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2.xml" ContentType="application/vnd.openxmlformats-officedocument.drawing+xml"/>
  <Override PartName="/xl/comments5.xml" ContentType="application/vnd.openxmlformats-officedocument.spreadsheetml.comments+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charts/chart4.xml" ContentType="application/vnd.openxmlformats-officedocument.drawingml.chart+xml"/>
  <Override PartName="/xl/drawings/drawing6.xml" ContentType="application/vnd.openxmlformats-officedocument.drawingml.chartshapes+xml"/>
  <Override PartName="/xl/charts/chart5.xml" ContentType="application/vnd.openxmlformats-officedocument.drawingml.chart+xml"/>
  <Override PartName="/xl/drawings/drawing7.xml" ContentType="application/vnd.openxmlformats-officedocument.drawingml.chartshapes+xml"/>
  <Override PartName="/xl/charts/chart6.xml" ContentType="application/vnd.openxmlformats-officedocument.drawingml.chart+xml"/>
  <Override PartName="/xl/drawings/drawing8.xml" ContentType="application/vnd.openxmlformats-officedocument.drawingml.chartshapes+xml"/>
  <Override PartName="/xl/charts/chart7.xml" ContentType="application/vnd.openxmlformats-officedocument.drawingml.chart+xml"/>
  <Override PartName="/xl/drawings/drawing9.xml" ContentType="application/vnd.openxmlformats-officedocument.drawingml.chartshapes+xml"/>
  <Override PartName="/xl/charts/chart8.xml" ContentType="application/vnd.openxmlformats-officedocument.drawingml.chart+xml"/>
  <Override PartName="/xl/drawings/drawing10.xml" ContentType="application/vnd.openxmlformats-officedocument.drawingml.chartshapes+xml"/>
  <Override PartName="/xl/charts/chart9.xml" ContentType="application/vnd.openxmlformats-officedocument.drawingml.chart+xml"/>
  <Override PartName="/xl/drawings/drawing11.xml" ContentType="application/vnd.openxmlformats-officedocument.drawingml.chartshapes+xml"/>
  <Override PartName="/xl/charts/chart10.xml" ContentType="application/vnd.openxmlformats-officedocument.drawingml.chart+xml"/>
  <Override PartName="/xl/drawings/drawing12.xml" ContentType="application/vnd.openxmlformats-officedocument.drawingml.chartshapes+xml"/>
  <Override PartName="/xl/charts/chart11.xml" ContentType="application/vnd.openxmlformats-officedocument.drawingml.chart+xml"/>
  <Override PartName="/xl/drawings/drawing13.xml" ContentType="application/vnd.openxmlformats-officedocument.drawingml.chartshapes+xml"/>
  <Override PartName="/xl/charts/chart12.xml" ContentType="application/vnd.openxmlformats-officedocument.drawingml.chart+xml"/>
  <Override PartName="/xl/drawings/drawing14.xml" ContentType="application/vnd.openxmlformats-officedocument.drawingml.chartshapes+xml"/>
  <Override PartName="/xl/charts/chart13.xml" ContentType="application/vnd.openxmlformats-officedocument.drawingml.chart+xml"/>
  <Override PartName="/xl/drawings/drawing15.xml" ContentType="application/vnd.openxmlformats-officedocument.drawingml.chartshapes+xml"/>
  <Override PartName="/xl/charts/chart14.xml" ContentType="application/vnd.openxmlformats-officedocument.drawingml.chart+xml"/>
  <Override PartName="/xl/drawings/drawing16.xml" ContentType="application/vnd.openxmlformats-officedocument.drawingml.chartshapes+xml"/>
  <Override PartName="/xl/charts/chart15.xml" ContentType="application/vnd.openxmlformats-officedocument.drawingml.chart+xml"/>
  <Override PartName="/xl/drawings/drawing17.xml" ContentType="application/vnd.openxmlformats-officedocument.drawingml.chartshapes+xml"/>
  <Override PartName="/xl/charts/chart16.xml" ContentType="application/vnd.openxmlformats-officedocument.drawingml.chart+xml"/>
  <Override PartName="/xl/drawings/drawing18.xml" ContentType="application/vnd.openxmlformats-officedocument.drawingml.chartshapes+xml"/>
  <Override PartName="/xl/charts/chart17.xml" ContentType="application/vnd.openxmlformats-officedocument.drawingml.chart+xml"/>
  <Override PartName="/xl/drawings/drawing19.xml" ContentType="application/vnd.openxmlformats-officedocument.drawingml.chartshapes+xml"/>
  <Override PartName="/xl/charts/chart18.xml" ContentType="application/vnd.openxmlformats-officedocument.drawingml.chart+xml"/>
  <Override PartName="/xl/drawings/drawing20.xml" ContentType="application/vnd.openxmlformats-officedocument.drawingml.chartshapes+xml"/>
  <Override PartName="/xl/charts/chart19.xml" ContentType="application/vnd.openxmlformats-officedocument.drawingml.chart+xml"/>
  <Override PartName="/xl/drawings/drawing21.xml" ContentType="application/vnd.openxmlformats-officedocument.drawingml.chartshapes+xml"/>
  <Override PartName="/xl/charts/chart20.xml" ContentType="application/vnd.openxmlformats-officedocument.drawingml.chart+xml"/>
  <Override PartName="/xl/drawings/drawing22.xml" ContentType="application/vnd.openxmlformats-officedocument.drawingml.chartshapes+xml"/>
  <Override PartName="/xl/charts/chart21.xml" ContentType="application/vnd.openxmlformats-officedocument.drawingml.chart+xml"/>
  <Override PartName="/xl/drawings/drawing23.xml" ContentType="application/vnd.openxmlformats-officedocument.drawingml.chartshapes+xml"/>
  <Override PartName="/xl/charts/chart22.xml" ContentType="application/vnd.openxmlformats-officedocument.drawingml.chart+xml"/>
  <Override PartName="/xl/drawings/drawing24.xml" ContentType="application/vnd.openxmlformats-officedocument.drawingml.chartshapes+xml"/>
  <Override PartName="/xl/drawings/drawing25.xml" ContentType="application/vnd.openxmlformats-officedocument.drawing+xml"/>
  <Override PartName="/xl/activeX/activeX1.xml" ContentType="application/vnd.ms-office.activeX+xml"/>
  <Override PartName="/xl/activeX/activeX1.bin" ContentType="application/vnd.ms-office.activeX"/>
  <Override PartName="/xl/comments6.xml" ContentType="application/vnd.openxmlformats-officedocument.spreadsheetml.comments+xml"/>
  <Override PartName="/xl/charts/chart23.xml" ContentType="application/vnd.openxmlformats-officedocument.drawingml.chart+xml"/>
  <Override PartName="/xl/charts/chart24.xml" ContentType="application/vnd.openxmlformats-officedocument.drawingml.chart+xml"/>
  <Override PartName="/xl/drawings/drawing26.xml" ContentType="application/vnd.openxmlformats-officedocument.drawing+xml"/>
  <Override PartName="/xl/drawings/drawing27.xml" ContentType="application/vnd.openxmlformats-officedocument.drawing+xml"/>
  <Override PartName="/xl/charts/chart25.xml" ContentType="application/vnd.openxmlformats-officedocument.drawingml.chart+xml"/>
  <Override PartName="/xl/drawings/drawing28.xml" ContentType="application/vnd.openxmlformats-officedocument.drawingml.chartshapes+xml"/>
  <Override PartName="/xl/charts/chart26.xml" ContentType="application/vnd.openxmlformats-officedocument.drawingml.chart+xml"/>
  <Override PartName="/xl/drawings/drawing29.xml" ContentType="application/vnd.openxmlformats-officedocument.drawing+xml"/>
  <Override PartName="/xl/charts/chart27.xml" ContentType="application/vnd.openxmlformats-officedocument.drawingml.chart+xml"/>
  <Override PartName="/xl/drawings/drawing30.xml" ContentType="application/vnd.openxmlformats-officedocument.drawingml.chartshapes+xml"/>
  <Override PartName="/xl/charts/chart28.xml" ContentType="application/vnd.openxmlformats-officedocument.drawingml.chart+xml"/>
  <Override PartName="/xl/drawings/drawing31.xml" ContentType="application/vnd.openxmlformats-officedocument.drawingml.chartshapes+xml"/>
  <Override PartName="/xl/charts/chart29.xml" ContentType="application/vnd.openxmlformats-officedocument.drawingml.chart+xml"/>
  <Override PartName="/xl/drawings/drawing32.xml" ContentType="application/vnd.openxmlformats-officedocument.drawingml.chartshapes+xml"/>
  <Override PartName="/xl/charts/chart30.xml" ContentType="application/vnd.openxmlformats-officedocument.drawingml.chart+xml"/>
  <Override PartName="/xl/drawings/drawing33.xml" ContentType="application/vnd.openxmlformats-officedocument.drawingml.chartshapes+xml"/>
  <Override PartName="/xl/drawings/drawing34.xml" ContentType="application/vnd.openxmlformats-officedocument.drawing+xml"/>
  <Override PartName="/xl/charts/chart31.xml" ContentType="application/vnd.openxmlformats-officedocument.drawingml.chart+xml"/>
  <Override PartName="/xl/drawings/drawing35.xml" ContentType="application/vnd.openxmlformats-officedocument.drawingml.chartshapes+xml"/>
  <Override PartName="/xl/charts/chart32.xml" ContentType="application/vnd.openxmlformats-officedocument.drawingml.chart+xml"/>
  <Override PartName="/xl/drawings/drawing36.xml" ContentType="application/vnd.openxmlformats-officedocument.drawingml.chartshapes+xml"/>
  <Override PartName="/xl/charts/chart33.xml" ContentType="application/vnd.openxmlformats-officedocument.drawingml.chart+xml"/>
  <Override PartName="/xl/drawings/drawing37.xml" ContentType="application/vnd.openxmlformats-officedocument.drawingml.chartshapes+xml"/>
  <Override PartName="/xl/charts/chart34.xml" ContentType="application/vnd.openxmlformats-officedocument.drawingml.chart+xml"/>
  <Override PartName="/xl/drawings/drawing38.xml" ContentType="application/vnd.openxmlformats-officedocument.drawingml.chartshapes+xml"/>
  <Override PartName="/xl/charts/chart35.xml" ContentType="application/vnd.openxmlformats-officedocument.drawingml.chart+xml"/>
  <Override PartName="/xl/drawings/drawing39.xml" ContentType="application/vnd.openxmlformats-officedocument.drawingml.chartshapes+xml"/>
  <Override PartName="/xl/charts/chart36.xml" ContentType="application/vnd.openxmlformats-officedocument.drawingml.chart+xml"/>
  <Override PartName="/xl/drawings/drawing40.xml" ContentType="application/vnd.openxmlformats-officedocument.drawingml.chartshapes+xml"/>
  <Override PartName="/xl/drawings/drawing41.xml" ContentType="application/vnd.openxmlformats-officedocument.drawing+xml"/>
  <Override PartName="/xl/charts/chart37.xml" ContentType="application/vnd.openxmlformats-officedocument.drawingml.chart+xml"/>
  <Override PartName="/xl/drawings/drawing42.xml" ContentType="application/vnd.openxmlformats-officedocument.drawingml.chartshapes+xml"/>
  <Override PartName="/xl/charts/chart38.xml" ContentType="application/vnd.openxmlformats-officedocument.drawingml.chart+xml"/>
  <Override PartName="/xl/drawings/drawing43.xml" ContentType="application/vnd.openxmlformats-officedocument.drawingml.chartshapes+xml"/>
  <Override PartName="/xl/charts/chart39.xml" ContentType="application/vnd.openxmlformats-officedocument.drawingml.chart+xml"/>
  <Override PartName="/xl/drawings/drawing44.xml" ContentType="application/vnd.openxmlformats-officedocument.drawingml.chartshapes+xml"/>
  <Override PartName="/xl/charts/chart40.xml" ContentType="application/vnd.openxmlformats-officedocument.drawingml.chart+xml"/>
  <Override PartName="/xl/drawings/drawing45.xml" ContentType="application/vnd.openxmlformats-officedocument.drawingml.chartshapes+xml"/>
  <Override PartName="/xl/charts/chart41.xml" ContentType="application/vnd.openxmlformats-officedocument.drawingml.chart+xml"/>
  <Override PartName="/xl/drawings/drawing46.xml" ContentType="application/vnd.openxmlformats-officedocument.drawingml.chartshapes+xml"/>
  <Override PartName="/xl/charts/chart42.xml" ContentType="application/vnd.openxmlformats-officedocument.drawingml.chart+xml"/>
  <Override PartName="/xl/drawings/drawing47.xml" ContentType="application/vnd.openxmlformats-officedocument.drawingml.chartshapes+xml"/>
  <Override PartName="/xl/drawings/drawing48.xml" ContentType="application/vnd.openxmlformats-officedocument.drawing+xml"/>
  <Override PartName="/xl/charts/chart43.xml" ContentType="application/vnd.openxmlformats-officedocument.drawingml.chart+xml"/>
  <Override PartName="/xl/drawings/drawing49.xml" ContentType="application/vnd.openxmlformats-officedocument.drawingml.chartshapes+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drawings/drawing50.xml" ContentType="application/vnd.openxmlformats-officedocument.drawingml.chartshapes+xml"/>
  <Override PartName="/xl/charts/chart48.xml" ContentType="application/vnd.openxmlformats-officedocument.drawingml.chart+xml"/>
  <Override PartName="/xl/drawings/drawing51.xml" ContentType="application/vnd.openxmlformats-officedocument.drawingml.chartshapes+xml"/>
  <Override PartName="/xl/charts/chart49.xml" ContentType="application/vnd.openxmlformats-officedocument.drawingml.chart+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0"/>
  <workbookPr updateLinks="never" codeName="ThisWorkbook" defaultThemeVersion="124226"/>
  <mc:AlternateContent xmlns:mc="http://schemas.openxmlformats.org/markup-compatibility/2006">
    <mc:Choice Requires="x15">
      <x15ac:absPath xmlns:x15ac="http://schemas.microsoft.com/office/spreadsheetml/2010/11/ac" url="C:\Users\andrejs.migunovs\Downloads\"/>
    </mc:Choice>
  </mc:AlternateContent>
  <xr:revisionPtr revIDLastSave="0" documentId="8_{5C93DB94-9356-4B57-9316-EFB23EF892C8}" xr6:coauthVersionLast="36" xr6:coauthVersionMax="36" xr10:uidLastSave="{00000000-0000-0000-0000-000000000000}"/>
  <bookViews>
    <workbookView xWindow="0" yWindow="0" windowWidth="28800" windowHeight="11625" tabRatio="920" firstSheet="3" activeTab="8" xr2:uid="{00000000-000D-0000-FFFF-FFFF00000000}"/>
  </bookViews>
  <sheets>
    <sheet name="Input - Instructions" sheetId="16" r:id="rId1"/>
    <sheet name="Input 1 - Basics" sheetId="72" r:id="rId2"/>
    <sheet name="Input 2 - Data" sheetId="69" r:id="rId3"/>
    <sheet name="Input 3 - Debt and Banking" sheetId="1" r:id="rId4"/>
    <sheet name="Input 4 - Forecast" sheetId="2" r:id="rId5"/>
    <sheet name="Input 5 - Scenario Design" sheetId="12" r:id="rId6"/>
    <sheet name="Fan Chart" sheetId="76" state="hidden" r:id="rId7"/>
    <sheet name="Output - Instructions" sheetId="86" state="hidden" r:id="rId8"/>
    <sheet name="Output - Basic1" sheetId="82" r:id="rId9"/>
    <sheet name="Output - Basic2" sheetId="83" state="hidden" r:id="rId10"/>
    <sheet name="Output - Realism" sheetId="88" state="hidden" r:id="rId11"/>
    <sheet name="Output - Shocks" sheetId="85" state="hidden" r:id="rId12"/>
    <sheet name="Output - Heat Map" sheetId="68" state="hidden" r:id="rId13"/>
    <sheet name="Baseline" sheetId="19" state="hidden" r:id="rId14"/>
    <sheet name="Baseline debt" sheetId="20" state="hidden" r:id="rId15"/>
    <sheet name="Benchmarks" sheetId="87" state="hidden" r:id="rId16"/>
    <sheet name="Lists-Modules-ChartData" sheetId="18" state="hidden" r:id="rId17"/>
    <sheet name="HeatMap" sheetId="65" state="hidden" r:id="rId18"/>
    <sheet name="primary" sheetId="14" state="hidden" r:id="rId19"/>
    <sheet name="growth" sheetId="17" state="hidden" r:id="rId20"/>
    <sheet name="interest" sheetId="23" state="hidden" r:id="rId21"/>
    <sheet name="exchange" sheetId="25" state="hidden" r:id="rId22"/>
    <sheet name="combo" sheetId="38" state="hidden" r:id="rId23"/>
    <sheet name="contingent" sheetId="32" state="hidden" r:id="rId24"/>
    <sheet name="historical" sheetId="28" state="hidden" r:id="rId25"/>
    <sheet name="constant pb" sheetId="30" state="hidden" r:id="rId26"/>
    <sheet name="custom1" sheetId="40" state="hidden" r:id="rId27"/>
    <sheet name="custom2" sheetId="89" state="hidden" r:id="rId28"/>
  </sheets>
  <definedNames>
    <definedName name="AEStatus">'Lists-Modules-ChartData'!$K$5</definedName>
    <definedName name="Basic2Shock1">'Lists-Modules-ChartData'!$AP$8</definedName>
    <definedName name="Basic2Shock2">'Lists-Modules-ChartData'!$AP$18</definedName>
    <definedName name="Basic2Shock3">'Lists-Modules-ChartData'!$AP$28</definedName>
    <definedName name="Basic2Shock4">'Lists-Modules-ChartData'!$AP$41</definedName>
    <definedName name="Basic2Shock5">'Lists-Modules-ChartData'!$AP$51</definedName>
    <definedName name="Basic2Shock6">'Lists-Modules-ChartData'!$AP$61</definedName>
    <definedName name="BenchmarkClassifyDebtAE">Benchmarks!$E$3</definedName>
    <definedName name="BenchmarkClassifyDebtCountry">Benchmarks!$G$3</definedName>
    <definedName name="BenchmarkClassifyDebtEM">Benchmarks!$D$3</definedName>
    <definedName name="BenchmarkClassifyGFNAE">Benchmarks!$E$4</definedName>
    <definedName name="BenchmarkClassifyGFNCountry">Benchmarks!$G$4</definedName>
    <definedName name="BenchmarkClassifyGFNEM">Benchmarks!$D$4</definedName>
    <definedName name="BenchmarkHMDebtCountry">Benchmarks!$G$32</definedName>
    <definedName name="BenchmarkHMGFNCountry">Benchmarks!$G$33</definedName>
    <definedName name="BoomBustCredit">'Lists-Modules-ChartData'!$DU$10</definedName>
    <definedName name="BoomBustGap">'Lists-Modules-ChartData'!$DU$11</definedName>
    <definedName name="BoomBustTrigger">'Lists-Modules-ChartData'!$DQ$2</definedName>
    <definedName name="CLDesign">'Input 5 - Scenario Design'!$A$102:$J$110</definedName>
    <definedName name="CLTrigger">'Lists-Modules-ChartData'!$CD$2</definedName>
    <definedName name="CLTrigger_Auto">'Lists-Modules-ChartData'!$CB$2</definedName>
    <definedName name="CLTrigger_Manual">'Input 5 - Scenario Design'!$J$23</definedName>
    <definedName name="Code">'Input 1 - Basics'!$D$4</definedName>
    <definedName name="ComboDesign">'Input 5 - Scenario Design'!$A$92:$J$100</definedName>
    <definedName name="Country">'Input 1 - Basics'!$D$3</definedName>
    <definedName name="CPBDesign">'Input 5 - Scenario Design'!$D$142:$J$150</definedName>
    <definedName name="Custom1Design">'Input 5 - Scenario Design'!$A$112:$J$120</definedName>
    <definedName name="Custom1Name">'Input 5 - Scenario Design'!$T$25</definedName>
    <definedName name="Custom1Trigger">'Lists-Modules-ChartData'!$BA$31</definedName>
    <definedName name="Custom2Design">'Input 5 - Scenario Design'!$A$122:$J$130</definedName>
    <definedName name="Custom2Name">'Input 5 - Scenario Design'!$T$27</definedName>
    <definedName name="Custom2Trigger">'Lists-Modules-ChartData'!$BA$34</definedName>
    <definedName name="DebtContingent">HeatMap!$F$14</definedName>
    <definedName name="DebtCustom">HeatMap!$G$14</definedName>
    <definedName name="DebtExchange">HeatMap!$E$14</definedName>
    <definedName name="DebtGrowth">HeatMap!$B$14</definedName>
    <definedName name="DebtInterest">HeatMap!$D$14</definedName>
    <definedName name="DebtPrimary">HeatMap!$C$14</definedName>
    <definedName name="DebttoPotentialGDP">'Input 1 - Basics'!$D$15</definedName>
    <definedName name="DPVExternal">HeatMap!$C$45</definedName>
    <definedName name="DPVForex">HeatMap!$F$45</definedName>
    <definedName name="DPVMarket">HeatMap!$B$45</definedName>
    <definedName name="DPVNonRes">HeatMap!$E$45</definedName>
    <definedName name="DPVShort">HeatMap!$D$45</definedName>
    <definedName name="DPVTrigger">'Lists-Modules-ChartData'!$BM$2</definedName>
    <definedName name="Exceptional">'Input 1 - Basics'!$D$7</definedName>
    <definedName name="ExchangeDesign">'Input 5 - Scenario Design'!$A$82:$J$90</definedName>
    <definedName name="ExtraShock1">'Lists-Modules-ChartData'!$AP$149</definedName>
    <definedName name="ExtraShock2">'Lists-Modules-ChartData'!$AP$159</definedName>
    <definedName name="ExtraShock3">'Lists-Modules-ChartData'!$AP$169</definedName>
    <definedName name="ExtraShock4">'Lists-Modules-ChartData'!$AP$179</definedName>
    <definedName name="ExtraShock5">'Lists-Modules-ChartData'!$AP$189</definedName>
    <definedName name="FanDraw">'Fan Chart'!$B$69:$E$6068</definedName>
    <definedName name="FanMu">'Fan Chart'!$D$15:$D$18</definedName>
    <definedName name="FanSigma">'Fan Chart'!$E$22:$H$25</definedName>
    <definedName name="FirstYear">'Input 1 - Basics'!$D$17</definedName>
    <definedName name="FTRComparator">'Lists-Modules-ChartData'!$CH$4:$CH$6</definedName>
    <definedName name="FTRGroup">'Output - Realism'!$B$9</definedName>
    <definedName name="GDPDesign">'Input 5 - Scenario Design'!$A$62:$J$70</definedName>
    <definedName name="GFNContingent">HeatMap!$F$29</definedName>
    <definedName name="GFNCustom">HeatMap!$G$29</definedName>
    <definedName name="GFNExchange">HeatMap!$E$29</definedName>
    <definedName name="GFNGrowth">HeatMap!$B$29</definedName>
    <definedName name="GFNInterest">HeatMap!$D$29</definedName>
    <definedName name="GFNPrimary">HeatMap!$C$29</definedName>
    <definedName name="Guarantees">'Input 1 - Basics'!$D$10</definedName>
    <definedName name="GuaranteesDef">'Input 1 - Basics'!$D$11</definedName>
    <definedName name="HistDesign">'Input 5 - Scenario Design'!$D$132:$J$140</definedName>
    <definedName name="InstBasics">'Input - Instructions'!$32:$50</definedName>
    <definedName name="InstClassification">'Output - Instructions'!$5:$22</definedName>
    <definedName name="InstDebt">'Input - Instructions'!$58:$70</definedName>
    <definedName name="InstDesign">'Input - Instructions'!$96:$121</definedName>
    <definedName name="InstDownload">'Input - Instructions'!$51:$57</definedName>
    <definedName name="InstFan">'Input - Instructions'!$122:$128</definedName>
    <definedName name="InstForecast">'Input - Instructions'!$71:$95</definedName>
    <definedName name="InstOutputBasic">'Output - Instructions'!$26:$37</definedName>
    <definedName name="InstOutputHeatMap">'Output - Instructions'!$50:$53</definedName>
    <definedName name="InstOutputRealism">'Output - Instructions'!$38:$44</definedName>
    <definedName name="InstOutputShocks">'Output - Instructions'!$45:$49</definedName>
    <definedName name="InstOutputSubmit">'Output - Instructions'!$54:$54</definedName>
    <definedName name="InstOverview">'Input - Instructions'!$5:$29</definedName>
    <definedName name="InstructionsOverview">'Input - Instructions'!$A$6:$N$26</definedName>
    <definedName name="InterestDesign">'Input 5 - Scenario Design'!$A$72:$J$80</definedName>
    <definedName name="ISO">'Lists-Modules-ChartData'!$M$5</definedName>
    <definedName name="ListAnnual">'Lists-Modules-ChartData'!$I$216:$I$217</definedName>
    <definedName name="ListCountries">'Lists-Modules-ChartData'!$I$13:$I$136</definedName>
    <definedName name="ListDataPlatform">'Lists-Modules-ChartData'!$I$179:$I$181</definedName>
    <definedName name="ListFitch">'Lists-Modules-ChartData'!$J$191:$J$211</definedName>
    <definedName name="ListGovtDef">'Lists-Modules-ChartData'!$I$142:$I$146</definedName>
    <definedName name="ListLowerHigher">'Lists-Modules-ChartData'!$I$224:$I$225</definedName>
    <definedName name="ListMoody">'Lists-Modules-ChartData'!$K$191:$K$211</definedName>
    <definedName name="ListOnOff">'Lists-Modules-ChartData'!$I$220:$I$221</definedName>
    <definedName name="ListScale">'Lists-Modules-ChartData'!$K$163:$K$166</definedName>
    <definedName name="ListSP">'Lists-Modules-ChartData'!$I$191:$I$210</definedName>
    <definedName name="ListSpreadDef">'Lists-Modules-ChartData'!$I$184:$I$186</definedName>
    <definedName name="ListYears">'Lists-Modules-ChartData'!$I$149:$I$175</definedName>
    <definedName name="ListYesNo">'Lists-Modules-ChartData'!$K$150:$K$151</definedName>
    <definedName name="MFShock1">'Lists-Modules-ChartData'!$AP$80</definedName>
    <definedName name="MFShock2">'Lists-Modules-ChartData'!$AP$90</definedName>
    <definedName name="MFShock3">'Lists-Modules-ChartData'!$AP$100</definedName>
    <definedName name="MFShock4">'Lists-Modules-ChartData'!$AP$112</definedName>
    <definedName name="MFShock5">'Lists-Modules-ChartData'!$AP$122</definedName>
    <definedName name="NavigateAdjustment">'Lists-Modules-ChartData'!$DD$1</definedName>
    <definedName name="NavigateBoomBust">'Lists-Modules-ChartData'!$DP$1</definedName>
    <definedName name="NavigateCL">'Lists-Modules-ChartData'!$CA$1</definedName>
    <definedName name="NavigateDPV">'Lists-Modules-ChartData'!$BL$1</definedName>
    <definedName name="NavigateFTR">'Lists-Modules-ChartData'!$CH$1</definedName>
    <definedName name="NavigateMF">'Lists-Modules-ChartData'!$BA$1</definedName>
    <definedName name="NetDebt">'Input 1 - Basics'!$D$14</definedName>
    <definedName name="PBDesign">'Input 5 - Scenario Design'!$A$42:$J$60</definedName>
    <definedName name="_xlnm.Print_Area" localSheetId="0">'Input - Instructions'!$A$5:$R$128</definedName>
    <definedName name="_xlnm.Print_Area" localSheetId="1">'Input 1 - Basics'!$A$1:$E$41</definedName>
    <definedName name="_xlnm.Print_Area" localSheetId="8">'Output - Basic1'!$A$1:$Y$76</definedName>
    <definedName name="_xlnm.Print_Area" localSheetId="9">'Output - Basic2'!$A$1:$U$75</definedName>
    <definedName name="_xlnm.Print_Area" localSheetId="12">'Output - Heat Map'!$A$1:$BT$71</definedName>
    <definedName name="_xlnm.Print_Area" localSheetId="7">'Output - Instructions'!$A$5:$U$53</definedName>
    <definedName name="_xlnm.Print_Area" localSheetId="10">'Output - Realism'!$H$2:$AC$47</definedName>
    <definedName name="_xlnm.Print_Area" localSheetId="11">'Output - Shocks'!$A$2:$U$96</definedName>
    <definedName name="REER">'Input 1 - Basics'!$D$19</definedName>
    <definedName name="Scale">'Input 1 - Basics'!$D$41</definedName>
    <definedName name="ScrutinyClassification_Auto">'Output - Instructions'!$P$11</definedName>
    <definedName name="ScrutinyClassification_Final">'Input 5 - Scenario Design'!$J$8</definedName>
    <definedName name="SectorAltDefinition">'Input 1 - Basics'!$E$9</definedName>
    <definedName name="SectorDefinition">'Input 1 - Basics'!$D$9</definedName>
    <definedName name="sencount" hidden="1">2</definedName>
    <definedName name="solver_cvg" localSheetId="6" hidden="1">0.0001</definedName>
    <definedName name="solver_drv" localSheetId="6" hidden="1">1</definedName>
    <definedName name="solver_est" localSheetId="6" hidden="1">1</definedName>
    <definedName name="solver_itr" localSheetId="6" hidden="1">100</definedName>
    <definedName name="solver_lin" localSheetId="6" hidden="1">2</definedName>
    <definedName name="solver_neg" localSheetId="6" hidden="1">2</definedName>
    <definedName name="solver_num" localSheetId="6" hidden="1">0</definedName>
    <definedName name="solver_nwt" localSheetId="6" hidden="1">1</definedName>
    <definedName name="solver_pre" localSheetId="6" hidden="1">0.000001</definedName>
    <definedName name="solver_scl" localSheetId="6" hidden="1">2</definedName>
    <definedName name="solver_sho" localSheetId="6" hidden="1">2</definedName>
    <definedName name="solver_tim" localSheetId="6" hidden="1">100</definedName>
    <definedName name="solver_tol" localSheetId="6" hidden="1">0.05</definedName>
    <definedName name="solver_typ" localSheetId="6" hidden="1">1</definedName>
    <definedName name="solver_val" localSheetId="6" hidden="1">0</definedName>
    <definedName name="SpreadDefinition">'Input 1 - Basics'!$B$34</definedName>
  </definedNames>
  <calcPr calcId="191029"/>
</workbook>
</file>

<file path=xl/calcChain.xml><?xml version="1.0" encoding="utf-8"?>
<calcChain xmlns="http://schemas.openxmlformats.org/spreadsheetml/2006/main">
  <c r="U17" i="69" l="1"/>
  <c r="T17" i="69"/>
  <c r="S17" i="69"/>
  <c r="R17" i="69"/>
  <c r="Q17" i="69"/>
  <c r="V7" i="69" l="1"/>
  <c r="V17" i="69" s="1"/>
  <c r="D36" i="72" l="1"/>
  <c r="K37" i="2" l="1"/>
  <c r="C27" i="2" s="1"/>
  <c r="L34" i="2" l="1"/>
  <c r="D24" i="2" s="1"/>
  <c r="M34" i="2"/>
  <c r="E24" i="2" s="1"/>
  <c r="N34" i="2"/>
  <c r="F24" i="2" s="1"/>
  <c r="O34" i="2"/>
  <c r="G24" i="2" s="1"/>
  <c r="P34" i="2"/>
  <c r="H24" i="2" s="1"/>
  <c r="L37" i="2"/>
  <c r="D27" i="2" s="1"/>
  <c r="M37" i="2"/>
  <c r="E27" i="2" s="1"/>
  <c r="N37" i="2"/>
  <c r="F27" i="2" s="1"/>
  <c r="O37" i="2"/>
  <c r="G27" i="2" s="1"/>
  <c r="P37" i="2"/>
  <c r="H27" i="2" s="1"/>
  <c r="K24" i="2"/>
  <c r="K34" i="2" s="1"/>
  <c r="C24" i="2" s="1"/>
  <c r="P28" i="2" l="1"/>
  <c r="P39" i="2" s="1"/>
  <c r="H28" i="2" s="1"/>
  <c r="O28" i="2"/>
  <c r="O39" i="2" s="1"/>
  <c r="G28" i="2" s="1"/>
  <c r="N28" i="2"/>
  <c r="N39" i="2" s="1"/>
  <c r="F28" i="2" s="1"/>
  <c r="M28" i="2"/>
  <c r="M39" i="2" s="1"/>
  <c r="E28" i="2" s="1"/>
  <c r="L28" i="2"/>
  <c r="L39" i="2" s="1"/>
  <c r="D28" i="2" s="1"/>
  <c r="K28" i="2"/>
  <c r="K39" i="2" s="1"/>
  <c r="C28" i="2" s="1"/>
  <c r="P25" i="2"/>
  <c r="P35" i="2" s="1"/>
  <c r="H25" i="2" s="1"/>
  <c r="O25" i="2"/>
  <c r="O35" i="2" s="1"/>
  <c r="G25" i="2" s="1"/>
  <c r="N25" i="2"/>
  <c r="N35" i="2" s="1"/>
  <c r="F25" i="2" s="1"/>
  <c r="M25" i="2"/>
  <c r="M35" i="2" s="1"/>
  <c r="E25" i="2" s="1"/>
  <c r="L25" i="2"/>
  <c r="L35" i="2" s="1"/>
  <c r="D25" i="2" s="1"/>
  <c r="K25" i="2"/>
  <c r="K35" i="2" s="1"/>
  <c r="C25" i="2" s="1"/>
  <c r="K78" i="2" l="1"/>
  <c r="K77" i="2"/>
  <c r="K60" i="2"/>
  <c r="P77" i="2" l="1"/>
  <c r="Q77" i="2" s="1"/>
  <c r="R77" i="2" s="1"/>
  <c r="D31" i="72" l="1"/>
  <c r="M136" i="18" l="1"/>
  <c r="J136" i="18"/>
  <c r="CS10" i="18" l="1"/>
  <c r="A11" i="1" l="1"/>
  <c r="A9" i="1"/>
  <c r="A43" i="2"/>
  <c r="A42" i="2"/>
  <c r="A69" i="89"/>
  <c r="A68" i="89"/>
  <c r="A69" i="40"/>
  <c r="A68" i="40"/>
  <c r="A69" i="30"/>
  <c r="A68" i="30"/>
  <c r="A69" i="28"/>
  <c r="A68" i="28"/>
  <c r="A69" i="32"/>
  <c r="A68" i="32"/>
  <c r="A69" i="38"/>
  <c r="A68" i="38"/>
  <c r="A71" i="25"/>
  <c r="A70" i="25"/>
  <c r="A69" i="23"/>
  <c r="A68" i="23"/>
  <c r="A69" i="17"/>
  <c r="A68" i="17"/>
  <c r="A69" i="14"/>
  <c r="A68" i="14"/>
  <c r="A33" i="19"/>
  <c r="A32" i="19"/>
  <c r="P24" i="69"/>
  <c r="O24" i="69"/>
  <c r="N24" i="69"/>
  <c r="M24" i="69"/>
  <c r="L24" i="69"/>
  <c r="K24" i="69"/>
  <c r="J24" i="69"/>
  <c r="I24" i="69"/>
  <c r="H24" i="69"/>
  <c r="G24" i="69"/>
  <c r="F24" i="69"/>
  <c r="E24" i="69"/>
  <c r="O3" i="1"/>
  <c r="N3" i="1"/>
  <c r="P18" i="69" l="1"/>
  <c r="O18" i="69"/>
  <c r="N18" i="69"/>
  <c r="M18" i="69"/>
  <c r="L18" i="69"/>
  <c r="K18" i="69"/>
  <c r="J18" i="69"/>
  <c r="I18" i="69"/>
  <c r="H18" i="69"/>
  <c r="G18" i="69"/>
  <c r="F18" i="69"/>
  <c r="E18" i="69"/>
  <c r="V15" i="69"/>
  <c r="U44" i="20" s="1"/>
  <c r="U15" i="69"/>
  <c r="T44" i="20" s="1"/>
  <c r="T15" i="69"/>
  <c r="S44" i="20" s="1"/>
  <c r="S15" i="69"/>
  <c r="R44" i="20" s="1"/>
  <c r="R15" i="69"/>
  <c r="Q44" i="20" s="1"/>
  <c r="Q15" i="69"/>
  <c r="P44" i="20" s="1"/>
  <c r="P15" i="69"/>
  <c r="O15" i="69"/>
  <c r="N44" i="20" s="1"/>
  <c r="N15" i="69"/>
  <c r="M44" i="20" s="1"/>
  <c r="M15" i="69"/>
  <c r="L44" i="20" s="1"/>
  <c r="L15" i="69"/>
  <c r="K15" i="69"/>
  <c r="J44" i="20" s="1"/>
  <c r="J15" i="69"/>
  <c r="I15" i="69"/>
  <c r="H44" i="20" s="1"/>
  <c r="H15" i="69"/>
  <c r="G44" i="20" s="1"/>
  <c r="G15" i="69"/>
  <c r="F44" i="20" s="1"/>
  <c r="F15" i="69"/>
  <c r="E44" i="20" s="1"/>
  <c r="E15" i="69"/>
  <c r="D44" i="20" s="1"/>
  <c r="U9" i="82"/>
  <c r="J27" i="83"/>
  <c r="D4" i="72"/>
  <c r="J5" i="18" s="1"/>
  <c r="M5" i="18" s="1"/>
  <c r="I5" i="18"/>
  <c r="K5" i="18" s="1"/>
  <c r="A17" i="1"/>
  <c r="A16" i="1"/>
  <c r="B23" i="69"/>
  <c r="B28" i="69"/>
  <c r="B29" i="69"/>
  <c r="B30" i="69"/>
  <c r="B31" i="69"/>
  <c r="B32" i="69"/>
  <c r="C42" i="2"/>
  <c r="B70" i="25" s="1"/>
  <c r="D42" i="2"/>
  <c r="C43" i="2"/>
  <c r="D43" i="2"/>
  <c r="C69" i="89" s="1"/>
  <c r="D40" i="2"/>
  <c r="C30" i="19" s="1"/>
  <c r="E40" i="2"/>
  <c r="D30" i="19" s="1"/>
  <c r="F40" i="2"/>
  <c r="E30" i="19" s="1"/>
  <c r="F41" i="2"/>
  <c r="E31" i="19" s="1"/>
  <c r="G41" i="2"/>
  <c r="F31" i="19" s="1"/>
  <c r="H41" i="2"/>
  <c r="G31" i="19" s="1"/>
  <c r="C30" i="2"/>
  <c r="B56" i="17" s="1"/>
  <c r="D30" i="2"/>
  <c r="F30" i="2"/>
  <c r="G30" i="2"/>
  <c r="F20" i="19" s="1"/>
  <c r="H30" i="2"/>
  <c r="E47" i="20"/>
  <c r="F47" i="20"/>
  <c r="G47" i="20"/>
  <c r="H30" i="20"/>
  <c r="I30" i="20"/>
  <c r="J47" i="20"/>
  <c r="K47" i="20"/>
  <c r="L30" i="20"/>
  <c r="M47" i="20"/>
  <c r="N30" i="20"/>
  <c r="O30" i="20"/>
  <c r="E21" i="2"/>
  <c r="D48" i="17" s="1"/>
  <c r="F21" i="2"/>
  <c r="E48" i="28" s="1"/>
  <c r="G21" i="2"/>
  <c r="F50" i="25" s="1"/>
  <c r="D30" i="20"/>
  <c r="A74" i="82"/>
  <c r="A66" i="82"/>
  <c r="O6" i="1"/>
  <c r="N6" i="1"/>
  <c r="M6" i="1"/>
  <c r="L6" i="1"/>
  <c r="K6" i="1"/>
  <c r="J6" i="1"/>
  <c r="I6" i="1"/>
  <c r="H6" i="1"/>
  <c r="G6" i="1"/>
  <c r="F6" i="1"/>
  <c r="E6" i="1"/>
  <c r="D6" i="1"/>
  <c r="C6" i="1"/>
  <c r="O14" i="20"/>
  <c r="P14" i="20" s="1"/>
  <c r="S14" i="20" s="1"/>
  <c r="N14" i="20"/>
  <c r="M14" i="20"/>
  <c r="L14" i="20"/>
  <c r="K14" i="20"/>
  <c r="K8" i="20" s="1"/>
  <c r="K109" i="20" s="1"/>
  <c r="J14" i="20"/>
  <c r="J8" i="20" s="1"/>
  <c r="J109" i="20" s="1"/>
  <c r="I14" i="20"/>
  <c r="I8" i="20" s="1"/>
  <c r="I109" i="20" s="1"/>
  <c r="H14" i="20"/>
  <c r="G14" i="20"/>
  <c r="F14" i="20"/>
  <c r="E14" i="20"/>
  <c r="D14" i="20"/>
  <c r="O12" i="20"/>
  <c r="O8" i="20" s="1"/>
  <c r="O109" i="20" s="1"/>
  <c r="L10" i="82" s="1"/>
  <c r="N12" i="20"/>
  <c r="M12" i="20"/>
  <c r="M8" i="20" s="1"/>
  <c r="M109" i="20" s="1"/>
  <c r="L12" i="20"/>
  <c r="K12" i="20"/>
  <c r="J12" i="20"/>
  <c r="I12" i="20"/>
  <c r="H12" i="20"/>
  <c r="H8" i="20" s="1"/>
  <c r="H109" i="20" s="1"/>
  <c r="G12" i="20"/>
  <c r="G8" i="20" s="1"/>
  <c r="G109" i="20" s="1"/>
  <c r="F12" i="20"/>
  <c r="F8" i="20" s="1"/>
  <c r="F109" i="20" s="1"/>
  <c r="E12" i="20"/>
  <c r="E8" i="20" s="1"/>
  <c r="E109" i="20" s="1"/>
  <c r="D12" i="20"/>
  <c r="N8" i="20"/>
  <c r="N109" i="20" s="1"/>
  <c r="K10" i="82" s="1"/>
  <c r="D8" i="20"/>
  <c r="L8" i="20"/>
  <c r="L109" i="20" s="1"/>
  <c r="B10" i="82"/>
  <c r="B14" i="1"/>
  <c r="B12" i="1"/>
  <c r="C14" i="20"/>
  <c r="C12" i="20"/>
  <c r="A14" i="1"/>
  <c r="A12" i="1"/>
  <c r="U10" i="82"/>
  <c r="X10" i="82"/>
  <c r="X9" i="82"/>
  <c r="U8" i="82"/>
  <c r="O25" i="76"/>
  <c r="N25" i="76"/>
  <c r="O24" i="76" s="1"/>
  <c r="N24" i="76"/>
  <c r="M25" i="76"/>
  <c r="O23" i="76" s="1"/>
  <c r="M24" i="76"/>
  <c r="N23" i="76" s="1"/>
  <c r="M23" i="76"/>
  <c r="L25" i="76"/>
  <c r="O22" i="76" s="1"/>
  <c r="L24" i="76"/>
  <c r="N22" i="76" s="1"/>
  <c r="L23" i="76"/>
  <c r="M22" i="76" s="1"/>
  <c r="L22" i="76"/>
  <c r="L18" i="76"/>
  <c r="L17" i="76"/>
  <c r="L16" i="76"/>
  <c r="L15" i="76"/>
  <c r="E14" i="87"/>
  <c r="D14" i="87"/>
  <c r="E13" i="87"/>
  <c r="D13" i="87"/>
  <c r="E12" i="87"/>
  <c r="D12" i="87"/>
  <c r="E11" i="87"/>
  <c r="D11" i="87"/>
  <c r="E10" i="87"/>
  <c r="D10" i="87"/>
  <c r="DN32" i="18"/>
  <c r="A71" i="68"/>
  <c r="BL16" i="18"/>
  <c r="A68" i="82"/>
  <c r="BM21" i="18"/>
  <c r="A41" i="68"/>
  <c r="A13" i="1"/>
  <c r="C8" i="20"/>
  <c r="C49" i="20"/>
  <c r="C48" i="20"/>
  <c r="C47" i="20"/>
  <c r="C45" i="20"/>
  <c r="C44" i="20"/>
  <c r="C41" i="20"/>
  <c r="C40" i="20"/>
  <c r="C39" i="20"/>
  <c r="C38" i="20"/>
  <c r="C34" i="20"/>
  <c r="C33" i="20"/>
  <c r="C32" i="20"/>
  <c r="C31" i="20"/>
  <c r="C30" i="20"/>
  <c r="C29" i="20"/>
  <c r="C28" i="20"/>
  <c r="C24" i="20"/>
  <c r="C22" i="20"/>
  <c r="C21" i="20"/>
  <c r="C20" i="20"/>
  <c r="C19" i="20"/>
  <c r="C18" i="20"/>
  <c r="C16" i="20"/>
  <c r="C15" i="20"/>
  <c r="C13" i="20"/>
  <c r="C11" i="20"/>
  <c r="C10" i="20"/>
  <c r="C7" i="20"/>
  <c r="C5" i="1"/>
  <c r="D10" i="20" s="1"/>
  <c r="D7" i="20" s="1"/>
  <c r="D24" i="20" s="1"/>
  <c r="B6" i="1"/>
  <c r="A6" i="1"/>
  <c r="B11" i="72"/>
  <c r="M5" i="1"/>
  <c r="B140" i="20"/>
  <c r="B40" i="82"/>
  <c r="B160" i="20"/>
  <c r="B38" i="82"/>
  <c r="L5" i="1"/>
  <c r="K5" i="1"/>
  <c r="L10" i="20" s="1"/>
  <c r="L7" i="20" s="1"/>
  <c r="J5" i="1"/>
  <c r="K10" i="20" s="1"/>
  <c r="K7" i="20" s="1"/>
  <c r="K24" i="20" s="1"/>
  <c r="I5" i="1"/>
  <c r="J10" i="20" s="1"/>
  <c r="J7" i="20" s="1"/>
  <c r="H5" i="1"/>
  <c r="G5" i="1"/>
  <c r="H10" i="20" s="1"/>
  <c r="H7" i="20" s="1"/>
  <c r="H24" i="20" s="1"/>
  <c r="F5" i="1"/>
  <c r="G10" i="20" s="1"/>
  <c r="G7" i="20" s="1"/>
  <c r="G24" i="20" s="1"/>
  <c r="E5" i="1"/>
  <c r="F10" i="20" s="1"/>
  <c r="F7" i="20" s="1"/>
  <c r="D5" i="1"/>
  <c r="E10" i="20" s="1"/>
  <c r="E7" i="20" s="1"/>
  <c r="N5" i="1"/>
  <c r="B89" i="2"/>
  <c r="B87" i="2"/>
  <c r="B86" i="2"/>
  <c r="B85" i="2"/>
  <c r="B84" i="2"/>
  <c r="B83" i="2"/>
  <c r="B82" i="2"/>
  <c r="B81" i="2"/>
  <c r="B80" i="2"/>
  <c r="B79" i="2"/>
  <c r="B78" i="2"/>
  <c r="B77" i="2"/>
  <c r="B76" i="2"/>
  <c r="B75" i="2"/>
  <c r="B74" i="2"/>
  <c r="B73" i="2"/>
  <c r="B72" i="2"/>
  <c r="B71" i="2"/>
  <c r="B70" i="2"/>
  <c r="B69" i="2"/>
  <c r="B68" i="2"/>
  <c r="B67" i="2"/>
  <c r="B66" i="2"/>
  <c r="B65" i="2"/>
  <c r="B64" i="2"/>
  <c r="B63" i="2"/>
  <c r="B62" i="2"/>
  <c r="B61" i="2"/>
  <c r="B60" i="2"/>
  <c r="B59" i="2"/>
  <c r="B58" i="2"/>
  <c r="B57" i="2"/>
  <c r="B56" i="2"/>
  <c r="B55" i="2"/>
  <c r="B54" i="2"/>
  <c r="B52" i="2"/>
  <c r="B5" i="1"/>
  <c r="CR89" i="18"/>
  <c r="CQ89" i="18" s="1"/>
  <c r="CP89" i="18" s="1"/>
  <c r="CO89" i="18" s="1"/>
  <c r="CN89" i="18" s="1"/>
  <c r="CM89" i="18" s="1"/>
  <c r="CL89" i="18" s="1"/>
  <c r="CK89" i="18" s="1"/>
  <c r="CJ89" i="18" s="1"/>
  <c r="CR60" i="18"/>
  <c r="CQ60" i="18" s="1"/>
  <c r="CP60" i="18" s="1"/>
  <c r="CO60" i="18" s="1"/>
  <c r="CN60" i="18" s="1"/>
  <c r="CM60" i="18" s="1"/>
  <c r="CL60" i="18" s="1"/>
  <c r="CK60" i="18" s="1"/>
  <c r="CJ60" i="18" s="1"/>
  <c r="CR31" i="18"/>
  <c r="CQ31" i="18" s="1"/>
  <c r="CP31" i="18" s="1"/>
  <c r="CO31" i="18" s="1"/>
  <c r="CN31" i="18" s="1"/>
  <c r="CM31" i="18" s="1"/>
  <c r="CL31" i="18" s="1"/>
  <c r="CK31" i="18" s="1"/>
  <c r="CJ31" i="18" s="1"/>
  <c r="CR16" i="18"/>
  <c r="CQ16" i="18" s="1"/>
  <c r="CP16" i="18" s="1"/>
  <c r="CO16" i="18" s="1"/>
  <c r="CN16" i="18" s="1"/>
  <c r="CM16" i="18" s="1"/>
  <c r="CL16" i="18" s="1"/>
  <c r="CK16" i="18" s="1"/>
  <c r="CJ16" i="18" s="1"/>
  <c r="CT26" i="18" s="1"/>
  <c r="CR10" i="18"/>
  <c r="CQ10" i="18" s="1"/>
  <c r="CP10" i="18" s="1"/>
  <c r="CO10" i="18" s="1"/>
  <c r="CN10" i="18" s="1"/>
  <c r="CM10" i="18" s="1"/>
  <c r="CL10" i="18" s="1"/>
  <c r="CK10" i="18" s="1"/>
  <c r="CJ10" i="18" s="1"/>
  <c r="U7" i="82"/>
  <c r="A70" i="68"/>
  <c r="BM16" i="18"/>
  <c r="BV7" i="18"/>
  <c r="I17" i="86" s="1"/>
  <c r="B37" i="72"/>
  <c r="AC40" i="65"/>
  <c r="AB40" i="65"/>
  <c r="AA40" i="65"/>
  <c r="AC39" i="65"/>
  <c r="AB39" i="65"/>
  <c r="AA39" i="65"/>
  <c r="AC38" i="65"/>
  <c r="AB38" i="65"/>
  <c r="AA38" i="65"/>
  <c r="AC37" i="65"/>
  <c r="AB37" i="65"/>
  <c r="AA37" i="65"/>
  <c r="AC36" i="65"/>
  <c r="AB36" i="65"/>
  <c r="AA36" i="65"/>
  <c r="W40" i="65"/>
  <c r="V40" i="65"/>
  <c r="U40" i="65"/>
  <c r="W39" i="65"/>
  <c r="V39" i="65"/>
  <c r="U39" i="65"/>
  <c r="W38" i="65"/>
  <c r="V38" i="65"/>
  <c r="U38" i="65"/>
  <c r="W37" i="65"/>
  <c r="V37" i="65"/>
  <c r="U37" i="65"/>
  <c r="W36" i="65"/>
  <c r="V36" i="65"/>
  <c r="U36" i="65"/>
  <c r="K28" i="65"/>
  <c r="M16" i="65" s="1"/>
  <c r="J28" i="65"/>
  <c r="M24" i="65" s="1"/>
  <c r="K13" i="65"/>
  <c r="M4" i="65" s="1"/>
  <c r="J13" i="65"/>
  <c r="M10" i="65" s="1"/>
  <c r="X11" i="82"/>
  <c r="B13" i="82"/>
  <c r="B14" i="82"/>
  <c r="H2" i="88"/>
  <c r="P23" i="18"/>
  <c r="AD20" i="18"/>
  <c r="AD22" i="18"/>
  <c r="I40" i="20"/>
  <c r="I41" i="20" s="1"/>
  <c r="H40" i="20"/>
  <c r="H41" i="20" s="1"/>
  <c r="G40" i="20"/>
  <c r="G41" i="20" s="1"/>
  <c r="E40" i="20"/>
  <c r="E41" i="20" s="1"/>
  <c r="D40" i="20"/>
  <c r="D41" i="20" s="1"/>
  <c r="S40" i="20"/>
  <c r="S41" i="20" s="1"/>
  <c r="R40" i="20"/>
  <c r="R41" i="20" s="1"/>
  <c r="Q40" i="20"/>
  <c r="Q41" i="20" s="1"/>
  <c r="P40" i="20"/>
  <c r="P41" i="20" s="1"/>
  <c r="O40" i="20"/>
  <c r="O41" i="20" s="1"/>
  <c r="N40" i="20"/>
  <c r="N41" i="20" s="1"/>
  <c r="M40" i="20"/>
  <c r="M41" i="20" s="1"/>
  <c r="L40" i="20"/>
  <c r="T40" i="20"/>
  <c r="T41" i="20" s="1"/>
  <c r="U40" i="20"/>
  <c r="U41" i="20" s="1"/>
  <c r="K40" i="20"/>
  <c r="K41" i="20" s="1"/>
  <c r="F40" i="20"/>
  <c r="F41" i="20" s="1"/>
  <c r="O12" i="86"/>
  <c r="B27" i="1"/>
  <c r="F18" i="19"/>
  <c r="E18" i="19"/>
  <c r="X19" i="82"/>
  <c r="W19" i="82"/>
  <c r="X18" i="82"/>
  <c r="W18" i="82"/>
  <c r="X17" i="82"/>
  <c r="W17" i="82"/>
  <c r="F53" i="40"/>
  <c r="E53" i="32"/>
  <c r="D53" i="38"/>
  <c r="C53" i="38"/>
  <c r="D18" i="19"/>
  <c r="C18" i="19"/>
  <c r="B53" i="30"/>
  <c r="G15" i="19"/>
  <c r="D15" i="19"/>
  <c r="C15" i="19"/>
  <c r="B15" i="19"/>
  <c r="G50" i="30"/>
  <c r="F50" i="89"/>
  <c r="E50" i="32"/>
  <c r="D50" i="32"/>
  <c r="B50" i="14"/>
  <c r="J33" i="20"/>
  <c r="I33" i="20"/>
  <c r="H33" i="20"/>
  <c r="G33" i="20"/>
  <c r="F32" i="20"/>
  <c r="E32" i="20"/>
  <c r="D32" i="20"/>
  <c r="N19" i="1"/>
  <c r="M19" i="1" s="1"/>
  <c r="L19" i="1" s="1"/>
  <c r="K19" i="1" s="1"/>
  <c r="J19" i="1" s="1"/>
  <c r="I19" i="1" s="1"/>
  <c r="H19" i="1" s="1"/>
  <c r="G19" i="1" s="1"/>
  <c r="F19" i="1" s="1"/>
  <c r="E19" i="1" s="1"/>
  <c r="D19" i="1" s="1"/>
  <c r="C19" i="1" s="1"/>
  <c r="A2" i="83"/>
  <c r="D122" i="12"/>
  <c r="A122" i="12"/>
  <c r="D112" i="12"/>
  <c r="A112" i="12"/>
  <c r="O20" i="65"/>
  <c r="O19" i="65"/>
  <c r="O31" i="65"/>
  <c r="O30" i="65"/>
  <c r="BD33" i="18"/>
  <c r="BD30" i="18"/>
  <c r="A2" i="89"/>
  <c r="A2" i="40"/>
  <c r="R134" i="18"/>
  <c r="P143" i="18" s="1"/>
  <c r="R148" i="18"/>
  <c r="P152" i="18" s="1"/>
  <c r="A14" i="18"/>
  <c r="A15" i="18"/>
  <c r="B45" i="2"/>
  <c r="B43" i="2"/>
  <c r="B42" i="2"/>
  <c r="B41" i="2"/>
  <c r="B40" i="2"/>
  <c r="B39" i="2"/>
  <c r="B37" i="2"/>
  <c r="B35" i="2"/>
  <c r="B34" i="2"/>
  <c r="B33" i="2"/>
  <c r="B32" i="2"/>
  <c r="B30" i="2"/>
  <c r="B28" i="2"/>
  <c r="B27" i="2"/>
  <c r="B25" i="2"/>
  <c r="B24" i="2"/>
  <c r="B22" i="2"/>
  <c r="B21" i="2"/>
  <c r="B20" i="2"/>
  <c r="B16" i="2"/>
  <c r="B14" i="2"/>
  <c r="B17" i="1"/>
  <c r="B16" i="1"/>
  <c r="B13" i="1"/>
  <c r="B11" i="1"/>
  <c r="B9" i="1"/>
  <c r="B8" i="1"/>
  <c r="B16" i="69"/>
  <c r="B19" i="69"/>
  <c r="B35" i="69"/>
  <c r="B34" i="69"/>
  <c r="B33" i="69"/>
  <c r="B26" i="69"/>
  <c r="B25" i="69"/>
  <c r="B24" i="69"/>
  <c r="B22" i="69"/>
  <c r="B21" i="69"/>
  <c r="B20" i="69"/>
  <c r="B18" i="69"/>
  <c r="B17" i="69"/>
  <c r="B15" i="69"/>
  <c r="B10" i="69"/>
  <c r="B8" i="69"/>
  <c r="B7" i="69"/>
  <c r="B5" i="69"/>
  <c r="H44" i="88"/>
  <c r="AS4" i="18"/>
  <c r="O57" i="83"/>
  <c r="P57" i="83" s="1"/>
  <c r="Q57" i="83" s="1"/>
  <c r="R57" i="83" s="1"/>
  <c r="S57" i="83" s="1"/>
  <c r="T57" i="83" s="1"/>
  <c r="E57" i="83"/>
  <c r="F57" i="83" s="1"/>
  <c r="G57" i="83" s="1"/>
  <c r="H57" i="83" s="1"/>
  <c r="I57" i="83" s="1"/>
  <c r="J57" i="83" s="1"/>
  <c r="BA34" i="18"/>
  <c r="G33" i="89"/>
  <c r="Q80" i="89" s="1"/>
  <c r="F150" i="89" s="1"/>
  <c r="F33" i="89"/>
  <c r="P98" i="89" s="1"/>
  <c r="F251" i="89" s="1"/>
  <c r="E33" i="89"/>
  <c r="O102" i="89" s="1"/>
  <c r="F273" i="89" s="1"/>
  <c r="D33" i="89"/>
  <c r="N98" i="89" s="1"/>
  <c r="F249" i="89" s="1"/>
  <c r="C33" i="89"/>
  <c r="M79" i="89" s="1"/>
  <c r="F139" i="89" s="1"/>
  <c r="B33" i="89"/>
  <c r="L97" i="89" s="1"/>
  <c r="F240" i="89" s="1"/>
  <c r="A307" i="89"/>
  <c r="A298" i="89"/>
  <c r="A299" i="89" s="1"/>
  <c r="A300" i="89" s="1"/>
  <c r="A301" i="89" s="1"/>
  <c r="A302" i="89" s="1"/>
  <c r="A303" i="89" s="1"/>
  <c r="A291" i="89"/>
  <c r="A292" i="89" s="1"/>
  <c r="A293" i="89" s="1"/>
  <c r="A294" i="89" s="1"/>
  <c r="A295" i="89" s="1"/>
  <c r="A296" i="89" s="1"/>
  <c r="A284" i="89"/>
  <c r="A285" i="89" s="1"/>
  <c r="A286" i="89" s="1"/>
  <c r="A287" i="89" s="1"/>
  <c r="A288" i="89" s="1"/>
  <c r="A289" i="89" s="1"/>
  <c r="A277" i="89"/>
  <c r="A278" i="89" s="1"/>
  <c r="A279" i="89" s="1"/>
  <c r="A280" i="89" s="1"/>
  <c r="A281" i="89" s="1"/>
  <c r="A282" i="89" s="1"/>
  <c r="A270" i="89"/>
  <c r="A271" i="89" s="1"/>
  <c r="A272" i="89" s="1"/>
  <c r="A273" i="89" s="1"/>
  <c r="A274" i="89" s="1"/>
  <c r="A275" i="89" s="1"/>
  <c r="A268" i="89"/>
  <c r="A261" i="89"/>
  <c r="A262" i="89" s="1"/>
  <c r="A263" i="89" s="1"/>
  <c r="A264" i="89" s="1"/>
  <c r="A265" i="89" s="1"/>
  <c r="A266" i="89" s="1"/>
  <c r="A254" i="89"/>
  <c r="A255" i="89" s="1"/>
  <c r="A256" i="89" s="1"/>
  <c r="A257" i="89" s="1"/>
  <c r="A258" i="89" s="1"/>
  <c r="A259" i="89" s="1"/>
  <c r="A247" i="89"/>
  <c r="A248" i="89" s="1"/>
  <c r="A249" i="89" s="1"/>
  <c r="A250" i="89" s="1"/>
  <c r="A251" i="89" s="1"/>
  <c r="A252" i="89" s="1"/>
  <c r="A240" i="89"/>
  <c r="A241" i="89" s="1"/>
  <c r="A242" i="89" s="1"/>
  <c r="A243" i="89" s="1"/>
  <c r="A244" i="89" s="1"/>
  <c r="A245" i="89" s="1"/>
  <c r="A233" i="89"/>
  <c r="A234" i="89" s="1"/>
  <c r="A235" i="89" s="1"/>
  <c r="A236" i="89" s="1"/>
  <c r="A237" i="89" s="1"/>
  <c r="A238" i="89" s="1"/>
  <c r="A231" i="89"/>
  <c r="A230" i="89"/>
  <c r="A221" i="89"/>
  <c r="A212" i="89"/>
  <c r="A211" i="89"/>
  <c r="A210" i="89"/>
  <c r="A203" i="89"/>
  <c r="A204" i="89" s="1"/>
  <c r="A205" i="89" s="1"/>
  <c r="A206" i="89" s="1"/>
  <c r="A207" i="89" s="1"/>
  <c r="A208" i="89" s="1"/>
  <c r="A196" i="89"/>
  <c r="A197" i="89" s="1"/>
  <c r="A198" i="89" s="1"/>
  <c r="A199" i="89" s="1"/>
  <c r="A200" i="89" s="1"/>
  <c r="A201" i="89" s="1"/>
  <c r="A189" i="89"/>
  <c r="A190" i="89" s="1"/>
  <c r="A191" i="89" s="1"/>
  <c r="A192" i="89" s="1"/>
  <c r="A193" i="89" s="1"/>
  <c r="A194" i="89" s="1"/>
  <c r="A182" i="89"/>
  <c r="A183" i="89" s="1"/>
  <c r="A184" i="89" s="1"/>
  <c r="A185" i="89" s="1"/>
  <c r="A186" i="89" s="1"/>
  <c r="A187" i="89" s="1"/>
  <c r="A175" i="89"/>
  <c r="A176" i="89" s="1"/>
  <c r="A177" i="89" s="1"/>
  <c r="A178" i="89" s="1"/>
  <c r="A179" i="89" s="1"/>
  <c r="A180" i="89" s="1"/>
  <c r="A173" i="89"/>
  <c r="A166" i="89"/>
  <c r="A167" i="89" s="1"/>
  <c r="A168" i="89" s="1"/>
  <c r="A169" i="89" s="1"/>
  <c r="A170" i="89" s="1"/>
  <c r="A171" i="89" s="1"/>
  <c r="A159" i="89"/>
  <c r="A160" i="89" s="1"/>
  <c r="A161" i="89" s="1"/>
  <c r="A162" i="89" s="1"/>
  <c r="A163" i="89" s="1"/>
  <c r="A164" i="89" s="1"/>
  <c r="A152" i="89"/>
  <c r="A153" i="89" s="1"/>
  <c r="A154" i="89" s="1"/>
  <c r="A155" i="89" s="1"/>
  <c r="A156" i="89" s="1"/>
  <c r="A157" i="89" s="1"/>
  <c r="A145" i="89"/>
  <c r="A146" i="89" s="1"/>
  <c r="A147" i="89" s="1"/>
  <c r="A148" i="89" s="1"/>
  <c r="A149" i="89" s="1"/>
  <c r="A150" i="89" s="1"/>
  <c r="A138" i="89"/>
  <c r="A139" i="89" s="1"/>
  <c r="A140" i="89" s="1"/>
  <c r="A141" i="89" s="1"/>
  <c r="A142" i="89" s="1"/>
  <c r="A143" i="89" s="1"/>
  <c r="A136" i="89"/>
  <c r="A135" i="89"/>
  <c r="A126" i="89"/>
  <c r="A117" i="89"/>
  <c r="A116" i="89"/>
  <c r="A115" i="89"/>
  <c r="K108" i="89"/>
  <c r="E307" i="89" s="1"/>
  <c r="E308" i="89" s="1"/>
  <c r="E309" i="89" s="1"/>
  <c r="E310" i="89" s="1"/>
  <c r="E311" i="89" s="1"/>
  <c r="E312" i="89" s="1"/>
  <c r="J108" i="89"/>
  <c r="D307" i="89" s="1"/>
  <c r="D308" i="89" s="1"/>
  <c r="D309" i="89" s="1"/>
  <c r="D310" i="89" s="1"/>
  <c r="D311" i="89" s="1"/>
  <c r="D312" i="89" s="1"/>
  <c r="K106" i="89"/>
  <c r="E298" i="89" s="1"/>
  <c r="E299" i="89" s="1"/>
  <c r="E300" i="89" s="1"/>
  <c r="E301" i="89" s="1"/>
  <c r="E302" i="89" s="1"/>
  <c r="E303" i="89" s="1"/>
  <c r="K105" i="89"/>
  <c r="E291" i="89" s="1"/>
  <c r="E292" i="89" s="1"/>
  <c r="E293" i="89" s="1"/>
  <c r="E294" i="89" s="1"/>
  <c r="E295" i="89" s="1"/>
  <c r="E296" i="89" s="1"/>
  <c r="J105" i="89"/>
  <c r="D291" i="89" s="1"/>
  <c r="D292" i="89" s="1"/>
  <c r="D293" i="89" s="1"/>
  <c r="D294" i="89" s="1"/>
  <c r="D295" i="89" s="1"/>
  <c r="D296" i="89" s="1"/>
  <c r="I105" i="89"/>
  <c r="C291" i="89" s="1"/>
  <c r="C292" i="89" s="1"/>
  <c r="C293" i="89" s="1"/>
  <c r="C294" i="89" s="1"/>
  <c r="C295" i="89" s="1"/>
  <c r="C296" i="89" s="1"/>
  <c r="K104" i="89"/>
  <c r="E284" i="89" s="1"/>
  <c r="E285" i="89" s="1"/>
  <c r="E286" i="89" s="1"/>
  <c r="E287" i="89" s="1"/>
  <c r="E288" i="89" s="1"/>
  <c r="E289" i="89" s="1"/>
  <c r="J104" i="89"/>
  <c r="D284" i="89" s="1"/>
  <c r="D285" i="89" s="1"/>
  <c r="D286" i="89" s="1"/>
  <c r="D287" i="89" s="1"/>
  <c r="D288" i="89" s="1"/>
  <c r="D289" i="89" s="1"/>
  <c r="I104" i="89"/>
  <c r="C284" i="89" s="1"/>
  <c r="C285" i="89" s="1"/>
  <c r="C286" i="89" s="1"/>
  <c r="C287" i="89" s="1"/>
  <c r="C288" i="89" s="1"/>
  <c r="C289" i="89" s="1"/>
  <c r="K103" i="89"/>
  <c r="E277" i="89" s="1"/>
  <c r="J103" i="89"/>
  <c r="D277" i="89" s="1"/>
  <c r="D278" i="89" s="1"/>
  <c r="D279" i="89" s="1"/>
  <c r="D280" i="89" s="1"/>
  <c r="D281" i="89" s="1"/>
  <c r="D282" i="89" s="1"/>
  <c r="I103" i="89"/>
  <c r="C277" i="89" s="1"/>
  <c r="C278" i="89" s="1"/>
  <c r="C279" i="89" s="1"/>
  <c r="C280" i="89" s="1"/>
  <c r="C281" i="89" s="1"/>
  <c r="C282" i="89" s="1"/>
  <c r="K102" i="89"/>
  <c r="E270" i="89" s="1"/>
  <c r="E271" i="89" s="1"/>
  <c r="E272" i="89" s="1"/>
  <c r="J102" i="89"/>
  <c r="D270" i="89" s="1"/>
  <c r="D271" i="89" s="1"/>
  <c r="D272" i="89" s="1"/>
  <c r="D273" i="89" s="1"/>
  <c r="D274" i="89" s="1"/>
  <c r="D275" i="89" s="1"/>
  <c r="I102" i="89"/>
  <c r="C270" i="89" s="1"/>
  <c r="C271" i="89" s="1"/>
  <c r="C272" i="89" s="1"/>
  <c r="C273" i="89" s="1"/>
  <c r="C274" i="89" s="1"/>
  <c r="C275" i="89" s="1"/>
  <c r="K100" i="89"/>
  <c r="E261" i="89" s="1"/>
  <c r="E262" i="89" s="1"/>
  <c r="E263" i="89" s="1"/>
  <c r="E264" i="89" s="1"/>
  <c r="E265" i="89" s="1"/>
  <c r="E266" i="89" s="1"/>
  <c r="K99" i="89"/>
  <c r="E254" i="89" s="1"/>
  <c r="E255" i="89" s="1"/>
  <c r="E256" i="89" s="1"/>
  <c r="E257" i="89" s="1"/>
  <c r="E258" i="89" s="1"/>
  <c r="E259" i="89" s="1"/>
  <c r="J99" i="89"/>
  <c r="D254" i="89" s="1"/>
  <c r="D255" i="89" s="1"/>
  <c r="D256" i="89" s="1"/>
  <c r="D257" i="89" s="1"/>
  <c r="D258" i="89" s="1"/>
  <c r="D259" i="89" s="1"/>
  <c r="I99" i="89"/>
  <c r="C254" i="89" s="1"/>
  <c r="C255" i="89" s="1"/>
  <c r="C256" i="89" s="1"/>
  <c r="C257" i="89" s="1"/>
  <c r="C258" i="89" s="1"/>
  <c r="C259" i="89" s="1"/>
  <c r="K98" i="89"/>
  <c r="E247" i="89" s="1"/>
  <c r="E248" i="89" s="1"/>
  <c r="E249" i="89" s="1"/>
  <c r="E250" i="89" s="1"/>
  <c r="E251" i="89" s="1"/>
  <c r="E252" i="89" s="1"/>
  <c r="J98" i="89"/>
  <c r="D247" i="89" s="1"/>
  <c r="D248" i="89" s="1"/>
  <c r="D249" i="89" s="1"/>
  <c r="D250" i="89" s="1"/>
  <c r="D251" i="89" s="1"/>
  <c r="D252" i="89" s="1"/>
  <c r="I98" i="89"/>
  <c r="C247" i="89" s="1"/>
  <c r="C248" i="89" s="1"/>
  <c r="C249" i="89" s="1"/>
  <c r="C250" i="89" s="1"/>
  <c r="C251" i="89" s="1"/>
  <c r="C252" i="89" s="1"/>
  <c r="K97" i="89"/>
  <c r="E240" i="89" s="1"/>
  <c r="E241" i="89" s="1"/>
  <c r="E242" i="89" s="1"/>
  <c r="E243" i="89" s="1"/>
  <c r="E244" i="89" s="1"/>
  <c r="E245" i="89" s="1"/>
  <c r="J97" i="89"/>
  <c r="D240" i="89" s="1"/>
  <c r="D241" i="89" s="1"/>
  <c r="D242" i="89" s="1"/>
  <c r="D243" i="89" s="1"/>
  <c r="D244" i="89" s="1"/>
  <c r="D245" i="89" s="1"/>
  <c r="I97" i="89"/>
  <c r="C240" i="89" s="1"/>
  <c r="C241" i="89" s="1"/>
  <c r="C242" i="89" s="1"/>
  <c r="C243" i="89" s="1"/>
  <c r="C244" i="89" s="1"/>
  <c r="C245" i="89" s="1"/>
  <c r="K96" i="89"/>
  <c r="E233" i="89" s="1"/>
  <c r="J96" i="89"/>
  <c r="D233" i="89" s="1"/>
  <c r="D234" i="89" s="1"/>
  <c r="D235" i="89" s="1"/>
  <c r="D236" i="89" s="1"/>
  <c r="D237" i="89" s="1"/>
  <c r="D238" i="89" s="1"/>
  <c r="I96" i="89"/>
  <c r="C233" i="89" s="1"/>
  <c r="C234" i="89" s="1"/>
  <c r="C235" i="89" s="1"/>
  <c r="C236" i="89" s="1"/>
  <c r="C237" i="89" s="1"/>
  <c r="C238" i="89" s="1"/>
  <c r="K93" i="89"/>
  <c r="E223" i="89" s="1"/>
  <c r="E224" i="89" s="1"/>
  <c r="E225" i="89" s="1"/>
  <c r="E226" i="89" s="1"/>
  <c r="E227" i="89" s="1"/>
  <c r="E228" i="89" s="1"/>
  <c r="J93" i="89"/>
  <c r="D223" i="89" s="1"/>
  <c r="D224" i="89" s="1"/>
  <c r="D225" i="89" s="1"/>
  <c r="D226" i="89" s="1"/>
  <c r="D227" i="89" s="1"/>
  <c r="D228" i="89" s="1"/>
  <c r="I93" i="89"/>
  <c r="C223" i="89" s="1"/>
  <c r="C224" i="89" s="1"/>
  <c r="C225" i="89" s="1"/>
  <c r="C226" i="89" s="1"/>
  <c r="C227" i="89" s="1"/>
  <c r="C228" i="89" s="1"/>
  <c r="K92" i="89"/>
  <c r="E214" i="89" s="1"/>
  <c r="E215" i="89" s="1"/>
  <c r="E216" i="89" s="1"/>
  <c r="E217" i="89" s="1"/>
  <c r="E218" i="89" s="1"/>
  <c r="E219" i="89" s="1"/>
  <c r="J92" i="89"/>
  <c r="D214" i="89" s="1"/>
  <c r="D215" i="89" s="1"/>
  <c r="D216" i="89" s="1"/>
  <c r="D217" i="89" s="1"/>
  <c r="D218" i="89" s="1"/>
  <c r="D219" i="89" s="1"/>
  <c r="I92" i="89"/>
  <c r="C214" i="89" s="1"/>
  <c r="C215" i="89" s="1"/>
  <c r="C216" i="89" s="1"/>
  <c r="C217" i="89" s="1"/>
  <c r="C218" i="89" s="1"/>
  <c r="C219" i="89" s="1"/>
  <c r="K89" i="89"/>
  <c r="E203" i="89" s="1"/>
  <c r="E204" i="89" s="1"/>
  <c r="E205" i="89" s="1"/>
  <c r="E206" i="89" s="1"/>
  <c r="E207" i="89" s="1"/>
  <c r="E208" i="89" s="1"/>
  <c r="K88" i="89"/>
  <c r="E196" i="89" s="1"/>
  <c r="E197" i="89" s="1"/>
  <c r="E198" i="89" s="1"/>
  <c r="E199" i="89" s="1"/>
  <c r="E200" i="89" s="1"/>
  <c r="E201" i="89" s="1"/>
  <c r="J88" i="89"/>
  <c r="D196" i="89" s="1"/>
  <c r="I88" i="89"/>
  <c r="C196" i="89" s="1"/>
  <c r="C197" i="89" s="1"/>
  <c r="C198" i="89" s="1"/>
  <c r="C199" i="89" s="1"/>
  <c r="C200" i="89" s="1"/>
  <c r="K87" i="89"/>
  <c r="E189" i="89" s="1"/>
  <c r="E190" i="89" s="1"/>
  <c r="E191" i="89" s="1"/>
  <c r="E192" i="89" s="1"/>
  <c r="E193" i="89" s="1"/>
  <c r="E194" i="89" s="1"/>
  <c r="J87" i="89"/>
  <c r="D189" i="89" s="1"/>
  <c r="D190" i="89" s="1"/>
  <c r="D191" i="89" s="1"/>
  <c r="D192" i="89" s="1"/>
  <c r="D193" i="89" s="1"/>
  <c r="D194" i="89" s="1"/>
  <c r="I87" i="89"/>
  <c r="C189" i="89" s="1"/>
  <c r="C190" i="89" s="1"/>
  <c r="C191" i="89" s="1"/>
  <c r="C192" i="89" s="1"/>
  <c r="C193" i="89" s="1"/>
  <c r="C194" i="89" s="1"/>
  <c r="K86" i="89"/>
  <c r="E182" i="89" s="1"/>
  <c r="E183" i="89" s="1"/>
  <c r="E184" i="89" s="1"/>
  <c r="E185" i="89" s="1"/>
  <c r="E186" i="89" s="1"/>
  <c r="E187" i="89" s="1"/>
  <c r="J86" i="89"/>
  <c r="D182" i="89" s="1"/>
  <c r="D183" i="89" s="1"/>
  <c r="D184" i="89" s="1"/>
  <c r="D185" i="89" s="1"/>
  <c r="D186" i="89" s="1"/>
  <c r="D187" i="89" s="1"/>
  <c r="I86" i="89"/>
  <c r="C182" i="89" s="1"/>
  <c r="C183" i="89" s="1"/>
  <c r="C184" i="89" s="1"/>
  <c r="C185" i="89" s="1"/>
  <c r="C186" i="89" s="1"/>
  <c r="C187" i="89" s="1"/>
  <c r="K85" i="89"/>
  <c r="E175" i="89" s="1"/>
  <c r="E176" i="89" s="1"/>
  <c r="E177" i="89" s="1"/>
  <c r="E178" i="89" s="1"/>
  <c r="E179" i="89" s="1"/>
  <c r="E180" i="89" s="1"/>
  <c r="J85" i="89"/>
  <c r="D175" i="89" s="1"/>
  <c r="I85" i="89"/>
  <c r="C175" i="89" s="1"/>
  <c r="C176" i="89" s="1"/>
  <c r="C177" i="89" s="1"/>
  <c r="K83" i="89"/>
  <c r="E166" i="89" s="1"/>
  <c r="E167" i="89" s="1"/>
  <c r="E168" i="89" s="1"/>
  <c r="E169" i="89" s="1"/>
  <c r="E170" i="89" s="1"/>
  <c r="E171" i="89" s="1"/>
  <c r="K82" i="89"/>
  <c r="E159" i="89" s="1"/>
  <c r="E160" i="89" s="1"/>
  <c r="E161" i="89" s="1"/>
  <c r="E162" i="89" s="1"/>
  <c r="E163" i="89" s="1"/>
  <c r="E164" i="89" s="1"/>
  <c r="J82" i="89"/>
  <c r="D159" i="89" s="1"/>
  <c r="D160" i="89" s="1"/>
  <c r="D161" i="89" s="1"/>
  <c r="D162" i="89" s="1"/>
  <c r="D163" i="89" s="1"/>
  <c r="D164" i="89" s="1"/>
  <c r="I82" i="89"/>
  <c r="C159" i="89" s="1"/>
  <c r="C160" i="89" s="1"/>
  <c r="C161" i="89" s="1"/>
  <c r="C162" i="89" s="1"/>
  <c r="C163" i="89" s="1"/>
  <c r="C164" i="89" s="1"/>
  <c r="K81" i="89"/>
  <c r="E152" i="89" s="1"/>
  <c r="E153" i="89" s="1"/>
  <c r="E154" i="89" s="1"/>
  <c r="E155" i="89" s="1"/>
  <c r="E156" i="89" s="1"/>
  <c r="E157" i="89" s="1"/>
  <c r="J81" i="89"/>
  <c r="D152" i="89" s="1"/>
  <c r="D153" i="89" s="1"/>
  <c r="D154" i="89" s="1"/>
  <c r="D155" i="89" s="1"/>
  <c r="D156" i="89" s="1"/>
  <c r="D157" i="89" s="1"/>
  <c r="I81" i="89"/>
  <c r="C152" i="89" s="1"/>
  <c r="C153" i="89" s="1"/>
  <c r="C154" i="89" s="1"/>
  <c r="C155" i="89" s="1"/>
  <c r="C156" i="89" s="1"/>
  <c r="C157" i="89" s="1"/>
  <c r="K80" i="89"/>
  <c r="E145" i="89" s="1"/>
  <c r="E146" i="89" s="1"/>
  <c r="E147" i="89" s="1"/>
  <c r="E148" i="89" s="1"/>
  <c r="E149" i="89" s="1"/>
  <c r="E150" i="89" s="1"/>
  <c r="J80" i="89"/>
  <c r="D145" i="89" s="1"/>
  <c r="D146" i="89" s="1"/>
  <c r="D147" i="89" s="1"/>
  <c r="D148" i="89" s="1"/>
  <c r="D149" i="89" s="1"/>
  <c r="D150" i="89" s="1"/>
  <c r="I80" i="89"/>
  <c r="C145" i="89" s="1"/>
  <c r="K79" i="89"/>
  <c r="E138" i="89" s="1"/>
  <c r="E139" i="89" s="1"/>
  <c r="E140" i="89" s="1"/>
  <c r="E141" i="89" s="1"/>
  <c r="E142" i="89" s="1"/>
  <c r="E143" i="89" s="1"/>
  <c r="J79" i="89"/>
  <c r="D138" i="89" s="1"/>
  <c r="I79" i="89"/>
  <c r="C138" i="89" s="1"/>
  <c r="C139" i="89" s="1"/>
  <c r="C140" i="89" s="1"/>
  <c r="C141" i="89" s="1"/>
  <c r="C142" i="89" s="1"/>
  <c r="C143" i="89" s="1"/>
  <c r="K76" i="89"/>
  <c r="E128" i="89" s="1"/>
  <c r="E129" i="89" s="1"/>
  <c r="E130" i="89" s="1"/>
  <c r="E131" i="89" s="1"/>
  <c r="E132" i="89" s="1"/>
  <c r="E133" i="89" s="1"/>
  <c r="J76" i="89"/>
  <c r="D128" i="89" s="1"/>
  <c r="D129" i="89" s="1"/>
  <c r="D130" i="89" s="1"/>
  <c r="D131" i="89" s="1"/>
  <c r="D132" i="89" s="1"/>
  <c r="D133" i="89" s="1"/>
  <c r="I76" i="89"/>
  <c r="C128" i="89" s="1"/>
  <c r="C129" i="89" s="1"/>
  <c r="C130" i="89" s="1"/>
  <c r="C131" i="89" s="1"/>
  <c r="C132" i="89" s="1"/>
  <c r="C133" i="89" s="1"/>
  <c r="K75" i="89"/>
  <c r="E119" i="89" s="1"/>
  <c r="E120" i="89" s="1"/>
  <c r="E121" i="89" s="1"/>
  <c r="E122" i="89" s="1"/>
  <c r="E123" i="89" s="1"/>
  <c r="E124" i="89" s="1"/>
  <c r="J75" i="89"/>
  <c r="D119" i="89" s="1"/>
  <c r="D120" i="89" s="1"/>
  <c r="D121" i="89" s="1"/>
  <c r="D122" i="89" s="1"/>
  <c r="D123" i="89" s="1"/>
  <c r="D124" i="89" s="1"/>
  <c r="I75" i="89"/>
  <c r="C119" i="89" s="1"/>
  <c r="C120" i="89" s="1"/>
  <c r="C121" i="89" s="1"/>
  <c r="C122" i="89" s="1"/>
  <c r="C123" i="89" s="1"/>
  <c r="C124" i="89" s="1"/>
  <c r="C53" i="89"/>
  <c r="G50" i="89"/>
  <c r="B45" i="89"/>
  <c r="C45" i="89" s="1"/>
  <c r="B3" i="89"/>
  <c r="C3" i="89" s="1"/>
  <c r="D3" i="89" s="1"/>
  <c r="E3" i="89" s="1"/>
  <c r="F3" i="89" s="1"/>
  <c r="G3" i="89" s="1"/>
  <c r="DL24" i="18"/>
  <c r="DG24" i="18"/>
  <c r="DM33" i="18"/>
  <c r="DM34" i="18" s="1"/>
  <c r="DM35" i="18" s="1"/>
  <c r="DM36" i="18" s="1"/>
  <c r="DM37" i="18" s="1"/>
  <c r="DM38" i="18" s="1"/>
  <c r="DM39" i="18" s="1"/>
  <c r="DM40" i="18" s="1"/>
  <c r="DM41" i="18" s="1"/>
  <c r="DM42" i="18" s="1"/>
  <c r="DM43" i="18" s="1"/>
  <c r="DM44" i="18" s="1"/>
  <c r="DM45" i="18" s="1"/>
  <c r="DM46" i="18" s="1"/>
  <c r="DM47" i="18" s="1"/>
  <c r="DM48" i="18" s="1"/>
  <c r="DM49" i="18" s="1"/>
  <c r="DM50" i="18" s="1"/>
  <c r="DM51" i="18" s="1"/>
  <c r="DM52" i="18" s="1"/>
  <c r="DM53" i="18" s="1"/>
  <c r="DM54" i="18" s="1"/>
  <c r="DM55" i="18" s="1"/>
  <c r="DM56" i="18" s="1"/>
  <c r="DM57" i="18" s="1"/>
  <c r="DM58" i="18" s="1"/>
  <c r="DM59" i="18" s="1"/>
  <c r="DN33" i="18"/>
  <c r="DN34" i="18"/>
  <c r="DN35" i="18"/>
  <c r="DN36" i="18"/>
  <c r="DN37" i="18"/>
  <c r="DN38" i="18"/>
  <c r="DN39" i="18"/>
  <c r="DN40" i="18"/>
  <c r="DN41" i="18"/>
  <c r="DN42" i="18"/>
  <c r="DN43" i="18"/>
  <c r="DN44" i="18"/>
  <c r="DN45" i="18"/>
  <c r="DN46" i="18"/>
  <c r="DN47" i="18"/>
  <c r="DN48" i="18"/>
  <c r="DN49" i="18"/>
  <c r="DN50" i="18"/>
  <c r="DN51" i="18"/>
  <c r="DN52" i="18"/>
  <c r="DN53" i="18"/>
  <c r="DN54" i="18"/>
  <c r="DN55" i="18"/>
  <c r="DN56" i="18"/>
  <c r="DN57" i="18"/>
  <c r="DN58" i="18"/>
  <c r="DN59" i="18"/>
  <c r="DN31" i="18"/>
  <c r="DH33" i="18"/>
  <c r="DH34" i="18" s="1"/>
  <c r="DH35" i="18" s="1"/>
  <c r="DH36" i="18" s="1"/>
  <c r="DH37" i="18" s="1"/>
  <c r="DH38" i="18" s="1"/>
  <c r="DH39" i="18" s="1"/>
  <c r="DH40" i="18" s="1"/>
  <c r="DH41" i="18" s="1"/>
  <c r="DH42" i="18" s="1"/>
  <c r="DH43" i="18" s="1"/>
  <c r="DH44" i="18" s="1"/>
  <c r="DH45" i="18" s="1"/>
  <c r="DH46" i="18" s="1"/>
  <c r="DH47" i="18" s="1"/>
  <c r="DH48" i="18" s="1"/>
  <c r="DH49" i="18" s="1"/>
  <c r="DH50" i="18" s="1"/>
  <c r="DH51" i="18" s="1"/>
  <c r="DH52" i="18" s="1"/>
  <c r="DH53" i="18" s="1"/>
  <c r="DH54" i="18" s="1"/>
  <c r="DH55" i="18" s="1"/>
  <c r="DH56" i="18" s="1"/>
  <c r="DH57" i="18" s="1"/>
  <c r="DH58" i="18" s="1"/>
  <c r="DH59" i="18" s="1"/>
  <c r="DI32" i="18"/>
  <c r="DI33" i="18"/>
  <c r="DI34" i="18"/>
  <c r="DI35" i="18"/>
  <c r="DI36" i="18"/>
  <c r="DI37" i="18"/>
  <c r="DI38" i="18"/>
  <c r="DI39" i="18"/>
  <c r="DI40" i="18"/>
  <c r="DI41" i="18"/>
  <c r="DI42" i="18"/>
  <c r="DI43" i="18"/>
  <c r="DI44" i="18"/>
  <c r="DI45" i="18"/>
  <c r="DI46" i="18"/>
  <c r="DI47" i="18"/>
  <c r="DI48" i="18"/>
  <c r="DI49" i="18"/>
  <c r="DI50" i="18"/>
  <c r="DI51" i="18"/>
  <c r="DI52" i="18"/>
  <c r="DI53" i="18"/>
  <c r="DI54" i="18"/>
  <c r="DI55" i="18"/>
  <c r="DI56" i="18"/>
  <c r="DI57" i="18"/>
  <c r="DI58" i="18"/>
  <c r="DI59" i="18"/>
  <c r="DI31" i="18"/>
  <c r="DN66" i="18"/>
  <c r="DN503" i="18"/>
  <c r="DN502" i="18"/>
  <c r="DN501" i="18"/>
  <c r="DN500" i="18"/>
  <c r="DN499" i="18"/>
  <c r="DN498" i="18"/>
  <c r="DN497" i="18"/>
  <c r="DN496" i="18"/>
  <c r="DN495" i="18"/>
  <c r="DN494" i="18"/>
  <c r="DN493" i="18"/>
  <c r="DN492" i="18"/>
  <c r="DN491" i="18"/>
  <c r="DN490" i="18"/>
  <c r="DN489" i="18"/>
  <c r="DN488" i="18"/>
  <c r="DN487" i="18"/>
  <c r="DN486" i="18"/>
  <c r="DN485" i="18"/>
  <c r="DN484" i="18"/>
  <c r="DN483" i="18"/>
  <c r="DN482" i="18"/>
  <c r="DN481" i="18"/>
  <c r="DN480" i="18"/>
  <c r="DN479" i="18"/>
  <c r="DN478" i="18"/>
  <c r="DN477" i="18"/>
  <c r="DN476" i="18"/>
  <c r="DN475" i="18"/>
  <c r="DN474" i="18"/>
  <c r="DN473" i="18"/>
  <c r="DN472" i="18"/>
  <c r="DN471" i="18"/>
  <c r="DN470" i="18"/>
  <c r="DN469" i="18"/>
  <c r="DN468" i="18"/>
  <c r="DN467" i="18"/>
  <c r="DN466" i="18"/>
  <c r="DN465" i="18"/>
  <c r="DN464" i="18"/>
  <c r="DN463" i="18"/>
  <c r="DN462" i="18"/>
  <c r="DN461" i="18"/>
  <c r="DN460" i="18"/>
  <c r="DN459" i="18"/>
  <c r="DN458" i="18"/>
  <c r="DN457" i="18"/>
  <c r="DN456" i="18"/>
  <c r="DN455" i="18"/>
  <c r="DN454" i="18"/>
  <c r="DN453" i="18"/>
  <c r="DN452" i="18"/>
  <c r="DN451" i="18"/>
  <c r="DN450" i="18"/>
  <c r="DN449" i="18"/>
  <c r="DN448" i="18"/>
  <c r="DN447" i="18"/>
  <c r="DN446" i="18"/>
  <c r="DN445" i="18"/>
  <c r="DN444" i="18"/>
  <c r="DN443" i="18"/>
  <c r="DN442" i="18"/>
  <c r="DN441" i="18"/>
  <c r="DN440" i="18"/>
  <c r="DN439" i="18"/>
  <c r="DN438" i="18"/>
  <c r="DN437" i="18"/>
  <c r="DN436" i="18"/>
  <c r="DN435" i="18"/>
  <c r="DN434" i="18"/>
  <c r="DN433" i="18"/>
  <c r="DN432" i="18"/>
  <c r="DN431" i="18"/>
  <c r="DN430" i="18"/>
  <c r="DN429" i="18"/>
  <c r="DN428" i="18"/>
  <c r="DN427" i="18"/>
  <c r="DN426" i="18"/>
  <c r="DN425" i="18"/>
  <c r="DN424" i="18"/>
  <c r="DN423" i="18"/>
  <c r="DN422" i="18"/>
  <c r="DN421" i="18"/>
  <c r="DN420" i="18"/>
  <c r="DN419" i="18"/>
  <c r="DN418" i="18"/>
  <c r="DN417" i="18"/>
  <c r="DN416" i="18"/>
  <c r="DN415" i="18"/>
  <c r="DN414" i="18"/>
  <c r="DN413" i="18"/>
  <c r="DN412" i="18"/>
  <c r="DN411" i="18"/>
  <c r="DN410" i="18"/>
  <c r="DN409" i="18"/>
  <c r="DN408" i="18"/>
  <c r="DN407" i="18"/>
  <c r="DN406" i="18"/>
  <c r="DN405" i="18"/>
  <c r="DN404" i="18"/>
  <c r="DN403" i="18"/>
  <c r="DN402" i="18"/>
  <c r="DN401" i="18"/>
  <c r="DN400" i="18"/>
  <c r="DN399" i="18"/>
  <c r="DN398" i="18"/>
  <c r="DN397" i="18"/>
  <c r="DN396" i="18"/>
  <c r="DN395" i="18"/>
  <c r="DN394" i="18"/>
  <c r="DN393" i="18"/>
  <c r="DN392" i="18"/>
  <c r="DN391" i="18"/>
  <c r="DN390" i="18"/>
  <c r="DN389" i="18"/>
  <c r="DN388" i="18"/>
  <c r="DN387" i="18"/>
  <c r="DN386" i="18"/>
  <c r="DN385" i="18"/>
  <c r="DN384" i="18"/>
  <c r="DN383" i="18"/>
  <c r="DN382" i="18"/>
  <c r="DN381" i="18"/>
  <c r="DN380" i="18"/>
  <c r="DN379" i="18"/>
  <c r="DN378" i="18"/>
  <c r="DN377" i="18"/>
  <c r="DN376" i="18"/>
  <c r="DN375" i="18"/>
  <c r="DN374" i="18"/>
  <c r="DN373" i="18"/>
  <c r="DN372" i="18"/>
  <c r="DN371" i="18"/>
  <c r="DN370" i="18"/>
  <c r="DN369" i="18"/>
  <c r="DN368" i="18"/>
  <c r="DN367" i="18"/>
  <c r="DN366" i="18"/>
  <c r="DN365" i="18"/>
  <c r="DN364" i="18"/>
  <c r="DN363" i="18"/>
  <c r="DN362" i="18"/>
  <c r="DN361" i="18"/>
  <c r="DN360" i="18"/>
  <c r="DN359" i="18"/>
  <c r="DN358" i="18"/>
  <c r="DN357" i="18"/>
  <c r="DN356" i="18"/>
  <c r="DN355" i="18"/>
  <c r="DN354" i="18"/>
  <c r="DN353" i="18"/>
  <c r="DN352" i="18"/>
  <c r="DN351" i="18"/>
  <c r="DN350" i="18"/>
  <c r="DN349" i="18"/>
  <c r="DN348" i="18"/>
  <c r="DN347" i="18"/>
  <c r="DN346" i="18"/>
  <c r="DN345" i="18"/>
  <c r="DN344" i="18"/>
  <c r="DN343" i="18"/>
  <c r="DN342" i="18"/>
  <c r="DN341" i="18"/>
  <c r="DN340" i="18"/>
  <c r="DN339" i="18"/>
  <c r="DN338" i="18"/>
  <c r="DN337" i="18"/>
  <c r="DN336" i="18"/>
  <c r="DN335" i="18"/>
  <c r="DN334" i="18"/>
  <c r="DN333" i="18"/>
  <c r="DN332" i="18"/>
  <c r="DN331" i="18"/>
  <c r="DN330" i="18"/>
  <c r="DN329" i="18"/>
  <c r="DN328" i="18"/>
  <c r="DN327" i="18"/>
  <c r="DN326" i="18"/>
  <c r="DN325" i="18"/>
  <c r="DN324" i="18"/>
  <c r="DN323" i="18"/>
  <c r="DN322" i="18"/>
  <c r="DN321" i="18"/>
  <c r="DN320" i="18"/>
  <c r="DN319" i="18"/>
  <c r="DN318" i="18"/>
  <c r="DN317" i="18"/>
  <c r="DN316" i="18"/>
  <c r="DN315" i="18"/>
  <c r="DN314" i="18"/>
  <c r="DN313" i="18"/>
  <c r="DN312" i="18"/>
  <c r="DN311" i="18"/>
  <c r="DN310" i="18"/>
  <c r="DN309" i="18"/>
  <c r="DN308" i="18"/>
  <c r="DN307" i="18"/>
  <c r="DN306" i="18"/>
  <c r="DN305" i="18"/>
  <c r="DN304" i="18"/>
  <c r="DN303" i="18"/>
  <c r="DN302" i="18"/>
  <c r="DN301" i="18"/>
  <c r="DN300" i="18"/>
  <c r="DN299" i="18"/>
  <c r="DN298" i="18"/>
  <c r="DN297" i="18"/>
  <c r="DN296" i="18"/>
  <c r="DN295" i="18"/>
  <c r="DN294" i="18"/>
  <c r="DN293" i="18"/>
  <c r="DN292" i="18"/>
  <c r="DN291" i="18"/>
  <c r="DN290" i="18"/>
  <c r="DN289" i="18"/>
  <c r="DN288" i="18"/>
  <c r="DN287" i="18"/>
  <c r="DN286" i="18"/>
  <c r="DN285" i="18"/>
  <c r="DN284" i="18"/>
  <c r="DN283" i="18"/>
  <c r="DN282" i="18"/>
  <c r="DN281" i="18"/>
  <c r="DN280" i="18"/>
  <c r="DN279" i="18"/>
  <c r="DN278" i="18"/>
  <c r="DN277" i="18"/>
  <c r="DN276" i="18"/>
  <c r="DN275" i="18"/>
  <c r="DN274" i="18"/>
  <c r="DN273" i="18"/>
  <c r="DN272" i="18"/>
  <c r="DN271" i="18"/>
  <c r="DN270" i="18"/>
  <c r="DN269" i="18"/>
  <c r="DN268" i="18"/>
  <c r="DN267" i="18"/>
  <c r="DN266" i="18"/>
  <c r="DN265" i="18"/>
  <c r="DN264" i="18"/>
  <c r="DN263" i="18"/>
  <c r="DN262" i="18"/>
  <c r="DN261" i="18"/>
  <c r="DN260" i="18"/>
  <c r="DN259" i="18"/>
  <c r="DN258" i="18"/>
  <c r="DN257" i="18"/>
  <c r="DN256" i="18"/>
  <c r="DN255" i="18"/>
  <c r="DN254" i="18"/>
  <c r="DN253" i="18"/>
  <c r="DN252" i="18"/>
  <c r="DN251" i="18"/>
  <c r="DN250" i="18"/>
  <c r="DN249" i="18"/>
  <c r="DN248" i="18"/>
  <c r="DN247" i="18"/>
  <c r="DN246" i="18"/>
  <c r="DN245" i="18"/>
  <c r="DN244" i="18"/>
  <c r="DN243" i="18"/>
  <c r="DN242" i="18"/>
  <c r="DN241" i="18"/>
  <c r="DN240" i="18"/>
  <c r="DN239" i="18"/>
  <c r="DN238" i="18"/>
  <c r="DN237" i="18"/>
  <c r="DN236" i="18"/>
  <c r="DN235" i="18"/>
  <c r="DN234" i="18"/>
  <c r="DN233" i="18"/>
  <c r="DN232" i="18"/>
  <c r="DN231" i="18"/>
  <c r="DN230" i="18"/>
  <c r="DN229" i="18"/>
  <c r="DN228" i="18"/>
  <c r="DN227" i="18"/>
  <c r="DN226" i="18"/>
  <c r="DN225" i="18"/>
  <c r="DN224" i="18"/>
  <c r="DN223" i="18"/>
  <c r="DN222" i="18"/>
  <c r="DN221" i="18"/>
  <c r="DN220" i="18"/>
  <c r="DN219" i="18"/>
  <c r="DN218" i="18"/>
  <c r="DN217" i="18"/>
  <c r="DN216" i="18"/>
  <c r="DN215" i="18"/>
  <c r="DN214" i="18"/>
  <c r="DN213" i="18"/>
  <c r="DN212" i="18"/>
  <c r="DN211" i="18"/>
  <c r="DN210" i="18"/>
  <c r="DN209" i="18"/>
  <c r="DN208" i="18"/>
  <c r="DN207" i="18"/>
  <c r="DN206" i="18"/>
  <c r="DN205" i="18"/>
  <c r="DN204" i="18"/>
  <c r="DN203" i="18"/>
  <c r="DN202" i="18"/>
  <c r="DN201" i="18"/>
  <c r="DN200" i="18"/>
  <c r="DN199" i="18"/>
  <c r="DN198" i="18"/>
  <c r="DN197" i="18"/>
  <c r="DN196" i="18"/>
  <c r="DN195" i="18"/>
  <c r="DN194" i="18"/>
  <c r="DN193" i="18"/>
  <c r="DN192" i="18"/>
  <c r="DN191" i="18"/>
  <c r="DN190" i="18"/>
  <c r="DN189" i="18"/>
  <c r="DN188" i="18"/>
  <c r="DN187" i="18"/>
  <c r="DN186" i="18"/>
  <c r="DN185" i="18"/>
  <c r="DN184" i="18"/>
  <c r="DN183" i="18"/>
  <c r="DN182" i="18"/>
  <c r="DN181" i="18"/>
  <c r="DN180" i="18"/>
  <c r="DN179" i="18"/>
  <c r="DN178" i="18"/>
  <c r="DN177" i="18"/>
  <c r="DN176" i="18"/>
  <c r="DN175" i="18"/>
  <c r="DN174" i="18"/>
  <c r="DN173" i="18"/>
  <c r="DN172" i="18"/>
  <c r="DN171" i="18"/>
  <c r="DN170" i="18"/>
  <c r="DN169" i="18"/>
  <c r="DN168" i="18"/>
  <c r="DN167" i="18"/>
  <c r="DN166" i="18"/>
  <c r="DN165" i="18"/>
  <c r="DN164" i="18"/>
  <c r="DN163" i="18"/>
  <c r="DN162" i="18"/>
  <c r="DN161" i="18"/>
  <c r="DN160" i="18"/>
  <c r="DN159" i="18"/>
  <c r="DN158" i="18"/>
  <c r="DN157" i="18"/>
  <c r="DN156" i="18"/>
  <c r="DN155" i="18"/>
  <c r="DN154" i="18"/>
  <c r="DN153" i="18"/>
  <c r="DN152" i="18"/>
  <c r="DN151" i="18"/>
  <c r="DN150" i="18"/>
  <c r="DN149" i="18"/>
  <c r="DN148" i="18"/>
  <c r="DN147" i="18"/>
  <c r="DN146" i="18"/>
  <c r="DN145" i="18"/>
  <c r="DN144" i="18"/>
  <c r="DN143" i="18"/>
  <c r="DN142" i="18"/>
  <c r="DN141" i="18"/>
  <c r="DN140" i="18"/>
  <c r="DN139" i="18"/>
  <c r="DN138" i="18"/>
  <c r="DN137" i="18"/>
  <c r="DN136" i="18"/>
  <c r="DN135" i="18"/>
  <c r="DN134" i="18"/>
  <c r="DN133" i="18"/>
  <c r="DN132" i="18"/>
  <c r="DN131" i="18"/>
  <c r="DN130" i="18"/>
  <c r="DN129" i="18"/>
  <c r="DN128" i="18"/>
  <c r="DN127" i="18"/>
  <c r="DN126" i="18"/>
  <c r="DN125" i="18"/>
  <c r="DN124" i="18"/>
  <c r="DN123" i="18"/>
  <c r="DN122" i="18"/>
  <c r="DN121" i="18"/>
  <c r="DN120" i="18"/>
  <c r="DN119" i="18"/>
  <c r="DN118" i="18"/>
  <c r="DN117" i="18"/>
  <c r="DN116" i="18"/>
  <c r="DN115" i="18"/>
  <c r="DN114" i="18"/>
  <c r="DN113" i="18"/>
  <c r="DN112" i="18"/>
  <c r="DN111" i="18"/>
  <c r="DN110" i="18"/>
  <c r="DN109" i="18"/>
  <c r="DN108" i="18"/>
  <c r="DN107" i="18"/>
  <c r="DN106" i="18"/>
  <c r="DN105" i="18"/>
  <c r="DN104" i="18"/>
  <c r="DN103" i="18"/>
  <c r="DN102" i="18"/>
  <c r="DN101" i="18"/>
  <c r="DN100" i="18"/>
  <c r="DN99" i="18"/>
  <c r="DN98" i="18"/>
  <c r="DN97" i="18"/>
  <c r="DN96" i="18"/>
  <c r="DN95" i="18"/>
  <c r="DN94" i="18"/>
  <c r="DN93" i="18"/>
  <c r="DN92" i="18"/>
  <c r="DN91" i="18"/>
  <c r="DN90" i="18"/>
  <c r="DN89" i="18"/>
  <c r="DN88" i="18"/>
  <c r="DN87" i="18"/>
  <c r="DN86" i="18"/>
  <c r="DN85" i="18"/>
  <c r="DN84" i="18"/>
  <c r="DN83" i="18"/>
  <c r="DN82" i="18"/>
  <c r="DN81" i="18"/>
  <c r="DN80" i="18"/>
  <c r="DN79" i="18"/>
  <c r="DN78" i="18"/>
  <c r="DN77" i="18"/>
  <c r="DN76" i="18"/>
  <c r="DN75" i="18"/>
  <c r="DN74" i="18"/>
  <c r="DN73" i="18"/>
  <c r="DN72" i="18"/>
  <c r="DN71" i="18"/>
  <c r="DN70" i="18"/>
  <c r="DN69" i="18"/>
  <c r="DN68" i="18"/>
  <c r="DN67" i="18"/>
  <c r="DI5" i="18"/>
  <c r="DJ5" i="18" s="1"/>
  <c r="DK5" i="18" s="1"/>
  <c r="DL5" i="18" s="1"/>
  <c r="DM5" i="18" s="1"/>
  <c r="DN5" i="18" s="1"/>
  <c r="BE33" i="18"/>
  <c r="BF33" i="18" s="1"/>
  <c r="BG33" i="18" s="1"/>
  <c r="BH33" i="18" s="1"/>
  <c r="BI33" i="18" s="1"/>
  <c r="BJ33" i="18" s="1"/>
  <c r="P27" i="83"/>
  <c r="D27" i="83"/>
  <c r="AT6" i="18"/>
  <c r="AS6" i="18" s="1"/>
  <c r="AR6" i="18" s="1"/>
  <c r="H47" i="88"/>
  <c r="H24" i="88"/>
  <c r="H4" i="88"/>
  <c r="E30" i="20"/>
  <c r="G30" i="20"/>
  <c r="C21" i="2"/>
  <c r="B48" i="89" s="1"/>
  <c r="B21" i="89" s="1"/>
  <c r="CB23" i="18"/>
  <c r="CC23" i="18"/>
  <c r="CC22" i="18"/>
  <c r="CB22" i="18"/>
  <c r="BT11" i="18"/>
  <c r="BS11" i="18"/>
  <c r="BR11" i="18"/>
  <c r="BT10" i="18"/>
  <c r="BS10" i="18"/>
  <c r="BR10" i="18"/>
  <c r="BT9" i="18"/>
  <c r="BS9" i="18"/>
  <c r="BR9" i="18"/>
  <c r="BT8" i="18"/>
  <c r="BS8" i="18"/>
  <c r="BR8" i="18"/>
  <c r="BS7" i="18"/>
  <c r="BT7" i="18"/>
  <c r="BR7" i="18"/>
  <c r="BP11" i="18"/>
  <c r="BO11" i="18"/>
  <c r="BN11" i="18"/>
  <c r="BP10" i="18"/>
  <c r="BO10" i="18"/>
  <c r="BN10" i="18"/>
  <c r="BP9" i="18"/>
  <c r="BO9" i="18"/>
  <c r="BN9" i="18"/>
  <c r="BP8" i="18"/>
  <c r="BO8" i="18"/>
  <c r="BN8" i="18"/>
  <c r="BO7" i="18"/>
  <c r="BP7" i="18"/>
  <c r="BN7" i="18"/>
  <c r="P10" i="86"/>
  <c r="F30" i="20"/>
  <c r="K87" i="2"/>
  <c r="J106" i="38" s="1"/>
  <c r="D298" i="38" s="1"/>
  <c r="D299" i="38" s="1"/>
  <c r="D300" i="38" s="1"/>
  <c r="D301" i="38" s="1"/>
  <c r="D302" i="38" s="1"/>
  <c r="D303" i="38" s="1"/>
  <c r="K81" i="2"/>
  <c r="K70" i="2"/>
  <c r="K64" i="2"/>
  <c r="J83" i="89" s="1"/>
  <c r="D166" i="89" s="1"/>
  <c r="D167" i="89" s="1"/>
  <c r="D168" i="89" s="1"/>
  <c r="D169" i="89" s="1"/>
  <c r="D170" i="89" s="1"/>
  <c r="D171" i="89" s="1"/>
  <c r="BU45" i="76"/>
  <c r="D40" i="85"/>
  <c r="BA31" i="18"/>
  <c r="AP179" i="18" s="1"/>
  <c r="AQ179" i="18" s="1"/>
  <c r="P31" i="18"/>
  <c r="EB40" i="18"/>
  <c r="EB43" i="18"/>
  <c r="BU46" i="76"/>
  <c r="BU44" i="76"/>
  <c r="BU43" i="76"/>
  <c r="BE3" i="18"/>
  <c r="BF3" i="18" s="1"/>
  <c r="BG3" i="18" s="1"/>
  <c r="BH3" i="18" s="1"/>
  <c r="BI3" i="18" s="1"/>
  <c r="BJ3" i="18" s="1"/>
  <c r="BN28" i="76"/>
  <c r="BN41" i="76" s="1"/>
  <c r="AG28" i="76"/>
  <c r="AF28" i="76" s="1"/>
  <c r="AF41" i="76" s="1"/>
  <c r="BN68" i="76"/>
  <c r="BO68" i="76" s="1"/>
  <c r="BP68" i="76" s="1"/>
  <c r="BQ68" i="76" s="1"/>
  <c r="BR68" i="76" s="1"/>
  <c r="BG68" i="76"/>
  <c r="BH68" i="76" s="1"/>
  <c r="BI68" i="76" s="1"/>
  <c r="BJ68" i="76" s="1"/>
  <c r="BK68" i="76" s="1"/>
  <c r="BL68" i="76" s="1"/>
  <c r="BA68" i="76"/>
  <c r="BB68" i="76" s="1"/>
  <c r="BC68" i="76" s="1"/>
  <c r="BD68" i="76" s="1"/>
  <c r="BE68" i="76" s="1"/>
  <c r="BF68" i="76" s="1"/>
  <c r="AU68" i="76"/>
  <c r="AV68" i="76" s="1"/>
  <c r="AW68" i="76" s="1"/>
  <c r="AX68" i="76" s="1"/>
  <c r="AY68" i="76" s="1"/>
  <c r="AZ68" i="76" s="1"/>
  <c r="AO68" i="76"/>
  <c r="AP68" i="76" s="1"/>
  <c r="AQ68" i="76" s="1"/>
  <c r="AR68" i="76" s="1"/>
  <c r="AS68" i="76" s="1"/>
  <c r="AT68" i="76" s="1"/>
  <c r="AG68" i="76"/>
  <c r="AH68" i="76" s="1"/>
  <c r="AI68" i="76" s="1"/>
  <c r="AJ68" i="76" s="1"/>
  <c r="AK68" i="76" s="1"/>
  <c r="AL68" i="76" s="1"/>
  <c r="Z68" i="76"/>
  <c r="AA68" i="76" s="1"/>
  <c r="AB68" i="76" s="1"/>
  <c r="AC68" i="76" s="1"/>
  <c r="AD68" i="76" s="1"/>
  <c r="AE68" i="76" s="1"/>
  <c r="T68" i="76"/>
  <c r="U68" i="76" s="1"/>
  <c r="V68" i="76" s="1"/>
  <c r="W68" i="76" s="1"/>
  <c r="X68" i="76" s="1"/>
  <c r="Y68" i="76" s="1"/>
  <c r="N68" i="76"/>
  <c r="O68" i="76" s="1"/>
  <c r="P68" i="76" s="1"/>
  <c r="Q68" i="76" s="1"/>
  <c r="R68" i="76" s="1"/>
  <c r="S68" i="76" s="1"/>
  <c r="H68" i="76"/>
  <c r="I68" i="76" s="1"/>
  <c r="J68" i="76" s="1"/>
  <c r="K68" i="76" s="1"/>
  <c r="L68" i="76" s="1"/>
  <c r="M68" i="76" s="1"/>
  <c r="T52" i="76"/>
  <c r="S52" i="76" s="1"/>
  <c r="R52" i="76" s="1"/>
  <c r="Q52" i="76" s="1"/>
  <c r="P52" i="76" s="1"/>
  <c r="O52" i="76" s="1"/>
  <c r="N52" i="76" s="1"/>
  <c r="M52" i="76" s="1"/>
  <c r="L52" i="76" s="1"/>
  <c r="K52" i="76" s="1"/>
  <c r="J52" i="76" s="1"/>
  <c r="I52" i="76" s="1"/>
  <c r="H52" i="76" s="1"/>
  <c r="DB113" i="18"/>
  <c r="CZ113" i="18"/>
  <c r="DA113" i="18"/>
  <c r="CY113" i="18"/>
  <c r="CP113" i="18"/>
  <c r="CQ113" i="18"/>
  <c r="CR113" i="18"/>
  <c r="CX113" i="18"/>
  <c r="CO113" i="18"/>
  <c r="CW113" i="18"/>
  <c r="CN113" i="18"/>
  <c r="CV113" i="18"/>
  <c r="CU113" i="18"/>
  <c r="CL113" i="18"/>
  <c r="CT113" i="18"/>
  <c r="CK113" i="18"/>
  <c r="CR100" i="18"/>
  <c r="CR26" i="18" s="1"/>
  <c r="CQ100" i="18"/>
  <c r="CQ26" i="18" s="1"/>
  <c r="CP100" i="18"/>
  <c r="CO100" i="18"/>
  <c r="CO26" i="18" s="1"/>
  <c r="CO28" i="18"/>
  <c r="CN100" i="18"/>
  <c r="CN26" i="18" s="1"/>
  <c r="CM100" i="18"/>
  <c r="CL100" i="18"/>
  <c r="CJ100" i="18"/>
  <c r="CJ28" i="18"/>
  <c r="CZ84" i="18"/>
  <c r="CY84" i="18"/>
  <c r="CP84" i="18"/>
  <c r="CR84" i="18"/>
  <c r="CQ84" i="18"/>
  <c r="CX84" i="18"/>
  <c r="CO84" i="18"/>
  <c r="CW84" i="18"/>
  <c r="CN84" i="18"/>
  <c r="CU84" i="18"/>
  <c r="CL84" i="18"/>
  <c r="CT84" i="18"/>
  <c r="CK84" i="18"/>
  <c r="CJ84" i="18"/>
  <c r="CR71" i="18"/>
  <c r="CR22" i="18" s="1"/>
  <c r="CQ71" i="18"/>
  <c r="CP71" i="18"/>
  <c r="CP22" i="18" s="1"/>
  <c r="CO71" i="18"/>
  <c r="CN71" i="18"/>
  <c r="CN22" i="18" s="1"/>
  <c r="CM71" i="18"/>
  <c r="CL71" i="18"/>
  <c r="CK71" i="18"/>
  <c r="CK22" i="18" s="1"/>
  <c r="CJ71" i="18"/>
  <c r="CJ22" i="18" s="1"/>
  <c r="CV55" i="18"/>
  <c r="CZ55" i="18"/>
  <c r="CY55" i="18"/>
  <c r="CX55" i="18"/>
  <c r="CW55" i="18"/>
  <c r="DA55" i="18"/>
  <c r="DB55" i="18"/>
  <c r="CQ55" i="18"/>
  <c r="CM55" i="18"/>
  <c r="CP55" i="18"/>
  <c r="CO55" i="18"/>
  <c r="CN55" i="18"/>
  <c r="CR55" i="18"/>
  <c r="CL55" i="18"/>
  <c r="CK55" i="18"/>
  <c r="CJ55" i="18"/>
  <c r="CR42" i="18"/>
  <c r="CR18" i="18" s="1"/>
  <c r="CQ42" i="18"/>
  <c r="CP42" i="18"/>
  <c r="CO42" i="18"/>
  <c r="CN42" i="18"/>
  <c r="CN20" i="18"/>
  <c r="CM42" i="18"/>
  <c r="CL42" i="18"/>
  <c r="CL18" i="18" s="1"/>
  <c r="CK42" i="18"/>
  <c r="CK18" i="18" s="1"/>
  <c r="CJ42" i="18"/>
  <c r="I40" i="65"/>
  <c r="I39" i="65"/>
  <c r="I38" i="65"/>
  <c r="I37" i="65"/>
  <c r="I36" i="65"/>
  <c r="BQ31" i="18"/>
  <c r="BQ30" i="18" s="1"/>
  <c r="BQ26" i="18"/>
  <c r="BQ27" i="18" s="1"/>
  <c r="BL31" i="18"/>
  <c r="BM31" i="18"/>
  <c r="BN29" i="18"/>
  <c r="J7" i="86"/>
  <c r="A3" i="85"/>
  <c r="B84" i="85"/>
  <c r="J12" i="85"/>
  <c r="P65" i="18"/>
  <c r="O72" i="85"/>
  <c r="P72" i="85" s="1"/>
  <c r="Q72" i="85" s="1"/>
  <c r="R72" i="85" s="1"/>
  <c r="S72" i="85" s="1"/>
  <c r="T72" i="85" s="1"/>
  <c r="E72" i="85"/>
  <c r="F72" i="85" s="1"/>
  <c r="G72" i="85" s="1"/>
  <c r="H72" i="85" s="1"/>
  <c r="I72" i="85" s="1"/>
  <c r="J72" i="85" s="1"/>
  <c r="D8" i="85"/>
  <c r="A2" i="68"/>
  <c r="BD42" i="68"/>
  <c r="Q42" i="68"/>
  <c r="F42" i="68"/>
  <c r="L78" i="85"/>
  <c r="J32" i="20"/>
  <c r="I32" i="20"/>
  <c r="H32" i="20"/>
  <c r="G32" i="20"/>
  <c r="O31" i="20"/>
  <c r="N31" i="20"/>
  <c r="M31" i="20"/>
  <c r="L31" i="20"/>
  <c r="J31" i="20"/>
  <c r="I31" i="20"/>
  <c r="H31" i="20"/>
  <c r="G31" i="20"/>
  <c r="D31" i="20"/>
  <c r="H43" i="2"/>
  <c r="G69" i="17" s="1"/>
  <c r="H42" i="2"/>
  <c r="G68" i="14" s="1"/>
  <c r="G42" i="2"/>
  <c r="F42" i="2"/>
  <c r="E32" i="19" s="1"/>
  <c r="E42" i="2"/>
  <c r="D68" i="38" s="1"/>
  <c r="C40" i="2"/>
  <c r="B30" i="19" s="1"/>
  <c r="E39" i="2"/>
  <c r="D65" i="32" s="1"/>
  <c r="D39" i="2"/>
  <c r="C29" i="19" s="1"/>
  <c r="E30" i="2"/>
  <c r="D56" i="89" s="1"/>
  <c r="O44" i="20"/>
  <c r="K44" i="20"/>
  <c r="H47" i="20"/>
  <c r="U73" i="20"/>
  <c r="T73" i="20"/>
  <c r="F18" i="2"/>
  <c r="E9" i="19" s="1"/>
  <c r="R73" i="20"/>
  <c r="Q73" i="20"/>
  <c r="P73" i="20"/>
  <c r="O73" i="20"/>
  <c r="N73" i="20"/>
  <c r="M73" i="20"/>
  <c r="L73" i="20"/>
  <c r="J73" i="20"/>
  <c r="I73" i="20"/>
  <c r="H73" i="20"/>
  <c r="G73" i="20"/>
  <c r="F73" i="20"/>
  <c r="E73" i="20"/>
  <c r="D73" i="20"/>
  <c r="U72" i="20"/>
  <c r="G17" i="2"/>
  <c r="S72" i="20"/>
  <c r="E17" i="2"/>
  <c r="G38" i="12" s="1"/>
  <c r="D17" i="2"/>
  <c r="P72" i="20"/>
  <c r="O72" i="20"/>
  <c r="N72" i="20"/>
  <c r="M72" i="20"/>
  <c r="L72" i="20"/>
  <c r="K72" i="20"/>
  <c r="J72" i="20"/>
  <c r="I72" i="20"/>
  <c r="H72" i="20"/>
  <c r="G72" i="20"/>
  <c r="F72" i="20"/>
  <c r="E72" i="20"/>
  <c r="D72" i="20"/>
  <c r="J40" i="20"/>
  <c r="J41" i="20" s="1"/>
  <c r="DN7" i="18"/>
  <c r="T38" i="20"/>
  <c r="S38" i="20"/>
  <c r="S62" i="20" s="1"/>
  <c r="S140" i="20" s="1"/>
  <c r="DK7" i="18"/>
  <c r="DJ7" i="18"/>
  <c r="C16" i="2"/>
  <c r="B7" i="19" s="1"/>
  <c r="O38" i="20"/>
  <c r="N38" i="20"/>
  <c r="N60" i="20" s="1"/>
  <c r="N138" i="20" s="1"/>
  <c r="N158" i="20" s="1"/>
  <c r="K38" i="82" s="1"/>
  <c r="M38" i="20"/>
  <c r="L38" i="20"/>
  <c r="K38" i="20"/>
  <c r="K62" i="20" s="1"/>
  <c r="K140" i="20" s="1"/>
  <c r="K160" i="20" s="1"/>
  <c r="J38" i="20"/>
  <c r="H27" i="1"/>
  <c r="G27" i="1"/>
  <c r="F27" i="1"/>
  <c r="E27" i="1"/>
  <c r="D27" i="1"/>
  <c r="C27" i="1"/>
  <c r="H15" i="2"/>
  <c r="G6" i="19" s="1"/>
  <c r="T76" i="20"/>
  <c r="S76" i="20"/>
  <c r="E15" i="2"/>
  <c r="D6" i="19" s="1"/>
  <c r="D15" i="2"/>
  <c r="C6" i="19" s="1"/>
  <c r="C15" i="2"/>
  <c r="B6" i="19" s="1"/>
  <c r="O76" i="20"/>
  <c r="N76" i="20"/>
  <c r="L76" i="20"/>
  <c r="K76" i="20"/>
  <c r="J76" i="20"/>
  <c r="I76" i="20"/>
  <c r="H76" i="20"/>
  <c r="F76" i="20"/>
  <c r="D76" i="20"/>
  <c r="D39" i="20"/>
  <c r="U39" i="20"/>
  <c r="T39" i="20"/>
  <c r="S39" i="20"/>
  <c r="E14" i="2"/>
  <c r="D5" i="19" s="1"/>
  <c r="D14" i="2"/>
  <c r="C5" i="19" s="1"/>
  <c r="C14" i="2"/>
  <c r="B5" i="19" s="1"/>
  <c r="O39" i="20"/>
  <c r="N39" i="20"/>
  <c r="M39" i="20"/>
  <c r="L39" i="20"/>
  <c r="K39" i="20"/>
  <c r="J39" i="20"/>
  <c r="I39" i="20"/>
  <c r="H39" i="20"/>
  <c r="G39" i="20"/>
  <c r="F39" i="20"/>
  <c r="E39" i="20"/>
  <c r="A2" i="82"/>
  <c r="CT17" i="18"/>
  <c r="CK117" i="18"/>
  <c r="CL117" i="18" s="1"/>
  <c r="CM117" i="18" s="1"/>
  <c r="CN117" i="18" s="1"/>
  <c r="CO117" i="18" s="1"/>
  <c r="CP117" i="18" s="1"/>
  <c r="CQ117" i="18" s="1"/>
  <c r="CR117" i="18" s="1"/>
  <c r="CS117" i="18" s="1"/>
  <c r="CT117" i="18" s="1"/>
  <c r="CU117" i="18" s="1"/>
  <c r="CV117" i="18" s="1"/>
  <c r="CW117" i="18" s="1"/>
  <c r="CX117" i="18" s="1"/>
  <c r="CY117" i="18" s="1"/>
  <c r="CZ117" i="18" s="1"/>
  <c r="DA117" i="18" s="1"/>
  <c r="CZ120" i="18"/>
  <c r="CZ119" i="18"/>
  <c r="CT120" i="18"/>
  <c r="CT119" i="18"/>
  <c r="CN120" i="18"/>
  <c r="CN119" i="18"/>
  <c r="CK6" i="18"/>
  <c r="CH8" i="18"/>
  <c r="DP13" i="18"/>
  <c r="DU4" i="18"/>
  <c r="DT4" i="18" s="1"/>
  <c r="DS4" i="18" s="1"/>
  <c r="DR4" i="18" s="1"/>
  <c r="DQ4" i="18" s="1"/>
  <c r="DQ14" i="18"/>
  <c r="DQ15" i="18"/>
  <c r="DU21" i="18"/>
  <c r="BL36" i="18"/>
  <c r="BM36" i="18"/>
  <c r="BM26" i="18"/>
  <c r="BL26" i="18"/>
  <c r="BL21" i="18"/>
  <c r="BQ21" i="18"/>
  <c r="BQ20" i="18" s="1"/>
  <c r="BQ16" i="18"/>
  <c r="BQ17" i="18" s="1"/>
  <c r="BN34" i="18"/>
  <c r="BN24" i="18"/>
  <c r="BN19" i="18"/>
  <c r="U4" i="18"/>
  <c r="U106" i="18" s="1"/>
  <c r="AU4" i="18"/>
  <c r="AV4" i="18" s="1"/>
  <c r="AW4" i="18" s="1"/>
  <c r="AX4" i="18" s="1"/>
  <c r="AY4" i="18" s="1"/>
  <c r="AT78" i="18"/>
  <c r="AU78" i="18" s="1"/>
  <c r="AV78" i="18" s="1"/>
  <c r="AW78" i="18" s="1"/>
  <c r="AX78" i="18" s="1"/>
  <c r="AY78" i="18" s="1"/>
  <c r="BE6" i="18"/>
  <c r="BF6" i="18" s="1"/>
  <c r="BG6" i="18" s="1"/>
  <c r="BH6" i="18" s="1"/>
  <c r="BI6" i="18" s="1"/>
  <c r="BJ6" i="18" s="1"/>
  <c r="BV6" i="18"/>
  <c r="P7" i="18"/>
  <c r="CF7" i="18"/>
  <c r="CE7" i="18" s="1"/>
  <c r="CE11" i="18" s="1"/>
  <c r="P8" i="18"/>
  <c r="P9" i="18"/>
  <c r="BE9" i="18"/>
  <c r="BF9" i="18" s="1"/>
  <c r="BG9" i="18" s="1"/>
  <c r="BH9" i="18" s="1"/>
  <c r="BI9" i="18" s="1"/>
  <c r="BJ9" i="18" s="1"/>
  <c r="P10" i="18"/>
  <c r="CF10" i="18"/>
  <c r="P11" i="18"/>
  <c r="P12" i="18"/>
  <c r="BE12" i="18"/>
  <c r="BF12" i="18" s="1"/>
  <c r="BG12" i="18" s="1"/>
  <c r="BH12" i="18" s="1"/>
  <c r="BI12" i="18" s="1"/>
  <c r="BJ12" i="18" s="1"/>
  <c r="BN14" i="18"/>
  <c r="P115" i="18"/>
  <c r="H55" i="76"/>
  <c r="C48" i="2"/>
  <c r="D48" i="2" s="1"/>
  <c r="E48" i="2" s="1"/>
  <c r="F48" i="2" s="1"/>
  <c r="G48" i="2" s="1"/>
  <c r="H48" i="2" s="1"/>
  <c r="P18" i="18"/>
  <c r="P17" i="18"/>
  <c r="S35" i="65"/>
  <c r="K19" i="65"/>
  <c r="A70" i="76"/>
  <c r="A71" i="76" s="1"/>
  <c r="A72" i="76" s="1"/>
  <c r="A73" i="76" s="1"/>
  <c r="A74" i="76" s="1"/>
  <c r="A75" i="76" s="1"/>
  <c r="A76" i="76" s="1"/>
  <c r="A77" i="76" s="1"/>
  <c r="A78" i="76" s="1"/>
  <c r="A79" i="76" s="1"/>
  <c r="A80" i="76" s="1"/>
  <c r="A81" i="76" s="1"/>
  <c r="A82" i="76" s="1"/>
  <c r="A83" i="76" s="1"/>
  <c r="A84" i="76" s="1"/>
  <c r="A85" i="76" s="1"/>
  <c r="A86" i="76" s="1"/>
  <c r="A87" i="76" s="1"/>
  <c r="A88" i="76" s="1"/>
  <c r="A89" i="76" s="1"/>
  <c r="A90" i="76" s="1"/>
  <c r="A91" i="76" s="1"/>
  <c r="A92" i="76" s="1"/>
  <c r="A93" i="76" s="1"/>
  <c r="A94" i="76" s="1"/>
  <c r="A95" i="76" s="1"/>
  <c r="A96" i="76" s="1"/>
  <c r="A97" i="76" s="1"/>
  <c r="A98" i="76" s="1"/>
  <c r="A99" i="76" s="1"/>
  <c r="A100" i="76" s="1"/>
  <c r="A101" i="76" s="1"/>
  <c r="A102" i="76" s="1"/>
  <c r="A103" i="76" s="1"/>
  <c r="A104" i="76" s="1"/>
  <c r="A105" i="76" s="1"/>
  <c r="A106" i="76" s="1"/>
  <c r="A107" i="76" s="1"/>
  <c r="A108" i="76" s="1"/>
  <c r="A109" i="76" s="1"/>
  <c r="A110" i="76" s="1"/>
  <c r="A111" i="76" s="1"/>
  <c r="A112" i="76" s="1"/>
  <c r="A113" i="76" s="1"/>
  <c r="A114" i="76" s="1"/>
  <c r="A115" i="76" s="1"/>
  <c r="A116" i="76" s="1"/>
  <c r="A117" i="76" s="1"/>
  <c r="A118" i="76" s="1"/>
  <c r="A119" i="76" s="1"/>
  <c r="A120" i="76" s="1"/>
  <c r="A121" i="76" s="1"/>
  <c r="A122" i="76" s="1"/>
  <c r="A123" i="76" s="1"/>
  <c r="A124" i="76" s="1"/>
  <c r="A125" i="76" s="1"/>
  <c r="A126" i="76" s="1"/>
  <c r="A127" i="76" s="1"/>
  <c r="A128" i="76" s="1"/>
  <c r="A129" i="76" s="1"/>
  <c r="A130" i="76" s="1"/>
  <c r="A131" i="76" s="1"/>
  <c r="A132" i="76" s="1"/>
  <c r="A133" i="76" s="1"/>
  <c r="A134" i="76" s="1"/>
  <c r="A135" i="76" s="1"/>
  <c r="A136" i="76" s="1"/>
  <c r="A137" i="76" s="1"/>
  <c r="A138" i="76" s="1"/>
  <c r="A139" i="76" s="1"/>
  <c r="A140" i="76" s="1"/>
  <c r="A141" i="76" s="1"/>
  <c r="A142" i="76" s="1"/>
  <c r="A143" i="76" s="1"/>
  <c r="A144" i="76" s="1"/>
  <c r="A145" i="76" s="1"/>
  <c r="A146" i="76" s="1"/>
  <c r="A147" i="76" s="1"/>
  <c r="A148" i="76" s="1"/>
  <c r="A149" i="76" s="1"/>
  <c r="A150" i="76" s="1"/>
  <c r="A151" i="76" s="1"/>
  <c r="A152" i="76" s="1"/>
  <c r="A153" i="76" s="1"/>
  <c r="A154" i="76" s="1"/>
  <c r="A155" i="76" s="1"/>
  <c r="A156" i="76" s="1"/>
  <c r="A157" i="76" s="1"/>
  <c r="A158" i="76" s="1"/>
  <c r="A159" i="76" s="1"/>
  <c r="A160" i="76" s="1"/>
  <c r="A161" i="76" s="1"/>
  <c r="A162" i="76" s="1"/>
  <c r="A163" i="76" s="1"/>
  <c r="A164" i="76" s="1"/>
  <c r="A165" i="76" s="1"/>
  <c r="A166" i="76" s="1"/>
  <c r="A167" i="76" s="1"/>
  <c r="A168" i="76" s="1"/>
  <c r="A169" i="76" s="1"/>
  <c r="A170" i="76" s="1"/>
  <c r="A171" i="76" s="1"/>
  <c r="A172" i="76" s="1"/>
  <c r="A173" i="76" s="1"/>
  <c r="A174" i="76" s="1"/>
  <c r="A175" i="76" s="1"/>
  <c r="A176" i="76" s="1"/>
  <c r="A177" i="76" s="1"/>
  <c r="A178" i="76" s="1"/>
  <c r="A179" i="76" s="1"/>
  <c r="A180" i="76" s="1"/>
  <c r="A181" i="76" s="1"/>
  <c r="A182" i="76" s="1"/>
  <c r="A183" i="76" s="1"/>
  <c r="A184" i="76" s="1"/>
  <c r="A185" i="76" s="1"/>
  <c r="A186" i="76" s="1"/>
  <c r="A187" i="76" s="1"/>
  <c r="A188" i="76" s="1"/>
  <c r="A189" i="76" s="1"/>
  <c r="A190" i="76" s="1"/>
  <c r="A191" i="76" s="1"/>
  <c r="A192" i="76" s="1"/>
  <c r="A193" i="76" s="1"/>
  <c r="A194" i="76" s="1"/>
  <c r="A195" i="76" s="1"/>
  <c r="A196" i="76" s="1"/>
  <c r="A197" i="76" s="1"/>
  <c r="A198" i="76" s="1"/>
  <c r="A199" i="76" s="1"/>
  <c r="A200" i="76" s="1"/>
  <c r="A201" i="76" s="1"/>
  <c r="A202" i="76" s="1"/>
  <c r="A203" i="76" s="1"/>
  <c r="A204" i="76" s="1"/>
  <c r="A205" i="76" s="1"/>
  <c r="A206" i="76" s="1"/>
  <c r="A207" i="76" s="1"/>
  <c r="A208" i="76" s="1"/>
  <c r="A209" i="76" s="1"/>
  <c r="A210" i="76" s="1"/>
  <c r="A211" i="76" s="1"/>
  <c r="A212" i="76" s="1"/>
  <c r="A213" i="76" s="1"/>
  <c r="A214" i="76" s="1"/>
  <c r="A215" i="76" s="1"/>
  <c r="A216" i="76" s="1"/>
  <c r="A217" i="76" s="1"/>
  <c r="A218" i="76" s="1"/>
  <c r="A219" i="76" s="1"/>
  <c r="A220" i="76" s="1"/>
  <c r="A221" i="76" s="1"/>
  <c r="A222" i="76" s="1"/>
  <c r="A223" i="76" s="1"/>
  <c r="A224" i="76" s="1"/>
  <c r="A225" i="76" s="1"/>
  <c r="A226" i="76" s="1"/>
  <c r="A227" i="76" s="1"/>
  <c r="A228" i="76" s="1"/>
  <c r="A229" i="76" s="1"/>
  <c r="A230" i="76" s="1"/>
  <c r="A231" i="76" s="1"/>
  <c r="A232" i="76" s="1"/>
  <c r="A233" i="76" s="1"/>
  <c r="A234" i="76" s="1"/>
  <c r="A235" i="76" s="1"/>
  <c r="A236" i="76" s="1"/>
  <c r="A237" i="76" s="1"/>
  <c r="A238" i="76" s="1"/>
  <c r="A239" i="76" s="1"/>
  <c r="A240" i="76" s="1"/>
  <c r="A241" i="76" s="1"/>
  <c r="A242" i="76" s="1"/>
  <c r="A243" i="76" s="1"/>
  <c r="A244" i="76" s="1"/>
  <c r="A245" i="76" s="1"/>
  <c r="A246" i="76" s="1"/>
  <c r="A247" i="76" s="1"/>
  <c r="A248" i="76" s="1"/>
  <c r="A249" i="76" s="1"/>
  <c r="A250" i="76" s="1"/>
  <c r="A251" i="76" s="1"/>
  <c r="A252" i="76" s="1"/>
  <c r="A253" i="76" s="1"/>
  <c r="A254" i="76" s="1"/>
  <c r="A255" i="76" s="1"/>
  <c r="A256" i="76" s="1"/>
  <c r="A257" i="76" s="1"/>
  <c r="A258" i="76" s="1"/>
  <c r="A259" i="76" s="1"/>
  <c r="A260" i="76" s="1"/>
  <c r="A261" i="76" s="1"/>
  <c r="A262" i="76" s="1"/>
  <c r="A263" i="76" s="1"/>
  <c r="A264" i="76" s="1"/>
  <c r="A265" i="76" s="1"/>
  <c r="A266" i="76" s="1"/>
  <c r="A267" i="76" s="1"/>
  <c r="A268" i="76" s="1"/>
  <c r="A269" i="76" s="1"/>
  <c r="A270" i="76" s="1"/>
  <c r="A271" i="76" s="1"/>
  <c r="A272" i="76" s="1"/>
  <c r="A273" i="76" s="1"/>
  <c r="A274" i="76" s="1"/>
  <c r="A275" i="76" s="1"/>
  <c r="A276" i="76" s="1"/>
  <c r="A277" i="76" s="1"/>
  <c r="A278" i="76" s="1"/>
  <c r="A279" i="76" s="1"/>
  <c r="A280" i="76" s="1"/>
  <c r="A281" i="76" s="1"/>
  <c r="A282" i="76" s="1"/>
  <c r="A283" i="76" s="1"/>
  <c r="A284" i="76" s="1"/>
  <c r="A285" i="76" s="1"/>
  <c r="A286" i="76" s="1"/>
  <c r="A287" i="76" s="1"/>
  <c r="A288" i="76" s="1"/>
  <c r="A289" i="76" s="1"/>
  <c r="A290" i="76" s="1"/>
  <c r="A291" i="76" s="1"/>
  <c r="A292" i="76" s="1"/>
  <c r="A293" i="76" s="1"/>
  <c r="A294" i="76" s="1"/>
  <c r="A295" i="76" s="1"/>
  <c r="A296" i="76" s="1"/>
  <c r="A297" i="76" s="1"/>
  <c r="A298" i="76" s="1"/>
  <c r="A299" i="76" s="1"/>
  <c r="A300" i="76" s="1"/>
  <c r="A301" i="76" s="1"/>
  <c r="A302" i="76" s="1"/>
  <c r="A303" i="76" s="1"/>
  <c r="A304" i="76" s="1"/>
  <c r="A305" i="76" s="1"/>
  <c r="A306" i="76" s="1"/>
  <c r="A307" i="76" s="1"/>
  <c r="A308" i="76" s="1"/>
  <c r="A309" i="76" s="1"/>
  <c r="A310" i="76" s="1"/>
  <c r="A311" i="76" s="1"/>
  <c r="A312" i="76" s="1"/>
  <c r="A313" i="76" s="1"/>
  <c r="A314" i="76" s="1"/>
  <c r="A315" i="76" s="1"/>
  <c r="A316" i="76" s="1"/>
  <c r="A317" i="76" s="1"/>
  <c r="A318" i="76" s="1"/>
  <c r="A319" i="76" s="1"/>
  <c r="A320" i="76" s="1"/>
  <c r="A321" i="76" s="1"/>
  <c r="A322" i="76" s="1"/>
  <c r="A323" i="76" s="1"/>
  <c r="A324" i="76" s="1"/>
  <c r="A325" i="76" s="1"/>
  <c r="A326" i="76" s="1"/>
  <c r="A327" i="76" s="1"/>
  <c r="A328" i="76" s="1"/>
  <c r="A329" i="76" s="1"/>
  <c r="A330" i="76" s="1"/>
  <c r="A331" i="76" s="1"/>
  <c r="A332" i="76" s="1"/>
  <c r="A333" i="76" s="1"/>
  <c r="A334" i="76" s="1"/>
  <c r="A335" i="76" s="1"/>
  <c r="A336" i="76" s="1"/>
  <c r="A337" i="76" s="1"/>
  <c r="A338" i="76" s="1"/>
  <c r="A339" i="76" s="1"/>
  <c r="A340" i="76" s="1"/>
  <c r="A341" i="76" s="1"/>
  <c r="A342" i="76" s="1"/>
  <c r="A343" i="76" s="1"/>
  <c r="A344" i="76" s="1"/>
  <c r="A345" i="76" s="1"/>
  <c r="A346" i="76" s="1"/>
  <c r="A347" i="76" s="1"/>
  <c r="A348" i="76" s="1"/>
  <c r="A349" i="76" s="1"/>
  <c r="A350" i="76" s="1"/>
  <c r="A351" i="76" s="1"/>
  <c r="A352" i="76" s="1"/>
  <c r="A353" i="76" s="1"/>
  <c r="A354" i="76" s="1"/>
  <c r="A355" i="76" s="1"/>
  <c r="A356" i="76" s="1"/>
  <c r="A357" i="76" s="1"/>
  <c r="A358" i="76" s="1"/>
  <c r="A359" i="76" s="1"/>
  <c r="A360" i="76" s="1"/>
  <c r="A361" i="76" s="1"/>
  <c r="A362" i="76" s="1"/>
  <c r="A363" i="76" s="1"/>
  <c r="A364" i="76" s="1"/>
  <c r="A365" i="76" s="1"/>
  <c r="A366" i="76" s="1"/>
  <c r="A367" i="76" s="1"/>
  <c r="A368" i="76" s="1"/>
  <c r="A369" i="76" s="1"/>
  <c r="A370" i="76" s="1"/>
  <c r="A371" i="76" s="1"/>
  <c r="A372" i="76" s="1"/>
  <c r="A373" i="76" s="1"/>
  <c r="A374" i="76" s="1"/>
  <c r="A375" i="76" s="1"/>
  <c r="A376" i="76" s="1"/>
  <c r="A377" i="76" s="1"/>
  <c r="A378" i="76" s="1"/>
  <c r="A379" i="76" s="1"/>
  <c r="A380" i="76" s="1"/>
  <c r="A381" i="76" s="1"/>
  <c r="A382" i="76" s="1"/>
  <c r="A383" i="76" s="1"/>
  <c r="A384" i="76" s="1"/>
  <c r="A385" i="76" s="1"/>
  <c r="A386" i="76" s="1"/>
  <c r="A387" i="76" s="1"/>
  <c r="A388" i="76" s="1"/>
  <c r="A389" i="76" s="1"/>
  <c r="A390" i="76" s="1"/>
  <c r="A391" i="76" s="1"/>
  <c r="A392" i="76" s="1"/>
  <c r="A393" i="76" s="1"/>
  <c r="A394" i="76" s="1"/>
  <c r="A395" i="76" s="1"/>
  <c r="A396" i="76" s="1"/>
  <c r="A397" i="76" s="1"/>
  <c r="A398" i="76" s="1"/>
  <c r="A399" i="76" s="1"/>
  <c r="A400" i="76" s="1"/>
  <c r="A401" i="76" s="1"/>
  <c r="A402" i="76" s="1"/>
  <c r="A403" i="76" s="1"/>
  <c r="A404" i="76" s="1"/>
  <c r="A405" i="76" s="1"/>
  <c r="A406" i="76" s="1"/>
  <c r="A407" i="76" s="1"/>
  <c r="A408" i="76" s="1"/>
  <c r="A409" i="76" s="1"/>
  <c r="A410" i="76" s="1"/>
  <c r="A411" i="76" s="1"/>
  <c r="A412" i="76" s="1"/>
  <c r="A413" i="76" s="1"/>
  <c r="A414" i="76" s="1"/>
  <c r="A415" i="76" s="1"/>
  <c r="A416" i="76" s="1"/>
  <c r="A417" i="76" s="1"/>
  <c r="A418" i="76" s="1"/>
  <c r="A419" i="76" s="1"/>
  <c r="A420" i="76" s="1"/>
  <c r="A421" i="76" s="1"/>
  <c r="A422" i="76" s="1"/>
  <c r="A423" i="76" s="1"/>
  <c r="A424" i="76" s="1"/>
  <c r="A425" i="76" s="1"/>
  <c r="A426" i="76" s="1"/>
  <c r="A427" i="76" s="1"/>
  <c r="A428" i="76" s="1"/>
  <c r="A429" i="76" s="1"/>
  <c r="A430" i="76" s="1"/>
  <c r="A431" i="76" s="1"/>
  <c r="A432" i="76" s="1"/>
  <c r="A433" i="76" s="1"/>
  <c r="A434" i="76" s="1"/>
  <c r="A435" i="76" s="1"/>
  <c r="A436" i="76" s="1"/>
  <c r="A437" i="76" s="1"/>
  <c r="A438" i="76" s="1"/>
  <c r="A439" i="76" s="1"/>
  <c r="A440" i="76" s="1"/>
  <c r="A441" i="76" s="1"/>
  <c r="A442" i="76" s="1"/>
  <c r="A443" i="76" s="1"/>
  <c r="A444" i="76" s="1"/>
  <c r="A445" i="76" s="1"/>
  <c r="A446" i="76" s="1"/>
  <c r="A447" i="76" s="1"/>
  <c r="A448" i="76" s="1"/>
  <c r="A449" i="76" s="1"/>
  <c r="A450" i="76" s="1"/>
  <c r="A451" i="76" s="1"/>
  <c r="A452" i="76" s="1"/>
  <c r="A453" i="76" s="1"/>
  <c r="A454" i="76" s="1"/>
  <c r="A455" i="76" s="1"/>
  <c r="A456" i="76" s="1"/>
  <c r="A457" i="76" s="1"/>
  <c r="A458" i="76" s="1"/>
  <c r="A459" i="76" s="1"/>
  <c r="A460" i="76" s="1"/>
  <c r="A461" i="76" s="1"/>
  <c r="A462" i="76" s="1"/>
  <c r="A463" i="76" s="1"/>
  <c r="A464" i="76" s="1"/>
  <c r="A465" i="76" s="1"/>
  <c r="A466" i="76" s="1"/>
  <c r="A467" i="76" s="1"/>
  <c r="A468" i="76" s="1"/>
  <c r="A469" i="76" s="1"/>
  <c r="A470" i="76" s="1"/>
  <c r="A471" i="76" s="1"/>
  <c r="A472" i="76" s="1"/>
  <c r="A473" i="76" s="1"/>
  <c r="A474" i="76" s="1"/>
  <c r="A475" i="76" s="1"/>
  <c r="A476" i="76" s="1"/>
  <c r="A477" i="76" s="1"/>
  <c r="A478" i="76" s="1"/>
  <c r="A479" i="76" s="1"/>
  <c r="A480" i="76" s="1"/>
  <c r="A481" i="76" s="1"/>
  <c r="A482" i="76" s="1"/>
  <c r="A483" i="76" s="1"/>
  <c r="A484" i="76" s="1"/>
  <c r="A485" i="76" s="1"/>
  <c r="A486" i="76" s="1"/>
  <c r="A487" i="76" s="1"/>
  <c r="A488" i="76" s="1"/>
  <c r="A489" i="76" s="1"/>
  <c r="A490" i="76" s="1"/>
  <c r="A491" i="76" s="1"/>
  <c r="A492" i="76" s="1"/>
  <c r="A493" i="76" s="1"/>
  <c r="A494" i="76" s="1"/>
  <c r="A495" i="76" s="1"/>
  <c r="A496" i="76" s="1"/>
  <c r="A497" i="76" s="1"/>
  <c r="A498" i="76" s="1"/>
  <c r="A499" i="76" s="1"/>
  <c r="A500" i="76" s="1"/>
  <c r="A501" i="76" s="1"/>
  <c r="A502" i="76" s="1"/>
  <c r="A503" i="76" s="1"/>
  <c r="A504" i="76" s="1"/>
  <c r="A505" i="76" s="1"/>
  <c r="A506" i="76" s="1"/>
  <c r="A507" i="76" s="1"/>
  <c r="A508" i="76" s="1"/>
  <c r="A509" i="76" s="1"/>
  <c r="A510" i="76" s="1"/>
  <c r="A511" i="76" s="1"/>
  <c r="A512" i="76" s="1"/>
  <c r="A513" i="76" s="1"/>
  <c r="A514" i="76" s="1"/>
  <c r="A515" i="76" s="1"/>
  <c r="A516" i="76" s="1"/>
  <c r="A517" i="76" s="1"/>
  <c r="A518" i="76" s="1"/>
  <c r="A519" i="76" s="1"/>
  <c r="A520" i="76" s="1"/>
  <c r="A521" i="76" s="1"/>
  <c r="A522" i="76" s="1"/>
  <c r="A523" i="76" s="1"/>
  <c r="A524" i="76" s="1"/>
  <c r="A525" i="76" s="1"/>
  <c r="A526" i="76" s="1"/>
  <c r="A527" i="76" s="1"/>
  <c r="A528" i="76" s="1"/>
  <c r="A529" i="76" s="1"/>
  <c r="A530" i="76" s="1"/>
  <c r="A531" i="76" s="1"/>
  <c r="A532" i="76" s="1"/>
  <c r="A533" i="76" s="1"/>
  <c r="A534" i="76" s="1"/>
  <c r="A535" i="76" s="1"/>
  <c r="A536" i="76" s="1"/>
  <c r="A537" i="76" s="1"/>
  <c r="A538" i="76" s="1"/>
  <c r="A539" i="76" s="1"/>
  <c r="A540" i="76" s="1"/>
  <c r="A541" i="76" s="1"/>
  <c r="A542" i="76" s="1"/>
  <c r="A543" i="76" s="1"/>
  <c r="A544" i="76" s="1"/>
  <c r="A545" i="76" s="1"/>
  <c r="A546" i="76" s="1"/>
  <c r="A547" i="76" s="1"/>
  <c r="A548" i="76" s="1"/>
  <c r="A549" i="76" s="1"/>
  <c r="A550" i="76" s="1"/>
  <c r="A551" i="76" s="1"/>
  <c r="A552" i="76" s="1"/>
  <c r="A553" i="76" s="1"/>
  <c r="A554" i="76" s="1"/>
  <c r="A555" i="76" s="1"/>
  <c r="A556" i="76" s="1"/>
  <c r="A557" i="76" s="1"/>
  <c r="A558" i="76" s="1"/>
  <c r="A559" i="76" s="1"/>
  <c r="A560" i="76" s="1"/>
  <c r="A561" i="76" s="1"/>
  <c r="A562" i="76" s="1"/>
  <c r="A563" i="76" s="1"/>
  <c r="A564" i="76" s="1"/>
  <c r="A565" i="76" s="1"/>
  <c r="A566" i="76" s="1"/>
  <c r="A567" i="76" s="1"/>
  <c r="A568" i="76" s="1"/>
  <c r="A569" i="76" s="1"/>
  <c r="A570" i="76" s="1"/>
  <c r="A571" i="76" s="1"/>
  <c r="A572" i="76" s="1"/>
  <c r="A573" i="76" s="1"/>
  <c r="A574" i="76" s="1"/>
  <c r="A575" i="76" s="1"/>
  <c r="A576" i="76" s="1"/>
  <c r="A577" i="76" s="1"/>
  <c r="A578" i="76" s="1"/>
  <c r="A579" i="76" s="1"/>
  <c r="A580" i="76" s="1"/>
  <c r="A581" i="76" s="1"/>
  <c r="A582" i="76" s="1"/>
  <c r="A583" i="76" s="1"/>
  <c r="A584" i="76" s="1"/>
  <c r="A585" i="76" s="1"/>
  <c r="A586" i="76" s="1"/>
  <c r="A587" i="76" s="1"/>
  <c r="A588" i="76" s="1"/>
  <c r="A589" i="76" s="1"/>
  <c r="A590" i="76" s="1"/>
  <c r="A591" i="76" s="1"/>
  <c r="A592" i="76" s="1"/>
  <c r="A593" i="76" s="1"/>
  <c r="A594" i="76" s="1"/>
  <c r="A595" i="76" s="1"/>
  <c r="A596" i="76" s="1"/>
  <c r="A597" i="76" s="1"/>
  <c r="A598" i="76" s="1"/>
  <c r="A599" i="76" s="1"/>
  <c r="A600" i="76" s="1"/>
  <c r="A601" i="76" s="1"/>
  <c r="A602" i="76" s="1"/>
  <c r="A603" i="76" s="1"/>
  <c r="A604" i="76" s="1"/>
  <c r="A605" i="76" s="1"/>
  <c r="A606" i="76" s="1"/>
  <c r="A607" i="76" s="1"/>
  <c r="A608" i="76" s="1"/>
  <c r="A609" i="76" s="1"/>
  <c r="A610" i="76" s="1"/>
  <c r="A611" i="76" s="1"/>
  <c r="A612" i="76" s="1"/>
  <c r="A613" i="76" s="1"/>
  <c r="A614" i="76" s="1"/>
  <c r="A615" i="76" s="1"/>
  <c r="A616" i="76" s="1"/>
  <c r="A617" i="76" s="1"/>
  <c r="A618" i="76" s="1"/>
  <c r="A619" i="76" s="1"/>
  <c r="A620" i="76" s="1"/>
  <c r="A621" i="76" s="1"/>
  <c r="A622" i="76" s="1"/>
  <c r="A623" i="76" s="1"/>
  <c r="A624" i="76" s="1"/>
  <c r="A625" i="76" s="1"/>
  <c r="A626" i="76" s="1"/>
  <c r="A627" i="76" s="1"/>
  <c r="A628" i="76" s="1"/>
  <c r="A629" i="76" s="1"/>
  <c r="A630" i="76" s="1"/>
  <c r="A631" i="76" s="1"/>
  <c r="A632" i="76" s="1"/>
  <c r="A633" i="76" s="1"/>
  <c r="A634" i="76" s="1"/>
  <c r="A635" i="76" s="1"/>
  <c r="A636" i="76" s="1"/>
  <c r="A637" i="76" s="1"/>
  <c r="A638" i="76" s="1"/>
  <c r="A639" i="76" s="1"/>
  <c r="A640" i="76" s="1"/>
  <c r="A641" i="76" s="1"/>
  <c r="A642" i="76" s="1"/>
  <c r="A643" i="76" s="1"/>
  <c r="A644" i="76" s="1"/>
  <c r="A645" i="76" s="1"/>
  <c r="A646" i="76" s="1"/>
  <c r="A647" i="76" s="1"/>
  <c r="A648" i="76" s="1"/>
  <c r="A649" i="76" s="1"/>
  <c r="A650" i="76" s="1"/>
  <c r="A651" i="76" s="1"/>
  <c r="A652" i="76" s="1"/>
  <c r="A653" i="76" s="1"/>
  <c r="A654" i="76" s="1"/>
  <c r="A655" i="76" s="1"/>
  <c r="A656" i="76" s="1"/>
  <c r="A657" i="76" s="1"/>
  <c r="A658" i="76" s="1"/>
  <c r="A659" i="76" s="1"/>
  <c r="A660" i="76" s="1"/>
  <c r="A661" i="76" s="1"/>
  <c r="A662" i="76" s="1"/>
  <c r="A663" i="76" s="1"/>
  <c r="A664" i="76" s="1"/>
  <c r="A665" i="76" s="1"/>
  <c r="A666" i="76" s="1"/>
  <c r="A667" i="76" s="1"/>
  <c r="A668" i="76" s="1"/>
  <c r="A669" i="76" s="1"/>
  <c r="A670" i="76" s="1"/>
  <c r="A671" i="76" s="1"/>
  <c r="A672" i="76" s="1"/>
  <c r="A673" i="76" s="1"/>
  <c r="A674" i="76" s="1"/>
  <c r="A675" i="76" s="1"/>
  <c r="A676" i="76" s="1"/>
  <c r="A677" i="76" s="1"/>
  <c r="A678" i="76" s="1"/>
  <c r="A679" i="76" s="1"/>
  <c r="A680" i="76" s="1"/>
  <c r="A681" i="76" s="1"/>
  <c r="A682" i="76" s="1"/>
  <c r="A683" i="76" s="1"/>
  <c r="A684" i="76" s="1"/>
  <c r="A685" i="76" s="1"/>
  <c r="A686" i="76" s="1"/>
  <c r="A687" i="76" s="1"/>
  <c r="A688" i="76" s="1"/>
  <c r="A689" i="76" s="1"/>
  <c r="A690" i="76" s="1"/>
  <c r="A691" i="76" s="1"/>
  <c r="A692" i="76" s="1"/>
  <c r="A693" i="76" s="1"/>
  <c r="A694" i="76" s="1"/>
  <c r="A695" i="76" s="1"/>
  <c r="A696" i="76" s="1"/>
  <c r="A697" i="76" s="1"/>
  <c r="A698" i="76" s="1"/>
  <c r="A699" i="76" s="1"/>
  <c r="A700" i="76" s="1"/>
  <c r="A701" i="76" s="1"/>
  <c r="A702" i="76" s="1"/>
  <c r="A703" i="76" s="1"/>
  <c r="A704" i="76" s="1"/>
  <c r="A705" i="76" s="1"/>
  <c r="A706" i="76" s="1"/>
  <c r="A707" i="76" s="1"/>
  <c r="A708" i="76" s="1"/>
  <c r="A709" i="76" s="1"/>
  <c r="A710" i="76" s="1"/>
  <c r="A711" i="76" s="1"/>
  <c r="A712" i="76" s="1"/>
  <c r="A713" i="76" s="1"/>
  <c r="A714" i="76" s="1"/>
  <c r="A715" i="76" s="1"/>
  <c r="A716" i="76" s="1"/>
  <c r="A717" i="76" s="1"/>
  <c r="A718" i="76" s="1"/>
  <c r="A719" i="76" s="1"/>
  <c r="A720" i="76" s="1"/>
  <c r="A721" i="76" s="1"/>
  <c r="A722" i="76" s="1"/>
  <c r="A723" i="76" s="1"/>
  <c r="A724" i="76" s="1"/>
  <c r="A725" i="76" s="1"/>
  <c r="A726" i="76" s="1"/>
  <c r="A727" i="76" s="1"/>
  <c r="A728" i="76" s="1"/>
  <c r="A729" i="76" s="1"/>
  <c r="A730" i="76" s="1"/>
  <c r="A731" i="76" s="1"/>
  <c r="A732" i="76" s="1"/>
  <c r="A733" i="76" s="1"/>
  <c r="A734" i="76" s="1"/>
  <c r="A735" i="76" s="1"/>
  <c r="A736" i="76" s="1"/>
  <c r="A737" i="76" s="1"/>
  <c r="A738" i="76" s="1"/>
  <c r="A739" i="76" s="1"/>
  <c r="A740" i="76" s="1"/>
  <c r="A741" i="76" s="1"/>
  <c r="A742" i="76" s="1"/>
  <c r="A743" i="76" s="1"/>
  <c r="A744" i="76" s="1"/>
  <c r="A745" i="76" s="1"/>
  <c r="A746" i="76" s="1"/>
  <c r="A747" i="76" s="1"/>
  <c r="A748" i="76" s="1"/>
  <c r="A749" i="76" s="1"/>
  <c r="A750" i="76" s="1"/>
  <c r="A751" i="76" s="1"/>
  <c r="A752" i="76" s="1"/>
  <c r="A753" i="76" s="1"/>
  <c r="A754" i="76" s="1"/>
  <c r="A755" i="76" s="1"/>
  <c r="A756" i="76" s="1"/>
  <c r="A757" i="76" s="1"/>
  <c r="A758" i="76" s="1"/>
  <c r="A759" i="76" s="1"/>
  <c r="A760" i="76" s="1"/>
  <c r="A761" i="76" s="1"/>
  <c r="A762" i="76" s="1"/>
  <c r="A763" i="76" s="1"/>
  <c r="A764" i="76" s="1"/>
  <c r="A765" i="76" s="1"/>
  <c r="A766" i="76" s="1"/>
  <c r="A767" i="76" s="1"/>
  <c r="A768" i="76" s="1"/>
  <c r="A769" i="76" s="1"/>
  <c r="A770" i="76" s="1"/>
  <c r="A771" i="76" s="1"/>
  <c r="A772" i="76" s="1"/>
  <c r="A773" i="76" s="1"/>
  <c r="A774" i="76" s="1"/>
  <c r="A775" i="76" s="1"/>
  <c r="A776" i="76" s="1"/>
  <c r="A777" i="76" s="1"/>
  <c r="A778" i="76" s="1"/>
  <c r="A779" i="76" s="1"/>
  <c r="A780" i="76" s="1"/>
  <c r="A781" i="76" s="1"/>
  <c r="A782" i="76" s="1"/>
  <c r="A783" i="76" s="1"/>
  <c r="A784" i="76" s="1"/>
  <c r="A785" i="76" s="1"/>
  <c r="A786" i="76" s="1"/>
  <c r="A787" i="76" s="1"/>
  <c r="A788" i="76" s="1"/>
  <c r="A789" i="76" s="1"/>
  <c r="A790" i="76" s="1"/>
  <c r="A791" i="76" s="1"/>
  <c r="A792" i="76" s="1"/>
  <c r="A793" i="76" s="1"/>
  <c r="A794" i="76" s="1"/>
  <c r="A795" i="76" s="1"/>
  <c r="A796" i="76" s="1"/>
  <c r="A797" i="76" s="1"/>
  <c r="A798" i="76" s="1"/>
  <c r="A799" i="76" s="1"/>
  <c r="A800" i="76" s="1"/>
  <c r="A801" i="76" s="1"/>
  <c r="A802" i="76" s="1"/>
  <c r="A803" i="76" s="1"/>
  <c r="A804" i="76" s="1"/>
  <c r="A805" i="76" s="1"/>
  <c r="A806" i="76" s="1"/>
  <c r="A807" i="76" s="1"/>
  <c r="A808" i="76" s="1"/>
  <c r="A809" i="76" s="1"/>
  <c r="A810" i="76" s="1"/>
  <c r="A811" i="76" s="1"/>
  <c r="A812" i="76" s="1"/>
  <c r="A813" i="76" s="1"/>
  <c r="A814" i="76" s="1"/>
  <c r="A815" i="76" s="1"/>
  <c r="A816" i="76" s="1"/>
  <c r="A817" i="76" s="1"/>
  <c r="A818" i="76" s="1"/>
  <c r="A819" i="76" s="1"/>
  <c r="A820" i="76" s="1"/>
  <c r="A821" i="76" s="1"/>
  <c r="A822" i="76" s="1"/>
  <c r="A823" i="76" s="1"/>
  <c r="A824" i="76" s="1"/>
  <c r="A825" i="76" s="1"/>
  <c r="A826" i="76" s="1"/>
  <c r="A827" i="76" s="1"/>
  <c r="A828" i="76" s="1"/>
  <c r="A829" i="76" s="1"/>
  <c r="A830" i="76" s="1"/>
  <c r="A831" i="76" s="1"/>
  <c r="A832" i="76" s="1"/>
  <c r="A833" i="76" s="1"/>
  <c r="A834" i="76" s="1"/>
  <c r="A835" i="76" s="1"/>
  <c r="A836" i="76" s="1"/>
  <c r="A837" i="76" s="1"/>
  <c r="A838" i="76" s="1"/>
  <c r="A839" i="76" s="1"/>
  <c r="A840" i="76" s="1"/>
  <c r="A841" i="76" s="1"/>
  <c r="A842" i="76" s="1"/>
  <c r="A843" i="76" s="1"/>
  <c r="A844" i="76" s="1"/>
  <c r="A845" i="76" s="1"/>
  <c r="A846" i="76" s="1"/>
  <c r="A847" i="76" s="1"/>
  <c r="A848" i="76" s="1"/>
  <c r="A849" i="76" s="1"/>
  <c r="A850" i="76" s="1"/>
  <c r="A851" i="76" s="1"/>
  <c r="A852" i="76" s="1"/>
  <c r="A853" i="76" s="1"/>
  <c r="A854" i="76" s="1"/>
  <c r="A855" i="76" s="1"/>
  <c r="A856" i="76" s="1"/>
  <c r="A857" i="76" s="1"/>
  <c r="A858" i="76" s="1"/>
  <c r="A859" i="76" s="1"/>
  <c r="A860" i="76" s="1"/>
  <c r="A861" i="76" s="1"/>
  <c r="A862" i="76" s="1"/>
  <c r="A863" i="76" s="1"/>
  <c r="A864" i="76" s="1"/>
  <c r="A865" i="76" s="1"/>
  <c r="A866" i="76" s="1"/>
  <c r="A867" i="76" s="1"/>
  <c r="A868" i="76" s="1"/>
  <c r="A869" i="76" s="1"/>
  <c r="A870" i="76" s="1"/>
  <c r="A871" i="76" s="1"/>
  <c r="A872" i="76" s="1"/>
  <c r="A873" i="76" s="1"/>
  <c r="A874" i="76" s="1"/>
  <c r="A875" i="76" s="1"/>
  <c r="A876" i="76" s="1"/>
  <c r="A877" i="76" s="1"/>
  <c r="A878" i="76" s="1"/>
  <c r="A879" i="76" s="1"/>
  <c r="A880" i="76" s="1"/>
  <c r="A881" i="76" s="1"/>
  <c r="A882" i="76" s="1"/>
  <c r="A883" i="76" s="1"/>
  <c r="A884" i="76" s="1"/>
  <c r="A885" i="76" s="1"/>
  <c r="A886" i="76" s="1"/>
  <c r="A887" i="76" s="1"/>
  <c r="A888" i="76" s="1"/>
  <c r="A889" i="76" s="1"/>
  <c r="A890" i="76" s="1"/>
  <c r="A891" i="76" s="1"/>
  <c r="A892" i="76" s="1"/>
  <c r="A893" i="76" s="1"/>
  <c r="A894" i="76" s="1"/>
  <c r="A895" i="76" s="1"/>
  <c r="A896" i="76" s="1"/>
  <c r="A897" i="76" s="1"/>
  <c r="A898" i="76" s="1"/>
  <c r="A899" i="76" s="1"/>
  <c r="A900" i="76" s="1"/>
  <c r="A901" i="76" s="1"/>
  <c r="A902" i="76" s="1"/>
  <c r="A903" i="76" s="1"/>
  <c r="A904" i="76" s="1"/>
  <c r="A905" i="76" s="1"/>
  <c r="A906" i="76" s="1"/>
  <c r="A907" i="76" s="1"/>
  <c r="A908" i="76" s="1"/>
  <c r="A909" i="76" s="1"/>
  <c r="A910" i="76" s="1"/>
  <c r="A911" i="76" s="1"/>
  <c r="A912" i="76" s="1"/>
  <c r="A913" i="76" s="1"/>
  <c r="A914" i="76" s="1"/>
  <c r="A915" i="76" s="1"/>
  <c r="A916" i="76" s="1"/>
  <c r="A917" i="76" s="1"/>
  <c r="A918" i="76" s="1"/>
  <c r="A919" i="76" s="1"/>
  <c r="A920" i="76" s="1"/>
  <c r="A921" i="76" s="1"/>
  <c r="A922" i="76" s="1"/>
  <c r="A923" i="76" s="1"/>
  <c r="A924" i="76" s="1"/>
  <c r="A925" i="76" s="1"/>
  <c r="A926" i="76" s="1"/>
  <c r="A927" i="76" s="1"/>
  <c r="A928" i="76" s="1"/>
  <c r="A929" i="76" s="1"/>
  <c r="A930" i="76" s="1"/>
  <c r="A931" i="76" s="1"/>
  <c r="A932" i="76" s="1"/>
  <c r="A933" i="76" s="1"/>
  <c r="A934" i="76" s="1"/>
  <c r="A935" i="76" s="1"/>
  <c r="A936" i="76" s="1"/>
  <c r="A937" i="76" s="1"/>
  <c r="A938" i="76" s="1"/>
  <c r="A939" i="76" s="1"/>
  <c r="A940" i="76" s="1"/>
  <c r="A941" i="76" s="1"/>
  <c r="A942" i="76" s="1"/>
  <c r="A943" i="76" s="1"/>
  <c r="A944" i="76" s="1"/>
  <c r="A945" i="76" s="1"/>
  <c r="A946" i="76" s="1"/>
  <c r="A947" i="76" s="1"/>
  <c r="A948" i="76" s="1"/>
  <c r="A949" i="76" s="1"/>
  <c r="A950" i="76" s="1"/>
  <c r="A951" i="76" s="1"/>
  <c r="A952" i="76" s="1"/>
  <c r="A953" i="76" s="1"/>
  <c r="A954" i="76" s="1"/>
  <c r="A955" i="76" s="1"/>
  <c r="A956" i="76" s="1"/>
  <c r="A957" i="76" s="1"/>
  <c r="A958" i="76" s="1"/>
  <c r="A959" i="76" s="1"/>
  <c r="A960" i="76" s="1"/>
  <c r="A961" i="76" s="1"/>
  <c r="A962" i="76" s="1"/>
  <c r="A963" i="76" s="1"/>
  <c r="A964" i="76" s="1"/>
  <c r="A965" i="76" s="1"/>
  <c r="A966" i="76" s="1"/>
  <c r="A967" i="76" s="1"/>
  <c r="A968" i="76" s="1"/>
  <c r="A969" i="76" s="1"/>
  <c r="A970" i="76" s="1"/>
  <c r="A971" i="76" s="1"/>
  <c r="A972" i="76" s="1"/>
  <c r="A973" i="76" s="1"/>
  <c r="A974" i="76" s="1"/>
  <c r="A975" i="76" s="1"/>
  <c r="A976" i="76" s="1"/>
  <c r="A977" i="76" s="1"/>
  <c r="A978" i="76" s="1"/>
  <c r="A979" i="76" s="1"/>
  <c r="A980" i="76" s="1"/>
  <c r="A981" i="76" s="1"/>
  <c r="A982" i="76" s="1"/>
  <c r="A983" i="76" s="1"/>
  <c r="A984" i="76" s="1"/>
  <c r="A985" i="76" s="1"/>
  <c r="A986" i="76" s="1"/>
  <c r="A987" i="76" s="1"/>
  <c r="A988" i="76" s="1"/>
  <c r="A989" i="76" s="1"/>
  <c r="A990" i="76" s="1"/>
  <c r="A991" i="76" s="1"/>
  <c r="A992" i="76" s="1"/>
  <c r="A993" i="76" s="1"/>
  <c r="A994" i="76" s="1"/>
  <c r="A995" i="76" s="1"/>
  <c r="A996" i="76" s="1"/>
  <c r="A997" i="76" s="1"/>
  <c r="A998" i="76" s="1"/>
  <c r="A999" i="76" s="1"/>
  <c r="A1000" i="76" s="1"/>
  <c r="A1001" i="76" s="1"/>
  <c r="A1002" i="76" s="1"/>
  <c r="A1003" i="76" s="1"/>
  <c r="A1004" i="76" s="1"/>
  <c r="A1005" i="76" s="1"/>
  <c r="A1006" i="76" s="1"/>
  <c r="A1007" i="76" s="1"/>
  <c r="A1008" i="76" s="1"/>
  <c r="A1009" i="76" s="1"/>
  <c r="A1010" i="76" s="1"/>
  <c r="A1011" i="76" s="1"/>
  <c r="A1012" i="76" s="1"/>
  <c r="A1013" i="76" s="1"/>
  <c r="A1014" i="76" s="1"/>
  <c r="A1015" i="76" s="1"/>
  <c r="A1016" i="76" s="1"/>
  <c r="A1017" i="76" s="1"/>
  <c r="A1018" i="76" s="1"/>
  <c r="A1019" i="76" s="1"/>
  <c r="A1020" i="76" s="1"/>
  <c r="A1021" i="76" s="1"/>
  <c r="A1022" i="76" s="1"/>
  <c r="A1023" i="76" s="1"/>
  <c r="A1024" i="76" s="1"/>
  <c r="A1025" i="76" s="1"/>
  <c r="A1026" i="76" s="1"/>
  <c r="A1027" i="76" s="1"/>
  <c r="A1028" i="76" s="1"/>
  <c r="A1029" i="76" s="1"/>
  <c r="A1030" i="76" s="1"/>
  <c r="A1031" i="76" s="1"/>
  <c r="A1032" i="76" s="1"/>
  <c r="A1033" i="76" s="1"/>
  <c r="A1034" i="76" s="1"/>
  <c r="A1035" i="76" s="1"/>
  <c r="A1036" i="76" s="1"/>
  <c r="A1037" i="76" s="1"/>
  <c r="A1038" i="76" s="1"/>
  <c r="A1039" i="76" s="1"/>
  <c r="A1040" i="76" s="1"/>
  <c r="A1041" i="76" s="1"/>
  <c r="A1042" i="76" s="1"/>
  <c r="A1043" i="76" s="1"/>
  <c r="A1044" i="76" s="1"/>
  <c r="A1045" i="76" s="1"/>
  <c r="A1046" i="76" s="1"/>
  <c r="A1047" i="76" s="1"/>
  <c r="A1048" i="76" s="1"/>
  <c r="A1049" i="76" s="1"/>
  <c r="A1050" i="76" s="1"/>
  <c r="A1051" i="76" s="1"/>
  <c r="A1052" i="76" s="1"/>
  <c r="A1053" i="76" s="1"/>
  <c r="A1054" i="76" s="1"/>
  <c r="A1055" i="76" s="1"/>
  <c r="A1056" i="76" s="1"/>
  <c r="A1057" i="76" s="1"/>
  <c r="A1058" i="76" s="1"/>
  <c r="A1059" i="76" s="1"/>
  <c r="A1060" i="76" s="1"/>
  <c r="A1061" i="76" s="1"/>
  <c r="A1062" i="76" s="1"/>
  <c r="A1063" i="76" s="1"/>
  <c r="A1064" i="76" s="1"/>
  <c r="A1065" i="76" s="1"/>
  <c r="A1066" i="76" s="1"/>
  <c r="A1067" i="76" s="1"/>
  <c r="A1068" i="76" s="1"/>
  <c r="A1069" i="76" s="1"/>
  <c r="A1070" i="76" s="1"/>
  <c r="A1071" i="76" s="1"/>
  <c r="A1072" i="76" s="1"/>
  <c r="A1073" i="76" s="1"/>
  <c r="A1074" i="76" s="1"/>
  <c r="A1075" i="76" s="1"/>
  <c r="A1076" i="76" s="1"/>
  <c r="A1077" i="76" s="1"/>
  <c r="A1078" i="76" s="1"/>
  <c r="A1079" i="76" s="1"/>
  <c r="A1080" i="76" s="1"/>
  <c r="A1081" i="76" s="1"/>
  <c r="A1082" i="76" s="1"/>
  <c r="A1083" i="76" s="1"/>
  <c r="A1084" i="76" s="1"/>
  <c r="A1085" i="76" s="1"/>
  <c r="A1086" i="76" s="1"/>
  <c r="A1087" i="76" s="1"/>
  <c r="A1088" i="76" s="1"/>
  <c r="A1089" i="76" s="1"/>
  <c r="A1090" i="76" s="1"/>
  <c r="A1091" i="76" s="1"/>
  <c r="A1092" i="76" s="1"/>
  <c r="A1093" i="76" s="1"/>
  <c r="A1094" i="76" s="1"/>
  <c r="A1095" i="76" s="1"/>
  <c r="A1096" i="76" s="1"/>
  <c r="A1097" i="76" s="1"/>
  <c r="A1098" i="76" s="1"/>
  <c r="A1099" i="76" s="1"/>
  <c r="A1100" i="76" s="1"/>
  <c r="A1101" i="76" s="1"/>
  <c r="A1102" i="76" s="1"/>
  <c r="A1103" i="76" s="1"/>
  <c r="A1104" i="76" s="1"/>
  <c r="A1105" i="76" s="1"/>
  <c r="A1106" i="76" s="1"/>
  <c r="A1107" i="76" s="1"/>
  <c r="A1108" i="76" s="1"/>
  <c r="A1109" i="76" s="1"/>
  <c r="A1110" i="76" s="1"/>
  <c r="A1111" i="76" s="1"/>
  <c r="A1112" i="76" s="1"/>
  <c r="A1113" i="76" s="1"/>
  <c r="A1114" i="76" s="1"/>
  <c r="A1115" i="76" s="1"/>
  <c r="A1116" i="76" s="1"/>
  <c r="A1117" i="76" s="1"/>
  <c r="A1118" i="76" s="1"/>
  <c r="A1119" i="76" s="1"/>
  <c r="A1120" i="76" s="1"/>
  <c r="A1121" i="76" s="1"/>
  <c r="A1122" i="76" s="1"/>
  <c r="A1123" i="76" s="1"/>
  <c r="A1124" i="76" s="1"/>
  <c r="A1125" i="76" s="1"/>
  <c r="A1126" i="76" s="1"/>
  <c r="A1127" i="76" s="1"/>
  <c r="A1128" i="76" s="1"/>
  <c r="A1129" i="76" s="1"/>
  <c r="A1130" i="76" s="1"/>
  <c r="A1131" i="76" s="1"/>
  <c r="A1132" i="76" s="1"/>
  <c r="A1133" i="76" s="1"/>
  <c r="A1134" i="76" s="1"/>
  <c r="A1135" i="76" s="1"/>
  <c r="A1136" i="76" s="1"/>
  <c r="A1137" i="76" s="1"/>
  <c r="A1138" i="76" s="1"/>
  <c r="A1139" i="76" s="1"/>
  <c r="A1140" i="76" s="1"/>
  <c r="A1141" i="76" s="1"/>
  <c r="A1142" i="76" s="1"/>
  <c r="A1143" i="76" s="1"/>
  <c r="A1144" i="76" s="1"/>
  <c r="A1145" i="76" s="1"/>
  <c r="A1146" i="76" s="1"/>
  <c r="A1147" i="76" s="1"/>
  <c r="A1148" i="76" s="1"/>
  <c r="A1149" i="76" s="1"/>
  <c r="A1150" i="76" s="1"/>
  <c r="A1151" i="76" s="1"/>
  <c r="A1152" i="76" s="1"/>
  <c r="A1153" i="76" s="1"/>
  <c r="A1154" i="76" s="1"/>
  <c r="A1155" i="76" s="1"/>
  <c r="A1156" i="76" s="1"/>
  <c r="A1157" i="76" s="1"/>
  <c r="A1158" i="76" s="1"/>
  <c r="A1159" i="76" s="1"/>
  <c r="A1160" i="76" s="1"/>
  <c r="A1161" i="76" s="1"/>
  <c r="A1162" i="76" s="1"/>
  <c r="A1163" i="76" s="1"/>
  <c r="A1164" i="76" s="1"/>
  <c r="A1165" i="76" s="1"/>
  <c r="A1166" i="76" s="1"/>
  <c r="A1167" i="76" s="1"/>
  <c r="A1168" i="76" s="1"/>
  <c r="A1169" i="76" s="1"/>
  <c r="A1170" i="76" s="1"/>
  <c r="A1171" i="76" s="1"/>
  <c r="A1172" i="76" s="1"/>
  <c r="A1173" i="76" s="1"/>
  <c r="A1174" i="76" s="1"/>
  <c r="A1175" i="76" s="1"/>
  <c r="A1176" i="76" s="1"/>
  <c r="A1177" i="76" s="1"/>
  <c r="A1178" i="76" s="1"/>
  <c r="A1179" i="76" s="1"/>
  <c r="A1180" i="76" s="1"/>
  <c r="A1181" i="76" s="1"/>
  <c r="A1182" i="76" s="1"/>
  <c r="A1183" i="76" s="1"/>
  <c r="A1184" i="76" s="1"/>
  <c r="A1185" i="76" s="1"/>
  <c r="A1186" i="76" s="1"/>
  <c r="A1187" i="76" s="1"/>
  <c r="A1188" i="76" s="1"/>
  <c r="A1189" i="76" s="1"/>
  <c r="A1190" i="76" s="1"/>
  <c r="A1191" i="76" s="1"/>
  <c r="A1192" i="76" s="1"/>
  <c r="A1193" i="76" s="1"/>
  <c r="A1194" i="76" s="1"/>
  <c r="A1195" i="76" s="1"/>
  <c r="A1196" i="76" s="1"/>
  <c r="A1197" i="76" s="1"/>
  <c r="A1198" i="76" s="1"/>
  <c r="A1199" i="76" s="1"/>
  <c r="A1200" i="76" s="1"/>
  <c r="A1201" i="76" s="1"/>
  <c r="A1202" i="76" s="1"/>
  <c r="A1203" i="76" s="1"/>
  <c r="A1204" i="76" s="1"/>
  <c r="A1205" i="76" s="1"/>
  <c r="A1206" i="76" s="1"/>
  <c r="A1207" i="76" s="1"/>
  <c r="A1208" i="76" s="1"/>
  <c r="A1209" i="76" s="1"/>
  <c r="A1210" i="76" s="1"/>
  <c r="A1211" i="76" s="1"/>
  <c r="A1212" i="76" s="1"/>
  <c r="A1213" i="76" s="1"/>
  <c r="A1214" i="76" s="1"/>
  <c r="A1215" i="76" s="1"/>
  <c r="A1216" i="76" s="1"/>
  <c r="A1217" i="76" s="1"/>
  <c r="A1218" i="76" s="1"/>
  <c r="A1219" i="76" s="1"/>
  <c r="A1220" i="76" s="1"/>
  <c r="A1221" i="76" s="1"/>
  <c r="A1222" i="76" s="1"/>
  <c r="A1223" i="76" s="1"/>
  <c r="A1224" i="76" s="1"/>
  <c r="A1225" i="76" s="1"/>
  <c r="A1226" i="76" s="1"/>
  <c r="A1227" i="76" s="1"/>
  <c r="A1228" i="76" s="1"/>
  <c r="A1229" i="76" s="1"/>
  <c r="A1230" i="76" s="1"/>
  <c r="A1231" i="76" s="1"/>
  <c r="A1232" i="76" s="1"/>
  <c r="A1233" i="76" s="1"/>
  <c r="A1234" i="76" s="1"/>
  <c r="A1235" i="76" s="1"/>
  <c r="A1236" i="76" s="1"/>
  <c r="A1237" i="76" s="1"/>
  <c r="A1238" i="76" s="1"/>
  <c r="A1239" i="76" s="1"/>
  <c r="A1240" i="76" s="1"/>
  <c r="A1241" i="76" s="1"/>
  <c r="A1242" i="76" s="1"/>
  <c r="A1243" i="76" s="1"/>
  <c r="A1244" i="76" s="1"/>
  <c r="A1245" i="76" s="1"/>
  <c r="A1246" i="76" s="1"/>
  <c r="A1247" i="76" s="1"/>
  <c r="A1248" i="76" s="1"/>
  <c r="A1249" i="76" s="1"/>
  <c r="A1250" i="76" s="1"/>
  <c r="A1251" i="76" s="1"/>
  <c r="A1252" i="76" s="1"/>
  <c r="A1253" i="76" s="1"/>
  <c r="A1254" i="76" s="1"/>
  <c r="A1255" i="76" s="1"/>
  <c r="A1256" i="76" s="1"/>
  <c r="A1257" i="76" s="1"/>
  <c r="A1258" i="76" s="1"/>
  <c r="A1259" i="76" s="1"/>
  <c r="A1260" i="76" s="1"/>
  <c r="A1261" i="76" s="1"/>
  <c r="A1262" i="76" s="1"/>
  <c r="A1263" i="76" s="1"/>
  <c r="A1264" i="76" s="1"/>
  <c r="A1265" i="76" s="1"/>
  <c r="A1266" i="76" s="1"/>
  <c r="A1267" i="76" s="1"/>
  <c r="A1268" i="76" s="1"/>
  <c r="A1269" i="76" s="1"/>
  <c r="A1270" i="76" s="1"/>
  <c r="A1271" i="76" s="1"/>
  <c r="A1272" i="76" s="1"/>
  <c r="A1273" i="76" s="1"/>
  <c r="A1274" i="76" s="1"/>
  <c r="A1275" i="76" s="1"/>
  <c r="A1276" i="76" s="1"/>
  <c r="A1277" i="76" s="1"/>
  <c r="A1278" i="76" s="1"/>
  <c r="A1279" i="76" s="1"/>
  <c r="A1280" i="76" s="1"/>
  <c r="A1281" i="76" s="1"/>
  <c r="A1282" i="76" s="1"/>
  <c r="A1283" i="76" s="1"/>
  <c r="A1284" i="76" s="1"/>
  <c r="A1285" i="76" s="1"/>
  <c r="A1286" i="76" s="1"/>
  <c r="A1287" i="76" s="1"/>
  <c r="A1288" i="76" s="1"/>
  <c r="A1289" i="76" s="1"/>
  <c r="A1290" i="76" s="1"/>
  <c r="A1291" i="76" s="1"/>
  <c r="A1292" i="76" s="1"/>
  <c r="A1293" i="76" s="1"/>
  <c r="A1294" i="76" s="1"/>
  <c r="A1295" i="76" s="1"/>
  <c r="A1296" i="76" s="1"/>
  <c r="A1297" i="76" s="1"/>
  <c r="A1298" i="76" s="1"/>
  <c r="A1299" i="76" s="1"/>
  <c r="A1300" i="76" s="1"/>
  <c r="A1301" i="76" s="1"/>
  <c r="A1302" i="76" s="1"/>
  <c r="A1303" i="76" s="1"/>
  <c r="A1304" i="76" s="1"/>
  <c r="A1305" i="76" s="1"/>
  <c r="A1306" i="76" s="1"/>
  <c r="A1307" i="76" s="1"/>
  <c r="A1308" i="76" s="1"/>
  <c r="A1309" i="76" s="1"/>
  <c r="A1310" i="76" s="1"/>
  <c r="A1311" i="76" s="1"/>
  <c r="A1312" i="76" s="1"/>
  <c r="A1313" i="76" s="1"/>
  <c r="A1314" i="76" s="1"/>
  <c r="A1315" i="76" s="1"/>
  <c r="A1316" i="76" s="1"/>
  <c r="A1317" i="76" s="1"/>
  <c r="A1318" i="76" s="1"/>
  <c r="A1319" i="76" s="1"/>
  <c r="A1320" i="76" s="1"/>
  <c r="A1321" i="76" s="1"/>
  <c r="A1322" i="76" s="1"/>
  <c r="A1323" i="76" s="1"/>
  <c r="A1324" i="76" s="1"/>
  <c r="A1325" i="76" s="1"/>
  <c r="A1326" i="76" s="1"/>
  <c r="A1327" i="76" s="1"/>
  <c r="A1328" i="76" s="1"/>
  <c r="A1329" i="76" s="1"/>
  <c r="A1330" i="76" s="1"/>
  <c r="A1331" i="76" s="1"/>
  <c r="A1332" i="76" s="1"/>
  <c r="A1333" i="76" s="1"/>
  <c r="A1334" i="76" s="1"/>
  <c r="A1335" i="76" s="1"/>
  <c r="A1336" i="76" s="1"/>
  <c r="A1337" i="76" s="1"/>
  <c r="A1338" i="76" s="1"/>
  <c r="A1339" i="76" s="1"/>
  <c r="A1340" i="76" s="1"/>
  <c r="A1341" i="76" s="1"/>
  <c r="A1342" i="76" s="1"/>
  <c r="A1343" i="76" s="1"/>
  <c r="A1344" i="76" s="1"/>
  <c r="A1345" i="76" s="1"/>
  <c r="A1346" i="76" s="1"/>
  <c r="A1347" i="76" s="1"/>
  <c r="A1348" i="76" s="1"/>
  <c r="A1349" i="76" s="1"/>
  <c r="A1350" i="76" s="1"/>
  <c r="A1351" i="76" s="1"/>
  <c r="A1352" i="76" s="1"/>
  <c r="A1353" i="76" s="1"/>
  <c r="A1354" i="76" s="1"/>
  <c r="A1355" i="76" s="1"/>
  <c r="A1356" i="76" s="1"/>
  <c r="A1357" i="76" s="1"/>
  <c r="A1358" i="76" s="1"/>
  <c r="A1359" i="76" s="1"/>
  <c r="A1360" i="76" s="1"/>
  <c r="A1361" i="76" s="1"/>
  <c r="A1362" i="76" s="1"/>
  <c r="A1363" i="76" s="1"/>
  <c r="A1364" i="76" s="1"/>
  <c r="A1365" i="76" s="1"/>
  <c r="A1366" i="76" s="1"/>
  <c r="A1367" i="76" s="1"/>
  <c r="A1368" i="76" s="1"/>
  <c r="A1369" i="76" s="1"/>
  <c r="A1370" i="76" s="1"/>
  <c r="A1371" i="76" s="1"/>
  <c r="A1372" i="76" s="1"/>
  <c r="A1373" i="76" s="1"/>
  <c r="A1374" i="76" s="1"/>
  <c r="A1375" i="76" s="1"/>
  <c r="A1376" i="76" s="1"/>
  <c r="A1377" i="76" s="1"/>
  <c r="A1378" i="76" s="1"/>
  <c r="A1379" i="76" s="1"/>
  <c r="A1380" i="76" s="1"/>
  <c r="A1381" i="76" s="1"/>
  <c r="A1382" i="76" s="1"/>
  <c r="A1383" i="76" s="1"/>
  <c r="A1384" i="76" s="1"/>
  <c r="A1385" i="76" s="1"/>
  <c r="A1386" i="76" s="1"/>
  <c r="A1387" i="76" s="1"/>
  <c r="A1388" i="76" s="1"/>
  <c r="A1389" i="76" s="1"/>
  <c r="A1390" i="76" s="1"/>
  <c r="A1391" i="76" s="1"/>
  <c r="A1392" i="76" s="1"/>
  <c r="A1393" i="76" s="1"/>
  <c r="A1394" i="76" s="1"/>
  <c r="A1395" i="76" s="1"/>
  <c r="A1396" i="76" s="1"/>
  <c r="A1397" i="76" s="1"/>
  <c r="A1398" i="76" s="1"/>
  <c r="A1399" i="76" s="1"/>
  <c r="A1400" i="76" s="1"/>
  <c r="A1401" i="76" s="1"/>
  <c r="A1402" i="76" s="1"/>
  <c r="A1403" i="76" s="1"/>
  <c r="A1404" i="76" s="1"/>
  <c r="A1405" i="76" s="1"/>
  <c r="A1406" i="76" s="1"/>
  <c r="A1407" i="76" s="1"/>
  <c r="A1408" i="76" s="1"/>
  <c r="A1409" i="76" s="1"/>
  <c r="A1410" i="76" s="1"/>
  <c r="A1411" i="76" s="1"/>
  <c r="A1412" i="76" s="1"/>
  <c r="A1413" i="76" s="1"/>
  <c r="A1414" i="76" s="1"/>
  <c r="A1415" i="76" s="1"/>
  <c r="A1416" i="76" s="1"/>
  <c r="A1417" i="76" s="1"/>
  <c r="A1418" i="76" s="1"/>
  <c r="A1419" i="76" s="1"/>
  <c r="A1420" i="76" s="1"/>
  <c r="A1421" i="76" s="1"/>
  <c r="A1422" i="76" s="1"/>
  <c r="A1423" i="76" s="1"/>
  <c r="A1424" i="76" s="1"/>
  <c r="A1425" i="76" s="1"/>
  <c r="A1426" i="76" s="1"/>
  <c r="A1427" i="76" s="1"/>
  <c r="A1428" i="76" s="1"/>
  <c r="A1429" i="76" s="1"/>
  <c r="A1430" i="76" s="1"/>
  <c r="A1431" i="76" s="1"/>
  <c r="A1432" i="76" s="1"/>
  <c r="A1433" i="76" s="1"/>
  <c r="A1434" i="76" s="1"/>
  <c r="A1435" i="76" s="1"/>
  <c r="A1436" i="76" s="1"/>
  <c r="A1437" i="76" s="1"/>
  <c r="A1438" i="76" s="1"/>
  <c r="A1439" i="76" s="1"/>
  <c r="A1440" i="76" s="1"/>
  <c r="A1441" i="76" s="1"/>
  <c r="A1442" i="76" s="1"/>
  <c r="A1443" i="76" s="1"/>
  <c r="A1444" i="76" s="1"/>
  <c r="A1445" i="76" s="1"/>
  <c r="A1446" i="76" s="1"/>
  <c r="A1447" i="76" s="1"/>
  <c r="A1448" i="76" s="1"/>
  <c r="A1449" i="76" s="1"/>
  <c r="A1450" i="76" s="1"/>
  <c r="A1451" i="76" s="1"/>
  <c r="A1452" i="76" s="1"/>
  <c r="A1453" i="76" s="1"/>
  <c r="A1454" i="76" s="1"/>
  <c r="A1455" i="76" s="1"/>
  <c r="A1456" i="76" s="1"/>
  <c r="A1457" i="76" s="1"/>
  <c r="A1458" i="76" s="1"/>
  <c r="A1459" i="76" s="1"/>
  <c r="A1460" i="76" s="1"/>
  <c r="A1461" i="76" s="1"/>
  <c r="A1462" i="76" s="1"/>
  <c r="A1463" i="76" s="1"/>
  <c r="A1464" i="76" s="1"/>
  <c r="A1465" i="76" s="1"/>
  <c r="A1466" i="76" s="1"/>
  <c r="A1467" i="76" s="1"/>
  <c r="A1468" i="76" s="1"/>
  <c r="A1469" i="76" s="1"/>
  <c r="A1470" i="76" s="1"/>
  <c r="A1471" i="76" s="1"/>
  <c r="A1472" i="76" s="1"/>
  <c r="A1473" i="76" s="1"/>
  <c r="A1474" i="76" s="1"/>
  <c r="A1475" i="76" s="1"/>
  <c r="A1476" i="76" s="1"/>
  <c r="A1477" i="76" s="1"/>
  <c r="A1478" i="76" s="1"/>
  <c r="A1479" i="76" s="1"/>
  <c r="A1480" i="76" s="1"/>
  <c r="A1481" i="76" s="1"/>
  <c r="A1482" i="76" s="1"/>
  <c r="A1483" i="76" s="1"/>
  <c r="A1484" i="76" s="1"/>
  <c r="A1485" i="76" s="1"/>
  <c r="A1486" i="76" s="1"/>
  <c r="A1487" i="76" s="1"/>
  <c r="A1488" i="76" s="1"/>
  <c r="A1489" i="76" s="1"/>
  <c r="A1490" i="76" s="1"/>
  <c r="A1491" i="76" s="1"/>
  <c r="A1492" i="76" s="1"/>
  <c r="A1493" i="76" s="1"/>
  <c r="A1494" i="76" s="1"/>
  <c r="A1495" i="76" s="1"/>
  <c r="A1496" i="76" s="1"/>
  <c r="A1497" i="76" s="1"/>
  <c r="A1498" i="76" s="1"/>
  <c r="A1499" i="76" s="1"/>
  <c r="A1500" i="76" s="1"/>
  <c r="A1501" i="76" s="1"/>
  <c r="A1502" i="76" s="1"/>
  <c r="A1503" i="76" s="1"/>
  <c r="A1504" i="76" s="1"/>
  <c r="A1505" i="76" s="1"/>
  <c r="A1506" i="76" s="1"/>
  <c r="A1507" i="76" s="1"/>
  <c r="A1508" i="76" s="1"/>
  <c r="A1509" i="76" s="1"/>
  <c r="A1510" i="76" s="1"/>
  <c r="A1511" i="76" s="1"/>
  <c r="A1512" i="76" s="1"/>
  <c r="A1513" i="76" s="1"/>
  <c r="A1514" i="76" s="1"/>
  <c r="A1515" i="76" s="1"/>
  <c r="A1516" i="76" s="1"/>
  <c r="A1517" i="76" s="1"/>
  <c r="A1518" i="76" s="1"/>
  <c r="A1519" i="76" s="1"/>
  <c r="A1520" i="76" s="1"/>
  <c r="A1521" i="76" s="1"/>
  <c r="A1522" i="76" s="1"/>
  <c r="A1523" i="76" s="1"/>
  <c r="A1524" i="76" s="1"/>
  <c r="A1525" i="76" s="1"/>
  <c r="A1526" i="76" s="1"/>
  <c r="A1527" i="76" s="1"/>
  <c r="A1528" i="76" s="1"/>
  <c r="A1529" i="76" s="1"/>
  <c r="A1530" i="76" s="1"/>
  <c r="A1531" i="76" s="1"/>
  <c r="A1532" i="76" s="1"/>
  <c r="A1533" i="76" s="1"/>
  <c r="A1534" i="76" s="1"/>
  <c r="A1535" i="76" s="1"/>
  <c r="A1536" i="76" s="1"/>
  <c r="A1537" i="76" s="1"/>
  <c r="A1538" i="76" s="1"/>
  <c r="A1539" i="76" s="1"/>
  <c r="A1540" i="76" s="1"/>
  <c r="A1541" i="76" s="1"/>
  <c r="A1542" i="76" s="1"/>
  <c r="A1543" i="76" s="1"/>
  <c r="A1544" i="76" s="1"/>
  <c r="A1545" i="76" s="1"/>
  <c r="A1546" i="76" s="1"/>
  <c r="A1547" i="76" s="1"/>
  <c r="A1548" i="76" s="1"/>
  <c r="A1549" i="76" s="1"/>
  <c r="A1550" i="76" s="1"/>
  <c r="A1551" i="76" s="1"/>
  <c r="A1552" i="76" s="1"/>
  <c r="A1553" i="76" s="1"/>
  <c r="A1554" i="76" s="1"/>
  <c r="A1555" i="76" s="1"/>
  <c r="A1556" i="76" s="1"/>
  <c r="A1557" i="76" s="1"/>
  <c r="A1558" i="76" s="1"/>
  <c r="A1559" i="76" s="1"/>
  <c r="A1560" i="76" s="1"/>
  <c r="A1561" i="76" s="1"/>
  <c r="A1562" i="76" s="1"/>
  <c r="A1563" i="76" s="1"/>
  <c r="A1564" i="76" s="1"/>
  <c r="A1565" i="76" s="1"/>
  <c r="A1566" i="76" s="1"/>
  <c r="A1567" i="76" s="1"/>
  <c r="A1568" i="76" s="1"/>
  <c r="A1569" i="76" s="1"/>
  <c r="A1570" i="76" s="1"/>
  <c r="A1571" i="76" s="1"/>
  <c r="A1572" i="76" s="1"/>
  <c r="A1573" i="76" s="1"/>
  <c r="A1574" i="76" s="1"/>
  <c r="A1575" i="76" s="1"/>
  <c r="A1576" i="76" s="1"/>
  <c r="A1577" i="76" s="1"/>
  <c r="A1578" i="76" s="1"/>
  <c r="A1579" i="76" s="1"/>
  <c r="A1580" i="76" s="1"/>
  <c r="A1581" i="76" s="1"/>
  <c r="A1582" i="76" s="1"/>
  <c r="A1583" i="76" s="1"/>
  <c r="A1584" i="76" s="1"/>
  <c r="A1585" i="76" s="1"/>
  <c r="A1586" i="76" s="1"/>
  <c r="A1587" i="76" s="1"/>
  <c r="A1588" i="76" s="1"/>
  <c r="A1589" i="76" s="1"/>
  <c r="A1590" i="76" s="1"/>
  <c r="A1591" i="76" s="1"/>
  <c r="A1592" i="76" s="1"/>
  <c r="A1593" i="76" s="1"/>
  <c r="A1594" i="76" s="1"/>
  <c r="A1595" i="76" s="1"/>
  <c r="A1596" i="76" s="1"/>
  <c r="A1597" i="76" s="1"/>
  <c r="A1598" i="76" s="1"/>
  <c r="A1599" i="76" s="1"/>
  <c r="A1600" i="76" s="1"/>
  <c r="A1601" i="76" s="1"/>
  <c r="A1602" i="76" s="1"/>
  <c r="A1603" i="76" s="1"/>
  <c r="A1604" i="76" s="1"/>
  <c r="A1605" i="76" s="1"/>
  <c r="A1606" i="76" s="1"/>
  <c r="A1607" i="76" s="1"/>
  <c r="A1608" i="76" s="1"/>
  <c r="A1609" i="76" s="1"/>
  <c r="A1610" i="76" s="1"/>
  <c r="A1611" i="76" s="1"/>
  <c r="A1612" i="76" s="1"/>
  <c r="A1613" i="76" s="1"/>
  <c r="A1614" i="76" s="1"/>
  <c r="A1615" i="76" s="1"/>
  <c r="A1616" i="76" s="1"/>
  <c r="A1617" i="76" s="1"/>
  <c r="A1618" i="76" s="1"/>
  <c r="A1619" i="76" s="1"/>
  <c r="A1620" i="76" s="1"/>
  <c r="A1621" i="76" s="1"/>
  <c r="A1622" i="76" s="1"/>
  <c r="A1623" i="76" s="1"/>
  <c r="A1624" i="76" s="1"/>
  <c r="A1625" i="76" s="1"/>
  <c r="A1626" i="76" s="1"/>
  <c r="A1627" i="76" s="1"/>
  <c r="A1628" i="76" s="1"/>
  <c r="A1629" i="76" s="1"/>
  <c r="A1630" i="76" s="1"/>
  <c r="A1631" i="76" s="1"/>
  <c r="A1632" i="76" s="1"/>
  <c r="A1633" i="76" s="1"/>
  <c r="A1634" i="76" s="1"/>
  <c r="A1635" i="76" s="1"/>
  <c r="A1636" i="76" s="1"/>
  <c r="A1637" i="76" s="1"/>
  <c r="A1638" i="76" s="1"/>
  <c r="A1639" i="76" s="1"/>
  <c r="A1640" i="76" s="1"/>
  <c r="A1641" i="76" s="1"/>
  <c r="A1642" i="76" s="1"/>
  <c r="A1643" i="76" s="1"/>
  <c r="A1644" i="76" s="1"/>
  <c r="A1645" i="76" s="1"/>
  <c r="A1646" i="76" s="1"/>
  <c r="A1647" i="76" s="1"/>
  <c r="A1648" i="76" s="1"/>
  <c r="A1649" i="76" s="1"/>
  <c r="A1650" i="76" s="1"/>
  <c r="A1651" i="76" s="1"/>
  <c r="A1652" i="76" s="1"/>
  <c r="A1653" i="76" s="1"/>
  <c r="A1654" i="76" s="1"/>
  <c r="A1655" i="76" s="1"/>
  <c r="A1656" i="76" s="1"/>
  <c r="A1657" i="76" s="1"/>
  <c r="A1658" i="76" s="1"/>
  <c r="A1659" i="76" s="1"/>
  <c r="A1660" i="76" s="1"/>
  <c r="A1661" i="76" s="1"/>
  <c r="A1662" i="76" s="1"/>
  <c r="A1663" i="76" s="1"/>
  <c r="A1664" i="76" s="1"/>
  <c r="A1665" i="76" s="1"/>
  <c r="A1666" i="76" s="1"/>
  <c r="A1667" i="76" s="1"/>
  <c r="A1668" i="76" s="1"/>
  <c r="A1669" i="76" s="1"/>
  <c r="A1670" i="76" s="1"/>
  <c r="A1671" i="76" s="1"/>
  <c r="A1672" i="76" s="1"/>
  <c r="A1673" i="76" s="1"/>
  <c r="A1674" i="76" s="1"/>
  <c r="A1675" i="76" s="1"/>
  <c r="A1676" i="76" s="1"/>
  <c r="A1677" i="76" s="1"/>
  <c r="A1678" i="76" s="1"/>
  <c r="A1679" i="76" s="1"/>
  <c r="A1680" i="76" s="1"/>
  <c r="A1681" i="76" s="1"/>
  <c r="A1682" i="76" s="1"/>
  <c r="A1683" i="76" s="1"/>
  <c r="A1684" i="76" s="1"/>
  <c r="A1685" i="76" s="1"/>
  <c r="A1686" i="76" s="1"/>
  <c r="A1687" i="76" s="1"/>
  <c r="A1688" i="76" s="1"/>
  <c r="A1689" i="76" s="1"/>
  <c r="A1690" i="76" s="1"/>
  <c r="A1691" i="76" s="1"/>
  <c r="A1692" i="76" s="1"/>
  <c r="A1693" i="76" s="1"/>
  <c r="A1694" i="76" s="1"/>
  <c r="A1695" i="76" s="1"/>
  <c r="A1696" i="76" s="1"/>
  <c r="A1697" i="76" s="1"/>
  <c r="A1698" i="76" s="1"/>
  <c r="A1699" i="76" s="1"/>
  <c r="A1700" i="76" s="1"/>
  <c r="A1701" i="76" s="1"/>
  <c r="A1702" i="76" s="1"/>
  <c r="A1703" i="76" s="1"/>
  <c r="A1704" i="76" s="1"/>
  <c r="A1705" i="76" s="1"/>
  <c r="A1706" i="76" s="1"/>
  <c r="A1707" i="76" s="1"/>
  <c r="A1708" i="76" s="1"/>
  <c r="A1709" i="76" s="1"/>
  <c r="A1710" i="76" s="1"/>
  <c r="A1711" i="76" s="1"/>
  <c r="A1712" i="76" s="1"/>
  <c r="A1713" i="76" s="1"/>
  <c r="A1714" i="76" s="1"/>
  <c r="A1715" i="76" s="1"/>
  <c r="A1716" i="76" s="1"/>
  <c r="A1717" i="76" s="1"/>
  <c r="A1718" i="76" s="1"/>
  <c r="A1719" i="76" s="1"/>
  <c r="A1720" i="76" s="1"/>
  <c r="A1721" i="76" s="1"/>
  <c r="A1722" i="76" s="1"/>
  <c r="A1723" i="76" s="1"/>
  <c r="A1724" i="76" s="1"/>
  <c r="A1725" i="76" s="1"/>
  <c r="A1726" i="76" s="1"/>
  <c r="A1727" i="76" s="1"/>
  <c r="A1728" i="76" s="1"/>
  <c r="A1729" i="76" s="1"/>
  <c r="A1730" i="76" s="1"/>
  <c r="A1731" i="76" s="1"/>
  <c r="A1732" i="76" s="1"/>
  <c r="A1733" i="76" s="1"/>
  <c r="A1734" i="76" s="1"/>
  <c r="A1735" i="76" s="1"/>
  <c r="A1736" i="76" s="1"/>
  <c r="A1737" i="76" s="1"/>
  <c r="A1738" i="76" s="1"/>
  <c r="A1739" i="76" s="1"/>
  <c r="A1740" i="76" s="1"/>
  <c r="A1741" i="76" s="1"/>
  <c r="A1742" i="76" s="1"/>
  <c r="A1743" i="76" s="1"/>
  <c r="A1744" i="76" s="1"/>
  <c r="A1745" i="76" s="1"/>
  <c r="A1746" i="76" s="1"/>
  <c r="A1747" i="76" s="1"/>
  <c r="A1748" i="76" s="1"/>
  <c r="A1749" i="76" s="1"/>
  <c r="A1750" i="76" s="1"/>
  <c r="A1751" i="76" s="1"/>
  <c r="A1752" i="76" s="1"/>
  <c r="A1753" i="76" s="1"/>
  <c r="A1754" i="76" s="1"/>
  <c r="A1755" i="76" s="1"/>
  <c r="A1756" i="76" s="1"/>
  <c r="A1757" i="76" s="1"/>
  <c r="A1758" i="76" s="1"/>
  <c r="A1759" i="76" s="1"/>
  <c r="A1760" i="76" s="1"/>
  <c r="A1761" i="76" s="1"/>
  <c r="A1762" i="76" s="1"/>
  <c r="A1763" i="76" s="1"/>
  <c r="A1764" i="76" s="1"/>
  <c r="A1765" i="76" s="1"/>
  <c r="A1766" i="76" s="1"/>
  <c r="A1767" i="76" s="1"/>
  <c r="A1768" i="76" s="1"/>
  <c r="A1769" i="76" s="1"/>
  <c r="A1770" i="76" s="1"/>
  <c r="A1771" i="76" s="1"/>
  <c r="A1772" i="76" s="1"/>
  <c r="A1773" i="76" s="1"/>
  <c r="A1774" i="76" s="1"/>
  <c r="A1775" i="76" s="1"/>
  <c r="A1776" i="76" s="1"/>
  <c r="A1777" i="76" s="1"/>
  <c r="A1778" i="76" s="1"/>
  <c r="A1779" i="76" s="1"/>
  <c r="A1780" i="76" s="1"/>
  <c r="A1781" i="76" s="1"/>
  <c r="A1782" i="76" s="1"/>
  <c r="A1783" i="76" s="1"/>
  <c r="A1784" i="76" s="1"/>
  <c r="A1785" i="76" s="1"/>
  <c r="A1786" i="76" s="1"/>
  <c r="A1787" i="76" s="1"/>
  <c r="A1788" i="76" s="1"/>
  <c r="A1789" i="76" s="1"/>
  <c r="A1790" i="76" s="1"/>
  <c r="A1791" i="76" s="1"/>
  <c r="A1792" i="76" s="1"/>
  <c r="A1793" i="76" s="1"/>
  <c r="A1794" i="76" s="1"/>
  <c r="A1795" i="76" s="1"/>
  <c r="A1796" i="76" s="1"/>
  <c r="A1797" i="76" s="1"/>
  <c r="A1798" i="76" s="1"/>
  <c r="A1799" i="76" s="1"/>
  <c r="A1800" i="76" s="1"/>
  <c r="A1801" i="76" s="1"/>
  <c r="A1802" i="76" s="1"/>
  <c r="A1803" i="76" s="1"/>
  <c r="A1804" i="76" s="1"/>
  <c r="A1805" i="76" s="1"/>
  <c r="A1806" i="76" s="1"/>
  <c r="A1807" i="76" s="1"/>
  <c r="A1808" i="76" s="1"/>
  <c r="A1809" i="76" s="1"/>
  <c r="A1810" i="76" s="1"/>
  <c r="A1811" i="76" s="1"/>
  <c r="A1812" i="76" s="1"/>
  <c r="A1813" i="76" s="1"/>
  <c r="A1814" i="76" s="1"/>
  <c r="A1815" i="76" s="1"/>
  <c r="A1816" i="76" s="1"/>
  <c r="A1817" i="76" s="1"/>
  <c r="A1818" i="76" s="1"/>
  <c r="A1819" i="76" s="1"/>
  <c r="A1820" i="76" s="1"/>
  <c r="A1821" i="76" s="1"/>
  <c r="A1822" i="76" s="1"/>
  <c r="A1823" i="76" s="1"/>
  <c r="A1824" i="76" s="1"/>
  <c r="A1825" i="76" s="1"/>
  <c r="A1826" i="76" s="1"/>
  <c r="A1827" i="76" s="1"/>
  <c r="A1828" i="76" s="1"/>
  <c r="A1829" i="76" s="1"/>
  <c r="A1830" i="76" s="1"/>
  <c r="A1831" i="76" s="1"/>
  <c r="A1832" i="76" s="1"/>
  <c r="A1833" i="76" s="1"/>
  <c r="A1834" i="76" s="1"/>
  <c r="A1835" i="76" s="1"/>
  <c r="A1836" i="76" s="1"/>
  <c r="A1837" i="76" s="1"/>
  <c r="A1838" i="76" s="1"/>
  <c r="A1839" i="76" s="1"/>
  <c r="A1840" i="76" s="1"/>
  <c r="A1841" i="76" s="1"/>
  <c r="A1842" i="76" s="1"/>
  <c r="A1843" i="76" s="1"/>
  <c r="A1844" i="76" s="1"/>
  <c r="A1845" i="76" s="1"/>
  <c r="A1846" i="76" s="1"/>
  <c r="A1847" i="76" s="1"/>
  <c r="A1848" i="76" s="1"/>
  <c r="A1849" i="76" s="1"/>
  <c r="A1850" i="76" s="1"/>
  <c r="A1851" i="76" s="1"/>
  <c r="A1852" i="76" s="1"/>
  <c r="A1853" i="76" s="1"/>
  <c r="A1854" i="76" s="1"/>
  <c r="A1855" i="76" s="1"/>
  <c r="A1856" i="76" s="1"/>
  <c r="A1857" i="76" s="1"/>
  <c r="A1858" i="76" s="1"/>
  <c r="A1859" i="76" s="1"/>
  <c r="A1860" i="76" s="1"/>
  <c r="A1861" i="76" s="1"/>
  <c r="A1862" i="76" s="1"/>
  <c r="A1863" i="76" s="1"/>
  <c r="A1864" i="76" s="1"/>
  <c r="A1865" i="76" s="1"/>
  <c r="A1866" i="76" s="1"/>
  <c r="A1867" i="76" s="1"/>
  <c r="A1868" i="76" s="1"/>
  <c r="A1869" i="76" s="1"/>
  <c r="A1870" i="76" s="1"/>
  <c r="A1871" i="76" s="1"/>
  <c r="A1872" i="76" s="1"/>
  <c r="A1873" i="76" s="1"/>
  <c r="A1874" i="76" s="1"/>
  <c r="A1875" i="76" s="1"/>
  <c r="A1876" i="76" s="1"/>
  <c r="A1877" i="76" s="1"/>
  <c r="A1878" i="76" s="1"/>
  <c r="A1879" i="76" s="1"/>
  <c r="A1880" i="76" s="1"/>
  <c r="A1881" i="76" s="1"/>
  <c r="A1882" i="76" s="1"/>
  <c r="A1883" i="76" s="1"/>
  <c r="A1884" i="76" s="1"/>
  <c r="A1885" i="76" s="1"/>
  <c r="A1886" i="76" s="1"/>
  <c r="A1887" i="76" s="1"/>
  <c r="A1888" i="76" s="1"/>
  <c r="A1889" i="76" s="1"/>
  <c r="A1890" i="76" s="1"/>
  <c r="A1891" i="76" s="1"/>
  <c r="A1892" i="76" s="1"/>
  <c r="A1893" i="76" s="1"/>
  <c r="A1894" i="76" s="1"/>
  <c r="A1895" i="76" s="1"/>
  <c r="A1896" i="76" s="1"/>
  <c r="A1897" i="76" s="1"/>
  <c r="A1898" i="76" s="1"/>
  <c r="A1899" i="76" s="1"/>
  <c r="A1900" i="76" s="1"/>
  <c r="A1901" i="76" s="1"/>
  <c r="A1902" i="76" s="1"/>
  <c r="A1903" i="76" s="1"/>
  <c r="A1904" i="76" s="1"/>
  <c r="A1905" i="76" s="1"/>
  <c r="A1906" i="76" s="1"/>
  <c r="A1907" i="76" s="1"/>
  <c r="A1908" i="76" s="1"/>
  <c r="A1909" i="76" s="1"/>
  <c r="A1910" i="76" s="1"/>
  <c r="A1911" i="76" s="1"/>
  <c r="A1912" i="76" s="1"/>
  <c r="A1913" i="76" s="1"/>
  <c r="A1914" i="76" s="1"/>
  <c r="A1915" i="76" s="1"/>
  <c r="A1916" i="76" s="1"/>
  <c r="A1917" i="76" s="1"/>
  <c r="A1918" i="76" s="1"/>
  <c r="A1919" i="76" s="1"/>
  <c r="A1920" i="76" s="1"/>
  <c r="A1921" i="76" s="1"/>
  <c r="A1922" i="76" s="1"/>
  <c r="A1923" i="76" s="1"/>
  <c r="A1924" i="76" s="1"/>
  <c r="A1925" i="76" s="1"/>
  <c r="A1926" i="76" s="1"/>
  <c r="A1927" i="76" s="1"/>
  <c r="A1928" i="76" s="1"/>
  <c r="A1929" i="76" s="1"/>
  <c r="A1930" i="76" s="1"/>
  <c r="A1931" i="76" s="1"/>
  <c r="A1932" i="76" s="1"/>
  <c r="A1933" i="76" s="1"/>
  <c r="A1934" i="76" s="1"/>
  <c r="A1935" i="76" s="1"/>
  <c r="A1936" i="76" s="1"/>
  <c r="A1937" i="76" s="1"/>
  <c r="A1938" i="76" s="1"/>
  <c r="A1939" i="76" s="1"/>
  <c r="A1940" i="76" s="1"/>
  <c r="A1941" i="76" s="1"/>
  <c r="A1942" i="76" s="1"/>
  <c r="A1943" i="76" s="1"/>
  <c r="A1944" i="76" s="1"/>
  <c r="A1945" i="76" s="1"/>
  <c r="A1946" i="76" s="1"/>
  <c r="A1947" i="76" s="1"/>
  <c r="A1948" i="76" s="1"/>
  <c r="A1949" i="76" s="1"/>
  <c r="A1950" i="76" s="1"/>
  <c r="A1951" i="76" s="1"/>
  <c r="A1952" i="76" s="1"/>
  <c r="A1953" i="76" s="1"/>
  <c r="A1954" i="76" s="1"/>
  <c r="A1955" i="76" s="1"/>
  <c r="A1956" i="76" s="1"/>
  <c r="A1957" i="76" s="1"/>
  <c r="A1958" i="76" s="1"/>
  <c r="A1959" i="76" s="1"/>
  <c r="A1960" i="76" s="1"/>
  <c r="A1961" i="76" s="1"/>
  <c r="A1962" i="76" s="1"/>
  <c r="A1963" i="76" s="1"/>
  <c r="A1964" i="76" s="1"/>
  <c r="A1965" i="76" s="1"/>
  <c r="A1966" i="76" s="1"/>
  <c r="A1967" i="76" s="1"/>
  <c r="A1968" i="76" s="1"/>
  <c r="A1969" i="76" s="1"/>
  <c r="A1970" i="76" s="1"/>
  <c r="A1971" i="76" s="1"/>
  <c r="A1972" i="76" s="1"/>
  <c r="A1973" i="76" s="1"/>
  <c r="A1974" i="76" s="1"/>
  <c r="A1975" i="76" s="1"/>
  <c r="A1976" i="76" s="1"/>
  <c r="A1977" i="76" s="1"/>
  <c r="A1978" i="76" s="1"/>
  <c r="A1979" i="76" s="1"/>
  <c r="A1980" i="76" s="1"/>
  <c r="A1981" i="76" s="1"/>
  <c r="A1982" i="76" s="1"/>
  <c r="A1983" i="76" s="1"/>
  <c r="A1984" i="76" s="1"/>
  <c r="A1985" i="76" s="1"/>
  <c r="A1986" i="76" s="1"/>
  <c r="A1987" i="76" s="1"/>
  <c r="A1988" i="76" s="1"/>
  <c r="A1989" i="76" s="1"/>
  <c r="A1990" i="76" s="1"/>
  <c r="A1991" i="76" s="1"/>
  <c r="A1992" i="76" s="1"/>
  <c r="A1993" i="76" s="1"/>
  <c r="A1994" i="76" s="1"/>
  <c r="A1995" i="76" s="1"/>
  <c r="A1996" i="76" s="1"/>
  <c r="A1997" i="76" s="1"/>
  <c r="A1998" i="76" s="1"/>
  <c r="A1999" i="76" s="1"/>
  <c r="A2000" i="76" s="1"/>
  <c r="A2001" i="76" s="1"/>
  <c r="A2002" i="76" s="1"/>
  <c r="A2003" i="76" s="1"/>
  <c r="A2004" i="76" s="1"/>
  <c r="A2005" i="76" s="1"/>
  <c r="A2006" i="76" s="1"/>
  <c r="A2007" i="76" s="1"/>
  <c r="A2008" i="76" s="1"/>
  <c r="A2009" i="76" s="1"/>
  <c r="A2010" i="76" s="1"/>
  <c r="A2011" i="76" s="1"/>
  <c r="A2012" i="76" s="1"/>
  <c r="A2013" i="76" s="1"/>
  <c r="A2014" i="76" s="1"/>
  <c r="A2015" i="76" s="1"/>
  <c r="A2016" i="76" s="1"/>
  <c r="A2017" i="76" s="1"/>
  <c r="A2018" i="76" s="1"/>
  <c r="A2019" i="76" s="1"/>
  <c r="A2020" i="76" s="1"/>
  <c r="A2021" i="76" s="1"/>
  <c r="A2022" i="76" s="1"/>
  <c r="A2023" i="76" s="1"/>
  <c r="A2024" i="76" s="1"/>
  <c r="A2025" i="76" s="1"/>
  <c r="A2026" i="76" s="1"/>
  <c r="A2027" i="76" s="1"/>
  <c r="A2028" i="76" s="1"/>
  <c r="A2029" i="76" s="1"/>
  <c r="A2030" i="76" s="1"/>
  <c r="A2031" i="76" s="1"/>
  <c r="A2032" i="76" s="1"/>
  <c r="A2033" i="76" s="1"/>
  <c r="A2034" i="76" s="1"/>
  <c r="A2035" i="76" s="1"/>
  <c r="A2036" i="76" s="1"/>
  <c r="A2037" i="76" s="1"/>
  <c r="A2038" i="76" s="1"/>
  <c r="A2039" i="76" s="1"/>
  <c r="A2040" i="76" s="1"/>
  <c r="A2041" i="76" s="1"/>
  <c r="A2042" i="76" s="1"/>
  <c r="A2043" i="76" s="1"/>
  <c r="A2044" i="76" s="1"/>
  <c r="A2045" i="76" s="1"/>
  <c r="A2046" i="76" s="1"/>
  <c r="A2047" i="76" s="1"/>
  <c r="A2048" i="76" s="1"/>
  <c r="A2049" i="76" s="1"/>
  <c r="A2050" i="76" s="1"/>
  <c r="A2051" i="76" s="1"/>
  <c r="A2052" i="76" s="1"/>
  <c r="A2053" i="76" s="1"/>
  <c r="A2054" i="76" s="1"/>
  <c r="A2055" i="76" s="1"/>
  <c r="A2056" i="76" s="1"/>
  <c r="A2057" i="76" s="1"/>
  <c r="A2058" i="76" s="1"/>
  <c r="A2059" i="76" s="1"/>
  <c r="A2060" i="76" s="1"/>
  <c r="A2061" i="76" s="1"/>
  <c r="A2062" i="76" s="1"/>
  <c r="A2063" i="76" s="1"/>
  <c r="A2064" i="76" s="1"/>
  <c r="A2065" i="76" s="1"/>
  <c r="A2066" i="76" s="1"/>
  <c r="A2067" i="76" s="1"/>
  <c r="A2068" i="76" s="1"/>
  <c r="A2069" i="76" s="1"/>
  <c r="A2070" i="76" s="1"/>
  <c r="A2071" i="76" s="1"/>
  <c r="A2072" i="76" s="1"/>
  <c r="A2073" i="76" s="1"/>
  <c r="A2074" i="76" s="1"/>
  <c r="A2075" i="76" s="1"/>
  <c r="A2076" i="76" s="1"/>
  <c r="A2077" i="76" s="1"/>
  <c r="A2078" i="76" s="1"/>
  <c r="A2079" i="76" s="1"/>
  <c r="A2080" i="76" s="1"/>
  <c r="A2081" i="76" s="1"/>
  <c r="A2082" i="76" s="1"/>
  <c r="A2083" i="76" s="1"/>
  <c r="A2084" i="76" s="1"/>
  <c r="A2085" i="76" s="1"/>
  <c r="A2086" i="76" s="1"/>
  <c r="A2087" i="76" s="1"/>
  <c r="A2088" i="76" s="1"/>
  <c r="A2089" i="76" s="1"/>
  <c r="A2090" i="76" s="1"/>
  <c r="A2091" i="76" s="1"/>
  <c r="A2092" i="76" s="1"/>
  <c r="A2093" i="76" s="1"/>
  <c r="A2094" i="76" s="1"/>
  <c r="A2095" i="76" s="1"/>
  <c r="A2096" i="76" s="1"/>
  <c r="A2097" i="76" s="1"/>
  <c r="A2098" i="76" s="1"/>
  <c r="A2099" i="76" s="1"/>
  <c r="A2100" i="76" s="1"/>
  <c r="A2101" i="76" s="1"/>
  <c r="A2102" i="76" s="1"/>
  <c r="A2103" i="76" s="1"/>
  <c r="A2104" i="76" s="1"/>
  <c r="A2105" i="76" s="1"/>
  <c r="A2106" i="76" s="1"/>
  <c r="A2107" i="76" s="1"/>
  <c r="A2108" i="76" s="1"/>
  <c r="A2109" i="76" s="1"/>
  <c r="A2110" i="76" s="1"/>
  <c r="A2111" i="76" s="1"/>
  <c r="A2112" i="76" s="1"/>
  <c r="A2113" i="76" s="1"/>
  <c r="A2114" i="76" s="1"/>
  <c r="A2115" i="76" s="1"/>
  <c r="A2116" i="76" s="1"/>
  <c r="A2117" i="76" s="1"/>
  <c r="A2118" i="76" s="1"/>
  <c r="A2119" i="76" s="1"/>
  <c r="A2120" i="76" s="1"/>
  <c r="A2121" i="76" s="1"/>
  <c r="A2122" i="76" s="1"/>
  <c r="A2123" i="76" s="1"/>
  <c r="A2124" i="76" s="1"/>
  <c r="A2125" i="76" s="1"/>
  <c r="A2126" i="76" s="1"/>
  <c r="A2127" i="76" s="1"/>
  <c r="A2128" i="76" s="1"/>
  <c r="A2129" i="76" s="1"/>
  <c r="A2130" i="76" s="1"/>
  <c r="A2131" i="76" s="1"/>
  <c r="A2132" i="76" s="1"/>
  <c r="A2133" i="76" s="1"/>
  <c r="A2134" i="76" s="1"/>
  <c r="A2135" i="76" s="1"/>
  <c r="A2136" i="76" s="1"/>
  <c r="A2137" i="76" s="1"/>
  <c r="A2138" i="76" s="1"/>
  <c r="A2139" i="76" s="1"/>
  <c r="A2140" i="76" s="1"/>
  <c r="A2141" i="76" s="1"/>
  <c r="A2142" i="76" s="1"/>
  <c r="A2143" i="76" s="1"/>
  <c r="A2144" i="76" s="1"/>
  <c r="A2145" i="76" s="1"/>
  <c r="A2146" i="76" s="1"/>
  <c r="A2147" i="76" s="1"/>
  <c r="A2148" i="76" s="1"/>
  <c r="A2149" i="76" s="1"/>
  <c r="A2150" i="76" s="1"/>
  <c r="A2151" i="76" s="1"/>
  <c r="A2152" i="76" s="1"/>
  <c r="A2153" i="76" s="1"/>
  <c r="A2154" i="76" s="1"/>
  <c r="A2155" i="76" s="1"/>
  <c r="A2156" i="76" s="1"/>
  <c r="A2157" i="76" s="1"/>
  <c r="A2158" i="76" s="1"/>
  <c r="A2159" i="76" s="1"/>
  <c r="A2160" i="76" s="1"/>
  <c r="A2161" i="76" s="1"/>
  <c r="A2162" i="76" s="1"/>
  <c r="A2163" i="76" s="1"/>
  <c r="A2164" i="76" s="1"/>
  <c r="A2165" i="76" s="1"/>
  <c r="A2166" i="76" s="1"/>
  <c r="A2167" i="76" s="1"/>
  <c r="A2168" i="76" s="1"/>
  <c r="A2169" i="76" s="1"/>
  <c r="A2170" i="76" s="1"/>
  <c r="A2171" i="76" s="1"/>
  <c r="A2172" i="76" s="1"/>
  <c r="A2173" i="76" s="1"/>
  <c r="A2174" i="76" s="1"/>
  <c r="A2175" i="76" s="1"/>
  <c r="A2176" i="76" s="1"/>
  <c r="A2177" i="76" s="1"/>
  <c r="A2178" i="76" s="1"/>
  <c r="A2179" i="76" s="1"/>
  <c r="A2180" i="76" s="1"/>
  <c r="A2181" i="76" s="1"/>
  <c r="A2182" i="76" s="1"/>
  <c r="A2183" i="76" s="1"/>
  <c r="A2184" i="76" s="1"/>
  <c r="A2185" i="76" s="1"/>
  <c r="A2186" i="76" s="1"/>
  <c r="A2187" i="76" s="1"/>
  <c r="A2188" i="76" s="1"/>
  <c r="A2189" i="76" s="1"/>
  <c r="A2190" i="76" s="1"/>
  <c r="A2191" i="76" s="1"/>
  <c r="A2192" i="76" s="1"/>
  <c r="A2193" i="76" s="1"/>
  <c r="A2194" i="76" s="1"/>
  <c r="A2195" i="76" s="1"/>
  <c r="A2196" i="76" s="1"/>
  <c r="A2197" i="76" s="1"/>
  <c r="A2198" i="76" s="1"/>
  <c r="A2199" i="76" s="1"/>
  <c r="A2200" i="76" s="1"/>
  <c r="A2201" i="76" s="1"/>
  <c r="A2202" i="76" s="1"/>
  <c r="A2203" i="76" s="1"/>
  <c r="A2204" i="76" s="1"/>
  <c r="A2205" i="76" s="1"/>
  <c r="A2206" i="76" s="1"/>
  <c r="A2207" i="76" s="1"/>
  <c r="A2208" i="76" s="1"/>
  <c r="A2209" i="76" s="1"/>
  <c r="A2210" i="76" s="1"/>
  <c r="A2211" i="76" s="1"/>
  <c r="A2212" i="76" s="1"/>
  <c r="A2213" i="76" s="1"/>
  <c r="A2214" i="76" s="1"/>
  <c r="A2215" i="76" s="1"/>
  <c r="A2216" i="76" s="1"/>
  <c r="A2217" i="76" s="1"/>
  <c r="A2218" i="76" s="1"/>
  <c r="A2219" i="76" s="1"/>
  <c r="A2220" i="76" s="1"/>
  <c r="A2221" i="76" s="1"/>
  <c r="A2222" i="76" s="1"/>
  <c r="A2223" i="76" s="1"/>
  <c r="A2224" i="76" s="1"/>
  <c r="A2225" i="76" s="1"/>
  <c r="A2226" i="76" s="1"/>
  <c r="A2227" i="76" s="1"/>
  <c r="A2228" i="76" s="1"/>
  <c r="A2229" i="76" s="1"/>
  <c r="A2230" i="76" s="1"/>
  <c r="A2231" i="76" s="1"/>
  <c r="A2232" i="76" s="1"/>
  <c r="A2233" i="76" s="1"/>
  <c r="A2234" i="76" s="1"/>
  <c r="A2235" i="76" s="1"/>
  <c r="A2236" i="76" s="1"/>
  <c r="A2237" i="76" s="1"/>
  <c r="A2238" i="76" s="1"/>
  <c r="A2239" i="76" s="1"/>
  <c r="A2240" i="76" s="1"/>
  <c r="A2241" i="76" s="1"/>
  <c r="A2242" i="76" s="1"/>
  <c r="A2243" i="76" s="1"/>
  <c r="A2244" i="76" s="1"/>
  <c r="A2245" i="76" s="1"/>
  <c r="A2246" i="76" s="1"/>
  <c r="A2247" i="76" s="1"/>
  <c r="A2248" i="76" s="1"/>
  <c r="A2249" i="76" s="1"/>
  <c r="A2250" i="76" s="1"/>
  <c r="A2251" i="76" s="1"/>
  <c r="A2252" i="76" s="1"/>
  <c r="A2253" i="76" s="1"/>
  <c r="A2254" i="76" s="1"/>
  <c r="A2255" i="76" s="1"/>
  <c r="A2256" i="76" s="1"/>
  <c r="A2257" i="76" s="1"/>
  <c r="A2258" i="76" s="1"/>
  <c r="A2259" i="76" s="1"/>
  <c r="A2260" i="76" s="1"/>
  <c r="A2261" i="76" s="1"/>
  <c r="A2262" i="76" s="1"/>
  <c r="A2263" i="76" s="1"/>
  <c r="A2264" i="76" s="1"/>
  <c r="A2265" i="76" s="1"/>
  <c r="A2266" i="76" s="1"/>
  <c r="A2267" i="76" s="1"/>
  <c r="A2268" i="76" s="1"/>
  <c r="A2269" i="76" s="1"/>
  <c r="A2270" i="76" s="1"/>
  <c r="A2271" i="76" s="1"/>
  <c r="A2272" i="76" s="1"/>
  <c r="A2273" i="76" s="1"/>
  <c r="A2274" i="76" s="1"/>
  <c r="A2275" i="76" s="1"/>
  <c r="A2276" i="76" s="1"/>
  <c r="A2277" i="76" s="1"/>
  <c r="A2278" i="76" s="1"/>
  <c r="A2279" i="76" s="1"/>
  <c r="A2280" i="76" s="1"/>
  <c r="A2281" i="76" s="1"/>
  <c r="A2282" i="76" s="1"/>
  <c r="A2283" i="76" s="1"/>
  <c r="A2284" i="76" s="1"/>
  <c r="A2285" i="76" s="1"/>
  <c r="A2286" i="76" s="1"/>
  <c r="A2287" i="76" s="1"/>
  <c r="A2288" i="76" s="1"/>
  <c r="A2289" i="76" s="1"/>
  <c r="A2290" i="76" s="1"/>
  <c r="A2291" i="76" s="1"/>
  <c r="A2292" i="76" s="1"/>
  <c r="A2293" i="76" s="1"/>
  <c r="A2294" i="76" s="1"/>
  <c r="A2295" i="76" s="1"/>
  <c r="A2296" i="76" s="1"/>
  <c r="A2297" i="76" s="1"/>
  <c r="A2298" i="76" s="1"/>
  <c r="A2299" i="76" s="1"/>
  <c r="A2300" i="76" s="1"/>
  <c r="A2301" i="76" s="1"/>
  <c r="A2302" i="76" s="1"/>
  <c r="A2303" i="76" s="1"/>
  <c r="A2304" i="76" s="1"/>
  <c r="A2305" i="76" s="1"/>
  <c r="A2306" i="76" s="1"/>
  <c r="A2307" i="76" s="1"/>
  <c r="A2308" i="76" s="1"/>
  <c r="A2309" i="76" s="1"/>
  <c r="A2310" i="76" s="1"/>
  <c r="A2311" i="76" s="1"/>
  <c r="A2312" i="76" s="1"/>
  <c r="A2313" i="76" s="1"/>
  <c r="A2314" i="76" s="1"/>
  <c r="A2315" i="76" s="1"/>
  <c r="A2316" i="76" s="1"/>
  <c r="A2317" i="76" s="1"/>
  <c r="A2318" i="76" s="1"/>
  <c r="A2319" i="76" s="1"/>
  <c r="A2320" i="76" s="1"/>
  <c r="A2321" i="76" s="1"/>
  <c r="A2322" i="76" s="1"/>
  <c r="A2323" i="76" s="1"/>
  <c r="A2324" i="76" s="1"/>
  <c r="A2325" i="76" s="1"/>
  <c r="A2326" i="76" s="1"/>
  <c r="A2327" i="76" s="1"/>
  <c r="A2328" i="76" s="1"/>
  <c r="A2329" i="76" s="1"/>
  <c r="A2330" i="76" s="1"/>
  <c r="A2331" i="76" s="1"/>
  <c r="A2332" i="76" s="1"/>
  <c r="A2333" i="76" s="1"/>
  <c r="A2334" i="76" s="1"/>
  <c r="A2335" i="76" s="1"/>
  <c r="A2336" i="76" s="1"/>
  <c r="A2337" i="76" s="1"/>
  <c r="A2338" i="76" s="1"/>
  <c r="A2339" i="76" s="1"/>
  <c r="A2340" i="76" s="1"/>
  <c r="A2341" i="76" s="1"/>
  <c r="A2342" i="76" s="1"/>
  <c r="A2343" i="76" s="1"/>
  <c r="A2344" i="76" s="1"/>
  <c r="A2345" i="76" s="1"/>
  <c r="A2346" i="76" s="1"/>
  <c r="A2347" i="76" s="1"/>
  <c r="A2348" i="76" s="1"/>
  <c r="A2349" i="76" s="1"/>
  <c r="A2350" i="76" s="1"/>
  <c r="A2351" i="76" s="1"/>
  <c r="A2352" i="76" s="1"/>
  <c r="A2353" i="76" s="1"/>
  <c r="A2354" i="76" s="1"/>
  <c r="A2355" i="76" s="1"/>
  <c r="A2356" i="76" s="1"/>
  <c r="A2357" i="76" s="1"/>
  <c r="A2358" i="76" s="1"/>
  <c r="A2359" i="76" s="1"/>
  <c r="A2360" i="76" s="1"/>
  <c r="A2361" i="76" s="1"/>
  <c r="A2362" i="76" s="1"/>
  <c r="A2363" i="76" s="1"/>
  <c r="A2364" i="76" s="1"/>
  <c r="A2365" i="76" s="1"/>
  <c r="A2366" i="76" s="1"/>
  <c r="A2367" i="76" s="1"/>
  <c r="A2368" i="76" s="1"/>
  <c r="A2369" i="76" s="1"/>
  <c r="A2370" i="76" s="1"/>
  <c r="A2371" i="76" s="1"/>
  <c r="A2372" i="76" s="1"/>
  <c r="A2373" i="76" s="1"/>
  <c r="A2374" i="76" s="1"/>
  <c r="A2375" i="76" s="1"/>
  <c r="A2376" i="76" s="1"/>
  <c r="A2377" i="76" s="1"/>
  <c r="A2378" i="76" s="1"/>
  <c r="A2379" i="76" s="1"/>
  <c r="A2380" i="76" s="1"/>
  <c r="A2381" i="76" s="1"/>
  <c r="A2382" i="76" s="1"/>
  <c r="A2383" i="76" s="1"/>
  <c r="A2384" i="76" s="1"/>
  <c r="A2385" i="76" s="1"/>
  <c r="A2386" i="76" s="1"/>
  <c r="A2387" i="76" s="1"/>
  <c r="A2388" i="76" s="1"/>
  <c r="A2389" i="76" s="1"/>
  <c r="A2390" i="76" s="1"/>
  <c r="A2391" i="76" s="1"/>
  <c r="A2392" i="76" s="1"/>
  <c r="A2393" i="76" s="1"/>
  <c r="A2394" i="76" s="1"/>
  <c r="A2395" i="76" s="1"/>
  <c r="A2396" i="76" s="1"/>
  <c r="A2397" i="76" s="1"/>
  <c r="A2398" i="76" s="1"/>
  <c r="A2399" i="76" s="1"/>
  <c r="A2400" i="76" s="1"/>
  <c r="A2401" i="76" s="1"/>
  <c r="A2402" i="76" s="1"/>
  <c r="A2403" i="76" s="1"/>
  <c r="A2404" i="76" s="1"/>
  <c r="A2405" i="76" s="1"/>
  <c r="A2406" i="76" s="1"/>
  <c r="A2407" i="76" s="1"/>
  <c r="A2408" i="76" s="1"/>
  <c r="A2409" i="76" s="1"/>
  <c r="A2410" i="76" s="1"/>
  <c r="A2411" i="76" s="1"/>
  <c r="A2412" i="76" s="1"/>
  <c r="A2413" i="76" s="1"/>
  <c r="A2414" i="76" s="1"/>
  <c r="A2415" i="76" s="1"/>
  <c r="A2416" i="76" s="1"/>
  <c r="A2417" i="76" s="1"/>
  <c r="A2418" i="76" s="1"/>
  <c r="A2419" i="76" s="1"/>
  <c r="A2420" i="76" s="1"/>
  <c r="A2421" i="76" s="1"/>
  <c r="A2422" i="76" s="1"/>
  <c r="A2423" i="76" s="1"/>
  <c r="A2424" i="76" s="1"/>
  <c r="A2425" i="76" s="1"/>
  <c r="A2426" i="76" s="1"/>
  <c r="A2427" i="76" s="1"/>
  <c r="A2428" i="76" s="1"/>
  <c r="A2429" i="76" s="1"/>
  <c r="A2430" i="76" s="1"/>
  <c r="A2431" i="76" s="1"/>
  <c r="A2432" i="76" s="1"/>
  <c r="A2433" i="76" s="1"/>
  <c r="A2434" i="76" s="1"/>
  <c r="A2435" i="76" s="1"/>
  <c r="A2436" i="76" s="1"/>
  <c r="A2437" i="76" s="1"/>
  <c r="A2438" i="76" s="1"/>
  <c r="A2439" i="76" s="1"/>
  <c r="A2440" i="76" s="1"/>
  <c r="A2441" i="76" s="1"/>
  <c r="A2442" i="76" s="1"/>
  <c r="A2443" i="76" s="1"/>
  <c r="A2444" i="76" s="1"/>
  <c r="A2445" i="76" s="1"/>
  <c r="A2446" i="76" s="1"/>
  <c r="A2447" i="76" s="1"/>
  <c r="A2448" i="76" s="1"/>
  <c r="A2449" i="76" s="1"/>
  <c r="A2450" i="76" s="1"/>
  <c r="A2451" i="76" s="1"/>
  <c r="A2452" i="76" s="1"/>
  <c r="A2453" i="76" s="1"/>
  <c r="A2454" i="76" s="1"/>
  <c r="A2455" i="76" s="1"/>
  <c r="A2456" i="76" s="1"/>
  <c r="A2457" i="76" s="1"/>
  <c r="A2458" i="76" s="1"/>
  <c r="A2459" i="76" s="1"/>
  <c r="A2460" i="76" s="1"/>
  <c r="A2461" i="76" s="1"/>
  <c r="A2462" i="76" s="1"/>
  <c r="A2463" i="76" s="1"/>
  <c r="A2464" i="76" s="1"/>
  <c r="A2465" i="76" s="1"/>
  <c r="A2466" i="76" s="1"/>
  <c r="A2467" i="76" s="1"/>
  <c r="A2468" i="76" s="1"/>
  <c r="A2469" i="76" s="1"/>
  <c r="A2470" i="76" s="1"/>
  <c r="A2471" i="76" s="1"/>
  <c r="A2472" i="76" s="1"/>
  <c r="A2473" i="76" s="1"/>
  <c r="A2474" i="76" s="1"/>
  <c r="A2475" i="76" s="1"/>
  <c r="A2476" i="76" s="1"/>
  <c r="A2477" i="76" s="1"/>
  <c r="A2478" i="76" s="1"/>
  <c r="A2479" i="76" s="1"/>
  <c r="A2480" i="76" s="1"/>
  <c r="A2481" i="76" s="1"/>
  <c r="A2482" i="76" s="1"/>
  <c r="A2483" i="76" s="1"/>
  <c r="A2484" i="76" s="1"/>
  <c r="A2485" i="76" s="1"/>
  <c r="A2486" i="76" s="1"/>
  <c r="A2487" i="76" s="1"/>
  <c r="A2488" i="76" s="1"/>
  <c r="A2489" i="76" s="1"/>
  <c r="A2490" i="76" s="1"/>
  <c r="A2491" i="76" s="1"/>
  <c r="A2492" i="76" s="1"/>
  <c r="A2493" i="76" s="1"/>
  <c r="A2494" i="76" s="1"/>
  <c r="A2495" i="76" s="1"/>
  <c r="A2496" i="76" s="1"/>
  <c r="A2497" i="76" s="1"/>
  <c r="A2498" i="76" s="1"/>
  <c r="A2499" i="76" s="1"/>
  <c r="A2500" i="76" s="1"/>
  <c r="A2501" i="76" s="1"/>
  <c r="A2502" i="76" s="1"/>
  <c r="A2503" i="76" s="1"/>
  <c r="A2504" i="76" s="1"/>
  <c r="A2505" i="76" s="1"/>
  <c r="A2506" i="76" s="1"/>
  <c r="A2507" i="76" s="1"/>
  <c r="A2508" i="76" s="1"/>
  <c r="A2509" i="76" s="1"/>
  <c r="A2510" i="76" s="1"/>
  <c r="A2511" i="76" s="1"/>
  <c r="A2512" i="76" s="1"/>
  <c r="A2513" i="76" s="1"/>
  <c r="A2514" i="76" s="1"/>
  <c r="A2515" i="76" s="1"/>
  <c r="A2516" i="76" s="1"/>
  <c r="A2517" i="76" s="1"/>
  <c r="A2518" i="76" s="1"/>
  <c r="A2519" i="76" s="1"/>
  <c r="A2520" i="76" s="1"/>
  <c r="A2521" i="76" s="1"/>
  <c r="A2522" i="76" s="1"/>
  <c r="A2523" i="76" s="1"/>
  <c r="A2524" i="76" s="1"/>
  <c r="A2525" i="76" s="1"/>
  <c r="A2526" i="76" s="1"/>
  <c r="A2527" i="76" s="1"/>
  <c r="A2528" i="76" s="1"/>
  <c r="A2529" i="76" s="1"/>
  <c r="A2530" i="76" s="1"/>
  <c r="A2531" i="76" s="1"/>
  <c r="A2532" i="76" s="1"/>
  <c r="A2533" i="76" s="1"/>
  <c r="A2534" i="76" s="1"/>
  <c r="A2535" i="76" s="1"/>
  <c r="A2536" i="76" s="1"/>
  <c r="A2537" i="76" s="1"/>
  <c r="A2538" i="76" s="1"/>
  <c r="A2539" i="76" s="1"/>
  <c r="A2540" i="76" s="1"/>
  <c r="A2541" i="76" s="1"/>
  <c r="A2542" i="76" s="1"/>
  <c r="A2543" i="76" s="1"/>
  <c r="A2544" i="76" s="1"/>
  <c r="A2545" i="76" s="1"/>
  <c r="A2546" i="76" s="1"/>
  <c r="A2547" i="76" s="1"/>
  <c r="A2548" i="76" s="1"/>
  <c r="A2549" i="76" s="1"/>
  <c r="A2550" i="76" s="1"/>
  <c r="A2551" i="76" s="1"/>
  <c r="A2552" i="76" s="1"/>
  <c r="A2553" i="76" s="1"/>
  <c r="A2554" i="76" s="1"/>
  <c r="A2555" i="76" s="1"/>
  <c r="A2556" i="76" s="1"/>
  <c r="A2557" i="76" s="1"/>
  <c r="A2558" i="76" s="1"/>
  <c r="A2559" i="76" s="1"/>
  <c r="A2560" i="76" s="1"/>
  <c r="A2561" i="76" s="1"/>
  <c r="A2562" i="76" s="1"/>
  <c r="A2563" i="76" s="1"/>
  <c r="A2564" i="76" s="1"/>
  <c r="A2565" i="76" s="1"/>
  <c r="A2566" i="76" s="1"/>
  <c r="A2567" i="76" s="1"/>
  <c r="A2568" i="76" s="1"/>
  <c r="A2569" i="76" s="1"/>
  <c r="A2570" i="76" s="1"/>
  <c r="A2571" i="76" s="1"/>
  <c r="A2572" i="76" s="1"/>
  <c r="A2573" i="76" s="1"/>
  <c r="A2574" i="76" s="1"/>
  <c r="A2575" i="76" s="1"/>
  <c r="A2576" i="76" s="1"/>
  <c r="A2577" i="76" s="1"/>
  <c r="A2578" i="76" s="1"/>
  <c r="A2579" i="76" s="1"/>
  <c r="A2580" i="76" s="1"/>
  <c r="A2581" i="76" s="1"/>
  <c r="A2582" i="76" s="1"/>
  <c r="A2583" i="76" s="1"/>
  <c r="A2584" i="76" s="1"/>
  <c r="A2585" i="76" s="1"/>
  <c r="A2586" i="76" s="1"/>
  <c r="A2587" i="76" s="1"/>
  <c r="A2588" i="76" s="1"/>
  <c r="A2589" i="76" s="1"/>
  <c r="A2590" i="76" s="1"/>
  <c r="A2591" i="76" s="1"/>
  <c r="A2592" i="76" s="1"/>
  <c r="A2593" i="76" s="1"/>
  <c r="A2594" i="76" s="1"/>
  <c r="A2595" i="76" s="1"/>
  <c r="A2596" i="76" s="1"/>
  <c r="A2597" i="76" s="1"/>
  <c r="A2598" i="76" s="1"/>
  <c r="A2599" i="76" s="1"/>
  <c r="A2600" i="76" s="1"/>
  <c r="A2601" i="76" s="1"/>
  <c r="A2602" i="76" s="1"/>
  <c r="A2603" i="76" s="1"/>
  <c r="A2604" i="76" s="1"/>
  <c r="A2605" i="76" s="1"/>
  <c r="A2606" i="76" s="1"/>
  <c r="A2607" i="76" s="1"/>
  <c r="A2608" i="76" s="1"/>
  <c r="A2609" i="76" s="1"/>
  <c r="A2610" i="76" s="1"/>
  <c r="A2611" i="76" s="1"/>
  <c r="A2612" i="76" s="1"/>
  <c r="A2613" i="76" s="1"/>
  <c r="A2614" i="76" s="1"/>
  <c r="A2615" i="76" s="1"/>
  <c r="A2616" i="76" s="1"/>
  <c r="A2617" i="76" s="1"/>
  <c r="A2618" i="76" s="1"/>
  <c r="A2619" i="76" s="1"/>
  <c r="A2620" i="76" s="1"/>
  <c r="A2621" i="76" s="1"/>
  <c r="A2622" i="76" s="1"/>
  <c r="A2623" i="76" s="1"/>
  <c r="A2624" i="76" s="1"/>
  <c r="A2625" i="76" s="1"/>
  <c r="A2626" i="76" s="1"/>
  <c r="A2627" i="76" s="1"/>
  <c r="A2628" i="76" s="1"/>
  <c r="A2629" i="76" s="1"/>
  <c r="A2630" i="76" s="1"/>
  <c r="A2631" i="76" s="1"/>
  <c r="A2632" i="76" s="1"/>
  <c r="A2633" i="76" s="1"/>
  <c r="A2634" i="76" s="1"/>
  <c r="A2635" i="76" s="1"/>
  <c r="A2636" i="76" s="1"/>
  <c r="A2637" i="76" s="1"/>
  <c r="A2638" i="76" s="1"/>
  <c r="A2639" i="76" s="1"/>
  <c r="A2640" i="76" s="1"/>
  <c r="A2641" i="76" s="1"/>
  <c r="A2642" i="76" s="1"/>
  <c r="A2643" i="76" s="1"/>
  <c r="A2644" i="76" s="1"/>
  <c r="A2645" i="76" s="1"/>
  <c r="A2646" i="76" s="1"/>
  <c r="A2647" i="76" s="1"/>
  <c r="A2648" i="76" s="1"/>
  <c r="A2649" i="76" s="1"/>
  <c r="A2650" i="76" s="1"/>
  <c r="A2651" i="76" s="1"/>
  <c r="A2652" i="76" s="1"/>
  <c r="A2653" i="76" s="1"/>
  <c r="A2654" i="76" s="1"/>
  <c r="A2655" i="76" s="1"/>
  <c r="A2656" i="76" s="1"/>
  <c r="A2657" i="76" s="1"/>
  <c r="A2658" i="76" s="1"/>
  <c r="A2659" i="76" s="1"/>
  <c r="A2660" i="76" s="1"/>
  <c r="A2661" i="76" s="1"/>
  <c r="A2662" i="76" s="1"/>
  <c r="A2663" i="76" s="1"/>
  <c r="A2664" i="76" s="1"/>
  <c r="A2665" i="76" s="1"/>
  <c r="A2666" i="76" s="1"/>
  <c r="A2667" i="76" s="1"/>
  <c r="A2668" i="76" s="1"/>
  <c r="A2669" i="76" s="1"/>
  <c r="A2670" i="76" s="1"/>
  <c r="A2671" i="76" s="1"/>
  <c r="A2672" i="76" s="1"/>
  <c r="A2673" i="76" s="1"/>
  <c r="A2674" i="76" s="1"/>
  <c r="A2675" i="76" s="1"/>
  <c r="A2676" i="76" s="1"/>
  <c r="A2677" i="76" s="1"/>
  <c r="A2678" i="76" s="1"/>
  <c r="A2679" i="76" s="1"/>
  <c r="A2680" i="76" s="1"/>
  <c r="A2681" i="76" s="1"/>
  <c r="A2682" i="76" s="1"/>
  <c r="A2683" i="76" s="1"/>
  <c r="A2684" i="76" s="1"/>
  <c r="A2685" i="76" s="1"/>
  <c r="A2686" i="76" s="1"/>
  <c r="A2687" i="76" s="1"/>
  <c r="A2688" i="76" s="1"/>
  <c r="A2689" i="76" s="1"/>
  <c r="A2690" i="76" s="1"/>
  <c r="A2691" i="76" s="1"/>
  <c r="A2692" i="76" s="1"/>
  <c r="A2693" i="76" s="1"/>
  <c r="A2694" i="76" s="1"/>
  <c r="A2695" i="76" s="1"/>
  <c r="A2696" i="76" s="1"/>
  <c r="A2697" i="76" s="1"/>
  <c r="A2698" i="76" s="1"/>
  <c r="A2699" i="76" s="1"/>
  <c r="A2700" i="76" s="1"/>
  <c r="A2701" i="76" s="1"/>
  <c r="A2702" i="76" s="1"/>
  <c r="A2703" i="76" s="1"/>
  <c r="A2704" i="76" s="1"/>
  <c r="A2705" i="76" s="1"/>
  <c r="A2706" i="76" s="1"/>
  <c r="A2707" i="76" s="1"/>
  <c r="A2708" i="76" s="1"/>
  <c r="A2709" i="76" s="1"/>
  <c r="A2710" i="76" s="1"/>
  <c r="A2711" i="76" s="1"/>
  <c r="A2712" i="76" s="1"/>
  <c r="A2713" i="76" s="1"/>
  <c r="A2714" i="76" s="1"/>
  <c r="A2715" i="76" s="1"/>
  <c r="A2716" i="76" s="1"/>
  <c r="A2717" i="76" s="1"/>
  <c r="A2718" i="76" s="1"/>
  <c r="A2719" i="76" s="1"/>
  <c r="A2720" i="76" s="1"/>
  <c r="A2721" i="76" s="1"/>
  <c r="A2722" i="76" s="1"/>
  <c r="A2723" i="76" s="1"/>
  <c r="A2724" i="76" s="1"/>
  <c r="A2725" i="76" s="1"/>
  <c r="A2726" i="76" s="1"/>
  <c r="A2727" i="76" s="1"/>
  <c r="A2728" i="76" s="1"/>
  <c r="A2729" i="76" s="1"/>
  <c r="A2730" i="76" s="1"/>
  <c r="A2731" i="76" s="1"/>
  <c r="A2732" i="76" s="1"/>
  <c r="A2733" i="76" s="1"/>
  <c r="A2734" i="76" s="1"/>
  <c r="A2735" i="76" s="1"/>
  <c r="A2736" i="76" s="1"/>
  <c r="A2737" i="76" s="1"/>
  <c r="A2738" i="76" s="1"/>
  <c r="A2739" i="76" s="1"/>
  <c r="A2740" i="76" s="1"/>
  <c r="A2741" i="76" s="1"/>
  <c r="A2742" i="76" s="1"/>
  <c r="A2743" i="76" s="1"/>
  <c r="A2744" i="76" s="1"/>
  <c r="A2745" i="76" s="1"/>
  <c r="A2746" i="76" s="1"/>
  <c r="A2747" i="76" s="1"/>
  <c r="A2748" i="76" s="1"/>
  <c r="A2749" i="76" s="1"/>
  <c r="A2750" i="76" s="1"/>
  <c r="A2751" i="76" s="1"/>
  <c r="A2752" i="76" s="1"/>
  <c r="A2753" i="76" s="1"/>
  <c r="A2754" i="76" s="1"/>
  <c r="A2755" i="76" s="1"/>
  <c r="A2756" i="76" s="1"/>
  <c r="A2757" i="76" s="1"/>
  <c r="A2758" i="76" s="1"/>
  <c r="A2759" i="76" s="1"/>
  <c r="A2760" i="76" s="1"/>
  <c r="A2761" i="76" s="1"/>
  <c r="A2762" i="76" s="1"/>
  <c r="A2763" i="76" s="1"/>
  <c r="A2764" i="76" s="1"/>
  <c r="A2765" i="76" s="1"/>
  <c r="A2766" i="76" s="1"/>
  <c r="A2767" i="76" s="1"/>
  <c r="A2768" i="76" s="1"/>
  <c r="A2769" i="76" s="1"/>
  <c r="A2770" i="76" s="1"/>
  <c r="A2771" i="76" s="1"/>
  <c r="A2772" i="76" s="1"/>
  <c r="A2773" i="76" s="1"/>
  <c r="A2774" i="76" s="1"/>
  <c r="A2775" i="76" s="1"/>
  <c r="A2776" i="76" s="1"/>
  <c r="A2777" i="76" s="1"/>
  <c r="A2778" i="76" s="1"/>
  <c r="A2779" i="76" s="1"/>
  <c r="A2780" i="76" s="1"/>
  <c r="A2781" i="76" s="1"/>
  <c r="A2782" i="76" s="1"/>
  <c r="A2783" i="76" s="1"/>
  <c r="A2784" i="76" s="1"/>
  <c r="A2785" i="76" s="1"/>
  <c r="A2786" i="76" s="1"/>
  <c r="A2787" i="76" s="1"/>
  <c r="A2788" i="76" s="1"/>
  <c r="A2789" i="76" s="1"/>
  <c r="A2790" i="76" s="1"/>
  <c r="A2791" i="76" s="1"/>
  <c r="A2792" i="76" s="1"/>
  <c r="A2793" i="76" s="1"/>
  <c r="A2794" i="76" s="1"/>
  <c r="A2795" i="76" s="1"/>
  <c r="A2796" i="76" s="1"/>
  <c r="A2797" i="76" s="1"/>
  <c r="A2798" i="76" s="1"/>
  <c r="A2799" i="76" s="1"/>
  <c r="A2800" i="76" s="1"/>
  <c r="A2801" i="76" s="1"/>
  <c r="A2802" i="76" s="1"/>
  <c r="A2803" i="76" s="1"/>
  <c r="A2804" i="76" s="1"/>
  <c r="A2805" i="76" s="1"/>
  <c r="A2806" i="76" s="1"/>
  <c r="A2807" i="76" s="1"/>
  <c r="A2808" i="76" s="1"/>
  <c r="A2809" i="76" s="1"/>
  <c r="A2810" i="76" s="1"/>
  <c r="A2811" i="76" s="1"/>
  <c r="A2812" i="76" s="1"/>
  <c r="A2813" i="76" s="1"/>
  <c r="A2814" i="76" s="1"/>
  <c r="A2815" i="76" s="1"/>
  <c r="A2816" i="76" s="1"/>
  <c r="A2817" i="76" s="1"/>
  <c r="A2818" i="76" s="1"/>
  <c r="A2819" i="76" s="1"/>
  <c r="A2820" i="76" s="1"/>
  <c r="A2821" i="76" s="1"/>
  <c r="A2822" i="76" s="1"/>
  <c r="A2823" i="76" s="1"/>
  <c r="A2824" i="76" s="1"/>
  <c r="A2825" i="76" s="1"/>
  <c r="A2826" i="76" s="1"/>
  <c r="A2827" i="76" s="1"/>
  <c r="A2828" i="76" s="1"/>
  <c r="A2829" i="76" s="1"/>
  <c r="A2830" i="76" s="1"/>
  <c r="A2831" i="76" s="1"/>
  <c r="A2832" i="76" s="1"/>
  <c r="A2833" i="76" s="1"/>
  <c r="A2834" i="76" s="1"/>
  <c r="A2835" i="76" s="1"/>
  <c r="A2836" i="76" s="1"/>
  <c r="A2837" i="76" s="1"/>
  <c r="A2838" i="76" s="1"/>
  <c r="A2839" i="76" s="1"/>
  <c r="A2840" i="76" s="1"/>
  <c r="A2841" i="76" s="1"/>
  <c r="A2842" i="76" s="1"/>
  <c r="A2843" i="76" s="1"/>
  <c r="A2844" i="76" s="1"/>
  <c r="A2845" i="76" s="1"/>
  <c r="A2846" i="76" s="1"/>
  <c r="A2847" i="76" s="1"/>
  <c r="A2848" i="76" s="1"/>
  <c r="A2849" i="76" s="1"/>
  <c r="A2850" i="76" s="1"/>
  <c r="A2851" i="76" s="1"/>
  <c r="A2852" i="76" s="1"/>
  <c r="A2853" i="76" s="1"/>
  <c r="A2854" i="76" s="1"/>
  <c r="A2855" i="76" s="1"/>
  <c r="A2856" i="76" s="1"/>
  <c r="A2857" i="76" s="1"/>
  <c r="A2858" i="76" s="1"/>
  <c r="A2859" i="76" s="1"/>
  <c r="A2860" i="76" s="1"/>
  <c r="A2861" i="76" s="1"/>
  <c r="A2862" i="76" s="1"/>
  <c r="A2863" i="76" s="1"/>
  <c r="A2864" i="76" s="1"/>
  <c r="A2865" i="76" s="1"/>
  <c r="A2866" i="76" s="1"/>
  <c r="A2867" i="76" s="1"/>
  <c r="A2868" i="76" s="1"/>
  <c r="A2869" i="76" s="1"/>
  <c r="A2870" i="76" s="1"/>
  <c r="A2871" i="76" s="1"/>
  <c r="A2872" i="76" s="1"/>
  <c r="A2873" i="76" s="1"/>
  <c r="A2874" i="76" s="1"/>
  <c r="A2875" i="76" s="1"/>
  <c r="A2876" i="76" s="1"/>
  <c r="A2877" i="76" s="1"/>
  <c r="A2878" i="76" s="1"/>
  <c r="A2879" i="76" s="1"/>
  <c r="A2880" i="76" s="1"/>
  <c r="A2881" i="76" s="1"/>
  <c r="A2882" i="76" s="1"/>
  <c r="A2883" i="76" s="1"/>
  <c r="A2884" i="76" s="1"/>
  <c r="A2885" i="76" s="1"/>
  <c r="A2886" i="76" s="1"/>
  <c r="A2887" i="76" s="1"/>
  <c r="A2888" i="76" s="1"/>
  <c r="A2889" i="76" s="1"/>
  <c r="A2890" i="76" s="1"/>
  <c r="A2891" i="76" s="1"/>
  <c r="A2892" i="76" s="1"/>
  <c r="A2893" i="76" s="1"/>
  <c r="A2894" i="76" s="1"/>
  <c r="A2895" i="76" s="1"/>
  <c r="A2896" i="76" s="1"/>
  <c r="A2897" i="76" s="1"/>
  <c r="A2898" i="76" s="1"/>
  <c r="A2899" i="76" s="1"/>
  <c r="A2900" i="76" s="1"/>
  <c r="A2901" i="76" s="1"/>
  <c r="A2902" i="76" s="1"/>
  <c r="A2903" i="76" s="1"/>
  <c r="A2904" i="76" s="1"/>
  <c r="A2905" i="76" s="1"/>
  <c r="A2906" i="76" s="1"/>
  <c r="A2907" i="76" s="1"/>
  <c r="A2908" i="76" s="1"/>
  <c r="A2909" i="76" s="1"/>
  <c r="A2910" i="76" s="1"/>
  <c r="A2911" i="76" s="1"/>
  <c r="A2912" i="76" s="1"/>
  <c r="A2913" i="76" s="1"/>
  <c r="A2914" i="76" s="1"/>
  <c r="A2915" i="76" s="1"/>
  <c r="A2916" i="76" s="1"/>
  <c r="A2917" i="76" s="1"/>
  <c r="A2918" i="76" s="1"/>
  <c r="A2919" i="76" s="1"/>
  <c r="A2920" i="76" s="1"/>
  <c r="A2921" i="76" s="1"/>
  <c r="A2922" i="76" s="1"/>
  <c r="A2923" i="76" s="1"/>
  <c r="A2924" i="76" s="1"/>
  <c r="A2925" i="76" s="1"/>
  <c r="A2926" i="76" s="1"/>
  <c r="A2927" i="76" s="1"/>
  <c r="A2928" i="76" s="1"/>
  <c r="A2929" i="76" s="1"/>
  <c r="A2930" i="76" s="1"/>
  <c r="A2931" i="76" s="1"/>
  <c r="A2932" i="76" s="1"/>
  <c r="A2933" i="76" s="1"/>
  <c r="A2934" i="76" s="1"/>
  <c r="A2935" i="76" s="1"/>
  <c r="A2936" i="76" s="1"/>
  <c r="A2937" i="76" s="1"/>
  <c r="A2938" i="76" s="1"/>
  <c r="A2939" i="76" s="1"/>
  <c r="A2940" i="76" s="1"/>
  <c r="A2941" i="76" s="1"/>
  <c r="A2942" i="76" s="1"/>
  <c r="A2943" i="76" s="1"/>
  <c r="A2944" i="76" s="1"/>
  <c r="A2945" i="76" s="1"/>
  <c r="A2946" i="76" s="1"/>
  <c r="A2947" i="76" s="1"/>
  <c r="A2948" i="76" s="1"/>
  <c r="A2949" i="76" s="1"/>
  <c r="A2950" i="76" s="1"/>
  <c r="A2951" i="76" s="1"/>
  <c r="A2952" i="76" s="1"/>
  <c r="A2953" i="76" s="1"/>
  <c r="A2954" i="76" s="1"/>
  <c r="A2955" i="76" s="1"/>
  <c r="A2956" i="76" s="1"/>
  <c r="A2957" i="76" s="1"/>
  <c r="A2958" i="76" s="1"/>
  <c r="A2959" i="76" s="1"/>
  <c r="A2960" i="76" s="1"/>
  <c r="A2961" i="76" s="1"/>
  <c r="A2962" i="76" s="1"/>
  <c r="A2963" i="76" s="1"/>
  <c r="A2964" i="76" s="1"/>
  <c r="A2965" i="76" s="1"/>
  <c r="A2966" i="76" s="1"/>
  <c r="A2967" i="76" s="1"/>
  <c r="A2968" i="76" s="1"/>
  <c r="A2969" i="76" s="1"/>
  <c r="A2970" i="76" s="1"/>
  <c r="A2971" i="76" s="1"/>
  <c r="A2972" i="76" s="1"/>
  <c r="A2973" i="76" s="1"/>
  <c r="A2974" i="76" s="1"/>
  <c r="A2975" i="76" s="1"/>
  <c r="A2976" i="76" s="1"/>
  <c r="A2977" i="76" s="1"/>
  <c r="A2978" i="76" s="1"/>
  <c r="A2979" i="76" s="1"/>
  <c r="A2980" i="76" s="1"/>
  <c r="A2981" i="76" s="1"/>
  <c r="A2982" i="76" s="1"/>
  <c r="A2983" i="76" s="1"/>
  <c r="A2984" i="76" s="1"/>
  <c r="A2985" i="76" s="1"/>
  <c r="A2986" i="76" s="1"/>
  <c r="A2987" i="76" s="1"/>
  <c r="A2988" i="76" s="1"/>
  <c r="A2989" i="76" s="1"/>
  <c r="A2990" i="76" s="1"/>
  <c r="A2991" i="76" s="1"/>
  <c r="A2992" i="76" s="1"/>
  <c r="A2993" i="76" s="1"/>
  <c r="A2994" i="76" s="1"/>
  <c r="A2995" i="76" s="1"/>
  <c r="A2996" i="76" s="1"/>
  <c r="A2997" i="76" s="1"/>
  <c r="A2998" i="76" s="1"/>
  <c r="A2999" i="76" s="1"/>
  <c r="A3000" i="76" s="1"/>
  <c r="A3001" i="76" s="1"/>
  <c r="A3002" i="76" s="1"/>
  <c r="A3003" i="76" s="1"/>
  <c r="A3004" i="76" s="1"/>
  <c r="A3005" i="76" s="1"/>
  <c r="A3006" i="76" s="1"/>
  <c r="A3007" i="76" s="1"/>
  <c r="A3008" i="76" s="1"/>
  <c r="A3009" i="76" s="1"/>
  <c r="A3010" i="76" s="1"/>
  <c r="A3011" i="76" s="1"/>
  <c r="A3012" i="76" s="1"/>
  <c r="A3013" i="76" s="1"/>
  <c r="A3014" i="76" s="1"/>
  <c r="A3015" i="76" s="1"/>
  <c r="A3016" i="76" s="1"/>
  <c r="A3017" i="76" s="1"/>
  <c r="A3018" i="76" s="1"/>
  <c r="A3019" i="76" s="1"/>
  <c r="A3020" i="76" s="1"/>
  <c r="A3021" i="76" s="1"/>
  <c r="A3022" i="76" s="1"/>
  <c r="A3023" i="76" s="1"/>
  <c r="A3024" i="76" s="1"/>
  <c r="A3025" i="76" s="1"/>
  <c r="A3026" i="76" s="1"/>
  <c r="A3027" i="76" s="1"/>
  <c r="A3028" i="76" s="1"/>
  <c r="A3029" i="76" s="1"/>
  <c r="A3030" i="76" s="1"/>
  <c r="A3031" i="76" s="1"/>
  <c r="A3032" i="76" s="1"/>
  <c r="A3033" i="76" s="1"/>
  <c r="A3034" i="76" s="1"/>
  <c r="A3035" i="76" s="1"/>
  <c r="A3036" i="76" s="1"/>
  <c r="A3037" i="76" s="1"/>
  <c r="A3038" i="76" s="1"/>
  <c r="A3039" i="76" s="1"/>
  <c r="A3040" i="76" s="1"/>
  <c r="A3041" i="76" s="1"/>
  <c r="A3042" i="76" s="1"/>
  <c r="A3043" i="76" s="1"/>
  <c r="A3044" i="76" s="1"/>
  <c r="A3045" i="76" s="1"/>
  <c r="A3046" i="76" s="1"/>
  <c r="A3047" i="76" s="1"/>
  <c r="A3048" i="76" s="1"/>
  <c r="A3049" i="76" s="1"/>
  <c r="A3050" i="76" s="1"/>
  <c r="A3051" i="76" s="1"/>
  <c r="A3052" i="76" s="1"/>
  <c r="A3053" i="76" s="1"/>
  <c r="A3054" i="76" s="1"/>
  <c r="A3055" i="76" s="1"/>
  <c r="A3056" i="76" s="1"/>
  <c r="A3057" i="76" s="1"/>
  <c r="A3058" i="76" s="1"/>
  <c r="A3059" i="76" s="1"/>
  <c r="A3060" i="76" s="1"/>
  <c r="A3061" i="76" s="1"/>
  <c r="A3062" i="76" s="1"/>
  <c r="A3063" i="76" s="1"/>
  <c r="A3064" i="76" s="1"/>
  <c r="A3065" i="76" s="1"/>
  <c r="A3066" i="76" s="1"/>
  <c r="A3067" i="76" s="1"/>
  <c r="A3068" i="76" s="1"/>
  <c r="A3069" i="76" s="1"/>
  <c r="A3070" i="76" s="1"/>
  <c r="A3071" i="76" s="1"/>
  <c r="A3072" i="76" s="1"/>
  <c r="A3073" i="76" s="1"/>
  <c r="A3074" i="76" s="1"/>
  <c r="A3075" i="76" s="1"/>
  <c r="A3076" i="76" s="1"/>
  <c r="A3077" i="76" s="1"/>
  <c r="A3078" i="76" s="1"/>
  <c r="A3079" i="76" s="1"/>
  <c r="A3080" i="76" s="1"/>
  <c r="A3081" i="76" s="1"/>
  <c r="A3082" i="76" s="1"/>
  <c r="A3083" i="76" s="1"/>
  <c r="A3084" i="76" s="1"/>
  <c r="A3085" i="76" s="1"/>
  <c r="A3086" i="76" s="1"/>
  <c r="A3087" i="76" s="1"/>
  <c r="A3088" i="76" s="1"/>
  <c r="A3089" i="76" s="1"/>
  <c r="A3090" i="76" s="1"/>
  <c r="A3091" i="76" s="1"/>
  <c r="A3092" i="76" s="1"/>
  <c r="A3093" i="76" s="1"/>
  <c r="A3094" i="76" s="1"/>
  <c r="A3095" i="76" s="1"/>
  <c r="A3096" i="76" s="1"/>
  <c r="A3097" i="76" s="1"/>
  <c r="A3098" i="76" s="1"/>
  <c r="A3099" i="76" s="1"/>
  <c r="A3100" i="76" s="1"/>
  <c r="A3101" i="76" s="1"/>
  <c r="A3102" i="76" s="1"/>
  <c r="A3103" i="76" s="1"/>
  <c r="A3104" i="76" s="1"/>
  <c r="A3105" i="76" s="1"/>
  <c r="A3106" i="76" s="1"/>
  <c r="A3107" i="76" s="1"/>
  <c r="A3108" i="76" s="1"/>
  <c r="A3109" i="76" s="1"/>
  <c r="A3110" i="76" s="1"/>
  <c r="A3111" i="76" s="1"/>
  <c r="A3112" i="76" s="1"/>
  <c r="A3113" i="76" s="1"/>
  <c r="A3114" i="76" s="1"/>
  <c r="A3115" i="76" s="1"/>
  <c r="A3116" i="76" s="1"/>
  <c r="A3117" i="76" s="1"/>
  <c r="A3118" i="76" s="1"/>
  <c r="A3119" i="76" s="1"/>
  <c r="A3120" i="76" s="1"/>
  <c r="A3121" i="76" s="1"/>
  <c r="A3122" i="76" s="1"/>
  <c r="A3123" i="76" s="1"/>
  <c r="A3124" i="76" s="1"/>
  <c r="A3125" i="76" s="1"/>
  <c r="A3126" i="76" s="1"/>
  <c r="A3127" i="76" s="1"/>
  <c r="A3128" i="76" s="1"/>
  <c r="A3129" i="76" s="1"/>
  <c r="A3130" i="76" s="1"/>
  <c r="A3131" i="76" s="1"/>
  <c r="A3132" i="76" s="1"/>
  <c r="A3133" i="76" s="1"/>
  <c r="A3134" i="76" s="1"/>
  <c r="A3135" i="76" s="1"/>
  <c r="A3136" i="76" s="1"/>
  <c r="A3137" i="76" s="1"/>
  <c r="A3138" i="76" s="1"/>
  <c r="A3139" i="76" s="1"/>
  <c r="A3140" i="76" s="1"/>
  <c r="A3141" i="76" s="1"/>
  <c r="A3142" i="76" s="1"/>
  <c r="A3143" i="76" s="1"/>
  <c r="A3144" i="76" s="1"/>
  <c r="A3145" i="76" s="1"/>
  <c r="A3146" i="76" s="1"/>
  <c r="A3147" i="76" s="1"/>
  <c r="A3148" i="76" s="1"/>
  <c r="A3149" i="76" s="1"/>
  <c r="A3150" i="76" s="1"/>
  <c r="A3151" i="76" s="1"/>
  <c r="A3152" i="76" s="1"/>
  <c r="A3153" i="76" s="1"/>
  <c r="A3154" i="76" s="1"/>
  <c r="A3155" i="76" s="1"/>
  <c r="A3156" i="76" s="1"/>
  <c r="A3157" i="76" s="1"/>
  <c r="A3158" i="76" s="1"/>
  <c r="A3159" i="76" s="1"/>
  <c r="A3160" i="76" s="1"/>
  <c r="A3161" i="76" s="1"/>
  <c r="A3162" i="76" s="1"/>
  <c r="A3163" i="76" s="1"/>
  <c r="A3164" i="76" s="1"/>
  <c r="A3165" i="76" s="1"/>
  <c r="A3166" i="76" s="1"/>
  <c r="A3167" i="76" s="1"/>
  <c r="A3168" i="76" s="1"/>
  <c r="A3169" i="76" s="1"/>
  <c r="A3170" i="76" s="1"/>
  <c r="A3171" i="76" s="1"/>
  <c r="A3172" i="76" s="1"/>
  <c r="A3173" i="76" s="1"/>
  <c r="A3174" i="76" s="1"/>
  <c r="A3175" i="76" s="1"/>
  <c r="A3176" i="76" s="1"/>
  <c r="A3177" i="76" s="1"/>
  <c r="A3178" i="76" s="1"/>
  <c r="A3179" i="76" s="1"/>
  <c r="A3180" i="76" s="1"/>
  <c r="A3181" i="76" s="1"/>
  <c r="A3182" i="76" s="1"/>
  <c r="A3183" i="76" s="1"/>
  <c r="A3184" i="76" s="1"/>
  <c r="A3185" i="76" s="1"/>
  <c r="A3186" i="76" s="1"/>
  <c r="A3187" i="76" s="1"/>
  <c r="A3188" i="76" s="1"/>
  <c r="A3189" i="76" s="1"/>
  <c r="A3190" i="76" s="1"/>
  <c r="A3191" i="76" s="1"/>
  <c r="A3192" i="76" s="1"/>
  <c r="A3193" i="76" s="1"/>
  <c r="A3194" i="76" s="1"/>
  <c r="A3195" i="76" s="1"/>
  <c r="A3196" i="76" s="1"/>
  <c r="A3197" i="76" s="1"/>
  <c r="A3198" i="76" s="1"/>
  <c r="A3199" i="76" s="1"/>
  <c r="A3200" i="76" s="1"/>
  <c r="A3201" i="76" s="1"/>
  <c r="A3202" i="76" s="1"/>
  <c r="A3203" i="76" s="1"/>
  <c r="A3204" i="76" s="1"/>
  <c r="A3205" i="76" s="1"/>
  <c r="A3206" i="76" s="1"/>
  <c r="A3207" i="76" s="1"/>
  <c r="A3208" i="76" s="1"/>
  <c r="A3209" i="76" s="1"/>
  <c r="A3210" i="76" s="1"/>
  <c r="A3211" i="76" s="1"/>
  <c r="A3212" i="76" s="1"/>
  <c r="A3213" i="76" s="1"/>
  <c r="A3214" i="76" s="1"/>
  <c r="A3215" i="76" s="1"/>
  <c r="A3216" i="76" s="1"/>
  <c r="A3217" i="76" s="1"/>
  <c r="A3218" i="76" s="1"/>
  <c r="A3219" i="76" s="1"/>
  <c r="A3220" i="76" s="1"/>
  <c r="A3221" i="76" s="1"/>
  <c r="A3222" i="76" s="1"/>
  <c r="A3223" i="76" s="1"/>
  <c r="A3224" i="76" s="1"/>
  <c r="A3225" i="76" s="1"/>
  <c r="A3226" i="76" s="1"/>
  <c r="A3227" i="76" s="1"/>
  <c r="A3228" i="76" s="1"/>
  <c r="A3229" i="76" s="1"/>
  <c r="A3230" i="76" s="1"/>
  <c r="A3231" i="76" s="1"/>
  <c r="A3232" i="76" s="1"/>
  <c r="A3233" i="76" s="1"/>
  <c r="A3234" i="76" s="1"/>
  <c r="A3235" i="76" s="1"/>
  <c r="A3236" i="76" s="1"/>
  <c r="A3237" i="76" s="1"/>
  <c r="A3238" i="76" s="1"/>
  <c r="A3239" i="76" s="1"/>
  <c r="A3240" i="76" s="1"/>
  <c r="A3241" i="76" s="1"/>
  <c r="A3242" i="76" s="1"/>
  <c r="A3243" i="76" s="1"/>
  <c r="A3244" i="76" s="1"/>
  <c r="A3245" i="76" s="1"/>
  <c r="A3246" i="76" s="1"/>
  <c r="A3247" i="76" s="1"/>
  <c r="A3248" i="76" s="1"/>
  <c r="A3249" i="76" s="1"/>
  <c r="A3250" i="76" s="1"/>
  <c r="A3251" i="76" s="1"/>
  <c r="A3252" i="76" s="1"/>
  <c r="A3253" i="76" s="1"/>
  <c r="A3254" i="76" s="1"/>
  <c r="A3255" i="76" s="1"/>
  <c r="A3256" i="76" s="1"/>
  <c r="A3257" i="76" s="1"/>
  <c r="A3258" i="76" s="1"/>
  <c r="A3259" i="76" s="1"/>
  <c r="A3260" i="76" s="1"/>
  <c r="A3261" i="76" s="1"/>
  <c r="A3262" i="76" s="1"/>
  <c r="A3263" i="76" s="1"/>
  <c r="A3264" i="76" s="1"/>
  <c r="A3265" i="76" s="1"/>
  <c r="A3266" i="76" s="1"/>
  <c r="A3267" i="76" s="1"/>
  <c r="A3268" i="76" s="1"/>
  <c r="A3269" i="76" s="1"/>
  <c r="A3270" i="76" s="1"/>
  <c r="A3271" i="76" s="1"/>
  <c r="A3272" i="76" s="1"/>
  <c r="A3273" i="76" s="1"/>
  <c r="A3274" i="76" s="1"/>
  <c r="A3275" i="76" s="1"/>
  <c r="A3276" i="76" s="1"/>
  <c r="A3277" i="76" s="1"/>
  <c r="A3278" i="76" s="1"/>
  <c r="A3279" i="76" s="1"/>
  <c r="A3280" i="76" s="1"/>
  <c r="A3281" i="76" s="1"/>
  <c r="A3282" i="76" s="1"/>
  <c r="A3283" i="76" s="1"/>
  <c r="A3284" i="76" s="1"/>
  <c r="A3285" i="76" s="1"/>
  <c r="A3286" i="76" s="1"/>
  <c r="A3287" i="76" s="1"/>
  <c r="A3288" i="76" s="1"/>
  <c r="A3289" i="76" s="1"/>
  <c r="A3290" i="76" s="1"/>
  <c r="A3291" i="76" s="1"/>
  <c r="A3292" i="76" s="1"/>
  <c r="A3293" i="76" s="1"/>
  <c r="A3294" i="76" s="1"/>
  <c r="A3295" i="76" s="1"/>
  <c r="A3296" i="76" s="1"/>
  <c r="A3297" i="76" s="1"/>
  <c r="A3298" i="76" s="1"/>
  <c r="A3299" i="76" s="1"/>
  <c r="A3300" i="76" s="1"/>
  <c r="A3301" i="76" s="1"/>
  <c r="A3302" i="76" s="1"/>
  <c r="A3303" i="76" s="1"/>
  <c r="A3304" i="76" s="1"/>
  <c r="A3305" i="76" s="1"/>
  <c r="A3306" i="76" s="1"/>
  <c r="A3307" i="76" s="1"/>
  <c r="A3308" i="76" s="1"/>
  <c r="A3309" i="76" s="1"/>
  <c r="A3310" i="76" s="1"/>
  <c r="A3311" i="76" s="1"/>
  <c r="A3312" i="76" s="1"/>
  <c r="A3313" i="76" s="1"/>
  <c r="A3314" i="76" s="1"/>
  <c r="A3315" i="76" s="1"/>
  <c r="A3316" i="76" s="1"/>
  <c r="A3317" i="76" s="1"/>
  <c r="A3318" i="76" s="1"/>
  <c r="A3319" i="76" s="1"/>
  <c r="A3320" i="76" s="1"/>
  <c r="A3321" i="76" s="1"/>
  <c r="A3322" i="76" s="1"/>
  <c r="A3323" i="76" s="1"/>
  <c r="A3324" i="76" s="1"/>
  <c r="A3325" i="76" s="1"/>
  <c r="A3326" i="76" s="1"/>
  <c r="A3327" i="76" s="1"/>
  <c r="A3328" i="76" s="1"/>
  <c r="A3329" i="76" s="1"/>
  <c r="A3330" i="76" s="1"/>
  <c r="A3331" i="76" s="1"/>
  <c r="A3332" i="76" s="1"/>
  <c r="A3333" i="76" s="1"/>
  <c r="A3334" i="76" s="1"/>
  <c r="A3335" i="76" s="1"/>
  <c r="A3336" i="76" s="1"/>
  <c r="A3337" i="76" s="1"/>
  <c r="A3338" i="76" s="1"/>
  <c r="A3339" i="76" s="1"/>
  <c r="A3340" i="76" s="1"/>
  <c r="A3341" i="76" s="1"/>
  <c r="A3342" i="76" s="1"/>
  <c r="A3343" i="76" s="1"/>
  <c r="A3344" i="76" s="1"/>
  <c r="A3345" i="76" s="1"/>
  <c r="A3346" i="76" s="1"/>
  <c r="A3347" i="76" s="1"/>
  <c r="A3348" i="76" s="1"/>
  <c r="A3349" i="76" s="1"/>
  <c r="A3350" i="76" s="1"/>
  <c r="A3351" i="76" s="1"/>
  <c r="A3352" i="76" s="1"/>
  <c r="A3353" i="76" s="1"/>
  <c r="A3354" i="76" s="1"/>
  <c r="A3355" i="76" s="1"/>
  <c r="A3356" i="76" s="1"/>
  <c r="A3357" i="76" s="1"/>
  <c r="A3358" i="76" s="1"/>
  <c r="A3359" i="76" s="1"/>
  <c r="A3360" i="76" s="1"/>
  <c r="A3361" i="76" s="1"/>
  <c r="A3362" i="76" s="1"/>
  <c r="A3363" i="76" s="1"/>
  <c r="A3364" i="76" s="1"/>
  <c r="A3365" i="76" s="1"/>
  <c r="A3366" i="76" s="1"/>
  <c r="A3367" i="76" s="1"/>
  <c r="A3368" i="76" s="1"/>
  <c r="A3369" i="76" s="1"/>
  <c r="A3370" i="76" s="1"/>
  <c r="A3371" i="76" s="1"/>
  <c r="A3372" i="76" s="1"/>
  <c r="A3373" i="76" s="1"/>
  <c r="A3374" i="76" s="1"/>
  <c r="A3375" i="76" s="1"/>
  <c r="A3376" i="76" s="1"/>
  <c r="A3377" i="76" s="1"/>
  <c r="A3378" i="76" s="1"/>
  <c r="A3379" i="76" s="1"/>
  <c r="A3380" i="76" s="1"/>
  <c r="A3381" i="76" s="1"/>
  <c r="A3382" i="76" s="1"/>
  <c r="A3383" i="76" s="1"/>
  <c r="A3384" i="76" s="1"/>
  <c r="A3385" i="76" s="1"/>
  <c r="A3386" i="76" s="1"/>
  <c r="A3387" i="76" s="1"/>
  <c r="A3388" i="76" s="1"/>
  <c r="A3389" i="76" s="1"/>
  <c r="A3390" i="76" s="1"/>
  <c r="A3391" i="76" s="1"/>
  <c r="A3392" i="76" s="1"/>
  <c r="A3393" i="76" s="1"/>
  <c r="A3394" i="76" s="1"/>
  <c r="A3395" i="76" s="1"/>
  <c r="A3396" i="76" s="1"/>
  <c r="A3397" i="76" s="1"/>
  <c r="A3398" i="76" s="1"/>
  <c r="A3399" i="76" s="1"/>
  <c r="A3400" i="76" s="1"/>
  <c r="A3401" i="76" s="1"/>
  <c r="A3402" i="76" s="1"/>
  <c r="A3403" i="76" s="1"/>
  <c r="A3404" i="76" s="1"/>
  <c r="A3405" i="76" s="1"/>
  <c r="A3406" i="76" s="1"/>
  <c r="A3407" i="76" s="1"/>
  <c r="A3408" i="76" s="1"/>
  <c r="A3409" i="76" s="1"/>
  <c r="A3410" i="76" s="1"/>
  <c r="A3411" i="76" s="1"/>
  <c r="A3412" i="76" s="1"/>
  <c r="A3413" i="76" s="1"/>
  <c r="A3414" i="76" s="1"/>
  <c r="A3415" i="76" s="1"/>
  <c r="A3416" i="76" s="1"/>
  <c r="A3417" i="76" s="1"/>
  <c r="A3418" i="76" s="1"/>
  <c r="A3419" i="76" s="1"/>
  <c r="A3420" i="76" s="1"/>
  <c r="A3421" i="76" s="1"/>
  <c r="A3422" i="76" s="1"/>
  <c r="A3423" i="76" s="1"/>
  <c r="A3424" i="76" s="1"/>
  <c r="A3425" i="76" s="1"/>
  <c r="A3426" i="76" s="1"/>
  <c r="A3427" i="76" s="1"/>
  <c r="A3428" i="76" s="1"/>
  <c r="A3429" i="76" s="1"/>
  <c r="A3430" i="76" s="1"/>
  <c r="A3431" i="76" s="1"/>
  <c r="A3432" i="76" s="1"/>
  <c r="A3433" i="76" s="1"/>
  <c r="A3434" i="76" s="1"/>
  <c r="A3435" i="76" s="1"/>
  <c r="A3436" i="76" s="1"/>
  <c r="A3437" i="76" s="1"/>
  <c r="A3438" i="76" s="1"/>
  <c r="A3439" i="76" s="1"/>
  <c r="A3440" i="76" s="1"/>
  <c r="A3441" i="76" s="1"/>
  <c r="A3442" i="76" s="1"/>
  <c r="A3443" i="76" s="1"/>
  <c r="A3444" i="76" s="1"/>
  <c r="A3445" i="76" s="1"/>
  <c r="A3446" i="76" s="1"/>
  <c r="A3447" i="76" s="1"/>
  <c r="A3448" i="76" s="1"/>
  <c r="A3449" i="76" s="1"/>
  <c r="A3450" i="76" s="1"/>
  <c r="A3451" i="76" s="1"/>
  <c r="A3452" i="76" s="1"/>
  <c r="A3453" i="76" s="1"/>
  <c r="A3454" i="76" s="1"/>
  <c r="A3455" i="76" s="1"/>
  <c r="A3456" i="76" s="1"/>
  <c r="A3457" i="76" s="1"/>
  <c r="A3458" i="76" s="1"/>
  <c r="A3459" i="76" s="1"/>
  <c r="A3460" i="76" s="1"/>
  <c r="A3461" i="76" s="1"/>
  <c r="A3462" i="76" s="1"/>
  <c r="A3463" i="76" s="1"/>
  <c r="A3464" i="76" s="1"/>
  <c r="A3465" i="76" s="1"/>
  <c r="A3466" i="76" s="1"/>
  <c r="A3467" i="76" s="1"/>
  <c r="A3468" i="76" s="1"/>
  <c r="A3469" i="76" s="1"/>
  <c r="A3470" i="76" s="1"/>
  <c r="A3471" i="76" s="1"/>
  <c r="A3472" i="76" s="1"/>
  <c r="A3473" i="76" s="1"/>
  <c r="A3474" i="76" s="1"/>
  <c r="A3475" i="76" s="1"/>
  <c r="A3476" i="76" s="1"/>
  <c r="A3477" i="76" s="1"/>
  <c r="A3478" i="76" s="1"/>
  <c r="A3479" i="76" s="1"/>
  <c r="A3480" i="76" s="1"/>
  <c r="A3481" i="76" s="1"/>
  <c r="A3482" i="76" s="1"/>
  <c r="A3483" i="76" s="1"/>
  <c r="A3484" i="76" s="1"/>
  <c r="A3485" i="76" s="1"/>
  <c r="A3486" i="76" s="1"/>
  <c r="A3487" i="76" s="1"/>
  <c r="A3488" i="76" s="1"/>
  <c r="A3489" i="76" s="1"/>
  <c r="A3490" i="76" s="1"/>
  <c r="A3491" i="76" s="1"/>
  <c r="A3492" i="76" s="1"/>
  <c r="A3493" i="76" s="1"/>
  <c r="A3494" i="76" s="1"/>
  <c r="A3495" i="76" s="1"/>
  <c r="A3496" i="76" s="1"/>
  <c r="A3497" i="76" s="1"/>
  <c r="A3498" i="76" s="1"/>
  <c r="A3499" i="76" s="1"/>
  <c r="A3500" i="76" s="1"/>
  <c r="A3501" i="76" s="1"/>
  <c r="A3502" i="76" s="1"/>
  <c r="A3503" i="76" s="1"/>
  <c r="A3504" i="76" s="1"/>
  <c r="A3505" i="76" s="1"/>
  <c r="A3506" i="76" s="1"/>
  <c r="A3507" i="76" s="1"/>
  <c r="A3508" i="76" s="1"/>
  <c r="A3509" i="76" s="1"/>
  <c r="A3510" i="76" s="1"/>
  <c r="A3511" i="76" s="1"/>
  <c r="A3512" i="76" s="1"/>
  <c r="A3513" i="76" s="1"/>
  <c r="A3514" i="76" s="1"/>
  <c r="A3515" i="76" s="1"/>
  <c r="A3516" i="76" s="1"/>
  <c r="A3517" i="76" s="1"/>
  <c r="A3518" i="76" s="1"/>
  <c r="A3519" i="76" s="1"/>
  <c r="A3520" i="76" s="1"/>
  <c r="A3521" i="76" s="1"/>
  <c r="A3522" i="76" s="1"/>
  <c r="A3523" i="76" s="1"/>
  <c r="A3524" i="76" s="1"/>
  <c r="A3525" i="76" s="1"/>
  <c r="A3526" i="76" s="1"/>
  <c r="A3527" i="76" s="1"/>
  <c r="A3528" i="76" s="1"/>
  <c r="A3529" i="76" s="1"/>
  <c r="A3530" i="76" s="1"/>
  <c r="A3531" i="76" s="1"/>
  <c r="A3532" i="76" s="1"/>
  <c r="A3533" i="76" s="1"/>
  <c r="A3534" i="76" s="1"/>
  <c r="A3535" i="76" s="1"/>
  <c r="A3536" i="76" s="1"/>
  <c r="A3537" i="76" s="1"/>
  <c r="A3538" i="76" s="1"/>
  <c r="A3539" i="76" s="1"/>
  <c r="A3540" i="76" s="1"/>
  <c r="A3541" i="76" s="1"/>
  <c r="A3542" i="76" s="1"/>
  <c r="A3543" i="76" s="1"/>
  <c r="A3544" i="76" s="1"/>
  <c r="A3545" i="76" s="1"/>
  <c r="A3546" i="76" s="1"/>
  <c r="A3547" i="76" s="1"/>
  <c r="A3548" i="76" s="1"/>
  <c r="A3549" i="76" s="1"/>
  <c r="A3550" i="76" s="1"/>
  <c r="A3551" i="76" s="1"/>
  <c r="A3552" i="76" s="1"/>
  <c r="A3553" i="76" s="1"/>
  <c r="A3554" i="76" s="1"/>
  <c r="A3555" i="76" s="1"/>
  <c r="A3556" i="76" s="1"/>
  <c r="A3557" i="76" s="1"/>
  <c r="A3558" i="76" s="1"/>
  <c r="A3559" i="76" s="1"/>
  <c r="A3560" i="76" s="1"/>
  <c r="A3561" i="76" s="1"/>
  <c r="A3562" i="76" s="1"/>
  <c r="A3563" i="76" s="1"/>
  <c r="A3564" i="76" s="1"/>
  <c r="A3565" i="76" s="1"/>
  <c r="A3566" i="76" s="1"/>
  <c r="A3567" i="76" s="1"/>
  <c r="A3568" i="76" s="1"/>
  <c r="A3569" i="76" s="1"/>
  <c r="A3570" i="76" s="1"/>
  <c r="A3571" i="76" s="1"/>
  <c r="A3572" i="76" s="1"/>
  <c r="A3573" i="76" s="1"/>
  <c r="A3574" i="76" s="1"/>
  <c r="A3575" i="76" s="1"/>
  <c r="A3576" i="76" s="1"/>
  <c r="A3577" i="76" s="1"/>
  <c r="A3578" i="76" s="1"/>
  <c r="A3579" i="76" s="1"/>
  <c r="A3580" i="76" s="1"/>
  <c r="A3581" i="76" s="1"/>
  <c r="A3582" i="76" s="1"/>
  <c r="A3583" i="76" s="1"/>
  <c r="A3584" i="76" s="1"/>
  <c r="A3585" i="76" s="1"/>
  <c r="A3586" i="76" s="1"/>
  <c r="A3587" i="76" s="1"/>
  <c r="A3588" i="76" s="1"/>
  <c r="A3589" i="76" s="1"/>
  <c r="A3590" i="76" s="1"/>
  <c r="A3591" i="76" s="1"/>
  <c r="A3592" i="76" s="1"/>
  <c r="A3593" i="76" s="1"/>
  <c r="A3594" i="76" s="1"/>
  <c r="A3595" i="76" s="1"/>
  <c r="A3596" i="76" s="1"/>
  <c r="A3597" i="76" s="1"/>
  <c r="A3598" i="76" s="1"/>
  <c r="A3599" i="76" s="1"/>
  <c r="A3600" i="76" s="1"/>
  <c r="A3601" i="76" s="1"/>
  <c r="A3602" i="76" s="1"/>
  <c r="A3603" i="76" s="1"/>
  <c r="A3604" i="76" s="1"/>
  <c r="A3605" i="76" s="1"/>
  <c r="A3606" i="76" s="1"/>
  <c r="A3607" i="76" s="1"/>
  <c r="A3608" i="76" s="1"/>
  <c r="A3609" i="76" s="1"/>
  <c r="A3610" i="76" s="1"/>
  <c r="A3611" i="76" s="1"/>
  <c r="A3612" i="76" s="1"/>
  <c r="A3613" i="76" s="1"/>
  <c r="A3614" i="76" s="1"/>
  <c r="A3615" i="76" s="1"/>
  <c r="A3616" i="76" s="1"/>
  <c r="A3617" i="76" s="1"/>
  <c r="A3618" i="76" s="1"/>
  <c r="A3619" i="76" s="1"/>
  <c r="A3620" i="76" s="1"/>
  <c r="A3621" i="76" s="1"/>
  <c r="A3622" i="76" s="1"/>
  <c r="A3623" i="76" s="1"/>
  <c r="A3624" i="76" s="1"/>
  <c r="A3625" i="76" s="1"/>
  <c r="A3626" i="76" s="1"/>
  <c r="A3627" i="76" s="1"/>
  <c r="A3628" i="76" s="1"/>
  <c r="A3629" i="76" s="1"/>
  <c r="A3630" i="76" s="1"/>
  <c r="A3631" i="76" s="1"/>
  <c r="A3632" i="76" s="1"/>
  <c r="A3633" i="76" s="1"/>
  <c r="A3634" i="76" s="1"/>
  <c r="A3635" i="76" s="1"/>
  <c r="A3636" i="76" s="1"/>
  <c r="A3637" i="76" s="1"/>
  <c r="A3638" i="76" s="1"/>
  <c r="A3639" i="76" s="1"/>
  <c r="A3640" i="76" s="1"/>
  <c r="A3641" i="76" s="1"/>
  <c r="A3642" i="76" s="1"/>
  <c r="A3643" i="76" s="1"/>
  <c r="A3644" i="76" s="1"/>
  <c r="A3645" i="76" s="1"/>
  <c r="A3646" i="76" s="1"/>
  <c r="A3647" i="76" s="1"/>
  <c r="A3648" i="76" s="1"/>
  <c r="A3649" i="76" s="1"/>
  <c r="A3650" i="76" s="1"/>
  <c r="A3651" i="76" s="1"/>
  <c r="A3652" i="76" s="1"/>
  <c r="A3653" i="76" s="1"/>
  <c r="A3654" i="76" s="1"/>
  <c r="A3655" i="76" s="1"/>
  <c r="A3656" i="76" s="1"/>
  <c r="A3657" i="76" s="1"/>
  <c r="A3658" i="76" s="1"/>
  <c r="A3659" i="76" s="1"/>
  <c r="A3660" i="76" s="1"/>
  <c r="A3661" i="76" s="1"/>
  <c r="A3662" i="76" s="1"/>
  <c r="A3663" i="76" s="1"/>
  <c r="A3664" i="76" s="1"/>
  <c r="A3665" i="76" s="1"/>
  <c r="A3666" i="76" s="1"/>
  <c r="A3667" i="76" s="1"/>
  <c r="A3668" i="76" s="1"/>
  <c r="A3669" i="76" s="1"/>
  <c r="A3670" i="76" s="1"/>
  <c r="A3671" i="76" s="1"/>
  <c r="A3672" i="76" s="1"/>
  <c r="A3673" i="76" s="1"/>
  <c r="A3674" i="76" s="1"/>
  <c r="A3675" i="76" s="1"/>
  <c r="A3676" i="76" s="1"/>
  <c r="A3677" i="76" s="1"/>
  <c r="A3678" i="76" s="1"/>
  <c r="A3679" i="76" s="1"/>
  <c r="A3680" i="76" s="1"/>
  <c r="A3681" i="76" s="1"/>
  <c r="A3682" i="76" s="1"/>
  <c r="A3683" i="76" s="1"/>
  <c r="A3684" i="76" s="1"/>
  <c r="A3685" i="76" s="1"/>
  <c r="A3686" i="76" s="1"/>
  <c r="A3687" i="76" s="1"/>
  <c r="A3688" i="76" s="1"/>
  <c r="A3689" i="76" s="1"/>
  <c r="A3690" i="76" s="1"/>
  <c r="A3691" i="76" s="1"/>
  <c r="A3692" i="76" s="1"/>
  <c r="A3693" i="76" s="1"/>
  <c r="A3694" i="76" s="1"/>
  <c r="A3695" i="76" s="1"/>
  <c r="A3696" i="76" s="1"/>
  <c r="A3697" i="76" s="1"/>
  <c r="A3698" i="76" s="1"/>
  <c r="A3699" i="76" s="1"/>
  <c r="A3700" i="76" s="1"/>
  <c r="A3701" i="76" s="1"/>
  <c r="A3702" i="76" s="1"/>
  <c r="A3703" i="76" s="1"/>
  <c r="A3704" i="76" s="1"/>
  <c r="A3705" i="76" s="1"/>
  <c r="A3706" i="76" s="1"/>
  <c r="A3707" i="76" s="1"/>
  <c r="A3708" i="76" s="1"/>
  <c r="A3709" i="76" s="1"/>
  <c r="A3710" i="76" s="1"/>
  <c r="A3711" i="76" s="1"/>
  <c r="A3712" i="76" s="1"/>
  <c r="A3713" i="76" s="1"/>
  <c r="A3714" i="76" s="1"/>
  <c r="A3715" i="76" s="1"/>
  <c r="A3716" i="76" s="1"/>
  <c r="A3717" i="76" s="1"/>
  <c r="A3718" i="76" s="1"/>
  <c r="A3719" i="76" s="1"/>
  <c r="A3720" i="76" s="1"/>
  <c r="A3721" i="76" s="1"/>
  <c r="A3722" i="76" s="1"/>
  <c r="A3723" i="76" s="1"/>
  <c r="A3724" i="76" s="1"/>
  <c r="A3725" i="76" s="1"/>
  <c r="A3726" i="76" s="1"/>
  <c r="A3727" i="76" s="1"/>
  <c r="A3728" i="76" s="1"/>
  <c r="A3729" i="76" s="1"/>
  <c r="A3730" i="76" s="1"/>
  <c r="A3731" i="76" s="1"/>
  <c r="A3732" i="76" s="1"/>
  <c r="A3733" i="76" s="1"/>
  <c r="A3734" i="76" s="1"/>
  <c r="A3735" i="76" s="1"/>
  <c r="A3736" i="76" s="1"/>
  <c r="A3737" i="76" s="1"/>
  <c r="A3738" i="76" s="1"/>
  <c r="A3739" i="76" s="1"/>
  <c r="A3740" i="76" s="1"/>
  <c r="A3741" i="76" s="1"/>
  <c r="A3742" i="76" s="1"/>
  <c r="A3743" i="76" s="1"/>
  <c r="A3744" i="76" s="1"/>
  <c r="A3745" i="76" s="1"/>
  <c r="A3746" i="76" s="1"/>
  <c r="A3747" i="76" s="1"/>
  <c r="A3748" i="76" s="1"/>
  <c r="A3749" i="76" s="1"/>
  <c r="A3750" i="76" s="1"/>
  <c r="A3751" i="76" s="1"/>
  <c r="A3752" i="76" s="1"/>
  <c r="A3753" i="76" s="1"/>
  <c r="A3754" i="76" s="1"/>
  <c r="A3755" i="76" s="1"/>
  <c r="A3756" i="76" s="1"/>
  <c r="A3757" i="76" s="1"/>
  <c r="A3758" i="76" s="1"/>
  <c r="A3759" i="76" s="1"/>
  <c r="A3760" i="76" s="1"/>
  <c r="A3761" i="76" s="1"/>
  <c r="A3762" i="76" s="1"/>
  <c r="A3763" i="76" s="1"/>
  <c r="A3764" i="76" s="1"/>
  <c r="A3765" i="76" s="1"/>
  <c r="A3766" i="76" s="1"/>
  <c r="A3767" i="76" s="1"/>
  <c r="A3768" i="76" s="1"/>
  <c r="A3769" i="76" s="1"/>
  <c r="A3770" i="76" s="1"/>
  <c r="A3771" i="76" s="1"/>
  <c r="A3772" i="76" s="1"/>
  <c r="A3773" i="76" s="1"/>
  <c r="A3774" i="76" s="1"/>
  <c r="A3775" i="76" s="1"/>
  <c r="A3776" i="76" s="1"/>
  <c r="A3777" i="76" s="1"/>
  <c r="A3778" i="76" s="1"/>
  <c r="A3779" i="76" s="1"/>
  <c r="A3780" i="76" s="1"/>
  <c r="A3781" i="76" s="1"/>
  <c r="A3782" i="76" s="1"/>
  <c r="A3783" i="76" s="1"/>
  <c r="A3784" i="76" s="1"/>
  <c r="A3785" i="76" s="1"/>
  <c r="A3786" i="76" s="1"/>
  <c r="A3787" i="76" s="1"/>
  <c r="A3788" i="76" s="1"/>
  <c r="A3789" i="76" s="1"/>
  <c r="A3790" i="76" s="1"/>
  <c r="A3791" i="76" s="1"/>
  <c r="A3792" i="76" s="1"/>
  <c r="A3793" i="76" s="1"/>
  <c r="A3794" i="76" s="1"/>
  <c r="A3795" i="76" s="1"/>
  <c r="A3796" i="76" s="1"/>
  <c r="A3797" i="76" s="1"/>
  <c r="A3798" i="76" s="1"/>
  <c r="A3799" i="76" s="1"/>
  <c r="A3800" i="76" s="1"/>
  <c r="A3801" i="76" s="1"/>
  <c r="A3802" i="76" s="1"/>
  <c r="A3803" i="76" s="1"/>
  <c r="A3804" i="76" s="1"/>
  <c r="A3805" i="76" s="1"/>
  <c r="A3806" i="76" s="1"/>
  <c r="A3807" i="76" s="1"/>
  <c r="A3808" i="76" s="1"/>
  <c r="A3809" i="76" s="1"/>
  <c r="A3810" i="76" s="1"/>
  <c r="A3811" i="76" s="1"/>
  <c r="A3812" i="76" s="1"/>
  <c r="A3813" i="76" s="1"/>
  <c r="A3814" i="76" s="1"/>
  <c r="A3815" i="76" s="1"/>
  <c r="A3816" i="76" s="1"/>
  <c r="A3817" i="76" s="1"/>
  <c r="A3818" i="76" s="1"/>
  <c r="A3819" i="76" s="1"/>
  <c r="A3820" i="76" s="1"/>
  <c r="A3821" i="76" s="1"/>
  <c r="A3822" i="76" s="1"/>
  <c r="A3823" i="76" s="1"/>
  <c r="A3824" i="76" s="1"/>
  <c r="A3825" i="76" s="1"/>
  <c r="A3826" i="76" s="1"/>
  <c r="A3827" i="76" s="1"/>
  <c r="A3828" i="76" s="1"/>
  <c r="A3829" i="76" s="1"/>
  <c r="A3830" i="76" s="1"/>
  <c r="A3831" i="76" s="1"/>
  <c r="A3832" i="76" s="1"/>
  <c r="A3833" i="76" s="1"/>
  <c r="A3834" i="76" s="1"/>
  <c r="A3835" i="76" s="1"/>
  <c r="A3836" i="76" s="1"/>
  <c r="A3837" i="76" s="1"/>
  <c r="A3838" i="76" s="1"/>
  <c r="A3839" i="76" s="1"/>
  <c r="A3840" i="76" s="1"/>
  <c r="A3841" i="76" s="1"/>
  <c r="A3842" i="76" s="1"/>
  <c r="A3843" i="76" s="1"/>
  <c r="A3844" i="76" s="1"/>
  <c r="A3845" i="76" s="1"/>
  <c r="A3846" i="76" s="1"/>
  <c r="A3847" i="76" s="1"/>
  <c r="A3848" i="76" s="1"/>
  <c r="A3849" i="76" s="1"/>
  <c r="A3850" i="76" s="1"/>
  <c r="A3851" i="76" s="1"/>
  <c r="A3852" i="76" s="1"/>
  <c r="A3853" i="76" s="1"/>
  <c r="A3854" i="76" s="1"/>
  <c r="A3855" i="76" s="1"/>
  <c r="A3856" i="76" s="1"/>
  <c r="A3857" i="76" s="1"/>
  <c r="A3858" i="76" s="1"/>
  <c r="A3859" i="76" s="1"/>
  <c r="A3860" i="76" s="1"/>
  <c r="A3861" i="76" s="1"/>
  <c r="A3862" i="76" s="1"/>
  <c r="A3863" i="76" s="1"/>
  <c r="A3864" i="76" s="1"/>
  <c r="A3865" i="76" s="1"/>
  <c r="A3866" i="76" s="1"/>
  <c r="A3867" i="76" s="1"/>
  <c r="A3868" i="76" s="1"/>
  <c r="A3869" i="76" s="1"/>
  <c r="A3870" i="76" s="1"/>
  <c r="A3871" i="76" s="1"/>
  <c r="A3872" i="76" s="1"/>
  <c r="A3873" i="76" s="1"/>
  <c r="A3874" i="76" s="1"/>
  <c r="A3875" i="76" s="1"/>
  <c r="A3876" i="76" s="1"/>
  <c r="A3877" i="76" s="1"/>
  <c r="A3878" i="76" s="1"/>
  <c r="A3879" i="76" s="1"/>
  <c r="A3880" i="76" s="1"/>
  <c r="A3881" i="76" s="1"/>
  <c r="A3882" i="76" s="1"/>
  <c r="A3883" i="76" s="1"/>
  <c r="A3884" i="76" s="1"/>
  <c r="A3885" i="76" s="1"/>
  <c r="A3886" i="76" s="1"/>
  <c r="A3887" i="76" s="1"/>
  <c r="A3888" i="76" s="1"/>
  <c r="A3889" i="76" s="1"/>
  <c r="A3890" i="76" s="1"/>
  <c r="A3891" i="76" s="1"/>
  <c r="A3892" i="76" s="1"/>
  <c r="A3893" i="76" s="1"/>
  <c r="A3894" i="76" s="1"/>
  <c r="A3895" i="76" s="1"/>
  <c r="A3896" i="76" s="1"/>
  <c r="A3897" i="76" s="1"/>
  <c r="A3898" i="76" s="1"/>
  <c r="A3899" i="76" s="1"/>
  <c r="A3900" i="76" s="1"/>
  <c r="A3901" i="76" s="1"/>
  <c r="A3902" i="76" s="1"/>
  <c r="A3903" i="76" s="1"/>
  <c r="A3904" i="76" s="1"/>
  <c r="A3905" i="76" s="1"/>
  <c r="A3906" i="76" s="1"/>
  <c r="A3907" i="76" s="1"/>
  <c r="A3908" i="76" s="1"/>
  <c r="A3909" i="76" s="1"/>
  <c r="A3910" i="76" s="1"/>
  <c r="A3911" i="76" s="1"/>
  <c r="A3912" i="76" s="1"/>
  <c r="A3913" i="76" s="1"/>
  <c r="A3914" i="76" s="1"/>
  <c r="A3915" i="76" s="1"/>
  <c r="A3916" i="76" s="1"/>
  <c r="A3917" i="76" s="1"/>
  <c r="A3918" i="76" s="1"/>
  <c r="A3919" i="76" s="1"/>
  <c r="A3920" i="76" s="1"/>
  <c r="A3921" i="76" s="1"/>
  <c r="A3922" i="76" s="1"/>
  <c r="A3923" i="76" s="1"/>
  <c r="A3924" i="76" s="1"/>
  <c r="A3925" i="76" s="1"/>
  <c r="A3926" i="76" s="1"/>
  <c r="A3927" i="76" s="1"/>
  <c r="A3928" i="76" s="1"/>
  <c r="A3929" i="76" s="1"/>
  <c r="A3930" i="76" s="1"/>
  <c r="A3931" i="76" s="1"/>
  <c r="A3932" i="76" s="1"/>
  <c r="A3933" i="76" s="1"/>
  <c r="A3934" i="76" s="1"/>
  <c r="A3935" i="76" s="1"/>
  <c r="A3936" i="76" s="1"/>
  <c r="A3937" i="76" s="1"/>
  <c r="A3938" i="76" s="1"/>
  <c r="A3939" i="76" s="1"/>
  <c r="A3940" i="76" s="1"/>
  <c r="A3941" i="76" s="1"/>
  <c r="A3942" i="76" s="1"/>
  <c r="A3943" i="76" s="1"/>
  <c r="A3944" i="76" s="1"/>
  <c r="A3945" i="76" s="1"/>
  <c r="A3946" i="76" s="1"/>
  <c r="A3947" i="76" s="1"/>
  <c r="A3948" i="76" s="1"/>
  <c r="A3949" i="76" s="1"/>
  <c r="A3950" i="76" s="1"/>
  <c r="A3951" i="76" s="1"/>
  <c r="A3952" i="76" s="1"/>
  <c r="A3953" i="76" s="1"/>
  <c r="A3954" i="76" s="1"/>
  <c r="A3955" i="76" s="1"/>
  <c r="A3956" i="76" s="1"/>
  <c r="A3957" i="76" s="1"/>
  <c r="A3958" i="76" s="1"/>
  <c r="A3959" i="76" s="1"/>
  <c r="A3960" i="76" s="1"/>
  <c r="A3961" i="76" s="1"/>
  <c r="A3962" i="76" s="1"/>
  <c r="A3963" i="76" s="1"/>
  <c r="A3964" i="76" s="1"/>
  <c r="A3965" i="76" s="1"/>
  <c r="A3966" i="76" s="1"/>
  <c r="A3967" i="76" s="1"/>
  <c r="A3968" i="76" s="1"/>
  <c r="A3969" i="76" s="1"/>
  <c r="A3970" i="76" s="1"/>
  <c r="A3971" i="76" s="1"/>
  <c r="A3972" i="76" s="1"/>
  <c r="A3973" i="76" s="1"/>
  <c r="A3974" i="76" s="1"/>
  <c r="A3975" i="76" s="1"/>
  <c r="A3976" i="76" s="1"/>
  <c r="A3977" i="76" s="1"/>
  <c r="A3978" i="76" s="1"/>
  <c r="A3979" i="76" s="1"/>
  <c r="A3980" i="76" s="1"/>
  <c r="A3981" i="76" s="1"/>
  <c r="A3982" i="76" s="1"/>
  <c r="A3983" i="76" s="1"/>
  <c r="A3984" i="76" s="1"/>
  <c r="A3985" i="76" s="1"/>
  <c r="A3986" i="76" s="1"/>
  <c r="A3987" i="76" s="1"/>
  <c r="A3988" i="76" s="1"/>
  <c r="A3989" i="76" s="1"/>
  <c r="A3990" i="76" s="1"/>
  <c r="A3991" i="76" s="1"/>
  <c r="A3992" i="76" s="1"/>
  <c r="A3993" i="76" s="1"/>
  <c r="A3994" i="76" s="1"/>
  <c r="A3995" i="76" s="1"/>
  <c r="A3996" i="76" s="1"/>
  <c r="A3997" i="76" s="1"/>
  <c r="A3998" i="76" s="1"/>
  <c r="A3999" i="76" s="1"/>
  <c r="A4000" i="76" s="1"/>
  <c r="A4001" i="76" s="1"/>
  <c r="A4002" i="76" s="1"/>
  <c r="A4003" i="76" s="1"/>
  <c r="A4004" i="76" s="1"/>
  <c r="A4005" i="76" s="1"/>
  <c r="A4006" i="76" s="1"/>
  <c r="A4007" i="76" s="1"/>
  <c r="A4008" i="76" s="1"/>
  <c r="A4009" i="76" s="1"/>
  <c r="A4010" i="76" s="1"/>
  <c r="A4011" i="76" s="1"/>
  <c r="A4012" i="76" s="1"/>
  <c r="A4013" i="76" s="1"/>
  <c r="A4014" i="76" s="1"/>
  <c r="A4015" i="76" s="1"/>
  <c r="A4016" i="76" s="1"/>
  <c r="A4017" i="76" s="1"/>
  <c r="A4018" i="76" s="1"/>
  <c r="A4019" i="76" s="1"/>
  <c r="A4020" i="76" s="1"/>
  <c r="A4021" i="76" s="1"/>
  <c r="A4022" i="76" s="1"/>
  <c r="A4023" i="76" s="1"/>
  <c r="A4024" i="76" s="1"/>
  <c r="A4025" i="76" s="1"/>
  <c r="A4026" i="76" s="1"/>
  <c r="A4027" i="76" s="1"/>
  <c r="A4028" i="76" s="1"/>
  <c r="A4029" i="76" s="1"/>
  <c r="A4030" i="76" s="1"/>
  <c r="A4031" i="76" s="1"/>
  <c r="A4032" i="76" s="1"/>
  <c r="A4033" i="76" s="1"/>
  <c r="A4034" i="76" s="1"/>
  <c r="A4035" i="76" s="1"/>
  <c r="A4036" i="76" s="1"/>
  <c r="A4037" i="76" s="1"/>
  <c r="A4038" i="76" s="1"/>
  <c r="A4039" i="76" s="1"/>
  <c r="A4040" i="76" s="1"/>
  <c r="A4041" i="76" s="1"/>
  <c r="A4042" i="76" s="1"/>
  <c r="A4043" i="76" s="1"/>
  <c r="A4044" i="76" s="1"/>
  <c r="A4045" i="76" s="1"/>
  <c r="A4046" i="76" s="1"/>
  <c r="A4047" i="76" s="1"/>
  <c r="A4048" i="76" s="1"/>
  <c r="A4049" i="76" s="1"/>
  <c r="A4050" i="76" s="1"/>
  <c r="A4051" i="76" s="1"/>
  <c r="A4052" i="76" s="1"/>
  <c r="A4053" i="76" s="1"/>
  <c r="A4054" i="76" s="1"/>
  <c r="A4055" i="76" s="1"/>
  <c r="A4056" i="76" s="1"/>
  <c r="A4057" i="76" s="1"/>
  <c r="A4058" i="76" s="1"/>
  <c r="A4059" i="76" s="1"/>
  <c r="A4060" i="76" s="1"/>
  <c r="A4061" i="76" s="1"/>
  <c r="A4062" i="76" s="1"/>
  <c r="A4063" i="76" s="1"/>
  <c r="A4064" i="76" s="1"/>
  <c r="A4065" i="76" s="1"/>
  <c r="A4066" i="76" s="1"/>
  <c r="A4067" i="76" s="1"/>
  <c r="A4068" i="76" s="1"/>
  <c r="A4069" i="76" s="1"/>
  <c r="A4070" i="76" s="1"/>
  <c r="A4071" i="76" s="1"/>
  <c r="A4072" i="76" s="1"/>
  <c r="A4073" i="76" s="1"/>
  <c r="A4074" i="76" s="1"/>
  <c r="A4075" i="76" s="1"/>
  <c r="A4076" i="76" s="1"/>
  <c r="A4077" i="76" s="1"/>
  <c r="A4078" i="76" s="1"/>
  <c r="A4079" i="76" s="1"/>
  <c r="A4080" i="76" s="1"/>
  <c r="A4081" i="76" s="1"/>
  <c r="A4082" i="76" s="1"/>
  <c r="A4083" i="76" s="1"/>
  <c r="A4084" i="76" s="1"/>
  <c r="A4085" i="76" s="1"/>
  <c r="A4086" i="76" s="1"/>
  <c r="A4087" i="76" s="1"/>
  <c r="A4088" i="76" s="1"/>
  <c r="A4089" i="76" s="1"/>
  <c r="A4090" i="76" s="1"/>
  <c r="A4091" i="76" s="1"/>
  <c r="A4092" i="76" s="1"/>
  <c r="A4093" i="76" s="1"/>
  <c r="A4094" i="76" s="1"/>
  <c r="A4095" i="76" s="1"/>
  <c r="A4096" i="76" s="1"/>
  <c r="A4097" i="76" s="1"/>
  <c r="A4098" i="76" s="1"/>
  <c r="A4099" i="76" s="1"/>
  <c r="A4100" i="76" s="1"/>
  <c r="A4101" i="76" s="1"/>
  <c r="A4102" i="76" s="1"/>
  <c r="A4103" i="76" s="1"/>
  <c r="A4104" i="76" s="1"/>
  <c r="A4105" i="76" s="1"/>
  <c r="A4106" i="76" s="1"/>
  <c r="A4107" i="76" s="1"/>
  <c r="A4108" i="76" s="1"/>
  <c r="A4109" i="76" s="1"/>
  <c r="A4110" i="76" s="1"/>
  <c r="A4111" i="76" s="1"/>
  <c r="A4112" i="76" s="1"/>
  <c r="A4113" i="76" s="1"/>
  <c r="A4114" i="76" s="1"/>
  <c r="A4115" i="76" s="1"/>
  <c r="A4116" i="76" s="1"/>
  <c r="A4117" i="76" s="1"/>
  <c r="A4118" i="76" s="1"/>
  <c r="A4119" i="76" s="1"/>
  <c r="A4120" i="76" s="1"/>
  <c r="A4121" i="76" s="1"/>
  <c r="A4122" i="76" s="1"/>
  <c r="A4123" i="76" s="1"/>
  <c r="A4124" i="76" s="1"/>
  <c r="A4125" i="76" s="1"/>
  <c r="A4126" i="76" s="1"/>
  <c r="A4127" i="76" s="1"/>
  <c r="A4128" i="76" s="1"/>
  <c r="A4129" i="76" s="1"/>
  <c r="A4130" i="76" s="1"/>
  <c r="A4131" i="76" s="1"/>
  <c r="A4132" i="76" s="1"/>
  <c r="A4133" i="76" s="1"/>
  <c r="A4134" i="76" s="1"/>
  <c r="A4135" i="76" s="1"/>
  <c r="A4136" i="76" s="1"/>
  <c r="A4137" i="76" s="1"/>
  <c r="A4138" i="76" s="1"/>
  <c r="A4139" i="76" s="1"/>
  <c r="A4140" i="76" s="1"/>
  <c r="A4141" i="76" s="1"/>
  <c r="A4142" i="76" s="1"/>
  <c r="A4143" i="76" s="1"/>
  <c r="A4144" i="76" s="1"/>
  <c r="A4145" i="76" s="1"/>
  <c r="A4146" i="76" s="1"/>
  <c r="A4147" i="76" s="1"/>
  <c r="A4148" i="76" s="1"/>
  <c r="A4149" i="76" s="1"/>
  <c r="A4150" i="76" s="1"/>
  <c r="A4151" i="76" s="1"/>
  <c r="A4152" i="76" s="1"/>
  <c r="A4153" i="76" s="1"/>
  <c r="A4154" i="76" s="1"/>
  <c r="A4155" i="76" s="1"/>
  <c r="A4156" i="76" s="1"/>
  <c r="A4157" i="76" s="1"/>
  <c r="A4158" i="76" s="1"/>
  <c r="A4159" i="76" s="1"/>
  <c r="A4160" i="76" s="1"/>
  <c r="A4161" i="76" s="1"/>
  <c r="A4162" i="76" s="1"/>
  <c r="A4163" i="76" s="1"/>
  <c r="A4164" i="76" s="1"/>
  <c r="A4165" i="76" s="1"/>
  <c r="A4166" i="76" s="1"/>
  <c r="A4167" i="76" s="1"/>
  <c r="A4168" i="76" s="1"/>
  <c r="A4169" i="76" s="1"/>
  <c r="A4170" i="76" s="1"/>
  <c r="A4171" i="76" s="1"/>
  <c r="A4172" i="76" s="1"/>
  <c r="A4173" i="76" s="1"/>
  <c r="A4174" i="76" s="1"/>
  <c r="A4175" i="76" s="1"/>
  <c r="A4176" i="76" s="1"/>
  <c r="A4177" i="76" s="1"/>
  <c r="A4178" i="76" s="1"/>
  <c r="A4179" i="76" s="1"/>
  <c r="A4180" i="76" s="1"/>
  <c r="A4181" i="76" s="1"/>
  <c r="A4182" i="76" s="1"/>
  <c r="A4183" i="76" s="1"/>
  <c r="A4184" i="76" s="1"/>
  <c r="A4185" i="76" s="1"/>
  <c r="A4186" i="76" s="1"/>
  <c r="A4187" i="76" s="1"/>
  <c r="A4188" i="76" s="1"/>
  <c r="A4189" i="76" s="1"/>
  <c r="A4190" i="76" s="1"/>
  <c r="A4191" i="76" s="1"/>
  <c r="A4192" i="76" s="1"/>
  <c r="A4193" i="76" s="1"/>
  <c r="A4194" i="76" s="1"/>
  <c r="A4195" i="76" s="1"/>
  <c r="A4196" i="76" s="1"/>
  <c r="A4197" i="76" s="1"/>
  <c r="A4198" i="76" s="1"/>
  <c r="A4199" i="76" s="1"/>
  <c r="A4200" i="76" s="1"/>
  <c r="A4201" i="76" s="1"/>
  <c r="A4202" i="76" s="1"/>
  <c r="A4203" i="76" s="1"/>
  <c r="A4204" i="76" s="1"/>
  <c r="A4205" i="76" s="1"/>
  <c r="A4206" i="76" s="1"/>
  <c r="A4207" i="76" s="1"/>
  <c r="A4208" i="76" s="1"/>
  <c r="A4209" i="76" s="1"/>
  <c r="A4210" i="76" s="1"/>
  <c r="A4211" i="76" s="1"/>
  <c r="A4212" i="76" s="1"/>
  <c r="A4213" i="76" s="1"/>
  <c r="A4214" i="76" s="1"/>
  <c r="A4215" i="76" s="1"/>
  <c r="A4216" i="76" s="1"/>
  <c r="A4217" i="76" s="1"/>
  <c r="A4218" i="76" s="1"/>
  <c r="A4219" i="76" s="1"/>
  <c r="A4220" i="76" s="1"/>
  <c r="A4221" i="76" s="1"/>
  <c r="A4222" i="76" s="1"/>
  <c r="A4223" i="76" s="1"/>
  <c r="A4224" i="76" s="1"/>
  <c r="A4225" i="76" s="1"/>
  <c r="A4226" i="76" s="1"/>
  <c r="A4227" i="76" s="1"/>
  <c r="A4228" i="76" s="1"/>
  <c r="A4229" i="76" s="1"/>
  <c r="A4230" i="76" s="1"/>
  <c r="A4231" i="76" s="1"/>
  <c r="A4232" i="76" s="1"/>
  <c r="A4233" i="76" s="1"/>
  <c r="A4234" i="76" s="1"/>
  <c r="A4235" i="76" s="1"/>
  <c r="A4236" i="76" s="1"/>
  <c r="A4237" i="76" s="1"/>
  <c r="A4238" i="76" s="1"/>
  <c r="A4239" i="76" s="1"/>
  <c r="A4240" i="76" s="1"/>
  <c r="A4241" i="76" s="1"/>
  <c r="A4242" i="76" s="1"/>
  <c r="A4243" i="76" s="1"/>
  <c r="A4244" i="76" s="1"/>
  <c r="A4245" i="76" s="1"/>
  <c r="A4246" i="76" s="1"/>
  <c r="A4247" i="76" s="1"/>
  <c r="A4248" i="76" s="1"/>
  <c r="A4249" i="76" s="1"/>
  <c r="A4250" i="76" s="1"/>
  <c r="A4251" i="76" s="1"/>
  <c r="A4252" i="76" s="1"/>
  <c r="A4253" i="76" s="1"/>
  <c r="A4254" i="76" s="1"/>
  <c r="A4255" i="76" s="1"/>
  <c r="A4256" i="76" s="1"/>
  <c r="A4257" i="76" s="1"/>
  <c r="A4258" i="76" s="1"/>
  <c r="A4259" i="76" s="1"/>
  <c r="A4260" i="76" s="1"/>
  <c r="A4261" i="76" s="1"/>
  <c r="A4262" i="76" s="1"/>
  <c r="A4263" i="76" s="1"/>
  <c r="A4264" i="76" s="1"/>
  <c r="A4265" i="76" s="1"/>
  <c r="A4266" i="76" s="1"/>
  <c r="A4267" i="76" s="1"/>
  <c r="A4268" i="76" s="1"/>
  <c r="A4269" i="76" s="1"/>
  <c r="A4270" i="76" s="1"/>
  <c r="A4271" i="76" s="1"/>
  <c r="A4272" i="76" s="1"/>
  <c r="A4273" i="76" s="1"/>
  <c r="A4274" i="76" s="1"/>
  <c r="A4275" i="76" s="1"/>
  <c r="A4276" i="76" s="1"/>
  <c r="A4277" i="76" s="1"/>
  <c r="A4278" i="76" s="1"/>
  <c r="A4279" i="76" s="1"/>
  <c r="A4280" i="76" s="1"/>
  <c r="A4281" i="76" s="1"/>
  <c r="A4282" i="76" s="1"/>
  <c r="A4283" i="76" s="1"/>
  <c r="A4284" i="76" s="1"/>
  <c r="A4285" i="76" s="1"/>
  <c r="A4286" i="76" s="1"/>
  <c r="A4287" i="76" s="1"/>
  <c r="A4288" i="76" s="1"/>
  <c r="A4289" i="76" s="1"/>
  <c r="A4290" i="76" s="1"/>
  <c r="A4291" i="76" s="1"/>
  <c r="A4292" i="76" s="1"/>
  <c r="A4293" i="76" s="1"/>
  <c r="A4294" i="76" s="1"/>
  <c r="A4295" i="76" s="1"/>
  <c r="A4296" i="76" s="1"/>
  <c r="A4297" i="76" s="1"/>
  <c r="A4298" i="76" s="1"/>
  <c r="A4299" i="76" s="1"/>
  <c r="A4300" i="76" s="1"/>
  <c r="A4301" i="76" s="1"/>
  <c r="A4302" i="76" s="1"/>
  <c r="A4303" i="76" s="1"/>
  <c r="A4304" i="76" s="1"/>
  <c r="A4305" i="76" s="1"/>
  <c r="A4306" i="76" s="1"/>
  <c r="A4307" i="76" s="1"/>
  <c r="A4308" i="76" s="1"/>
  <c r="A4309" i="76" s="1"/>
  <c r="A4310" i="76" s="1"/>
  <c r="A4311" i="76" s="1"/>
  <c r="A4312" i="76" s="1"/>
  <c r="A4313" i="76" s="1"/>
  <c r="A4314" i="76" s="1"/>
  <c r="A4315" i="76" s="1"/>
  <c r="A4316" i="76" s="1"/>
  <c r="A4317" i="76" s="1"/>
  <c r="A4318" i="76" s="1"/>
  <c r="A4319" i="76" s="1"/>
  <c r="A4320" i="76" s="1"/>
  <c r="A4321" i="76" s="1"/>
  <c r="A4322" i="76" s="1"/>
  <c r="A4323" i="76" s="1"/>
  <c r="A4324" i="76" s="1"/>
  <c r="A4325" i="76" s="1"/>
  <c r="A4326" i="76" s="1"/>
  <c r="A4327" i="76" s="1"/>
  <c r="A4328" i="76" s="1"/>
  <c r="A4329" i="76" s="1"/>
  <c r="A4330" i="76" s="1"/>
  <c r="A4331" i="76" s="1"/>
  <c r="A4332" i="76" s="1"/>
  <c r="A4333" i="76" s="1"/>
  <c r="A4334" i="76" s="1"/>
  <c r="A4335" i="76" s="1"/>
  <c r="A4336" i="76" s="1"/>
  <c r="A4337" i="76" s="1"/>
  <c r="A4338" i="76" s="1"/>
  <c r="A4339" i="76" s="1"/>
  <c r="A4340" i="76" s="1"/>
  <c r="A4341" i="76" s="1"/>
  <c r="A4342" i="76" s="1"/>
  <c r="A4343" i="76" s="1"/>
  <c r="A4344" i="76" s="1"/>
  <c r="A4345" i="76" s="1"/>
  <c r="A4346" i="76" s="1"/>
  <c r="A4347" i="76" s="1"/>
  <c r="A4348" i="76" s="1"/>
  <c r="A4349" i="76" s="1"/>
  <c r="A4350" i="76" s="1"/>
  <c r="A4351" i="76" s="1"/>
  <c r="A4352" i="76" s="1"/>
  <c r="A4353" i="76" s="1"/>
  <c r="A4354" i="76" s="1"/>
  <c r="A4355" i="76" s="1"/>
  <c r="A4356" i="76" s="1"/>
  <c r="A4357" i="76" s="1"/>
  <c r="A4358" i="76" s="1"/>
  <c r="A4359" i="76" s="1"/>
  <c r="A4360" i="76" s="1"/>
  <c r="A4361" i="76" s="1"/>
  <c r="A4362" i="76" s="1"/>
  <c r="A4363" i="76" s="1"/>
  <c r="A4364" i="76" s="1"/>
  <c r="A4365" i="76" s="1"/>
  <c r="A4366" i="76" s="1"/>
  <c r="A4367" i="76" s="1"/>
  <c r="A4368" i="76" s="1"/>
  <c r="A4369" i="76" s="1"/>
  <c r="A4370" i="76" s="1"/>
  <c r="A4371" i="76" s="1"/>
  <c r="A4372" i="76" s="1"/>
  <c r="A4373" i="76" s="1"/>
  <c r="A4374" i="76" s="1"/>
  <c r="A4375" i="76" s="1"/>
  <c r="A4376" i="76" s="1"/>
  <c r="A4377" i="76" s="1"/>
  <c r="A4378" i="76" s="1"/>
  <c r="A4379" i="76" s="1"/>
  <c r="A4380" i="76" s="1"/>
  <c r="A4381" i="76" s="1"/>
  <c r="A4382" i="76" s="1"/>
  <c r="A4383" i="76" s="1"/>
  <c r="A4384" i="76" s="1"/>
  <c r="A4385" i="76" s="1"/>
  <c r="A4386" i="76" s="1"/>
  <c r="A4387" i="76" s="1"/>
  <c r="A4388" i="76" s="1"/>
  <c r="A4389" i="76" s="1"/>
  <c r="A4390" i="76" s="1"/>
  <c r="A4391" i="76" s="1"/>
  <c r="A4392" i="76" s="1"/>
  <c r="A4393" i="76" s="1"/>
  <c r="A4394" i="76" s="1"/>
  <c r="A4395" i="76" s="1"/>
  <c r="A4396" i="76" s="1"/>
  <c r="A4397" i="76" s="1"/>
  <c r="A4398" i="76" s="1"/>
  <c r="A4399" i="76" s="1"/>
  <c r="A4400" i="76" s="1"/>
  <c r="A4401" i="76" s="1"/>
  <c r="A4402" i="76" s="1"/>
  <c r="A4403" i="76" s="1"/>
  <c r="A4404" i="76" s="1"/>
  <c r="A4405" i="76" s="1"/>
  <c r="A4406" i="76" s="1"/>
  <c r="A4407" i="76" s="1"/>
  <c r="A4408" i="76" s="1"/>
  <c r="A4409" i="76" s="1"/>
  <c r="A4410" i="76" s="1"/>
  <c r="A4411" i="76" s="1"/>
  <c r="A4412" i="76" s="1"/>
  <c r="A4413" i="76" s="1"/>
  <c r="A4414" i="76" s="1"/>
  <c r="A4415" i="76" s="1"/>
  <c r="A4416" i="76" s="1"/>
  <c r="A4417" i="76" s="1"/>
  <c r="A4418" i="76" s="1"/>
  <c r="A4419" i="76" s="1"/>
  <c r="A4420" i="76" s="1"/>
  <c r="A4421" i="76" s="1"/>
  <c r="A4422" i="76" s="1"/>
  <c r="A4423" i="76" s="1"/>
  <c r="A4424" i="76" s="1"/>
  <c r="A4425" i="76" s="1"/>
  <c r="A4426" i="76" s="1"/>
  <c r="A4427" i="76" s="1"/>
  <c r="A4428" i="76" s="1"/>
  <c r="A4429" i="76" s="1"/>
  <c r="A4430" i="76" s="1"/>
  <c r="A4431" i="76" s="1"/>
  <c r="A4432" i="76" s="1"/>
  <c r="A4433" i="76" s="1"/>
  <c r="A4434" i="76" s="1"/>
  <c r="A4435" i="76" s="1"/>
  <c r="A4436" i="76" s="1"/>
  <c r="A4437" i="76" s="1"/>
  <c r="A4438" i="76" s="1"/>
  <c r="A4439" i="76" s="1"/>
  <c r="A4440" i="76" s="1"/>
  <c r="A4441" i="76" s="1"/>
  <c r="A4442" i="76" s="1"/>
  <c r="A4443" i="76" s="1"/>
  <c r="A4444" i="76" s="1"/>
  <c r="A4445" i="76" s="1"/>
  <c r="A4446" i="76" s="1"/>
  <c r="A4447" i="76" s="1"/>
  <c r="A4448" i="76" s="1"/>
  <c r="A4449" i="76" s="1"/>
  <c r="A4450" i="76" s="1"/>
  <c r="A4451" i="76" s="1"/>
  <c r="A4452" i="76" s="1"/>
  <c r="A4453" i="76" s="1"/>
  <c r="A4454" i="76" s="1"/>
  <c r="A4455" i="76" s="1"/>
  <c r="A4456" i="76" s="1"/>
  <c r="A4457" i="76" s="1"/>
  <c r="A4458" i="76" s="1"/>
  <c r="A4459" i="76" s="1"/>
  <c r="A4460" i="76" s="1"/>
  <c r="A4461" i="76" s="1"/>
  <c r="A4462" i="76" s="1"/>
  <c r="A4463" i="76" s="1"/>
  <c r="A4464" i="76" s="1"/>
  <c r="A4465" i="76" s="1"/>
  <c r="A4466" i="76" s="1"/>
  <c r="A4467" i="76" s="1"/>
  <c r="A4468" i="76" s="1"/>
  <c r="A4469" i="76" s="1"/>
  <c r="A4470" i="76" s="1"/>
  <c r="A4471" i="76" s="1"/>
  <c r="A4472" i="76" s="1"/>
  <c r="A4473" i="76" s="1"/>
  <c r="A4474" i="76" s="1"/>
  <c r="A4475" i="76" s="1"/>
  <c r="A4476" i="76" s="1"/>
  <c r="A4477" i="76" s="1"/>
  <c r="A4478" i="76" s="1"/>
  <c r="A4479" i="76" s="1"/>
  <c r="A4480" i="76" s="1"/>
  <c r="A4481" i="76" s="1"/>
  <c r="A4482" i="76" s="1"/>
  <c r="A4483" i="76" s="1"/>
  <c r="A4484" i="76" s="1"/>
  <c r="A4485" i="76" s="1"/>
  <c r="A4486" i="76" s="1"/>
  <c r="A4487" i="76" s="1"/>
  <c r="A4488" i="76" s="1"/>
  <c r="A4489" i="76" s="1"/>
  <c r="A4490" i="76" s="1"/>
  <c r="A4491" i="76" s="1"/>
  <c r="A4492" i="76" s="1"/>
  <c r="A4493" i="76" s="1"/>
  <c r="A4494" i="76" s="1"/>
  <c r="A4495" i="76" s="1"/>
  <c r="A4496" i="76" s="1"/>
  <c r="A4497" i="76" s="1"/>
  <c r="A4498" i="76" s="1"/>
  <c r="A4499" i="76" s="1"/>
  <c r="A4500" i="76" s="1"/>
  <c r="A4501" i="76" s="1"/>
  <c r="A4502" i="76" s="1"/>
  <c r="A4503" i="76" s="1"/>
  <c r="A4504" i="76" s="1"/>
  <c r="A4505" i="76" s="1"/>
  <c r="A4506" i="76" s="1"/>
  <c r="A4507" i="76" s="1"/>
  <c r="A4508" i="76" s="1"/>
  <c r="A4509" i="76" s="1"/>
  <c r="A4510" i="76" s="1"/>
  <c r="A4511" i="76" s="1"/>
  <c r="A4512" i="76" s="1"/>
  <c r="A4513" i="76" s="1"/>
  <c r="A4514" i="76" s="1"/>
  <c r="A4515" i="76" s="1"/>
  <c r="A4516" i="76" s="1"/>
  <c r="A4517" i="76" s="1"/>
  <c r="A4518" i="76" s="1"/>
  <c r="A4519" i="76" s="1"/>
  <c r="A4520" i="76" s="1"/>
  <c r="A4521" i="76" s="1"/>
  <c r="A4522" i="76" s="1"/>
  <c r="A4523" i="76" s="1"/>
  <c r="A4524" i="76" s="1"/>
  <c r="A4525" i="76" s="1"/>
  <c r="A4526" i="76" s="1"/>
  <c r="A4527" i="76" s="1"/>
  <c r="A4528" i="76" s="1"/>
  <c r="A4529" i="76" s="1"/>
  <c r="A4530" i="76" s="1"/>
  <c r="A4531" i="76" s="1"/>
  <c r="A4532" i="76" s="1"/>
  <c r="A4533" i="76" s="1"/>
  <c r="A4534" i="76" s="1"/>
  <c r="A4535" i="76" s="1"/>
  <c r="A4536" i="76" s="1"/>
  <c r="A4537" i="76" s="1"/>
  <c r="A4538" i="76" s="1"/>
  <c r="A4539" i="76" s="1"/>
  <c r="A4540" i="76" s="1"/>
  <c r="A4541" i="76" s="1"/>
  <c r="A4542" i="76" s="1"/>
  <c r="A4543" i="76" s="1"/>
  <c r="A4544" i="76" s="1"/>
  <c r="A4545" i="76" s="1"/>
  <c r="A4546" i="76" s="1"/>
  <c r="A4547" i="76" s="1"/>
  <c r="A4548" i="76" s="1"/>
  <c r="A4549" i="76" s="1"/>
  <c r="A4550" i="76" s="1"/>
  <c r="A4551" i="76" s="1"/>
  <c r="A4552" i="76" s="1"/>
  <c r="A4553" i="76" s="1"/>
  <c r="A4554" i="76" s="1"/>
  <c r="A4555" i="76" s="1"/>
  <c r="A4556" i="76" s="1"/>
  <c r="A4557" i="76" s="1"/>
  <c r="A4558" i="76" s="1"/>
  <c r="A4559" i="76" s="1"/>
  <c r="A4560" i="76" s="1"/>
  <c r="A4561" i="76" s="1"/>
  <c r="A4562" i="76" s="1"/>
  <c r="A4563" i="76" s="1"/>
  <c r="A4564" i="76" s="1"/>
  <c r="A4565" i="76" s="1"/>
  <c r="A4566" i="76" s="1"/>
  <c r="A4567" i="76" s="1"/>
  <c r="A4568" i="76" s="1"/>
  <c r="A4569" i="76" s="1"/>
  <c r="A4570" i="76" s="1"/>
  <c r="A4571" i="76" s="1"/>
  <c r="A4572" i="76" s="1"/>
  <c r="A4573" i="76" s="1"/>
  <c r="A4574" i="76" s="1"/>
  <c r="A4575" i="76" s="1"/>
  <c r="A4576" i="76" s="1"/>
  <c r="A4577" i="76" s="1"/>
  <c r="A4578" i="76" s="1"/>
  <c r="A4579" i="76" s="1"/>
  <c r="A4580" i="76" s="1"/>
  <c r="A4581" i="76" s="1"/>
  <c r="A4582" i="76" s="1"/>
  <c r="A4583" i="76" s="1"/>
  <c r="A4584" i="76" s="1"/>
  <c r="A4585" i="76" s="1"/>
  <c r="A4586" i="76" s="1"/>
  <c r="A4587" i="76" s="1"/>
  <c r="A4588" i="76" s="1"/>
  <c r="A4589" i="76" s="1"/>
  <c r="A4590" i="76" s="1"/>
  <c r="A4591" i="76" s="1"/>
  <c r="A4592" i="76" s="1"/>
  <c r="A4593" i="76" s="1"/>
  <c r="A4594" i="76" s="1"/>
  <c r="A4595" i="76" s="1"/>
  <c r="A4596" i="76" s="1"/>
  <c r="A4597" i="76" s="1"/>
  <c r="A4598" i="76" s="1"/>
  <c r="A4599" i="76" s="1"/>
  <c r="A4600" i="76" s="1"/>
  <c r="A4601" i="76" s="1"/>
  <c r="A4602" i="76" s="1"/>
  <c r="A4603" i="76" s="1"/>
  <c r="A4604" i="76" s="1"/>
  <c r="A4605" i="76" s="1"/>
  <c r="A4606" i="76" s="1"/>
  <c r="A4607" i="76" s="1"/>
  <c r="A4608" i="76" s="1"/>
  <c r="A4609" i="76" s="1"/>
  <c r="A4610" i="76" s="1"/>
  <c r="A4611" i="76" s="1"/>
  <c r="A4612" i="76" s="1"/>
  <c r="A4613" i="76" s="1"/>
  <c r="A4614" i="76" s="1"/>
  <c r="A4615" i="76" s="1"/>
  <c r="A4616" i="76" s="1"/>
  <c r="A4617" i="76" s="1"/>
  <c r="A4618" i="76" s="1"/>
  <c r="A4619" i="76" s="1"/>
  <c r="A4620" i="76" s="1"/>
  <c r="A4621" i="76" s="1"/>
  <c r="A4622" i="76" s="1"/>
  <c r="A4623" i="76" s="1"/>
  <c r="A4624" i="76" s="1"/>
  <c r="A4625" i="76" s="1"/>
  <c r="A4626" i="76" s="1"/>
  <c r="A4627" i="76" s="1"/>
  <c r="A4628" i="76" s="1"/>
  <c r="A4629" i="76" s="1"/>
  <c r="A4630" i="76" s="1"/>
  <c r="A4631" i="76" s="1"/>
  <c r="A4632" i="76" s="1"/>
  <c r="A4633" i="76" s="1"/>
  <c r="A4634" i="76" s="1"/>
  <c r="A4635" i="76" s="1"/>
  <c r="A4636" i="76" s="1"/>
  <c r="A4637" i="76" s="1"/>
  <c r="A4638" i="76" s="1"/>
  <c r="A4639" i="76" s="1"/>
  <c r="A4640" i="76" s="1"/>
  <c r="A4641" i="76" s="1"/>
  <c r="A4642" i="76" s="1"/>
  <c r="A4643" i="76" s="1"/>
  <c r="A4644" i="76" s="1"/>
  <c r="A4645" i="76" s="1"/>
  <c r="A4646" i="76" s="1"/>
  <c r="A4647" i="76" s="1"/>
  <c r="A4648" i="76" s="1"/>
  <c r="A4649" i="76" s="1"/>
  <c r="A4650" i="76" s="1"/>
  <c r="A4651" i="76" s="1"/>
  <c r="A4652" i="76" s="1"/>
  <c r="A4653" i="76" s="1"/>
  <c r="A4654" i="76" s="1"/>
  <c r="A4655" i="76" s="1"/>
  <c r="A4656" i="76" s="1"/>
  <c r="A4657" i="76" s="1"/>
  <c r="A4658" i="76" s="1"/>
  <c r="A4659" i="76" s="1"/>
  <c r="A4660" i="76" s="1"/>
  <c r="A4661" i="76" s="1"/>
  <c r="A4662" i="76" s="1"/>
  <c r="A4663" i="76" s="1"/>
  <c r="A4664" i="76" s="1"/>
  <c r="A4665" i="76" s="1"/>
  <c r="A4666" i="76" s="1"/>
  <c r="A4667" i="76" s="1"/>
  <c r="A4668" i="76" s="1"/>
  <c r="A4669" i="76" s="1"/>
  <c r="A4670" i="76" s="1"/>
  <c r="A4671" i="76" s="1"/>
  <c r="A4672" i="76" s="1"/>
  <c r="A4673" i="76" s="1"/>
  <c r="A4674" i="76" s="1"/>
  <c r="A4675" i="76" s="1"/>
  <c r="A4676" i="76" s="1"/>
  <c r="A4677" i="76" s="1"/>
  <c r="A4678" i="76" s="1"/>
  <c r="A4679" i="76" s="1"/>
  <c r="A4680" i="76" s="1"/>
  <c r="A4681" i="76" s="1"/>
  <c r="A4682" i="76" s="1"/>
  <c r="A4683" i="76" s="1"/>
  <c r="A4684" i="76" s="1"/>
  <c r="A4685" i="76" s="1"/>
  <c r="A4686" i="76" s="1"/>
  <c r="A4687" i="76" s="1"/>
  <c r="A4688" i="76" s="1"/>
  <c r="A4689" i="76" s="1"/>
  <c r="A4690" i="76" s="1"/>
  <c r="A4691" i="76" s="1"/>
  <c r="A4692" i="76" s="1"/>
  <c r="A4693" i="76" s="1"/>
  <c r="A4694" i="76" s="1"/>
  <c r="A4695" i="76" s="1"/>
  <c r="A4696" i="76" s="1"/>
  <c r="A4697" i="76" s="1"/>
  <c r="A4698" i="76" s="1"/>
  <c r="A4699" i="76" s="1"/>
  <c r="A4700" i="76" s="1"/>
  <c r="A4701" i="76" s="1"/>
  <c r="A4702" i="76" s="1"/>
  <c r="A4703" i="76" s="1"/>
  <c r="A4704" i="76" s="1"/>
  <c r="A4705" i="76" s="1"/>
  <c r="A4706" i="76" s="1"/>
  <c r="A4707" i="76" s="1"/>
  <c r="A4708" i="76" s="1"/>
  <c r="A4709" i="76" s="1"/>
  <c r="A4710" i="76" s="1"/>
  <c r="A4711" i="76" s="1"/>
  <c r="A4712" i="76" s="1"/>
  <c r="A4713" i="76" s="1"/>
  <c r="A4714" i="76" s="1"/>
  <c r="A4715" i="76" s="1"/>
  <c r="A4716" i="76" s="1"/>
  <c r="A4717" i="76" s="1"/>
  <c r="A4718" i="76" s="1"/>
  <c r="A4719" i="76" s="1"/>
  <c r="A4720" i="76" s="1"/>
  <c r="A4721" i="76" s="1"/>
  <c r="A4722" i="76" s="1"/>
  <c r="A4723" i="76" s="1"/>
  <c r="A4724" i="76" s="1"/>
  <c r="A4725" i="76" s="1"/>
  <c r="A4726" i="76" s="1"/>
  <c r="A4727" i="76" s="1"/>
  <c r="A4728" i="76" s="1"/>
  <c r="A4729" i="76" s="1"/>
  <c r="A4730" i="76" s="1"/>
  <c r="A4731" i="76" s="1"/>
  <c r="A4732" i="76" s="1"/>
  <c r="A4733" i="76" s="1"/>
  <c r="A4734" i="76" s="1"/>
  <c r="A4735" i="76" s="1"/>
  <c r="A4736" i="76" s="1"/>
  <c r="A4737" i="76" s="1"/>
  <c r="A4738" i="76" s="1"/>
  <c r="A4739" i="76" s="1"/>
  <c r="A4740" i="76" s="1"/>
  <c r="A4741" i="76" s="1"/>
  <c r="A4742" i="76" s="1"/>
  <c r="A4743" i="76" s="1"/>
  <c r="A4744" i="76" s="1"/>
  <c r="A4745" i="76" s="1"/>
  <c r="A4746" i="76" s="1"/>
  <c r="A4747" i="76" s="1"/>
  <c r="A4748" i="76" s="1"/>
  <c r="A4749" i="76" s="1"/>
  <c r="A4750" i="76" s="1"/>
  <c r="A4751" i="76" s="1"/>
  <c r="A4752" i="76" s="1"/>
  <c r="A4753" i="76" s="1"/>
  <c r="A4754" i="76" s="1"/>
  <c r="A4755" i="76" s="1"/>
  <c r="A4756" i="76" s="1"/>
  <c r="A4757" i="76" s="1"/>
  <c r="A4758" i="76" s="1"/>
  <c r="A4759" i="76" s="1"/>
  <c r="A4760" i="76" s="1"/>
  <c r="A4761" i="76" s="1"/>
  <c r="A4762" i="76" s="1"/>
  <c r="A4763" i="76" s="1"/>
  <c r="A4764" i="76" s="1"/>
  <c r="A4765" i="76" s="1"/>
  <c r="A4766" i="76" s="1"/>
  <c r="A4767" i="76" s="1"/>
  <c r="A4768" i="76" s="1"/>
  <c r="A4769" i="76" s="1"/>
  <c r="A4770" i="76" s="1"/>
  <c r="A4771" i="76" s="1"/>
  <c r="A4772" i="76" s="1"/>
  <c r="A4773" i="76" s="1"/>
  <c r="A4774" i="76" s="1"/>
  <c r="A4775" i="76" s="1"/>
  <c r="A4776" i="76" s="1"/>
  <c r="A4777" i="76" s="1"/>
  <c r="A4778" i="76" s="1"/>
  <c r="A4779" i="76" s="1"/>
  <c r="A4780" i="76" s="1"/>
  <c r="A4781" i="76" s="1"/>
  <c r="A4782" i="76" s="1"/>
  <c r="A4783" i="76" s="1"/>
  <c r="A4784" i="76" s="1"/>
  <c r="A4785" i="76" s="1"/>
  <c r="A4786" i="76" s="1"/>
  <c r="A4787" i="76" s="1"/>
  <c r="A4788" i="76" s="1"/>
  <c r="A4789" i="76" s="1"/>
  <c r="A4790" i="76" s="1"/>
  <c r="A4791" i="76" s="1"/>
  <c r="A4792" i="76" s="1"/>
  <c r="A4793" i="76" s="1"/>
  <c r="A4794" i="76" s="1"/>
  <c r="A4795" i="76" s="1"/>
  <c r="A4796" i="76" s="1"/>
  <c r="A4797" i="76" s="1"/>
  <c r="A4798" i="76" s="1"/>
  <c r="A4799" i="76" s="1"/>
  <c r="A4800" i="76" s="1"/>
  <c r="A4801" i="76" s="1"/>
  <c r="A4802" i="76" s="1"/>
  <c r="A4803" i="76" s="1"/>
  <c r="A4804" i="76" s="1"/>
  <c r="A4805" i="76" s="1"/>
  <c r="A4806" i="76" s="1"/>
  <c r="A4807" i="76" s="1"/>
  <c r="A4808" i="76" s="1"/>
  <c r="A4809" i="76" s="1"/>
  <c r="A4810" i="76" s="1"/>
  <c r="A4811" i="76" s="1"/>
  <c r="A4812" i="76" s="1"/>
  <c r="A4813" i="76" s="1"/>
  <c r="A4814" i="76" s="1"/>
  <c r="A4815" i="76" s="1"/>
  <c r="A4816" i="76" s="1"/>
  <c r="A4817" i="76" s="1"/>
  <c r="A4818" i="76" s="1"/>
  <c r="A4819" i="76" s="1"/>
  <c r="A4820" i="76" s="1"/>
  <c r="A4821" i="76" s="1"/>
  <c r="A4822" i="76" s="1"/>
  <c r="A4823" i="76" s="1"/>
  <c r="A4824" i="76" s="1"/>
  <c r="A4825" i="76" s="1"/>
  <c r="A4826" i="76" s="1"/>
  <c r="A4827" i="76" s="1"/>
  <c r="A4828" i="76" s="1"/>
  <c r="A4829" i="76" s="1"/>
  <c r="A4830" i="76" s="1"/>
  <c r="A4831" i="76" s="1"/>
  <c r="A4832" i="76" s="1"/>
  <c r="A4833" i="76" s="1"/>
  <c r="A4834" i="76" s="1"/>
  <c r="A4835" i="76" s="1"/>
  <c r="A4836" i="76" s="1"/>
  <c r="A4837" i="76" s="1"/>
  <c r="A4838" i="76" s="1"/>
  <c r="A4839" i="76" s="1"/>
  <c r="A4840" i="76" s="1"/>
  <c r="A4841" i="76" s="1"/>
  <c r="A4842" i="76" s="1"/>
  <c r="A4843" i="76" s="1"/>
  <c r="A4844" i="76" s="1"/>
  <c r="A4845" i="76" s="1"/>
  <c r="A4846" i="76" s="1"/>
  <c r="A4847" i="76" s="1"/>
  <c r="A4848" i="76" s="1"/>
  <c r="A4849" i="76" s="1"/>
  <c r="A4850" i="76" s="1"/>
  <c r="A4851" i="76" s="1"/>
  <c r="A4852" i="76" s="1"/>
  <c r="A4853" i="76" s="1"/>
  <c r="A4854" i="76" s="1"/>
  <c r="A4855" i="76" s="1"/>
  <c r="A4856" i="76" s="1"/>
  <c r="A4857" i="76" s="1"/>
  <c r="A4858" i="76" s="1"/>
  <c r="A4859" i="76" s="1"/>
  <c r="A4860" i="76" s="1"/>
  <c r="A4861" i="76" s="1"/>
  <c r="A4862" i="76" s="1"/>
  <c r="A4863" i="76" s="1"/>
  <c r="A4864" i="76" s="1"/>
  <c r="A4865" i="76" s="1"/>
  <c r="A4866" i="76" s="1"/>
  <c r="A4867" i="76" s="1"/>
  <c r="A4868" i="76" s="1"/>
  <c r="A4869" i="76" s="1"/>
  <c r="A4870" i="76" s="1"/>
  <c r="A4871" i="76" s="1"/>
  <c r="A4872" i="76" s="1"/>
  <c r="A4873" i="76" s="1"/>
  <c r="A4874" i="76" s="1"/>
  <c r="A4875" i="76" s="1"/>
  <c r="A4876" i="76" s="1"/>
  <c r="A4877" i="76" s="1"/>
  <c r="A4878" i="76" s="1"/>
  <c r="A4879" i="76" s="1"/>
  <c r="A4880" i="76" s="1"/>
  <c r="A4881" i="76" s="1"/>
  <c r="A4882" i="76" s="1"/>
  <c r="A4883" i="76" s="1"/>
  <c r="A4884" i="76" s="1"/>
  <c r="A4885" i="76" s="1"/>
  <c r="A4886" i="76" s="1"/>
  <c r="A4887" i="76" s="1"/>
  <c r="A4888" i="76" s="1"/>
  <c r="A4889" i="76" s="1"/>
  <c r="A4890" i="76" s="1"/>
  <c r="A4891" i="76" s="1"/>
  <c r="A4892" i="76" s="1"/>
  <c r="A4893" i="76" s="1"/>
  <c r="A4894" i="76" s="1"/>
  <c r="A4895" i="76" s="1"/>
  <c r="A4896" i="76" s="1"/>
  <c r="A4897" i="76" s="1"/>
  <c r="A4898" i="76" s="1"/>
  <c r="A4899" i="76" s="1"/>
  <c r="A4900" i="76" s="1"/>
  <c r="A4901" i="76" s="1"/>
  <c r="A4902" i="76" s="1"/>
  <c r="A4903" i="76" s="1"/>
  <c r="A4904" i="76" s="1"/>
  <c r="A4905" i="76" s="1"/>
  <c r="A4906" i="76" s="1"/>
  <c r="A4907" i="76" s="1"/>
  <c r="A4908" i="76" s="1"/>
  <c r="A4909" i="76" s="1"/>
  <c r="A4910" i="76" s="1"/>
  <c r="A4911" i="76" s="1"/>
  <c r="A4912" i="76" s="1"/>
  <c r="A4913" i="76" s="1"/>
  <c r="A4914" i="76" s="1"/>
  <c r="A4915" i="76" s="1"/>
  <c r="A4916" i="76" s="1"/>
  <c r="A4917" i="76" s="1"/>
  <c r="A4918" i="76" s="1"/>
  <c r="A4919" i="76" s="1"/>
  <c r="A4920" i="76" s="1"/>
  <c r="A4921" i="76" s="1"/>
  <c r="A4922" i="76" s="1"/>
  <c r="A4923" i="76" s="1"/>
  <c r="A4924" i="76" s="1"/>
  <c r="A4925" i="76" s="1"/>
  <c r="A4926" i="76" s="1"/>
  <c r="A4927" i="76" s="1"/>
  <c r="A4928" i="76" s="1"/>
  <c r="A4929" i="76" s="1"/>
  <c r="A4930" i="76" s="1"/>
  <c r="A4931" i="76" s="1"/>
  <c r="A4932" i="76" s="1"/>
  <c r="A4933" i="76" s="1"/>
  <c r="A4934" i="76" s="1"/>
  <c r="A4935" i="76" s="1"/>
  <c r="A4936" i="76" s="1"/>
  <c r="A4937" i="76" s="1"/>
  <c r="A4938" i="76" s="1"/>
  <c r="A4939" i="76" s="1"/>
  <c r="A4940" i="76" s="1"/>
  <c r="A4941" i="76" s="1"/>
  <c r="A4942" i="76" s="1"/>
  <c r="A4943" i="76" s="1"/>
  <c r="A4944" i="76" s="1"/>
  <c r="A4945" i="76" s="1"/>
  <c r="A4946" i="76" s="1"/>
  <c r="A4947" i="76" s="1"/>
  <c r="A4948" i="76" s="1"/>
  <c r="A4949" i="76" s="1"/>
  <c r="A4950" i="76" s="1"/>
  <c r="A4951" i="76" s="1"/>
  <c r="A4952" i="76" s="1"/>
  <c r="A4953" i="76" s="1"/>
  <c r="A4954" i="76" s="1"/>
  <c r="A4955" i="76" s="1"/>
  <c r="A4956" i="76" s="1"/>
  <c r="A4957" i="76" s="1"/>
  <c r="A4958" i="76" s="1"/>
  <c r="A4959" i="76" s="1"/>
  <c r="A4960" i="76" s="1"/>
  <c r="A4961" i="76" s="1"/>
  <c r="A4962" i="76" s="1"/>
  <c r="A4963" i="76" s="1"/>
  <c r="A4964" i="76" s="1"/>
  <c r="A4965" i="76" s="1"/>
  <c r="A4966" i="76" s="1"/>
  <c r="A4967" i="76" s="1"/>
  <c r="A4968" i="76" s="1"/>
  <c r="A4969" i="76" s="1"/>
  <c r="A4970" i="76" s="1"/>
  <c r="A4971" i="76" s="1"/>
  <c r="A4972" i="76" s="1"/>
  <c r="A4973" i="76" s="1"/>
  <c r="A4974" i="76" s="1"/>
  <c r="A4975" i="76" s="1"/>
  <c r="A4976" i="76" s="1"/>
  <c r="A4977" i="76" s="1"/>
  <c r="A4978" i="76" s="1"/>
  <c r="A4979" i="76" s="1"/>
  <c r="A4980" i="76" s="1"/>
  <c r="A4981" i="76" s="1"/>
  <c r="A4982" i="76" s="1"/>
  <c r="A4983" i="76" s="1"/>
  <c r="A4984" i="76" s="1"/>
  <c r="A4985" i="76" s="1"/>
  <c r="A4986" i="76" s="1"/>
  <c r="A4987" i="76" s="1"/>
  <c r="A4988" i="76" s="1"/>
  <c r="A4989" i="76" s="1"/>
  <c r="A4990" i="76" s="1"/>
  <c r="A4991" i="76" s="1"/>
  <c r="A4992" i="76" s="1"/>
  <c r="A4993" i="76" s="1"/>
  <c r="A4994" i="76" s="1"/>
  <c r="A4995" i="76" s="1"/>
  <c r="A4996" i="76" s="1"/>
  <c r="A4997" i="76" s="1"/>
  <c r="A4998" i="76" s="1"/>
  <c r="A4999" i="76" s="1"/>
  <c r="A5000" i="76" s="1"/>
  <c r="A5001" i="76" s="1"/>
  <c r="A5002" i="76" s="1"/>
  <c r="A5003" i="76" s="1"/>
  <c r="A5004" i="76" s="1"/>
  <c r="A5005" i="76" s="1"/>
  <c r="A5006" i="76" s="1"/>
  <c r="A5007" i="76" s="1"/>
  <c r="A5008" i="76" s="1"/>
  <c r="A5009" i="76" s="1"/>
  <c r="A5010" i="76" s="1"/>
  <c r="A5011" i="76" s="1"/>
  <c r="A5012" i="76" s="1"/>
  <c r="A5013" i="76" s="1"/>
  <c r="A5014" i="76" s="1"/>
  <c r="A5015" i="76" s="1"/>
  <c r="A5016" i="76" s="1"/>
  <c r="A5017" i="76" s="1"/>
  <c r="A5018" i="76" s="1"/>
  <c r="A5019" i="76" s="1"/>
  <c r="A5020" i="76" s="1"/>
  <c r="A5021" i="76" s="1"/>
  <c r="A5022" i="76" s="1"/>
  <c r="A5023" i="76" s="1"/>
  <c r="A5024" i="76" s="1"/>
  <c r="A5025" i="76" s="1"/>
  <c r="A5026" i="76" s="1"/>
  <c r="A5027" i="76" s="1"/>
  <c r="A5028" i="76" s="1"/>
  <c r="A5029" i="76" s="1"/>
  <c r="A5030" i="76" s="1"/>
  <c r="A5031" i="76" s="1"/>
  <c r="A5032" i="76" s="1"/>
  <c r="A5033" i="76" s="1"/>
  <c r="A5034" i="76" s="1"/>
  <c r="A5035" i="76" s="1"/>
  <c r="A5036" i="76" s="1"/>
  <c r="A5037" i="76" s="1"/>
  <c r="A5038" i="76" s="1"/>
  <c r="A5039" i="76" s="1"/>
  <c r="A5040" i="76" s="1"/>
  <c r="A5041" i="76" s="1"/>
  <c r="A5042" i="76" s="1"/>
  <c r="A5043" i="76" s="1"/>
  <c r="A5044" i="76" s="1"/>
  <c r="A5045" i="76" s="1"/>
  <c r="A5046" i="76" s="1"/>
  <c r="A5047" i="76" s="1"/>
  <c r="A5048" i="76" s="1"/>
  <c r="A5049" i="76" s="1"/>
  <c r="A5050" i="76" s="1"/>
  <c r="A5051" i="76" s="1"/>
  <c r="A5052" i="76" s="1"/>
  <c r="A5053" i="76" s="1"/>
  <c r="A5054" i="76" s="1"/>
  <c r="A5055" i="76" s="1"/>
  <c r="A5056" i="76" s="1"/>
  <c r="A5057" i="76" s="1"/>
  <c r="A5058" i="76" s="1"/>
  <c r="A5059" i="76" s="1"/>
  <c r="A5060" i="76" s="1"/>
  <c r="A5061" i="76" s="1"/>
  <c r="A5062" i="76" s="1"/>
  <c r="A5063" i="76" s="1"/>
  <c r="A5064" i="76" s="1"/>
  <c r="A5065" i="76" s="1"/>
  <c r="A5066" i="76" s="1"/>
  <c r="A5067" i="76" s="1"/>
  <c r="A5068" i="76" s="1"/>
  <c r="A5069" i="76" s="1"/>
  <c r="A5070" i="76" s="1"/>
  <c r="A5071" i="76" s="1"/>
  <c r="A5072" i="76" s="1"/>
  <c r="A5073" i="76" s="1"/>
  <c r="A5074" i="76" s="1"/>
  <c r="A5075" i="76" s="1"/>
  <c r="A5076" i="76" s="1"/>
  <c r="A5077" i="76" s="1"/>
  <c r="A5078" i="76" s="1"/>
  <c r="A5079" i="76" s="1"/>
  <c r="A5080" i="76" s="1"/>
  <c r="A5081" i="76" s="1"/>
  <c r="A5082" i="76" s="1"/>
  <c r="A5083" i="76" s="1"/>
  <c r="A5084" i="76" s="1"/>
  <c r="A5085" i="76" s="1"/>
  <c r="A5086" i="76" s="1"/>
  <c r="A5087" i="76" s="1"/>
  <c r="A5088" i="76" s="1"/>
  <c r="A5089" i="76" s="1"/>
  <c r="A5090" i="76" s="1"/>
  <c r="A5091" i="76" s="1"/>
  <c r="A5092" i="76" s="1"/>
  <c r="A5093" i="76" s="1"/>
  <c r="A5094" i="76" s="1"/>
  <c r="A5095" i="76" s="1"/>
  <c r="A5096" i="76" s="1"/>
  <c r="A5097" i="76" s="1"/>
  <c r="A5098" i="76" s="1"/>
  <c r="A5099" i="76" s="1"/>
  <c r="A5100" i="76" s="1"/>
  <c r="A5101" i="76" s="1"/>
  <c r="A5102" i="76" s="1"/>
  <c r="A5103" i="76" s="1"/>
  <c r="A5104" i="76" s="1"/>
  <c r="A5105" i="76" s="1"/>
  <c r="A5106" i="76" s="1"/>
  <c r="A5107" i="76" s="1"/>
  <c r="A5108" i="76" s="1"/>
  <c r="A5109" i="76" s="1"/>
  <c r="A5110" i="76" s="1"/>
  <c r="A5111" i="76" s="1"/>
  <c r="A5112" i="76" s="1"/>
  <c r="A5113" i="76" s="1"/>
  <c r="A5114" i="76" s="1"/>
  <c r="A5115" i="76" s="1"/>
  <c r="A5116" i="76" s="1"/>
  <c r="A5117" i="76" s="1"/>
  <c r="A5118" i="76" s="1"/>
  <c r="A5119" i="76" s="1"/>
  <c r="A5120" i="76" s="1"/>
  <c r="A5121" i="76" s="1"/>
  <c r="A5122" i="76" s="1"/>
  <c r="A5123" i="76" s="1"/>
  <c r="A5124" i="76" s="1"/>
  <c r="A5125" i="76" s="1"/>
  <c r="A5126" i="76" s="1"/>
  <c r="A5127" i="76" s="1"/>
  <c r="A5128" i="76" s="1"/>
  <c r="A5129" i="76" s="1"/>
  <c r="A5130" i="76" s="1"/>
  <c r="A5131" i="76" s="1"/>
  <c r="A5132" i="76" s="1"/>
  <c r="A5133" i="76" s="1"/>
  <c r="A5134" i="76" s="1"/>
  <c r="A5135" i="76" s="1"/>
  <c r="A5136" i="76" s="1"/>
  <c r="A5137" i="76" s="1"/>
  <c r="A5138" i="76" s="1"/>
  <c r="A5139" i="76" s="1"/>
  <c r="A5140" i="76" s="1"/>
  <c r="A5141" i="76" s="1"/>
  <c r="A5142" i="76" s="1"/>
  <c r="A5143" i="76" s="1"/>
  <c r="A5144" i="76" s="1"/>
  <c r="A5145" i="76" s="1"/>
  <c r="A5146" i="76" s="1"/>
  <c r="A5147" i="76" s="1"/>
  <c r="A5148" i="76" s="1"/>
  <c r="A5149" i="76" s="1"/>
  <c r="A5150" i="76" s="1"/>
  <c r="A5151" i="76" s="1"/>
  <c r="A5152" i="76" s="1"/>
  <c r="A5153" i="76" s="1"/>
  <c r="A5154" i="76" s="1"/>
  <c r="A5155" i="76" s="1"/>
  <c r="A5156" i="76" s="1"/>
  <c r="A5157" i="76" s="1"/>
  <c r="A5158" i="76" s="1"/>
  <c r="A5159" i="76" s="1"/>
  <c r="A5160" i="76" s="1"/>
  <c r="A5161" i="76" s="1"/>
  <c r="A5162" i="76" s="1"/>
  <c r="A5163" i="76" s="1"/>
  <c r="A5164" i="76" s="1"/>
  <c r="A5165" i="76" s="1"/>
  <c r="A5166" i="76" s="1"/>
  <c r="A5167" i="76" s="1"/>
  <c r="A5168" i="76" s="1"/>
  <c r="A5169" i="76" s="1"/>
  <c r="A5170" i="76" s="1"/>
  <c r="A5171" i="76" s="1"/>
  <c r="A5172" i="76" s="1"/>
  <c r="A5173" i="76" s="1"/>
  <c r="A5174" i="76" s="1"/>
  <c r="A5175" i="76" s="1"/>
  <c r="A5176" i="76" s="1"/>
  <c r="A5177" i="76" s="1"/>
  <c r="A5178" i="76" s="1"/>
  <c r="A5179" i="76" s="1"/>
  <c r="A5180" i="76" s="1"/>
  <c r="A5181" i="76" s="1"/>
  <c r="A5182" i="76" s="1"/>
  <c r="A5183" i="76" s="1"/>
  <c r="A5184" i="76" s="1"/>
  <c r="A5185" i="76" s="1"/>
  <c r="A5186" i="76" s="1"/>
  <c r="A5187" i="76" s="1"/>
  <c r="A5188" i="76" s="1"/>
  <c r="A5189" i="76" s="1"/>
  <c r="A5190" i="76" s="1"/>
  <c r="A5191" i="76" s="1"/>
  <c r="A5192" i="76" s="1"/>
  <c r="A5193" i="76" s="1"/>
  <c r="A5194" i="76" s="1"/>
  <c r="A5195" i="76" s="1"/>
  <c r="A5196" i="76" s="1"/>
  <c r="A5197" i="76" s="1"/>
  <c r="A5198" i="76" s="1"/>
  <c r="A5199" i="76" s="1"/>
  <c r="A5200" i="76" s="1"/>
  <c r="A5201" i="76" s="1"/>
  <c r="A5202" i="76" s="1"/>
  <c r="A5203" i="76" s="1"/>
  <c r="A5204" i="76" s="1"/>
  <c r="A5205" i="76" s="1"/>
  <c r="A5206" i="76" s="1"/>
  <c r="A5207" i="76" s="1"/>
  <c r="A5208" i="76" s="1"/>
  <c r="A5209" i="76" s="1"/>
  <c r="A5210" i="76" s="1"/>
  <c r="A5211" i="76" s="1"/>
  <c r="A5212" i="76" s="1"/>
  <c r="A5213" i="76" s="1"/>
  <c r="A5214" i="76" s="1"/>
  <c r="A5215" i="76" s="1"/>
  <c r="A5216" i="76" s="1"/>
  <c r="A5217" i="76" s="1"/>
  <c r="A5218" i="76" s="1"/>
  <c r="A5219" i="76" s="1"/>
  <c r="A5220" i="76" s="1"/>
  <c r="A5221" i="76" s="1"/>
  <c r="A5222" i="76" s="1"/>
  <c r="A5223" i="76" s="1"/>
  <c r="A5224" i="76" s="1"/>
  <c r="A5225" i="76" s="1"/>
  <c r="A5226" i="76" s="1"/>
  <c r="A5227" i="76" s="1"/>
  <c r="A5228" i="76" s="1"/>
  <c r="A5229" i="76" s="1"/>
  <c r="A5230" i="76" s="1"/>
  <c r="A5231" i="76" s="1"/>
  <c r="A5232" i="76" s="1"/>
  <c r="A5233" i="76" s="1"/>
  <c r="A5234" i="76" s="1"/>
  <c r="A5235" i="76" s="1"/>
  <c r="A5236" i="76" s="1"/>
  <c r="A5237" i="76" s="1"/>
  <c r="A5238" i="76" s="1"/>
  <c r="A5239" i="76" s="1"/>
  <c r="A5240" i="76" s="1"/>
  <c r="A5241" i="76" s="1"/>
  <c r="A5242" i="76" s="1"/>
  <c r="A5243" i="76" s="1"/>
  <c r="A5244" i="76" s="1"/>
  <c r="A5245" i="76" s="1"/>
  <c r="A5246" i="76" s="1"/>
  <c r="A5247" i="76" s="1"/>
  <c r="A5248" i="76" s="1"/>
  <c r="A5249" i="76" s="1"/>
  <c r="A5250" i="76" s="1"/>
  <c r="A5251" i="76" s="1"/>
  <c r="A5252" i="76" s="1"/>
  <c r="A5253" i="76" s="1"/>
  <c r="A5254" i="76" s="1"/>
  <c r="A5255" i="76" s="1"/>
  <c r="A5256" i="76" s="1"/>
  <c r="A5257" i="76" s="1"/>
  <c r="A5258" i="76" s="1"/>
  <c r="A5259" i="76" s="1"/>
  <c r="A5260" i="76" s="1"/>
  <c r="A5261" i="76" s="1"/>
  <c r="A5262" i="76" s="1"/>
  <c r="A5263" i="76" s="1"/>
  <c r="A5264" i="76" s="1"/>
  <c r="A5265" i="76" s="1"/>
  <c r="A5266" i="76" s="1"/>
  <c r="A5267" i="76" s="1"/>
  <c r="A5268" i="76" s="1"/>
  <c r="A5269" i="76" s="1"/>
  <c r="A5270" i="76" s="1"/>
  <c r="A5271" i="76" s="1"/>
  <c r="A5272" i="76" s="1"/>
  <c r="A5273" i="76" s="1"/>
  <c r="A5274" i="76" s="1"/>
  <c r="A5275" i="76" s="1"/>
  <c r="A5276" i="76" s="1"/>
  <c r="A5277" i="76" s="1"/>
  <c r="A5278" i="76" s="1"/>
  <c r="A5279" i="76" s="1"/>
  <c r="A5280" i="76" s="1"/>
  <c r="A5281" i="76" s="1"/>
  <c r="A5282" i="76" s="1"/>
  <c r="A5283" i="76" s="1"/>
  <c r="A5284" i="76" s="1"/>
  <c r="A5285" i="76" s="1"/>
  <c r="A5286" i="76" s="1"/>
  <c r="A5287" i="76" s="1"/>
  <c r="A5288" i="76" s="1"/>
  <c r="A5289" i="76" s="1"/>
  <c r="A5290" i="76" s="1"/>
  <c r="A5291" i="76" s="1"/>
  <c r="A5292" i="76" s="1"/>
  <c r="A5293" i="76" s="1"/>
  <c r="A5294" i="76" s="1"/>
  <c r="A5295" i="76" s="1"/>
  <c r="A5296" i="76" s="1"/>
  <c r="A5297" i="76" s="1"/>
  <c r="A5298" i="76" s="1"/>
  <c r="A5299" i="76" s="1"/>
  <c r="A5300" i="76" s="1"/>
  <c r="A5301" i="76" s="1"/>
  <c r="A5302" i="76" s="1"/>
  <c r="A5303" i="76" s="1"/>
  <c r="A5304" i="76" s="1"/>
  <c r="A5305" i="76" s="1"/>
  <c r="A5306" i="76" s="1"/>
  <c r="A5307" i="76" s="1"/>
  <c r="A5308" i="76" s="1"/>
  <c r="A5309" i="76" s="1"/>
  <c r="A5310" i="76" s="1"/>
  <c r="A5311" i="76" s="1"/>
  <c r="A5312" i="76" s="1"/>
  <c r="A5313" i="76" s="1"/>
  <c r="A5314" i="76" s="1"/>
  <c r="A5315" i="76" s="1"/>
  <c r="A5316" i="76" s="1"/>
  <c r="A5317" i="76" s="1"/>
  <c r="A5318" i="76" s="1"/>
  <c r="A5319" i="76" s="1"/>
  <c r="A5320" i="76" s="1"/>
  <c r="A5321" i="76" s="1"/>
  <c r="A5322" i="76" s="1"/>
  <c r="A5323" i="76" s="1"/>
  <c r="A5324" i="76" s="1"/>
  <c r="A5325" i="76" s="1"/>
  <c r="A5326" i="76" s="1"/>
  <c r="A5327" i="76" s="1"/>
  <c r="A5328" i="76" s="1"/>
  <c r="A5329" i="76" s="1"/>
  <c r="A5330" i="76" s="1"/>
  <c r="A5331" i="76" s="1"/>
  <c r="A5332" i="76" s="1"/>
  <c r="A5333" i="76" s="1"/>
  <c r="A5334" i="76" s="1"/>
  <c r="A5335" i="76" s="1"/>
  <c r="A5336" i="76" s="1"/>
  <c r="A5337" i="76" s="1"/>
  <c r="A5338" i="76" s="1"/>
  <c r="A5339" i="76" s="1"/>
  <c r="A5340" i="76" s="1"/>
  <c r="A5341" i="76" s="1"/>
  <c r="A5342" i="76" s="1"/>
  <c r="A5343" i="76" s="1"/>
  <c r="A5344" i="76" s="1"/>
  <c r="A5345" i="76" s="1"/>
  <c r="A5346" i="76" s="1"/>
  <c r="A5347" i="76" s="1"/>
  <c r="A5348" i="76" s="1"/>
  <c r="A5349" i="76" s="1"/>
  <c r="A5350" i="76" s="1"/>
  <c r="A5351" i="76" s="1"/>
  <c r="A5352" i="76" s="1"/>
  <c r="A5353" i="76" s="1"/>
  <c r="A5354" i="76" s="1"/>
  <c r="A5355" i="76" s="1"/>
  <c r="A5356" i="76" s="1"/>
  <c r="A5357" i="76" s="1"/>
  <c r="A5358" i="76" s="1"/>
  <c r="A5359" i="76" s="1"/>
  <c r="A5360" i="76" s="1"/>
  <c r="A5361" i="76" s="1"/>
  <c r="A5362" i="76" s="1"/>
  <c r="A5363" i="76" s="1"/>
  <c r="A5364" i="76" s="1"/>
  <c r="A5365" i="76" s="1"/>
  <c r="A5366" i="76" s="1"/>
  <c r="A5367" i="76" s="1"/>
  <c r="A5368" i="76" s="1"/>
  <c r="A5369" i="76" s="1"/>
  <c r="A5370" i="76" s="1"/>
  <c r="A5371" i="76" s="1"/>
  <c r="A5372" i="76" s="1"/>
  <c r="A5373" i="76" s="1"/>
  <c r="A5374" i="76" s="1"/>
  <c r="A5375" i="76" s="1"/>
  <c r="A5376" i="76" s="1"/>
  <c r="A5377" i="76" s="1"/>
  <c r="A5378" i="76" s="1"/>
  <c r="A5379" i="76" s="1"/>
  <c r="A5380" i="76" s="1"/>
  <c r="A5381" i="76" s="1"/>
  <c r="A5382" i="76" s="1"/>
  <c r="A5383" i="76" s="1"/>
  <c r="A5384" i="76" s="1"/>
  <c r="A5385" i="76" s="1"/>
  <c r="A5386" i="76" s="1"/>
  <c r="A5387" i="76" s="1"/>
  <c r="A5388" i="76" s="1"/>
  <c r="A5389" i="76" s="1"/>
  <c r="A5390" i="76" s="1"/>
  <c r="A5391" i="76" s="1"/>
  <c r="A5392" i="76" s="1"/>
  <c r="A5393" i="76" s="1"/>
  <c r="A5394" i="76" s="1"/>
  <c r="A5395" i="76" s="1"/>
  <c r="A5396" i="76" s="1"/>
  <c r="A5397" i="76" s="1"/>
  <c r="A5398" i="76" s="1"/>
  <c r="A5399" i="76" s="1"/>
  <c r="A5400" i="76" s="1"/>
  <c r="A5401" i="76" s="1"/>
  <c r="A5402" i="76" s="1"/>
  <c r="A5403" i="76" s="1"/>
  <c r="A5404" i="76" s="1"/>
  <c r="A5405" i="76" s="1"/>
  <c r="A5406" i="76" s="1"/>
  <c r="A5407" i="76" s="1"/>
  <c r="A5408" i="76" s="1"/>
  <c r="A5409" i="76" s="1"/>
  <c r="A5410" i="76" s="1"/>
  <c r="A5411" i="76" s="1"/>
  <c r="A5412" i="76" s="1"/>
  <c r="A5413" i="76" s="1"/>
  <c r="A5414" i="76" s="1"/>
  <c r="A5415" i="76" s="1"/>
  <c r="A5416" i="76" s="1"/>
  <c r="A5417" i="76" s="1"/>
  <c r="A5418" i="76" s="1"/>
  <c r="A5419" i="76" s="1"/>
  <c r="A5420" i="76" s="1"/>
  <c r="A5421" i="76" s="1"/>
  <c r="A5422" i="76" s="1"/>
  <c r="A5423" i="76" s="1"/>
  <c r="A5424" i="76" s="1"/>
  <c r="A5425" i="76" s="1"/>
  <c r="A5426" i="76" s="1"/>
  <c r="A5427" i="76" s="1"/>
  <c r="A5428" i="76" s="1"/>
  <c r="A5429" i="76" s="1"/>
  <c r="A5430" i="76" s="1"/>
  <c r="A5431" i="76" s="1"/>
  <c r="A5432" i="76" s="1"/>
  <c r="A5433" i="76" s="1"/>
  <c r="A5434" i="76" s="1"/>
  <c r="A5435" i="76" s="1"/>
  <c r="A5436" i="76" s="1"/>
  <c r="A5437" i="76" s="1"/>
  <c r="A5438" i="76" s="1"/>
  <c r="A5439" i="76" s="1"/>
  <c r="A5440" i="76" s="1"/>
  <c r="A5441" i="76" s="1"/>
  <c r="A5442" i="76" s="1"/>
  <c r="A5443" i="76" s="1"/>
  <c r="A5444" i="76" s="1"/>
  <c r="A5445" i="76" s="1"/>
  <c r="A5446" i="76" s="1"/>
  <c r="A5447" i="76" s="1"/>
  <c r="A5448" i="76" s="1"/>
  <c r="A5449" i="76" s="1"/>
  <c r="A5450" i="76" s="1"/>
  <c r="A5451" i="76" s="1"/>
  <c r="A5452" i="76" s="1"/>
  <c r="A5453" i="76" s="1"/>
  <c r="A5454" i="76" s="1"/>
  <c r="A5455" i="76" s="1"/>
  <c r="A5456" i="76" s="1"/>
  <c r="A5457" i="76" s="1"/>
  <c r="A5458" i="76" s="1"/>
  <c r="A5459" i="76" s="1"/>
  <c r="A5460" i="76" s="1"/>
  <c r="A5461" i="76" s="1"/>
  <c r="A5462" i="76" s="1"/>
  <c r="A5463" i="76" s="1"/>
  <c r="A5464" i="76" s="1"/>
  <c r="A5465" i="76" s="1"/>
  <c r="A5466" i="76" s="1"/>
  <c r="A5467" i="76" s="1"/>
  <c r="A5468" i="76" s="1"/>
  <c r="A5469" i="76" s="1"/>
  <c r="A5470" i="76" s="1"/>
  <c r="A5471" i="76" s="1"/>
  <c r="A5472" i="76" s="1"/>
  <c r="A5473" i="76" s="1"/>
  <c r="A5474" i="76" s="1"/>
  <c r="A5475" i="76" s="1"/>
  <c r="A5476" i="76" s="1"/>
  <c r="A5477" i="76" s="1"/>
  <c r="A5478" i="76" s="1"/>
  <c r="A5479" i="76" s="1"/>
  <c r="A5480" i="76" s="1"/>
  <c r="A5481" i="76" s="1"/>
  <c r="A5482" i="76" s="1"/>
  <c r="A5483" i="76" s="1"/>
  <c r="A5484" i="76" s="1"/>
  <c r="A5485" i="76" s="1"/>
  <c r="A5486" i="76" s="1"/>
  <c r="A5487" i="76" s="1"/>
  <c r="A5488" i="76" s="1"/>
  <c r="A5489" i="76" s="1"/>
  <c r="A5490" i="76" s="1"/>
  <c r="A5491" i="76" s="1"/>
  <c r="A5492" i="76" s="1"/>
  <c r="A5493" i="76" s="1"/>
  <c r="A5494" i="76" s="1"/>
  <c r="A5495" i="76" s="1"/>
  <c r="A5496" i="76" s="1"/>
  <c r="A5497" i="76" s="1"/>
  <c r="A5498" i="76" s="1"/>
  <c r="A5499" i="76" s="1"/>
  <c r="A5500" i="76" s="1"/>
  <c r="A5501" i="76" s="1"/>
  <c r="A5502" i="76" s="1"/>
  <c r="A5503" i="76" s="1"/>
  <c r="A5504" i="76" s="1"/>
  <c r="A5505" i="76" s="1"/>
  <c r="A5506" i="76" s="1"/>
  <c r="A5507" i="76" s="1"/>
  <c r="A5508" i="76" s="1"/>
  <c r="A5509" i="76" s="1"/>
  <c r="A5510" i="76" s="1"/>
  <c r="A5511" i="76" s="1"/>
  <c r="A5512" i="76" s="1"/>
  <c r="A5513" i="76" s="1"/>
  <c r="A5514" i="76" s="1"/>
  <c r="A5515" i="76" s="1"/>
  <c r="A5516" i="76" s="1"/>
  <c r="A5517" i="76" s="1"/>
  <c r="A5518" i="76" s="1"/>
  <c r="A5519" i="76" s="1"/>
  <c r="A5520" i="76" s="1"/>
  <c r="A5521" i="76" s="1"/>
  <c r="A5522" i="76" s="1"/>
  <c r="A5523" i="76" s="1"/>
  <c r="A5524" i="76" s="1"/>
  <c r="A5525" i="76" s="1"/>
  <c r="A5526" i="76" s="1"/>
  <c r="A5527" i="76" s="1"/>
  <c r="A5528" i="76" s="1"/>
  <c r="A5529" i="76" s="1"/>
  <c r="A5530" i="76" s="1"/>
  <c r="A5531" i="76" s="1"/>
  <c r="A5532" i="76" s="1"/>
  <c r="A5533" i="76" s="1"/>
  <c r="A5534" i="76" s="1"/>
  <c r="A5535" i="76" s="1"/>
  <c r="A5536" i="76" s="1"/>
  <c r="A5537" i="76" s="1"/>
  <c r="A5538" i="76" s="1"/>
  <c r="A5539" i="76" s="1"/>
  <c r="A5540" i="76" s="1"/>
  <c r="A5541" i="76" s="1"/>
  <c r="A5542" i="76" s="1"/>
  <c r="A5543" i="76" s="1"/>
  <c r="A5544" i="76" s="1"/>
  <c r="A5545" i="76" s="1"/>
  <c r="A5546" i="76" s="1"/>
  <c r="A5547" i="76" s="1"/>
  <c r="A5548" i="76" s="1"/>
  <c r="A5549" i="76" s="1"/>
  <c r="A5550" i="76" s="1"/>
  <c r="A5551" i="76" s="1"/>
  <c r="A5552" i="76" s="1"/>
  <c r="A5553" i="76" s="1"/>
  <c r="A5554" i="76" s="1"/>
  <c r="A5555" i="76" s="1"/>
  <c r="A5556" i="76" s="1"/>
  <c r="A5557" i="76" s="1"/>
  <c r="A5558" i="76" s="1"/>
  <c r="A5559" i="76" s="1"/>
  <c r="A5560" i="76" s="1"/>
  <c r="A5561" i="76" s="1"/>
  <c r="A5562" i="76" s="1"/>
  <c r="A5563" i="76" s="1"/>
  <c r="A5564" i="76" s="1"/>
  <c r="A5565" i="76" s="1"/>
  <c r="A5566" i="76" s="1"/>
  <c r="A5567" i="76" s="1"/>
  <c r="A5568" i="76" s="1"/>
  <c r="A5569" i="76" s="1"/>
  <c r="A5570" i="76" s="1"/>
  <c r="A5571" i="76" s="1"/>
  <c r="A5572" i="76" s="1"/>
  <c r="A5573" i="76" s="1"/>
  <c r="A5574" i="76" s="1"/>
  <c r="A5575" i="76" s="1"/>
  <c r="A5576" i="76" s="1"/>
  <c r="A5577" i="76" s="1"/>
  <c r="A5578" i="76" s="1"/>
  <c r="A5579" i="76" s="1"/>
  <c r="A5580" i="76" s="1"/>
  <c r="A5581" i="76" s="1"/>
  <c r="A5582" i="76" s="1"/>
  <c r="A5583" i="76" s="1"/>
  <c r="A5584" i="76" s="1"/>
  <c r="A5585" i="76" s="1"/>
  <c r="A5586" i="76" s="1"/>
  <c r="A5587" i="76" s="1"/>
  <c r="A5588" i="76" s="1"/>
  <c r="A5589" i="76" s="1"/>
  <c r="A5590" i="76" s="1"/>
  <c r="A5591" i="76" s="1"/>
  <c r="A5592" i="76" s="1"/>
  <c r="A5593" i="76" s="1"/>
  <c r="A5594" i="76" s="1"/>
  <c r="A5595" i="76" s="1"/>
  <c r="A5596" i="76" s="1"/>
  <c r="A5597" i="76" s="1"/>
  <c r="A5598" i="76" s="1"/>
  <c r="A5599" i="76" s="1"/>
  <c r="A5600" i="76" s="1"/>
  <c r="A5601" i="76" s="1"/>
  <c r="A5602" i="76" s="1"/>
  <c r="A5603" i="76" s="1"/>
  <c r="A5604" i="76" s="1"/>
  <c r="A5605" i="76" s="1"/>
  <c r="A5606" i="76" s="1"/>
  <c r="A5607" i="76" s="1"/>
  <c r="A5608" i="76" s="1"/>
  <c r="A5609" i="76" s="1"/>
  <c r="A5610" i="76" s="1"/>
  <c r="A5611" i="76" s="1"/>
  <c r="A5612" i="76" s="1"/>
  <c r="A5613" i="76" s="1"/>
  <c r="A5614" i="76" s="1"/>
  <c r="A5615" i="76" s="1"/>
  <c r="A5616" i="76" s="1"/>
  <c r="A5617" i="76" s="1"/>
  <c r="A5618" i="76" s="1"/>
  <c r="A5619" i="76" s="1"/>
  <c r="A5620" i="76" s="1"/>
  <c r="A5621" i="76" s="1"/>
  <c r="A5622" i="76" s="1"/>
  <c r="A5623" i="76" s="1"/>
  <c r="A5624" i="76" s="1"/>
  <c r="A5625" i="76" s="1"/>
  <c r="A5626" i="76" s="1"/>
  <c r="A5627" i="76" s="1"/>
  <c r="A5628" i="76" s="1"/>
  <c r="A5629" i="76" s="1"/>
  <c r="A5630" i="76" s="1"/>
  <c r="A5631" i="76" s="1"/>
  <c r="A5632" i="76" s="1"/>
  <c r="A5633" i="76" s="1"/>
  <c r="A5634" i="76" s="1"/>
  <c r="A5635" i="76" s="1"/>
  <c r="A5636" i="76" s="1"/>
  <c r="A5637" i="76" s="1"/>
  <c r="A5638" i="76" s="1"/>
  <c r="A5639" i="76" s="1"/>
  <c r="A5640" i="76" s="1"/>
  <c r="A5641" i="76" s="1"/>
  <c r="A5642" i="76" s="1"/>
  <c r="A5643" i="76" s="1"/>
  <c r="A5644" i="76" s="1"/>
  <c r="A5645" i="76" s="1"/>
  <c r="A5646" i="76" s="1"/>
  <c r="A5647" i="76" s="1"/>
  <c r="A5648" i="76" s="1"/>
  <c r="A5649" i="76" s="1"/>
  <c r="A5650" i="76" s="1"/>
  <c r="A5651" i="76" s="1"/>
  <c r="A5652" i="76" s="1"/>
  <c r="A5653" i="76" s="1"/>
  <c r="A5654" i="76" s="1"/>
  <c r="A5655" i="76" s="1"/>
  <c r="A5656" i="76" s="1"/>
  <c r="A5657" i="76" s="1"/>
  <c r="A5658" i="76" s="1"/>
  <c r="A5659" i="76" s="1"/>
  <c r="A5660" i="76" s="1"/>
  <c r="A5661" i="76" s="1"/>
  <c r="A5662" i="76" s="1"/>
  <c r="A5663" i="76" s="1"/>
  <c r="A5664" i="76" s="1"/>
  <c r="A5665" i="76" s="1"/>
  <c r="A5666" i="76" s="1"/>
  <c r="A5667" i="76" s="1"/>
  <c r="A5668" i="76" s="1"/>
  <c r="A5669" i="76" s="1"/>
  <c r="A5670" i="76" s="1"/>
  <c r="A5671" i="76" s="1"/>
  <c r="A5672" i="76" s="1"/>
  <c r="A5673" i="76" s="1"/>
  <c r="A5674" i="76" s="1"/>
  <c r="A5675" i="76" s="1"/>
  <c r="A5676" i="76" s="1"/>
  <c r="A5677" i="76" s="1"/>
  <c r="A5678" i="76" s="1"/>
  <c r="A5679" i="76" s="1"/>
  <c r="A5680" i="76" s="1"/>
  <c r="A5681" i="76" s="1"/>
  <c r="A5682" i="76" s="1"/>
  <c r="A5683" i="76" s="1"/>
  <c r="A5684" i="76" s="1"/>
  <c r="A5685" i="76" s="1"/>
  <c r="A5686" i="76" s="1"/>
  <c r="A5687" i="76" s="1"/>
  <c r="A5688" i="76" s="1"/>
  <c r="A5689" i="76" s="1"/>
  <c r="A5690" i="76" s="1"/>
  <c r="A5691" i="76" s="1"/>
  <c r="A5692" i="76" s="1"/>
  <c r="A5693" i="76" s="1"/>
  <c r="A5694" i="76" s="1"/>
  <c r="A5695" i="76" s="1"/>
  <c r="A5696" i="76" s="1"/>
  <c r="A5697" i="76" s="1"/>
  <c r="A5698" i="76" s="1"/>
  <c r="A5699" i="76" s="1"/>
  <c r="A5700" i="76" s="1"/>
  <c r="A5701" i="76" s="1"/>
  <c r="A5702" i="76" s="1"/>
  <c r="A5703" i="76" s="1"/>
  <c r="A5704" i="76" s="1"/>
  <c r="A5705" i="76" s="1"/>
  <c r="A5706" i="76" s="1"/>
  <c r="A5707" i="76" s="1"/>
  <c r="A5708" i="76" s="1"/>
  <c r="A5709" i="76" s="1"/>
  <c r="A5710" i="76" s="1"/>
  <c r="A5711" i="76" s="1"/>
  <c r="A5712" i="76" s="1"/>
  <c r="A5713" i="76" s="1"/>
  <c r="A5714" i="76" s="1"/>
  <c r="A5715" i="76" s="1"/>
  <c r="A5716" i="76" s="1"/>
  <c r="A5717" i="76" s="1"/>
  <c r="A5718" i="76" s="1"/>
  <c r="A5719" i="76" s="1"/>
  <c r="A5720" i="76" s="1"/>
  <c r="A5721" i="76" s="1"/>
  <c r="A5722" i="76" s="1"/>
  <c r="A5723" i="76" s="1"/>
  <c r="A5724" i="76" s="1"/>
  <c r="A5725" i="76" s="1"/>
  <c r="A5726" i="76" s="1"/>
  <c r="A5727" i="76" s="1"/>
  <c r="A5728" i="76" s="1"/>
  <c r="A5729" i="76" s="1"/>
  <c r="A5730" i="76" s="1"/>
  <c r="A5731" i="76" s="1"/>
  <c r="A5732" i="76" s="1"/>
  <c r="A5733" i="76" s="1"/>
  <c r="A5734" i="76" s="1"/>
  <c r="A5735" i="76" s="1"/>
  <c r="A5736" i="76" s="1"/>
  <c r="A5737" i="76" s="1"/>
  <c r="A5738" i="76" s="1"/>
  <c r="A5739" i="76" s="1"/>
  <c r="A5740" i="76" s="1"/>
  <c r="A5741" i="76" s="1"/>
  <c r="A5742" i="76" s="1"/>
  <c r="A5743" i="76" s="1"/>
  <c r="A5744" i="76" s="1"/>
  <c r="A5745" i="76" s="1"/>
  <c r="A5746" i="76" s="1"/>
  <c r="A5747" i="76" s="1"/>
  <c r="A5748" i="76" s="1"/>
  <c r="A5749" i="76" s="1"/>
  <c r="A5750" i="76" s="1"/>
  <c r="A5751" i="76" s="1"/>
  <c r="A5752" i="76" s="1"/>
  <c r="A5753" i="76" s="1"/>
  <c r="A5754" i="76" s="1"/>
  <c r="A5755" i="76" s="1"/>
  <c r="A5756" i="76" s="1"/>
  <c r="A5757" i="76" s="1"/>
  <c r="A5758" i="76" s="1"/>
  <c r="A5759" i="76" s="1"/>
  <c r="A5760" i="76" s="1"/>
  <c r="A5761" i="76" s="1"/>
  <c r="A5762" i="76" s="1"/>
  <c r="A5763" i="76" s="1"/>
  <c r="A5764" i="76" s="1"/>
  <c r="A5765" i="76" s="1"/>
  <c r="A5766" i="76" s="1"/>
  <c r="A5767" i="76" s="1"/>
  <c r="A5768" i="76" s="1"/>
  <c r="A5769" i="76" s="1"/>
  <c r="A5770" i="76" s="1"/>
  <c r="A5771" i="76" s="1"/>
  <c r="A5772" i="76" s="1"/>
  <c r="A5773" i="76" s="1"/>
  <c r="A5774" i="76" s="1"/>
  <c r="A5775" i="76" s="1"/>
  <c r="A5776" i="76" s="1"/>
  <c r="A5777" i="76" s="1"/>
  <c r="A5778" i="76" s="1"/>
  <c r="A5779" i="76" s="1"/>
  <c r="A5780" i="76" s="1"/>
  <c r="A5781" i="76" s="1"/>
  <c r="A5782" i="76" s="1"/>
  <c r="A5783" i="76" s="1"/>
  <c r="A5784" i="76" s="1"/>
  <c r="A5785" i="76" s="1"/>
  <c r="A5786" i="76" s="1"/>
  <c r="A5787" i="76" s="1"/>
  <c r="A5788" i="76" s="1"/>
  <c r="A5789" i="76" s="1"/>
  <c r="A5790" i="76" s="1"/>
  <c r="A5791" i="76" s="1"/>
  <c r="A5792" i="76" s="1"/>
  <c r="A5793" i="76" s="1"/>
  <c r="A5794" i="76" s="1"/>
  <c r="A5795" i="76" s="1"/>
  <c r="A5796" i="76" s="1"/>
  <c r="A5797" i="76" s="1"/>
  <c r="A5798" i="76" s="1"/>
  <c r="A5799" i="76" s="1"/>
  <c r="A5800" i="76" s="1"/>
  <c r="A5801" i="76" s="1"/>
  <c r="A5802" i="76" s="1"/>
  <c r="A5803" i="76" s="1"/>
  <c r="A5804" i="76" s="1"/>
  <c r="A5805" i="76" s="1"/>
  <c r="A5806" i="76" s="1"/>
  <c r="A5807" i="76" s="1"/>
  <c r="A5808" i="76" s="1"/>
  <c r="A5809" i="76" s="1"/>
  <c r="A5810" i="76" s="1"/>
  <c r="A5811" i="76" s="1"/>
  <c r="A5812" i="76" s="1"/>
  <c r="A5813" i="76" s="1"/>
  <c r="A5814" i="76" s="1"/>
  <c r="A5815" i="76" s="1"/>
  <c r="A5816" i="76" s="1"/>
  <c r="A5817" i="76" s="1"/>
  <c r="A5818" i="76" s="1"/>
  <c r="A5819" i="76" s="1"/>
  <c r="A5820" i="76" s="1"/>
  <c r="A5821" i="76" s="1"/>
  <c r="A5822" i="76" s="1"/>
  <c r="A5823" i="76" s="1"/>
  <c r="A5824" i="76" s="1"/>
  <c r="A5825" i="76" s="1"/>
  <c r="A5826" i="76" s="1"/>
  <c r="A5827" i="76" s="1"/>
  <c r="A5828" i="76" s="1"/>
  <c r="A5829" i="76" s="1"/>
  <c r="A5830" i="76" s="1"/>
  <c r="A5831" i="76" s="1"/>
  <c r="A5832" i="76" s="1"/>
  <c r="A5833" i="76" s="1"/>
  <c r="A5834" i="76" s="1"/>
  <c r="A5835" i="76" s="1"/>
  <c r="A5836" i="76" s="1"/>
  <c r="A5837" i="76" s="1"/>
  <c r="A5838" i="76" s="1"/>
  <c r="A5839" i="76" s="1"/>
  <c r="A5840" i="76" s="1"/>
  <c r="A5841" i="76" s="1"/>
  <c r="A5842" i="76" s="1"/>
  <c r="A5843" i="76" s="1"/>
  <c r="A5844" i="76" s="1"/>
  <c r="A5845" i="76" s="1"/>
  <c r="A5846" i="76" s="1"/>
  <c r="A5847" i="76" s="1"/>
  <c r="A5848" i="76" s="1"/>
  <c r="A5849" i="76" s="1"/>
  <c r="A5850" i="76" s="1"/>
  <c r="A5851" i="76" s="1"/>
  <c r="A5852" i="76" s="1"/>
  <c r="A5853" i="76" s="1"/>
  <c r="A5854" i="76" s="1"/>
  <c r="A5855" i="76" s="1"/>
  <c r="A5856" i="76" s="1"/>
  <c r="A5857" i="76" s="1"/>
  <c r="A5858" i="76" s="1"/>
  <c r="A5859" i="76" s="1"/>
  <c r="A5860" i="76" s="1"/>
  <c r="A5861" i="76" s="1"/>
  <c r="A5862" i="76" s="1"/>
  <c r="A5863" i="76" s="1"/>
  <c r="A5864" i="76" s="1"/>
  <c r="A5865" i="76" s="1"/>
  <c r="A5866" i="76" s="1"/>
  <c r="A5867" i="76" s="1"/>
  <c r="A5868" i="76" s="1"/>
  <c r="A5869" i="76" s="1"/>
  <c r="A5870" i="76" s="1"/>
  <c r="A5871" i="76" s="1"/>
  <c r="A5872" i="76" s="1"/>
  <c r="A5873" i="76" s="1"/>
  <c r="A5874" i="76" s="1"/>
  <c r="A5875" i="76" s="1"/>
  <c r="A5876" i="76" s="1"/>
  <c r="A5877" i="76" s="1"/>
  <c r="A5878" i="76" s="1"/>
  <c r="A5879" i="76" s="1"/>
  <c r="A5880" i="76" s="1"/>
  <c r="A5881" i="76" s="1"/>
  <c r="A5882" i="76" s="1"/>
  <c r="A5883" i="76" s="1"/>
  <c r="A5884" i="76" s="1"/>
  <c r="A5885" i="76" s="1"/>
  <c r="A5886" i="76" s="1"/>
  <c r="A5887" i="76" s="1"/>
  <c r="A5888" i="76" s="1"/>
  <c r="A5889" i="76" s="1"/>
  <c r="A5890" i="76" s="1"/>
  <c r="A5891" i="76" s="1"/>
  <c r="A5892" i="76" s="1"/>
  <c r="A5893" i="76" s="1"/>
  <c r="A5894" i="76" s="1"/>
  <c r="A5895" i="76" s="1"/>
  <c r="A5896" i="76" s="1"/>
  <c r="A5897" i="76" s="1"/>
  <c r="A5898" i="76" s="1"/>
  <c r="A5899" i="76" s="1"/>
  <c r="A5900" i="76" s="1"/>
  <c r="A5901" i="76" s="1"/>
  <c r="A5902" i="76" s="1"/>
  <c r="A5903" i="76" s="1"/>
  <c r="A5904" i="76" s="1"/>
  <c r="A5905" i="76" s="1"/>
  <c r="A5906" i="76" s="1"/>
  <c r="A5907" i="76" s="1"/>
  <c r="A5908" i="76" s="1"/>
  <c r="A5909" i="76" s="1"/>
  <c r="A5910" i="76" s="1"/>
  <c r="A5911" i="76" s="1"/>
  <c r="A5912" i="76" s="1"/>
  <c r="A5913" i="76" s="1"/>
  <c r="A5914" i="76" s="1"/>
  <c r="A5915" i="76" s="1"/>
  <c r="A5916" i="76" s="1"/>
  <c r="A5917" i="76" s="1"/>
  <c r="A5918" i="76" s="1"/>
  <c r="A5919" i="76" s="1"/>
  <c r="A5920" i="76" s="1"/>
  <c r="A5921" i="76" s="1"/>
  <c r="A5922" i="76" s="1"/>
  <c r="A5923" i="76" s="1"/>
  <c r="A5924" i="76" s="1"/>
  <c r="A5925" i="76" s="1"/>
  <c r="A5926" i="76" s="1"/>
  <c r="A5927" i="76" s="1"/>
  <c r="A5928" i="76" s="1"/>
  <c r="A5929" i="76" s="1"/>
  <c r="A5930" i="76" s="1"/>
  <c r="A5931" i="76" s="1"/>
  <c r="A5932" i="76" s="1"/>
  <c r="A5933" i="76" s="1"/>
  <c r="A5934" i="76" s="1"/>
  <c r="A5935" i="76" s="1"/>
  <c r="A5936" i="76" s="1"/>
  <c r="A5937" i="76" s="1"/>
  <c r="A5938" i="76" s="1"/>
  <c r="A5939" i="76" s="1"/>
  <c r="A5940" i="76" s="1"/>
  <c r="A5941" i="76" s="1"/>
  <c r="A5942" i="76" s="1"/>
  <c r="A5943" i="76" s="1"/>
  <c r="A5944" i="76" s="1"/>
  <c r="A5945" i="76" s="1"/>
  <c r="A5946" i="76" s="1"/>
  <c r="A5947" i="76" s="1"/>
  <c r="A5948" i="76" s="1"/>
  <c r="A5949" i="76" s="1"/>
  <c r="A5950" i="76" s="1"/>
  <c r="A5951" i="76" s="1"/>
  <c r="A5952" i="76" s="1"/>
  <c r="A5953" i="76" s="1"/>
  <c r="A5954" i="76" s="1"/>
  <c r="A5955" i="76" s="1"/>
  <c r="A5956" i="76" s="1"/>
  <c r="A5957" i="76" s="1"/>
  <c r="A5958" i="76" s="1"/>
  <c r="A5959" i="76" s="1"/>
  <c r="A5960" i="76" s="1"/>
  <c r="A5961" i="76" s="1"/>
  <c r="A5962" i="76" s="1"/>
  <c r="A5963" i="76" s="1"/>
  <c r="A5964" i="76" s="1"/>
  <c r="A5965" i="76" s="1"/>
  <c r="A5966" i="76" s="1"/>
  <c r="A5967" i="76" s="1"/>
  <c r="A5968" i="76" s="1"/>
  <c r="A5969" i="76" s="1"/>
  <c r="A5970" i="76" s="1"/>
  <c r="A5971" i="76" s="1"/>
  <c r="A5972" i="76" s="1"/>
  <c r="A5973" i="76" s="1"/>
  <c r="A5974" i="76" s="1"/>
  <c r="A5975" i="76" s="1"/>
  <c r="A5976" i="76" s="1"/>
  <c r="A5977" i="76" s="1"/>
  <c r="A5978" i="76" s="1"/>
  <c r="A5979" i="76" s="1"/>
  <c r="A5980" i="76" s="1"/>
  <c r="A5981" i="76" s="1"/>
  <c r="A5982" i="76" s="1"/>
  <c r="A5983" i="76" s="1"/>
  <c r="A5984" i="76" s="1"/>
  <c r="A5985" i="76" s="1"/>
  <c r="A5986" i="76" s="1"/>
  <c r="A5987" i="76" s="1"/>
  <c r="A5988" i="76" s="1"/>
  <c r="A5989" i="76" s="1"/>
  <c r="A5990" i="76" s="1"/>
  <c r="A5991" i="76" s="1"/>
  <c r="A5992" i="76" s="1"/>
  <c r="A5993" i="76" s="1"/>
  <c r="A5994" i="76" s="1"/>
  <c r="A5995" i="76" s="1"/>
  <c r="A5996" i="76" s="1"/>
  <c r="A5997" i="76" s="1"/>
  <c r="A5998" i="76" s="1"/>
  <c r="A5999" i="76" s="1"/>
  <c r="A6000" i="76" s="1"/>
  <c r="A6001" i="76" s="1"/>
  <c r="A6002" i="76" s="1"/>
  <c r="A6003" i="76" s="1"/>
  <c r="A6004" i="76" s="1"/>
  <c r="A6005" i="76" s="1"/>
  <c r="A6006" i="76" s="1"/>
  <c r="A6007" i="76" s="1"/>
  <c r="A6008" i="76" s="1"/>
  <c r="A6009" i="76" s="1"/>
  <c r="A6010" i="76" s="1"/>
  <c r="A6011" i="76" s="1"/>
  <c r="A6012" i="76" s="1"/>
  <c r="A6013" i="76" s="1"/>
  <c r="A6014" i="76" s="1"/>
  <c r="A6015" i="76" s="1"/>
  <c r="A6016" i="76" s="1"/>
  <c r="A6017" i="76" s="1"/>
  <c r="A6018" i="76" s="1"/>
  <c r="A6019" i="76" s="1"/>
  <c r="A6020" i="76" s="1"/>
  <c r="A6021" i="76" s="1"/>
  <c r="A6022" i="76" s="1"/>
  <c r="A6023" i="76" s="1"/>
  <c r="A6024" i="76" s="1"/>
  <c r="A6025" i="76" s="1"/>
  <c r="A6026" i="76" s="1"/>
  <c r="A6027" i="76" s="1"/>
  <c r="A6028" i="76" s="1"/>
  <c r="A6029" i="76" s="1"/>
  <c r="A6030" i="76" s="1"/>
  <c r="A6031" i="76" s="1"/>
  <c r="A6032" i="76" s="1"/>
  <c r="A6033" i="76" s="1"/>
  <c r="A6034" i="76" s="1"/>
  <c r="A6035" i="76" s="1"/>
  <c r="A6036" i="76" s="1"/>
  <c r="A6037" i="76" s="1"/>
  <c r="A6038" i="76" s="1"/>
  <c r="A6039" i="76" s="1"/>
  <c r="A6040" i="76" s="1"/>
  <c r="A6041" i="76" s="1"/>
  <c r="A6042" i="76" s="1"/>
  <c r="A6043" i="76" s="1"/>
  <c r="A6044" i="76" s="1"/>
  <c r="A6045" i="76" s="1"/>
  <c r="A6046" i="76" s="1"/>
  <c r="A6047" i="76" s="1"/>
  <c r="A6048" i="76" s="1"/>
  <c r="A6049" i="76" s="1"/>
  <c r="A6050" i="76" s="1"/>
  <c r="A6051" i="76" s="1"/>
  <c r="A6052" i="76" s="1"/>
  <c r="A6053" i="76" s="1"/>
  <c r="A6054" i="76" s="1"/>
  <c r="A6055" i="76" s="1"/>
  <c r="A6056" i="76" s="1"/>
  <c r="A6057" i="76" s="1"/>
  <c r="A6058" i="76" s="1"/>
  <c r="A6059" i="76" s="1"/>
  <c r="A6060" i="76" s="1"/>
  <c r="A6061" i="76" s="1"/>
  <c r="A6062" i="76" s="1"/>
  <c r="A6063" i="76" s="1"/>
  <c r="A6064" i="76" s="1"/>
  <c r="A6065" i="76" s="1"/>
  <c r="A6066" i="76" s="1"/>
  <c r="A6067" i="76" s="1"/>
  <c r="A6068" i="76" s="1"/>
  <c r="H54" i="76"/>
  <c r="H56" i="76"/>
  <c r="H57" i="76"/>
  <c r="Q2" i="18"/>
  <c r="R2" i="18" s="1"/>
  <c r="S2" i="18" s="1"/>
  <c r="T2" i="18" s="1"/>
  <c r="U2" i="18" s="1"/>
  <c r="V2" i="18" s="1"/>
  <c r="W2" i="18" s="1"/>
  <c r="X2" i="18" s="1"/>
  <c r="Y2" i="18" s="1"/>
  <c r="Z2" i="18" s="1"/>
  <c r="BB6" i="76"/>
  <c r="BA6" i="76" s="1"/>
  <c r="AZ6" i="76" s="1"/>
  <c r="AY6" i="76" s="1"/>
  <c r="AX6" i="76" s="1"/>
  <c r="AW6" i="76" s="1"/>
  <c r="AV6" i="76" s="1"/>
  <c r="AU6" i="76" s="1"/>
  <c r="AT6" i="76" s="1"/>
  <c r="AS6" i="76" s="1"/>
  <c r="AR6" i="76" s="1"/>
  <c r="AQ6" i="76" s="1"/>
  <c r="AP6" i="76" s="1"/>
  <c r="AO6" i="76" s="1"/>
  <c r="AN6" i="76" s="1"/>
  <c r="AM6" i="76" s="1"/>
  <c r="AL6" i="76" s="1"/>
  <c r="AK6" i="76" s="1"/>
  <c r="AJ6" i="76" s="1"/>
  <c r="AI6" i="76" s="1"/>
  <c r="AH6" i="76" s="1"/>
  <c r="AG6" i="76" s="1"/>
  <c r="AF6" i="76" s="1"/>
  <c r="AE6" i="76" s="1"/>
  <c r="AD6" i="76" s="1"/>
  <c r="AC6" i="76" s="1"/>
  <c r="AB6" i="76" s="1"/>
  <c r="AA6" i="76" s="1"/>
  <c r="Z6" i="76" s="1"/>
  <c r="Y6" i="76" s="1"/>
  <c r="X6" i="76" s="1"/>
  <c r="W6" i="76" s="1"/>
  <c r="V6" i="76" s="1"/>
  <c r="U6" i="76" s="1"/>
  <c r="T6" i="76" s="1"/>
  <c r="S6" i="76" s="1"/>
  <c r="R6" i="76" s="1"/>
  <c r="Q6" i="76" s="1"/>
  <c r="P6" i="76" s="1"/>
  <c r="O6" i="76" s="1"/>
  <c r="N6" i="76" s="1"/>
  <c r="M6" i="76" s="1"/>
  <c r="L6" i="76" s="1"/>
  <c r="K6" i="76" s="1"/>
  <c r="J6" i="76" s="1"/>
  <c r="I6" i="76" s="1"/>
  <c r="H6" i="76" s="1"/>
  <c r="G6" i="76" s="1"/>
  <c r="F6" i="76" s="1"/>
  <c r="E6" i="76" s="1"/>
  <c r="D6" i="76" s="1"/>
  <c r="C6" i="76" s="1"/>
  <c r="I105" i="17"/>
  <c r="C291" i="17" s="1"/>
  <c r="I104" i="17"/>
  <c r="C284" i="17" s="1"/>
  <c r="C285" i="17" s="1"/>
  <c r="I103" i="17"/>
  <c r="C277" i="17" s="1"/>
  <c r="I102" i="17"/>
  <c r="C270" i="17" s="1"/>
  <c r="C271" i="17" s="1"/>
  <c r="C272" i="17" s="1"/>
  <c r="C273" i="17" s="1"/>
  <c r="C274" i="17" s="1"/>
  <c r="I99" i="17"/>
  <c r="C254" i="17" s="1"/>
  <c r="I98" i="17"/>
  <c r="C247" i="17" s="1"/>
  <c r="I97" i="17"/>
  <c r="C240" i="17" s="1"/>
  <c r="I96" i="17"/>
  <c r="C233" i="17" s="1"/>
  <c r="I93" i="17"/>
  <c r="C223" i="17" s="1"/>
  <c r="I92" i="17"/>
  <c r="C214" i="17" s="1"/>
  <c r="I88" i="17"/>
  <c r="C196" i="17" s="1"/>
  <c r="I87" i="17"/>
  <c r="C189" i="17" s="1"/>
  <c r="C190" i="17" s="1"/>
  <c r="C191" i="17" s="1"/>
  <c r="C192" i="17" s="1"/>
  <c r="C193" i="17" s="1"/>
  <c r="C194" i="17" s="1"/>
  <c r="I86" i="17"/>
  <c r="C182" i="17" s="1"/>
  <c r="C183" i="17" s="1"/>
  <c r="C184" i="17" s="1"/>
  <c r="C185" i="17" s="1"/>
  <c r="I85" i="17"/>
  <c r="C175" i="17" s="1"/>
  <c r="I82" i="17"/>
  <c r="C159" i="17" s="1"/>
  <c r="C160" i="17" s="1"/>
  <c r="C161" i="17" s="1"/>
  <c r="C162" i="17" s="1"/>
  <c r="C163" i="17" s="1"/>
  <c r="C164" i="17" s="1"/>
  <c r="I81" i="17"/>
  <c r="C152" i="17" s="1"/>
  <c r="I80" i="17"/>
  <c r="C145" i="17" s="1"/>
  <c r="C146" i="17" s="1"/>
  <c r="C147" i="17" s="1"/>
  <c r="C148" i="17" s="1"/>
  <c r="I79" i="17"/>
  <c r="C138" i="17" s="1"/>
  <c r="C139" i="17" s="1"/>
  <c r="C140" i="17" s="1"/>
  <c r="C141" i="17" s="1"/>
  <c r="C142" i="17" s="1"/>
  <c r="C143" i="17" s="1"/>
  <c r="I76" i="17"/>
  <c r="C128" i="17" s="1"/>
  <c r="I75" i="17"/>
  <c r="C119" i="17" s="1"/>
  <c r="C120" i="17" s="1"/>
  <c r="C121" i="17" s="1"/>
  <c r="I105" i="23"/>
  <c r="C291" i="23" s="1"/>
  <c r="C292" i="23" s="1"/>
  <c r="C293" i="23" s="1"/>
  <c r="C294" i="23" s="1"/>
  <c r="C295" i="23" s="1"/>
  <c r="I104" i="23"/>
  <c r="C284" i="23" s="1"/>
  <c r="C285" i="23" s="1"/>
  <c r="C286" i="23" s="1"/>
  <c r="C287" i="23" s="1"/>
  <c r="C288" i="23" s="1"/>
  <c r="C289" i="23" s="1"/>
  <c r="I103" i="23"/>
  <c r="C277" i="23" s="1"/>
  <c r="C278" i="23" s="1"/>
  <c r="C279" i="23" s="1"/>
  <c r="C280" i="23" s="1"/>
  <c r="C281" i="23" s="1"/>
  <c r="C282" i="23" s="1"/>
  <c r="I102" i="23"/>
  <c r="C270" i="23" s="1"/>
  <c r="C271" i="23" s="1"/>
  <c r="C272" i="23" s="1"/>
  <c r="C273" i="23" s="1"/>
  <c r="C274" i="23" s="1"/>
  <c r="I99" i="23"/>
  <c r="C254" i="23" s="1"/>
  <c r="C255" i="23" s="1"/>
  <c r="C256" i="23" s="1"/>
  <c r="C257" i="23" s="1"/>
  <c r="C258" i="23" s="1"/>
  <c r="C259" i="23" s="1"/>
  <c r="I98" i="23"/>
  <c r="C247" i="23" s="1"/>
  <c r="C248" i="23" s="1"/>
  <c r="C249" i="23" s="1"/>
  <c r="C250" i="23" s="1"/>
  <c r="C251" i="23" s="1"/>
  <c r="C252" i="23" s="1"/>
  <c r="I97" i="23"/>
  <c r="C240" i="23" s="1"/>
  <c r="C241" i="23" s="1"/>
  <c r="C242" i="23" s="1"/>
  <c r="C243" i="23" s="1"/>
  <c r="C244" i="23" s="1"/>
  <c r="C245" i="23" s="1"/>
  <c r="I96" i="23"/>
  <c r="C233" i="23" s="1"/>
  <c r="C234" i="23" s="1"/>
  <c r="C235" i="23" s="1"/>
  <c r="C236" i="23" s="1"/>
  <c r="C237" i="23" s="1"/>
  <c r="C238" i="23" s="1"/>
  <c r="I93" i="23"/>
  <c r="C223" i="23" s="1"/>
  <c r="C224" i="23" s="1"/>
  <c r="C225" i="23" s="1"/>
  <c r="C226" i="23" s="1"/>
  <c r="C227" i="23" s="1"/>
  <c r="C228" i="23" s="1"/>
  <c r="I92" i="23"/>
  <c r="C214" i="23" s="1"/>
  <c r="C215" i="23" s="1"/>
  <c r="C216" i="23" s="1"/>
  <c r="C217" i="23" s="1"/>
  <c r="C218" i="23" s="1"/>
  <c r="C219" i="23" s="1"/>
  <c r="I88" i="23"/>
  <c r="C196" i="23" s="1"/>
  <c r="I87" i="23"/>
  <c r="C189" i="23" s="1"/>
  <c r="C190" i="23" s="1"/>
  <c r="C191" i="23" s="1"/>
  <c r="C192" i="23" s="1"/>
  <c r="C193" i="23" s="1"/>
  <c r="C194" i="23" s="1"/>
  <c r="I86" i="23"/>
  <c r="C182" i="23" s="1"/>
  <c r="C183" i="23" s="1"/>
  <c r="C184" i="23" s="1"/>
  <c r="C185" i="23" s="1"/>
  <c r="C186" i="23" s="1"/>
  <c r="C187" i="23" s="1"/>
  <c r="I85" i="23"/>
  <c r="C175" i="23" s="1"/>
  <c r="C176" i="23" s="1"/>
  <c r="C177" i="23" s="1"/>
  <c r="C178" i="23" s="1"/>
  <c r="C179" i="23" s="1"/>
  <c r="C180" i="23" s="1"/>
  <c r="I82" i="23"/>
  <c r="C159" i="23" s="1"/>
  <c r="C160" i="23" s="1"/>
  <c r="C161" i="23" s="1"/>
  <c r="C162" i="23" s="1"/>
  <c r="C163" i="23" s="1"/>
  <c r="C164" i="23" s="1"/>
  <c r="I81" i="23"/>
  <c r="C152" i="23" s="1"/>
  <c r="C153" i="23" s="1"/>
  <c r="C154" i="23" s="1"/>
  <c r="C155" i="23" s="1"/>
  <c r="C156" i="23" s="1"/>
  <c r="C157" i="23" s="1"/>
  <c r="I80" i="23"/>
  <c r="C145" i="23" s="1"/>
  <c r="C146" i="23" s="1"/>
  <c r="C147" i="23" s="1"/>
  <c r="C148" i="23" s="1"/>
  <c r="C149" i="23" s="1"/>
  <c r="C150" i="23" s="1"/>
  <c r="I79" i="23"/>
  <c r="C138" i="23" s="1"/>
  <c r="C139" i="23" s="1"/>
  <c r="C140" i="23" s="1"/>
  <c r="C141" i="23" s="1"/>
  <c r="C142" i="23" s="1"/>
  <c r="C143" i="23" s="1"/>
  <c r="I76" i="23"/>
  <c r="C128" i="23" s="1"/>
  <c r="C129" i="23" s="1"/>
  <c r="C130" i="23" s="1"/>
  <c r="C131" i="23" s="1"/>
  <c r="C132" i="23" s="1"/>
  <c r="C133" i="23" s="1"/>
  <c r="I75" i="23"/>
  <c r="C119" i="23" s="1"/>
  <c r="C120" i="23" s="1"/>
  <c r="C121" i="23" s="1"/>
  <c r="C122" i="23" s="1"/>
  <c r="C123" i="23" s="1"/>
  <c r="C124" i="23" s="1"/>
  <c r="I107" i="25"/>
  <c r="C293" i="25" s="1"/>
  <c r="C294" i="25" s="1"/>
  <c r="C295" i="25" s="1"/>
  <c r="C296" i="25" s="1"/>
  <c r="C297" i="25" s="1"/>
  <c r="C298" i="25" s="1"/>
  <c r="I106" i="25"/>
  <c r="C286" i="25" s="1"/>
  <c r="C287" i="25" s="1"/>
  <c r="C288" i="25" s="1"/>
  <c r="C289" i="25" s="1"/>
  <c r="I105" i="25"/>
  <c r="C279" i="25" s="1"/>
  <c r="C280" i="25" s="1"/>
  <c r="C281" i="25" s="1"/>
  <c r="C282" i="25" s="1"/>
  <c r="C283" i="25" s="1"/>
  <c r="I104" i="25"/>
  <c r="C272" i="25" s="1"/>
  <c r="C273" i="25" s="1"/>
  <c r="C274" i="25" s="1"/>
  <c r="C275" i="25" s="1"/>
  <c r="C276" i="25" s="1"/>
  <c r="I101" i="25"/>
  <c r="C256" i="25" s="1"/>
  <c r="C257" i="25" s="1"/>
  <c r="C258" i="25" s="1"/>
  <c r="C259" i="25" s="1"/>
  <c r="C260" i="25" s="1"/>
  <c r="C261" i="25" s="1"/>
  <c r="I100" i="25"/>
  <c r="C249" i="25" s="1"/>
  <c r="C250" i="25" s="1"/>
  <c r="C251" i="25" s="1"/>
  <c r="C252" i="25" s="1"/>
  <c r="C253" i="25" s="1"/>
  <c r="C254" i="25" s="1"/>
  <c r="I99" i="25"/>
  <c r="C242" i="25" s="1"/>
  <c r="C243" i="25" s="1"/>
  <c r="C244" i="25" s="1"/>
  <c r="C245" i="25" s="1"/>
  <c r="C246" i="25" s="1"/>
  <c r="C247" i="25" s="1"/>
  <c r="I98" i="25"/>
  <c r="C235" i="25" s="1"/>
  <c r="C236" i="25" s="1"/>
  <c r="C237" i="25" s="1"/>
  <c r="C238" i="25" s="1"/>
  <c r="C239" i="25" s="1"/>
  <c r="C240" i="25" s="1"/>
  <c r="I95" i="25"/>
  <c r="C225" i="25" s="1"/>
  <c r="C226" i="25" s="1"/>
  <c r="C227" i="25" s="1"/>
  <c r="I94" i="25"/>
  <c r="C216" i="25" s="1"/>
  <c r="C217" i="25" s="1"/>
  <c r="C218" i="25" s="1"/>
  <c r="C219" i="25" s="1"/>
  <c r="C220" i="25" s="1"/>
  <c r="I90" i="25"/>
  <c r="C198" i="25" s="1"/>
  <c r="C199" i="25" s="1"/>
  <c r="C200" i="25" s="1"/>
  <c r="C201" i="25" s="1"/>
  <c r="C202" i="25" s="1"/>
  <c r="C203" i="25" s="1"/>
  <c r="I89" i="25"/>
  <c r="C191" i="25" s="1"/>
  <c r="C192" i="25" s="1"/>
  <c r="C193" i="25" s="1"/>
  <c r="I88" i="25"/>
  <c r="C184" i="25" s="1"/>
  <c r="C185" i="25" s="1"/>
  <c r="C186" i="25" s="1"/>
  <c r="I87" i="25"/>
  <c r="C177" i="25" s="1"/>
  <c r="I84" i="25"/>
  <c r="C161" i="25" s="1"/>
  <c r="C162" i="25" s="1"/>
  <c r="C163" i="25" s="1"/>
  <c r="C164" i="25" s="1"/>
  <c r="C165" i="25" s="1"/>
  <c r="C166" i="25" s="1"/>
  <c r="I83" i="25"/>
  <c r="C154" i="25" s="1"/>
  <c r="C155" i="25" s="1"/>
  <c r="I82" i="25"/>
  <c r="C147" i="25" s="1"/>
  <c r="C148" i="25" s="1"/>
  <c r="C149" i="25" s="1"/>
  <c r="C150" i="25" s="1"/>
  <c r="C151" i="25" s="1"/>
  <c r="I81" i="25"/>
  <c r="C140" i="25" s="1"/>
  <c r="C141" i="25" s="1"/>
  <c r="C142" i="25" s="1"/>
  <c r="C143" i="25" s="1"/>
  <c r="C144" i="25" s="1"/>
  <c r="C145" i="25" s="1"/>
  <c r="I78" i="25"/>
  <c r="C130" i="25" s="1"/>
  <c r="C131" i="25" s="1"/>
  <c r="C132" i="25" s="1"/>
  <c r="C133" i="25" s="1"/>
  <c r="C134" i="25" s="1"/>
  <c r="C135" i="25" s="1"/>
  <c r="I77" i="25"/>
  <c r="C121" i="25" s="1"/>
  <c r="C122" i="25" s="1"/>
  <c r="C123" i="25" s="1"/>
  <c r="C124" i="25" s="1"/>
  <c r="C125" i="25" s="1"/>
  <c r="C126" i="25" s="1"/>
  <c r="I105" i="38"/>
  <c r="C291" i="38" s="1"/>
  <c r="C292" i="38" s="1"/>
  <c r="C293" i="38" s="1"/>
  <c r="C294" i="38" s="1"/>
  <c r="C295" i="38" s="1"/>
  <c r="C296" i="38" s="1"/>
  <c r="I104" i="38"/>
  <c r="C284" i="38" s="1"/>
  <c r="C285" i="38" s="1"/>
  <c r="C286" i="38" s="1"/>
  <c r="C287" i="38" s="1"/>
  <c r="C288" i="38" s="1"/>
  <c r="C289" i="38" s="1"/>
  <c r="I103" i="38"/>
  <c r="C277" i="38" s="1"/>
  <c r="C278" i="38" s="1"/>
  <c r="C279" i="38" s="1"/>
  <c r="C280" i="38" s="1"/>
  <c r="C281" i="38" s="1"/>
  <c r="I102" i="38"/>
  <c r="C270" i="38" s="1"/>
  <c r="C271" i="38" s="1"/>
  <c r="C272" i="38" s="1"/>
  <c r="C273" i="38" s="1"/>
  <c r="C274" i="38" s="1"/>
  <c r="C275" i="38" s="1"/>
  <c r="I99" i="38"/>
  <c r="C254" i="38" s="1"/>
  <c r="C255" i="38" s="1"/>
  <c r="C256" i="38" s="1"/>
  <c r="C257" i="38" s="1"/>
  <c r="C258" i="38" s="1"/>
  <c r="C259" i="38" s="1"/>
  <c r="I98" i="38"/>
  <c r="C247" i="38" s="1"/>
  <c r="C248" i="38" s="1"/>
  <c r="C249" i="38" s="1"/>
  <c r="C250" i="38" s="1"/>
  <c r="C251" i="38" s="1"/>
  <c r="C252" i="38" s="1"/>
  <c r="I97" i="38"/>
  <c r="C240" i="38" s="1"/>
  <c r="C241" i="38" s="1"/>
  <c r="C242" i="38" s="1"/>
  <c r="C243" i="38" s="1"/>
  <c r="C244" i="38" s="1"/>
  <c r="C245" i="38" s="1"/>
  <c r="I96" i="38"/>
  <c r="C233" i="38" s="1"/>
  <c r="C234" i="38" s="1"/>
  <c r="C235" i="38" s="1"/>
  <c r="C236" i="38" s="1"/>
  <c r="C237" i="38" s="1"/>
  <c r="C238" i="38" s="1"/>
  <c r="I93" i="38"/>
  <c r="C223" i="38" s="1"/>
  <c r="C224" i="38" s="1"/>
  <c r="C225" i="38" s="1"/>
  <c r="C226" i="38" s="1"/>
  <c r="C227" i="38" s="1"/>
  <c r="C228" i="38" s="1"/>
  <c r="I92" i="38"/>
  <c r="C214" i="38" s="1"/>
  <c r="C215" i="38" s="1"/>
  <c r="C216" i="38" s="1"/>
  <c r="C217" i="38" s="1"/>
  <c r="C218" i="38" s="1"/>
  <c r="C219" i="38" s="1"/>
  <c r="I88" i="38"/>
  <c r="C196" i="38" s="1"/>
  <c r="C197" i="38" s="1"/>
  <c r="C198" i="38" s="1"/>
  <c r="C199" i="38" s="1"/>
  <c r="C200" i="38" s="1"/>
  <c r="C201" i="38" s="1"/>
  <c r="I87" i="38"/>
  <c r="C189" i="38" s="1"/>
  <c r="C190" i="38" s="1"/>
  <c r="C191" i="38" s="1"/>
  <c r="C192" i="38" s="1"/>
  <c r="C193" i="38" s="1"/>
  <c r="C194" i="38" s="1"/>
  <c r="I86" i="38"/>
  <c r="C182" i="38" s="1"/>
  <c r="C183" i="38" s="1"/>
  <c r="C184" i="38" s="1"/>
  <c r="C185" i="38" s="1"/>
  <c r="C186" i="38" s="1"/>
  <c r="C187" i="38" s="1"/>
  <c r="I85" i="38"/>
  <c r="C175" i="38" s="1"/>
  <c r="C176" i="38" s="1"/>
  <c r="C177" i="38" s="1"/>
  <c r="C178" i="38" s="1"/>
  <c r="C179" i="38" s="1"/>
  <c r="C180" i="38" s="1"/>
  <c r="I82" i="38"/>
  <c r="C159" i="38" s="1"/>
  <c r="C160" i="38" s="1"/>
  <c r="C161" i="38" s="1"/>
  <c r="C162" i="38" s="1"/>
  <c r="C163" i="38" s="1"/>
  <c r="C164" i="38" s="1"/>
  <c r="I81" i="38"/>
  <c r="C152" i="38" s="1"/>
  <c r="C153" i="38" s="1"/>
  <c r="C154" i="38" s="1"/>
  <c r="C155" i="38" s="1"/>
  <c r="C156" i="38" s="1"/>
  <c r="C157" i="38" s="1"/>
  <c r="I80" i="38"/>
  <c r="C145" i="38" s="1"/>
  <c r="C146" i="38" s="1"/>
  <c r="C147" i="38" s="1"/>
  <c r="C148" i="38" s="1"/>
  <c r="C149" i="38" s="1"/>
  <c r="C150" i="38" s="1"/>
  <c r="I79" i="38"/>
  <c r="C138" i="38" s="1"/>
  <c r="C139" i="38" s="1"/>
  <c r="C140" i="38" s="1"/>
  <c r="C141" i="38" s="1"/>
  <c r="C142" i="38" s="1"/>
  <c r="C143" i="38" s="1"/>
  <c r="I76" i="38"/>
  <c r="C128" i="38" s="1"/>
  <c r="C129" i="38" s="1"/>
  <c r="C130" i="38" s="1"/>
  <c r="C131" i="38" s="1"/>
  <c r="C132" i="38" s="1"/>
  <c r="C133" i="38" s="1"/>
  <c r="I75" i="38"/>
  <c r="C119" i="38" s="1"/>
  <c r="C120" i="38" s="1"/>
  <c r="C121" i="38" s="1"/>
  <c r="C122" i="38" s="1"/>
  <c r="C123" i="38" s="1"/>
  <c r="C124" i="38" s="1"/>
  <c r="I105" i="32"/>
  <c r="C291" i="32" s="1"/>
  <c r="C292" i="32" s="1"/>
  <c r="C293" i="32" s="1"/>
  <c r="C294" i="32" s="1"/>
  <c r="C295" i="32" s="1"/>
  <c r="C296" i="32" s="1"/>
  <c r="I104" i="32"/>
  <c r="C284" i="32" s="1"/>
  <c r="C285" i="32" s="1"/>
  <c r="C286" i="32" s="1"/>
  <c r="C287" i="32" s="1"/>
  <c r="C288" i="32" s="1"/>
  <c r="C289" i="32" s="1"/>
  <c r="I103" i="32"/>
  <c r="C277" i="32" s="1"/>
  <c r="C278" i="32" s="1"/>
  <c r="C279" i="32" s="1"/>
  <c r="C280" i="32" s="1"/>
  <c r="C281" i="32" s="1"/>
  <c r="C282" i="32" s="1"/>
  <c r="I102" i="32"/>
  <c r="C270" i="32" s="1"/>
  <c r="C271" i="32" s="1"/>
  <c r="C272" i="32" s="1"/>
  <c r="C273" i="32" s="1"/>
  <c r="C274" i="32" s="1"/>
  <c r="C275" i="32" s="1"/>
  <c r="I99" i="32"/>
  <c r="C254" i="32" s="1"/>
  <c r="C255" i="32" s="1"/>
  <c r="C256" i="32" s="1"/>
  <c r="C257" i="32" s="1"/>
  <c r="C258" i="32" s="1"/>
  <c r="C259" i="32" s="1"/>
  <c r="I98" i="32"/>
  <c r="C247" i="32" s="1"/>
  <c r="C248" i="32" s="1"/>
  <c r="C249" i="32" s="1"/>
  <c r="C250" i="32" s="1"/>
  <c r="C251" i="32" s="1"/>
  <c r="C252" i="32" s="1"/>
  <c r="I97" i="32"/>
  <c r="C240" i="32" s="1"/>
  <c r="C241" i="32" s="1"/>
  <c r="C242" i="32" s="1"/>
  <c r="C243" i="32" s="1"/>
  <c r="C244" i="32" s="1"/>
  <c r="C245" i="32" s="1"/>
  <c r="I96" i="32"/>
  <c r="C233" i="32" s="1"/>
  <c r="C234" i="32" s="1"/>
  <c r="C235" i="32" s="1"/>
  <c r="C236" i="32" s="1"/>
  <c r="C237" i="32" s="1"/>
  <c r="C238" i="32" s="1"/>
  <c r="I93" i="32"/>
  <c r="C223" i="32" s="1"/>
  <c r="C224" i="32" s="1"/>
  <c r="C225" i="32" s="1"/>
  <c r="C226" i="32" s="1"/>
  <c r="C227" i="32" s="1"/>
  <c r="C228" i="32" s="1"/>
  <c r="I92" i="32"/>
  <c r="C214" i="32" s="1"/>
  <c r="C215" i="32" s="1"/>
  <c r="C216" i="32" s="1"/>
  <c r="C217" i="32" s="1"/>
  <c r="C218" i="32" s="1"/>
  <c r="C219" i="32" s="1"/>
  <c r="I88" i="32"/>
  <c r="C196" i="32" s="1"/>
  <c r="C197" i="32" s="1"/>
  <c r="C198" i="32" s="1"/>
  <c r="C199" i="32" s="1"/>
  <c r="C200" i="32" s="1"/>
  <c r="I87" i="32"/>
  <c r="C189" i="32" s="1"/>
  <c r="C190" i="32" s="1"/>
  <c r="C191" i="32" s="1"/>
  <c r="C192" i="32" s="1"/>
  <c r="C193" i="32" s="1"/>
  <c r="C194" i="32" s="1"/>
  <c r="I86" i="32"/>
  <c r="C182" i="32" s="1"/>
  <c r="C183" i="32" s="1"/>
  <c r="C184" i="32" s="1"/>
  <c r="C185" i="32" s="1"/>
  <c r="C186" i="32" s="1"/>
  <c r="C187" i="32" s="1"/>
  <c r="I85" i="32"/>
  <c r="C175" i="32" s="1"/>
  <c r="C176" i="32" s="1"/>
  <c r="C177" i="32" s="1"/>
  <c r="C178" i="32" s="1"/>
  <c r="C179" i="32" s="1"/>
  <c r="C180" i="32" s="1"/>
  <c r="I82" i="32"/>
  <c r="C159" i="32" s="1"/>
  <c r="I81" i="32"/>
  <c r="C152" i="32" s="1"/>
  <c r="C153" i="32" s="1"/>
  <c r="C154" i="32" s="1"/>
  <c r="C155" i="32" s="1"/>
  <c r="C156" i="32" s="1"/>
  <c r="C157" i="32" s="1"/>
  <c r="I80" i="32"/>
  <c r="C145" i="32" s="1"/>
  <c r="C146" i="32" s="1"/>
  <c r="C147" i="32" s="1"/>
  <c r="C148" i="32" s="1"/>
  <c r="C149" i="32" s="1"/>
  <c r="C150" i="32" s="1"/>
  <c r="I79" i="32"/>
  <c r="C138" i="32" s="1"/>
  <c r="C139" i="32" s="1"/>
  <c r="C140" i="32" s="1"/>
  <c r="C141" i="32" s="1"/>
  <c r="C142" i="32" s="1"/>
  <c r="C143" i="32" s="1"/>
  <c r="I76" i="32"/>
  <c r="C128" i="32" s="1"/>
  <c r="C129" i="32" s="1"/>
  <c r="C130" i="32" s="1"/>
  <c r="C131" i="32" s="1"/>
  <c r="C132" i="32" s="1"/>
  <c r="C133" i="32" s="1"/>
  <c r="I75" i="32"/>
  <c r="C119" i="32" s="1"/>
  <c r="C120" i="32" s="1"/>
  <c r="C121" i="32" s="1"/>
  <c r="C122" i="32" s="1"/>
  <c r="C123" i="32" s="1"/>
  <c r="C124" i="32" s="1"/>
  <c r="I105" i="40"/>
  <c r="C291" i="40" s="1"/>
  <c r="C292" i="40" s="1"/>
  <c r="C293" i="40" s="1"/>
  <c r="C294" i="40" s="1"/>
  <c r="C295" i="40" s="1"/>
  <c r="C296" i="40" s="1"/>
  <c r="I104" i="40"/>
  <c r="C284" i="40" s="1"/>
  <c r="C285" i="40" s="1"/>
  <c r="C286" i="40" s="1"/>
  <c r="C287" i="40" s="1"/>
  <c r="C288" i="40" s="1"/>
  <c r="C289" i="40" s="1"/>
  <c r="I103" i="40"/>
  <c r="C277" i="40" s="1"/>
  <c r="C278" i="40" s="1"/>
  <c r="C279" i="40" s="1"/>
  <c r="C280" i="40" s="1"/>
  <c r="C281" i="40" s="1"/>
  <c r="C282" i="40" s="1"/>
  <c r="I102" i="40"/>
  <c r="C270" i="40" s="1"/>
  <c r="C271" i="40" s="1"/>
  <c r="C272" i="40" s="1"/>
  <c r="C273" i="40" s="1"/>
  <c r="C274" i="40" s="1"/>
  <c r="C275" i="40" s="1"/>
  <c r="I99" i="40"/>
  <c r="C254" i="40" s="1"/>
  <c r="C255" i="40" s="1"/>
  <c r="C256" i="40" s="1"/>
  <c r="C257" i="40" s="1"/>
  <c r="C258" i="40" s="1"/>
  <c r="C259" i="40" s="1"/>
  <c r="I98" i="40"/>
  <c r="C247" i="40" s="1"/>
  <c r="C248" i="40" s="1"/>
  <c r="C249" i="40" s="1"/>
  <c r="C250" i="40" s="1"/>
  <c r="C251" i="40" s="1"/>
  <c r="I97" i="40"/>
  <c r="C240" i="40" s="1"/>
  <c r="C241" i="40" s="1"/>
  <c r="C242" i="40" s="1"/>
  <c r="C243" i="40" s="1"/>
  <c r="C244" i="40" s="1"/>
  <c r="C245" i="40" s="1"/>
  <c r="I96" i="40"/>
  <c r="C233" i="40" s="1"/>
  <c r="C234" i="40" s="1"/>
  <c r="C235" i="40" s="1"/>
  <c r="C236" i="40" s="1"/>
  <c r="C237" i="40" s="1"/>
  <c r="C238" i="40" s="1"/>
  <c r="I93" i="40"/>
  <c r="C223" i="40" s="1"/>
  <c r="C224" i="40" s="1"/>
  <c r="C225" i="40" s="1"/>
  <c r="C226" i="40" s="1"/>
  <c r="C227" i="40" s="1"/>
  <c r="C228" i="40" s="1"/>
  <c r="I92" i="40"/>
  <c r="C214" i="40" s="1"/>
  <c r="C215" i="40" s="1"/>
  <c r="C216" i="40" s="1"/>
  <c r="C217" i="40" s="1"/>
  <c r="C218" i="40" s="1"/>
  <c r="C219" i="40" s="1"/>
  <c r="I88" i="40"/>
  <c r="C196" i="40" s="1"/>
  <c r="C197" i="40" s="1"/>
  <c r="C198" i="40" s="1"/>
  <c r="C199" i="40" s="1"/>
  <c r="C200" i="40" s="1"/>
  <c r="C201" i="40" s="1"/>
  <c r="I87" i="40"/>
  <c r="C189" i="40" s="1"/>
  <c r="C190" i="40" s="1"/>
  <c r="C191" i="40" s="1"/>
  <c r="C192" i="40" s="1"/>
  <c r="C193" i="40" s="1"/>
  <c r="C194" i="40" s="1"/>
  <c r="I86" i="40"/>
  <c r="C182" i="40" s="1"/>
  <c r="C183" i="40" s="1"/>
  <c r="C184" i="40" s="1"/>
  <c r="C185" i="40" s="1"/>
  <c r="C186" i="40" s="1"/>
  <c r="C187" i="40" s="1"/>
  <c r="I85" i="40"/>
  <c r="C175" i="40" s="1"/>
  <c r="C176" i="40" s="1"/>
  <c r="C177" i="40" s="1"/>
  <c r="C178" i="40" s="1"/>
  <c r="C179" i="40" s="1"/>
  <c r="C180" i="40" s="1"/>
  <c r="I82" i="40"/>
  <c r="C159" i="40" s="1"/>
  <c r="C160" i="40" s="1"/>
  <c r="C161" i="40" s="1"/>
  <c r="C162" i="40" s="1"/>
  <c r="C163" i="40" s="1"/>
  <c r="C164" i="40" s="1"/>
  <c r="I81" i="40"/>
  <c r="C152" i="40" s="1"/>
  <c r="C153" i="40" s="1"/>
  <c r="C154" i="40" s="1"/>
  <c r="C155" i="40" s="1"/>
  <c r="C156" i="40" s="1"/>
  <c r="C157" i="40" s="1"/>
  <c r="I80" i="40"/>
  <c r="C145" i="40" s="1"/>
  <c r="C146" i="40" s="1"/>
  <c r="C147" i="40" s="1"/>
  <c r="C148" i="40" s="1"/>
  <c r="C149" i="40" s="1"/>
  <c r="C150" i="40" s="1"/>
  <c r="I79" i="40"/>
  <c r="C138" i="40" s="1"/>
  <c r="C139" i="40" s="1"/>
  <c r="C140" i="40" s="1"/>
  <c r="C141" i="40" s="1"/>
  <c r="C142" i="40" s="1"/>
  <c r="C143" i="40" s="1"/>
  <c r="I76" i="40"/>
  <c r="C128" i="40" s="1"/>
  <c r="C129" i="40" s="1"/>
  <c r="C130" i="40" s="1"/>
  <c r="C131" i="40" s="1"/>
  <c r="C132" i="40" s="1"/>
  <c r="C133" i="40" s="1"/>
  <c r="I75" i="40"/>
  <c r="C119" i="40" s="1"/>
  <c r="C120" i="40" s="1"/>
  <c r="C121" i="40" s="1"/>
  <c r="C122" i="40" s="1"/>
  <c r="C123" i="40" s="1"/>
  <c r="C124" i="40" s="1"/>
  <c r="I105" i="28"/>
  <c r="C291" i="28" s="1"/>
  <c r="C292" i="28" s="1"/>
  <c r="C293" i="28" s="1"/>
  <c r="C294" i="28" s="1"/>
  <c r="C295" i="28" s="1"/>
  <c r="C296" i="28" s="1"/>
  <c r="I104" i="28"/>
  <c r="C284" i="28" s="1"/>
  <c r="I103" i="28"/>
  <c r="C277" i="28" s="1"/>
  <c r="C278" i="28" s="1"/>
  <c r="C279" i="28" s="1"/>
  <c r="C280" i="28" s="1"/>
  <c r="C281" i="28" s="1"/>
  <c r="C282" i="28" s="1"/>
  <c r="I102" i="28"/>
  <c r="C270" i="28" s="1"/>
  <c r="C271" i="28" s="1"/>
  <c r="C272" i="28" s="1"/>
  <c r="C273" i="28" s="1"/>
  <c r="C274" i="28" s="1"/>
  <c r="C275" i="28" s="1"/>
  <c r="I99" i="28"/>
  <c r="C254" i="28" s="1"/>
  <c r="C255" i="28" s="1"/>
  <c r="C256" i="28" s="1"/>
  <c r="C257" i="28" s="1"/>
  <c r="C258" i="28" s="1"/>
  <c r="C259" i="28" s="1"/>
  <c r="I98" i="28"/>
  <c r="C247" i="28" s="1"/>
  <c r="C248" i="28" s="1"/>
  <c r="C249" i="28" s="1"/>
  <c r="C250" i="28" s="1"/>
  <c r="C251" i="28" s="1"/>
  <c r="C252" i="28" s="1"/>
  <c r="I97" i="28"/>
  <c r="C240" i="28" s="1"/>
  <c r="C241" i="28" s="1"/>
  <c r="C242" i="28" s="1"/>
  <c r="C243" i="28" s="1"/>
  <c r="C244" i="28" s="1"/>
  <c r="C245" i="28" s="1"/>
  <c r="I96" i="28"/>
  <c r="C233" i="28" s="1"/>
  <c r="C234" i="28" s="1"/>
  <c r="C235" i="28" s="1"/>
  <c r="C236" i="28" s="1"/>
  <c r="C237" i="28" s="1"/>
  <c r="C238" i="28" s="1"/>
  <c r="I93" i="28"/>
  <c r="C223" i="28" s="1"/>
  <c r="C224" i="28" s="1"/>
  <c r="C225" i="28" s="1"/>
  <c r="C226" i="28" s="1"/>
  <c r="C227" i="28" s="1"/>
  <c r="C228" i="28" s="1"/>
  <c r="I92" i="28"/>
  <c r="C214" i="28" s="1"/>
  <c r="C215" i="28" s="1"/>
  <c r="C216" i="28" s="1"/>
  <c r="C217" i="28" s="1"/>
  <c r="C218" i="28" s="1"/>
  <c r="C219" i="28" s="1"/>
  <c r="I88" i="28"/>
  <c r="C196" i="28" s="1"/>
  <c r="C197" i="28" s="1"/>
  <c r="C198" i="28" s="1"/>
  <c r="C199" i="28" s="1"/>
  <c r="C200" i="28" s="1"/>
  <c r="C201" i="28" s="1"/>
  <c r="I87" i="28"/>
  <c r="C189" i="28" s="1"/>
  <c r="C190" i="28" s="1"/>
  <c r="C191" i="28" s="1"/>
  <c r="C192" i="28" s="1"/>
  <c r="C193" i="28" s="1"/>
  <c r="C194" i="28" s="1"/>
  <c r="I86" i="28"/>
  <c r="C182" i="28" s="1"/>
  <c r="C183" i="28" s="1"/>
  <c r="C184" i="28" s="1"/>
  <c r="C185" i="28" s="1"/>
  <c r="C186" i="28" s="1"/>
  <c r="C187" i="28" s="1"/>
  <c r="I85" i="28"/>
  <c r="C175" i="28" s="1"/>
  <c r="C176" i="28" s="1"/>
  <c r="C177" i="28" s="1"/>
  <c r="C178" i="28" s="1"/>
  <c r="C179" i="28" s="1"/>
  <c r="C180" i="28" s="1"/>
  <c r="I82" i="28"/>
  <c r="C159" i="28" s="1"/>
  <c r="C160" i="28" s="1"/>
  <c r="C161" i="28" s="1"/>
  <c r="C162" i="28" s="1"/>
  <c r="C163" i="28" s="1"/>
  <c r="C164" i="28" s="1"/>
  <c r="I81" i="28"/>
  <c r="C152" i="28" s="1"/>
  <c r="C153" i="28" s="1"/>
  <c r="C154" i="28" s="1"/>
  <c r="C155" i="28" s="1"/>
  <c r="C156" i="28" s="1"/>
  <c r="I80" i="28"/>
  <c r="C145" i="28" s="1"/>
  <c r="C146" i="28" s="1"/>
  <c r="C147" i="28" s="1"/>
  <c r="C148" i="28" s="1"/>
  <c r="C149" i="28" s="1"/>
  <c r="C150" i="28" s="1"/>
  <c r="I79" i="28"/>
  <c r="C138" i="28" s="1"/>
  <c r="C139" i="28" s="1"/>
  <c r="C140" i="28" s="1"/>
  <c r="C141" i="28" s="1"/>
  <c r="C142" i="28" s="1"/>
  <c r="I76" i="28"/>
  <c r="C128" i="28" s="1"/>
  <c r="C129" i="28" s="1"/>
  <c r="C130" i="28" s="1"/>
  <c r="C131" i="28" s="1"/>
  <c r="C132" i="28" s="1"/>
  <c r="C133" i="28" s="1"/>
  <c r="I75" i="28"/>
  <c r="C119" i="28" s="1"/>
  <c r="C120" i="28" s="1"/>
  <c r="C121" i="28" s="1"/>
  <c r="C122" i="28" s="1"/>
  <c r="C123" i="28" s="1"/>
  <c r="C124" i="28" s="1"/>
  <c r="I105" i="30"/>
  <c r="C291" i="30" s="1"/>
  <c r="C292" i="30" s="1"/>
  <c r="C293" i="30" s="1"/>
  <c r="C294" i="30" s="1"/>
  <c r="C295" i="30" s="1"/>
  <c r="C296" i="30" s="1"/>
  <c r="I104" i="30"/>
  <c r="C284" i="30" s="1"/>
  <c r="C285" i="30" s="1"/>
  <c r="C286" i="30" s="1"/>
  <c r="C287" i="30" s="1"/>
  <c r="C288" i="30" s="1"/>
  <c r="C289" i="30" s="1"/>
  <c r="I103" i="30"/>
  <c r="C277" i="30" s="1"/>
  <c r="I102" i="30"/>
  <c r="C270" i="30" s="1"/>
  <c r="C271" i="30" s="1"/>
  <c r="C272" i="30" s="1"/>
  <c r="C273" i="30" s="1"/>
  <c r="I99" i="30"/>
  <c r="C254" i="30" s="1"/>
  <c r="C255" i="30" s="1"/>
  <c r="C256" i="30" s="1"/>
  <c r="I98" i="30"/>
  <c r="C247" i="30" s="1"/>
  <c r="C248" i="30" s="1"/>
  <c r="C249" i="30" s="1"/>
  <c r="C250" i="30" s="1"/>
  <c r="C251" i="30" s="1"/>
  <c r="C252" i="30" s="1"/>
  <c r="I97" i="30"/>
  <c r="C240" i="30" s="1"/>
  <c r="C241" i="30" s="1"/>
  <c r="C242" i="30" s="1"/>
  <c r="C243" i="30" s="1"/>
  <c r="C244" i="30" s="1"/>
  <c r="C245" i="30" s="1"/>
  <c r="I96" i="30"/>
  <c r="C233" i="30" s="1"/>
  <c r="C234" i="30" s="1"/>
  <c r="C235" i="30" s="1"/>
  <c r="C236" i="30" s="1"/>
  <c r="C237" i="30" s="1"/>
  <c r="C238" i="30" s="1"/>
  <c r="I93" i="30"/>
  <c r="C223" i="30" s="1"/>
  <c r="I92" i="30"/>
  <c r="C214" i="30" s="1"/>
  <c r="C215" i="30" s="1"/>
  <c r="C216" i="30" s="1"/>
  <c r="C217" i="30" s="1"/>
  <c r="C218" i="30" s="1"/>
  <c r="C219" i="30" s="1"/>
  <c r="I88" i="30"/>
  <c r="C196" i="30" s="1"/>
  <c r="I87" i="30"/>
  <c r="C189" i="30" s="1"/>
  <c r="C190" i="30" s="1"/>
  <c r="C191" i="30" s="1"/>
  <c r="C192" i="30" s="1"/>
  <c r="C193" i="30" s="1"/>
  <c r="C194" i="30" s="1"/>
  <c r="I86" i="30"/>
  <c r="C182" i="30" s="1"/>
  <c r="C183" i="30" s="1"/>
  <c r="C184" i="30" s="1"/>
  <c r="C185" i="30" s="1"/>
  <c r="C186" i="30" s="1"/>
  <c r="C187" i="30" s="1"/>
  <c r="I85" i="30"/>
  <c r="C175" i="30" s="1"/>
  <c r="I82" i="30"/>
  <c r="C159" i="30" s="1"/>
  <c r="C160" i="30" s="1"/>
  <c r="C161" i="30" s="1"/>
  <c r="C162" i="30" s="1"/>
  <c r="C163" i="30" s="1"/>
  <c r="C164" i="30" s="1"/>
  <c r="I81" i="30"/>
  <c r="C152" i="30" s="1"/>
  <c r="C153" i="30" s="1"/>
  <c r="C154" i="30" s="1"/>
  <c r="C155" i="30" s="1"/>
  <c r="C156" i="30" s="1"/>
  <c r="C157" i="30" s="1"/>
  <c r="I80" i="30"/>
  <c r="C145" i="30" s="1"/>
  <c r="C146" i="30" s="1"/>
  <c r="C147" i="30" s="1"/>
  <c r="C148" i="30" s="1"/>
  <c r="C149" i="30" s="1"/>
  <c r="C150" i="30" s="1"/>
  <c r="I79" i="30"/>
  <c r="C138" i="30" s="1"/>
  <c r="C139" i="30" s="1"/>
  <c r="C140" i="30" s="1"/>
  <c r="C141" i="30" s="1"/>
  <c r="C142" i="30" s="1"/>
  <c r="C143" i="30" s="1"/>
  <c r="I76" i="30"/>
  <c r="C128" i="30" s="1"/>
  <c r="C129" i="30" s="1"/>
  <c r="C130" i="30" s="1"/>
  <c r="C131" i="30" s="1"/>
  <c r="C132" i="30" s="1"/>
  <c r="C133" i="30" s="1"/>
  <c r="I75" i="30"/>
  <c r="C119" i="30" s="1"/>
  <c r="C120" i="30" s="1"/>
  <c r="C121" i="30" s="1"/>
  <c r="C122" i="30" s="1"/>
  <c r="C123" i="30" s="1"/>
  <c r="C124" i="30" s="1"/>
  <c r="I105" i="14"/>
  <c r="C291" i="14" s="1"/>
  <c r="C292" i="14" s="1"/>
  <c r="C293" i="14" s="1"/>
  <c r="C294" i="14" s="1"/>
  <c r="C295" i="14" s="1"/>
  <c r="C296" i="14" s="1"/>
  <c r="I104" i="14"/>
  <c r="C284" i="14" s="1"/>
  <c r="C285" i="14" s="1"/>
  <c r="C286" i="14" s="1"/>
  <c r="C287" i="14" s="1"/>
  <c r="C288" i="14" s="1"/>
  <c r="C289" i="14" s="1"/>
  <c r="I103" i="14"/>
  <c r="C277" i="14" s="1"/>
  <c r="C278" i="14" s="1"/>
  <c r="C279" i="14" s="1"/>
  <c r="C280" i="14" s="1"/>
  <c r="C281" i="14" s="1"/>
  <c r="C282" i="14" s="1"/>
  <c r="I102" i="14"/>
  <c r="C270" i="14" s="1"/>
  <c r="C271" i="14" s="1"/>
  <c r="I99" i="14"/>
  <c r="C254" i="14" s="1"/>
  <c r="C255" i="14" s="1"/>
  <c r="C256" i="14" s="1"/>
  <c r="C257" i="14" s="1"/>
  <c r="C258" i="14" s="1"/>
  <c r="C259" i="14" s="1"/>
  <c r="I98" i="14"/>
  <c r="C247" i="14" s="1"/>
  <c r="I97" i="14"/>
  <c r="C240" i="14" s="1"/>
  <c r="C241" i="14" s="1"/>
  <c r="C242" i="14" s="1"/>
  <c r="C243" i="14" s="1"/>
  <c r="C244" i="14" s="1"/>
  <c r="C245" i="14" s="1"/>
  <c r="I96" i="14"/>
  <c r="C233" i="14" s="1"/>
  <c r="C234" i="14" s="1"/>
  <c r="C235" i="14" s="1"/>
  <c r="C236" i="14" s="1"/>
  <c r="C237" i="14" s="1"/>
  <c r="C238" i="14" s="1"/>
  <c r="I93" i="14"/>
  <c r="C223" i="14" s="1"/>
  <c r="C224" i="14" s="1"/>
  <c r="C225" i="14" s="1"/>
  <c r="C226" i="14" s="1"/>
  <c r="C227" i="14" s="1"/>
  <c r="C228" i="14" s="1"/>
  <c r="I92" i="14"/>
  <c r="C214" i="14" s="1"/>
  <c r="I88" i="14"/>
  <c r="C196" i="14" s="1"/>
  <c r="C197" i="14" s="1"/>
  <c r="C198" i="14" s="1"/>
  <c r="C199" i="14" s="1"/>
  <c r="C200" i="14" s="1"/>
  <c r="C201" i="14" s="1"/>
  <c r="I87" i="14"/>
  <c r="C189" i="14" s="1"/>
  <c r="C190" i="14" s="1"/>
  <c r="C191" i="14" s="1"/>
  <c r="C192" i="14" s="1"/>
  <c r="C193" i="14" s="1"/>
  <c r="C194" i="14" s="1"/>
  <c r="I86" i="14"/>
  <c r="C182" i="14" s="1"/>
  <c r="C183" i="14" s="1"/>
  <c r="C184" i="14" s="1"/>
  <c r="C185" i="14" s="1"/>
  <c r="C186" i="14" s="1"/>
  <c r="I85" i="14"/>
  <c r="C175" i="14" s="1"/>
  <c r="C176" i="14" s="1"/>
  <c r="C177" i="14" s="1"/>
  <c r="C178" i="14" s="1"/>
  <c r="C179" i="14" s="1"/>
  <c r="C180" i="14" s="1"/>
  <c r="I82" i="14"/>
  <c r="C159" i="14" s="1"/>
  <c r="C160" i="14" s="1"/>
  <c r="C161" i="14" s="1"/>
  <c r="C162" i="14" s="1"/>
  <c r="C163" i="14" s="1"/>
  <c r="C164" i="14" s="1"/>
  <c r="I81" i="14"/>
  <c r="C152" i="14" s="1"/>
  <c r="C153" i="14" s="1"/>
  <c r="C154" i="14" s="1"/>
  <c r="C155" i="14" s="1"/>
  <c r="C156" i="14" s="1"/>
  <c r="C157" i="14" s="1"/>
  <c r="I80" i="14"/>
  <c r="C145" i="14" s="1"/>
  <c r="C146" i="14" s="1"/>
  <c r="C147" i="14" s="1"/>
  <c r="C148" i="14" s="1"/>
  <c r="C149" i="14" s="1"/>
  <c r="C150" i="14" s="1"/>
  <c r="I79" i="14"/>
  <c r="C138" i="14" s="1"/>
  <c r="C139" i="14" s="1"/>
  <c r="C140" i="14" s="1"/>
  <c r="C141" i="14" s="1"/>
  <c r="C142" i="14" s="1"/>
  <c r="C143" i="14" s="1"/>
  <c r="I76" i="14"/>
  <c r="C128" i="14" s="1"/>
  <c r="C129" i="14" s="1"/>
  <c r="C130" i="14" s="1"/>
  <c r="C131" i="14" s="1"/>
  <c r="C132" i="14" s="1"/>
  <c r="C133" i="14" s="1"/>
  <c r="I75" i="14"/>
  <c r="C119" i="14" s="1"/>
  <c r="H82" i="2"/>
  <c r="G82" i="2"/>
  <c r="F82" i="2"/>
  <c r="E82" i="2"/>
  <c r="D82" i="2"/>
  <c r="C82" i="2"/>
  <c r="H76" i="2"/>
  <c r="G76" i="2"/>
  <c r="F76" i="2"/>
  <c r="E76" i="2"/>
  <c r="D76" i="2"/>
  <c r="C76" i="2"/>
  <c r="H65" i="2"/>
  <c r="G65" i="2"/>
  <c r="F65" i="2"/>
  <c r="E65" i="2"/>
  <c r="D65" i="2"/>
  <c r="C65" i="2"/>
  <c r="H59" i="2"/>
  <c r="G59" i="2"/>
  <c r="F59" i="2"/>
  <c r="E59" i="2"/>
  <c r="D59" i="2"/>
  <c r="N47" i="2" s="1"/>
  <c r="I72" i="19"/>
  <c r="I70" i="19"/>
  <c r="I69" i="19"/>
  <c r="C257" i="19" s="1"/>
  <c r="C258" i="19" s="1"/>
  <c r="C259" i="19" s="1"/>
  <c r="C260" i="19" s="1"/>
  <c r="C261" i="19" s="1"/>
  <c r="C262" i="19" s="1"/>
  <c r="I68" i="19"/>
  <c r="C250" i="19" s="1"/>
  <c r="C251" i="19" s="1"/>
  <c r="C252" i="19" s="1"/>
  <c r="C253" i="19" s="1"/>
  <c r="C254" i="19" s="1"/>
  <c r="C255" i="19" s="1"/>
  <c r="I67" i="19"/>
  <c r="C243" i="19" s="1"/>
  <c r="C244" i="19" s="1"/>
  <c r="C245" i="19" s="1"/>
  <c r="C246" i="19" s="1"/>
  <c r="C247" i="19" s="1"/>
  <c r="C248" i="19" s="1"/>
  <c r="I66" i="19"/>
  <c r="C236" i="19" s="1"/>
  <c r="C237" i="19" s="1"/>
  <c r="C238" i="19" s="1"/>
  <c r="C239" i="19" s="1"/>
  <c r="C240" i="19" s="1"/>
  <c r="C241" i="19" s="1"/>
  <c r="I64" i="19"/>
  <c r="I63" i="19"/>
  <c r="C220" i="19" s="1"/>
  <c r="C221" i="19" s="1"/>
  <c r="C222" i="19" s="1"/>
  <c r="C223" i="19" s="1"/>
  <c r="C224" i="19" s="1"/>
  <c r="C225" i="19" s="1"/>
  <c r="I62" i="19"/>
  <c r="C213" i="19" s="1"/>
  <c r="C214" i="19" s="1"/>
  <c r="C215" i="19" s="1"/>
  <c r="C216" i="19" s="1"/>
  <c r="C217" i="19" s="1"/>
  <c r="C218" i="19" s="1"/>
  <c r="I61" i="19"/>
  <c r="C206" i="19" s="1"/>
  <c r="C207" i="19" s="1"/>
  <c r="C208" i="19" s="1"/>
  <c r="C209" i="19" s="1"/>
  <c r="C210" i="19" s="1"/>
  <c r="C211" i="19" s="1"/>
  <c r="I60" i="19"/>
  <c r="C199" i="19" s="1"/>
  <c r="I57" i="19"/>
  <c r="C189" i="19" s="1"/>
  <c r="C190" i="19" s="1"/>
  <c r="C191" i="19" s="1"/>
  <c r="C192" i="19" s="1"/>
  <c r="C193" i="19" s="1"/>
  <c r="C194" i="19" s="1"/>
  <c r="I56" i="19"/>
  <c r="C180" i="19" s="1"/>
  <c r="C181" i="19" s="1"/>
  <c r="C182" i="19" s="1"/>
  <c r="C183" i="19" s="1"/>
  <c r="C184" i="19" s="1"/>
  <c r="C185" i="19" s="1"/>
  <c r="I53" i="19"/>
  <c r="I52" i="19"/>
  <c r="C162" i="19" s="1"/>
  <c r="C163" i="19" s="1"/>
  <c r="C164" i="19" s="1"/>
  <c r="C165" i="19" s="1"/>
  <c r="C166" i="19" s="1"/>
  <c r="C167" i="19" s="1"/>
  <c r="I51" i="19"/>
  <c r="C155" i="19" s="1"/>
  <c r="C156" i="19" s="1"/>
  <c r="C157" i="19" s="1"/>
  <c r="C158" i="19" s="1"/>
  <c r="C159" i="19" s="1"/>
  <c r="C160" i="19" s="1"/>
  <c r="I50" i="19"/>
  <c r="C148" i="19" s="1"/>
  <c r="C149" i="19" s="1"/>
  <c r="C150" i="19" s="1"/>
  <c r="C151" i="19" s="1"/>
  <c r="C152" i="19" s="1"/>
  <c r="C153" i="19" s="1"/>
  <c r="I49" i="19"/>
  <c r="C141" i="19" s="1"/>
  <c r="C142" i="19" s="1"/>
  <c r="C143" i="19" s="1"/>
  <c r="C144" i="19" s="1"/>
  <c r="C145" i="19" s="1"/>
  <c r="C146" i="19" s="1"/>
  <c r="I47" i="19"/>
  <c r="I46" i="19"/>
  <c r="C125" i="19" s="1"/>
  <c r="C126" i="19" s="1"/>
  <c r="C127" i="19" s="1"/>
  <c r="C128" i="19" s="1"/>
  <c r="C129" i="19" s="1"/>
  <c r="C130" i="19" s="1"/>
  <c r="I45" i="19"/>
  <c r="C118" i="19" s="1"/>
  <c r="C119" i="19" s="1"/>
  <c r="C120" i="19" s="1"/>
  <c r="C121" i="19" s="1"/>
  <c r="C122" i="19" s="1"/>
  <c r="C123" i="19" s="1"/>
  <c r="I44" i="19"/>
  <c r="C111" i="19" s="1"/>
  <c r="C112" i="19" s="1"/>
  <c r="C113" i="19" s="1"/>
  <c r="C114" i="19" s="1"/>
  <c r="C115" i="19" s="1"/>
  <c r="C116" i="19" s="1"/>
  <c r="I43" i="19"/>
  <c r="C104" i="19" s="1"/>
  <c r="C105" i="19" s="1"/>
  <c r="C106" i="19" s="1"/>
  <c r="C107" i="19" s="1"/>
  <c r="C108" i="19" s="1"/>
  <c r="C109" i="19" s="1"/>
  <c r="I40" i="19"/>
  <c r="C94" i="19" s="1"/>
  <c r="C95" i="19" s="1"/>
  <c r="C96" i="19" s="1"/>
  <c r="C97" i="19" s="1"/>
  <c r="C98" i="19" s="1"/>
  <c r="C99" i="19" s="1"/>
  <c r="I39" i="19"/>
  <c r="C85" i="19" s="1"/>
  <c r="C86" i="19" s="1"/>
  <c r="C87" i="19" s="1"/>
  <c r="C88" i="19" s="1"/>
  <c r="C89" i="19" s="1"/>
  <c r="C90" i="19" s="1"/>
  <c r="CC2" i="18"/>
  <c r="N16" i="20"/>
  <c r="M16" i="20"/>
  <c r="L16" i="20"/>
  <c r="K16" i="20"/>
  <c r="J16" i="20"/>
  <c r="I16" i="20"/>
  <c r="H16" i="20"/>
  <c r="G16" i="20"/>
  <c r="F16" i="20"/>
  <c r="E16" i="20"/>
  <c r="N15" i="20"/>
  <c r="M15" i="20"/>
  <c r="L15" i="20"/>
  <c r="K15" i="20"/>
  <c r="J15" i="20"/>
  <c r="I15" i="20"/>
  <c r="H15" i="20"/>
  <c r="G15" i="20"/>
  <c r="F15" i="20"/>
  <c r="E15" i="20"/>
  <c r="O13" i="20"/>
  <c r="N13" i="20"/>
  <c r="M13" i="20"/>
  <c r="L13" i="20"/>
  <c r="K13" i="20"/>
  <c r="J13" i="20"/>
  <c r="I13" i="20"/>
  <c r="H13" i="20"/>
  <c r="G13" i="20"/>
  <c r="F13" i="20"/>
  <c r="E13" i="20"/>
  <c r="O11" i="20"/>
  <c r="N11" i="20"/>
  <c r="M11" i="20"/>
  <c r="L11" i="20"/>
  <c r="K11" i="20"/>
  <c r="J11" i="20"/>
  <c r="I11" i="20"/>
  <c r="H11" i="20"/>
  <c r="G11" i="20"/>
  <c r="F11" i="20"/>
  <c r="E11" i="20"/>
  <c r="D16" i="20"/>
  <c r="D15" i="20"/>
  <c r="D13" i="20"/>
  <c r="D11" i="20"/>
  <c r="A70" i="19"/>
  <c r="A264" i="19" s="1"/>
  <c r="A265" i="19" s="1"/>
  <c r="A266" i="19" s="1"/>
  <c r="A267" i="19" s="1"/>
  <c r="A268" i="19" s="1"/>
  <c r="A269" i="19" s="1"/>
  <c r="A69" i="19"/>
  <c r="A257" i="19" s="1"/>
  <c r="A258" i="19" s="1"/>
  <c r="A259" i="19" s="1"/>
  <c r="A260" i="19" s="1"/>
  <c r="A261" i="19" s="1"/>
  <c r="A262" i="19" s="1"/>
  <c r="A68" i="19"/>
  <c r="A250" i="19" s="1"/>
  <c r="A251" i="19" s="1"/>
  <c r="A252" i="19" s="1"/>
  <c r="A253" i="19" s="1"/>
  <c r="A254" i="19" s="1"/>
  <c r="A255" i="19" s="1"/>
  <c r="A67" i="19"/>
  <c r="A243" i="19" s="1"/>
  <c r="A244" i="19" s="1"/>
  <c r="A245" i="19" s="1"/>
  <c r="A246" i="19" s="1"/>
  <c r="A247" i="19" s="1"/>
  <c r="A248" i="19" s="1"/>
  <c r="A66" i="19"/>
  <c r="A236" i="19" s="1"/>
  <c r="A237" i="19" s="1"/>
  <c r="A238" i="19" s="1"/>
  <c r="A239" i="19" s="1"/>
  <c r="A240" i="19" s="1"/>
  <c r="A241" i="19" s="1"/>
  <c r="A64" i="19"/>
  <c r="A227" i="19" s="1"/>
  <c r="A228" i="19" s="1"/>
  <c r="A229" i="19" s="1"/>
  <c r="A230" i="19" s="1"/>
  <c r="A231" i="19" s="1"/>
  <c r="A232" i="19" s="1"/>
  <c r="A63" i="19"/>
  <c r="A220" i="19" s="1"/>
  <c r="A221" i="19" s="1"/>
  <c r="A222" i="19" s="1"/>
  <c r="A223" i="19" s="1"/>
  <c r="A224" i="19" s="1"/>
  <c r="A225" i="19" s="1"/>
  <c r="A62" i="19"/>
  <c r="A213" i="19" s="1"/>
  <c r="A214" i="19" s="1"/>
  <c r="A215" i="19" s="1"/>
  <c r="A216" i="19" s="1"/>
  <c r="A217" i="19" s="1"/>
  <c r="A218" i="19" s="1"/>
  <c r="A61" i="19"/>
  <c r="A206" i="19" s="1"/>
  <c r="A207" i="19" s="1"/>
  <c r="A208" i="19" s="1"/>
  <c r="A209" i="19" s="1"/>
  <c r="A210" i="19" s="1"/>
  <c r="A211" i="19" s="1"/>
  <c r="A60" i="19"/>
  <c r="A199" i="19" s="1"/>
  <c r="A200" i="19" s="1"/>
  <c r="A201" i="19" s="1"/>
  <c r="A202" i="19" s="1"/>
  <c r="A203" i="19" s="1"/>
  <c r="A204" i="19" s="1"/>
  <c r="A53" i="19"/>
  <c r="A169" i="19" s="1"/>
  <c r="A170" i="19" s="1"/>
  <c r="A171" i="19" s="1"/>
  <c r="A172" i="19" s="1"/>
  <c r="A173" i="19" s="1"/>
  <c r="A174" i="19" s="1"/>
  <c r="A52" i="19"/>
  <c r="A162" i="19" s="1"/>
  <c r="A163" i="19" s="1"/>
  <c r="A164" i="19" s="1"/>
  <c r="A165" i="19" s="1"/>
  <c r="A166" i="19" s="1"/>
  <c r="A167" i="19" s="1"/>
  <c r="A51" i="19"/>
  <c r="A155" i="19" s="1"/>
  <c r="A156" i="19" s="1"/>
  <c r="A157" i="19" s="1"/>
  <c r="A158" i="19" s="1"/>
  <c r="A159" i="19" s="1"/>
  <c r="A160" i="19" s="1"/>
  <c r="A50" i="19"/>
  <c r="A148" i="19" s="1"/>
  <c r="A149" i="19" s="1"/>
  <c r="A150" i="19" s="1"/>
  <c r="A151" i="19" s="1"/>
  <c r="A152" i="19" s="1"/>
  <c r="A153" i="19" s="1"/>
  <c r="A49" i="19"/>
  <c r="A141" i="19" s="1"/>
  <c r="A142" i="19" s="1"/>
  <c r="A143" i="19" s="1"/>
  <c r="A144" i="19" s="1"/>
  <c r="A145" i="19" s="1"/>
  <c r="A146" i="19" s="1"/>
  <c r="A47" i="19"/>
  <c r="A132" i="19" s="1"/>
  <c r="A133" i="19" s="1"/>
  <c r="A134" i="19" s="1"/>
  <c r="A135" i="19" s="1"/>
  <c r="A136" i="19" s="1"/>
  <c r="A137" i="19" s="1"/>
  <c r="A46" i="19"/>
  <c r="A125" i="19" s="1"/>
  <c r="A126" i="19" s="1"/>
  <c r="A127" i="19" s="1"/>
  <c r="A128" i="19" s="1"/>
  <c r="A129" i="19" s="1"/>
  <c r="A130" i="19" s="1"/>
  <c r="A45" i="19"/>
  <c r="A118" i="19" s="1"/>
  <c r="A119" i="19" s="1"/>
  <c r="A120" i="19" s="1"/>
  <c r="A121" i="19" s="1"/>
  <c r="A122" i="19" s="1"/>
  <c r="A123" i="19" s="1"/>
  <c r="A44" i="19"/>
  <c r="A111" i="19" s="1"/>
  <c r="A112" i="19" s="1"/>
  <c r="A113" i="19" s="1"/>
  <c r="A114" i="19" s="1"/>
  <c r="A115" i="19" s="1"/>
  <c r="A116" i="19" s="1"/>
  <c r="A43" i="19"/>
  <c r="A104" i="19" s="1"/>
  <c r="A105" i="19" s="1"/>
  <c r="A106" i="19" s="1"/>
  <c r="A107" i="19" s="1"/>
  <c r="A108" i="19" s="1"/>
  <c r="A109" i="19" s="1"/>
  <c r="G43" i="2"/>
  <c r="F69" i="30" s="1"/>
  <c r="F43" i="2"/>
  <c r="E69" i="38" s="1"/>
  <c r="E43" i="2"/>
  <c r="D33" i="19" s="1"/>
  <c r="E41" i="2"/>
  <c r="D31" i="19" s="1"/>
  <c r="D41" i="2"/>
  <c r="C31" i="19" s="1"/>
  <c r="C41" i="2"/>
  <c r="B31" i="19" s="1"/>
  <c r="H40" i="2"/>
  <c r="G30" i="19" s="1"/>
  <c r="G40" i="2"/>
  <c r="F30" i="19" s="1"/>
  <c r="H39" i="2"/>
  <c r="G39" i="2"/>
  <c r="F65" i="23" s="1"/>
  <c r="F39" i="2"/>
  <c r="E65" i="14" s="1"/>
  <c r="C39" i="2"/>
  <c r="B65" i="38" s="1"/>
  <c r="Q3" i="69"/>
  <c r="P3" i="69" s="1"/>
  <c r="O3" i="69" s="1"/>
  <c r="N3" i="69" s="1"/>
  <c r="M3" i="69" s="1"/>
  <c r="L3" i="69" s="1"/>
  <c r="K3" i="69" s="1"/>
  <c r="J3" i="69" s="1"/>
  <c r="I3" i="69" s="1"/>
  <c r="H3" i="69" s="1"/>
  <c r="G3" i="69" s="1"/>
  <c r="F3" i="69" s="1"/>
  <c r="E3" i="69" s="1"/>
  <c r="CD18" i="18"/>
  <c r="CE17" i="18"/>
  <c r="CD17" i="18" s="1"/>
  <c r="CC17" i="18" s="1"/>
  <c r="CB17" i="18" s="1"/>
  <c r="R76" i="20"/>
  <c r="S73" i="20"/>
  <c r="K73" i="20"/>
  <c r="K7" i="65"/>
  <c r="H17" i="2"/>
  <c r="J38" i="12" s="1"/>
  <c r="H14" i="2"/>
  <c r="G5" i="19" s="1"/>
  <c r="B45" i="40"/>
  <c r="L73" i="40" s="1"/>
  <c r="B45" i="32"/>
  <c r="C45" i="32" s="1"/>
  <c r="B45" i="38"/>
  <c r="C45" i="38" s="1"/>
  <c r="B47" i="25"/>
  <c r="L75" i="25" s="1"/>
  <c r="B45" i="23"/>
  <c r="C45" i="23" s="1"/>
  <c r="B45" i="17"/>
  <c r="C45" i="17" s="1"/>
  <c r="M73" i="17" s="1"/>
  <c r="B45" i="14"/>
  <c r="C45" i="14" s="1"/>
  <c r="B45" i="30"/>
  <c r="B45" i="28"/>
  <c r="L73" i="28" s="1"/>
  <c r="P107" i="20"/>
  <c r="O107" i="20" s="1"/>
  <c r="N107" i="20" s="1"/>
  <c r="M107" i="20" s="1"/>
  <c r="L107" i="20" s="1"/>
  <c r="K107" i="20" s="1"/>
  <c r="J107" i="20" s="1"/>
  <c r="I107" i="20" s="1"/>
  <c r="H107" i="20" s="1"/>
  <c r="G107" i="20" s="1"/>
  <c r="F107" i="20" s="1"/>
  <c r="E107" i="20" s="1"/>
  <c r="B3" i="40"/>
  <c r="C3" i="40" s="1"/>
  <c r="D3" i="40" s="1"/>
  <c r="E3" i="40" s="1"/>
  <c r="F3" i="40" s="1"/>
  <c r="G3" i="40" s="1"/>
  <c r="B3" i="32"/>
  <c r="C3" i="32" s="1"/>
  <c r="D3" i="32" s="1"/>
  <c r="E3" i="32" s="1"/>
  <c r="F3" i="32" s="1"/>
  <c r="G3" i="32" s="1"/>
  <c r="B3" i="38"/>
  <c r="C3" i="38" s="1"/>
  <c r="D3" i="38" s="1"/>
  <c r="E3" i="38" s="1"/>
  <c r="F3" i="38" s="1"/>
  <c r="G3" i="38" s="1"/>
  <c r="B3" i="25"/>
  <c r="C3" i="25" s="1"/>
  <c r="D3" i="25" s="1"/>
  <c r="E3" i="25" s="1"/>
  <c r="F3" i="25" s="1"/>
  <c r="G3" i="25" s="1"/>
  <c r="B3" i="23"/>
  <c r="C3" i="23" s="1"/>
  <c r="D3" i="23" s="1"/>
  <c r="E3" i="23" s="1"/>
  <c r="F3" i="23" s="1"/>
  <c r="G3" i="23" s="1"/>
  <c r="B3" i="17"/>
  <c r="C3" i="17" s="1"/>
  <c r="D3" i="17" s="1"/>
  <c r="E3" i="17" s="1"/>
  <c r="F3" i="17" s="1"/>
  <c r="G3" i="17" s="1"/>
  <c r="B3" i="14"/>
  <c r="C3" i="14" s="1"/>
  <c r="D3" i="14" s="1"/>
  <c r="E3" i="14" s="1"/>
  <c r="F3" i="14" s="1"/>
  <c r="G3" i="14" s="1"/>
  <c r="B3" i="30"/>
  <c r="C3" i="30" s="1"/>
  <c r="D3" i="30" s="1"/>
  <c r="E3" i="30" s="1"/>
  <c r="F3" i="30" s="1"/>
  <c r="G3" i="30" s="1"/>
  <c r="B3" i="28"/>
  <c r="C3" i="28" s="1"/>
  <c r="D3" i="28" s="1"/>
  <c r="E3" i="28" s="1"/>
  <c r="F3" i="28" s="1"/>
  <c r="G3" i="28" s="1"/>
  <c r="P3" i="20"/>
  <c r="B3" i="19"/>
  <c r="L37" i="19" s="1"/>
  <c r="AB10" i="65"/>
  <c r="AC10" i="65" s="1"/>
  <c r="AD10" i="65" s="1"/>
  <c r="AE10" i="65" s="1"/>
  <c r="AF10" i="65" s="1"/>
  <c r="AG10" i="65" s="1"/>
  <c r="S10" i="65"/>
  <c r="R10" i="65" s="1"/>
  <c r="BE30" i="18"/>
  <c r="BF30" i="18" s="1"/>
  <c r="BG30" i="18" s="1"/>
  <c r="BH30" i="18" s="1"/>
  <c r="BI30" i="18" s="1"/>
  <c r="BJ30" i="18" s="1"/>
  <c r="BE27" i="18"/>
  <c r="BF27" i="18" s="1"/>
  <c r="BG27" i="18" s="1"/>
  <c r="BH27" i="18" s="1"/>
  <c r="BI27" i="18" s="1"/>
  <c r="BJ27" i="18" s="1"/>
  <c r="BE24" i="18"/>
  <c r="BF24" i="18" s="1"/>
  <c r="BG24" i="18" s="1"/>
  <c r="BH24" i="18" s="1"/>
  <c r="BI24" i="18" s="1"/>
  <c r="BJ24" i="18" s="1"/>
  <c r="BE15" i="18"/>
  <c r="BF15" i="18" s="1"/>
  <c r="BG15" i="18" s="1"/>
  <c r="BH15" i="18" s="1"/>
  <c r="BI15" i="18" s="1"/>
  <c r="BJ15" i="18" s="1"/>
  <c r="AT146" i="18"/>
  <c r="AU146" i="18" s="1"/>
  <c r="AV146" i="18" s="1"/>
  <c r="AW146" i="18" s="1"/>
  <c r="AX146" i="18" s="1"/>
  <c r="AY146" i="18" s="1"/>
  <c r="E32" i="12"/>
  <c r="F32" i="12" s="1"/>
  <c r="C9" i="2"/>
  <c r="B119" i="30" s="1"/>
  <c r="M3" i="1"/>
  <c r="L3" i="1" s="1"/>
  <c r="K3" i="1" s="1"/>
  <c r="J3" i="1" s="1"/>
  <c r="I3" i="1" s="1"/>
  <c r="H3" i="1" s="1"/>
  <c r="G3" i="1" s="1"/>
  <c r="F3" i="1" s="1"/>
  <c r="E3" i="1" s="1"/>
  <c r="D3" i="1" s="1"/>
  <c r="C3" i="1" s="1"/>
  <c r="C72" i="2"/>
  <c r="C59" i="2"/>
  <c r="M47" i="2" s="1"/>
  <c r="AU144" i="18"/>
  <c r="AV144" i="18" s="1"/>
  <c r="AW144" i="18" s="1"/>
  <c r="AX144" i="18" s="1"/>
  <c r="AY144" i="18" s="1"/>
  <c r="P122" i="18"/>
  <c r="P123" i="18"/>
  <c r="P124" i="18"/>
  <c r="P125" i="18"/>
  <c r="P126" i="18"/>
  <c r="P127" i="18"/>
  <c r="P128" i="18"/>
  <c r="P129" i="18"/>
  <c r="P130" i="18"/>
  <c r="P121" i="18"/>
  <c r="P108" i="18"/>
  <c r="P109" i="18"/>
  <c r="P110" i="18"/>
  <c r="P111" i="18"/>
  <c r="P112" i="18"/>
  <c r="P113" i="18"/>
  <c r="P114" i="18"/>
  <c r="P116" i="18"/>
  <c r="P107" i="18"/>
  <c r="P94" i="18"/>
  <c r="P95" i="18"/>
  <c r="P96" i="18"/>
  <c r="P97" i="18"/>
  <c r="P98" i="18"/>
  <c r="P99" i="18"/>
  <c r="P100" i="18"/>
  <c r="P101" i="18"/>
  <c r="P102" i="18"/>
  <c r="P93" i="18"/>
  <c r="P80" i="18"/>
  <c r="P81" i="18"/>
  <c r="P82" i="18"/>
  <c r="P83" i="18"/>
  <c r="P84" i="18"/>
  <c r="P85" i="18"/>
  <c r="P86" i="18"/>
  <c r="P87" i="18"/>
  <c r="P88" i="18"/>
  <c r="P79" i="18"/>
  <c r="P66" i="18"/>
  <c r="P67" i="18"/>
  <c r="P68" i="18"/>
  <c r="P69" i="18"/>
  <c r="P70" i="18"/>
  <c r="P71" i="18"/>
  <c r="P72" i="18"/>
  <c r="P73" i="18"/>
  <c r="P74" i="18"/>
  <c r="P52" i="18"/>
  <c r="P53" i="18"/>
  <c r="P54" i="18"/>
  <c r="P55" i="18"/>
  <c r="P56" i="18"/>
  <c r="P57" i="18"/>
  <c r="P58" i="18"/>
  <c r="P59" i="18"/>
  <c r="P60" i="18"/>
  <c r="P51" i="18"/>
  <c r="P38" i="18"/>
  <c r="P39" i="18"/>
  <c r="P40" i="18"/>
  <c r="P41" i="18"/>
  <c r="P42" i="18"/>
  <c r="P43" i="18"/>
  <c r="P44" i="18"/>
  <c r="P45" i="18"/>
  <c r="P46" i="18"/>
  <c r="P37" i="18"/>
  <c r="P24" i="18"/>
  <c r="P25" i="18"/>
  <c r="P26" i="18"/>
  <c r="P27" i="18"/>
  <c r="P28" i="18"/>
  <c r="P29" i="18"/>
  <c r="P30" i="18"/>
  <c r="P32" i="18"/>
  <c r="P13" i="18"/>
  <c r="P14" i="18"/>
  <c r="P15" i="18"/>
  <c r="P16" i="18"/>
  <c r="D12" i="85"/>
  <c r="L72" i="85"/>
  <c r="B82" i="85"/>
  <c r="B79" i="85"/>
  <c r="B80" i="85"/>
  <c r="B81" i="85"/>
  <c r="B78" i="85"/>
  <c r="P8" i="85"/>
  <c r="L82" i="85"/>
  <c r="B88" i="85" s="1"/>
  <c r="L81" i="85"/>
  <c r="B87" i="85" s="1"/>
  <c r="L79" i="85"/>
  <c r="B85" i="85" s="1"/>
  <c r="L80" i="85"/>
  <c r="B86" i="85" s="1"/>
  <c r="B33" i="30"/>
  <c r="L106" i="30" s="1"/>
  <c r="F298" i="30" s="1"/>
  <c r="D72" i="2"/>
  <c r="E72" i="2"/>
  <c r="F72" i="2"/>
  <c r="G72" i="2"/>
  <c r="H72" i="2"/>
  <c r="G33" i="40"/>
  <c r="Q106" i="40" s="1"/>
  <c r="F303" i="40" s="1"/>
  <c r="F33" i="40"/>
  <c r="P104" i="40" s="1"/>
  <c r="F288" i="40" s="1"/>
  <c r="E33" i="40"/>
  <c r="O100" i="40" s="1"/>
  <c r="F264" i="40" s="1"/>
  <c r="D33" i="40"/>
  <c r="N76" i="40" s="1"/>
  <c r="F130" i="40" s="1"/>
  <c r="C33" i="40"/>
  <c r="M92" i="40" s="1"/>
  <c r="F215" i="40" s="1"/>
  <c r="B33" i="40"/>
  <c r="L82" i="40" s="1"/>
  <c r="F159" i="40" s="1"/>
  <c r="B33" i="32"/>
  <c r="L96" i="32" s="1"/>
  <c r="F233" i="32" s="1"/>
  <c r="A307" i="23"/>
  <c r="A298" i="23"/>
  <c r="A299" i="23" s="1"/>
  <c r="A300" i="23" s="1"/>
  <c r="A301" i="23" s="1"/>
  <c r="A302" i="23" s="1"/>
  <c r="A303" i="23" s="1"/>
  <c r="A291" i="23"/>
  <c r="A292" i="23" s="1"/>
  <c r="A293" i="23" s="1"/>
  <c r="A294" i="23" s="1"/>
  <c r="A295" i="23" s="1"/>
  <c r="A296" i="23" s="1"/>
  <c r="A284" i="23"/>
  <c r="A285" i="23" s="1"/>
  <c r="A286" i="23" s="1"/>
  <c r="A287" i="23" s="1"/>
  <c r="A288" i="23" s="1"/>
  <c r="A289" i="23" s="1"/>
  <c r="A277" i="23"/>
  <c r="A278" i="23" s="1"/>
  <c r="A279" i="23" s="1"/>
  <c r="A280" i="23" s="1"/>
  <c r="A281" i="23" s="1"/>
  <c r="A282" i="23" s="1"/>
  <c r="A270" i="23"/>
  <c r="A271" i="23" s="1"/>
  <c r="A272" i="23" s="1"/>
  <c r="A273" i="23" s="1"/>
  <c r="A274" i="23" s="1"/>
  <c r="A275" i="23" s="1"/>
  <c r="A268" i="23"/>
  <c r="A261" i="23"/>
  <c r="A262" i="23" s="1"/>
  <c r="A263" i="23" s="1"/>
  <c r="A264" i="23" s="1"/>
  <c r="A265" i="23" s="1"/>
  <c r="A266" i="23" s="1"/>
  <c r="A254" i="23"/>
  <c r="A255" i="23" s="1"/>
  <c r="A256" i="23" s="1"/>
  <c r="A257" i="23" s="1"/>
  <c r="A258" i="23" s="1"/>
  <c r="A259" i="23" s="1"/>
  <c r="A247" i="23"/>
  <c r="A248" i="23" s="1"/>
  <c r="A249" i="23" s="1"/>
  <c r="A250" i="23" s="1"/>
  <c r="A251" i="23" s="1"/>
  <c r="A252" i="23" s="1"/>
  <c r="A240" i="23"/>
  <c r="A241" i="23" s="1"/>
  <c r="A242" i="23" s="1"/>
  <c r="A243" i="23" s="1"/>
  <c r="A244" i="23" s="1"/>
  <c r="A245" i="23" s="1"/>
  <c r="A233" i="23"/>
  <c r="A234" i="23" s="1"/>
  <c r="A235" i="23" s="1"/>
  <c r="A236" i="23" s="1"/>
  <c r="A237" i="23" s="1"/>
  <c r="A238" i="23" s="1"/>
  <c r="A231" i="23"/>
  <c r="A230" i="23"/>
  <c r="A221" i="23"/>
  <c r="A212" i="23"/>
  <c r="A211" i="23"/>
  <c r="A210" i="23"/>
  <c r="A203" i="23"/>
  <c r="A204" i="23" s="1"/>
  <c r="A205" i="23" s="1"/>
  <c r="A206" i="23" s="1"/>
  <c r="A207" i="23" s="1"/>
  <c r="A208" i="23" s="1"/>
  <c r="A196" i="23"/>
  <c r="A197" i="23" s="1"/>
  <c r="A198" i="23" s="1"/>
  <c r="A199" i="23" s="1"/>
  <c r="A200" i="23" s="1"/>
  <c r="A201" i="23" s="1"/>
  <c r="A189" i="23"/>
  <c r="A190" i="23" s="1"/>
  <c r="A191" i="23" s="1"/>
  <c r="A192" i="23" s="1"/>
  <c r="A193" i="23" s="1"/>
  <c r="A194" i="23" s="1"/>
  <c r="A182" i="23"/>
  <c r="A183" i="23" s="1"/>
  <c r="A184" i="23" s="1"/>
  <c r="A185" i="23" s="1"/>
  <c r="A186" i="23" s="1"/>
  <c r="A187" i="23" s="1"/>
  <c r="A175" i="23"/>
  <c r="A176" i="23" s="1"/>
  <c r="A177" i="23" s="1"/>
  <c r="A178" i="23" s="1"/>
  <c r="A179" i="23" s="1"/>
  <c r="A180" i="23" s="1"/>
  <c r="A173" i="23"/>
  <c r="A166" i="23"/>
  <c r="A167" i="23" s="1"/>
  <c r="A168" i="23" s="1"/>
  <c r="A169" i="23" s="1"/>
  <c r="A170" i="23" s="1"/>
  <c r="A171" i="23" s="1"/>
  <c r="A159" i="23"/>
  <c r="A160" i="23" s="1"/>
  <c r="A161" i="23" s="1"/>
  <c r="A162" i="23" s="1"/>
  <c r="A163" i="23" s="1"/>
  <c r="A164" i="23" s="1"/>
  <c r="A152" i="23"/>
  <c r="A153" i="23" s="1"/>
  <c r="A154" i="23" s="1"/>
  <c r="A155" i="23" s="1"/>
  <c r="A156" i="23" s="1"/>
  <c r="A157" i="23" s="1"/>
  <c r="A145" i="23"/>
  <c r="A146" i="23" s="1"/>
  <c r="A147" i="23" s="1"/>
  <c r="A148" i="23" s="1"/>
  <c r="A149" i="23" s="1"/>
  <c r="A150" i="23" s="1"/>
  <c r="A138" i="23"/>
  <c r="A139" i="23" s="1"/>
  <c r="A140" i="23" s="1"/>
  <c r="A141" i="23" s="1"/>
  <c r="A142" i="23" s="1"/>
  <c r="A143" i="23" s="1"/>
  <c r="A136" i="23"/>
  <c r="A135" i="23"/>
  <c r="A126" i="23"/>
  <c r="A117" i="23"/>
  <c r="A116" i="23"/>
  <c r="A115" i="23"/>
  <c r="K108" i="23"/>
  <c r="E307" i="23" s="1"/>
  <c r="E308" i="23" s="1"/>
  <c r="E309" i="23" s="1"/>
  <c r="E310" i="23" s="1"/>
  <c r="E311" i="23" s="1"/>
  <c r="E312" i="23" s="1"/>
  <c r="J108" i="23"/>
  <c r="D307" i="23" s="1"/>
  <c r="D308" i="23" s="1"/>
  <c r="D309" i="23" s="1"/>
  <c r="D310" i="23" s="1"/>
  <c r="D311" i="23" s="1"/>
  <c r="D312" i="23" s="1"/>
  <c r="K106" i="23"/>
  <c r="E298" i="23" s="1"/>
  <c r="K105" i="23"/>
  <c r="E291" i="23" s="1"/>
  <c r="E292" i="23" s="1"/>
  <c r="E293" i="23" s="1"/>
  <c r="E294" i="23" s="1"/>
  <c r="E295" i="23" s="1"/>
  <c r="E296" i="23" s="1"/>
  <c r="J105" i="23"/>
  <c r="D291" i="23" s="1"/>
  <c r="D292" i="23" s="1"/>
  <c r="D293" i="23" s="1"/>
  <c r="D294" i="23" s="1"/>
  <c r="D295" i="23" s="1"/>
  <c r="D296" i="23" s="1"/>
  <c r="K104" i="23"/>
  <c r="E284" i="23" s="1"/>
  <c r="E285" i="23" s="1"/>
  <c r="E286" i="23" s="1"/>
  <c r="E287" i="23" s="1"/>
  <c r="E288" i="23" s="1"/>
  <c r="E289" i="23" s="1"/>
  <c r="J104" i="23"/>
  <c r="D284" i="23" s="1"/>
  <c r="D285" i="23" s="1"/>
  <c r="D286" i="23" s="1"/>
  <c r="D287" i="23" s="1"/>
  <c r="D288" i="23" s="1"/>
  <c r="K103" i="23"/>
  <c r="E277" i="23" s="1"/>
  <c r="E278" i="23" s="1"/>
  <c r="E279" i="23" s="1"/>
  <c r="E280" i="23" s="1"/>
  <c r="E281" i="23" s="1"/>
  <c r="E282" i="23" s="1"/>
  <c r="J103" i="23"/>
  <c r="D277" i="23" s="1"/>
  <c r="D278" i="23" s="1"/>
  <c r="D279" i="23" s="1"/>
  <c r="D280" i="23" s="1"/>
  <c r="D281" i="23" s="1"/>
  <c r="D282" i="23" s="1"/>
  <c r="K102" i="23"/>
  <c r="E270" i="23" s="1"/>
  <c r="J102" i="23"/>
  <c r="D270" i="23" s="1"/>
  <c r="D271" i="23" s="1"/>
  <c r="D272" i="23" s="1"/>
  <c r="D273" i="23" s="1"/>
  <c r="K100" i="23"/>
  <c r="E261" i="23" s="1"/>
  <c r="E262" i="23" s="1"/>
  <c r="E263" i="23" s="1"/>
  <c r="E264" i="23" s="1"/>
  <c r="E265" i="23" s="1"/>
  <c r="E266" i="23" s="1"/>
  <c r="K99" i="23"/>
  <c r="E254" i="23" s="1"/>
  <c r="E255" i="23" s="1"/>
  <c r="E256" i="23" s="1"/>
  <c r="E257" i="23" s="1"/>
  <c r="E258" i="23" s="1"/>
  <c r="E259" i="23" s="1"/>
  <c r="J99" i="23"/>
  <c r="D254" i="23" s="1"/>
  <c r="D255" i="23" s="1"/>
  <c r="D256" i="23" s="1"/>
  <c r="D257" i="23" s="1"/>
  <c r="D258" i="23" s="1"/>
  <c r="D259" i="23" s="1"/>
  <c r="K98" i="23"/>
  <c r="E247" i="23" s="1"/>
  <c r="E248" i="23" s="1"/>
  <c r="E249" i="23" s="1"/>
  <c r="E250" i="23" s="1"/>
  <c r="E251" i="23" s="1"/>
  <c r="E252" i="23" s="1"/>
  <c r="J98" i="23"/>
  <c r="D247" i="23" s="1"/>
  <c r="D248" i="23" s="1"/>
  <c r="D249" i="23" s="1"/>
  <c r="D250" i="23" s="1"/>
  <c r="D251" i="23" s="1"/>
  <c r="D252" i="23" s="1"/>
  <c r="K97" i="23"/>
  <c r="E240" i="23" s="1"/>
  <c r="E241" i="23" s="1"/>
  <c r="E242" i="23" s="1"/>
  <c r="E243" i="23" s="1"/>
  <c r="E244" i="23" s="1"/>
  <c r="E245" i="23" s="1"/>
  <c r="J97" i="23"/>
  <c r="D240" i="23" s="1"/>
  <c r="D241" i="23" s="1"/>
  <c r="D242" i="23" s="1"/>
  <c r="D243" i="23" s="1"/>
  <c r="D244" i="23" s="1"/>
  <c r="D245" i="23" s="1"/>
  <c r="K96" i="23"/>
  <c r="E233" i="23" s="1"/>
  <c r="E234" i="23" s="1"/>
  <c r="E235" i="23" s="1"/>
  <c r="E236" i="23" s="1"/>
  <c r="E237" i="23" s="1"/>
  <c r="E238" i="23" s="1"/>
  <c r="J96" i="23"/>
  <c r="D233" i="23" s="1"/>
  <c r="D234" i="23" s="1"/>
  <c r="D235" i="23" s="1"/>
  <c r="D236" i="23" s="1"/>
  <c r="D237" i="23" s="1"/>
  <c r="D238" i="23" s="1"/>
  <c r="K93" i="23"/>
  <c r="E223" i="23" s="1"/>
  <c r="E224" i="23" s="1"/>
  <c r="E225" i="23" s="1"/>
  <c r="E226" i="23" s="1"/>
  <c r="E227" i="23" s="1"/>
  <c r="E228" i="23" s="1"/>
  <c r="J93" i="23"/>
  <c r="D223" i="23" s="1"/>
  <c r="D224" i="23" s="1"/>
  <c r="D225" i="23" s="1"/>
  <c r="D226" i="23" s="1"/>
  <c r="D227" i="23" s="1"/>
  <c r="D228" i="23" s="1"/>
  <c r="K92" i="23"/>
  <c r="E214" i="23" s="1"/>
  <c r="E215" i="23" s="1"/>
  <c r="E216" i="23" s="1"/>
  <c r="E217" i="23" s="1"/>
  <c r="E218" i="23" s="1"/>
  <c r="E219" i="23" s="1"/>
  <c r="J92" i="23"/>
  <c r="D214" i="23" s="1"/>
  <c r="D215" i="23" s="1"/>
  <c r="D216" i="23" s="1"/>
  <c r="D217" i="23" s="1"/>
  <c r="D218" i="23" s="1"/>
  <c r="D219" i="23" s="1"/>
  <c r="K89" i="23"/>
  <c r="E203" i="23" s="1"/>
  <c r="E204" i="23" s="1"/>
  <c r="E205" i="23" s="1"/>
  <c r="E206" i="23" s="1"/>
  <c r="E207" i="23" s="1"/>
  <c r="E208" i="23" s="1"/>
  <c r="K88" i="23"/>
  <c r="E196" i="23" s="1"/>
  <c r="E197" i="23" s="1"/>
  <c r="E198" i="23" s="1"/>
  <c r="E199" i="23" s="1"/>
  <c r="E200" i="23" s="1"/>
  <c r="E201" i="23" s="1"/>
  <c r="J88" i="23"/>
  <c r="D196" i="23" s="1"/>
  <c r="D197" i="23" s="1"/>
  <c r="D198" i="23" s="1"/>
  <c r="D199" i="23" s="1"/>
  <c r="D200" i="23" s="1"/>
  <c r="D201" i="23" s="1"/>
  <c r="K87" i="23"/>
  <c r="E189" i="23" s="1"/>
  <c r="E190" i="23" s="1"/>
  <c r="E191" i="23" s="1"/>
  <c r="E192" i="23" s="1"/>
  <c r="E193" i="23" s="1"/>
  <c r="E194" i="23" s="1"/>
  <c r="J87" i="23"/>
  <c r="D189" i="23" s="1"/>
  <c r="D190" i="23" s="1"/>
  <c r="D191" i="23" s="1"/>
  <c r="D192" i="23" s="1"/>
  <c r="D193" i="23" s="1"/>
  <c r="D194" i="23" s="1"/>
  <c r="K86" i="23"/>
  <c r="E182" i="23" s="1"/>
  <c r="E183" i="23" s="1"/>
  <c r="E184" i="23" s="1"/>
  <c r="E185" i="23" s="1"/>
  <c r="E186" i="23" s="1"/>
  <c r="E187" i="23" s="1"/>
  <c r="J86" i="23"/>
  <c r="D182" i="23" s="1"/>
  <c r="D183" i="23" s="1"/>
  <c r="D184" i="23" s="1"/>
  <c r="D185" i="23" s="1"/>
  <c r="D186" i="23" s="1"/>
  <c r="D187" i="23" s="1"/>
  <c r="K85" i="23"/>
  <c r="E175" i="23" s="1"/>
  <c r="E176" i="23" s="1"/>
  <c r="E177" i="23" s="1"/>
  <c r="E178" i="23" s="1"/>
  <c r="E179" i="23" s="1"/>
  <c r="E180" i="23" s="1"/>
  <c r="J85" i="23"/>
  <c r="D175" i="23" s="1"/>
  <c r="K83" i="23"/>
  <c r="E166" i="23" s="1"/>
  <c r="E167" i="23" s="1"/>
  <c r="E168" i="23" s="1"/>
  <c r="E169" i="23" s="1"/>
  <c r="E170" i="23" s="1"/>
  <c r="E171" i="23" s="1"/>
  <c r="K82" i="23"/>
  <c r="E159" i="23" s="1"/>
  <c r="E160" i="23" s="1"/>
  <c r="E161" i="23" s="1"/>
  <c r="E162" i="23" s="1"/>
  <c r="E163" i="23" s="1"/>
  <c r="E164" i="23" s="1"/>
  <c r="J82" i="23"/>
  <c r="D159" i="23" s="1"/>
  <c r="D160" i="23" s="1"/>
  <c r="D161" i="23" s="1"/>
  <c r="D162" i="23" s="1"/>
  <c r="D163" i="23" s="1"/>
  <c r="D164" i="23" s="1"/>
  <c r="K81" i="23"/>
  <c r="E152" i="23" s="1"/>
  <c r="E153" i="23" s="1"/>
  <c r="E154" i="23" s="1"/>
  <c r="E155" i="23" s="1"/>
  <c r="E156" i="23" s="1"/>
  <c r="E157" i="23" s="1"/>
  <c r="J81" i="23"/>
  <c r="D152" i="23" s="1"/>
  <c r="D153" i="23" s="1"/>
  <c r="D154" i="23" s="1"/>
  <c r="D155" i="23" s="1"/>
  <c r="D156" i="23" s="1"/>
  <c r="D157" i="23" s="1"/>
  <c r="K80" i="23"/>
  <c r="E145" i="23" s="1"/>
  <c r="E146" i="23" s="1"/>
  <c r="E147" i="23" s="1"/>
  <c r="E148" i="23" s="1"/>
  <c r="E149" i="23" s="1"/>
  <c r="E150" i="23" s="1"/>
  <c r="J80" i="23"/>
  <c r="D145" i="23" s="1"/>
  <c r="D146" i="23" s="1"/>
  <c r="D147" i="23" s="1"/>
  <c r="D148" i="23" s="1"/>
  <c r="D149" i="23" s="1"/>
  <c r="D150" i="23" s="1"/>
  <c r="K79" i="23"/>
  <c r="E138" i="23" s="1"/>
  <c r="E139" i="23" s="1"/>
  <c r="E140" i="23" s="1"/>
  <c r="E141" i="23" s="1"/>
  <c r="E142" i="23" s="1"/>
  <c r="E143" i="23" s="1"/>
  <c r="J79" i="23"/>
  <c r="D138" i="23" s="1"/>
  <c r="D139" i="23" s="1"/>
  <c r="D140" i="23" s="1"/>
  <c r="D141" i="23" s="1"/>
  <c r="D142" i="23" s="1"/>
  <c r="D143" i="23" s="1"/>
  <c r="K76" i="23"/>
  <c r="E128" i="23" s="1"/>
  <c r="E129" i="23" s="1"/>
  <c r="E130" i="23" s="1"/>
  <c r="E131" i="23" s="1"/>
  <c r="E132" i="23" s="1"/>
  <c r="E133" i="23" s="1"/>
  <c r="J76" i="23"/>
  <c r="D128" i="23" s="1"/>
  <c r="D129" i="23" s="1"/>
  <c r="D130" i="23" s="1"/>
  <c r="D131" i="23" s="1"/>
  <c r="D132" i="23" s="1"/>
  <c r="D133" i="23" s="1"/>
  <c r="K75" i="23"/>
  <c r="E119" i="23" s="1"/>
  <c r="E120" i="23" s="1"/>
  <c r="E121" i="23" s="1"/>
  <c r="E122" i="23" s="1"/>
  <c r="E123" i="23" s="1"/>
  <c r="E124" i="23" s="1"/>
  <c r="J75" i="23"/>
  <c r="D119" i="23" s="1"/>
  <c r="D120" i="23" s="1"/>
  <c r="D121" i="23" s="1"/>
  <c r="D122" i="23" s="1"/>
  <c r="D123" i="23" s="1"/>
  <c r="D124" i="23" s="1"/>
  <c r="G50" i="23"/>
  <c r="F50" i="23"/>
  <c r="A309" i="25"/>
  <c r="A300" i="25"/>
  <c r="A301" i="25" s="1"/>
  <c r="A302" i="25" s="1"/>
  <c r="A303" i="25" s="1"/>
  <c r="A304" i="25" s="1"/>
  <c r="A305" i="25" s="1"/>
  <c r="A293" i="25"/>
  <c r="A294" i="25" s="1"/>
  <c r="A295" i="25" s="1"/>
  <c r="A296" i="25" s="1"/>
  <c r="A297" i="25" s="1"/>
  <c r="A298" i="25" s="1"/>
  <c r="A286" i="25"/>
  <c r="A287" i="25" s="1"/>
  <c r="A288" i="25" s="1"/>
  <c r="A289" i="25" s="1"/>
  <c r="A290" i="25" s="1"/>
  <c r="A291" i="25" s="1"/>
  <c r="A279" i="25"/>
  <c r="A280" i="25" s="1"/>
  <c r="A281" i="25" s="1"/>
  <c r="A282" i="25" s="1"/>
  <c r="A283" i="25" s="1"/>
  <c r="A284" i="25" s="1"/>
  <c r="A272" i="25"/>
  <c r="A273" i="25" s="1"/>
  <c r="A274" i="25" s="1"/>
  <c r="A275" i="25" s="1"/>
  <c r="A276" i="25" s="1"/>
  <c r="A277" i="25" s="1"/>
  <c r="A270" i="25"/>
  <c r="A263" i="25"/>
  <c r="A264" i="25" s="1"/>
  <c r="A265" i="25" s="1"/>
  <c r="A266" i="25" s="1"/>
  <c r="A267" i="25" s="1"/>
  <c r="A268" i="25" s="1"/>
  <c r="A256" i="25"/>
  <c r="A257" i="25" s="1"/>
  <c r="A258" i="25" s="1"/>
  <c r="A259" i="25" s="1"/>
  <c r="A260" i="25" s="1"/>
  <c r="A261" i="25" s="1"/>
  <c r="A249" i="25"/>
  <c r="A250" i="25" s="1"/>
  <c r="A251" i="25" s="1"/>
  <c r="A252" i="25" s="1"/>
  <c r="A253" i="25" s="1"/>
  <c r="A254" i="25" s="1"/>
  <c r="A242" i="25"/>
  <c r="A243" i="25" s="1"/>
  <c r="A244" i="25" s="1"/>
  <c r="A245" i="25" s="1"/>
  <c r="A246" i="25" s="1"/>
  <c r="A247" i="25" s="1"/>
  <c r="A235" i="25"/>
  <c r="A236" i="25" s="1"/>
  <c r="A237" i="25" s="1"/>
  <c r="A238" i="25" s="1"/>
  <c r="A239" i="25" s="1"/>
  <c r="A240" i="25" s="1"/>
  <c r="A233" i="25"/>
  <c r="A232" i="25"/>
  <c r="A223" i="25"/>
  <c r="A214" i="25"/>
  <c r="A213" i="25"/>
  <c r="A212" i="25"/>
  <c r="A205" i="25"/>
  <c r="A206" i="25" s="1"/>
  <c r="A207" i="25" s="1"/>
  <c r="A208" i="25" s="1"/>
  <c r="A209" i="25" s="1"/>
  <c r="A210" i="25" s="1"/>
  <c r="A198" i="25"/>
  <c r="A199" i="25" s="1"/>
  <c r="A200" i="25" s="1"/>
  <c r="A201" i="25" s="1"/>
  <c r="A202" i="25" s="1"/>
  <c r="A203" i="25" s="1"/>
  <c r="A191" i="25"/>
  <c r="A192" i="25" s="1"/>
  <c r="A193" i="25" s="1"/>
  <c r="A194" i="25" s="1"/>
  <c r="A195" i="25" s="1"/>
  <c r="A196" i="25" s="1"/>
  <c r="A184" i="25"/>
  <c r="A185" i="25" s="1"/>
  <c r="A186" i="25" s="1"/>
  <c r="A187" i="25" s="1"/>
  <c r="A188" i="25" s="1"/>
  <c r="A189" i="25" s="1"/>
  <c r="A177" i="25"/>
  <c r="A178" i="25" s="1"/>
  <c r="A179" i="25" s="1"/>
  <c r="A180" i="25" s="1"/>
  <c r="A181" i="25" s="1"/>
  <c r="A182" i="25" s="1"/>
  <c r="A175" i="25"/>
  <c r="A168" i="25"/>
  <c r="A169" i="25" s="1"/>
  <c r="A170" i="25" s="1"/>
  <c r="A171" i="25" s="1"/>
  <c r="A172" i="25" s="1"/>
  <c r="A173" i="25" s="1"/>
  <c r="A161" i="25"/>
  <c r="A162" i="25" s="1"/>
  <c r="A163" i="25" s="1"/>
  <c r="A164" i="25" s="1"/>
  <c r="A165" i="25" s="1"/>
  <c r="A166" i="25" s="1"/>
  <c r="A154" i="25"/>
  <c r="A155" i="25" s="1"/>
  <c r="A156" i="25" s="1"/>
  <c r="A157" i="25" s="1"/>
  <c r="A158" i="25" s="1"/>
  <c r="A159" i="25" s="1"/>
  <c r="A147" i="25"/>
  <c r="A148" i="25" s="1"/>
  <c r="A149" i="25" s="1"/>
  <c r="A150" i="25" s="1"/>
  <c r="A151" i="25" s="1"/>
  <c r="A152" i="25" s="1"/>
  <c r="A140" i="25"/>
  <c r="A141" i="25" s="1"/>
  <c r="A142" i="25" s="1"/>
  <c r="A143" i="25" s="1"/>
  <c r="A144" i="25" s="1"/>
  <c r="A145" i="25" s="1"/>
  <c r="A138" i="25"/>
  <c r="A137" i="25"/>
  <c r="A128" i="25"/>
  <c r="A119" i="25"/>
  <c r="A118" i="25"/>
  <c r="A117" i="25"/>
  <c r="K110" i="25"/>
  <c r="E309" i="25" s="1"/>
  <c r="E310" i="25" s="1"/>
  <c r="E311" i="25" s="1"/>
  <c r="E312" i="25" s="1"/>
  <c r="E313" i="25" s="1"/>
  <c r="E314" i="25" s="1"/>
  <c r="J110" i="25"/>
  <c r="D309" i="25" s="1"/>
  <c r="D310" i="25" s="1"/>
  <c r="D311" i="25" s="1"/>
  <c r="D312" i="25" s="1"/>
  <c r="D313" i="25" s="1"/>
  <c r="D314" i="25" s="1"/>
  <c r="K108" i="25"/>
  <c r="E300" i="25" s="1"/>
  <c r="E301" i="25" s="1"/>
  <c r="E302" i="25" s="1"/>
  <c r="E303" i="25" s="1"/>
  <c r="E304" i="25" s="1"/>
  <c r="E305" i="25" s="1"/>
  <c r="K107" i="25"/>
  <c r="E293" i="25" s="1"/>
  <c r="E294" i="25" s="1"/>
  <c r="E295" i="25" s="1"/>
  <c r="E296" i="25" s="1"/>
  <c r="E297" i="25" s="1"/>
  <c r="E298" i="25" s="1"/>
  <c r="J107" i="25"/>
  <c r="D293" i="25" s="1"/>
  <c r="D294" i="25" s="1"/>
  <c r="D295" i="25" s="1"/>
  <c r="D296" i="25" s="1"/>
  <c r="D297" i="25" s="1"/>
  <c r="D298" i="25" s="1"/>
  <c r="K106" i="25"/>
  <c r="E286" i="25" s="1"/>
  <c r="E287" i="25" s="1"/>
  <c r="E288" i="25" s="1"/>
  <c r="E289" i="25" s="1"/>
  <c r="E290" i="25" s="1"/>
  <c r="E291" i="25" s="1"/>
  <c r="J106" i="25"/>
  <c r="D286" i="25" s="1"/>
  <c r="D287" i="25" s="1"/>
  <c r="D288" i="25" s="1"/>
  <c r="D289" i="25" s="1"/>
  <c r="D290" i="25" s="1"/>
  <c r="D291" i="25" s="1"/>
  <c r="K105" i="25"/>
  <c r="E279" i="25" s="1"/>
  <c r="E280" i="25" s="1"/>
  <c r="E281" i="25" s="1"/>
  <c r="E282" i="25" s="1"/>
  <c r="E283" i="25" s="1"/>
  <c r="E284" i="25" s="1"/>
  <c r="J105" i="25"/>
  <c r="D279" i="25" s="1"/>
  <c r="D280" i="25" s="1"/>
  <c r="D281" i="25" s="1"/>
  <c r="D282" i="25" s="1"/>
  <c r="D283" i="25" s="1"/>
  <c r="D284" i="25" s="1"/>
  <c r="K104" i="25"/>
  <c r="E272" i="25" s="1"/>
  <c r="E273" i="25" s="1"/>
  <c r="E274" i="25" s="1"/>
  <c r="E275" i="25" s="1"/>
  <c r="E276" i="25" s="1"/>
  <c r="E277" i="25" s="1"/>
  <c r="J104" i="25"/>
  <c r="D272" i="25" s="1"/>
  <c r="D273" i="25" s="1"/>
  <c r="D274" i="25" s="1"/>
  <c r="D275" i="25" s="1"/>
  <c r="D276" i="25" s="1"/>
  <c r="D277" i="25" s="1"/>
  <c r="K102" i="25"/>
  <c r="E263" i="25" s="1"/>
  <c r="E264" i="25" s="1"/>
  <c r="E265" i="25" s="1"/>
  <c r="E266" i="25" s="1"/>
  <c r="E267" i="25" s="1"/>
  <c r="E268" i="25" s="1"/>
  <c r="K101" i="25"/>
  <c r="E256" i="25" s="1"/>
  <c r="E257" i="25" s="1"/>
  <c r="E258" i="25" s="1"/>
  <c r="E259" i="25" s="1"/>
  <c r="E260" i="25" s="1"/>
  <c r="E261" i="25" s="1"/>
  <c r="J101" i="25"/>
  <c r="D256" i="25" s="1"/>
  <c r="D257" i="25" s="1"/>
  <c r="D258" i="25" s="1"/>
  <c r="D259" i="25" s="1"/>
  <c r="K100" i="25"/>
  <c r="E249" i="25" s="1"/>
  <c r="E250" i="25" s="1"/>
  <c r="E251" i="25" s="1"/>
  <c r="E252" i="25" s="1"/>
  <c r="E253" i="25" s="1"/>
  <c r="E254" i="25" s="1"/>
  <c r="J100" i="25"/>
  <c r="D249" i="25" s="1"/>
  <c r="D250" i="25" s="1"/>
  <c r="D251" i="25" s="1"/>
  <c r="D252" i="25" s="1"/>
  <c r="D253" i="25" s="1"/>
  <c r="D254" i="25" s="1"/>
  <c r="K99" i="25"/>
  <c r="E242" i="25" s="1"/>
  <c r="E243" i="25" s="1"/>
  <c r="E244" i="25" s="1"/>
  <c r="E245" i="25" s="1"/>
  <c r="E246" i="25" s="1"/>
  <c r="E247" i="25" s="1"/>
  <c r="J99" i="25"/>
  <c r="D242" i="25" s="1"/>
  <c r="D243" i="25" s="1"/>
  <c r="D244" i="25" s="1"/>
  <c r="D245" i="25" s="1"/>
  <c r="D246" i="25" s="1"/>
  <c r="D247" i="25" s="1"/>
  <c r="K98" i="25"/>
  <c r="E235" i="25" s="1"/>
  <c r="J98" i="25"/>
  <c r="D235" i="25" s="1"/>
  <c r="D236" i="25" s="1"/>
  <c r="D237" i="25" s="1"/>
  <c r="D238" i="25" s="1"/>
  <c r="D239" i="25" s="1"/>
  <c r="D240" i="25" s="1"/>
  <c r="K95" i="25"/>
  <c r="E225" i="25" s="1"/>
  <c r="E226" i="25" s="1"/>
  <c r="E227" i="25" s="1"/>
  <c r="E228" i="25" s="1"/>
  <c r="E229" i="25" s="1"/>
  <c r="E230" i="25" s="1"/>
  <c r="J95" i="25"/>
  <c r="D225" i="25" s="1"/>
  <c r="D226" i="25" s="1"/>
  <c r="D227" i="25" s="1"/>
  <c r="D228" i="25" s="1"/>
  <c r="D229" i="25" s="1"/>
  <c r="D230" i="25" s="1"/>
  <c r="K94" i="25"/>
  <c r="E216" i="25" s="1"/>
  <c r="E217" i="25" s="1"/>
  <c r="E218" i="25" s="1"/>
  <c r="E219" i="25" s="1"/>
  <c r="E220" i="25" s="1"/>
  <c r="E221" i="25" s="1"/>
  <c r="J94" i="25"/>
  <c r="D216" i="25" s="1"/>
  <c r="D217" i="25" s="1"/>
  <c r="D218" i="25" s="1"/>
  <c r="D219" i="25" s="1"/>
  <c r="D220" i="25" s="1"/>
  <c r="D221" i="25" s="1"/>
  <c r="K91" i="25"/>
  <c r="E205" i="25" s="1"/>
  <c r="E206" i="25" s="1"/>
  <c r="E207" i="25" s="1"/>
  <c r="E208" i="25" s="1"/>
  <c r="E209" i="25" s="1"/>
  <c r="E210" i="25" s="1"/>
  <c r="K90" i="25"/>
  <c r="E198" i="25" s="1"/>
  <c r="E199" i="25" s="1"/>
  <c r="E200" i="25" s="1"/>
  <c r="E201" i="25" s="1"/>
  <c r="E202" i="25" s="1"/>
  <c r="E203" i="25" s="1"/>
  <c r="J90" i="25"/>
  <c r="D198" i="25" s="1"/>
  <c r="K89" i="25"/>
  <c r="E191" i="25" s="1"/>
  <c r="J89" i="25"/>
  <c r="D191" i="25" s="1"/>
  <c r="D192" i="25" s="1"/>
  <c r="D193" i="25" s="1"/>
  <c r="D194" i="25" s="1"/>
  <c r="D195" i="25" s="1"/>
  <c r="D196" i="25" s="1"/>
  <c r="K88" i="25"/>
  <c r="E184" i="25" s="1"/>
  <c r="E185" i="25" s="1"/>
  <c r="E186" i="25" s="1"/>
  <c r="E187" i="25" s="1"/>
  <c r="E188" i="25" s="1"/>
  <c r="E189" i="25" s="1"/>
  <c r="J88" i="25"/>
  <c r="D184" i="25" s="1"/>
  <c r="D185" i="25" s="1"/>
  <c r="D186" i="25" s="1"/>
  <c r="D187" i="25" s="1"/>
  <c r="D188" i="25" s="1"/>
  <c r="D189" i="25" s="1"/>
  <c r="K87" i="25"/>
  <c r="E177" i="25" s="1"/>
  <c r="E178" i="25" s="1"/>
  <c r="E179" i="25" s="1"/>
  <c r="E180" i="25" s="1"/>
  <c r="E181" i="25" s="1"/>
  <c r="E182" i="25" s="1"/>
  <c r="J87" i="25"/>
  <c r="D177" i="25" s="1"/>
  <c r="K85" i="25"/>
  <c r="E168" i="25" s="1"/>
  <c r="K84" i="25"/>
  <c r="E161" i="25" s="1"/>
  <c r="E162" i="25" s="1"/>
  <c r="E163" i="25" s="1"/>
  <c r="E164" i="25" s="1"/>
  <c r="E165" i="25" s="1"/>
  <c r="E166" i="25" s="1"/>
  <c r="J84" i="25"/>
  <c r="D161" i="25" s="1"/>
  <c r="D162" i="25" s="1"/>
  <c r="D163" i="25" s="1"/>
  <c r="D164" i="25" s="1"/>
  <c r="D165" i="25" s="1"/>
  <c r="D166" i="25" s="1"/>
  <c r="K83" i="25"/>
  <c r="E154" i="25" s="1"/>
  <c r="E155" i="25" s="1"/>
  <c r="E156" i="25" s="1"/>
  <c r="E157" i="25" s="1"/>
  <c r="E158" i="25" s="1"/>
  <c r="E159" i="25" s="1"/>
  <c r="J83" i="25"/>
  <c r="D154" i="25" s="1"/>
  <c r="D155" i="25" s="1"/>
  <c r="D156" i="25" s="1"/>
  <c r="D157" i="25" s="1"/>
  <c r="D158" i="25" s="1"/>
  <c r="D159" i="25" s="1"/>
  <c r="K82" i="25"/>
  <c r="E147" i="25" s="1"/>
  <c r="E148" i="25" s="1"/>
  <c r="E149" i="25" s="1"/>
  <c r="E150" i="25" s="1"/>
  <c r="E151" i="25" s="1"/>
  <c r="E152" i="25" s="1"/>
  <c r="J82" i="25"/>
  <c r="D147" i="25" s="1"/>
  <c r="D148" i="25" s="1"/>
  <c r="D149" i="25" s="1"/>
  <c r="D150" i="25" s="1"/>
  <c r="D151" i="25" s="1"/>
  <c r="D152" i="25" s="1"/>
  <c r="K81" i="25"/>
  <c r="E140" i="25" s="1"/>
  <c r="J81" i="25"/>
  <c r="D140" i="25" s="1"/>
  <c r="D141" i="25" s="1"/>
  <c r="D142" i="25" s="1"/>
  <c r="D143" i="25" s="1"/>
  <c r="D144" i="25" s="1"/>
  <c r="D145" i="25" s="1"/>
  <c r="K78" i="25"/>
  <c r="E130" i="25" s="1"/>
  <c r="E131" i="25" s="1"/>
  <c r="E132" i="25" s="1"/>
  <c r="E133" i="25" s="1"/>
  <c r="E134" i="25" s="1"/>
  <c r="E135" i="25" s="1"/>
  <c r="J78" i="25"/>
  <c r="D130" i="25" s="1"/>
  <c r="D131" i="25" s="1"/>
  <c r="D132" i="25" s="1"/>
  <c r="D133" i="25" s="1"/>
  <c r="D134" i="25" s="1"/>
  <c r="D135" i="25" s="1"/>
  <c r="K77" i="25"/>
  <c r="E121" i="25" s="1"/>
  <c r="E122" i="25" s="1"/>
  <c r="E123" i="25" s="1"/>
  <c r="E124" i="25" s="1"/>
  <c r="E125" i="25" s="1"/>
  <c r="E126" i="25" s="1"/>
  <c r="J77" i="25"/>
  <c r="D121" i="25" s="1"/>
  <c r="D122" i="25" s="1"/>
  <c r="D123" i="25" s="1"/>
  <c r="D124" i="25" s="1"/>
  <c r="D125" i="25" s="1"/>
  <c r="D126" i="25" s="1"/>
  <c r="F55" i="25"/>
  <c r="C55" i="25"/>
  <c r="G52" i="25"/>
  <c r="F52" i="25"/>
  <c r="A307" i="28"/>
  <c r="A298" i="28"/>
  <c r="A299" i="28" s="1"/>
  <c r="A300" i="28" s="1"/>
  <c r="A301" i="28" s="1"/>
  <c r="A302" i="28" s="1"/>
  <c r="A303" i="28" s="1"/>
  <c r="A291" i="28"/>
  <c r="A292" i="28" s="1"/>
  <c r="A293" i="28" s="1"/>
  <c r="A294" i="28" s="1"/>
  <c r="A295" i="28" s="1"/>
  <c r="A296" i="28" s="1"/>
  <c r="A284" i="28"/>
  <c r="A285" i="28" s="1"/>
  <c r="A286" i="28" s="1"/>
  <c r="A287" i="28" s="1"/>
  <c r="A288" i="28" s="1"/>
  <c r="A289" i="28" s="1"/>
  <c r="A277" i="28"/>
  <c r="A278" i="28" s="1"/>
  <c r="A279" i="28" s="1"/>
  <c r="A280" i="28" s="1"/>
  <c r="A281" i="28" s="1"/>
  <c r="A282" i="28" s="1"/>
  <c r="A270" i="28"/>
  <c r="A271" i="28" s="1"/>
  <c r="A272" i="28" s="1"/>
  <c r="A273" i="28" s="1"/>
  <c r="A274" i="28" s="1"/>
  <c r="A275" i="28" s="1"/>
  <c r="A268" i="28"/>
  <c r="A261" i="28"/>
  <c r="A262" i="28" s="1"/>
  <c r="A263" i="28" s="1"/>
  <c r="A264" i="28" s="1"/>
  <c r="A265" i="28" s="1"/>
  <c r="A266" i="28" s="1"/>
  <c r="A254" i="28"/>
  <c r="A255" i="28" s="1"/>
  <c r="A256" i="28" s="1"/>
  <c r="A257" i="28" s="1"/>
  <c r="A258" i="28" s="1"/>
  <c r="A259" i="28" s="1"/>
  <c r="A247" i="28"/>
  <c r="A248" i="28" s="1"/>
  <c r="A249" i="28" s="1"/>
  <c r="A250" i="28" s="1"/>
  <c r="A251" i="28" s="1"/>
  <c r="A252" i="28" s="1"/>
  <c r="A240" i="28"/>
  <c r="A241" i="28" s="1"/>
  <c r="A242" i="28" s="1"/>
  <c r="A243" i="28" s="1"/>
  <c r="A244" i="28" s="1"/>
  <c r="A245" i="28" s="1"/>
  <c r="A233" i="28"/>
  <c r="A234" i="28" s="1"/>
  <c r="A235" i="28" s="1"/>
  <c r="A236" i="28" s="1"/>
  <c r="A237" i="28" s="1"/>
  <c r="A238" i="28" s="1"/>
  <c r="A231" i="28"/>
  <c r="A230" i="28"/>
  <c r="A221" i="28"/>
  <c r="A212" i="28"/>
  <c r="A211" i="28"/>
  <c r="A210" i="28"/>
  <c r="A203" i="28"/>
  <c r="A204" i="28" s="1"/>
  <c r="A205" i="28" s="1"/>
  <c r="A206" i="28" s="1"/>
  <c r="A207" i="28" s="1"/>
  <c r="A208" i="28" s="1"/>
  <c r="A196" i="28"/>
  <c r="A197" i="28" s="1"/>
  <c r="A198" i="28" s="1"/>
  <c r="A199" i="28" s="1"/>
  <c r="A200" i="28" s="1"/>
  <c r="A201" i="28" s="1"/>
  <c r="A189" i="28"/>
  <c r="A190" i="28" s="1"/>
  <c r="A191" i="28" s="1"/>
  <c r="A192" i="28" s="1"/>
  <c r="A193" i="28" s="1"/>
  <c r="A194" i="28" s="1"/>
  <c r="A182" i="28"/>
  <c r="A183" i="28" s="1"/>
  <c r="A184" i="28" s="1"/>
  <c r="A185" i="28" s="1"/>
  <c r="A186" i="28" s="1"/>
  <c r="A187" i="28" s="1"/>
  <c r="A175" i="28"/>
  <c r="A176" i="28" s="1"/>
  <c r="A177" i="28" s="1"/>
  <c r="A178" i="28" s="1"/>
  <c r="A179" i="28" s="1"/>
  <c r="A180" i="28" s="1"/>
  <c r="A173" i="28"/>
  <c r="A166" i="28"/>
  <c r="A167" i="28" s="1"/>
  <c r="A168" i="28" s="1"/>
  <c r="A169" i="28" s="1"/>
  <c r="A170" i="28" s="1"/>
  <c r="A171" i="28" s="1"/>
  <c r="A159" i="28"/>
  <c r="A160" i="28" s="1"/>
  <c r="A161" i="28" s="1"/>
  <c r="A162" i="28" s="1"/>
  <c r="A163" i="28" s="1"/>
  <c r="A164" i="28" s="1"/>
  <c r="A152" i="28"/>
  <c r="A153" i="28" s="1"/>
  <c r="A154" i="28" s="1"/>
  <c r="A155" i="28" s="1"/>
  <c r="A156" i="28" s="1"/>
  <c r="A157" i="28" s="1"/>
  <c r="A145" i="28"/>
  <c r="A146" i="28" s="1"/>
  <c r="A147" i="28" s="1"/>
  <c r="A148" i="28" s="1"/>
  <c r="A149" i="28" s="1"/>
  <c r="A150" i="28" s="1"/>
  <c r="A138" i="28"/>
  <c r="A139" i="28" s="1"/>
  <c r="A140" i="28" s="1"/>
  <c r="A141" i="28" s="1"/>
  <c r="A142" i="28" s="1"/>
  <c r="A143" i="28" s="1"/>
  <c r="A136" i="28"/>
  <c r="A135" i="28"/>
  <c r="A126" i="28"/>
  <c r="A117" i="28"/>
  <c r="A116" i="28"/>
  <c r="A115" i="28"/>
  <c r="K108" i="28"/>
  <c r="E307" i="28" s="1"/>
  <c r="E308" i="28" s="1"/>
  <c r="E309" i="28" s="1"/>
  <c r="E310" i="28" s="1"/>
  <c r="E311" i="28" s="1"/>
  <c r="E312" i="28" s="1"/>
  <c r="J108" i="28"/>
  <c r="D307" i="28" s="1"/>
  <c r="D308" i="28" s="1"/>
  <c r="D309" i="28" s="1"/>
  <c r="D310" i="28" s="1"/>
  <c r="D311" i="28" s="1"/>
  <c r="D312" i="28" s="1"/>
  <c r="K106" i="28"/>
  <c r="E298" i="28" s="1"/>
  <c r="E299" i="28" s="1"/>
  <c r="E300" i="28" s="1"/>
  <c r="E301" i="28" s="1"/>
  <c r="E302" i="28" s="1"/>
  <c r="E303" i="28" s="1"/>
  <c r="K105" i="28"/>
  <c r="E291" i="28" s="1"/>
  <c r="E292" i="28" s="1"/>
  <c r="E293" i="28" s="1"/>
  <c r="E294" i="28" s="1"/>
  <c r="E295" i="28" s="1"/>
  <c r="E296" i="28" s="1"/>
  <c r="J105" i="28"/>
  <c r="D291" i="28" s="1"/>
  <c r="D292" i="28" s="1"/>
  <c r="D293" i="28" s="1"/>
  <c r="D294" i="28" s="1"/>
  <c r="D295" i="28" s="1"/>
  <c r="D296" i="28" s="1"/>
  <c r="K104" i="28"/>
  <c r="E284" i="28" s="1"/>
  <c r="E285" i="28" s="1"/>
  <c r="E286" i="28" s="1"/>
  <c r="E287" i="28" s="1"/>
  <c r="E288" i="28" s="1"/>
  <c r="E289" i="28" s="1"/>
  <c r="J104" i="28"/>
  <c r="D284" i="28" s="1"/>
  <c r="D285" i="28" s="1"/>
  <c r="D286" i="28" s="1"/>
  <c r="D287" i="28" s="1"/>
  <c r="D288" i="28" s="1"/>
  <c r="D289" i="28" s="1"/>
  <c r="K103" i="28"/>
  <c r="E277" i="28" s="1"/>
  <c r="E278" i="28" s="1"/>
  <c r="E279" i="28" s="1"/>
  <c r="E280" i="28" s="1"/>
  <c r="E281" i="28" s="1"/>
  <c r="E282" i="28" s="1"/>
  <c r="J103" i="28"/>
  <c r="D277" i="28" s="1"/>
  <c r="D278" i="28" s="1"/>
  <c r="D279" i="28" s="1"/>
  <c r="D280" i="28" s="1"/>
  <c r="D281" i="28" s="1"/>
  <c r="D282" i="28" s="1"/>
  <c r="K102" i="28"/>
  <c r="E270" i="28" s="1"/>
  <c r="E271" i="28" s="1"/>
  <c r="E272" i="28" s="1"/>
  <c r="E273" i="28" s="1"/>
  <c r="E274" i="28" s="1"/>
  <c r="E275" i="28" s="1"/>
  <c r="J102" i="28"/>
  <c r="D270" i="28" s="1"/>
  <c r="K100" i="28"/>
  <c r="E261" i="28" s="1"/>
  <c r="K99" i="28"/>
  <c r="E254" i="28" s="1"/>
  <c r="E255" i="28" s="1"/>
  <c r="E256" i="28" s="1"/>
  <c r="E257" i="28" s="1"/>
  <c r="E258" i="28" s="1"/>
  <c r="E259" i="28" s="1"/>
  <c r="J99" i="28"/>
  <c r="D254" i="28" s="1"/>
  <c r="K98" i="28"/>
  <c r="E247" i="28" s="1"/>
  <c r="E248" i="28" s="1"/>
  <c r="E249" i="28" s="1"/>
  <c r="E250" i="28" s="1"/>
  <c r="E251" i="28" s="1"/>
  <c r="E252" i="28" s="1"/>
  <c r="J98" i="28"/>
  <c r="D247" i="28" s="1"/>
  <c r="D248" i="28" s="1"/>
  <c r="D249" i="28" s="1"/>
  <c r="D250" i="28" s="1"/>
  <c r="D251" i="28" s="1"/>
  <c r="D252" i="28" s="1"/>
  <c r="K97" i="28"/>
  <c r="E240" i="28" s="1"/>
  <c r="E241" i="28" s="1"/>
  <c r="E242" i="28" s="1"/>
  <c r="E243" i="28" s="1"/>
  <c r="E244" i="28" s="1"/>
  <c r="E245" i="28" s="1"/>
  <c r="J97" i="28"/>
  <c r="D240" i="28" s="1"/>
  <c r="D241" i="28" s="1"/>
  <c r="D242" i="28" s="1"/>
  <c r="D243" i="28" s="1"/>
  <c r="D244" i="28" s="1"/>
  <c r="D245" i="28" s="1"/>
  <c r="K96" i="28"/>
  <c r="E233" i="28" s="1"/>
  <c r="E234" i="28" s="1"/>
  <c r="E235" i="28" s="1"/>
  <c r="E236" i="28" s="1"/>
  <c r="E237" i="28" s="1"/>
  <c r="E238" i="28" s="1"/>
  <c r="J96" i="28"/>
  <c r="D233" i="28" s="1"/>
  <c r="D234" i="28" s="1"/>
  <c r="D235" i="28" s="1"/>
  <c r="D236" i="28" s="1"/>
  <c r="D237" i="28" s="1"/>
  <c r="D238" i="28" s="1"/>
  <c r="K93" i="28"/>
  <c r="E223" i="28" s="1"/>
  <c r="E224" i="28" s="1"/>
  <c r="E225" i="28" s="1"/>
  <c r="E226" i="28" s="1"/>
  <c r="E227" i="28" s="1"/>
  <c r="E228" i="28" s="1"/>
  <c r="J93" i="28"/>
  <c r="D223" i="28" s="1"/>
  <c r="D224" i="28" s="1"/>
  <c r="D225" i="28" s="1"/>
  <c r="D226" i="28" s="1"/>
  <c r="D227" i="28" s="1"/>
  <c r="D228" i="28" s="1"/>
  <c r="K92" i="28"/>
  <c r="E214" i="28" s="1"/>
  <c r="E215" i="28" s="1"/>
  <c r="E216" i="28" s="1"/>
  <c r="E217" i="28" s="1"/>
  <c r="E218" i="28" s="1"/>
  <c r="E219" i="28" s="1"/>
  <c r="J92" i="28"/>
  <c r="D214" i="28" s="1"/>
  <c r="D215" i="28" s="1"/>
  <c r="D216" i="28" s="1"/>
  <c r="D217" i="28" s="1"/>
  <c r="D218" i="28" s="1"/>
  <c r="D219" i="28" s="1"/>
  <c r="K89" i="28"/>
  <c r="E203" i="28" s="1"/>
  <c r="E204" i="28" s="1"/>
  <c r="E205" i="28" s="1"/>
  <c r="E206" i="28" s="1"/>
  <c r="E207" i="28" s="1"/>
  <c r="E208" i="28" s="1"/>
  <c r="K88" i="28"/>
  <c r="E196" i="28" s="1"/>
  <c r="E197" i="28" s="1"/>
  <c r="E198" i="28" s="1"/>
  <c r="E199" i="28" s="1"/>
  <c r="E200" i="28" s="1"/>
  <c r="E201" i="28" s="1"/>
  <c r="J88" i="28"/>
  <c r="D196" i="28" s="1"/>
  <c r="K87" i="28"/>
  <c r="E189" i="28" s="1"/>
  <c r="E190" i="28" s="1"/>
  <c r="E191" i="28" s="1"/>
  <c r="E192" i="28" s="1"/>
  <c r="E193" i="28" s="1"/>
  <c r="E194" i="28" s="1"/>
  <c r="J87" i="28"/>
  <c r="D189" i="28" s="1"/>
  <c r="K86" i="28"/>
  <c r="E182" i="28" s="1"/>
  <c r="E183" i="28" s="1"/>
  <c r="E184" i="28" s="1"/>
  <c r="E185" i="28" s="1"/>
  <c r="E186" i="28" s="1"/>
  <c r="E187" i="28" s="1"/>
  <c r="J86" i="28"/>
  <c r="D182" i="28" s="1"/>
  <c r="D183" i="28" s="1"/>
  <c r="D184" i="28" s="1"/>
  <c r="D185" i="28" s="1"/>
  <c r="D186" i="28" s="1"/>
  <c r="D187" i="28" s="1"/>
  <c r="K85" i="28"/>
  <c r="E175" i="28" s="1"/>
  <c r="E176" i="28" s="1"/>
  <c r="E177" i="28" s="1"/>
  <c r="E178" i="28" s="1"/>
  <c r="E179" i="28" s="1"/>
  <c r="E180" i="28" s="1"/>
  <c r="J85" i="28"/>
  <c r="D175" i="28" s="1"/>
  <c r="K83" i="28"/>
  <c r="E166" i="28" s="1"/>
  <c r="K82" i="28"/>
  <c r="E159" i="28" s="1"/>
  <c r="E160" i="28" s="1"/>
  <c r="E161" i="28" s="1"/>
  <c r="E162" i="28" s="1"/>
  <c r="E163" i="28" s="1"/>
  <c r="E164" i="28" s="1"/>
  <c r="J82" i="28"/>
  <c r="D159" i="28" s="1"/>
  <c r="D160" i="28" s="1"/>
  <c r="D161" i="28" s="1"/>
  <c r="D162" i="28" s="1"/>
  <c r="D163" i="28" s="1"/>
  <c r="D164" i="28" s="1"/>
  <c r="K81" i="28"/>
  <c r="E152" i="28" s="1"/>
  <c r="E153" i="28" s="1"/>
  <c r="E154" i="28" s="1"/>
  <c r="E155" i="28" s="1"/>
  <c r="E156" i="28" s="1"/>
  <c r="E157" i="28" s="1"/>
  <c r="J81" i="28"/>
  <c r="D152" i="28" s="1"/>
  <c r="D153" i="28" s="1"/>
  <c r="D154" i="28" s="1"/>
  <c r="D155" i="28" s="1"/>
  <c r="D156" i="28" s="1"/>
  <c r="D157" i="28" s="1"/>
  <c r="K80" i="28"/>
  <c r="E145" i="28" s="1"/>
  <c r="E146" i="28" s="1"/>
  <c r="E147" i="28" s="1"/>
  <c r="E148" i="28" s="1"/>
  <c r="E149" i="28" s="1"/>
  <c r="E150" i="28" s="1"/>
  <c r="J80" i="28"/>
  <c r="D145" i="28" s="1"/>
  <c r="D146" i="28" s="1"/>
  <c r="D147" i="28" s="1"/>
  <c r="D148" i="28" s="1"/>
  <c r="D149" i="28" s="1"/>
  <c r="D150" i="28" s="1"/>
  <c r="K79" i="28"/>
  <c r="E138" i="28" s="1"/>
  <c r="E139" i="28" s="1"/>
  <c r="E140" i="28" s="1"/>
  <c r="E141" i="28" s="1"/>
  <c r="E142" i="28" s="1"/>
  <c r="E143" i="28" s="1"/>
  <c r="J79" i="28"/>
  <c r="D138" i="28" s="1"/>
  <c r="D139" i="28" s="1"/>
  <c r="D140" i="28" s="1"/>
  <c r="D141" i="28" s="1"/>
  <c r="K76" i="28"/>
  <c r="E128" i="28" s="1"/>
  <c r="E129" i="28" s="1"/>
  <c r="E130" i="28" s="1"/>
  <c r="E131" i="28" s="1"/>
  <c r="E132" i="28" s="1"/>
  <c r="E133" i="28" s="1"/>
  <c r="J76" i="28"/>
  <c r="D128" i="28" s="1"/>
  <c r="D129" i="28" s="1"/>
  <c r="D130" i="28" s="1"/>
  <c r="D131" i="28" s="1"/>
  <c r="D132" i="28" s="1"/>
  <c r="D133" i="28" s="1"/>
  <c r="K75" i="28"/>
  <c r="E119" i="28" s="1"/>
  <c r="E120" i="28" s="1"/>
  <c r="E121" i="28" s="1"/>
  <c r="E122" i="28" s="1"/>
  <c r="E123" i="28" s="1"/>
  <c r="E124" i="28" s="1"/>
  <c r="J75" i="28"/>
  <c r="D119" i="28" s="1"/>
  <c r="D120" i="28" s="1"/>
  <c r="D121" i="28" s="1"/>
  <c r="D122" i="28" s="1"/>
  <c r="D123" i="28" s="1"/>
  <c r="D124" i="28" s="1"/>
  <c r="G50" i="28"/>
  <c r="F50" i="28"/>
  <c r="A307" i="30"/>
  <c r="A298" i="30"/>
  <c r="A299" i="30" s="1"/>
  <c r="A300" i="30" s="1"/>
  <c r="A301" i="30" s="1"/>
  <c r="A302" i="30" s="1"/>
  <c r="A303" i="30" s="1"/>
  <c r="A291" i="30"/>
  <c r="A292" i="30" s="1"/>
  <c r="A293" i="30" s="1"/>
  <c r="A294" i="30" s="1"/>
  <c r="A295" i="30" s="1"/>
  <c r="A296" i="30" s="1"/>
  <c r="A284" i="30"/>
  <c r="A285" i="30" s="1"/>
  <c r="A286" i="30" s="1"/>
  <c r="A287" i="30" s="1"/>
  <c r="A288" i="30" s="1"/>
  <c r="A289" i="30" s="1"/>
  <c r="A277" i="30"/>
  <c r="A278" i="30" s="1"/>
  <c r="A279" i="30" s="1"/>
  <c r="A280" i="30" s="1"/>
  <c r="A281" i="30" s="1"/>
  <c r="A282" i="30" s="1"/>
  <c r="A270" i="30"/>
  <c r="A271" i="30" s="1"/>
  <c r="A272" i="30" s="1"/>
  <c r="A273" i="30" s="1"/>
  <c r="A274" i="30" s="1"/>
  <c r="A275" i="30" s="1"/>
  <c r="A268" i="30"/>
  <c r="A261" i="30"/>
  <c r="A262" i="30" s="1"/>
  <c r="A263" i="30" s="1"/>
  <c r="A264" i="30" s="1"/>
  <c r="A265" i="30" s="1"/>
  <c r="A266" i="30" s="1"/>
  <c r="A254" i="30"/>
  <c r="A255" i="30" s="1"/>
  <c r="A256" i="30" s="1"/>
  <c r="A257" i="30" s="1"/>
  <c r="A258" i="30" s="1"/>
  <c r="A259" i="30" s="1"/>
  <c r="A247" i="30"/>
  <c r="A248" i="30" s="1"/>
  <c r="A249" i="30" s="1"/>
  <c r="A250" i="30" s="1"/>
  <c r="A251" i="30" s="1"/>
  <c r="A252" i="30" s="1"/>
  <c r="A240" i="30"/>
  <c r="A241" i="30" s="1"/>
  <c r="A242" i="30" s="1"/>
  <c r="A243" i="30" s="1"/>
  <c r="A244" i="30" s="1"/>
  <c r="A245" i="30" s="1"/>
  <c r="A233" i="30"/>
  <c r="A234" i="30" s="1"/>
  <c r="A235" i="30" s="1"/>
  <c r="A236" i="30" s="1"/>
  <c r="A237" i="30" s="1"/>
  <c r="A238" i="30" s="1"/>
  <c r="A231" i="30"/>
  <c r="A230" i="30"/>
  <c r="A221" i="30"/>
  <c r="A212" i="30"/>
  <c r="A211" i="30"/>
  <c r="A210" i="30"/>
  <c r="A203" i="30"/>
  <c r="A204" i="30" s="1"/>
  <c r="A205" i="30" s="1"/>
  <c r="A206" i="30" s="1"/>
  <c r="A207" i="30" s="1"/>
  <c r="A208" i="30" s="1"/>
  <c r="A196" i="30"/>
  <c r="A197" i="30" s="1"/>
  <c r="A198" i="30" s="1"/>
  <c r="A199" i="30" s="1"/>
  <c r="A200" i="30" s="1"/>
  <c r="A201" i="30" s="1"/>
  <c r="A189" i="30"/>
  <c r="A190" i="30" s="1"/>
  <c r="A191" i="30" s="1"/>
  <c r="A192" i="30" s="1"/>
  <c r="A193" i="30" s="1"/>
  <c r="A194" i="30" s="1"/>
  <c r="A182" i="30"/>
  <c r="A183" i="30" s="1"/>
  <c r="A184" i="30" s="1"/>
  <c r="A185" i="30" s="1"/>
  <c r="A186" i="30" s="1"/>
  <c r="A187" i="30" s="1"/>
  <c r="A175" i="30"/>
  <c r="A176" i="30" s="1"/>
  <c r="A177" i="30" s="1"/>
  <c r="A178" i="30" s="1"/>
  <c r="A179" i="30" s="1"/>
  <c r="A180" i="30" s="1"/>
  <c r="A173" i="30"/>
  <c r="A166" i="30"/>
  <c r="A167" i="30" s="1"/>
  <c r="A168" i="30" s="1"/>
  <c r="A169" i="30" s="1"/>
  <c r="A170" i="30" s="1"/>
  <c r="A171" i="30" s="1"/>
  <c r="A159" i="30"/>
  <c r="A160" i="30" s="1"/>
  <c r="A161" i="30" s="1"/>
  <c r="A162" i="30" s="1"/>
  <c r="A163" i="30" s="1"/>
  <c r="A164" i="30" s="1"/>
  <c r="A152" i="30"/>
  <c r="A153" i="30" s="1"/>
  <c r="A154" i="30" s="1"/>
  <c r="A155" i="30" s="1"/>
  <c r="A156" i="30" s="1"/>
  <c r="A157" i="30" s="1"/>
  <c r="A145" i="30"/>
  <c r="A146" i="30" s="1"/>
  <c r="A147" i="30" s="1"/>
  <c r="A148" i="30" s="1"/>
  <c r="A149" i="30" s="1"/>
  <c r="A150" i="30" s="1"/>
  <c r="A138" i="30"/>
  <c r="A139" i="30" s="1"/>
  <c r="A140" i="30" s="1"/>
  <c r="A141" i="30" s="1"/>
  <c r="A142" i="30" s="1"/>
  <c r="A143" i="30" s="1"/>
  <c r="A136" i="30"/>
  <c r="A135" i="30"/>
  <c r="A126" i="30"/>
  <c r="A117" i="30"/>
  <c r="A116" i="30"/>
  <c r="A115" i="30"/>
  <c r="K108" i="30"/>
  <c r="E307" i="30" s="1"/>
  <c r="E308" i="30" s="1"/>
  <c r="E309" i="30" s="1"/>
  <c r="E310" i="30" s="1"/>
  <c r="E311" i="30" s="1"/>
  <c r="E312" i="30" s="1"/>
  <c r="J108" i="30"/>
  <c r="D307" i="30" s="1"/>
  <c r="D308" i="30" s="1"/>
  <c r="D309" i="30" s="1"/>
  <c r="D310" i="30" s="1"/>
  <c r="D311" i="30" s="1"/>
  <c r="D312" i="30" s="1"/>
  <c r="K106" i="30"/>
  <c r="E298" i="30" s="1"/>
  <c r="E299" i="30" s="1"/>
  <c r="E300" i="30" s="1"/>
  <c r="E301" i="30" s="1"/>
  <c r="E302" i="30" s="1"/>
  <c r="E303" i="30" s="1"/>
  <c r="K105" i="30"/>
  <c r="E291" i="30" s="1"/>
  <c r="J105" i="30"/>
  <c r="D291" i="30" s="1"/>
  <c r="D292" i="30" s="1"/>
  <c r="D293" i="30" s="1"/>
  <c r="D294" i="30" s="1"/>
  <c r="D295" i="30" s="1"/>
  <c r="D296" i="30" s="1"/>
  <c r="K104" i="30"/>
  <c r="E284" i="30" s="1"/>
  <c r="E285" i="30" s="1"/>
  <c r="E286" i="30" s="1"/>
  <c r="E287" i="30" s="1"/>
  <c r="E288" i="30" s="1"/>
  <c r="E289" i="30" s="1"/>
  <c r="J104" i="30"/>
  <c r="D284" i="30" s="1"/>
  <c r="D285" i="30" s="1"/>
  <c r="D286" i="30" s="1"/>
  <c r="D287" i="30" s="1"/>
  <c r="D288" i="30" s="1"/>
  <c r="D289" i="30" s="1"/>
  <c r="K103" i="30"/>
  <c r="E277" i="30" s="1"/>
  <c r="E278" i="30" s="1"/>
  <c r="E279" i="30" s="1"/>
  <c r="E280" i="30" s="1"/>
  <c r="E281" i="30" s="1"/>
  <c r="E282" i="30" s="1"/>
  <c r="J103" i="30"/>
  <c r="D277" i="30" s="1"/>
  <c r="K102" i="30"/>
  <c r="E270" i="30" s="1"/>
  <c r="E271" i="30" s="1"/>
  <c r="J102" i="30"/>
  <c r="D270" i="30" s="1"/>
  <c r="D271" i="30" s="1"/>
  <c r="D272" i="30" s="1"/>
  <c r="D273" i="30" s="1"/>
  <c r="D274" i="30" s="1"/>
  <c r="D275" i="30" s="1"/>
  <c r="K100" i="30"/>
  <c r="E261" i="30" s="1"/>
  <c r="E262" i="30" s="1"/>
  <c r="E263" i="30" s="1"/>
  <c r="E264" i="30" s="1"/>
  <c r="E265" i="30" s="1"/>
  <c r="E266" i="30" s="1"/>
  <c r="K99" i="30"/>
  <c r="E254" i="30" s="1"/>
  <c r="E255" i="30" s="1"/>
  <c r="E256" i="30" s="1"/>
  <c r="E257" i="30" s="1"/>
  <c r="E258" i="30" s="1"/>
  <c r="E259" i="30" s="1"/>
  <c r="J99" i="30"/>
  <c r="D254" i="30" s="1"/>
  <c r="K98" i="30"/>
  <c r="E247" i="30" s="1"/>
  <c r="E248" i="30" s="1"/>
  <c r="E249" i="30" s="1"/>
  <c r="E250" i="30" s="1"/>
  <c r="E251" i="30" s="1"/>
  <c r="E252" i="30" s="1"/>
  <c r="J98" i="30"/>
  <c r="D247" i="30" s="1"/>
  <c r="D248" i="30" s="1"/>
  <c r="D249" i="30" s="1"/>
  <c r="D250" i="30" s="1"/>
  <c r="D251" i="30" s="1"/>
  <c r="D252" i="30" s="1"/>
  <c r="K97" i="30"/>
  <c r="E240" i="30" s="1"/>
  <c r="E241" i="30" s="1"/>
  <c r="E242" i="30" s="1"/>
  <c r="E243" i="30" s="1"/>
  <c r="E244" i="30" s="1"/>
  <c r="E245" i="30" s="1"/>
  <c r="J97" i="30"/>
  <c r="D240" i="30" s="1"/>
  <c r="D241" i="30" s="1"/>
  <c r="D242" i="30" s="1"/>
  <c r="D243" i="30" s="1"/>
  <c r="D244" i="30" s="1"/>
  <c r="K96" i="30"/>
  <c r="E233" i="30" s="1"/>
  <c r="E234" i="30" s="1"/>
  <c r="E235" i="30" s="1"/>
  <c r="E236" i="30" s="1"/>
  <c r="E237" i="30" s="1"/>
  <c r="E238" i="30" s="1"/>
  <c r="J96" i="30"/>
  <c r="D233" i="30" s="1"/>
  <c r="D234" i="30" s="1"/>
  <c r="D235" i="30" s="1"/>
  <c r="D236" i="30" s="1"/>
  <c r="D237" i="30" s="1"/>
  <c r="D238" i="30" s="1"/>
  <c r="K93" i="30"/>
  <c r="E223" i="30" s="1"/>
  <c r="E224" i="30" s="1"/>
  <c r="E225" i="30" s="1"/>
  <c r="E226" i="30" s="1"/>
  <c r="E227" i="30" s="1"/>
  <c r="E228" i="30" s="1"/>
  <c r="J93" i="30"/>
  <c r="D223" i="30" s="1"/>
  <c r="D224" i="30" s="1"/>
  <c r="D225" i="30" s="1"/>
  <c r="D226" i="30" s="1"/>
  <c r="D227" i="30" s="1"/>
  <c r="D228" i="30" s="1"/>
  <c r="K92" i="30"/>
  <c r="E214" i="30" s="1"/>
  <c r="E215" i="30" s="1"/>
  <c r="E216" i="30" s="1"/>
  <c r="E217" i="30" s="1"/>
  <c r="E218" i="30" s="1"/>
  <c r="E219" i="30" s="1"/>
  <c r="J92" i="30"/>
  <c r="D214" i="30" s="1"/>
  <c r="D215" i="30" s="1"/>
  <c r="D216" i="30" s="1"/>
  <c r="D217" i="30" s="1"/>
  <c r="D218" i="30" s="1"/>
  <c r="D219" i="30" s="1"/>
  <c r="K89" i="30"/>
  <c r="E203" i="30" s="1"/>
  <c r="E204" i="30" s="1"/>
  <c r="E205" i="30" s="1"/>
  <c r="E206" i="30" s="1"/>
  <c r="E207" i="30" s="1"/>
  <c r="E208" i="30" s="1"/>
  <c r="K88" i="30"/>
  <c r="E196" i="30" s="1"/>
  <c r="E197" i="30" s="1"/>
  <c r="E198" i="30" s="1"/>
  <c r="E199" i="30" s="1"/>
  <c r="E200" i="30" s="1"/>
  <c r="E201" i="30" s="1"/>
  <c r="J88" i="30"/>
  <c r="D196" i="30" s="1"/>
  <c r="D197" i="30" s="1"/>
  <c r="D198" i="30" s="1"/>
  <c r="D199" i="30" s="1"/>
  <c r="D200" i="30" s="1"/>
  <c r="D201" i="30" s="1"/>
  <c r="K87" i="30"/>
  <c r="E189" i="30" s="1"/>
  <c r="E190" i="30" s="1"/>
  <c r="E191" i="30" s="1"/>
  <c r="E192" i="30" s="1"/>
  <c r="E193" i="30" s="1"/>
  <c r="E194" i="30" s="1"/>
  <c r="J87" i="30"/>
  <c r="D189" i="30" s="1"/>
  <c r="D190" i="30" s="1"/>
  <c r="K86" i="30"/>
  <c r="E182" i="30" s="1"/>
  <c r="E183" i="30" s="1"/>
  <c r="E184" i="30" s="1"/>
  <c r="E185" i="30" s="1"/>
  <c r="E186" i="30" s="1"/>
  <c r="E187" i="30" s="1"/>
  <c r="J86" i="30"/>
  <c r="D182" i="30" s="1"/>
  <c r="D183" i="30" s="1"/>
  <c r="K85" i="30"/>
  <c r="E175" i="30" s="1"/>
  <c r="E176" i="30" s="1"/>
  <c r="E177" i="30" s="1"/>
  <c r="E178" i="30" s="1"/>
  <c r="E179" i="30" s="1"/>
  <c r="E180" i="30" s="1"/>
  <c r="J85" i="30"/>
  <c r="D175" i="30" s="1"/>
  <c r="D176" i="30" s="1"/>
  <c r="D177" i="30" s="1"/>
  <c r="D178" i="30" s="1"/>
  <c r="D179" i="30" s="1"/>
  <c r="D180" i="30" s="1"/>
  <c r="K83" i="30"/>
  <c r="E166" i="30" s="1"/>
  <c r="E167" i="30" s="1"/>
  <c r="E168" i="30" s="1"/>
  <c r="E169" i="30" s="1"/>
  <c r="E170" i="30" s="1"/>
  <c r="E171" i="30" s="1"/>
  <c r="K82" i="30"/>
  <c r="E159" i="30" s="1"/>
  <c r="E160" i="30" s="1"/>
  <c r="E161" i="30" s="1"/>
  <c r="E162" i="30" s="1"/>
  <c r="E163" i="30" s="1"/>
  <c r="E164" i="30" s="1"/>
  <c r="J82" i="30"/>
  <c r="D159" i="30" s="1"/>
  <c r="K81" i="30"/>
  <c r="E152" i="30" s="1"/>
  <c r="E153" i="30" s="1"/>
  <c r="E154" i="30" s="1"/>
  <c r="E155" i="30" s="1"/>
  <c r="E156" i="30" s="1"/>
  <c r="E157" i="30" s="1"/>
  <c r="J81" i="30"/>
  <c r="D152" i="30" s="1"/>
  <c r="D153" i="30" s="1"/>
  <c r="D154" i="30" s="1"/>
  <c r="D155" i="30" s="1"/>
  <c r="D156" i="30" s="1"/>
  <c r="D157" i="30" s="1"/>
  <c r="K80" i="30"/>
  <c r="E145" i="30" s="1"/>
  <c r="E146" i="30" s="1"/>
  <c r="E147" i="30" s="1"/>
  <c r="E148" i="30" s="1"/>
  <c r="E149" i="30" s="1"/>
  <c r="E150" i="30" s="1"/>
  <c r="J80" i="30"/>
  <c r="D145" i="30" s="1"/>
  <c r="D146" i="30" s="1"/>
  <c r="D147" i="30" s="1"/>
  <c r="D148" i="30" s="1"/>
  <c r="D149" i="30" s="1"/>
  <c r="D150" i="30" s="1"/>
  <c r="K79" i="30"/>
  <c r="E138" i="30" s="1"/>
  <c r="E139" i="30" s="1"/>
  <c r="E140" i="30" s="1"/>
  <c r="E141" i="30" s="1"/>
  <c r="E142" i="30" s="1"/>
  <c r="E143" i="30" s="1"/>
  <c r="J79" i="30"/>
  <c r="D138" i="30" s="1"/>
  <c r="D139" i="30" s="1"/>
  <c r="D140" i="30" s="1"/>
  <c r="K76" i="30"/>
  <c r="E128" i="30" s="1"/>
  <c r="E129" i="30" s="1"/>
  <c r="E130" i="30" s="1"/>
  <c r="E131" i="30" s="1"/>
  <c r="E132" i="30" s="1"/>
  <c r="E133" i="30" s="1"/>
  <c r="J76" i="30"/>
  <c r="D128" i="30" s="1"/>
  <c r="D129" i="30" s="1"/>
  <c r="D130" i="30" s="1"/>
  <c r="D131" i="30" s="1"/>
  <c r="D132" i="30" s="1"/>
  <c r="D133" i="30" s="1"/>
  <c r="K75" i="30"/>
  <c r="E119" i="30" s="1"/>
  <c r="E120" i="30" s="1"/>
  <c r="E121" i="30" s="1"/>
  <c r="E122" i="30" s="1"/>
  <c r="E123" i="30" s="1"/>
  <c r="E124" i="30" s="1"/>
  <c r="J75" i="30"/>
  <c r="D119" i="30" s="1"/>
  <c r="D120" i="30" s="1"/>
  <c r="D121" i="30" s="1"/>
  <c r="D122" i="30" s="1"/>
  <c r="D123" i="30" s="1"/>
  <c r="D124" i="30" s="1"/>
  <c r="C53" i="30"/>
  <c r="F50" i="30"/>
  <c r="A307" i="32"/>
  <c r="A298" i="32"/>
  <c r="A299" i="32" s="1"/>
  <c r="A300" i="32" s="1"/>
  <c r="A301" i="32" s="1"/>
  <c r="A302" i="32" s="1"/>
  <c r="A303" i="32" s="1"/>
  <c r="A291" i="32"/>
  <c r="A292" i="32" s="1"/>
  <c r="A293" i="32" s="1"/>
  <c r="A294" i="32" s="1"/>
  <c r="A295" i="32" s="1"/>
  <c r="A296" i="32" s="1"/>
  <c r="A284" i="32"/>
  <c r="A285" i="32" s="1"/>
  <c r="A286" i="32" s="1"/>
  <c r="A287" i="32" s="1"/>
  <c r="A288" i="32" s="1"/>
  <c r="A289" i="32" s="1"/>
  <c r="A277" i="32"/>
  <c r="A278" i="32" s="1"/>
  <c r="A279" i="32" s="1"/>
  <c r="A280" i="32" s="1"/>
  <c r="A281" i="32" s="1"/>
  <c r="A282" i="32" s="1"/>
  <c r="A270" i="32"/>
  <c r="A271" i="32" s="1"/>
  <c r="A272" i="32" s="1"/>
  <c r="A273" i="32" s="1"/>
  <c r="A274" i="32" s="1"/>
  <c r="A275" i="32" s="1"/>
  <c r="A268" i="32"/>
  <c r="A261" i="32"/>
  <c r="A262" i="32" s="1"/>
  <c r="A263" i="32" s="1"/>
  <c r="A264" i="32" s="1"/>
  <c r="A265" i="32" s="1"/>
  <c r="A266" i="32" s="1"/>
  <c r="A254" i="32"/>
  <c r="A255" i="32" s="1"/>
  <c r="A256" i="32" s="1"/>
  <c r="A257" i="32" s="1"/>
  <c r="A258" i="32" s="1"/>
  <c r="A259" i="32" s="1"/>
  <c r="A247" i="32"/>
  <c r="A248" i="32" s="1"/>
  <c r="A249" i="32" s="1"/>
  <c r="A250" i="32" s="1"/>
  <c r="A251" i="32" s="1"/>
  <c r="A252" i="32" s="1"/>
  <c r="A240" i="32"/>
  <c r="A241" i="32" s="1"/>
  <c r="A242" i="32" s="1"/>
  <c r="A243" i="32" s="1"/>
  <c r="A244" i="32" s="1"/>
  <c r="A245" i="32" s="1"/>
  <c r="A233" i="32"/>
  <c r="A234" i="32" s="1"/>
  <c r="A235" i="32" s="1"/>
  <c r="A236" i="32" s="1"/>
  <c r="A237" i="32" s="1"/>
  <c r="A238" i="32" s="1"/>
  <c r="A231" i="32"/>
  <c r="A230" i="32"/>
  <c r="A221" i="32"/>
  <c r="A212" i="32"/>
  <c r="A211" i="32"/>
  <c r="A210" i="32"/>
  <c r="A203" i="32"/>
  <c r="A204" i="32" s="1"/>
  <c r="A205" i="32" s="1"/>
  <c r="A206" i="32" s="1"/>
  <c r="A207" i="32" s="1"/>
  <c r="A208" i="32" s="1"/>
  <c r="A196" i="32"/>
  <c r="A197" i="32" s="1"/>
  <c r="A198" i="32" s="1"/>
  <c r="A199" i="32" s="1"/>
  <c r="A200" i="32" s="1"/>
  <c r="A201" i="32" s="1"/>
  <c r="A189" i="32"/>
  <c r="A190" i="32" s="1"/>
  <c r="A191" i="32" s="1"/>
  <c r="A192" i="32" s="1"/>
  <c r="A193" i="32" s="1"/>
  <c r="A194" i="32" s="1"/>
  <c r="A182" i="32"/>
  <c r="A183" i="32" s="1"/>
  <c r="A184" i="32" s="1"/>
  <c r="A185" i="32" s="1"/>
  <c r="A186" i="32" s="1"/>
  <c r="A187" i="32" s="1"/>
  <c r="A175" i="32"/>
  <c r="A176" i="32" s="1"/>
  <c r="A177" i="32" s="1"/>
  <c r="A178" i="32" s="1"/>
  <c r="A179" i="32" s="1"/>
  <c r="A180" i="32" s="1"/>
  <c r="A173" i="32"/>
  <c r="A166" i="32"/>
  <c r="A167" i="32" s="1"/>
  <c r="A168" i="32" s="1"/>
  <c r="A169" i="32" s="1"/>
  <c r="A170" i="32" s="1"/>
  <c r="A171" i="32" s="1"/>
  <c r="A159" i="32"/>
  <c r="A160" i="32" s="1"/>
  <c r="A161" i="32" s="1"/>
  <c r="A162" i="32" s="1"/>
  <c r="A163" i="32" s="1"/>
  <c r="A164" i="32" s="1"/>
  <c r="A152" i="32"/>
  <c r="A153" i="32" s="1"/>
  <c r="A154" i="32" s="1"/>
  <c r="A155" i="32" s="1"/>
  <c r="A156" i="32" s="1"/>
  <c r="A157" i="32" s="1"/>
  <c r="A145" i="32"/>
  <c r="A146" i="32" s="1"/>
  <c r="A147" i="32" s="1"/>
  <c r="A148" i="32" s="1"/>
  <c r="A149" i="32" s="1"/>
  <c r="A150" i="32" s="1"/>
  <c r="A138" i="32"/>
  <c r="A139" i="32" s="1"/>
  <c r="A140" i="32" s="1"/>
  <c r="A141" i="32" s="1"/>
  <c r="A142" i="32" s="1"/>
  <c r="A143" i="32" s="1"/>
  <c r="A136" i="32"/>
  <c r="A135" i="32"/>
  <c r="A126" i="32"/>
  <c r="A117" i="32"/>
  <c r="A116" i="32"/>
  <c r="A115" i="32"/>
  <c r="K108" i="32"/>
  <c r="E307" i="32" s="1"/>
  <c r="E308" i="32" s="1"/>
  <c r="E309" i="32" s="1"/>
  <c r="E310" i="32" s="1"/>
  <c r="E311" i="32" s="1"/>
  <c r="E312" i="32" s="1"/>
  <c r="J108" i="32"/>
  <c r="D307" i="32" s="1"/>
  <c r="D308" i="32" s="1"/>
  <c r="D309" i="32" s="1"/>
  <c r="D310" i="32" s="1"/>
  <c r="D311" i="32" s="1"/>
  <c r="D312" i="32" s="1"/>
  <c r="K106" i="32"/>
  <c r="E298" i="32" s="1"/>
  <c r="E299" i="32" s="1"/>
  <c r="E300" i="32" s="1"/>
  <c r="E301" i="32" s="1"/>
  <c r="E302" i="32" s="1"/>
  <c r="E303" i="32" s="1"/>
  <c r="K105" i="32"/>
  <c r="E291" i="32" s="1"/>
  <c r="E292" i="32" s="1"/>
  <c r="E293" i="32" s="1"/>
  <c r="E294" i="32" s="1"/>
  <c r="E295" i="32" s="1"/>
  <c r="E296" i="32" s="1"/>
  <c r="J105" i="32"/>
  <c r="D291" i="32" s="1"/>
  <c r="D292" i="32" s="1"/>
  <c r="D293" i="32" s="1"/>
  <c r="D294" i="32" s="1"/>
  <c r="D295" i="32" s="1"/>
  <c r="D296" i="32" s="1"/>
  <c r="K104" i="32"/>
  <c r="E284" i="32" s="1"/>
  <c r="E285" i="32" s="1"/>
  <c r="E286" i="32" s="1"/>
  <c r="E287" i="32" s="1"/>
  <c r="E288" i="32" s="1"/>
  <c r="E289" i="32" s="1"/>
  <c r="J104" i="32"/>
  <c r="D284" i="32" s="1"/>
  <c r="D285" i="32" s="1"/>
  <c r="D286" i="32" s="1"/>
  <c r="D287" i="32" s="1"/>
  <c r="D288" i="32" s="1"/>
  <c r="D289" i="32" s="1"/>
  <c r="K103" i="32"/>
  <c r="E277" i="32" s="1"/>
  <c r="E278" i="32" s="1"/>
  <c r="E279" i="32" s="1"/>
  <c r="E280" i="32" s="1"/>
  <c r="E281" i="32" s="1"/>
  <c r="E282" i="32" s="1"/>
  <c r="J103" i="32"/>
  <c r="D277" i="32" s="1"/>
  <c r="D278" i="32" s="1"/>
  <c r="D279" i="32" s="1"/>
  <c r="D280" i="32" s="1"/>
  <c r="D281" i="32" s="1"/>
  <c r="D282" i="32" s="1"/>
  <c r="K102" i="32"/>
  <c r="E270" i="32" s="1"/>
  <c r="E271" i="32" s="1"/>
  <c r="E272" i="32" s="1"/>
  <c r="E273" i="32" s="1"/>
  <c r="E274" i="32" s="1"/>
  <c r="E275" i="32" s="1"/>
  <c r="J102" i="32"/>
  <c r="D270" i="32" s="1"/>
  <c r="D271" i="32" s="1"/>
  <c r="D272" i="32" s="1"/>
  <c r="D273" i="32" s="1"/>
  <c r="D274" i="32" s="1"/>
  <c r="D275" i="32" s="1"/>
  <c r="K100" i="32"/>
  <c r="E261" i="32" s="1"/>
  <c r="E262" i="32" s="1"/>
  <c r="E263" i="32" s="1"/>
  <c r="E264" i="32" s="1"/>
  <c r="E265" i="32" s="1"/>
  <c r="E266" i="32" s="1"/>
  <c r="K99" i="32"/>
  <c r="E254" i="32" s="1"/>
  <c r="E255" i="32" s="1"/>
  <c r="J99" i="32"/>
  <c r="D254" i="32" s="1"/>
  <c r="D255" i="32" s="1"/>
  <c r="D256" i="32" s="1"/>
  <c r="D257" i="32" s="1"/>
  <c r="D258" i="32" s="1"/>
  <c r="D259" i="32" s="1"/>
  <c r="K98" i="32"/>
  <c r="E247" i="32" s="1"/>
  <c r="E248" i="32" s="1"/>
  <c r="E249" i="32" s="1"/>
  <c r="E250" i="32" s="1"/>
  <c r="E251" i="32" s="1"/>
  <c r="E252" i="32" s="1"/>
  <c r="J98" i="32"/>
  <c r="D247" i="32" s="1"/>
  <c r="K97" i="32"/>
  <c r="E240" i="32" s="1"/>
  <c r="E241" i="32" s="1"/>
  <c r="E242" i="32" s="1"/>
  <c r="E243" i="32" s="1"/>
  <c r="E244" i="32" s="1"/>
  <c r="E245" i="32" s="1"/>
  <c r="J97" i="32"/>
  <c r="D240" i="32" s="1"/>
  <c r="D241" i="32" s="1"/>
  <c r="D242" i="32" s="1"/>
  <c r="D243" i="32" s="1"/>
  <c r="D244" i="32" s="1"/>
  <c r="D245" i="32" s="1"/>
  <c r="K96" i="32"/>
  <c r="E233" i="32" s="1"/>
  <c r="E234" i="32" s="1"/>
  <c r="E235" i="32" s="1"/>
  <c r="E236" i="32" s="1"/>
  <c r="E237" i="32" s="1"/>
  <c r="E238" i="32" s="1"/>
  <c r="J96" i="32"/>
  <c r="D233" i="32" s="1"/>
  <c r="D234" i="32" s="1"/>
  <c r="D235" i="32" s="1"/>
  <c r="D236" i="32" s="1"/>
  <c r="D237" i="32" s="1"/>
  <c r="D238" i="32" s="1"/>
  <c r="K93" i="32"/>
  <c r="E223" i="32" s="1"/>
  <c r="E224" i="32" s="1"/>
  <c r="E225" i="32" s="1"/>
  <c r="E226" i="32" s="1"/>
  <c r="E227" i="32" s="1"/>
  <c r="E228" i="32" s="1"/>
  <c r="J93" i="32"/>
  <c r="D223" i="32" s="1"/>
  <c r="D224" i="32" s="1"/>
  <c r="D225" i="32" s="1"/>
  <c r="D226" i="32" s="1"/>
  <c r="D227" i="32" s="1"/>
  <c r="D228" i="32" s="1"/>
  <c r="K92" i="32"/>
  <c r="E214" i="32" s="1"/>
  <c r="E215" i="32" s="1"/>
  <c r="E216" i="32" s="1"/>
  <c r="E217" i="32" s="1"/>
  <c r="E218" i="32" s="1"/>
  <c r="E219" i="32" s="1"/>
  <c r="J92" i="32"/>
  <c r="D214" i="32" s="1"/>
  <c r="D215" i="32" s="1"/>
  <c r="D216" i="32" s="1"/>
  <c r="D217" i="32" s="1"/>
  <c r="D218" i="32" s="1"/>
  <c r="D219" i="32" s="1"/>
  <c r="K89" i="32"/>
  <c r="E203" i="32" s="1"/>
  <c r="E204" i="32" s="1"/>
  <c r="E205" i="32" s="1"/>
  <c r="E206" i="32" s="1"/>
  <c r="E207" i="32" s="1"/>
  <c r="E208" i="32" s="1"/>
  <c r="K88" i="32"/>
  <c r="E196" i="32" s="1"/>
  <c r="E197" i="32" s="1"/>
  <c r="E198" i="32" s="1"/>
  <c r="E199" i="32" s="1"/>
  <c r="E200" i="32" s="1"/>
  <c r="E201" i="32" s="1"/>
  <c r="J88" i="32"/>
  <c r="D196" i="32" s="1"/>
  <c r="D197" i="32" s="1"/>
  <c r="D198" i="32" s="1"/>
  <c r="D199" i="32" s="1"/>
  <c r="D200" i="32" s="1"/>
  <c r="D201" i="32" s="1"/>
  <c r="K87" i="32"/>
  <c r="E189" i="32" s="1"/>
  <c r="E190" i="32" s="1"/>
  <c r="E191" i="32" s="1"/>
  <c r="E192" i="32" s="1"/>
  <c r="E193" i="32" s="1"/>
  <c r="E194" i="32" s="1"/>
  <c r="J87" i="32"/>
  <c r="D189" i="32" s="1"/>
  <c r="D190" i="32" s="1"/>
  <c r="D191" i="32" s="1"/>
  <c r="D192" i="32" s="1"/>
  <c r="D193" i="32" s="1"/>
  <c r="D194" i="32" s="1"/>
  <c r="K86" i="32"/>
  <c r="E182" i="32" s="1"/>
  <c r="E183" i="32" s="1"/>
  <c r="J86" i="32"/>
  <c r="D182" i="32" s="1"/>
  <c r="D183" i="32" s="1"/>
  <c r="D184" i="32" s="1"/>
  <c r="D185" i="32" s="1"/>
  <c r="D186" i="32" s="1"/>
  <c r="K85" i="32"/>
  <c r="E175" i="32" s="1"/>
  <c r="E176" i="32" s="1"/>
  <c r="E177" i="32" s="1"/>
  <c r="E178" i="32" s="1"/>
  <c r="E179" i="32" s="1"/>
  <c r="E180" i="32" s="1"/>
  <c r="J85" i="32"/>
  <c r="D175" i="32" s="1"/>
  <c r="D176" i="32" s="1"/>
  <c r="D177" i="32" s="1"/>
  <c r="D178" i="32" s="1"/>
  <c r="D179" i="32" s="1"/>
  <c r="D180" i="32" s="1"/>
  <c r="K83" i="32"/>
  <c r="E166" i="32" s="1"/>
  <c r="K82" i="32"/>
  <c r="E159" i="32" s="1"/>
  <c r="E160" i="32" s="1"/>
  <c r="E161" i="32" s="1"/>
  <c r="E162" i="32" s="1"/>
  <c r="E163" i="32" s="1"/>
  <c r="E164" i="32" s="1"/>
  <c r="J82" i="32"/>
  <c r="D159" i="32" s="1"/>
  <c r="D160" i="32" s="1"/>
  <c r="D161" i="32" s="1"/>
  <c r="D162" i="32" s="1"/>
  <c r="D163" i="32" s="1"/>
  <c r="D164" i="32" s="1"/>
  <c r="K81" i="32"/>
  <c r="E152" i="32" s="1"/>
  <c r="E153" i="32" s="1"/>
  <c r="E154" i="32" s="1"/>
  <c r="E155" i="32" s="1"/>
  <c r="E156" i="32" s="1"/>
  <c r="E157" i="32" s="1"/>
  <c r="J81" i="32"/>
  <c r="D152" i="32" s="1"/>
  <c r="D153" i="32" s="1"/>
  <c r="D154" i="32" s="1"/>
  <c r="D155" i="32" s="1"/>
  <c r="D156" i="32" s="1"/>
  <c r="D157" i="32" s="1"/>
  <c r="K80" i="32"/>
  <c r="E145" i="32" s="1"/>
  <c r="E146" i="32" s="1"/>
  <c r="E147" i="32" s="1"/>
  <c r="E148" i="32" s="1"/>
  <c r="E149" i="32" s="1"/>
  <c r="E150" i="32" s="1"/>
  <c r="J80" i="32"/>
  <c r="D145" i="32" s="1"/>
  <c r="D146" i="32" s="1"/>
  <c r="D147" i="32" s="1"/>
  <c r="D148" i="32" s="1"/>
  <c r="K79" i="32"/>
  <c r="E138" i="32" s="1"/>
  <c r="E139" i="32" s="1"/>
  <c r="E140" i="32" s="1"/>
  <c r="E141" i="32" s="1"/>
  <c r="E142" i="32" s="1"/>
  <c r="J79" i="32"/>
  <c r="D138" i="32" s="1"/>
  <c r="D139" i="32" s="1"/>
  <c r="D140" i="32" s="1"/>
  <c r="D141" i="32" s="1"/>
  <c r="D142" i="32" s="1"/>
  <c r="D143" i="32" s="1"/>
  <c r="K76" i="32"/>
  <c r="E128" i="32" s="1"/>
  <c r="E129" i="32" s="1"/>
  <c r="E130" i="32" s="1"/>
  <c r="E131" i="32" s="1"/>
  <c r="E132" i="32" s="1"/>
  <c r="E133" i="32" s="1"/>
  <c r="J76" i="32"/>
  <c r="D128" i="32" s="1"/>
  <c r="D129" i="32" s="1"/>
  <c r="D130" i="32" s="1"/>
  <c r="D131" i="32" s="1"/>
  <c r="D132" i="32" s="1"/>
  <c r="D133" i="32" s="1"/>
  <c r="K75" i="32"/>
  <c r="E119" i="32" s="1"/>
  <c r="E120" i="32" s="1"/>
  <c r="E121" i="32" s="1"/>
  <c r="E122" i="32" s="1"/>
  <c r="E123" i="32" s="1"/>
  <c r="E124" i="32" s="1"/>
  <c r="J75" i="32"/>
  <c r="D119" i="32" s="1"/>
  <c r="D120" i="32" s="1"/>
  <c r="D121" i="32" s="1"/>
  <c r="D122" i="32" s="1"/>
  <c r="D123" i="32" s="1"/>
  <c r="D124" i="32" s="1"/>
  <c r="C53" i="32"/>
  <c r="F50" i="32"/>
  <c r="A307" i="38"/>
  <c r="A298" i="38"/>
  <c r="A299" i="38" s="1"/>
  <c r="A300" i="38" s="1"/>
  <c r="A301" i="38" s="1"/>
  <c r="A302" i="38" s="1"/>
  <c r="A303" i="38" s="1"/>
  <c r="A291" i="38"/>
  <c r="A292" i="38" s="1"/>
  <c r="A293" i="38" s="1"/>
  <c r="A294" i="38" s="1"/>
  <c r="A295" i="38" s="1"/>
  <c r="A296" i="38" s="1"/>
  <c r="A284" i="38"/>
  <c r="A285" i="38" s="1"/>
  <c r="A286" i="38" s="1"/>
  <c r="A287" i="38" s="1"/>
  <c r="A288" i="38" s="1"/>
  <c r="A289" i="38" s="1"/>
  <c r="A277" i="38"/>
  <c r="A278" i="38" s="1"/>
  <c r="A279" i="38" s="1"/>
  <c r="A280" i="38" s="1"/>
  <c r="A281" i="38" s="1"/>
  <c r="A282" i="38" s="1"/>
  <c r="A270" i="38"/>
  <c r="A271" i="38" s="1"/>
  <c r="A272" i="38" s="1"/>
  <c r="A273" i="38" s="1"/>
  <c r="A274" i="38" s="1"/>
  <c r="A275" i="38" s="1"/>
  <c r="A268" i="38"/>
  <c r="A261" i="38"/>
  <c r="A262" i="38" s="1"/>
  <c r="A263" i="38" s="1"/>
  <c r="A264" i="38" s="1"/>
  <c r="A265" i="38" s="1"/>
  <c r="A266" i="38" s="1"/>
  <c r="A254" i="38"/>
  <c r="A255" i="38" s="1"/>
  <c r="A256" i="38" s="1"/>
  <c r="A257" i="38" s="1"/>
  <c r="A258" i="38" s="1"/>
  <c r="A259" i="38" s="1"/>
  <c r="A247" i="38"/>
  <c r="A248" i="38" s="1"/>
  <c r="A249" i="38" s="1"/>
  <c r="A250" i="38" s="1"/>
  <c r="A251" i="38" s="1"/>
  <c r="A252" i="38" s="1"/>
  <c r="A240" i="38"/>
  <c r="A241" i="38" s="1"/>
  <c r="A242" i="38" s="1"/>
  <c r="A243" i="38" s="1"/>
  <c r="A244" i="38" s="1"/>
  <c r="A245" i="38" s="1"/>
  <c r="A233" i="38"/>
  <c r="A234" i="38" s="1"/>
  <c r="A235" i="38" s="1"/>
  <c r="A236" i="38" s="1"/>
  <c r="A237" i="38" s="1"/>
  <c r="A238" i="38" s="1"/>
  <c r="A231" i="38"/>
  <c r="A230" i="38"/>
  <c r="A221" i="38"/>
  <c r="A212" i="38"/>
  <c r="A211" i="38"/>
  <c r="A210" i="38"/>
  <c r="A203" i="38"/>
  <c r="A204" i="38" s="1"/>
  <c r="A205" i="38" s="1"/>
  <c r="A206" i="38" s="1"/>
  <c r="A207" i="38" s="1"/>
  <c r="A208" i="38" s="1"/>
  <c r="A196" i="38"/>
  <c r="A197" i="38" s="1"/>
  <c r="A198" i="38" s="1"/>
  <c r="A199" i="38" s="1"/>
  <c r="A200" i="38" s="1"/>
  <c r="A201" i="38" s="1"/>
  <c r="A189" i="38"/>
  <c r="A190" i="38" s="1"/>
  <c r="A191" i="38" s="1"/>
  <c r="A192" i="38" s="1"/>
  <c r="A193" i="38" s="1"/>
  <c r="A194" i="38" s="1"/>
  <c r="A182" i="38"/>
  <c r="A183" i="38" s="1"/>
  <c r="A184" i="38" s="1"/>
  <c r="A185" i="38" s="1"/>
  <c r="A186" i="38" s="1"/>
  <c r="A187" i="38" s="1"/>
  <c r="A175" i="38"/>
  <c r="A176" i="38" s="1"/>
  <c r="A177" i="38" s="1"/>
  <c r="A178" i="38" s="1"/>
  <c r="A179" i="38" s="1"/>
  <c r="A180" i="38" s="1"/>
  <c r="A173" i="38"/>
  <c r="A166" i="38"/>
  <c r="A167" i="38" s="1"/>
  <c r="A168" i="38" s="1"/>
  <c r="A169" i="38" s="1"/>
  <c r="A170" i="38" s="1"/>
  <c r="A171" i="38" s="1"/>
  <c r="A159" i="38"/>
  <c r="A160" i="38" s="1"/>
  <c r="A161" i="38" s="1"/>
  <c r="A162" i="38" s="1"/>
  <c r="A163" i="38" s="1"/>
  <c r="A164" i="38" s="1"/>
  <c r="A152" i="38"/>
  <c r="A153" i="38" s="1"/>
  <c r="A154" i="38" s="1"/>
  <c r="A155" i="38" s="1"/>
  <c r="A156" i="38" s="1"/>
  <c r="A157" i="38" s="1"/>
  <c r="A145" i="38"/>
  <c r="A146" i="38" s="1"/>
  <c r="A147" i="38" s="1"/>
  <c r="A148" i="38" s="1"/>
  <c r="A149" i="38" s="1"/>
  <c r="A150" i="38" s="1"/>
  <c r="A138" i="38"/>
  <c r="A139" i="38" s="1"/>
  <c r="A140" i="38" s="1"/>
  <c r="A141" i="38" s="1"/>
  <c r="A142" i="38" s="1"/>
  <c r="A143" i="38" s="1"/>
  <c r="A136" i="38"/>
  <c r="A135" i="38"/>
  <c r="A126" i="38"/>
  <c r="A117" i="38"/>
  <c r="A116" i="38"/>
  <c r="A115" i="38"/>
  <c r="K108" i="38"/>
  <c r="E307" i="38" s="1"/>
  <c r="E308" i="38" s="1"/>
  <c r="E309" i="38" s="1"/>
  <c r="E310" i="38" s="1"/>
  <c r="E311" i="38" s="1"/>
  <c r="E312" i="38" s="1"/>
  <c r="J108" i="38"/>
  <c r="D307" i="38" s="1"/>
  <c r="D308" i="38" s="1"/>
  <c r="D309" i="38" s="1"/>
  <c r="D310" i="38" s="1"/>
  <c r="D311" i="38" s="1"/>
  <c r="D312" i="38" s="1"/>
  <c r="K106" i="38"/>
  <c r="E298" i="38" s="1"/>
  <c r="E299" i="38" s="1"/>
  <c r="E300" i="38" s="1"/>
  <c r="E301" i="38" s="1"/>
  <c r="E302" i="38" s="1"/>
  <c r="E303" i="38" s="1"/>
  <c r="K105" i="38"/>
  <c r="E291" i="38" s="1"/>
  <c r="E292" i="38" s="1"/>
  <c r="E293" i="38" s="1"/>
  <c r="E294" i="38" s="1"/>
  <c r="E295" i="38" s="1"/>
  <c r="E296" i="38" s="1"/>
  <c r="J105" i="38"/>
  <c r="D291" i="38" s="1"/>
  <c r="D292" i="38" s="1"/>
  <c r="D293" i="38" s="1"/>
  <c r="D294" i="38" s="1"/>
  <c r="D295" i="38" s="1"/>
  <c r="D296" i="38" s="1"/>
  <c r="K104" i="38"/>
  <c r="E284" i="38" s="1"/>
  <c r="E285" i="38" s="1"/>
  <c r="E286" i="38" s="1"/>
  <c r="E287" i="38" s="1"/>
  <c r="E288" i="38" s="1"/>
  <c r="E289" i="38" s="1"/>
  <c r="J104" i="38"/>
  <c r="D284" i="38" s="1"/>
  <c r="D285" i="38" s="1"/>
  <c r="D286" i="38" s="1"/>
  <c r="D287" i="38" s="1"/>
  <c r="D288" i="38" s="1"/>
  <c r="D289" i="38" s="1"/>
  <c r="K103" i="38"/>
  <c r="E277" i="38" s="1"/>
  <c r="E278" i="38" s="1"/>
  <c r="E279" i="38" s="1"/>
  <c r="E280" i="38" s="1"/>
  <c r="E281" i="38" s="1"/>
  <c r="E282" i="38" s="1"/>
  <c r="J103" i="38"/>
  <c r="D277" i="38" s="1"/>
  <c r="D278" i="38" s="1"/>
  <c r="D279" i="38" s="1"/>
  <c r="D280" i="38" s="1"/>
  <c r="D281" i="38" s="1"/>
  <c r="D282" i="38" s="1"/>
  <c r="K102" i="38"/>
  <c r="E270" i="38" s="1"/>
  <c r="E271" i="38" s="1"/>
  <c r="J102" i="38"/>
  <c r="D270" i="38" s="1"/>
  <c r="D271" i="38" s="1"/>
  <c r="D272" i="38" s="1"/>
  <c r="D273" i="38" s="1"/>
  <c r="D274" i="38" s="1"/>
  <c r="D275" i="38" s="1"/>
  <c r="K100" i="38"/>
  <c r="E261" i="38" s="1"/>
  <c r="E262" i="38" s="1"/>
  <c r="E263" i="38" s="1"/>
  <c r="E264" i="38" s="1"/>
  <c r="E265" i="38" s="1"/>
  <c r="E266" i="38" s="1"/>
  <c r="K99" i="38"/>
  <c r="E254" i="38" s="1"/>
  <c r="E255" i="38" s="1"/>
  <c r="J99" i="38"/>
  <c r="D254" i="38" s="1"/>
  <c r="D255" i="38" s="1"/>
  <c r="D256" i="38" s="1"/>
  <c r="D257" i="38" s="1"/>
  <c r="D258" i="38" s="1"/>
  <c r="D259" i="38" s="1"/>
  <c r="K98" i="38"/>
  <c r="E247" i="38" s="1"/>
  <c r="E248" i="38" s="1"/>
  <c r="E249" i="38" s="1"/>
  <c r="E250" i="38" s="1"/>
  <c r="E251" i="38" s="1"/>
  <c r="E252" i="38" s="1"/>
  <c r="J98" i="38"/>
  <c r="D247" i="38" s="1"/>
  <c r="D248" i="38" s="1"/>
  <c r="D249" i="38" s="1"/>
  <c r="D250" i="38" s="1"/>
  <c r="D251" i="38" s="1"/>
  <c r="D252" i="38" s="1"/>
  <c r="K97" i="38"/>
  <c r="E240" i="38" s="1"/>
  <c r="E241" i="38" s="1"/>
  <c r="E242" i="38" s="1"/>
  <c r="E243" i="38" s="1"/>
  <c r="E244" i="38" s="1"/>
  <c r="E245" i="38" s="1"/>
  <c r="J97" i="38"/>
  <c r="D240" i="38" s="1"/>
  <c r="D241" i="38" s="1"/>
  <c r="D242" i="38" s="1"/>
  <c r="D243" i="38" s="1"/>
  <c r="D244" i="38" s="1"/>
  <c r="D245" i="38" s="1"/>
  <c r="K96" i="38"/>
  <c r="E233" i="38" s="1"/>
  <c r="E234" i="38" s="1"/>
  <c r="E235" i="38" s="1"/>
  <c r="E236" i="38" s="1"/>
  <c r="E237" i="38" s="1"/>
  <c r="E238" i="38" s="1"/>
  <c r="J96" i="38"/>
  <c r="D233" i="38" s="1"/>
  <c r="D234" i="38" s="1"/>
  <c r="D235" i="38" s="1"/>
  <c r="D236" i="38" s="1"/>
  <c r="D237" i="38" s="1"/>
  <c r="D238" i="38" s="1"/>
  <c r="K93" i="38"/>
  <c r="E223" i="38" s="1"/>
  <c r="E224" i="38" s="1"/>
  <c r="E225" i="38" s="1"/>
  <c r="E226" i="38" s="1"/>
  <c r="E227" i="38" s="1"/>
  <c r="E228" i="38" s="1"/>
  <c r="J93" i="38"/>
  <c r="D223" i="38" s="1"/>
  <c r="D224" i="38" s="1"/>
  <c r="D225" i="38" s="1"/>
  <c r="D226" i="38" s="1"/>
  <c r="D227" i="38" s="1"/>
  <c r="D228" i="38" s="1"/>
  <c r="K92" i="38"/>
  <c r="E214" i="38" s="1"/>
  <c r="E215" i="38" s="1"/>
  <c r="E216" i="38" s="1"/>
  <c r="E217" i="38" s="1"/>
  <c r="E218" i="38" s="1"/>
  <c r="E219" i="38" s="1"/>
  <c r="J92" i="38"/>
  <c r="D214" i="38" s="1"/>
  <c r="D215" i="38" s="1"/>
  <c r="D216" i="38" s="1"/>
  <c r="D217" i="38" s="1"/>
  <c r="D218" i="38" s="1"/>
  <c r="D219" i="38" s="1"/>
  <c r="K89" i="38"/>
  <c r="E203" i="38" s="1"/>
  <c r="E204" i="38" s="1"/>
  <c r="E205" i="38" s="1"/>
  <c r="E206" i="38" s="1"/>
  <c r="E207" i="38" s="1"/>
  <c r="E208" i="38" s="1"/>
  <c r="K88" i="38"/>
  <c r="E196" i="38" s="1"/>
  <c r="E197" i="38" s="1"/>
  <c r="E198" i="38" s="1"/>
  <c r="E199" i="38" s="1"/>
  <c r="E200" i="38" s="1"/>
  <c r="E201" i="38" s="1"/>
  <c r="J88" i="38"/>
  <c r="D196" i="38" s="1"/>
  <c r="D197" i="38" s="1"/>
  <c r="D198" i="38" s="1"/>
  <c r="D199" i="38" s="1"/>
  <c r="D200" i="38" s="1"/>
  <c r="D201" i="38" s="1"/>
  <c r="K87" i="38"/>
  <c r="E189" i="38" s="1"/>
  <c r="E190" i="38" s="1"/>
  <c r="E191" i="38" s="1"/>
  <c r="E192" i="38" s="1"/>
  <c r="E193" i="38" s="1"/>
  <c r="E194" i="38" s="1"/>
  <c r="J87" i="38"/>
  <c r="D189" i="38" s="1"/>
  <c r="D190" i="38" s="1"/>
  <c r="D191" i="38" s="1"/>
  <c r="D192" i="38" s="1"/>
  <c r="D193" i="38" s="1"/>
  <c r="D194" i="38" s="1"/>
  <c r="K86" i="38"/>
  <c r="E182" i="38" s="1"/>
  <c r="E183" i="38" s="1"/>
  <c r="E184" i="38" s="1"/>
  <c r="E185" i="38" s="1"/>
  <c r="E186" i="38" s="1"/>
  <c r="E187" i="38" s="1"/>
  <c r="J86" i="38"/>
  <c r="D182" i="38" s="1"/>
  <c r="D183" i="38" s="1"/>
  <c r="D184" i="38" s="1"/>
  <c r="D185" i="38" s="1"/>
  <c r="D186" i="38" s="1"/>
  <c r="D187" i="38" s="1"/>
  <c r="K85" i="38"/>
  <c r="E175" i="38" s="1"/>
  <c r="E176" i="38" s="1"/>
  <c r="E177" i="38" s="1"/>
  <c r="E178" i="38" s="1"/>
  <c r="E179" i="38" s="1"/>
  <c r="E180" i="38" s="1"/>
  <c r="J85" i="38"/>
  <c r="D175" i="38" s="1"/>
  <c r="D176" i="38" s="1"/>
  <c r="D177" i="38" s="1"/>
  <c r="D178" i="38" s="1"/>
  <c r="D179" i="38" s="1"/>
  <c r="D180" i="38" s="1"/>
  <c r="K83" i="38"/>
  <c r="E166" i="38" s="1"/>
  <c r="E167" i="38" s="1"/>
  <c r="E168" i="38" s="1"/>
  <c r="E169" i="38" s="1"/>
  <c r="E170" i="38" s="1"/>
  <c r="E171" i="38" s="1"/>
  <c r="K82" i="38"/>
  <c r="E159" i="38" s="1"/>
  <c r="E160" i="38" s="1"/>
  <c r="E161" i="38" s="1"/>
  <c r="E162" i="38" s="1"/>
  <c r="E163" i="38" s="1"/>
  <c r="E164" i="38" s="1"/>
  <c r="J82" i="38"/>
  <c r="D159" i="38" s="1"/>
  <c r="D160" i="38" s="1"/>
  <c r="D161" i="38" s="1"/>
  <c r="D162" i="38" s="1"/>
  <c r="D163" i="38" s="1"/>
  <c r="D164" i="38" s="1"/>
  <c r="K81" i="38"/>
  <c r="E152" i="38" s="1"/>
  <c r="E153" i="38" s="1"/>
  <c r="E154" i="38" s="1"/>
  <c r="E155" i="38" s="1"/>
  <c r="E156" i="38" s="1"/>
  <c r="E157" i="38" s="1"/>
  <c r="J81" i="38"/>
  <c r="D152" i="38" s="1"/>
  <c r="D153" i="38" s="1"/>
  <c r="D154" i="38" s="1"/>
  <c r="D155" i="38" s="1"/>
  <c r="D156" i="38" s="1"/>
  <c r="D157" i="38" s="1"/>
  <c r="K80" i="38"/>
  <c r="E145" i="38" s="1"/>
  <c r="E146" i="38" s="1"/>
  <c r="E147" i="38" s="1"/>
  <c r="E148" i="38" s="1"/>
  <c r="E149" i="38" s="1"/>
  <c r="E150" i="38" s="1"/>
  <c r="J80" i="38"/>
  <c r="D145" i="38" s="1"/>
  <c r="D146" i="38" s="1"/>
  <c r="D147" i="38" s="1"/>
  <c r="D148" i="38" s="1"/>
  <c r="D149" i="38" s="1"/>
  <c r="D150" i="38" s="1"/>
  <c r="K79" i="38"/>
  <c r="E138" i="38" s="1"/>
  <c r="E139" i="38" s="1"/>
  <c r="E140" i="38" s="1"/>
  <c r="E141" i="38" s="1"/>
  <c r="E142" i="38" s="1"/>
  <c r="E143" i="38" s="1"/>
  <c r="J79" i="38"/>
  <c r="D138" i="38" s="1"/>
  <c r="D139" i="38" s="1"/>
  <c r="D140" i="38" s="1"/>
  <c r="D141" i="38" s="1"/>
  <c r="D142" i="38" s="1"/>
  <c r="D143" i="38" s="1"/>
  <c r="K76" i="38"/>
  <c r="E128" i="38" s="1"/>
  <c r="E129" i="38" s="1"/>
  <c r="E130" i="38" s="1"/>
  <c r="E131" i="38" s="1"/>
  <c r="E132" i="38" s="1"/>
  <c r="E133" i="38" s="1"/>
  <c r="J76" i="38"/>
  <c r="D128" i="38" s="1"/>
  <c r="D129" i="38" s="1"/>
  <c r="D130" i="38" s="1"/>
  <c r="D131" i="38" s="1"/>
  <c r="D132" i="38" s="1"/>
  <c r="D133" i="38" s="1"/>
  <c r="K75" i="38"/>
  <c r="E119" i="38" s="1"/>
  <c r="E120" i="38" s="1"/>
  <c r="E121" i="38" s="1"/>
  <c r="E122" i="38" s="1"/>
  <c r="E123" i="38" s="1"/>
  <c r="E124" i="38" s="1"/>
  <c r="J75" i="38"/>
  <c r="D119" i="38" s="1"/>
  <c r="D120" i="38" s="1"/>
  <c r="D121" i="38" s="1"/>
  <c r="D122" i="38" s="1"/>
  <c r="D123" i="38" s="1"/>
  <c r="D124" i="38" s="1"/>
  <c r="F50" i="38"/>
  <c r="A307" i="40"/>
  <c r="A298" i="40"/>
  <c r="A299" i="40" s="1"/>
  <c r="A300" i="40" s="1"/>
  <c r="A301" i="40" s="1"/>
  <c r="A302" i="40" s="1"/>
  <c r="A303" i="40" s="1"/>
  <c r="A291" i="40"/>
  <c r="A292" i="40" s="1"/>
  <c r="A293" i="40" s="1"/>
  <c r="A294" i="40" s="1"/>
  <c r="A295" i="40" s="1"/>
  <c r="A296" i="40" s="1"/>
  <c r="A284" i="40"/>
  <c r="A285" i="40" s="1"/>
  <c r="A286" i="40" s="1"/>
  <c r="A287" i="40" s="1"/>
  <c r="A288" i="40" s="1"/>
  <c r="A289" i="40" s="1"/>
  <c r="A277" i="40"/>
  <c r="A278" i="40" s="1"/>
  <c r="A279" i="40" s="1"/>
  <c r="A280" i="40" s="1"/>
  <c r="A281" i="40" s="1"/>
  <c r="A282" i="40" s="1"/>
  <c r="A270" i="40"/>
  <c r="A271" i="40" s="1"/>
  <c r="A272" i="40" s="1"/>
  <c r="A273" i="40" s="1"/>
  <c r="A274" i="40" s="1"/>
  <c r="A275" i="40" s="1"/>
  <c r="A268" i="40"/>
  <c r="A261" i="40"/>
  <c r="A262" i="40" s="1"/>
  <c r="A263" i="40" s="1"/>
  <c r="A264" i="40" s="1"/>
  <c r="A265" i="40" s="1"/>
  <c r="A266" i="40" s="1"/>
  <c r="A254" i="40"/>
  <c r="A255" i="40" s="1"/>
  <c r="A256" i="40" s="1"/>
  <c r="A257" i="40" s="1"/>
  <c r="A258" i="40" s="1"/>
  <c r="A259" i="40" s="1"/>
  <c r="A247" i="40"/>
  <c r="A248" i="40" s="1"/>
  <c r="A249" i="40" s="1"/>
  <c r="A250" i="40" s="1"/>
  <c r="A251" i="40" s="1"/>
  <c r="A252" i="40" s="1"/>
  <c r="A240" i="40"/>
  <c r="A241" i="40" s="1"/>
  <c r="A242" i="40" s="1"/>
  <c r="A243" i="40" s="1"/>
  <c r="A244" i="40" s="1"/>
  <c r="A245" i="40" s="1"/>
  <c r="A233" i="40"/>
  <c r="A234" i="40" s="1"/>
  <c r="A235" i="40" s="1"/>
  <c r="A236" i="40" s="1"/>
  <c r="A237" i="40" s="1"/>
  <c r="A238" i="40" s="1"/>
  <c r="A231" i="40"/>
  <c r="A230" i="40"/>
  <c r="A221" i="40"/>
  <c r="A212" i="40"/>
  <c r="A211" i="40"/>
  <c r="A210" i="40"/>
  <c r="A203" i="40"/>
  <c r="A204" i="40" s="1"/>
  <c r="A205" i="40" s="1"/>
  <c r="A206" i="40" s="1"/>
  <c r="A207" i="40" s="1"/>
  <c r="A208" i="40" s="1"/>
  <c r="A196" i="40"/>
  <c r="A197" i="40" s="1"/>
  <c r="A198" i="40" s="1"/>
  <c r="A199" i="40" s="1"/>
  <c r="A200" i="40" s="1"/>
  <c r="A201" i="40" s="1"/>
  <c r="A189" i="40"/>
  <c r="A190" i="40" s="1"/>
  <c r="A191" i="40" s="1"/>
  <c r="A192" i="40" s="1"/>
  <c r="A193" i="40" s="1"/>
  <c r="A194" i="40" s="1"/>
  <c r="A182" i="40"/>
  <c r="A183" i="40" s="1"/>
  <c r="A184" i="40" s="1"/>
  <c r="A185" i="40" s="1"/>
  <c r="A186" i="40" s="1"/>
  <c r="A187" i="40" s="1"/>
  <c r="A175" i="40"/>
  <c r="A176" i="40" s="1"/>
  <c r="A177" i="40" s="1"/>
  <c r="A178" i="40" s="1"/>
  <c r="A179" i="40" s="1"/>
  <c r="A180" i="40" s="1"/>
  <c r="A173" i="40"/>
  <c r="A166" i="40"/>
  <c r="A167" i="40" s="1"/>
  <c r="A168" i="40" s="1"/>
  <c r="A169" i="40" s="1"/>
  <c r="A170" i="40" s="1"/>
  <c r="A171" i="40" s="1"/>
  <c r="A159" i="40"/>
  <c r="A160" i="40" s="1"/>
  <c r="A161" i="40" s="1"/>
  <c r="A162" i="40" s="1"/>
  <c r="A163" i="40" s="1"/>
  <c r="A164" i="40" s="1"/>
  <c r="A152" i="40"/>
  <c r="A153" i="40" s="1"/>
  <c r="A154" i="40" s="1"/>
  <c r="A155" i="40" s="1"/>
  <c r="A156" i="40" s="1"/>
  <c r="A157" i="40" s="1"/>
  <c r="A145" i="40"/>
  <c r="A146" i="40" s="1"/>
  <c r="A147" i="40" s="1"/>
  <c r="A148" i="40" s="1"/>
  <c r="A149" i="40" s="1"/>
  <c r="A150" i="40" s="1"/>
  <c r="A138" i="40"/>
  <c r="A139" i="40" s="1"/>
  <c r="A140" i="40" s="1"/>
  <c r="A141" i="40" s="1"/>
  <c r="A142" i="40" s="1"/>
  <c r="A143" i="40" s="1"/>
  <c r="A136" i="40"/>
  <c r="A135" i="40"/>
  <c r="A126" i="40"/>
  <c r="A117" i="40"/>
  <c r="A116" i="40"/>
  <c r="A115" i="40"/>
  <c r="K108" i="40"/>
  <c r="E307" i="40" s="1"/>
  <c r="E308" i="40" s="1"/>
  <c r="E309" i="40" s="1"/>
  <c r="E310" i="40" s="1"/>
  <c r="E311" i="40" s="1"/>
  <c r="E312" i="40" s="1"/>
  <c r="J108" i="40"/>
  <c r="D307" i="40" s="1"/>
  <c r="D308" i="40" s="1"/>
  <c r="D309" i="40" s="1"/>
  <c r="D310" i="40" s="1"/>
  <c r="D311" i="40" s="1"/>
  <c r="D312" i="40" s="1"/>
  <c r="K106" i="40"/>
  <c r="E298" i="40" s="1"/>
  <c r="E299" i="40" s="1"/>
  <c r="E300" i="40" s="1"/>
  <c r="E301" i="40" s="1"/>
  <c r="E302" i="40" s="1"/>
  <c r="E303" i="40" s="1"/>
  <c r="K105" i="40"/>
  <c r="E291" i="40" s="1"/>
  <c r="E292" i="40" s="1"/>
  <c r="E293" i="40" s="1"/>
  <c r="E294" i="40" s="1"/>
  <c r="E295" i="40" s="1"/>
  <c r="E296" i="40" s="1"/>
  <c r="J105" i="40"/>
  <c r="D291" i="40" s="1"/>
  <c r="D292" i="40" s="1"/>
  <c r="D293" i="40" s="1"/>
  <c r="D294" i="40" s="1"/>
  <c r="D295" i="40" s="1"/>
  <c r="D296" i="40" s="1"/>
  <c r="K104" i="40"/>
  <c r="E284" i="40" s="1"/>
  <c r="E285" i="40" s="1"/>
  <c r="E286" i="40" s="1"/>
  <c r="E287" i="40" s="1"/>
  <c r="E288" i="40" s="1"/>
  <c r="E289" i="40" s="1"/>
  <c r="J104" i="40"/>
  <c r="D284" i="40" s="1"/>
  <c r="D285" i="40" s="1"/>
  <c r="D286" i="40" s="1"/>
  <c r="D287" i="40" s="1"/>
  <c r="D288" i="40" s="1"/>
  <c r="D289" i="40" s="1"/>
  <c r="K103" i="40"/>
  <c r="E277" i="40" s="1"/>
  <c r="E278" i="40" s="1"/>
  <c r="E279" i="40" s="1"/>
  <c r="E280" i="40" s="1"/>
  <c r="E281" i="40" s="1"/>
  <c r="E282" i="40" s="1"/>
  <c r="J103" i="40"/>
  <c r="D277" i="40" s="1"/>
  <c r="D278" i="40" s="1"/>
  <c r="D279" i="40" s="1"/>
  <c r="D280" i="40" s="1"/>
  <c r="D281" i="40" s="1"/>
  <c r="D282" i="40" s="1"/>
  <c r="K102" i="40"/>
  <c r="E270" i="40" s="1"/>
  <c r="E271" i="40" s="1"/>
  <c r="E272" i="40" s="1"/>
  <c r="E273" i="40" s="1"/>
  <c r="E274" i="40" s="1"/>
  <c r="E275" i="40" s="1"/>
  <c r="J102" i="40"/>
  <c r="D270" i="40" s="1"/>
  <c r="D271" i="40" s="1"/>
  <c r="D272" i="40" s="1"/>
  <c r="D273" i="40" s="1"/>
  <c r="D274" i="40" s="1"/>
  <c r="D275" i="40" s="1"/>
  <c r="K100" i="40"/>
  <c r="E261" i="40" s="1"/>
  <c r="E262" i="40" s="1"/>
  <c r="E263" i="40" s="1"/>
  <c r="E264" i="40" s="1"/>
  <c r="E265" i="40" s="1"/>
  <c r="E266" i="40" s="1"/>
  <c r="K99" i="40"/>
  <c r="E254" i="40" s="1"/>
  <c r="E255" i="40" s="1"/>
  <c r="E256" i="40" s="1"/>
  <c r="E257" i="40" s="1"/>
  <c r="E258" i="40" s="1"/>
  <c r="E259" i="40" s="1"/>
  <c r="J99" i="40"/>
  <c r="D254" i="40" s="1"/>
  <c r="D255" i="40" s="1"/>
  <c r="D256" i="40" s="1"/>
  <c r="D257" i="40" s="1"/>
  <c r="D258" i="40" s="1"/>
  <c r="D259" i="40" s="1"/>
  <c r="K98" i="40"/>
  <c r="E247" i="40" s="1"/>
  <c r="E248" i="40" s="1"/>
  <c r="E249" i="40" s="1"/>
  <c r="E250" i="40" s="1"/>
  <c r="E251" i="40" s="1"/>
  <c r="E252" i="40" s="1"/>
  <c r="J98" i="40"/>
  <c r="D247" i="40" s="1"/>
  <c r="D248" i="40" s="1"/>
  <c r="D249" i="40" s="1"/>
  <c r="D250" i="40" s="1"/>
  <c r="D251" i="40" s="1"/>
  <c r="D252" i="40" s="1"/>
  <c r="K97" i="40"/>
  <c r="E240" i="40" s="1"/>
  <c r="E241" i="40" s="1"/>
  <c r="E242" i="40" s="1"/>
  <c r="E243" i="40" s="1"/>
  <c r="E244" i="40" s="1"/>
  <c r="E245" i="40" s="1"/>
  <c r="J97" i="40"/>
  <c r="D240" i="40" s="1"/>
  <c r="D241" i="40" s="1"/>
  <c r="D242" i="40" s="1"/>
  <c r="D243" i="40" s="1"/>
  <c r="D244" i="40" s="1"/>
  <c r="D245" i="40" s="1"/>
  <c r="K96" i="40"/>
  <c r="E233" i="40" s="1"/>
  <c r="E234" i="40" s="1"/>
  <c r="E235" i="40" s="1"/>
  <c r="E236" i="40" s="1"/>
  <c r="E237" i="40" s="1"/>
  <c r="E238" i="40" s="1"/>
  <c r="J96" i="40"/>
  <c r="D233" i="40" s="1"/>
  <c r="D234" i="40" s="1"/>
  <c r="D235" i="40" s="1"/>
  <c r="D236" i="40" s="1"/>
  <c r="D237" i="40" s="1"/>
  <c r="D238" i="40" s="1"/>
  <c r="K93" i="40"/>
  <c r="E223" i="40" s="1"/>
  <c r="E224" i="40" s="1"/>
  <c r="E225" i="40" s="1"/>
  <c r="E226" i="40" s="1"/>
  <c r="E227" i="40" s="1"/>
  <c r="E228" i="40" s="1"/>
  <c r="J93" i="40"/>
  <c r="D223" i="40" s="1"/>
  <c r="D224" i="40" s="1"/>
  <c r="D225" i="40" s="1"/>
  <c r="D226" i="40" s="1"/>
  <c r="D227" i="40" s="1"/>
  <c r="D228" i="40" s="1"/>
  <c r="K92" i="40"/>
  <c r="E214" i="40" s="1"/>
  <c r="E215" i="40" s="1"/>
  <c r="E216" i="40" s="1"/>
  <c r="E217" i="40" s="1"/>
  <c r="E218" i="40" s="1"/>
  <c r="E219" i="40" s="1"/>
  <c r="J92" i="40"/>
  <c r="D214" i="40" s="1"/>
  <c r="D215" i="40" s="1"/>
  <c r="D216" i="40" s="1"/>
  <c r="D217" i="40" s="1"/>
  <c r="D218" i="40" s="1"/>
  <c r="D219" i="40" s="1"/>
  <c r="K89" i="40"/>
  <c r="E203" i="40" s="1"/>
  <c r="E204" i="40" s="1"/>
  <c r="E205" i="40" s="1"/>
  <c r="E206" i="40" s="1"/>
  <c r="E207" i="40" s="1"/>
  <c r="E208" i="40" s="1"/>
  <c r="K88" i="40"/>
  <c r="E196" i="40" s="1"/>
  <c r="E197" i="40" s="1"/>
  <c r="E198" i="40" s="1"/>
  <c r="E199" i="40" s="1"/>
  <c r="E200" i="40" s="1"/>
  <c r="E201" i="40" s="1"/>
  <c r="J88" i="40"/>
  <c r="D196" i="40" s="1"/>
  <c r="D197" i="40" s="1"/>
  <c r="D198" i="40" s="1"/>
  <c r="D199" i="40" s="1"/>
  <c r="D200" i="40" s="1"/>
  <c r="D201" i="40" s="1"/>
  <c r="K87" i="40"/>
  <c r="E189" i="40" s="1"/>
  <c r="E190" i="40" s="1"/>
  <c r="E191" i="40" s="1"/>
  <c r="E192" i="40" s="1"/>
  <c r="E193" i="40" s="1"/>
  <c r="E194" i="40" s="1"/>
  <c r="J87" i="40"/>
  <c r="D189" i="40" s="1"/>
  <c r="D190" i="40" s="1"/>
  <c r="D191" i="40" s="1"/>
  <c r="D192" i="40" s="1"/>
  <c r="D193" i="40" s="1"/>
  <c r="D194" i="40" s="1"/>
  <c r="K86" i="40"/>
  <c r="E182" i="40" s="1"/>
  <c r="E183" i="40" s="1"/>
  <c r="E184" i="40" s="1"/>
  <c r="E185" i="40" s="1"/>
  <c r="E186" i="40" s="1"/>
  <c r="E187" i="40" s="1"/>
  <c r="J86" i="40"/>
  <c r="D182" i="40" s="1"/>
  <c r="D183" i="40" s="1"/>
  <c r="D184" i="40" s="1"/>
  <c r="D185" i="40" s="1"/>
  <c r="D186" i="40" s="1"/>
  <c r="D187" i="40" s="1"/>
  <c r="K85" i="40"/>
  <c r="E175" i="40" s="1"/>
  <c r="E176" i="40" s="1"/>
  <c r="E177" i="40" s="1"/>
  <c r="E178" i="40" s="1"/>
  <c r="E179" i="40" s="1"/>
  <c r="E180" i="40" s="1"/>
  <c r="J85" i="40"/>
  <c r="D175" i="40" s="1"/>
  <c r="D176" i="40" s="1"/>
  <c r="D177" i="40" s="1"/>
  <c r="D178" i="40" s="1"/>
  <c r="D179" i="40" s="1"/>
  <c r="D180" i="40" s="1"/>
  <c r="K83" i="40"/>
  <c r="E166" i="40" s="1"/>
  <c r="E167" i="40" s="1"/>
  <c r="E168" i="40" s="1"/>
  <c r="E169" i="40" s="1"/>
  <c r="E170" i="40" s="1"/>
  <c r="E171" i="40" s="1"/>
  <c r="K82" i="40"/>
  <c r="E159" i="40" s="1"/>
  <c r="E160" i="40" s="1"/>
  <c r="E161" i="40" s="1"/>
  <c r="E162" i="40" s="1"/>
  <c r="E163" i="40" s="1"/>
  <c r="E164" i="40" s="1"/>
  <c r="J82" i="40"/>
  <c r="D159" i="40" s="1"/>
  <c r="D160" i="40" s="1"/>
  <c r="D161" i="40" s="1"/>
  <c r="D162" i="40" s="1"/>
  <c r="D163" i="40" s="1"/>
  <c r="D164" i="40" s="1"/>
  <c r="K81" i="40"/>
  <c r="E152" i="40" s="1"/>
  <c r="E153" i="40" s="1"/>
  <c r="E154" i="40" s="1"/>
  <c r="E155" i="40" s="1"/>
  <c r="E156" i="40" s="1"/>
  <c r="E157" i="40" s="1"/>
  <c r="J81" i="40"/>
  <c r="D152" i="40" s="1"/>
  <c r="D153" i="40" s="1"/>
  <c r="D154" i="40" s="1"/>
  <c r="D155" i="40" s="1"/>
  <c r="D156" i="40" s="1"/>
  <c r="D157" i="40" s="1"/>
  <c r="K80" i="40"/>
  <c r="E145" i="40" s="1"/>
  <c r="E146" i="40" s="1"/>
  <c r="E147" i="40" s="1"/>
  <c r="E148" i="40" s="1"/>
  <c r="E149" i="40" s="1"/>
  <c r="E150" i="40" s="1"/>
  <c r="J80" i="40"/>
  <c r="D145" i="40" s="1"/>
  <c r="D146" i="40" s="1"/>
  <c r="D147" i="40" s="1"/>
  <c r="D148" i="40" s="1"/>
  <c r="D149" i="40" s="1"/>
  <c r="D150" i="40" s="1"/>
  <c r="K79" i="40"/>
  <c r="E138" i="40" s="1"/>
  <c r="E139" i="40" s="1"/>
  <c r="E140" i="40" s="1"/>
  <c r="E141" i="40" s="1"/>
  <c r="E142" i="40" s="1"/>
  <c r="E143" i="40" s="1"/>
  <c r="J79" i="40"/>
  <c r="D138" i="40" s="1"/>
  <c r="D139" i="40" s="1"/>
  <c r="D140" i="40" s="1"/>
  <c r="D141" i="40" s="1"/>
  <c r="D142" i="40" s="1"/>
  <c r="D143" i="40" s="1"/>
  <c r="K76" i="40"/>
  <c r="E128" i="40" s="1"/>
  <c r="E129" i="40" s="1"/>
  <c r="E130" i="40" s="1"/>
  <c r="E131" i="40" s="1"/>
  <c r="E132" i="40" s="1"/>
  <c r="E133" i="40" s="1"/>
  <c r="J76" i="40"/>
  <c r="D128" i="40" s="1"/>
  <c r="D129" i="40" s="1"/>
  <c r="D130" i="40" s="1"/>
  <c r="D131" i="40" s="1"/>
  <c r="D132" i="40" s="1"/>
  <c r="D133" i="40" s="1"/>
  <c r="K75" i="40"/>
  <c r="E119" i="40" s="1"/>
  <c r="E120" i="40" s="1"/>
  <c r="E121" i="40" s="1"/>
  <c r="E122" i="40" s="1"/>
  <c r="E123" i="40" s="1"/>
  <c r="E124" i="40" s="1"/>
  <c r="J75" i="40"/>
  <c r="D119" i="40" s="1"/>
  <c r="D120" i="40" s="1"/>
  <c r="D121" i="40" s="1"/>
  <c r="D122" i="40" s="1"/>
  <c r="D123" i="40" s="1"/>
  <c r="D124" i="40" s="1"/>
  <c r="G50" i="40"/>
  <c r="F50" i="40"/>
  <c r="A307" i="17"/>
  <c r="A298" i="17"/>
  <c r="A299" i="17" s="1"/>
  <c r="A300" i="17" s="1"/>
  <c r="A301" i="17" s="1"/>
  <c r="A302" i="17" s="1"/>
  <c r="A303" i="17" s="1"/>
  <c r="A291" i="17"/>
  <c r="A292" i="17" s="1"/>
  <c r="A293" i="17" s="1"/>
  <c r="A294" i="17" s="1"/>
  <c r="A295" i="17" s="1"/>
  <c r="A296" i="17" s="1"/>
  <c r="A284" i="17"/>
  <c r="A285" i="17" s="1"/>
  <c r="A286" i="17" s="1"/>
  <c r="A287" i="17" s="1"/>
  <c r="A288" i="17" s="1"/>
  <c r="A289" i="17" s="1"/>
  <c r="A277" i="17"/>
  <c r="A278" i="17" s="1"/>
  <c r="A279" i="17" s="1"/>
  <c r="A280" i="17" s="1"/>
  <c r="A281" i="17" s="1"/>
  <c r="A282" i="17" s="1"/>
  <c r="A270" i="17"/>
  <c r="A271" i="17" s="1"/>
  <c r="A272" i="17" s="1"/>
  <c r="A273" i="17" s="1"/>
  <c r="A274" i="17" s="1"/>
  <c r="A275" i="17" s="1"/>
  <c r="A268" i="17"/>
  <c r="A261" i="17"/>
  <c r="A262" i="17" s="1"/>
  <c r="A263" i="17" s="1"/>
  <c r="A264" i="17" s="1"/>
  <c r="A265" i="17" s="1"/>
  <c r="A266" i="17" s="1"/>
  <c r="A254" i="17"/>
  <c r="A255" i="17" s="1"/>
  <c r="A256" i="17" s="1"/>
  <c r="A257" i="17" s="1"/>
  <c r="A258" i="17" s="1"/>
  <c r="A259" i="17" s="1"/>
  <c r="A247" i="17"/>
  <c r="A248" i="17" s="1"/>
  <c r="A249" i="17" s="1"/>
  <c r="A250" i="17" s="1"/>
  <c r="A251" i="17" s="1"/>
  <c r="A252" i="17" s="1"/>
  <c r="A240" i="17"/>
  <c r="A241" i="17" s="1"/>
  <c r="A242" i="17" s="1"/>
  <c r="A243" i="17" s="1"/>
  <c r="A244" i="17" s="1"/>
  <c r="A245" i="17" s="1"/>
  <c r="A233" i="17"/>
  <c r="A234" i="17" s="1"/>
  <c r="A235" i="17" s="1"/>
  <c r="A236" i="17" s="1"/>
  <c r="A237" i="17" s="1"/>
  <c r="A238" i="17" s="1"/>
  <c r="A231" i="17"/>
  <c r="A230" i="17"/>
  <c r="A221" i="17"/>
  <c r="A212" i="17"/>
  <c r="A211" i="17"/>
  <c r="A210" i="17"/>
  <c r="A203" i="17"/>
  <c r="A204" i="17" s="1"/>
  <c r="A205" i="17" s="1"/>
  <c r="A206" i="17" s="1"/>
  <c r="A207" i="17" s="1"/>
  <c r="A208" i="17" s="1"/>
  <c r="A196" i="17"/>
  <c r="A197" i="17" s="1"/>
  <c r="A198" i="17" s="1"/>
  <c r="A199" i="17" s="1"/>
  <c r="A200" i="17" s="1"/>
  <c r="A201" i="17" s="1"/>
  <c r="A189" i="17"/>
  <c r="A190" i="17" s="1"/>
  <c r="A191" i="17" s="1"/>
  <c r="A192" i="17" s="1"/>
  <c r="A193" i="17" s="1"/>
  <c r="A194" i="17" s="1"/>
  <c r="A182" i="17"/>
  <c r="A183" i="17" s="1"/>
  <c r="A184" i="17" s="1"/>
  <c r="A185" i="17" s="1"/>
  <c r="A186" i="17" s="1"/>
  <c r="A187" i="17" s="1"/>
  <c r="A175" i="17"/>
  <c r="A176" i="17" s="1"/>
  <c r="A177" i="17" s="1"/>
  <c r="A178" i="17" s="1"/>
  <c r="A179" i="17" s="1"/>
  <c r="A180" i="17" s="1"/>
  <c r="A173" i="17"/>
  <c r="A166" i="17"/>
  <c r="A167" i="17" s="1"/>
  <c r="A168" i="17" s="1"/>
  <c r="A169" i="17" s="1"/>
  <c r="A170" i="17" s="1"/>
  <c r="A171" i="17" s="1"/>
  <c r="A159" i="17"/>
  <c r="A160" i="17" s="1"/>
  <c r="A161" i="17" s="1"/>
  <c r="A162" i="17" s="1"/>
  <c r="A163" i="17" s="1"/>
  <c r="A164" i="17" s="1"/>
  <c r="A152" i="17"/>
  <c r="A153" i="17" s="1"/>
  <c r="A154" i="17" s="1"/>
  <c r="A155" i="17" s="1"/>
  <c r="A156" i="17" s="1"/>
  <c r="A157" i="17" s="1"/>
  <c r="A145" i="17"/>
  <c r="A146" i="17" s="1"/>
  <c r="A147" i="17" s="1"/>
  <c r="A148" i="17" s="1"/>
  <c r="A149" i="17" s="1"/>
  <c r="A150" i="17" s="1"/>
  <c r="A138" i="17"/>
  <c r="A139" i="17" s="1"/>
  <c r="A140" i="17" s="1"/>
  <c r="A141" i="17" s="1"/>
  <c r="A142" i="17" s="1"/>
  <c r="A143" i="17" s="1"/>
  <c r="A136" i="17"/>
  <c r="A135" i="17"/>
  <c r="A126" i="17"/>
  <c r="A117" i="17"/>
  <c r="A116" i="17"/>
  <c r="A115" i="17"/>
  <c r="K108" i="17"/>
  <c r="E307" i="17" s="1"/>
  <c r="E308" i="17" s="1"/>
  <c r="E309" i="17" s="1"/>
  <c r="E310" i="17" s="1"/>
  <c r="E311" i="17" s="1"/>
  <c r="E312" i="17" s="1"/>
  <c r="J108" i="17"/>
  <c r="D307" i="17" s="1"/>
  <c r="D308" i="17" s="1"/>
  <c r="D309" i="17" s="1"/>
  <c r="D310" i="17" s="1"/>
  <c r="D311" i="17" s="1"/>
  <c r="D312" i="17" s="1"/>
  <c r="K106" i="17"/>
  <c r="E298" i="17" s="1"/>
  <c r="E299" i="17" s="1"/>
  <c r="E300" i="17" s="1"/>
  <c r="E301" i="17" s="1"/>
  <c r="E302" i="17" s="1"/>
  <c r="E303" i="17" s="1"/>
  <c r="K105" i="17"/>
  <c r="E291" i="17" s="1"/>
  <c r="E292" i="17" s="1"/>
  <c r="E293" i="17" s="1"/>
  <c r="E294" i="17" s="1"/>
  <c r="E295" i="17" s="1"/>
  <c r="E296" i="17" s="1"/>
  <c r="J105" i="17"/>
  <c r="D291" i="17" s="1"/>
  <c r="D292" i="17" s="1"/>
  <c r="D293" i="17" s="1"/>
  <c r="D294" i="17" s="1"/>
  <c r="D295" i="17" s="1"/>
  <c r="D296" i="17" s="1"/>
  <c r="K104" i="17"/>
  <c r="E284" i="17" s="1"/>
  <c r="E285" i="17" s="1"/>
  <c r="E286" i="17" s="1"/>
  <c r="E287" i="17" s="1"/>
  <c r="E288" i="17" s="1"/>
  <c r="E289" i="17" s="1"/>
  <c r="J104" i="17"/>
  <c r="D284" i="17" s="1"/>
  <c r="K103" i="17"/>
  <c r="E277" i="17" s="1"/>
  <c r="E278" i="17" s="1"/>
  <c r="E279" i="17" s="1"/>
  <c r="E280" i="17" s="1"/>
  <c r="E281" i="17" s="1"/>
  <c r="E282" i="17" s="1"/>
  <c r="J103" i="17"/>
  <c r="D277" i="17" s="1"/>
  <c r="D278" i="17" s="1"/>
  <c r="D279" i="17" s="1"/>
  <c r="D280" i="17" s="1"/>
  <c r="D281" i="17" s="1"/>
  <c r="D282" i="17" s="1"/>
  <c r="K102" i="17"/>
  <c r="E270" i="17" s="1"/>
  <c r="E271" i="17" s="1"/>
  <c r="E272" i="17" s="1"/>
  <c r="E273" i="17" s="1"/>
  <c r="E274" i="17" s="1"/>
  <c r="E275" i="17" s="1"/>
  <c r="J102" i="17"/>
  <c r="D270" i="17" s="1"/>
  <c r="K100" i="17"/>
  <c r="E261" i="17" s="1"/>
  <c r="E262" i="17" s="1"/>
  <c r="E263" i="17" s="1"/>
  <c r="E264" i="17" s="1"/>
  <c r="E265" i="17" s="1"/>
  <c r="E266" i="17" s="1"/>
  <c r="K99" i="17"/>
  <c r="E254" i="17" s="1"/>
  <c r="E255" i="17" s="1"/>
  <c r="E256" i="17" s="1"/>
  <c r="E257" i="17" s="1"/>
  <c r="E258" i="17" s="1"/>
  <c r="E259" i="17" s="1"/>
  <c r="J99" i="17"/>
  <c r="D254" i="17" s="1"/>
  <c r="D255" i="17" s="1"/>
  <c r="D256" i="17" s="1"/>
  <c r="D257" i="17" s="1"/>
  <c r="D258" i="17" s="1"/>
  <c r="D259" i="17" s="1"/>
  <c r="K98" i="17"/>
  <c r="E247" i="17" s="1"/>
  <c r="E248" i="17" s="1"/>
  <c r="E249" i="17" s="1"/>
  <c r="E250" i="17" s="1"/>
  <c r="E251" i="17" s="1"/>
  <c r="E252" i="17" s="1"/>
  <c r="J98" i="17"/>
  <c r="D247" i="17" s="1"/>
  <c r="K97" i="17"/>
  <c r="E240" i="17" s="1"/>
  <c r="E241" i="17" s="1"/>
  <c r="E242" i="17" s="1"/>
  <c r="E243" i="17" s="1"/>
  <c r="E244" i="17" s="1"/>
  <c r="E245" i="17" s="1"/>
  <c r="J97" i="17"/>
  <c r="D240" i="17" s="1"/>
  <c r="D241" i="17" s="1"/>
  <c r="D242" i="17" s="1"/>
  <c r="D243" i="17" s="1"/>
  <c r="D244" i="17" s="1"/>
  <c r="D245" i="17" s="1"/>
  <c r="K96" i="17"/>
  <c r="E233" i="17" s="1"/>
  <c r="E234" i="17" s="1"/>
  <c r="E235" i="17" s="1"/>
  <c r="E236" i="17" s="1"/>
  <c r="E237" i="17" s="1"/>
  <c r="E238" i="17" s="1"/>
  <c r="J96" i="17"/>
  <c r="D233" i="17" s="1"/>
  <c r="D234" i="17" s="1"/>
  <c r="D235" i="17" s="1"/>
  <c r="D236" i="17" s="1"/>
  <c r="D237" i="17" s="1"/>
  <c r="D238" i="17" s="1"/>
  <c r="K93" i="17"/>
  <c r="E223" i="17" s="1"/>
  <c r="E224" i="17" s="1"/>
  <c r="E225" i="17" s="1"/>
  <c r="E226" i="17" s="1"/>
  <c r="E227" i="17" s="1"/>
  <c r="E228" i="17" s="1"/>
  <c r="J93" i="17"/>
  <c r="D223" i="17" s="1"/>
  <c r="D224" i="17" s="1"/>
  <c r="D225" i="17" s="1"/>
  <c r="D226" i="17" s="1"/>
  <c r="D227" i="17" s="1"/>
  <c r="D228" i="17" s="1"/>
  <c r="K92" i="17"/>
  <c r="E214" i="17" s="1"/>
  <c r="E215" i="17" s="1"/>
  <c r="E216" i="17" s="1"/>
  <c r="E217" i="17" s="1"/>
  <c r="E218" i="17" s="1"/>
  <c r="E219" i="17" s="1"/>
  <c r="J92" i="17"/>
  <c r="D214" i="17" s="1"/>
  <c r="D215" i="17" s="1"/>
  <c r="D216" i="17" s="1"/>
  <c r="D217" i="17" s="1"/>
  <c r="D218" i="17" s="1"/>
  <c r="D219" i="17" s="1"/>
  <c r="K89" i="17"/>
  <c r="E203" i="17" s="1"/>
  <c r="E204" i="17" s="1"/>
  <c r="E205" i="17" s="1"/>
  <c r="E206" i="17" s="1"/>
  <c r="E207" i="17" s="1"/>
  <c r="E208" i="17" s="1"/>
  <c r="K88" i="17"/>
  <c r="E196" i="17" s="1"/>
  <c r="E197" i="17" s="1"/>
  <c r="E198" i="17" s="1"/>
  <c r="E199" i="17" s="1"/>
  <c r="E200" i="17" s="1"/>
  <c r="E201" i="17" s="1"/>
  <c r="J88" i="17"/>
  <c r="D196" i="17" s="1"/>
  <c r="D197" i="17" s="1"/>
  <c r="D198" i="17" s="1"/>
  <c r="D199" i="17" s="1"/>
  <c r="D200" i="17" s="1"/>
  <c r="D201" i="17" s="1"/>
  <c r="K87" i="17"/>
  <c r="E189" i="17" s="1"/>
  <c r="E190" i="17" s="1"/>
  <c r="E191" i="17" s="1"/>
  <c r="E192" i="17" s="1"/>
  <c r="E193" i="17" s="1"/>
  <c r="E194" i="17" s="1"/>
  <c r="J87" i="17"/>
  <c r="D189" i="17" s="1"/>
  <c r="D190" i="17" s="1"/>
  <c r="D191" i="17" s="1"/>
  <c r="D192" i="17" s="1"/>
  <c r="D193" i="17" s="1"/>
  <c r="D194" i="17" s="1"/>
  <c r="K86" i="17"/>
  <c r="E182" i="17" s="1"/>
  <c r="J86" i="17"/>
  <c r="D182" i="17" s="1"/>
  <c r="K85" i="17"/>
  <c r="E175" i="17" s="1"/>
  <c r="E176" i="17" s="1"/>
  <c r="E177" i="17" s="1"/>
  <c r="E178" i="17" s="1"/>
  <c r="E179" i="17" s="1"/>
  <c r="E180" i="17" s="1"/>
  <c r="J85" i="17"/>
  <c r="D175" i="17" s="1"/>
  <c r="D176" i="17" s="1"/>
  <c r="D177" i="17" s="1"/>
  <c r="D178" i="17" s="1"/>
  <c r="D179" i="17" s="1"/>
  <c r="D180" i="17" s="1"/>
  <c r="K83" i="17"/>
  <c r="E166" i="17" s="1"/>
  <c r="K82" i="17"/>
  <c r="E159" i="17" s="1"/>
  <c r="E160" i="17" s="1"/>
  <c r="E161" i="17" s="1"/>
  <c r="E162" i="17" s="1"/>
  <c r="E163" i="17" s="1"/>
  <c r="E164" i="17" s="1"/>
  <c r="J82" i="17"/>
  <c r="D159" i="17" s="1"/>
  <c r="D160" i="17" s="1"/>
  <c r="D161" i="17" s="1"/>
  <c r="D162" i="17" s="1"/>
  <c r="D163" i="17" s="1"/>
  <c r="D164" i="17" s="1"/>
  <c r="K81" i="17"/>
  <c r="E152" i="17" s="1"/>
  <c r="E153" i="17" s="1"/>
  <c r="E154" i="17" s="1"/>
  <c r="E155" i="17" s="1"/>
  <c r="E156" i="17" s="1"/>
  <c r="E157" i="17" s="1"/>
  <c r="J81" i="17"/>
  <c r="D152" i="17" s="1"/>
  <c r="D153" i="17" s="1"/>
  <c r="D154" i="17" s="1"/>
  <c r="D155" i="17" s="1"/>
  <c r="D156" i="17" s="1"/>
  <c r="D157" i="17" s="1"/>
  <c r="K80" i="17"/>
  <c r="E145" i="17" s="1"/>
  <c r="E146" i="17" s="1"/>
  <c r="E147" i="17" s="1"/>
  <c r="E148" i="17" s="1"/>
  <c r="E149" i="17" s="1"/>
  <c r="E150" i="17" s="1"/>
  <c r="J80" i="17"/>
  <c r="D145" i="17" s="1"/>
  <c r="D146" i="17" s="1"/>
  <c r="D147" i="17" s="1"/>
  <c r="D148" i="17" s="1"/>
  <c r="D149" i="17" s="1"/>
  <c r="D150" i="17" s="1"/>
  <c r="K79" i="17"/>
  <c r="E138" i="17" s="1"/>
  <c r="E139" i="17" s="1"/>
  <c r="E140" i="17" s="1"/>
  <c r="E141" i="17" s="1"/>
  <c r="E142" i="17" s="1"/>
  <c r="E143" i="17" s="1"/>
  <c r="J79" i="17"/>
  <c r="D138" i="17" s="1"/>
  <c r="K76" i="17"/>
  <c r="E128" i="17" s="1"/>
  <c r="E129" i="17" s="1"/>
  <c r="E130" i="17" s="1"/>
  <c r="E131" i="17" s="1"/>
  <c r="E132" i="17" s="1"/>
  <c r="E133" i="17" s="1"/>
  <c r="J76" i="17"/>
  <c r="D128" i="17" s="1"/>
  <c r="D129" i="17" s="1"/>
  <c r="D130" i="17" s="1"/>
  <c r="D131" i="17" s="1"/>
  <c r="D132" i="17" s="1"/>
  <c r="D133" i="17" s="1"/>
  <c r="K75" i="17"/>
  <c r="E119" i="17" s="1"/>
  <c r="E120" i="17" s="1"/>
  <c r="E121" i="17" s="1"/>
  <c r="E122" i="17" s="1"/>
  <c r="E123" i="17" s="1"/>
  <c r="E124" i="17" s="1"/>
  <c r="J75" i="17"/>
  <c r="D119" i="17" s="1"/>
  <c r="D120" i="17" s="1"/>
  <c r="D121" i="17" s="1"/>
  <c r="D122" i="17" s="1"/>
  <c r="D123" i="17" s="1"/>
  <c r="D124" i="17" s="1"/>
  <c r="C53" i="17"/>
  <c r="F50" i="17"/>
  <c r="B33" i="38"/>
  <c r="L99" i="38" s="1"/>
  <c r="F254" i="38" s="1"/>
  <c r="I10" i="20"/>
  <c r="I7" i="20" s="1"/>
  <c r="I24" i="20" s="1"/>
  <c r="M10" i="20"/>
  <c r="M7" i="20" s="1"/>
  <c r="M24" i="20" s="1"/>
  <c r="B33" i="14"/>
  <c r="L89" i="14" s="1"/>
  <c r="F203" i="14" s="1"/>
  <c r="B33" i="17"/>
  <c r="L82" i="17" s="1"/>
  <c r="F159" i="17" s="1"/>
  <c r="B43" i="19"/>
  <c r="H104" i="19" s="1"/>
  <c r="C43" i="19"/>
  <c r="I105" i="19" s="1"/>
  <c r="D43" i="19"/>
  <c r="J106" i="19" s="1"/>
  <c r="E43" i="19"/>
  <c r="K107" i="19" s="1"/>
  <c r="F43" i="19"/>
  <c r="L108" i="19" s="1"/>
  <c r="G43" i="19"/>
  <c r="M109" i="19" s="1"/>
  <c r="B44" i="19"/>
  <c r="H111" i="19" s="1"/>
  <c r="C44" i="19"/>
  <c r="I112" i="19" s="1"/>
  <c r="D44" i="19"/>
  <c r="J113" i="19" s="1"/>
  <c r="E44" i="19"/>
  <c r="K114" i="19" s="1"/>
  <c r="F44" i="19"/>
  <c r="L115" i="19" s="1"/>
  <c r="G44" i="19"/>
  <c r="M116" i="19" s="1"/>
  <c r="B45" i="19"/>
  <c r="H118" i="19" s="1"/>
  <c r="C45" i="19"/>
  <c r="I119" i="19" s="1"/>
  <c r="D45" i="19"/>
  <c r="J120" i="19" s="1"/>
  <c r="E45" i="19"/>
  <c r="K121" i="19" s="1"/>
  <c r="F45" i="19"/>
  <c r="L122" i="19" s="1"/>
  <c r="G45" i="19"/>
  <c r="M123" i="19" s="1"/>
  <c r="B46" i="19"/>
  <c r="H125" i="19" s="1"/>
  <c r="C46" i="19"/>
  <c r="I126" i="19" s="1"/>
  <c r="D46" i="19"/>
  <c r="J127" i="19" s="1"/>
  <c r="E46" i="19"/>
  <c r="K128" i="19" s="1"/>
  <c r="F46" i="19"/>
  <c r="L129" i="19" s="1"/>
  <c r="G46" i="19"/>
  <c r="M130" i="19" s="1"/>
  <c r="B47" i="19"/>
  <c r="H132" i="19" s="1"/>
  <c r="C47" i="19"/>
  <c r="I133" i="19" s="1"/>
  <c r="D47" i="19"/>
  <c r="J134" i="19" s="1"/>
  <c r="E47" i="19"/>
  <c r="K135" i="19" s="1"/>
  <c r="F47" i="19"/>
  <c r="L136" i="19" s="1"/>
  <c r="G47" i="19"/>
  <c r="M137" i="19" s="1"/>
  <c r="B49" i="19"/>
  <c r="C49" i="19"/>
  <c r="D49" i="19"/>
  <c r="E49" i="19"/>
  <c r="F49" i="19"/>
  <c r="G49" i="19"/>
  <c r="B50" i="19"/>
  <c r="C50" i="19"/>
  <c r="D50" i="19"/>
  <c r="E50" i="19"/>
  <c r="F50" i="19"/>
  <c r="G50" i="19"/>
  <c r="B51" i="19"/>
  <c r="C51" i="19"/>
  <c r="D51" i="19"/>
  <c r="E51" i="19"/>
  <c r="F51" i="19"/>
  <c r="G51" i="19"/>
  <c r="B52" i="19"/>
  <c r="C52" i="19"/>
  <c r="D52" i="19"/>
  <c r="E52" i="19"/>
  <c r="F52" i="19"/>
  <c r="G52" i="19"/>
  <c r="B53" i="19"/>
  <c r="C53" i="19"/>
  <c r="D53" i="19"/>
  <c r="E53" i="19"/>
  <c r="F53" i="19"/>
  <c r="G53" i="19"/>
  <c r="B56" i="19"/>
  <c r="H180" i="19" s="1"/>
  <c r="C56" i="19"/>
  <c r="I181" i="19" s="1"/>
  <c r="D56" i="19"/>
  <c r="J182" i="19" s="1"/>
  <c r="E56" i="19"/>
  <c r="K183" i="19" s="1"/>
  <c r="S183" i="19" s="1"/>
  <c r="F56" i="19"/>
  <c r="L184" i="19" s="1"/>
  <c r="G56" i="19"/>
  <c r="M185" i="19" s="1"/>
  <c r="B57" i="19"/>
  <c r="C57" i="19"/>
  <c r="D57" i="19"/>
  <c r="E57" i="19"/>
  <c r="F57" i="19"/>
  <c r="G57" i="19"/>
  <c r="B60" i="19"/>
  <c r="H199" i="19" s="1"/>
  <c r="C60" i="19"/>
  <c r="I200" i="19" s="1"/>
  <c r="D60" i="19"/>
  <c r="J201" i="19" s="1"/>
  <c r="E60" i="19"/>
  <c r="K202" i="19" s="1"/>
  <c r="F60" i="19"/>
  <c r="L203" i="19" s="1"/>
  <c r="G60" i="19"/>
  <c r="M204" i="19" s="1"/>
  <c r="B61" i="19"/>
  <c r="H206" i="19" s="1"/>
  <c r="C61" i="19"/>
  <c r="I207" i="19" s="1"/>
  <c r="D61" i="19"/>
  <c r="J208" i="19" s="1"/>
  <c r="E61" i="19"/>
  <c r="K209" i="19" s="1"/>
  <c r="F61" i="19"/>
  <c r="L210" i="19" s="1"/>
  <c r="G61" i="19"/>
  <c r="M211" i="19" s="1"/>
  <c r="B62" i="19"/>
  <c r="H213" i="19" s="1"/>
  <c r="C62" i="19"/>
  <c r="I214" i="19" s="1"/>
  <c r="D62" i="19"/>
  <c r="J215" i="19" s="1"/>
  <c r="E62" i="19"/>
  <c r="K216" i="19" s="1"/>
  <c r="F62" i="19"/>
  <c r="L217" i="19" s="1"/>
  <c r="G62" i="19"/>
  <c r="M218" i="19" s="1"/>
  <c r="B63" i="19"/>
  <c r="H220" i="19" s="1"/>
  <c r="C63" i="19"/>
  <c r="I221" i="19" s="1"/>
  <c r="D63" i="19"/>
  <c r="J222" i="19" s="1"/>
  <c r="E63" i="19"/>
  <c r="K223" i="19" s="1"/>
  <c r="F63" i="19"/>
  <c r="L224" i="19" s="1"/>
  <c r="G63" i="19"/>
  <c r="M225" i="19" s="1"/>
  <c r="B64" i="19"/>
  <c r="H227" i="19" s="1"/>
  <c r="C64" i="19"/>
  <c r="I228" i="19" s="1"/>
  <c r="D64" i="19"/>
  <c r="J229" i="19" s="1"/>
  <c r="E64" i="19"/>
  <c r="K230" i="19" s="1"/>
  <c r="F64" i="19"/>
  <c r="L231" i="19" s="1"/>
  <c r="G64" i="19"/>
  <c r="M232" i="19" s="1"/>
  <c r="B66" i="19"/>
  <c r="C66" i="19"/>
  <c r="D66" i="19"/>
  <c r="E66" i="19"/>
  <c r="F66" i="19"/>
  <c r="G66" i="19"/>
  <c r="B67" i="19"/>
  <c r="C67" i="19"/>
  <c r="D67" i="19"/>
  <c r="E67" i="19"/>
  <c r="F67" i="19"/>
  <c r="G67" i="19"/>
  <c r="B68" i="19"/>
  <c r="C68" i="19"/>
  <c r="D68" i="19"/>
  <c r="E68" i="19"/>
  <c r="F68" i="19"/>
  <c r="G68" i="19"/>
  <c r="B69" i="19"/>
  <c r="C69" i="19"/>
  <c r="D69" i="19"/>
  <c r="E69" i="19"/>
  <c r="F69" i="19"/>
  <c r="G69" i="19"/>
  <c r="B70" i="19"/>
  <c r="C70" i="19"/>
  <c r="D70" i="19"/>
  <c r="E70" i="19"/>
  <c r="F70" i="19"/>
  <c r="G70" i="19"/>
  <c r="L72" i="19"/>
  <c r="F273" i="19" s="1"/>
  <c r="K72" i="19"/>
  <c r="E273" i="19" s="1"/>
  <c r="E274" i="19" s="1"/>
  <c r="E275" i="19" s="1"/>
  <c r="E276" i="19" s="1"/>
  <c r="E277" i="19" s="1"/>
  <c r="E278" i="19" s="1"/>
  <c r="J72" i="19"/>
  <c r="D273" i="19" s="1"/>
  <c r="L66" i="19"/>
  <c r="F236" i="19" s="1"/>
  <c r="L60" i="19"/>
  <c r="F199" i="19" s="1"/>
  <c r="L57" i="19"/>
  <c r="F189" i="19" s="1"/>
  <c r="L56" i="19"/>
  <c r="F180" i="19" s="1"/>
  <c r="L49" i="19"/>
  <c r="F141" i="19" s="1"/>
  <c r="L43" i="19"/>
  <c r="F104" i="19" s="1"/>
  <c r="L40" i="19"/>
  <c r="F94" i="19" s="1"/>
  <c r="J67" i="19"/>
  <c r="D243" i="19" s="1"/>
  <c r="D244" i="19" s="1"/>
  <c r="D245" i="19" s="1"/>
  <c r="D246" i="19" s="1"/>
  <c r="D247" i="19" s="1"/>
  <c r="D248" i="19" s="1"/>
  <c r="K67" i="19"/>
  <c r="E243" i="19" s="1"/>
  <c r="E244" i="19" s="1"/>
  <c r="E245" i="19" s="1"/>
  <c r="E246" i="19" s="1"/>
  <c r="E247" i="19" s="1"/>
  <c r="E248" i="19" s="1"/>
  <c r="J68" i="19"/>
  <c r="D250" i="19" s="1"/>
  <c r="D251" i="19" s="1"/>
  <c r="D252" i="19" s="1"/>
  <c r="D253" i="19" s="1"/>
  <c r="D254" i="19" s="1"/>
  <c r="D255" i="19" s="1"/>
  <c r="K68" i="19"/>
  <c r="E250" i="19" s="1"/>
  <c r="E251" i="19" s="1"/>
  <c r="E252" i="19" s="1"/>
  <c r="E253" i="19" s="1"/>
  <c r="E254" i="19" s="1"/>
  <c r="E255" i="19" s="1"/>
  <c r="J69" i="19"/>
  <c r="D257" i="19" s="1"/>
  <c r="D258" i="19" s="1"/>
  <c r="D259" i="19" s="1"/>
  <c r="D260" i="19" s="1"/>
  <c r="D261" i="19" s="1"/>
  <c r="D262" i="19" s="1"/>
  <c r="K69" i="19"/>
  <c r="E257" i="19" s="1"/>
  <c r="E258" i="19" s="1"/>
  <c r="E259" i="19" s="1"/>
  <c r="E260" i="19" s="1"/>
  <c r="E261" i="19" s="1"/>
  <c r="E262" i="19" s="1"/>
  <c r="K70" i="19"/>
  <c r="E264" i="19" s="1"/>
  <c r="E265" i="19" s="1"/>
  <c r="E266" i="19" s="1"/>
  <c r="E267" i="19" s="1"/>
  <c r="E268" i="19" s="1"/>
  <c r="E269" i="19" s="1"/>
  <c r="K66" i="19"/>
  <c r="E236" i="19" s="1"/>
  <c r="E237" i="19" s="1"/>
  <c r="E238" i="19" s="1"/>
  <c r="E239" i="19" s="1"/>
  <c r="E240" i="19" s="1"/>
  <c r="E241" i="19" s="1"/>
  <c r="J66" i="19"/>
  <c r="D236" i="19" s="1"/>
  <c r="D237" i="19" s="1"/>
  <c r="D238" i="19" s="1"/>
  <c r="D239" i="19" s="1"/>
  <c r="D240" i="19" s="1"/>
  <c r="D241" i="19" s="1"/>
  <c r="J61" i="19"/>
  <c r="D206" i="19" s="1"/>
  <c r="D207" i="19" s="1"/>
  <c r="D208" i="19" s="1"/>
  <c r="D209" i="19" s="1"/>
  <c r="D210" i="19" s="1"/>
  <c r="D211" i="19" s="1"/>
  <c r="K61" i="19"/>
  <c r="E206" i="19" s="1"/>
  <c r="E207" i="19" s="1"/>
  <c r="E208" i="19" s="1"/>
  <c r="E209" i="19" s="1"/>
  <c r="E210" i="19" s="1"/>
  <c r="E211" i="19" s="1"/>
  <c r="J62" i="19"/>
  <c r="D213" i="19" s="1"/>
  <c r="D214" i="19" s="1"/>
  <c r="D215" i="19" s="1"/>
  <c r="D216" i="19" s="1"/>
  <c r="D217" i="19" s="1"/>
  <c r="D218" i="19" s="1"/>
  <c r="K62" i="19"/>
  <c r="E213" i="19" s="1"/>
  <c r="E214" i="19" s="1"/>
  <c r="E215" i="19" s="1"/>
  <c r="E216" i="19" s="1"/>
  <c r="E217" i="19" s="1"/>
  <c r="E218" i="19" s="1"/>
  <c r="J63" i="19"/>
  <c r="D220" i="19" s="1"/>
  <c r="D221" i="19" s="1"/>
  <c r="D222" i="19" s="1"/>
  <c r="D223" i="19" s="1"/>
  <c r="D224" i="19" s="1"/>
  <c r="D225" i="19" s="1"/>
  <c r="K63" i="19"/>
  <c r="E220" i="19" s="1"/>
  <c r="E221" i="19" s="1"/>
  <c r="E222" i="19" s="1"/>
  <c r="E223" i="19" s="1"/>
  <c r="E224" i="19" s="1"/>
  <c r="E225" i="19" s="1"/>
  <c r="K64" i="19"/>
  <c r="E227" i="19" s="1"/>
  <c r="E228" i="19" s="1"/>
  <c r="E229" i="19" s="1"/>
  <c r="E230" i="19" s="1"/>
  <c r="E231" i="19" s="1"/>
  <c r="E232" i="19" s="1"/>
  <c r="K60" i="19"/>
  <c r="E199" i="19" s="1"/>
  <c r="E200" i="19" s="1"/>
  <c r="E201" i="19" s="1"/>
  <c r="E202" i="19" s="1"/>
  <c r="E203" i="19" s="1"/>
  <c r="E204" i="19" s="1"/>
  <c r="J60" i="19"/>
  <c r="J57" i="19"/>
  <c r="D189" i="19" s="1"/>
  <c r="D190" i="19" s="1"/>
  <c r="D191" i="19" s="1"/>
  <c r="D192" i="19" s="1"/>
  <c r="D193" i="19" s="1"/>
  <c r="D194" i="19" s="1"/>
  <c r="K57" i="19"/>
  <c r="E189" i="19" s="1"/>
  <c r="E190" i="19" s="1"/>
  <c r="E191" i="19" s="1"/>
  <c r="E192" i="19" s="1"/>
  <c r="E193" i="19" s="1"/>
  <c r="E194" i="19" s="1"/>
  <c r="K56" i="19"/>
  <c r="E180" i="19" s="1"/>
  <c r="E181" i="19" s="1"/>
  <c r="E182" i="19" s="1"/>
  <c r="E183" i="19" s="1"/>
  <c r="E184" i="19" s="1"/>
  <c r="E185" i="19" s="1"/>
  <c r="J56" i="19"/>
  <c r="D180" i="19" s="1"/>
  <c r="D181" i="19" s="1"/>
  <c r="D182" i="19" s="1"/>
  <c r="D183" i="19" s="1"/>
  <c r="D184" i="19" s="1"/>
  <c r="D185" i="19" s="1"/>
  <c r="J50" i="19"/>
  <c r="D148" i="19" s="1"/>
  <c r="D149" i="19" s="1"/>
  <c r="D150" i="19" s="1"/>
  <c r="D151" i="19" s="1"/>
  <c r="D152" i="19" s="1"/>
  <c r="D153" i="19" s="1"/>
  <c r="K50" i="19"/>
  <c r="E148" i="19" s="1"/>
  <c r="E149" i="19" s="1"/>
  <c r="E150" i="19" s="1"/>
  <c r="E151" i="19" s="1"/>
  <c r="E152" i="19" s="1"/>
  <c r="E153" i="19" s="1"/>
  <c r="J51" i="19"/>
  <c r="D155" i="19" s="1"/>
  <c r="D156" i="19" s="1"/>
  <c r="D157" i="19" s="1"/>
  <c r="D158" i="19" s="1"/>
  <c r="D159" i="19" s="1"/>
  <c r="D160" i="19" s="1"/>
  <c r="K51" i="19"/>
  <c r="E155" i="19" s="1"/>
  <c r="E156" i="19" s="1"/>
  <c r="E157" i="19" s="1"/>
  <c r="E158" i="19" s="1"/>
  <c r="E159" i="19" s="1"/>
  <c r="E160" i="19" s="1"/>
  <c r="J52" i="19"/>
  <c r="D162" i="19" s="1"/>
  <c r="D163" i="19" s="1"/>
  <c r="D164" i="19" s="1"/>
  <c r="D165" i="19" s="1"/>
  <c r="D166" i="19" s="1"/>
  <c r="D167" i="19" s="1"/>
  <c r="K52" i="19"/>
  <c r="E162" i="19" s="1"/>
  <c r="E163" i="19" s="1"/>
  <c r="E164" i="19" s="1"/>
  <c r="E165" i="19" s="1"/>
  <c r="E166" i="19" s="1"/>
  <c r="E167" i="19" s="1"/>
  <c r="K53" i="19"/>
  <c r="E169" i="19" s="1"/>
  <c r="E170" i="19" s="1"/>
  <c r="E171" i="19" s="1"/>
  <c r="E172" i="19" s="1"/>
  <c r="E173" i="19" s="1"/>
  <c r="E174" i="19" s="1"/>
  <c r="K49" i="19"/>
  <c r="E141" i="19" s="1"/>
  <c r="E142" i="19" s="1"/>
  <c r="E143" i="19" s="1"/>
  <c r="E144" i="19" s="1"/>
  <c r="E145" i="19" s="1"/>
  <c r="E146" i="19" s="1"/>
  <c r="J49" i="19"/>
  <c r="D141" i="19" s="1"/>
  <c r="D142" i="19" s="1"/>
  <c r="D143" i="19" s="1"/>
  <c r="D144" i="19" s="1"/>
  <c r="D145" i="19" s="1"/>
  <c r="D146" i="19" s="1"/>
  <c r="J44" i="19"/>
  <c r="D111" i="19" s="1"/>
  <c r="D112" i="19" s="1"/>
  <c r="D113" i="19" s="1"/>
  <c r="D114" i="19" s="1"/>
  <c r="K44" i="19"/>
  <c r="E111" i="19" s="1"/>
  <c r="E112" i="19" s="1"/>
  <c r="E113" i="19" s="1"/>
  <c r="E114" i="19" s="1"/>
  <c r="E115" i="19" s="1"/>
  <c r="E116" i="19" s="1"/>
  <c r="J45" i="19"/>
  <c r="D118" i="19" s="1"/>
  <c r="D119" i="19" s="1"/>
  <c r="D120" i="19" s="1"/>
  <c r="D121" i="19" s="1"/>
  <c r="D122" i="19" s="1"/>
  <c r="D123" i="19" s="1"/>
  <c r="K45" i="19"/>
  <c r="E118" i="19" s="1"/>
  <c r="E119" i="19" s="1"/>
  <c r="E120" i="19" s="1"/>
  <c r="E121" i="19" s="1"/>
  <c r="E122" i="19" s="1"/>
  <c r="E123" i="19" s="1"/>
  <c r="J46" i="19"/>
  <c r="D125" i="19" s="1"/>
  <c r="D126" i="19" s="1"/>
  <c r="D127" i="19" s="1"/>
  <c r="D128" i="19" s="1"/>
  <c r="K46" i="19"/>
  <c r="E125" i="19" s="1"/>
  <c r="E126" i="19" s="1"/>
  <c r="E127" i="19" s="1"/>
  <c r="E128" i="19" s="1"/>
  <c r="E129" i="19" s="1"/>
  <c r="E130" i="19" s="1"/>
  <c r="K47" i="19"/>
  <c r="E132" i="19" s="1"/>
  <c r="E133" i="19" s="1"/>
  <c r="E134" i="19" s="1"/>
  <c r="E135" i="19" s="1"/>
  <c r="E136" i="19" s="1"/>
  <c r="E137" i="19" s="1"/>
  <c r="K43" i="19"/>
  <c r="E104" i="19" s="1"/>
  <c r="E105" i="19" s="1"/>
  <c r="E106" i="19" s="1"/>
  <c r="E107" i="19" s="1"/>
  <c r="E108" i="19" s="1"/>
  <c r="E109" i="19" s="1"/>
  <c r="J43" i="19"/>
  <c r="D104" i="19" s="1"/>
  <c r="D105" i="19" s="1"/>
  <c r="D106" i="19" s="1"/>
  <c r="D107" i="19" s="1"/>
  <c r="D108" i="19" s="1"/>
  <c r="D109" i="19" s="1"/>
  <c r="K39" i="19"/>
  <c r="E85" i="19" s="1"/>
  <c r="E86" i="19" s="1"/>
  <c r="E87" i="19" s="1"/>
  <c r="E88" i="19" s="1"/>
  <c r="E89" i="19" s="1"/>
  <c r="E90" i="19" s="1"/>
  <c r="K40" i="19"/>
  <c r="E94" i="19" s="1"/>
  <c r="E95" i="19" s="1"/>
  <c r="E96" i="19" s="1"/>
  <c r="E97" i="19" s="1"/>
  <c r="E98" i="19" s="1"/>
  <c r="E99" i="19" s="1"/>
  <c r="J40" i="19"/>
  <c r="D94" i="19" s="1"/>
  <c r="D95" i="19" s="1"/>
  <c r="D96" i="19" s="1"/>
  <c r="D97" i="19" s="1"/>
  <c r="D98" i="19" s="1"/>
  <c r="D99" i="19" s="1"/>
  <c r="L39" i="19"/>
  <c r="F85" i="19" s="1"/>
  <c r="J39" i="19"/>
  <c r="D85" i="19" s="1"/>
  <c r="D86" i="19" s="1"/>
  <c r="D87" i="19" s="1"/>
  <c r="D88" i="19" s="1"/>
  <c r="D89" i="19" s="1"/>
  <c r="D90" i="19" s="1"/>
  <c r="C17" i="19"/>
  <c r="F14" i="19"/>
  <c r="G14" i="19"/>
  <c r="A273" i="19"/>
  <c r="A234" i="19"/>
  <c r="A197" i="19"/>
  <c r="A196" i="19"/>
  <c r="A187" i="19"/>
  <c r="A178" i="19"/>
  <c r="A177" i="19"/>
  <c r="A176" i="19"/>
  <c r="A139" i="19"/>
  <c r="A102" i="19"/>
  <c r="A101" i="19"/>
  <c r="A92" i="19"/>
  <c r="A83" i="19"/>
  <c r="A82" i="19"/>
  <c r="A81" i="19"/>
  <c r="K108" i="14"/>
  <c r="E307" i="14" s="1"/>
  <c r="E308" i="14" s="1"/>
  <c r="E309" i="14" s="1"/>
  <c r="E310" i="14" s="1"/>
  <c r="E311" i="14" s="1"/>
  <c r="E312" i="14" s="1"/>
  <c r="J108" i="14"/>
  <c r="D307" i="14" s="1"/>
  <c r="D308" i="14" s="1"/>
  <c r="D309" i="14" s="1"/>
  <c r="D310" i="14" s="1"/>
  <c r="D311" i="14" s="1"/>
  <c r="D312" i="14" s="1"/>
  <c r="K106" i="14"/>
  <c r="E298" i="14" s="1"/>
  <c r="E299" i="14" s="1"/>
  <c r="E300" i="14" s="1"/>
  <c r="E301" i="14" s="1"/>
  <c r="E302" i="14" s="1"/>
  <c r="E303" i="14" s="1"/>
  <c r="K105" i="14"/>
  <c r="E291" i="14" s="1"/>
  <c r="E292" i="14" s="1"/>
  <c r="E293" i="14" s="1"/>
  <c r="E294" i="14" s="1"/>
  <c r="E295" i="14" s="1"/>
  <c r="E296" i="14" s="1"/>
  <c r="J105" i="14"/>
  <c r="D291" i="14" s="1"/>
  <c r="D292" i="14" s="1"/>
  <c r="D293" i="14" s="1"/>
  <c r="D294" i="14" s="1"/>
  <c r="D295" i="14" s="1"/>
  <c r="D296" i="14" s="1"/>
  <c r="K104" i="14"/>
  <c r="E284" i="14" s="1"/>
  <c r="E285" i="14" s="1"/>
  <c r="E286" i="14" s="1"/>
  <c r="E287" i="14" s="1"/>
  <c r="E288" i="14" s="1"/>
  <c r="E289" i="14" s="1"/>
  <c r="J104" i="14"/>
  <c r="D284" i="14" s="1"/>
  <c r="D285" i="14" s="1"/>
  <c r="D286" i="14" s="1"/>
  <c r="D287" i="14" s="1"/>
  <c r="D288" i="14" s="1"/>
  <c r="D289" i="14" s="1"/>
  <c r="K103" i="14"/>
  <c r="E277" i="14" s="1"/>
  <c r="E278" i="14" s="1"/>
  <c r="E279" i="14" s="1"/>
  <c r="E280" i="14" s="1"/>
  <c r="E281" i="14" s="1"/>
  <c r="E282" i="14" s="1"/>
  <c r="J103" i="14"/>
  <c r="D277" i="14" s="1"/>
  <c r="D278" i="14" s="1"/>
  <c r="D279" i="14" s="1"/>
  <c r="D280" i="14" s="1"/>
  <c r="D281" i="14" s="1"/>
  <c r="D282" i="14" s="1"/>
  <c r="K102" i="14"/>
  <c r="E270" i="14" s="1"/>
  <c r="E271" i="14" s="1"/>
  <c r="E272" i="14" s="1"/>
  <c r="E273" i="14" s="1"/>
  <c r="E274" i="14" s="1"/>
  <c r="E275" i="14" s="1"/>
  <c r="J102" i="14"/>
  <c r="D270" i="14" s="1"/>
  <c r="K100" i="14"/>
  <c r="E261" i="14" s="1"/>
  <c r="E262" i="14" s="1"/>
  <c r="E263" i="14" s="1"/>
  <c r="E264" i="14" s="1"/>
  <c r="E265" i="14" s="1"/>
  <c r="E266" i="14" s="1"/>
  <c r="K99" i="14"/>
  <c r="E254" i="14" s="1"/>
  <c r="E255" i="14" s="1"/>
  <c r="E256" i="14" s="1"/>
  <c r="E257" i="14" s="1"/>
  <c r="E258" i="14" s="1"/>
  <c r="E259" i="14" s="1"/>
  <c r="J99" i="14"/>
  <c r="D254" i="14" s="1"/>
  <c r="D255" i="14" s="1"/>
  <c r="K98" i="14"/>
  <c r="E247" i="14" s="1"/>
  <c r="E248" i="14" s="1"/>
  <c r="E249" i="14" s="1"/>
  <c r="E250" i="14" s="1"/>
  <c r="E251" i="14" s="1"/>
  <c r="E252" i="14" s="1"/>
  <c r="J98" i="14"/>
  <c r="D247" i="14" s="1"/>
  <c r="D248" i="14" s="1"/>
  <c r="D249" i="14" s="1"/>
  <c r="D250" i="14" s="1"/>
  <c r="D251" i="14" s="1"/>
  <c r="D252" i="14" s="1"/>
  <c r="K97" i="14"/>
  <c r="E240" i="14" s="1"/>
  <c r="E241" i="14" s="1"/>
  <c r="E242" i="14" s="1"/>
  <c r="E243" i="14" s="1"/>
  <c r="E244" i="14" s="1"/>
  <c r="E245" i="14" s="1"/>
  <c r="J97" i="14"/>
  <c r="D240" i="14" s="1"/>
  <c r="K96" i="14"/>
  <c r="E233" i="14" s="1"/>
  <c r="E234" i="14" s="1"/>
  <c r="E235" i="14" s="1"/>
  <c r="E236" i="14" s="1"/>
  <c r="E237" i="14" s="1"/>
  <c r="E238" i="14" s="1"/>
  <c r="J96" i="14"/>
  <c r="D233" i="14" s="1"/>
  <c r="D234" i="14" s="1"/>
  <c r="K93" i="14"/>
  <c r="E223" i="14" s="1"/>
  <c r="E224" i="14" s="1"/>
  <c r="E225" i="14" s="1"/>
  <c r="E226" i="14" s="1"/>
  <c r="E227" i="14" s="1"/>
  <c r="E228" i="14" s="1"/>
  <c r="J93" i="14"/>
  <c r="D223" i="14" s="1"/>
  <c r="D224" i="14" s="1"/>
  <c r="D225" i="14" s="1"/>
  <c r="D226" i="14" s="1"/>
  <c r="D227" i="14" s="1"/>
  <c r="D228" i="14" s="1"/>
  <c r="K92" i="14"/>
  <c r="E214" i="14" s="1"/>
  <c r="E215" i="14" s="1"/>
  <c r="E216" i="14" s="1"/>
  <c r="E217" i="14" s="1"/>
  <c r="E218" i="14" s="1"/>
  <c r="E219" i="14" s="1"/>
  <c r="J92" i="14"/>
  <c r="D214" i="14" s="1"/>
  <c r="D215" i="14" s="1"/>
  <c r="D216" i="14" s="1"/>
  <c r="D217" i="14" s="1"/>
  <c r="D218" i="14" s="1"/>
  <c r="D219" i="14" s="1"/>
  <c r="K89" i="14"/>
  <c r="E203" i="14" s="1"/>
  <c r="E204" i="14" s="1"/>
  <c r="E205" i="14" s="1"/>
  <c r="E206" i="14" s="1"/>
  <c r="E207" i="14" s="1"/>
  <c r="E208" i="14" s="1"/>
  <c r="K88" i="14"/>
  <c r="E196" i="14" s="1"/>
  <c r="J88" i="14"/>
  <c r="D196" i="14" s="1"/>
  <c r="D197" i="14" s="1"/>
  <c r="D198" i="14" s="1"/>
  <c r="D199" i="14" s="1"/>
  <c r="D200" i="14" s="1"/>
  <c r="D201" i="14" s="1"/>
  <c r="K87" i="14"/>
  <c r="E189" i="14" s="1"/>
  <c r="E190" i="14" s="1"/>
  <c r="E191" i="14" s="1"/>
  <c r="E192" i="14" s="1"/>
  <c r="E193" i="14" s="1"/>
  <c r="E194" i="14" s="1"/>
  <c r="J87" i="14"/>
  <c r="D189" i="14" s="1"/>
  <c r="K86" i="14"/>
  <c r="E182" i="14" s="1"/>
  <c r="J86" i="14"/>
  <c r="D182" i="14" s="1"/>
  <c r="D183" i="14" s="1"/>
  <c r="D184" i="14" s="1"/>
  <c r="D185" i="14" s="1"/>
  <c r="D186" i="14" s="1"/>
  <c r="D187" i="14" s="1"/>
  <c r="K85" i="14"/>
  <c r="E175" i="14" s="1"/>
  <c r="E176" i="14" s="1"/>
  <c r="E177" i="14" s="1"/>
  <c r="E178" i="14" s="1"/>
  <c r="E179" i="14" s="1"/>
  <c r="E180" i="14" s="1"/>
  <c r="J85" i="14"/>
  <c r="D175" i="14" s="1"/>
  <c r="D176" i="14" s="1"/>
  <c r="D177" i="14" s="1"/>
  <c r="D178" i="14" s="1"/>
  <c r="D179" i="14" s="1"/>
  <c r="D180" i="14" s="1"/>
  <c r="K83" i="14"/>
  <c r="E166" i="14" s="1"/>
  <c r="E167" i="14" s="1"/>
  <c r="K82" i="14"/>
  <c r="E159" i="14" s="1"/>
  <c r="E160" i="14" s="1"/>
  <c r="E161" i="14" s="1"/>
  <c r="E162" i="14" s="1"/>
  <c r="E163" i="14" s="1"/>
  <c r="E164" i="14" s="1"/>
  <c r="J82" i="14"/>
  <c r="D159" i="14" s="1"/>
  <c r="D160" i="14" s="1"/>
  <c r="D161" i="14" s="1"/>
  <c r="D162" i="14" s="1"/>
  <c r="D163" i="14" s="1"/>
  <c r="D164" i="14" s="1"/>
  <c r="K81" i="14"/>
  <c r="E152" i="14" s="1"/>
  <c r="E153" i="14" s="1"/>
  <c r="E154" i="14" s="1"/>
  <c r="E155" i="14" s="1"/>
  <c r="E156" i="14" s="1"/>
  <c r="E157" i="14" s="1"/>
  <c r="J81" i="14"/>
  <c r="D152" i="14" s="1"/>
  <c r="D153" i="14" s="1"/>
  <c r="D154" i="14" s="1"/>
  <c r="K80" i="14"/>
  <c r="E145" i="14" s="1"/>
  <c r="E146" i="14" s="1"/>
  <c r="E147" i="14" s="1"/>
  <c r="E148" i="14" s="1"/>
  <c r="E149" i="14" s="1"/>
  <c r="E150" i="14" s="1"/>
  <c r="J80" i="14"/>
  <c r="D145" i="14" s="1"/>
  <c r="D146" i="14" s="1"/>
  <c r="D147" i="14" s="1"/>
  <c r="K79" i="14"/>
  <c r="E138" i="14" s="1"/>
  <c r="E139" i="14" s="1"/>
  <c r="E140" i="14" s="1"/>
  <c r="E141" i="14" s="1"/>
  <c r="E142" i="14" s="1"/>
  <c r="E143" i="14" s="1"/>
  <c r="J79" i="14"/>
  <c r="D138" i="14" s="1"/>
  <c r="D139" i="14" s="1"/>
  <c r="D140" i="14" s="1"/>
  <c r="D141" i="14" s="1"/>
  <c r="D142" i="14" s="1"/>
  <c r="D143" i="14" s="1"/>
  <c r="K76" i="14"/>
  <c r="E128" i="14" s="1"/>
  <c r="E129" i="14" s="1"/>
  <c r="E130" i="14" s="1"/>
  <c r="E131" i="14" s="1"/>
  <c r="E132" i="14" s="1"/>
  <c r="E133" i="14" s="1"/>
  <c r="J76" i="14"/>
  <c r="D128" i="14" s="1"/>
  <c r="D129" i="14" s="1"/>
  <c r="D130" i="14" s="1"/>
  <c r="D131" i="14" s="1"/>
  <c r="D132" i="14" s="1"/>
  <c r="D133" i="14" s="1"/>
  <c r="K75" i="14"/>
  <c r="E119" i="14" s="1"/>
  <c r="E120" i="14" s="1"/>
  <c r="E121" i="14" s="1"/>
  <c r="E122" i="14" s="1"/>
  <c r="E123" i="14" s="1"/>
  <c r="E124" i="14" s="1"/>
  <c r="J75" i="14"/>
  <c r="D119" i="14" s="1"/>
  <c r="D120" i="14" s="1"/>
  <c r="D121" i="14" s="1"/>
  <c r="D122" i="14" s="1"/>
  <c r="D123" i="14" s="1"/>
  <c r="D124" i="14" s="1"/>
  <c r="F50" i="14"/>
  <c r="A307" i="14"/>
  <c r="A298" i="14"/>
  <c r="A299" i="14" s="1"/>
  <c r="A300" i="14" s="1"/>
  <c r="A301" i="14" s="1"/>
  <c r="A302" i="14" s="1"/>
  <c r="A303" i="14" s="1"/>
  <c r="A291" i="14"/>
  <c r="A292" i="14" s="1"/>
  <c r="A293" i="14" s="1"/>
  <c r="A294" i="14" s="1"/>
  <c r="A295" i="14" s="1"/>
  <c r="A296" i="14" s="1"/>
  <c r="A284" i="14"/>
  <c r="A285" i="14" s="1"/>
  <c r="A286" i="14" s="1"/>
  <c r="A287" i="14" s="1"/>
  <c r="A288" i="14" s="1"/>
  <c r="A289" i="14" s="1"/>
  <c r="A277" i="14"/>
  <c r="A278" i="14" s="1"/>
  <c r="A279" i="14" s="1"/>
  <c r="A280" i="14" s="1"/>
  <c r="A281" i="14" s="1"/>
  <c r="A282" i="14" s="1"/>
  <c r="A270" i="14"/>
  <c r="A271" i="14" s="1"/>
  <c r="A272" i="14" s="1"/>
  <c r="A273" i="14" s="1"/>
  <c r="A274" i="14" s="1"/>
  <c r="A275" i="14" s="1"/>
  <c r="A268" i="14"/>
  <c r="A261" i="14"/>
  <c r="A262" i="14" s="1"/>
  <c r="A263" i="14" s="1"/>
  <c r="A264" i="14" s="1"/>
  <c r="A265" i="14" s="1"/>
  <c r="A266" i="14" s="1"/>
  <c r="A254" i="14"/>
  <c r="A255" i="14" s="1"/>
  <c r="A256" i="14" s="1"/>
  <c r="A257" i="14" s="1"/>
  <c r="A258" i="14" s="1"/>
  <c r="A259" i="14" s="1"/>
  <c r="A247" i="14"/>
  <c r="A248" i="14" s="1"/>
  <c r="A249" i="14" s="1"/>
  <c r="A250" i="14" s="1"/>
  <c r="A251" i="14" s="1"/>
  <c r="A252" i="14" s="1"/>
  <c r="A240" i="14"/>
  <c r="A241" i="14" s="1"/>
  <c r="A242" i="14" s="1"/>
  <c r="A243" i="14" s="1"/>
  <c r="A244" i="14" s="1"/>
  <c r="A245" i="14" s="1"/>
  <c r="A233" i="14"/>
  <c r="A234" i="14" s="1"/>
  <c r="A235" i="14" s="1"/>
  <c r="A236" i="14" s="1"/>
  <c r="A237" i="14" s="1"/>
  <c r="A238" i="14" s="1"/>
  <c r="A231" i="14"/>
  <c r="A230" i="14"/>
  <c r="A221" i="14"/>
  <c r="A212" i="14"/>
  <c r="A211" i="14"/>
  <c r="A210" i="14"/>
  <c r="A203" i="14"/>
  <c r="A204" i="14" s="1"/>
  <c r="A205" i="14" s="1"/>
  <c r="A206" i="14" s="1"/>
  <c r="A207" i="14" s="1"/>
  <c r="A208" i="14" s="1"/>
  <c r="A196" i="14"/>
  <c r="A197" i="14" s="1"/>
  <c r="A198" i="14" s="1"/>
  <c r="A199" i="14" s="1"/>
  <c r="A200" i="14" s="1"/>
  <c r="A201" i="14" s="1"/>
  <c r="A189" i="14"/>
  <c r="A190" i="14" s="1"/>
  <c r="A191" i="14" s="1"/>
  <c r="A192" i="14" s="1"/>
  <c r="A193" i="14" s="1"/>
  <c r="A194" i="14" s="1"/>
  <c r="A182" i="14"/>
  <c r="A183" i="14" s="1"/>
  <c r="A184" i="14" s="1"/>
  <c r="A185" i="14" s="1"/>
  <c r="A186" i="14" s="1"/>
  <c r="A187" i="14" s="1"/>
  <c r="A175" i="14"/>
  <c r="A176" i="14" s="1"/>
  <c r="A177" i="14" s="1"/>
  <c r="A178" i="14" s="1"/>
  <c r="A179" i="14" s="1"/>
  <c r="A180" i="14" s="1"/>
  <c r="A173" i="14"/>
  <c r="A166" i="14"/>
  <c r="A167" i="14" s="1"/>
  <c r="A168" i="14" s="1"/>
  <c r="A169" i="14" s="1"/>
  <c r="A170" i="14" s="1"/>
  <c r="A171" i="14" s="1"/>
  <c r="A159" i="14"/>
  <c r="A160" i="14" s="1"/>
  <c r="A161" i="14" s="1"/>
  <c r="A162" i="14" s="1"/>
  <c r="A163" i="14" s="1"/>
  <c r="A164" i="14" s="1"/>
  <c r="A152" i="14"/>
  <c r="A153" i="14" s="1"/>
  <c r="A154" i="14" s="1"/>
  <c r="A155" i="14" s="1"/>
  <c r="A156" i="14" s="1"/>
  <c r="A157" i="14" s="1"/>
  <c r="A145" i="14"/>
  <c r="A146" i="14" s="1"/>
  <c r="A147" i="14" s="1"/>
  <c r="A148" i="14" s="1"/>
  <c r="A149" i="14" s="1"/>
  <c r="A150" i="14" s="1"/>
  <c r="A138" i="14"/>
  <c r="A139" i="14" s="1"/>
  <c r="A140" i="14" s="1"/>
  <c r="A141" i="14" s="1"/>
  <c r="A142" i="14" s="1"/>
  <c r="A143" i="14" s="1"/>
  <c r="A136" i="14"/>
  <c r="A135" i="14"/>
  <c r="A126" i="14"/>
  <c r="A117" i="14"/>
  <c r="A116" i="14"/>
  <c r="A115" i="14"/>
  <c r="B33" i="23"/>
  <c r="L85" i="23" s="1"/>
  <c r="F175" i="23" s="1"/>
  <c r="E140" i="12"/>
  <c r="B33" i="28" s="1"/>
  <c r="L81" i="28" s="1"/>
  <c r="F152" i="28" s="1"/>
  <c r="B35" i="25"/>
  <c r="L108" i="25" s="1"/>
  <c r="F300" i="25" s="1"/>
  <c r="M72" i="19"/>
  <c r="F274" i="19" s="1"/>
  <c r="M57" i="19"/>
  <c r="F190" i="19" s="1"/>
  <c r="M56" i="19"/>
  <c r="F181" i="19" s="1"/>
  <c r="E33" i="30"/>
  <c r="O105" i="30" s="1"/>
  <c r="F294" i="30" s="1"/>
  <c r="N57" i="19"/>
  <c r="F191" i="19" s="1"/>
  <c r="N72" i="19"/>
  <c r="F275" i="19" s="1"/>
  <c r="N56" i="19"/>
  <c r="F182" i="19" s="1"/>
  <c r="F33" i="30"/>
  <c r="P99" i="30" s="1"/>
  <c r="F258" i="30" s="1"/>
  <c r="G33" i="30"/>
  <c r="Q106" i="30" s="1"/>
  <c r="F303" i="30" s="1"/>
  <c r="D33" i="30"/>
  <c r="N76" i="30" s="1"/>
  <c r="F130" i="30" s="1"/>
  <c r="C33" i="30"/>
  <c r="M99" i="30" s="1"/>
  <c r="F255" i="30" s="1"/>
  <c r="O72" i="19"/>
  <c r="F276" i="19" s="1"/>
  <c r="O57" i="19"/>
  <c r="F192" i="19" s="1"/>
  <c r="O56" i="19"/>
  <c r="F183" i="19" s="1"/>
  <c r="P57" i="19"/>
  <c r="F193" i="19" s="1"/>
  <c r="P72" i="19"/>
  <c r="F277" i="19" s="1"/>
  <c r="P56" i="19"/>
  <c r="F184" i="19" s="1"/>
  <c r="Q72" i="19"/>
  <c r="F278" i="19" s="1"/>
  <c r="Q57" i="19"/>
  <c r="F194" i="19" s="1"/>
  <c r="Q56" i="19"/>
  <c r="F185" i="19" s="1"/>
  <c r="L67" i="19"/>
  <c r="F243" i="19" s="1"/>
  <c r="M66" i="19"/>
  <c r="F237" i="19" s="1"/>
  <c r="L61" i="19"/>
  <c r="F206" i="19" s="1"/>
  <c r="M60" i="19"/>
  <c r="F200" i="19" s="1"/>
  <c r="L44" i="19"/>
  <c r="F111" i="19" s="1"/>
  <c r="M49" i="19"/>
  <c r="F142" i="19" s="1"/>
  <c r="M40" i="19"/>
  <c r="F95" i="19" s="1"/>
  <c r="M43" i="19"/>
  <c r="F105" i="19" s="1"/>
  <c r="L50" i="19"/>
  <c r="F148" i="19" s="1"/>
  <c r="M39" i="19"/>
  <c r="F86" i="19" s="1"/>
  <c r="L51" i="19"/>
  <c r="F155" i="19" s="1"/>
  <c r="L62" i="19"/>
  <c r="F213" i="19" s="1"/>
  <c r="M67" i="19"/>
  <c r="F244" i="19" s="1"/>
  <c r="N60" i="19"/>
  <c r="F201" i="19" s="1"/>
  <c r="N66" i="19"/>
  <c r="F238" i="19" s="1"/>
  <c r="L68" i="19"/>
  <c r="F250" i="19" s="1"/>
  <c r="M61" i="19"/>
  <c r="F207" i="19" s="1"/>
  <c r="M62" i="19"/>
  <c r="F214" i="19" s="1"/>
  <c r="L63" i="19"/>
  <c r="F220" i="19" s="1"/>
  <c r="N67" i="19"/>
  <c r="F245" i="19" s="1"/>
  <c r="O66" i="19"/>
  <c r="F239" i="19" s="1"/>
  <c r="M50" i="19"/>
  <c r="F149" i="19" s="1"/>
  <c r="L45" i="19"/>
  <c r="F118" i="19" s="1"/>
  <c r="O40" i="19"/>
  <c r="F97" i="19" s="1"/>
  <c r="O43" i="19"/>
  <c r="F107" i="19" s="1"/>
  <c r="O39" i="19"/>
  <c r="F88" i="19" s="1"/>
  <c r="N39" i="19"/>
  <c r="F87" i="19" s="1"/>
  <c r="N49" i="19"/>
  <c r="F143" i="19" s="1"/>
  <c r="M44" i="19"/>
  <c r="F112" i="19" s="1"/>
  <c r="N40" i="19"/>
  <c r="F96" i="19" s="1"/>
  <c r="N43" i="19"/>
  <c r="F106" i="19" s="1"/>
  <c r="M51" i="19"/>
  <c r="F156" i="19" s="1"/>
  <c r="O60" i="19"/>
  <c r="F202" i="19" s="1"/>
  <c r="O67" i="19"/>
  <c r="F246" i="19" s="1"/>
  <c r="M68" i="19"/>
  <c r="F251" i="19" s="1"/>
  <c r="L69" i="19"/>
  <c r="F257" i="19" s="1"/>
  <c r="N61" i="19"/>
  <c r="F208" i="19" s="1"/>
  <c r="N62" i="19"/>
  <c r="F215" i="19" s="1"/>
  <c r="N51" i="19"/>
  <c r="F157" i="19" s="1"/>
  <c r="M63" i="19"/>
  <c r="F221" i="19" s="1"/>
  <c r="L64" i="19"/>
  <c r="F227" i="19" s="1"/>
  <c r="Q66" i="19"/>
  <c r="F241" i="19" s="1"/>
  <c r="M45" i="19"/>
  <c r="F119" i="19" s="1"/>
  <c r="P39" i="19"/>
  <c r="F89" i="19" s="1"/>
  <c r="N44" i="19"/>
  <c r="F113" i="19" s="1"/>
  <c r="L52" i="19"/>
  <c r="F162" i="19" s="1"/>
  <c r="O49" i="19"/>
  <c r="F144" i="19" s="1"/>
  <c r="N50" i="19"/>
  <c r="F150" i="19" s="1"/>
  <c r="L46" i="19"/>
  <c r="F125" i="19" s="1"/>
  <c r="P40" i="19"/>
  <c r="F98" i="19" s="1"/>
  <c r="P43" i="19"/>
  <c r="F108" i="19" s="1"/>
  <c r="P60" i="19"/>
  <c r="F203" i="19" s="1"/>
  <c r="M52" i="19"/>
  <c r="F163" i="19" s="1"/>
  <c r="L53" i="19"/>
  <c r="F169" i="19" s="1"/>
  <c r="M69" i="19"/>
  <c r="F258" i="19" s="1"/>
  <c r="L70" i="19"/>
  <c r="F264" i="19" s="1"/>
  <c r="N68" i="19"/>
  <c r="F252" i="19" s="1"/>
  <c r="P67" i="19"/>
  <c r="F247" i="19" s="1"/>
  <c r="M64" i="19"/>
  <c r="F228" i="19" s="1"/>
  <c r="O62" i="19"/>
  <c r="F216" i="19" s="1"/>
  <c r="O61" i="19"/>
  <c r="F209" i="19" s="1"/>
  <c r="O51" i="19"/>
  <c r="F158" i="19" s="1"/>
  <c r="N63" i="19"/>
  <c r="F222" i="19" s="1"/>
  <c r="N52" i="19"/>
  <c r="F164" i="19" s="1"/>
  <c r="P66" i="19"/>
  <c r="F240" i="19" s="1"/>
  <c r="N45" i="19"/>
  <c r="F120" i="19" s="1"/>
  <c r="L47" i="19"/>
  <c r="F132" i="19" s="1"/>
  <c r="Q39" i="19"/>
  <c r="F90" i="19" s="1"/>
  <c r="O44" i="19"/>
  <c r="F114" i="19" s="1"/>
  <c r="O50" i="19"/>
  <c r="F151" i="19" s="1"/>
  <c r="M46" i="19"/>
  <c r="F126" i="19" s="1"/>
  <c r="P44" i="19"/>
  <c r="F115" i="19" s="1"/>
  <c r="Q40" i="19"/>
  <c r="F99" i="19" s="1"/>
  <c r="Q43" i="19"/>
  <c r="F109" i="19" s="1"/>
  <c r="P49" i="19"/>
  <c r="F145" i="19" s="1"/>
  <c r="Q60" i="19"/>
  <c r="F204" i="19" s="1"/>
  <c r="M53" i="19"/>
  <c r="F170" i="19" s="1"/>
  <c r="M70" i="19"/>
  <c r="F265" i="19" s="1"/>
  <c r="Q67" i="19"/>
  <c r="F248" i="19" s="1"/>
  <c r="O68" i="19"/>
  <c r="F253" i="19" s="1"/>
  <c r="N69" i="19"/>
  <c r="F259" i="19" s="1"/>
  <c r="O63" i="19"/>
  <c r="F223" i="19" s="1"/>
  <c r="P61" i="19"/>
  <c r="F210" i="19" s="1"/>
  <c r="P62" i="19"/>
  <c r="F217" i="19" s="1"/>
  <c r="N64" i="19"/>
  <c r="F229" i="19" s="1"/>
  <c r="P50" i="19"/>
  <c r="F152" i="19" s="1"/>
  <c r="P51" i="19"/>
  <c r="F159" i="19" s="1"/>
  <c r="O52" i="19"/>
  <c r="F165" i="19" s="1"/>
  <c r="M47" i="19"/>
  <c r="F133" i="19" s="1"/>
  <c r="O45" i="19"/>
  <c r="F121" i="19" s="1"/>
  <c r="Q49" i="19"/>
  <c r="F146" i="19" s="1"/>
  <c r="Q44" i="19"/>
  <c r="F116" i="19" s="1"/>
  <c r="N46" i="19"/>
  <c r="F127" i="19" s="1"/>
  <c r="N53" i="19"/>
  <c r="F171" i="19" s="1"/>
  <c r="O69" i="19"/>
  <c r="F260" i="19" s="1"/>
  <c r="P68" i="19"/>
  <c r="F254" i="19" s="1"/>
  <c r="N70" i="19"/>
  <c r="F266" i="19" s="1"/>
  <c r="P63" i="19"/>
  <c r="F224" i="19" s="1"/>
  <c r="O64" i="19"/>
  <c r="F230" i="19" s="1"/>
  <c r="Q62" i="19"/>
  <c r="F218" i="19" s="1"/>
  <c r="Q61" i="19"/>
  <c r="F211" i="19" s="1"/>
  <c r="Q51" i="19"/>
  <c r="F160" i="19" s="1"/>
  <c r="Q50" i="19"/>
  <c r="F153" i="19" s="1"/>
  <c r="P52" i="19"/>
  <c r="F166" i="19" s="1"/>
  <c r="O53" i="19"/>
  <c r="F172" i="19" s="1"/>
  <c r="P45" i="19"/>
  <c r="F122" i="19" s="1"/>
  <c r="N47" i="19"/>
  <c r="F134" i="19" s="1"/>
  <c r="O46" i="19"/>
  <c r="F128" i="19" s="1"/>
  <c r="O70" i="19"/>
  <c r="F267" i="19" s="1"/>
  <c r="Q68" i="19"/>
  <c r="F255" i="19" s="1"/>
  <c r="P69" i="19"/>
  <c r="F261" i="19" s="1"/>
  <c r="Q63" i="19"/>
  <c r="F225" i="19" s="1"/>
  <c r="P64" i="19"/>
  <c r="F231" i="19" s="1"/>
  <c r="Q52" i="19"/>
  <c r="F167" i="19" s="1"/>
  <c r="P53" i="19"/>
  <c r="F173" i="19" s="1"/>
  <c r="P46" i="19"/>
  <c r="F129" i="19" s="1"/>
  <c r="O47" i="19"/>
  <c r="F135" i="19" s="1"/>
  <c r="Q45" i="19"/>
  <c r="F123" i="19" s="1"/>
  <c r="Q69" i="19"/>
  <c r="F262" i="19" s="1"/>
  <c r="P70" i="19"/>
  <c r="F268" i="19" s="1"/>
  <c r="Q64" i="19"/>
  <c r="F232" i="19" s="1"/>
  <c r="Q53" i="19"/>
  <c r="F174" i="19" s="1"/>
  <c r="P47" i="19"/>
  <c r="F136" i="19" s="1"/>
  <c r="Q46" i="19"/>
  <c r="F130" i="19" s="1"/>
  <c r="Q70" i="19"/>
  <c r="F269" i="19" s="1"/>
  <c r="Q47" i="19"/>
  <c r="F137" i="19" s="1"/>
  <c r="J8" i="85"/>
  <c r="B72" i="85"/>
  <c r="P38" i="20"/>
  <c r="P60" i="20" s="1"/>
  <c r="P138" i="20" s="1"/>
  <c r="H38" i="20"/>
  <c r="CL24" i="18"/>
  <c r="CP20" i="18"/>
  <c r="CR20" i="18"/>
  <c r="CL28" i="18"/>
  <c r="CK28" i="18"/>
  <c r="CM20" i="18"/>
  <c r="CN28" i="18"/>
  <c r="CL20" i="18"/>
  <c r="CM28" i="18"/>
  <c r="CJ24" i="18"/>
  <c r="CP24" i="18"/>
  <c r="CJ20" i="18"/>
  <c r="CQ20" i="18"/>
  <c r="CO20" i="18"/>
  <c r="CP28" i="18"/>
  <c r="CQ28" i="18"/>
  <c r="CR28" i="18"/>
  <c r="CK20" i="18"/>
  <c r="DF7" i="18"/>
  <c r="M27" i="1"/>
  <c r="P76" i="20"/>
  <c r="DG7" i="18"/>
  <c r="S48" i="20"/>
  <c r="F15" i="2"/>
  <c r="E6" i="19" s="1"/>
  <c r="E22" i="2"/>
  <c r="D13" i="19" s="1"/>
  <c r="G22" i="2"/>
  <c r="M48" i="20"/>
  <c r="J85" i="25"/>
  <c r="D168" i="25" s="1"/>
  <c r="D169" i="25" s="1"/>
  <c r="D170" i="25" s="1"/>
  <c r="D171" i="25" s="1"/>
  <c r="D172" i="25" s="1"/>
  <c r="D173" i="25" s="1"/>
  <c r="CM24" i="18"/>
  <c r="CK24" i="18"/>
  <c r="CQ22" i="18"/>
  <c r="CR24" i="18"/>
  <c r="CQ24" i="18"/>
  <c r="CN24" i="18"/>
  <c r="CO24" i="18"/>
  <c r="Q54" i="20"/>
  <c r="O17" i="82" s="1"/>
  <c r="C18" i="2"/>
  <c r="B9" i="19" s="1"/>
  <c r="BE10" i="76"/>
  <c r="W57" i="76" s="1"/>
  <c r="F14" i="2"/>
  <c r="E5" i="19" s="1"/>
  <c r="D18" i="2"/>
  <c r="C9" i="19" s="1"/>
  <c r="T72" i="20"/>
  <c r="G14" i="2"/>
  <c r="F5" i="19" s="1"/>
  <c r="Q76" i="20"/>
  <c r="D48" i="20"/>
  <c r="R54" i="20"/>
  <c r="W14" i="18" s="1"/>
  <c r="AR10" i="76"/>
  <c r="J57" i="76" s="1"/>
  <c r="I54" i="20"/>
  <c r="H54" i="20"/>
  <c r="L32" i="20"/>
  <c r="K32" i="20"/>
  <c r="L27" i="1"/>
  <c r="AZ10" i="76"/>
  <c r="R57" i="76" s="1"/>
  <c r="E18" i="2"/>
  <c r="D9" i="19" s="1"/>
  <c r="U38" i="20"/>
  <c r="U62" i="20" s="1"/>
  <c r="U140" i="20" s="1"/>
  <c r="U160" i="20" s="1"/>
  <c r="S40" i="82" s="1"/>
  <c r="E54" i="20"/>
  <c r="O32" i="20"/>
  <c r="Q39" i="20"/>
  <c r="U48" i="20"/>
  <c r="J34" i="20"/>
  <c r="N32" i="20"/>
  <c r="I34" i="20"/>
  <c r="M32" i="20"/>
  <c r="I44" i="20"/>
  <c r="H16" i="2"/>
  <c r="I38" i="20"/>
  <c r="G54" i="20"/>
  <c r="F48" i="20"/>
  <c r="H34" i="20"/>
  <c r="AW10" i="76"/>
  <c r="O57" i="76" s="1"/>
  <c r="AQ10" i="76"/>
  <c r="E34" i="20"/>
  <c r="AY10" i="76"/>
  <c r="Q57" i="76" s="1"/>
  <c r="AX10" i="76"/>
  <c r="P57" i="76" s="1"/>
  <c r="R39" i="20"/>
  <c r="E16" i="2"/>
  <c r="F31" i="20"/>
  <c r="G15" i="2"/>
  <c r="F6" i="19" s="1"/>
  <c r="F17" i="2"/>
  <c r="E8" i="19" s="1"/>
  <c r="R38" i="20"/>
  <c r="P54" i="20"/>
  <c r="U14" i="18" s="1"/>
  <c r="Q72" i="20"/>
  <c r="B62" i="20"/>
  <c r="G48" i="20"/>
  <c r="G34" i="20"/>
  <c r="O34" i="20"/>
  <c r="F16" i="2"/>
  <c r="K27" i="1"/>
  <c r="BG10" i="76"/>
  <c r="Y57" i="76" s="1"/>
  <c r="D16" i="2"/>
  <c r="C7" i="19" s="1"/>
  <c r="R72" i="20"/>
  <c r="D38" i="20"/>
  <c r="E38" i="20"/>
  <c r="E62" i="20" s="1"/>
  <c r="E140" i="20" s="1"/>
  <c r="E160" i="20" s="1"/>
  <c r="Q38" i="20"/>
  <c r="Q60" i="20" s="1"/>
  <c r="Q138" i="20" s="1"/>
  <c r="Q158" i="20" s="1"/>
  <c r="O38" i="82" s="1"/>
  <c r="O54" i="20"/>
  <c r="T14" i="18" s="1"/>
  <c r="G76" i="20"/>
  <c r="BV8" i="18"/>
  <c r="S37" i="65" s="1"/>
  <c r="F34" i="20"/>
  <c r="N34" i="20"/>
  <c r="BA10" i="76"/>
  <c r="S57" i="76" s="1"/>
  <c r="AS10" i="76"/>
  <c r="K57" i="76" s="1"/>
  <c r="BF10" i="76"/>
  <c r="X57" i="76" s="1"/>
  <c r="N54" i="20"/>
  <c r="S14" i="18" s="1"/>
  <c r="K34" i="20"/>
  <c r="M34" i="20"/>
  <c r="E33" i="20"/>
  <c r="C22" i="2"/>
  <c r="C17" i="2"/>
  <c r="J48" i="20"/>
  <c r="D34" i="20"/>
  <c r="L34" i="20"/>
  <c r="D33" i="20"/>
  <c r="AV10" i="76"/>
  <c r="N57" i="76" s="1"/>
  <c r="AU10" i="76"/>
  <c r="M57" i="76" s="1"/>
  <c r="BB10" i="76"/>
  <c r="T57" i="76" s="1"/>
  <c r="BC10" i="76"/>
  <c r="U57" i="76" s="1"/>
  <c r="AT10" i="76"/>
  <c r="L57" i="76" s="1"/>
  <c r="BD10" i="76"/>
  <c r="V57" i="76" s="1"/>
  <c r="F33" i="20"/>
  <c r="G38" i="20"/>
  <c r="U54" i="20"/>
  <c r="S17" i="82" s="1"/>
  <c r="P39" i="20"/>
  <c r="L54" i="20"/>
  <c r="O48" i="20"/>
  <c r="K54" i="20"/>
  <c r="S54" i="20"/>
  <c r="H34" i="12" s="1"/>
  <c r="E76" i="20"/>
  <c r="M76" i="20"/>
  <c r="Q48" i="20"/>
  <c r="N48" i="20"/>
  <c r="DH7" i="18"/>
  <c r="DL7" i="18"/>
  <c r="F54" i="20"/>
  <c r="C20" i="2"/>
  <c r="B11" i="19" s="1"/>
  <c r="I48" i="20"/>
  <c r="G16" i="2"/>
  <c r="F7" i="19" s="1"/>
  <c r="M54" i="20"/>
  <c r="DM7" i="18"/>
  <c r="H48" i="20"/>
  <c r="I27" i="1"/>
  <c r="E31" i="20"/>
  <c r="H18" i="2"/>
  <c r="J39" i="12" s="1"/>
  <c r="J49" i="12" s="1"/>
  <c r="G32" i="14" s="1"/>
  <c r="J54" i="20"/>
  <c r="U76" i="20"/>
  <c r="K48" i="20"/>
  <c r="E48" i="20"/>
  <c r="N27" i="1"/>
  <c r="N20" i="1"/>
  <c r="J27" i="1"/>
  <c r="DI7" i="18"/>
  <c r="F38" i="20"/>
  <c r="F60" i="20" s="1"/>
  <c r="F138" i="20" s="1"/>
  <c r="T54" i="20"/>
  <c r="Y14" i="18" s="1"/>
  <c r="L48" i="20"/>
  <c r="M30" i="20"/>
  <c r="G18" i="2"/>
  <c r="F9" i="19" s="1"/>
  <c r="K31" i="20"/>
  <c r="F53" i="23"/>
  <c r="F53" i="30"/>
  <c r="F53" i="32"/>
  <c r="E50" i="89"/>
  <c r="E50" i="28"/>
  <c r="E50" i="14"/>
  <c r="B53" i="32"/>
  <c r="E50" i="30"/>
  <c r="E52" i="25"/>
  <c r="E50" i="23"/>
  <c r="E50" i="40"/>
  <c r="E14" i="19"/>
  <c r="F53" i="17"/>
  <c r="E50" i="17"/>
  <c r="E50" i="38"/>
  <c r="D17" i="19"/>
  <c r="G50" i="14"/>
  <c r="C53" i="14"/>
  <c r="E53" i="17"/>
  <c r="C53" i="40"/>
  <c r="G50" i="32"/>
  <c r="C53" i="28"/>
  <c r="C53" i="23"/>
  <c r="G50" i="17"/>
  <c r="G50" i="38"/>
  <c r="E53" i="30"/>
  <c r="E53" i="28"/>
  <c r="E17" i="19"/>
  <c r="D53" i="28"/>
  <c r="E53" i="23"/>
  <c r="C52" i="25"/>
  <c r="C14" i="19"/>
  <c r="C50" i="14"/>
  <c r="C50" i="89"/>
  <c r="C50" i="28"/>
  <c r="C50" i="30"/>
  <c r="C50" i="32"/>
  <c r="C50" i="17"/>
  <c r="C50" i="38"/>
  <c r="C50" i="23"/>
  <c r="F15" i="19"/>
  <c r="C50" i="40"/>
  <c r="E53" i="89"/>
  <c r="E55" i="25"/>
  <c r="E53" i="38"/>
  <c r="E53" i="14"/>
  <c r="D53" i="14"/>
  <c r="E53" i="40"/>
  <c r="CK101" i="18"/>
  <c r="CQ85" i="18"/>
  <c r="CZ114" i="18"/>
  <c r="D50" i="28"/>
  <c r="D50" i="38"/>
  <c r="D50" i="89"/>
  <c r="D50" i="40"/>
  <c r="D50" i="23"/>
  <c r="D50" i="30"/>
  <c r="D50" i="17"/>
  <c r="D50" i="14"/>
  <c r="D52" i="25"/>
  <c r="D14" i="19"/>
  <c r="B18" i="19"/>
  <c r="G18" i="19"/>
  <c r="B50" i="89"/>
  <c r="B50" i="23"/>
  <c r="B50" i="30"/>
  <c r="B50" i="17"/>
  <c r="B52" i="25"/>
  <c r="B50" i="40"/>
  <c r="B50" i="38"/>
  <c r="B50" i="28"/>
  <c r="B14" i="19"/>
  <c r="E15" i="19"/>
  <c r="B55" i="25"/>
  <c r="B53" i="40"/>
  <c r="B53" i="28"/>
  <c r="B53" i="38"/>
  <c r="B53" i="23"/>
  <c r="B53" i="17"/>
  <c r="B53" i="14"/>
  <c r="G53" i="89"/>
  <c r="G53" i="32"/>
  <c r="G53" i="28"/>
  <c r="G53" i="38"/>
  <c r="G53" i="14"/>
  <c r="G53" i="23"/>
  <c r="G53" i="30"/>
  <c r="G53" i="17"/>
  <c r="G53" i="40"/>
  <c r="G17" i="19"/>
  <c r="F53" i="89"/>
  <c r="F53" i="28"/>
  <c r="F53" i="38"/>
  <c r="F53" i="14"/>
  <c r="F17" i="19"/>
  <c r="D53" i="89"/>
  <c r="D53" i="23"/>
  <c r="D53" i="30"/>
  <c r="D53" i="17"/>
  <c r="D55" i="25"/>
  <c r="D53" i="40"/>
  <c r="B17" i="19"/>
  <c r="B50" i="32"/>
  <c r="D53" i="32"/>
  <c r="G55" i="25"/>
  <c r="CK72" i="18"/>
  <c r="CN56" i="18"/>
  <c r="CY114" i="18"/>
  <c r="CM72" i="18"/>
  <c r="CQ43" i="18"/>
  <c r="CT85" i="18"/>
  <c r="CL101" i="18"/>
  <c r="CJ85" i="18"/>
  <c r="CM101" i="18"/>
  <c r="CP43" i="18"/>
  <c r="CL72" i="18"/>
  <c r="CQ101" i="18"/>
  <c r="CQ56" i="18"/>
  <c r="DB56" i="18"/>
  <c r="CU85" i="18"/>
  <c r="CZ85" i="18"/>
  <c r="CP72" i="18"/>
  <c r="CP23" i="18" s="1"/>
  <c r="CV85" i="18"/>
  <c r="CN85" i="18"/>
  <c r="CX85" i="18"/>
  <c r="CR114" i="18"/>
  <c r="CR85" i="18"/>
  <c r="CK100" i="18"/>
  <c r="CK26" i="18" s="1"/>
  <c r="CK114" i="18"/>
  <c r="CY85" i="18"/>
  <c r="CK85" i="18"/>
  <c r="CM85" i="18"/>
  <c r="CW85" i="18"/>
  <c r="CP85" i="18"/>
  <c r="DA85" i="18"/>
  <c r="CJ101" i="18"/>
  <c r="CJ27" i="18" s="1"/>
  <c r="CN43" i="18"/>
  <c r="CN19" i="18" s="1"/>
  <c r="CO43" i="18"/>
  <c r="CR72" i="18"/>
  <c r="CR23" i="18" s="1"/>
  <c r="CV84" i="18"/>
  <c r="DA114" i="18"/>
  <c r="CJ56" i="18"/>
  <c r="CK56" i="18"/>
  <c r="DA56" i="18"/>
  <c r="CQ72" i="18"/>
  <c r="CN101" i="18"/>
  <c r="CN27" i="18" s="1"/>
  <c r="CM114" i="18"/>
  <c r="CJ72" i="18"/>
  <c r="CJ23" i="18" s="1"/>
  <c r="CN114" i="18"/>
  <c r="CK43" i="18"/>
  <c r="CL43" i="18"/>
  <c r="CV56" i="18"/>
  <c r="CO56" i="18"/>
  <c r="CJ114" i="18"/>
  <c r="CU114" i="18"/>
  <c r="CT56" i="18"/>
  <c r="CL85" i="18"/>
  <c r="CT114" i="18"/>
  <c r="CL114" i="18"/>
  <c r="CQ114" i="18"/>
  <c r="CR43" i="18"/>
  <c r="CR19" i="18" s="1"/>
  <c r="DB85" i="18"/>
  <c r="CO114" i="18"/>
  <c r="CO85" i="18"/>
  <c r="CO72" i="18"/>
  <c r="CO23" i="18" s="1"/>
  <c r="CW56" i="18"/>
  <c r="CU56" i="18"/>
  <c r="CM56" i="18"/>
  <c r="CP56" i="18"/>
  <c r="CN72" i="18"/>
  <c r="CP114" i="18"/>
  <c r="CM84" i="18"/>
  <c r="CJ113" i="18"/>
  <c r="CY56" i="18"/>
  <c r="CL56" i="18"/>
  <c r="CP101" i="18"/>
  <c r="CP27" i="18" s="1"/>
  <c r="CO101" i="18"/>
  <c r="CO27" i="18" s="1"/>
  <c r="CW114" i="18"/>
  <c r="DB114" i="18"/>
  <c r="CM43" i="18"/>
  <c r="CZ56" i="18"/>
  <c r="CR56" i="18"/>
  <c r="CX56" i="18"/>
  <c r="CR101" i="18"/>
  <c r="CR27" i="18" s="1"/>
  <c r="CX114" i="18"/>
  <c r="CU55" i="18"/>
  <c r="CJ43" i="18"/>
  <c r="CJ19" i="18" s="1"/>
  <c r="CM113" i="18"/>
  <c r="DA84" i="18"/>
  <c r="DB84" i="18"/>
  <c r="CV114" i="18"/>
  <c r="CT55" i="18"/>
  <c r="B53" i="89"/>
  <c r="D109" i="20"/>
  <c r="DK6" i="18"/>
  <c r="O33" i="20"/>
  <c r="K33" i="20"/>
  <c r="L33" i="20"/>
  <c r="M33" i="20"/>
  <c r="N33" i="20"/>
  <c r="CE8" i="18"/>
  <c r="DT6" i="18" s="1"/>
  <c r="DM6" i="18"/>
  <c r="DL6" i="18"/>
  <c r="DF6" i="18"/>
  <c r="DI6" i="18"/>
  <c r="D121" i="20"/>
  <c r="E121" i="20"/>
  <c r="CB8" i="18"/>
  <c r="DQ6" i="18" s="1"/>
  <c r="DN6" i="18"/>
  <c r="F121" i="20"/>
  <c r="DH6" i="18"/>
  <c r="DJ6" i="18"/>
  <c r="DG6" i="18"/>
  <c r="CD8" i="18"/>
  <c r="DS6" i="18" s="1"/>
  <c r="CC8" i="18"/>
  <c r="DR6" i="18" s="1"/>
  <c r="G35" i="25"/>
  <c r="Q91" i="25" s="1"/>
  <c r="F210" i="25" s="1"/>
  <c r="G121" i="20"/>
  <c r="F35" i="25"/>
  <c r="P87" i="25" s="1"/>
  <c r="F181" i="25" s="1"/>
  <c r="H121" i="20"/>
  <c r="D35" i="25"/>
  <c r="N106" i="25" s="1"/>
  <c r="F288" i="25" s="1"/>
  <c r="E35" i="25"/>
  <c r="O78" i="25" s="1"/>
  <c r="F133" i="25" s="1"/>
  <c r="C35" i="25"/>
  <c r="M106" i="25" s="1"/>
  <c r="F287" i="25" s="1"/>
  <c r="I121" i="20"/>
  <c r="J121" i="20"/>
  <c r="K121" i="20"/>
  <c r="L121" i="20"/>
  <c r="M121" i="20"/>
  <c r="I13" i="82"/>
  <c r="S18" i="18"/>
  <c r="S17" i="18"/>
  <c r="K13" i="82"/>
  <c r="N121" i="20"/>
  <c r="E40" i="19"/>
  <c r="D55" i="2"/>
  <c r="C39" i="19"/>
  <c r="I86" i="19" s="1"/>
  <c r="G40" i="19"/>
  <c r="G55" i="2"/>
  <c r="F39" i="19"/>
  <c r="L89" i="19" s="1"/>
  <c r="F55" i="2"/>
  <c r="E39" i="19"/>
  <c r="K88" i="19" s="1"/>
  <c r="F40" i="19"/>
  <c r="D39" i="19"/>
  <c r="J87" i="19" s="1"/>
  <c r="R87" i="19" s="1"/>
  <c r="E55" i="2"/>
  <c r="C55" i="2"/>
  <c r="B39" i="19"/>
  <c r="H85" i="19" s="1"/>
  <c r="G39" i="19"/>
  <c r="M90" i="19" s="1"/>
  <c r="H55" i="2"/>
  <c r="B40" i="19"/>
  <c r="D40" i="19"/>
  <c r="C40" i="19"/>
  <c r="U17" i="18"/>
  <c r="P121" i="20"/>
  <c r="N13" i="82"/>
  <c r="U18" i="18"/>
  <c r="V17" i="18"/>
  <c r="Q121" i="20"/>
  <c r="O13" i="82"/>
  <c r="V18" i="18"/>
  <c r="W18" i="18"/>
  <c r="P13" i="82"/>
  <c r="W17" i="18"/>
  <c r="R121" i="20"/>
  <c r="X17" i="18"/>
  <c r="Q13" i="82"/>
  <c r="S121" i="20"/>
  <c r="X18" i="18"/>
  <c r="Y18" i="18"/>
  <c r="Y17" i="18"/>
  <c r="T121" i="20"/>
  <c r="R13" i="82"/>
  <c r="Z18" i="18"/>
  <c r="U121" i="20"/>
  <c r="Z17" i="18"/>
  <c r="S13" i="82"/>
  <c r="O15" i="20"/>
  <c r="O16" i="20"/>
  <c r="T18" i="18"/>
  <c r="T17" i="18"/>
  <c r="O121" i="20"/>
  <c r="L13" i="82"/>
  <c r="K18" i="12"/>
  <c r="K17" i="12"/>
  <c r="K16" i="12"/>
  <c r="K19" i="12"/>
  <c r="P12" i="86"/>
  <c r="K20" i="12"/>
  <c r="J83" i="14" l="1"/>
  <c r="D166" i="14" s="1"/>
  <c r="D167" i="14" s="1"/>
  <c r="D168" i="14" s="1"/>
  <c r="L99" i="14"/>
  <c r="F254" i="14" s="1"/>
  <c r="F13" i="19"/>
  <c r="F75" i="2"/>
  <c r="C200" i="19"/>
  <c r="D199" i="19"/>
  <c r="D200" i="19" s="1"/>
  <c r="D201" i="19" s="1"/>
  <c r="D202" i="19" s="1"/>
  <c r="D203" i="19" s="1"/>
  <c r="D204" i="19" s="1"/>
  <c r="BV11" i="18"/>
  <c r="I20" i="86" s="1"/>
  <c r="N17" i="1"/>
  <c r="N16" i="1" s="1"/>
  <c r="L108" i="14"/>
  <c r="F307" i="14" s="1"/>
  <c r="L103" i="14"/>
  <c r="F277" i="14" s="1"/>
  <c r="Q82" i="30"/>
  <c r="F164" i="30" s="1"/>
  <c r="J83" i="17"/>
  <c r="D166" i="17" s="1"/>
  <c r="D167" i="17" s="1"/>
  <c r="D168" i="17" s="1"/>
  <c r="D169" i="17" s="1"/>
  <c r="D170" i="17" s="1"/>
  <c r="D171" i="17" s="1"/>
  <c r="J83" i="28"/>
  <c r="D166" i="28" s="1"/>
  <c r="D167" i="28" s="1"/>
  <c r="D168" i="28" s="1"/>
  <c r="D169" i="28" s="1"/>
  <c r="D170" i="28" s="1"/>
  <c r="D171" i="28" s="1"/>
  <c r="J47" i="19"/>
  <c r="D132" i="19" s="1"/>
  <c r="D133" i="19" s="1"/>
  <c r="D134" i="19" s="1"/>
  <c r="D135" i="19" s="1"/>
  <c r="D136" i="19" s="1"/>
  <c r="D137" i="19" s="1"/>
  <c r="J83" i="40"/>
  <c r="D166" i="40" s="1"/>
  <c r="D167" i="40" s="1"/>
  <c r="D168" i="40" s="1"/>
  <c r="D169" i="40" s="1"/>
  <c r="D170" i="40" s="1"/>
  <c r="D171" i="40" s="1"/>
  <c r="J83" i="23"/>
  <c r="D166" i="23" s="1"/>
  <c r="D167" i="23" s="1"/>
  <c r="D168" i="23" s="1"/>
  <c r="D169" i="23" s="1"/>
  <c r="D170" i="23" s="1"/>
  <c r="D171" i="23" s="1"/>
  <c r="J83" i="30"/>
  <c r="D166" i="30" s="1"/>
  <c r="D167" i="30" s="1"/>
  <c r="D168" i="30" s="1"/>
  <c r="D169" i="30" s="1"/>
  <c r="D170" i="30" s="1"/>
  <c r="D171" i="30" s="1"/>
  <c r="J83" i="32"/>
  <c r="D166" i="32" s="1"/>
  <c r="D167" i="32" s="1"/>
  <c r="D168" i="32" s="1"/>
  <c r="D169" i="32" s="1"/>
  <c r="D170" i="32" s="1"/>
  <c r="D171" i="32" s="1"/>
  <c r="J83" i="38"/>
  <c r="D166" i="38" s="1"/>
  <c r="D167" i="38" s="1"/>
  <c r="D168" i="38" s="1"/>
  <c r="D169" i="38" s="1"/>
  <c r="D170" i="38" s="1"/>
  <c r="D171" i="38" s="1"/>
  <c r="BV10" i="18"/>
  <c r="BS31" i="18" s="1"/>
  <c r="O10" i="20"/>
  <c r="O7" i="20" s="1"/>
  <c r="O24" i="20" s="1"/>
  <c r="BV9" i="18"/>
  <c r="BS26" i="18" s="1"/>
  <c r="N10" i="20"/>
  <c r="N7" i="20" s="1"/>
  <c r="N118" i="20" s="1"/>
  <c r="J106" i="30"/>
  <c r="D298" i="30" s="1"/>
  <c r="D299" i="30" s="1"/>
  <c r="F58" i="2"/>
  <c r="E58" i="2"/>
  <c r="E54" i="2" s="1"/>
  <c r="E75" i="2"/>
  <c r="E71" i="2" s="1"/>
  <c r="CL23" i="18"/>
  <c r="CQ23" i="18"/>
  <c r="CM27" i="18"/>
  <c r="CM26" i="18"/>
  <c r="CP26" i="18"/>
  <c r="CJ26" i="18"/>
  <c r="CQ19" i="18"/>
  <c r="Q86" i="40"/>
  <c r="F187" i="40" s="1"/>
  <c r="Q93" i="40"/>
  <c r="F228" i="40" s="1"/>
  <c r="P99" i="89"/>
  <c r="F258" i="89" s="1"/>
  <c r="CL27" i="18"/>
  <c r="CL22" i="18"/>
  <c r="CM23" i="18"/>
  <c r="CO22" i="18"/>
  <c r="CN18" i="18"/>
  <c r="CO19" i="18"/>
  <c r="CL19" i="18"/>
  <c r="CO18" i="18"/>
  <c r="CM19" i="18"/>
  <c r="CK19" i="18"/>
  <c r="CJ18" i="18"/>
  <c r="CQ18" i="18"/>
  <c r="CP19" i="18"/>
  <c r="CM18" i="18"/>
  <c r="CP18" i="18"/>
  <c r="CM22" i="18"/>
  <c r="CN23" i="18"/>
  <c r="CK23" i="18"/>
  <c r="CQ27" i="18"/>
  <c r="CK27" i="18"/>
  <c r="CL26" i="18"/>
  <c r="AV155" i="18"/>
  <c r="CD7" i="18"/>
  <c r="CC7" i="18" s="1"/>
  <c r="CC11" i="18" s="1"/>
  <c r="AX86" i="18"/>
  <c r="I59" i="83" s="1"/>
  <c r="B69" i="83"/>
  <c r="O91" i="25"/>
  <c r="F208" i="25" s="1"/>
  <c r="Q93" i="30"/>
  <c r="F228" i="30" s="1"/>
  <c r="O97" i="40"/>
  <c r="F243" i="40" s="1"/>
  <c r="P87" i="40"/>
  <c r="F193" i="40" s="1"/>
  <c r="I72" i="83"/>
  <c r="G70" i="83"/>
  <c r="AP51" i="18"/>
  <c r="AQ51" i="18" s="1"/>
  <c r="P89" i="40"/>
  <c r="F207" i="40" s="1"/>
  <c r="J70" i="83"/>
  <c r="AH28" i="76"/>
  <c r="AI28" i="76" s="1"/>
  <c r="AI41" i="76" s="1"/>
  <c r="B71" i="83"/>
  <c r="BM28" i="76"/>
  <c r="BL28" i="76" s="1"/>
  <c r="BK28" i="76" s="1"/>
  <c r="BJ28" i="76" s="1"/>
  <c r="P30" i="65"/>
  <c r="L102" i="38"/>
  <c r="F270" i="38" s="1"/>
  <c r="H58" i="2"/>
  <c r="H54" i="2" s="1"/>
  <c r="I10" i="82"/>
  <c r="P12" i="20"/>
  <c r="S12" i="20" s="1"/>
  <c r="E9" i="25" s="1"/>
  <c r="N65" i="20"/>
  <c r="N68" i="20" s="1"/>
  <c r="L79" i="32"/>
  <c r="F138" i="32" s="1"/>
  <c r="L96" i="28"/>
  <c r="F233" i="28" s="1"/>
  <c r="P103" i="30"/>
  <c r="F281" i="30" s="1"/>
  <c r="L76" i="32"/>
  <c r="F128" i="32" s="1"/>
  <c r="L75" i="28"/>
  <c r="F119" i="28" s="1"/>
  <c r="L105" i="89"/>
  <c r="F291" i="89" s="1"/>
  <c r="L105" i="28"/>
  <c r="F291" i="28" s="1"/>
  <c r="L102" i="89"/>
  <c r="F270" i="89" s="1"/>
  <c r="L85" i="89"/>
  <c r="F175" i="89" s="1"/>
  <c r="N98" i="40"/>
  <c r="F249" i="40" s="1"/>
  <c r="Q83" i="30"/>
  <c r="F171" i="30" s="1"/>
  <c r="L97" i="32"/>
  <c r="F240" i="32" s="1"/>
  <c r="Q105" i="30"/>
  <c r="F296" i="30" s="1"/>
  <c r="Q92" i="30"/>
  <c r="F219" i="30" s="1"/>
  <c r="N99" i="25"/>
  <c r="F244" i="25" s="1"/>
  <c r="L104" i="89"/>
  <c r="F284" i="89" s="1"/>
  <c r="Q96" i="30"/>
  <c r="F238" i="30" s="1"/>
  <c r="N110" i="25"/>
  <c r="F311" i="25" s="1"/>
  <c r="N94" i="25"/>
  <c r="F218" i="25" s="1"/>
  <c r="L92" i="89"/>
  <c r="F214" i="89" s="1"/>
  <c r="L73" i="14"/>
  <c r="Q104" i="30"/>
  <c r="F289" i="30" s="1"/>
  <c r="L88" i="89"/>
  <c r="F196" i="89" s="1"/>
  <c r="L108" i="89"/>
  <c r="F307" i="89" s="1"/>
  <c r="Q88" i="30"/>
  <c r="F201" i="30" s="1"/>
  <c r="L85" i="32"/>
  <c r="F175" i="32" s="1"/>
  <c r="L104" i="28"/>
  <c r="F284" i="28" s="1"/>
  <c r="P86" i="30"/>
  <c r="F186" i="30" s="1"/>
  <c r="L100" i="32"/>
  <c r="F261" i="32" s="1"/>
  <c r="Q87" i="30"/>
  <c r="F194" i="30" s="1"/>
  <c r="L105" i="40"/>
  <c r="F291" i="40" s="1"/>
  <c r="L88" i="32"/>
  <c r="F196" i="32" s="1"/>
  <c r="L105" i="25"/>
  <c r="F279" i="25" s="1"/>
  <c r="Q79" i="30"/>
  <c r="F143" i="30" s="1"/>
  <c r="G71" i="83"/>
  <c r="N104" i="25"/>
  <c r="F274" i="25" s="1"/>
  <c r="L92" i="14"/>
  <c r="F214" i="14" s="1"/>
  <c r="P88" i="30"/>
  <c r="F200" i="30" s="1"/>
  <c r="L82" i="28"/>
  <c r="F159" i="28" s="1"/>
  <c r="Q108" i="30"/>
  <c r="F312" i="30" s="1"/>
  <c r="Q97" i="30"/>
  <c r="F245" i="30" s="1"/>
  <c r="Q75" i="30"/>
  <c r="F124" i="30" s="1"/>
  <c r="Q103" i="30"/>
  <c r="F282" i="30" s="1"/>
  <c r="K65" i="20"/>
  <c r="K68" i="20" s="1"/>
  <c r="P88" i="40"/>
  <c r="F200" i="40" s="1"/>
  <c r="L92" i="28"/>
  <c r="F214" i="28" s="1"/>
  <c r="L92" i="32"/>
  <c r="F214" i="32" s="1"/>
  <c r="L104" i="40"/>
  <c r="F284" i="40" s="1"/>
  <c r="Q89" i="30"/>
  <c r="F208" i="30" s="1"/>
  <c r="P85" i="30"/>
  <c r="F179" i="30" s="1"/>
  <c r="J31" i="83"/>
  <c r="L104" i="14"/>
  <c r="F284" i="14" s="1"/>
  <c r="O86" i="89"/>
  <c r="F185" i="89" s="1"/>
  <c r="L99" i="32"/>
  <c r="F254" i="32" s="1"/>
  <c r="Q102" i="30"/>
  <c r="F275" i="30" s="1"/>
  <c r="L107" i="25"/>
  <c r="F293" i="25" s="1"/>
  <c r="M98" i="30"/>
  <c r="F248" i="30" s="1"/>
  <c r="D112" i="20"/>
  <c r="L89" i="28"/>
  <c r="F203" i="28" s="1"/>
  <c r="M83" i="25"/>
  <c r="F155" i="25" s="1"/>
  <c r="L106" i="32"/>
  <c r="F298" i="32" s="1"/>
  <c r="M98" i="25"/>
  <c r="F236" i="25" s="1"/>
  <c r="P79" i="30"/>
  <c r="F142" i="30" s="1"/>
  <c r="L88" i="40"/>
  <c r="F196" i="40" s="1"/>
  <c r="L108" i="32"/>
  <c r="F307" i="32" s="1"/>
  <c r="L83" i="32"/>
  <c r="F166" i="32" s="1"/>
  <c r="L81" i="25"/>
  <c r="F140" i="25" s="1"/>
  <c r="L103" i="28"/>
  <c r="F277" i="28" s="1"/>
  <c r="L86" i="32"/>
  <c r="F182" i="32" s="1"/>
  <c r="T10" i="65"/>
  <c r="U10" i="65" s="1"/>
  <c r="V10" i="65" s="1"/>
  <c r="W10" i="65" s="1"/>
  <c r="X10" i="65" s="1"/>
  <c r="E65" i="20"/>
  <c r="E68" i="20" s="1"/>
  <c r="L98" i="28"/>
  <c r="F247" i="28" s="1"/>
  <c r="L104" i="32"/>
  <c r="F284" i="32" s="1"/>
  <c r="M91" i="25"/>
  <c r="F206" i="25" s="1"/>
  <c r="P108" i="30"/>
  <c r="F311" i="30" s="1"/>
  <c r="L97" i="40"/>
  <c r="F240" i="40" s="1"/>
  <c r="L87" i="32"/>
  <c r="F189" i="32" s="1"/>
  <c r="L89" i="32"/>
  <c r="F203" i="32" s="1"/>
  <c r="L85" i="28"/>
  <c r="F175" i="28" s="1"/>
  <c r="P102" i="89"/>
  <c r="F274" i="89" s="1"/>
  <c r="Q86" i="89"/>
  <c r="F187" i="89" s="1"/>
  <c r="O105" i="25"/>
  <c r="F282" i="25" s="1"/>
  <c r="L70" i="83"/>
  <c r="M104" i="25"/>
  <c r="F273" i="25" s="1"/>
  <c r="T73" i="83"/>
  <c r="M81" i="25"/>
  <c r="F141" i="25" s="1"/>
  <c r="O66" i="20"/>
  <c r="O69" i="20" s="1"/>
  <c r="P87" i="30"/>
  <c r="F193" i="30" s="1"/>
  <c r="L81" i="40"/>
  <c r="F152" i="40" s="1"/>
  <c r="L102" i="32"/>
  <c r="F270" i="32" s="1"/>
  <c r="L93" i="32"/>
  <c r="F223" i="32" s="1"/>
  <c r="L98" i="32"/>
  <c r="F247" i="32" s="1"/>
  <c r="L102" i="28"/>
  <c r="F270" i="28" s="1"/>
  <c r="L75" i="32"/>
  <c r="F119" i="32" s="1"/>
  <c r="I84" i="20"/>
  <c r="J118" i="20"/>
  <c r="L115" i="20"/>
  <c r="L80" i="32"/>
  <c r="F145" i="32" s="1"/>
  <c r="L103" i="32"/>
  <c r="F277" i="32" s="1"/>
  <c r="R70" i="83"/>
  <c r="P83" i="30"/>
  <c r="F170" i="30" s="1"/>
  <c r="U6" i="18"/>
  <c r="L87" i="40"/>
  <c r="F189" i="40" s="1"/>
  <c r="L82" i="32"/>
  <c r="F159" i="32" s="1"/>
  <c r="L81" i="32"/>
  <c r="F152" i="32" s="1"/>
  <c r="L105" i="32"/>
  <c r="F291" i="32" s="1"/>
  <c r="L80" i="28"/>
  <c r="F145" i="28" s="1"/>
  <c r="Q105" i="89"/>
  <c r="F296" i="89" s="1"/>
  <c r="F65" i="20"/>
  <c r="F68" i="20" s="1"/>
  <c r="T53" i="20"/>
  <c r="J75" i="20"/>
  <c r="T48" i="20"/>
  <c r="T57" i="20" s="1"/>
  <c r="T131" i="20" s="1"/>
  <c r="T151" i="20" s="1"/>
  <c r="R31" i="82" s="1"/>
  <c r="P48" i="20"/>
  <c r="P57" i="20" s="1"/>
  <c r="P131" i="20" s="1"/>
  <c r="P151" i="20" s="1"/>
  <c r="N31" i="82" s="1"/>
  <c r="F62" i="20"/>
  <c r="F140" i="20" s="1"/>
  <c r="F160" i="20" s="1"/>
  <c r="D61" i="20"/>
  <c r="R48" i="20"/>
  <c r="R57" i="20" s="1"/>
  <c r="R131" i="20" s="1"/>
  <c r="R151" i="20" s="1"/>
  <c r="P31" i="82" s="1"/>
  <c r="F45" i="20"/>
  <c r="F87" i="20" s="1"/>
  <c r="F20" i="2"/>
  <c r="H35" i="12" s="1"/>
  <c r="D22" i="2"/>
  <c r="C13" i="19" s="1"/>
  <c r="L47" i="20"/>
  <c r="L49" i="20" s="1"/>
  <c r="J30" i="20"/>
  <c r="U75" i="20"/>
  <c r="K30" i="20"/>
  <c r="Q47" i="20"/>
  <c r="Q56" i="20" s="1"/>
  <c r="D20" i="2"/>
  <c r="C11" i="19" s="1"/>
  <c r="E58" i="25"/>
  <c r="E56" i="40"/>
  <c r="N62" i="20"/>
  <c r="N140" i="20" s="1"/>
  <c r="N160" i="20" s="1"/>
  <c r="K40" i="82" s="1"/>
  <c r="N61" i="20"/>
  <c r="N139" i="20" s="1"/>
  <c r="N159" i="20" s="1"/>
  <c r="K39" i="82" s="1"/>
  <c r="O114" i="20"/>
  <c r="F22" i="2"/>
  <c r="E13" i="19" s="1"/>
  <c r="R47" i="20"/>
  <c r="R49" i="20" s="1"/>
  <c r="H61" i="76"/>
  <c r="M57" i="20"/>
  <c r="M131" i="20" s="1"/>
  <c r="M151" i="20" s="1"/>
  <c r="N111" i="20"/>
  <c r="I47" i="20"/>
  <c r="I49" i="20" s="1"/>
  <c r="G9" i="19"/>
  <c r="H22" i="2"/>
  <c r="G13" i="19" s="1"/>
  <c r="J95" i="20"/>
  <c r="J122" i="20" s="1"/>
  <c r="O111" i="20"/>
  <c r="D21" i="2"/>
  <c r="C48" i="23" s="1"/>
  <c r="Q57" i="20"/>
  <c r="Q131" i="20" s="1"/>
  <c r="Q151" i="20" s="1"/>
  <c r="O31" i="82" s="1"/>
  <c r="E51" i="20"/>
  <c r="U60" i="20"/>
  <c r="U138" i="20" s="1"/>
  <c r="U158" i="20" s="1"/>
  <c r="S38" i="82" s="1"/>
  <c r="E69" i="32"/>
  <c r="E56" i="20"/>
  <c r="E130" i="20" s="1"/>
  <c r="E150" i="20" s="1"/>
  <c r="I93" i="20"/>
  <c r="R42" i="20"/>
  <c r="L112" i="20"/>
  <c r="O52" i="20"/>
  <c r="O142" i="20" s="1"/>
  <c r="O78" i="20"/>
  <c r="M51" i="20"/>
  <c r="E69" i="17"/>
  <c r="E69" i="28"/>
  <c r="E69" i="40"/>
  <c r="U61" i="20"/>
  <c r="U139" i="20" s="1"/>
  <c r="U159" i="20" s="1"/>
  <c r="S39" i="82" s="1"/>
  <c r="U57" i="20"/>
  <c r="U131" i="20" s="1"/>
  <c r="U151" i="20" s="1"/>
  <c r="S31" i="82" s="1"/>
  <c r="D57" i="20"/>
  <c r="N112" i="20"/>
  <c r="N115" i="20"/>
  <c r="H75" i="20"/>
  <c r="Q75" i="20"/>
  <c r="N57" i="20"/>
  <c r="N131" i="20" s="1"/>
  <c r="R78" i="20"/>
  <c r="U51" i="20"/>
  <c r="S18" i="82" s="1"/>
  <c r="G75" i="20"/>
  <c r="P75" i="20"/>
  <c r="K93" i="20"/>
  <c r="G45" i="20"/>
  <c r="G87" i="20" s="1"/>
  <c r="E61" i="20"/>
  <c r="E139" i="20" s="1"/>
  <c r="E159" i="20" s="1"/>
  <c r="G77" i="20"/>
  <c r="S75" i="20"/>
  <c r="F78" i="20"/>
  <c r="H56" i="20"/>
  <c r="H130" i="20" s="1"/>
  <c r="H150" i="20" s="1"/>
  <c r="E45" i="20"/>
  <c r="E87" i="20" s="1"/>
  <c r="B65" i="32"/>
  <c r="T42" i="20"/>
  <c r="K77" i="20"/>
  <c r="N42" i="20"/>
  <c r="DS5" i="18" s="1"/>
  <c r="D69" i="32"/>
  <c r="B65" i="17"/>
  <c r="B69" i="32"/>
  <c r="B69" i="14"/>
  <c r="U47" i="20"/>
  <c r="U49" i="20" s="1"/>
  <c r="H20" i="2"/>
  <c r="G11" i="19" s="1"/>
  <c r="C68" i="38"/>
  <c r="C68" i="17"/>
  <c r="D47" i="20"/>
  <c r="D56" i="20" s="1"/>
  <c r="P47" i="20"/>
  <c r="X14" i="18"/>
  <c r="AW86" i="18" s="1"/>
  <c r="H59" i="83" s="1"/>
  <c r="P17" i="82"/>
  <c r="S60" i="20"/>
  <c r="S138" i="20" s="1"/>
  <c r="S158" i="20" s="1"/>
  <c r="Q38" i="82" s="1"/>
  <c r="F69" i="38"/>
  <c r="F69" i="40"/>
  <c r="K114" i="20"/>
  <c r="B67" i="25"/>
  <c r="O47" i="20"/>
  <c r="O29" i="20" s="1"/>
  <c r="O28" i="20" s="1"/>
  <c r="H21" i="2"/>
  <c r="G50" i="25" s="1"/>
  <c r="B65" i="14"/>
  <c r="AV14" i="18"/>
  <c r="F69" i="23"/>
  <c r="D60" i="20"/>
  <c r="R51" i="20"/>
  <c r="P18" i="82" s="1"/>
  <c r="I92" i="20"/>
  <c r="N47" i="20"/>
  <c r="N29" i="20" s="1"/>
  <c r="N28" i="20" s="1"/>
  <c r="Q42" i="20"/>
  <c r="N51" i="20"/>
  <c r="K18" i="82" s="1"/>
  <c r="H60" i="20"/>
  <c r="H138" i="20" s="1"/>
  <c r="H158" i="20" s="1"/>
  <c r="DF8" i="18"/>
  <c r="B65" i="40"/>
  <c r="K29" i="20"/>
  <c r="O60" i="20"/>
  <c r="O138" i="20" s="1"/>
  <c r="O158" i="20" s="1"/>
  <c r="L38" i="82" s="1"/>
  <c r="G39" i="12"/>
  <c r="G49" i="12" s="1"/>
  <c r="D32" i="14" s="1"/>
  <c r="F69" i="28"/>
  <c r="E68" i="28"/>
  <c r="G62" i="20"/>
  <c r="G140" i="20" s="1"/>
  <c r="G160" i="20" s="1"/>
  <c r="Q17" i="82"/>
  <c r="L17" i="82"/>
  <c r="D68" i="23"/>
  <c r="C65" i="89"/>
  <c r="G8" i="19"/>
  <c r="M241" i="19" s="1"/>
  <c r="Q62" i="20"/>
  <c r="Q140" i="20" s="1"/>
  <c r="Q160" i="20" s="1"/>
  <c r="O40" i="82" s="1"/>
  <c r="E48" i="32"/>
  <c r="H45" i="20"/>
  <c r="H86" i="20" s="1"/>
  <c r="B50" i="25"/>
  <c r="B23" i="25" s="1"/>
  <c r="F65" i="32"/>
  <c r="E29" i="20"/>
  <c r="E28" i="20" s="1"/>
  <c r="E90" i="20" s="1"/>
  <c r="C69" i="23"/>
  <c r="B48" i="23"/>
  <c r="B21" i="23" s="1"/>
  <c r="D68" i="14"/>
  <c r="D68" i="32"/>
  <c r="L106" i="23"/>
  <c r="F298" i="23" s="1"/>
  <c r="N92" i="40"/>
  <c r="F216" i="40" s="1"/>
  <c r="O105" i="89"/>
  <c r="F294" i="89" s="1"/>
  <c r="L105" i="30"/>
  <c r="F291" i="30" s="1"/>
  <c r="I45" i="20"/>
  <c r="I87" i="20" s="1"/>
  <c r="O104" i="25"/>
  <c r="F275" i="25" s="1"/>
  <c r="O83" i="89"/>
  <c r="F169" i="89" s="1"/>
  <c r="L79" i="14"/>
  <c r="F138" i="14" s="1"/>
  <c r="L105" i="23"/>
  <c r="F291" i="23" s="1"/>
  <c r="C68" i="32"/>
  <c r="L83" i="20"/>
  <c r="P53" i="76" s="1"/>
  <c r="M90" i="25"/>
  <c r="F199" i="25" s="1"/>
  <c r="O89" i="25"/>
  <c r="F194" i="25" s="1"/>
  <c r="O84" i="25"/>
  <c r="F164" i="25" s="1"/>
  <c r="R62" i="20"/>
  <c r="R140" i="20" s="1"/>
  <c r="R160" i="20" s="1"/>
  <c r="P40" i="82" s="1"/>
  <c r="I95" i="20"/>
  <c r="I122" i="20" s="1"/>
  <c r="P61" i="20"/>
  <c r="P139" i="20" s="1"/>
  <c r="P159" i="20" s="1"/>
  <c r="L83" i="89"/>
  <c r="F166" i="89" s="1"/>
  <c r="L98" i="89"/>
  <c r="F247" i="89" s="1"/>
  <c r="AU6" i="18"/>
  <c r="AV6" i="18" s="1"/>
  <c r="AW6" i="18" s="1"/>
  <c r="AX6" i="18" s="1"/>
  <c r="AY6" i="18" s="1"/>
  <c r="L73" i="38"/>
  <c r="L88" i="14"/>
  <c r="F196" i="14" s="1"/>
  <c r="L85" i="14"/>
  <c r="F175" i="14" s="1"/>
  <c r="L100" i="17"/>
  <c r="F261" i="17" s="1"/>
  <c r="P76" i="30"/>
  <c r="F132" i="30" s="1"/>
  <c r="P104" i="30"/>
  <c r="F288" i="30" s="1"/>
  <c r="L96" i="40"/>
  <c r="F233" i="40" s="1"/>
  <c r="O103" i="89"/>
  <c r="F280" i="89" s="1"/>
  <c r="P75" i="30"/>
  <c r="F123" i="30" s="1"/>
  <c r="L60" i="20"/>
  <c r="L138" i="20" s="1"/>
  <c r="L158" i="20" s="1"/>
  <c r="L97" i="14"/>
  <c r="F240" i="14" s="1"/>
  <c r="L76" i="28"/>
  <c r="F128" i="28" s="1"/>
  <c r="L83" i="28"/>
  <c r="F166" i="28" s="1"/>
  <c r="L76" i="14"/>
  <c r="F128" i="14" s="1"/>
  <c r="D32" i="19"/>
  <c r="O88" i="40"/>
  <c r="F199" i="40" s="1"/>
  <c r="N114" i="20"/>
  <c r="P92" i="30"/>
  <c r="F218" i="30" s="1"/>
  <c r="L62" i="20"/>
  <c r="L140" i="20" s="1"/>
  <c r="L160" i="20" s="1"/>
  <c r="DG8" i="18"/>
  <c r="N45" i="20"/>
  <c r="N87" i="20" s="1"/>
  <c r="S11" i="18" s="1"/>
  <c r="AR11" i="18" s="1"/>
  <c r="O82" i="89"/>
  <c r="F162" i="89" s="1"/>
  <c r="G65" i="20"/>
  <c r="G68" i="20" s="1"/>
  <c r="M95" i="25"/>
  <c r="F226" i="25" s="1"/>
  <c r="O94" i="25"/>
  <c r="F219" i="25" s="1"/>
  <c r="N76" i="89"/>
  <c r="F130" i="89" s="1"/>
  <c r="N88" i="40"/>
  <c r="F198" i="40" s="1"/>
  <c r="P13" i="20"/>
  <c r="Q13" i="20" s="1"/>
  <c r="R13" i="20" s="1"/>
  <c r="O99" i="25"/>
  <c r="F245" i="25" s="1"/>
  <c r="L102" i="14"/>
  <c r="F270" i="14" s="1"/>
  <c r="N103" i="40"/>
  <c r="F279" i="40" s="1"/>
  <c r="L108" i="28"/>
  <c r="F307" i="28" s="1"/>
  <c r="D68" i="40"/>
  <c r="N79" i="89"/>
  <c r="F140" i="89" s="1"/>
  <c r="M107" i="25"/>
  <c r="F294" i="25" s="1"/>
  <c r="M82" i="25"/>
  <c r="F148" i="25" s="1"/>
  <c r="O100" i="25"/>
  <c r="F252" i="25" s="1"/>
  <c r="N77" i="25"/>
  <c r="F123" i="25" s="1"/>
  <c r="Q88" i="25"/>
  <c r="F189" i="25" s="1"/>
  <c r="R17" i="82"/>
  <c r="R60" i="20"/>
  <c r="R138" i="20" s="1"/>
  <c r="R158" i="20" s="1"/>
  <c r="P38" i="82" s="1"/>
  <c r="S51" i="20"/>
  <c r="Q18" i="82" s="1"/>
  <c r="M66" i="20"/>
  <c r="M69" i="20" s="1"/>
  <c r="L81" i="89"/>
  <c r="F152" i="89" s="1"/>
  <c r="M108" i="89"/>
  <c r="F308" i="89" s="1"/>
  <c r="B119" i="17"/>
  <c r="B247" i="17" s="1"/>
  <c r="B248" i="17" s="1"/>
  <c r="B249" i="17" s="1"/>
  <c r="B250" i="17" s="1"/>
  <c r="L106" i="14"/>
  <c r="F298" i="14" s="1"/>
  <c r="L105" i="14"/>
  <c r="F291" i="14" s="1"/>
  <c r="L98" i="14"/>
  <c r="F247" i="14" s="1"/>
  <c r="L76" i="17"/>
  <c r="F128" i="17" s="1"/>
  <c r="P89" i="30"/>
  <c r="F207" i="30" s="1"/>
  <c r="P102" i="30"/>
  <c r="F274" i="30" s="1"/>
  <c r="L102" i="40"/>
  <c r="F270" i="40" s="1"/>
  <c r="L106" i="89"/>
  <c r="F298" i="89" s="1"/>
  <c r="O97" i="89"/>
  <c r="F243" i="89" s="1"/>
  <c r="O85" i="89"/>
  <c r="F178" i="89" s="1"/>
  <c r="P97" i="30"/>
  <c r="F244" i="30" s="1"/>
  <c r="L61" i="20"/>
  <c r="L139" i="20" s="1"/>
  <c r="L159" i="20" s="1"/>
  <c r="L87" i="28"/>
  <c r="F189" i="28" s="1"/>
  <c r="L100" i="14"/>
  <c r="F261" i="14" s="1"/>
  <c r="L88" i="28"/>
  <c r="F196" i="28" s="1"/>
  <c r="L100" i="28"/>
  <c r="F261" i="28" s="1"/>
  <c r="O82" i="40"/>
  <c r="F162" i="40" s="1"/>
  <c r="H111" i="17"/>
  <c r="I111" i="17" s="1"/>
  <c r="J111" i="17" s="1"/>
  <c r="L108" i="40"/>
  <c r="F307" i="40" s="1"/>
  <c r="P93" i="30"/>
  <c r="F227" i="30" s="1"/>
  <c r="N105" i="40"/>
  <c r="F293" i="40" s="1"/>
  <c r="P82" i="30"/>
  <c r="F163" i="30" s="1"/>
  <c r="D93" i="20"/>
  <c r="G53" i="20"/>
  <c r="V14" i="18"/>
  <c r="AU86" i="18" s="1"/>
  <c r="F59" i="83" s="1"/>
  <c r="L86" i="23"/>
  <c r="F182" i="23" s="1"/>
  <c r="L75" i="14"/>
  <c r="F119" i="14" s="1"/>
  <c r="M94" i="25"/>
  <c r="F217" i="25" s="1"/>
  <c r="L104" i="23"/>
  <c r="F284" i="23" s="1"/>
  <c r="L80" i="17"/>
  <c r="F145" i="17" s="1"/>
  <c r="L102" i="30"/>
  <c r="F270" i="30" s="1"/>
  <c r="M88" i="25"/>
  <c r="F185" i="25" s="1"/>
  <c r="M87" i="25"/>
  <c r="F178" i="25" s="1"/>
  <c r="O106" i="25"/>
  <c r="F289" i="25" s="1"/>
  <c r="N101" i="25"/>
  <c r="F258" i="25" s="1"/>
  <c r="L93" i="14"/>
  <c r="F223" i="14" s="1"/>
  <c r="L96" i="14"/>
  <c r="F233" i="14" s="1"/>
  <c r="L87" i="14"/>
  <c r="F189" i="14" s="1"/>
  <c r="P105" i="30"/>
  <c r="F295" i="30" s="1"/>
  <c r="P80" i="30"/>
  <c r="F149" i="30" s="1"/>
  <c r="L76" i="89"/>
  <c r="F128" i="89" s="1"/>
  <c r="O100" i="89"/>
  <c r="F264" i="89" s="1"/>
  <c r="O104" i="89"/>
  <c r="F287" i="89" s="1"/>
  <c r="L92" i="38"/>
  <c r="F214" i="38" s="1"/>
  <c r="L86" i="14"/>
  <c r="F182" i="14" s="1"/>
  <c r="L93" i="28"/>
  <c r="F223" i="28" s="1"/>
  <c r="L79" i="28"/>
  <c r="F138" i="28" s="1"/>
  <c r="L99" i="28"/>
  <c r="F254" i="28" s="1"/>
  <c r="O81" i="40"/>
  <c r="F155" i="40" s="1"/>
  <c r="P81" i="30"/>
  <c r="F156" i="30" s="1"/>
  <c r="L99" i="40"/>
  <c r="F254" i="40" s="1"/>
  <c r="O92" i="89"/>
  <c r="F217" i="89" s="1"/>
  <c r="K56" i="20"/>
  <c r="K130" i="20" s="1"/>
  <c r="K150" i="20" s="1"/>
  <c r="E77" i="20"/>
  <c r="E48" i="14"/>
  <c r="L80" i="14"/>
  <c r="F145" i="14" s="1"/>
  <c r="O65" i="20"/>
  <c r="O68" i="20" s="1"/>
  <c r="M105" i="25"/>
  <c r="F280" i="25" s="1"/>
  <c r="L97" i="28"/>
  <c r="F240" i="28" s="1"/>
  <c r="P78" i="20"/>
  <c r="F49" i="20"/>
  <c r="M100" i="25"/>
  <c r="F250" i="25" s="1"/>
  <c r="M99" i="25"/>
  <c r="F243" i="25" s="1"/>
  <c r="O83" i="25"/>
  <c r="F157" i="25" s="1"/>
  <c r="L66" i="20"/>
  <c r="L69" i="20" s="1"/>
  <c r="L73" i="89"/>
  <c r="K60" i="20"/>
  <c r="K138" i="20" s="1"/>
  <c r="K158" i="20" s="1"/>
  <c r="L81" i="14"/>
  <c r="F152" i="14" s="1"/>
  <c r="L82" i="14"/>
  <c r="F159" i="14" s="1"/>
  <c r="P96" i="30"/>
  <c r="F237" i="30" s="1"/>
  <c r="P100" i="30"/>
  <c r="F265" i="30" s="1"/>
  <c r="O87" i="40"/>
  <c r="F192" i="40" s="1"/>
  <c r="O81" i="89"/>
  <c r="F155" i="89" s="1"/>
  <c r="P98" i="30"/>
  <c r="F251" i="30" s="1"/>
  <c r="L76" i="38"/>
  <c r="F128" i="38" s="1"/>
  <c r="L83" i="14"/>
  <c r="F166" i="14" s="1"/>
  <c r="L90" i="25"/>
  <c r="F198" i="25" s="1"/>
  <c r="L106" i="28"/>
  <c r="F298" i="28" s="1"/>
  <c r="L86" i="28"/>
  <c r="F182" i="28" s="1"/>
  <c r="P106" i="30"/>
  <c r="F302" i="30" s="1"/>
  <c r="N88" i="89"/>
  <c r="F198" i="89" s="1"/>
  <c r="F65" i="30"/>
  <c r="E56" i="14"/>
  <c r="K53" i="20"/>
  <c r="F34" i="12"/>
  <c r="F44" i="12" s="1"/>
  <c r="C27" i="14" s="1"/>
  <c r="V30" i="18" s="1"/>
  <c r="AU96" i="18" s="1"/>
  <c r="F74" i="85" s="1"/>
  <c r="Q97" i="40"/>
  <c r="F245" i="40" s="1"/>
  <c r="L87" i="17"/>
  <c r="F189" i="17" s="1"/>
  <c r="F56" i="23"/>
  <c r="C68" i="23"/>
  <c r="L105" i="38"/>
  <c r="F291" i="38" s="1"/>
  <c r="C71" i="25"/>
  <c r="E56" i="17"/>
  <c r="F52" i="20"/>
  <c r="AR7" i="76" s="1"/>
  <c r="J54" i="76" s="1"/>
  <c r="E56" i="89"/>
  <c r="S61" i="20"/>
  <c r="S139" i="20" s="1"/>
  <c r="S159" i="20" s="1"/>
  <c r="Q39" i="82" s="1"/>
  <c r="Q103" i="40"/>
  <c r="F282" i="40" s="1"/>
  <c r="L108" i="17"/>
  <c r="F307" i="17" s="1"/>
  <c r="BQ25" i="18"/>
  <c r="F56" i="17"/>
  <c r="L98" i="38"/>
  <c r="F247" i="38" s="1"/>
  <c r="L81" i="38"/>
  <c r="F152" i="38" s="1"/>
  <c r="M115" i="20"/>
  <c r="O75" i="20"/>
  <c r="F72" i="83"/>
  <c r="E73" i="83"/>
  <c r="N87" i="25"/>
  <c r="F179" i="25" s="1"/>
  <c r="R53" i="20"/>
  <c r="Z14" i="18"/>
  <c r="AY14" i="18" s="1"/>
  <c r="R61" i="20"/>
  <c r="R139" i="20" s="1"/>
  <c r="R159" i="20" s="1"/>
  <c r="P39" i="82" s="1"/>
  <c r="DH5" i="18"/>
  <c r="DG5" i="18" s="1"/>
  <c r="DF5" i="18" s="1"/>
  <c r="D69" i="30"/>
  <c r="I75" i="20"/>
  <c r="Q105" i="40"/>
  <c r="F296" i="40" s="1"/>
  <c r="L86" i="17"/>
  <c r="F182" i="17" s="1"/>
  <c r="L79" i="17"/>
  <c r="F138" i="17" s="1"/>
  <c r="C69" i="40"/>
  <c r="F56" i="89"/>
  <c r="O75" i="40"/>
  <c r="F122" i="40" s="1"/>
  <c r="M76" i="30"/>
  <c r="F129" i="30" s="1"/>
  <c r="L106" i="38"/>
  <c r="F298" i="38" s="1"/>
  <c r="T60" i="20"/>
  <c r="T138" i="20" s="1"/>
  <c r="T158" i="20" s="1"/>
  <c r="R38" i="82" s="1"/>
  <c r="BC6" i="76"/>
  <c r="L81" i="30"/>
  <c r="F152" i="30" s="1"/>
  <c r="N99" i="40"/>
  <c r="F256" i="40" s="1"/>
  <c r="N82" i="40"/>
  <c r="F161" i="40" s="1"/>
  <c r="N87" i="30"/>
  <c r="F191" i="30" s="1"/>
  <c r="F56" i="32"/>
  <c r="F56" i="38"/>
  <c r="L83" i="30"/>
  <c r="F166" i="30" s="1"/>
  <c r="L82" i="38"/>
  <c r="F159" i="38" s="1"/>
  <c r="L114" i="20"/>
  <c r="O96" i="30"/>
  <c r="F236" i="30" s="1"/>
  <c r="T61" i="20"/>
  <c r="T139" i="20" s="1"/>
  <c r="T159" i="20" s="1"/>
  <c r="R39" i="82" s="1"/>
  <c r="N79" i="40"/>
  <c r="F140" i="40" s="1"/>
  <c r="D115" i="20"/>
  <c r="S52" i="20"/>
  <c r="BE7" i="76" s="1"/>
  <c r="W54" i="76" s="1"/>
  <c r="J78" i="20"/>
  <c r="D78" i="20"/>
  <c r="H66" i="20"/>
  <c r="H69" i="20" s="1"/>
  <c r="Q71" i="83"/>
  <c r="H29" i="20"/>
  <c r="H28" i="20" s="1"/>
  <c r="H90" i="20" s="1"/>
  <c r="Q92" i="40"/>
  <c r="F219" i="40" s="1"/>
  <c r="BQ32" i="18"/>
  <c r="D69" i="89"/>
  <c r="F56" i="30"/>
  <c r="L85" i="17"/>
  <c r="F175" i="17" s="1"/>
  <c r="L103" i="38"/>
  <c r="F277" i="38" s="1"/>
  <c r="B70" i="83"/>
  <c r="N78" i="25"/>
  <c r="F132" i="25" s="1"/>
  <c r="O108" i="40"/>
  <c r="F310" i="40" s="1"/>
  <c r="L96" i="30"/>
  <c r="F233" i="30" s="1"/>
  <c r="E20" i="19"/>
  <c r="R52" i="20"/>
  <c r="R142" i="20" s="1"/>
  <c r="M112" i="20"/>
  <c r="F73" i="83"/>
  <c r="E70" i="83"/>
  <c r="N107" i="25"/>
  <c r="F295" i="25" s="1"/>
  <c r="BS21" i="18"/>
  <c r="G78" i="20"/>
  <c r="S57" i="20"/>
  <c r="S131" i="20" s="1"/>
  <c r="S151" i="20" s="1"/>
  <c r="Q31" i="82" s="1"/>
  <c r="B48" i="14"/>
  <c r="B21" i="14" s="1"/>
  <c r="D69" i="28"/>
  <c r="Q108" i="40"/>
  <c r="F312" i="40" s="1"/>
  <c r="L92" i="17"/>
  <c r="F214" i="17" s="1"/>
  <c r="L83" i="17"/>
  <c r="F166" i="17" s="1"/>
  <c r="N97" i="40"/>
  <c r="F242" i="40" s="1"/>
  <c r="C33" i="19"/>
  <c r="C45" i="40"/>
  <c r="M73" i="40" s="1"/>
  <c r="F58" i="25"/>
  <c r="O83" i="40"/>
  <c r="F169" i="40" s="1"/>
  <c r="L87" i="38"/>
  <c r="F189" i="38" s="1"/>
  <c r="O104" i="30"/>
  <c r="F287" i="30" s="1"/>
  <c r="L106" i="17"/>
  <c r="F298" i="17" s="1"/>
  <c r="AG41" i="76"/>
  <c r="L93" i="30"/>
  <c r="F223" i="30" s="1"/>
  <c r="M86" i="30"/>
  <c r="F183" i="30" s="1"/>
  <c r="F56" i="14"/>
  <c r="L75" i="30"/>
  <c r="F119" i="30" s="1"/>
  <c r="E56" i="32"/>
  <c r="C69" i="32"/>
  <c r="N93" i="40"/>
  <c r="F225" i="40" s="1"/>
  <c r="L89" i="17"/>
  <c r="F203" i="17" s="1"/>
  <c r="P86" i="40"/>
  <c r="F186" i="40" s="1"/>
  <c r="D114" i="20"/>
  <c r="K112" i="20"/>
  <c r="E114" i="20"/>
  <c r="M114" i="20"/>
  <c r="K115" i="20"/>
  <c r="J42" i="20"/>
  <c r="I77" i="20"/>
  <c r="L75" i="20"/>
  <c r="T75" i="20"/>
  <c r="L84" i="20"/>
  <c r="J65" i="20"/>
  <c r="J68" i="20" s="1"/>
  <c r="N66" i="20"/>
  <c r="N69" i="20" s="1"/>
  <c r="H61" i="20"/>
  <c r="H139" i="20" s="1"/>
  <c r="H159" i="20" s="1"/>
  <c r="L105" i="17"/>
  <c r="F291" i="17" s="1"/>
  <c r="L104" i="17"/>
  <c r="F284" i="17" s="1"/>
  <c r="H62" i="20"/>
  <c r="H140" i="20" s="1"/>
  <c r="H160" i="20" s="1"/>
  <c r="L99" i="17"/>
  <c r="F254" i="17" s="1"/>
  <c r="T62" i="20"/>
  <c r="T140" i="20" s="1"/>
  <c r="T160" i="20" s="1"/>
  <c r="R40" i="82" s="1"/>
  <c r="C68" i="40"/>
  <c r="R75" i="20"/>
  <c r="G72" i="83"/>
  <c r="K57" i="20"/>
  <c r="K131" i="20" s="1"/>
  <c r="K151" i="20" s="1"/>
  <c r="D69" i="17"/>
  <c r="L88" i="30"/>
  <c r="F196" i="30" s="1"/>
  <c r="F56" i="28"/>
  <c r="O81" i="30"/>
  <c r="F155" i="30" s="1"/>
  <c r="O45" i="20"/>
  <c r="O86" i="20" s="1"/>
  <c r="T8" i="18" s="1"/>
  <c r="G114" i="20"/>
  <c r="S70" i="83"/>
  <c r="F70" i="83"/>
  <c r="K92" i="20"/>
  <c r="N85" i="25"/>
  <c r="F170" i="25" s="1"/>
  <c r="K66" i="20"/>
  <c r="K69" i="20" s="1"/>
  <c r="I18" i="86"/>
  <c r="R77" i="20"/>
  <c r="Q108" i="89"/>
  <c r="F312" i="89" s="1"/>
  <c r="P30" i="20"/>
  <c r="K61" i="20"/>
  <c r="K139" i="20" s="1"/>
  <c r="K159" i="20" s="1"/>
  <c r="Q76" i="40"/>
  <c r="F133" i="40" s="1"/>
  <c r="L98" i="17"/>
  <c r="F247" i="17" s="1"/>
  <c r="L88" i="17"/>
  <c r="F196" i="17" s="1"/>
  <c r="N75" i="40"/>
  <c r="F121" i="40" s="1"/>
  <c r="C69" i="28"/>
  <c r="F56" i="40"/>
  <c r="O93" i="40"/>
  <c r="F226" i="40" s="1"/>
  <c r="L100" i="38"/>
  <c r="F261" i="38" s="1"/>
  <c r="L80" i="38"/>
  <c r="F145" i="38" s="1"/>
  <c r="N75" i="30"/>
  <c r="F121" i="30" s="1"/>
  <c r="L102" i="17"/>
  <c r="F270" i="17" s="1"/>
  <c r="L104" i="30"/>
  <c r="F284" i="30" s="1"/>
  <c r="L85" i="30"/>
  <c r="F175" i="30" s="1"/>
  <c r="M61" i="20"/>
  <c r="M139" i="20" s="1"/>
  <c r="M159" i="20" s="1"/>
  <c r="C69" i="38"/>
  <c r="C69" i="14"/>
  <c r="C68" i="30"/>
  <c r="L86" i="30"/>
  <c r="F182" i="30" s="1"/>
  <c r="L85" i="38"/>
  <c r="F175" i="38" s="1"/>
  <c r="P85" i="40"/>
  <c r="F179" i="40" s="1"/>
  <c r="P105" i="40"/>
  <c r="F295" i="40" s="1"/>
  <c r="E56" i="30"/>
  <c r="M56" i="20"/>
  <c r="M130" i="20" s="1"/>
  <c r="L117" i="20"/>
  <c r="H78" i="20"/>
  <c r="DN8" i="18"/>
  <c r="G29" i="20"/>
  <c r="G28" i="20" s="1"/>
  <c r="G89" i="20" s="1"/>
  <c r="G120" i="20" s="1"/>
  <c r="Q88" i="40"/>
  <c r="F201" i="40" s="1"/>
  <c r="M60" i="20"/>
  <c r="M138" i="20" s="1"/>
  <c r="L93" i="17"/>
  <c r="F223" i="17" s="1"/>
  <c r="T51" i="20"/>
  <c r="R18" i="82" s="1"/>
  <c r="L75" i="17"/>
  <c r="F119" i="17" s="1"/>
  <c r="BQ22" i="18"/>
  <c r="M62" i="20"/>
  <c r="M140" i="20" s="1"/>
  <c r="M160" i="20" s="1"/>
  <c r="O93" i="30"/>
  <c r="F226" i="30" s="1"/>
  <c r="Q78" i="20"/>
  <c r="J73" i="83"/>
  <c r="L81" i="17"/>
  <c r="F152" i="17" s="1"/>
  <c r="E56" i="38"/>
  <c r="L99" i="30"/>
  <c r="F254" i="30" s="1"/>
  <c r="L89" i="38"/>
  <c r="F203" i="38" s="1"/>
  <c r="O71" i="83"/>
  <c r="J72" i="83"/>
  <c r="B90" i="85"/>
  <c r="B93" i="85" s="1"/>
  <c r="N88" i="25"/>
  <c r="F186" i="25" s="1"/>
  <c r="P77" i="25"/>
  <c r="F125" i="25" s="1"/>
  <c r="Q78" i="25"/>
  <c r="F135" i="25" s="1"/>
  <c r="P29" i="20"/>
  <c r="K83" i="20"/>
  <c r="O53" i="76" s="1"/>
  <c r="BO28" i="76"/>
  <c r="BO41" i="76" s="1"/>
  <c r="B48" i="40"/>
  <c r="B21" i="40" s="1"/>
  <c r="Q89" i="40"/>
  <c r="F208" i="40" s="1"/>
  <c r="Q83" i="40"/>
  <c r="F171" i="40" s="1"/>
  <c r="L103" i="17"/>
  <c r="F277" i="17" s="1"/>
  <c r="L96" i="17"/>
  <c r="F233" i="17" s="1"/>
  <c r="N86" i="40"/>
  <c r="F184" i="40" s="1"/>
  <c r="C69" i="30"/>
  <c r="O102" i="40"/>
  <c r="F273" i="40" s="1"/>
  <c r="L79" i="38"/>
  <c r="F138" i="38" s="1"/>
  <c r="L97" i="38"/>
  <c r="F240" i="38" s="1"/>
  <c r="L51" i="20"/>
  <c r="L97" i="17"/>
  <c r="F240" i="17" s="1"/>
  <c r="L97" i="30"/>
  <c r="F240" i="30" s="1"/>
  <c r="O85" i="40"/>
  <c r="F178" i="40" s="1"/>
  <c r="C69" i="17"/>
  <c r="P75" i="40"/>
  <c r="F123" i="40" s="1"/>
  <c r="P96" i="40"/>
  <c r="F237" i="40" s="1"/>
  <c r="K45" i="20"/>
  <c r="K87" i="20" s="1"/>
  <c r="D45" i="20"/>
  <c r="D87" i="20" s="1"/>
  <c r="L62" i="76"/>
  <c r="H84" i="12"/>
  <c r="E29" i="25" s="1"/>
  <c r="X72" i="18" s="1"/>
  <c r="AW128" i="18" s="1"/>
  <c r="R80" i="85" s="1"/>
  <c r="H114" i="12"/>
  <c r="E27" i="40" s="1"/>
  <c r="X142" i="18" s="1"/>
  <c r="H44" i="12"/>
  <c r="E27" i="14" s="1"/>
  <c r="X30" i="18" s="1"/>
  <c r="AW96" i="18" s="1"/>
  <c r="H74" i="85" s="1"/>
  <c r="H134" i="12"/>
  <c r="E27" i="28" s="1"/>
  <c r="X100" i="18" s="1"/>
  <c r="AW24" i="18" s="1"/>
  <c r="R59" i="83" s="1"/>
  <c r="H124" i="12"/>
  <c r="E27" i="89" s="1"/>
  <c r="X156" i="18" s="1"/>
  <c r="H74" i="12"/>
  <c r="E27" i="23" s="1"/>
  <c r="X58" i="18" s="1"/>
  <c r="AW106" i="18" s="1"/>
  <c r="H80" i="85" s="1"/>
  <c r="H144" i="12"/>
  <c r="E27" i="30" s="1"/>
  <c r="X114" i="18" s="1"/>
  <c r="AW34" i="18" s="1"/>
  <c r="H65" i="83" s="1"/>
  <c r="S53" i="20"/>
  <c r="F77" i="20"/>
  <c r="E115" i="20"/>
  <c r="P81" i="89"/>
  <c r="F156" i="89" s="1"/>
  <c r="E117" i="20"/>
  <c r="N102" i="25"/>
  <c r="F265" i="25" s="1"/>
  <c r="P105" i="25"/>
  <c r="F283" i="25" s="1"/>
  <c r="Q107" i="25"/>
  <c r="F298" i="25" s="1"/>
  <c r="DT8" i="18"/>
  <c r="M77" i="25"/>
  <c r="F122" i="25" s="1"/>
  <c r="M102" i="25"/>
  <c r="F264" i="25" s="1"/>
  <c r="M110" i="25"/>
  <c r="F310" i="25" s="1"/>
  <c r="M84" i="25"/>
  <c r="F162" i="25" s="1"/>
  <c r="N91" i="25"/>
  <c r="F207" i="25" s="1"/>
  <c r="N105" i="25"/>
  <c r="F281" i="25" s="1"/>
  <c r="P101" i="25"/>
  <c r="F260" i="25" s="1"/>
  <c r="CE12" i="18"/>
  <c r="CB2" i="18" s="1"/>
  <c r="H77" i="20"/>
  <c r="AV86" i="18"/>
  <c r="G59" i="83" s="1"/>
  <c r="P92" i="89"/>
  <c r="F218" i="89" s="1"/>
  <c r="B48" i="17"/>
  <c r="B21" i="17" s="1"/>
  <c r="L89" i="23"/>
  <c r="F203" i="23" s="1"/>
  <c r="N81" i="40"/>
  <c r="F154" i="40" s="1"/>
  <c r="N85" i="40"/>
  <c r="F177" i="40" s="1"/>
  <c r="O106" i="40"/>
  <c r="F301" i="40" s="1"/>
  <c r="U53" i="20"/>
  <c r="O104" i="40"/>
  <c r="F287" i="40" s="1"/>
  <c r="O79" i="40"/>
  <c r="F141" i="40" s="1"/>
  <c r="M89" i="30"/>
  <c r="F204" i="30" s="1"/>
  <c r="O76" i="89"/>
  <c r="F131" i="89" s="1"/>
  <c r="O99" i="89"/>
  <c r="F257" i="89" s="1"/>
  <c r="C65" i="38"/>
  <c r="L96" i="38"/>
  <c r="F233" i="38" s="1"/>
  <c r="P83" i="89"/>
  <c r="F170" i="89" s="1"/>
  <c r="P89" i="89"/>
  <c r="F207" i="89" s="1"/>
  <c r="L98" i="30"/>
  <c r="F247" i="30" s="1"/>
  <c r="E68" i="14"/>
  <c r="P105" i="89"/>
  <c r="F295" i="89" s="1"/>
  <c r="O53" i="20"/>
  <c r="N96" i="40"/>
  <c r="F235" i="40" s="1"/>
  <c r="H111" i="89"/>
  <c r="O111" i="89" s="1"/>
  <c r="V111" i="89" s="1"/>
  <c r="D48" i="28"/>
  <c r="O61" i="20"/>
  <c r="O139" i="20" s="1"/>
  <c r="O159" i="20" s="1"/>
  <c r="L39" i="82" s="1"/>
  <c r="M83" i="40"/>
  <c r="F167" i="40" s="1"/>
  <c r="M89" i="40"/>
  <c r="F204" i="40" s="1"/>
  <c r="O92" i="30"/>
  <c r="F217" i="30" s="1"/>
  <c r="M75" i="40"/>
  <c r="F120" i="40" s="1"/>
  <c r="O62" i="76"/>
  <c r="H114" i="20"/>
  <c r="M52" i="20"/>
  <c r="AY7" i="76" s="1"/>
  <c r="Q54" i="76" s="1"/>
  <c r="U52" i="20"/>
  <c r="U142" i="20" s="1"/>
  <c r="H53" i="20"/>
  <c r="P95" i="25"/>
  <c r="F229" i="25" s="1"/>
  <c r="P84" i="25"/>
  <c r="F165" i="25" s="1"/>
  <c r="M29" i="20"/>
  <c r="M28" i="20" s="1"/>
  <c r="M89" i="20" s="1"/>
  <c r="M120" i="20" s="1"/>
  <c r="E112" i="20"/>
  <c r="E60" i="20"/>
  <c r="E138" i="20" s="1"/>
  <c r="P86" i="89"/>
  <c r="F186" i="89" s="1"/>
  <c r="B56" i="89"/>
  <c r="I78" i="20"/>
  <c r="P80" i="89"/>
  <c r="F149" i="89" s="1"/>
  <c r="P100" i="89"/>
  <c r="F265" i="89" s="1"/>
  <c r="O80" i="30"/>
  <c r="F148" i="30" s="1"/>
  <c r="I17" i="82"/>
  <c r="L65" i="20"/>
  <c r="L68" i="20" s="1"/>
  <c r="Q53" i="20"/>
  <c r="L52" i="20"/>
  <c r="L142" i="20" s="1"/>
  <c r="T52" i="20"/>
  <c r="Y13" i="18" s="1"/>
  <c r="K78" i="20"/>
  <c r="U77" i="20"/>
  <c r="E75" i="20"/>
  <c r="P98" i="25"/>
  <c r="F239" i="25" s="1"/>
  <c r="H51" i="20"/>
  <c r="P88" i="89"/>
  <c r="F200" i="89" s="1"/>
  <c r="E65" i="89"/>
  <c r="P97" i="89"/>
  <c r="F244" i="89" s="1"/>
  <c r="B20" i="19"/>
  <c r="B56" i="14"/>
  <c r="P79" i="89"/>
  <c r="F142" i="89" s="1"/>
  <c r="K42" i="20"/>
  <c r="M78" i="20"/>
  <c r="U78" i="20"/>
  <c r="F48" i="40"/>
  <c r="F51" i="20"/>
  <c r="F56" i="20"/>
  <c r="F130" i="20" s="1"/>
  <c r="F150" i="20" s="1"/>
  <c r="G56" i="20"/>
  <c r="G130" i="20" s="1"/>
  <c r="G150" i="20" s="1"/>
  <c r="J34" i="12"/>
  <c r="J144" i="12" s="1"/>
  <c r="G27" i="30" s="1"/>
  <c r="Z114" i="18" s="1"/>
  <c r="AY34" i="18" s="1"/>
  <c r="J65" i="83" s="1"/>
  <c r="Q61" i="20"/>
  <c r="Q139" i="20" s="1"/>
  <c r="Q159" i="20" s="1"/>
  <c r="O39" i="82" s="1"/>
  <c r="Q51" i="20"/>
  <c r="O18" i="82" s="1"/>
  <c r="M95" i="20"/>
  <c r="M122" i="20" s="1"/>
  <c r="P96" i="89"/>
  <c r="F237" i="89" s="1"/>
  <c r="B48" i="38"/>
  <c r="B21" i="38" s="1"/>
  <c r="J77" i="20"/>
  <c r="H111" i="32"/>
  <c r="O111" i="32" s="1"/>
  <c r="N80" i="40"/>
  <c r="F147" i="40" s="1"/>
  <c r="B65" i="89"/>
  <c r="O86" i="40"/>
  <c r="F185" i="40" s="1"/>
  <c r="O80" i="40"/>
  <c r="F148" i="40" s="1"/>
  <c r="O79" i="89"/>
  <c r="F141" i="89" s="1"/>
  <c r="O87" i="89"/>
  <c r="F192" i="89" s="1"/>
  <c r="O89" i="89"/>
  <c r="F206" i="89" s="1"/>
  <c r="D65" i="40"/>
  <c r="L93" i="38"/>
  <c r="F223" i="38" s="1"/>
  <c r="O98" i="30"/>
  <c r="F250" i="30" s="1"/>
  <c r="Q86" i="30"/>
  <c r="F187" i="30" s="1"/>
  <c r="Q98" i="30"/>
  <c r="F252" i="30" s="1"/>
  <c r="Q85" i="30"/>
  <c r="F180" i="30" s="1"/>
  <c r="L82" i="30"/>
  <c r="F159" i="30" s="1"/>
  <c r="O51" i="20"/>
  <c r="L18" i="82" s="1"/>
  <c r="L80" i="30"/>
  <c r="F145" i="30" s="1"/>
  <c r="L76" i="30"/>
  <c r="F128" i="30" s="1"/>
  <c r="F65" i="38"/>
  <c r="O103" i="40"/>
  <c r="F280" i="40" s="1"/>
  <c r="B65" i="30"/>
  <c r="Q76" i="30"/>
  <c r="F133" i="30" s="1"/>
  <c r="P82" i="89"/>
  <c r="F163" i="89" s="1"/>
  <c r="L83" i="38"/>
  <c r="F166" i="38" s="1"/>
  <c r="L103" i="30"/>
  <c r="F277" i="30" s="1"/>
  <c r="O93" i="89"/>
  <c r="F226" i="89" s="1"/>
  <c r="L92" i="30"/>
  <c r="F214" i="30" s="1"/>
  <c r="L104" i="38"/>
  <c r="F284" i="38" s="1"/>
  <c r="N83" i="40"/>
  <c r="F168" i="40" s="1"/>
  <c r="M97" i="40"/>
  <c r="F241" i="40" s="1"/>
  <c r="N100" i="40"/>
  <c r="F263" i="40" s="1"/>
  <c r="L108" i="38"/>
  <c r="F307" i="38" s="1"/>
  <c r="O80" i="89"/>
  <c r="F148" i="89" s="1"/>
  <c r="M65" i="20"/>
  <c r="M68" i="20" s="1"/>
  <c r="N64" i="20"/>
  <c r="S16" i="18" s="1"/>
  <c r="O75" i="89"/>
  <c r="F122" i="89" s="1"/>
  <c r="P110" i="25"/>
  <c r="F313" i="25" s="1"/>
  <c r="Q105" i="25"/>
  <c r="F284" i="25" s="1"/>
  <c r="P104" i="89"/>
  <c r="F288" i="89" s="1"/>
  <c r="P87" i="89"/>
  <c r="F193" i="89" s="1"/>
  <c r="K75" i="20"/>
  <c r="L24" i="20"/>
  <c r="L92" i="20" s="1"/>
  <c r="M89" i="25"/>
  <c r="F192" i="25" s="1"/>
  <c r="M101" i="25"/>
  <c r="F257" i="25" s="1"/>
  <c r="M85" i="25"/>
  <c r="F169" i="25" s="1"/>
  <c r="N84" i="25"/>
  <c r="F163" i="25" s="1"/>
  <c r="N98" i="25"/>
  <c r="F237" i="25" s="1"/>
  <c r="P99" i="25"/>
  <c r="F246" i="25" s="1"/>
  <c r="Q104" i="25"/>
  <c r="F277" i="25" s="1"/>
  <c r="O57" i="20"/>
  <c r="O131" i="20" s="1"/>
  <c r="O151" i="20" s="1"/>
  <c r="L31" i="82" s="1"/>
  <c r="P72" i="83"/>
  <c r="M78" i="25"/>
  <c r="F131" i="25" s="1"/>
  <c r="M108" i="25"/>
  <c r="F301" i="25" s="1"/>
  <c r="N108" i="25"/>
  <c r="F302" i="25" s="1"/>
  <c r="F48" i="14"/>
  <c r="J69" i="12"/>
  <c r="G32" i="17" s="1"/>
  <c r="G60" i="20"/>
  <c r="G138" i="20" s="1"/>
  <c r="G34" i="12"/>
  <c r="G144" i="12" s="1"/>
  <c r="D27" i="30" s="1"/>
  <c r="W114" i="18" s="1"/>
  <c r="AV34" i="18" s="1"/>
  <c r="G65" i="83" s="1"/>
  <c r="E118" i="20"/>
  <c r="P76" i="89"/>
  <c r="F132" i="89" s="1"/>
  <c r="B48" i="28"/>
  <c r="B21" i="28" s="1"/>
  <c r="B12" i="19"/>
  <c r="B121" i="25"/>
  <c r="B161" i="25" s="1"/>
  <c r="B162" i="25" s="1"/>
  <c r="B163" i="25" s="1"/>
  <c r="B164" i="25" s="1"/>
  <c r="B165" i="25" s="1"/>
  <c r="B166" i="25" s="1"/>
  <c r="N89" i="40"/>
  <c r="F205" i="40" s="1"/>
  <c r="N108" i="40"/>
  <c r="F309" i="40" s="1"/>
  <c r="O76" i="40"/>
  <c r="F131" i="40" s="1"/>
  <c r="B29" i="19"/>
  <c r="B65" i="28"/>
  <c r="O96" i="40"/>
  <c r="F236" i="40" s="1"/>
  <c r="O98" i="40"/>
  <c r="F250" i="40" s="1"/>
  <c r="O98" i="89"/>
  <c r="F250" i="89" s="1"/>
  <c r="O108" i="89"/>
  <c r="F310" i="89" s="1"/>
  <c r="L73" i="17"/>
  <c r="L75" i="38"/>
  <c r="F119" i="38" s="1"/>
  <c r="Q99" i="30"/>
  <c r="F259" i="30" s="1"/>
  <c r="Q81" i="30"/>
  <c r="F157" i="30" s="1"/>
  <c r="E68" i="23"/>
  <c r="N104" i="40"/>
  <c r="F286" i="40" s="1"/>
  <c r="AA10" i="65"/>
  <c r="P106" i="89"/>
  <c r="F302" i="89" s="1"/>
  <c r="F65" i="28"/>
  <c r="O99" i="40"/>
  <c r="F257" i="40" s="1"/>
  <c r="Q80" i="30"/>
  <c r="F150" i="30" s="1"/>
  <c r="C3" i="19"/>
  <c r="M37" i="19" s="1"/>
  <c r="L87" i="30"/>
  <c r="F189" i="30" s="1"/>
  <c r="O62" i="20"/>
  <c r="O140" i="20" s="1"/>
  <c r="O160" i="20" s="1"/>
  <c r="L40" i="82" s="1"/>
  <c r="L86" i="38"/>
  <c r="F182" i="38" s="1"/>
  <c r="M99" i="40"/>
  <c r="F255" i="40" s="1"/>
  <c r="L88" i="38"/>
  <c r="F196" i="38" s="1"/>
  <c r="P108" i="89"/>
  <c r="F311" i="89" s="1"/>
  <c r="O88" i="30"/>
  <c r="F199" i="30" s="1"/>
  <c r="J29" i="20"/>
  <c r="E66" i="20"/>
  <c r="E69" i="20" s="1"/>
  <c r="H112" i="20"/>
  <c r="E111" i="20"/>
  <c r="Q62" i="76"/>
  <c r="J114" i="20"/>
  <c r="H115" i="20"/>
  <c r="K49" i="20"/>
  <c r="G61" i="20"/>
  <c r="G139" i="20" s="1"/>
  <c r="G159" i="20" s="1"/>
  <c r="E39" i="12"/>
  <c r="E49" i="12" s="1"/>
  <c r="B32" i="14" s="1"/>
  <c r="P85" i="89"/>
  <c r="F179" i="89" s="1"/>
  <c r="Q89" i="89"/>
  <c r="F208" i="89" s="1"/>
  <c r="B48" i="32"/>
  <c r="B21" i="32" s="1"/>
  <c r="B48" i="30"/>
  <c r="B21" i="30" s="1"/>
  <c r="M75" i="20"/>
  <c r="N102" i="40"/>
  <c r="F272" i="40" s="1"/>
  <c r="N106" i="40"/>
  <c r="F300" i="40" s="1"/>
  <c r="B65" i="23"/>
  <c r="O92" i="40"/>
  <c r="F217" i="40" s="1"/>
  <c r="O105" i="40"/>
  <c r="F294" i="40" s="1"/>
  <c r="O106" i="89"/>
  <c r="F301" i="89" s="1"/>
  <c r="O96" i="89"/>
  <c r="F236" i="89" s="1"/>
  <c r="Q100" i="30"/>
  <c r="F266" i="30" s="1"/>
  <c r="L108" i="30"/>
  <c r="F307" i="30" s="1"/>
  <c r="P75" i="89"/>
  <c r="F123" i="89" s="1"/>
  <c r="F65" i="17"/>
  <c r="O89" i="40"/>
  <c r="F206" i="40" s="1"/>
  <c r="L73" i="23"/>
  <c r="P93" i="89"/>
  <c r="F227" i="89" s="1"/>
  <c r="L89" i="30"/>
  <c r="F203" i="30" s="1"/>
  <c r="N87" i="40"/>
  <c r="F191" i="40" s="1"/>
  <c r="P103" i="89"/>
  <c r="F281" i="89" s="1"/>
  <c r="L79" i="30"/>
  <c r="F138" i="30" s="1"/>
  <c r="L100" i="30"/>
  <c r="F261" i="30" s="1"/>
  <c r="O88" i="89"/>
  <c r="F199" i="89" s="1"/>
  <c r="F84" i="20"/>
  <c r="G112" i="20"/>
  <c r="L118" i="20"/>
  <c r="I117" i="20"/>
  <c r="G115" i="20"/>
  <c r="G92" i="20"/>
  <c r="G93" i="20"/>
  <c r="R182" i="19"/>
  <c r="K182" i="19" s="1"/>
  <c r="L182" i="19" s="1"/>
  <c r="M182" i="19" s="1"/>
  <c r="F158" i="20"/>
  <c r="P11" i="20"/>
  <c r="B8" i="30" s="1"/>
  <c r="O112" i="20"/>
  <c r="K51" i="20"/>
  <c r="J111" i="20"/>
  <c r="J57" i="20"/>
  <c r="J131" i="20" s="1"/>
  <c r="J151" i="20" s="1"/>
  <c r="J62" i="20"/>
  <c r="J140" i="20" s="1"/>
  <c r="J160" i="20" s="1"/>
  <c r="D67" i="25"/>
  <c r="D65" i="89"/>
  <c r="D65" i="17"/>
  <c r="D65" i="30"/>
  <c r="D65" i="14"/>
  <c r="D65" i="23"/>
  <c r="P51" i="20"/>
  <c r="N18" i="82" s="1"/>
  <c r="P62" i="20"/>
  <c r="P140" i="20" s="1"/>
  <c r="F83" i="20"/>
  <c r="G64" i="20"/>
  <c r="G67" i="20" s="1"/>
  <c r="AS8" i="76" s="1"/>
  <c r="K55" i="76" s="1"/>
  <c r="F117" i="20"/>
  <c r="L89" i="40"/>
  <c r="F203" i="40" s="1"/>
  <c r="L86" i="40"/>
  <c r="F182" i="40" s="1"/>
  <c r="L76" i="40"/>
  <c r="F128" i="40" s="1"/>
  <c r="L75" i="40"/>
  <c r="F119" i="40" s="1"/>
  <c r="L80" i="40"/>
  <c r="F145" i="40" s="1"/>
  <c r="L83" i="40"/>
  <c r="F166" i="40" s="1"/>
  <c r="L100" i="40"/>
  <c r="F261" i="40" s="1"/>
  <c r="L98" i="40"/>
  <c r="F247" i="40" s="1"/>
  <c r="L106" i="40"/>
  <c r="F298" i="40" s="1"/>
  <c r="L92" i="40"/>
  <c r="F214" i="40" s="1"/>
  <c r="L79" i="40"/>
  <c r="F138" i="40" s="1"/>
  <c r="L85" i="40"/>
  <c r="F175" i="40" s="1"/>
  <c r="L93" i="40"/>
  <c r="F223" i="40" s="1"/>
  <c r="L103" i="40"/>
  <c r="F277" i="40" s="1"/>
  <c r="G65" i="14"/>
  <c r="G29" i="19"/>
  <c r="G65" i="30"/>
  <c r="G65" i="23"/>
  <c r="I62" i="76"/>
  <c r="N100" i="89"/>
  <c r="F263" i="89" s="1"/>
  <c r="H65" i="20"/>
  <c r="H68" i="20" s="1"/>
  <c r="G57" i="20"/>
  <c r="F115" i="20"/>
  <c r="M82" i="89"/>
  <c r="F160" i="89" s="1"/>
  <c r="T71" i="83"/>
  <c r="O95" i="25"/>
  <c r="F228" i="25" s="1"/>
  <c r="O110" i="25"/>
  <c r="F312" i="25" s="1"/>
  <c r="E35" i="12"/>
  <c r="I145" i="12" s="1"/>
  <c r="F28" i="30" s="1"/>
  <c r="I34" i="12"/>
  <c r="DK8" i="18"/>
  <c r="J60" i="20"/>
  <c r="J138" i="20" s="1"/>
  <c r="J158" i="20" s="1"/>
  <c r="L82" i="25"/>
  <c r="F147" i="25" s="1"/>
  <c r="T78" i="20"/>
  <c r="U42" i="20"/>
  <c r="D65" i="38"/>
  <c r="O103" i="30"/>
  <c r="F280" i="30" s="1"/>
  <c r="M106" i="40"/>
  <c r="F299" i="40" s="1"/>
  <c r="N97" i="89"/>
  <c r="F242" i="89" s="1"/>
  <c r="N80" i="89"/>
  <c r="F147" i="89" s="1"/>
  <c r="N92" i="89"/>
  <c r="F216" i="89" s="1"/>
  <c r="N99" i="89"/>
  <c r="F256" i="89" s="1"/>
  <c r="N93" i="89"/>
  <c r="F225" i="89" s="1"/>
  <c r="N105" i="89"/>
  <c r="F293" i="89" s="1"/>
  <c r="N85" i="89"/>
  <c r="F177" i="89" s="1"/>
  <c r="N104" i="89"/>
  <c r="F286" i="89" s="1"/>
  <c r="N82" i="89"/>
  <c r="F161" i="89" s="1"/>
  <c r="N108" i="89"/>
  <c r="F309" i="89" s="1"/>
  <c r="N106" i="89"/>
  <c r="F300" i="89" s="1"/>
  <c r="N89" i="89"/>
  <c r="F205" i="89" s="1"/>
  <c r="N102" i="89"/>
  <c r="F272" i="89" s="1"/>
  <c r="N96" i="89"/>
  <c r="F235" i="89" s="1"/>
  <c r="N83" i="89"/>
  <c r="F168" i="89" s="1"/>
  <c r="C45" i="30"/>
  <c r="L73" i="30"/>
  <c r="C56" i="38"/>
  <c r="C56" i="40"/>
  <c r="G51" i="20"/>
  <c r="F114" i="20"/>
  <c r="B56" i="40"/>
  <c r="B58" i="25"/>
  <c r="B56" i="38"/>
  <c r="M83" i="20"/>
  <c r="M117" i="20"/>
  <c r="L78" i="25"/>
  <c r="F130" i="25" s="1"/>
  <c r="L77" i="25"/>
  <c r="F121" i="25" s="1"/>
  <c r="L99" i="25"/>
  <c r="F242" i="25" s="1"/>
  <c r="L87" i="25"/>
  <c r="F177" i="25" s="1"/>
  <c r="L83" i="25"/>
  <c r="F154" i="25" s="1"/>
  <c r="L110" i="25"/>
  <c r="F309" i="25" s="1"/>
  <c r="L102" i="25"/>
  <c r="F263" i="25" s="1"/>
  <c r="L106" i="25"/>
  <c r="F286" i="25" s="1"/>
  <c r="L85" i="25"/>
  <c r="F168" i="25" s="1"/>
  <c r="L94" i="25"/>
  <c r="F216" i="25" s="1"/>
  <c r="L84" i="25"/>
  <c r="F161" i="25" s="1"/>
  <c r="L89" i="25"/>
  <c r="F191" i="25" s="1"/>
  <c r="L104" i="25"/>
  <c r="F272" i="25" s="1"/>
  <c r="I64" i="20"/>
  <c r="I67" i="20" s="1"/>
  <c r="AU8" i="76" s="1"/>
  <c r="M55" i="76" s="1"/>
  <c r="H118" i="20"/>
  <c r="H83" i="20"/>
  <c r="H95" i="20"/>
  <c r="H122" i="20" s="1"/>
  <c r="N62" i="76"/>
  <c r="J24" i="20"/>
  <c r="P53" i="20"/>
  <c r="M81" i="89"/>
  <c r="F153" i="89" s="1"/>
  <c r="F112" i="20"/>
  <c r="M104" i="89"/>
  <c r="F285" i="89" s="1"/>
  <c r="M100" i="89"/>
  <c r="F262" i="89" s="1"/>
  <c r="F64" i="20"/>
  <c r="F67" i="20" s="1"/>
  <c r="M104" i="40"/>
  <c r="F285" i="40" s="1"/>
  <c r="M108" i="40"/>
  <c r="F308" i="40" s="1"/>
  <c r="I65" i="20"/>
  <c r="I68" i="20" s="1"/>
  <c r="E15" i="18"/>
  <c r="O72" i="83"/>
  <c r="O101" i="25"/>
  <c r="F259" i="25" s="1"/>
  <c r="DJ8" i="18"/>
  <c r="DI8" i="18"/>
  <c r="F57" i="20"/>
  <c r="L88" i="25"/>
  <c r="F184" i="25" s="1"/>
  <c r="P155" i="18"/>
  <c r="L98" i="25"/>
  <c r="F235" i="25" s="1"/>
  <c r="L101" i="25"/>
  <c r="F256" i="25" s="1"/>
  <c r="M75" i="89"/>
  <c r="F120" i="89" s="1"/>
  <c r="N103" i="89"/>
  <c r="F279" i="89" s="1"/>
  <c r="F66" i="20"/>
  <c r="F69" i="20" s="1"/>
  <c r="D29" i="19"/>
  <c r="P158" i="20"/>
  <c r="Q52" i="20"/>
  <c r="P52" i="20"/>
  <c r="P157" i="18"/>
  <c r="P154" i="18"/>
  <c r="P151" i="18"/>
  <c r="P149" i="18"/>
  <c r="P156" i="18"/>
  <c r="P158" i="18"/>
  <c r="P150" i="18"/>
  <c r="L57" i="20"/>
  <c r="L131" i="20" s="1"/>
  <c r="E84" i="20"/>
  <c r="E95" i="20"/>
  <c r="E83" i="20"/>
  <c r="E24" i="20"/>
  <c r="F68" i="28"/>
  <c r="F32" i="19"/>
  <c r="F68" i="38"/>
  <c r="AX155" i="18"/>
  <c r="AX14" i="18"/>
  <c r="C67" i="25"/>
  <c r="C65" i="17"/>
  <c r="C65" i="30"/>
  <c r="C65" i="23"/>
  <c r="E68" i="40"/>
  <c r="E70" i="25"/>
  <c r="J64" i="20"/>
  <c r="J67" i="20" s="1"/>
  <c r="AV8" i="76" s="1"/>
  <c r="N55" i="76" s="1"/>
  <c r="J45" i="20"/>
  <c r="K7" i="86"/>
  <c r="L7" i="86" s="1"/>
  <c r="M7" i="86" s="1"/>
  <c r="N7" i="86" s="1"/>
  <c r="O7" i="86" s="1"/>
  <c r="I7" i="86"/>
  <c r="O88" i="25"/>
  <c r="F187" i="25" s="1"/>
  <c r="O107" i="25"/>
  <c r="F296" i="25" s="1"/>
  <c r="O90" i="25"/>
  <c r="F201" i="25" s="1"/>
  <c r="O81" i="25"/>
  <c r="F143" i="25" s="1"/>
  <c r="O98" i="25"/>
  <c r="F238" i="25" s="1"/>
  <c r="O77" i="25"/>
  <c r="F124" i="25" s="1"/>
  <c r="O102" i="25"/>
  <c r="F266" i="25" s="1"/>
  <c r="O87" i="25"/>
  <c r="F180" i="25" s="1"/>
  <c r="O82" i="25"/>
  <c r="F150" i="25" s="1"/>
  <c r="O108" i="25"/>
  <c r="F303" i="25" s="1"/>
  <c r="O85" i="25"/>
  <c r="F171" i="25" s="1"/>
  <c r="O3" i="20"/>
  <c r="N3" i="20" s="1"/>
  <c r="N8" i="82"/>
  <c r="G49" i="20"/>
  <c r="G42" i="20"/>
  <c r="N17" i="82"/>
  <c r="M118" i="20"/>
  <c r="M86" i="89"/>
  <c r="F183" i="89" s="1"/>
  <c r="S71" i="83"/>
  <c r="L69" i="83"/>
  <c r="F68" i="14"/>
  <c r="B56" i="28"/>
  <c r="R73" i="83"/>
  <c r="E57" i="20"/>
  <c r="E131" i="20" s="1"/>
  <c r="DM8" i="18"/>
  <c r="F61" i="20"/>
  <c r="F139" i="20" s="1"/>
  <c r="F159" i="20" s="1"/>
  <c r="M84" i="20"/>
  <c r="E78" i="20"/>
  <c r="F75" i="20"/>
  <c r="L100" i="25"/>
  <c r="F249" i="25" s="1"/>
  <c r="BQ15" i="18"/>
  <c r="C65" i="32"/>
  <c r="L91" i="25"/>
  <c r="F205" i="25" s="1"/>
  <c r="J112" i="20"/>
  <c r="N87" i="89"/>
  <c r="F191" i="89" s="1"/>
  <c r="K17" i="82"/>
  <c r="N75" i="89"/>
  <c r="F121" i="89" s="1"/>
  <c r="M96" i="89"/>
  <c r="F234" i="89" s="1"/>
  <c r="M89" i="89"/>
  <c r="F204" i="89" s="1"/>
  <c r="M105" i="89"/>
  <c r="F292" i="89" s="1"/>
  <c r="M83" i="89"/>
  <c r="F167" i="89" s="1"/>
  <c r="M102" i="89"/>
  <c r="F271" i="89" s="1"/>
  <c r="M97" i="89"/>
  <c r="F241" i="89" s="1"/>
  <c r="M92" i="89"/>
  <c r="F215" i="89" s="1"/>
  <c r="M87" i="89"/>
  <c r="F190" i="89" s="1"/>
  <c r="M93" i="89"/>
  <c r="F224" i="89" s="1"/>
  <c r="M88" i="89"/>
  <c r="F197" i="89" s="1"/>
  <c r="M103" i="89"/>
  <c r="F278" i="89" s="1"/>
  <c r="M99" i="89"/>
  <c r="F255" i="89" s="1"/>
  <c r="M98" i="89"/>
  <c r="F248" i="89" s="1"/>
  <c r="M76" i="89"/>
  <c r="F129" i="89" s="1"/>
  <c r="M85" i="89"/>
  <c r="F176" i="89" s="1"/>
  <c r="M106" i="89"/>
  <c r="F299" i="89" s="1"/>
  <c r="M105" i="40"/>
  <c r="F292" i="40" s="1"/>
  <c r="M100" i="40"/>
  <c r="F262" i="40" s="1"/>
  <c r="M98" i="40"/>
  <c r="F248" i="40" s="1"/>
  <c r="M93" i="40"/>
  <c r="F224" i="40" s="1"/>
  <c r="M79" i="40"/>
  <c r="F139" i="40" s="1"/>
  <c r="M87" i="40"/>
  <c r="F190" i="40" s="1"/>
  <c r="M102" i="40"/>
  <c r="F271" i="40" s="1"/>
  <c r="M86" i="40"/>
  <c r="F183" i="40" s="1"/>
  <c r="M88" i="40"/>
  <c r="F197" i="40" s="1"/>
  <c r="M96" i="40"/>
  <c r="F234" i="40" s="1"/>
  <c r="M82" i="40"/>
  <c r="F160" i="40" s="1"/>
  <c r="M103" i="40"/>
  <c r="F278" i="40" s="1"/>
  <c r="M76" i="40"/>
  <c r="F129" i="40" s="1"/>
  <c r="M85" i="40"/>
  <c r="F176" i="40" s="1"/>
  <c r="M80" i="40"/>
  <c r="F146" i="40" s="1"/>
  <c r="AP61" i="18"/>
  <c r="AQ61" i="18" s="1"/>
  <c r="R72" i="83"/>
  <c r="T70" i="83"/>
  <c r="O73" i="83"/>
  <c r="S73" i="83"/>
  <c r="O70" i="83"/>
  <c r="P73" i="83"/>
  <c r="Q70" i="83"/>
  <c r="AP189" i="18"/>
  <c r="AQ189" i="18" s="1"/>
  <c r="J44" i="85" s="1"/>
  <c r="S72" i="83"/>
  <c r="L72" i="83"/>
  <c r="T72" i="83"/>
  <c r="L71" i="83"/>
  <c r="Q72" i="83"/>
  <c r="Q73" i="83"/>
  <c r="R71" i="83"/>
  <c r="H92" i="20"/>
  <c r="H93" i="20"/>
  <c r="I53" i="20"/>
  <c r="J53" i="20"/>
  <c r="M92" i="30"/>
  <c r="F215" i="30" s="1"/>
  <c r="M79" i="30"/>
  <c r="F139" i="30" s="1"/>
  <c r="M106" i="30"/>
  <c r="F299" i="30" s="1"/>
  <c r="M81" i="30"/>
  <c r="F153" i="30" s="1"/>
  <c r="M75" i="30"/>
  <c r="F120" i="30" s="1"/>
  <c r="M100" i="30"/>
  <c r="F262" i="30" s="1"/>
  <c r="M87" i="30"/>
  <c r="F190" i="30" s="1"/>
  <c r="O75" i="30"/>
  <c r="F122" i="30" s="1"/>
  <c r="O108" i="30"/>
  <c r="F310" i="30" s="1"/>
  <c r="O102" i="30"/>
  <c r="F273" i="30" s="1"/>
  <c r="O100" i="30"/>
  <c r="F264" i="30" s="1"/>
  <c r="O89" i="30"/>
  <c r="F206" i="30" s="1"/>
  <c r="O99" i="30"/>
  <c r="F257" i="30" s="1"/>
  <c r="O106" i="30"/>
  <c r="F301" i="30" s="1"/>
  <c r="O83" i="30"/>
  <c r="F169" i="30" s="1"/>
  <c r="G66" i="20"/>
  <c r="G69" i="20" s="1"/>
  <c r="F111" i="20"/>
  <c r="F42" i="20"/>
  <c r="G52" i="20"/>
  <c r="N86" i="89"/>
  <c r="F184" i="89" s="1"/>
  <c r="M42" i="20"/>
  <c r="DR5" i="18" s="1"/>
  <c r="I39" i="12"/>
  <c r="I79" i="12" s="1"/>
  <c r="F32" i="23" s="1"/>
  <c r="E34" i="12"/>
  <c r="G68" i="40"/>
  <c r="Q77" i="20"/>
  <c r="P71" i="83"/>
  <c r="P153" i="18"/>
  <c r="D65" i="28"/>
  <c r="M80" i="89"/>
  <c r="F146" i="89" s="1"/>
  <c r="P70" i="83"/>
  <c r="P31" i="83"/>
  <c r="L73" i="83"/>
  <c r="E49" i="20"/>
  <c r="F29" i="20"/>
  <c r="F28" i="20" s="1"/>
  <c r="D92" i="20"/>
  <c r="O42" i="20"/>
  <c r="DT5" i="18" s="1"/>
  <c r="P42" i="20"/>
  <c r="P62" i="76"/>
  <c r="N75" i="20"/>
  <c r="P31" i="65"/>
  <c r="C65" i="28"/>
  <c r="L95" i="25"/>
  <c r="F225" i="25" s="1"/>
  <c r="B56" i="30"/>
  <c r="E68" i="32"/>
  <c r="B56" i="32"/>
  <c r="M111" i="20"/>
  <c r="M81" i="40"/>
  <c r="F153" i="40" s="1"/>
  <c r="L111" i="20"/>
  <c r="B56" i="23"/>
  <c r="N81" i="89"/>
  <c r="F154" i="89" s="1"/>
  <c r="K117" i="20"/>
  <c r="N52" i="20"/>
  <c r="I73" i="83"/>
  <c r="H72" i="83"/>
  <c r="I70" i="83"/>
  <c r="D44" i="85"/>
  <c r="DH8" i="18"/>
  <c r="M49" i="20"/>
  <c r="L99" i="89"/>
  <c r="F254" i="89" s="1"/>
  <c r="L89" i="89"/>
  <c r="F203" i="89" s="1"/>
  <c r="L79" i="89"/>
  <c r="F138" i="89" s="1"/>
  <c r="D68" i="89"/>
  <c r="Q99" i="40"/>
  <c r="F259" i="40" s="1"/>
  <c r="Q80" i="40"/>
  <c r="F150" i="40" s="1"/>
  <c r="L93" i="89"/>
  <c r="F223" i="89" s="1"/>
  <c r="K111" i="20"/>
  <c r="L103" i="89"/>
  <c r="F277" i="89" s="1"/>
  <c r="F67" i="25"/>
  <c r="K52" i="20"/>
  <c r="L82" i="89"/>
  <c r="F159" i="89" s="1"/>
  <c r="S42" i="20"/>
  <c r="G73" i="83"/>
  <c r="DL8" i="18"/>
  <c r="H117" i="20"/>
  <c r="L75" i="89"/>
  <c r="F119" i="89" s="1"/>
  <c r="D70" i="25"/>
  <c r="Q102" i="40"/>
  <c r="F275" i="40" s="1"/>
  <c r="Q82" i="40"/>
  <c r="F164" i="40" s="1"/>
  <c r="Q96" i="40"/>
  <c r="F238" i="40" s="1"/>
  <c r="Q75" i="40"/>
  <c r="F124" i="40" s="1"/>
  <c r="L100" i="89"/>
  <c r="F261" i="89" s="1"/>
  <c r="L96" i="89"/>
  <c r="F233" i="89" s="1"/>
  <c r="E14" i="18"/>
  <c r="D68" i="17"/>
  <c r="F65" i="89"/>
  <c r="H39" i="12"/>
  <c r="H149" i="12" s="1"/>
  <c r="E32" i="30" s="1"/>
  <c r="F29" i="19"/>
  <c r="F65" i="14"/>
  <c r="I118" i="20"/>
  <c r="H73" i="83"/>
  <c r="E71" i="83"/>
  <c r="B73" i="83"/>
  <c r="L87" i="89"/>
  <c r="F189" i="89" s="1"/>
  <c r="L80" i="89"/>
  <c r="F145" i="89" s="1"/>
  <c r="D68" i="28"/>
  <c r="Q85" i="40"/>
  <c r="F180" i="40" s="1"/>
  <c r="Q98" i="40"/>
  <c r="F252" i="40" s="1"/>
  <c r="Q79" i="40"/>
  <c r="F143" i="40" s="1"/>
  <c r="D68" i="30"/>
  <c r="F65" i="40"/>
  <c r="H111" i="20"/>
  <c r="H70" i="83"/>
  <c r="H71" i="83"/>
  <c r="F71" i="83"/>
  <c r="B72" i="83"/>
  <c r="J71" i="83"/>
  <c r="E72" i="83"/>
  <c r="I71" i="83"/>
  <c r="O115" i="20"/>
  <c r="L86" i="89"/>
  <c r="F182" i="89" s="1"/>
  <c r="Q104" i="40"/>
  <c r="F289" i="40" s="1"/>
  <c r="Q87" i="40"/>
  <c r="F194" i="40" s="1"/>
  <c r="Q100" i="40"/>
  <c r="F266" i="40" s="1"/>
  <c r="Q81" i="40"/>
  <c r="F157" i="40" s="1"/>
  <c r="D111" i="20"/>
  <c r="G111" i="20"/>
  <c r="O118" i="20"/>
  <c r="G32" i="12"/>
  <c r="F42" i="12"/>
  <c r="M73" i="23"/>
  <c r="D45" i="23"/>
  <c r="BP26" i="18"/>
  <c r="BP25" i="18" s="1"/>
  <c r="B84" i="12"/>
  <c r="BP19" i="18"/>
  <c r="BN21" i="18"/>
  <c r="BU21" i="18" s="1"/>
  <c r="J40" i="65"/>
  <c r="BQ36" i="18"/>
  <c r="BP21" i="18"/>
  <c r="S40" i="65"/>
  <c r="BQ34" i="18"/>
  <c r="BP14" i="18"/>
  <c r="K40" i="65"/>
  <c r="G33" i="87"/>
  <c r="K20" i="65" s="1"/>
  <c r="BS36" i="18"/>
  <c r="G14" i="87"/>
  <c r="L21" i="86" s="1"/>
  <c r="BQ24" i="18"/>
  <c r="BQ29" i="18"/>
  <c r="G8" i="87"/>
  <c r="L15" i="86" s="1"/>
  <c r="BP36" i="18"/>
  <c r="G10" i="87"/>
  <c r="L17" i="86" s="1"/>
  <c r="P17" i="86" s="1"/>
  <c r="BN36" i="18"/>
  <c r="BU36" i="18" s="1"/>
  <c r="A67" i="68"/>
  <c r="G32" i="87"/>
  <c r="K8" i="65" s="1"/>
  <c r="BP34" i="18"/>
  <c r="BN16" i="18"/>
  <c r="BU16" i="18" s="1"/>
  <c r="D5" i="72"/>
  <c r="M73" i="32"/>
  <c r="D45" i="32"/>
  <c r="D45" i="38"/>
  <c r="M73" i="38"/>
  <c r="U64" i="18"/>
  <c r="D45" i="17"/>
  <c r="V4" i="18"/>
  <c r="V78" i="18" s="1"/>
  <c r="N25" i="82"/>
  <c r="AE28" i="76"/>
  <c r="C45" i="28"/>
  <c r="B119" i="28"/>
  <c r="B307" i="28" s="1"/>
  <c r="B308" i="28" s="1"/>
  <c r="B309" i="28" s="1"/>
  <c r="B310" i="28" s="1"/>
  <c r="B311" i="28" s="1"/>
  <c r="B312" i="28" s="1"/>
  <c r="J66" i="20"/>
  <c r="J69" i="20" s="1"/>
  <c r="U120" i="18"/>
  <c r="E42" i="12"/>
  <c r="M62" i="76"/>
  <c r="F118" i="20"/>
  <c r="D118" i="20"/>
  <c r="CI12" i="18"/>
  <c r="U36" i="18"/>
  <c r="U92" i="18"/>
  <c r="R3" i="69"/>
  <c r="S3" i="69" s="1"/>
  <c r="T3" i="69" s="1"/>
  <c r="U3" i="69" s="1"/>
  <c r="V3" i="69" s="1"/>
  <c r="H111" i="30"/>
  <c r="I111" i="30" s="1"/>
  <c r="S36" i="65"/>
  <c r="L73" i="32"/>
  <c r="BS16" i="18"/>
  <c r="C47" i="25"/>
  <c r="CI13" i="18"/>
  <c r="U50" i="18"/>
  <c r="U134" i="18"/>
  <c r="U148" i="18"/>
  <c r="M50" i="2"/>
  <c r="U78" i="18"/>
  <c r="I66" i="20"/>
  <c r="CI11" i="18"/>
  <c r="T4" i="18"/>
  <c r="U22" i="18"/>
  <c r="H111" i="40"/>
  <c r="I111" i="40" s="1"/>
  <c r="B159" i="30"/>
  <c r="B160" i="30" s="1"/>
  <c r="B161" i="30" s="1"/>
  <c r="B162" i="30" s="1"/>
  <c r="B163" i="30" s="1"/>
  <c r="B145" i="30"/>
  <c r="B146" i="30" s="1"/>
  <c r="B147" i="30" s="1"/>
  <c r="B148" i="30" s="1"/>
  <c r="B149" i="30" s="1"/>
  <c r="B223" i="30"/>
  <c r="B224" i="30" s="1"/>
  <c r="B225" i="30" s="1"/>
  <c r="B226" i="30" s="1"/>
  <c r="B227" i="30" s="1"/>
  <c r="B228" i="30" s="1"/>
  <c r="B284" i="30"/>
  <c r="B285" i="30" s="1"/>
  <c r="B286" i="30" s="1"/>
  <c r="B287" i="30" s="1"/>
  <c r="B254" i="30"/>
  <c r="B255" i="30" s="1"/>
  <c r="B256" i="30" s="1"/>
  <c r="B257" i="30" s="1"/>
  <c r="B258" i="30" s="1"/>
  <c r="B259" i="30" s="1"/>
  <c r="B175" i="30"/>
  <c r="B176" i="30" s="1"/>
  <c r="B177" i="30" s="1"/>
  <c r="B178" i="30" s="1"/>
  <c r="B179" i="30" s="1"/>
  <c r="B180" i="30" s="1"/>
  <c r="B166" i="30"/>
  <c r="B167" i="30" s="1"/>
  <c r="B168" i="30" s="1"/>
  <c r="B138" i="30"/>
  <c r="B139" i="30" s="1"/>
  <c r="B140" i="30" s="1"/>
  <c r="B141" i="30" s="1"/>
  <c r="B142" i="30" s="1"/>
  <c r="B143" i="30" s="1"/>
  <c r="B182" i="30"/>
  <c r="B183" i="30" s="1"/>
  <c r="B184" i="30" s="1"/>
  <c r="B185" i="30" s="1"/>
  <c r="B186" i="30" s="1"/>
  <c r="B261" i="30"/>
  <c r="B262" i="30" s="1"/>
  <c r="B263" i="30" s="1"/>
  <c r="B264" i="30" s="1"/>
  <c r="B265" i="30" s="1"/>
  <c r="B266" i="30" s="1"/>
  <c r="B270" i="30"/>
  <c r="B271" i="30" s="1"/>
  <c r="B272" i="30" s="1"/>
  <c r="B273" i="30" s="1"/>
  <c r="B274" i="30" s="1"/>
  <c r="B275" i="30" s="1"/>
  <c r="B298" i="30"/>
  <c r="B299" i="30" s="1"/>
  <c r="B300" i="30" s="1"/>
  <c r="B301" i="30" s="1"/>
  <c r="B302" i="30" s="1"/>
  <c r="B303" i="30" s="1"/>
  <c r="B189" i="30"/>
  <c r="B190" i="30" s="1"/>
  <c r="B191" i="30" s="1"/>
  <c r="B192" i="30" s="1"/>
  <c r="B193" i="30" s="1"/>
  <c r="B194" i="30" s="1"/>
  <c r="J118" i="12"/>
  <c r="G31" i="40" s="1"/>
  <c r="G51" i="40" s="1"/>
  <c r="J128" i="12"/>
  <c r="G31" i="89" s="1"/>
  <c r="G51" i="89" s="1"/>
  <c r="J78" i="12"/>
  <c r="G31" i="23" s="1"/>
  <c r="G54" i="23" s="1"/>
  <c r="J138" i="12"/>
  <c r="G31" i="28" s="1"/>
  <c r="G54" i="28" s="1"/>
  <c r="J48" i="12"/>
  <c r="G67" i="23" s="1"/>
  <c r="J108" i="12"/>
  <c r="G31" i="32" s="1"/>
  <c r="G54" i="32" s="1"/>
  <c r="J148" i="12"/>
  <c r="G31" i="30" s="1"/>
  <c r="G54" i="30" s="1"/>
  <c r="J68" i="12"/>
  <c r="G31" i="17" s="1"/>
  <c r="G51" i="17" s="1"/>
  <c r="C215" i="14"/>
  <c r="C216" i="14" s="1"/>
  <c r="C217" i="14" s="1"/>
  <c r="C218" i="14" s="1"/>
  <c r="C219" i="14" s="1"/>
  <c r="C153" i="17"/>
  <c r="C154" i="17" s="1"/>
  <c r="C155" i="17" s="1"/>
  <c r="C156" i="17" s="1"/>
  <c r="C157" i="17" s="1"/>
  <c r="K151" i="19"/>
  <c r="K246" i="19"/>
  <c r="J100" i="40"/>
  <c r="D261" i="40" s="1"/>
  <c r="D262" i="40" s="1"/>
  <c r="D263" i="40" s="1"/>
  <c r="D264" i="40" s="1"/>
  <c r="D265" i="40" s="1"/>
  <c r="D266" i="40" s="1"/>
  <c r="J100" i="30"/>
  <c r="D261" i="30" s="1"/>
  <c r="D262" i="30" s="1"/>
  <c r="D263" i="30" s="1"/>
  <c r="D264" i="30" s="1"/>
  <c r="D265" i="30" s="1"/>
  <c r="D266" i="30" s="1"/>
  <c r="J100" i="89"/>
  <c r="D261" i="89" s="1"/>
  <c r="D262" i="89" s="1"/>
  <c r="J100" i="17"/>
  <c r="D261" i="17" s="1"/>
  <c r="J100" i="28"/>
  <c r="D261" i="28" s="1"/>
  <c r="D262" i="28" s="1"/>
  <c r="D263" i="28" s="1"/>
  <c r="D264" i="28" s="1"/>
  <c r="D265" i="28" s="1"/>
  <c r="D266" i="28" s="1"/>
  <c r="J64" i="19"/>
  <c r="D227" i="19" s="1"/>
  <c r="D228" i="19" s="1"/>
  <c r="D229" i="19" s="1"/>
  <c r="D230" i="19" s="1"/>
  <c r="D231" i="19" s="1"/>
  <c r="D232" i="19" s="1"/>
  <c r="J100" i="14"/>
  <c r="D261" i="14" s="1"/>
  <c r="D262" i="14" s="1"/>
  <c r="D263" i="14" s="1"/>
  <c r="D264" i="14" s="1"/>
  <c r="D265" i="14" s="1"/>
  <c r="D266" i="14" s="1"/>
  <c r="C120" i="14"/>
  <c r="C121" i="14" s="1"/>
  <c r="C122" i="14" s="1"/>
  <c r="C123" i="14" s="1"/>
  <c r="C124" i="14" s="1"/>
  <c r="B69" i="23"/>
  <c r="B69" i="17"/>
  <c r="B71" i="25"/>
  <c r="B33" i="19"/>
  <c r="G65" i="38"/>
  <c r="G65" i="40"/>
  <c r="G65" i="32"/>
  <c r="G65" i="89"/>
  <c r="G67" i="25"/>
  <c r="G65" i="17"/>
  <c r="G65" i="28"/>
  <c r="F33" i="19"/>
  <c r="F69" i="32"/>
  <c r="F69" i="17"/>
  <c r="G68" i="23"/>
  <c r="G33" i="19"/>
  <c r="J102" i="25"/>
  <c r="D263" i="25" s="1"/>
  <c r="J70" i="19"/>
  <c r="D264" i="19" s="1"/>
  <c r="D265" i="19" s="1"/>
  <c r="D266" i="19" s="1"/>
  <c r="D267" i="19" s="1"/>
  <c r="D268" i="19" s="1"/>
  <c r="D269" i="19" s="1"/>
  <c r="C215" i="17"/>
  <c r="C216" i="17" s="1"/>
  <c r="C217" i="17" s="1"/>
  <c r="C218" i="17" s="1"/>
  <c r="C219" i="17" s="1"/>
  <c r="D20" i="19"/>
  <c r="D58" i="25"/>
  <c r="E48" i="40"/>
  <c r="E48" i="17"/>
  <c r="E50" i="25"/>
  <c r="S30" i="20"/>
  <c r="E12" i="19"/>
  <c r="E48" i="30"/>
  <c r="H113" i="25"/>
  <c r="B119" i="40"/>
  <c r="H77" i="19"/>
  <c r="B85" i="19" s="1"/>
  <c r="B213" i="19" s="1"/>
  <c r="B214" i="19" s="1"/>
  <c r="B215" i="19" s="1"/>
  <c r="B216" i="19" s="1"/>
  <c r="B217" i="19" s="1"/>
  <c r="B218" i="19" s="1"/>
  <c r="B119" i="23"/>
  <c r="B284" i="23" s="1"/>
  <c r="B119" i="38"/>
  <c r="H111" i="28"/>
  <c r="O111" i="28" s="1"/>
  <c r="V111" i="28" s="1"/>
  <c r="H111" i="14"/>
  <c r="B119" i="89"/>
  <c r="B254" i="89" s="1"/>
  <c r="D9" i="2"/>
  <c r="H111" i="38"/>
  <c r="O111" i="38" s="1"/>
  <c r="E69" i="89"/>
  <c r="E69" i="30"/>
  <c r="E69" i="23"/>
  <c r="E71" i="25"/>
  <c r="E69" i="14"/>
  <c r="D48" i="40"/>
  <c r="E48" i="23"/>
  <c r="J119" i="12"/>
  <c r="G32" i="40" s="1"/>
  <c r="E48" i="38"/>
  <c r="B8" i="19"/>
  <c r="H155" i="19" s="1"/>
  <c r="E38" i="12"/>
  <c r="E128" i="12" s="1"/>
  <c r="B31" i="89" s="1"/>
  <c r="G69" i="23"/>
  <c r="G69" i="89"/>
  <c r="G69" i="32"/>
  <c r="G69" i="38"/>
  <c r="G69" i="14"/>
  <c r="G69" i="40"/>
  <c r="G69" i="28"/>
  <c r="C197" i="17"/>
  <c r="C198" i="17" s="1"/>
  <c r="C199" i="17" s="1"/>
  <c r="C200" i="17" s="1"/>
  <c r="C201" i="17" s="1"/>
  <c r="E169" i="25"/>
  <c r="E170" i="25" s="1"/>
  <c r="E171" i="25" s="1"/>
  <c r="E172" i="25" s="1"/>
  <c r="E173" i="25" s="1"/>
  <c r="C292" i="17"/>
  <c r="C293" i="17" s="1"/>
  <c r="C294" i="17" s="1"/>
  <c r="C295" i="17" s="1"/>
  <c r="C296" i="17" s="1"/>
  <c r="E56" i="23"/>
  <c r="E56" i="28"/>
  <c r="B32" i="19"/>
  <c r="B68" i="28"/>
  <c r="J100" i="23"/>
  <c r="D261" i="23" s="1"/>
  <c r="D262" i="23" s="1"/>
  <c r="D263" i="23" s="1"/>
  <c r="D264" i="23" s="1"/>
  <c r="D265" i="23" s="1"/>
  <c r="D266" i="23" s="1"/>
  <c r="G71" i="25"/>
  <c r="F54" i="2"/>
  <c r="K253" i="19"/>
  <c r="G69" i="30"/>
  <c r="H111" i="23"/>
  <c r="O111" i="23" s="1"/>
  <c r="C58" i="25"/>
  <c r="J106" i="40"/>
  <c r="D298" i="40" s="1"/>
  <c r="D299" i="40" s="1"/>
  <c r="D300" i="40" s="1"/>
  <c r="D301" i="40" s="1"/>
  <c r="D302" i="40" s="1"/>
  <c r="D303" i="40" s="1"/>
  <c r="J106" i="23"/>
  <c r="D298" i="23" s="1"/>
  <c r="D299" i="23" s="1"/>
  <c r="D300" i="23" s="1"/>
  <c r="D301" i="23" s="1"/>
  <c r="D302" i="23" s="1"/>
  <c r="D303" i="23" s="1"/>
  <c r="J106" i="17"/>
  <c r="D298" i="17" s="1"/>
  <c r="J106" i="28"/>
  <c r="D298" i="28" s="1"/>
  <c r="D299" i="28" s="1"/>
  <c r="D300" i="28" s="1"/>
  <c r="D301" i="28" s="1"/>
  <c r="D302" i="28" s="1"/>
  <c r="D303" i="28" s="1"/>
  <c r="C278" i="17"/>
  <c r="C279" i="17" s="1"/>
  <c r="C280" i="17" s="1"/>
  <c r="C281" i="17" s="1"/>
  <c r="C282" i="17" s="1"/>
  <c r="G68" i="32"/>
  <c r="G68" i="38"/>
  <c r="D48" i="14"/>
  <c r="D50" i="25"/>
  <c r="R30" i="20"/>
  <c r="F48" i="17"/>
  <c r="F48" i="30"/>
  <c r="F48" i="89"/>
  <c r="F48" i="28"/>
  <c r="F12" i="19"/>
  <c r="F48" i="23"/>
  <c r="T30" i="20"/>
  <c r="F48" i="32"/>
  <c r="F48" i="38"/>
  <c r="C156" i="25"/>
  <c r="C224" i="17"/>
  <c r="C225" i="17" s="1"/>
  <c r="C226" i="17" s="1"/>
  <c r="C227" i="17" s="1"/>
  <c r="C228" i="17" s="1"/>
  <c r="J106" i="32"/>
  <c r="D298" i="32" s="1"/>
  <c r="D299" i="32" s="1"/>
  <c r="D300" i="32" s="1"/>
  <c r="D301" i="32" s="1"/>
  <c r="D302" i="32" s="1"/>
  <c r="D303" i="32" s="1"/>
  <c r="J100" i="32"/>
  <c r="D261" i="32" s="1"/>
  <c r="D262" i="32" s="1"/>
  <c r="D263" i="32" s="1"/>
  <c r="D264" i="32" s="1"/>
  <c r="D265" i="32" s="1"/>
  <c r="D266" i="32" s="1"/>
  <c r="K97" i="19"/>
  <c r="S97" i="19" s="1"/>
  <c r="K158" i="19"/>
  <c r="D48" i="89"/>
  <c r="E48" i="89"/>
  <c r="B119" i="32"/>
  <c r="B189" i="32" s="1"/>
  <c r="B119" i="14"/>
  <c r="B166" i="14" s="1"/>
  <c r="C56" i="17"/>
  <c r="C20" i="19"/>
  <c r="J100" i="38"/>
  <c r="D261" i="38" s="1"/>
  <c r="D262" i="38" s="1"/>
  <c r="D263" i="38" s="1"/>
  <c r="D264" i="38" s="1"/>
  <c r="D265" i="38" s="1"/>
  <c r="D266" i="38" s="1"/>
  <c r="D58" i="2"/>
  <c r="D54" i="2" s="1"/>
  <c r="H75" i="2"/>
  <c r="H71" i="2" s="1"/>
  <c r="C58" i="2"/>
  <c r="C54" i="2" s="1"/>
  <c r="G75" i="2"/>
  <c r="G71" i="2" s="1"/>
  <c r="D75" i="2"/>
  <c r="D71" i="2" s="1"/>
  <c r="F71" i="2"/>
  <c r="G58" i="2"/>
  <c r="G54" i="2" s="1"/>
  <c r="C75" i="2"/>
  <c r="C152" i="25"/>
  <c r="C221" i="25"/>
  <c r="C277" i="25"/>
  <c r="D260" i="25"/>
  <c r="D245" i="30"/>
  <c r="D141" i="30"/>
  <c r="D235" i="14"/>
  <c r="D241" i="14"/>
  <c r="D139" i="17"/>
  <c r="E292" i="30"/>
  <c r="D190" i="28"/>
  <c r="D191" i="28" s="1"/>
  <c r="D192" i="28" s="1"/>
  <c r="D193" i="28" s="1"/>
  <c r="D194" i="28" s="1"/>
  <c r="E299" i="23"/>
  <c r="C201" i="32"/>
  <c r="E168" i="14"/>
  <c r="E169" i="14" s="1"/>
  <c r="E170" i="14" s="1"/>
  <c r="E171" i="14" s="1"/>
  <c r="D274" i="23"/>
  <c r="D275" i="23" s="1"/>
  <c r="E167" i="17"/>
  <c r="D248" i="17"/>
  <c r="D249" i="17" s="1"/>
  <c r="D250" i="17" s="1"/>
  <c r="D251" i="17" s="1"/>
  <c r="D252" i="17" s="1"/>
  <c r="E141" i="25"/>
  <c r="D178" i="25"/>
  <c r="D179" i="25" s="1"/>
  <c r="D180" i="25" s="1"/>
  <c r="D181" i="25" s="1"/>
  <c r="D182" i="25" s="1"/>
  <c r="E273" i="89"/>
  <c r="E274" i="89" s="1"/>
  <c r="E275" i="89" s="1"/>
  <c r="C149" i="17"/>
  <c r="D199" i="25"/>
  <c r="E278" i="89"/>
  <c r="D148" i="14"/>
  <c r="D271" i="17"/>
  <c r="E271" i="23"/>
  <c r="C187" i="25"/>
  <c r="C228" i="25"/>
  <c r="G7" i="19"/>
  <c r="D248" i="32"/>
  <c r="C248" i="14"/>
  <c r="E236" i="25"/>
  <c r="E183" i="17"/>
  <c r="E184" i="17" s="1"/>
  <c r="E185" i="17" s="1"/>
  <c r="E186" i="17" s="1"/>
  <c r="E187" i="17" s="1"/>
  <c r="D187" i="32"/>
  <c r="C186" i="17"/>
  <c r="D155" i="14"/>
  <c r="E184" i="32"/>
  <c r="G148" i="12"/>
  <c r="D31" i="30" s="1"/>
  <c r="G118" i="12"/>
  <c r="D31" i="40" s="1"/>
  <c r="D51" i="40" s="1"/>
  <c r="G48" i="12"/>
  <c r="D66" i="30" s="1"/>
  <c r="G68" i="12"/>
  <c r="D31" i="17" s="1"/>
  <c r="D51" i="17" s="1"/>
  <c r="G128" i="12"/>
  <c r="D31" i="89" s="1"/>
  <c r="G108" i="12"/>
  <c r="D31" i="32" s="1"/>
  <c r="D54" i="32" s="1"/>
  <c r="G78" i="12"/>
  <c r="D31" i="23" s="1"/>
  <c r="D54" i="23" s="1"/>
  <c r="G138" i="12"/>
  <c r="D31" i="28" s="1"/>
  <c r="D54" i="28" s="1"/>
  <c r="E7" i="19"/>
  <c r="D190" i="14"/>
  <c r="C176" i="30"/>
  <c r="C285" i="28"/>
  <c r="C286" i="28" s="1"/>
  <c r="C287" i="28" s="1"/>
  <c r="C288" i="28" s="1"/>
  <c r="C289" i="28" s="1"/>
  <c r="J53" i="19"/>
  <c r="D169" i="19" s="1"/>
  <c r="D170" i="19" s="1"/>
  <c r="D171" i="19" s="1"/>
  <c r="D172" i="19" s="1"/>
  <c r="D173" i="19" s="1"/>
  <c r="D174" i="19" s="1"/>
  <c r="J89" i="32"/>
  <c r="D203" i="32" s="1"/>
  <c r="D204" i="32" s="1"/>
  <c r="D205" i="32" s="1"/>
  <c r="D206" i="32" s="1"/>
  <c r="D207" i="32" s="1"/>
  <c r="D208" i="32" s="1"/>
  <c r="J89" i="38"/>
  <c r="D203" i="38" s="1"/>
  <c r="D204" i="38" s="1"/>
  <c r="D205" i="38" s="1"/>
  <c r="D206" i="38" s="1"/>
  <c r="D207" i="38" s="1"/>
  <c r="D208" i="38" s="1"/>
  <c r="J89" i="28"/>
  <c r="D203" i="28" s="1"/>
  <c r="J89" i="14"/>
  <c r="D203" i="14" s="1"/>
  <c r="J89" i="30"/>
  <c r="D203" i="30" s="1"/>
  <c r="J89" i="17"/>
  <c r="D203" i="17" s="1"/>
  <c r="J89" i="40"/>
  <c r="D203" i="40" s="1"/>
  <c r="D204" i="40" s="1"/>
  <c r="D205" i="40" s="1"/>
  <c r="D206" i="40" s="1"/>
  <c r="D207" i="40" s="1"/>
  <c r="D208" i="40" s="1"/>
  <c r="J89" i="89"/>
  <c r="D203" i="89" s="1"/>
  <c r="D204" i="89" s="1"/>
  <c r="D205" i="89" s="1"/>
  <c r="D206" i="89" s="1"/>
  <c r="D207" i="89" s="1"/>
  <c r="D208" i="89" s="1"/>
  <c r="J91" i="25"/>
  <c r="D205" i="25" s="1"/>
  <c r="J89" i="23"/>
  <c r="D203" i="23" s="1"/>
  <c r="D204" i="23" s="1"/>
  <c r="D205" i="23" s="1"/>
  <c r="D206" i="23" s="1"/>
  <c r="D207" i="23" s="1"/>
  <c r="D208" i="23" s="1"/>
  <c r="D139" i="89"/>
  <c r="D140" i="89" s="1"/>
  <c r="D141" i="89" s="1"/>
  <c r="D142" i="89" s="1"/>
  <c r="D143" i="89" s="1"/>
  <c r="C194" i="25"/>
  <c r="D256" i="14"/>
  <c r="D257" i="14" s="1"/>
  <c r="D258" i="14" s="1"/>
  <c r="D259" i="14" s="1"/>
  <c r="E192" i="25"/>
  <c r="D149" i="32"/>
  <c r="D191" i="30"/>
  <c r="C284" i="25"/>
  <c r="C178" i="89"/>
  <c r="C179" i="89" s="1"/>
  <c r="C180" i="89" s="1"/>
  <c r="C122" i="17"/>
  <c r="C257" i="30"/>
  <c r="E256" i="32"/>
  <c r="C272" i="14"/>
  <c r="D176" i="28"/>
  <c r="D177" i="28" s="1"/>
  <c r="D178" i="28" s="1"/>
  <c r="D179" i="28" s="1"/>
  <c r="D180" i="28" s="1"/>
  <c r="C160" i="32"/>
  <c r="C197" i="23"/>
  <c r="C255" i="17"/>
  <c r="F39" i="12"/>
  <c r="F129" i="12" s="1"/>
  <c r="C32" i="89" s="1"/>
  <c r="C290" i="25"/>
  <c r="C274" i="30"/>
  <c r="C286" i="17"/>
  <c r="D255" i="30"/>
  <c r="D278" i="30"/>
  <c r="D279" i="30" s="1"/>
  <c r="D280" i="30" s="1"/>
  <c r="D281" i="30" s="1"/>
  <c r="D282" i="30" s="1"/>
  <c r="E167" i="28"/>
  <c r="E168" i="28" s="1"/>
  <c r="E169" i="28" s="1"/>
  <c r="E170" i="28" s="1"/>
  <c r="E171" i="28" s="1"/>
  <c r="C248" i="17"/>
  <c r="E183" i="14"/>
  <c r="E197" i="14"/>
  <c r="C129" i="17"/>
  <c r="C176" i="17"/>
  <c r="C241" i="17"/>
  <c r="D8" i="19"/>
  <c r="J157" i="19" s="1"/>
  <c r="Q181" i="19"/>
  <c r="J181" i="19" s="1"/>
  <c r="K181" i="19" s="1"/>
  <c r="L181" i="19" s="1"/>
  <c r="M181" i="19" s="1"/>
  <c r="D183" i="17"/>
  <c r="D285" i="17"/>
  <c r="E272" i="30"/>
  <c r="D176" i="23"/>
  <c r="E65" i="28"/>
  <c r="E65" i="30"/>
  <c r="E65" i="17"/>
  <c r="E65" i="23"/>
  <c r="E65" i="32"/>
  <c r="E65" i="38"/>
  <c r="E29" i="19"/>
  <c r="E67" i="25"/>
  <c r="C178" i="25"/>
  <c r="C234" i="17"/>
  <c r="F38" i="12"/>
  <c r="C8" i="19"/>
  <c r="I163" i="19" s="1"/>
  <c r="D160" i="30"/>
  <c r="D184" i="30"/>
  <c r="D185" i="30" s="1"/>
  <c r="D186" i="30" s="1"/>
  <c r="D187" i="30" s="1"/>
  <c r="D197" i="28"/>
  <c r="D198" i="28" s="1"/>
  <c r="D199" i="28" s="1"/>
  <c r="D200" i="28" s="1"/>
  <c r="D201" i="28" s="1"/>
  <c r="D271" i="28"/>
  <c r="D272" i="28" s="1"/>
  <c r="D273" i="28" s="1"/>
  <c r="D274" i="28" s="1"/>
  <c r="D275" i="28" s="1"/>
  <c r="E65" i="40"/>
  <c r="D271" i="14"/>
  <c r="E262" i="28"/>
  <c r="E263" i="28" s="1"/>
  <c r="E264" i="28" s="1"/>
  <c r="E265" i="28" s="1"/>
  <c r="E266" i="28" s="1"/>
  <c r="I36" i="12"/>
  <c r="D56" i="32"/>
  <c r="D56" i="14"/>
  <c r="D56" i="38"/>
  <c r="D56" i="28"/>
  <c r="D56" i="23"/>
  <c r="D56" i="30"/>
  <c r="D56" i="17"/>
  <c r="D56" i="40"/>
  <c r="D176" i="89"/>
  <c r="D177" i="89" s="1"/>
  <c r="D178" i="89" s="1"/>
  <c r="D179" i="89" s="1"/>
  <c r="D180" i="89" s="1"/>
  <c r="B233" i="30"/>
  <c r="B234" i="30" s="1"/>
  <c r="B240" i="30"/>
  <c r="B120" i="30"/>
  <c r="B121" i="30" s="1"/>
  <c r="B122" i="30" s="1"/>
  <c r="B123" i="30" s="1"/>
  <c r="B124" i="30" s="1"/>
  <c r="B291" i="30"/>
  <c r="B292" i="30" s="1"/>
  <c r="B293" i="30" s="1"/>
  <c r="B294" i="30" s="1"/>
  <c r="B295" i="30" s="1"/>
  <c r="B128" i="30"/>
  <c r="B129" i="30" s="1"/>
  <c r="B130" i="30" s="1"/>
  <c r="B131" i="30" s="1"/>
  <c r="B132" i="30" s="1"/>
  <c r="B133" i="30" s="1"/>
  <c r="B307" i="30"/>
  <c r="B308" i="30" s="1"/>
  <c r="B309" i="30" s="1"/>
  <c r="B310" i="30" s="1"/>
  <c r="B311" i="30" s="1"/>
  <c r="B312" i="30" s="1"/>
  <c r="B277" i="30"/>
  <c r="B278" i="30" s="1"/>
  <c r="B279" i="30" s="1"/>
  <c r="B280" i="30" s="1"/>
  <c r="B281" i="30" s="1"/>
  <c r="B282" i="30" s="1"/>
  <c r="B152" i="30"/>
  <c r="B196" i="30"/>
  <c r="B197" i="30" s="1"/>
  <c r="B198" i="30" s="1"/>
  <c r="B199" i="30" s="1"/>
  <c r="B203" i="30"/>
  <c r="B204" i="30" s="1"/>
  <c r="B205" i="30" s="1"/>
  <c r="B247" i="30"/>
  <c r="B248" i="30" s="1"/>
  <c r="B249" i="30" s="1"/>
  <c r="B250" i="30" s="1"/>
  <c r="B251" i="30" s="1"/>
  <c r="B252" i="30" s="1"/>
  <c r="B214" i="30"/>
  <c r="B215" i="30" s="1"/>
  <c r="J109" i="12"/>
  <c r="G32" i="32" s="1"/>
  <c r="J149" i="12"/>
  <c r="G32" i="30" s="1"/>
  <c r="J129" i="12"/>
  <c r="G32" i="89" s="1"/>
  <c r="J79" i="12"/>
  <c r="G32" i="23" s="1"/>
  <c r="J139" i="12"/>
  <c r="G32" i="28" s="1"/>
  <c r="D255" i="28"/>
  <c r="D256" i="28" s="1"/>
  <c r="D257" i="28" s="1"/>
  <c r="D258" i="28" s="1"/>
  <c r="D259" i="28" s="1"/>
  <c r="C224" i="30"/>
  <c r="C278" i="30"/>
  <c r="D71" i="25"/>
  <c r="D69" i="14"/>
  <c r="D69" i="40"/>
  <c r="D69" i="38"/>
  <c r="D69" i="23"/>
  <c r="C197" i="30"/>
  <c r="E68" i="38"/>
  <c r="E68" i="89"/>
  <c r="E68" i="30"/>
  <c r="E68" i="17"/>
  <c r="C71" i="2"/>
  <c r="F69" i="89"/>
  <c r="F69" i="14"/>
  <c r="F71" i="25"/>
  <c r="C56" i="89"/>
  <c r="C56" i="30"/>
  <c r="C56" i="28"/>
  <c r="C56" i="14"/>
  <c r="C56" i="32"/>
  <c r="C56" i="23"/>
  <c r="J106" i="14"/>
  <c r="D298" i="14" s="1"/>
  <c r="J108" i="25"/>
  <c r="D300" i="25" s="1"/>
  <c r="J106" i="89"/>
  <c r="D298" i="89" s="1"/>
  <c r="D299" i="89" s="1"/>
  <c r="D300" i="89" s="1"/>
  <c r="D301" i="89" s="1"/>
  <c r="D302" i="89" s="1"/>
  <c r="D303" i="89" s="1"/>
  <c r="D48" i="32"/>
  <c r="D48" i="38"/>
  <c r="D12" i="19"/>
  <c r="C65" i="14"/>
  <c r="C65" i="40"/>
  <c r="C32" i="19"/>
  <c r="C68" i="14"/>
  <c r="C68" i="28"/>
  <c r="C70" i="25"/>
  <c r="E33" i="19"/>
  <c r="C68" i="89"/>
  <c r="G36" i="12"/>
  <c r="D7" i="19"/>
  <c r="K172" i="19"/>
  <c r="K144" i="19"/>
  <c r="I21" i="86"/>
  <c r="E143" i="32"/>
  <c r="D169" i="14"/>
  <c r="D274" i="19"/>
  <c r="E272" i="38"/>
  <c r="D115" i="19"/>
  <c r="S88" i="19"/>
  <c r="P85" i="19"/>
  <c r="O117" i="20"/>
  <c r="O95" i="20"/>
  <c r="O83" i="20"/>
  <c r="S62" i="76"/>
  <c r="O84" i="20"/>
  <c r="T10" i="18" s="1"/>
  <c r="AS10" i="18" s="1"/>
  <c r="O93" i="20"/>
  <c r="O92" i="20"/>
  <c r="E256" i="38"/>
  <c r="L41" i="20"/>
  <c r="M53" i="20" s="1"/>
  <c r="L95" i="20"/>
  <c r="L122" i="20" s="1"/>
  <c r="T14" i="20"/>
  <c r="U14" i="20"/>
  <c r="Q14" i="20"/>
  <c r="R14" i="20"/>
  <c r="M93" i="20"/>
  <c r="M92" i="20"/>
  <c r="C143" i="28"/>
  <c r="C252" i="40"/>
  <c r="C282" i="38"/>
  <c r="K87" i="19"/>
  <c r="L87" i="19" s="1"/>
  <c r="M87" i="19" s="1"/>
  <c r="Q86" i="19"/>
  <c r="C157" i="28"/>
  <c r="C201" i="89"/>
  <c r="C187" i="14"/>
  <c r="C275" i="23"/>
  <c r="C275" i="17"/>
  <c r="D142" i="28"/>
  <c r="T89" i="19"/>
  <c r="Q90" i="25"/>
  <c r="F203" i="25" s="1"/>
  <c r="Q89" i="25"/>
  <c r="F196" i="25" s="1"/>
  <c r="Q82" i="25"/>
  <c r="F152" i="25" s="1"/>
  <c r="Q110" i="25"/>
  <c r="F314" i="25" s="1"/>
  <c r="Q94" i="25"/>
  <c r="F221" i="25" s="1"/>
  <c r="Q100" i="25"/>
  <c r="F254" i="25" s="1"/>
  <c r="Q87" i="25"/>
  <c r="F182" i="25" s="1"/>
  <c r="Q102" i="25"/>
  <c r="F268" i="25" s="1"/>
  <c r="Q95" i="25"/>
  <c r="F230" i="25" s="1"/>
  <c r="Q84" i="25"/>
  <c r="F166" i="25" s="1"/>
  <c r="Q85" i="25"/>
  <c r="F173" i="25" s="1"/>
  <c r="Q106" i="25"/>
  <c r="F291" i="25" s="1"/>
  <c r="Q108" i="25"/>
  <c r="F305" i="25" s="1"/>
  <c r="Q83" i="25"/>
  <c r="F159" i="25" s="1"/>
  <c r="Q99" i="25"/>
  <c r="F247" i="25" s="1"/>
  <c r="Q98" i="25"/>
  <c r="F240" i="25" s="1"/>
  <c r="Q101" i="25"/>
  <c r="F261" i="25" s="1"/>
  <c r="Q81" i="25"/>
  <c r="F145" i="25" s="1"/>
  <c r="Q77" i="25"/>
  <c r="F126" i="25" s="1"/>
  <c r="D289" i="23"/>
  <c r="C296" i="23"/>
  <c r="P83" i="25"/>
  <c r="F158" i="25" s="1"/>
  <c r="P81" i="25"/>
  <c r="F144" i="25" s="1"/>
  <c r="P88" i="25"/>
  <c r="F188" i="25" s="1"/>
  <c r="P94" i="25"/>
  <c r="F220" i="25" s="1"/>
  <c r="P78" i="25"/>
  <c r="F134" i="25" s="1"/>
  <c r="P82" i="25"/>
  <c r="F151" i="25" s="1"/>
  <c r="P90" i="25"/>
  <c r="F202" i="25" s="1"/>
  <c r="P100" i="25"/>
  <c r="F253" i="25" s="1"/>
  <c r="P102" i="25"/>
  <c r="F267" i="25" s="1"/>
  <c r="P107" i="25"/>
  <c r="F297" i="25" s="1"/>
  <c r="P108" i="25"/>
  <c r="F304" i="25" s="1"/>
  <c r="P106" i="25"/>
  <c r="F290" i="25" s="1"/>
  <c r="P89" i="25"/>
  <c r="F195" i="25" s="1"/>
  <c r="N100" i="25"/>
  <c r="F251" i="25" s="1"/>
  <c r="N90" i="25"/>
  <c r="F200" i="25" s="1"/>
  <c r="N89" i="25"/>
  <c r="F193" i="25" s="1"/>
  <c r="N82" i="25"/>
  <c r="F149" i="25" s="1"/>
  <c r="N83" i="25"/>
  <c r="F156" i="25" s="1"/>
  <c r="N95" i="25"/>
  <c r="F227" i="25" s="1"/>
  <c r="N81" i="25"/>
  <c r="F142" i="25" s="1"/>
  <c r="P91" i="25"/>
  <c r="F209" i="25" s="1"/>
  <c r="P85" i="25"/>
  <c r="F172" i="25" s="1"/>
  <c r="P104" i="25"/>
  <c r="F276" i="25" s="1"/>
  <c r="D129" i="19"/>
  <c r="I57" i="76"/>
  <c r="H25" i="76"/>
  <c r="U25" i="76" s="1"/>
  <c r="D18" i="76"/>
  <c r="I25" i="76"/>
  <c r="I111" i="20"/>
  <c r="I112" i="20"/>
  <c r="I51" i="20"/>
  <c r="I115" i="20"/>
  <c r="J51" i="20"/>
  <c r="I114" i="20"/>
  <c r="I83" i="20"/>
  <c r="I61" i="20"/>
  <c r="I139" i="20" s="1"/>
  <c r="I159" i="20" s="1"/>
  <c r="I62" i="20"/>
  <c r="I140" i="20" s="1"/>
  <c r="I160" i="20" s="1"/>
  <c r="I57" i="20"/>
  <c r="I131" i="20" s="1"/>
  <c r="I60" i="20"/>
  <c r="I138" i="20" s="1"/>
  <c r="E167" i="32"/>
  <c r="D197" i="89"/>
  <c r="H57" i="20"/>
  <c r="H49" i="20"/>
  <c r="AT14" i="18"/>
  <c r="AT155" i="18"/>
  <c r="AT86" i="18"/>
  <c r="E59" i="83" s="1"/>
  <c r="M73" i="14"/>
  <c r="D45" i="14"/>
  <c r="H84" i="20"/>
  <c r="M73" i="89"/>
  <c r="D45" i="89"/>
  <c r="N53" i="20"/>
  <c r="F53" i="20"/>
  <c r="E42" i="20"/>
  <c r="E53" i="20"/>
  <c r="N86" i="30"/>
  <c r="F184" i="30" s="1"/>
  <c r="N89" i="30"/>
  <c r="F205" i="30" s="1"/>
  <c r="N108" i="30"/>
  <c r="F309" i="30" s="1"/>
  <c r="N82" i="30"/>
  <c r="F161" i="30" s="1"/>
  <c r="N99" i="30"/>
  <c r="F256" i="30" s="1"/>
  <c r="N81" i="30"/>
  <c r="F154" i="30" s="1"/>
  <c r="N83" i="30"/>
  <c r="F168" i="30" s="1"/>
  <c r="N100" i="30"/>
  <c r="F263" i="30" s="1"/>
  <c r="N88" i="30"/>
  <c r="F198" i="30" s="1"/>
  <c r="N85" i="30"/>
  <c r="F177" i="30" s="1"/>
  <c r="N104" i="30"/>
  <c r="F286" i="30" s="1"/>
  <c r="N80" i="30"/>
  <c r="F147" i="30" s="1"/>
  <c r="N102" i="30"/>
  <c r="F272" i="30" s="1"/>
  <c r="N79" i="30"/>
  <c r="F140" i="30" s="1"/>
  <c r="N93" i="30"/>
  <c r="F225" i="30" s="1"/>
  <c r="N105" i="30"/>
  <c r="F293" i="30" s="1"/>
  <c r="N98" i="30"/>
  <c r="F249" i="30" s="1"/>
  <c r="N106" i="30"/>
  <c r="F300" i="30" s="1"/>
  <c r="N103" i="30"/>
  <c r="F279" i="30" s="1"/>
  <c r="N97" i="30"/>
  <c r="F242" i="30" s="1"/>
  <c r="N92" i="30"/>
  <c r="F216" i="30" s="1"/>
  <c r="N96" i="30"/>
  <c r="F235" i="30" s="1"/>
  <c r="B13" i="19"/>
  <c r="E36" i="12"/>
  <c r="L96" i="23"/>
  <c r="F233" i="23" s="1"/>
  <c r="L93" i="23"/>
  <c r="F223" i="23" s="1"/>
  <c r="L100" i="23"/>
  <c r="F261" i="23" s="1"/>
  <c r="L75" i="23"/>
  <c r="F119" i="23" s="1"/>
  <c r="L87" i="23"/>
  <c r="F189" i="23" s="1"/>
  <c r="L82" i="23"/>
  <c r="F159" i="23" s="1"/>
  <c r="L108" i="23"/>
  <c r="F307" i="23" s="1"/>
  <c r="L103" i="23"/>
  <c r="F277" i="23" s="1"/>
  <c r="L88" i="23"/>
  <c r="F196" i="23" s="1"/>
  <c r="L102" i="23"/>
  <c r="F270" i="23" s="1"/>
  <c r="L76" i="23"/>
  <c r="F128" i="23" s="1"/>
  <c r="L92" i="23"/>
  <c r="F214" i="23" s="1"/>
  <c r="L97" i="23"/>
  <c r="F240" i="23" s="1"/>
  <c r="L83" i="23"/>
  <c r="F166" i="23" s="1"/>
  <c r="L80" i="23"/>
  <c r="F145" i="23" s="1"/>
  <c r="L99" i="23"/>
  <c r="F254" i="23" s="1"/>
  <c r="L81" i="23"/>
  <c r="F152" i="23" s="1"/>
  <c r="L79" i="23"/>
  <c r="F138" i="23" s="1"/>
  <c r="L98" i="23"/>
  <c r="F247" i="23" s="1"/>
  <c r="I52" i="20"/>
  <c r="I42" i="20"/>
  <c r="J52" i="20"/>
  <c r="D42" i="20"/>
  <c r="E52" i="20"/>
  <c r="N78" i="20"/>
  <c r="N77" i="20"/>
  <c r="G56" i="89"/>
  <c r="G56" i="32"/>
  <c r="G56" i="14"/>
  <c r="G20" i="19"/>
  <c r="G56" i="28"/>
  <c r="G56" i="17"/>
  <c r="G56" i="30"/>
  <c r="G56" i="40"/>
  <c r="G56" i="23"/>
  <c r="G56" i="38"/>
  <c r="G58" i="25"/>
  <c r="G68" i="28"/>
  <c r="G68" i="30"/>
  <c r="G68" i="17"/>
  <c r="G32" i="19"/>
  <c r="G70" i="25"/>
  <c r="G68" i="89"/>
  <c r="M64" i="20"/>
  <c r="M45" i="20"/>
  <c r="T77" i="20"/>
  <c r="H38" i="12"/>
  <c r="H42" i="20"/>
  <c r="H52" i="20"/>
  <c r="L78" i="20"/>
  <c r="M77" i="20"/>
  <c r="L77" i="20"/>
  <c r="S78" i="20"/>
  <c r="S77" i="20"/>
  <c r="L64" i="20"/>
  <c r="L45" i="20"/>
  <c r="C146" i="89"/>
  <c r="S160" i="20"/>
  <c r="J56" i="20"/>
  <c r="J49" i="20"/>
  <c r="K165" i="19"/>
  <c r="K239" i="19"/>
  <c r="K267" i="19"/>
  <c r="K260" i="19"/>
  <c r="K192" i="19"/>
  <c r="H64" i="20"/>
  <c r="G84" i="20"/>
  <c r="G118" i="20"/>
  <c r="G95" i="20"/>
  <c r="G122" i="20" s="1"/>
  <c r="G83" i="20"/>
  <c r="G117" i="20"/>
  <c r="K62" i="76"/>
  <c r="F68" i="40"/>
  <c r="F68" i="17"/>
  <c r="F70" i="25"/>
  <c r="F68" i="23"/>
  <c r="F68" i="89"/>
  <c r="F68" i="32"/>
  <c r="F68" i="30"/>
  <c r="E234" i="89"/>
  <c r="Q103" i="89"/>
  <c r="F282" i="89" s="1"/>
  <c r="Q102" i="89"/>
  <c r="F275" i="89" s="1"/>
  <c r="Q76" i="89"/>
  <c r="F133" i="89" s="1"/>
  <c r="Q99" i="89"/>
  <c r="F259" i="89" s="1"/>
  <c r="Q97" i="89"/>
  <c r="F245" i="89" s="1"/>
  <c r="Q87" i="89"/>
  <c r="F194" i="89" s="1"/>
  <c r="Q79" i="89"/>
  <c r="F143" i="89" s="1"/>
  <c r="Q81" i="89"/>
  <c r="F157" i="89" s="1"/>
  <c r="Q104" i="89"/>
  <c r="F289" i="89" s="1"/>
  <c r="Q75" i="89"/>
  <c r="F124" i="89" s="1"/>
  <c r="Q83" i="89"/>
  <c r="F171" i="89" s="1"/>
  <c r="Q100" i="89"/>
  <c r="F266" i="89" s="1"/>
  <c r="Q106" i="89"/>
  <c r="F303" i="89" s="1"/>
  <c r="Q92" i="89"/>
  <c r="F219" i="89" s="1"/>
  <c r="Q82" i="89"/>
  <c r="F164" i="89" s="1"/>
  <c r="Q85" i="89"/>
  <c r="F180" i="89" s="1"/>
  <c r="Q93" i="89"/>
  <c r="F228" i="89" s="1"/>
  <c r="Q98" i="89"/>
  <c r="F252" i="89" s="1"/>
  <c r="Q96" i="89"/>
  <c r="F238" i="89" s="1"/>
  <c r="Q88" i="89"/>
  <c r="F201" i="89" s="1"/>
  <c r="P141" i="18"/>
  <c r="P136" i="18"/>
  <c r="P144" i="18"/>
  <c r="P139" i="18"/>
  <c r="P138" i="18"/>
  <c r="P137" i="18"/>
  <c r="P140" i="18"/>
  <c r="P135" i="18"/>
  <c r="P142" i="18"/>
  <c r="M104" i="30"/>
  <c r="F285" i="30" s="1"/>
  <c r="M88" i="30"/>
  <c r="F197" i="30" s="1"/>
  <c r="M97" i="30"/>
  <c r="F241" i="30" s="1"/>
  <c r="M108" i="30"/>
  <c r="F308" i="30" s="1"/>
  <c r="M85" i="30"/>
  <c r="F176" i="30" s="1"/>
  <c r="M103" i="30"/>
  <c r="F278" i="30" s="1"/>
  <c r="M93" i="30"/>
  <c r="F224" i="30" s="1"/>
  <c r="M82" i="30"/>
  <c r="F160" i="30" s="1"/>
  <c r="M105" i="30"/>
  <c r="F292" i="30" s="1"/>
  <c r="M83" i="30"/>
  <c r="F167" i="30" s="1"/>
  <c r="M80" i="30"/>
  <c r="F146" i="30" s="1"/>
  <c r="M102" i="30"/>
  <c r="F271" i="30" s="1"/>
  <c r="M96" i="30"/>
  <c r="F234" i="30" s="1"/>
  <c r="P180" i="19"/>
  <c r="I180" i="19" s="1"/>
  <c r="J180" i="19" s="1"/>
  <c r="K180" i="19" s="1"/>
  <c r="L180" i="19" s="1"/>
  <c r="M180" i="19" s="1"/>
  <c r="L183" i="19"/>
  <c r="M183" i="19" s="1"/>
  <c r="K84" i="20"/>
  <c r="K95" i="20"/>
  <c r="K122" i="20" s="1"/>
  <c r="K118" i="20"/>
  <c r="P108" i="40"/>
  <c r="F311" i="40" s="1"/>
  <c r="P76" i="40"/>
  <c r="F132" i="40" s="1"/>
  <c r="P80" i="40"/>
  <c r="F149" i="40" s="1"/>
  <c r="P81" i="40"/>
  <c r="F156" i="40" s="1"/>
  <c r="P103" i="40"/>
  <c r="F281" i="40" s="1"/>
  <c r="P93" i="40"/>
  <c r="F227" i="40" s="1"/>
  <c r="P82" i="40"/>
  <c r="F163" i="40" s="1"/>
  <c r="P100" i="40"/>
  <c r="F265" i="40" s="1"/>
  <c r="P99" i="40"/>
  <c r="F258" i="40" s="1"/>
  <c r="P92" i="40"/>
  <c r="F218" i="40" s="1"/>
  <c r="P97" i="40"/>
  <c r="F244" i="40" s="1"/>
  <c r="P79" i="40"/>
  <c r="F142" i="40" s="1"/>
  <c r="P98" i="40"/>
  <c r="F251" i="40" s="1"/>
  <c r="P106" i="40"/>
  <c r="F302" i="40" s="1"/>
  <c r="P83" i="40"/>
  <c r="F170" i="40" s="1"/>
  <c r="P102" i="40"/>
  <c r="F274" i="40" s="1"/>
  <c r="T184" i="19"/>
  <c r="M184" i="19" s="1"/>
  <c r="E64" i="20"/>
  <c r="D117" i="20"/>
  <c r="D84" i="20"/>
  <c r="D95" i="20"/>
  <c r="D122" i="20" s="1"/>
  <c r="H62" i="76"/>
  <c r="D83" i="20"/>
  <c r="F95" i="20"/>
  <c r="F122" i="20" s="1"/>
  <c r="F24" i="20"/>
  <c r="J62" i="76"/>
  <c r="J83" i="20"/>
  <c r="J84" i="20"/>
  <c r="J117" i="20"/>
  <c r="K64" i="20"/>
  <c r="P77" i="20"/>
  <c r="O77" i="20"/>
  <c r="J115" i="20"/>
  <c r="J61" i="20"/>
  <c r="J139" i="20" s="1"/>
  <c r="B68" i="89"/>
  <c r="B68" i="14"/>
  <c r="B68" i="40"/>
  <c r="B68" i="32"/>
  <c r="B68" i="38"/>
  <c r="B68" i="30"/>
  <c r="B68" i="17"/>
  <c r="B68" i="23"/>
  <c r="DT9" i="18"/>
  <c r="G3" i="87"/>
  <c r="E8" i="86" s="1"/>
  <c r="G9" i="87"/>
  <c r="L16" i="86" s="1"/>
  <c r="G12" i="87"/>
  <c r="L19" i="86" s="1"/>
  <c r="F8" i="19"/>
  <c r="L98" i="19" s="1"/>
  <c r="I38" i="12"/>
  <c r="BQ14" i="18"/>
  <c r="J37" i="65"/>
  <c r="B69" i="30"/>
  <c r="J36" i="65"/>
  <c r="B69" i="28"/>
  <c r="K36" i="65"/>
  <c r="G4" i="87"/>
  <c r="E9" i="86" s="1"/>
  <c r="BP16" i="18"/>
  <c r="BN39" i="18"/>
  <c r="J39" i="65"/>
  <c r="J38" i="65"/>
  <c r="B69" i="40"/>
  <c r="G13" i="87"/>
  <c r="L20" i="86" s="1"/>
  <c r="P20" i="86" s="1"/>
  <c r="O85" i="30"/>
  <c r="F178" i="30" s="1"/>
  <c r="O82" i="30"/>
  <c r="F162" i="30" s="1"/>
  <c r="O86" i="30"/>
  <c r="F185" i="30" s="1"/>
  <c r="O97" i="30"/>
  <c r="F243" i="30" s="1"/>
  <c r="O79" i="30"/>
  <c r="F141" i="30" s="1"/>
  <c r="O87" i="30"/>
  <c r="F192" i="30" s="1"/>
  <c r="O76" i="30"/>
  <c r="F131" i="30" s="1"/>
  <c r="D48" i="30"/>
  <c r="D48" i="23"/>
  <c r="K38" i="65"/>
  <c r="BP31" i="18"/>
  <c r="K37" i="65"/>
  <c r="BP24" i="18"/>
  <c r="BQ19" i="18"/>
  <c r="B69" i="38"/>
  <c r="B69" i="89"/>
  <c r="G11" i="87"/>
  <c r="L18" i="86" s="1"/>
  <c r="BP29" i="18"/>
  <c r="K39" i="65"/>
  <c r="A66" i="68"/>
  <c r="L88" i="19" l="1"/>
  <c r="M88" i="19" s="1"/>
  <c r="S39" i="65"/>
  <c r="BN31" i="18"/>
  <c r="BU31" i="18" s="1"/>
  <c r="C201" i="19"/>
  <c r="C202" i="19" s="1"/>
  <c r="C203" i="19" s="1"/>
  <c r="C204" i="19" s="1"/>
  <c r="I19" i="86"/>
  <c r="E52" i="2"/>
  <c r="R62" i="76"/>
  <c r="N83" i="20"/>
  <c r="S7" i="18" s="1"/>
  <c r="AR9" i="18" s="1"/>
  <c r="N24" i="20"/>
  <c r="N92" i="20" s="1"/>
  <c r="S38" i="65"/>
  <c r="O64" i="20"/>
  <c r="BN26" i="18"/>
  <c r="N95" i="20"/>
  <c r="N122" i="20" s="1"/>
  <c r="N84" i="20"/>
  <c r="S10" i="18" s="1"/>
  <c r="AR10" i="18" s="1"/>
  <c r="N117" i="20"/>
  <c r="F52" i="2"/>
  <c r="D52" i="2"/>
  <c r="G52" i="2"/>
  <c r="H52" i="2"/>
  <c r="CU11" i="18"/>
  <c r="CK11" i="18"/>
  <c r="CO11" i="18"/>
  <c r="CV11" i="18"/>
  <c r="CL11" i="18"/>
  <c r="CJ11" i="18"/>
  <c r="CM11" i="18"/>
  <c r="CN11" i="18"/>
  <c r="CP11" i="18"/>
  <c r="CQ11" i="18"/>
  <c r="CR11" i="18"/>
  <c r="CP12" i="18"/>
  <c r="CQ12" i="18"/>
  <c r="CL12" i="18"/>
  <c r="CR12" i="18"/>
  <c r="CJ12" i="18"/>
  <c r="CV12" i="18"/>
  <c r="CO12" i="18"/>
  <c r="CU12" i="18"/>
  <c r="CK12" i="18"/>
  <c r="CM12" i="18"/>
  <c r="CN12" i="18"/>
  <c r="CM13" i="18"/>
  <c r="CV13" i="18"/>
  <c r="CN13" i="18"/>
  <c r="CO13" i="18"/>
  <c r="CP13" i="18"/>
  <c r="CQ13" i="18"/>
  <c r="CL13" i="18"/>
  <c r="CR13" i="18"/>
  <c r="CJ13" i="18"/>
  <c r="CU13" i="18"/>
  <c r="CK13" i="18"/>
  <c r="F43" i="65"/>
  <c r="F45" i="65" s="1"/>
  <c r="CD11" i="18"/>
  <c r="L90" i="85"/>
  <c r="L93" i="85" s="1"/>
  <c r="AJ28" i="76"/>
  <c r="AJ41" i="76" s="1"/>
  <c r="B89" i="12"/>
  <c r="BM41" i="76"/>
  <c r="O122" i="20"/>
  <c r="T20" i="18"/>
  <c r="L14" i="82"/>
  <c r="E122" i="20"/>
  <c r="I14" i="82"/>
  <c r="B196" i="17"/>
  <c r="B197" i="17" s="1"/>
  <c r="B198" i="17" s="1"/>
  <c r="B199" i="17" s="1"/>
  <c r="B200" i="17" s="1"/>
  <c r="B138" i="17"/>
  <c r="B139" i="17" s="1"/>
  <c r="B140" i="17" s="1"/>
  <c r="B141" i="17" s="1"/>
  <c r="B142" i="17" s="1"/>
  <c r="B143" i="17" s="1"/>
  <c r="B240" i="17"/>
  <c r="B241" i="17" s="1"/>
  <c r="B242" i="17" s="1"/>
  <c r="B243" i="17" s="1"/>
  <c r="B244" i="17" s="1"/>
  <c r="B245" i="17" s="1"/>
  <c r="AH41" i="76"/>
  <c r="B277" i="17"/>
  <c r="B278" i="17" s="1"/>
  <c r="B279" i="17" s="1"/>
  <c r="B280" i="17" s="1"/>
  <c r="B281" i="17" s="1"/>
  <c r="B282" i="17" s="1"/>
  <c r="B145" i="17"/>
  <c r="B146" i="17" s="1"/>
  <c r="B147" i="17" s="1"/>
  <c r="B148" i="17" s="1"/>
  <c r="B149" i="17" s="1"/>
  <c r="B150" i="17" s="1"/>
  <c r="B189" i="17"/>
  <c r="B190" i="17" s="1"/>
  <c r="B191" i="17" s="1"/>
  <c r="B192" i="17" s="1"/>
  <c r="B298" i="17"/>
  <c r="B299" i="17" s="1"/>
  <c r="B300" i="17" s="1"/>
  <c r="B301" i="17" s="1"/>
  <c r="B302" i="17" s="1"/>
  <c r="B303" i="17" s="1"/>
  <c r="Q12" i="20"/>
  <c r="C9" i="25" s="1"/>
  <c r="P8" i="20"/>
  <c r="R12" i="20"/>
  <c r="D9" i="25" s="1"/>
  <c r="U12" i="20"/>
  <c r="G9" i="25" s="1"/>
  <c r="T12" i="20"/>
  <c r="F9" i="25" s="1"/>
  <c r="B9" i="25"/>
  <c r="B8" i="40"/>
  <c r="B8" i="25"/>
  <c r="B8" i="89"/>
  <c r="B203" i="28"/>
  <c r="B204" i="28" s="1"/>
  <c r="B205" i="28" s="1"/>
  <c r="B206" i="28" s="1"/>
  <c r="B207" i="28" s="1"/>
  <c r="B208" i="28" s="1"/>
  <c r="B8" i="38"/>
  <c r="B182" i="17"/>
  <c r="B183" i="17" s="1"/>
  <c r="B184" i="17" s="1"/>
  <c r="B185" i="17" s="1"/>
  <c r="B186" i="17" s="1"/>
  <c r="B187" i="17" s="1"/>
  <c r="B120" i="17"/>
  <c r="B121" i="17" s="1"/>
  <c r="B122" i="17" s="1"/>
  <c r="B123" i="17" s="1"/>
  <c r="B124" i="17" s="1"/>
  <c r="B152" i="17"/>
  <c r="B153" i="17" s="1"/>
  <c r="B154" i="17" s="1"/>
  <c r="B155" i="17" s="1"/>
  <c r="B156" i="17" s="1"/>
  <c r="D3" i="19"/>
  <c r="N37" i="19" s="1"/>
  <c r="I111" i="89"/>
  <c r="P111" i="89" s="1"/>
  <c r="W111" i="89" s="1"/>
  <c r="B175" i="17"/>
  <c r="B176" i="17" s="1"/>
  <c r="B177" i="17" s="1"/>
  <c r="B178" i="17" s="1"/>
  <c r="B179" i="17" s="1"/>
  <c r="B180" i="17" s="1"/>
  <c r="B307" i="17"/>
  <c r="B308" i="17" s="1"/>
  <c r="B309" i="17" s="1"/>
  <c r="B310" i="17" s="1"/>
  <c r="B311" i="17" s="1"/>
  <c r="B312" i="17" s="1"/>
  <c r="BL41" i="76"/>
  <c r="BK41" i="76"/>
  <c r="B128" i="17"/>
  <c r="B129" i="17" s="1"/>
  <c r="B130" i="17" s="1"/>
  <c r="B131" i="17" s="1"/>
  <c r="B132" i="17" s="1"/>
  <c r="B133" i="17" s="1"/>
  <c r="B159" i="17"/>
  <c r="B160" i="17" s="1"/>
  <c r="B161" i="17" s="1"/>
  <c r="B162" i="17" s="1"/>
  <c r="P111" i="17"/>
  <c r="B254" i="17"/>
  <c r="B255" i="17" s="1"/>
  <c r="B256" i="17" s="1"/>
  <c r="B257" i="17" s="1"/>
  <c r="B258" i="17" s="1"/>
  <c r="B259" i="17" s="1"/>
  <c r="B284" i="17"/>
  <c r="B285" i="17" s="1"/>
  <c r="B286" i="17" s="1"/>
  <c r="B287" i="17" s="1"/>
  <c r="B288" i="17" s="1"/>
  <c r="B289" i="17" s="1"/>
  <c r="B223" i="17"/>
  <c r="B224" i="17" s="1"/>
  <c r="B225" i="17" s="1"/>
  <c r="B226" i="17" s="1"/>
  <c r="B227" i="17" s="1"/>
  <c r="B228" i="17" s="1"/>
  <c r="B166" i="17"/>
  <c r="B167" i="17" s="1"/>
  <c r="B168" i="17" s="1"/>
  <c r="B169" i="17" s="1"/>
  <c r="B170" i="17" s="1"/>
  <c r="B171" i="17" s="1"/>
  <c r="B261" i="17"/>
  <c r="B262" i="17" s="1"/>
  <c r="B263" i="17" s="1"/>
  <c r="B264" i="17" s="1"/>
  <c r="B265" i="17" s="1"/>
  <c r="B266" i="17" s="1"/>
  <c r="B270" i="17"/>
  <c r="B271" i="17" s="1"/>
  <c r="B272" i="17" s="1"/>
  <c r="B273" i="17" s="1"/>
  <c r="B274" i="17" s="1"/>
  <c r="B275" i="17" s="1"/>
  <c r="B203" i="17"/>
  <c r="B204" i="17" s="1"/>
  <c r="B205" i="17" s="1"/>
  <c r="B206" i="17" s="1"/>
  <c r="B207" i="17" s="1"/>
  <c r="B208" i="17" s="1"/>
  <c r="B214" i="17"/>
  <c r="B215" i="17" s="1"/>
  <c r="B216" i="17" s="1"/>
  <c r="B217" i="17" s="1"/>
  <c r="B291" i="17"/>
  <c r="B292" i="17" s="1"/>
  <c r="B293" i="17" s="1"/>
  <c r="B294" i="17" s="1"/>
  <c r="B295" i="17" s="1"/>
  <c r="B296" i="17" s="1"/>
  <c r="B233" i="17"/>
  <c r="B234" i="17" s="1"/>
  <c r="B235" i="17" s="1"/>
  <c r="B236" i="17" s="1"/>
  <c r="B237" i="17" s="1"/>
  <c r="E11" i="19"/>
  <c r="G79" i="20"/>
  <c r="J28" i="20"/>
  <c r="J90" i="20" s="1"/>
  <c r="X13" i="18"/>
  <c r="AW154" i="18" s="1"/>
  <c r="N137" i="20"/>
  <c r="N157" i="20" s="1"/>
  <c r="K37" i="82" s="1"/>
  <c r="I56" i="20"/>
  <c r="I58" i="20" s="1"/>
  <c r="AU9" i="76" s="1"/>
  <c r="M56" i="76" s="1"/>
  <c r="L29" i="20"/>
  <c r="L28" i="20" s="1"/>
  <c r="L89" i="20" s="1"/>
  <c r="L120" i="20" s="1"/>
  <c r="L56" i="20"/>
  <c r="L130" i="20" s="1"/>
  <c r="L150" i="20" s="1"/>
  <c r="P49" i="20"/>
  <c r="I29" i="20"/>
  <c r="I28" i="20" s="1"/>
  <c r="I90" i="20" s="1"/>
  <c r="F86" i="20"/>
  <c r="D58" i="20"/>
  <c r="H36" i="12"/>
  <c r="H37" i="12" s="1"/>
  <c r="S29" i="20"/>
  <c r="J36" i="12"/>
  <c r="J76" i="12" s="1"/>
  <c r="G29" i="23" s="1"/>
  <c r="K28" i="20"/>
  <c r="K89" i="20" s="1"/>
  <c r="K120" i="20" s="1"/>
  <c r="F36" i="12"/>
  <c r="F106" i="12" s="1"/>
  <c r="C29" i="32" s="1"/>
  <c r="AU155" i="18"/>
  <c r="G79" i="12"/>
  <c r="D32" i="23" s="1"/>
  <c r="D9" i="23" s="1"/>
  <c r="R56" i="20"/>
  <c r="R130" i="20" s="1"/>
  <c r="R129" i="20" s="1"/>
  <c r="R149" i="20" s="1"/>
  <c r="P29" i="82" s="1"/>
  <c r="Q30" i="20"/>
  <c r="C48" i="40"/>
  <c r="S47" i="20"/>
  <c r="C48" i="30"/>
  <c r="C48" i="17"/>
  <c r="Q29" i="20"/>
  <c r="G48" i="23"/>
  <c r="C48" i="89"/>
  <c r="C50" i="25"/>
  <c r="G12" i="19"/>
  <c r="Q49" i="20"/>
  <c r="E20" i="2"/>
  <c r="G35" i="12" s="1"/>
  <c r="G37" i="12" s="1"/>
  <c r="F35" i="12"/>
  <c r="F85" i="12" s="1"/>
  <c r="C30" i="25" s="1"/>
  <c r="C48" i="32"/>
  <c r="C48" i="14"/>
  <c r="U29" i="20"/>
  <c r="F144" i="12"/>
  <c r="C27" i="30" s="1"/>
  <c r="V114" i="18" s="1"/>
  <c r="AU34" i="18" s="1"/>
  <c r="F65" i="83" s="1"/>
  <c r="C48" i="28"/>
  <c r="C48" i="38"/>
  <c r="C12" i="19"/>
  <c r="E137" i="20"/>
  <c r="E157" i="20" s="1"/>
  <c r="I86" i="20"/>
  <c r="BA7" i="76"/>
  <c r="S54" i="76" s="1"/>
  <c r="L16" i="82"/>
  <c r="T13" i="18"/>
  <c r="E86" i="20"/>
  <c r="P56" i="20"/>
  <c r="P58" i="20" s="1"/>
  <c r="U15" i="18" s="1"/>
  <c r="P79" i="20"/>
  <c r="D29" i="20"/>
  <c r="D28" i="20" s="1"/>
  <c r="D89" i="20" s="1"/>
  <c r="D120" i="20" s="1"/>
  <c r="G48" i="14"/>
  <c r="U30" i="20"/>
  <c r="G124" i="12"/>
  <c r="D27" i="89" s="1"/>
  <c r="W156" i="18" s="1"/>
  <c r="I79" i="20"/>
  <c r="B9" i="14"/>
  <c r="G86" i="20"/>
  <c r="J35" i="12"/>
  <c r="J75" i="12" s="1"/>
  <c r="G28" i="23" s="1"/>
  <c r="U56" i="20"/>
  <c r="U58" i="20" s="1"/>
  <c r="G48" i="32"/>
  <c r="AW14" i="18"/>
  <c r="H79" i="20"/>
  <c r="G48" i="40"/>
  <c r="G48" i="28"/>
  <c r="G54" i="17"/>
  <c r="G48" i="38"/>
  <c r="AX7" i="76"/>
  <c r="P54" i="76" s="1"/>
  <c r="DI11" i="18"/>
  <c r="O49" i="20"/>
  <c r="V138" i="20"/>
  <c r="AC29" i="76"/>
  <c r="AC34" i="76"/>
  <c r="L108" i="20"/>
  <c r="M262" i="19"/>
  <c r="F74" i="12"/>
  <c r="C27" i="23" s="1"/>
  <c r="V58" i="18" s="1"/>
  <c r="AU106" i="18" s="1"/>
  <c r="F80" i="85" s="1"/>
  <c r="R79" i="20"/>
  <c r="S142" i="20"/>
  <c r="F124" i="12"/>
  <c r="C27" i="89" s="1"/>
  <c r="V156" i="18" s="1"/>
  <c r="M255" i="19"/>
  <c r="M248" i="19"/>
  <c r="F79" i="20"/>
  <c r="F142" i="20"/>
  <c r="F136" i="20" s="1"/>
  <c r="F156" i="20" s="1"/>
  <c r="P16" i="82"/>
  <c r="H33" i="12"/>
  <c r="H63" i="12" s="1"/>
  <c r="H64" i="12" s="1"/>
  <c r="E27" i="17" s="1"/>
  <c r="X44" i="18" s="1"/>
  <c r="AW118" i="18" s="1"/>
  <c r="R74" i="85" s="1"/>
  <c r="F134" i="12"/>
  <c r="C27" i="28" s="1"/>
  <c r="V100" i="18" s="1"/>
  <c r="AU24" i="18" s="1"/>
  <c r="P59" i="83" s="1"/>
  <c r="N56" i="20"/>
  <c r="N130" i="20" s="1"/>
  <c r="N150" i="20" s="1"/>
  <c r="K30" i="82" s="1"/>
  <c r="U137" i="20"/>
  <c r="U157" i="20" s="1"/>
  <c r="S37" i="82" s="1"/>
  <c r="N49" i="20"/>
  <c r="G149" i="12"/>
  <c r="D32" i="30" s="1"/>
  <c r="D9" i="30" s="1"/>
  <c r="M174" i="19"/>
  <c r="G129" i="12"/>
  <c r="D32" i="89" s="1"/>
  <c r="D9" i="89" s="1"/>
  <c r="M99" i="19"/>
  <c r="BD7" i="76"/>
  <c r="V54" i="76" s="1"/>
  <c r="Q16" i="82"/>
  <c r="S79" i="20"/>
  <c r="M160" i="19"/>
  <c r="G33" i="12"/>
  <c r="G143" i="12" s="1"/>
  <c r="D26" i="30" s="1"/>
  <c r="W113" i="18" s="1"/>
  <c r="AV33" i="18" s="1"/>
  <c r="G64" i="83" s="1"/>
  <c r="D49" i="20"/>
  <c r="P18" i="86"/>
  <c r="G109" i="12"/>
  <c r="D32" i="32" s="1"/>
  <c r="D9" i="32" s="1"/>
  <c r="G119" i="12"/>
  <c r="D32" i="40" s="1"/>
  <c r="D9" i="40" s="1"/>
  <c r="M194" i="19"/>
  <c r="M146" i="19"/>
  <c r="AU14" i="18"/>
  <c r="M269" i="19"/>
  <c r="F114" i="12"/>
  <c r="C27" i="40" s="1"/>
  <c r="V142" i="18" s="1"/>
  <c r="G69" i="12"/>
  <c r="D32" i="17" s="1"/>
  <c r="M153" i="19"/>
  <c r="G139" i="12"/>
  <c r="D32" i="28" s="1"/>
  <c r="D9" i="28" s="1"/>
  <c r="M167" i="19"/>
  <c r="K79" i="20"/>
  <c r="H137" i="20"/>
  <c r="H157" i="20" s="1"/>
  <c r="AC37" i="76"/>
  <c r="G48" i="30"/>
  <c r="O56" i="20"/>
  <c r="O130" i="20" s="1"/>
  <c r="S137" i="20"/>
  <c r="S157" i="20" s="1"/>
  <c r="Q37" i="82" s="1"/>
  <c r="M58" i="20"/>
  <c r="AY9" i="76" s="1"/>
  <c r="Q56" i="76" s="1"/>
  <c r="T47" i="20"/>
  <c r="G20" i="2"/>
  <c r="E89" i="12"/>
  <c r="B34" i="25" s="1"/>
  <c r="B10" i="25" s="1"/>
  <c r="G48" i="17"/>
  <c r="G48" i="89"/>
  <c r="DI10" i="18"/>
  <c r="J134" i="12"/>
  <c r="G27" i="28" s="1"/>
  <c r="Z100" i="18" s="1"/>
  <c r="AY24" i="18" s="1"/>
  <c r="T59" i="83" s="1"/>
  <c r="AW155" i="18"/>
  <c r="K86" i="20"/>
  <c r="H87" i="20"/>
  <c r="P137" i="20"/>
  <c r="P157" i="20" s="1"/>
  <c r="N37" i="82" s="1"/>
  <c r="N86" i="20"/>
  <c r="S8" i="18" s="1"/>
  <c r="E89" i="20"/>
  <c r="E120" i="20" s="1"/>
  <c r="M90" i="20"/>
  <c r="D86" i="20"/>
  <c r="J84" i="12"/>
  <c r="G29" i="25" s="1"/>
  <c r="Z72" i="18" s="1"/>
  <c r="AY128" i="18" s="1"/>
  <c r="T80" i="85" s="1"/>
  <c r="G90" i="20"/>
  <c r="G54" i="89"/>
  <c r="E37" i="12"/>
  <c r="E77" i="12" s="1"/>
  <c r="B30" i="23" s="1"/>
  <c r="U59" i="18" s="1"/>
  <c r="AT107" i="18" s="1"/>
  <c r="E81" i="85" s="1"/>
  <c r="B279" i="25"/>
  <c r="I111" i="23"/>
  <c r="J111" i="23" s="1"/>
  <c r="BJ29" i="76"/>
  <c r="O111" i="17"/>
  <c r="V111" i="17" s="1"/>
  <c r="O136" i="20"/>
  <c r="O156" i="20" s="1"/>
  <c r="L36" i="82" s="1"/>
  <c r="K129" i="20"/>
  <c r="K149" i="20" s="1"/>
  <c r="D45" i="40"/>
  <c r="N73" i="40" s="1"/>
  <c r="L137" i="20"/>
  <c r="L157" i="20" s="1"/>
  <c r="BJ33" i="76"/>
  <c r="V131" i="20"/>
  <c r="B120" i="32"/>
  <c r="B121" i="32" s="1"/>
  <c r="B256" i="25"/>
  <c r="B257" i="25" s="1"/>
  <c r="B258" i="25" s="1"/>
  <c r="B259" i="25" s="1"/>
  <c r="B260" i="25" s="1"/>
  <c r="B261" i="25" s="1"/>
  <c r="F145" i="12"/>
  <c r="C28" i="30" s="1"/>
  <c r="B233" i="23"/>
  <c r="O233" i="23" s="1"/>
  <c r="V134" i="18"/>
  <c r="K108" i="20"/>
  <c r="L135" i="20" s="1"/>
  <c r="L155" i="20" s="1"/>
  <c r="U31" i="82"/>
  <c r="K58" i="20"/>
  <c r="AW9" i="76" s="1"/>
  <c r="O56" i="76" s="1"/>
  <c r="T137" i="20"/>
  <c r="T157" i="20" s="1"/>
  <c r="R37" i="82" s="1"/>
  <c r="M70" i="20"/>
  <c r="B216" i="25"/>
  <c r="B217" i="25" s="1"/>
  <c r="F70" i="20"/>
  <c r="V92" i="18"/>
  <c r="Z13" i="18"/>
  <c r="AY154" i="18" s="1"/>
  <c r="B159" i="23"/>
  <c r="B160" i="23" s="1"/>
  <c r="J150" i="19"/>
  <c r="E139" i="12"/>
  <c r="B32" i="28" s="1"/>
  <c r="B9" i="28" s="1"/>
  <c r="AC35" i="76"/>
  <c r="BJ30" i="76"/>
  <c r="Q79" i="20"/>
  <c r="E65" i="12"/>
  <c r="B28" i="17" s="1"/>
  <c r="AY86" i="18"/>
  <c r="J59" i="83" s="1"/>
  <c r="AC32" i="76"/>
  <c r="B261" i="89"/>
  <c r="B262" i="89" s="1"/>
  <c r="B263" i="89" s="1"/>
  <c r="B264" i="89" s="1"/>
  <c r="B265" i="89" s="1"/>
  <c r="B266" i="89" s="1"/>
  <c r="B166" i="23"/>
  <c r="D66" i="17"/>
  <c r="B91" i="85"/>
  <c r="P21" i="86"/>
  <c r="B309" i="25"/>
  <c r="B310" i="25" s="1"/>
  <c r="B311" i="25" s="1"/>
  <c r="B312" i="25" s="1"/>
  <c r="B313" i="25" s="1"/>
  <c r="B314" i="25" s="1"/>
  <c r="B300" i="25"/>
  <c r="B301" i="25" s="1"/>
  <c r="B214" i="89"/>
  <c r="B215" i="89" s="1"/>
  <c r="B216" i="89" s="1"/>
  <c r="B217" i="89" s="1"/>
  <c r="B218" i="89" s="1"/>
  <c r="B219" i="89" s="1"/>
  <c r="B286" i="25"/>
  <c r="B287" i="25" s="1"/>
  <c r="B288" i="25" s="1"/>
  <c r="B289" i="25" s="1"/>
  <c r="B290" i="25" s="1"/>
  <c r="B291" i="25" s="1"/>
  <c r="B130" i="25"/>
  <c r="B131" i="25" s="1"/>
  <c r="B132" i="25" s="1"/>
  <c r="B133" i="25" s="1"/>
  <c r="B134" i="25" s="1"/>
  <c r="B135" i="25" s="1"/>
  <c r="R137" i="20"/>
  <c r="R157" i="20" s="1"/>
  <c r="P37" i="82" s="1"/>
  <c r="Q137" i="20"/>
  <c r="Q157" i="20" s="1"/>
  <c r="V139" i="20"/>
  <c r="W13" i="18"/>
  <c r="AV154" i="18" s="1"/>
  <c r="BP28" i="76"/>
  <c r="BQ28" i="76" s="1"/>
  <c r="H250" i="19"/>
  <c r="B147" i="25"/>
  <c r="B148" i="25" s="1"/>
  <c r="J114" i="12"/>
  <c r="G27" i="40" s="1"/>
  <c r="Z142" i="18" s="1"/>
  <c r="D66" i="40"/>
  <c r="B293" i="25"/>
  <c r="B294" i="25" s="1"/>
  <c r="DU11" i="18"/>
  <c r="J74" i="12"/>
  <c r="G27" i="23" s="1"/>
  <c r="Z58" i="18" s="1"/>
  <c r="AY106" i="18" s="1"/>
  <c r="J80" i="85" s="1"/>
  <c r="G137" i="20"/>
  <c r="G157" i="20" s="1"/>
  <c r="U79" i="20"/>
  <c r="B298" i="89"/>
  <c r="B299" i="89" s="1"/>
  <c r="M142" i="20"/>
  <c r="BG7" i="76"/>
  <c r="Y54" i="76" s="1"/>
  <c r="B94" i="85"/>
  <c r="B225" i="25"/>
  <c r="B226" i="25" s="1"/>
  <c r="B184" i="25"/>
  <c r="B185" i="25" s="1"/>
  <c r="I111" i="32"/>
  <c r="P111" i="32" s="1"/>
  <c r="B242" i="25"/>
  <c r="B243" i="25" s="1"/>
  <c r="B244" i="25" s="1"/>
  <c r="B245" i="25" s="1"/>
  <c r="B246" i="25" s="1"/>
  <c r="B247" i="25" s="1"/>
  <c r="E119" i="12"/>
  <c r="B32" i="40" s="1"/>
  <c r="B9" i="40" s="1"/>
  <c r="B122" i="25"/>
  <c r="B123" i="25" s="1"/>
  <c r="B124" i="25" s="1"/>
  <c r="B125" i="25" s="1"/>
  <c r="B126" i="25" s="1"/>
  <c r="H89" i="20"/>
  <c r="H120" i="20" s="1"/>
  <c r="AC30" i="76"/>
  <c r="J124" i="12"/>
  <c r="G27" i="89" s="1"/>
  <c r="Z156" i="18" s="1"/>
  <c r="E158" i="20"/>
  <c r="AC33" i="76"/>
  <c r="K137" i="20"/>
  <c r="K157" i="20" s="1"/>
  <c r="BD6" i="76"/>
  <c r="U52" i="76"/>
  <c r="AY155" i="18"/>
  <c r="B168" i="25"/>
  <c r="B169" i="25" s="1"/>
  <c r="B170" i="25" s="1"/>
  <c r="B171" i="25" s="1"/>
  <c r="B172" i="25" s="1"/>
  <c r="B173" i="25" s="1"/>
  <c r="B205" i="25"/>
  <c r="B206" i="25" s="1"/>
  <c r="B207" i="25" s="1"/>
  <c r="E75" i="12"/>
  <c r="B28" i="23" s="1"/>
  <c r="B270" i="89"/>
  <c r="B271" i="89" s="1"/>
  <c r="B272" i="89" s="1"/>
  <c r="B273" i="89" s="1"/>
  <c r="B274" i="89" s="1"/>
  <c r="B275" i="89" s="1"/>
  <c r="B191" i="25"/>
  <c r="B192" i="25" s="1"/>
  <c r="B193" i="25" s="1"/>
  <c r="B194" i="25" s="1"/>
  <c r="B195" i="25" s="1"/>
  <c r="B196" i="25" s="1"/>
  <c r="B140" i="25"/>
  <c r="B141" i="25" s="1"/>
  <c r="B142" i="25" s="1"/>
  <c r="B143" i="25" s="1"/>
  <c r="B144" i="25" s="1"/>
  <c r="B145" i="25" s="1"/>
  <c r="B247" i="89"/>
  <c r="V247" i="89" s="1"/>
  <c r="L70" i="20"/>
  <c r="S16" i="82"/>
  <c r="B92" i="85"/>
  <c r="B177" i="25"/>
  <c r="B178" i="25" s="1"/>
  <c r="B179" i="25" s="1"/>
  <c r="B180" i="25" s="1"/>
  <c r="B181" i="25" s="1"/>
  <c r="B182" i="25" s="1"/>
  <c r="B249" i="25"/>
  <c r="B250" i="25" s="1"/>
  <c r="E79" i="12"/>
  <c r="B32" i="23" s="1"/>
  <c r="B9" i="23" s="1"/>
  <c r="B272" i="25"/>
  <c r="B273" i="25" s="1"/>
  <c r="B274" i="25" s="1"/>
  <c r="B275" i="25" s="1"/>
  <c r="B276" i="25" s="1"/>
  <c r="B277" i="25" s="1"/>
  <c r="BJ35" i="76"/>
  <c r="BJ36" i="76"/>
  <c r="BJ34" i="76"/>
  <c r="O87" i="20"/>
  <c r="T11" i="18" s="1"/>
  <c r="AS11" i="18" s="1"/>
  <c r="M158" i="20"/>
  <c r="M137" i="20"/>
  <c r="M157" i="20" s="1"/>
  <c r="I40" i="82"/>
  <c r="J171" i="19"/>
  <c r="DU10" i="18"/>
  <c r="J33" i="12"/>
  <c r="J63" i="12" s="1"/>
  <c r="G26" i="17" s="1"/>
  <c r="B263" i="25"/>
  <c r="B264" i="25" s="1"/>
  <c r="B166" i="28"/>
  <c r="B167" i="28" s="1"/>
  <c r="B168" i="28" s="1"/>
  <c r="B169" i="28" s="1"/>
  <c r="B170" i="28" s="1"/>
  <c r="B171" i="28" s="1"/>
  <c r="J44" i="12"/>
  <c r="G27" i="14" s="1"/>
  <c r="Z30" i="18" s="1"/>
  <c r="AY96" i="18" s="1"/>
  <c r="J74" i="85" s="1"/>
  <c r="BJ37" i="76"/>
  <c r="O137" i="20"/>
  <c r="O157" i="20" s="1"/>
  <c r="L37" i="82" s="1"/>
  <c r="B307" i="14"/>
  <c r="B308" i="14" s="1"/>
  <c r="L25" i="82"/>
  <c r="I111" i="38"/>
  <c r="J111" i="38" s="1"/>
  <c r="B118" i="19"/>
  <c r="B119" i="19" s="1"/>
  <c r="B120" i="19" s="1"/>
  <c r="B121" i="19" s="1"/>
  <c r="B122" i="19" s="1"/>
  <c r="B123" i="19" s="1"/>
  <c r="B138" i="23"/>
  <c r="O138" i="23" s="1"/>
  <c r="E85" i="12"/>
  <c r="B30" i="25" s="1"/>
  <c r="J245" i="19"/>
  <c r="B270" i="14"/>
  <c r="B271" i="14" s="1"/>
  <c r="B196" i="14"/>
  <c r="B197" i="14" s="1"/>
  <c r="B240" i="28"/>
  <c r="B241" i="28" s="1"/>
  <c r="B242" i="28" s="1"/>
  <c r="B243" i="28" s="1"/>
  <c r="B244" i="28" s="1"/>
  <c r="B245" i="28" s="1"/>
  <c r="H94" i="19"/>
  <c r="P94" i="19" s="1"/>
  <c r="B254" i="28"/>
  <c r="B255" i="28" s="1"/>
  <c r="B256" i="28" s="1"/>
  <c r="B257" i="28" s="1"/>
  <c r="B258" i="28" s="1"/>
  <c r="B259" i="28" s="1"/>
  <c r="L8" i="82"/>
  <c r="R16" i="82"/>
  <c r="J79" i="20"/>
  <c r="V64" i="18"/>
  <c r="B240" i="14"/>
  <c r="B241" i="14" s="1"/>
  <c r="B242" i="14" s="1"/>
  <c r="B243" i="14" s="1"/>
  <c r="G44" i="12"/>
  <c r="D27" i="14" s="1"/>
  <c r="W30" i="18" s="1"/>
  <c r="AV96" i="18" s="1"/>
  <c r="G74" i="85" s="1"/>
  <c r="BF7" i="76"/>
  <c r="X54" i="76" s="1"/>
  <c r="G54" i="40"/>
  <c r="B128" i="23"/>
  <c r="B129" i="23" s="1"/>
  <c r="H145" i="12"/>
  <c r="E28" i="30" s="1"/>
  <c r="E115" i="12"/>
  <c r="B28" i="40" s="1"/>
  <c r="B291" i="14"/>
  <c r="B292" i="14" s="1"/>
  <c r="B261" i="14"/>
  <c r="B262" i="14" s="1"/>
  <c r="E125" i="12"/>
  <c r="B28" i="89" s="1"/>
  <c r="T142" i="20"/>
  <c r="G134" i="12"/>
  <c r="D27" i="28" s="1"/>
  <c r="W100" i="18" s="1"/>
  <c r="AV24" i="18" s="1"/>
  <c r="Q59" i="83" s="1"/>
  <c r="G114" i="12"/>
  <c r="D27" i="40" s="1"/>
  <c r="W142" i="18" s="1"/>
  <c r="E99" i="12"/>
  <c r="B32" i="38" s="1"/>
  <c r="B9" i="38" s="1"/>
  <c r="E129" i="12"/>
  <c r="B32" i="89" s="1"/>
  <c r="B9" i="89" s="1"/>
  <c r="E109" i="12"/>
  <c r="B32" i="32" s="1"/>
  <c r="B9" i="32" s="1"/>
  <c r="E69" i="12"/>
  <c r="B32" i="17" s="1"/>
  <c r="B9" i="17" s="1"/>
  <c r="E149" i="12"/>
  <c r="B32" i="30" s="1"/>
  <c r="B9" i="30" s="1"/>
  <c r="B7" i="30" s="1"/>
  <c r="B198" i="25"/>
  <c r="B199" i="25" s="1"/>
  <c r="B200" i="25" s="1"/>
  <c r="B201" i="25" s="1"/>
  <c r="B202" i="25" s="1"/>
  <c r="B203" i="25" s="1"/>
  <c r="B154" i="25"/>
  <c r="B155" i="25" s="1"/>
  <c r="B156" i="25" s="1"/>
  <c r="B157" i="25" s="1"/>
  <c r="B158" i="25" s="1"/>
  <c r="B159" i="25" s="1"/>
  <c r="B235" i="25"/>
  <c r="B236" i="25" s="1"/>
  <c r="B237" i="25" s="1"/>
  <c r="B238" i="25" s="1"/>
  <c r="B239" i="25" s="1"/>
  <c r="B240" i="25" s="1"/>
  <c r="G158" i="20"/>
  <c r="B291" i="23"/>
  <c r="E105" i="12"/>
  <c r="B28" i="32" s="1"/>
  <c r="B175" i="14"/>
  <c r="B176" i="14" s="1"/>
  <c r="E145" i="12"/>
  <c r="B28" i="30" s="1"/>
  <c r="D67" i="28"/>
  <c r="N67" i="20"/>
  <c r="AZ8" i="76" s="1"/>
  <c r="R55" i="76" s="1"/>
  <c r="I33" i="12"/>
  <c r="I83" i="12" s="1"/>
  <c r="F28" i="25" s="1"/>
  <c r="AC36" i="76"/>
  <c r="AC31" i="76"/>
  <c r="AC42" i="76" s="1"/>
  <c r="BJ31" i="76"/>
  <c r="BJ42" i="76" s="1"/>
  <c r="BJ32" i="76"/>
  <c r="E58" i="20"/>
  <c r="AQ9" i="76" s="1"/>
  <c r="I56" i="76" s="1"/>
  <c r="K19" i="82"/>
  <c r="G74" i="12"/>
  <c r="D27" i="23" s="1"/>
  <c r="W58" i="18" s="1"/>
  <c r="AV106" i="18" s="1"/>
  <c r="G80" i="85" s="1"/>
  <c r="G84" i="12"/>
  <c r="D29" i="25" s="1"/>
  <c r="W72" i="18" s="1"/>
  <c r="AV128" i="18" s="1"/>
  <c r="Q80" i="85" s="1"/>
  <c r="H162" i="19"/>
  <c r="H70" i="20"/>
  <c r="G70" i="20"/>
  <c r="B307" i="32"/>
  <c r="B308" i="32" s="1"/>
  <c r="B309" i="32" s="1"/>
  <c r="B310" i="32" s="1"/>
  <c r="B311" i="32" s="1"/>
  <c r="B312" i="32" s="1"/>
  <c r="H169" i="19"/>
  <c r="E95" i="12"/>
  <c r="B28" i="38" s="1"/>
  <c r="D69" i="25"/>
  <c r="B138" i="14"/>
  <c r="B139" i="14" s="1"/>
  <c r="D67" i="30"/>
  <c r="N70" i="20"/>
  <c r="L93" i="20"/>
  <c r="D100" i="20"/>
  <c r="J133" i="12" s="1"/>
  <c r="G26" i="28" s="1"/>
  <c r="I149" i="12"/>
  <c r="F32" i="30" s="1"/>
  <c r="I129" i="12"/>
  <c r="F32" i="89" s="1"/>
  <c r="I49" i="12"/>
  <c r="F32" i="14" s="1"/>
  <c r="N39" i="82"/>
  <c r="U39" i="82" s="1"/>
  <c r="V159" i="20"/>
  <c r="I53" i="76"/>
  <c r="E108" i="20"/>
  <c r="P160" i="20"/>
  <c r="N40" i="82" s="1"/>
  <c r="V140" i="20"/>
  <c r="E93" i="20"/>
  <c r="E92" i="20"/>
  <c r="Q53" i="76"/>
  <c r="M108" i="20"/>
  <c r="F108" i="20"/>
  <c r="J53" i="76"/>
  <c r="DR15" i="18"/>
  <c r="DU26" i="18" s="1"/>
  <c r="BB7" i="76"/>
  <c r="T54" i="76" s="1"/>
  <c r="U13" i="18"/>
  <c r="N16" i="82"/>
  <c r="E33" i="12"/>
  <c r="P142" i="20"/>
  <c r="M129" i="20"/>
  <c r="M149" i="20" s="1"/>
  <c r="M150" i="20"/>
  <c r="I69" i="12"/>
  <c r="F32" i="17" s="1"/>
  <c r="D66" i="89"/>
  <c r="I119" i="12"/>
  <c r="F32" i="40" s="1"/>
  <c r="H109" i="12"/>
  <c r="E32" i="32" s="1"/>
  <c r="I109" i="12"/>
  <c r="F32" i="32" s="1"/>
  <c r="B203" i="32"/>
  <c r="G67" i="17"/>
  <c r="W4" i="18"/>
  <c r="W64" i="18" s="1"/>
  <c r="V6" i="18"/>
  <c r="D66" i="28"/>
  <c r="I18" i="82"/>
  <c r="O111" i="40"/>
  <c r="G51" i="28"/>
  <c r="B298" i="14"/>
  <c r="B299" i="14" s="1"/>
  <c r="D54" i="17"/>
  <c r="B138" i="89"/>
  <c r="B139" i="89" s="1"/>
  <c r="B140" i="89" s="1"/>
  <c r="B141" i="89" s="1"/>
  <c r="B142" i="89" s="1"/>
  <c r="B143" i="89" s="1"/>
  <c r="V119" i="89"/>
  <c r="B8" i="28"/>
  <c r="G31" i="14"/>
  <c r="G51" i="14" s="1"/>
  <c r="H129" i="12"/>
  <c r="E32" i="89" s="1"/>
  <c r="H139" i="12"/>
  <c r="E32" i="28" s="1"/>
  <c r="H69" i="12"/>
  <c r="E32" i="17" s="1"/>
  <c r="H49" i="12"/>
  <c r="E32" i="14" s="1"/>
  <c r="H79" i="12"/>
  <c r="E32" i="23" s="1"/>
  <c r="J87" i="20"/>
  <c r="J86" i="20"/>
  <c r="DJ11" i="18"/>
  <c r="DL10" i="18"/>
  <c r="M73" i="30"/>
  <c r="D45" i="30"/>
  <c r="I84" i="12"/>
  <c r="F29" i="25" s="1"/>
  <c r="Y72" i="18" s="1"/>
  <c r="AX128" i="18" s="1"/>
  <c r="S80" i="85" s="1"/>
  <c r="I74" i="12"/>
  <c r="F27" i="23" s="1"/>
  <c r="Y58" i="18" s="1"/>
  <c r="AX106" i="18" s="1"/>
  <c r="I80" i="85" s="1"/>
  <c r="I124" i="12"/>
  <c r="F27" i="89" s="1"/>
  <c r="Y156" i="18" s="1"/>
  <c r="I144" i="12"/>
  <c r="F27" i="30" s="1"/>
  <c r="Y114" i="18" s="1"/>
  <c r="AX34" i="18" s="1"/>
  <c r="I65" i="83" s="1"/>
  <c r="I44" i="12"/>
  <c r="F27" i="14" s="1"/>
  <c r="Y30" i="18" s="1"/>
  <c r="AX96" i="18" s="1"/>
  <c r="I74" i="85" s="1"/>
  <c r="I134" i="12"/>
  <c r="F27" i="28" s="1"/>
  <c r="Y100" i="18" s="1"/>
  <c r="AX24" i="18" s="1"/>
  <c r="S59" i="83" s="1"/>
  <c r="I114" i="12"/>
  <c r="F27" i="40" s="1"/>
  <c r="Y142" i="18" s="1"/>
  <c r="K16" i="82"/>
  <c r="S13" i="18"/>
  <c r="AZ7" i="76"/>
  <c r="R54" i="76" s="1"/>
  <c r="N142" i="20"/>
  <c r="N93" i="20"/>
  <c r="AW7" i="76"/>
  <c r="O54" i="76" s="1"/>
  <c r="K142" i="20"/>
  <c r="K136" i="20" s="1"/>
  <c r="K156" i="20" s="1"/>
  <c r="DM10" i="18"/>
  <c r="DM11" i="18"/>
  <c r="F131" i="20"/>
  <c r="F58" i="20"/>
  <c r="AR9" i="76" s="1"/>
  <c r="J56" i="76" s="1"/>
  <c r="J93" i="20"/>
  <c r="J92" i="20"/>
  <c r="B128" i="32"/>
  <c r="B129" i="32" s="1"/>
  <c r="G67" i="89"/>
  <c r="V36" i="18"/>
  <c r="V50" i="18"/>
  <c r="D67" i="89"/>
  <c r="B8" i="23"/>
  <c r="G67" i="40"/>
  <c r="V22" i="18"/>
  <c r="D67" i="17"/>
  <c r="B247" i="14"/>
  <c r="B248" i="14" s="1"/>
  <c r="G66" i="17"/>
  <c r="DK10" i="18"/>
  <c r="E79" i="20"/>
  <c r="B223" i="89"/>
  <c r="V223" i="89" s="1"/>
  <c r="B291" i="32"/>
  <c r="V106" i="18"/>
  <c r="D66" i="38"/>
  <c r="L97" i="19"/>
  <c r="M97" i="19" s="1"/>
  <c r="B277" i="14"/>
  <c r="B278" i="14" s="1"/>
  <c r="D66" i="32"/>
  <c r="B277" i="89"/>
  <c r="B8" i="32"/>
  <c r="G68" i="25"/>
  <c r="F137" i="20"/>
  <c r="F157" i="20" s="1"/>
  <c r="G142" i="20"/>
  <c r="G136" i="20" s="1"/>
  <c r="G156" i="20" s="1"/>
  <c r="AS7" i="76"/>
  <c r="K54" i="76" s="1"/>
  <c r="L53" i="76"/>
  <c r="H108" i="20"/>
  <c r="DK11" i="18"/>
  <c r="DN11" i="18"/>
  <c r="DN10" i="18"/>
  <c r="DL11" i="18"/>
  <c r="F89" i="20"/>
  <c r="F120" i="20" s="1"/>
  <c r="F90" i="20"/>
  <c r="E135" i="12"/>
  <c r="B28" i="28" s="1"/>
  <c r="J145" i="12"/>
  <c r="G28" i="30" s="1"/>
  <c r="G145" i="12"/>
  <c r="D28" i="30" s="1"/>
  <c r="E45" i="12"/>
  <c r="B28" i="14" s="1"/>
  <c r="N89" i="20"/>
  <c r="N90" i="20"/>
  <c r="S12" i="18" s="1"/>
  <c r="DJ10" i="18"/>
  <c r="B214" i="32"/>
  <c r="B215" i="32" s="1"/>
  <c r="V148" i="18"/>
  <c r="D66" i="23"/>
  <c r="B8" i="17"/>
  <c r="I70" i="20"/>
  <c r="V151" i="20"/>
  <c r="B159" i="89"/>
  <c r="E100" i="20"/>
  <c r="B233" i="32"/>
  <c r="B234" i="32" s="1"/>
  <c r="G51" i="30"/>
  <c r="V120" i="18"/>
  <c r="D67" i="23"/>
  <c r="D67" i="32"/>
  <c r="B145" i="14"/>
  <c r="B146" i="14" s="1"/>
  <c r="D54" i="40"/>
  <c r="B240" i="89"/>
  <c r="Q11" i="20"/>
  <c r="C8" i="17" s="1"/>
  <c r="P10" i="20"/>
  <c r="B214" i="28"/>
  <c r="B215" i="28" s="1"/>
  <c r="B216" i="28" s="1"/>
  <c r="B217" i="28" s="1"/>
  <c r="B218" i="28" s="1"/>
  <c r="B219" i="28" s="1"/>
  <c r="E44" i="12"/>
  <c r="B27" i="14" s="1"/>
  <c r="U30" i="18" s="1"/>
  <c r="AT96" i="18" s="1"/>
  <c r="E74" i="85" s="1"/>
  <c r="E144" i="12"/>
  <c r="B27" i="30" s="1"/>
  <c r="U114" i="18" s="1"/>
  <c r="AT34" i="18" s="1"/>
  <c r="E65" i="83" s="1"/>
  <c r="E134" i="12"/>
  <c r="B27" i="28" s="1"/>
  <c r="U100" i="18" s="1"/>
  <c r="AT24" i="18" s="1"/>
  <c r="O59" i="83" s="1"/>
  <c r="E64" i="12"/>
  <c r="B27" i="17" s="1"/>
  <c r="U44" i="18" s="1"/>
  <c r="AT118" i="18" s="1"/>
  <c r="O74" i="85" s="1"/>
  <c r="E94" i="12"/>
  <c r="B27" i="38" s="1"/>
  <c r="U86" i="18" s="1"/>
  <c r="AT165" i="18" s="1"/>
  <c r="E86" i="85" s="1"/>
  <c r="E114" i="12"/>
  <c r="B27" i="40" s="1"/>
  <c r="U142" i="18" s="1"/>
  <c r="E124" i="12"/>
  <c r="B27" i="89" s="1"/>
  <c r="U156" i="18" s="1"/>
  <c r="E84" i="12"/>
  <c r="B29" i="25" s="1"/>
  <c r="U72" i="18" s="1"/>
  <c r="AT128" i="18" s="1"/>
  <c r="O80" i="85" s="1"/>
  <c r="E104" i="12"/>
  <c r="B27" i="32" s="1"/>
  <c r="U128" i="18" s="1"/>
  <c r="E74" i="12"/>
  <c r="B27" i="23" s="1"/>
  <c r="U58" i="18" s="1"/>
  <c r="AT106" i="18" s="1"/>
  <c r="E80" i="85" s="1"/>
  <c r="O90" i="20"/>
  <c r="T12" i="18" s="1"/>
  <c r="O89" i="20"/>
  <c r="N108" i="20"/>
  <c r="R53" i="76"/>
  <c r="L151" i="20"/>
  <c r="F33" i="12"/>
  <c r="V13" i="18"/>
  <c r="BC7" i="76"/>
  <c r="U54" i="76" s="1"/>
  <c r="O16" i="82"/>
  <c r="Q142" i="20"/>
  <c r="BI32" i="76"/>
  <c r="AB36" i="76"/>
  <c r="AB37" i="76"/>
  <c r="BI37" i="76"/>
  <c r="BI30" i="76"/>
  <c r="BI36" i="76"/>
  <c r="AB33" i="76"/>
  <c r="AB34" i="76"/>
  <c r="AB32" i="76"/>
  <c r="BI29" i="76"/>
  <c r="BI33" i="76"/>
  <c r="BI35" i="76"/>
  <c r="AB29" i="76"/>
  <c r="AB35" i="76"/>
  <c r="AB31" i="76"/>
  <c r="AB42" i="76" s="1"/>
  <c r="AB30" i="76"/>
  <c r="BI34" i="76"/>
  <c r="BI31" i="76"/>
  <c r="BI42" i="76" s="1"/>
  <c r="L19" i="82"/>
  <c r="O67" i="20"/>
  <c r="BA8" i="76" s="1"/>
  <c r="S55" i="76" s="1"/>
  <c r="O70" i="20"/>
  <c r="T16" i="18"/>
  <c r="N38" i="82"/>
  <c r="U38" i="82" s="1"/>
  <c r="V158" i="20"/>
  <c r="G58" i="20"/>
  <c r="AS9" i="76" s="1"/>
  <c r="K56" i="76" s="1"/>
  <c r="G131" i="20"/>
  <c r="Q130" i="20"/>
  <c r="Q58" i="20"/>
  <c r="AX154" i="18"/>
  <c r="AX13" i="18"/>
  <c r="AX85" i="18"/>
  <c r="I58" i="83" s="1"/>
  <c r="H119" i="12"/>
  <c r="E32" i="40" s="1"/>
  <c r="P16" i="20"/>
  <c r="G67" i="14"/>
  <c r="B196" i="89"/>
  <c r="B152" i="32"/>
  <c r="D67" i="14"/>
  <c r="D66" i="14"/>
  <c r="B128" i="14"/>
  <c r="B129" i="14" s="1"/>
  <c r="I139" i="12"/>
  <c r="F32" i="28" s="1"/>
  <c r="B152" i="89"/>
  <c r="V152" i="89" s="1"/>
  <c r="B8" i="14"/>
  <c r="O111" i="30"/>
  <c r="H243" i="19"/>
  <c r="F52" i="12"/>
  <c r="F58" i="12" s="1"/>
  <c r="F62" i="12"/>
  <c r="F72" i="12" s="1"/>
  <c r="F82" i="12" s="1"/>
  <c r="F92" i="12" s="1"/>
  <c r="F102" i="12" s="1"/>
  <c r="F112" i="12" s="1"/>
  <c r="CD2" i="18"/>
  <c r="K23" i="12"/>
  <c r="E45" i="38"/>
  <c r="N73" i="38"/>
  <c r="B162" i="19"/>
  <c r="B163" i="19" s="1"/>
  <c r="B164" i="19" s="1"/>
  <c r="B165" i="19" s="1"/>
  <c r="B166" i="19" s="1"/>
  <c r="B167" i="19" s="1"/>
  <c r="B273" i="19"/>
  <c r="B274" i="19" s="1"/>
  <c r="B275" i="19" s="1"/>
  <c r="B276" i="19" s="1"/>
  <c r="B277" i="19" s="1"/>
  <c r="B278" i="19" s="1"/>
  <c r="B261" i="23"/>
  <c r="B262" i="23" s="1"/>
  <c r="B145" i="23"/>
  <c r="B146" i="23" s="1"/>
  <c r="B196" i="28"/>
  <c r="B197" i="28" s="1"/>
  <c r="B198" i="28" s="1"/>
  <c r="B199" i="28" s="1"/>
  <c r="B200" i="28" s="1"/>
  <c r="B201" i="28" s="1"/>
  <c r="B233" i="28"/>
  <c r="B234" i="28" s="1"/>
  <c r="B235" i="28" s="1"/>
  <c r="B236" i="28" s="1"/>
  <c r="B237" i="28" s="1"/>
  <c r="B238" i="28" s="1"/>
  <c r="B250" i="19"/>
  <c r="B251" i="19" s="1"/>
  <c r="B252" i="19" s="1"/>
  <c r="B253" i="19" s="1"/>
  <c r="B254" i="19" s="1"/>
  <c r="B255" i="19" s="1"/>
  <c r="B199" i="19"/>
  <c r="B200" i="19" s="1"/>
  <c r="B201" i="19" s="1"/>
  <c r="B202" i="19" s="1"/>
  <c r="B203" i="19" s="1"/>
  <c r="B204" i="19" s="1"/>
  <c r="B240" i="23"/>
  <c r="B241" i="23" s="1"/>
  <c r="B120" i="23"/>
  <c r="B121" i="23" s="1"/>
  <c r="B86" i="19"/>
  <c r="B87" i="19" s="1"/>
  <c r="B88" i="19" s="1"/>
  <c r="B89" i="19" s="1"/>
  <c r="B90" i="19" s="1"/>
  <c r="B132" i="19"/>
  <c r="B133" i="19" s="1"/>
  <c r="B134" i="19" s="1"/>
  <c r="B135" i="19" s="1"/>
  <c r="B136" i="19" s="1"/>
  <c r="B137" i="19" s="1"/>
  <c r="I77" i="19"/>
  <c r="J77" i="19" s="1"/>
  <c r="B182" i="23"/>
  <c r="B183" i="23" s="1"/>
  <c r="B254" i="23"/>
  <c r="B255" i="23" s="1"/>
  <c r="I69" i="20"/>
  <c r="B291" i="28"/>
  <c r="B292" i="28" s="1"/>
  <c r="B293" i="28" s="1"/>
  <c r="B294" i="28" s="1"/>
  <c r="B295" i="28" s="1"/>
  <c r="B296" i="28" s="1"/>
  <c r="BP20" i="18"/>
  <c r="BP22" i="18"/>
  <c r="B145" i="28"/>
  <c r="B146" i="28" s="1"/>
  <c r="B147" i="28" s="1"/>
  <c r="B148" i="28" s="1"/>
  <c r="B149" i="28" s="1"/>
  <c r="B150" i="28" s="1"/>
  <c r="B261" i="28"/>
  <c r="B262" i="28" s="1"/>
  <c r="B263" i="28" s="1"/>
  <c r="B264" i="28" s="1"/>
  <c r="B265" i="28" s="1"/>
  <c r="B266" i="28" s="1"/>
  <c r="B138" i="28"/>
  <c r="B139" i="28" s="1"/>
  <c r="B140" i="28" s="1"/>
  <c r="B141" i="28" s="1"/>
  <c r="B142" i="28" s="1"/>
  <c r="B143" i="28" s="1"/>
  <c r="B284" i="28"/>
  <c r="B285" i="28" s="1"/>
  <c r="B286" i="28" s="1"/>
  <c r="B287" i="28" s="1"/>
  <c r="B288" i="28" s="1"/>
  <c r="B289" i="28" s="1"/>
  <c r="B247" i="28"/>
  <c r="V247" i="28" s="1"/>
  <c r="B128" i="28"/>
  <c r="N73" i="23"/>
  <c r="E45" i="23"/>
  <c r="E52" i="12"/>
  <c r="E58" i="12" s="1"/>
  <c r="E62" i="12"/>
  <c r="E72" i="12" s="1"/>
  <c r="E82" i="12" s="1"/>
  <c r="E92" i="12" s="1"/>
  <c r="E102" i="12" s="1"/>
  <c r="E112" i="12" s="1"/>
  <c r="M3" i="20"/>
  <c r="L3" i="20" s="1"/>
  <c r="K3" i="20" s="1"/>
  <c r="J3" i="20" s="1"/>
  <c r="I3" i="20" s="1"/>
  <c r="H3" i="20" s="1"/>
  <c r="G3" i="20" s="1"/>
  <c r="F3" i="20" s="1"/>
  <c r="E3" i="20" s="1"/>
  <c r="K25" i="82"/>
  <c r="K8" i="82"/>
  <c r="BJ41" i="76"/>
  <c r="BI28" i="76"/>
  <c r="BI41" i="76" s="1"/>
  <c r="B148" i="19"/>
  <c r="B149" i="19" s="1"/>
  <c r="B150" i="19" s="1"/>
  <c r="B151" i="19" s="1"/>
  <c r="B152" i="19" s="1"/>
  <c r="B153" i="19" s="1"/>
  <c r="E43" i="65"/>
  <c r="E45" i="65" s="1"/>
  <c r="B169" i="19"/>
  <c r="B170" i="19" s="1"/>
  <c r="B171" i="19" s="1"/>
  <c r="B172" i="19" s="1"/>
  <c r="B173" i="19" s="1"/>
  <c r="B174" i="19" s="1"/>
  <c r="B189" i="19"/>
  <c r="B190" i="19" s="1"/>
  <c r="B191" i="19" s="1"/>
  <c r="B192" i="19" s="1"/>
  <c r="B193" i="19" s="1"/>
  <c r="B194" i="19" s="1"/>
  <c r="O77" i="19"/>
  <c r="V77" i="19" s="1"/>
  <c r="B203" i="23"/>
  <c r="B204" i="23" s="1"/>
  <c r="B247" i="23"/>
  <c r="B189" i="28"/>
  <c r="B190" i="28" s="1"/>
  <c r="B191" i="28" s="1"/>
  <c r="B192" i="28" s="1"/>
  <c r="B193" i="28" s="1"/>
  <c r="B194" i="28" s="1"/>
  <c r="B270" i="28"/>
  <c r="B271" i="28" s="1"/>
  <c r="B272" i="28" s="1"/>
  <c r="B273" i="28" s="1"/>
  <c r="B274" i="28" s="1"/>
  <c r="B275" i="28" s="1"/>
  <c r="D47" i="25"/>
  <c r="M75" i="25"/>
  <c r="M73" i="28"/>
  <c r="D45" i="28"/>
  <c r="H32" i="12"/>
  <c r="G42" i="12"/>
  <c r="T36" i="18"/>
  <c r="T64" i="18"/>
  <c r="T22" i="18"/>
  <c r="T50" i="18"/>
  <c r="T78" i="18"/>
  <c r="S4" i="18"/>
  <c r="T6" i="18"/>
  <c r="T106" i="18"/>
  <c r="T92" i="18"/>
  <c r="B220" i="19"/>
  <c r="B221" i="19" s="1"/>
  <c r="B222" i="19" s="1"/>
  <c r="B223" i="19" s="1"/>
  <c r="B224" i="19" s="1"/>
  <c r="B225" i="19" s="1"/>
  <c r="B120" i="28"/>
  <c r="B121" i="28" s="1"/>
  <c r="B122" i="28" s="1"/>
  <c r="B123" i="28" s="1"/>
  <c r="B124" i="28" s="1"/>
  <c r="B125" i="19"/>
  <c r="B126" i="19" s="1"/>
  <c r="B127" i="19" s="1"/>
  <c r="B128" i="19" s="1"/>
  <c r="B129" i="19" s="1"/>
  <c r="B130" i="19" s="1"/>
  <c r="B155" i="19"/>
  <c r="B156" i="19" s="1"/>
  <c r="B157" i="19" s="1"/>
  <c r="B158" i="19" s="1"/>
  <c r="B159" i="19" s="1"/>
  <c r="B160" i="19" s="1"/>
  <c r="J70" i="20"/>
  <c r="BP27" i="18"/>
  <c r="B307" i="23"/>
  <c r="B308" i="23" s="1"/>
  <c r="B309" i="23" s="1"/>
  <c r="B310" i="23" s="1"/>
  <c r="B311" i="23" s="1"/>
  <c r="B312" i="23" s="1"/>
  <c r="B277" i="23"/>
  <c r="B159" i="28"/>
  <c r="B160" i="28" s="1"/>
  <c r="B161" i="28" s="1"/>
  <c r="B162" i="28" s="1"/>
  <c r="B163" i="28" s="1"/>
  <c r="B164" i="28" s="1"/>
  <c r="B277" i="28"/>
  <c r="B278" i="28" s="1"/>
  <c r="B279" i="28" s="1"/>
  <c r="B280" i="28" s="1"/>
  <c r="B281" i="28" s="1"/>
  <c r="B282" i="28" s="1"/>
  <c r="BP35" i="18"/>
  <c r="BP37" i="18"/>
  <c r="AE41" i="76"/>
  <c r="AD28" i="76"/>
  <c r="N73" i="17"/>
  <c r="E45" i="17"/>
  <c r="E45" i="32"/>
  <c r="N73" i="32"/>
  <c r="BQ35" i="18"/>
  <c r="BQ37" i="18"/>
  <c r="B223" i="28"/>
  <c r="B224" i="28" s="1"/>
  <c r="B225" i="28" s="1"/>
  <c r="B226" i="28" s="1"/>
  <c r="B227" i="28" s="1"/>
  <c r="B228" i="28" s="1"/>
  <c r="B182" i="28"/>
  <c r="B183" i="28" s="1"/>
  <c r="B184" i="28" s="1"/>
  <c r="B185" i="28" s="1"/>
  <c r="B186" i="28" s="1"/>
  <c r="B187" i="28" s="1"/>
  <c r="B175" i="28"/>
  <c r="B176" i="28" s="1"/>
  <c r="B177" i="28" s="1"/>
  <c r="B178" i="28" s="1"/>
  <c r="B179" i="28" s="1"/>
  <c r="B180" i="28" s="1"/>
  <c r="B189" i="23"/>
  <c r="B190" i="23" s="1"/>
  <c r="P19" i="86"/>
  <c r="B298" i="28"/>
  <c r="B299" i="28" s="1"/>
  <c r="B300" i="28" s="1"/>
  <c r="B301" i="28" s="1"/>
  <c r="B302" i="28" s="1"/>
  <c r="B303" i="28" s="1"/>
  <c r="B152" i="28"/>
  <c r="B153" i="28" s="1"/>
  <c r="B154" i="28" s="1"/>
  <c r="B155" i="28" s="1"/>
  <c r="B156" i="28" s="1"/>
  <c r="B157" i="28" s="1"/>
  <c r="B54" i="89"/>
  <c r="B51" i="89"/>
  <c r="B255" i="89"/>
  <c r="B256" i="89" s="1"/>
  <c r="B257" i="89" s="1"/>
  <c r="B258" i="89" s="1"/>
  <c r="B259" i="89" s="1"/>
  <c r="V254" i="89"/>
  <c r="O111" i="14"/>
  <c r="I111" i="14"/>
  <c r="D262" i="17"/>
  <c r="D263" i="17" s="1"/>
  <c r="D264" i="17" s="1"/>
  <c r="D265" i="17" s="1"/>
  <c r="D266" i="17" s="1"/>
  <c r="B189" i="14"/>
  <c r="B190" i="14" s="1"/>
  <c r="B191" i="14" s="1"/>
  <c r="B192" i="14" s="1"/>
  <c r="B193" i="14" s="1"/>
  <c r="B194" i="14" s="1"/>
  <c r="B120" i="14"/>
  <c r="B121" i="14" s="1"/>
  <c r="B122" i="14" s="1"/>
  <c r="B123" i="14" s="1"/>
  <c r="B124" i="14" s="1"/>
  <c r="B233" i="14"/>
  <c r="B234" i="14" s="1"/>
  <c r="B235" i="14" s="1"/>
  <c r="B236" i="14" s="1"/>
  <c r="B237" i="14" s="1"/>
  <c r="B238" i="14" s="1"/>
  <c r="B159" i="14"/>
  <c r="B160" i="14" s="1"/>
  <c r="B161" i="14" s="1"/>
  <c r="B203" i="14"/>
  <c r="B204" i="14" s="1"/>
  <c r="B205" i="14" s="1"/>
  <c r="B254" i="14"/>
  <c r="B255" i="14" s="1"/>
  <c r="B256" i="14" s="1"/>
  <c r="B257" i="14" s="1"/>
  <c r="B284" i="14"/>
  <c r="B285" i="14" s="1"/>
  <c r="B286" i="14" s="1"/>
  <c r="B287" i="14" s="1"/>
  <c r="B288" i="14" s="1"/>
  <c r="B289" i="14" s="1"/>
  <c r="B214" i="14"/>
  <c r="B215" i="14" s="1"/>
  <c r="B216" i="14" s="1"/>
  <c r="B217" i="14" s="1"/>
  <c r="B218" i="14" s="1"/>
  <c r="B219" i="14" s="1"/>
  <c r="B152" i="14"/>
  <c r="B153" i="14" s="1"/>
  <c r="B154" i="14" s="1"/>
  <c r="B155" i="14" s="1"/>
  <c r="B156" i="14" s="1"/>
  <c r="B157" i="14" s="1"/>
  <c r="B223" i="14"/>
  <c r="B224" i="14" s="1"/>
  <c r="B225" i="14" s="1"/>
  <c r="B226" i="14" s="1"/>
  <c r="B227" i="14" s="1"/>
  <c r="B228" i="14" s="1"/>
  <c r="B182" i="14"/>
  <c r="B183" i="14" s="1"/>
  <c r="B184" i="14" s="1"/>
  <c r="B185" i="14" s="1"/>
  <c r="B186" i="14" s="1"/>
  <c r="B187" i="14" s="1"/>
  <c r="D299" i="17"/>
  <c r="D300" i="17" s="1"/>
  <c r="D301" i="17" s="1"/>
  <c r="D302" i="17" s="1"/>
  <c r="D303" i="17" s="1"/>
  <c r="N50" i="2"/>
  <c r="E9" i="2"/>
  <c r="Q3" i="20"/>
  <c r="Q107" i="20"/>
  <c r="O113" i="25"/>
  <c r="I113" i="25"/>
  <c r="H148" i="19"/>
  <c r="B145" i="89"/>
  <c r="B298" i="32"/>
  <c r="B299" i="32" s="1"/>
  <c r="B175" i="32"/>
  <c r="H264" i="19"/>
  <c r="G67" i="38"/>
  <c r="I111" i="28"/>
  <c r="G51" i="23"/>
  <c r="G66" i="38"/>
  <c r="J252" i="19"/>
  <c r="G51" i="32"/>
  <c r="C157" i="25"/>
  <c r="C158" i="25" s="1"/>
  <c r="C159" i="25" s="1"/>
  <c r="B254" i="38"/>
  <c r="B255" i="38" s="1"/>
  <c r="B256" i="38" s="1"/>
  <c r="B257" i="38" s="1"/>
  <c r="B258" i="38" s="1"/>
  <c r="B259" i="38" s="1"/>
  <c r="B175" i="38"/>
  <c r="B176" i="38" s="1"/>
  <c r="B177" i="38" s="1"/>
  <c r="B178" i="38" s="1"/>
  <c r="B179" i="38" s="1"/>
  <c r="B180" i="38" s="1"/>
  <c r="B166" i="38"/>
  <c r="B167" i="38" s="1"/>
  <c r="B168" i="38" s="1"/>
  <c r="B169" i="38" s="1"/>
  <c r="B170" i="38" s="1"/>
  <c r="B171" i="38" s="1"/>
  <c r="B152" i="38"/>
  <c r="B153" i="38" s="1"/>
  <c r="B154" i="38" s="1"/>
  <c r="B155" i="38" s="1"/>
  <c r="B156" i="38" s="1"/>
  <c r="B157" i="38" s="1"/>
  <c r="B291" i="38"/>
  <c r="B292" i="38" s="1"/>
  <c r="B293" i="38" s="1"/>
  <c r="B294" i="38" s="1"/>
  <c r="B295" i="38" s="1"/>
  <c r="B296" i="38" s="1"/>
  <c r="B182" i="38"/>
  <c r="B183" i="38" s="1"/>
  <c r="B184" i="38" s="1"/>
  <c r="B185" i="38" s="1"/>
  <c r="B186" i="38" s="1"/>
  <c r="B187" i="38" s="1"/>
  <c r="B247" i="38"/>
  <c r="B248" i="38" s="1"/>
  <c r="B249" i="38" s="1"/>
  <c r="B250" i="38" s="1"/>
  <c r="B251" i="38" s="1"/>
  <c r="B252" i="38" s="1"/>
  <c r="B261" i="38"/>
  <c r="B262" i="38" s="1"/>
  <c r="B263" i="38" s="1"/>
  <c r="B264" i="38" s="1"/>
  <c r="B265" i="38" s="1"/>
  <c r="B266" i="38" s="1"/>
  <c r="B145" i="38"/>
  <c r="B146" i="38" s="1"/>
  <c r="B147" i="38" s="1"/>
  <c r="B148" i="38" s="1"/>
  <c r="B149" i="38" s="1"/>
  <c r="B150" i="38" s="1"/>
  <c r="B159" i="38"/>
  <c r="B160" i="38" s="1"/>
  <c r="B161" i="38" s="1"/>
  <c r="B162" i="38" s="1"/>
  <c r="B163" i="38" s="1"/>
  <c r="B164" i="38" s="1"/>
  <c r="B298" i="38"/>
  <c r="B299" i="38" s="1"/>
  <c r="B300" i="38" s="1"/>
  <c r="B301" i="38" s="1"/>
  <c r="B302" i="38" s="1"/>
  <c r="B303" i="38" s="1"/>
  <c r="B120" i="38"/>
  <c r="B121" i="38" s="1"/>
  <c r="B122" i="38" s="1"/>
  <c r="B123" i="38" s="1"/>
  <c r="B124" i="38" s="1"/>
  <c r="B223" i="38"/>
  <c r="B224" i="38" s="1"/>
  <c r="B225" i="38" s="1"/>
  <c r="B226" i="38" s="1"/>
  <c r="B227" i="38" s="1"/>
  <c r="B228" i="38" s="1"/>
  <c r="B203" i="38"/>
  <c r="B204" i="38" s="1"/>
  <c r="B205" i="38" s="1"/>
  <c r="B206" i="38" s="1"/>
  <c r="B207" i="38" s="1"/>
  <c r="B208" i="38" s="1"/>
  <c r="B307" i="38"/>
  <c r="B308" i="38" s="1"/>
  <c r="B309" i="38" s="1"/>
  <c r="B310" i="38" s="1"/>
  <c r="B311" i="38" s="1"/>
  <c r="B312" i="38" s="1"/>
  <c r="B138" i="38"/>
  <c r="B139" i="38" s="1"/>
  <c r="B140" i="38" s="1"/>
  <c r="B141" i="38" s="1"/>
  <c r="B142" i="38" s="1"/>
  <c r="B143" i="38" s="1"/>
  <c r="B270" i="38"/>
  <c r="B271" i="38" s="1"/>
  <c r="B272" i="38" s="1"/>
  <c r="B273" i="38" s="1"/>
  <c r="B274" i="38" s="1"/>
  <c r="B275" i="38" s="1"/>
  <c r="B240" i="38"/>
  <c r="B241" i="38" s="1"/>
  <c r="B242" i="38" s="1"/>
  <c r="B243" i="38" s="1"/>
  <c r="B244" i="38" s="1"/>
  <c r="B245" i="38" s="1"/>
  <c r="B233" i="38"/>
  <c r="B234" i="38" s="1"/>
  <c r="B235" i="38" s="1"/>
  <c r="B236" i="38" s="1"/>
  <c r="B237" i="38" s="1"/>
  <c r="B238" i="38" s="1"/>
  <c r="B277" i="38"/>
  <c r="B278" i="38" s="1"/>
  <c r="B279" i="38" s="1"/>
  <c r="B280" i="38" s="1"/>
  <c r="B281" i="38" s="1"/>
  <c r="B282" i="38" s="1"/>
  <c r="B196" i="38"/>
  <c r="B197" i="38" s="1"/>
  <c r="B198" i="38" s="1"/>
  <c r="B199" i="38" s="1"/>
  <c r="B200" i="38" s="1"/>
  <c r="B201" i="38" s="1"/>
  <c r="B214" i="38"/>
  <c r="B215" i="38" s="1"/>
  <c r="B216" i="38" s="1"/>
  <c r="B217" i="38" s="1"/>
  <c r="B218" i="38" s="1"/>
  <c r="B219" i="38" s="1"/>
  <c r="B189" i="38"/>
  <c r="B190" i="38" s="1"/>
  <c r="B191" i="38" s="1"/>
  <c r="B192" i="38" s="1"/>
  <c r="B193" i="38" s="1"/>
  <c r="B194" i="38" s="1"/>
  <c r="B284" i="38"/>
  <c r="B285" i="38" s="1"/>
  <c r="B286" i="38" s="1"/>
  <c r="B287" i="38" s="1"/>
  <c r="B288" i="38" s="1"/>
  <c r="B289" i="38" s="1"/>
  <c r="B128" i="38"/>
  <c r="B129" i="38" s="1"/>
  <c r="B130" i="38" s="1"/>
  <c r="B131" i="38" s="1"/>
  <c r="B132" i="38" s="1"/>
  <c r="B133" i="38" s="1"/>
  <c r="B175" i="89"/>
  <c r="B189" i="89"/>
  <c r="B203" i="40"/>
  <c r="B204" i="40" s="1"/>
  <c r="B205" i="40" s="1"/>
  <c r="B206" i="40" s="1"/>
  <c r="B207" i="40" s="1"/>
  <c r="B208" i="40" s="1"/>
  <c r="B247" i="40"/>
  <c r="B248" i="40" s="1"/>
  <c r="B249" i="40" s="1"/>
  <c r="B250" i="40" s="1"/>
  <c r="B251" i="40" s="1"/>
  <c r="B252" i="40" s="1"/>
  <c r="B223" i="40"/>
  <c r="B224" i="40" s="1"/>
  <c r="B225" i="40" s="1"/>
  <c r="B226" i="40" s="1"/>
  <c r="B227" i="40" s="1"/>
  <c r="B228" i="40" s="1"/>
  <c r="B277" i="40"/>
  <c r="B278" i="40" s="1"/>
  <c r="B279" i="40" s="1"/>
  <c r="B280" i="40" s="1"/>
  <c r="B281" i="40" s="1"/>
  <c r="B282" i="40" s="1"/>
  <c r="B128" i="40"/>
  <c r="B129" i="40" s="1"/>
  <c r="B130" i="40" s="1"/>
  <c r="B131" i="40" s="1"/>
  <c r="B132" i="40" s="1"/>
  <c r="B133" i="40" s="1"/>
  <c r="B166" i="40"/>
  <c r="B167" i="40" s="1"/>
  <c r="B168" i="40" s="1"/>
  <c r="B169" i="40" s="1"/>
  <c r="B170" i="40" s="1"/>
  <c r="B171" i="40" s="1"/>
  <c r="B254" i="40"/>
  <c r="B255" i="40" s="1"/>
  <c r="B256" i="40" s="1"/>
  <c r="B257" i="40" s="1"/>
  <c r="B258" i="40" s="1"/>
  <c r="B259" i="40" s="1"/>
  <c r="B189" i="40"/>
  <c r="B190" i="40" s="1"/>
  <c r="B191" i="40" s="1"/>
  <c r="B192" i="40" s="1"/>
  <c r="B193" i="40" s="1"/>
  <c r="B194" i="40" s="1"/>
  <c r="B175" i="40"/>
  <c r="B176" i="40" s="1"/>
  <c r="B177" i="40" s="1"/>
  <c r="B178" i="40" s="1"/>
  <c r="B179" i="40" s="1"/>
  <c r="B180" i="40" s="1"/>
  <c r="B298" i="40"/>
  <c r="B299" i="40" s="1"/>
  <c r="B300" i="40" s="1"/>
  <c r="B301" i="40" s="1"/>
  <c r="B302" i="40" s="1"/>
  <c r="B303" i="40" s="1"/>
  <c r="B182" i="40"/>
  <c r="B183" i="40" s="1"/>
  <c r="B184" i="40" s="1"/>
  <c r="B185" i="40" s="1"/>
  <c r="B186" i="40" s="1"/>
  <c r="B187" i="40" s="1"/>
  <c r="B307" i="40"/>
  <c r="B308" i="40" s="1"/>
  <c r="B309" i="40" s="1"/>
  <c r="B310" i="40" s="1"/>
  <c r="B311" i="40" s="1"/>
  <c r="B312" i="40" s="1"/>
  <c r="B159" i="40"/>
  <c r="B160" i="40" s="1"/>
  <c r="B161" i="40" s="1"/>
  <c r="B162" i="40" s="1"/>
  <c r="B163" i="40" s="1"/>
  <c r="B164" i="40" s="1"/>
  <c r="B145" i="40"/>
  <c r="B146" i="40" s="1"/>
  <c r="B147" i="40" s="1"/>
  <c r="B148" i="40" s="1"/>
  <c r="B149" i="40" s="1"/>
  <c r="B150" i="40" s="1"/>
  <c r="B240" i="40"/>
  <c r="B241" i="40" s="1"/>
  <c r="B242" i="40" s="1"/>
  <c r="B243" i="40" s="1"/>
  <c r="B244" i="40" s="1"/>
  <c r="B245" i="40" s="1"/>
  <c r="B291" i="40"/>
  <c r="B292" i="40" s="1"/>
  <c r="B293" i="40" s="1"/>
  <c r="B294" i="40" s="1"/>
  <c r="B295" i="40" s="1"/>
  <c r="B296" i="40" s="1"/>
  <c r="B214" i="40"/>
  <c r="B215" i="40" s="1"/>
  <c r="B216" i="40" s="1"/>
  <c r="B217" i="40" s="1"/>
  <c r="B218" i="40" s="1"/>
  <c r="B219" i="40" s="1"/>
  <c r="B152" i="40"/>
  <c r="B153" i="40" s="1"/>
  <c r="B154" i="40" s="1"/>
  <c r="B155" i="40" s="1"/>
  <c r="B156" i="40" s="1"/>
  <c r="B157" i="40" s="1"/>
  <c r="B261" i="40"/>
  <c r="B262" i="40" s="1"/>
  <c r="B263" i="40" s="1"/>
  <c r="B264" i="40" s="1"/>
  <c r="B265" i="40" s="1"/>
  <c r="B266" i="40" s="1"/>
  <c r="B284" i="40"/>
  <c r="B285" i="40" s="1"/>
  <c r="B286" i="40" s="1"/>
  <c r="B287" i="40" s="1"/>
  <c r="B288" i="40" s="1"/>
  <c r="B289" i="40" s="1"/>
  <c r="B196" i="40"/>
  <c r="B197" i="40" s="1"/>
  <c r="B198" i="40" s="1"/>
  <c r="B199" i="40" s="1"/>
  <c r="B200" i="40" s="1"/>
  <c r="B201" i="40" s="1"/>
  <c r="B270" i="40"/>
  <c r="B271" i="40" s="1"/>
  <c r="B272" i="40" s="1"/>
  <c r="B273" i="40" s="1"/>
  <c r="B274" i="40" s="1"/>
  <c r="B275" i="40" s="1"/>
  <c r="B120" i="40"/>
  <c r="B121" i="40" s="1"/>
  <c r="B122" i="40" s="1"/>
  <c r="B123" i="40" s="1"/>
  <c r="B124" i="40" s="1"/>
  <c r="B138" i="40"/>
  <c r="B139" i="40" s="1"/>
  <c r="B140" i="40" s="1"/>
  <c r="B141" i="40" s="1"/>
  <c r="B142" i="40" s="1"/>
  <c r="B143" i="40" s="1"/>
  <c r="B233" i="40"/>
  <c r="B234" i="40" s="1"/>
  <c r="B235" i="40" s="1"/>
  <c r="B236" i="40" s="1"/>
  <c r="B237" i="40" s="1"/>
  <c r="B238" i="40" s="1"/>
  <c r="G67" i="30"/>
  <c r="V119" i="28"/>
  <c r="G66" i="32"/>
  <c r="E118" i="12"/>
  <c r="B31" i="40" s="1"/>
  <c r="B51" i="40" s="1"/>
  <c r="D264" i="25"/>
  <c r="D265" i="25" s="1"/>
  <c r="D51" i="32"/>
  <c r="B203" i="89"/>
  <c r="G66" i="89"/>
  <c r="G66" i="28"/>
  <c r="B236" i="19"/>
  <c r="B237" i="19" s="1"/>
  <c r="B238" i="19" s="1"/>
  <c r="B239" i="19" s="1"/>
  <c r="B240" i="19" s="1"/>
  <c r="B241" i="19" s="1"/>
  <c r="B257" i="19"/>
  <c r="B258" i="19" s="1"/>
  <c r="B259" i="19" s="1"/>
  <c r="B260" i="19" s="1"/>
  <c r="B261" i="19" s="1"/>
  <c r="B262" i="19" s="1"/>
  <c r="B111" i="19"/>
  <c r="B112" i="19" s="1"/>
  <c r="B113" i="19" s="1"/>
  <c r="B114" i="19" s="1"/>
  <c r="B115" i="19" s="1"/>
  <c r="B116" i="19" s="1"/>
  <c r="B227" i="19"/>
  <c r="B228" i="19" s="1"/>
  <c r="B229" i="19" s="1"/>
  <c r="B230" i="19" s="1"/>
  <c r="B231" i="19" s="1"/>
  <c r="B232" i="19" s="1"/>
  <c r="B94" i="19"/>
  <c r="B95" i="19" s="1"/>
  <c r="B96" i="19" s="1"/>
  <c r="B97" i="19" s="1"/>
  <c r="B98" i="19" s="1"/>
  <c r="B99" i="19" s="1"/>
  <c r="B141" i="19"/>
  <c r="B142" i="19" s="1"/>
  <c r="B143" i="19" s="1"/>
  <c r="B144" i="19" s="1"/>
  <c r="B145" i="19" s="1"/>
  <c r="B146" i="19" s="1"/>
  <c r="B206" i="19"/>
  <c r="B207" i="19" s="1"/>
  <c r="B208" i="19" s="1"/>
  <c r="B209" i="19" s="1"/>
  <c r="B210" i="19" s="1"/>
  <c r="B211" i="19" s="1"/>
  <c r="B180" i="19"/>
  <c r="B181" i="19" s="1"/>
  <c r="B182" i="19" s="1"/>
  <c r="B183" i="19" s="1"/>
  <c r="B184" i="19" s="1"/>
  <c r="B185" i="19" s="1"/>
  <c r="B104" i="19"/>
  <c r="B105" i="19" s="1"/>
  <c r="B106" i="19" s="1"/>
  <c r="B107" i="19" s="1"/>
  <c r="B108" i="19" s="1"/>
  <c r="B109" i="19" s="1"/>
  <c r="B264" i="19"/>
  <c r="B265" i="19" s="1"/>
  <c r="B266" i="19" s="1"/>
  <c r="B267" i="19" s="1"/>
  <c r="B268" i="19" s="1"/>
  <c r="B269" i="19" s="1"/>
  <c r="B243" i="19"/>
  <c r="B244" i="19" s="1"/>
  <c r="B245" i="19" s="1"/>
  <c r="B246" i="19" s="1"/>
  <c r="B247" i="19" s="1"/>
  <c r="B248" i="19" s="1"/>
  <c r="C52" i="2"/>
  <c r="B182" i="89"/>
  <c r="H236" i="19"/>
  <c r="B284" i="89"/>
  <c r="V284" i="89" s="1"/>
  <c r="B233" i="89"/>
  <c r="B284" i="32"/>
  <c r="B285" i="32" s="1"/>
  <c r="H257" i="19"/>
  <c r="G67" i="28"/>
  <c r="B128" i="89"/>
  <c r="G66" i="30"/>
  <c r="G66" i="14"/>
  <c r="G66" i="40"/>
  <c r="B254" i="32"/>
  <c r="B255" i="32" s="1"/>
  <c r="B256" i="32" s="1"/>
  <c r="B257" i="32" s="1"/>
  <c r="B258" i="32" s="1"/>
  <c r="B259" i="32" s="1"/>
  <c r="B138" i="32"/>
  <c r="B139" i="32" s="1"/>
  <c r="B140" i="32" s="1"/>
  <c r="B141" i="32" s="1"/>
  <c r="B142" i="32" s="1"/>
  <c r="B143" i="32" s="1"/>
  <c r="B145" i="32"/>
  <c r="B146" i="32" s="1"/>
  <c r="B147" i="32" s="1"/>
  <c r="B148" i="32" s="1"/>
  <c r="B149" i="32" s="1"/>
  <c r="B150" i="32" s="1"/>
  <c r="B166" i="32"/>
  <c r="B247" i="32"/>
  <c r="B196" i="32"/>
  <c r="B197" i="32" s="1"/>
  <c r="B198" i="32" s="1"/>
  <c r="B199" i="32" s="1"/>
  <c r="B200" i="32" s="1"/>
  <c r="B201" i="32" s="1"/>
  <c r="B159" i="32"/>
  <c r="B160" i="32" s="1"/>
  <c r="B161" i="32" s="1"/>
  <c r="B162" i="32" s="1"/>
  <c r="B163" i="32" s="1"/>
  <c r="B164" i="32" s="1"/>
  <c r="B261" i="32"/>
  <c r="B262" i="32" s="1"/>
  <c r="B263" i="32" s="1"/>
  <c r="B240" i="32"/>
  <c r="B182" i="32"/>
  <c r="B183" i="32" s="1"/>
  <c r="B184" i="32" s="1"/>
  <c r="B185" i="32" s="1"/>
  <c r="B186" i="32" s="1"/>
  <c r="B187" i="32" s="1"/>
  <c r="E98" i="12"/>
  <c r="B31" i="38" s="1"/>
  <c r="E138" i="12"/>
  <c r="B31" i="28" s="1"/>
  <c r="E78" i="12"/>
  <c r="B31" i="23" s="1"/>
  <c r="E88" i="12"/>
  <c r="B33" i="25" s="1"/>
  <c r="E68" i="12"/>
  <c r="B31" i="17" s="1"/>
  <c r="E148" i="12"/>
  <c r="B31" i="30" s="1"/>
  <c r="E108" i="12"/>
  <c r="B31" i="32" s="1"/>
  <c r="B298" i="23"/>
  <c r="B299" i="23" s="1"/>
  <c r="B300" i="23" s="1"/>
  <c r="B301" i="23" s="1"/>
  <c r="B302" i="23" s="1"/>
  <c r="B303" i="23" s="1"/>
  <c r="B152" i="23"/>
  <c r="B153" i="23" s="1"/>
  <c r="B154" i="23" s="1"/>
  <c r="B155" i="23" s="1"/>
  <c r="B214" i="23"/>
  <c r="B215" i="23" s="1"/>
  <c r="B216" i="23" s="1"/>
  <c r="B217" i="23" s="1"/>
  <c r="B218" i="23" s="1"/>
  <c r="B219" i="23" s="1"/>
  <c r="B175" i="23"/>
  <c r="B176" i="23" s="1"/>
  <c r="B177" i="23" s="1"/>
  <c r="B178" i="23" s="1"/>
  <c r="B179" i="23" s="1"/>
  <c r="B223" i="23"/>
  <c r="B224" i="23" s="1"/>
  <c r="B225" i="23" s="1"/>
  <c r="B226" i="23" s="1"/>
  <c r="B227" i="23" s="1"/>
  <c r="B228" i="23" s="1"/>
  <c r="B270" i="23"/>
  <c r="B271" i="23" s="1"/>
  <c r="B272" i="23" s="1"/>
  <c r="B273" i="23" s="1"/>
  <c r="B274" i="23" s="1"/>
  <c r="B275" i="23" s="1"/>
  <c r="B196" i="23"/>
  <c r="B197" i="23" s="1"/>
  <c r="B198" i="23" s="1"/>
  <c r="B199" i="23" s="1"/>
  <c r="B200" i="23" s="1"/>
  <c r="B201" i="23" s="1"/>
  <c r="H141" i="19"/>
  <c r="B291" i="89"/>
  <c r="B277" i="32"/>
  <c r="B120" i="89"/>
  <c r="B121" i="89" s="1"/>
  <c r="B122" i="89" s="1"/>
  <c r="B123" i="89" s="1"/>
  <c r="B124" i="89" s="1"/>
  <c r="B307" i="89"/>
  <c r="B308" i="89" s="1"/>
  <c r="B309" i="89" s="1"/>
  <c r="B310" i="89" s="1"/>
  <c r="B311" i="89" s="1"/>
  <c r="B312" i="89" s="1"/>
  <c r="B270" i="32"/>
  <c r="B223" i="32"/>
  <c r="B224" i="32" s="1"/>
  <c r="H189" i="19"/>
  <c r="P189" i="19" s="1"/>
  <c r="I189" i="19" s="1"/>
  <c r="J189" i="19" s="1"/>
  <c r="K189" i="19" s="1"/>
  <c r="L189" i="19" s="1"/>
  <c r="M189" i="19" s="1"/>
  <c r="G69" i="25"/>
  <c r="E48" i="12"/>
  <c r="B67" i="32" s="1"/>
  <c r="B166" i="89"/>
  <c r="B167" i="89" s="1"/>
  <c r="G67" i="32"/>
  <c r="G66" i="23"/>
  <c r="B167" i="14"/>
  <c r="C275" i="30"/>
  <c r="C161" i="32"/>
  <c r="B235" i="30"/>
  <c r="B236" i="30" s="1"/>
  <c r="B237" i="30" s="1"/>
  <c r="B238" i="30" s="1"/>
  <c r="E257" i="32"/>
  <c r="C249" i="17"/>
  <c r="D256" i="30"/>
  <c r="C198" i="23"/>
  <c r="D54" i="30"/>
  <c r="D51" i="30"/>
  <c r="D149" i="14"/>
  <c r="E168" i="17"/>
  <c r="D236" i="14"/>
  <c r="D272" i="14"/>
  <c r="C235" i="17"/>
  <c r="D286" i="17"/>
  <c r="D287" i="17" s="1"/>
  <c r="D288" i="17" s="1"/>
  <c r="D289" i="17" s="1"/>
  <c r="C242" i="17"/>
  <c r="E184" i="14"/>
  <c r="C123" i="17"/>
  <c r="D206" i="25"/>
  <c r="D68" i="25"/>
  <c r="D67" i="38"/>
  <c r="D67" i="40"/>
  <c r="D31" i="14"/>
  <c r="D9" i="14"/>
  <c r="S13" i="20"/>
  <c r="E237" i="25"/>
  <c r="D249" i="32"/>
  <c r="D200" i="25"/>
  <c r="E142" i="25"/>
  <c r="D142" i="30"/>
  <c r="D51" i="23"/>
  <c r="D204" i="30"/>
  <c r="I265" i="19"/>
  <c r="I142" i="19"/>
  <c r="I237" i="19"/>
  <c r="I190" i="19"/>
  <c r="I156" i="19"/>
  <c r="I244" i="19"/>
  <c r="I170" i="19"/>
  <c r="I149" i="19"/>
  <c r="I258" i="19"/>
  <c r="I251" i="19"/>
  <c r="D204" i="17"/>
  <c r="C287" i="17"/>
  <c r="D192" i="30"/>
  <c r="C229" i="25"/>
  <c r="E279" i="89"/>
  <c r="G86" i="12"/>
  <c r="D31" i="25" s="1"/>
  <c r="G126" i="12"/>
  <c r="D29" i="89" s="1"/>
  <c r="G106" i="12"/>
  <c r="D29" i="32" s="1"/>
  <c r="G116" i="12"/>
  <c r="D29" i="40" s="1"/>
  <c r="G76" i="12"/>
  <c r="D29" i="23" s="1"/>
  <c r="C279" i="30"/>
  <c r="B241" i="30"/>
  <c r="B242" i="30" s="1"/>
  <c r="B243" i="30" s="1"/>
  <c r="B244" i="30" s="1"/>
  <c r="B245" i="30" s="1"/>
  <c r="I76" i="12"/>
  <c r="F29" i="23" s="1"/>
  <c r="I66" i="12"/>
  <c r="F29" i="17" s="1"/>
  <c r="I86" i="12"/>
  <c r="F31" i="25" s="1"/>
  <c r="I116" i="12"/>
  <c r="I126" i="12"/>
  <c r="F29" i="89" s="1"/>
  <c r="I106" i="12"/>
  <c r="F29" i="32" s="1"/>
  <c r="V111" i="23"/>
  <c r="C291" i="25"/>
  <c r="E193" i="25"/>
  <c r="C249" i="14"/>
  <c r="V111" i="32"/>
  <c r="D272" i="17"/>
  <c r="E293" i="30"/>
  <c r="D140" i="17"/>
  <c r="D161" i="30"/>
  <c r="F148" i="12"/>
  <c r="C31" i="30" s="1"/>
  <c r="F118" i="12"/>
  <c r="C31" i="40" s="1"/>
  <c r="F48" i="12"/>
  <c r="F138" i="12"/>
  <c r="C31" i="28" s="1"/>
  <c r="F78" i="12"/>
  <c r="C31" i="23" s="1"/>
  <c r="F128" i="12"/>
  <c r="C31" i="89" s="1"/>
  <c r="F108" i="12"/>
  <c r="C31" i="32" s="1"/>
  <c r="F68" i="12"/>
  <c r="C31" i="17" s="1"/>
  <c r="D177" i="23"/>
  <c r="D184" i="17"/>
  <c r="D301" i="25"/>
  <c r="C179" i="25"/>
  <c r="C198" i="30"/>
  <c r="Q111" i="17"/>
  <c r="K111" i="17"/>
  <c r="E273" i="30"/>
  <c r="E198" i="14"/>
  <c r="D204" i="28"/>
  <c r="D205" i="28" s="1"/>
  <c r="D206" i="28" s="1"/>
  <c r="D207" i="28" s="1"/>
  <c r="D208" i="28" s="1"/>
  <c r="C177" i="30"/>
  <c r="H85" i="12"/>
  <c r="E30" i="25" s="1"/>
  <c r="H135" i="12"/>
  <c r="E28" i="28" s="1"/>
  <c r="H115" i="12"/>
  <c r="H125" i="12"/>
  <c r="E28" i="89" s="1"/>
  <c r="H75" i="12"/>
  <c r="E28" i="23" s="1"/>
  <c r="H65" i="12"/>
  <c r="E28" i="17" s="1"/>
  <c r="H105" i="12"/>
  <c r="E28" i="32" s="1"/>
  <c r="D54" i="89"/>
  <c r="D51" i="89"/>
  <c r="D156" i="14"/>
  <c r="C187" i="17"/>
  <c r="I95" i="19"/>
  <c r="C177" i="17"/>
  <c r="F79" i="12"/>
  <c r="C32" i="23" s="1"/>
  <c r="C9" i="23" s="1"/>
  <c r="F139" i="12"/>
  <c r="C32" i="28" s="1"/>
  <c r="C9" i="28" s="1"/>
  <c r="F109" i="12"/>
  <c r="C32" i="32" s="1"/>
  <c r="C9" i="32" s="1"/>
  <c r="F49" i="12"/>
  <c r="C32" i="14" s="1"/>
  <c r="C9" i="14" s="1"/>
  <c r="E185" i="32"/>
  <c r="C150" i="17"/>
  <c r="D242" i="14"/>
  <c r="D299" i="14"/>
  <c r="C256" i="17"/>
  <c r="E272" i="23"/>
  <c r="D261" i="25"/>
  <c r="C225" i="30"/>
  <c r="B153" i="30"/>
  <c r="B154" i="30" s="1"/>
  <c r="B155" i="30" s="1"/>
  <c r="C273" i="14"/>
  <c r="J143" i="19"/>
  <c r="J266" i="19"/>
  <c r="J259" i="19"/>
  <c r="J191" i="19"/>
  <c r="J96" i="19"/>
  <c r="R96" i="19" s="1"/>
  <c r="J164" i="19"/>
  <c r="J238" i="19"/>
  <c r="C130" i="17"/>
  <c r="D300" i="30"/>
  <c r="C258" i="30"/>
  <c r="D150" i="32"/>
  <c r="C195" i="25"/>
  <c r="D204" i="14"/>
  <c r="D205" i="14" s="1"/>
  <c r="D206" i="14" s="1"/>
  <c r="D207" i="14" s="1"/>
  <c r="D208" i="14" s="1"/>
  <c r="D191" i="14"/>
  <c r="C188" i="25"/>
  <c r="E300" i="23"/>
  <c r="P111" i="30"/>
  <c r="J111" i="30"/>
  <c r="F119" i="12"/>
  <c r="C32" i="40" s="1"/>
  <c r="C9" i="40" s="1"/>
  <c r="D51" i="28"/>
  <c r="F69" i="12"/>
  <c r="C32" i="17" s="1"/>
  <c r="F149" i="12"/>
  <c r="C32" i="30" s="1"/>
  <c r="C9" i="30" s="1"/>
  <c r="AT186" i="18"/>
  <c r="E93" i="85" s="1"/>
  <c r="AV184" i="18"/>
  <c r="G91" i="85" s="1"/>
  <c r="AX65" i="18"/>
  <c r="AT182" i="18"/>
  <c r="AX192" i="18"/>
  <c r="AV65" i="18"/>
  <c r="AY68" i="18"/>
  <c r="AW65" i="18"/>
  <c r="AY187" i="18"/>
  <c r="J94" i="85" s="1"/>
  <c r="AU67" i="18"/>
  <c r="AV187" i="18"/>
  <c r="G94" i="85" s="1"/>
  <c r="AV66" i="18"/>
  <c r="AY182" i="18"/>
  <c r="AW69" i="18"/>
  <c r="AW185" i="18"/>
  <c r="H92" i="85" s="1"/>
  <c r="AW182" i="18"/>
  <c r="AT181" i="18"/>
  <c r="AW63" i="18"/>
  <c r="AX52" i="18"/>
  <c r="AV68" i="18"/>
  <c r="AY185" i="18"/>
  <c r="J92" i="85" s="1"/>
  <c r="AV57" i="18"/>
  <c r="AV55" i="18"/>
  <c r="AT187" i="18"/>
  <c r="E94" i="85" s="1"/>
  <c r="AX55" i="18"/>
  <c r="AT69" i="18"/>
  <c r="AU191" i="18"/>
  <c r="J137" i="20"/>
  <c r="J157" i="20" s="1"/>
  <c r="J159" i="20"/>
  <c r="I39" i="82" s="1"/>
  <c r="I108" i="20"/>
  <c r="M53" i="76"/>
  <c r="B206" i="30"/>
  <c r="D170" i="14"/>
  <c r="G108" i="20"/>
  <c r="K53" i="76"/>
  <c r="M34" i="65"/>
  <c r="B43" i="65"/>
  <c r="B45" i="65" s="1"/>
  <c r="M40" i="65"/>
  <c r="E67" i="20"/>
  <c r="AQ8" i="76" s="1"/>
  <c r="E70" i="20"/>
  <c r="I19" i="82"/>
  <c r="B200" i="30"/>
  <c r="B164" i="30"/>
  <c r="AR8" i="76"/>
  <c r="J55" i="76" s="1"/>
  <c r="B251" i="17"/>
  <c r="B187" i="30"/>
  <c r="K70" i="20"/>
  <c r="K67" i="20"/>
  <c r="AW8" i="76" s="1"/>
  <c r="O55" i="76" s="1"/>
  <c r="E235" i="89"/>
  <c r="S192" i="19"/>
  <c r="L192" i="19" s="1"/>
  <c r="M192" i="19" s="1"/>
  <c r="J142" i="20"/>
  <c r="AV7" i="76"/>
  <c r="N54" i="76" s="1"/>
  <c r="N73" i="14"/>
  <c r="E45" i="14"/>
  <c r="I137" i="20"/>
  <c r="I157" i="20" s="1"/>
  <c r="I158" i="20"/>
  <c r="P111" i="40"/>
  <c r="J111" i="40"/>
  <c r="D143" i="28"/>
  <c r="L42" i="20"/>
  <c r="DQ5" i="18" s="1"/>
  <c r="L53" i="20"/>
  <c r="D275" i="19"/>
  <c r="AU195" i="18"/>
  <c r="P92" i="85" s="1"/>
  <c r="AX184" i="18"/>
  <c r="I91" i="85" s="1"/>
  <c r="AW56" i="18"/>
  <c r="AW64" i="18"/>
  <c r="AY69" i="18"/>
  <c r="AW191" i="18"/>
  <c r="AW68" i="18"/>
  <c r="AU185" i="18"/>
  <c r="F92" i="85" s="1"/>
  <c r="AT57" i="18"/>
  <c r="AX59" i="18"/>
  <c r="AY67" i="18"/>
  <c r="AX67" i="18"/>
  <c r="AY194" i="18"/>
  <c r="T91" i="85" s="1"/>
  <c r="AT190" i="18"/>
  <c r="AW183" i="18"/>
  <c r="AY58" i="18"/>
  <c r="AV53" i="18"/>
  <c r="AT62" i="18"/>
  <c r="AU68" i="18"/>
  <c r="AT195" i="18"/>
  <c r="O92" i="85" s="1"/>
  <c r="AW192" i="18"/>
  <c r="T79" i="20"/>
  <c r="AU190" i="18"/>
  <c r="AY184" i="18"/>
  <c r="J91" i="85" s="1"/>
  <c r="AU181" i="18"/>
  <c r="AY59" i="18"/>
  <c r="AV67" i="18"/>
  <c r="AX68" i="18"/>
  <c r="AV194" i="18"/>
  <c r="Q91" i="85" s="1"/>
  <c r="AV192" i="18"/>
  <c r="AV59" i="18"/>
  <c r="AX182" i="18"/>
  <c r="AX180" i="18"/>
  <c r="AU55" i="18"/>
  <c r="AX64" i="18"/>
  <c r="AU62" i="18"/>
  <c r="AY190" i="18"/>
  <c r="AU52" i="18"/>
  <c r="AX186" i="18"/>
  <c r="I93" i="85" s="1"/>
  <c r="AT180" i="18"/>
  <c r="AV185" i="18"/>
  <c r="G92" i="85" s="1"/>
  <c r="AV181" i="18"/>
  <c r="AW184" i="18"/>
  <c r="H91" i="85" s="1"/>
  <c r="AW54" i="18"/>
  <c r="AV58" i="18"/>
  <c r="AX56" i="18"/>
  <c r="AU57" i="18"/>
  <c r="AY53" i="18"/>
  <c r="AU65" i="18"/>
  <c r="AW66" i="18"/>
  <c r="AV69" i="18"/>
  <c r="AX69" i="18"/>
  <c r="AY66" i="18"/>
  <c r="AX181" i="18"/>
  <c r="AV196" i="18"/>
  <c r="Q93" i="85" s="1"/>
  <c r="AT192" i="18"/>
  <c r="AV193" i="18"/>
  <c r="AX197" i="18"/>
  <c r="S94" i="85" s="1"/>
  <c r="AX57" i="18"/>
  <c r="O79" i="20"/>
  <c r="N79" i="20"/>
  <c r="AC844" i="76"/>
  <c r="BH972" i="76"/>
  <c r="BJ693" i="76"/>
  <c r="BJ540" i="76"/>
  <c r="BI279" i="76"/>
  <c r="AD873" i="76"/>
  <c r="BH884" i="76"/>
  <c r="BG626" i="76"/>
  <c r="AD733" i="76"/>
  <c r="AC165" i="76"/>
  <c r="BJ96" i="76"/>
  <c r="BH678" i="76"/>
  <c r="BK745" i="76"/>
  <c r="BL497" i="76"/>
  <c r="BH466" i="76"/>
  <c r="AC74" i="76"/>
  <c r="BL225" i="76"/>
  <c r="AC403" i="76"/>
  <c r="BL632" i="76"/>
  <c r="BL83" i="76"/>
  <c r="BH478" i="76"/>
  <c r="BG225" i="76"/>
  <c r="AE287" i="76"/>
  <c r="Z845" i="76"/>
  <c r="AC606" i="76"/>
  <c r="AE323" i="76"/>
  <c r="BG86" i="76"/>
  <c r="BJ748" i="76"/>
  <c r="BK438" i="76"/>
  <c r="BL929" i="76"/>
  <c r="BG695" i="76"/>
  <c r="BH471" i="76"/>
  <c r="BK182" i="76"/>
  <c r="BL167" i="76"/>
  <c r="BJ521" i="76"/>
  <c r="BL352" i="76"/>
  <c r="BI747" i="76"/>
  <c r="BK693" i="76"/>
  <c r="BK144" i="76"/>
  <c r="BI86" i="76"/>
  <c r="BL541" i="76"/>
  <c r="AE178" i="76"/>
  <c r="BI605" i="76"/>
  <c r="BK793" i="76"/>
  <c r="AA459" i="76"/>
  <c r="BI801" i="76"/>
  <c r="BI987" i="76"/>
  <c r="BL103" i="76"/>
  <c r="BL349" i="76"/>
  <c r="BG800" i="76"/>
  <c r="BJ321" i="76"/>
  <c r="BJ1010" i="76"/>
  <c r="BJ145" i="76"/>
  <c r="BI550" i="76"/>
  <c r="BH573" i="76"/>
  <c r="BL194" i="76"/>
  <c r="BH606" i="76"/>
  <c r="AC705" i="76"/>
  <c r="BJ789" i="76"/>
  <c r="BL492" i="76"/>
  <c r="BH75" i="76"/>
  <c r="BH817" i="76"/>
  <c r="BI451" i="76"/>
  <c r="BG131" i="76"/>
  <c r="BL571" i="76"/>
  <c r="Z531" i="76"/>
  <c r="AA156" i="76"/>
  <c r="BK957" i="76"/>
  <c r="BI742" i="76"/>
  <c r="BL75" i="76"/>
  <c r="BK212" i="76"/>
  <c r="AC507" i="76"/>
  <c r="BL239" i="76"/>
  <c r="BJ442" i="76"/>
  <c r="BG982" i="76"/>
  <c r="BI158" i="76"/>
  <c r="AB528" i="76"/>
  <c r="BK79" i="76"/>
  <c r="BH373" i="76"/>
  <c r="BI133" i="76"/>
  <c r="BL1021" i="76"/>
  <c r="AE125" i="76"/>
  <c r="BJ487" i="76"/>
  <c r="BH788" i="76"/>
  <c r="BH420" i="76"/>
  <c r="BI853" i="76"/>
  <c r="BK470" i="76"/>
  <c r="BK795" i="76"/>
  <c r="BI165" i="76"/>
  <c r="BI467" i="76"/>
  <c r="BG798" i="76"/>
  <c r="BL382" i="76"/>
  <c r="BL350" i="76"/>
  <c r="BL244" i="76"/>
  <c r="BH892" i="76"/>
  <c r="BI406" i="76"/>
  <c r="BI282" i="76"/>
  <c r="BL533" i="76"/>
  <c r="AB410" i="76"/>
  <c r="BK579" i="76"/>
  <c r="AA776" i="76"/>
  <c r="BL654" i="76"/>
  <c r="AE136" i="76"/>
  <c r="BJ525" i="76"/>
  <c r="BK632" i="76"/>
  <c r="BG742" i="76"/>
  <c r="BL785" i="76"/>
  <c r="BH149" i="76"/>
  <c r="BL473" i="76"/>
  <c r="BK845" i="76"/>
  <c r="BL740" i="76"/>
  <c r="BG471" i="76"/>
  <c r="BK296" i="76"/>
  <c r="BH404" i="76"/>
  <c r="BI793" i="76"/>
  <c r="BH491" i="76"/>
  <c r="BK600" i="76"/>
  <c r="BG662" i="76"/>
  <c r="BJ473" i="76"/>
  <c r="AB888" i="76"/>
  <c r="BH849" i="76"/>
  <c r="BJ402" i="76"/>
  <c r="AD486" i="76"/>
  <c r="BJ907" i="76"/>
  <c r="AC464" i="76"/>
  <c r="BJ737" i="76"/>
  <c r="AC494" i="76"/>
  <c r="BL600" i="76"/>
  <c r="Z268" i="76"/>
  <c r="BG183" i="76"/>
  <c r="BK808" i="76"/>
  <c r="BK947" i="76"/>
  <c r="AE653" i="76"/>
  <c r="BH622" i="76"/>
  <c r="BH690" i="76"/>
  <c r="BK779" i="76"/>
  <c r="AB490" i="76"/>
  <c r="BH475" i="76"/>
  <c r="BL584" i="76"/>
  <c r="BK671" i="76"/>
  <c r="AD194" i="76"/>
  <c r="BH381" i="76"/>
  <c r="BG451" i="76"/>
  <c r="BI540" i="76"/>
  <c r="AC549" i="76"/>
  <c r="BJ564" i="76"/>
  <c r="BI687" i="76"/>
  <c r="BI72" i="76"/>
  <c r="BG784" i="76"/>
  <c r="BJ516" i="76"/>
  <c r="AA196" i="76"/>
  <c r="BL997" i="76"/>
  <c r="BL995" i="76"/>
  <c r="AD306" i="76"/>
  <c r="BJ498" i="76"/>
  <c r="BJ658" i="76"/>
  <c r="BH465" i="76"/>
  <c r="AD330" i="76"/>
  <c r="BH728" i="76"/>
  <c r="BJ181" i="76"/>
  <c r="BH603" i="76"/>
  <c r="AE182" i="76"/>
  <c r="BG94" i="76"/>
  <c r="BG420" i="76"/>
  <c r="BI903" i="76"/>
  <c r="BH755" i="76"/>
  <c r="BJ773" i="76"/>
  <c r="AE262" i="76"/>
  <c r="BK175" i="76"/>
  <c r="BH490" i="76"/>
  <c r="BJ975" i="76"/>
  <c r="AE355" i="76"/>
  <c r="AE381" i="76"/>
  <c r="AB72" i="76"/>
  <c r="BK810" i="76"/>
  <c r="BG618" i="76"/>
  <c r="BJ753" i="76"/>
  <c r="BL1045" i="76"/>
  <c r="BG103" i="76"/>
  <c r="BJ501" i="76"/>
  <c r="BH878" i="76"/>
  <c r="BI292" i="76"/>
  <c r="BL247" i="76"/>
  <c r="BK113" i="76"/>
  <c r="BG967" i="76"/>
  <c r="AE509" i="76"/>
  <c r="BH634" i="76"/>
  <c r="BJ492" i="76"/>
  <c r="BI618" i="76"/>
  <c r="BH233" i="76"/>
  <c r="BI147" i="76"/>
  <c r="BK933" i="76"/>
  <c r="AD219" i="76"/>
  <c r="AE209" i="76"/>
  <c r="BG87" i="76"/>
  <c r="BH840" i="76"/>
  <c r="BG917" i="76"/>
  <c r="AE158" i="76"/>
  <c r="BI673" i="76"/>
  <c r="BK78" i="76"/>
  <c r="BL871" i="76"/>
  <c r="BG121" i="76"/>
  <c r="BJ558" i="76"/>
  <c r="BL805" i="76"/>
  <c r="BH186" i="76"/>
  <c r="AB92" i="76"/>
  <c r="BJ352" i="76"/>
  <c r="BI857" i="76"/>
  <c r="AD226" i="76"/>
  <c r="BI243" i="76"/>
  <c r="BK729" i="76"/>
  <c r="AD625" i="76"/>
  <c r="BK587" i="76"/>
  <c r="BL394" i="76"/>
  <c r="BL713" i="76"/>
  <c r="AD270" i="76"/>
  <c r="BI617" i="76"/>
  <c r="BK1046" i="76"/>
  <c r="AB228" i="76"/>
  <c r="BL612" i="76"/>
  <c r="BL334" i="76"/>
  <c r="BK206" i="76"/>
  <c r="BK348" i="76"/>
  <c r="BK872" i="76"/>
  <c r="BK748" i="76"/>
  <c r="BG515" i="76"/>
  <c r="BJ401" i="76"/>
  <c r="BJ605" i="76"/>
  <c r="BJ370" i="76"/>
  <c r="AD738" i="76"/>
  <c r="BG719" i="76"/>
  <c r="BI601" i="76"/>
  <c r="BH346" i="76"/>
  <c r="BI470" i="76"/>
  <c r="BJ316" i="76"/>
  <c r="BL550" i="76"/>
  <c r="BL71" i="76"/>
  <c r="BK889" i="76"/>
  <c r="BH581" i="76"/>
  <c r="BG134" i="76"/>
  <c r="BK168" i="76"/>
  <c r="AC492" i="76"/>
  <c r="BJ1000" i="76"/>
  <c r="Z134" i="76"/>
  <c r="AB671" i="76"/>
  <c r="BL319" i="76"/>
  <c r="BG268" i="76"/>
  <c r="BH988" i="76"/>
  <c r="BK759" i="76"/>
  <c r="BI369" i="76"/>
  <c r="AC736" i="76"/>
  <c r="AC131" i="76"/>
  <c r="BG396" i="76"/>
  <c r="BG324" i="76"/>
  <c r="BG551" i="76"/>
  <c r="BG75" i="76"/>
  <c r="BI278" i="76"/>
  <c r="BJ932" i="76"/>
  <c r="BL920" i="76"/>
  <c r="AD416" i="76"/>
  <c r="AA217" i="76"/>
  <c r="BJ1003" i="76"/>
  <c r="BH139" i="76"/>
  <c r="BH444" i="76"/>
  <c r="BI461" i="76"/>
  <c r="BI224" i="76"/>
  <c r="BJ536" i="76"/>
  <c r="BJ546" i="76"/>
  <c r="BI121" i="76"/>
  <c r="BH316" i="76"/>
  <c r="BJ400" i="76"/>
  <c r="BK320" i="76"/>
  <c r="BK316" i="76"/>
  <c r="BH485" i="76"/>
  <c r="BG675" i="76"/>
  <c r="BI837" i="76"/>
  <c r="BI123" i="76"/>
  <c r="BH313" i="76"/>
  <c r="BG735" i="76"/>
  <c r="BG130" i="76"/>
  <c r="BI549" i="76"/>
  <c r="BG677" i="76"/>
  <c r="BH292" i="76"/>
  <c r="BH646" i="76"/>
  <c r="AE232" i="76"/>
  <c r="BL440" i="76"/>
  <c r="BL112" i="76"/>
  <c r="BI333" i="76"/>
  <c r="Z419" i="76"/>
  <c r="AA167" i="76"/>
  <c r="BL498" i="76"/>
  <c r="AD228" i="76"/>
  <c r="BI386" i="76"/>
  <c r="BL802" i="76"/>
  <c r="BK259" i="76"/>
  <c r="BK292" i="76"/>
  <c r="BL393" i="76"/>
  <c r="BH118" i="76"/>
  <c r="BG297" i="76"/>
  <c r="BK251" i="76"/>
  <c r="AE601" i="76"/>
  <c r="BG140" i="76"/>
  <c r="BK541" i="76"/>
  <c r="BI690" i="76"/>
  <c r="AD307" i="76"/>
  <c r="BG865" i="76"/>
  <c r="BG160" i="76"/>
  <c r="BJ614" i="76"/>
  <c r="BJ707" i="76"/>
  <c r="AE216" i="76"/>
  <c r="BI157" i="76"/>
  <c r="BG127" i="76"/>
  <c r="BK382" i="76"/>
  <c r="BI661" i="76"/>
  <c r="BG287" i="76"/>
  <c r="AD71" i="76"/>
  <c r="AA247" i="76"/>
  <c r="AC323" i="76"/>
  <c r="AB477" i="76"/>
  <c r="BI448" i="76"/>
  <c r="BG815" i="76"/>
  <c r="BK150" i="76"/>
  <c r="AE554" i="76"/>
  <c r="BI877" i="76"/>
  <c r="BJ676" i="76"/>
  <c r="AA105" i="76"/>
  <c r="BI706" i="76"/>
  <c r="BG202" i="76"/>
  <c r="BJ996" i="76"/>
  <c r="BI907" i="76"/>
  <c r="BK994" i="76"/>
  <c r="BK472" i="76"/>
  <c r="AE312" i="76"/>
  <c r="BG254" i="76"/>
  <c r="BL679" i="76"/>
  <c r="Z928" i="76"/>
  <c r="BI409" i="76"/>
  <c r="BL95" i="76"/>
  <c r="BH288" i="76"/>
  <c r="Z661" i="76"/>
  <c r="BL597" i="76"/>
  <c r="AB257" i="76"/>
  <c r="BK196" i="76"/>
  <c r="BG942" i="76"/>
  <c r="BG182" i="76"/>
  <c r="BK685" i="76"/>
  <c r="BH1011" i="76"/>
  <c r="BJ229" i="76"/>
  <c r="BI293" i="76"/>
  <c r="BI1047" i="76"/>
  <c r="BJ228" i="76"/>
  <c r="BJ1007" i="76"/>
  <c r="BL598" i="76"/>
  <c r="BJ953" i="76"/>
  <c r="BL668" i="76"/>
  <c r="BH801" i="76"/>
  <c r="BL563" i="76"/>
  <c r="BJ227" i="76"/>
  <c r="BL528" i="76"/>
  <c r="BK254" i="76"/>
  <c r="BI110" i="76"/>
  <c r="BI286" i="76"/>
  <c r="BJ241" i="76"/>
  <c r="BH908" i="76"/>
  <c r="BL538" i="76"/>
  <c r="BL557" i="76"/>
  <c r="BG1015" i="76"/>
  <c r="BH779" i="76"/>
  <c r="BG458" i="76"/>
  <c r="BH671" i="76"/>
  <c r="BG168" i="76"/>
  <c r="BK788" i="76"/>
  <c r="BK461" i="76"/>
  <c r="BH238" i="76"/>
  <c r="AA600" i="76"/>
  <c r="BG184" i="76"/>
  <c r="AB297" i="76"/>
  <c r="BJ964" i="76"/>
  <c r="Z84" i="76"/>
  <c r="BL187" i="76"/>
  <c r="BH341" i="76"/>
  <c r="AA685" i="76"/>
  <c r="BL304" i="76"/>
  <c r="BI442" i="76"/>
  <c r="BJ714" i="76"/>
  <c r="AB445" i="76"/>
  <c r="BJ491" i="76"/>
  <c r="AE422" i="76"/>
  <c r="BL218" i="76"/>
  <c r="BJ799" i="76"/>
  <c r="BG710" i="76"/>
  <c r="BG964" i="76"/>
  <c r="BJ324" i="76"/>
  <c r="Z815" i="76"/>
  <c r="BH859" i="76"/>
  <c r="BG992" i="76"/>
  <c r="AD357" i="76"/>
  <c r="BK140" i="76"/>
  <c r="BH107" i="76"/>
  <c r="BI886" i="76"/>
  <c r="BG587" i="76"/>
  <c r="BH333" i="76"/>
  <c r="BJ699" i="76"/>
  <c r="BI471" i="76"/>
  <c r="BJ223" i="76"/>
  <c r="AA380" i="76"/>
  <c r="BJ389" i="76"/>
  <c r="AE276" i="76"/>
  <c r="BL925" i="76"/>
  <c r="BJ429" i="76"/>
  <c r="AD489" i="76"/>
  <c r="BH542" i="76"/>
  <c r="BJ339" i="76"/>
  <c r="BI414" i="76"/>
  <c r="BH219" i="76"/>
  <c r="BK891" i="76"/>
  <c r="BL942" i="76"/>
  <c r="BK647" i="76"/>
  <c r="BG472" i="76"/>
  <c r="BK723" i="76"/>
  <c r="Z276" i="76"/>
  <c r="BL336" i="76"/>
  <c r="BG284" i="76"/>
  <c r="BK936" i="76"/>
  <c r="BH378" i="76"/>
  <c r="BL1025" i="76"/>
  <c r="AD148" i="76"/>
  <c r="BG900" i="76"/>
  <c r="BH126" i="76"/>
  <c r="BJ410" i="76"/>
  <c r="BL346" i="76"/>
  <c r="BK309" i="76"/>
  <c r="BI227" i="76"/>
  <c r="BJ871" i="76"/>
  <c r="BK747" i="76"/>
  <c r="BH210" i="76"/>
  <c r="BI879" i="76"/>
  <c r="BJ97" i="76"/>
  <c r="BK1062" i="76"/>
  <c r="BG878" i="76"/>
  <c r="AA182" i="76"/>
  <c r="BI698" i="76"/>
  <c r="BJ822" i="76"/>
  <c r="BG574" i="76"/>
  <c r="BG889" i="76"/>
  <c r="BJ341" i="76"/>
  <c r="BH102" i="76"/>
  <c r="BJ130" i="76"/>
  <c r="BK840" i="76"/>
  <c r="BL758" i="76"/>
  <c r="BI749" i="76"/>
  <c r="BL490" i="76"/>
  <c r="BK453" i="76"/>
  <c r="BI526" i="76"/>
  <c r="BL747" i="76"/>
  <c r="AD119" i="76"/>
  <c r="BG571" i="76"/>
  <c r="BH408" i="76"/>
  <c r="BL631" i="76"/>
  <c r="BI1057" i="76"/>
  <c r="BL569" i="76"/>
  <c r="BL303" i="76"/>
  <c r="BL523" i="76"/>
  <c r="BH1054" i="76"/>
  <c r="BL413" i="76"/>
  <c r="BH170" i="76"/>
  <c r="BJ394" i="76"/>
  <c r="AE405" i="76"/>
  <c r="BJ710" i="76"/>
  <c r="BH1012" i="76"/>
  <c r="AE637" i="76"/>
  <c r="BJ966" i="76"/>
  <c r="Z861" i="76"/>
  <c r="BG1012" i="76"/>
  <c r="BL803" i="76"/>
  <c r="AA495" i="76"/>
  <c r="BK584" i="76"/>
  <c r="BH670" i="76"/>
  <c r="BH561" i="76"/>
  <c r="BL354" i="76"/>
  <c r="BI653" i="76"/>
  <c r="BJ844" i="76"/>
  <c r="BH228" i="76"/>
  <c r="BI608" i="76"/>
  <c r="AC370" i="76"/>
  <c r="BK385" i="76"/>
  <c r="BK640" i="76"/>
  <c r="AC543" i="76"/>
  <c r="BL255" i="76"/>
  <c r="BI599" i="76"/>
  <c r="BL813" i="76"/>
  <c r="BH969" i="76"/>
  <c r="AA778" i="76"/>
  <c r="BH463" i="76"/>
  <c r="BI161" i="76"/>
  <c r="BI355" i="76"/>
  <c r="BH415" i="76"/>
  <c r="BI932" i="76"/>
  <c r="BH510" i="76"/>
  <c r="BI720" i="76"/>
  <c r="BJ458" i="76"/>
  <c r="BJ182" i="76"/>
  <c r="BI105" i="76"/>
  <c r="BL596" i="76"/>
  <c r="BK220" i="76"/>
  <c r="BL252" i="76"/>
  <c r="BJ819" i="76"/>
  <c r="BL962" i="76"/>
  <c r="BI748" i="76"/>
  <c r="BH483" i="76"/>
  <c r="BK383" i="76"/>
  <c r="BJ578" i="76"/>
  <c r="BI330" i="76"/>
  <c r="BJ817" i="76"/>
  <c r="BG818" i="76"/>
  <c r="BG312" i="76"/>
  <c r="Z331" i="76"/>
  <c r="BJ919" i="76"/>
  <c r="BL851" i="76"/>
  <c r="BK881" i="76"/>
  <c r="BH900" i="76"/>
  <c r="BG105" i="76"/>
  <c r="BL192" i="76"/>
  <c r="BK887" i="76"/>
  <c r="BH534" i="76"/>
  <c r="AE686" i="76"/>
  <c r="BL1013" i="76"/>
  <c r="BH500" i="76"/>
  <c r="BI476" i="76"/>
  <c r="BK674" i="76"/>
  <c r="BL786" i="76"/>
  <c r="BL418" i="76"/>
  <c r="BG456" i="76"/>
  <c r="BH364" i="76"/>
  <c r="BL362" i="76"/>
  <c r="BK1036" i="76"/>
  <c r="BG313" i="76"/>
  <c r="BI238" i="76"/>
  <c r="AD191" i="76"/>
  <c r="BG320" i="76"/>
  <c r="BI786" i="76"/>
  <c r="AA825" i="76"/>
  <c r="BI132" i="76"/>
  <c r="BL452" i="76"/>
  <c r="BG459" i="76"/>
  <c r="BL716" i="76"/>
  <c r="BI275" i="76"/>
  <c r="BH114" i="76"/>
  <c r="BG326" i="76"/>
  <c r="BI919" i="76"/>
  <c r="BK588" i="76"/>
  <c r="BL409" i="76"/>
  <c r="BG688" i="76"/>
  <c r="BH352" i="76"/>
  <c r="BJ291" i="76"/>
  <c r="BJ459" i="76"/>
  <c r="BG150" i="76"/>
  <c r="BJ180" i="76"/>
  <c r="BL241" i="76"/>
  <c r="BI368" i="76"/>
  <c r="BJ793" i="76"/>
  <c r="BG875" i="76"/>
  <c r="BG129" i="76"/>
  <c r="AA93" i="76"/>
  <c r="BJ219" i="76"/>
  <c r="BH266" i="76"/>
  <c r="AC502" i="76"/>
  <c r="BK526" i="76"/>
  <c r="AE779" i="76"/>
  <c r="AA947" i="76"/>
  <c r="AE377" i="76"/>
  <c r="AB110" i="76"/>
  <c r="AE266" i="76"/>
  <c r="AA810" i="76"/>
  <c r="AA420" i="76"/>
  <c r="Z789" i="76"/>
  <c r="AD227" i="76"/>
  <c r="BK893" i="76"/>
  <c r="BH294" i="76"/>
  <c r="AC563" i="76"/>
  <c r="AC262" i="76"/>
  <c r="BL1036" i="76"/>
  <c r="BJ222" i="76"/>
  <c r="AC516" i="76"/>
  <c r="AD82" i="76"/>
  <c r="AE565" i="76"/>
  <c r="AD406" i="76"/>
  <c r="BK714" i="76"/>
  <c r="BK989" i="76"/>
  <c r="AC794" i="76"/>
  <c r="AE431" i="76"/>
  <c r="AD397" i="76"/>
  <c r="AC104" i="76"/>
  <c r="BJ1020" i="76"/>
  <c r="BH1056" i="76"/>
  <c r="BG632" i="76"/>
  <c r="BI835" i="76"/>
  <c r="AA784" i="76"/>
  <c r="AD201" i="76"/>
  <c r="BH1018" i="76"/>
  <c r="AC877" i="76"/>
  <c r="AE681" i="76"/>
  <c r="AD877" i="76"/>
  <c r="AD901" i="76"/>
  <c r="AE133" i="76"/>
  <c r="AC650" i="76"/>
  <c r="Z379" i="76"/>
  <c r="AC480" i="76"/>
  <c r="AE315" i="76"/>
  <c r="BG984" i="76"/>
  <c r="BJ679" i="76"/>
  <c r="AE364" i="76"/>
  <c r="Z198" i="76"/>
  <c r="BK852" i="76"/>
  <c r="BL606" i="76"/>
  <c r="AA419" i="76"/>
  <c r="AC273" i="76"/>
  <c r="BG1066" i="76"/>
  <c r="BG968" i="76"/>
  <c r="BH468" i="76"/>
  <c r="BJ671" i="76"/>
  <c r="AD620" i="76"/>
  <c r="AE332" i="76"/>
  <c r="AE446" i="76"/>
  <c r="AB77" i="76"/>
  <c r="BI985" i="76"/>
  <c r="BI1046" i="76"/>
  <c r="BG386" i="76"/>
  <c r="BL590" i="76"/>
  <c r="AE348" i="76"/>
  <c r="AB141" i="76"/>
  <c r="BH845" i="76"/>
  <c r="AE862" i="76"/>
  <c r="AC753" i="76"/>
  <c r="AE555" i="76"/>
  <c r="AC581" i="76"/>
  <c r="AE349" i="76"/>
  <c r="AC384" i="76"/>
  <c r="AA499" i="76"/>
  <c r="AE316" i="76"/>
  <c r="BI960" i="76"/>
  <c r="BL829" i="76"/>
  <c r="AC833" i="76"/>
  <c r="AA436" i="76"/>
  <c r="BH886" i="76"/>
  <c r="BI755" i="76"/>
  <c r="AD786" i="76"/>
  <c r="Z245" i="76"/>
  <c r="AB298" i="76"/>
  <c r="BI906" i="76"/>
  <c r="BG1052" i="76"/>
  <c r="BL308" i="76"/>
  <c r="BJ511" i="76"/>
  <c r="AB582" i="76"/>
  <c r="AD665" i="76"/>
  <c r="AE285" i="76"/>
  <c r="BG1041" i="76"/>
  <c r="BJ1041" i="76"/>
  <c r="BI974" i="76"/>
  <c r="BH227" i="76"/>
  <c r="AB852" i="76"/>
  <c r="AE450" i="76"/>
  <c r="BH890" i="76"/>
  <c r="BI759" i="76"/>
  <c r="AB939" i="76"/>
  <c r="AC351" i="76"/>
  <c r="AB350" i="76"/>
  <c r="Z455" i="76"/>
  <c r="AA234" i="76"/>
  <c r="AB267" i="76"/>
  <c r="AE180" i="76"/>
  <c r="AE369" i="76"/>
  <c r="AC415" i="76"/>
  <c r="BK498" i="76"/>
  <c r="AA577" i="76"/>
  <c r="AB102" i="76"/>
  <c r="BG1022" i="76"/>
  <c r="BI424" i="76"/>
  <c r="AD510" i="76"/>
  <c r="AE237" i="76"/>
  <c r="BK963" i="76"/>
  <c r="BH962" i="76"/>
  <c r="BH831" i="76"/>
  <c r="BL149" i="76"/>
  <c r="AE800" i="76"/>
  <c r="Z437" i="76"/>
  <c r="AE418" i="76"/>
  <c r="AE201" i="76"/>
  <c r="BJ881" i="76"/>
  <c r="BK882" i="76"/>
  <c r="BK750" i="76"/>
  <c r="AD167" i="76"/>
  <c r="AE615" i="76"/>
  <c r="AD129" i="76"/>
  <c r="BI1037" i="76"/>
  <c r="BK439" i="76"/>
  <c r="AE274" i="76"/>
  <c r="Z220" i="76"/>
  <c r="Z428" i="76"/>
  <c r="AA278" i="76"/>
  <c r="BJ412" i="76"/>
  <c r="AA207" i="76"/>
  <c r="BH338" i="76"/>
  <c r="AB616" i="76"/>
  <c r="BK921" i="76"/>
  <c r="BJ106" i="76"/>
  <c r="AB328" i="76"/>
  <c r="AA108" i="76"/>
  <c r="AB128" i="76"/>
  <c r="BJ974" i="76"/>
  <c r="AA798" i="76"/>
  <c r="AC493" i="76"/>
  <c r="AD837" i="76"/>
  <c r="AD868" i="76"/>
  <c r="BL1024" i="76"/>
  <c r="AA485" i="76"/>
  <c r="BH950" i="76"/>
  <c r="Z425" i="76"/>
  <c r="BL1059" i="76"/>
  <c r="BI671" i="76"/>
  <c r="Z823" i="76"/>
  <c r="AC288" i="76"/>
  <c r="BH977" i="76"/>
  <c r="BK590" i="76"/>
  <c r="AC758" i="76"/>
  <c r="BI934" i="76"/>
  <c r="BI421" i="76"/>
  <c r="BI620" i="76"/>
  <c r="BG813" i="76"/>
  <c r="BG133" i="76"/>
  <c r="AC889" i="76"/>
  <c r="AB581" i="76"/>
  <c r="AB452" i="76"/>
  <c r="AC76" i="76"/>
  <c r="AC888" i="76"/>
  <c r="Z631" i="76"/>
  <c r="Z230" i="76"/>
  <c r="AD604" i="76"/>
  <c r="BG1008" i="76"/>
  <c r="AA386" i="76"/>
  <c r="BH898" i="76"/>
  <c r="BI511" i="76"/>
  <c r="AA593" i="76"/>
  <c r="AD113" i="76"/>
  <c r="BK1028" i="76"/>
  <c r="BG429" i="76"/>
  <c r="AB565" i="76"/>
  <c r="BK998" i="76"/>
  <c r="BI346" i="76"/>
  <c r="BG545" i="76"/>
  <c r="BL739" i="76"/>
  <c r="BJ887" i="76"/>
  <c r="AE814" i="76"/>
  <c r="AB398" i="76"/>
  <c r="Z905" i="76"/>
  <c r="AC535" i="76"/>
  <c r="Z768" i="76"/>
  <c r="AC591" i="76"/>
  <c r="BK986" i="76"/>
  <c r="Z324" i="76"/>
  <c r="BL841" i="76"/>
  <c r="AD473" i="76"/>
  <c r="BI949" i="76"/>
  <c r="BH350" i="76"/>
  <c r="AC523" i="76"/>
  <c r="AA697" i="76"/>
  <c r="AC185" i="76"/>
  <c r="BI270" i="76"/>
  <c r="AB331" i="76"/>
  <c r="BI849" i="76"/>
  <c r="BH271" i="76"/>
  <c r="BL471" i="76"/>
  <c r="BJ664" i="76"/>
  <c r="BH759" i="76"/>
  <c r="AA765" i="76"/>
  <c r="AB230" i="76"/>
  <c r="AC180" i="76"/>
  <c r="BH484" i="76"/>
  <c r="BH251" i="76"/>
  <c r="BL451" i="76"/>
  <c r="BJ644" i="76"/>
  <c r="BH719" i="76"/>
  <c r="Z685" i="76"/>
  <c r="AD181" i="76"/>
  <c r="BG1062" i="76"/>
  <c r="BH464" i="76"/>
  <c r="AB204" i="76"/>
  <c r="AC812" i="76"/>
  <c r="AE573" i="76"/>
  <c r="AD524" i="76"/>
  <c r="BI703" i="76"/>
  <c r="AC356" i="76"/>
  <c r="BK622" i="76"/>
  <c r="BH1061" i="76"/>
  <c r="BK154" i="76"/>
  <c r="BI845" i="76"/>
  <c r="BK288" i="76"/>
  <c r="AC204" i="76"/>
  <c r="BL1064" i="76"/>
  <c r="BK942" i="76"/>
  <c r="BJ823" i="76"/>
  <c r="Z238" i="76"/>
  <c r="BG145" i="76"/>
  <c r="Z648" i="76"/>
  <c r="Z95" i="76"/>
  <c r="BL1044" i="76"/>
  <c r="BJ1014" i="76"/>
  <c r="BG996" i="76"/>
  <c r="BL230" i="76"/>
  <c r="BG423" i="76"/>
  <c r="BL272" i="76"/>
  <c r="Z329" i="76"/>
  <c r="AE110" i="76"/>
  <c r="AD135" i="76"/>
  <c r="BK978" i="76"/>
  <c r="BK977" i="76"/>
  <c r="AD881" i="76"/>
  <c r="AD962" i="76"/>
  <c r="BG978" i="76"/>
  <c r="BK905" i="76"/>
  <c r="BL888" i="76"/>
  <c r="Z743" i="76"/>
  <c r="BL1063" i="76"/>
  <c r="AC570" i="76"/>
  <c r="BL77" i="76"/>
  <c r="BG513" i="76"/>
  <c r="BK294" i="76"/>
  <c r="AB467" i="76"/>
  <c r="AB293" i="76"/>
  <c r="BK884" i="76"/>
  <c r="BG347" i="76"/>
  <c r="BI441" i="76"/>
  <c r="BH537" i="76"/>
  <c r="BK312" i="76"/>
  <c r="AC478" i="76"/>
  <c r="AE100" i="76"/>
  <c r="BL855" i="76"/>
  <c r="BJ381" i="76"/>
  <c r="BI580" i="76"/>
  <c r="BH773" i="76"/>
  <c r="BG93" i="76"/>
  <c r="Z795" i="76"/>
  <c r="AD344" i="76"/>
  <c r="BJ861" i="76"/>
  <c r="BK730" i="76"/>
  <c r="BI374" i="76"/>
  <c r="AE726" i="76"/>
  <c r="Z104" i="76"/>
  <c r="BL594" i="76"/>
  <c r="BH520" i="76"/>
  <c r="BJ884" i="76"/>
  <c r="AC91" i="76"/>
  <c r="BH784" i="76"/>
  <c r="BJ403" i="76"/>
  <c r="BL464" i="76"/>
  <c r="BG166" i="76"/>
  <c r="BJ118" i="76"/>
  <c r="BG995" i="76"/>
  <c r="BI724" i="76"/>
  <c r="BJ379" i="76"/>
  <c r="BK299" i="76"/>
  <c r="BH548" i="76"/>
  <c r="AC901" i="76"/>
  <c r="BH441" i="76"/>
  <c r="BJ684" i="76"/>
  <c r="BK689" i="76"/>
  <c r="BH693" i="76"/>
  <c r="BH574" i="76"/>
  <c r="BG527" i="76"/>
  <c r="BH544" i="76"/>
  <c r="BH130" i="76"/>
  <c r="BG655" i="76"/>
  <c r="BK711" i="76"/>
  <c r="BG118" i="76"/>
  <c r="BL351" i="76"/>
  <c r="BG234" i="76"/>
  <c r="BH980" i="76"/>
  <c r="BL868" i="76"/>
  <c r="AC176" i="76"/>
  <c r="BK364" i="76"/>
  <c r="BH750" i="76"/>
  <c r="BJ672" i="76"/>
  <c r="BK215" i="76"/>
  <c r="BH525" i="76"/>
  <c r="BH995" i="76"/>
  <c r="BI264" i="76"/>
  <c r="BG822" i="76"/>
  <c r="BH963" i="76"/>
  <c r="BJ435" i="76"/>
  <c r="BK213" i="76"/>
  <c r="BH308" i="76"/>
  <c r="BI127" i="76"/>
  <c r="BI167" i="76"/>
  <c r="BI1050" i="76"/>
  <c r="BG142" i="76"/>
  <c r="BG502" i="76"/>
  <c r="BI738" i="76"/>
  <c r="BK548" i="76"/>
  <c r="BL846" i="76"/>
  <c r="BG777" i="76"/>
  <c r="AB171" i="76"/>
  <c r="BH492" i="76"/>
  <c r="BG697" i="76"/>
  <c r="BI91" i="76"/>
  <c r="BK695" i="76"/>
  <c r="BH712" i="76"/>
  <c r="BK764" i="76"/>
  <c r="BL589" i="76"/>
  <c r="AD996" i="76"/>
  <c r="BH479" i="76"/>
  <c r="BJ620" i="76"/>
  <c r="AA494" i="76"/>
  <c r="BG638" i="76"/>
  <c r="BH1020" i="76"/>
  <c r="BL720" i="76"/>
  <c r="BL215" i="76"/>
  <c r="BJ523" i="76"/>
  <c r="BH530" i="76"/>
  <c r="BK335" i="76"/>
  <c r="BG519" i="76"/>
  <c r="AD211" i="76"/>
  <c r="BK468" i="76"/>
  <c r="BG114" i="76"/>
  <c r="Z615" i="76"/>
  <c r="BG201" i="76"/>
  <c r="BI509" i="76"/>
  <c r="BI466" i="76"/>
  <c r="BG912" i="76"/>
  <c r="BL804" i="76"/>
  <c r="BK355" i="76"/>
  <c r="BL662" i="76"/>
  <c r="BH582" i="76"/>
  <c r="BI245" i="76"/>
  <c r="BI472" i="76"/>
  <c r="BK319" i="76"/>
  <c r="BG866" i="76"/>
  <c r="BK341" i="76"/>
  <c r="BG362" i="76"/>
  <c r="BL907" i="76"/>
  <c r="BJ752" i="76"/>
  <c r="AB969" i="76"/>
  <c r="BH1042" i="76"/>
  <c r="AB703" i="76"/>
  <c r="BI875" i="76"/>
  <c r="AA889" i="76"/>
  <c r="AD721" i="76"/>
  <c r="Z491" i="76"/>
  <c r="AA328" i="76"/>
  <c r="AC206" i="76"/>
  <c r="Z192" i="76"/>
  <c r="Z335" i="76"/>
  <c r="AE251" i="76"/>
  <c r="BK1064" i="76"/>
  <c r="BL466" i="76"/>
  <c r="AE648" i="76"/>
  <c r="Z507" i="76"/>
  <c r="BG990" i="76"/>
  <c r="BK392" i="76"/>
  <c r="AB726" i="76"/>
  <c r="AE157" i="76"/>
  <c r="BL931" i="76"/>
  <c r="BG931" i="76"/>
  <c r="BI799" i="76"/>
  <c r="BL117" i="76"/>
  <c r="AD716" i="76"/>
  <c r="AB352" i="76"/>
  <c r="AB316" i="76"/>
  <c r="AE130" i="76"/>
  <c r="BJ849" i="76"/>
  <c r="BK850" i="76"/>
  <c r="BK718" i="76"/>
  <c r="BH1007" i="76"/>
  <c r="AE574" i="76"/>
  <c r="AE346" i="76"/>
  <c r="BI973" i="76"/>
  <c r="BH374" i="76"/>
  <c r="AC600" i="76"/>
  <c r="AA146" i="76"/>
  <c r="AE194" i="76"/>
  <c r="AC211" i="76"/>
  <c r="AC941" i="76"/>
  <c r="Z83" i="76"/>
  <c r="Z556" i="76"/>
  <c r="AE159" i="76"/>
  <c r="AD310" i="76"/>
  <c r="BK849" i="76"/>
  <c r="AC561" i="76"/>
  <c r="AD128" i="76"/>
  <c r="BI1026" i="76"/>
  <c r="BH776" i="76"/>
  <c r="AB704" i="76"/>
  <c r="AB577" i="76"/>
  <c r="BI941" i="76"/>
  <c r="BJ1066" i="76"/>
  <c r="BK554" i="76"/>
  <c r="BH756" i="76"/>
  <c r="AD715" i="76"/>
  <c r="AE532" i="76"/>
  <c r="AB201" i="76"/>
  <c r="AC307" i="76"/>
  <c r="AC84" i="76"/>
  <c r="BG976" i="76"/>
  <c r="BH472" i="76"/>
  <c r="BJ675" i="76"/>
  <c r="AA530" i="76"/>
  <c r="AD96" i="76"/>
  <c r="BG1011" i="76"/>
  <c r="AE997" i="76"/>
  <c r="Z357" i="76"/>
  <c r="Z637" i="76"/>
  <c r="AE635" i="76"/>
  <c r="AB111" i="76"/>
  <c r="AA554" i="76"/>
  <c r="AB309" i="76"/>
  <c r="AE363" i="76"/>
  <c r="AC447" i="76"/>
  <c r="AB183" i="76"/>
  <c r="BJ519" i="76"/>
  <c r="Z200" i="76"/>
  <c r="BG1057" i="76"/>
  <c r="BK1061" i="76"/>
  <c r="AE957" i="76"/>
  <c r="AD354" i="76"/>
  <c r="AB125" i="76"/>
  <c r="BK992" i="76"/>
  <c r="Z153" i="76"/>
  <c r="BI393" i="76"/>
  <c r="BH596" i="76"/>
  <c r="AA681" i="76"/>
  <c r="AE358" i="76"/>
  <c r="AE145" i="76"/>
  <c r="Z371" i="76"/>
  <c r="BH910" i="76"/>
  <c r="BG1068" i="76"/>
  <c r="BL312" i="76"/>
  <c r="BJ515" i="76"/>
  <c r="AD206" i="76"/>
  <c r="BG1061" i="76"/>
  <c r="BH939" i="76"/>
  <c r="AB836" i="76"/>
  <c r="AC611" i="76"/>
  <c r="AB381" i="76"/>
  <c r="Z382" i="76"/>
  <c r="AA130" i="76"/>
  <c r="AB461" i="76"/>
  <c r="AB526" i="76"/>
  <c r="AB318" i="76"/>
  <c r="BJ1056" i="76"/>
  <c r="BG668" i="76"/>
  <c r="AE948" i="76"/>
  <c r="AE299" i="76"/>
  <c r="BL983" i="76"/>
  <c r="BI595" i="76"/>
  <c r="AA689" i="76"/>
  <c r="AB439" i="76"/>
  <c r="BI1048" i="76"/>
  <c r="BL1048" i="76"/>
  <c r="BL994" i="76"/>
  <c r="BJ234" i="76"/>
  <c r="Z1065" i="76"/>
  <c r="AC528" i="76"/>
  <c r="Z314" i="76"/>
  <c r="AB91" i="76"/>
  <c r="BK967" i="76"/>
  <c r="BH966" i="76"/>
  <c r="BH835" i="76"/>
  <c r="BL153" i="76"/>
  <c r="AB619" i="76"/>
  <c r="AD321" i="76"/>
  <c r="BH997" i="76"/>
  <c r="BK610" i="76"/>
  <c r="AA865" i="76"/>
  <c r="AC404" i="76"/>
  <c r="Z430" i="76"/>
  <c r="Z280" i="76"/>
  <c r="BK754" i="76"/>
  <c r="AB244" i="76"/>
  <c r="BG680" i="76"/>
  <c r="AD317" i="76"/>
  <c r="AE273" i="76"/>
  <c r="BK277" i="76"/>
  <c r="AD705" i="76"/>
  <c r="Z176" i="76"/>
  <c r="BJ1009" i="76"/>
  <c r="BH195" i="76"/>
  <c r="AE775" i="76"/>
  <c r="AD230" i="76"/>
  <c r="Z70" i="76"/>
  <c r="AD212" i="76"/>
  <c r="BG938" i="76"/>
  <c r="Z736" i="76"/>
  <c r="AE123" i="76"/>
  <c r="Z732" i="76"/>
  <c r="BG973" i="76"/>
  <c r="BJ842" i="76"/>
  <c r="AE870" i="76"/>
  <c r="AB454" i="76"/>
  <c r="BK892" i="76"/>
  <c r="BG760" i="76"/>
  <c r="AD669" i="76"/>
  <c r="BG1058" i="76"/>
  <c r="BL514" i="76"/>
  <c r="BG705" i="76"/>
  <c r="BL977" i="76"/>
  <c r="BK219" i="76"/>
  <c r="BK592" i="76"/>
  <c r="AB255" i="76"/>
  <c r="AB856" i="76"/>
  <c r="AE89" i="76"/>
  <c r="AC921" i="76"/>
  <c r="AB949" i="76"/>
  <c r="BH1034" i="76"/>
  <c r="AE515" i="76"/>
  <c r="BJ961" i="76"/>
  <c r="AC454" i="76"/>
  <c r="Z73" i="76"/>
  <c r="BK682" i="76"/>
  <c r="Z576" i="76"/>
  <c r="AA308" i="76"/>
  <c r="BJ988" i="76"/>
  <c r="BG600" i="76"/>
  <c r="AA493" i="76"/>
  <c r="BH954" i="76"/>
  <c r="BJ432" i="76"/>
  <c r="BK631" i="76"/>
  <c r="BI824" i="76"/>
  <c r="BI144" i="76"/>
  <c r="Z773" i="76"/>
  <c r="AC247" i="76"/>
  <c r="AD619" i="76"/>
  <c r="AB168" i="76"/>
  <c r="Z524" i="76"/>
  <c r="Z819" i="76"/>
  <c r="BK1025" i="76"/>
  <c r="Z697" i="76"/>
  <c r="BI1031" i="76"/>
  <c r="AE408" i="76"/>
  <c r="BI909" i="76"/>
  <c r="BK522" i="76"/>
  <c r="AC620" i="76"/>
  <c r="AB134" i="76"/>
  <c r="BG1038" i="76"/>
  <c r="BI440" i="76"/>
  <c r="AB723" i="76"/>
  <c r="BI1039" i="76"/>
  <c r="BK357" i="76"/>
  <c r="BI556" i="76"/>
  <c r="BH749" i="76"/>
  <c r="BG69" i="76"/>
  <c r="AC750" i="76"/>
  <c r="AD503" i="76"/>
  <c r="BL1043" i="76"/>
  <c r="BI655" i="76"/>
  <c r="BK337" i="76"/>
  <c r="BI536" i="76"/>
  <c r="BH729" i="76"/>
  <c r="AA371" i="76"/>
  <c r="AB831" i="76"/>
  <c r="AD405" i="76"/>
  <c r="BL1023" i="76"/>
  <c r="BI635" i="76"/>
  <c r="Z476" i="76"/>
  <c r="AA100" i="76"/>
  <c r="AB940" i="76"/>
  <c r="AB855" i="76"/>
  <c r="BH991" i="76"/>
  <c r="AB275" i="76"/>
  <c r="BJ1006" i="76"/>
  <c r="AE95" i="76"/>
  <c r="BG303" i="76"/>
  <c r="BH88" i="76"/>
  <c r="BJ526" i="76"/>
  <c r="Z340" i="76"/>
  <c r="BK1040" i="76"/>
  <c r="BI250" i="76"/>
  <c r="BH1039" i="76"/>
  <c r="BJ143" i="76"/>
  <c r="BG241" i="76"/>
  <c r="AC958" i="76"/>
  <c r="AD334" i="76"/>
  <c r="BK1020" i="76"/>
  <c r="BJ230" i="76"/>
  <c r="BK114" i="76"/>
  <c r="BH315" i="76"/>
  <c r="BL507" i="76"/>
  <c r="BL446" i="76"/>
  <c r="AC711" i="76"/>
  <c r="AD178" i="76"/>
  <c r="BH1010" i="76"/>
  <c r="BL197" i="76"/>
  <c r="BI107" i="76"/>
  <c r="Z1049" i="76"/>
  <c r="AC238" i="76"/>
  <c r="AE334" i="76"/>
  <c r="Z291" i="76"/>
  <c r="AD401" i="76"/>
  <c r="BL618" i="76"/>
  <c r="Z177" i="76"/>
  <c r="BH536" i="76"/>
  <c r="BG524" i="76"/>
  <c r="BK663" i="76"/>
  <c r="BJ441" i="76"/>
  <c r="AB670" i="76"/>
  <c r="Z106" i="76"/>
  <c r="BG1007" i="76"/>
  <c r="BJ444" i="76"/>
  <c r="BK547" i="76"/>
  <c r="BH633" i="76"/>
  <c r="BL509" i="76"/>
  <c r="AD415" i="76"/>
  <c r="AA476" i="76"/>
  <c r="BH987" i="76"/>
  <c r="BK467" i="76"/>
  <c r="BG665" i="76"/>
  <c r="BL862" i="76"/>
  <c r="BK179" i="76"/>
  <c r="AE1000" i="76"/>
  <c r="AA543" i="76"/>
  <c r="BI1032" i="76"/>
  <c r="BG951" i="76"/>
  <c r="BI460" i="76"/>
  <c r="AC387" i="76"/>
  <c r="Z327" i="76"/>
  <c r="BG390" i="76"/>
  <c r="BJ317" i="76"/>
  <c r="BH899" i="76"/>
  <c r="BL775" i="76"/>
  <c r="BG346" i="76"/>
  <c r="BL659" i="76"/>
  <c r="BH230" i="76"/>
  <c r="BK69" i="76"/>
  <c r="BJ790" i="76"/>
  <c r="BL294" i="76"/>
  <c r="Z127" i="76"/>
  <c r="BH455" i="76"/>
  <c r="BH217" i="76"/>
  <c r="BK95" i="76"/>
  <c r="BK243" i="76"/>
  <c r="BI327" i="76"/>
  <c r="BG250" i="76"/>
  <c r="BI582" i="76"/>
  <c r="BJ420" i="76"/>
  <c r="BG410" i="76"/>
  <c r="BL320" i="76"/>
  <c r="BK97" i="76"/>
  <c r="AD846" i="76"/>
  <c r="AB499" i="76"/>
  <c r="BI1002" i="76"/>
  <c r="BJ490" i="76"/>
  <c r="BL933" i="76"/>
  <c r="BI390" i="76"/>
  <c r="BI802" i="76"/>
  <c r="BL285" i="76"/>
  <c r="BH133" i="76"/>
  <c r="BK703" i="76"/>
  <c r="BK437" i="76"/>
  <c r="BJ350" i="76"/>
  <c r="BG570" i="76"/>
  <c r="BK785" i="76"/>
  <c r="BI901" i="76"/>
  <c r="BH158" i="76"/>
  <c r="BJ436" i="76"/>
  <c r="BK456" i="76"/>
  <c r="BJ565" i="76"/>
  <c r="BK773" i="76"/>
  <c r="BH578" i="76"/>
  <c r="BL981" i="76"/>
  <c r="AC113" i="76"/>
  <c r="BL263" i="76"/>
  <c r="BH235" i="76"/>
  <c r="BI1059" i="76"/>
  <c r="BH298" i="76"/>
  <c r="AE1012" i="76"/>
  <c r="BL693" i="76"/>
  <c r="BL1008" i="76"/>
  <c r="BJ456" i="76"/>
  <c r="BJ950" i="76"/>
  <c r="BL186" i="76"/>
  <c r="BJ163" i="76"/>
  <c r="Z246" i="76"/>
  <c r="BK72" i="76"/>
  <c r="BI277" i="76"/>
  <c r="BG355" i="76"/>
  <c r="BH771" i="76"/>
  <c r="BG277" i="76"/>
  <c r="BJ902" i="76"/>
  <c r="BG758" i="76"/>
  <c r="BL1053" i="76"/>
  <c r="BK781" i="76"/>
  <c r="BL660" i="76"/>
  <c r="BG709" i="76"/>
  <c r="BG591" i="76"/>
  <c r="BG242" i="76"/>
  <c r="BH178" i="76"/>
  <c r="BL940" i="76"/>
  <c r="BI361" i="76"/>
  <c r="BI446" i="76"/>
  <c r="BH1067" i="76"/>
  <c r="BG554" i="76"/>
  <c r="BI344" i="76"/>
  <c r="BL903" i="76"/>
  <c r="BI354" i="76"/>
  <c r="BJ128" i="76"/>
  <c r="BG751" i="76"/>
  <c r="BK238" i="76"/>
  <c r="BK141" i="76"/>
  <c r="BK645" i="76"/>
  <c r="BK130" i="76"/>
  <c r="BJ156" i="76"/>
  <c r="BG511" i="76"/>
  <c r="BH904" i="76"/>
  <c r="BI753" i="76"/>
  <c r="BK353" i="76"/>
  <c r="BK413" i="76"/>
  <c r="AC626" i="76"/>
  <c r="BG804" i="76"/>
  <c r="BJ1040" i="76"/>
  <c r="Z539" i="76"/>
  <c r="Z878" i="76"/>
  <c r="AA537" i="76"/>
  <c r="AA414" i="76"/>
  <c r="AB530" i="76"/>
  <c r="AC305" i="76"/>
  <c r="AC377" i="76"/>
  <c r="AA212" i="76"/>
  <c r="AC251" i="76"/>
  <c r="BJ1024" i="76"/>
  <c r="BG636" i="76"/>
  <c r="AA644" i="76"/>
  <c r="AE235" i="76"/>
  <c r="BL951" i="76"/>
  <c r="BI563" i="76"/>
  <c r="AC804" i="76"/>
  <c r="AE252" i="76"/>
  <c r="BI1016" i="76"/>
  <c r="BL1016" i="76"/>
  <c r="BJ899" i="76"/>
  <c r="BJ202" i="76"/>
  <c r="AB760" i="76"/>
  <c r="AA815" i="76"/>
  <c r="AE246" i="76"/>
  <c r="AC406" i="76"/>
  <c r="BL935" i="76"/>
  <c r="BG935" i="76"/>
  <c r="BI803" i="76"/>
  <c r="BL121" i="76"/>
  <c r="AB793" i="76"/>
  <c r="AA197" i="76"/>
  <c r="BI933" i="76"/>
  <c r="BK546" i="76"/>
  <c r="AA669" i="76"/>
  <c r="AD130" i="76"/>
  <c r="AD356" i="76"/>
  <c r="AA470" i="76"/>
  <c r="AB774" i="76"/>
  <c r="AC280" i="76"/>
  <c r="Z740" i="76"/>
  <c r="AB542" i="76"/>
  <c r="BJ949" i="76"/>
  <c r="BH135" i="76"/>
  <c r="AB424" i="76"/>
  <c r="AA187" i="76"/>
  <c r="BG876" i="76"/>
  <c r="BG991" i="76"/>
  <c r="AD545" i="76"/>
  <c r="AD308" i="76"/>
  <c r="BL1027" i="76"/>
  <c r="AD103" i="76"/>
  <c r="BI639" i="76"/>
  <c r="BK842" i="76"/>
  <c r="AC623" i="76"/>
  <c r="AA506" i="76"/>
  <c r="AC224" i="76"/>
  <c r="AB775" i="76"/>
  <c r="BI945" i="76"/>
  <c r="AB133" i="76"/>
  <c r="BK558" i="76"/>
  <c r="BH760" i="76"/>
  <c r="AD403" i="76"/>
  <c r="AC167" i="76"/>
  <c r="BK870" i="76"/>
  <c r="Z901" i="76"/>
  <c r="AC842" i="76"/>
  <c r="AA929" i="76"/>
  <c r="AC928" i="76"/>
  <c r="AA191" i="76"/>
  <c r="AE526" i="76"/>
  <c r="Z735" i="76"/>
  <c r="AE507" i="76"/>
  <c r="AA463" i="76"/>
  <c r="BI1007" i="76"/>
  <c r="BL690" i="76"/>
  <c r="AC385" i="76"/>
  <c r="AB394" i="76"/>
  <c r="BH867" i="76"/>
  <c r="BH616" i="76"/>
  <c r="Z457" i="76"/>
  <c r="AB355" i="76"/>
  <c r="AA141" i="76"/>
  <c r="BI991" i="76"/>
  <c r="BJ479" i="76"/>
  <c r="BL682" i="76"/>
  <c r="AA694" i="76"/>
  <c r="AC353" i="76"/>
  <c r="Z587" i="76"/>
  <c r="AD164" i="76"/>
  <c r="BK996" i="76"/>
  <c r="BL847" i="76"/>
  <c r="BH397" i="76"/>
  <c r="BH600" i="76"/>
  <c r="AA390" i="76"/>
  <c r="AE468" i="76"/>
  <c r="BK871" i="76"/>
  <c r="AE974" i="76"/>
  <c r="AB882" i="76"/>
  <c r="AC569" i="76"/>
  <c r="AC629" i="76"/>
  <c r="AA424" i="76"/>
  <c r="AA397" i="76"/>
  <c r="AE858" i="76"/>
  <c r="AC337" i="76"/>
  <c r="BK971" i="76"/>
  <c r="BH839" i="76"/>
  <c r="Z914" i="76"/>
  <c r="AA472" i="76"/>
  <c r="BI897" i="76"/>
  <c r="BK766" i="76"/>
  <c r="AB930" i="76"/>
  <c r="AD267" i="76"/>
  <c r="AB672" i="76"/>
  <c r="BJ917" i="76"/>
  <c r="AA125" i="76"/>
  <c r="BH318" i="76"/>
  <c r="BL522" i="76"/>
  <c r="AD623" i="76"/>
  <c r="AD190" i="76"/>
  <c r="Z344" i="76"/>
  <c r="BI1052" i="76"/>
  <c r="BL1052" i="76"/>
  <c r="BJ1027" i="76"/>
  <c r="BJ238" i="76"/>
  <c r="AD863" i="76"/>
  <c r="AD552" i="76"/>
  <c r="BJ912" i="76"/>
  <c r="BG780" i="76"/>
  <c r="AD612" i="76"/>
  <c r="AE694" i="76"/>
  <c r="AC679" i="76"/>
  <c r="AD387" i="76"/>
  <c r="BL865" i="76"/>
  <c r="Z456" i="76"/>
  <c r="BI927" i="76"/>
  <c r="Z244" i="76"/>
  <c r="BI1045" i="76"/>
  <c r="BJ447" i="76"/>
  <c r="AB551" i="76"/>
  <c r="Z295" i="76"/>
  <c r="BK964" i="76"/>
  <c r="BJ365" i="76"/>
  <c r="AD943" i="76"/>
  <c r="AB762" i="76"/>
  <c r="AE150" i="76"/>
  <c r="AB274" i="76"/>
  <c r="BI1024" i="76"/>
  <c r="AB864" i="76"/>
  <c r="BK951" i="76"/>
  <c r="AC769" i="76"/>
  <c r="AD143" i="76"/>
  <c r="BG920" i="76"/>
  <c r="BH532" i="76"/>
  <c r="AB211" i="76"/>
  <c r="BK1063" i="76"/>
  <c r="BG940" i="76"/>
  <c r="AC940" i="76"/>
  <c r="BH933" i="76"/>
  <c r="BH684" i="76"/>
  <c r="BK791" i="76"/>
  <c r="BL110" i="76"/>
  <c r="BG304" i="76"/>
  <c r="BI761" i="76"/>
  <c r="AE440" i="76"/>
  <c r="AD570" i="76"/>
  <c r="AB283" i="76"/>
  <c r="AD116" i="76"/>
  <c r="AE289" i="76"/>
  <c r="BH949" i="76"/>
  <c r="AA797" i="76"/>
  <c r="AB212" i="76"/>
  <c r="AD926" i="76"/>
  <c r="BI984" i="76"/>
  <c r="BH860" i="76"/>
  <c r="Z1030" i="76"/>
  <c r="AB498" i="76"/>
  <c r="BG902" i="76"/>
  <c r="BI771" i="76"/>
  <c r="Z744" i="76"/>
  <c r="AE155" i="76"/>
  <c r="BJ535" i="76"/>
  <c r="BI716" i="76"/>
  <c r="BL1005" i="76"/>
  <c r="BG229" i="76"/>
  <c r="BG610" i="76"/>
  <c r="AD298" i="76"/>
  <c r="AE864" i="76"/>
  <c r="AE189" i="76"/>
  <c r="AA779" i="76"/>
  <c r="Z734" i="76"/>
  <c r="BJ1045" i="76"/>
  <c r="AC544" i="76"/>
  <c r="BL972" i="76"/>
  <c r="AC485" i="76"/>
  <c r="AD151" i="76"/>
  <c r="BG692" i="76"/>
  <c r="BK1018" i="76"/>
  <c r="BH583" i="76"/>
  <c r="BG239" i="76"/>
  <c r="BH524" i="76"/>
  <c r="BK611" i="76"/>
  <c r="BG233" i="76"/>
  <c r="BL84" i="76"/>
  <c r="AC304" i="76"/>
  <c r="BJ944" i="76"/>
  <c r="Z154" i="76"/>
  <c r="BK668" i="76"/>
  <c r="BL671" i="76"/>
  <c r="AE161" i="76"/>
  <c r="BH918" i="76"/>
  <c r="BH105" i="76"/>
  <c r="BK616" i="76"/>
  <c r="BJ345" i="76"/>
  <c r="BG830" i="76"/>
  <c r="BJ945" i="76"/>
  <c r="BG729" i="76"/>
  <c r="BL235" i="76"/>
  <c r="BJ88" i="76"/>
  <c r="BJ266" i="76"/>
  <c r="BG237" i="76"/>
  <c r="AA223" i="76"/>
  <c r="BI258" i="76"/>
  <c r="BK256" i="76"/>
  <c r="BI727" i="76"/>
  <c r="BL555" i="76"/>
  <c r="BI193" i="76"/>
  <c r="BK203" i="76"/>
  <c r="AB378" i="76"/>
  <c r="BJ754" i="76"/>
  <c r="BL448" i="76"/>
  <c r="BL151" i="76"/>
  <c r="BI148" i="76"/>
  <c r="BG174" i="76"/>
  <c r="BI336" i="76"/>
  <c r="BH782" i="76"/>
  <c r="BH297" i="76"/>
  <c r="BG594" i="76"/>
  <c r="BL174" i="76"/>
  <c r="BH513" i="76"/>
  <c r="BL508" i="76"/>
  <c r="BG586" i="76"/>
  <c r="BH205" i="76"/>
  <c r="BL321" i="76"/>
  <c r="BG349" i="76"/>
  <c r="BJ194" i="76"/>
  <c r="BH212" i="76"/>
  <c r="BK211" i="76"/>
  <c r="BH591" i="76"/>
  <c r="BJ504" i="76"/>
  <c r="BJ735" i="76"/>
  <c r="BL326" i="76"/>
  <c r="BJ758" i="76"/>
  <c r="BI878" i="76"/>
  <c r="AC655" i="76"/>
  <c r="BJ399" i="76"/>
  <c r="BH446" i="76"/>
  <c r="AA346" i="76"/>
  <c r="BL242" i="76"/>
  <c r="BJ706" i="76"/>
  <c r="AB389" i="76"/>
  <c r="BH984" i="76"/>
  <c r="BH177" i="76"/>
  <c r="AE282" i="76"/>
  <c r="BI554" i="76"/>
  <c r="BI179" i="76"/>
  <c r="BI189" i="76"/>
  <c r="BL1066" i="76"/>
  <c r="BL826" i="76"/>
  <c r="BK661" i="76"/>
  <c r="BJ256" i="76"/>
  <c r="BJ185" i="76"/>
  <c r="BG553" i="76"/>
  <c r="BH166" i="76"/>
  <c r="BL72" i="76"/>
  <c r="BG438" i="76"/>
  <c r="BH142" i="76"/>
  <c r="BK801" i="76"/>
  <c r="BH331" i="76"/>
  <c r="R18" i="76"/>
  <c r="BI538" i="76"/>
  <c r="BH200" i="76"/>
  <c r="AE802" i="76"/>
  <c r="BG637" i="76"/>
  <c r="BL248" i="76"/>
  <c r="AA440" i="76"/>
  <c r="BG315" i="76"/>
  <c r="BI143" i="76"/>
  <c r="AB101" i="76"/>
  <c r="AE914" i="76"/>
  <c r="AE1039" i="76"/>
  <c r="Z497" i="76"/>
  <c r="AD339" i="76"/>
  <c r="AC144" i="76"/>
  <c r="Z605" i="76"/>
  <c r="AA208" i="76"/>
  <c r="AB486" i="76"/>
  <c r="BL939" i="76"/>
  <c r="BH807" i="76"/>
  <c r="AA843" i="76"/>
  <c r="AE357" i="76"/>
  <c r="BJ865" i="76"/>
  <c r="BK734" i="76"/>
  <c r="AB785" i="76"/>
  <c r="AC533" i="76"/>
  <c r="AC92" i="76"/>
  <c r="BL885" i="76"/>
  <c r="BH1031" i="76"/>
  <c r="BH286" i="76"/>
  <c r="Z959" i="76"/>
  <c r="AC822" i="76"/>
  <c r="AA479" i="76"/>
  <c r="AC207" i="76"/>
  <c r="BI1020" i="76"/>
  <c r="BL1020" i="76"/>
  <c r="BK907" i="76"/>
  <c r="BJ206" i="76"/>
  <c r="AD696" i="76"/>
  <c r="AA312" i="76"/>
  <c r="AB649" i="76"/>
  <c r="BG716" i="76"/>
  <c r="AD990" i="76"/>
  <c r="AE231" i="76"/>
  <c r="Z163" i="76"/>
  <c r="AA276" i="76"/>
  <c r="AA842" i="76"/>
  <c r="AC443" i="76"/>
  <c r="AC923" i="76"/>
  <c r="AA319" i="76"/>
  <c r="BG903" i="76"/>
  <c r="BJ305" i="76"/>
  <c r="AB601" i="76"/>
  <c r="AA303" i="76"/>
  <c r="BH1046" i="76"/>
  <c r="BL233" i="76"/>
  <c r="AA545" i="76"/>
  <c r="AB103" i="76"/>
  <c r="BL856" i="76"/>
  <c r="BG856" i="76"/>
  <c r="BG724" i="76"/>
  <c r="BH1036" i="76"/>
  <c r="AA691" i="76"/>
  <c r="AD454" i="76"/>
  <c r="AB438" i="76"/>
  <c r="AA145" i="76"/>
  <c r="BL1031" i="76"/>
  <c r="AB209" i="76"/>
  <c r="BI643" i="76"/>
  <c r="BG846" i="76"/>
  <c r="AA572" i="76"/>
  <c r="AA271" i="76"/>
  <c r="BL1040" i="76"/>
  <c r="BJ226" i="76"/>
  <c r="AE611" i="76"/>
  <c r="Z74" i="76"/>
  <c r="AA106" i="76"/>
  <c r="AC320" i="76"/>
  <c r="AA625" i="76"/>
  <c r="AD137" i="76"/>
  <c r="AA592" i="76"/>
  <c r="AA215" i="76"/>
  <c r="AD185" i="76"/>
  <c r="BJ866" i="76"/>
  <c r="AB625" i="76"/>
  <c r="AB169" i="76"/>
  <c r="BK1049" i="76"/>
  <c r="BJ787" i="76"/>
  <c r="AB385" i="76"/>
  <c r="AD88" i="76"/>
  <c r="BJ952" i="76"/>
  <c r="BK1009" i="76"/>
  <c r="BG564" i="76"/>
  <c r="BJ767" i="76"/>
  <c r="AB759" i="76"/>
  <c r="AB578" i="76"/>
  <c r="AC227" i="76"/>
  <c r="AB415" i="76"/>
  <c r="AA173" i="76"/>
  <c r="BI999" i="76"/>
  <c r="BJ483" i="76"/>
  <c r="BL686" i="76"/>
  <c r="AD648" i="76"/>
  <c r="Z178" i="76"/>
  <c r="BK1057" i="76"/>
  <c r="AC1050" i="76"/>
  <c r="Z593" i="76"/>
  <c r="AD651" i="76"/>
  <c r="AC648" i="76"/>
  <c r="AD122" i="76"/>
  <c r="AB600" i="76"/>
  <c r="AE317" i="76"/>
  <c r="AC412" i="76"/>
  <c r="Z113" i="76"/>
  <c r="BG916" i="76"/>
  <c r="BL530" i="76"/>
  <c r="AD222" i="76"/>
  <c r="BI1068" i="76"/>
  <c r="BJ946" i="76"/>
  <c r="Z1058" i="76"/>
  <c r="AD386" i="76"/>
  <c r="AB205" i="76"/>
  <c r="BG1002" i="76"/>
  <c r="BG854" i="76"/>
  <c r="BJ404" i="76"/>
  <c r="BJ607" i="76"/>
  <c r="AE778" i="76"/>
  <c r="AA395" i="76"/>
  <c r="AC166" i="76"/>
  <c r="AD95" i="76"/>
  <c r="BJ921" i="76"/>
  <c r="AB329" i="76"/>
  <c r="BH322" i="76"/>
  <c r="BL526" i="76"/>
  <c r="Z248" i="76"/>
  <c r="AE172" i="76"/>
  <c r="BJ958" i="76"/>
  <c r="Z817" i="76"/>
  <c r="AE406" i="76"/>
  <c r="AD725" i="76"/>
  <c r="AD885" i="76"/>
  <c r="BK886" i="76"/>
  <c r="Z599" i="76"/>
  <c r="AE305" i="76"/>
  <c r="AE371" i="76"/>
  <c r="BH1005" i="76"/>
  <c r="BK618" i="76"/>
  <c r="AA740" i="76"/>
  <c r="Z977" i="76"/>
  <c r="BK924" i="76"/>
  <c r="BG536" i="76"/>
  <c r="AB1047" i="76"/>
  <c r="AC463" i="76"/>
  <c r="AC439" i="76"/>
  <c r="AE169" i="76"/>
  <c r="AE490" i="76"/>
  <c r="BL754" i="76"/>
  <c r="Z348" i="76"/>
  <c r="BH680" i="76"/>
  <c r="AE96" i="76"/>
  <c r="BG1032" i="76"/>
  <c r="BJ703" i="76"/>
  <c r="AE396" i="76"/>
  <c r="AA590" i="76"/>
  <c r="BG873" i="76"/>
  <c r="BL622" i="76"/>
  <c r="Z218" i="76"/>
  <c r="BG858" i="76"/>
  <c r="BL891" i="76"/>
  <c r="BJ195" i="76"/>
  <c r="BL389" i="76"/>
  <c r="BK177" i="76"/>
  <c r="AE383" i="76"/>
  <c r="AC1051" i="76"/>
  <c r="AB559" i="76"/>
  <c r="AA160" i="76"/>
  <c r="AE310" i="76"/>
  <c r="BK1035" i="76"/>
  <c r="AA1053" i="76"/>
  <c r="BG961" i="76"/>
  <c r="AE840" i="76"/>
  <c r="AA258" i="76"/>
  <c r="BI928" i="76"/>
  <c r="BJ543" i="76"/>
  <c r="Z232" i="76"/>
  <c r="AC101" i="76"/>
  <c r="BH951" i="76"/>
  <c r="Z893" i="76"/>
  <c r="BK955" i="76"/>
  <c r="BL706" i="76"/>
  <c r="BG801" i="76"/>
  <c r="BH120" i="76"/>
  <c r="BI315" i="76"/>
  <c r="BK784" i="76"/>
  <c r="AD500" i="76"/>
  <c r="AA731" i="76"/>
  <c r="AC434" i="76"/>
  <c r="AA571" i="76"/>
  <c r="Z451" i="76"/>
  <c r="BJ960" i="76"/>
  <c r="AC929" i="76"/>
  <c r="Z729" i="76"/>
  <c r="AA581" i="76"/>
  <c r="BK995" i="76"/>
  <c r="BK876" i="76"/>
  <c r="AA882" i="76"/>
  <c r="Z574" i="76"/>
  <c r="BH913" i="76"/>
  <c r="BK782" i="76"/>
  <c r="AD635" i="76"/>
  <c r="BG891" i="76"/>
  <c r="BH556" i="76"/>
  <c r="BK727" i="76"/>
  <c r="AA110" i="76"/>
  <c r="BI240" i="76"/>
  <c r="BI633" i="76"/>
  <c r="AA360" i="76"/>
  <c r="AC383" i="76"/>
  <c r="AB69" i="76"/>
  <c r="BH516" i="76"/>
  <c r="BK707" i="76"/>
  <c r="BG980" i="76"/>
  <c r="BI220" i="76"/>
  <c r="BI593" i="76"/>
  <c r="Z300" i="76"/>
  <c r="AE147" i="76"/>
  <c r="BL1061" i="76"/>
  <c r="AA976" i="76"/>
  <c r="AD319" i="76"/>
  <c r="BL1058" i="76"/>
  <c r="BL859" i="76"/>
  <c r="BK960" i="76"/>
  <c r="AE550" i="76"/>
  <c r="AD433" i="76"/>
  <c r="Z350" i="76"/>
  <c r="BL642" i="76"/>
  <c r="BH355" i="76"/>
  <c r="BG165" i="76"/>
  <c r="AE763" i="76"/>
  <c r="BK979" i="76"/>
  <c r="BK634" i="76"/>
  <c r="BK230" i="76"/>
  <c r="BH335" i="76"/>
  <c r="BL432" i="76"/>
  <c r="BH825" i="76"/>
  <c r="AE449" i="76"/>
  <c r="BK959" i="76"/>
  <c r="BK614" i="76"/>
  <c r="BK285" i="76"/>
  <c r="BJ484" i="76"/>
  <c r="BH677" i="76"/>
  <c r="BL789" i="76"/>
  <c r="AC748" i="76"/>
  <c r="AE183" i="76"/>
  <c r="BI925" i="76"/>
  <c r="BK538" i="76"/>
  <c r="BJ278" i="76"/>
  <c r="BH477" i="76"/>
  <c r="AC774" i="76"/>
  <c r="AA655" i="76"/>
  <c r="AA344" i="76"/>
  <c r="AD830" i="76"/>
  <c r="BL415" i="76"/>
  <c r="AE192" i="76"/>
  <c r="BJ333" i="76"/>
  <c r="BH887" i="76"/>
  <c r="BJ840" i="76"/>
  <c r="BL707" i="76"/>
  <c r="BG738" i="76"/>
  <c r="AA194" i="76"/>
  <c r="BJ894" i="76"/>
  <c r="BH772" i="76"/>
  <c r="BK739" i="76"/>
  <c r="BI836" i="76"/>
  <c r="BJ903" i="76"/>
  <c r="AE627" i="76"/>
  <c r="Z427" i="76"/>
  <c r="BK874" i="76"/>
  <c r="BL774" i="76"/>
  <c r="BJ835" i="76"/>
  <c r="BJ155" i="76"/>
  <c r="BK350" i="76"/>
  <c r="BI870" i="76"/>
  <c r="AD507" i="76"/>
  <c r="AA813" i="76"/>
  <c r="AA192" i="76"/>
  <c r="BL762" i="76"/>
  <c r="AC786" i="76"/>
  <c r="AA887" i="76"/>
  <c r="BI989" i="76"/>
  <c r="BL916" i="76"/>
  <c r="BG898" i="76"/>
  <c r="BK170" i="76"/>
  <c r="BL944" i="76"/>
  <c r="BI128" i="76"/>
  <c r="BH371" i="76"/>
  <c r="BK700" i="76"/>
  <c r="BI183" i="76"/>
  <c r="BH87" i="76"/>
  <c r="BL343" i="76"/>
  <c r="BK428" i="76"/>
  <c r="BH662" i="76"/>
  <c r="BG162" i="76"/>
  <c r="BK615" i="76"/>
  <c r="BG725" i="76"/>
  <c r="BH305" i="76"/>
  <c r="BK164" i="76"/>
  <c r="BJ527" i="76"/>
  <c r="BG494" i="76"/>
  <c r="BH108" i="76"/>
  <c r="BK544" i="76"/>
  <c r="AA654" i="76"/>
  <c r="BI959" i="76"/>
  <c r="AB858" i="76"/>
  <c r="BI209" i="76"/>
  <c r="BH204" i="76"/>
  <c r="BK183" i="76"/>
  <c r="AB321" i="76"/>
  <c r="BJ935" i="76"/>
  <c r="BH566" i="76"/>
  <c r="Z616" i="76"/>
  <c r="BJ261" i="76"/>
  <c r="BG1044" i="76"/>
  <c r="BL806" i="76"/>
  <c r="BG479" i="76"/>
  <c r="BI404" i="76"/>
  <c r="BI709" i="76"/>
  <c r="BJ832" i="76"/>
  <c r="BL970" i="76"/>
  <c r="BL973" i="76"/>
  <c r="BJ634" i="76"/>
  <c r="AD213" i="76"/>
  <c r="BK478" i="76"/>
  <c r="BL159" i="76"/>
  <c r="BL1051" i="76"/>
  <c r="AB594" i="76"/>
  <c r="BK1010" i="76"/>
  <c r="AA705" i="76"/>
  <c r="AB547" i="76"/>
  <c r="AD99" i="76"/>
  <c r="AC816" i="76"/>
  <c r="Z500" i="76"/>
  <c r="BH1064" i="76"/>
  <c r="AC522" i="76"/>
  <c r="AE711" i="76"/>
  <c r="AB610" i="76"/>
  <c r="BG930" i="76"/>
  <c r="BI543" i="76"/>
  <c r="AE680" i="76"/>
  <c r="AD177" i="76"/>
  <c r="BK1060" i="76"/>
  <c r="BL462" i="76"/>
  <c r="AC465" i="76"/>
  <c r="BJ1050" i="76"/>
  <c r="AE823" i="76"/>
  <c r="AD407" i="76"/>
  <c r="Z634" i="76"/>
  <c r="AE661" i="76"/>
  <c r="BJ818" i="76"/>
  <c r="AC395" i="76"/>
  <c r="BG744" i="76"/>
  <c r="AD685" i="76"/>
  <c r="BG895" i="76"/>
  <c r="BJ297" i="76"/>
  <c r="AB548" i="76"/>
  <c r="AA239" i="76"/>
  <c r="BH1030" i="76"/>
  <c r="BL217" i="76"/>
  <c r="AD364" i="76"/>
  <c r="BK738" i="76"/>
  <c r="AC338" i="76"/>
  <c r="AA435" i="76"/>
  <c r="Z256" i="76"/>
  <c r="AB312" i="76"/>
  <c r="BI487" i="76"/>
  <c r="AD81" i="76"/>
  <c r="BH413" i="76"/>
  <c r="AE208" i="76"/>
  <c r="BL952" i="76"/>
  <c r="BJ138" i="76"/>
  <c r="AB408" i="76"/>
  <c r="AA172" i="76"/>
  <c r="BI871" i="76"/>
  <c r="BJ930" i="76"/>
  <c r="AB86" i="76"/>
  <c r="BH417" i="76"/>
  <c r="AE277" i="76"/>
  <c r="AD243" i="76"/>
  <c r="AE347" i="76"/>
  <c r="Z96" i="76"/>
  <c r="BL157" i="76"/>
  <c r="AD248" i="76"/>
  <c r="BH83" i="76"/>
  <c r="AE78" i="76"/>
  <c r="Z302" i="76"/>
  <c r="BL870" i="76"/>
  <c r="AC593" i="76"/>
  <c r="Z146" i="76"/>
  <c r="BG1035" i="76"/>
  <c r="BL782" i="76"/>
  <c r="Z298" i="76"/>
  <c r="AA931" i="76"/>
  <c r="AB450" i="76"/>
  <c r="AD329" i="76"/>
  <c r="AE240" i="76"/>
  <c r="AD171" i="76"/>
  <c r="BL650" i="76"/>
  <c r="AA166" i="76"/>
  <c r="BH568" i="76"/>
  <c r="AD737" i="76"/>
  <c r="AB506" i="76"/>
  <c r="AE278" i="76"/>
  <c r="AA396" i="76"/>
  <c r="BJ329" i="76"/>
  <c r="Z411" i="76"/>
  <c r="BK249" i="76"/>
  <c r="BK802" i="76"/>
  <c r="BH449" i="76"/>
  <c r="BJ718" i="76"/>
  <c r="Z135" i="76"/>
  <c r="AC341" i="76"/>
  <c r="AD303" i="76"/>
  <c r="AA246" i="76"/>
  <c r="AB82" i="76"/>
  <c r="BJ170" i="76"/>
  <c r="Z266" i="76"/>
  <c r="BL89" i="76"/>
  <c r="BL482" i="76"/>
  <c r="BK377" i="76"/>
  <c r="BH567" i="76"/>
  <c r="AA103" i="76"/>
  <c r="AB453" i="76"/>
  <c r="AA534" i="76"/>
  <c r="AD102" i="76"/>
  <c r="AB249" i="76"/>
  <c r="BI924" i="76"/>
  <c r="AB330" i="76"/>
  <c r="BH912" i="76"/>
  <c r="AC301" i="76"/>
  <c r="BJ727" i="76"/>
  <c r="BJ302" i="76"/>
  <c r="BK155" i="76"/>
  <c r="Z487" i="76"/>
  <c r="BL912" i="76"/>
  <c r="BJ687" i="76"/>
  <c r="BK282" i="76"/>
  <c r="BK135" i="76"/>
  <c r="AE435" i="76"/>
  <c r="BH891" i="76"/>
  <c r="AD953" i="76"/>
  <c r="AC86" i="76"/>
  <c r="BL169" i="76"/>
  <c r="BH564" i="76"/>
  <c r="BK281" i="76"/>
  <c r="BK919" i="76"/>
  <c r="BL547" i="76"/>
  <c r="AA354" i="76"/>
  <c r="BI986" i="76"/>
  <c r="BI728" i="76"/>
  <c r="BL527" i="76"/>
  <c r="Z591" i="76"/>
  <c r="BH1001" i="76"/>
  <c r="BI456" i="76"/>
  <c r="BH144" i="76"/>
  <c r="BK83" i="76"/>
  <c r="Z630" i="76"/>
  <c r="BI965" i="76"/>
  <c r="BG449" i="76"/>
  <c r="AC589" i="76"/>
  <c r="AE99" i="76"/>
  <c r="BH306" i="76"/>
  <c r="BJ74" i="76"/>
  <c r="BI923" i="76"/>
  <c r="BJ663" i="76"/>
  <c r="BL858" i="76"/>
  <c r="AC397" i="76"/>
  <c r="BI1018" i="76"/>
  <c r="BJ850" i="76"/>
  <c r="BH442" i="76"/>
  <c r="AA756" i="76"/>
  <c r="BJ1044" i="76"/>
  <c r="BJ603" i="76"/>
  <c r="BJ326" i="76"/>
  <c r="BG807" i="76"/>
  <c r="AD383" i="76"/>
  <c r="BG986" i="76"/>
  <c r="BJ591" i="76"/>
  <c r="AE597" i="76"/>
  <c r="AC720" i="76"/>
  <c r="AB84" i="76"/>
  <c r="AB632" i="76"/>
  <c r="Z473" i="76"/>
  <c r="Z383" i="76"/>
  <c r="BK475" i="76"/>
  <c r="BI259" i="76"/>
  <c r="BG892" i="76"/>
  <c r="AB803" i="76"/>
  <c r="Z202" i="76"/>
  <c r="BK506" i="76"/>
  <c r="BI155" i="76"/>
  <c r="BG260" i="76"/>
  <c r="BI359" i="76"/>
  <c r="BK680" i="76"/>
  <c r="AB411" i="76"/>
  <c r="BH1065" i="76"/>
  <c r="BL486" i="76"/>
  <c r="BG220" i="76"/>
  <c r="BJ421" i="76"/>
  <c r="BH613" i="76"/>
  <c r="BL661" i="76"/>
  <c r="AA809" i="76"/>
  <c r="Z71" i="76"/>
  <c r="BK1008" i="76"/>
  <c r="BH409" i="76"/>
  <c r="BK214" i="76"/>
  <c r="BH414" i="76"/>
  <c r="BL607" i="76"/>
  <c r="AE486" i="76"/>
  <c r="AD410" i="76"/>
  <c r="BH401" i="76"/>
  <c r="BL328" i="76"/>
  <c r="BI910" i="76"/>
  <c r="AE736" i="76"/>
  <c r="Z205" i="76"/>
  <c r="Z489" i="76"/>
  <c r="BG485" i="76"/>
  <c r="BK270" i="76"/>
  <c r="BI80" i="76"/>
  <c r="AB417" i="76"/>
  <c r="BH850" i="76"/>
  <c r="BI527" i="76"/>
  <c r="BG176" i="76"/>
  <c r="BI271" i="76"/>
  <c r="BK370" i="76"/>
  <c r="BG698" i="76"/>
  <c r="AC486" i="76"/>
  <c r="AD216" i="76"/>
  <c r="BI507" i="76"/>
  <c r="BI231" i="76"/>
  <c r="BK432" i="76"/>
  <c r="BJ624" i="76"/>
  <c r="BH679" i="76"/>
  <c r="AE595" i="76"/>
  <c r="AB114" i="76"/>
  <c r="BI1029" i="76"/>
  <c r="BK431" i="76"/>
  <c r="BG224" i="76"/>
  <c r="BI425" i="76"/>
  <c r="BH617" i="76"/>
  <c r="Z454" i="76"/>
  <c r="AB656" i="76"/>
  <c r="BG890" i="76"/>
  <c r="BG792" i="76"/>
  <c r="BG228" i="76"/>
  <c r="BJ439" i="76"/>
  <c r="BG954" i="76"/>
  <c r="BH873" i="76"/>
  <c r="BI188" i="76"/>
  <c r="AA514" i="76"/>
  <c r="BL145" i="76"/>
  <c r="BG272" i="76"/>
  <c r="BG354" i="76"/>
  <c r="Z342" i="76"/>
  <c r="BH111" i="76"/>
  <c r="BG383" i="76"/>
  <c r="BI343" i="76"/>
  <c r="BK776" i="76"/>
  <c r="AC103" i="76"/>
  <c r="BJ970" i="76"/>
  <c r="BL222" i="76"/>
  <c r="BH250" i="76"/>
  <c r="BL945" i="76"/>
  <c r="BI514" i="76"/>
  <c r="BK604" i="76"/>
  <c r="BL279" i="76"/>
  <c r="AE85" i="76"/>
  <c r="BG283" i="76"/>
  <c r="BL353" i="76"/>
  <c r="BH519" i="76"/>
  <c r="BL267" i="76"/>
  <c r="BL684" i="76"/>
  <c r="BL902" i="76"/>
  <c r="BH190" i="76"/>
  <c r="AE300" i="76"/>
  <c r="BK502" i="76"/>
  <c r="BL459" i="76"/>
  <c r="BH735" i="76"/>
  <c r="BG373" i="76"/>
  <c r="BI380" i="76"/>
  <c r="BK596" i="76"/>
  <c r="BH153" i="76"/>
  <c r="AC347" i="76"/>
  <c r="BI731" i="76"/>
  <c r="BK575" i="76"/>
  <c r="BI88" i="76"/>
  <c r="BL488" i="76"/>
  <c r="BK609" i="76"/>
  <c r="BL601" i="76"/>
  <c r="BL390" i="76"/>
  <c r="AC141" i="76"/>
  <c r="BJ846" i="76"/>
  <c r="BI702" i="76"/>
  <c r="BI256" i="76"/>
  <c r="AE135" i="76"/>
  <c r="BH188" i="76"/>
  <c r="BK844" i="76"/>
  <c r="BI533" i="76"/>
  <c r="AE230" i="76"/>
  <c r="BJ318" i="76"/>
  <c r="BG230" i="76"/>
  <c r="BK796" i="76"/>
  <c r="AB106" i="76"/>
  <c r="BH422" i="76"/>
  <c r="AA816" i="76"/>
  <c r="AE717" i="76"/>
  <c r="BI1067" i="76"/>
  <c r="BK851" i="76"/>
  <c r="BI239" i="76"/>
  <c r="BK462" i="76"/>
  <c r="BK976" i="76"/>
  <c r="BH927" i="76"/>
  <c r="BK199" i="76"/>
  <c r="AE207" i="76"/>
  <c r="BJ166" i="76"/>
  <c r="BI283" i="76"/>
  <c r="BH377" i="76"/>
  <c r="AD523" i="76"/>
  <c r="BL133" i="76"/>
  <c r="BL404" i="76"/>
  <c r="BI375" i="76"/>
  <c r="BG794" i="76"/>
  <c r="Z193" i="76"/>
  <c r="BI1054" i="76"/>
  <c r="BJ243" i="76"/>
  <c r="BI297" i="76"/>
  <c r="BH1052" i="76"/>
  <c r="BI674" i="76"/>
  <c r="BI645" i="76"/>
  <c r="BI478" i="76"/>
  <c r="AC170" i="76"/>
  <c r="BJ325" i="76"/>
  <c r="BJ374" i="76"/>
  <c r="BL565" i="76"/>
  <c r="BG285" i="76"/>
  <c r="BI944" i="76"/>
  <c r="BK1013" i="76"/>
  <c r="BJ245" i="76"/>
  <c r="AC196" i="76"/>
  <c r="BG544" i="76"/>
  <c r="BJ480" i="76"/>
  <c r="BL781" i="76"/>
  <c r="BJ395" i="76"/>
  <c r="BK426" i="76"/>
  <c r="BI781" i="76"/>
  <c r="BK200" i="76"/>
  <c r="Z510" i="76"/>
  <c r="BK774" i="76"/>
  <c r="BI596" i="76"/>
  <c r="BG109" i="76"/>
  <c r="BH506" i="76"/>
  <c r="BI650" i="76"/>
  <c r="BJ802" i="76"/>
  <c r="BH431" i="76"/>
  <c r="Z173" i="76"/>
  <c r="BH92" i="76"/>
  <c r="BG743" i="76"/>
  <c r="BH336" i="76"/>
  <c r="AA144" i="76"/>
  <c r="BJ231" i="76"/>
  <c r="BG963" i="76"/>
  <c r="BK620" i="76"/>
  <c r="AC118" i="76"/>
  <c r="BL361" i="76"/>
  <c r="BL275" i="76"/>
  <c r="BL922" i="76"/>
  <c r="AA363" i="76"/>
  <c r="BJ464" i="76"/>
  <c r="AE415" i="76"/>
  <c r="AC782" i="76"/>
  <c r="BI947" i="76"/>
  <c r="BI866" i="76"/>
  <c r="BJ282" i="76"/>
  <c r="BG480" i="76"/>
  <c r="BI997" i="76"/>
  <c r="BJ962" i="76"/>
  <c r="BG209" i="76"/>
  <c r="AA249" i="76"/>
  <c r="BH187" i="76"/>
  <c r="BJ294" i="76"/>
  <c r="BI400" i="76"/>
  <c r="Z92" i="76"/>
  <c r="BJ154" i="76"/>
  <c r="BK436" i="76"/>
  <c r="BL385" i="76"/>
  <c r="BJ816" i="76"/>
  <c r="AA323" i="76"/>
  <c r="BL109" i="76"/>
  <c r="BG264" i="76"/>
  <c r="BG338" i="76"/>
  <c r="BK180" i="76"/>
  <c r="BL816" i="76"/>
  <c r="BG686" i="76"/>
  <c r="BJ645" i="76"/>
  <c r="Z303" i="76"/>
  <c r="BL368" i="76"/>
  <c r="BG395" i="76"/>
  <c r="BJ606" i="76"/>
  <c r="BI308" i="76"/>
  <c r="BK128" i="76"/>
  <c r="BK149" i="76"/>
  <c r="BI69" i="76"/>
  <c r="AA281" i="76"/>
  <c r="BI587" i="76"/>
  <c r="BG501" i="76"/>
  <c r="BI822" i="76"/>
  <c r="BK418" i="76"/>
  <c r="BL465" i="76"/>
  <c r="BK92" i="76"/>
  <c r="BI241" i="76"/>
  <c r="AC271" i="76"/>
  <c r="BL817" i="76"/>
  <c r="BG617" i="76"/>
  <c r="BK131" i="76"/>
  <c r="BJ529" i="76"/>
  <c r="BG691" i="76"/>
  <c r="BI97" i="76"/>
  <c r="BK477" i="76"/>
  <c r="AD260" i="76"/>
  <c r="BJ135" i="76"/>
  <c r="BK789" i="76"/>
  <c r="BH423" i="76"/>
  <c r="AD477" i="76"/>
  <c r="BK274" i="76"/>
  <c r="BK188" i="76"/>
  <c r="BG702" i="76"/>
  <c r="AC423" i="76"/>
  <c r="BH402" i="76"/>
  <c r="BI316" i="76"/>
  <c r="BJ200" i="76"/>
  <c r="AE303" i="76"/>
  <c r="BK507" i="76"/>
  <c r="AB561" i="76"/>
  <c r="AD898" i="76"/>
  <c r="BH956" i="76"/>
  <c r="BG881" i="76"/>
  <c r="BK293" i="76"/>
  <c r="BH511" i="76"/>
  <c r="BJ220" i="76"/>
  <c r="BJ474" i="76"/>
  <c r="BI500" i="76"/>
  <c r="AA226" i="76"/>
  <c r="BJ522" i="76"/>
  <c r="BG437" i="76"/>
  <c r="BG91" i="76"/>
  <c r="BI508" i="76"/>
  <c r="BI1042" i="76"/>
  <c r="BJ708" i="76"/>
  <c r="BI93" i="76"/>
  <c r="BH1004" i="76"/>
  <c r="BK489" i="76"/>
  <c r="BI634" i="76"/>
  <c r="BI776" i="76"/>
  <c r="BG444" i="76"/>
  <c r="BL704" i="76"/>
  <c r="BH253" i="76"/>
  <c r="BH457" i="76"/>
  <c r="BJ207" i="76"/>
  <c r="BL791" i="76"/>
  <c r="BG768" i="76"/>
  <c r="BK217" i="76"/>
  <c r="BG901" i="76"/>
  <c r="BK916" i="76"/>
  <c r="AD150" i="76"/>
  <c r="BI349" i="76"/>
  <c r="BK313" i="76"/>
  <c r="AA613" i="76"/>
  <c r="BG667" i="76"/>
  <c r="BL126" i="76"/>
  <c r="AE385" i="76"/>
  <c r="BH439" i="76"/>
  <c r="BJ136" i="76"/>
  <c r="BI798" i="76"/>
  <c r="BI688" i="76"/>
  <c r="BG235" i="76"/>
  <c r="BL468" i="76"/>
  <c r="BI951" i="76"/>
  <c r="BG522" i="76"/>
  <c r="BG558" i="76"/>
  <c r="BI663" i="76"/>
  <c r="AB112" i="76"/>
  <c r="BI124" i="76"/>
  <c r="BI913" i="76"/>
  <c r="AB607" i="76"/>
  <c r="AD264" i="76"/>
  <c r="AB731" i="76"/>
  <c r="Z676" i="76"/>
  <c r="BG939" i="76"/>
  <c r="AD395" i="76"/>
  <c r="BK866" i="76"/>
  <c r="AD504" i="76"/>
  <c r="BJ1016" i="76"/>
  <c r="BG628" i="76"/>
  <c r="AE813" i="76"/>
  <c r="AE203" i="76"/>
  <c r="BG934" i="76"/>
  <c r="BI547" i="76"/>
  <c r="Z345" i="76"/>
  <c r="AE766" i="76"/>
  <c r="Z586" i="76"/>
  <c r="AB688" i="76"/>
  <c r="AC455" i="76"/>
  <c r="AB612" i="76"/>
  <c r="BI1043" i="76"/>
  <c r="Z790" i="76"/>
  <c r="BL990" i="76"/>
  <c r="AD325" i="76"/>
  <c r="BI981" i="76"/>
  <c r="BG382" i="76"/>
  <c r="AE620" i="76"/>
  <c r="AA123" i="76"/>
  <c r="BG899" i="76"/>
  <c r="BJ301" i="76"/>
  <c r="AA630" i="76"/>
  <c r="BJ971" i="76"/>
  <c r="AB653" i="76"/>
  <c r="AD765" i="76"/>
  <c r="AC441" i="76"/>
  <c r="AE294" i="76"/>
  <c r="BK658" i="76"/>
  <c r="AA277" i="76"/>
  <c r="BG584" i="76"/>
  <c r="AB358" i="76"/>
  <c r="BJ1037" i="76"/>
  <c r="BH223" i="76"/>
  <c r="AA501" i="76"/>
  <c r="AD70" i="76"/>
  <c r="BL956" i="76"/>
  <c r="BJ142" i="76"/>
  <c r="AE283" i="76"/>
  <c r="BG588" i="76"/>
  <c r="AA305" i="76"/>
  <c r="AE351" i="76"/>
  <c r="AA662" i="76"/>
  <c r="AD476" i="76"/>
  <c r="BH326" i="76"/>
  <c r="Z458" i="76"/>
  <c r="BI254" i="76"/>
  <c r="AD146" i="76"/>
  <c r="BK878" i="76"/>
  <c r="BL1010" i="76"/>
  <c r="AB522" i="76"/>
  <c r="AD265" i="76"/>
  <c r="AD464" i="76"/>
  <c r="BG877" i="76"/>
  <c r="Z647" i="76"/>
  <c r="BK269" i="76"/>
  <c r="AA297" i="76"/>
  <c r="AD207" i="76"/>
  <c r="AC431" i="76"/>
  <c r="AB480" i="76"/>
  <c r="BG820" i="76"/>
  <c r="AB285" i="76"/>
  <c r="BJ739" i="76"/>
  <c r="AC998" i="76"/>
  <c r="AD592" i="76"/>
  <c r="Z550" i="76"/>
  <c r="AC365" i="76"/>
  <c r="BG500" i="76"/>
  <c r="Z91" i="76"/>
  <c r="BL419" i="76"/>
  <c r="BG952" i="76"/>
  <c r="BK535" i="76"/>
  <c r="AE124" i="76"/>
  <c r="AE331" i="76"/>
  <c r="AC579" i="76"/>
  <c r="AB541" i="76"/>
  <c r="AC299" i="76"/>
  <c r="AE442" i="76"/>
  <c r="BL340" i="76"/>
  <c r="Z505" i="76"/>
  <c r="BG259" i="76"/>
  <c r="BH823" i="76"/>
  <c r="BJ460" i="76"/>
  <c r="BL741" i="76"/>
  <c r="AB178" i="76"/>
  <c r="AA394" i="76"/>
  <c r="AE322" i="76"/>
  <c r="AE292" i="76"/>
  <c r="Z103" i="76"/>
  <c r="BL181" i="76"/>
  <c r="AD254" i="76"/>
  <c r="BJ1015" i="76"/>
  <c r="AA549" i="76"/>
  <c r="BH935" i="76"/>
  <c r="BG387" i="76"/>
  <c r="BK326" i="76"/>
  <c r="AE503" i="76"/>
  <c r="BG957" i="76"/>
  <c r="BI862" i="76"/>
  <c r="BH367" i="76"/>
  <c r="BK306" i="76"/>
  <c r="AB937" i="76"/>
  <c r="BH937" i="76"/>
  <c r="AD1033" i="76"/>
  <c r="AC661" i="76"/>
  <c r="BH982" i="76"/>
  <c r="BI962" i="76"/>
  <c r="BL1038" i="76"/>
  <c r="BJ353" i="76"/>
  <c r="BJ696" i="76"/>
  <c r="Z693" i="76"/>
  <c r="BL1057" i="76"/>
  <c r="BK134" i="76"/>
  <c r="BL623" i="76"/>
  <c r="AE571" i="76"/>
  <c r="AE210" i="76"/>
  <c r="BL582" i="76"/>
  <c r="BL400" i="76"/>
  <c r="BI168" i="76"/>
  <c r="AB441" i="76"/>
  <c r="AB342" i="76"/>
  <c r="BL570" i="76"/>
  <c r="BI394" i="76"/>
  <c r="AD94" i="76"/>
  <c r="BK1050" i="76"/>
  <c r="BG756" i="76"/>
  <c r="AD172" i="76"/>
  <c r="BJ922" i="76"/>
  <c r="BJ99" i="76"/>
  <c r="Z353" i="76"/>
  <c r="AC199" i="76"/>
  <c r="BG144" i="76"/>
  <c r="BJ740" i="76"/>
  <c r="AD1036" i="76"/>
  <c r="BI980" i="76"/>
  <c r="BL969" i="76"/>
  <c r="BH410" i="76"/>
  <c r="BH264" i="76"/>
  <c r="AB552" i="76"/>
  <c r="BG946" i="76"/>
  <c r="AC298" i="76"/>
  <c r="AA664" i="76"/>
  <c r="BI1062" i="76"/>
  <c r="Z376" i="76"/>
  <c r="Z492" i="76"/>
  <c r="BH942" i="76"/>
  <c r="AD512" i="76"/>
  <c r="BH748" i="76"/>
  <c r="BL408" i="76"/>
  <c r="BK187" i="76"/>
  <c r="AB412" i="76"/>
  <c r="BG1021" i="76"/>
  <c r="BK698" i="76"/>
  <c r="BJ262" i="76"/>
  <c r="BL357" i="76"/>
  <c r="BI453" i="76"/>
  <c r="BL949" i="76"/>
  <c r="AA314" i="76"/>
  <c r="BG1001" i="76"/>
  <c r="BK678" i="76"/>
  <c r="BI306" i="76"/>
  <c r="BG505" i="76"/>
  <c r="BL699" i="76"/>
  <c r="BI830" i="76"/>
  <c r="AC725" i="76"/>
  <c r="AC268" i="76"/>
  <c r="BJ968" i="76"/>
  <c r="BG580" i="76"/>
  <c r="BG299" i="76"/>
  <c r="BK499" i="76"/>
  <c r="BJ692" i="76"/>
  <c r="Z548" i="76"/>
  <c r="AB645" i="76"/>
  <c r="BH851" i="76"/>
  <c r="BH919" i="76"/>
  <c r="BG1034" i="76"/>
  <c r="AD522" i="76"/>
  <c r="BI953" i="76"/>
  <c r="Z410" i="76"/>
  <c r="BL770" i="76"/>
  <c r="BH418" i="76"/>
  <c r="BG197" i="76"/>
  <c r="AC466" i="76"/>
  <c r="BK1043" i="76"/>
  <c r="BI719" i="76"/>
  <c r="BL273" i="76"/>
  <c r="BI378" i="76"/>
  <c r="BK464" i="76"/>
  <c r="BG1004" i="76"/>
  <c r="AC357" i="76"/>
  <c r="BK1023" i="76"/>
  <c r="BI699" i="76"/>
  <c r="BK317" i="76"/>
  <c r="BI516" i="76"/>
  <c r="BH709" i="76"/>
  <c r="BJ859" i="76"/>
  <c r="Z584" i="76"/>
  <c r="AA309" i="76"/>
  <c r="BH989" i="76"/>
  <c r="BK602" i="76"/>
  <c r="BI310" i="76"/>
  <c r="BG509" i="76"/>
  <c r="BL703" i="76"/>
  <c r="AD424" i="76"/>
  <c r="BI583" i="76"/>
  <c r="BJ1005" i="76"/>
  <c r="BK925" i="76"/>
  <c r="BH496" i="76"/>
  <c r="BK91" i="76"/>
  <c r="BL872" i="76"/>
  <c r="BI187" i="76"/>
  <c r="BH379" i="76"/>
  <c r="AE702" i="76"/>
  <c r="BG528" i="76"/>
  <c r="BG442" i="76"/>
  <c r="BJ702" i="76"/>
  <c r="AD157" i="76"/>
  <c r="BH452" i="76"/>
  <c r="BK531" i="76"/>
  <c r="BI469" i="76"/>
  <c r="BI202" i="76"/>
  <c r="AB286" i="76"/>
  <c r="BL364" i="76"/>
  <c r="BK393" i="76"/>
  <c r="BH599" i="76"/>
  <c r="BK307" i="76"/>
  <c r="BI125" i="76"/>
  <c r="BI141" i="76"/>
  <c r="BH293" i="76"/>
  <c r="AB367" i="76"/>
  <c r="BG624" i="76"/>
  <c r="BG521" i="76"/>
  <c r="BG885" i="76"/>
  <c r="BJ434" i="76"/>
  <c r="BG499" i="76"/>
  <c r="BH262" i="76"/>
  <c r="BJ280" i="76"/>
  <c r="AC328" i="76"/>
  <c r="BH843" i="76"/>
  <c r="BG629" i="76"/>
  <c r="BK143" i="76"/>
  <c r="BL544" i="76"/>
  <c r="BK721" i="76"/>
  <c r="BK156" i="76"/>
  <c r="BH502" i="76"/>
  <c r="AE336" i="76"/>
  <c r="BG1055" i="76"/>
  <c r="BG745" i="76"/>
  <c r="BJ259" i="76"/>
  <c r="BJ657" i="76"/>
  <c r="BI154" i="76"/>
  <c r="BG226" i="76"/>
  <c r="BJ733" i="76"/>
  <c r="AD285" i="76"/>
  <c r="BG391" i="76"/>
  <c r="BG301" i="76"/>
  <c r="BK136" i="76"/>
  <c r="Z423" i="76"/>
  <c r="BI528" i="76"/>
  <c r="BL441" i="76"/>
  <c r="BL276" i="76"/>
  <c r="AC521" i="76"/>
  <c r="BG657" i="76"/>
  <c r="BJ569" i="76"/>
  <c r="BJ356" i="76"/>
  <c r="AA410" i="76"/>
  <c r="BK763" i="76"/>
  <c r="AB636" i="76"/>
  <c r="BK722" i="76"/>
  <c r="BH1058" i="76"/>
  <c r="BJ977" i="76"/>
  <c r="BL578" i="76"/>
  <c r="BG101" i="76"/>
  <c r="BI893" i="76"/>
  <c r="BK198" i="76"/>
  <c r="BK401" i="76"/>
  <c r="AB215" i="76"/>
  <c r="BK550" i="76"/>
  <c r="BJ452" i="76"/>
  <c r="BL725" i="76"/>
  <c r="AE202" i="76"/>
  <c r="BL474" i="76"/>
  <c r="BG541" i="76"/>
  <c r="BK480" i="76"/>
  <c r="BI234" i="76"/>
  <c r="AC839" i="76"/>
  <c r="BL407" i="76"/>
  <c r="BJ413" i="76"/>
  <c r="BL645" i="76"/>
  <c r="BG325" i="76"/>
  <c r="BL236" i="76"/>
  <c r="BH296" i="76"/>
  <c r="BK76" i="76"/>
  <c r="AC610" i="76"/>
  <c r="BI667" i="76"/>
  <c r="BK543" i="76"/>
  <c r="BJ867" i="76"/>
  <c r="BK457" i="76"/>
  <c r="BK545" i="76"/>
  <c r="BJ388" i="76"/>
  <c r="BG321" i="76"/>
  <c r="AB460" i="76"/>
  <c r="BJ900" i="76"/>
  <c r="BK651" i="76"/>
  <c r="BI164" i="76"/>
  <c r="BH562" i="76"/>
  <c r="BI762" i="76"/>
  <c r="BJ308" i="76"/>
  <c r="BL548" i="76"/>
  <c r="AC421" i="76"/>
  <c r="BG897" i="76"/>
  <c r="BK767" i="76"/>
  <c r="BH280" i="76"/>
  <c r="BL680" i="76"/>
  <c r="BG203" i="76"/>
  <c r="BI462" i="76"/>
  <c r="BH774" i="76"/>
  <c r="AD149" i="76"/>
  <c r="BI433" i="76"/>
  <c r="BK347" i="76"/>
  <c r="BJ422" i="76"/>
  <c r="AC334" i="76"/>
  <c r="BK571" i="76"/>
  <c r="BI482" i="76"/>
  <c r="BH587" i="76"/>
  <c r="AC322" i="76"/>
  <c r="BI700" i="76"/>
  <c r="BH610" i="76"/>
  <c r="BI722" i="76"/>
  <c r="AD388" i="76"/>
  <c r="BG805" i="76"/>
  <c r="AB718" i="76"/>
  <c r="BG732" i="76"/>
  <c r="Z78" i="76"/>
  <c r="BL988" i="76"/>
  <c r="BJ599" i="76"/>
  <c r="BI112" i="76"/>
  <c r="BL915" i="76"/>
  <c r="BG208" i="76"/>
  <c r="BG411" i="76"/>
  <c r="AD258" i="76"/>
  <c r="BI571" i="76"/>
  <c r="BL463" i="76"/>
  <c r="BH743" i="76"/>
  <c r="AA270" i="76"/>
  <c r="BI495" i="76"/>
  <c r="BI552" i="76"/>
  <c r="BH489" i="76"/>
  <c r="BL256" i="76"/>
  <c r="AB150" i="76"/>
  <c r="BL450" i="76"/>
  <c r="BG434" i="76"/>
  <c r="BJ686" i="76"/>
  <c r="BI348" i="76"/>
  <c r="BH325" i="76"/>
  <c r="BH454" i="76"/>
  <c r="BH125" i="76"/>
  <c r="Z301" i="76"/>
  <c r="BK710" i="76"/>
  <c r="BI564" i="76"/>
  <c r="BG77" i="76"/>
  <c r="BG475" i="76"/>
  <c r="BI586" i="76"/>
  <c r="BJ530" i="76"/>
  <c r="BK367" i="76"/>
  <c r="Z204" i="76"/>
  <c r="BL899" i="76"/>
  <c r="BI672" i="76"/>
  <c r="BG185" i="76"/>
  <c r="BJ585" i="76"/>
  <c r="BG803" i="76"/>
  <c r="BJ482" i="76"/>
  <c r="BJ589" i="76"/>
  <c r="AD540" i="76"/>
  <c r="BI983" i="76"/>
  <c r="BI788" i="76"/>
  <c r="BK302" i="76"/>
  <c r="BH698" i="76"/>
  <c r="BL80" i="76"/>
  <c r="BL652" i="76"/>
  <c r="BK820" i="76"/>
  <c r="AE667" i="76"/>
  <c r="BL475" i="76"/>
  <c r="BJ387" i="76"/>
  <c r="BI717" i="76"/>
  <c r="AA260" i="76"/>
  <c r="BG613" i="76"/>
  <c r="BH522" i="76"/>
  <c r="BH89" i="76"/>
  <c r="AA326" i="76"/>
  <c r="BK743" i="76"/>
  <c r="BL656" i="76"/>
  <c r="BI217" i="76"/>
  <c r="AE750" i="76"/>
  <c r="BH846" i="76"/>
  <c r="AE716" i="76"/>
  <c r="BI743" i="76"/>
  <c r="AD156" i="76"/>
  <c r="BH998" i="76"/>
  <c r="BG581" i="76"/>
  <c r="BH705" i="76"/>
  <c r="BK266" i="76"/>
  <c r="BH129" i="76"/>
  <c r="BK589" i="76"/>
  <c r="BK101" i="76"/>
  <c r="AE271" i="76"/>
  <c r="AD349" i="76"/>
  <c r="BI284" i="76"/>
  <c r="BJ576" i="76"/>
  <c r="BJ196" i="76"/>
  <c r="BL689" i="76"/>
  <c r="BI520" i="76"/>
  <c r="BI166" i="76"/>
  <c r="BI585" i="76"/>
  <c r="BJ601" i="76"/>
  <c r="BI614" i="76"/>
  <c r="BH986" i="76"/>
  <c r="BJ277" i="76"/>
  <c r="AA311" i="76"/>
  <c r="BK1034" i="76"/>
  <c r="BL663" i="76"/>
  <c r="BJ880" i="76"/>
  <c r="BI455" i="76"/>
  <c r="BL499" i="76"/>
  <c r="BK576" i="76"/>
  <c r="BL677" i="76"/>
  <c r="AE960" i="76"/>
  <c r="BK84" i="76"/>
  <c r="BH611" i="76"/>
  <c r="AE584" i="76"/>
  <c r="BG814" i="76"/>
  <c r="BK223" i="76"/>
  <c r="BG953" i="76"/>
  <c r="BK381" i="76"/>
  <c r="BI562" i="76"/>
  <c r="BH826" i="76"/>
  <c r="BG563" i="76"/>
  <c r="Z867" i="76"/>
  <c r="BL98" i="76"/>
  <c r="BL556" i="76"/>
  <c r="AD628" i="76"/>
  <c r="BH733" i="76"/>
  <c r="BL373" i="76"/>
  <c r="BH1022" i="76"/>
  <c r="BI492" i="76"/>
  <c r="AA956" i="76"/>
  <c r="AC588" i="76"/>
  <c r="AA508" i="76"/>
  <c r="AE204" i="76"/>
  <c r="AA149" i="76"/>
  <c r="AE1052" i="76"/>
  <c r="BI1036" i="76"/>
  <c r="AC945" i="76"/>
  <c r="AE212" i="76"/>
  <c r="BJ999" i="76"/>
  <c r="BJ575" i="76"/>
  <c r="Z296" i="76"/>
  <c r="AE131" i="76"/>
  <c r="BH1047" i="76"/>
  <c r="AE1037" i="76"/>
  <c r="BK1019" i="76"/>
  <c r="AB976" i="76"/>
  <c r="Z923" i="76"/>
  <c r="AD273" i="76"/>
  <c r="AC93" i="76"/>
  <c r="AC116" i="76"/>
  <c r="AD727" i="76"/>
  <c r="BI1001" i="76"/>
  <c r="AC869" i="76"/>
  <c r="BH941" i="76"/>
  <c r="BJ810" i="76"/>
  <c r="AE787" i="76"/>
  <c r="AA343" i="76"/>
  <c r="BL860" i="76"/>
  <c r="BG728" i="76"/>
  <c r="AE664" i="76"/>
  <c r="BG994" i="76"/>
  <c r="AA877" i="76"/>
  <c r="AD110" i="76"/>
  <c r="Z640" i="76"/>
  <c r="AD594" i="76"/>
  <c r="BL960" i="76"/>
  <c r="AD451" i="76"/>
  <c r="BI887" i="76"/>
  <c r="AD600" i="76"/>
  <c r="BH1037" i="76"/>
  <c r="BK650" i="76"/>
  <c r="AA665" i="76"/>
  <c r="AA245" i="76"/>
  <c r="BJ956" i="76"/>
  <c r="BG568" i="76"/>
  <c r="AD457" i="76"/>
  <c r="BI891" i="76"/>
  <c r="AE828" i="76"/>
  <c r="AC840" i="76"/>
  <c r="AC539" i="76"/>
  <c r="AC536" i="76"/>
  <c r="BK1030" i="76"/>
  <c r="AA406" i="76"/>
  <c r="BG882" i="76"/>
  <c r="AB505" i="76"/>
  <c r="AA231" i="76"/>
  <c r="BK490" i="76"/>
  <c r="Z783" i="76"/>
  <c r="AB70" i="76"/>
  <c r="BG1006" i="76"/>
  <c r="BJ408" i="76"/>
  <c r="AC433" i="76"/>
  <c r="BJ911" i="76"/>
  <c r="Z241" i="76"/>
  <c r="AE390" i="76"/>
  <c r="AB479" i="76"/>
  <c r="AE898" i="76"/>
  <c r="BG788" i="76"/>
  <c r="Z297" i="76"/>
  <c r="BI707" i="76"/>
  <c r="AA151" i="76"/>
  <c r="AA603" i="76"/>
  <c r="BJ210" i="76"/>
  <c r="BL137" i="76"/>
  <c r="AD108" i="76"/>
  <c r="AE668" i="76"/>
  <c r="BI1058" i="76"/>
  <c r="AA383" i="76"/>
  <c r="BI79" i="76"/>
  <c r="BI473" i="76"/>
  <c r="AC553" i="76"/>
  <c r="AC297" i="76"/>
  <c r="AA179" i="76"/>
  <c r="BH764" i="76"/>
  <c r="BJ691" i="76"/>
  <c r="BI1055" i="76"/>
  <c r="AC417" i="76"/>
  <c r="BK895" i="76"/>
  <c r="Z368" i="76"/>
  <c r="BH923" i="76"/>
  <c r="BG399" i="76"/>
  <c r="AC432" i="76"/>
  <c r="AE1030" i="76"/>
  <c r="AE90" i="76"/>
  <c r="AA867" i="76"/>
  <c r="AE920" i="76"/>
  <c r="BL938" i="76"/>
  <c r="AA438" i="76"/>
  <c r="BI914" i="76"/>
  <c r="AE901" i="76"/>
  <c r="BH183" i="76"/>
  <c r="BG641" i="76"/>
  <c r="BI410" i="76"/>
  <c r="AC688" i="76"/>
  <c r="AD422" i="76"/>
  <c r="BH143" i="76"/>
  <c r="BG621" i="76"/>
  <c r="BJ390" i="76"/>
  <c r="AB592" i="76"/>
  <c r="AC241" i="76"/>
  <c r="BH123" i="76"/>
  <c r="Z289" i="76"/>
  <c r="BK983" i="76"/>
  <c r="BJ361" i="76"/>
  <c r="BH1009" i="76"/>
  <c r="BK1066" i="76"/>
  <c r="BL238" i="76"/>
  <c r="Z818" i="76"/>
  <c r="BG872" i="76"/>
  <c r="BI326" i="76"/>
  <c r="BL719" i="76"/>
  <c r="BG634" i="76"/>
  <c r="AC221" i="76"/>
  <c r="BH752" i="76"/>
  <c r="BG569" i="76"/>
  <c r="BL254" i="76"/>
  <c r="Z552" i="76"/>
  <c r="BK1011" i="76"/>
  <c r="BH740" i="76"/>
  <c r="BK563" i="76"/>
  <c r="AA316" i="76"/>
  <c r="AC134" i="76"/>
  <c r="BK868" i="76"/>
  <c r="BL932" i="76"/>
  <c r="AB176" i="76"/>
  <c r="BG248" i="76"/>
  <c r="AD971" i="76"/>
  <c r="BI1061" i="76"/>
  <c r="BG240" i="76"/>
  <c r="BG883" i="76"/>
  <c r="BI657" i="76"/>
  <c r="AA176" i="76"/>
  <c r="BG251" i="76"/>
  <c r="BK495" i="76"/>
  <c r="BJ433" i="76"/>
  <c r="Z623" i="76"/>
  <c r="AD84" i="76"/>
  <c r="BJ218" i="76"/>
  <c r="AA372" i="76"/>
  <c r="AD100" i="76"/>
  <c r="AD202" i="76"/>
  <c r="Z824" i="76"/>
  <c r="Z105" i="76"/>
  <c r="AD657" i="76"/>
  <c r="BJ98" i="76"/>
  <c r="BI524" i="76"/>
  <c r="BG336" i="76"/>
  <c r="AB523" i="76"/>
  <c r="Z166" i="76"/>
  <c r="BL913" i="76"/>
  <c r="BI358" i="76"/>
  <c r="BH461" i="76"/>
  <c r="BJ548" i="76"/>
  <c r="BG330" i="76"/>
  <c r="AE553" i="76"/>
  <c r="AA320" i="76"/>
  <c r="BH885" i="76"/>
  <c r="BL392" i="76"/>
  <c r="BK591" i="76"/>
  <c r="BJ784" i="76"/>
  <c r="BI104" i="76"/>
  <c r="AE808" i="76"/>
  <c r="AC419" i="76"/>
  <c r="BH882" i="76"/>
  <c r="BI751" i="76"/>
  <c r="BJ385" i="76"/>
  <c r="BI584" i="76"/>
  <c r="BH777" i="76"/>
  <c r="AB689" i="76"/>
  <c r="AE975" i="76"/>
  <c r="BK1000" i="76"/>
  <c r="BH926" i="76"/>
  <c r="BH909" i="76"/>
  <c r="AD764" i="76"/>
  <c r="AD197" i="76"/>
  <c r="AB933" i="76"/>
  <c r="BH119" i="76"/>
  <c r="BK567" i="76"/>
  <c r="BI347" i="76"/>
  <c r="AB586" i="76"/>
  <c r="Z609" i="76"/>
  <c r="BJ978" i="76"/>
  <c r="BK369" i="76"/>
  <c r="BJ472" i="76"/>
  <c r="BH569" i="76"/>
  <c r="BI353" i="76"/>
  <c r="AD689" i="76"/>
  <c r="AD180" i="76"/>
  <c r="BL917" i="76"/>
  <c r="BG402" i="76"/>
  <c r="BG601" i="76"/>
  <c r="BL795" i="76"/>
  <c r="BK115" i="76"/>
  <c r="AB1037" i="76"/>
  <c r="AA504" i="76"/>
  <c r="BK904" i="76"/>
  <c r="BG772" i="76"/>
  <c r="BK396" i="76"/>
  <c r="BK595" i="76"/>
  <c r="BJ788" i="76"/>
  <c r="AA807" i="76"/>
  <c r="BL971" i="76"/>
  <c r="BG1005" i="76"/>
  <c r="BJ924" i="76"/>
  <c r="BL205" i="76"/>
  <c r="BK358" i="76"/>
  <c r="AB148" i="76"/>
  <c r="BL380" i="76"/>
  <c r="BJ580" i="76"/>
  <c r="AE387" i="76"/>
  <c r="BJ982" i="76"/>
  <c r="BI612" i="76"/>
  <c r="BG125" i="76"/>
  <c r="AE791" i="76"/>
  <c r="BK794" i="76"/>
  <c r="BK659" i="76"/>
  <c r="BL575" i="76"/>
  <c r="BH385" i="76"/>
  <c r="AB292" i="76"/>
  <c r="BK706" i="76"/>
  <c r="BG561" i="76"/>
  <c r="BK75" i="76"/>
  <c r="BI474" i="76"/>
  <c r="BG579" i="76"/>
  <c r="BH523" i="76"/>
  <c r="BI360" i="76"/>
  <c r="AB279" i="76"/>
  <c r="BH1015" i="76"/>
  <c r="BI692" i="76"/>
  <c r="BG205" i="76"/>
  <c r="BH602" i="76"/>
  <c r="BJ841" i="76"/>
  <c r="BI658" i="76"/>
  <c r="BL628" i="76"/>
  <c r="Z716" i="76"/>
  <c r="BK1038" i="76"/>
  <c r="BI800" i="76"/>
  <c r="BK314" i="76"/>
  <c r="BJ713" i="76"/>
  <c r="BH90" i="76"/>
  <c r="BH798" i="76"/>
  <c r="BL845" i="76"/>
  <c r="Z385" i="76"/>
  <c r="BI863" i="76"/>
  <c r="BJ1019" i="76"/>
  <c r="BL428" i="76"/>
  <c r="BG826" i="76"/>
  <c r="BL208" i="76"/>
  <c r="BK229" i="76"/>
  <c r="BI701" i="76"/>
  <c r="AD597" i="76"/>
  <c r="BK731" i="76"/>
  <c r="BJ641" i="76"/>
  <c r="BL111" i="76"/>
  <c r="AE447" i="76"/>
  <c r="BH877" i="76"/>
  <c r="BH778" i="76"/>
  <c r="BL140" i="76"/>
  <c r="AD543" i="76"/>
  <c r="BG116" i="76"/>
  <c r="BH165" i="76"/>
  <c r="BH389" i="76"/>
  <c r="AC584" i="76"/>
  <c r="BK222" i="76"/>
  <c r="Z980" i="76"/>
  <c r="BJ853" i="76"/>
  <c r="BK1059" i="76"/>
  <c r="BG977" i="76"/>
  <c r="BJ289" i="76"/>
  <c r="BG368" i="76"/>
  <c r="AD232" i="76"/>
  <c r="BH390" i="76"/>
  <c r="BL591" i="76"/>
  <c r="AC491" i="76"/>
  <c r="BG944" i="76"/>
  <c r="BK623" i="76"/>
  <c r="BI136" i="76"/>
  <c r="AA268" i="76"/>
  <c r="BH815" i="76"/>
  <c r="BK691" i="76"/>
  <c r="BH585" i="76"/>
  <c r="BI408" i="76"/>
  <c r="AA404" i="76"/>
  <c r="BG748" i="76"/>
  <c r="BK583" i="76"/>
  <c r="BI96" i="76"/>
  <c r="BL496" i="76"/>
  <c r="BK625" i="76"/>
  <c r="BL665" i="76"/>
  <c r="BK406" i="76"/>
  <c r="AA403" i="76"/>
  <c r="BH915" i="76"/>
  <c r="BG713" i="76"/>
  <c r="BK227" i="76"/>
  <c r="BJ625" i="76"/>
  <c r="BK914" i="76"/>
  <c r="BI876" i="76"/>
  <c r="BJ669" i="76"/>
  <c r="AC462" i="76"/>
  <c r="BL1049" i="76"/>
  <c r="BH820" i="76"/>
  <c r="BI335" i="76"/>
  <c r="BL736" i="76"/>
  <c r="BJ113" i="76"/>
  <c r="BG110" i="76"/>
  <c r="BJ1035" i="76"/>
  <c r="AA510" i="76"/>
  <c r="BJ906" i="76"/>
  <c r="BL882" i="76"/>
  <c r="BI449" i="76"/>
  <c r="BI865" i="76"/>
  <c r="BH226" i="76"/>
  <c r="BL268" i="76"/>
  <c r="BG78" i="76"/>
  <c r="AE462" i="76"/>
  <c r="BG773" i="76"/>
  <c r="BH682" i="76"/>
  <c r="BH526" i="76"/>
  <c r="AB372" i="76"/>
  <c r="BH1000" i="76"/>
  <c r="BK824" i="76"/>
  <c r="BG215" i="76"/>
  <c r="AA611" i="76"/>
  <c r="BI159" i="76"/>
  <c r="BL211" i="76"/>
  <c r="BK474" i="76"/>
  <c r="AB660" i="76"/>
  <c r="BL265" i="76"/>
  <c r="AB1050" i="76"/>
  <c r="BL864" i="76"/>
  <c r="AC69" i="76"/>
  <c r="BI988" i="76"/>
  <c r="BH310" i="76"/>
  <c r="BJ378" i="76"/>
  <c r="AA114" i="76"/>
  <c r="BI401" i="76"/>
  <c r="BH601" i="76"/>
  <c r="AA580" i="76"/>
  <c r="BK962" i="76"/>
  <c r="BG633" i="76"/>
  <c r="BK147" i="76"/>
  <c r="AA315" i="76"/>
  <c r="BL837" i="76"/>
  <c r="BG701" i="76"/>
  <c r="BJ596" i="76"/>
  <c r="BJ431" i="76"/>
  <c r="Z684" i="76"/>
  <c r="BI791" i="76"/>
  <c r="BI604" i="76"/>
  <c r="BG117" i="76"/>
  <c r="BH514" i="76"/>
  <c r="BI666" i="76"/>
  <c r="BK918" i="76"/>
  <c r="BG447" i="76"/>
  <c r="AC654" i="76"/>
  <c r="BH996" i="76"/>
  <c r="BK735" i="76"/>
  <c r="BH248" i="76"/>
  <c r="BL648" i="76"/>
  <c r="AD199" i="76"/>
  <c r="BI185" i="76"/>
  <c r="BH710" i="76"/>
  <c r="AB641" i="76"/>
  <c r="BG1051" i="76"/>
  <c r="BL842" i="76"/>
  <c r="BG356" i="76"/>
  <c r="BH754" i="76"/>
  <c r="BL136" i="76"/>
  <c r="BI122" i="76"/>
  <c r="BK93" i="76"/>
  <c r="AE479" i="76"/>
  <c r="BL948" i="76"/>
  <c r="BG76" i="76"/>
  <c r="BG470" i="76"/>
  <c r="BJ914" i="76"/>
  <c r="BI249" i="76"/>
  <c r="BI309" i="76"/>
  <c r="BH141" i="76"/>
  <c r="AD432" i="76"/>
  <c r="BJ815" i="76"/>
  <c r="BL728" i="76"/>
  <c r="BH857" i="76"/>
  <c r="AE463" i="76"/>
  <c r="BG72" i="76"/>
  <c r="BH901" i="76"/>
  <c r="BK300" i="76"/>
  <c r="AD609" i="76"/>
  <c r="BK202" i="76"/>
  <c r="BI252" i="76"/>
  <c r="BL561" i="76"/>
  <c r="AD566" i="76"/>
  <c r="BG307" i="76"/>
  <c r="AE956" i="76"/>
  <c r="BH874" i="76"/>
  <c r="AA158" i="76"/>
  <c r="BK999" i="76"/>
  <c r="BL332" i="76"/>
  <c r="BK268" i="76"/>
  <c r="BK301" i="76"/>
  <c r="BK926" i="76"/>
  <c r="BH888" i="76"/>
  <c r="AE272" i="76"/>
  <c r="BJ555" i="76"/>
  <c r="AC239" i="76"/>
  <c r="BI1051" i="76"/>
  <c r="BG412" i="76"/>
  <c r="BH353" i="76"/>
  <c r="BL338" i="76"/>
  <c r="BH382" i="76"/>
  <c r="BG163" i="76"/>
  <c r="BJ941" i="76"/>
  <c r="BK677" i="76"/>
  <c r="BJ833" i="76"/>
  <c r="Z494" i="76"/>
  <c r="BL297" i="76"/>
  <c r="BH638" i="76"/>
  <c r="AE549" i="76"/>
  <c r="BK417" i="76"/>
  <c r="BG214" i="76"/>
  <c r="BG484" i="76"/>
  <c r="BK236" i="76"/>
  <c r="BL430" i="76"/>
  <c r="AC82" i="76"/>
  <c r="Z212" i="76"/>
  <c r="AD101" i="76"/>
  <c r="BI484" i="76"/>
  <c r="AB567" i="76"/>
  <c r="BH260" i="76"/>
  <c r="BH407" i="76"/>
  <c r="BH618" i="76"/>
  <c r="BK420" i="76"/>
  <c r="BJ572" i="76"/>
  <c r="Z482" i="76"/>
  <c r="BK601" i="76"/>
  <c r="BJ450" i="76"/>
  <c r="AD259" i="76"/>
  <c r="BG292" i="76"/>
  <c r="BI621" i="76"/>
  <c r="AA357" i="76"/>
  <c r="BJ847" i="76"/>
  <c r="BL138" i="76"/>
  <c r="BJ947" i="76"/>
  <c r="BH272" i="76"/>
  <c r="AB808" i="76"/>
  <c r="AD970" i="76"/>
  <c r="AC122" i="76"/>
  <c r="AB351" i="76"/>
  <c r="AE248" i="76"/>
  <c r="BH668" i="76"/>
  <c r="Z118" i="76"/>
  <c r="BJ595" i="76"/>
  <c r="AB206" i="76"/>
  <c r="BK950" i="76"/>
  <c r="BH660" i="76"/>
  <c r="AA310" i="76"/>
  <c r="Z286" i="76"/>
  <c r="BK1005" i="76"/>
  <c r="BJ579" i="76"/>
  <c r="AD231" i="76"/>
  <c r="Z1062" i="76"/>
  <c r="AD481" i="76"/>
  <c r="AE343" i="76"/>
  <c r="AD236" i="76"/>
  <c r="BL1035" i="76"/>
  <c r="AB696" i="76"/>
  <c r="BH961" i="76"/>
  <c r="AA936" i="76"/>
  <c r="BK1027" i="76"/>
  <c r="BH932" i="76"/>
  <c r="AB883" i="76"/>
  <c r="AC267" i="76"/>
  <c r="BH945" i="76"/>
  <c r="BJ814" i="76"/>
  <c r="AA656" i="76"/>
  <c r="BL955" i="76"/>
  <c r="AD882" i="76"/>
  <c r="Z319" i="76"/>
  <c r="AB895" i="76"/>
  <c r="AD964" i="76"/>
  <c r="BH914" i="76"/>
  <c r="AA643" i="76"/>
  <c r="BJ1057" i="76"/>
  <c r="AA578" i="76"/>
  <c r="BH866" i="76"/>
  <c r="BI735" i="76"/>
  <c r="AE749" i="76"/>
  <c r="AA502" i="76"/>
  <c r="BH1041" i="76"/>
  <c r="BK654" i="76"/>
  <c r="AA659" i="76"/>
  <c r="BJ1061" i="76"/>
  <c r="AC664" i="76"/>
  <c r="AC129" i="76"/>
  <c r="AE639" i="76"/>
  <c r="AA634" i="76"/>
  <c r="Z94" i="76"/>
  <c r="AE734" i="76"/>
  <c r="BG1067" i="76"/>
  <c r="Z406" i="76"/>
  <c r="BL963" i="76"/>
  <c r="BI575" i="76"/>
  <c r="AC846" i="76"/>
  <c r="AC269" i="76"/>
  <c r="AB250" i="76"/>
  <c r="BK494" i="76"/>
  <c r="AC376" i="76"/>
  <c r="BL1014" i="76"/>
  <c r="AB593" i="76"/>
  <c r="AC446" i="76"/>
  <c r="AE783" i="76"/>
  <c r="AD610" i="76"/>
  <c r="BL966" i="76"/>
  <c r="Z444" i="76"/>
  <c r="BG893" i="76"/>
  <c r="AC413" i="76"/>
  <c r="AC402" i="76"/>
  <c r="BI551" i="76"/>
  <c r="BL478" i="76"/>
  <c r="BJ973" i="76"/>
  <c r="Z465" i="76"/>
  <c r="BL893" i="76"/>
  <c r="Z171" i="76"/>
  <c r="BG164" i="76"/>
  <c r="BH557" i="76"/>
  <c r="AA524" i="76"/>
  <c r="AC214" i="76"/>
  <c r="AC704" i="76"/>
  <c r="BL221" i="76"/>
  <c r="BH147" i="76"/>
  <c r="AB322" i="76"/>
  <c r="Z864" i="76"/>
  <c r="AE311" i="76"/>
  <c r="AA690" i="76"/>
  <c r="BK90" i="76"/>
  <c r="BK484" i="76"/>
  <c r="AA881" i="76"/>
  <c r="Z102" i="76"/>
  <c r="AD261" i="76"/>
  <c r="BJ775" i="76"/>
  <c r="BL702" i="76"/>
  <c r="AC346" i="76"/>
  <c r="AA381" i="76"/>
  <c r="BL999" i="76"/>
  <c r="BJ643" i="76"/>
  <c r="BI503" i="76"/>
  <c r="BJ811" i="76"/>
  <c r="BH493" i="76"/>
  <c r="AA944" i="76"/>
  <c r="AA202" i="76"/>
  <c r="BJ313" i="76"/>
  <c r="BI792" i="76"/>
  <c r="BG474" i="76"/>
  <c r="AB784" i="76"/>
  <c r="AC112" i="76"/>
  <c r="BJ293" i="76"/>
  <c r="AC823" i="76"/>
  <c r="AB123" i="76"/>
  <c r="AB629" i="76"/>
  <c r="AD284" i="76"/>
  <c r="BJ997" i="76"/>
  <c r="BK503" i="76"/>
  <c r="AD984" i="76"/>
  <c r="BH1021" i="76"/>
  <c r="BH433" i="76"/>
  <c r="BG825" i="76"/>
  <c r="BI289" i="76"/>
  <c r="AE134" i="76"/>
  <c r="BH421" i="76"/>
  <c r="BK655" i="76"/>
  <c r="BI339" i="76"/>
  <c r="AB908" i="76"/>
  <c r="AC173" i="76"/>
  <c r="BH366" i="76"/>
  <c r="BI648" i="76"/>
  <c r="AA533" i="76"/>
  <c r="AD641" i="76"/>
  <c r="BG888" i="76"/>
  <c r="Z354" i="76"/>
  <c r="AA177" i="76"/>
  <c r="BJ397" i="76"/>
  <c r="BG306" i="76"/>
  <c r="BJ1064" i="76"/>
  <c r="BH580" i="76"/>
  <c r="BL154" i="76"/>
  <c r="BJ863" i="76"/>
  <c r="AB138" i="76"/>
  <c r="BK443" i="76"/>
  <c r="BK751" i="76"/>
  <c r="BH517" i="76"/>
  <c r="AA624" i="76"/>
  <c r="AA152" i="76"/>
  <c r="BK388" i="76"/>
  <c r="AD538" i="76"/>
  <c r="Z207" i="76"/>
  <c r="AE649" i="76"/>
  <c r="BH628" i="76"/>
  <c r="AD312" i="76"/>
  <c r="BJ547" i="76"/>
  <c r="BI631" i="76"/>
  <c r="BG673" i="76"/>
  <c r="BK452" i="76"/>
  <c r="AC831" i="76"/>
  <c r="AB202" i="76"/>
  <c r="BJ848" i="76"/>
  <c r="BK455" i="76"/>
  <c r="BG557" i="76"/>
  <c r="BL655" i="76"/>
  <c r="BH527" i="76"/>
  <c r="AB472" i="76"/>
  <c r="AB113" i="76"/>
  <c r="BI1014" i="76"/>
  <c r="BG477" i="76"/>
  <c r="BI676" i="76"/>
  <c r="BK877" i="76"/>
  <c r="BG189" i="76"/>
  <c r="BG530" i="76"/>
  <c r="AB191" i="76"/>
  <c r="BG1053" i="76"/>
  <c r="BH1044" i="76"/>
  <c r="BK471" i="76"/>
  <c r="BG669" i="76"/>
  <c r="BG867" i="76"/>
  <c r="AB1001" i="76"/>
  <c r="AD409" i="76"/>
  <c r="AB182" i="76"/>
  <c r="AB136" i="76"/>
  <c r="Z125" i="76"/>
  <c r="BJ639" i="76"/>
  <c r="AE84" i="76"/>
  <c r="BL558" i="76"/>
  <c r="BG652" i="76"/>
  <c r="BI684" i="76"/>
  <c r="BG462" i="76"/>
  <c r="AD745" i="76"/>
  <c r="AD385" i="76"/>
  <c r="BJ874" i="76"/>
  <c r="BG465" i="76"/>
  <c r="BI568" i="76"/>
  <c r="BH665" i="76"/>
  <c r="BL573" i="76"/>
  <c r="AB568" i="76"/>
  <c r="AD209" i="76"/>
  <c r="BL849" i="76"/>
  <c r="BH488" i="76"/>
  <c r="BK687" i="76"/>
  <c r="BI915" i="76"/>
  <c r="BI200" i="76"/>
  <c r="BI553" i="76"/>
  <c r="AD234" i="76"/>
  <c r="AE108" i="76"/>
  <c r="BH952" i="76"/>
  <c r="BG481" i="76"/>
  <c r="BI680" i="76"/>
  <c r="BI882" i="76"/>
  <c r="BG193" i="76"/>
  <c r="AC350" i="76"/>
  <c r="AD125" i="76"/>
  <c r="AE337" i="76"/>
  <c r="BJ1055" i="76"/>
  <c r="BH621" i="76"/>
  <c r="AD114" i="76"/>
  <c r="BH644" i="76"/>
  <c r="BJ772" i="76"/>
  <c r="AD470" i="76"/>
  <c r="BL1022" i="76"/>
  <c r="BK783" i="76"/>
  <c r="BG296" i="76"/>
  <c r="AC471" i="76"/>
  <c r="BH936" i="76"/>
  <c r="BG797" i="76"/>
  <c r="BH681" i="76"/>
  <c r="BH559" i="76"/>
  <c r="Z602" i="76"/>
  <c r="BK993" i="76"/>
  <c r="BI732" i="76"/>
  <c r="BG245" i="76"/>
  <c r="BH642" i="76"/>
  <c r="BH1055" i="76"/>
  <c r="BG178" i="76"/>
  <c r="BL708" i="76"/>
  <c r="AE411" i="76"/>
  <c r="BH1040" i="76"/>
  <c r="BL866" i="76"/>
  <c r="BG376" i="76"/>
  <c r="BL776" i="76"/>
  <c r="BJ153" i="76"/>
  <c r="BJ133" i="76"/>
  <c r="BI280" i="76"/>
  <c r="AC548" i="76"/>
  <c r="BH974" i="76"/>
  <c r="BG88" i="76"/>
  <c r="BG482" i="76"/>
  <c r="BI971" i="76"/>
  <c r="BK264" i="76"/>
  <c r="BG334" i="76"/>
  <c r="BH278" i="76"/>
  <c r="AC633" i="76"/>
  <c r="BK988" i="76"/>
  <c r="BG204" i="76"/>
  <c r="BH597" i="76"/>
  <c r="BG253" i="76"/>
  <c r="BJ376" i="76"/>
  <c r="BH563" i="76"/>
  <c r="BH317" i="76"/>
  <c r="AD542" i="76"/>
  <c r="BK190" i="76"/>
  <c r="BH237" i="76"/>
  <c r="BH531" i="76"/>
  <c r="AA671" i="76"/>
  <c r="BK329" i="76"/>
  <c r="BI379" i="76"/>
  <c r="BI810" i="76"/>
  <c r="AD1061" i="76"/>
  <c r="BK459" i="76"/>
  <c r="BK512" i="76"/>
  <c r="BH486" i="76"/>
  <c r="BI998" i="76"/>
  <c r="BL630" i="76"/>
  <c r="BI705" i="76"/>
  <c r="Z707" i="76"/>
  <c r="AA257" i="76"/>
  <c r="Z112" i="76"/>
  <c r="AE92" i="76"/>
  <c r="BJ632" i="76"/>
  <c r="Z156" i="76"/>
  <c r="BL666" i="76"/>
  <c r="BL783" i="76"/>
  <c r="Z528" i="76"/>
  <c r="AE156" i="76"/>
  <c r="BG793" i="76"/>
  <c r="BI307" i="76"/>
  <c r="AB533" i="76"/>
  <c r="BK982" i="76"/>
  <c r="BJ807" i="76"/>
  <c r="BH713" i="76"/>
  <c r="BJ582" i="76"/>
  <c r="AC369" i="76"/>
  <c r="BG857" i="76"/>
  <c r="BG753" i="76"/>
  <c r="BJ267" i="76"/>
  <c r="BJ665" i="76"/>
  <c r="BI178" i="76"/>
  <c r="BK327" i="76"/>
  <c r="BJ749" i="76"/>
  <c r="AA527" i="76"/>
  <c r="AC756" i="76"/>
  <c r="BI912" i="76"/>
  <c r="BK397" i="76"/>
  <c r="BH794" i="76"/>
  <c r="BL176" i="76"/>
  <c r="BK165" i="76"/>
  <c r="BI438" i="76"/>
  <c r="AD772" i="76"/>
  <c r="BJ1017" i="76"/>
  <c r="BK110" i="76"/>
  <c r="BL503" i="76"/>
  <c r="BL163" i="76"/>
  <c r="BG282" i="76"/>
  <c r="BJ380" i="76"/>
  <c r="BJ443" i="76"/>
  <c r="AA597" i="76"/>
  <c r="BG1030" i="76"/>
  <c r="BK226" i="76"/>
  <c r="BL619" i="76"/>
  <c r="BI276" i="76"/>
  <c r="BL398" i="76"/>
  <c r="BL609" i="76"/>
  <c r="BJ466" i="76"/>
  <c r="AC640" i="76"/>
  <c r="BG232" i="76"/>
  <c r="BK283" i="76"/>
  <c r="BJ618" i="76"/>
  <c r="AD758" i="76"/>
  <c r="BG371" i="76"/>
  <c r="BK425" i="76"/>
  <c r="BK922" i="76"/>
  <c r="BI248" i="76"/>
  <c r="BJ503" i="76"/>
  <c r="BG578" i="76"/>
  <c r="BL840" i="76"/>
  <c r="BJ427" i="76"/>
  <c r="BJ715" i="76"/>
  <c r="BK792" i="76"/>
  <c r="AB195" i="76"/>
  <c r="AE279" i="76"/>
  <c r="AD134" i="76"/>
  <c r="AB165" i="76"/>
  <c r="BL675" i="76"/>
  <c r="AB210" i="76"/>
  <c r="BH708" i="76"/>
  <c r="BH793" i="76"/>
  <c r="AE590" i="76"/>
  <c r="AD225" i="76"/>
  <c r="BI804" i="76"/>
  <c r="BK318" i="76"/>
  <c r="AC645" i="76"/>
  <c r="BI1023" i="76"/>
  <c r="BH828" i="76"/>
  <c r="BJ724" i="76"/>
  <c r="BL605" i="76"/>
  <c r="AA464" i="76"/>
  <c r="BL934" i="76"/>
  <c r="BK775" i="76"/>
  <c r="BG288" i="76"/>
  <c r="BL688" i="76"/>
  <c r="BI218" i="76"/>
  <c r="BJ533" i="76"/>
  <c r="BH790" i="76"/>
  <c r="AB332" i="76"/>
  <c r="AA274" i="76"/>
  <c r="BL978" i="76"/>
  <c r="BI418" i="76"/>
  <c r="BI817" i="76"/>
  <c r="BH194" i="76"/>
  <c r="BI206" i="76"/>
  <c r="BG630" i="76"/>
  <c r="AC658" i="76"/>
  <c r="BL1060" i="76"/>
  <c r="BI131" i="76"/>
  <c r="BJ524" i="76"/>
  <c r="BH181" i="76"/>
  <c r="BJ304" i="76"/>
  <c r="BG421" i="76"/>
  <c r="BH619" i="76"/>
  <c r="AB724" i="76"/>
  <c r="AA109" i="76"/>
  <c r="BI247" i="76"/>
  <c r="BJ640" i="76"/>
  <c r="BJ299" i="76"/>
  <c r="BH416" i="76"/>
  <c r="BJ650" i="76"/>
  <c r="BG619" i="76"/>
  <c r="AC731" i="76"/>
  <c r="BH275" i="76"/>
  <c r="BH324" i="76"/>
  <c r="BL705" i="76"/>
  <c r="AD843" i="76"/>
  <c r="BG414" i="76"/>
  <c r="BJ465" i="76"/>
  <c r="BI142" i="76"/>
  <c r="BG598" i="76"/>
  <c r="BH588" i="76"/>
  <c r="BI665" i="76"/>
  <c r="BI182" i="76"/>
  <c r="BJ738" i="76"/>
  <c r="BH800" i="76"/>
  <c r="BH960" i="76"/>
  <c r="AD238" i="76"/>
  <c r="AC300" i="76"/>
  <c r="AB155" i="76"/>
  <c r="AB186" i="76"/>
  <c r="BL697" i="76"/>
  <c r="BL155" i="76"/>
  <c r="BH160" i="76"/>
  <c r="BH337" i="76"/>
  <c r="BK514" i="76"/>
  <c r="AD480" i="76"/>
  <c r="BL604" i="76"/>
  <c r="AD456" i="76"/>
  <c r="BL764" i="76"/>
  <c r="AD814" i="76"/>
  <c r="AB717" i="76"/>
  <c r="AC925" i="76"/>
  <c r="BI852" i="76"/>
  <c r="Z470" i="76"/>
  <c r="BG291" i="76"/>
  <c r="BH434" i="76"/>
  <c r="BJ101" i="76"/>
  <c r="BK248" i="76"/>
  <c r="BJ80" i="76"/>
  <c r="BL339" i="76"/>
  <c r="BH869" i="76"/>
  <c r="AB510" i="76"/>
  <c r="BH812" i="76"/>
  <c r="Z474" i="76"/>
  <c r="AB440" i="76"/>
  <c r="BH1063" i="76"/>
  <c r="BI963" i="76"/>
  <c r="BG970" i="76"/>
  <c r="AA582" i="76"/>
  <c r="BL889" i="76"/>
  <c r="AE461" i="76"/>
  <c r="Z228" i="76"/>
  <c r="AB203" i="76"/>
  <c r="BH476" i="76"/>
  <c r="BL403" i="76"/>
  <c r="BI942" i="76"/>
  <c r="Z381" i="76"/>
  <c r="BG860" i="76"/>
  <c r="AB537" i="76"/>
  <c r="AC254" i="76"/>
  <c r="AA333" i="76"/>
  <c r="BJ146" i="76"/>
  <c r="BL73" i="76"/>
  <c r="AA78" i="76"/>
  <c r="AE545" i="76"/>
  <c r="BK1017" i="76"/>
  <c r="AA222" i="76"/>
  <c r="Z925" i="76"/>
  <c r="AE73" i="76"/>
  <c r="BH700" i="76"/>
  <c r="BJ627" i="76"/>
  <c r="BK1014" i="76"/>
  <c r="AA374" i="76"/>
  <c r="BJ858" i="76"/>
  <c r="Z133" i="76"/>
  <c r="Z992" i="76"/>
  <c r="BJ937" i="76"/>
  <c r="AC900" i="76"/>
  <c r="AD514" i="76"/>
  <c r="AC294" i="76"/>
  <c r="AE188" i="76"/>
  <c r="AD196" i="76"/>
  <c r="BL141" i="76"/>
  <c r="BG370" i="76"/>
  <c r="AE502" i="76"/>
  <c r="Z501" i="76"/>
  <c r="BL714" i="76"/>
  <c r="BH632" i="76"/>
  <c r="BL206" i="76"/>
  <c r="AA1041" i="76"/>
  <c r="BG1045" i="76"/>
  <c r="AC489" i="76"/>
  <c r="AC378" i="76"/>
  <c r="AE104" i="76"/>
  <c r="BJ131" i="76"/>
  <c r="AE290" i="76"/>
  <c r="BK166" i="76"/>
  <c r="BK376" i="76"/>
  <c r="BJ1063" i="76"/>
  <c r="BL1056" i="76"/>
  <c r="AA405" i="76"/>
  <c r="BG1028" i="76"/>
  <c r="AE174" i="76"/>
  <c r="BG525" i="76"/>
  <c r="AD420" i="76"/>
  <c r="BI199" i="76"/>
  <c r="BL831" i="76"/>
  <c r="BI995" i="76"/>
  <c r="Z572" i="76"/>
  <c r="AD605" i="76"/>
  <c r="BH893" i="76"/>
  <c r="BI176" i="76"/>
  <c r="BJ463" i="76"/>
  <c r="BH252" i="76"/>
  <c r="BJ1065" i="76"/>
  <c r="BL70" i="76"/>
  <c r="AA225" i="76"/>
  <c r="BI203" i="76"/>
  <c r="AA155" i="76"/>
  <c r="AD255" i="76"/>
  <c r="BG997" i="76"/>
  <c r="BI873" i="76"/>
  <c r="AA289" i="76"/>
  <c r="BL101" i="76"/>
  <c r="BJ1051" i="76"/>
  <c r="AD754" i="76"/>
  <c r="AB218" i="76"/>
  <c r="BG859" i="76"/>
  <c r="BL444" i="76"/>
  <c r="AD439" i="76"/>
  <c r="BI883" i="76"/>
  <c r="BH1068" i="76"/>
  <c r="BJ437" i="76"/>
  <c r="AC225" i="76"/>
  <c r="AD726" i="76"/>
  <c r="AB276" i="76"/>
  <c r="AC108" i="76"/>
  <c r="BJ904" i="76"/>
  <c r="AB850" i="76"/>
  <c r="BJ122" i="76"/>
  <c r="BJ79" i="76"/>
  <c r="AD780" i="76"/>
  <c r="BJ913" i="76"/>
  <c r="BK961" i="76"/>
  <c r="BG454" i="76"/>
  <c r="AA507" i="76"/>
  <c r="BL905" i="76"/>
  <c r="BL879" i="76"/>
  <c r="BK448" i="76"/>
  <c r="BJ897" i="76"/>
  <c r="AD693" i="76"/>
  <c r="AD695" i="76"/>
  <c r="BL483" i="76"/>
  <c r="AE895" i="76"/>
  <c r="BH805" i="76"/>
  <c r="BH925" i="76"/>
  <c r="BH148" i="76"/>
  <c r="AB843" i="76"/>
  <c r="BI362" i="76"/>
  <c r="BL417" i="76"/>
  <c r="BK902" i="76"/>
  <c r="BI129" i="76"/>
  <c r="BL494" i="76"/>
  <c r="BG562" i="76"/>
  <c r="BI797" i="76"/>
  <c r="BK340" i="76"/>
  <c r="BH704" i="76"/>
  <c r="BG778" i="76"/>
  <c r="BL649" i="76"/>
  <c r="BJ340" i="76"/>
  <c r="BL839" i="76"/>
  <c r="BJ281" i="76"/>
  <c r="BI610" i="76"/>
  <c r="BI407" i="76"/>
  <c r="BI244" i="76"/>
  <c r="BJ701" i="76"/>
  <c r="BJ382" i="76"/>
  <c r="BJ335" i="76"/>
  <c r="BH509" i="76"/>
  <c r="BH507" i="76"/>
  <c r="BL615" i="76"/>
  <c r="BJ1036" i="76"/>
  <c r="AA768" i="76"/>
  <c r="AA565" i="76"/>
  <c r="BG493" i="76"/>
  <c r="AD155" i="76"/>
  <c r="BI816" i="76"/>
  <c r="BL947" i="76"/>
  <c r="BH180" i="76"/>
  <c r="AA786" i="76"/>
  <c r="BL384" i="76"/>
  <c r="BG435" i="76"/>
  <c r="BI994" i="76"/>
  <c r="BH360" i="76"/>
  <c r="BH528" i="76"/>
  <c r="BK608" i="76"/>
  <c r="BI1035" i="76"/>
  <c r="BL505" i="76"/>
  <c r="BJ747" i="76"/>
  <c r="BL823" i="76"/>
  <c r="BK825" i="76"/>
  <c r="BG555" i="76"/>
  <c r="BH91" i="76"/>
  <c r="BG322" i="76"/>
  <c r="BG795" i="76"/>
  <c r="BJ581" i="76"/>
  <c r="BI287" i="76"/>
  <c r="BL788" i="76"/>
  <c r="BL424" i="76"/>
  <c r="BK644" i="76"/>
  <c r="BJ552" i="76"/>
  <c r="BG827" i="76"/>
  <c r="BH657" i="76"/>
  <c r="BL1047" i="76"/>
  <c r="AC734" i="76"/>
  <c r="AB644" i="76"/>
  <c r="BI504" i="76"/>
  <c r="AB447" i="76"/>
  <c r="BK827" i="76"/>
  <c r="BI968" i="76"/>
  <c r="BJ191" i="76"/>
  <c r="AC1036" i="76"/>
  <c r="BI405" i="76"/>
  <c r="BJ457" i="76"/>
  <c r="BK88" i="76"/>
  <c r="BI541" i="76"/>
  <c r="BJ571" i="76"/>
  <c r="BI649" i="76"/>
  <c r="BL156" i="76"/>
  <c r="BJ674" i="76"/>
  <c r="BL790" i="76"/>
  <c r="BK910" i="76"/>
  <c r="BK100" i="76"/>
  <c r="BK713" i="76"/>
  <c r="BJ134" i="76"/>
  <c r="BK368" i="76"/>
  <c r="BI106" i="76"/>
  <c r="BH766" i="76"/>
  <c r="BK330" i="76"/>
  <c r="BG941" i="76"/>
  <c r="BG466" i="76"/>
  <c r="BL100" i="76"/>
  <c r="BL595" i="76"/>
  <c r="BK260" i="76"/>
  <c r="BJ700" i="76"/>
  <c r="BH1057" i="76"/>
  <c r="AB934" i="76"/>
  <c r="BH685" i="76"/>
  <c r="AC286" i="76"/>
  <c r="BL730" i="76"/>
  <c r="BJ804" i="76"/>
  <c r="AC701" i="76"/>
  <c r="AD289" i="76"/>
  <c r="BL814" i="76"/>
  <c r="BG328" i="76"/>
  <c r="AD396" i="76"/>
  <c r="BG1064" i="76"/>
  <c r="BK864" i="76"/>
  <c r="BL735" i="76"/>
  <c r="BH623" i="76"/>
  <c r="AD621" i="76"/>
  <c r="BG1016" i="76"/>
  <c r="BI796" i="76"/>
  <c r="BK310" i="76"/>
  <c r="BH706" i="76"/>
  <c r="BL88" i="76"/>
  <c r="BL732" i="76"/>
  <c r="BK836" i="76"/>
  <c r="AB444" i="76"/>
  <c r="BG884" i="76"/>
  <c r="AC218" i="76"/>
  <c r="BH438" i="76"/>
  <c r="BI841" i="76"/>
  <c r="BJ217" i="76"/>
  <c r="BG247" i="76"/>
  <c r="BK772" i="76"/>
  <c r="Z569" i="76"/>
  <c r="BJ886" i="76"/>
  <c r="BG152" i="76"/>
  <c r="BH545" i="76"/>
  <c r="BJ204" i="76"/>
  <c r="BL327" i="76"/>
  <c r="BG460" i="76"/>
  <c r="BJ770" i="76"/>
  <c r="AE674" i="76"/>
  <c r="BJ905" i="76"/>
  <c r="BL269" i="76"/>
  <c r="BH661" i="76"/>
  <c r="BL322" i="76"/>
  <c r="BI439" i="76"/>
  <c r="BH691" i="76"/>
  <c r="BK761" i="76"/>
  <c r="AC671" i="76"/>
  <c r="BI318" i="76"/>
  <c r="BL370" i="76"/>
  <c r="BH787" i="76"/>
  <c r="AB1058" i="76"/>
  <c r="BG457" i="76"/>
  <c r="BG506" i="76"/>
  <c r="BK429" i="76"/>
  <c r="BG933" i="76"/>
  <c r="BL674" i="76"/>
  <c r="BK752" i="76"/>
  <c r="BL489" i="76"/>
  <c r="BL180" i="76"/>
  <c r="BG904" i="76"/>
  <c r="BG227" i="76"/>
  <c r="BK516" i="76"/>
  <c r="BG706" i="76"/>
  <c r="BG293" i="76"/>
  <c r="BL168" i="76"/>
  <c r="AE76" i="76"/>
  <c r="BK1068" i="76"/>
  <c r="BJ851" i="76"/>
  <c r="BL374" i="76"/>
  <c r="BK758" i="76"/>
  <c r="BK334" i="76"/>
  <c r="BJ320" i="76"/>
  <c r="BJ518" i="76"/>
  <c r="BJ539" i="76"/>
  <c r="BH184" i="76"/>
  <c r="BK415" i="76"/>
  <c r="BG608" i="76"/>
  <c r="BI566" i="76"/>
  <c r="BH405" i="76"/>
  <c r="BJ169" i="76"/>
  <c r="AD365" i="76"/>
  <c r="BG985" i="76"/>
  <c r="BH369" i="76"/>
  <c r="BI922" i="76"/>
  <c r="BG681" i="76"/>
  <c r="BH419" i="76"/>
  <c r="BL673" i="76"/>
  <c r="AB878" i="76"/>
  <c r="BI668" i="76"/>
  <c r="AA218" i="76"/>
  <c r="BG589" i="76"/>
  <c r="Z170" i="76"/>
  <c r="BH834" i="76"/>
  <c r="BJ209" i="76"/>
  <c r="BJ939" i="76"/>
  <c r="BI704" i="76"/>
  <c r="BG838" i="76"/>
  <c r="BI597" i="76"/>
  <c r="BJ512" i="76"/>
  <c r="BI916" i="76"/>
  <c r="BI437" i="76"/>
  <c r="BI160" i="76"/>
  <c r="BK1039" i="76"/>
  <c r="AA692" i="76"/>
  <c r="AD921" i="76"/>
  <c r="AA373" i="76"/>
  <c r="BJ188" i="76"/>
  <c r="BI872" i="76"/>
  <c r="BH674" i="76"/>
  <c r="BJ489" i="76"/>
  <c r="BG119" i="76"/>
  <c r="BH836" i="76"/>
  <c r="BJ100" i="76"/>
  <c r="BG721" i="76"/>
  <c r="BK105" i="76"/>
  <c r="BI624" i="76"/>
  <c r="BK324" i="76"/>
  <c r="BG533" i="76"/>
  <c r="BK148" i="76"/>
  <c r="BJ137" i="76"/>
  <c r="BJ338" i="76"/>
  <c r="BG622" i="76"/>
  <c r="BH232" i="76"/>
  <c r="BJ359" i="76"/>
  <c r="BJ103" i="76"/>
  <c r="BI118" i="76"/>
  <c r="BK839" i="76"/>
  <c r="BK303" i="76"/>
  <c r="BI522" i="76"/>
  <c r="BG971" i="76"/>
  <c r="BK646" i="76"/>
  <c r="BI78" i="76"/>
  <c r="BL291" i="76"/>
  <c r="BL653" i="76"/>
  <c r="BJ416" i="76"/>
  <c r="BK77" i="76"/>
  <c r="BG416" i="76"/>
  <c r="BH432" i="76"/>
  <c r="BJ198" i="76"/>
  <c r="BG99" i="76"/>
  <c r="BH214" i="76"/>
  <c r="BK129" i="76"/>
  <c r="BI823" i="76"/>
  <c r="BG730" i="76"/>
  <c r="BJ362" i="76"/>
  <c r="Z267" i="76"/>
  <c r="BH208" i="76"/>
  <c r="AB373" i="76"/>
  <c r="BK803" i="76"/>
  <c r="BK145" i="76"/>
  <c r="BI515" i="76"/>
  <c r="AD501" i="76"/>
  <c r="BJ698" i="76"/>
  <c r="BI677" i="76"/>
  <c r="BK813" i="76"/>
  <c r="BL383" i="76"/>
  <c r="BL426" i="76"/>
  <c r="BK373" i="76"/>
  <c r="BG274" i="76"/>
  <c r="BJ276" i="76"/>
  <c r="BJ722" i="76"/>
  <c r="AE220" i="76"/>
  <c r="BJ139" i="76"/>
  <c r="BH197" i="76"/>
  <c r="BH426" i="76"/>
  <c r="BK1006" i="76"/>
  <c r="AA154" i="76"/>
  <c r="BL824" i="76"/>
  <c r="BH94" i="76"/>
  <c r="BL331" i="76"/>
  <c r="BJ488" i="76"/>
  <c r="BG262" i="76"/>
  <c r="BI341" i="76"/>
  <c r="BI502" i="76"/>
  <c r="AA608" i="76"/>
  <c r="BK692" i="76"/>
  <c r="Z236" i="76"/>
  <c r="BK981" i="76"/>
  <c r="BL712" i="76"/>
  <c r="BK434" i="76"/>
  <c r="AE950" i="76"/>
  <c r="BH551" i="76"/>
  <c r="BH957" i="76"/>
  <c r="BJ502" i="76"/>
  <c r="BJ602" i="76"/>
  <c r="AD608" i="76"/>
  <c r="BI1015" i="76"/>
  <c r="BK565" i="76"/>
  <c r="BJ741" i="76"/>
  <c r="BK132" i="76"/>
  <c r="BK445" i="76"/>
  <c r="BG126" i="76"/>
  <c r="BL76" i="76"/>
  <c r="BK500" i="76"/>
  <c r="Z529" i="76"/>
  <c r="BH594" i="76"/>
  <c r="BJ426" i="76"/>
  <c r="BK124" i="76"/>
  <c r="BK469" i="76"/>
  <c r="BH795" i="76"/>
  <c r="BG257" i="76"/>
  <c r="BH742" i="76"/>
  <c r="BL266" i="76"/>
  <c r="BL516" i="76"/>
  <c r="BG149" i="76"/>
  <c r="BI312" i="76"/>
  <c r="BJ845" i="76"/>
  <c r="BJ140" i="76"/>
  <c r="BL717" i="76"/>
  <c r="BL347" i="76"/>
  <c r="BH699" i="76"/>
  <c r="BG401" i="76"/>
  <c r="BL116" i="76"/>
  <c r="BK161" i="76"/>
  <c r="BH731" i="76"/>
  <c r="BK664" i="76"/>
  <c r="BG534" i="76"/>
  <c r="BL456" i="76"/>
  <c r="AE1011" i="76"/>
  <c r="BJ778" i="76"/>
  <c r="BJ363" i="76"/>
  <c r="BG311" i="76"/>
  <c r="Z588" i="76"/>
  <c r="BH547" i="76"/>
  <c r="BH245" i="76"/>
  <c r="BI195" i="76"/>
  <c r="AB573" i="76"/>
  <c r="BK332" i="76"/>
  <c r="BH968" i="76"/>
  <c r="BI87" i="76"/>
  <c r="AE535" i="76"/>
  <c r="BJ120" i="76"/>
  <c r="BL752" i="76"/>
  <c r="BL838" i="76"/>
  <c r="AB580" i="76"/>
  <c r="BJ756" i="76"/>
  <c r="AA228" i="76"/>
  <c r="BH391" i="76"/>
  <c r="BL980" i="76"/>
  <c r="BI911" i="76"/>
  <c r="AD93" i="76"/>
  <c r="BK912" i="76"/>
  <c r="AA567" i="76"/>
  <c r="BH1008" i="76"/>
  <c r="BL620" i="76"/>
  <c r="BL581" i="76"/>
  <c r="BH786" i="76"/>
  <c r="BK255" i="76"/>
  <c r="BH829" i="76"/>
  <c r="BH931" i="76"/>
  <c r="BI223" i="76"/>
  <c r="BI443" i="76"/>
  <c r="BJ208" i="76"/>
  <c r="BH785" i="76"/>
  <c r="BJ534" i="76"/>
  <c r="BI396" i="76"/>
  <c r="BL395" i="76"/>
  <c r="BJ797" i="76"/>
  <c r="BG397" i="76"/>
  <c r="BL878" i="76"/>
  <c r="BK939" i="76"/>
  <c r="BL259" i="76"/>
  <c r="BJ829" i="76"/>
  <c r="BG539" i="76"/>
  <c r="BK809" i="76"/>
  <c r="BJ351" i="76"/>
  <c r="BG107" i="76"/>
  <c r="BI754" i="76"/>
  <c r="BH814" i="76"/>
  <c r="BJ901" i="76"/>
  <c r="BG389" i="76"/>
  <c r="BJ260" i="76"/>
  <c r="BH122" i="76"/>
  <c r="BJ889" i="76"/>
  <c r="BH640" i="76"/>
  <c r="BK953" i="76"/>
  <c r="AC442" i="76"/>
  <c r="BI435" i="76"/>
  <c r="BL639" i="76"/>
  <c r="Z183" i="76"/>
  <c r="BH739" i="76"/>
  <c r="BI833" i="76"/>
  <c r="BI109" i="76"/>
  <c r="BG302" i="76"/>
  <c r="Z270" i="76"/>
  <c r="BI475" i="76"/>
  <c r="BI184" i="76"/>
  <c r="AB242" i="76"/>
  <c r="BL420" i="76"/>
  <c r="AA693" i="76"/>
  <c r="AA626" i="76"/>
  <c r="BK966" i="76"/>
  <c r="AB96" i="76"/>
  <c r="BK1056" i="76"/>
  <c r="AD580" i="76"/>
  <c r="BG974" i="76"/>
  <c r="AB918" i="76"/>
  <c r="AA553" i="76"/>
  <c r="AE388" i="76"/>
  <c r="BI647" i="76"/>
  <c r="BK574" i="76"/>
  <c r="BH1026" i="76"/>
  <c r="AC472" i="76"/>
  <c r="BI946" i="76"/>
  <c r="AC240" i="76"/>
  <c r="AC252" i="76"/>
  <c r="AD588" i="76"/>
  <c r="BL316" i="76"/>
  <c r="BH243" i="76"/>
  <c r="BI867" i="76"/>
  <c r="AD485" i="76"/>
  <c r="AA142" i="76"/>
  <c r="AD393" i="76"/>
  <c r="AB97" i="76"/>
  <c r="Z147" i="76"/>
  <c r="BI885" i="76"/>
  <c r="BL798" i="76"/>
  <c r="BG1027" i="76"/>
  <c r="AA638" i="76"/>
  <c r="BK1022" i="76"/>
  <c r="AD342" i="76"/>
  <c r="AE222" i="76"/>
  <c r="BJ1068" i="76"/>
  <c r="AB1043" i="76"/>
  <c r="AA750" i="76"/>
  <c r="AB260" i="76"/>
  <c r="AA777" i="76"/>
  <c r="AC229" i="76"/>
  <c r="BH460" i="76"/>
  <c r="BL549" i="76"/>
  <c r="AA356" i="76"/>
  <c r="Z80" i="76"/>
  <c r="BK899" i="76"/>
  <c r="BJ803" i="76"/>
  <c r="BH291" i="76"/>
  <c r="Z1019" i="76"/>
  <c r="Z114" i="76"/>
  <c r="AA178" i="76"/>
  <c r="AB307" i="76"/>
  <c r="AB107" i="76"/>
  <c r="BH216" i="76"/>
  <c r="AA584" i="76"/>
  <c r="BG422" i="76"/>
  <c r="BJ550" i="76"/>
  <c r="BI938" i="76"/>
  <c r="BI1056" i="76"/>
  <c r="AD697" i="76"/>
  <c r="BG453" i="76"/>
  <c r="AB418" i="76"/>
  <c r="BI632" i="76"/>
  <c r="AD359" i="76"/>
  <c r="BI370" i="76"/>
  <c r="BH615" i="76"/>
  <c r="BJ1034" i="76"/>
  <c r="AB353" i="76"/>
  <c r="BL510" i="76"/>
  <c r="BI675" i="76"/>
  <c r="BH589" i="76"/>
  <c r="BG676" i="76"/>
  <c r="BG348" i="76"/>
  <c r="BI1041" i="76"/>
  <c r="BH240" i="76"/>
  <c r="AC333" i="76"/>
  <c r="BK289" i="76"/>
  <c r="AA376" i="76"/>
  <c r="AB473" i="76"/>
  <c r="AE330" i="76"/>
  <c r="BL142" i="76"/>
  <c r="AE480" i="76"/>
  <c r="BL292" i="76"/>
  <c r="BH164" i="76"/>
  <c r="AA993" i="76"/>
  <c r="AA184" i="76"/>
  <c r="BI135" i="76"/>
  <c r="BJ528" i="76"/>
  <c r="AE625" i="76"/>
  <c r="BJ1053" i="76"/>
  <c r="BG128" i="76"/>
  <c r="BH521" i="76"/>
  <c r="AD158" i="76"/>
  <c r="BJ531" i="76"/>
  <c r="AD528" i="76"/>
  <c r="AE82" i="76"/>
  <c r="BH152" i="76"/>
  <c r="AE683" i="76"/>
  <c r="BH334" i="76"/>
  <c r="BJ175" i="76"/>
  <c r="AB990" i="76"/>
  <c r="BH894" i="76"/>
  <c r="BK146" i="76"/>
  <c r="BL539" i="76"/>
  <c r="AC788" i="76"/>
  <c r="AB117" i="76"/>
  <c r="BI139" i="76"/>
  <c r="BJ532" i="76"/>
  <c r="AC352" i="76"/>
  <c r="BJ110" i="76"/>
  <c r="BI569" i="76"/>
  <c r="BK675" i="76"/>
  <c r="AD74" i="76"/>
  <c r="BL102" i="76"/>
  <c r="Z184" i="76"/>
  <c r="BG276" i="76"/>
  <c r="BG602" i="76"/>
  <c r="BJ567" i="76"/>
  <c r="BG642" i="76"/>
  <c r="BJ148" i="76"/>
  <c r="BH667" i="76"/>
  <c r="BI827" i="76"/>
  <c r="BK137" i="76"/>
  <c r="BJ221" i="76"/>
  <c r="BJ104" i="76"/>
  <c r="BL161" i="76"/>
  <c r="BJ392" i="76"/>
  <c r="BK224" i="76"/>
  <c r="BH109" i="76"/>
  <c r="BI389" i="76"/>
  <c r="BL629" i="76"/>
  <c r="BG158" i="76"/>
  <c r="BI73" i="76"/>
  <c r="BL583" i="76"/>
  <c r="BK157" i="76"/>
  <c r="BH721" i="76"/>
  <c r="BH265" i="76"/>
  <c r="BI850" i="76"/>
  <c r="BK125" i="76"/>
  <c r="BL82" i="76"/>
  <c r="AD471" i="76"/>
  <c r="BH163" i="76"/>
  <c r="BK656" i="76"/>
  <c r="BG685" i="76"/>
  <c r="Z116" i="76"/>
  <c r="BH112" i="76"/>
  <c r="AD309" i="76"/>
  <c r="BH287" i="76"/>
  <c r="BI625" i="76"/>
  <c r="BL610" i="76"/>
  <c r="BK688" i="76"/>
  <c r="BJ253" i="76"/>
  <c r="BL793" i="76"/>
  <c r="BH881" i="76"/>
  <c r="BG211" i="76"/>
  <c r="BJ372" i="76"/>
  <c r="BG194" i="76"/>
  <c r="BH203" i="76"/>
  <c r="BL438" i="76"/>
  <c r="BI423" i="76"/>
  <c r="BH117" i="76"/>
  <c r="BI432" i="76"/>
  <c r="BJ670" i="76"/>
  <c r="BH309" i="76"/>
  <c r="BK81" i="76"/>
  <c r="BH625" i="76"/>
  <c r="BG523" i="76"/>
  <c r="BJ764" i="76"/>
  <c r="BL572" i="76"/>
  <c r="BL958" i="76"/>
  <c r="BL199" i="76"/>
  <c r="BH124" i="76"/>
  <c r="AC530" i="76"/>
  <c r="BJ174" i="76"/>
  <c r="BG674" i="76"/>
  <c r="BI696" i="76"/>
  <c r="AB159" i="76"/>
  <c r="BJ123" i="76"/>
  <c r="AC73" i="76"/>
  <c r="BJ298" i="76"/>
  <c r="BK648" i="76"/>
  <c r="BH652" i="76"/>
  <c r="BI729" i="76"/>
  <c r="BL379" i="76"/>
  <c r="BI102" i="76"/>
  <c r="BL982" i="76"/>
  <c r="BJ257" i="76"/>
  <c r="BK521" i="76"/>
  <c r="BG329" i="76"/>
  <c r="BJ246" i="76"/>
  <c r="BI479" i="76"/>
  <c r="BH590" i="76"/>
  <c r="BI153" i="76"/>
  <c r="BJ475" i="76"/>
  <c r="BH711" i="76"/>
  <c r="BL355" i="76"/>
  <c r="BL135" i="76"/>
  <c r="BJ668" i="76"/>
  <c r="BJ825" i="76"/>
  <c r="BK807" i="76"/>
  <c r="BG106" i="76"/>
  <c r="BK938" i="76"/>
  <c r="BG281" i="76"/>
  <c r="BJ167" i="76"/>
  <c r="Z671" i="76"/>
  <c r="BL185" i="76"/>
  <c r="BL78" i="76"/>
  <c r="AB455" i="76"/>
  <c r="BL229" i="76"/>
  <c r="BH132" i="76"/>
  <c r="AA905" i="76"/>
  <c r="BG998" i="76"/>
  <c r="BI103" i="76"/>
  <c r="BJ496" i="76"/>
  <c r="AD595" i="76"/>
  <c r="BJ989" i="76"/>
  <c r="BG96" i="76"/>
  <c r="BG841" i="76"/>
  <c r="BL797" i="76"/>
  <c r="AE523" i="76"/>
  <c r="BJ965" i="76"/>
  <c r="BG84" i="76"/>
  <c r="BG478" i="76"/>
  <c r="BH964" i="76"/>
  <c r="BI257" i="76"/>
  <c r="BI325" i="76"/>
  <c r="BK173" i="76"/>
  <c r="AE830" i="76"/>
  <c r="BI1009" i="76"/>
  <c r="BI215" i="76"/>
  <c r="BJ608" i="76"/>
  <c r="BK267" i="76"/>
  <c r="BG385" i="76"/>
  <c r="BJ586" i="76"/>
  <c r="BI388" i="76"/>
  <c r="AD756" i="76"/>
  <c r="BH1017" i="76"/>
  <c r="BG323" i="76"/>
  <c r="BJ716" i="76"/>
  <c r="BK378" i="76"/>
  <c r="BG495" i="76"/>
  <c r="BH803" i="76"/>
  <c r="BK240" i="76"/>
  <c r="AE1034" i="76"/>
  <c r="BK991" i="76"/>
  <c r="BJ440" i="76"/>
  <c r="BI832" i="76"/>
  <c r="BG490" i="76"/>
  <c r="BK613" i="76"/>
  <c r="BJ319" i="76"/>
  <c r="BK116" i="76"/>
  <c r="BH813" i="76"/>
  <c r="BK822" i="76"/>
  <c r="BJ1046" i="76"/>
  <c r="BL164" i="76"/>
  <c r="BG932" i="76"/>
  <c r="BJ214" i="76"/>
  <c r="BI447" i="76"/>
  <c r="BJ430" i="76"/>
  <c r="BH121" i="76"/>
  <c r="BJ471" i="76"/>
  <c r="BL709" i="76"/>
  <c r="BJ348" i="76"/>
  <c r="BH134" i="76"/>
  <c r="BI683" i="76"/>
  <c r="BK911" i="76"/>
  <c r="BJ690" i="76"/>
  <c r="BH85" i="76"/>
  <c r="BG79" i="76"/>
  <c r="BH399" i="76"/>
  <c r="BK879" i="76"/>
  <c r="BK444" i="76"/>
  <c r="BH201" i="76"/>
  <c r="AA127" i="76"/>
  <c r="AC327" i="76"/>
  <c r="BJ331" i="76"/>
  <c r="BG790" i="76"/>
  <c r="AA544" i="76"/>
  <c r="BG379" i="76"/>
  <c r="Z930" i="76"/>
  <c r="AA294" i="76"/>
  <c r="BJ264" i="76"/>
  <c r="BH470" i="76"/>
  <c r="BJ604" i="76"/>
  <c r="BK556" i="76"/>
  <c r="BG789" i="76"/>
  <c r="BK635" i="76"/>
  <c r="BH193" i="76"/>
  <c r="BI263" i="76"/>
  <c r="BK195" i="76"/>
  <c r="BG959" i="76"/>
  <c r="BI391" i="76"/>
  <c r="AE80" i="76"/>
  <c r="BJ520" i="76"/>
  <c r="BL506" i="76"/>
  <c r="BI295" i="76"/>
  <c r="AC784" i="76"/>
  <c r="BL457" i="76"/>
  <c r="BG1026" i="76"/>
  <c r="BH802" i="76"/>
  <c r="BJ617" i="76"/>
  <c r="AC479" i="76"/>
  <c r="AE117" i="76"/>
  <c r="BL171" i="76"/>
  <c r="BK875" i="76"/>
  <c r="BI291" i="76"/>
  <c r="BL560" i="76"/>
  <c r="Z388" i="76"/>
  <c r="BJ323" i="76"/>
  <c r="BK142" i="76"/>
  <c r="BH852" i="76"/>
  <c r="BL311" i="76"/>
  <c r="BL232" i="76"/>
  <c r="BK201" i="76"/>
  <c r="BG611" i="76"/>
  <c r="BJ469" i="76"/>
  <c r="BH156" i="76"/>
  <c r="BJ240" i="76"/>
  <c r="BL1042" i="76"/>
  <c r="BH110" i="76"/>
  <c r="BG817" i="76"/>
  <c r="BK311" i="76"/>
  <c r="BL727" i="76"/>
  <c r="BJ248" i="76"/>
  <c r="BH467" i="76"/>
  <c r="BH529" i="76"/>
  <c r="BG694" i="76"/>
  <c r="BJ425" i="76"/>
  <c r="BG806" i="76"/>
  <c r="BK298" i="76"/>
  <c r="BL532" i="76"/>
  <c r="BK159" i="76"/>
  <c r="BL132" i="76"/>
  <c r="BJ292" i="76"/>
  <c r="BK169" i="76"/>
  <c r="BG848" i="76"/>
  <c r="BJ983" i="76"/>
  <c r="BG294" i="76"/>
  <c r="BK696" i="76"/>
  <c r="BJ619" i="76"/>
  <c r="BL869" i="76"/>
  <c r="BK390" i="76"/>
  <c r="BK504" i="76"/>
  <c r="BK451" i="76"/>
  <c r="AA963" i="76"/>
  <c r="BJ794" i="76"/>
  <c r="BJ371" i="76"/>
  <c r="BG319" i="76"/>
  <c r="AE678" i="76"/>
  <c r="BJ127" i="76"/>
  <c r="BH1053" i="76"/>
  <c r="BH741" i="76"/>
  <c r="AA211" i="76"/>
  <c r="BJ409" i="76"/>
  <c r="Z832" i="76"/>
  <c r="AD553" i="76"/>
  <c r="AB245" i="76"/>
  <c r="BH722" i="76"/>
  <c r="BH339" i="76"/>
  <c r="BL449" i="76"/>
  <c r="BL131" i="76"/>
  <c r="BK152" i="76"/>
  <c r="BI426" i="76"/>
  <c r="BK356" i="76"/>
  <c r="BK867" i="76"/>
  <c r="BI415" i="76"/>
  <c r="BK890" i="76"/>
  <c r="BH775" i="76"/>
  <c r="BI662" i="76"/>
  <c r="BJ883" i="76"/>
  <c r="BK178" i="76"/>
  <c r="BK400" i="76"/>
  <c r="BI805" i="76"/>
  <c r="BH168" i="76"/>
  <c r="BI993" i="76"/>
  <c r="BH979" i="76"/>
  <c r="AD377" i="76"/>
  <c r="BI114" i="76"/>
  <c r="BG310" i="76"/>
  <c r="BK384" i="76"/>
  <c r="BG839" i="76"/>
  <c r="AD124" i="76"/>
  <c r="BL759" i="76"/>
  <c r="BK430" i="76"/>
  <c r="BJ562" i="76"/>
  <c r="BH1050" i="76"/>
  <c r="AA331" i="76"/>
  <c r="BK102" i="76"/>
  <c r="BL521" i="76"/>
  <c r="BG398" i="76"/>
  <c r="BK126" i="76"/>
  <c r="BG308" i="76"/>
  <c r="BH69" i="76"/>
  <c r="BH206" i="76"/>
  <c r="AB320" i="76"/>
  <c r="AD555" i="76"/>
  <c r="AC723" i="76"/>
  <c r="Z159" i="76"/>
  <c r="BG833" i="76"/>
  <c r="BK701" i="76"/>
  <c r="BK553" i="76"/>
  <c r="BG191" i="76"/>
  <c r="BL175" i="76"/>
  <c r="BJ781" i="76"/>
  <c r="BL429" i="76"/>
  <c r="BI74" i="76"/>
  <c r="BJ786" i="76"/>
  <c r="BG682" i="76"/>
  <c r="BK756" i="76"/>
  <c r="BI489" i="76"/>
  <c r="Z981" i="76"/>
  <c r="BG388" i="76"/>
  <c r="AC798" i="76"/>
  <c r="BH300" i="76"/>
  <c r="AD743" i="76"/>
  <c r="BJ682" i="76"/>
  <c r="BJ315" i="76"/>
  <c r="Z581" i="76"/>
  <c r="BL784" i="76"/>
  <c r="AC448" i="76"/>
  <c r="BH650" i="76"/>
  <c r="AC325" i="76"/>
  <c r="BJ513" i="76"/>
  <c r="AD679" i="76"/>
  <c r="BJ125" i="76"/>
  <c r="BH762" i="76"/>
  <c r="BG850" i="76"/>
  <c r="Z961" i="76"/>
  <c r="BK192" i="76"/>
  <c r="BJ649" i="76"/>
  <c r="BI736" i="76"/>
  <c r="AE829" i="76"/>
  <c r="BG143" i="76"/>
  <c r="BH538" i="76"/>
  <c r="BI628" i="76"/>
  <c r="AA317" i="76"/>
  <c r="BJ84" i="76"/>
  <c r="BI411" i="76"/>
  <c r="BG497" i="76"/>
  <c r="AA261" i="76"/>
  <c r="BL543" i="76"/>
  <c r="BG644" i="76"/>
  <c r="BL843" i="76"/>
  <c r="BK742" i="76"/>
  <c r="BL495" i="76"/>
  <c r="AB192" i="76"/>
  <c r="BG812" i="76"/>
  <c r="BH973" i="76"/>
  <c r="Z899" i="76"/>
  <c r="AE171" i="76"/>
  <c r="BJ83" i="76"/>
  <c r="BH113" i="76"/>
  <c r="BH157" i="76"/>
  <c r="BK479" i="76"/>
  <c r="BI834" i="76"/>
  <c r="BG267" i="76"/>
  <c r="BG393" i="76"/>
  <c r="BH249" i="76"/>
  <c r="AA570" i="76"/>
  <c r="BL504" i="76"/>
  <c r="BJ328" i="76"/>
  <c r="BJ514" i="76"/>
  <c r="BI328" i="76"/>
  <c r="Z547" i="76"/>
  <c r="AC656" i="76"/>
  <c r="BJ820" i="76"/>
  <c r="BJ1011" i="76"/>
  <c r="BH853" i="76"/>
  <c r="BK508" i="76"/>
  <c r="BH598" i="76"/>
  <c r="BJ438" i="76"/>
  <c r="BK80" i="76"/>
  <c r="BK414" i="76"/>
  <c r="BI523" i="76"/>
  <c r="BG1031" i="76"/>
  <c r="AA159" i="76"/>
  <c r="AA732" i="76"/>
  <c r="BL513" i="76"/>
  <c r="BJ750" i="76"/>
  <c r="BK582" i="76"/>
  <c r="BL193" i="76"/>
  <c r="BI1063" i="76"/>
  <c r="BI253" i="76"/>
  <c r="BH495" i="76"/>
  <c r="BJ705" i="76"/>
  <c r="BI221" i="76"/>
  <c r="BL918" i="76"/>
  <c r="BI545" i="76"/>
  <c r="BH658" i="76"/>
  <c r="BG679" i="76"/>
  <c r="BH575" i="76"/>
  <c r="BH169" i="76"/>
  <c r="AE70" i="76"/>
  <c r="BK419" i="76"/>
  <c r="BI194" i="76"/>
  <c r="BG359" i="76"/>
  <c r="AC342" i="76"/>
  <c r="AB198" i="76"/>
  <c r="AA113" i="76"/>
  <c r="Z82" i="76"/>
  <c r="AC359" i="76"/>
  <c r="BL746" i="76"/>
  <c r="Z231" i="76"/>
  <c r="BH664" i="76"/>
  <c r="AD708" i="76"/>
  <c r="AE167" i="76"/>
  <c r="BG949" i="76"/>
  <c r="BL876" i="76"/>
  <c r="AE179" i="76"/>
  <c r="AE984" i="76"/>
  <c r="BK1031" i="76"/>
  <c r="AD869" i="76"/>
  <c r="AE1038" i="76"/>
  <c r="AD175" i="76"/>
  <c r="AC193" i="76"/>
  <c r="BK1012" i="76"/>
  <c r="BI952" i="76"/>
  <c r="AA922" i="76"/>
  <c r="BH870" i="76"/>
  <c r="AC556" i="76"/>
  <c r="AA897" i="76"/>
  <c r="AA670" i="76"/>
  <c r="BH970" i="76"/>
  <c r="BJ898" i="76"/>
  <c r="BJ1048" i="76"/>
  <c r="Z724" i="76"/>
  <c r="BL967" i="76"/>
  <c r="AE536" i="76"/>
  <c r="AA769" i="76"/>
  <c r="BJ615" i="76"/>
  <c r="BJ927" i="76"/>
  <c r="BJ994" i="76"/>
  <c r="Z525" i="76"/>
  <c r="BH819" i="76"/>
  <c r="AC681" i="76"/>
  <c r="AA240" i="76"/>
  <c r="BL643" i="76"/>
  <c r="AA678" i="76"/>
  <c r="BK562" i="76"/>
  <c r="BL984" i="76"/>
  <c r="BH903" i="76"/>
  <c r="BI175" i="76"/>
  <c r="AD583" i="76"/>
  <c r="AD279" i="76"/>
  <c r="BJ158" i="76"/>
  <c r="AE552" i="76"/>
  <c r="BK814" i="76"/>
  <c r="BI958" i="76"/>
  <c r="BG802" i="76"/>
  <c r="BJ826" i="76"/>
  <c r="BL559" i="76"/>
  <c r="AC422" i="76"/>
  <c r="Z242" i="76"/>
  <c r="AE256" i="76"/>
  <c r="AD245" i="76"/>
  <c r="BK720" i="76"/>
  <c r="BJ559" i="76"/>
  <c r="BK486" i="76"/>
  <c r="BH827" i="76"/>
  <c r="BJ592" i="76"/>
  <c r="AD292" i="76"/>
  <c r="BG733" i="76"/>
  <c r="BJ583" i="76"/>
  <c r="AE822" i="76"/>
  <c r="BI780" i="76"/>
  <c r="BI1000" i="76"/>
  <c r="BK250" i="76"/>
  <c r="AA515" i="76"/>
  <c r="BK1042" i="76"/>
  <c r="BI681" i="76"/>
  <c r="BI559" i="76"/>
  <c r="Z333" i="76"/>
  <c r="BL85" i="76"/>
  <c r="BL906" i="76"/>
  <c r="BL822" i="76"/>
  <c r="Z975" i="76"/>
  <c r="BG1059" i="76"/>
  <c r="BG653" i="76"/>
  <c r="BJ742" i="76"/>
  <c r="Z234" i="76"/>
  <c r="BH624" i="76"/>
  <c r="BH80" i="76"/>
  <c r="BK704" i="76"/>
  <c r="AC282" i="76"/>
  <c r="BH612" i="76"/>
  <c r="BL74" i="76"/>
  <c r="AD210" i="76"/>
  <c r="AE177" i="76"/>
  <c r="BH95" i="76"/>
  <c r="BI939" i="76"/>
  <c r="BH832" i="76"/>
  <c r="BG546" i="76"/>
  <c r="BH1016" i="76"/>
  <c r="BI664" i="76"/>
  <c r="BL765" i="76"/>
  <c r="AC310" i="76"/>
  <c r="BL646" i="76"/>
  <c r="BJ91" i="76"/>
  <c r="BG722" i="76"/>
  <c r="AD107" i="76"/>
  <c r="BL634" i="76"/>
  <c r="BH84" i="76"/>
  <c r="AE730" i="76"/>
  <c r="AE746" i="76"/>
  <c r="BJ942" i="76"/>
  <c r="BL165" i="76"/>
  <c r="Z726" i="76"/>
  <c r="BI71" i="76"/>
  <c r="Z639" i="76"/>
  <c r="BG987" i="76"/>
  <c r="BL733" i="76"/>
  <c r="Z121" i="76"/>
  <c r="BG415" i="76"/>
  <c r="BJ193" i="76"/>
  <c r="BG582" i="76"/>
  <c r="BL881" i="76"/>
  <c r="BJ544" i="76"/>
  <c r="BH321" i="76"/>
  <c r="BH763" i="76"/>
  <c r="BI890" i="76"/>
  <c r="BJ652" i="76"/>
  <c r="BI431" i="76"/>
  <c r="BK697" i="76"/>
  <c r="BH862" i="76"/>
  <c r="BJ768" i="76"/>
  <c r="BK549" i="76"/>
  <c r="BJ613" i="76"/>
  <c r="BL566" i="76"/>
  <c r="BL143" i="76"/>
  <c r="BI843" i="76"/>
  <c r="BG278" i="76"/>
  <c r="BH215" i="76"/>
  <c r="BL437" i="76"/>
  <c r="BK427" i="76"/>
  <c r="AB253" i="76"/>
  <c r="AD338" i="76"/>
  <c r="BL877" i="76"/>
  <c r="BJ186" i="76"/>
  <c r="AA984" i="76"/>
  <c r="BK82" i="76"/>
  <c r="AA473" i="76"/>
  <c r="BI75" i="76"/>
  <c r="BH751" i="76"/>
  <c r="BG880" i="76"/>
  <c r="BL436" i="76"/>
  <c r="BL216" i="76"/>
  <c r="BI765" i="76"/>
  <c r="BL924" i="76"/>
  <c r="BH565" i="76"/>
  <c r="BJ344" i="76"/>
  <c r="BG95" i="76"/>
  <c r="BK932" i="76"/>
  <c r="BH673" i="76"/>
  <c r="BJ454" i="76"/>
  <c r="BH983" i="76"/>
  <c r="BI905" i="76"/>
  <c r="BH789" i="76"/>
  <c r="BG567" i="76"/>
  <c r="BK812" i="76"/>
  <c r="BJ651" i="76"/>
  <c r="BK372" i="76"/>
  <c r="BL1050" i="76"/>
  <c r="BI594" i="76"/>
  <c r="BL300" i="76"/>
  <c r="BL748" i="76"/>
  <c r="BG512" i="76"/>
  <c r="Z294" i="76"/>
  <c r="AD366" i="76"/>
  <c r="BL1034" i="76"/>
  <c r="BH207" i="76"/>
  <c r="AB885" i="76"/>
  <c r="BG92" i="76"/>
  <c r="AC532" i="76"/>
  <c r="BK86" i="76"/>
  <c r="BJ774" i="76"/>
  <c r="BG923" i="76"/>
  <c r="BI457" i="76"/>
  <c r="BH234" i="76"/>
  <c r="BI90" i="76"/>
  <c r="BG966" i="76"/>
  <c r="BL587" i="76"/>
  <c r="BL367" i="76"/>
  <c r="BJ205" i="76"/>
  <c r="BL975" i="76"/>
  <c r="BL695" i="76"/>
  <c r="BL477" i="76"/>
  <c r="BK117" i="76"/>
  <c r="BI948" i="76"/>
  <c r="BK811" i="76"/>
  <c r="BI590" i="76"/>
  <c r="BJ108" i="76"/>
  <c r="BH736" i="76"/>
  <c r="BL761" i="76"/>
  <c r="BL129" i="76"/>
  <c r="BG98" i="76"/>
  <c r="BI385" i="76"/>
  <c r="BG146" i="76"/>
  <c r="BK598" i="76"/>
  <c r="AC367" i="76"/>
  <c r="AB403" i="76"/>
  <c r="BL345" i="76"/>
  <c r="AD568" i="76"/>
  <c r="BG612" i="76"/>
  <c r="BL325" i="76"/>
  <c r="BL807" i="76"/>
  <c r="BJ916" i="76"/>
  <c r="BJ274" i="76"/>
  <c r="BL667" i="76"/>
  <c r="AC669" i="76"/>
  <c r="BL904" i="76"/>
  <c r="BH267" i="76"/>
  <c r="BJ95" i="76"/>
  <c r="BK87" i="76"/>
  <c r="Z816" i="76"/>
  <c r="Z243" i="76"/>
  <c r="BH255" i="76"/>
  <c r="BJ648" i="76"/>
  <c r="BJ307" i="76"/>
  <c r="BG424" i="76"/>
  <c r="BJ666" i="76"/>
  <c r="BG683" i="76"/>
  <c r="AE812" i="76"/>
  <c r="BL884" i="76"/>
  <c r="BH386" i="76"/>
  <c r="BL779" i="76"/>
  <c r="BK441" i="76"/>
  <c r="BI558" i="76"/>
  <c r="BL1026" i="76"/>
  <c r="BJ709" i="76"/>
  <c r="BJ367" i="76"/>
  <c r="AA101" i="76"/>
  <c r="BJ495" i="76"/>
  <c r="BJ938" i="76"/>
  <c r="BK568" i="76"/>
  <c r="BK669" i="76"/>
  <c r="BK804" i="76"/>
  <c r="BH185" i="76"/>
  <c r="BG413" i="76"/>
  <c r="AA162" i="76"/>
  <c r="BH720" i="76"/>
  <c r="BH128" i="76"/>
  <c r="BK800" i="76"/>
  <c r="BI782" i="76"/>
  <c r="BH747" i="76"/>
  <c r="BJ414" i="76"/>
  <c r="BJ411" i="76"/>
  <c r="BI619" i="76"/>
  <c r="BH861" i="76"/>
  <c r="BI490" i="76"/>
  <c r="BL271" i="76"/>
  <c r="BI936" i="76"/>
  <c r="BG169" i="76"/>
  <c r="BK769" i="76"/>
  <c r="BH550" i="76"/>
  <c r="BI975" i="76"/>
  <c r="BI299" i="76"/>
  <c r="BH74" i="76"/>
  <c r="BI813" i="76"/>
  <c r="AA341" i="76"/>
  <c r="BG403" i="76"/>
  <c r="BL529" i="76"/>
  <c r="BK328" i="76"/>
  <c r="AC260" i="76"/>
  <c r="BL964" i="76"/>
  <c r="BL251" i="76"/>
  <c r="BI356" i="76"/>
  <c r="BL434" i="76"/>
  <c r="BG1036" i="76"/>
  <c r="BJ780" i="76"/>
  <c r="BG791" i="76"/>
  <c r="BJ176" i="76"/>
  <c r="AB277" i="76"/>
  <c r="BI232" i="76"/>
  <c r="AA88" i="76"/>
  <c r="BH841" i="76"/>
  <c r="BI570" i="76"/>
  <c r="BJ87" i="76"/>
  <c r="BI324" i="76"/>
  <c r="AC582" i="76"/>
  <c r="BK760" i="76"/>
  <c r="BK488" i="76"/>
  <c r="AC674" i="76"/>
  <c r="BG874" i="76"/>
  <c r="BH189" i="76"/>
  <c r="BK593" i="76"/>
  <c r="BH838" i="76"/>
  <c r="BG496" i="76"/>
  <c r="BI521" i="76"/>
  <c r="BL467" i="76"/>
  <c r="AD563" i="76"/>
  <c r="BG1040" i="76"/>
  <c r="BJ661" i="76"/>
  <c r="BH459" i="76"/>
  <c r="BK181" i="76"/>
  <c r="BG779" i="76"/>
  <c r="BI592" i="76"/>
  <c r="BH359" i="76"/>
  <c r="BI778" i="76"/>
  <c r="BI458" i="76"/>
  <c r="BL290" i="76"/>
  <c r="BK280" i="76"/>
  <c r="BK463" i="76"/>
  <c r="Z511" i="76"/>
  <c r="BL195" i="76"/>
  <c r="BL768" i="76"/>
  <c r="BH428" i="76"/>
  <c r="BH270" i="76"/>
  <c r="BG455" i="76"/>
  <c r="BH651" i="76"/>
  <c r="BH78" i="76"/>
  <c r="BI351" i="76"/>
  <c r="BJ685" i="76"/>
  <c r="BK235" i="76"/>
  <c r="BI486" i="76"/>
  <c r="BG137" i="76"/>
  <c r="BG305" i="76"/>
  <c r="BH1023" i="76"/>
  <c r="BG763" i="76"/>
  <c r="BK104" i="76"/>
  <c r="BL493" i="76"/>
  <c r="BG400" i="76"/>
  <c r="BH274" i="76"/>
  <c r="BJ173" i="76"/>
  <c r="BG746" i="76"/>
  <c r="BL827" i="76"/>
  <c r="BI497" i="76"/>
  <c r="AB1003" i="76"/>
  <c r="BG819" i="76"/>
  <c r="BK386" i="76"/>
  <c r="BK333" i="76"/>
  <c r="AA703" i="76"/>
  <c r="BL593" i="76"/>
  <c r="BI268" i="76"/>
  <c r="BG216" i="76"/>
  <c r="AD1028" i="76"/>
  <c r="BI373" i="76"/>
  <c r="AC483" i="76"/>
  <c r="BG108" i="76"/>
  <c r="AC724" i="76"/>
  <c r="BJ132" i="76"/>
  <c r="BH770" i="76"/>
  <c r="BJ862" i="76"/>
  <c r="AC400" i="76"/>
  <c r="BL767" i="76"/>
  <c r="AB502" i="76"/>
  <c r="BI402" i="76"/>
  <c r="BJ1001" i="76"/>
  <c r="BK946" i="76"/>
  <c r="AE327" i="76"/>
  <c r="BL1019" i="76"/>
  <c r="AD632" i="76"/>
  <c r="BI996" i="76"/>
  <c r="BH837" i="76"/>
  <c r="BI225" i="76"/>
  <c r="AB487" i="76"/>
  <c r="BI214" i="76"/>
  <c r="BI602" i="76"/>
  <c r="Z191" i="76"/>
  <c r="BG476" i="76"/>
  <c r="Z334" i="76"/>
  <c r="BL388" i="76"/>
  <c r="BH730" i="76"/>
  <c r="BJ677" i="76"/>
  <c r="BI561" i="76"/>
  <c r="BH1028" i="76"/>
  <c r="BJ782" i="76"/>
  <c r="BH469" i="76"/>
  <c r="BL108" i="76"/>
  <c r="BG377" i="76"/>
  <c r="BI288" i="76"/>
  <c r="BJ199" i="76"/>
  <c r="BJ509" i="76"/>
  <c r="Z973" i="76"/>
  <c r="BH593" i="76"/>
  <c r="BJ165" i="76"/>
  <c r="BK483" i="76"/>
  <c r="BL264" i="76"/>
  <c r="BJ642" i="76"/>
  <c r="BI94" i="76"/>
  <c r="BG469" i="76"/>
  <c r="BK901" i="76"/>
  <c r="BL687" i="76"/>
  <c r="BK239" i="76"/>
  <c r="BI81" i="76"/>
  <c r="BH173" i="76"/>
  <c r="BH82" i="76"/>
  <c r="BJ757" i="76"/>
  <c r="BG556" i="76"/>
  <c r="BK970" i="76"/>
  <c r="BJ1033" i="76"/>
  <c r="BG672" i="76"/>
  <c r="BH656" i="76"/>
  <c r="BJ358" i="76"/>
  <c r="BI970" i="76"/>
  <c r="AC270" i="76"/>
  <c r="Z269" i="76"/>
  <c r="AE239" i="76"/>
  <c r="AC759" i="76"/>
  <c r="AE432" i="76"/>
  <c r="AB485" i="76"/>
  <c r="Z522" i="76"/>
  <c r="BL664" i="76"/>
  <c r="AE368" i="76"/>
  <c r="BH546" i="76"/>
  <c r="Z359" i="76"/>
  <c r="BI450" i="76"/>
  <c r="AA542" i="76"/>
  <c r="BI364" i="76"/>
  <c r="AA220" i="76"/>
  <c r="BJ805" i="76"/>
  <c r="BH714" i="76"/>
  <c r="AB127" i="76"/>
  <c r="BL848" i="76"/>
  <c r="AC136" i="76"/>
  <c r="BG711" i="76"/>
  <c r="AC430" i="76"/>
  <c r="BI574" i="76"/>
  <c r="BH921" i="76"/>
  <c r="BJ149" i="76"/>
  <c r="BL425" i="76"/>
  <c r="BK511" i="76"/>
  <c r="AB311" i="76"/>
  <c r="BG154" i="76"/>
  <c r="BG309" i="76"/>
  <c r="BL396" i="76"/>
  <c r="AB345" i="76"/>
  <c r="BG734" i="76"/>
  <c r="BK204" i="76"/>
  <c r="BL289" i="76"/>
  <c r="AB95" i="76"/>
  <c r="BL476" i="76"/>
  <c r="BJ813" i="76"/>
  <c r="BL158" i="76"/>
  <c r="AB137" i="76"/>
  <c r="BI311" i="76"/>
  <c r="BG847" i="76"/>
  <c r="BK185" i="76"/>
  <c r="BJ864" i="76"/>
  <c r="BK103" i="76"/>
  <c r="BL1000" i="76"/>
  <c r="BK122" i="76"/>
  <c r="BK586" i="76"/>
  <c r="AA251" i="76"/>
  <c r="Z174" i="76"/>
  <c r="BH320" i="76"/>
  <c r="AD703" i="76"/>
  <c r="AA521" i="76"/>
  <c r="BK536" i="76"/>
  <c r="BG766" i="76"/>
  <c r="BL172" i="76"/>
  <c r="BL911" i="76"/>
  <c r="BJ1049" i="76"/>
  <c r="BL114" i="76"/>
  <c r="BK641" i="76"/>
  <c r="BL777" i="76"/>
  <c r="BH81" i="76"/>
  <c r="AB564" i="76"/>
  <c r="Z158" i="76"/>
  <c r="BK1052" i="76"/>
  <c r="BH549" i="76"/>
  <c r="BG661" i="76"/>
  <c r="BH1038" i="76"/>
  <c r="AA80" i="76"/>
  <c r="Z90" i="76"/>
  <c r="AB227" i="76"/>
  <c r="AB545" i="76"/>
  <c r="Z107" i="76"/>
  <c r="AE166" i="76"/>
  <c r="BJ577" i="76"/>
  <c r="BG341" i="76"/>
  <c r="BG718" i="76"/>
  <c r="BL283" i="76"/>
  <c r="BI434" i="76"/>
  <c r="BL219" i="76"/>
  <c r="BI399" i="76"/>
  <c r="BK821" i="76"/>
  <c r="BH497" i="76"/>
  <c r="AA139" i="76"/>
  <c r="AD429" i="76"/>
  <c r="BG538" i="76"/>
  <c r="BJ211" i="76"/>
  <c r="BK753" i="76"/>
  <c r="BL356" i="76"/>
  <c r="BK237" i="76"/>
  <c r="BI162" i="76"/>
  <c r="BI899" i="76"/>
  <c r="BJ801" i="76"/>
  <c r="BH614" i="76"/>
  <c r="AC100" i="76"/>
  <c r="BH821" i="76"/>
  <c r="BK394" i="76"/>
  <c r="BK559" i="76"/>
  <c r="AA708" i="76"/>
  <c r="AD437" i="76"/>
  <c r="AE429" i="76"/>
  <c r="AE162" i="76"/>
  <c r="AE229" i="76"/>
  <c r="BI831" i="76"/>
  <c r="AE421" i="76"/>
  <c r="BL750" i="76"/>
  <c r="AC986" i="76"/>
  <c r="Z570" i="76"/>
  <c r="AD241" i="76"/>
  <c r="BK1047" i="76"/>
  <c r="AE374" i="76"/>
  <c r="BL586" i="76"/>
  <c r="AE213" i="76"/>
  <c r="BH504" i="76"/>
  <c r="Z939" i="76"/>
  <c r="AE112" i="76"/>
  <c r="BH1045" i="76"/>
  <c r="BJ972" i="76"/>
  <c r="BG1037" i="76"/>
  <c r="AB922" i="76"/>
  <c r="BI956" i="76"/>
  <c r="AB787" i="76"/>
  <c r="AB668" i="76"/>
  <c r="AB960" i="76"/>
  <c r="BJ925" i="76"/>
  <c r="BL1068" i="76"/>
  <c r="BJ877" i="76"/>
  <c r="AB817" i="76"/>
  <c r="BJ1052" i="76"/>
  <c r="AD934" i="76"/>
  <c r="AA168" i="76"/>
  <c r="BH71" i="76"/>
  <c r="BL1030" i="76"/>
  <c r="BL1033" i="76"/>
  <c r="AC790" i="76"/>
  <c r="BK990" i="76"/>
  <c r="AC564" i="76"/>
  <c r="AB493" i="76"/>
  <c r="BJ728" i="76"/>
  <c r="AB800" i="76"/>
  <c r="BH959" i="76"/>
  <c r="BH938" i="76"/>
  <c r="Z110" i="76"/>
  <c r="BL261" i="76"/>
  <c r="AA682" i="76"/>
  <c r="AB534" i="76"/>
  <c r="BI499" i="76"/>
  <c r="Z636" i="76"/>
  <c r="BH99" i="76"/>
  <c r="BG100" i="76"/>
  <c r="BI242" i="76"/>
  <c r="BG1000" i="76"/>
  <c r="BK815" i="76"/>
  <c r="AC106" i="76"/>
  <c r="AB466" i="76"/>
  <c r="AE132" i="76"/>
  <c r="AB626" i="76"/>
  <c r="BG823" i="76"/>
  <c r="BJ751" i="76"/>
  <c r="BJ678" i="76"/>
  <c r="BG925" i="76"/>
  <c r="BL763" i="76"/>
  <c r="AD301" i="76"/>
  <c r="BL818" i="76"/>
  <c r="BK380" i="76"/>
  <c r="AE441" i="76"/>
  <c r="BG196" i="76"/>
  <c r="AB232" i="76"/>
  <c r="BJ346" i="76"/>
  <c r="Z343" i="76"/>
  <c r="BG124" i="76"/>
  <c r="BG290" i="76"/>
  <c r="BK1053" i="76"/>
  <c r="AC140" i="76"/>
  <c r="BG425" i="76"/>
  <c r="BL344" i="76"/>
  <c r="BJ934" i="76"/>
  <c r="BJ824" i="76"/>
  <c r="BG915" i="76"/>
  <c r="BG749" i="76"/>
  <c r="BK71" i="76"/>
  <c r="Z843" i="76"/>
  <c r="BJ795" i="76"/>
  <c r="BL166" i="76"/>
  <c r="BL953" i="76"/>
  <c r="AD152" i="76"/>
  <c r="BJ783" i="76"/>
  <c r="BJ159" i="76"/>
  <c r="AB659" i="76"/>
  <c r="AC418" i="76"/>
  <c r="BI436" i="76"/>
  <c r="BH354" i="76"/>
  <c r="BG1060" i="76"/>
  <c r="BK861" i="76"/>
  <c r="BK937" i="76"/>
  <c r="BI760" i="76"/>
  <c r="BG81" i="76"/>
  <c r="AE149" i="76"/>
  <c r="BG816" i="76"/>
  <c r="BH176" i="76"/>
  <c r="BI1038" i="76"/>
  <c r="AA267" i="76"/>
  <c r="BH804" i="76"/>
  <c r="BL170" i="76"/>
  <c r="AB590" i="76"/>
  <c r="AD637" i="76"/>
  <c r="BL313" i="76"/>
  <c r="BG548" i="76"/>
  <c r="BI721" i="76"/>
  <c r="BK242" i="76"/>
  <c r="AE651" i="76"/>
  <c r="BI235" i="76"/>
  <c r="BL854" i="76"/>
  <c r="BG962" i="76"/>
  <c r="BJ584" i="76"/>
  <c r="BH361" i="76"/>
  <c r="BH198" i="76"/>
  <c r="BJ1012" i="76"/>
  <c r="BL715" i="76"/>
  <c r="BI494" i="76"/>
  <c r="BI233" i="76"/>
  <c r="BK975" i="76"/>
  <c r="BK823" i="76"/>
  <c r="BK605" i="76"/>
  <c r="BI113" i="76"/>
  <c r="AB93" i="76"/>
  <c r="BK965" i="76"/>
  <c r="BI718" i="76"/>
  <c r="BL286" i="76"/>
  <c r="BH362" i="76"/>
  <c r="BG123" i="76"/>
  <c r="BG640" i="76"/>
  <c r="BK513" i="76"/>
  <c r="BI940" i="76"/>
  <c r="BG771" i="76"/>
  <c r="BG887" i="76"/>
  <c r="AE652" i="76"/>
  <c r="AD557" i="76"/>
  <c r="BH323" i="76"/>
  <c r="BK570" i="76"/>
  <c r="BK744" i="76"/>
  <c r="BL253" i="76"/>
  <c r="Z720" i="76"/>
  <c r="BK246" i="76"/>
  <c r="BL946" i="76"/>
  <c r="BI1005" i="76"/>
  <c r="BH605" i="76"/>
  <c r="BI384" i="76"/>
  <c r="BG381" i="76"/>
  <c r="BL1055" i="76"/>
  <c r="BJ736" i="76"/>
  <c r="BK517" i="76"/>
  <c r="BK375" i="76"/>
  <c r="BG1017" i="76"/>
  <c r="BI844" i="76"/>
  <c r="BG623" i="76"/>
  <c r="BK121" i="76"/>
  <c r="Z109" i="76"/>
  <c r="BL86" i="76"/>
  <c r="BK741" i="76"/>
  <c r="BJ327" i="76"/>
  <c r="BH448" i="76"/>
  <c r="BL323" i="76"/>
  <c r="BK726" i="76"/>
  <c r="BG595" i="76"/>
  <c r="BG1020" i="76"/>
  <c r="BL863" i="76"/>
  <c r="BG1056" i="76"/>
  <c r="AD711" i="76"/>
  <c r="AA594" i="76"/>
  <c r="BJ334" i="76"/>
  <c r="BI591" i="76"/>
  <c r="BI785" i="76"/>
  <c r="BH263" i="76"/>
  <c r="AE866" i="76"/>
  <c r="BL257" i="76"/>
  <c r="BI76" i="76"/>
  <c r="BK1048" i="76"/>
  <c r="BL627" i="76"/>
  <c r="BL406" i="76"/>
  <c r="BI530" i="76"/>
  <c r="AA361" i="76"/>
  <c r="BH757" i="76"/>
  <c r="BG535" i="76"/>
  <c r="BH558" i="76"/>
  <c r="BI1060" i="76"/>
  <c r="BH871" i="76"/>
  <c r="BI646" i="76"/>
  <c r="BG151" i="76"/>
  <c r="AE313" i="76"/>
  <c r="BJ107" i="76"/>
  <c r="BG759" i="76"/>
  <c r="BH368" i="76"/>
  <c r="BK534" i="76"/>
  <c r="BL410" i="76"/>
  <c r="BH811" i="76"/>
  <c r="BI682" i="76"/>
  <c r="BG1039" i="76"/>
  <c r="BI146" i="76"/>
  <c r="AC132" i="76"/>
  <c r="Z418" i="76"/>
  <c r="AD636" i="76"/>
  <c r="BG609" i="76"/>
  <c r="AE706" i="76"/>
  <c r="BH924" i="76"/>
  <c r="BK515" i="76"/>
  <c r="BI463" i="76"/>
  <c r="AC121" i="76"/>
  <c r="BH445" i="76"/>
  <c r="BG837" i="76"/>
  <c r="AE1010" i="76"/>
  <c r="BG989" i="76"/>
  <c r="BL439" i="76"/>
  <c r="BL202" i="76"/>
  <c r="BI172" i="76"/>
  <c r="Z966" i="76"/>
  <c r="BG965" i="76"/>
  <c r="BL427" i="76"/>
  <c r="BK819" i="76"/>
  <c r="BL480" i="76"/>
  <c r="BI598" i="76"/>
  <c r="BL191" i="76"/>
  <c r="BG111" i="76"/>
  <c r="BK676" i="76"/>
  <c r="AE307" i="76"/>
  <c r="BL614" i="76"/>
  <c r="BJ75" i="76"/>
  <c r="BG690" i="76"/>
  <c r="BG727" i="76"/>
  <c r="BL260" i="76"/>
  <c r="BH304" i="76"/>
  <c r="BJ888" i="76"/>
  <c r="AA89" i="76"/>
  <c r="BG832" i="76"/>
  <c r="BJ183" i="76"/>
  <c r="BG139" i="76"/>
  <c r="BI838" i="76"/>
  <c r="BL228" i="76"/>
  <c r="BG526" i="76"/>
  <c r="BK108" i="76"/>
  <c r="AD138" i="76"/>
  <c r="BL177" i="76"/>
  <c r="BH299" i="76"/>
  <c r="BG409" i="76"/>
  <c r="BI213" i="76"/>
  <c r="BK295" i="76"/>
  <c r="BI757" i="76"/>
  <c r="BI70" i="76"/>
  <c r="BJ1031" i="76"/>
  <c r="BG372" i="76"/>
  <c r="BH146" i="76"/>
  <c r="BL223" i="76"/>
  <c r="BL1028" i="76"/>
  <c r="BJ508" i="76"/>
  <c r="BL287" i="76"/>
  <c r="BK450" i="76"/>
  <c r="AA77" i="76"/>
  <c r="BH637" i="76"/>
  <c r="BJ415" i="76"/>
  <c r="BK585" i="76"/>
  <c r="AB80" i="76"/>
  <c r="BL743" i="76"/>
  <c r="BL107" i="76"/>
  <c r="BL588" i="76"/>
  <c r="BI496" i="76"/>
  <c r="BI477" i="76"/>
  <c r="BJ597" i="76"/>
  <c r="BL641" i="76"/>
  <c r="BH1006" i="76"/>
  <c r="BK162" i="76"/>
  <c r="BI305" i="76"/>
  <c r="BJ419" i="76"/>
  <c r="BL188" i="76"/>
  <c r="BG279" i="76"/>
  <c r="AA783" i="76"/>
  <c r="BL399" i="76"/>
  <c r="BJ868" i="76"/>
  <c r="BI196" i="76"/>
  <c r="BI365" i="76"/>
  <c r="BL577" i="76"/>
  <c r="BL173" i="76"/>
  <c r="BJ81" i="76"/>
  <c r="BG206" i="76"/>
  <c r="BK642" i="76"/>
  <c r="BJ809" i="76"/>
  <c r="BI654" i="76"/>
  <c r="BL537" i="76"/>
  <c r="Z694" i="76"/>
  <c r="BK799" i="76"/>
  <c r="BK244" i="76"/>
  <c r="BH649" i="76"/>
  <c r="BI937" i="76"/>
  <c r="BI695" i="76"/>
  <c r="BI149" i="76"/>
  <c r="BH450" i="76"/>
  <c r="AD326" i="76"/>
  <c r="AD617" i="76"/>
  <c r="BL861" i="76"/>
  <c r="BH269" i="76"/>
  <c r="BL363" i="76"/>
  <c r="BG547" i="76"/>
  <c r="BJ407" i="76"/>
  <c r="BI383" i="76"/>
  <c r="BG514" i="76"/>
  <c r="BL640" i="76"/>
  <c r="BL442" i="76"/>
  <c r="BI126" i="76"/>
  <c r="BL633" i="76"/>
  <c r="BG82" i="76"/>
  <c r="BL772" i="76"/>
  <c r="BH392" i="76"/>
  <c r="BK649" i="76"/>
  <c r="BH872" i="76"/>
  <c r="BL553" i="76"/>
  <c r="BK624" i="76"/>
  <c r="BI669" i="76"/>
  <c r="BH474" i="76"/>
  <c r="AC964" i="76"/>
  <c r="BI387" i="76"/>
  <c r="AE729" i="76"/>
  <c r="BL769" i="76"/>
  <c r="BH356" i="76"/>
  <c r="AA738" i="76"/>
  <c r="BI825" i="76"/>
  <c r="Z373" i="76"/>
  <c r="BL696" i="76"/>
  <c r="AA518" i="76"/>
  <c r="BH554" i="76"/>
  <c r="AD434" i="76"/>
  <c r="BJ152" i="76"/>
  <c r="BJ785" i="76"/>
  <c r="BK885" i="76"/>
  <c r="AE457" i="76"/>
  <c r="BJ391" i="76"/>
  <c r="BL672" i="76"/>
  <c r="BG757" i="76"/>
  <c r="AC389" i="76"/>
  <c r="BH301" i="76"/>
  <c r="BJ561" i="76"/>
  <c r="BG649" i="76"/>
  <c r="Z452" i="76"/>
  <c r="BK205" i="76"/>
  <c r="BL433" i="76"/>
  <c r="BK519" i="76"/>
  <c r="AD350" i="76"/>
  <c r="BH553" i="76"/>
  <c r="BK666" i="76"/>
  <c r="BG908" i="76"/>
  <c r="BI763" i="76"/>
  <c r="BH505" i="76"/>
  <c r="AA133" i="76"/>
  <c r="BK834" i="76"/>
  <c r="BJ984" i="76"/>
  <c r="AC881" i="76"/>
  <c r="BK346" i="76"/>
  <c r="BH769" i="76"/>
  <c r="BG180" i="76"/>
  <c r="BH856" i="76"/>
  <c r="BJ383" i="76"/>
  <c r="BL470" i="76"/>
  <c r="BG937" i="76"/>
  <c r="BI902" i="76"/>
  <c r="BJ247" i="76"/>
  <c r="BL453" i="76"/>
  <c r="BJ878" i="76"/>
  <c r="AA75" i="76"/>
  <c r="BJ574" i="76"/>
  <c r="BL979" i="76"/>
  <c r="BG249" i="76"/>
  <c r="BK566" i="76"/>
  <c r="AD938" i="76"/>
  <c r="BJ69" i="76"/>
  <c r="BL792" i="76"/>
  <c r="AE558" i="76"/>
  <c r="BG862" i="76"/>
  <c r="BK315" i="76"/>
  <c r="AE318" i="76"/>
  <c r="BJ342" i="76"/>
  <c r="BK481" i="76"/>
  <c r="BI589" i="76"/>
  <c r="AC277" i="76"/>
  <c r="BL329" i="76"/>
  <c r="BH302" i="76"/>
  <c r="BK552" i="76"/>
  <c r="BI357" i="76"/>
  <c r="BI480" i="76"/>
  <c r="BG405" i="76"/>
  <c r="BI829" i="76"/>
  <c r="BG431" i="76"/>
  <c r="BH791" i="76"/>
  <c r="BG810" i="76"/>
  <c r="BG461" i="76"/>
  <c r="BI544" i="76"/>
  <c r="BH96" i="76"/>
  <c r="AB435" i="76"/>
  <c r="AA391" i="76"/>
  <c r="BI237" i="76"/>
  <c r="BK555" i="76"/>
  <c r="BK491" i="76"/>
  <c r="AB282" i="76"/>
  <c r="BL910" i="76"/>
  <c r="BK770" i="76"/>
  <c r="BG394" i="76"/>
  <c r="BK725" i="76"/>
  <c r="AA224" i="76"/>
  <c r="BG607" i="76"/>
  <c r="BK987" i="76"/>
  <c r="BI510" i="76"/>
  <c r="BH1049" i="76"/>
  <c r="BL422" i="76"/>
  <c r="AC148" i="76"/>
  <c r="BG646" i="76"/>
  <c r="BL378" i="76"/>
  <c r="BJ985" i="76"/>
  <c r="BJ161" i="76"/>
  <c r="AB190" i="76"/>
  <c r="BI138" i="76"/>
  <c r="BK1037" i="76"/>
  <c r="BG659" i="76"/>
  <c r="BK790" i="76"/>
  <c r="BI501" i="76"/>
  <c r="BL828" i="76"/>
  <c r="BJ171" i="76"/>
  <c r="AE281" i="76"/>
  <c r="BI272" i="76"/>
  <c r="BI710" i="76"/>
  <c r="BI869" i="76"/>
  <c r="AB224" i="76"/>
  <c r="BJ112" i="76"/>
  <c r="BG599" i="76"/>
  <c r="BG821" i="76"/>
  <c r="BG969" i="76"/>
  <c r="BJ109" i="76"/>
  <c r="BJ470" i="76"/>
  <c r="BL691" i="76"/>
  <c r="BH965" i="76"/>
  <c r="BI108" i="76"/>
  <c r="BG331" i="76"/>
  <c r="AE693" i="76"/>
  <c r="BI338" i="76"/>
  <c r="BK225" i="76"/>
  <c r="BK762" i="76"/>
  <c r="BK440" i="76"/>
  <c r="AB640" i="76"/>
  <c r="Z871" i="76"/>
  <c r="BG120" i="76"/>
  <c r="BL97" i="76"/>
  <c r="BK297" i="76"/>
  <c r="BI83" i="76"/>
  <c r="BG647" i="76"/>
  <c r="BJ636" i="76"/>
  <c r="BH577" i="76"/>
  <c r="BK573" i="76"/>
  <c r="BL519" i="76"/>
  <c r="BI766" i="76"/>
  <c r="BL729" i="76"/>
  <c r="BK944" i="76"/>
  <c r="BI966" i="76"/>
  <c r="BH955" i="76"/>
  <c r="BK345" i="76"/>
  <c r="BG236" i="76"/>
  <c r="BI1008" i="76"/>
  <c r="BL810" i="76"/>
  <c r="BL295" i="76"/>
  <c r="BJ215" i="76"/>
  <c r="BJ151" i="76"/>
  <c r="BI950" i="76"/>
  <c r="BI779" i="76"/>
  <c r="BI428" i="76"/>
  <c r="BK873" i="76"/>
  <c r="BI638" i="76"/>
  <c r="BG1049" i="76"/>
  <c r="BK525" i="76"/>
  <c r="AD87" i="76"/>
  <c r="BJ423" i="76"/>
  <c r="AE236" i="76"/>
  <c r="BJ336" i="76"/>
  <c r="BG907" i="76"/>
  <c r="BH344" i="76"/>
  <c r="BG333" i="76"/>
  <c r="BL901" i="76"/>
  <c r="BL120" i="76"/>
  <c r="AD76" i="76"/>
  <c r="BG849" i="76"/>
  <c r="AA368" i="76"/>
  <c r="BK577" i="76"/>
  <c r="BG704" i="76"/>
  <c r="BL460" i="76"/>
  <c r="BK805" i="76"/>
  <c r="BL150" i="76"/>
  <c r="AD72" i="76"/>
  <c r="BL231" i="76"/>
  <c r="BG687" i="76"/>
  <c r="BI1003" i="76"/>
  <c r="AB152" i="76"/>
  <c r="BG102" i="76"/>
  <c r="BK581" i="76"/>
  <c r="BJ800" i="76"/>
  <c r="BL927" i="76"/>
  <c r="BL832" i="76"/>
  <c r="BH447" i="76"/>
  <c r="BH669" i="76"/>
  <c r="BG922" i="76"/>
  <c r="BJ486" i="76"/>
  <c r="BI555" i="76"/>
  <c r="BK837" i="76"/>
  <c r="BG926" i="76"/>
  <c r="BI366" i="76"/>
  <c r="BH494" i="76"/>
  <c r="Z279" i="76"/>
  <c r="BL873" i="76"/>
  <c r="BK945" i="76"/>
  <c r="BJ694" i="76"/>
  <c r="BL799" i="76"/>
  <c r="AE477" i="76"/>
  <c r="BI839" i="76"/>
  <c r="BH1043" i="76"/>
  <c r="BK958" i="76"/>
  <c r="AA684" i="76"/>
  <c r="AE768" i="76"/>
  <c r="AE200" i="76"/>
  <c r="BH947" i="76"/>
  <c r="AE335" i="76"/>
  <c r="AA902" i="76"/>
  <c r="BL821" i="76"/>
  <c r="BI739" i="76"/>
  <c r="Z120" i="76"/>
  <c r="AC482" i="76"/>
  <c r="BG660" i="76"/>
  <c r="BI579" i="76"/>
  <c r="Z168" i="76"/>
  <c r="AA627" i="76"/>
  <c r="BG924" i="76"/>
  <c r="BH1062" i="76"/>
  <c r="AC624" i="76"/>
  <c r="BG488" i="76"/>
  <c r="AD221" i="76"/>
  <c r="AA488" i="76"/>
  <c r="AC164" i="76"/>
  <c r="BL976" i="76"/>
  <c r="AB71" i="76"/>
  <c r="BG762" i="76"/>
  <c r="AA353" i="76"/>
  <c r="BI652" i="76"/>
  <c r="BJ239" i="76"/>
  <c r="BI740" i="76"/>
  <c r="BG708" i="76"/>
  <c r="BI1013" i="76"/>
  <c r="BL613" i="76"/>
  <c r="BL701" i="76"/>
  <c r="BL603" i="76"/>
  <c r="AC850" i="76"/>
  <c r="AC575" i="76"/>
  <c r="BJ600" i="76"/>
  <c r="BL602" i="76"/>
  <c r="AC527" i="76"/>
  <c r="BG761" i="76"/>
  <c r="AE376" i="76"/>
  <c r="BK755" i="76"/>
  <c r="AD237" i="76"/>
  <c r="AC87" i="76"/>
  <c r="BL611" i="76"/>
  <c r="BJ623" i="76"/>
  <c r="AE695" i="76"/>
  <c r="BI772" i="76"/>
  <c r="AA418" i="76"/>
  <c r="BG765" i="76"/>
  <c r="AC608" i="76"/>
  <c r="Z277" i="76"/>
  <c r="BH934" i="76"/>
  <c r="BI926" i="76"/>
  <c r="Z321" i="76"/>
  <c r="BK816" i="76"/>
  <c r="AA556" i="76"/>
  <c r="BL203" i="76"/>
  <c r="Z633" i="76"/>
  <c r="BL314" i="76"/>
  <c r="AD809" i="76"/>
  <c r="BG427" i="76"/>
  <c r="BK271" i="76"/>
  <c r="BL617" i="76"/>
  <c r="BK112" i="76"/>
  <c r="BG122" i="76"/>
  <c r="AB699" i="76"/>
  <c r="AB317" i="76"/>
  <c r="BK956" i="76"/>
  <c r="BG947" i="76"/>
  <c r="Z429" i="76"/>
  <c r="BG834" i="76"/>
  <c r="AB809" i="76"/>
  <c r="BH221" i="76"/>
  <c r="AC787" i="76"/>
  <c r="BH332" i="76"/>
  <c r="AD828" i="76"/>
  <c r="BJ449" i="76"/>
  <c r="BJ477" i="76"/>
  <c r="BI98" i="76"/>
  <c r="BK343" i="76"/>
  <c r="BJ213" i="76"/>
  <c r="AC768" i="76"/>
  <c r="AC374" i="76"/>
  <c r="BI977" i="76"/>
  <c r="BL968" i="76"/>
  <c r="AA606" i="76"/>
  <c r="BH876" i="76"/>
  <c r="AB555" i="76"/>
  <c r="BJ244" i="76"/>
  <c r="AD781" i="76"/>
  <c r="BJ355" i="76"/>
  <c r="AE919" i="76"/>
  <c r="BL472" i="76"/>
  <c r="BK612" i="76"/>
  <c r="BG491" i="76"/>
  <c r="BL700" i="76"/>
  <c r="BJ72" i="76"/>
  <c r="AA953" i="76"/>
  <c r="BK123" i="76"/>
  <c r="BI219" i="76"/>
  <c r="Z364" i="76"/>
  <c r="BH473" i="76"/>
  <c r="AD398" i="76"/>
  <c r="BG573" i="76"/>
  <c r="BL280" i="76"/>
  <c r="BG492" i="76"/>
  <c r="BH727" i="76"/>
  <c r="BL371" i="76"/>
  <c r="BL147" i="76"/>
  <c r="BG752" i="76"/>
  <c r="BK99" i="76"/>
  <c r="BG627" i="76"/>
  <c r="BG408" i="76"/>
  <c r="BJ1038" i="76"/>
  <c r="BK207" i="76"/>
  <c r="BK846" i="76"/>
  <c r="BH630" i="76"/>
  <c r="AC117" i="76"/>
  <c r="BI323" i="76"/>
  <c r="BH98" i="76"/>
  <c r="BK880" i="76"/>
  <c r="BG517" i="76"/>
  <c r="BI198" i="76"/>
  <c r="BI656" i="76"/>
  <c r="BL315" i="76"/>
  <c r="BG785" i="76"/>
  <c r="BL636" i="76"/>
  <c r="BI935" i="76"/>
  <c r="BG74" i="76"/>
  <c r="Z213" i="76"/>
  <c r="BG483" i="76"/>
  <c r="BL616" i="76"/>
  <c r="BK505" i="76"/>
  <c r="BK560" i="76"/>
  <c r="Z646" i="76"/>
  <c r="BJ1062" i="76"/>
  <c r="BJ570" i="76"/>
  <c r="BL895" i="76"/>
  <c r="BK817" i="76"/>
  <c r="BH683" i="76"/>
  <c r="BG565" i="76"/>
  <c r="BI145" i="76"/>
  <c r="BG221" i="76"/>
  <c r="BJ117" i="76"/>
  <c r="BJ812" i="76"/>
  <c r="BJ836" i="76"/>
  <c r="BH220" i="76"/>
  <c r="AB929" i="76"/>
  <c r="Z1008" i="76"/>
  <c r="Z512" i="76"/>
  <c r="BJ745" i="76"/>
  <c r="BK923" i="76"/>
  <c r="BI576" i="76"/>
  <c r="BK1033" i="76"/>
  <c r="BK930" i="76"/>
  <c r="BL833" i="76"/>
  <c r="BI651" i="76"/>
  <c r="BJ821" i="76"/>
  <c r="BG603" i="76"/>
  <c r="BK482" i="76"/>
  <c r="BH376" i="76"/>
  <c r="BI304" i="76"/>
  <c r="BH725" i="76"/>
  <c r="BK395" i="76"/>
  <c r="BH609" i="76"/>
  <c r="BH436" i="76"/>
  <c r="BH501" i="76"/>
  <c r="BG273" i="76"/>
  <c r="BK374" i="76"/>
  <c r="BH687" i="76"/>
  <c r="AE524" i="76"/>
  <c r="AD674" i="76"/>
  <c r="BJ792" i="76"/>
  <c r="AB727" i="76"/>
  <c r="BK308" i="76"/>
  <c r="BH137" i="76"/>
  <c r="BI578" i="76"/>
  <c r="BI216" i="76"/>
  <c r="BL998" i="76"/>
  <c r="BJ923" i="76"/>
  <c r="BL637" i="76"/>
  <c r="BK694" i="76"/>
  <c r="BI260" i="76"/>
  <c r="BK765" i="76"/>
  <c r="BH1029" i="76"/>
  <c r="BJ593" i="76"/>
  <c r="AC123" i="76"/>
  <c r="BG639" i="76"/>
  <c r="BI708" i="76"/>
  <c r="BG975" i="76"/>
  <c r="BL184" i="76"/>
  <c r="BJ393" i="76"/>
  <c r="BG631" i="76"/>
  <c r="BG468" i="76"/>
  <c r="BJ856" i="76"/>
  <c r="AB247" i="76"/>
  <c r="BJ761" i="76"/>
  <c r="BJ505" i="76"/>
  <c r="BI320" i="76"/>
  <c r="BJ189" i="76"/>
  <c r="BG374" i="76"/>
  <c r="BG566" i="76"/>
  <c r="BH855" i="76"/>
  <c r="BH295" i="76"/>
  <c r="BL190" i="76"/>
  <c r="BJ910" i="76"/>
  <c r="BJ796" i="76"/>
  <c r="BL481" i="76"/>
  <c r="BI603" i="76"/>
  <c r="BI134" i="76"/>
  <c r="BJ373" i="76"/>
  <c r="BK176" i="76"/>
  <c r="BH155" i="76"/>
  <c r="BJ92" i="76"/>
  <c r="BH780" i="76"/>
  <c r="BH351" i="76"/>
  <c r="BL198" i="76"/>
  <c r="BG781" i="76"/>
  <c r="BG504" i="76"/>
  <c r="Z148" i="76"/>
  <c r="AE856" i="76"/>
  <c r="AC475" i="76"/>
  <c r="BG345" i="76"/>
  <c r="BI1022" i="76"/>
  <c r="BK973" i="76"/>
  <c r="AE609" i="76"/>
  <c r="BI518" i="76"/>
  <c r="BK621" i="76"/>
  <c r="BG910" i="76"/>
  <c r="AB335" i="76"/>
  <c r="BL512" i="76"/>
  <c r="BK617" i="76"/>
  <c r="BK564" i="76"/>
  <c r="AC897" i="76"/>
  <c r="BH403" i="76"/>
  <c r="BJ141" i="76"/>
  <c r="BL647" i="76"/>
  <c r="BJ987" i="76"/>
  <c r="BI163" i="76"/>
  <c r="BL318" i="76"/>
  <c r="BJ673" i="76"/>
  <c r="AE492" i="76"/>
  <c r="BH833" i="76"/>
  <c r="BJ637" i="76"/>
  <c r="BK954" i="76"/>
  <c r="BK466" i="76"/>
  <c r="BK361" i="76"/>
  <c r="BH940" i="76"/>
  <c r="BL744" i="76"/>
  <c r="BI290" i="76"/>
  <c r="BH539" i="76"/>
  <c r="BJ995" i="76"/>
  <c r="BI228" i="76"/>
  <c r="BJ929" i="76"/>
  <c r="BI693" i="76"/>
  <c r="BL520" i="76"/>
  <c r="BH999" i="76"/>
  <c r="AB860" i="76"/>
  <c r="BG811" i="76"/>
  <c r="BL773" i="76"/>
  <c r="BH1027" i="76"/>
  <c r="BG97" i="76"/>
  <c r="BK321" i="76"/>
  <c r="Z699" i="76"/>
  <c r="BG327" i="76"/>
  <c r="BG147" i="76"/>
  <c r="BG740" i="76"/>
  <c r="BI429" i="76"/>
  <c r="AA649" i="76"/>
  <c r="Z540" i="76"/>
  <c r="AD1049" i="76"/>
  <c r="Z906" i="76"/>
  <c r="AB1006" i="76"/>
  <c r="AD109" i="76"/>
  <c r="AD490" i="76"/>
  <c r="AC217" i="76"/>
  <c r="AA563" i="76"/>
  <c r="AD492" i="76"/>
  <c r="AB265" i="76"/>
  <c r="AB911" i="76"/>
  <c r="AD331" i="76"/>
  <c r="AB300" i="76"/>
  <c r="AC111" i="76"/>
  <c r="Z1009" i="76"/>
  <c r="AD400" i="76"/>
  <c r="AA107" i="76"/>
  <c r="BK1067" i="76"/>
  <c r="BH1066" i="76"/>
  <c r="BG945" i="76"/>
  <c r="BK253" i="76"/>
  <c r="Z1026" i="76"/>
  <c r="AD611" i="76"/>
  <c r="Z380" i="76"/>
  <c r="Z144" i="76"/>
  <c r="BG993" i="76"/>
  <c r="BJ993" i="76"/>
  <c r="BL874" i="76"/>
  <c r="BH179" i="76"/>
  <c r="Z957" i="76"/>
  <c r="AC594" i="76"/>
  <c r="AE644" i="76"/>
  <c r="AD316" i="76"/>
  <c r="AA1000" i="76"/>
  <c r="AA761" i="76"/>
  <c r="AB531" i="76"/>
  <c r="AE249" i="76"/>
  <c r="AB449" i="76"/>
  <c r="AB333" i="76"/>
  <c r="AD404" i="76"/>
  <c r="AD430" i="76"/>
  <c r="AE176" i="76"/>
  <c r="AD667" i="76"/>
  <c r="AC487" i="76"/>
  <c r="AD169" i="76"/>
  <c r="AC97" i="76"/>
  <c r="AA848" i="76"/>
  <c r="Z453" i="76"/>
  <c r="AC71" i="76"/>
  <c r="Z137" i="76"/>
  <c r="AE107" i="76"/>
  <c r="BK690" i="76"/>
  <c r="BH916" i="76"/>
  <c r="AD662" i="76"/>
  <c r="AA393" i="76"/>
  <c r="AB343" i="76"/>
  <c r="AC461" i="76"/>
  <c r="BJ1004" i="76"/>
  <c r="BH1024" i="76"/>
  <c r="BG616" i="76"/>
  <c r="BI819" i="76"/>
  <c r="AE781" i="76"/>
  <c r="AE453" i="76"/>
  <c r="AA193" i="76"/>
  <c r="AC930" i="76"/>
  <c r="AA990" i="76"/>
  <c r="AC988" i="76"/>
  <c r="AA338" i="76"/>
  <c r="Z259" i="76"/>
  <c r="Z208" i="76"/>
  <c r="AE1063" i="76"/>
  <c r="AC309" i="76"/>
  <c r="AC358" i="76"/>
  <c r="AD268" i="76"/>
  <c r="AB694" i="76"/>
  <c r="AE361" i="76"/>
  <c r="AA147" i="76"/>
  <c r="Z86" i="76"/>
  <c r="AB871" i="76"/>
  <c r="AE516" i="76"/>
  <c r="AA227" i="76"/>
  <c r="BI917" i="76"/>
  <c r="BJ1018" i="76"/>
  <c r="BK530" i="76"/>
  <c r="BH732" i="76"/>
  <c r="AE663" i="76"/>
  <c r="AD484" i="76"/>
  <c r="AB166" i="76"/>
  <c r="AD200" i="76"/>
  <c r="BG1054" i="76"/>
  <c r="BH944" i="76"/>
  <c r="BH456" i="76"/>
  <c r="BJ659" i="76"/>
  <c r="AB605" i="76"/>
  <c r="AA322" i="76"/>
  <c r="AC407" i="76"/>
  <c r="AB1008" i="76"/>
  <c r="AE669" i="76"/>
  <c r="AC747" i="76"/>
  <c r="AD251" i="76"/>
  <c r="Z912" i="76"/>
  <c r="AC296" i="76"/>
  <c r="AE738" i="76"/>
  <c r="AD499" i="76"/>
  <c r="AD220" i="76"/>
  <c r="AC948" i="76"/>
  <c r="AA517" i="76"/>
  <c r="AE302" i="76"/>
  <c r="AB83" i="76"/>
  <c r="AC1017" i="76"/>
  <c r="AD529" i="76"/>
  <c r="AD161" i="76"/>
  <c r="AD184" i="76"/>
  <c r="BK968" i="76"/>
  <c r="BK997" i="76"/>
  <c r="BJ369" i="76"/>
  <c r="BH572" i="76"/>
  <c r="AD599" i="76"/>
  <c r="Z316" i="76"/>
  <c r="AE113" i="76"/>
  <c r="AC172" i="76"/>
  <c r="BI894" i="76"/>
  <c r="AE139" i="76"/>
  <c r="BL296" i="76"/>
  <c r="BJ499" i="76"/>
  <c r="AB566" i="76"/>
  <c r="AC609" i="76"/>
  <c r="AA263" i="76"/>
  <c r="AE366" i="76"/>
  <c r="AD488" i="76"/>
  <c r="AD618" i="76"/>
  <c r="AD892" i="76"/>
  <c r="AD819" i="76"/>
  <c r="AB753" i="76"/>
  <c r="AE1033" i="76"/>
  <c r="AB818" i="76"/>
  <c r="AE1018" i="76"/>
  <c r="Z970" i="76"/>
  <c r="AD1020" i="76"/>
  <c r="AA770" i="76"/>
  <c r="AC874" i="76"/>
  <c r="Z806" i="76"/>
  <c r="Z872" i="76"/>
  <c r="Z1059" i="76"/>
  <c r="Z942" i="76"/>
  <c r="AD889" i="76"/>
  <c r="AC519" i="76"/>
  <c r="AB835" i="76"/>
  <c r="Z723" i="76"/>
  <c r="AC977" i="76"/>
  <c r="AA680" i="76"/>
  <c r="AA401" i="76"/>
  <c r="Z436" i="76"/>
  <c r="AC695" i="76"/>
  <c r="Z172" i="76"/>
  <c r="AB269" i="76"/>
  <c r="AD980" i="76"/>
  <c r="AA730" i="76"/>
  <c r="AE483" i="76"/>
  <c r="AD548" i="76"/>
  <c r="AC275" i="76"/>
  <c r="Z210" i="76"/>
  <c r="AD565" i="76"/>
  <c r="AC336" i="76"/>
  <c r="AD860" i="76"/>
  <c r="AE563" i="76"/>
  <c r="AD463" i="76"/>
  <c r="AA1036" i="76"/>
  <c r="Z989" i="76"/>
  <c r="AB1061" i="76"/>
  <c r="AC781" i="76"/>
  <c r="AC890" i="76"/>
  <c r="Z840" i="76"/>
  <c r="AD886" i="76"/>
  <c r="AE964" i="76"/>
  <c r="AD672" i="76"/>
  <c r="AB921" i="76"/>
  <c r="AE530" i="76"/>
  <c r="AD894" i="76"/>
  <c r="AE751" i="76"/>
  <c r="AA1010" i="76"/>
  <c r="AE723" i="76"/>
  <c r="AA413" i="76"/>
  <c r="AA454" i="76"/>
  <c r="AC188" i="76"/>
  <c r="AD188" i="76"/>
  <c r="Z326" i="76"/>
  <c r="AA908" i="76"/>
  <c r="AD752" i="76"/>
  <c r="AC496" i="76"/>
  <c r="Z571" i="76"/>
  <c r="AE286" i="76"/>
  <c r="AD224" i="76"/>
  <c r="Z728" i="76"/>
  <c r="AD390" i="76"/>
  <c r="AB905" i="76"/>
  <c r="AC576" i="76"/>
  <c r="Z481" i="76"/>
  <c r="AC1059" i="76"/>
  <c r="AB1012" i="76"/>
  <c r="Z917" i="76"/>
  <c r="AE792" i="76"/>
  <c r="AA913" i="76"/>
  <c r="AA906" i="76"/>
  <c r="BG739" i="76"/>
  <c r="BG428" i="76"/>
  <c r="BI101" i="76"/>
  <c r="BI539" i="76"/>
  <c r="BL226" i="76"/>
  <c r="BJ124" i="76"/>
  <c r="AD160" i="76"/>
  <c r="AB428" i="76"/>
  <c r="BK74" i="76"/>
  <c r="BI737" i="76"/>
  <c r="BG332" i="76"/>
  <c r="Z76" i="76"/>
  <c r="BL125" i="76"/>
  <c r="BH1048" i="76"/>
  <c r="BH1051" i="76"/>
  <c r="AC660" i="76"/>
  <c r="BH508" i="76"/>
  <c r="BI1030" i="76"/>
  <c r="BI1027" i="76"/>
  <c r="AA742" i="76"/>
  <c r="AB755" i="76"/>
  <c r="BJ967" i="76"/>
  <c r="BL825" i="76"/>
  <c r="AD346" i="76"/>
  <c r="Z725" i="76"/>
  <c r="BK746" i="76"/>
  <c r="BG664" i="76"/>
  <c r="AB620" i="76"/>
  <c r="AD440" i="76"/>
  <c r="BH1059" i="76"/>
  <c r="BI1017" i="76"/>
  <c r="AD638" i="76"/>
  <c r="BJ830" i="76"/>
  <c r="AC283" i="76"/>
  <c r="AD730" i="76"/>
  <c r="BH994" i="76"/>
  <c r="BI976" i="76"/>
  <c r="AC146" i="76"/>
  <c r="BG179" i="76"/>
  <c r="BJ242" i="76"/>
  <c r="BG769" i="76"/>
  <c r="BG430" i="76"/>
  <c r="BH824" i="76"/>
  <c r="BI895" i="76"/>
  <c r="AB319" i="76"/>
  <c r="BL850" i="76"/>
  <c r="BI156" i="76"/>
  <c r="BJ688" i="76"/>
  <c r="BK118" i="76"/>
  <c r="AE221" i="76"/>
  <c r="BH717" i="76"/>
  <c r="BL794" i="76"/>
  <c r="AB778" i="76"/>
  <c r="BG845" i="76"/>
  <c r="AA599" i="76"/>
  <c r="BJ839" i="76"/>
  <c r="AB360" i="76"/>
  <c r="AB254" i="76"/>
  <c r="BJ760" i="76"/>
  <c r="BI815" i="76"/>
  <c r="AD647" i="76"/>
  <c r="BI858" i="76"/>
  <c r="Z902" i="76"/>
  <c r="BH848" i="76"/>
  <c r="BK510" i="76"/>
  <c r="AD475" i="76"/>
  <c r="BL852" i="76"/>
  <c r="BG1050" i="76"/>
  <c r="AB543" i="76"/>
  <c r="BL243" i="76"/>
  <c r="AA709" i="76"/>
  <c r="BH372" i="76"/>
  <c r="AC898" i="76"/>
  <c r="BH482" i="76"/>
  <c r="BI733" i="76"/>
  <c r="BK672" i="76"/>
  <c r="BL745" i="76"/>
  <c r="BJ284" i="76"/>
  <c r="BG289" i="76"/>
  <c r="BJ557" i="76"/>
  <c r="BG648" i="76"/>
  <c r="AC546" i="76"/>
  <c r="BJ873" i="76"/>
  <c r="AE91" i="76"/>
  <c r="AE759" i="76"/>
  <c r="BG261" i="76"/>
  <c r="AB838" i="76"/>
  <c r="BI395" i="76"/>
  <c r="AA1031" i="76"/>
  <c r="BI505" i="76"/>
  <c r="BI884" i="76"/>
  <c r="BI713" i="76"/>
  <c r="BG90" i="76"/>
  <c r="BK85" i="76"/>
  <c r="BI376" i="76"/>
  <c r="BL644" i="76"/>
  <c r="BI659" i="76"/>
  <c r="Z675" i="76"/>
  <c r="BG894" i="76"/>
  <c r="AD257" i="76"/>
  <c r="AA641" i="76"/>
  <c r="BH284" i="76"/>
  <c r="AD937" i="76"/>
  <c r="BJ418" i="76"/>
  <c r="BG135" i="76"/>
  <c r="BK528" i="76"/>
  <c r="BG207" i="76"/>
  <c r="BG754" i="76"/>
  <c r="BH246" i="76"/>
  <c r="BK184" i="76"/>
  <c r="BG463" i="76"/>
  <c r="BH726" i="76"/>
  <c r="BK670" i="76"/>
  <c r="BK421" i="76"/>
  <c r="BK412" i="76"/>
  <c r="AD782" i="76"/>
  <c r="BI644" i="76"/>
  <c r="Z367" i="76"/>
  <c r="BI712" i="76"/>
  <c r="BK454" i="76"/>
  <c r="BJ834" i="76"/>
  <c r="BK139" i="76"/>
  <c r="BG707" i="76"/>
  <c r="BJ493" i="76"/>
  <c r="BI864" i="76"/>
  <c r="BL270" i="76"/>
  <c r="BI186" i="76"/>
  <c r="BL756" i="76"/>
  <c r="BL1054" i="76"/>
  <c r="BL377" i="76"/>
  <c r="BH154" i="76"/>
  <c r="BH328" i="76"/>
  <c r="BH990" i="76"/>
  <c r="BL491" i="76"/>
  <c r="BK272" i="76"/>
  <c r="BG342" i="76"/>
  <c r="BJ860" i="76"/>
  <c r="BL127" i="76"/>
  <c r="BI115" i="76"/>
  <c r="BL387" i="76"/>
  <c r="BG244" i="76"/>
  <c r="BH643" i="76"/>
  <c r="BI350" i="76"/>
  <c r="BJ216" i="76"/>
  <c r="BI382" i="76"/>
  <c r="BJ594" i="76"/>
  <c r="BL335" i="76"/>
  <c r="AA444" i="76"/>
  <c r="BH261" i="76"/>
  <c r="BL959" i="76"/>
  <c r="BI273" i="76"/>
  <c r="BH394" i="76"/>
  <c r="BG187" i="76"/>
  <c r="BI296" i="76"/>
  <c r="BI230" i="76"/>
  <c r="BG419" i="76"/>
  <c r="BL580" i="76"/>
  <c r="Z621" i="76"/>
  <c r="AE223" i="76"/>
  <c r="BG868" i="76"/>
  <c r="AD348" i="76"/>
  <c r="BL941" i="76"/>
  <c r="BJ1060" i="76"/>
  <c r="BK106" i="76"/>
  <c r="BJ236" i="76"/>
  <c r="BI117" i="76"/>
  <c r="BG450" i="76"/>
  <c r="BG89" i="76"/>
  <c r="BJ779" i="76"/>
  <c r="BL546" i="76"/>
  <c r="BH425" i="76"/>
  <c r="BI334" i="76"/>
  <c r="BJ478" i="76"/>
  <c r="BI222" i="76"/>
  <c r="BJ629" i="76"/>
  <c r="BJ237" i="76"/>
  <c r="BG392" i="76"/>
  <c r="BJ386" i="76"/>
  <c r="BH758" i="76"/>
  <c r="BJ271" i="76"/>
  <c r="BJ541" i="76"/>
  <c r="BK163" i="76"/>
  <c r="BH273" i="76"/>
  <c r="BH868" i="76"/>
  <c r="BK344" i="76"/>
  <c r="AD591" i="76"/>
  <c r="Z590" i="76"/>
  <c r="BL262" i="76"/>
  <c r="BG864" i="76"/>
  <c r="BK258" i="76"/>
  <c r="BJ150" i="76"/>
  <c r="AB767" i="76"/>
  <c r="BJ212" i="76"/>
  <c r="AA850" i="76"/>
  <c r="BL517" i="76"/>
  <c r="AC457" i="76"/>
  <c r="BK351" i="76"/>
  <c r="BL204" i="76"/>
  <c r="BH718" i="76"/>
  <c r="BL723" i="76"/>
  <c r="BJ312" i="76"/>
  <c r="BI715" i="76"/>
  <c r="BJ549" i="76"/>
  <c r="BJ560" i="76"/>
  <c r="BK241" i="76"/>
  <c r="BI581" i="76"/>
  <c r="BG443" i="76"/>
  <c r="BI493" i="76"/>
  <c r="BJ461" i="76"/>
  <c r="BI640" i="76"/>
  <c r="BK683" i="76"/>
  <c r="BH138" i="76"/>
  <c r="BG643" i="76"/>
  <c r="BJ295" i="76"/>
  <c r="BL115" i="76"/>
  <c r="BG361" i="76"/>
  <c r="BI626" i="76"/>
  <c r="BJ160" i="76"/>
  <c r="BL487" i="76"/>
  <c r="BH383" i="76"/>
  <c r="BJ255" i="76"/>
  <c r="BI116" i="76"/>
  <c r="BI137" i="76"/>
  <c r="BK806" i="76"/>
  <c r="BH161" i="76"/>
  <c r="BH576" i="76"/>
  <c r="BH225" i="76"/>
  <c r="BH429" i="76"/>
  <c r="BL753" i="76"/>
  <c r="BI298" i="76"/>
  <c r="BH116" i="76"/>
  <c r="BL731" i="76"/>
  <c r="BH398" i="76"/>
  <c r="AB478" i="76"/>
  <c r="BK433" i="76"/>
  <c r="BG886" i="76"/>
  <c r="BG651" i="76"/>
  <c r="BG231" i="76"/>
  <c r="BI678" i="76"/>
  <c r="BK158" i="76"/>
  <c r="BK379" i="76"/>
  <c r="BG366" i="76"/>
  <c r="BG440" i="76"/>
  <c r="BH172" i="76"/>
  <c r="BK657" i="76"/>
  <c r="BK636" i="76"/>
  <c r="BI427" i="76"/>
  <c r="BK1001" i="76"/>
  <c r="BK465" i="76"/>
  <c r="AA801" i="76"/>
  <c r="BJ726" i="76"/>
  <c r="BK869" i="76"/>
  <c r="BL365" i="76"/>
  <c r="BL402" i="76"/>
  <c r="BI734" i="76"/>
  <c r="AD256" i="76"/>
  <c r="BH738" i="76"/>
  <c r="BI420" i="76"/>
  <c r="BI212" i="76"/>
  <c r="BJ517" i="76"/>
  <c r="BI560" i="76"/>
  <c r="BH97" i="76"/>
  <c r="BI403" i="76"/>
  <c r="BL830" i="76"/>
  <c r="AE630" i="76"/>
  <c r="BG83" i="76"/>
  <c r="BJ566" i="76"/>
  <c r="BG921" i="76"/>
  <c r="BJ93" i="76"/>
  <c r="BI181" i="76"/>
  <c r="BK607" i="76"/>
  <c r="AD653" i="76"/>
  <c r="BH707" i="76"/>
  <c r="BL815" i="76"/>
  <c r="BI535" i="76"/>
  <c r="BJ646" i="76"/>
  <c r="BI881" i="76"/>
  <c r="AC408" i="76"/>
  <c r="BH875" i="76"/>
  <c r="AD709" i="76"/>
  <c r="BG836" i="76"/>
  <c r="BL771" i="76"/>
  <c r="Z155" i="76"/>
  <c r="AB557" i="76"/>
  <c r="AB1000" i="76"/>
  <c r="AC847" i="76"/>
  <c r="AA622" i="76"/>
  <c r="AB464" i="76"/>
  <c r="AB666" i="76"/>
  <c r="AD382" i="76"/>
  <c r="AA661" i="76"/>
  <c r="AA364" i="76"/>
  <c r="Z132" i="76"/>
  <c r="Z855" i="76"/>
  <c r="AB646" i="76"/>
  <c r="AD810" i="76"/>
  <c r="AC343" i="76"/>
  <c r="AC1043" i="76"/>
  <c r="AC436" i="76"/>
  <c r="AA646" i="76"/>
  <c r="Z215" i="76"/>
  <c r="BL936" i="76"/>
  <c r="BJ926" i="76"/>
  <c r="BJ337" i="76"/>
  <c r="BH540" i="76"/>
  <c r="AE845" i="76"/>
  <c r="AB243" i="76"/>
  <c r="AC597" i="76"/>
  <c r="AE140" i="76"/>
  <c r="AB149" i="76"/>
  <c r="BI955" i="76"/>
  <c r="BK265" i="76"/>
  <c r="AB991" i="76"/>
  <c r="AD673" i="76"/>
  <c r="AB427" i="76"/>
  <c r="AB167" i="76"/>
  <c r="AA791" i="76"/>
  <c r="Z1044" i="76"/>
  <c r="AC789" i="76"/>
  <c r="Z258" i="76"/>
  <c r="Z337" i="76"/>
  <c r="AA116" i="76"/>
  <c r="AA484" i="76"/>
  <c r="AC315" i="76"/>
  <c r="AA299" i="76"/>
  <c r="Z786" i="76"/>
  <c r="Z461" i="76"/>
  <c r="AE195" i="76"/>
  <c r="Z130" i="76"/>
  <c r="AC755" i="76"/>
  <c r="AC335" i="76"/>
  <c r="AD280" i="76"/>
  <c r="BG906" i="76"/>
  <c r="BH907" i="76"/>
  <c r="BI775" i="76"/>
  <c r="BL93" i="76"/>
  <c r="AE809" i="76"/>
  <c r="AC891" i="76"/>
  <c r="AD287" i="76"/>
  <c r="AE98" i="76"/>
  <c r="AC249" i="76"/>
  <c r="AB553" i="76"/>
  <c r="BK702" i="76"/>
  <c r="BJ955" i="76"/>
  <c r="AB738" i="76"/>
  <c r="AC420" i="76"/>
  <c r="AB377" i="76"/>
  <c r="AE87" i="76"/>
  <c r="AE995" i="76"/>
  <c r="AB628" i="76"/>
  <c r="AD801" i="76"/>
  <c r="AA329" i="76"/>
  <c r="AC393" i="76"/>
  <c r="AC506" i="76"/>
  <c r="AD497" i="76"/>
  <c r="Z175" i="76"/>
  <c r="AE226" i="76"/>
  <c r="Z700" i="76"/>
  <c r="AE356" i="76"/>
  <c r="Z606" i="76"/>
  <c r="AB172" i="76"/>
  <c r="AA700" i="76"/>
  <c r="AC511" i="76"/>
  <c r="AD417" i="76"/>
  <c r="BL1003" i="76"/>
  <c r="BJ1023" i="76"/>
  <c r="BI615" i="76"/>
  <c r="BK818" i="76"/>
  <c r="AA780" i="76"/>
  <c r="AE452" i="76"/>
  <c r="AC192" i="76"/>
  <c r="AA352" i="76"/>
  <c r="BI929" i="76"/>
  <c r="BJ1042" i="76"/>
  <c r="BK542" i="76"/>
  <c r="BH744" i="76"/>
  <c r="AD699" i="76"/>
  <c r="Z515" i="76"/>
  <c r="AA188" i="76"/>
  <c r="AB1010" i="76"/>
  <c r="Z1057" i="76"/>
  <c r="Z667" i="76"/>
  <c r="AA583" i="76"/>
  <c r="AB903" i="76"/>
  <c r="AD460" i="76"/>
  <c r="Z880" i="76"/>
  <c r="Z315" i="76"/>
  <c r="AA111" i="76"/>
  <c r="AA165" i="76"/>
  <c r="Z607" i="76"/>
  <c r="AD878" i="76"/>
  <c r="AA325" i="76"/>
  <c r="AC203" i="76"/>
  <c r="Z655" i="76"/>
  <c r="AA229" i="76"/>
  <c r="AC187" i="76"/>
  <c r="BI1053" i="76"/>
  <c r="BJ943" i="76"/>
  <c r="BJ455" i="76"/>
  <c r="BL658" i="76"/>
  <c r="AB602" i="76"/>
  <c r="AC321" i="76"/>
  <c r="AA400" i="76"/>
  <c r="Z363" i="76"/>
  <c r="BK980" i="76"/>
  <c r="BG1023" i="76"/>
  <c r="BI381" i="76"/>
  <c r="BH584" i="76"/>
  <c r="AB642" i="76"/>
  <c r="AE345" i="76"/>
  <c r="AA135" i="76"/>
  <c r="AA241" i="76"/>
  <c r="AD827" i="76"/>
  <c r="AC863" i="76"/>
  <c r="AC742" i="76"/>
  <c r="AD1024" i="76"/>
  <c r="AA569" i="76"/>
  <c r="AC931" i="76"/>
  <c r="AD654" i="76"/>
  <c r="AE1047" i="76"/>
  <c r="AC942" i="76"/>
  <c r="AB1009" i="76"/>
  <c r="AD1044" i="76"/>
  <c r="AD1040" i="76"/>
  <c r="AE821" i="76"/>
  <c r="AB768" i="76"/>
  <c r="AB680" i="76"/>
  <c r="AA868" i="76"/>
  <c r="AD847" i="76"/>
  <c r="AD462" i="76"/>
  <c r="AC849" i="76"/>
  <c r="AB807" i="76"/>
  <c r="AC935" i="76"/>
  <c r="Z844" i="76"/>
  <c r="AD323" i="76"/>
  <c r="AE1027" i="76"/>
  <c r="AE263" i="76"/>
  <c r="AC332" i="76"/>
  <c r="Z138" i="76"/>
  <c r="Z994" i="76"/>
  <c r="Z679" i="76"/>
  <c r="AE608" i="76"/>
  <c r="Z402" i="76"/>
  <c r="AE378" i="76"/>
  <c r="AB423" i="76"/>
  <c r="AD142" i="76"/>
  <c r="AA170" i="76"/>
  <c r="Z757" i="76"/>
  <c r="AB679" i="76"/>
  <c r="AE810" i="76"/>
  <c r="AA1065" i="76"/>
  <c r="AE953" i="76"/>
  <c r="AD1032" i="76"/>
  <c r="BI808" i="76"/>
  <c r="AC386" i="76"/>
  <c r="AE474" i="76"/>
  <c r="BH765" i="76"/>
  <c r="BJ545" i="76"/>
  <c r="BK708" i="76"/>
  <c r="BI529" i="76"/>
  <c r="BK863" i="76"/>
  <c r="BG436" i="76"/>
  <c r="BL214" i="76"/>
  <c r="BH365" i="76"/>
  <c r="Z739" i="76"/>
  <c r="AA555" i="76"/>
  <c r="AA300" i="76"/>
  <c r="AC102" i="76"/>
  <c r="BK906" i="76"/>
  <c r="AC272" i="76"/>
  <c r="AC178" i="76"/>
  <c r="AC151" i="76"/>
  <c r="BJ396" i="76"/>
  <c r="AB75" i="76"/>
  <c r="AE438" i="76"/>
  <c r="AB105" i="76"/>
  <c r="AC1063" i="76"/>
  <c r="AC81" i="76"/>
  <c r="AD515" i="76"/>
  <c r="AA275" i="76"/>
  <c r="AE752" i="76"/>
  <c r="BJ920" i="76"/>
  <c r="AE341" i="76"/>
  <c r="BL890" i="76"/>
  <c r="BG280" i="76"/>
  <c r="AB73" i="76"/>
  <c r="Z101" i="76"/>
  <c r="BG219" i="76"/>
  <c r="BI972" i="76"/>
  <c r="BI611" i="76"/>
  <c r="BI416" i="76"/>
  <c r="BJ111" i="76"/>
  <c r="AA548" i="76"/>
  <c r="AA915" i="76"/>
  <c r="BG441" i="76"/>
  <c r="BL1017" i="76"/>
  <c r="AD299" i="76"/>
  <c r="BK1021" i="76"/>
  <c r="BI314" i="76"/>
  <c r="BK643" i="76"/>
  <c r="BK210" i="76"/>
  <c r="BK862" i="76"/>
  <c r="BI767" i="76"/>
  <c r="BI207" i="76"/>
  <c r="BJ890" i="76"/>
  <c r="BK167" i="76"/>
  <c r="BL81" i="76"/>
  <c r="BI313" i="76"/>
  <c r="BL69" i="76"/>
  <c r="AD784" i="76"/>
  <c r="BK778" i="76"/>
  <c r="BK218" i="76"/>
  <c r="BJ933" i="76"/>
  <c r="BG177" i="76"/>
  <c r="BJ102" i="76"/>
  <c r="BK336" i="76"/>
  <c r="BJ90" i="76"/>
  <c r="Z77" i="76"/>
  <c r="BG577" i="76"/>
  <c r="BK399" i="76"/>
  <c r="Z854" i="76"/>
  <c r="BI140" i="76"/>
  <c r="BL755" i="76"/>
  <c r="BL524" i="76"/>
  <c r="BK931" i="76"/>
  <c r="BL183" i="76"/>
  <c r="BJ119" i="76"/>
  <c r="BJ398" i="76"/>
  <c r="BJ235" i="76"/>
  <c r="BI629" i="76"/>
  <c r="BK1026" i="76"/>
  <c r="BL160" i="76"/>
  <c r="BJ288" i="76"/>
  <c r="AD742" i="76"/>
  <c r="BI588" i="76"/>
  <c r="BG417" i="76"/>
  <c r="AE900" i="76"/>
  <c r="BK151" i="76"/>
  <c r="BJ776" i="76"/>
  <c r="BH702" i="76"/>
  <c r="BG999" i="76"/>
  <c r="BJ224" i="76"/>
  <c r="BH140" i="76"/>
  <c r="BG439" i="76"/>
  <c r="BG256" i="76"/>
  <c r="BG670" i="76"/>
  <c r="BI210" i="76"/>
  <c r="BJ201" i="76"/>
  <c r="BH329" i="76"/>
  <c r="AB81" i="76"/>
  <c r="BK599" i="76"/>
  <c r="BH440" i="76"/>
  <c r="AC955" i="76"/>
  <c r="BG161" i="76"/>
  <c r="BH797" i="76"/>
  <c r="BH101" i="76"/>
  <c r="BG861" i="76"/>
  <c r="BG265" i="76"/>
  <c r="BL162" i="76"/>
  <c r="BJ485" i="76"/>
  <c r="BK278" i="76"/>
  <c r="BK716" i="76"/>
  <c r="BJ105" i="76"/>
  <c r="BH242" i="76"/>
  <c r="BL375" i="76"/>
  <c r="Z195" i="76"/>
  <c r="BL985" i="76"/>
  <c r="BI851" i="76"/>
  <c r="BK857" i="76"/>
  <c r="BJ731" i="76"/>
  <c r="BJ808" i="76"/>
  <c r="BJ719" i="76"/>
  <c r="BK290" i="76"/>
  <c r="Z589" i="76"/>
  <c r="BJ115" i="76"/>
  <c r="BG767" i="76"/>
  <c r="BG384" i="76"/>
  <c r="AA206" i="76"/>
  <c r="BL246" i="76"/>
  <c r="BH1060" i="76"/>
  <c r="BK652" i="76"/>
  <c r="AA95" i="76"/>
  <c r="BJ354" i="76"/>
  <c r="BJ268" i="76"/>
  <c r="BJ908" i="76"/>
  <c r="AB407" i="76"/>
  <c r="BJ468" i="76"/>
  <c r="BH380" i="76"/>
  <c r="BK660" i="76"/>
  <c r="BL1007" i="76"/>
  <c r="BG487" i="76"/>
  <c r="BI1028" i="76"/>
  <c r="BK629" i="76"/>
  <c r="AC289" i="76"/>
  <c r="BI758" i="76"/>
  <c r="Z475" i="76"/>
  <c r="BG783" i="76"/>
  <c r="BK410" i="76"/>
  <c r="BL835" i="76"/>
  <c r="BJ306" i="76"/>
  <c r="BH498" i="76"/>
  <c r="AA185" i="76"/>
  <c r="Z97" i="76"/>
  <c r="AE75" i="76"/>
  <c r="AC242" i="76"/>
  <c r="BK407" i="76"/>
  <c r="BG723" i="76"/>
  <c r="BH86" i="76"/>
  <c r="BI637" i="76"/>
  <c r="BL651" i="76"/>
  <c r="BG842" i="76"/>
  <c r="BG737" i="76"/>
  <c r="BL484" i="76"/>
  <c r="BL694" i="76"/>
  <c r="BK915" i="76"/>
  <c r="BK572" i="76"/>
  <c r="BL119" i="76"/>
  <c r="AD627" i="76"/>
  <c r="Z696" i="76"/>
  <c r="AD739" i="76"/>
  <c r="AE412" i="76"/>
  <c r="BH746" i="76"/>
  <c r="BJ633" i="76"/>
  <c r="BL536" i="76"/>
  <c r="BK449" i="76"/>
  <c r="BL123" i="76"/>
  <c r="AC474" i="76"/>
  <c r="AE146" i="76"/>
  <c r="AA282" i="76"/>
  <c r="BK1007" i="76"/>
  <c r="BH443" i="76"/>
  <c r="AB446" i="76"/>
  <c r="BI332" i="76"/>
  <c r="AD85" i="76"/>
  <c r="BG222" i="76"/>
  <c r="Z180" i="76"/>
  <c r="BL836" i="76"/>
  <c r="AB518" i="76"/>
  <c r="BH879" i="76"/>
  <c r="BJ895" i="76"/>
  <c r="BJ1021" i="76"/>
  <c r="BG596" i="76"/>
  <c r="BI367" i="76"/>
  <c r="BH229" i="76"/>
  <c r="BG948" i="76"/>
  <c r="BL220" i="76"/>
  <c r="BI100" i="76"/>
  <c r="BJ621" i="76"/>
  <c r="AE401" i="76"/>
  <c r="BL104" i="76"/>
  <c r="BL787" i="76"/>
  <c r="BH349" i="76"/>
  <c r="BI828" i="76"/>
  <c r="BG972" i="76"/>
  <c r="BL200" i="76"/>
  <c r="BG1024" i="76"/>
  <c r="BI744" i="76"/>
  <c r="BG153" i="76"/>
  <c r="Z401" i="76"/>
  <c r="BH512" i="76"/>
  <c r="BK197" i="76"/>
  <c r="BI398" i="76"/>
  <c r="BH307" i="76"/>
  <c r="Z239" i="76"/>
  <c r="BG404" i="76"/>
  <c r="BI768" i="76"/>
  <c r="BH406" i="76"/>
  <c r="BK855" i="76"/>
  <c r="BH864" i="76"/>
  <c r="BK662" i="76"/>
  <c r="BH480" i="76"/>
  <c r="BG775" i="76"/>
  <c r="BH285" i="76"/>
  <c r="BG175" i="76"/>
  <c r="BJ85" i="76"/>
  <c r="BJ157" i="76"/>
  <c r="BJ704" i="76"/>
  <c r="BL212" i="76"/>
  <c r="BJ588" i="76"/>
  <c r="BK221" i="76"/>
  <c r="BI481" i="76"/>
  <c r="BI82" i="76"/>
  <c r="BG352" i="76"/>
  <c r="BL669" i="76"/>
  <c r="AD455" i="76"/>
  <c r="AD833" i="76"/>
  <c r="BH781" i="76"/>
  <c r="AD686" i="76"/>
  <c r="BI173" i="76"/>
  <c r="BL957" i="76"/>
  <c r="BG518" i="76"/>
  <c r="AA94" i="76"/>
  <c r="BJ725" i="76"/>
  <c r="BJ680" i="76"/>
  <c r="BI660" i="76"/>
  <c r="BH629" i="76"/>
  <c r="BI99" i="76"/>
  <c r="BL909" i="76"/>
  <c r="BK679" i="76"/>
  <c r="BK424" i="76"/>
  <c r="BG138" i="76"/>
  <c r="BI468" i="76"/>
  <c r="BK561" i="76"/>
  <c r="Z249" i="76"/>
  <c r="BL306" i="76"/>
  <c r="BH222" i="76"/>
  <c r="BJ556" i="76"/>
  <c r="BJ765" i="76"/>
  <c r="BI392" i="76"/>
  <c r="BJ86" i="76"/>
  <c r="BG799" i="76"/>
  <c r="AC497" i="76"/>
  <c r="BI577" i="76"/>
  <c r="BG353" i="76"/>
  <c r="BH753" i="76"/>
  <c r="BG70" i="76"/>
  <c r="BJ462" i="76"/>
  <c r="BG489" i="76"/>
  <c r="AC510" i="76"/>
  <c r="BJ506" i="76"/>
  <c r="BI609" i="76"/>
  <c r="BH330" i="76"/>
  <c r="BI454" i="76"/>
  <c r="BL240" i="76"/>
  <c r="BI267" i="76"/>
  <c r="AA832" i="76"/>
  <c r="BG909" i="76"/>
  <c r="BL330" i="76"/>
  <c r="BL738" i="76"/>
  <c r="BG298" i="76"/>
  <c r="BG605" i="76"/>
  <c r="AB359" i="76"/>
  <c r="BK527" i="76"/>
  <c r="AE400" i="76"/>
  <c r="BH283" i="76"/>
  <c r="BI208" i="76"/>
  <c r="BI1049" i="76"/>
  <c r="BG1043" i="76"/>
  <c r="Z984" i="76"/>
  <c r="AA762" i="76"/>
  <c r="Z803" i="76"/>
  <c r="AA284" i="76"/>
  <c r="AE815" i="76"/>
  <c r="AB252" i="76"/>
  <c r="AA728" i="76"/>
  <c r="AB231" i="76"/>
  <c r="AE500" i="76"/>
  <c r="AD1062" i="76"/>
  <c r="AA717" i="76"/>
  <c r="AB451" i="76"/>
  <c r="AB179" i="76"/>
  <c r="AA710" i="76"/>
  <c r="AB416" i="76"/>
  <c r="AD414" i="76"/>
  <c r="Z69" i="76"/>
  <c r="BI1021" i="76"/>
  <c r="BI880" i="76"/>
  <c r="BL423" i="76"/>
  <c r="BL626" i="76"/>
  <c r="Z508" i="76"/>
  <c r="AC499" i="76"/>
  <c r="AD235" i="76"/>
  <c r="AC470" i="76"/>
  <c r="BK948" i="76"/>
  <c r="BK935" i="76"/>
  <c r="BJ349" i="76"/>
  <c r="BH552" i="76"/>
  <c r="AE538" i="76"/>
  <c r="AD266" i="76"/>
  <c r="AA71" i="76"/>
  <c r="Z821" i="76"/>
  <c r="AA785" i="76"/>
  <c r="Z982" i="76"/>
  <c r="AA486" i="76"/>
  <c r="AA736" i="76"/>
  <c r="Z190" i="76"/>
  <c r="AC500" i="76"/>
  <c r="AB264" i="76"/>
  <c r="AC75" i="76"/>
  <c r="AA741" i="76"/>
  <c r="AA421" i="76"/>
  <c r="AD381" i="76"/>
  <c r="AE111" i="76"/>
  <c r="AC706" i="76"/>
  <c r="AE380" i="76"/>
  <c r="Z187" i="76"/>
  <c r="BI992" i="76"/>
  <c r="BL992" i="76"/>
  <c r="BJ872" i="76"/>
  <c r="BJ178" i="76"/>
  <c r="AA952" i="76"/>
  <c r="AA587" i="76"/>
  <c r="AC637" i="76"/>
  <c r="AD315" i="76"/>
  <c r="BL919" i="76"/>
  <c r="BG919" i="76"/>
  <c r="BI787" i="76"/>
  <c r="BL105" i="76"/>
  <c r="AD684" i="76"/>
  <c r="Z341" i="76"/>
  <c r="Z309" i="76"/>
  <c r="AA120" i="76"/>
  <c r="AA965" i="76"/>
  <c r="AC684" i="76"/>
  <c r="Z764" i="76"/>
  <c r="AC160" i="76"/>
  <c r="AB657" i="76"/>
  <c r="AE190" i="76"/>
  <c r="AA471" i="76"/>
  <c r="AA201" i="76"/>
  <c r="AC414" i="76"/>
  <c r="AD766" i="76"/>
  <c r="AD585" i="76"/>
  <c r="AB233" i="76"/>
  <c r="AE120" i="76"/>
  <c r="AE599" i="76"/>
  <c r="AB492" i="76"/>
  <c r="AA92" i="76"/>
  <c r="AA242" i="76"/>
  <c r="AA408" i="76"/>
  <c r="BG700" i="76"/>
  <c r="BJ951" i="76"/>
  <c r="AC735" i="76"/>
  <c r="AE419" i="76"/>
  <c r="Z375" i="76"/>
  <c r="AA81" i="76"/>
  <c r="BL1015" i="76"/>
  <c r="BJ1047" i="76"/>
  <c r="BI627" i="76"/>
  <c r="BK830" i="76"/>
  <c r="Z868" i="76"/>
  <c r="AD491" i="76"/>
  <c r="AE215" i="76"/>
  <c r="AC1024" i="76"/>
  <c r="AB748" i="76"/>
  <c r="Z964" i="76"/>
  <c r="AE360" i="76"/>
  <c r="AD336" i="76"/>
  <c r="AB219" i="76"/>
  <c r="AB1039" i="76"/>
  <c r="AE320" i="76"/>
  <c r="AE398" i="76"/>
  <c r="Z358" i="76"/>
  <c r="AE727" i="76"/>
  <c r="AA379" i="76"/>
  <c r="AC158" i="76"/>
  <c r="AB173" i="76"/>
  <c r="AB556" i="76"/>
  <c r="AE617" i="76"/>
  <c r="AE321" i="76"/>
  <c r="BK928" i="76"/>
  <c r="BL1041" i="76"/>
  <c r="BG540" i="76"/>
  <c r="BJ743" i="76"/>
  <c r="AA698" i="76"/>
  <c r="AD513" i="76"/>
  <c r="AE186" i="76"/>
  <c r="AA266" i="76"/>
  <c r="BI1065" i="76"/>
  <c r="BI967" i="76"/>
  <c r="BJ467" i="76"/>
  <c r="BL670" i="76"/>
  <c r="AE656" i="76"/>
  <c r="AE344" i="76"/>
  <c r="AB514" i="76"/>
  <c r="AD544" i="76"/>
  <c r="AA774" i="76"/>
  <c r="AC651" i="76"/>
  <c r="AE977" i="76"/>
  <c r="AB756" i="76"/>
  <c r="AA562" i="76"/>
  <c r="AA763" i="76"/>
  <c r="AB935" i="76"/>
  <c r="AB944" i="76"/>
  <c r="AA1023" i="76"/>
  <c r="AE961" i="76"/>
  <c r="AB999" i="76"/>
  <c r="Z879" i="76"/>
  <c r="AE1009" i="76"/>
  <c r="AD1060" i="76"/>
  <c r="AD932" i="76"/>
  <c r="Z624" i="76"/>
  <c r="AE886" i="76"/>
  <c r="AD987" i="76"/>
  <c r="Z681" i="76"/>
  <c r="AB796" i="76"/>
  <c r="Z802" i="76"/>
  <c r="Z960" i="76"/>
  <c r="AC832" i="76"/>
  <c r="AD607" i="76"/>
  <c r="AB271" i="76"/>
  <c r="Z352" i="76"/>
  <c r="AE77" i="76"/>
  <c r="AA550" i="76"/>
  <c r="AC1037" i="76"/>
  <c r="AA640" i="76"/>
  <c r="AC558" i="76"/>
  <c r="Z518" i="76"/>
  <c r="AC590" i="76"/>
  <c r="AC232" i="76"/>
  <c r="AA255" i="76"/>
  <c r="AD80" i="76"/>
  <c r="AE943" i="76"/>
  <c r="AD639" i="76"/>
  <c r="AD556" i="76"/>
  <c r="AC1034" i="76"/>
  <c r="AA971" i="76"/>
  <c r="AD1010" i="76"/>
  <c r="AD893" i="76"/>
  <c r="AC1026" i="76"/>
  <c r="AB757" i="76"/>
  <c r="Z950" i="76"/>
  <c r="AB635" i="76"/>
  <c r="AB901" i="76"/>
  <c r="AD1059" i="76"/>
  <c r="AE708" i="76"/>
  <c r="Z825" i="76"/>
  <c r="AE860" i="76"/>
  <c r="AE1031" i="76"/>
  <c r="AA876" i="76"/>
  <c r="AE679" i="76"/>
  <c r="AD282" i="76"/>
  <c r="Z370" i="76"/>
  <c r="AA87" i="76"/>
  <c r="AA73" i="76"/>
  <c r="AA69" i="76"/>
  <c r="AE662" i="76"/>
  <c r="Z578" i="76"/>
  <c r="AC538" i="76"/>
  <c r="AD640" i="76"/>
  <c r="AE243" i="76"/>
  <c r="AC278" i="76"/>
  <c r="Z98" i="76"/>
  <c r="AB936" i="76"/>
  <c r="AD655" i="76"/>
  <c r="AB572" i="76"/>
  <c r="AE1045" i="76"/>
  <c r="AC982" i="76"/>
  <c r="Z1020" i="76"/>
  <c r="AD912" i="76"/>
  <c r="AC1042" i="76"/>
  <c r="AC770" i="76"/>
  <c r="AD975" i="76"/>
  <c r="BK133" i="76"/>
  <c r="BL624" i="76"/>
  <c r="BK787" i="76"/>
  <c r="BG543" i="76"/>
  <c r="BI265" i="76"/>
  <c r="BJ616" i="76"/>
  <c r="AA505" i="76"/>
  <c r="BJ225" i="76"/>
  <c r="BI174" i="76"/>
  <c r="BG407" i="76"/>
  <c r="BG835" i="76"/>
  <c r="BI607" i="76"/>
  <c r="AC956" i="76"/>
  <c r="AD378" i="76"/>
  <c r="AB363" i="76"/>
  <c r="BK1002" i="76"/>
  <c r="AA272" i="76"/>
  <c r="AC293" i="76"/>
  <c r="AC515" i="76"/>
  <c r="BI567" i="76"/>
  <c r="AE382" i="76"/>
  <c r="Z124" i="76"/>
  <c r="AE197" i="76"/>
  <c r="BH247" i="76"/>
  <c r="Z283" i="76"/>
  <c r="AB129" i="76"/>
  <c r="AE72" i="76"/>
  <c r="AC1041" i="76"/>
  <c r="Z235" i="76"/>
  <c r="AA330" i="76"/>
  <c r="BH159" i="76"/>
  <c r="BJ366" i="76"/>
  <c r="AD358" i="76"/>
  <c r="AE265" i="76"/>
  <c r="BH393" i="76"/>
  <c r="AA90" i="76"/>
  <c r="BJ959" i="76"/>
  <c r="BJ590" i="76"/>
  <c r="BH196" i="76"/>
  <c r="AC653" i="76"/>
  <c r="BG824" i="76"/>
  <c r="BK853" i="76"/>
  <c r="BG852" i="76"/>
  <c r="AD450" i="76"/>
  <c r="AD182" i="76"/>
  <c r="BI464" i="76"/>
  <c r="BL834" i="76"/>
  <c r="BG295" i="76"/>
  <c r="BL1032" i="76"/>
  <c r="BK1024" i="76"/>
  <c r="BK325" i="76"/>
  <c r="BJ893" i="76"/>
  <c r="BJ263" i="76"/>
  <c r="BK273" i="76"/>
  <c r="BH487" i="76"/>
  <c r="BH239" i="76"/>
  <c r="AD991" i="76"/>
  <c r="BG905" i="76"/>
  <c r="BG367" i="76"/>
  <c r="BG914" i="76"/>
  <c r="BL274" i="76"/>
  <c r="BH314" i="76"/>
  <c r="BJ510" i="76"/>
  <c r="BK261" i="76"/>
  <c r="AC405" i="76"/>
  <c r="BJ843" i="76"/>
  <c r="BH783" i="76"/>
  <c r="BI745" i="76"/>
  <c r="BI236" i="76"/>
  <c r="BK848" i="76"/>
  <c r="BK263" i="76"/>
  <c r="BL182" i="76"/>
  <c r="BK524" i="76"/>
  <c r="BJ290" i="76"/>
  <c r="BI741" i="76"/>
  <c r="BJ405" i="76"/>
  <c r="BL207" i="76"/>
  <c r="BJ360" i="76"/>
  <c r="BK501" i="76"/>
  <c r="BI630" i="76"/>
  <c r="AE504" i="76"/>
  <c r="BI854" i="76"/>
  <c r="BI806" i="76"/>
  <c r="BK768" i="76"/>
  <c r="BK247" i="76"/>
  <c r="BH72" i="76"/>
  <c r="BL302" i="76"/>
  <c r="BJ203" i="76"/>
  <c r="BI565" i="76"/>
  <c r="BH311" i="76"/>
  <c r="BG782" i="76"/>
  <c r="BG426" i="76"/>
  <c r="BL358" i="76"/>
  <c r="BH400" i="76"/>
  <c r="BI542" i="76"/>
  <c r="BG671" i="76"/>
  <c r="AA539" i="76"/>
  <c r="BG871" i="76"/>
  <c r="BK829" i="76"/>
  <c r="BG786" i="76"/>
  <c r="BL258" i="76"/>
  <c r="BL94" i="76"/>
  <c r="BJ343" i="76"/>
  <c r="BH224" i="76"/>
  <c r="BG606" i="76"/>
  <c r="BL333" i="76"/>
  <c r="BJ828" i="76"/>
  <c r="BL447" i="76"/>
  <c r="BK532" i="76"/>
  <c r="BK446" i="76"/>
  <c r="BG583" i="76"/>
  <c r="BK717" i="76"/>
  <c r="AC392" i="76"/>
  <c r="BH620" i="76"/>
  <c r="BG1018" i="76"/>
  <c r="BK231" i="76"/>
  <c r="BL209" i="76"/>
  <c r="BK423" i="76"/>
  <c r="BH175" i="76"/>
  <c r="BH395" i="76"/>
  <c r="AD86" i="76"/>
  <c r="BJ286" i="76"/>
  <c r="BG198" i="76"/>
  <c r="BK732" i="76"/>
  <c r="AB74" i="76"/>
  <c r="BL416" i="76"/>
  <c r="BK331" i="76"/>
  <c r="BJ303" i="76"/>
  <c r="AB382" i="76"/>
  <c r="BK523" i="76"/>
  <c r="BH435" i="76"/>
  <c r="BJ269" i="76"/>
  <c r="AC371" i="76"/>
  <c r="BK639" i="76"/>
  <c r="BL552" i="76"/>
  <c r="BL196" i="76"/>
  <c r="AE513" i="76"/>
  <c r="BH830" i="76"/>
  <c r="AB229" i="76"/>
  <c r="BI229" i="76"/>
  <c r="AD192" i="76"/>
  <c r="BG357" i="76"/>
  <c r="AB248" i="76"/>
  <c r="AA911" i="76"/>
  <c r="BH77" i="76"/>
  <c r="BG159" i="76"/>
  <c r="BI1011" i="76"/>
  <c r="BH218" i="76"/>
  <c r="BH1035" i="76"/>
  <c r="BL324" i="76"/>
  <c r="Z394" i="76"/>
  <c r="BH822" i="76"/>
  <c r="BG266" i="76"/>
  <c r="BH182" i="76"/>
  <c r="AA416" i="76"/>
  <c r="BH241" i="76"/>
  <c r="BI777" i="76"/>
  <c r="Z610" i="76"/>
  <c r="BH695" i="76"/>
  <c r="BI537" i="76"/>
  <c r="BI769" i="76"/>
  <c r="AE219" i="76"/>
  <c r="BI201" i="76"/>
  <c r="BG855" i="76"/>
  <c r="AB409" i="76"/>
  <c r="BI954" i="76"/>
  <c r="AD92" i="76"/>
  <c r="BI889" i="76"/>
  <c r="BL812" i="76"/>
  <c r="BI694" i="76"/>
  <c r="BK597" i="76"/>
  <c r="BK509" i="76"/>
  <c r="BK96" i="76"/>
  <c r="AB85" i="76"/>
  <c r="BI859" i="76"/>
  <c r="BK974" i="76"/>
  <c r="BJ891" i="76"/>
  <c r="BJ855" i="76"/>
  <c r="AA153" i="76"/>
  <c r="BK733" i="76"/>
  <c r="Z459" i="76"/>
  <c r="BI622" i="76"/>
  <c r="BI1012" i="76"/>
  <c r="BK493" i="76"/>
  <c r="BJ1008" i="76"/>
  <c r="BI342" i="76"/>
  <c r="BK349" i="76"/>
  <c r="BI783" i="76"/>
  <c r="AC668" i="76"/>
  <c r="BK409" i="76"/>
  <c r="BH515" i="76"/>
  <c r="BK191" i="76"/>
  <c r="AD170" i="76"/>
  <c r="BI842" i="76"/>
  <c r="Z754" i="76"/>
  <c r="BH922" i="76"/>
  <c r="BL301" i="76"/>
  <c r="BH73" i="76"/>
  <c r="BJ406" i="76"/>
  <c r="BH975" i="76"/>
  <c r="BI337" i="76"/>
  <c r="BL914" i="76"/>
  <c r="BJ258" i="76"/>
  <c r="BK927" i="76"/>
  <c r="AC168" i="76"/>
  <c r="BK832" i="76"/>
  <c r="BG217" i="76"/>
  <c r="BJ272" i="76"/>
  <c r="BL800" i="76"/>
  <c r="BG1063" i="76"/>
  <c r="BI300" i="76"/>
  <c r="BJ991" i="76"/>
  <c r="BL282" i="76"/>
  <c r="BJ630" i="76"/>
  <c r="BH608" i="76"/>
  <c r="BH437" i="76"/>
  <c r="BG339" i="76"/>
  <c r="BL249" i="76"/>
  <c r="BG432" i="76"/>
  <c r="BH145" i="76"/>
  <c r="BK208" i="76"/>
  <c r="BJ876" i="76"/>
  <c r="BH209" i="76"/>
  <c r="BK366" i="76"/>
  <c r="BJ717" i="76"/>
  <c r="BL250" i="76"/>
  <c r="BL500" i="76"/>
  <c r="BG141" i="76"/>
  <c r="BK232" i="76"/>
  <c r="BI814" i="76"/>
  <c r="BI321" i="76"/>
  <c r="Z439" i="76"/>
  <c r="AA442" i="76"/>
  <c r="BJ251" i="76"/>
  <c r="BK854" i="76"/>
  <c r="AE481" i="76"/>
  <c r="BG318" i="76"/>
  <c r="BH858" i="76"/>
  <c r="BK653" i="76"/>
  <c r="BI269" i="76"/>
  <c r="BL461" i="76"/>
  <c r="BG173" i="76"/>
  <c r="BJ689" i="76"/>
  <c r="BL130" i="76"/>
  <c r="BG590" i="76"/>
  <c r="BI192" i="76"/>
  <c r="BH663" i="76"/>
  <c r="BJ573" i="76"/>
  <c r="BK667" i="76"/>
  <c r="BG853" i="76"/>
  <c r="BG684" i="76"/>
  <c r="BG365" i="76"/>
  <c r="AE811" i="76"/>
  <c r="BH543" i="76"/>
  <c r="BL79" i="76"/>
  <c r="BG195" i="76"/>
  <c r="BH863" i="76"/>
  <c r="BG851" i="76"/>
  <c r="AC638" i="76"/>
  <c r="BJ609" i="76"/>
  <c r="BK89" i="76"/>
  <c r="BG73" i="76"/>
  <c r="BK216" i="76"/>
  <c r="BJ121" i="76"/>
  <c r="BL683" i="76"/>
  <c r="AC228" i="76"/>
  <c r="BJ918" i="76"/>
  <c r="BL227" i="76"/>
  <c r="BL534" i="76"/>
  <c r="BH686" i="76"/>
  <c r="BK673" i="76"/>
  <c r="BK460" i="76"/>
  <c r="AB349" i="76"/>
  <c r="BK724" i="76"/>
  <c r="BJ729" i="76"/>
  <c r="BL277" i="76"/>
  <c r="BI689" i="76"/>
  <c r="BH319" i="76"/>
  <c r="Z770" i="76"/>
  <c r="BJ187" i="76"/>
  <c r="Z197" i="76"/>
  <c r="BK771" i="76"/>
  <c r="BG913" i="76"/>
  <c r="BJ451" i="76"/>
  <c r="AD384" i="76"/>
  <c r="AA859" i="76"/>
  <c r="AB1067" i="76"/>
  <c r="Z903" i="76"/>
  <c r="AB371" i="76"/>
  <c r="Z1021" i="76"/>
  <c r="Z362" i="76"/>
  <c r="AB886" i="76"/>
  <c r="AC467" i="76"/>
  <c r="AB220" i="76"/>
  <c r="AC308" i="76"/>
  <c r="AC555" i="76"/>
  <c r="AD278" i="76"/>
  <c r="AA83" i="76"/>
  <c r="Z217" i="76"/>
  <c r="AC601" i="76"/>
  <c r="AB406" i="76"/>
  <c r="AA122" i="76"/>
  <c r="BL896" i="76"/>
  <c r="BG1048" i="76"/>
  <c r="BG508" i="76"/>
  <c r="BJ711" i="76"/>
  <c r="AE607" i="76"/>
  <c r="AE428" i="76"/>
  <c r="Z123" i="76"/>
  <c r="AB124" i="76"/>
  <c r="BI1033" i="76"/>
  <c r="BI904" i="76"/>
  <c r="BK435" i="76"/>
  <c r="BL638" i="76"/>
  <c r="AB539" i="76"/>
  <c r="Z583" i="76"/>
  <c r="AB278" i="76"/>
  <c r="AC1021" i="76"/>
  <c r="Z944" i="76"/>
  <c r="Z1039" i="76"/>
  <c r="AD208" i="76"/>
  <c r="AA560" i="76"/>
  <c r="AC326" i="76"/>
  <c r="AC675" i="76"/>
  <c r="AB524" i="76"/>
  <c r="AD288" i="76"/>
  <c r="AD692" i="76"/>
  <c r="AD343" i="76"/>
  <c r="Z310" i="76"/>
  <c r="AE122" i="76"/>
  <c r="AA818" i="76"/>
  <c r="Z446" i="76"/>
  <c r="AE129" i="76"/>
  <c r="AC133" i="76"/>
  <c r="Z142" i="76"/>
  <c r="BJ954" i="76"/>
  <c r="BG263" i="76"/>
  <c r="AB975" i="76"/>
  <c r="AA672" i="76"/>
  <c r="AD426" i="76"/>
  <c r="AD166" i="76"/>
  <c r="BI1004" i="76"/>
  <c r="BL1004" i="76"/>
  <c r="BH889" i="76"/>
  <c r="BJ190" i="76"/>
  <c r="AE908" i="76"/>
  <c r="Z703" i="76"/>
  <c r="AA236" i="76"/>
  <c r="AD372" i="76"/>
  <c r="AC760" i="76"/>
  <c r="AE969" i="76"/>
  <c r="AA851" i="76"/>
  <c r="AD549" i="76"/>
  <c r="AD459" i="76"/>
  <c r="Z225" i="76"/>
  <c r="AA847" i="76"/>
  <c r="Z391" i="76"/>
  <c r="AE103" i="76"/>
  <c r="Z673" i="76"/>
  <c r="AA547" i="76"/>
  <c r="AC248" i="76"/>
  <c r="AB153" i="76"/>
  <c r="Z835" i="76"/>
  <c r="AC366" i="76"/>
  <c r="AC311" i="76"/>
  <c r="BH917" i="76"/>
  <c r="BI918" i="76"/>
  <c r="BK786" i="76"/>
  <c r="BH103" i="76"/>
  <c r="AB681" i="76"/>
  <c r="AB340" i="76"/>
  <c r="Z308" i="76"/>
  <c r="AC119" i="76"/>
  <c r="AA535" i="76"/>
  <c r="Z378" i="76"/>
  <c r="BG712" i="76"/>
  <c r="BL986" i="76"/>
  <c r="AE665" i="76"/>
  <c r="AC444" i="76"/>
  <c r="AD421" i="76"/>
  <c r="AC128" i="76"/>
  <c r="AD720" i="76"/>
  <c r="AD856" i="76"/>
  <c r="Z433" i="76"/>
  <c r="AB383" i="76"/>
  <c r="AE404" i="76"/>
  <c r="AB76" i="76"/>
  <c r="AA512" i="76"/>
  <c r="AE185" i="76"/>
  <c r="AE264" i="76"/>
  <c r="AC733" i="76"/>
  <c r="AA366" i="76"/>
  <c r="Z796" i="76"/>
  <c r="Z185" i="76"/>
  <c r="AD816" i="76"/>
  <c r="AE846" i="76"/>
  <c r="AC72" i="76"/>
  <c r="BH1013" i="76"/>
  <c r="BL1046" i="76"/>
  <c r="BK626" i="76"/>
  <c r="BG828" i="76"/>
  <c r="AD855" i="76"/>
  <c r="AA490" i="76"/>
  <c r="AA213" i="76"/>
  <c r="Z551" i="76"/>
  <c r="BK940" i="76"/>
  <c r="BL1065" i="76"/>
  <c r="BG552" i="76"/>
  <c r="BJ755" i="76"/>
  <c r="AC737" i="76"/>
  <c r="AE556" i="76"/>
  <c r="AB217" i="76"/>
  <c r="AB972" i="76"/>
  <c r="AD649" i="76"/>
  <c r="AC867" i="76"/>
  <c r="AD1043" i="76"/>
  <c r="AA652" i="76"/>
  <c r="AA835" i="76"/>
  <c r="AC993" i="76"/>
  <c r="AA970" i="76"/>
  <c r="AD1021" i="76"/>
  <c r="AE1061" i="76"/>
  <c r="Z985" i="76"/>
  <c r="AA1058" i="76"/>
  <c r="Z730" i="76"/>
  <c r="AA961" i="76"/>
  <c r="AA679" i="76"/>
  <c r="AA1029" i="76"/>
  <c r="AD1065" i="76"/>
  <c r="AC673" i="76"/>
  <c r="AB916" i="76"/>
  <c r="AE632" i="76"/>
  <c r="AB433" i="76"/>
  <c r="Z1024" i="76"/>
  <c r="AB698" i="76"/>
  <c r="AA387" i="76"/>
  <c r="AC565" i="76"/>
  <c r="AC162" i="76"/>
  <c r="AD249" i="76"/>
  <c r="AD79" i="76"/>
  <c r="AD598" i="76"/>
  <c r="AA831" i="76"/>
  <c r="AE367" i="76"/>
  <c r="Z240" i="76"/>
  <c r="AC314" i="76"/>
  <c r="AE548" i="76"/>
  <c r="AE297" i="76"/>
  <c r="AE1065" i="76"/>
  <c r="AA812" i="76"/>
  <c r="AE817" i="76"/>
  <c r="AC981" i="76"/>
  <c r="Z1031" i="76"/>
  <c r="AD961" i="76"/>
  <c r="AD867" i="76"/>
  <c r="AB579" i="76"/>
  <c r="AB741" i="76"/>
  <c r="Z1022" i="76"/>
  <c r="AC690" i="76"/>
  <c r="AE831" i="76"/>
  <c r="AC985" i="76"/>
  <c r="Z688" i="76"/>
  <c r="AD951" i="76"/>
  <c r="AA650" i="76"/>
  <c r="AD444" i="76"/>
  <c r="AE985" i="76"/>
  <c r="AE731" i="76"/>
  <c r="AC410" i="76"/>
  <c r="AB638" i="76"/>
  <c r="AE173" i="76"/>
  <c r="AB290" i="76"/>
  <c r="AB120" i="76"/>
  <c r="AD630" i="76"/>
  <c r="AE518" i="76"/>
  <c r="AE379" i="76"/>
  <c r="AB251" i="76"/>
  <c r="AC324" i="76"/>
  <c r="AD661" i="76"/>
  <c r="AB354" i="76"/>
  <c r="Z1023" i="76"/>
  <c r="AC853" i="76"/>
  <c r="Z533" i="76"/>
  <c r="AE992" i="76"/>
  <c r="AB1042" i="76"/>
  <c r="Z971" i="76"/>
  <c r="AD883" i="76"/>
  <c r="AD590" i="76"/>
  <c r="Z751" i="76"/>
  <c r="AD915" i="76"/>
  <c r="AE701" i="76"/>
  <c r="Z496" i="76"/>
  <c r="BK719" i="76"/>
  <c r="BI150" i="76"/>
  <c r="BH716" i="76"/>
  <c r="AB170" i="76"/>
  <c r="Z674" i="76"/>
  <c r="BL458" i="76"/>
  <c r="AB549" i="76"/>
  <c r="BL213" i="76"/>
  <c r="AA337" i="76"/>
  <c r="BH865" i="76"/>
  <c r="Z351" i="76"/>
  <c r="BL778" i="76"/>
  <c r="BJ885" i="76"/>
  <c r="AB214" i="76"/>
  <c r="AA716" i="76"/>
  <c r="BJ162" i="76"/>
  <c r="BH724" i="76"/>
  <c r="BJ957" i="76"/>
  <c r="AD536" i="76"/>
  <c r="BK338" i="76"/>
  <c r="BG363" i="76"/>
  <c r="Z404" i="76"/>
  <c r="BJ638" i="76"/>
  <c r="BJ931" i="76"/>
  <c r="BL950" i="76"/>
  <c r="BL337" i="76"/>
  <c r="BJ330" i="76"/>
  <c r="BG983" i="76"/>
  <c r="BK70" i="76"/>
  <c r="BH347" i="76"/>
  <c r="BL341" i="76"/>
  <c r="BL1062" i="76"/>
  <c r="BJ655" i="76"/>
  <c r="BG703" i="76"/>
  <c r="BJ837" i="76"/>
  <c r="BI205" i="76"/>
  <c r="BG317" i="76"/>
  <c r="BJ1028" i="76"/>
  <c r="AD91" i="76"/>
  <c r="AE206" i="76"/>
  <c r="BH676" i="76"/>
  <c r="BI726" i="76"/>
  <c r="BL875" i="76"/>
  <c r="BK228" i="76"/>
  <c r="BI340" i="76"/>
  <c r="BJ857" i="76"/>
  <c r="AE144" i="76"/>
  <c r="Z275" i="76"/>
  <c r="BL698" i="76"/>
  <c r="BK749" i="76"/>
  <c r="BH948" i="76"/>
  <c r="BG246" i="76"/>
  <c r="BK363" i="76"/>
  <c r="BL943" i="76"/>
  <c r="AB237" i="76"/>
  <c r="BH503" i="76"/>
  <c r="AC292" i="76"/>
  <c r="AB135" i="76"/>
  <c r="BH842" i="76"/>
  <c r="BJ384" i="76"/>
  <c r="BJ1002" i="76"/>
  <c r="BH647" i="76"/>
  <c r="BJ77" i="76"/>
  <c r="BL887" i="76"/>
  <c r="BK287" i="76"/>
  <c r="BI152" i="76"/>
  <c r="BH518" i="76"/>
  <c r="BG510" i="76"/>
  <c r="BI789" i="76"/>
  <c r="BI525" i="76"/>
  <c r="BK160" i="76"/>
  <c r="BI572" i="76"/>
  <c r="BK865" i="76"/>
  <c r="BG316" i="76"/>
  <c r="BL599" i="76"/>
  <c r="BG380" i="76"/>
  <c r="BL993" i="76"/>
  <c r="BL369" i="76"/>
  <c r="BG238" i="76"/>
  <c r="AE102" i="76"/>
  <c r="BG156" i="76"/>
  <c r="BJ831" i="76"/>
  <c r="BG736" i="76"/>
  <c r="AA290" i="76"/>
  <c r="BL1039" i="76"/>
  <c r="BH202" i="76"/>
  <c r="BI746" i="76"/>
  <c r="BH192" i="76"/>
  <c r="BH76" i="76"/>
  <c r="BK843" i="76"/>
  <c r="BJ712" i="76"/>
  <c r="AB830" i="76"/>
  <c r="BH481" i="76"/>
  <c r="BJ631" i="76"/>
  <c r="BL414" i="76"/>
  <c r="BG774" i="76"/>
  <c r="BH697" i="76"/>
  <c r="BL412" i="76"/>
  <c r="BG71" i="76"/>
  <c r="AB344" i="76"/>
  <c r="BJ357" i="76"/>
  <c r="BK405" i="76"/>
  <c r="BI513" i="76"/>
  <c r="BL726" i="76"/>
  <c r="BI363" i="76"/>
  <c r="BI246" i="76"/>
  <c r="BK833" i="76"/>
  <c r="BG747" i="76"/>
  <c r="BJ879" i="76"/>
  <c r="BK603" i="76"/>
  <c r="AC526" i="76"/>
  <c r="BL1001" i="76"/>
  <c r="BJ838" i="76"/>
  <c r="BK578" i="76"/>
  <c r="BG537" i="76"/>
  <c r="BL892" i="76"/>
  <c r="BJ746" i="76"/>
  <c r="BK828" i="76"/>
  <c r="AE309" i="76"/>
  <c r="BL401" i="76"/>
  <c r="BL359" i="76"/>
  <c r="BK111" i="76"/>
  <c r="BG787" i="76"/>
  <c r="BJ915" i="76"/>
  <c r="BH453" i="76"/>
  <c r="BJ309" i="76"/>
  <c r="BG269" i="76"/>
  <c r="BK342" i="76"/>
  <c r="BK699" i="76"/>
  <c r="AC306" i="76"/>
  <c r="BH340" i="76"/>
  <c r="BK252" i="76"/>
  <c r="BL567" i="76"/>
  <c r="BI1006" i="76"/>
  <c r="BK408" i="76"/>
  <c r="BH412" i="76"/>
  <c r="Z262" i="76"/>
  <c r="BK826" i="76"/>
  <c r="BK838" i="76"/>
  <c r="BH978" i="76"/>
  <c r="BG532" i="76"/>
  <c r="AB967" i="76"/>
  <c r="AC179" i="76"/>
  <c r="AD508" i="76"/>
  <c r="AA307" i="76"/>
  <c r="AA749" i="76"/>
  <c r="AC184" i="76"/>
  <c r="AA676" i="76"/>
  <c r="AB236" i="76"/>
  <c r="BL897" i="76"/>
  <c r="BJ82" i="76"/>
  <c r="AE672" i="76"/>
  <c r="AA76" i="76"/>
  <c r="AA157" i="76"/>
  <c r="BI920" i="76"/>
  <c r="AE395" i="76"/>
  <c r="AC917" i="76"/>
  <c r="AA938" i="76"/>
  <c r="AA987" i="76"/>
  <c r="Z918" i="76"/>
  <c r="AC233" i="76"/>
  <c r="AD567" i="76"/>
  <c r="AC94" i="76"/>
  <c r="AB730" i="76"/>
  <c r="AE168" i="76"/>
  <c r="AA174" i="76"/>
  <c r="BL722" i="76"/>
  <c r="AC449" i="76"/>
  <c r="Z165" i="76"/>
  <c r="BL926" i="76"/>
  <c r="BH648" i="76"/>
  <c r="AB735" i="76"/>
  <c r="AE930" i="76"/>
  <c r="AA604" i="76"/>
  <c r="Z799" i="76"/>
  <c r="AA721" i="76"/>
  <c r="Z206" i="76"/>
  <c r="AC504" i="76"/>
  <c r="Z72" i="76"/>
  <c r="AB494" i="76"/>
  <c r="AA102" i="76"/>
  <c r="BG988" i="76"/>
  <c r="BL562" i="76"/>
  <c r="AD286" i="76"/>
  <c r="AA85" i="76"/>
  <c r="BL1029" i="76"/>
  <c r="AD1045" i="76"/>
  <c r="AA511" i="76"/>
  <c r="AB931" i="76"/>
  <c r="AC972" i="76"/>
  <c r="Z712" i="76"/>
  <c r="AA704" i="76"/>
  <c r="AC139" i="76"/>
  <c r="Z506" i="76"/>
  <c r="AB234" i="76"/>
  <c r="AE478" i="76"/>
  <c r="BG1013" i="76"/>
  <c r="BH897" i="76"/>
  <c r="AB816" i="76"/>
  <c r="AA256" i="76"/>
  <c r="BJ940" i="76"/>
  <c r="BL809" i="76"/>
  <c r="AD850" i="76"/>
  <c r="AA359" i="76"/>
  <c r="AE837" i="76"/>
  <c r="AC730" i="76"/>
  <c r="AB1068" i="76"/>
  <c r="AE861" i="76"/>
  <c r="Z718" i="76"/>
  <c r="Z580" i="76"/>
  <c r="AB1007" i="76"/>
  <c r="AE959" i="76"/>
  <c r="AC702" i="76"/>
  <c r="Z1037" i="76"/>
  <c r="AD436" i="76"/>
  <c r="AC261" i="76"/>
  <c r="Z642" i="76"/>
  <c r="AC604" i="76"/>
  <c r="AC425" i="76"/>
  <c r="AD121" i="76"/>
  <c r="Z117" i="76"/>
  <c r="Z579" i="76"/>
  <c r="AD946" i="76"/>
  <c r="AA1054" i="76"/>
  <c r="AE801" i="76"/>
  <c r="AC647" i="76"/>
  <c r="AC693" i="76"/>
  <c r="AA696" i="76"/>
  <c r="AA890" i="76"/>
  <c r="AC665" i="76"/>
  <c r="AA916" i="76"/>
  <c r="AD335" i="76"/>
  <c r="AA428" i="76"/>
  <c r="AD98" i="76"/>
  <c r="AD186" i="76"/>
  <c r="AE676" i="76"/>
  <c r="AB413" i="76"/>
  <c r="Z273" i="76"/>
  <c r="AB305" i="76"/>
  <c r="AC355" i="76"/>
  <c r="AD478" i="76"/>
  <c r="AB983" i="76"/>
  <c r="Z841" i="76"/>
  <c r="AD740" i="76"/>
  <c r="AE804" i="76"/>
  <c r="AE848" i="76"/>
  <c r="Z1045" i="76"/>
  <c r="AE757" i="76"/>
  <c r="AE789" i="76"/>
  <c r="AE519" i="76"/>
  <c r="Z812" i="76"/>
  <c r="AA462" i="76"/>
  <c r="AE1014" i="76"/>
  <c r="AE670" i="76"/>
  <c r="AE494" i="76"/>
  <c r="AE242" i="76"/>
  <c r="AD173" i="76"/>
  <c r="AC390" i="76"/>
  <c r="AC219" i="76"/>
  <c r="AC757" i="76"/>
  <c r="AB720" i="76"/>
  <c r="AD419" i="76"/>
  <c r="AC361" i="76"/>
  <c r="AA388" i="76"/>
  <c r="AE660" i="76"/>
  <c r="AA180" i="76"/>
  <c r="AC186" i="76"/>
  <c r="AA817" i="76"/>
  <c r="AB491" i="76"/>
  <c r="AD629" i="76"/>
  <c r="AD983" i="76"/>
  <c r="AE955" i="76"/>
  <c r="AD997" i="76"/>
  <c r="AB827" i="76"/>
  <c r="AD807" i="76"/>
  <c r="Z721" i="76"/>
  <c r="Z911" i="76"/>
  <c r="AB1057" i="76"/>
  <c r="Z831" i="76"/>
  <c r="AD773" i="76"/>
  <c r="AA575" i="76"/>
  <c r="AD626" i="76"/>
  <c r="AA538" i="76"/>
  <c r="AD963" i="76"/>
  <c r="Z784" i="76"/>
  <c r="AB597" i="76"/>
  <c r="AA252" i="76"/>
  <c r="AD183" i="76"/>
  <c r="AA431" i="76"/>
  <c r="AA250" i="76"/>
  <c r="AA790" i="76"/>
  <c r="AB771" i="76"/>
  <c r="AD435" i="76"/>
  <c r="AE372" i="76"/>
  <c r="AC411" i="76"/>
  <c r="AE987" i="76"/>
  <c r="AC197" i="76"/>
  <c r="AC250" i="76"/>
  <c r="AB919" i="76"/>
  <c r="AB507" i="76"/>
  <c r="Z670" i="76"/>
  <c r="AE1004" i="76"/>
  <c r="AE1067" i="76"/>
  <c r="AD853" i="76"/>
  <c r="AC779" i="76"/>
  <c r="AC663" i="76"/>
  <c r="AD986" i="76"/>
  <c r="Z573" i="76"/>
  <c r="AA635" i="76"/>
  <c r="Z261" i="76"/>
  <c r="AA72" i="76"/>
  <c r="AE782" i="76"/>
  <c r="AE427" i="76"/>
  <c r="AB390" i="76"/>
  <c r="AA97" i="76"/>
  <c r="AD690" i="76"/>
  <c r="Z560" i="76"/>
  <c r="Z658" i="76"/>
  <c r="AC244" i="76"/>
  <c r="AA279" i="76"/>
  <c r="AD104" i="76"/>
  <c r="AA989" i="76"/>
  <c r="Z645" i="76"/>
  <c r="AD559" i="76"/>
  <c r="AD822" i="76"/>
  <c r="AD341" i="76"/>
  <c r="Z332" i="76"/>
  <c r="AB115" i="76"/>
  <c r="AA1014" i="76"/>
  <c r="AB951" i="76"/>
  <c r="AB881" i="76"/>
  <c r="Z794" i="76"/>
  <c r="AD671" i="76"/>
  <c r="AB1019" i="76"/>
  <c r="AE600" i="76"/>
  <c r="AA674" i="76"/>
  <c r="AB272" i="76"/>
  <c r="AC83" i="76"/>
  <c r="AC884" i="76"/>
  <c r="AC440" i="76"/>
  <c r="AD413" i="76"/>
  <c r="AC120" i="76"/>
  <c r="AD719" i="76"/>
  <c r="AD587" i="76"/>
  <c r="AA771" i="76"/>
  <c r="AE255" i="76"/>
  <c r="AC302" i="76"/>
  <c r="Z122" i="76"/>
  <c r="AA959" i="76"/>
  <c r="AD659" i="76"/>
  <c r="AD579" i="76"/>
  <c r="Z386" i="76"/>
  <c r="Z356" i="76"/>
  <c r="AE359" i="76"/>
  <c r="AD126" i="76"/>
  <c r="AA138" i="76"/>
  <c r="AD757" i="76"/>
  <c r="AD581" i="76"/>
  <c r="AD239" i="76"/>
  <c r="AC995" i="76"/>
  <c r="AB977" i="76"/>
  <c r="AE857" i="76"/>
  <c r="AC861" i="76"/>
  <c r="AA904" i="76"/>
  <c r="AB865" i="76"/>
  <c r="AC692" i="76"/>
  <c r="Z652" i="76"/>
  <c r="AD418" i="76"/>
  <c r="AD162" i="76"/>
  <c r="AB863" i="76"/>
  <c r="AA469" i="76"/>
  <c r="AA264" i="76"/>
  <c r="AD496" i="76"/>
  <c r="AE832" i="76"/>
  <c r="Z449" i="76"/>
  <c r="AC394" i="76"/>
  <c r="Z577" i="76"/>
  <c r="AE165" i="76"/>
  <c r="AB258" i="76"/>
  <c r="AB88" i="76"/>
  <c r="AB587" i="76"/>
  <c r="AE795" i="76"/>
  <c r="AB926" i="76"/>
  <c r="AB235" i="76"/>
  <c r="AB310" i="76"/>
  <c r="AD525" i="76"/>
  <c r="AC274" i="76"/>
  <c r="AC1046" i="76"/>
  <c r="Z805" i="76"/>
  <c r="AE888" i="76"/>
  <c r="AC719" i="76"/>
  <c r="AB1011" i="76"/>
  <c r="AA980" i="76"/>
  <c r="AD973" i="76"/>
  <c r="AC524" i="76"/>
  <c r="AB430" i="76"/>
  <c r="AA137" i="76"/>
  <c r="AC745" i="76"/>
  <c r="AA618" i="76"/>
  <c r="AE275" i="76"/>
  <c r="Z162" i="76"/>
  <c r="AE703" i="76"/>
  <c r="Z450" i="76"/>
  <c r="AA456" i="76"/>
  <c r="AE191" i="76"/>
  <c r="AC191" i="76"/>
  <c r="AD340" i="76"/>
  <c r="AD879" i="76"/>
  <c r="AB740" i="76"/>
  <c r="AE491" i="76"/>
  <c r="AE557" i="76"/>
  <c r="AA280" i="76"/>
  <c r="AE218" i="76"/>
  <c r="AA663" i="76"/>
  <c r="AE362" i="76"/>
  <c r="AB651" i="76"/>
  <c r="AC388" i="76"/>
  <c r="Z336" i="76"/>
  <c r="AD994" i="76"/>
  <c r="AE954" i="76"/>
  <c r="AC984" i="76"/>
  <c r="Z857" i="76"/>
  <c r="AA903" i="76"/>
  <c r="AC918" i="76"/>
  <c r="Z851" i="76"/>
  <c r="AE879" i="76"/>
  <c r="AC938" i="76"/>
  <c r="AC860" i="76"/>
  <c r="AB910" i="76"/>
  <c r="AB1018" i="76"/>
  <c r="AD811" i="76"/>
  <c r="AE852" i="76"/>
  <c r="AD722" i="76"/>
  <c r="Z954" i="76"/>
  <c r="AE979" i="76"/>
  <c r="AA725" i="76"/>
  <c r="Z865" i="76"/>
  <c r="AD578" i="76"/>
  <c r="AD494" i="76"/>
  <c r="AB504" i="76"/>
  <c r="AC932" i="76"/>
  <c r="AC715" i="76"/>
  <c r="AC531" i="76"/>
  <c r="Z741" i="76"/>
  <c r="AB992" i="76"/>
  <c r="AB845" i="76"/>
  <c r="AB737" i="76"/>
  <c r="AD593" i="76"/>
  <c r="Z361" i="76"/>
  <c r="AD1041" i="76"/>
  <c r="AE881" i="76"/>
  <c r="AB978" i="76"/>
  <c r="AB961" i="76"/>
  <c r="AC1018" i="76"/>
  <c r="AC969" i="76"/>
  <c r="AE868" i="76"/>
  <c r="AD676" i="76"/>
  <c r="AC989" i="76"/>
  <c r="AE887" i="76"/>
  <c r="AD688" i="76"/>
  <c r="AA840" i="76"/>
  <c r="AE877" i="76"/>
  <c r="AE784" i="76"/>
  <c r="AC807" i="76"/>
  <c r="AE999" i="76"/>
  <c r="AC892" i="76"/>
  <c r="AB746" i="76"/>
  <c r="AC1038" i="76"/>
  <c r="Z766" i="76"/>
  <c r="AC632" i="76"/>
  <c r="AD660" i="76"/>
  <c r="AC1047" i="76"/>
  <c r="AA755" i="76"/>
  <c r="AB570" i="76"/>
  <c r="AA729" i="76"/>
  <c r="AE996" i="76"/>
  <c r="AA942" i="76"/>
  <c r="AD1019" i="76"/>
  <c r="AB665" i="76"/>
  <c r="AC585" i="76"/>
  <c r="Z390" i="76"/>
  <c r="AB1041" i="76"/>
  <c r="Z765" i="76"/>
  <c r="AA996" i="76"/>
  <c r="AC1061" i="76"/>
  <c r="Z949" i="76"/>
  <c r="AB957" i="76"/>
  <c r="AE824" i="76"/>
  <c r="AE677" i="76"/>
  <c r="AB1013" i="76"/>
  <c r="AE836" i="76"/>
  <c r="AE689" i="76"/>
  <c r="Z1000" i="76"/>
  <c r="AA997" i="76"/>
  <c r="AC792" i="76"/>
  <c r="AE1032" i="76"/>
  <c r="AB953" i="76"/>
  <c r="Z714" i="76"/>
  <c r="Z564" i="76"/>
  <c r="AE867" i="76"/>
  <c r="AE794" i="76"/>
  <c r="AC573" i="76"/>
  <c r="AA1062" i="76"/>
  <c r="AB733" i="76"/>
  <c r="AD718" i="76"/>
  <c r="AD551" i="76"/>
  <c r="AC428" i="76"/>
  <c r="AB873" i="76"/>
  <c r="AD793" i="76"/>
  <c r="AA707" i="76"/>
  <c r="AD633" i="76"/>
  <c r="AB465" i="76"/>
  <c r="AC1002" i="76"/>
  <c r="AE1003" i="76"/>
  <c r="Z1048" i="76"/>
  <c r="Z904" i="76"/>
  <c r="AD978" i="76"/>
  <c r="Z1064" i="76"/>
  <c r="AA856" i="76"/>
  <c r="AB874" i="76"/>
  <c r="AC974" i="76"/>
  <c r="Z866" i="76"/>
  <c r="AB904" i="76"/>
  <c r="AD944" i="76"/>
  <c r="AD899" i="76"/>
  <c r="Z752" i="76"/>
  <c r="AB603" i="76"/>
  <c r="Z937" i="76"/>
  <c r="AD859" i="76"/>
  <c r="AA715" i="76"/>
  <c r="AD1068" i="76"/>
  <c r="AE697" i="76"/>
  <c r="AB630" i="76"/>
  <c r="AC476" i="76"/>
  <c r="Z978" i="76"/>
  <c r="Z689" i="76"/>
  <c r="AE714" i="76"/>
  <c r="Z421" i="76"/>
  <c r="AD1056" i="76"/>
  <c r="AB812" i="76"/>
  <c r="AA866" i="76"/>
  <c r="AC616" i="76"/>
  <c r="AE544" i="76"/>
  <c r="BH655" i="76"/>
  <c r="BH689" i="76"/>
  <c r="AC135" i="76"/>
  <c r="BL987" i="76"/>
  <c r="BL867" i="76"/>
  <c r="BJ265" i="76"/>
  <c r="BL766" i="76"/>
  <c r="AC382" i="76"/>
  <c r="AC903" i="76"/>
  <c r="BJ869" i="76"/>
  <c r="Z480" i="76"/>
  <c r="BK1016" i="76"/>
  <c r="Z677" i="76"/>
  <c r="BK913" i="76"/>
  <c r="AB1035" i="76"/>
  <c r="BJ250" i="76"/>
  <c r="AC501" i="76"/>
  <c r="BH231" i="76"/>
  <c r="BL579" i="76"/>
  <c r="BJ806" i="76"/>
  <c r="AA86" i="76"/>
  <c r="Z1060" i="76"/>
  <c r="AE464" i="76"/>
  <c r="BG656" i="76"/>
  <c r="AB426" i="76"/>
  <c r="AB308" i="76"/>
  <c r="BG1019" i="76"/>
  <c r="BI861" i="76"/>
  <c r="Z460" i="76"/>
  <c r="AE413" i="76"/>
  <c r="BK1065" i="76"/>
  <c r="BI896" i="76"/>
  <c r="Z322" i="76"/>
  <c r="BI465" i="76"/>
  <c r="BL974" i="76"/>
  <c r="BI151" i="76"/>
  <c r="BH259" i="76"/>
  <c r="BG375" i="76"/>
  <c r="BI641" i="76"/>
  <c r="BG448" i="76"/>
  <c r="AD159" i="76"/>
  <c r="BK476" i="76"/>
  <c r="BJ1059" i="76"/>
  <c r="BG172" i="76"/>
  <c r="BL281" i="76"/>
  <c r="BI397" i="76"/>
  <c r="BK728" i="76"/>
  <c r="BH535" i="76"/>
  <c r="AC542" i="76"/>
  <c r="BG486" i="76"/>
  <c r="BH976" i="76"/>
  <c r="BK194" i="76"/>
  <c r="BI302" i="76"/>
  <c r="BG418" i="76"/>
  <c r="BH809" i="76"/>
  <c r="BJ622" i="76"/>
  <c r="AE196" i="76"/>
  <c r="BI422" i="76"/>
  <c r="BJ766" i="76"/>
  <c r="BJ500" i="76"/>
  <c r="BL455" i="76"/>
  <c r="BK580" i="76"/>
  <c r="BG585" i="76"/>
  <c r="BH715" i="76"/>
  <c r="BG693" i="76"/>
  <c r="BK665" i="76"/>
  <c r="BH808" i="76"/>
  <c r="BI821" i="76"/>
  <c r="BH427" i="76"/>
  <c r="BL568" i="76"/>
  <c r="BJ697" i="76"/>
  <c r="AC85" i="76"/>
  <c r="AE241" i="76"/>
  <c r="BI488" i="76"/>
  <c r="BI770" i="76"/>
  <c r="BI285" i="76"/>
  <c r="AA126" i="76"/>
  <c r="BK1051" i="76"/>
  <c r="BG223" i="76"/>
  <c r="BK487" i="76"/>
  <c r="AA186" i="76"/>
  <c r="BI809" i="76"/>
  <c r="BI764" i="76"/>
  <c r="BI979" i="76"/>
  <c r="BK529" i="76"/>
  <c r="BK257" i="76"/>
  <c r="BH672" i="76"/>
  <c r="BG503" i="76"/>
  <c r="BK391" i="76"/>
  <c r="BI281" i="76"/>
  <c r="BL152" i="76"/>
  <c r="BK943" i="76"/>
  <c r="BI943" i="76"/>
  <c r="BL535" i="76"/>
  <c r="BH586" i="76"/>
  <c r="BG559" i="76"/>
  <c r="BI171" i="76"/>
  <c r="AB132" i="76"/>
  <c r="BI606" i="76"/>
  <c r="BI613" i="76"/>
  <c r="BI204" i="76"/>
  <c r="AA585" i="76"/>
  <c r="BK897" i="76"/>
  <c r="BK359" i="76"/>
  <c r="Z320" i="76"/>
  <c r="BK323" i="76"/>
  <c r="BI636" i="76"/>
  <c r="BJ448" i="76"/>
  <c r="BK540" i="76"/>
  <c r="BL937" i="76"/>
  <c r="BG843" i="76"/>
  <c r="BH607" i="76"/>
  <c r="BL391" i="76"/>
  <c r="BK883" i="76"/>
  <c r="AE151" i="76"/>
  <c r="BI978" i="76"/>
  <c r="BJ252" i="76"/>
  <c r="BG85" i="76"/>
  <c r="BH905" i="76"/>
  <c r="BH570" i="76"/>
  <c r="BK637" i="76"/>
  <c r="BL592" i="76"/>
  <c r="BI89" i="76"/>
  <c r="BK411" i="76"/>
  <c r="BJ364" i="76"/>
  <c r="BH213" i="76"/>
  <c r="BJ300" i="76"/>
  <c r="BG115" i="76"/>
  <c r="BI670" i="76"/>
  <c r="BH411" i="76"/>
  <c r="BK442" i="76"/>
  <c r="BJ948" i="76"/>
  <c r="BH626" i="76"/>
  <c r="BG550" i="76"/>
  <c r="BI120" i="76"/>
  <c r="BI430" i="76"/>
  <c r="BH816" i="76"/>
  <c r="BL106" i="76"/>
  <c r="BJ720" i="76"/>
  <c r="BK389" i="76"/>
  <c r="AC424" i="76"/>
  <c r="AE932" i="76"/>
  <c r="AA295" i="76"/>
  <c r="AB131" i="76"/>
  <c r="Z253" i="76"/>
  <c r="AE707" i="76"/>
  <c r="AC362" i="76"/>
  <c r="AC865" i="76"/>
  <c r="AB139" i="76"/>
  <c r="BJ981" i="76"/>
  <c r="BH167" i="76"/>
  <c r="AA522" i="76"/>
  <c r="AB289" i="76"/>
  <c r="BK909" i="76"/>
  <c r="BJ94" i="76"/>
  <c r="AB1048" i="76"/>
  <c r="AC99" i="76"/>
  <c r="AD746" i="76"/>
  <c r="Z93" i="76"/>
  <c r="AE193" i="76"/>
  <c r="AB122" i="76"/>
  <c r="Z566" i="76"/>
  <c r="AC339" i="76"/>
  <c r="Z626" i="76"/>
  <c r="AA283" i="76"/>
  <c r="AB691" i="76"/>
  <c r="BI807" i="76"/>
  <c r="AD428" i="76"/>
  <c r="AD244" i="76"/>
  <c r="BH1019" i="76"/>
  <c r="BL734" i="76"/>
  <c r="Z486" i="76"/>
  <c r="AA1067" i="76"/>
  <c r="AB826" i="76"/>
  <c r="AD858" i="76"/>
  <c r="AA808" i="76"/>
  <c r="AE101" i="76"/>
  <c r="AE586" i="76"/>
  <c r="AA287" i="76"/>
  <c r="AD511" i="76"/>
  <c r="AB156" i="76"/>
  <c r="BH920" i="76"/>
  <c r="BJ647" i="76"/>
  <c r="AB716" i="76"/>
  <c r="AC205" i="76"/>
  <c r="BJ998" i="76"/>
  <c r="BL574" i="76"/>
  <c r="Z317" i="76"/>
  <c r="AA1068" i="76"/>
  <c r="AC554" i="76"/>
  <c r="AE575" i="76"/>
  <c r="AD550" i="76"/>
  <c r="AE445" i="76"/>
  <c r="AD427" i="76"/>
  <c r="AA190" i="76"/>
  <c r="AC513" i="76"/>
  <c r="AE645" i="76"/>
  <c r="BJ1022" i="76"/>
  <c r="Z1027" i="76"/>
  <c r="AC505" i="76"/>
  <c r="BG1025" i="76"/>
  <c r="BG928" i="76"/>
  <c r="Z877" i="76"/>
  <c r="AC279" i="76"/>
  <c r="AE618" i="76"/>
  <c r="AB996" i="76"/>
  <c r="AD928" i="76"/>
  <c r="AC899" i="76"/>
  <c r="AA855" i="76"/>
  <c r="AA782" i="76"/>
  <c r="AB950" i="76"/>
  <c r="AD762" i="76"/>
  <c r="AD1005" i="76"/>
  <c r="AE375" i="76"/>
  <c r="AE546" i="76"/>
  <c r="Z293" i="76"/>
  <c r="AA104" i="76"/>
  <c r="AE713" i="76"/>
  <c r="AE466" i="76"/>
  <c r="AE465" i="76"/>
  <c r="AA161" i="76"/>
  <c r="AD813" i="76"/>
  <c r="AD664" i="76"/>
  <c r="AA1018" i="76"/>
  <c r="AA820" i="76"/>
  <c r="AB591" i="76"/>
  <c r="AE1062" i="76"/>
  <c r="AA747" i="76"/>
  <c r="Z472" i="76"/>
  <c r="AE687" i="76"/>
  <c r="AA1028" i="76"/>
  <c r="AB558" i="76"/>
  <c r="Z862" i="76"/>
  <c r="AC363" i="76"/>
  <c r="AC348" i="76"/>
  <c r="AA617" i="76"/>
  <c r="AE482" i="76"/>
  <c r="AA367" i="76"/>
  <c r="Z152" i="76"/>
  <c r="AA70" i="76"/>
  <c r="AC599" i="76"/>
  <c r="AC727" i="76"/>
  <c r="Z956" i="76"/>
  <c r="AB841" i="76"/>
  <c r="AA852" i="76"/>
  <c r="AA901" i="76"/>
  <c r="Z1040" i="76"/>
  <c r="AE826" i="76"/>
  <c r="Z706" i="76"/>
  <c r="AD539" i="76"/>
  <c r="AE745" i="76"/>
  <c r="AE499" i="76"/>
  <c r="AD1016" i="76"/>
  <c r="AD800" i="76"/>
  <c r="AB468" i="76"/>
  <c r="AB334" i="76"/>
  <c r="AA302" i="76"/>
  <c r="Z108" i="76"/>
  <c r="AC105" i="76"/>
  <c r="AA921" i="76"/>
  <c r="AE631" i="76"/>
  <c r="AD575" i="76"/>
  <c r="AA446" i="76"/>
  <c r="AA619" i="76"/>
  <c r="AB142" i="76"/>
  <c r="AD313" i="76"/>
  <c r="AD163" i="76"/>
  <c r="AB786" i="76"/>
  <c r="AB618" i="76"/>
  <c r="AB380" i="76"/>
  <c r="Z933" i="76"/>
  <c r="Z948" i="76"/>
  <c r="AE865" i="76"/>
  <c r="AE803" i="76"/>
  <c r="AE1019" i="76"/>
  <c r="AB655" i="76"/>
  <c r="Z910" i="76"/>
  <c r="AE1017" i="76"/>
  <c r="AA751" i="76"/>
  <c r="AE833" i="76"/>
  <c r="AE602" i="76"/>
  <c r="AD968" i="76"/>
  <c r="AC552" i="76"/>
  <c r="AD1002" i="76"/>
  <c r="AB683" i="76"/>
  <c r="Z558" i="76"/>
  <c r="AB347" i="76"/>
  <c r="AA345" i="76"/>
  <c r="AB119" i="76"/>
  <c r="AE128" i="76"/>
  <c r="AA833" i="76"/>
  <c r="AE647" i="76"/>
  <c r="AC613" i="76"/>
  <c r="Z467" i="76"/>
  <c r="AC717" i="76"/>
  <c r="AD153" i="76"/>
  <c r="AC330" i="76"/>
  <c r="Z181" i="76"/>
  <c r="AA827" i="76"/>
  <c r="AA642" i="76"/>
  <c r="Z393" i="76"/>
  <c r="AA912" i="76"/>
  <c r="AB979" i="76"/>
  <c r="AE990" i="76"/>
  <c r="AD700" i="76"/>
  <c r="AC943" i="76"/>
  <c r="AB662" i="76"/>
  <c r="AB368" i="76"/>
  <c r="Z860" i="76"/>
  <c r="AB517" i="76"/>
  <c r="AB281" i="76"/>
  <c r="AB705" i="76"/>
  <c r="Z349" i="76"/>
  <c r="AB314" i="76"/>
  <c r="AC127" i="76"/>
  <c r="AA775" i="76"/>
  <c r="AA500" i="76"/>
  <c r="Z252" i="76"/>
  <c r="AB327" i="76"/>
  <c r="AB678" i="76"/>
  <c r="AD361" i="76"/>
  <c r="Z979" i="76"/>
  <c r="AC819" i="76"/>
  <c r="AB839" i="76"/>
  <c r="Z477" i="76"/>
  <c r="Z485" i="76"/>
  <c r="AA205" i="76"/>
  <c r="AB213" i="76"/>
  <c r="AE926" i="76"/>
  <c r="Z996" i="76"/>
  <c r="AC1068" i="76"/>
  <c r="Z710" i="76"/>
  <c r="AE673" i="76"/>
  <c r="AD717" i="76"/>
  <c r="AD379" i="76"/>
  <c r="AC560" i="76"/>
  <c r="Z554" i="76"/>
  <c r="AD304" i="76"/>
  <c r="Z738" i="76"/>
  <c r="AD363" i="76"/>
  <c r="AE325" i="76"/>
  <c r="AE138" i="76"/>
  <c r="AC811" i="76"/>
  <c r="AA516" i="76"/>
  <c r="AB263" i="76"/>
  <c r="AC340" i="76"/>
  <c r="AE69" i="76"/>
  <c r="AD449" i="76"/>
  <c r="Z1047" i="76"/>
  <c r="AA894" i="76"/>
  <c r="Z537" i="76"/>
  <c r="Z493" i="76"/>
  <c r="AE512" i="76"/>
  <c r="AC216" i="76"/>
  <c r="AB226" i="76"/>
  <c r="AA596" i="76"/>
  <c r="AA888" i="76"/>
  <c r="AE473" i="76"/>
  <c r="AC458" i="76"/>
  <c r="AE1013" i="76"/>
  <c r="Z988" i="76"/>
  <c r="AC990" i="76"/>
  <c r="Z915" i="76"/>
  <c r="AA872" i="76"/>
  <c r="AC649" i="76"/>
  <c r="AC744" i="76"/>
  <c r="AE912" i="76"/>
  <c r="Z260" i="76"/>
  <c r="AD917" i="76"/>
  <c r="AE968" i="76"/>
  <c r="Z545" i="76"/>
  <c r="AA531" i="76"/>
  <c r="AD233" i="76"/>
  <c r="AA863" i="76"/>
  <c r="AE543" i="76"/>
  <c r="AE624" i="76"/>
  <c r="AB296" i="76"/>
  <c r="AB294" i="76"/>
  <c r="AC107" i="76"/>
  <c r="AE164" i="76"/>
  <c r="AA695" i="76"/>
  <c r="AA623" i="76"/>
  <c r="AE456" i="76"/>
  <c r="AD332" i="76"/>
  <c r="AD445" i="76"/>
  <c r="AC126" i="76"/>
  <c r="AC152" i="76"/>
  <c r="Z797" i="76"/>
  <c r="AD927" i="76"/>
  <c r="AE863" i="76"/>
  <c r="AA836" i="76"/>
  <c r="Z596" i="76"/>
  <c r="Z377" i="76"/>
  <c r="AE458" i="76"/>
  <c r="AB747" i="76"/>
  <c r="AE338" i="76"/>
  <c r="AC147" i="76"/>
  <c r="AC872" i="76"/>
  <c r="AB532" i="76"/>
  <c r="AD645" i="76"/>
  <c r="AD297" i="76"/>
  <c r="AB631" i="76"/>
  <c r="AC380" i="76"/>
  <c r="AB199" i="76"/>
  <c r="AC276" i="76"/>
  <c r="AE370" i="76"/>
  <c r="AD168" i="76"/>
  <c r="Z1066" i="76"/>
  <c r="AE690" i="76"/>
  <c r="AC614" i="76"/>
  <c r="AD408" i="76"/>
  <c r="AB387" i="76"/>
  <c r="AD446" i="76"/>
  <c r="AB147" i="76"/>
  <c r="AC189" i="76"/>
  <c r="AE790" i="76"/>
  <c r="Z787" i="76"/>
  <c r="Z281" i="76"/>
  <c r="AC970" i="76"/>
  <c r="AB941" i="76"/>
  <c r="Z1016" i="76"/>
  <c r="AD871" i="76"/>
  <c r="AE1015" i="76"/>
  <c r="Z1012" i="76"/>
  <c r="AA1061" i="76"/>
  <c r="Z804" i="76"/>
  <c r="Z1032" i="76"/>
  <c r="AC836" i="76"/>
  <c r="Z820" i="76"/>
  <c r="AA1042" i="76"/>
  <c r="AC1007" i="76"/>
  <c r="AB721" i="76"/>
  <c r="AB571" i="76"/>
  <c r="AC983" i="76"/>
  <c r="AA830" i="76"/>
  <c r="AA683" i="76"/>
  <c r="AE869" i="76"/>
  <c r="AA800" i="76"/>
  <c r="Z582" i="76"/>
  <c r="AD825" i="76"/>
  <c r="AA849" i="76"/>
  <c r="AC635" i="76"/>
  <c r="AC630" i="76"/>
  <c r="Z389" i="76"/>
  <c r="Z1005" i="76"/>
  <c r="AC927" i="76"/>
  <c r="AB898" i="76"/>
  <c r="AA573" i="76"/>
  <c r="AA478" i="76"/>
  <c r="AC1013" i="76"/>
  <c r="Z1038" i="76"/>
  <c r="Z1063" i="76"/>
  <c r="AE903" i="76"/>
  <c r="AD993" i="76"/>
  <c r="AC999" i="76"/>
  <c r="AB909" i="76"/>
  <c r="Z760" i="76"/>
  <c r="AB611" i="76"/>
  <c r="Z931" i="76"/>
  <c r="Z776" i="76"/>
  <c r="AB623" i="76"/>
  <c r="AB948" i="76"/>
  <c r="AB866" i="76"/>
  <c r="AC722" i="76"/>
  <c r="AC966" i="76"/>
  <c r="AB861" i="76"/>
  <c r="AB893" i="76"/>
  <c r="Z922" i="76"/>
  <c r="AB749" i="76"/>
  <c r="AD731" i="76"/>
  <c r="AC559" i="76"/>
  <c r="AE1066" i="76"/>
  <c r="AC795" i="76"/>
  <c r="AE740" i="76"/>
  <c r="AC520" i="76"/>
  <c r="AE488" i="76"/>
  <c r="AA943" i="76"/>
  <c r="AA966" i="76"/>
  <c r="AE928" i="76"/>
  <c r="AB544" i="76"/>
  <c r="AB500" i="76"/>
  <c r="AE983" i="76"/>
  <c r="Z856" i="76"/>
  <c r="AC910" i="76"/>
  <c r="AB788" i="76"/>
  <c r="AC1027" i="76"/>
  <c r="AB1060" i="76"/>
  <c r="AD924" i="76"/>
  <c r="Z762" i="76"/>
  <c r="AA1020" i="76"/>
  <c r="AA950" i="76"/>
  <c r="Z778" i="76"/>
  <c r="AA1027" i="76"/>
  <c r="AA924" i="76"/>
  <c r="AE758" i="76"/>
  <c r="AA648" i="76"/>
  <c r="AC987" i="76"/>
  <c r="Z811" i="76"/>
  <c r="AD650" i="76"/>
  <c r="Z761" i="76"/>
  <c r="AC709" i="76"/>
  <c r="AC739" i="76"/>
  <c r="AD431" i="76"/>
  <c r="AC785" i="76"/>
  <c r="AD643" i="76"/>
  <c r="AE688" i="76"/>
  <c r="AD537" i="76"/>
  <c r="AC947" i="76"/>
  <c r="AA838" i="76"/>
  <c r="AC887" i="76"/>
  <c r="AD502" i="76"/>
  <c r="AC662" i="76"/>
  <c r="AD977" i="76"/>
  <c r="AD957" i="76"/>
  <c r="AE1025" i="76"/>
  <c r="AA941" i="76"/>
  <c r="AB1063" i="76"/>
  <c r="AD981" i="76"/>
  <c r="AD779" i="76"/>
  <c r="AA811" i="76"/>
  <c r="AD1001" i="76"/>
  <c r="Z793" i="76"/>
  <c r="Z828" i="76"/>
  <c r="AD706" i="76"/>
  <c r="AE982" i="76"/>
  <c r="AE882" i="76"/>
  <c r="AE691" i="76"/>
  <c r="AB1025" i="76"/>
  <c r="Z826" i="76"/>
  <c r="AC814" i="76"/>
  <c r="AC1008" i="76"/>
  <c r="AD749" i="76"/>
  <c r="AC568" i="76"/>
  <c r="AE560" i="76"/>
  <c r="AB900" i="76"/>
  <c r="Z604" i="76"/>
  <c r="AD506" i="76"/>
  <c r="AD519" i="76"/>
  <c r="AA1015" i="76"/>
  <c r="AC1028" i="76"/>
  <c r="Z907" i="76"/>
  <c r="AD751" i="76"/>
  <c r="AE495" i="76"/>
  <c r="AE566" i="76"/>
  <c r="BH560" i="76"/>
  <c r="BL469" i="76"/>
  <c r="BI1019" i="76"/>
  <c r="BH701" i="76"/>
  <c r="BG452" i="76"/>
  <c r="AB585" i="76"/>
  <c r="BJ852" i="76"/>
  <c r="AA124" i="76"/>
  <c r="AE885" i="76"/>
  <c r="BI1040" i="76"/>
  <c r="Z657" i="76"/>
  <c r="BJ976" i="76"/>
  <c r="Z613" i="76"/>
  <c r="AB181" i="76"/>
  <c r="AB388" i="76"/>
  <c r="BG335" i="76"/>
  <c r="AA781" i="76"/>
  <c r="BG572" i="76"/>
  <c r="BK835" i="76"/>
  <c r="BG960" i="76"/>
  <c r="AA439" i="76"/>
  <c r="BG658" i="76"/>
  <c r="AA427" i="76"/>
  <c r="BJ1058" i="76"/>
  <c r="Z546" i="76"/>
  <c r="Z255" i="76"/>
  <c r="BH895" i="76"/>
  <c r="BK1041" i="76"/>
  <c r="AB223" i="76"/>
  <c r="Z366" i="76"/>
  <c r="BK917" i="76"/>
  <c r="AA348" i="76"/>
  <c r="AB742" i="76"/>
  <c r="BL635" i="76"/>
  <c r="BI191" i="76"/>
  <c r="BI322" i="76"/>
  <c r="BL431" i="76"/>
  <c r="BH592" i="76"/>
  <c r="BJ598" i="76"/>
  <c r="BK171" i="76"/>
  <c r="AD271" i="76"/>
  <c r="BH645" i="76"/>
  <c r="BG212" i="76"/>
  <c r="BG343" i="76"/>
  <c r="BI452" i="76"/>
  <c r="BJ635" i="76"/>
  <c r="BL685" i="76"/>
  <c r="BG213" i="76"/>
  <c r="AD394" i="76"/>
  <c r="BJ656" i="76"/>
  <c r="BK234" i="76"/>
  <c r="BK365" i="76"/>
  <c r="BG473" i="76"/>
  <c r="BL678" i="76"/>
  <c r="BH767" i="76"/>
  <c r="BH256" i="76"/>
  <c r="AB291" i="76"/>
  <c r="BJ612" i="76"/>
  <c r="BG157" i="76"/>
  <c r="BJ628" i="76"/>
  <c r="BG625" i="76"/>
  <c r="BK109" i="76"/>
  <c r="BI756" i="76"/>
  <c r="BH384" i="76"/>
  <c r="BG869" i="76"/>
  <c r="BL139" i="76"/>
  <c r="BK98" i="76"/>
  <c r="BG350" i="76"/>
  <c r="BJ769" i="76"/>
  <c r="BJ164" i="76"/>
  <c r="BL298" i="76"/>
  <c r="BH387" i="76"/>
  <c r="BG654" i="76"/>
  <c r="BJ660" i="76"/>
  <c r="BH799" i="76"/>
  <c r="BK740" i="76"/>
  <c r="BI262" i="76"/>
  <c r="BL237" i="76"/>
  <c r="BI642" i="76"/>
  <c r="BK402" i="76"/>
  <c r="BL454" i="76"/>
  <c r="BI190" i="76"/>
  <c r="BL278" i="76"/>
  <c r="BL91" i="76"/>
  <c r="BI826" i="76"/>
  <c r="BG136" i="76"/>
  <c r="BI784" i="76"/>
  <c r="BH162" i="76"/>
  <c r="BK193" i="76"/>
  <c r="BG755" i="76"/>
  <c r="BK497" i="76"/>
  <c r="BK627" i="76"/>
  <c r="BK305" i="76"/>
  <c r="BK403" i="76"/>
  <c r="BL808" i="76"/>
  <c r="BG731" i="76"/>
  <c r="BL234" i="76"/>
  <c r="BG714" i="76"/>
  <c r="BH281" i="76"/>
  <c r="BG369" i="76"/>
  <c r="BH967" i="76"/>
  <c r="BK275" i="76"/>
  <c r="BL551" i="76"/>
  <c r="BI773" i="76"/>
  <c r="BI512" i="76"/>
  <c r="BH174" i="76"/>
  <c r="BG829" i="76"/>
  <c r="BH641" i="76"/>
  <c r="BL342" i="76"/>
  <c r="BL445" i="76"/>
  <c r="BH971" i="76"/>
  <c r="BG650" i="76"/>
  <c r="BJ481" i="76"/>
  <c r="BH348" i="76"/>
  <c r="BJ1032" i="76"/>
  <c r="AD644" i="76"/>
  <c r="BI1010" i="76"/>
  <c r="BG929" i="76"/>
  <c r="BK233" i="76"/>
  <c r="BH289" i="76"/>
  <c r="BJ553" i="76"/>
  <c r="BH810" i="76"/>
  <c r="BH236" i="76"/>
  <c r="BJ446" i="76"/>
  <c r="BH659" i="76"/>
  <c r="BH277" i="76"/>
  <c r="BI301" i="76"/>
  <c r="BJ453" i="76"/>
  <c r="BL811" i="76"/>
  <c r="BK473" i="76"/>
  <c r="BH880" i="76"/>
  <c r="Z211" i="76"/>
  <c r="BK291" i="76"/>
  <c r="AA914" i="76"/>
  <c r="BI345" i="76"/>
  <c r="BG955" i="76"/>
  <c r="BJ476" i="76"/>
  <c r="BH745" i="76"/>
  <c r="BL381" i="76"/>
  <c r="BJ875" i="76"/>
  <c r="BK952" i="76"/>
  <c r="AC776" i="76"/>
  <c r="AE581" i="76"/>
  <c r="Z466" i="76"/>
  <c r="AE416" i="76"/>
  <c r="AB100" i="76"/>
  <c r="AA647" i="76"/>
  <c r="AB108" i="76"/>
  <c r="AE386" i="76"/>
  <c r="BH981" i="76"/>
  <c r="BK594" i="76"/>
  <c r="AC683" i="76"/>
  <c r="Z432" i="76"/>
  <c r="BL908" i="76"/>
  <c r="BG520" i="76"/>
  <c r="AA637" i="76"/>
  <c r="AB146" i="76"/>
  <c r="AC732" i="76"/>
  <c r="AC490" i="76"/>
  <c r="AA189" i="76"/>
  <c r="AB379" i="76"/>
  <c r="AA909" i="76"/>
  <c r="AE238" i="76"/>
  <c r="AA967" i="76"/>
  <c r="Z75" i="76"/>
  <c r="BH946" i="76"/>
  <c r="BL348" i="76"/>
  <c r="AA536" i="76"/>
  <c r="AC70" i="76"/>
  <c r="AC266" i="76"/>
  <c r="BG275" i="76"/>
  <c r="Z758" i="76"/>
  <c r="AB197" i="76"/>
  <c r="AE755" i="76"/>
  <c r="AC130" i="76"/>
  <c r="AB402" i="76"/>
  <c r="AB315" i="76"/>
  <c r="AE754" i="76"/>
  <c r="AC509" i="76"/>
  <c r="AA759" i="76"/>
  <c r="AA216" i="76"/>
  <c r="BH1002" i="76"/>
  <c r="BL189" i="76"/>
  <c r="AE698" i="76"/>
  <c r="AB365" i="76"/>
  <c r="BI930" i="76"/>
  <c r="BH115" i="76"/>
  <c r="Z369" i="76"/>
  <c r="AE142" i="76"/>
  <c r="AA828" i="76"/>
  <c r="Z189" i="76"/>
  <c r="AB221" i="76"/>
  <c r="AC212" i="76"/>
  <c r="AB810" i="76"/>
  <c r="AC253" i="76"/>
  <c r="AA657" i="76"/>
  <c r="AE114" i="76"/>
  <c r="AE288" i="76"/>
  <c r="BK985" i="76"/>
  <c r="AE443" i="76"/>
  <c r="AE127" i="76"/>
  <c r="Z89" i="76"/>
  <c r="BG840" i="76"/>
  <c r="AB525" i="76"/>
  <c r="AC979" i="76"/>
  <c r="AC908" i="76"/>
  <c r="AC766" i="76"/>
  <c r="Z892" i="76"/>
  <c r="Z1002" i="76"/>
  <c r="AD832" i="76"/>
  <c r="AC799" i="76"/>
  <c r="AD681" i="76"/>
  <c r="AE460" i="76"/>
  <c r="AD613" i="76"/>
  <c r="Z544" i="76"/>
  <c r="AE410" i="76"/>
  <c r="AC194" i="76"/>
  <c r="AE894" i="76"/>
  <c r="Z668" i="76"/>
  <c r="AD263" i="76"/>
  <c r="AE74" i="76"/>
  <c r="AA787" i="76"/>
  <c r="AA429" i="76"/>
  <c r="AD831" i="76"/>
  <c r="AB1053" i="76"/>
  <c r="AD845" i="76"/>
  <c r="Z814" i="76"/>
  <c r="AB814" i="76"/>
  <c r="AC712" i="76"/>
  <c r="Z767" i="76"/>
  <c r="AB981" i="76"/>
  <c r="AA559" i="76"/>
  <c r="AE319" i="76"/>
  <c r="AD320" i="76"/>
  <c r="AB193" i="76"/>
  <c r="AC696" i="76"/>
  <c r="AA722" i="76"/>
  <c r="AB562" i="76"/>
  <c r="AC142" i="76"/>
  <c r="Z150" i="76"/>
  <c r="AE696" i="76"/>
  <c r="AA441" i="76"/>
  <c r="AC882" i="76"/>
  <c r="AE889" i="76"/>
  <c r="AA960" i="76"/>
  <c r="AD795" i="76"/>
  <c r="AE980" i="76"/>
  <c r="Z682" i="76"/>
  <c r="AA972" i="76"/>
  <c r="AA540" i="76"/>
  <c r="AC1052" i="76"/>
  <c r="AC810" i="76"/>
  <c r="AE1044" i="76"/>
  <c r="AE769" i="76"/>
  <c r="AA425" i="76"/>
  <c r="AA466" i="76"/>
  <c r="AE199" i="76"/>
  <c r="Z203" i="76"/>
  <c r="AE389" i="76"/>
  <c r="AC996" i="76"/>
  <c r="AD785" i="76"/>
  <c r="AC512" i="76"/>
  <c r="AE598" i="76"/>
  <c r="AA296" i="76"/>
  <c r="AE244" i="76"/>
  <c r="AD78" i="76"/>
  <c r="AA482" i="76"/>
  <c r="AB1005" i="76"/>
  <c r="AC592" i="76"/>
  <c r="AC498" i="76"/>
  <c r="AE909" i="76"/>
  <c r="AE1042" i="76"/>
  <c r="AD979" i="76"/>
  <c r="AC845" i="76"/>
  <c r="Z929" i="76"/>
  <c r="AC710" i="76"/>
  <c r="AA837" i="76"/>
  <c r="AC1065" i="76"/>
  <c r="AD736" i="76"/>
  <c r="AE931" i="76"/>
  <c r="Z601" i="76"/>
  <c r="Z779" i="76"/>
  <c r="Z575" i="76"/>
  <c r="AB985" i="76"/>
  <c r="AE770" i="76"/>
  <c r="AB497" i="76"/>
  <c r="AE493" i="76"/>
  <c r="AA209" i="76"/>
  <c r="AD217" i="76"/>
  <c r="Z495" i="76"/>
  <c r="Z1017" i="76"/>
  <c r="AB822" i="76"/>
  <c r="AA525" i="76"/>
  <c r="AD631" i="76"/>
  <c r="Z312" i="76"/>
  <c r="AA262" i="76"/>
  <c r="Z88" i="76"/>
  <c r="AD656" i="76"/>
  <c r="Z846" i="76"/>
  <c r="AA605" i="76"/>
  <c r="AE521" i="76"/>
  <c r="AD955" i="76"/>
  <c r="AC886" i="76"/>
  <c r="AE952" i="76"/>
  <c r="AE951" i="76"/>
  <c r="AE777" i="76"/>
  <c r="AE633" i="76"/>
  <c r="AE576" i="76"/>
  <c r="AB743" i="76"/>
  <c r="AD376" i="76"/>
  <c r="Z140" i="76"/>
  <c r="Z1025" i="76"/>
  <c r="AA796" i="76"/>
  <c r="AC243" i="76"/>
  <c r="AE397" i="76"/>
  <c r="AC765" i="76"/>
  <c r="AD423" i="76"/>
  <c r="AB357" i="76"/>
  <c r="AE497" i="76"/>
  <c r="AA143" i="76"/>
  <c r="AB196" i="76"/>
  <c r="AE365" i="76"/>
  <c r="AE838" i="76"/>
  <c r="AD694" i="76"/>
  <c r="AB682" i="76"/>
  <c r="AD214" i="76"/>
  <c r="AE291" i="76"/>
  <c r="AD425" i="76"/>
  <c r="Z968" i="76"/>
  <c r="AE897" i="76"/>
  <c r="AA981" i="76"/>
  <c r="AC991" i="76"/>
  <c r="AA792" i="76"/>
  <c r="AA651" i="76"/>
  <c r="AA591" i="76"/>
  <c r="AD794" i="76"/>
  <c r="AB395" i="76"/>
  <c r="AB151" i="76"/>
  <c r="AB804" i="76"/>
  <c r="AA453" i="76"/>
  <c r="AE254" i="76"/>
  <c r="AC438" i="76"/>
  <c r="AC797" i="76"/>
  <c r="AB436" i="76"/>
  <c r="Z374" i="76"/>
  <c r="Z526" i="76"/>
  <c r="AC154" i="76"/>
  <c r="AC222" i="76"/>
  <c r="AB501" i="76"/>
  <c r="AE958" i="76"/>
  <c r="AB732" i="76"/>
  <c r="AA744" i="76"/>
  <c r="Z224" i="76"/>
  <c r="AA301" i="76"/>
  <c r="AA467" i="76"/>
  <c r="AC234" i="76"/>
  <c r="Z1054" i="76"/>
  <c r="Z565" i="76"/>
  <c r="AC344" i="76"/>
  <c r="AD118" i="76"/>
  <c r="AC997" i="76"/>
  <c r="AA745" i="76"/>
  <c r="AA939" i="76"/>
  <c r="AB828" i="76"/>
  <c r="AB686" i="76"/>
  <c r="AC644" i="76"/>
  <c r="AA930" i="76"/>
  <c r="AB550" i="76"/>
  <c r="AD269" i="76"/>
  <c r="AC109" i="76"/>
  <c r="AA614" i="76"/>
  <c r="AE326" i="76"/>
  <c r="AE121" i="76"/>
  <c r="AA199" i="76"/>
  <c r="AC642" i="76"/>
  <c r="AC373" i="76"/>
  <c r="AA412" i="76"/>
  <c r="AD69" i="76"/>
  <c r="AB200" i="76"/>
  <c r="AE257" i="76"/>
  <c r="AC843" i="76"/>
  <c r="AD498" i="76"/>
  <c r="AA639" i="76"/>
  <c r="Z479" i="76"/>
  <c r="Z257" i="76"/>
  <c r="AE224" i="76"/>
  <c r="AB613" i="76"/>
  <c r="AE1022" i="76"/>
  <c r="Z1015" i="76"/>
  <c r="AD823" i="76"/>
  <c r="AE944" i="76"/>
  <c r="AD866" i="76"/>
  <c r="AE589" i="76"/>
  <c r="AC562" i="76"/>
  <c r="AD817" i="76"/>
  <c r="AC263" i="76"/>
  <c r="AB489" i="76"/>
  <c r="AC829" i="76"/>
  <c r="AB448" i="76"/>
  <c r="AE434" i="76"/>
  <c r="AC210" i="76"/>
  <c r="AE761" i="76"/>
  <c r="AC729" i="76"/>
  <c r="Z284" i="76"/>
  <c r="AD374" i="76"/>
  <c r="AC90" i="76"/>
  <c r="AC80" i="76"/>
  <c r="AE83" i="76"/>
  <c r="AE650" i="76"/>
  <c r="AB569" i="76"/>
  <c r="AD527" i="76"/>
  <c r="AE616" i="76"/>
  <c r="AA237" i="76"/>
  <c r="AE269" i="76"/>
  <c r="AB89" i="76"/>
  <c r="AC909" i="76"/>
  <c r="AE569" i="76"/>
  <c r="AC607" i="76"/>
  <c r="AA1055" i="76"/>
  <c r="Z1001" i="76"/>
  <c r="AE993" i="76"/>
  <c r="Z974" i="76"/>
  <c r="AB1031" i="76"/>
  <c r="AE1041" i="76"/>
  <c r="AC953" i="76"/>
  <c r="AC767" i="76"/>
  <c r="AA1059" i="76"/>
  <c r="AD1039" i="76"/>
  <c r="AC783" i="76"/>
  <c r="AB667" i="76"/>
  <c r="AA1021" i="76"/>
  <c r="AA821" i="76"/>
  <c r="Z656" i="76"/>
  <c r="AC1003" i="76"/>
  <c r="AA934" i="76"/>
  <c r="AA772" i="76"/>
  <c r="AB1033" i="76"/>
  <c r="AE818" i="76"/>
  <c r="AB790" i="76"/>
  <c r="AA529" i="76"/>
  <c r="AD890" i="76"/>
  <c r="AB877" i="76"/>
  <c r="AD474" i="76"/>
  <c r="AE476" i="76"/>
  <c r="AD1022" i="76"/>
  <c r="AD887" i="76"/>
  <c r="AD803" i="76"/>
  <c r="AB692" i="76"/>
  <c r="AC452" i="76"/>
  <c r="AB509" i="76"/>
  <c r="AD1011" i="76"/>
  <c r="AE1036" i="76"/>
  <c r="AB924" i="76"/>
  <c r="AC965" i="76"/>
  <c r="AA926" i="76"/>
  <c r="AB1024" i="76"/>
  <c r="AD905" i="76"/>
  <c r="AC700" i="76"/>
  <c r="AB942" i="76"/>
  <c r="AC937" i="76"/>
  <c r="AC716" i="76"/>
  <c r="AD1048" i="76"/>
  <c r="AB833" i="76"/>
  <c r="AA824" i="76"/>
  <c r="Z991" i="76"/>
  <c r="Z785" i="76"/>
  <c r="AB821" i="76"/>
  <c r="AE700" i="76"/>
  <c r="AC801" i="76"/>
  <c r="AB652" i="76"/>
  <c r="AC713" i="76"/>
  <c r="AC978" i="76"/>
  <c r="AC911" i="76"/>
  <c r="AC612" i="76"/>
  <c r="Z619" i="76"/>
  <c r="AE666" i="76"/>
  <c r="AA1063" i="76"/>
  <c r="AB789" i="76"/>
  <c r="Z568" i="76"/>
  <c r="Z755" i="76"/>
  <c r="AC778" i="76"/>
  <c r="AB1015" i="76"/>
  <c r="Z869" i="76"/>
  <c r="AA1025" i="76"/>
  <c r="AC880" i="76"/>
  <c r="AE925" i="76"/>
  <c r="AC954" i="76"/>
  <c r="AA869" i="76"/>
  <c r="AE938" i="76"/>
  <c r="AA977" i="76"/>
  <c r="AA885" i="76"/>
  <c r="AC1055" i="76"/>
  <c r="AB1054" i="76"/>
  <c r="Z837" i="76"/>
  <c r="AD922" i="76"/>
  <c r="Z749" i="76"/>
  <c r="AA1056" i="76"/>
  <c r="AA766" i="76"/>
  <c r="AC762" i="76"/>
  <c r="AB925" i="76"/>
  <c r="Z620" i="76"/>
  <c r="AB515" i="76"/>
  <c r="AC537" i="76"/>
  <c r="Z834" i="76"/>
  <c r="AC743" i="76"/>
  <c r="AA552" i="76"/>
  <c r="Z325" i="76"/>
  <c r="AE1054" i="76"/>
  <c r="Z888" i="76"/>
  <c r="AB815" i="76"/>
  <c r="AE640" i="76"/>
  <c r="AD391" i="76"/>
  <c r="AB1062" i="76"/>
  <c r="AE902" i="76"/>
  <c r="Z999" i="76"/>
  <c r="AA1024" i="76"/>
  <c r="AA1039" i="76"/>
  <c r="AC1005" i="76"/>
  <c r="AC904" i="76"/>
  <c r="AB697" i="76"/>
  <c r="AA1022" i="76"/>
  <c r="AA940" i="76"/>
  <c r="AB709" i="76"/>
  <c r="AA973" i="76"/>
  <c r="AD914" i="76"/>
  <c r="AC805" i="76"/>
  <c r="AB915" i="76"/>
  <c r="AC1064" i="76"/>
  <c r="AC924" i="76"/>
  <c r="AD770" i="76"/>
  <c r="Z995" i="76"/>
  <c r="AD826" i="76"/>
  <c r="AA653" i="76"/>
  <c r="AE718" i="76"/>
  <c r="Z916" i="76"/>
  <c r="AD918" i="76"/>
  <c r="Z598" i="76"/>
  <c r="AC456" i="76"/>
  <c r="AE1064" i="76"/>
  <c r="AB932" i="76"/>
  <c r="AE933" i="76"/>
  <c r="Z695" i="76"/>
  <c r="AE628" i="76"/>
  <c r="AD412" i="76"/>
  <c r="BH953" i="76"/>
  <c r="BJ986" i="76"/>
  <c r="BG614" i="76"/>
  <c r="BI177" i="76"/>
  <c r="BL146" i="76"/>
  <c r="AC827" i="76"/>
  <c r="AA602" i="76"/>
  <c r="BH290" i="76"/>
  <c r="AB758" i="76"/>
  <c r="AD140" i="76"/>
  <c r="AB216" i="76"/>
  <c r="BJ771" i="76"/>
  <c r="AD83" i="76"/>
  <c r="BJ611" i="76"/>
  <c r="AB323" i="76"/>
  <c r="BH792" i="76"/>
  <c r="AC137" i="76"/>
  <c r="AC226" i="76"/>
  <c r="BK186" i="76"/>
  <c r="AE250" i="76"/>
  <c r="BJ283" i="76"/>
  <c r="BI847" i="76"/>
  <c r="Z567" i="76"/>
  <c r="AD541" i="76"/>
  <c r="AE547" i="76"/>
  <c r="BI329" i="76"/>
  <c r="AA235" i="76"/>
  <c r="AA203" i="76"/>
  <c r="AC852" i="76"/>
  <c r="BK352" i="76"/>
  <c r="AD333" i="76"/>
  <c r="AD272" i="76"/>
  <c r="AE843" i="76"/>
  <c r="BI413" i="76"/>
  <c r="AE314" i="76"/>
  <c r="AD533" i="76"/>
  <c r="AA98" i="76"/>
  <c r="AC155" i="76"/>
  <c r="BH992" i="76"/>
  <c r="BJ1029" i="76"/>
  <c r="AC949" i="76"/>
  <c r="BJ424" i="76"/>
  <c r="BL880" i="76"/>
  <c r="AD111" i="76"/>
  <c r="AB370" i="76"/>
  <c r="Z274" i="76"/>
  <c r="BH928" i="76"/>
  <c r="BI898" i="76"/>
  <c r="AD1051" i="76"/>
  <c r="BL435" i="76"/>
  <c r="BL923" i="76"/>
  <c r="AC182" i="76"/>
  <c r="AB177" i="76"/>
  <c r="Z535" i="76"/>
  <c r="BJ1026" i="76"/>
  <c r="BK984" i="76"/>
  <c r="AE949" i="76"/>
  <c r="BG717" i="76"/>
  <c r="BL134" i="76"/>
  <c r="BL309" i="76"/>
  <c r="BJ695" i="76"/>
  <c r="BH635" i="76"/>
  <c r="BJ70" i="76"/>
  <c r="BK681" i="76"/>
  <c r="BL288" i="76"/>
  <c r="BH734" i="76"/>
  <c r="BK518" i="76"/>
  <c r="BH396" i="76"/>
  <c r="BL711" i="76"/>
  <c r="BI848" i="76"/>
  <c r="BH104" i="76"/>
  <c r="BL210" i="76"/>
  <c r="BI197" i="76"/>
  <c r="BK969" i="76"/>
  <c r="BG689" i="76"/>
  <c r="BJ322" i="76"/>
  <c r="BJ375" i="76"/>
  <c r="BH654" i="76"/>
  <c r="BI794" i="76"/>
  <c r="BH694" i="76"/>
  <c r="BL224" i="76"/>
  <c r="BH627" i="76"/>
  <c r="AE570" i="76"/>
  <c r="AC529" i="76"/>
  <c r="AC574" i="76"/>
  <c r="AC303" i="76"/>
  <c r="BL760" i="76"/>
  <c r="BK757" i="76"/>
  <c r="BI317" i="76"/>
  <c r="BL310" i="76"/>
  <c r="BK780" i="76"/>
  <c r="BI517" i="76"/>
  <c r="BK322" i="76"/>
  <c r="BG113" i="76"/>
  <c r="AE79" i="76"/>
  <c r="BG171" i="76"/>
  <c r="BJ507" i="76"/>
  <c r="BH1003" i="76"/>
  <c r="BG218" i="76"/>
  <c r="BJ683" i="76"/>
  <c r="BH533" i="76"/>
  <c r="BG181" i="76"/>
  <c r="BI685" i="76"/>
  <c r="BJ730" i="76"/>
  <c r="BK736" i="76"/>
  <c r="BG467" i="76"/>
  <c r="BG593" i="76"/>
  <c r="BI730" i="76"/>
  <c r="BH357" i="76"/>
  <c r="BH171" i="76"/>
  <c r="BJ587" i="76"/>
  <c r="BL485" i="76"/>
  <c r="BJ368" i="76"/>
  <c r="BG258" i="76"/>
  <c r="BJ129" i="76"/>
  <c r="BH911" i="76"/>
  <c r="BK894" i="76"/>
  <c r="BJ270" i="76"/>
  <c r="BG678" i="76"/>
  <c r="BJ296" i="76"/>
  <c r="BJ249" i="76"/>
  <c r="BI840" i="76"/>
  <c r="BH806" i="76"/>
  <c r="BH282" i="76"/>
  <c r="BG337" i="76"/>
  <c r="BI573" i="76"/>
  <c r="BL796" i="76"/>
  <c r="BH595" i="76"/>
  <c r="AC181" i="76"/>
  <c r="BG715" i="76"/>
  <c r="BK533" i="76"/>
  <c r="BL737" i="76"/>
  <c r="BG560" i="76"/>
  <c r="BH345" i="76"/>
  <c r="AC426" i="76"/>
  <c r="BH458" i="76"/>
  <c r="BG186" i="76"/>
  <c r="BH136" i="76"/>
  <c r="BL511" i="76"/>
  <c r="BK949" i="76"/>
  <c r="BI485" i="76"/>
  <c r="BJ791" i="76"/>
  <c r="AB604" i="76"/>
  <c r="Z849" i="76"/>
  <c r="Z827" i="76"/>
  <c r="AD392" i="76"/>
  <c r="AB393" i="76"/>
  <c r="AC153" i="76"/>
  <c r="AB474" i="76"/>
  <c r="AA74" i="76"/>
  <c r="AB374" i="76"/>
  <c r="BL1067" i="76"/>
  <c r="BI679" i="76"/>
  <c r="Z608" i="76"/>
  <c r="AC316" i="76"/>
  <c r="BH993" i="76"/>
  <c r="BK606" i="76"/>
  <c r="AA724" i="76"/>
  <c r="AA615" i="76"/>
  <c r="AE816" i="76"/>
  <c r="AC295" i="76"/>
  <c r="Z305" i="76"/>
  <c r="AD242" i="76"/>
  <c r="AE1021" i="76"/>
  <c r="AB459" i="76"/>
  <c r="AB104" i="76"/>
  <c r="AE187" i="76"/>
  <c r="BK1032" i="76"/>
  <c r="BG433" i="76"/>
  <c r="AB535" i="76"/>
  <c r="AD277" i="76"/>
  <c r="BG958" i="76"/>
  <c r="BL360" i="76"/>
  <c r="AA566" i="76"/>
  <c r="AE93" i="76"/>
  <c r="AA899" i="76"/>
  <c r="Z223" i="76"/>
  <c r="AD89" i="76"/>
  <c r="AA244" i="76"/>
  <c r="AD959" i="76"/>
  <c r="AC379" i="76"/>
  <c r="AD836" i="76"/>
  <c r="AC150" i="76"/>
  <c r="AA259" i="76"/>
  <c r="BI274" i="76"/>
  <c r="AE743" i="76"/>
  <c r="AB194" i="76"/>
  <c r="BH1014" i="76"/>
  <c r="BL201" i="76"/>
  <c r="AC460" i="76"/>
  <c r="Z463" i="76"/>
  <c r="AD1029" i="76"/>
  <c r="Z709" i="76"/>
  <c r="AB241" i="76"/>
  <c r="AB414" i="76"/>
  <c r="AA702" i="76"/>
  <c r="AE259" i="76"/>
  <c r="AA632" i="76"/>
  <c r="AE350" i="76"/>
  <c r="BK929" i="76"/>
  <c r="BJ114" i="76"/>
  <c r="Z365" i="76"/>
  <c r="AA140" i="76"/>
  <c r="BI855" i="76"/>
  <c r="BJ1030" i="76"/>
  <c r="Z471" i="76"/>
  <c r="AA169" i="76"/>
  <c r="AB554" i="76"/>
  <c r="AC959" i="76"/>
  <c r="Z874" i="76"/>
  <c r="AB963" i="76"/>
  <c r="AE939" i="76"/>
  <c r="AE989" i="76"/>
  <c r="Z895" i="76"/>
  <c r="AD777" i="76"/>
  <c r="AE737" i="76"/>
  <c r="AA497" i="76"/>
  <c r="AD443" i="76"/>
  <c r="AA645" i="76"/>
  <c r="AD698" i="76"/>
  <c r="AD324" i="76"/>
  <c r="AE825" i="76"/>
  <c r="AB392" i="76"/>
  <c r="AE354" i="76"/>
  <c r="AC159" i="76"/>
  <c r="AE998" i="76"/>
  <c r="AE562" i="76"/>
  <c r="AE942" i="76"/>
  <c r="AB729" i="76"/>
  <c r="AC793" i="76"/>
  <c r="Z792" i="76"/>
  <c r="AB894" i="76"/>
  <c r="Z870" i="76"/>
  <c r="AA723" i="76"/>
  <c r="AA385" i="76"/>
  <c r="AE659" i="76"/>
  <c r="Z196" i="76"/>
  <c r="AD77" i="76"/>
  <c r="AA82" i="76"/>
  <c r="AC738" i="76"/>
  <c r="Z405" i="76"/>
  <c r="Z396" i="76"/>
  <c r="Z247" i="76"/>
  <c r="AB140" i="76"/>
  <c r="AC915" i="76"/>
  <c r="AE594" i="76"/>
  <c r="AE966" i="76"/>
  <c r="AC902" i="76"/>
  <c r="Z897" i="76"/>
  <c r="AA1017" i="76"/>
  <c r="Z708" i="76"/>
  <c r="AD925" i="76"/>
  <c r="Z924" i="76"/>
  <c r="AB483" i="76"/>
  <c r="AC895" i="76"/>
  <c r="AA520" i="76"/>
  <c r="AD942" i="76"/>
  <c r="Z702" i="76"/>
  <c r="AB348" i="76"/>
  <c r="AB207" i="76"/>
  <c r="AC284" i="76"/>
  <c r="Z395" i="76"/>
  <c r="AB189" i="76"/>
  <c r="AC1040" i="76"/>
  <c r="AE719" i="76"/>
  <c r="Z654" i="76"/>
  <c r="AB425" i="76"/>
  <c r="AB419" i="76"/>
  <c r="AA551" i="76"/>
  <c r="AB163" i="76"/>
  <c r="Z233" i="76"/>
  <c r="AD874" i="76"/>
  <c r="AA714" i="76"/>
  <c r="AE471" i="76"/>
  <c r="Z1036" i="76"/>
  <c r="AD974" i="76"/>
  <c r="AC946" i="76"/>
  <c r="AA898" i="76"/>
  <c r="AA1049" i="76"/>
  <c r="AB763" i="76"/>
  <c r="AE871" i="76"/>
  <c r="AE807" i="76"/>
  <c r="AE788" i="76"/>
  <c r="AC1060" i="76"/>
  <c r="Z536" i="76"/>
  <c r="AC873" i="76"/>
  <c r="AB576" i="76"/>
  <c r="AB923" i="76"/>
  <c r="AA754" i="76"/>
  <c r="Z417" i="76"/>
  <c r="AD218" i="76"/>
  <c r="AE295" i="76"/>
  <c r="AD441" i="76"/>
  <c r="AC215" i="76"/>
  <c r="Z1028" i="76"/>
  <c r="AA737" i="76"/>
  <c r="AE699" i="76"/>
  <c r="AB437" i="76"/>
  <c r="AD442" i="76"/>
  <c r="AB714" i="76"/>
  <c r="AD174" i="76"/>
  <c r="AD276" i="76"/>
  <c r="AE1046" i="76"/>
  <c r="AD734" i="76"/>
  <c r="AC484" i="76"/>
  <c r="AD1058" i="76"/>
  <c r="Z972" i="76"/>
  <c r="AD998" i="76"/>
  <c r="AE915" i="76"/>
  <c r="AC809" i="76"/>
  <c r="Z557" i="76"/>
  <c r="AC602" i="76"/>
  <c r="AC821" i="76"/>
  <c r="AB239" i="76"/>
  <c r="AC541" i="76"/>
  <c r="AC1054" i="76"/>
  <c r="AE798" i="76"/>
  <c r="AD467" i="76"/>
  <c r="AD204" i="76"/>
  <c r="AE1035" i="76"/>
  <c r="AA513" i="76"/>
  <c r="AE525" i="76"/>
  <c r="AD275" i="76"/>
  <c r="AD253" i="76"/>
  <c r="AE86" i="76"/>
  <c r="AC77" i="76"/>
  <c r="AD820" i="76"/>
  <c r="Z585" i="76"/>
  <c r="AA433" i="76"/>
  <c r="AB299" i="76"/>
  <c r="Z399" i="76"/>
  <c r="AE105" i="76"/>
  <c r="Z1068" i="76"/>
  <c r="AC992" i="76"/>
  <c r="AD1014" i="76"/>
  <c r="AD941" i="76"/>
  <c r="AE820" i="76"/>
  <c r="AC567" i="76"/>
  <c r="Z617" i="76"/>
  <c r="AB853" i="76"/>
  <c r="AD250" i="76"/>
  <c r="AB654" i="76"/>
  <c r="AD1013" i="76"/>
  <c r="AA1013" i="76"/>
  <c r="AA498" i="76"/>
  <c r="Z219" i="76"/>
  <c r="AB1056" i="76"/>
  <c r="AE527" i="76"/>
  <c r="AC571" i="76"/>
  <c r="Z285" i="76"/>
  <c r="Z271" i="76"/>
  <c r="AA96" i="76"/>
  <c r="AA118" i="76"/>
  <c r="AC670" i="76"/>
  <c r="AB608" i="76"/>
  <c r="AA445" i="76"/>
  <c r="Z318" i="76"/>
  <c r="AB422" i="76"/>
  <c r="AA115" i="76"/>
  <c r="AA129" i="76"/>
  <c r="AA181" i="76"/>
  <c r="AA706" i="76"/>
  <c r="Z216" i="76"/>
  <c r="AB434" i="76"/>
  <c r="AD913" i="76"/>
  <c r="AD900" i="76"/>
  <c r="AE626" i="76"/>
  <c r="Z953" i="76"/>
  <c r="AC718" i="76"/>
  <c r="AB712" i="76"/>
  <c r="AD839" i="76"/>
  <c r="AC445" i="76"/>
  <c r="AD141" i="76"/>
  <c r="Z157" i="76"/>
  <c r="AC615" i="76"/>
  <c r="AC329" i="76"/>
  <c r="AA432" i="76"/>
  <c r="AB794" i="76"/>
  <c r="AD841" i="76"/>
  <c r="AD468" i="76"/>
  <c r="AB736" i="76"/>
  <c r="AB154" i="76"/>
  <c r="AA336" i="76"/>
  <c r="Z182" i="76"/>
  <c r="AB799" i="76"/>
  <c r="AC625" i="76"/>
  <c r="AB384" i="76"/>
  <c r="AA334" i="76"/>
  <c r="Z346" i="76"/>
  <c r="Z462" i="76"/>
  <c r="AE154" i="76"/>
  <c r="AA919" i="76"/>
  <c r="Z997" i="76"/>
  <c r="AD947" i="76"/>
  <c r="AC848" i="76"/>
  <c r="Z746" i="76"/>
  <c r="AD615" i="76"/>
  <c r="AD589" i="76"/>
  <c r="AA804" i="76"/>
  <c r="AE528" i="76"/>
  <c r="AA232" i="76"/>
  <c r="AE853" i="76"/>
  <c r="AE539" i="76"/>
  <c r="AA321" i="76"/>
  <c r="AB99" i="76"/>
  <c r="AE880" i="76"/>
  <c r="AA546" i="76"/>
  <c r="AE417" i="76"/>
  <c r="Z663" i="76"/>
  <c r="AA175" i="76"/>
  <c r="Z299" i="76"/>
  <c r="Z129" i="76"/>
  <c r="AB615" i="76"/>
  <c r="AD903" i="76"/>
  <c r="AC372" i="76"/>
  <c r="AD246" i="76"/>
  <c r="AD318" i="76"/>
  <c r="AE621" i="76"/>
  <c r="Z328" i="76"/>
  <c r="AC1000" i="76"/>
  <c r="AD652" i="76"/>
  <c r="Z412" i="76"/>
  <c r="Z160" i="76"/>
  <c r="AB1030" i="76"/>
  <c r="AC870" i="76"/>
  <c r="Z967" i="76"/>
  <c r="AE946" i="76"/>
  <c r="AA1007" i="76"/>
  <c r="AB1066" i="76"/>
  <c r="AB848" i="76"/>
  <c r="AB984" i="76"/>
  <c r="AC973" i="76"/>
  <c r="AA870" i="76"/>
  <c r="AB677" i="76"/>
  <c r="AB806" i="76"/>
  <c r="AC858" i="76"/>
  <c r="AC773" i="76"/>
  <c r="AB781" i="76"/>
  <c r="AA969" i="76"/>
  <c r="AB879" i="76"/>
  <c r="AE986" i="76"/>
  <c r="AE1005" i="76"/>
  <c r="Z1046" i="76"/>
  <c r="AA621" i="76"/>
  <c r="AB637" i="76"/>
  <c r="AD949" i="76"/>
  <c r="AB722" i="76"/>
  <c r="AA558" i="76"/>
  <c r="AC672" i="76"/>
  <c r="AA962" i="76"/>
  <c r="AA895" i="76"/>
  <c r="Z921" i="76"/>
  <c r="Z649" i="76"/>
  <c r="AC566" i="76"/>
  <c r="AD380" i="76"/>
  <c r="Z1018" i="76"/>
  <c r="AD755" i="76"/>
  <c r="Z1053" i="76"/>
  <c r="AA1050" i="76"/>
  <c r="AD939" i="76"/>
  <c r="AD930" i="76"/>
  <c r="AC813" i="76"/>
  <c r="AC666" i="76"/>
  <c r="AD960" i="76"/>
  <c r="AC825" i="76"/>
  <c r="AC678" i="76"/>
  <c r="AD982" i="76"/>
  <c r="AD940" i="76"/>
  <c r="AB779" i="76"/>
  <c r="AE1016" i="76"/>
  <c r="Z920" i="76"/>
  <c r="AD704" i="76"/>
  <c r="AE918" i="76"/>
  <c r="Z850" i="76"/>
  <c r="AA767" i="76"/>
  <c r="AB560" i="76"/>
  <c r="AE1028" i="76"/>
  <c r="AD712" i="76"/>
  <c r="Z704" i="76"/>
  <c r="AB540" i="76"/>
  <c r="AA417" i="76"/>
  <c r="Z852" i="76"/>
  <c r="AC764" i="76"/>
  <c r="AC682" i="76"/>
  <c r="AE612" i="76"/>
  <c r="AE451" i="76"/>
  <c r="AA991" i="76"/>
  <c r="Z969" i="76"/>
  <c r="AD1038" i="76"/>
  <c r="AB892" i="76"/>
  <c r="AC1056" i="76"/>
  <c r="AD1046" i="76"/>
  <c r="AA845" i="76"/>
  <c r="AE834" i="76"/>
  <c r="AD1066" i="76"/>
  <c r="AA857" i="76"/>
  <c r="AA880" i="76"/>
  <c r="AB875" i="76"/>
  <c r="Z885" i="76"/>
  <c r="Z742" i="76"/>
  <c r="Z592" i="76"/>
  <c r="AB920" i="76"/>
  <c r="AB851" i="76"/>
  <c r="AE705" i="76"/>
  <c r="AC952" i="76"/>
  <c r="AA675" i="76"/>
  <c r="Z611" i="76"/>
  <c r="AA465" i="76"/>
  <c r="Z898" i="76"/>
  <c r="AB669" i="76"/>
  <c r="Z687" i="76"/>
  <c r="AD411" i="76"/>
  <c r="AC1067" i="76"/>
  <c r="AD783" i="76"/>
  <c r="Z838" i="76"/>
  <c r="AE603" i="76"/>
  <c r="Z513" i="76"/>
  <c r="AA1034" i="76"/>
  <c r="AD923" i="76"/>
  <c r="AE972" i="76"/>
  <c r="AC933" i="76"/>
  <c r="AB1014" i="76"/>
  <c r="AC854" i="76"/>
  <c r="Z947" i="76"/>
  <c r="AA789" i="76"/>
  <c r="Z632" i="76"/>
  <c r="AB968" i="76"/>
  <c r="AA805" i="76"/>
  <c r="Z644" i="76"/>
  <c r="AD1003" i="76"/>
  <c r="Z894" i="76"/>
  <c r="AA743" i="76"/>
  <c r="AA999" i="76"/>
  <c r="AB889" i="76"/>
  <c r="AC980" i="76"/>
  <c r="AC631" i="76"/>
  <c r="AB802" i="76"/>
  <c r="Z771" i="76"/>
  <c r="AA588" i="76"/>
  <c r="AC926" i="76"/>
  <c r="AB891" i="76"/>
  <c r="Z883" i="76"/>
  <c r="AA541" i="76"/>
  <c r="AE517" i="76"/>
  <c r="AA1057" i="76"/>
  <c r="AE767" i="76"/>
  <c r="AA660" i="76"/>
  <c r="AD576" i="76"/>
  <c r="AE537" i="76"/>
  <c r="BG378" i="76"/>
  <c r="AC145" i="76"/>
  <c r="AD561" i="76"/>
  <c r="AE342" i="76"/>
  <c r="AC803" i="76"/>
  <c r="AE205" i="76"/>
  <c r="BG1010" i="76"/>
  <c r="AD1009" i="76"/>
  <c r="BL554" i="76"/>
  <c r="Z290" i="76"/>
  <c r="BG192" i="76"/>
  <c r="BG464" i="76"/>
  <c r="BH844" i="76"/>
  <c r="BH244" i="76"/>
  <c r="BI856" i="76"/>
  <c r="BI255" i="76"/>
  <c r="BG406" i="76"/>
  <c r="BG663" i="76"/>
  <c r="BK1029" i="76"/>
  <c r="BI1025" i="76"/>
  <c r="BI417" i="76"/>
  <c r="BI686" i="76"/>
  <c r="BK172" i="76"/>
  <c r="BL900" i="76"/>
  <c r="BJ428" i="76"/>
  <c r="BK709" i="76"/>
  <c r="BG190" i="76"/>
  <c r="BH985" i="76"/>
  <c r="AE214" i="76"/>
  <c r="BG666" i="76"/>
  <c r="BK276" i="76"/>
  <c r="BK485" i="76"/>
  <c r="BJ197" i="76"/>
  <c r="BG170" i="76"/>
  <c r="BL124" i="76"/>
  <c r="BJ494" i="76"/>
  <c r="BL930" i="76"/>
  <c r="AA658" i="76"/>
  <c r="AD603" i="76"/>
  <c r="BH327" i="76"/>
  <c r="BK496" i="76"/>
  <c r="AB362" i="76"/>
  <c r="AE484" i="76"/>
  <c r="BG615" i="76"/>
  <c r="BJ417" i="76"/>
  <c r="BJ179" i="76"/>
  <c r="BG132" i="76"/>
  <c r="BH703" i="76"/>
  <c r="BG112" i="76"/>
  <c r="BJ554" i="76"/>
  <c r="AC209" i="76"/>
  <c r="BJ854" i="76"/>
  <c r="BH847" i="76"/>
  <c r="BG531" i="76"/>
  <c r="BG844" i="76"/>
  <c r="BL991" i="76"/>
  <c r="BJ969" i="76"/>
  <c r="BL894" i="76"/>
  <c r="BJ347" i="76"/>
  <c r="BK422" i="76"/>
  <c r="BG950" i="76"/>
  <c r="BK520" i="76"/>
  <c r="BJ254" i="76"/>
  <c r="BG314" i="76"/>
  <c r="BL502" i="76"/>
  <c r="BK847" i="76"/>
  <c r="BH375" i="76"/>
  <c r="BL113" i="76"/>
  <c r="AC676" i="76"/>
  <c r="BG720" i="76"/>
  <c r="BK920" i="76"/>
  <c r="AE839" i="76"/>
  <c r="AC691" i="76"/>
  <c r="AA409" i="76"/>
  <c r="AA358" i="76"/>
  <c r="BL857" i="76"/>
  <c r="AD531" i="76"/>
  <c r="BG776" i="76"/>
  <c r="AB288" i="76"/>
  <c r="Z530" i="76"/>
  <c r="AA426" i="76"/>
  <c r="Z745" i="76"/>
  <c r="AC427" i="76"/>
  <c r="BG604" i="76"/>
  <c r="AB596" i="76"/>
  <c r="BI531" i="76"/>
  <c r="Z167" i="76"/>
  <c r="AC360" i="76"/>
  <c r="AB295" i="76"/>
  <c r="AA688" i="76"/>
  <c r="AC208" i="76"/>
  <c r="BI444" i="76"/>
  <c r="AE333" i="76"/>
  <c r="BH370" i="76"/>
  <c r="AC114" i="76"/>
  <c r="AA238" i="76"/>
  <c r="AC255" i="76"/>
  <c r="AE402" i="76"/>
  <c r="AA171" i="76"/>
  <c r="BL284" i="76"/>
  <c r="Z222" i="76"/>
  <c r="BH211" i="76"/>
  <c r="AC603" i="76"/>
  <c r="AC349" i="76"/>
  <c r="AA875" i="76"/>
  <c r="Z932" i="76"/>
  <c r="AB868" i="76"/>
  <c r="AE799" i="76"/>
  <c r="AA477" i="76"/>
  <c r="Z311" i="76"/>
  <c r="AD840" i="76"/>
  <c r="AD521" i="76"/>
  <c r="AB713" i="76"/>
  <c r="AA871" i="76"/>
  <c r="Z842" i="76"/>
  <c r="AA861" i="76"/>
  <c r="AB869" i="76"/>
  <c r="AB761" i="76"/>
  <c r="AB162" i="76"/>
  <c r="AA753" i="76"/>
  <c r="AC354" i="76"/>
  <c r="AC202" i="76"/>
  <c r="AB364" i="76"/>
  <c r="AC1022" i="76"/>
  <c r="AB1002" i="76"/>
  <c r="AB917" i="76"/>
  <c r="AB739" i="76"/>
  <c r="AB463" i="76"/>
  <c r="AD1007" i="76"/>
  <c r="Z292" i="76"/>
  <c r="AC98" i="76"/>
  <c r="AE115" i="76"/>
  <c r="AC595" i="76"/>
  <c r="AC740" i="76"/>
  <c r="AE301" i="76"/>
  <c r="AB1044" i="76"/>
  <c r="AE592" i="76"/>
  <c r="AA1035" i="76"/>
  <c r="AB792" i="76"/>
  <c r="AE851" i="76"/>
  <c r="AB706" i="76"/>
  <c r="Z976" i="76"/>
  <c r="Z934" i="76"/>
  <c r="AE1049" i="76"/>
  <c r="AE511" i="76"/>
  <c r="Z407" i="76"/>
  <c r="AE119" i="76"/>
  <c r="AA718" i="76"/>
  <c r="AA586" i="76"/>
  <c r="AC264" i="76"/>
  <c r="AD144" i="76"/>
  <c r="AC680" i="76"/>
  <c r="AA1066" i="76"/>
  <c r="Z664" i="76"/>
  <c r="Z990" i="76"/>
  <c r="AC580" i="76"/>
  <c r="AA492" i="76"/>
  <c r="Z424" i="76"/>
  <c r="AD294" i="76"/>
  <c r="AA117" i="76"/>
  <c r="AE352" i="76"/>
  <c r="AE582" i="76"/>
  <c r="AB157" i="76"/>
  <c r="Z468" i="76"/>
  <c r="AA443" i="76"/>
  <c r="AD195" i="76"/>
  <c r="AD1057" i="76"/>
  <c r="AE1058" i="76"/>
  <c r="Z1041" i="76"/>
  <c r="AE967" i="76"/>
  <c r="AB246" i="76"/>
  <c r="AE596" i="76"/>
  <c r="AC110" i="76"/>
  <c r="AB621" i="76"/>
  <c r="AE394" i="76"/>
  <c r="Z186" i="76"/>
  <c r="Z788" i="76"/>
  <c r="AB606" i="76"/>
  <c r="AD247" i="76"/>
  <c r="AE470" i="76"/>
  <c r="AB471" i="76"/>
  <c r="AC198" i="76"/>
  <c r="AE760" i="76"/>
  <c r="Z1043" i="76"/>
  <c r="AC802" i="76"/>
  <c r="AA389" i="76"/>
  <c r="AE228" i="76"/>
  <c r="AC525" i="76"/>
  <c r="AA298" i="76"/>
  <c r="AE636" i="76"/>
  <c r="AE268" i="76"/>
  <c r="AE785" i="76"/>
  <c r="AC596" i="76"/>
  <c r="AE420" i="76"/>
  <c r="Z115" i="76"/>
  <c r="AB998" i="76"/>
  <c r="AB1034" i="76"/>
  <c r="AD848" i="76"/>
  <c r="AB527" i="76"/>
  <c r="AB325" i="76"/>
  <c r="AD187" i="76"/>
  <c r="AD198" i="76"/>
  <c r="AE945" i="76"/>
  <c r="AC697" i="76"/>
  <c r="AA332" i="76"/>
  <c r="AA198" i="76"/>
  <c r="Z643" i="76"/>
  <c r="AA347" i="76"/>
  <c r="AE137" i="76"/>
  <c r="AD305" i="76"/>
  <c r="AB259" i="76"/>
  <c r="AB997" i="76"/>
  <c r="AE893" i="76"/>
  <c r="AA964" i="76"/>
  <c r="Z750" i="76"/>
  <c r="AE910" i="76"/>
  <c r="Z612" i="76"/>
  <c r="AC856" i="76"/>
  <c r="Z1056" i="76"/>
  <c r="AA844" i="76"/>
  <c r="AD728" i="76"/>
  <c r="Z549" i="76"/>
  <c r="AB769" i="76"/>
  <c r="AA509" i="76"/>
  <c r="AA907" i="76"/>
  <c r="AB842" i="76"/>
  <c r="AB484" i="76"/>
  <c r="AB840" i="76"/>
  <c r="Z777" i="76"/>
  <c r="AD1027" i="76"/>
  <c r="AC751" i="76"/>
  <c r="AA925" i="76"/>
  <c r="AC1010" i="76"/>
  <c r="AE748" i="76"/>
  <c r="AE963" i="76"/>
  <c r="AB639" i="76"/>
  <c r="AD687" i="76"/>
  <c r="AB420" i="76"/>
  <c r="AD1055" i="76"/>
  <c r="AD517" i="76"/>
  <c r="AC817" i="76"/>
  <c r="Z488" i="76"/>
  <c r="AB966" i="76"/>
  <c r="AC1014" i="76"/>
  <c r="Z1052" i="76"/>
  <c r="AD763" i="76"/>
  <c r="Z983" i="76"/>
  <c r="AD812" i="76"/>
  <c r="Z958" i="76"/>
  <c r="AA677" i="76"/>
  <c r="AD1012" i="76"/>
  <c r="AC950" i="76"/>
  <c r="AA557" i="76"/>
  <c r="Z873" i="76"/>
  <c r="AB495" i="76"/>
  <c r="AA979" i="76"/>
  <c r="AB973" i="76"/>
  <c r="AA481" i="76"/>
  <c r="AB1052" i="76"/>
  <c r="Z945" i="76"/>
  <c r="AB955" i="76"/>
  <c r="AB1016" i="76"/>
  <c r="AC1031" i="76"/>
  <c r="AD747" i="76"/>
  <c r="AA853" i="76"/>
  <c r="AB1026" i="76"/>
  <c r="AE875" i="76"/>
  <c r="AE844" i="76"/>
  <c r="Z800" i="76"/>
  <c r="AE774" i="76"/>
  <c r="AB661" i="76"/>
  <c r="AB1022" i="76"/>
  <c r="AB627" i="76"/>
  <c r="AA377" i="76"/>
  <c r="BL692" i="76"/>
  <c r="BJ610" i="76"/>
  <c r="AB256" i="76"/>
  <c r="BL376" i="76"/>
  <c r="BH131" i="76"/>
  <c r="BI860" i="76"/>
  <c r="BH696" i="76"/>
  <c r="BJ78" i="76"/>
  <c r="AB90" i="76"/>
  <c r="AC503" i="76"/>
  <c r="BL886" i="76"/>
  <c r="AB700" i="76"/>
  <c r="BH631" i="76"/>
  <c r="AD345" i="76"/>
  <c r="BJ654" i="76"/>
  <c r="AB512" i="76"/>
  <c r="BJ667" i="76"/>
  <c r="AE71" i="76"/>
  <c r="AB469" i="76"/>
  <c r="BG1029" i="76"/>
  <c r="BH688" i="76"/>
  <c r="AD281" i="76"/>
  <c r="AD117" i="76"/>
  <c r="AB185" i="76"/>
  <c r="BL710" i="76"/>
  <c r="AA112" i="76"/>
  <c r="AD205" i="76"/>
  <c r="AE437" i="76"/>
  <c r="BL989" i="76"/>
  <c r="BG446" i="76"/>
  <c r="BH150" i="76"/>
  <c r="BG270" i="76"/>
  <c r="BI506" i="76"/>
  <c r="BK737" i="76"/>
  <c r="BL317" i="76"/>
  <c r="BG549" i="76"/>
  <c r="BJ542" i="76"/>
  <c r="BL87" i="76"/>
  <c r="BI546" i="76"/>
  <c r="BL421" i="76"/>
  <c r="BK537" i="76"/>
  <c r="BG911" i="76"/>
  <c r="BI964" i="76"/>
  <c r="BJ73" i="76"/>
  <c r="BJ311" i="76"/>
  <c r="BG210" i="76"/>
  <c r="BG243" i="76"/>
  <c r="BL299" i="76"/>
  <c r="BG148" i="76"/>
  <c r="BI303" i="76"/>
  <c r="BL179" i="76"/>
  <c r="AA937" i="76"/>
  <c r="BI459" i="76"/>
  <c r="BH312" i="76"/>
  <c r="BK94" i="76"/>
  <c r="BL144" i="76"/>
  <c r="BI714" i="76"/>
  <c r="BI616" i="76"/>
  <c r="BL576" i="76"/>
  <c r="BH555" i="76"/>
  <c r="BG498" i="76"/>
  <c r="BL1037" i="76"/>
  <c r="BK633" i="76"/>
  <c r="BK398" i="76"/>
  <c r="BJ192" i="76"/>
  <c r="BJ116" i="76"/>
  <c r="BL921" i="76"/>
  <c r="BL883" i="76"/>
  <c r="BI331" i="76"/>
  <c r="BK153" i="76"/>
  <c r="BI111" i="76"/>
  <c r="AC617" i="76"/>
  <c r="AE304" i="76"/>
  <c r="AD554" i="76"/>
  <c r="AE593" i="76"/>
  <c r="BI1066" i="76"/>
  <c r="AB405" i="76"/>
  <c r="AD252" i="76"/>
  <c r="AA450" i="76"/>
  <c r="AE467" i="76"/>
  <c r="AE753" i="76"/>
  <c r="AB710" i="76"/>
  <c r="AB462" i="76"/>
  <c r="BK934" i="76"/>
  <c r="Z264" i="76"/>
  <c r="BL965" i="76"/>
  <c r="AB458" i="76"/>
  <c r="AC862" i="76"/>
  <c r="Z662" i="76"/>
  <c r="Z490" i="76"/>
  <c r="AA422" i="76"/>
  <c r="BK888" i="76"/>
  <c r="AC235" i="76"/>
  <c r="BK798" i="76"/>
  <c r="Z330" i="76"/>
  <c r="AE907" i="76"/>
  <c r="AA487" i="76"/>
  <c r="AA616" i="76"/>
  <c r="AD571" i="76"/>
  <c r="BI711" i="76"/>
  <c r="Z415" i="76"/>
  <c r="BK638" i="76"/>
  <c r="AC236" i="76"/>
  <c r="AB633" i="76"/>
  <c r="AE941" i="76"/>
  <c r="AC1012" i="76"/>
  <c r="Z774" i="76"/>
  <c r="AB844" i="76"/>
  <c r="AE655" i="76"/>
  <c r="AB609" i="76"/>
  <c r="AA150" i="76"/>
  <c r="AB341" i="76"/>
  <c r="AB266" i="76"/>
  <c r="AA920" i="76"/>
  <c r="AC916" i="76"/>
  <c r="AD999" i="76"/>
  <c r="AB1038" i="76"/>
  <c r="AE1059" i="76"/>
  <c r="AE284" i="76"/>
  <c r="AA900" i="76"/>
  <c r="AB521" i="76"/>
  <c r="AC190" i="76"/>
  <c r="AA457" i="76"/>
  <c r="Z951" i="76"/>
  <c r="AE658" i="76"/>
  <c r="AA841" i="76"/>
  <c r="AD702" i="76"/>
  <c r="AD682" i="76"/>
  <c r="AE1053" i="76"/>
  <c r="AE433" i="76"/>
  <c r="AB188" i="76"/>
  <c r="Z161" i="76"/>
  <c r="AE534" i="76"/>
  <c r="AD262" i="76"/>
  <c r="AA1016" i="76"/>
  <c r="AA978" i="76"/>
  <c r="AD547" i="76"/>
  <c r="AA982" i="76"/>
  <c r="AC967" i="76"/>
  <c r="AE819" i="76"/>
  <c r="AD753" i="76"/>
  <c r="AE642" i="76"/>
  <c r="AD958" i="76"/>
  <c r="AD532" i="76"/>
  <c r="Z594" i="76"/>
  <c r="AB240" i="76"/>
  <c r="AC399" i="76"/>
  <c r="Z683" i="76"/>
  <c r="AE403" i="76"/>
  <c r="AD353" i="76"/>
  <c r="AE585" i="76"/>
  <c r="AC643" i="76"/>
  <c r="AB520" i="76"/>
  <c r="Z775" i="76"/>
  <c r="AE924" i="76"/>
  <c r="AE859" i="76"/>
  <c r="AE424" i="76"/>
  <c r="AB116" i="76"/>
  <c r="AE308" i="76"/>
  <c r="AB261" i="76"/>
  <c r="AC437" i="76"/>
  <c r="AD133" i="76"/>
  <c r="Z141" i="76"/>
  <c r="AB589" i="76"/>
  <c r="AC313" i="76"/>
  <c r="AD370" i="76"/>
  <c r="AC1039" i="76"/>
  <c r="AA1026" i="76"/>
  <c r="AE742" i="76"/>
  <c r="AC883" i="76"/>
  <c r="AB130" i="76"/>
  <c r="Z595" i="76"/>
  <c r="AC391" i="76"/>
  <c r="AC771" i="76"/>
  <c r="Z622" i="76"/>
  <c r="AD314" i="76"/>
  <c r="AA757" i="76"/>
  <c r="AD371" i="76"/>
  <c r="AC331" i="76"/>
  <c r="AC143" i="76"/>
  <c r="AC572" i="76"/>
  <c r="AD97" i="76"/>
  <c r="AD864" i="76"/>
  <c r="AD614" i="76"/>
  <c r="Z769" i="76"/>
  <c r="AA574" i="76"/>
  <c r="Z435" i="76"/>
  <c r="AE501" i="76"/>
  <c r="AD723" i="76"/>
  <c r="Z438" i="76"/>
  <c r="AA733" i="76"/>
  <c r="Z278" i="76"/>
  <c r="AC721" i="76"/>
  <c r="Z534" i="76"/>
  <c r="AA204" i="76"/>
  <c r="AD311" i="76"/>
  <c r="AE709" i="76"/>
  <c r="Z889" i="76"/>
  <c r="AC772" i="76"/>
  <c r="AE328" i="76"/>
  <c r="AE610" i="76"/>
  <c r="AA411" i="76"/>
  <c r="AD127" i="76"/>
  <c r="AE384" i="76"/>
  <c r="Z79" i="76"/>
  <c r="Z387" i="76"/>
  <c r="AB511" i="76"/>
  <c r="AE506" i="76"/>
  <c r="AB238" i="76"/>
  <c r="AB508" i="76"/>
  <c r="Z543" i="76"/>
  <c r="AB988" i="76"/>
  <c r="Z913" i="76"/>
  <c r="AE911" i="76"/>
  <c r="AC875" i="76"/>
  <c r="AD1031" i="76"/>
  <c r="AC703" i="76"/>
  <c r="Z822" i="76"/>
  <c r="AB974" i="76"/>
  <c r="AE806" i="76"/>
  <c r="AE780" i="76"/>
  <c r="AB687" i="76"/>
  <c r="AE842" i="76"/>
  <c r="AE605" i="76"/>
  <c r="AC1030" i="76"/>
  <c r="AD884" i="76"/>
  <c r="AC708" i="76"/>
  <c r="AA1032" i="76"/>
  <c r="AB867" i="76"/>
  <c r="AE937" i="76"/>
  <c r="AD907" i="76"/>
  <c r="AD870" i="76"/>
  <c r="AD1037" i="76"/>
  <c r="AA893" i="76"/>
  <c r="AA992" i="76"/>
  <c r="AE739" i="76"/>
  <c r="AB599" i="76"/>
  <c r="AC517" i="76"/>
  <c r="AC728" i="76"/>
  <c r="AD872" i="76"/>
  <c r="AD862" i="76"/>
  <c r="Z614" i="76"/>
  <c r="Z1051" i="76"/>
  <c r="AD989" i="76"/>
  <c r="AE1029" i="76"/>
  <c r="AA886" i="76"/>
  <c r="AA1006" i="76"/>
  <c r="Z698" i="76"/>
  <c r="AC894" i="76"/>
  <c r="AB847" i="76"/>
  <c r="AB907" i="76"/>
  <c r="AB962" i="76"/>
  <c r="AE643" i="76"/>
  <c r="AC878" i="76"/>
  <c r="AC583" i="76"/>
  <c r="AA1030" i="76"/>
  <c r="AB993" i="76"/>
  <c r="AA607" i="76"/>
  <c r="AD1064" i="76"/>
  <c r="AC1019" i="76"/>
  <c r="AC960" i="76"/>
  <c r="AA834" i="76"/>
  <c r="AD911" i="76"/>
  <c r="AA699" i="76"/>
  <c r="AE827" i="76"/>
  <c r="AC1049" i="76"/>
  <c r="AB725" i="76"/>
  <c r="AE896" i="76"/>
  <c r="AC586" i="76"/>
  <c r="Z753" i="76"/>
  <c r="AD560" i="76"/>
  <c r="AD904" i="76"/>
  <c r="AA735" i="76"/>
  <c r="AB481" i="76"/>
  <c r="BH723" i="76"/>
  <c r="AC398" i="76"/>
  <c r="BK1055" i="76"/>
  <c r="Z499" i="76"/>
  <c r="AE541" i="76"/>
  <c r="Z372" i="76"/>
  <c r="AE267" i="76"/>
  <c r="BL928" i="76"/>
  <c r="BJ568" i="76"/>
  <c r="BJ892" i="76"/>
  <c r="AE293" i="76"/>
  <c r="BH79" i="76"/>
  <c r="BG979" i="76"/>
  <c r="BJ275" i="76"/>
  <c r="BL1009" i="76"/>
  <c r="BK286" i="76"/>
  <c r="BL90" i="76"/>
  <c r="BG199" i="76"/>
  <c r="BH675" i="76"/>
  <c r="BG155" i="76"/>
  <c r="BH100" i="76"/>
  <c r="BK245" i="76"/>
  <c r="BL721" i="76"/>
  <c r="BJ273" i="76"/>
  <c r="BL122" i="76"/>
  <c r="BK284" i="76"/>
  <c r="BJ762" i="76"/>
  <c r="BK360" i="76"/>
  <c r="BJ936" i="76"/>
  <c r="BG516" i="76"/>
  <c r="BK371" i="76"/>
  <c r="BJ497" i="76"/>
  <c r="BL608" i="76"/>
  <c r="BJ721" i="76"/>
  <c r="Z517" i="76"/>
  <c r="AA612" i="76"/>
  <c r="BI352" i="76"/>
  <c r="BL718" i="76"/>
  <c r="BG200" i="76"/>
  <c r="AB361" i="76"/>
  <c r="BG1033" i="76"/>
  <c r="BK138" i="76"/>
  <c r="BK705" i="76"/>
  <c r="BJ1067" i="76"/>
  <c r="BH1033" i="76"/>
  <c r="BL1012" i="76"/>
  <c r="BI931" i="76"/>
  <c r="BI261" i="76"/>
  <c r="AB301" i="76"/>
  <c r="Z128" i="76"/>
  <c r="BL118" i="76"/>
  <c r="BI874" i="76"/>
  <c r="Z448" i="76"/>
  <c r="BI752" i="76"/>
  <c r="BL96" i="76"/>
  <c r="BH257" i="76"/>
  <c r="BK1058" i="76"/>
  <c r="BK712" i="76"/>
  <c r="AD469" i="76"/>
  <c r="BH768" i="76"/>
  <c r="BH258" i="76"/>
  <c r="BK339" i="76"/>
  <c r="BG351" i="76"/>
  <c r="BL1018" i="76"/>
  <c r="BJ759" i="76"/>
  <c r="BG635" i="76"/>
  <c r="BJ1043" i="76"/>
  <c r="BI888" i="76"/>
  <c r="BH388" i="76"/>
  <c r="BL1011" i="76"/>
  <c r="AD558" i="76"/>
  <c r="AE634" i="76"/>
  <c r="AE152" i="76"/>
  <c r="AC652" i="76"/>
  <c r="AB707" i="76"/>
  <c r="AA291" i="76"/>
  <c r="AA369" i="76"/>
  <c r="BL1006" i="76"/>
  <c r="AB429" i="76"/>
  <c r="AB664" i="76"/>
  <c r="AC746" i="76"/>
  <c r="AB765" i="76"/>
  <c r="Z445" i="76"/>
  <c r="BK903" i="76"/>
  <c r="AE578" i="76"/>
  <c r="BI990" i="76"/>
  <c r="AB287" i="76"/>
  <c r="Z422" i="76"/>
  <c r="AD534" i="76"/>
  <c r="Z413" i="76"/>
  <c r="AC481" i="76"/>
  <c r="BJ963" i="76"/>
  <c r="AB457" i="76"/>
  <c r="BK898" i="76"/>
  <c r="AE258" i="76"/>
  <c r="AE927" i="76"/>
  <c r="AD327" i="76"/>
  <c r="AE568" i="76"/>
  <c r="AE409" i="76"/>
  <c r="BG796" i="76"/>
  <c r="AD328" i="76"/>
  <c r="BI723" i="76"/>
  <c r="AC477" i="76"/>
  <c r="AE962" i="76"/>
  <c r="Z665" i="76"/>
  <c r="AE805" i="76"/>
  <c r="AB965" i="76"/>
  <c r="AA673" i="76"/>
  <c r="AA370" i="76"/>
  <c r="AA243" i="76"/>
  <c r="AD493" i="76"/>
  <c r="AB431" i="76"/>
  <c r="AD908" i="76"/>
  <c r="AB884" i="76"/>
  <c r="Z1013" i="76"/>
  <c r="AA475" i="76"/>
  <c r="AB701" i="76"/>
  <c r="AA273" i="76"/>
  <c r="AC876" i="76"/>
  <c r="AA350" i="76"/>
  <c r="AA84" i="76"/>
  <c r="AE720" i="76"/>
  <c r="Z1050" i="76"/>
  <c r="AD602" i="76"/>
  <c r="Z876" i="76"/>
  <c r="Z727" i="76"/>
  <c r="AB676" i="76"/>
  <c r="Z722" i="76"/>
  <c r="AA306" i="76"/>
  <c r="AA351" i="76"/>
  <c r="Z254" i="76"/>
  <c r="AC707" i="76"/>
  <c r="AE373" i="76"/>
  <c r="AE153" i="76"/>
  <c r="AB482" i="76"/>
  <c r="AD769" i="76"/>
  <c r="AD787" i="76"/>
  <c r="Z909" i="76"/>
  <c r="AC855" i="76"/>
  <c r="AD821" i="76"/>
  <c r="AD586" i="76"/>
  <c r="AD367" i="76"/>
  <c r="AA449" i="76"/>
  <c r="AD701" i="76"/>
  <c r="AA324" i="76"/>
  <c r="AA136" i="76"/>
  <c r="Z810" i="76"/>
  <c r="AE514" i="76"/>
  <c r="AE572" i="76"/>
  <c r="Z251" i="76"/>
  <c r="AD606" i="76"/>
  <c r="AC368" i="76"/>
  <c r="AC834" i="76"/>
  <c r="AA1051" i="76"/>
  <c r="AB782" i="76"/>
  <c r="AE613" i="76"/>
  <c r="AC169" i="76"/>
  <c r="AA496" i="76"/>
  <c r="AB225" i="76"/>
  <c r="AD572" i="76"/>
  <c r="Z226" i="76"/>
  <c r="Z408" i="76"/>
  <c r="AE567" i="76"/>
  <c r="AA398" i="76"/>
  <c r="AB94" i="76"/>
  <c r="AB1045" i="76"/>
  <c r="AB690" i="76"/>
  <c r="AA758" i="76"/>
  <c r="AA995" i="76"/>
  <c r="Z469" i="76"/>
  <c r="AB695" i="76"/>
  <c r="AE184" i="76"/>
  <c r="AD778" i="76"/>
  <c r="AE298" i="76"/>
  <c r="AB79" i="76"/>
  <c r="AA933" i="76"/>
  <c r="AB488" i="76"/>
  <c r="Z478" i="76"/>
  <c r="Z250" i="76"/>
  <c r="AB648" i="76"/>
  <c r="AB339" i="76"/>
  <c r="AC1015" i="76"/>
  <c r="AA918" i="76"/>
  <c r="AB970" i="76"/>
  <c r="AA532" i="76"/>
  <c r="AE94" i="76"/>
  <c r="AD452" i="76"/>
  <c r="AE143" i="76"/>
  <c r="AC622" i="76"/>
  <c r="AA265" i="76"/>
  <c r="AB145" i="76"/>
  <c r="AD670" i="76"/>
  <c r="AB397" i="76"/>
  <c r="Z400" i="76"/>
  <c r="AC161" i="76"/>
  <c r="AE850" i="76"/>
  <c r="AE913" i="76"/>
  <c r="AB647" i="76"/>
  <c r="AB624" i="76"/>
  <c r="AE296" i="76"/>
  <c r="AA382" i="76"/>
  <c r="AD368" i="76"/>
  <c r="Z483" i="76"/>
  <c r="AD165" i="76"/>
  <c r="Z199" i="76"/>
  <c r="AC657" i="76"/>
  <c r="AC345" i="76"/>
  <c r="AA519" i="76"/>
  <c r="AD132" i="76"/>
  <c r="AE444" i="76"/>
  <c r="AD1000" i="76"/>
  <c r="AD1035" i="76"/>
  <c r="AB928" i="76"/>
  <c r="AA802" i="76"/>
  <c r="AC936" i="76"/>
  <c r="AA667" i="76"/>
  <c r="AA917" i="76"/>
  <c r="AA998" i="76"/>
  <c r="AB693" i="76"/>
  <c r="AB829" i="76"/>
  <c r="AC551" i="76"/>
  <c r="Z690" i="76"/>
  <c r="AD936" i="76"/>
  <c r="AA829" i="76"/>
  <c r="AE872" i="76"/>
  <c r="AA437" i="76"/>
  <c r="AB954" i="76"/>
  <c r="Z881" i="76"/>
  <c r="AD1030" i="76"/>
  <c r="AD818" i="76"/>
  <c r="AE847" i="76"/>
  <c r="AE1060" i="76"/>
  <c r="AD732" i="76"/>
  <c r="AD1052" i="76"/>
  <c r="AC694" i="76"/>
  <c r="AE891" i="76"/>
  <c r="AE455" i="76"/>
  <c r="AE654" i="76"/>
  <c r="AB400" i="76"/>
  <c r="AB1064" i="76"/>
  <c r="AE587" i="76"/>
  <c r="AE1024" i="76"/>
  <c r="AC961" i="76"/>
  <c r="Z1003" i="76"/>
  <c r="AD929" i="76"/>
  <c r="AD622" i="76"/>
  <c r="AD790" i="76"/>
  <c r="AD967" i="76"/>
  <c r="AE733" i="76"/>
  <c r="AE874" i="76"/>
  <c r="AA620" i="76"/>
  <c r="AA746" i="76"/>
  <c r="AB1049" i="76"/>
  <c r="AD797" i="76"/>
  <c r="AA503" i="76"/>
  <c r="AC1033" i="76"/>
  <c r="AC557" i="76"/>
  <c r="AA1001" i="76"/>
  <c r="AE921" i="76"/>
  <c r="AE1050" i="76"/>
  <c r="AC944" i="76"/>
  <c r="AA1052" i="76"/>
  <c r="AD792" i="76"/>
  <c r="AE971" i="76"/>
  <c r="AC659" i="76"/>
  <c r="AC826" i="76"/>
  <c r="AD791" i="76"/>
  <c r="AE797" i="76"/>
  <c r="AA806" i="76"/>
  <c r="AB719" i="76"/>
  <c r="AD875" i="76"/>
  <c r="AA752" i="76"/>
  <c r="AD710" i="76"/>
  <c r="BK416" i="76"/>
  <c r="Z521" i="76"/>
  <c r="BG1047" i="76"/>
  <c r="AE472" i="76"/>
  <c r="AE329" i="76"/>
  <c r="AA288" i="76"/>
  <c r="AB584" i="76"/>
  <c r="AB890" i="76"/>
  <c r="BH653" i="76"/>
  <c r="BG80" i="76"/>
  <c r="AA292" i="76"/>
  <c r="BG271" i="76"/>
  <c r="BJ909" i="76"/>
  <c r="BG360" i="76"/>
  <c r="BH930" i="76"/>
  <c r="BI371" i="76"/>
  <c r="BL293" i="76"/>
  <c r="BJ538" i="76"/>
  <c r="BJ232" i="76"/>
  <c r="BG956" i="76"/>
  <c r="BH303" i="76"/>
  <c r="BH579" i="76"/>
  <c r="BL397" i="76"/>
  <c r="BI84" i="76"/>
  <c r="BJ314" i="76"/>
  <c r="BL625" i="76"/>
  <c r="BK628" i="76"/>
  <c r="BK127" i="76"/>
  <c r="AA214" i="76"/>
  <c r="BI868" i="76"/>
  <c r="BJ537" i="76"/>
  <c r="BH666" i="76"/>
  <c r="BJ777" i="76"/>
  <c r="BI982" i="76"/>
  <c r="Z541" i="76"/>
  <c r="AB798" i="76"/>
  <c r="BK73" i="76"/>
  <c r="BG879" i="76"/>
  <c r="BL621" i="76"/>
  <c r="BI377" i="76"/>
  <c r="BI119" i="76"/>
  <c r="BL531" i="76"/>
  <c r="BJ184" i="76"/>
  <c r="BG1003" i="76"/>
  <c r="AC281" i="76"/>
  <c r="BH896" i="76"/>
  <c r="BI548" i="76"/>
  <c r="BG576" i="76"/>
  <c r="BL742" i="76"/>
  <c r="BI95" i="76"/>
  <c r="BJ734" i="76"/>
  <c r="BJ653" i="76"/>
  <c r="BL386" i="76"/>
  <c r="BJ71" i="76"/>
  <c r="BK387" i="76"/>
  <c r="BK777" i="76"/>
  <c r="BG726" i="76"/>
  <c r="Z705" i="76"/>
  <c r="Z392" i="76"/>
  <c r="BI811" i="76"/>
  <c r="BL540" i="76"/>
  <c r="BL307" i="76"/>
  <c r="BK551" i="76"/>
  <c r="Z651" i="76"/>
  <c r="BJ827" i="76"/>
  <c r="Z836" i="76"/>
  <c r="BL99" i="76"/>
  <c r="BL92" i="76"/>
  <c r="BI790" i="76"/>
  <c r="BJ1039" i="76"/>
  <c r="AD601" i="76"/>
  <c r="AA719" i="76"/>
  <c r="Z625" i="76"/>
  <c r="AC258" i="76"/>
  <c r="AD112" i="76"/>
  <c r="BK896" i="76"/>
  <c r="Z927" i="76"/>
  <c r="AB144" i="76"/>
  <c r="AA668" i="76"/>
  <c r="AC1062" i="76"/>
  <c r="AA455" i="76"/>
  <c r="AD438" i="76"/>
  <c r="AD300" i="76"/>
  <c r="BH906" i="76"/>
  <c r="AC636" i="76"/>
  <c r="BK1044" i="76"/>
  <c r="AD564" i="76"/>
  <c r="AA748" i="76"/>
  <c r="AA285" i="76"/>
  <c r="AD945" i="76"/>
  <c r="AB994" i="76"/>
  <c r="BI957" i="76"/>
  <c r="AE564" i="76"/>
  <c r="BH883" i="76"/>
  <c r="AB536" i="76"/>
  <c r="AE849" i="76"/>
  <c r="Z443" i="76"/>
  <c r="AA788" i="76"/>
  <c r="Z847" i="76"/>
  <c r="BJ1013" i="76"/>
  <c r="AE459" i="76"/>
  <c r="BK941" i="76"/>
  <c r="AB396" i="76"/>
  <c r="AD876" i="76"/>
  <c r="AC830" i="76"/>
  <c r="Z940" i="76"/>
  <c r="AB980" i="76"/>
  <c r="AA734" i="76"/>
  <c r="AD465" i="76"/>
  <c r="AB180" i="76"/>
  <c r="AE340" i="76"/>
  <c r="AB109" i="76"/>
  <c r="AA954" i="76"/>
  <c r="AE905" i="76"/>
  <c r="AB1023" i="76"/>
  <c r="AC508" i="76"/>
  <c r="AB956" i="76"/>
  <c r="AB304" i="76"/>
  <c r="AC934" i="76"/>
  <c r="AE436" i="76"/>
  <c r="AE170" i="76"/>
  <c r="AA598" i="76"/>
  <c r="AC1029" i="76"/>
  <c r="Z884" i="76"/>
  <c r="AD1063" i="76"/>
  <c r="AD562" i="76"/>
  <c r="AB702" i="76"/>
  <c r="AD824" i="76"/>
  <c r="AE392" i="76"/>
  <c r="Z87" i="76"/>
  <c r="AD487" i="76"/>
  <c r="Z532" i="76"/>
  <c r="AA564" i="76"/>
  <c r="AB270" i="76"/>
  <c r="AE116" i="76"/>
  <c r="AC618" i="76"/>
  <c r="AD891" i="76"/>
  <c r="AA1009" i="76"/>
  <c r="AE916" i="76"/>
  <c r="Z678" i="76"/>
  <c r="AA819" i="76"/>
  <c r="AE588" i="76"/>
  <c r="AD347" i="76"/>
  <c r="AD714" i="76"/>
  <c r="AC459" i="76"/>
  <c r="AD240" i="76"/>
  <c r="AA874" i="76"/>
  <c r="AB324" i="76"/>
  <c r="AD295" i="76"/>
  <c r="AE106" i="76"/>
  <c r="AC714" i="76"/>
  <c r="AA468" i="76"/>
  <c r="AA932" i="76"/>
  <c r="AB906" i="76"/>
  <c r="AB946" i="76"/>
  <c r="AD447" i="76"/>
  <c r="AC290" i="76"/>
  <c r="AE469" i="76"/>
  <c r="AA407" i="76"/>
  <c r="Z414" i="76"/>
  <c r="AD483" i="76"/>
  <c r="AB208" i="76"/>
  <c r="AD683" i="76"/>
  <c r="Z502" i="76"/>
  <c r="Z179" i="76"/>
  <c r="AD1006" i="76"/>
  <c r="AD805" i="76"/>
  <c r="AA1008" i="76"/>
  <c r="AB952" i="76"/>
  <c r="Z323" i="76"/>
  <c r="AC851" i="76"/>
  <c r="AE211" i="76"/>
  <c r="AA839" i="76"/>
  <c r="Z420" i="76"/>
  <c r="Z164" i="76"/>
  <c r="Z833" i="76"/>
  <c r="AA461" i="76"/>
  <c r="AC259" i="76"/>
  <c r="AB470" i="76"/>
  <c r="Z863" i="76"/>
  <c r="AA293" i="76"/>
  <c r="AE973" i="76"/>
  <c r="Z763" i="76"/>
  <c r="AE487" i="76"/>
  <c r="AA629" i="76"/>
  <c r="AC312" i="76"/>
  <c r="AB376" i="76"/>
  <c r="AA148" i="76"/>
  <c r="AB538" i="76"/>
  <c r="Z355" i="76"/>
  <c r="AE604" i="76"/>
  <c r="AA628" i="76"/>
  <c r="Z509" i="76"/>
  <c r="AE227" i="76"/>
  <c r="AD972" i="76"/>
  <c r="AB854" i="76"/>
  <c r="AD849" i="76"/>
  <c r="Z808" i="76"/>
  <c r="AB513" i="76"/>
  <c r="AE704" i="76"/>
  <c r="AC685" i="76"/>
  <c r="AE88" i="76"/>
  <c r="AE692" i="76"/>
  <c r="AA286" i="76"/>
  <c r="AC89" i="76"/>
  <c r="AA609" i="76"/>
  <c r="AA430" i="76"/>
  <c r="AB126" i="76"/>
  <c r="AD131" i="76"/>
  <c r="AB421" i="76"/>
  <c r="AA951" i="76"/>
  <c r="Z1042" i="76"/>
  <c r="Z1061" i="76"/>
  <c r="Z891" i="76"/>
  <c r="AB1028" i="76"/>
  <c r="AC752" i="76"/>
  <c r="Z882" i="76"/>
  <c r="AC627" i="76"/>
  <c r="AB783" i="76"/>
  <c r="AA892" i="76"/>
  <c r="AE682" i="76"/>
  <c r="AA949" i="76"/>
  <c r="AC634" i="76"/>
  <c r="AA860" i="76"/>
  <c r="Z759" i="76"/>
  <c r="AC587" i="76"/>
  <c r="AD1047" i="76"/>
  <c r="AA1005" i="76"/>
  <c r="AC1058" i="76"/>
  <c r="Z782" i="76"/>
  <c r="AB764" i="76"/>
  <c r="AC677" i="76"/>
  <c r="AE841" i="76"/>
  <c r="AC1035" i="76"/>
  <c r="AE786" i="76"/>
  <c r="AA878" i="76"/>
  <c r="AC540" i="76"/>
  <c r="AB563" i="76"/>
  <c r="AA491" i="76"/>
  <c r="AD916" i="76"/>
  <c r="AB711" i="76"/>
  <c r="Z523" i="76"/>
  <c r="AA1046" i="76"/>
  <c r="AE976" i="76"/>
  <c r="AC939" i="76"/>
  <c r="Z715" i="76"/>
  <c r="AD1023" i="76"/>
  <c r="AC906" i="76"/>
  <c r="AB846" i="76"/>
  <c r="Z801" i="76"/>
  <c r="AB715" i="76"/>
  <c r="AD663" i="76"/>
  <c r="AA1011" i="76"/>
  <c r="AE623" i="76"/>
  <c r="AA720" i="76"/>
  <c r="AC815" i="76"/>
  <c r="AC824" i="76"/>
  <c r="AD1026" i="76"/>
  <c r="AC1048" i="76"/>
  <c r="AA935" i="76"/>
  <c r="AE883" i="76"/>
  <c r="AC1016" i="76"/>
  <c r="AB751" i="76"/>
  <c r="Z858" i="76"/>
  <c r="Z780" i="76"/>
  <c r="AC777" i="76"/>
  <c r="AD966" i="76"/>
  <c r="AD526" i="76"/>
  <c r="AA854" i="76"/>
  <c r="AE561" i="76"/>
  <c r="AA879" i="76"/>
  <c r="AD888" i="76"/>
  <c r="AB404" i="76"/>
  <c r="BJ980" i="76"/>
  <c r="BK619" i="76"/>
  <c r="Z403" i="76"/>
  <c r="AA712" i="76"/>
  <c r="AE425" i="76"/>
  <c r="AD624" i="76"/>
  <c r="AE245" i="76"/>
  <c r="BH268" i="76"/>
  <c r="BJ279" i="76"/>
  <c r="BK458" i="76"/>
  <c r="BJ662" i="76"/>
  <c r="BH499" i="76"/>
  <c r="BL749" i="76"/>
  <c r="BL545" i="76"/>
  <c r="BG831" i="76"/>
  <c r="AE260" i="76"/>
  <c r="AD290" i="76"/>
  <c r="AA349" i="76"/>
  <c r="BJ377" i="76"/>
  <c r="BG750" i="76"/>
  <c r="BL585" i="76"/>
  <c r="BL128" i="76"/>
  <c r="BK447" i="76"/>
  <c r="BH1032" i="76"/>
  <c r="BG104" i="76"/>
  <c r="BJ233" i="76"/>
  <c r="BJ177" i="76"/>
  <c r="BK539" i="76"/>
  <c r="BH70" i="76"/>
  <c r="AB262" i="76"/>
  <c r="BH93" i="76"/>
  <c r="BG863" i="76"/>
  <c r="BG252" i="76"/>
  <c r="BG344" i="76"/>
  <c r="BG927" i="76"/>
  <c r="BI1044" i="76"/>
  <c r="AB184" i="76"/>
  <c r="AB302" i="76"/>
  <c r="BH796" i="76"/>
  <c r="BJ723" i="76"/>
  <c r="AE762" i="76"/>
  <c r="AA375" i="76"/>
  <c r="BJ551" i="76"/>
  <c r="AA1019" i="76"/>
  <c r="AD675" i="76"/>
  <c r="AD203" i="76"/>
  <c r="AE890" i="76"/>
  <c r="AB754" i="76"/>
  <c r="AE715" i="76"/>
  <c r="AD215" i="76"/>
  <c r="AC1020" i="76"/>
  <c r="AE646" i="76"/>
  <c r="Z887" i="76"/>
  <c r="AB617" i="76"/>
  <c r="AA928" i="76"/>
  <c r="AA739" i="76"/>
  <c r="Z151" i="76"/>
  <c r="AC495" i="76"/>
  <c r="AC1006" i="76"/>
  <c r="AA793" i="76"/>
  <c r="AD448" i="76"/>
  <c r="AB519" i="76"/>
  <c r="Z813" i="76"/>
  <c r="AC754" i="76"/>
  <c r="AE710" i="76"/>
  <c r="AB684" i="76"/>
  <c r="AC451" i="76"/>
  <c r="AB805" i="76"/>
  <c r="AB284" i="76"/>
  <c r="AC686" i="76"/>
  <c r="AC912" i="76"/>
  <c r="AA974" i="76"/>
  <c r="AB663" i="76"/>
  <c r="AC1004" i="76"/>
  <c r="AB98" i="76"/>
  <c r="AD546" i="76"/>
  <c r="AD293" i="76"/>
  <c r="Z635" i="76"/>
  <c r="Z791" i="76"/>
  <c r="AD919" i="76"/>
  <c r="AC806" i="76"/>
  <c r="AB791" i="76"/>
  <c r="AD154" i="76"/>
  <c r="Z900" i="76"/>
  <c r="AA415" i="76"/>
  <c r="AB1021" i="76"/>
  <c r="AD458" i="76"/>
  <c r="AE485" i="76"/>
  <c r="Z426" i="76"/>
  <c r="AC237" i="76"/>
  <c r="AD516" i="76"/>
  <c r="AE280" i="76"/>
  <c r="AC1044" i="76"/>
  <c r="AC726" i="76"/>
  <c r="AE614" i="76"/>
  <c r="AA340" i="76"/>
  <c r="AD274" i="76"/>
  <c r="AC1001" i="76"/>
  <c r="AC550" i="76"/>
  <c r="AA1060" i="76"/>
  <c r="AE1043" i="76"/>
  <c r="AC220" i="76"/>
  <c r="AC285" i="76"/>
  <c r="AD322" i="76"/>
  <c r="AB857" i="76"/>
  <c r="Z538" i="76"/>
  <c r="Z711" i="76"/>
  <c r="AC1025" i="76"/>
  <c r="AD976" i="76"/>
  <c r="Z908" i="76"/>
  <c r="AD808" i="76"/>
  <c r="AA686" i="76"/>
  <c r="AD1054" i="76"/>
  <c r="AE629" i="76"/>
  <c r="AD707" i="76"/>
  <c r="AE1007" i="76"/>
  <c r="AC859" i="76"/>
  <c r="Z943" i="76"/>
  <c r="Z737" i="76"/>
  <c r="AD895" i="76"/>
  <c r="Z998" i="76"/>
  <c r="AD952" i="76"/>
  <c r="AD375" i="76"/>
  <c r="AA988" i="76"/>
  <c r="Z686" i="76"/>
  <c r="AA896" i="76"/>
  <c r="AC1032" i="76"/>
  <c r="AA795" i="76"/>
  <c r="AB813" i="76"/>
  <c r="AB1029" i="76"/>
  <c r="AB401" i="76"/>
  <c r="AD902" i="76"/>
  <c r="AA687" i="76"/>
  <c r="AD1018" i="76"/>
  <c r="AA1064" i="76"/>
  <c r="AA823" i="76"/>
  <c r="Z733" i="76"/>
  <c r="AB823" i="76"/>
  <c r="BI557" i="76"/>
  <c r="BI812" i="76"/>
  <c r="AA219" i="76"/>
  <c r="AE1006" i="76"/>
  <c r="AB546" i="76"/>
  <c r="AE81" i="76"/>
  <c r="AA448" i="76"/>
  <c r="BK354" i="76"/>
  <c r="BG364" i="76"/>
  <c r="BL801" i="76"/>
  <c r="BH276" i="76"/>
  <c r="BK841" i="76"/>
  <c r="BI319" i="76"/>
  <c r="BI908" i="76"/>
  <c r="BK362" i="76"/>
  <c r="AA304" i="76"/>
  <c r="AE423" i="76"/>
  <c r="AE399" i="76"/>
  <c r="BJ287" i="76"/>
  <c r="AB744" i="76"/>
  <c r="Z618" i="76"/>
  <c r="BJ990" i="76"/>
  <c r="BG645" i="76"/>
  <c r="BG620" i="76"/>
  <c r="BH424" i="76"/>
  <c r="BK684" i="76"/>
  <c r="BG167" i="76"/>
  <c r="BJ732" i="76"/>
  <c r="BL681" i="76"/>
  <c r="BG1065" i="76"/>
  <c r="BK900" i="76"/>
  <c r="BI180" i="76"/>
  <c r="BJ445" i="76"/>
  <c r="BJ798" i="76"/>
  <c r="BI795" i="76"/>
  <c r="BH958" i="76"/>
  <c r="AD120" i="76"/>
  <c r="AB158" i="76"/>
  <c r="BJ896" i="76"/>
  <c r="BG808" i="76"/>
  <c r="AB673" i="76"/>
  <c r="AE198" i="76"/>
  <c r="BH636" i="76"/>
  <c r="BJ563" i="76"/>
  <c r="AA561" i="76"/>
  <c r="AC175" i="76"/>
  <c r="AE1001" i="76"/>
  <c r="AB832" i="76"/>
  <c r="AD479" i="76"/>
  <c r="AD176" i="76"/>
  <c r="AD748" i="76"/>
  <c r="AE725" i="76"/>
  <c r="AE1023" i="76"/>
  <c r="AA826" i="76"/>
  <c r="AE735" i="76"/>
  <c r="AC514" i="76"/>
  <c r="AD351" i="76"/>
  <c r="AC837" i="76"/>
  <c r="AC646" i="76"/>
  <c r="AB161" i="76"/>
  <c r="AA568" i="76"/>
  <c r="AE947" i="76"/>
  <c r="AD646" i="76"/>
  <c r="Z859" i="76"/>
  <c r="AB777" i="76"/>
  <c r="AC96" i="76"/>
  <c r="Z559" i="76"/>
  <c r="AB121" i="76"/>
  <c r="Z987" i="76"/>
  <c r="AD1017" i="76"/>
  <c r="AB837" i="76"/>
  <c r="Z516" i="76"/>
  <c r="AB303" i="76"/>
  <c r="AC156" i="76"/>
  <c r="AB187" i="76"/>
  <c r="AB1017" i="76"/>
  <c r="AB1046" i="76"/>
  <c r="Z890" i="76"/>
  <c r="Z229" i="76"/>
  <c r="AA99" i="76"/>
  <c r="AD369" i="76"/>
  <c r="Z747" i="76"/>
  <c r="AC905" i="76"/>
  <c r="AB674" i="76"/>
  <c r="AE591" i="76"/>
  <c r="AD804" i="76"/>
  <c r="AE163" i="76"/>
  <c r="AE724" i="76"/>
  <c r="AD482" i="76"/>
  <c r="AA210" i="76"/>
  <c r="AC450" i="76"/>
  <c r="AC775" i="76"/>
  <c r="Z1055" i="76"/>
  <c r="AE712" i="76"/>
  <c r="AD897" i="76"/>
  <c r="AD90" i="76"/>
  <c r="AE508" i="76"/>
  <c r="AB273" i="76"/>
  <c r="AA948" i="76"/>
  <c r="AD1015" i="76"/>
  <c r="AE641" i="76"/>
  <c r="AA631" i="76"/>
  <c r="AE118" i="76"/>
  <c r="AD472" i="76"/>
  <c r="AE175" i="76"/>
  <c r="AE876" i="76"/>
  <c r="Z993" i="76"/>
  <c r="AA910" i="76"/>
  <c r="AA814" i="76"/>
  <c r="AB766" i="76"/>
  <c r="AD865" i="76"/>
  <c r="AA994" i="76"/>
  <c r="AE407" i="76"/>
  <c r="AA595" i="76"/>
  <c r="AB1027" i="76"/>
  <c r="AE835" i="76"/>
  <c r="AC835" i="76"/>
  <c r="AD582" i="76"/>
  <c r="AE904" i="76"/>
  <c r="AB870" i="76"/>
  <c r="AE1002" i="76"/>
  <c r="AD495" i="76"/>
  <c r="AC920" i="76"/>
  <c r="AD774" i="76"/>
  <c r="AD634" i="76"/>
  <c r="AA983" i="76"/>
  <c r="AA773" i="76"/>
  <c r="AD829" i="76"/>
  <c r="AE991" i="76"/>
  <c r="AB516" i="76"/>
  <c r="AD799" i="76"/>
  <c r="AD776" i="76"/>
  <c r="AA1043" i="76"/>
  <c r="AA1037" i="76"/>
  <c r="AE732" i="76"/>
  <c r="Z653" i="76"/>
  <c r="AC857" i="76"/>
  <c r="BJ332" i="76"/>
  <c r="BL372" i="76"/>
  <c r="BL853" i="76"/>
  <c r="AD584" i="76"/>
  <c r="AC149" i="76"/>
  <c r="AE247" i="76"/>
  <c r="BI251" i="76"/>
  <c r="BK262" i="76"/>
  <c r="BI534" i="76"/>
  <c r="AB160" i="76"/>
  <c r="BK557" i="76"/>
  <c r="BK858" i="76"/>
  <c r="BG575" i="76"/>
  <c r="BG943" i="76"/>
  <c r="AE160" i="76"/>
  <c r="BK304" i="76"/>
  <c r="BL757" i="76"/>
  <c r="BL366" i="76"/>
  <c r="BI600" i="76"/>
  <c r="BL518" i="76"/>
  <c r="AE529" i="76"/>
  <c r="BL1002" i="76"/>
  <c r="BJ310" i="76"/>
  <c r="BJ979" i="76"/>
  <c r="BK1004" i="76"/>
  <c r="Z360" i="76"/>
  <c r="BI170" i="76"/>
  <c r="BK404" i="76"/>
  <c r="BI1034" i="76"/>
  <c r="BH818" i="76"/>
  <c r="BG597" i="76"/>
  <c r="AC138" i="76"/>
  <c r="AD291" i="76"/>
  <c r="BG286" i="76"/>
  <c r="BI623" i="76"/>
  <c r="AE793" i="76"/>
  <c r="Z442" i="76"/>
  <c r="BG764" i="76"/>
  <c r="BI691" i="76"/>
  <c r="AD461" i="76"/>
  <c r="Z288" i="76"/>
  <c r="BI519" i="76"/>
  <c r="BG445" i="76"/>
  <c r="AE520" i="76"/>
  <c r="AC291" i="76"/>
  <c r="BH358" i="76"/>
  <c r="BJ285" i="76"/>
  <c r="AE141" i="76"/>
  <c r="AE540" i="76"/>
  <c r="BH199" i="76"/>
  <c r="BJ126" i="76"/>
  <c r="AA957" i="76"/>
  <c r="AD680" i="76"/>
  <c r="AB634" i="76"/>
  <c r="Z680" i="76"/>
  <c r="Z781" i="76"/>
  <c r="AC453" i="76"/>
  <c r="AC115" i="76"/>
  <c r="Z131" i="76"/>
  <c r="AB927" i="76"/>
  <c r="AB752" i="76"/>
  <c r="AB1004" i="76"/>
  <c r="AC791" i="76"/>
  <c r="AA335" i="76"/>
  <c r="AE391" i="76"/>
  <c r="AB442" i="76"/>
  <c r="AC1045" i="76"/>
  <c r="AB643" i="76"/>
  <c r="AE906" i="76"/>
  <c r="AE559" i="76"/>
  <c r="AA451" i="76"/>
  <c r="AB222" i="76"/>
  <c r="Z272" i="76"/>
  <c r="AE1048" i="76"/>
  <c r="AC971" i="76"/>
  <c r="AD713" i="76"/>
  <c r="Z119" i="76"/>
  <c r="AD352" i="76"/>
  <c r="AD569" i="76"/>
  <c r="AD724" i="76"/>
  <c r="AC318" i="76"/>
  <c r="AD789" i="76"/>
  <c r="AC619" i="76"/>
  <c r="AD139" i="76"/>
  <c r="AE353" i="76"/>
  <c r="Z143" i="76"/>
  <c r="AE606" i="76"/>
  <c r="AE414" i="76"/>
  <c r="AC401" i="76"/>
  <c r="AB947" i="76"/>
  <c r="AA927" i="76"/>
  <c r="Z935" i="76"/>
  <c r="Z926" i="76"/>
  <c r="AB175" i="76"/>
  <c r="AE475" i="76"/>
  <c r="AA526" i="76"/>
  <c r="AB1051" i="76"/>
  <c r="AB914" i="76"/>
  <c r="AB834" i="76"/>
  <c r="AE522" i="76"/>
  <c r="AC213" i="76"/>
  <c r="AD691" i="76"/>
  <c r="AC79" i="76"/>
  <c r="Z263" i="76"/>
  <c r="Z829" i="76"/>
  <c r="AD995" i="76"/>
  <c r="AD909" i="76"/>
  <c r="AD954" i="76"/>
  <c r="Z628" i="76"/>
  <c r="Z409" i="76"/>
  <c r="Z503" i="76"/>
  <c r="AB475" i="76"/>
  <c r="AA1003" i="76"/>
  <c r="AB1032" i="76"/>
  <c r="Z798" i="76"/>
  <c r="Z666" i="76"/>
  <c r="AE917" i="76"/>
  <c r="Z946" i="76"/>
  <c r="AB1055" i="76"/>
  <c r="AC468" i="76"/>
  <c r="AD935" i="76"/>
  <c r="AE935" i="76"/>
  <c r="Z731" i="76"/>
  <c r="Z1007" i="76"/>
  <c r="AA822" i="76"/>
  <c r="AC749" i="76"/>
  <c r="AB986" i="76"/>
  <c r="AA365" i="76"/>
  <c r="AC893" i="76"/>
  <c r="AA1048" i="76"/>
  <c r="AC957" i="76"/>
  <c r="AC866" i="76"/>
  <c r="AD642" i="76"/>
  <c r="AD768" i="76"/>
  <c r="AD920" i="76"/>
  <c r="BL819" i="76"/>
  <c r="AA342" i="76"/>
  <c r="AD373" i="76"/>
  <c r="BG1009" i="76"/>
  <c r="BL443" i="76"/>
  <c r="AD466" i="76"/>
  <c r="AE970" i="76"/>
  <c r="AB280" i="76"/>
  <c r="AE148" i="76"/>
  <c r="BI961" i="76"/>
  <c r="AC231" i="76"/>
  <c r="BG1046" i="76"/>
  <c r="AD179" i="76"/>
  <c r="BI921" i="76"/>
  <c r="BL305" i="76"/>
  <c r="BL411" i="76"/>
  <c r="BJ870" i="76"/>
  <c r="BI445" i="76"/>
  <c r="BH541" i="76"/>
  <c r="BI412" i="76"/>
  <c r="BJ172" i="76"/>
  <c r="BI419" i="76"/>
  <c r="BK120" i="76"/>
  <c r="AD950" i="76"/>
  <c r="BL844" i="76"/>
  <c r="BK859" i="76"/>
  <c r="BK107" i="76"/>
  <c r="BG741" i="76"/>
  <c r="BH451" i="76"/>
  <c r="BJ626" i="76"/>
  <c r="BH462" i="76"/>
  <c r="BI483" i="76"/>
  <c r="BG896" i="76"/>
  <c r="AE181" i="76"/>
  <c r="BG300" i="76"/>
  <c r="AD229" i="76"/>
  <c r="AB913" i="76"/>
  <c r="AB529" i="76"/>
  <c r="BG981" i="76"/>
  <c r="BK908" i="76"/>
  <c r="Z919" i="76"/>
  <c r="AD123" i="76"/>
  <c r="BJ992" i="76"/>
  <c r="BG918" i="76"/>
  <c r="AA858" i="76"/>
  <c r="AC124" i="76"/>
  <c r="BG1042" i="76"/>
  <c r="BI969" i="76"/>
  <c r="AE929" i="76"/>
  <c r="AE776" i="76"/>
  <c r="BJ882" i="76"/>
  <c r="BJ1025" i="76"/>
  <c r="AD969" i="76"/>
  <c r="AC913" i="76"/>
  <c r="AB503" i="76"/>
  <c r="AE580" i="76"/>
  <c r="AA985" i="76"/>
  <c r="AC488" i="76"/>
  <c r="Z209" i="76"/>
  <c r="AB476" i="76"/>
  <c r="AA968" i="76"/>
  <c r="AD834" i="76"/>
  <c r="AA958" i="76"/>
  <c r="AE577" i="76"/>
  <c r="AE126" i="76"/>
  <c r="AE498" i="76"/>
  <c r="Z221" i="76"/>
  <c r="Z848" i="76"/>
  <c r="AC698" i="76"/>
  <c r="AB876" i="76"/>
  <c r="AD750" i="76"/>
  <c r="AC317" i="76"/>
  <c r="AA339" i="76"/>
  <c r="AE393" i="76"/>
  <c r="Z81" i="76"/>
  <c r="AD1004" i="76"/>
  <c r="AD933" i="76"/>
  <c r="Z416" i="76"/>
  <c r="AB174" i="76"/>
  <c r="AC287" i="76"/>
  <c r="Z875" i="76"/>
  <c r="AB456" i="76"/>
  <c r="AD852" i="76"/>
  <c r="AC808" i="76"/>
  <c r="Z201" i="76"/>
  <c r="AC257" i="76"/>
  <c r="AC245" i="76"/>
  <c r="AE583" i="76"/>
  <c r="AD105" i="76"/>
  <c r="Z1014" i="76"/>
  <c r="AE772" i="76"/>
  <c r="AC364" i="76"/>
  <c r="AE685" i="76"/>
  <c r="AE747" i="76"/>
  <c r="AE339" i="76"/>
  <c r="Z597" i="76"/>
  <c r="Z136" i="76"/>
  <c r="AD735" i="76"/>
  <c r="AB1040" i="76"/>
  <c r="AA864" i="76"/>
  <c r="Z520" i="76"/>
  <c r="AD362" i="76"/>
  <c r="Z397" i="76"/>
  <c r="AA164" i="76"/>
  <c r="Z139" i="76"/>
  <c r="AA1002" i="76"/>
  <c r="AB982" i="76"/>
  <c r="Z600" i="76"/>
  <c r="AD931" i="76"/>
  <c r="Z853" i="76"/>
  <c r="Z717" i="76"/>
  <c r="Z713" i="76"/>
  <c r="Z1011" i="76"/>
  <c r="AB964" i="76"/>
  <c r="AA1004" i="76"/>
  <c r="AD1067" i="76"/>
  <c r="AD896" i="76"/>
  <c r="AC796" i="76"/>
  <c r="AA713" i="76"/>
  <c r="AE657" i="76"/>
  <c r="AB811" i="76"/>
  <c r="AB945" i="76"/>
  <c r="Z963" i="76"/>
  <c r="AB780" i="76"/>
  <c r="AE854" i="76"/>
  <c r="AB801" i="76"/>
  <c r="AE551" i="76"/>
  <c r="AE505" i="76"/>
  <c r="AE728" i="76"/>
  <c r="AC1057" i="76"/>
  <c r="AC963" i="76"/>
  <c r="AC761" i="76"/>
  <c r="AC885" i="76"/>
  <c r="AB728" i="76"/>
  <c r="AA1047" i="76"/>
  <c r="AB797" i="76"/>
  <c r="AB943" i="76"/>
  <c r="BI211" i="76"/>
  <c r="AD73" i="76"/>
  <c r="AA134" i="76"/>
  <c r="BL542" i="76"/>
  <c r="AC183" i="76"/>
  <c r="AC534" i="76"/>
  <c r="BL751" i="76"/>
  <c r="BH761" i="76"/>
  <c r="BG809" i="76"/>
  <c r="BG936" i="76"/>
  <c r="BI820" i="76"/>
  <c r="BI77" i="76"/>
  <c r="BK831" i="76"/>
  <c r="BJ168" i="76"/>
  <c r="BG592" i="76"/>
  <c r="AE426" i="76"/>
  <c r="AC256" i="76"/>
  <c r="AD147" i="76"/>
  <c r="BG696" i="76"/>
  <c r="BL245" i="76"/>
  <c r="BL954" i="76"/>
  <c r="BG770" i="76"/>
  <c r="AB708" i="76"/>
  <c r="BJ89" i="76"/>
  <c r="BJ144" i="76"/>
  <c r="BH902" i="76"/>
  <c r="BL515" i="76"/>
  <c r="BL724" i="76"/>
  <c r="BH342" i="76"/>
  <c r="BI491" i="76"/>
  <c r="BK715" i="76"/>
  <c r="AC429" i="76"/>
  <c r="AE1056" i="76"/>
  <c r="Z214" i="76"/>
  <c r="Z809" i="76"/>
  <c r="AB375" i="76"/>
  <c r="AD835" i="76"/>
  <c r="BK1003" i="76"/>
  <c r="AD1008" i="76"/>
  <c r="AB399" i="76"/>
  <c r="AA1038" i="76"/>
  <c r="AB87" i="76"/>
  <c r="Z830" i="76"/>
  <c r="Z669" i="76"/>
  <c r="AE934" i="76"/>
  <c r="AA1044" i="76"/>
  <c r="AD389" i="76"/>
  <c r="AA253" i="76"/>
  <c r="AE965" i="76"/>
  <c r="AE579" i="76"/>
  <c r="AE109" i="76"/>
  <c r="AB338" i="76"/>
  <c r="AE1026" i="76"/>
  <c r="AA579" i="76"/>
  <c r="AC171" i="76"/>
  <c r="AC375" i="76"/>
  <c r="AC518" i="76"/>
  <c r="AA362" i="76"/>
  <c r="AA458" i="76"/>
  <c r="AD956" i="76"/>
  <c r="AE533" i="76"/>
  <c r="Z313" i="76"/>
  <c r="AD505" i="76"/>
  <c r="AA589" i="76"/>
  <c r="AB366" i="76"/>
  <c r="AA727" i="76"/>
  <c r="AA528" i="76"/>
  <c r="AB896" i="76"/>
  <c r="AA711" i="76"/>
  <c r="AE994" i="76"/>
  <c r="Z955" i="76"/>
  <c r="AC907" i="76"/>
  <c r="AE638" i="76"/>
  <c r="AE764" i="76"/>
  <c r="AB622" i="76"/>
  <c r="AD796" i="76"/>
  <c r="AD992" i="76"/>
  <c r="AB583" i="76"/>
  <c r="Z542" i="76"/>
  <c r="AD729" i="76"/>
  <c r="AD815" i="76"/>
  <c r="AA633" i="76"/>
  <c r="AA269" i="76"/>
  <c r="BI892" i="76"/>
  <c r="BH604" i="76"/>
  <c r="BK189" i="76"/>
  <c r="BJ1054" i="76"/>
  <c r="BH151" i="76"/>
  <c r="BI169" i="76"/>
  <c r="BG529" i="76"/>
  <c r="AA460" i="76"/>
  <c r="BI226" i="76"/>
  <c r="BL148" i="76"/>
  <c r="BL405" i="76"/>
  <c r="AB326" i="76"/>
  <c r="BJ744" i="76"/>
  <c r="BL676" i="76"/>
  <c r="BI1064" i="76"/>
  <c r="AA392" i="76"/>
  <c r="AE1057" i="76"/>
  <c r="AD115" i="76"/>
  <c r="AB1020" i="76"/>
  <c r="AE225" i="76"/>
  <c r="AB887" i="76"/>
  <c r="BJ928" i="76"/>
  <c r="Z1035" i="76"/>
  <c r="AE1008" i="76"/>
  <c r="Z287" i="76"/>
  <c r="AE873" i="76"/>
  <c r="AC381" i="76"/>
  <c r="Z772" i="76"/>
  <c r="AE1020" i="76"/>
  <c r="AE765" i="76"/>
  <c r="Z339" i="76"/>
  <c r="AD1025" i="76"/>
  <c r="AD798" i="76"/>
  <c r="AC201" i="76"/>
  <c r="AC78" i="76"/>
  <c r="AC1009" i="76"/>
  <c r="AD577" i="76"/>
  <c r="AB306" i="76"/>
  <c r="AA132" i="76"/>
  <c r="AA434" i="76"/>
  <c r="AE448" i="76"/>
  <c r="AE324" i="76"/>
  <c r="AB1059" i="76"/>
  <c r="AD337" i="76"/>
  <c r="AB443" i="76"/>
  <c r="AE270" i="76"/>
  <c r="AC1023" i="76"/>
  <c r="AC174" i="76"/>
  <c r="AB971" i="76"/>
  <c r="AD530" i="76"/>
  <c r="Z1067" i="76"/>
  <c r="Z1010" i="76"/>
  <c r="Z641" i="76"/>
  <c r="AA760" i="76"/>
  <c r="AC914" i="76"/>
  <c r="AB824" i="76"/>
  <c r="Z504" i="76"/>
  <c r="AE771" i="76"/>
  <c r="AE988" i="76"/>
  <c r="AA794" i="76"/>
  <c r="Z691" i="76"/>
  <c r="AD677" i="76"/>
  <c r="Z1006" i="76"/>
  <c r="Z807" i="76"/>
  <c r="AB356" i="76"/>
  <c r="AB658" i="76"/>
  <c r="AD668" i="76"/>
  <c r="AE217" i="76"/>
  <c r="BI846" i="76"/>
  <c r="BI774" i="76"/>
  <c r="BG255" i="76"/>
  <c r="Z126" i="76"/>
  <c r="BL178" i="76"/>
  <c r="Z237" i="76"/>
  <c r="AD136" i="76"/>
  <c r="BK119" i="76"/>
  <c r="BL501" i="76"/>
  <c r="BL657" i="76"/>
  <c r="BI294" i="76"/>
  <c r="BJ76" i="76"/>
  <c r="BJ763" i="76"/>
  <c r="BI92" i="76"/>
  <c r="AD302" i="76"/>
  <c r="AB346" i="76"/>
  <c r="Z447" i="76"/>
  <c r="Z338" i="76"/>
  <c r="AB118" i="76"/>
  <c r="AC223" i="76"/>
  <c r="AE253" i="76"/>
  <c r="AC163" i="76"/>
  <c r="AB820" i="76"/>
  <c r="AC871" i="76"/>
  <c r="Z1034" i="76"/>
  <c r="AA480" i="76"/>
  <c r="AB745" i="76"/>
  <c r="AB819" i="76"/>
  <c r="AA313" i="76"/>
  <c r="AA523" i="76"/>
  <c r="AE923" i="76"/>
  <c r="AD857" i="76"/>
  <c r="AA384" i="76"/>
  <c r="AA163" i="76"/>
  <c r="AE675" i="76"/>
  <c r="Z672" i="76"/>
  <c r="Z748" i="76"/>
  <c r="AE233" i="76"/>
  <c r="Z650" i="76"/>
  <c r="Z603" i="76"/>
  <c r="AC409" i="76"/>
  <c r="AE1068" i="76"/>
  <c r="AD283" i="76"/>
  <c r="Z188" i="76"/>
  <c r="AB369" i="76"/>
  <c r="AD802" i="76"/>
  <c r="AB78" i="76"/>
  <c r="AD851" i="76"/>
  <c r="AC628" i="76"/>
  <c r="AE1040" i="76"/>
  <c r="AE1055" i="76"/>
  <c r="AD741" i="76"/>
  <c r="AD744" i="76"/>
  <c r="AA1033" i="76"/>
  <c r="AB872" i="76"/>
  <c r="AD596" i="76"/>
  <c r="AB959" i="76"/>
  <c r="AA1040" i="76"/>
  <c r="AC879" i="76"/>
  <c r="AD573" i="76"/>
  <c r="AC639" i="76"/>
  <c r="AA1012" i="76"/>
  <c r="AB773" i="76"/>
  <c r="Z441" i="76"/>
  <c r="AD518" i="76"/>
  <c r="BG340" i="76"/>
  <c r="BL898" i="76"/>
  <c r="BK686" i="76"/>
  <c r="AD106" i="76"/>
  <c r="BG358" i="76"/>
  <c r="BI697" i="76"/>
  <c r="Z398" i="76"/>
  <c r="BH279" i="76"/>
  <c r="AC621" i="76"/>
  <c r="BG1014" i="76"/>
  <c r="BI85" i="76"/>
  <c r="BJ681" i="76"/>
  <c r="BG699" i="76"/>
  <c r="Z627" i="76"/>
  <c r="AC319" i="76"/>
  <c r="AB734" i="76"/>
  <c r="AC88" i="76"/>
  <c r="AC818" i="76"/>
  <c r="Z149" i="76"/>
  <c r="AD666" i="76"/>
  <c r="Z145" i="76"/>
  <c r="AC605" i="76"/>
  <c r="AB862" i="76"/>
  <c r="AA489" i="76"/>
  <c r="AA873" i="76"/>
  <c r="Z464" i="76"/>
  <c r="AA884" i="76"/>
  <c r="AB496" i="76"/>
  <c r="AD806" i="76"/>
  <c r="AA576" i="76"/>
  <c r="AC820" i="76"/>
  <c r="AD453" i="76"/>
  <c r="AA883" i="76"/>
  <c r="AA402" i="76"/>
  <c r="AD616" i="76"/>
  <c r="AB995" i="76"/>
  <c r="AB313" i="76"/>
  <c r="AD402" i="76"/>
  <c r="AA248" i="76"/>
  <c r="AC828" i="76"/>
  <c r="AD509" i="76"/>
  <c r="Z701" i="76"/>
  <c r="AA701" i="76"/>
  <c r="AB432" i="76"/>
  <c r="AE892" i="76"/>
  <c r="Z553" i="76"/>
  <c r="AE721" i="76"/>
  <c r="AD910" i="76"/>
  <c r="Z100" i="76"/>
  <c r="AD296" i="76"/>
  <c r="AD767" i="76"/>
  <c r="AC994" i="76"/>
  <c r="AA666" i="76"/>
  <c r="AE796" i="76"/>
  <c r="AD1042" i="76"/>
  <c r="AE936" i="76"/>
  <c r="AE878" i="76"/>
  <c r="AA862" i="76"/>
  <c r="AE940" i="76"/>
  <c r="AD844" i="76"/>
  <c r="AE744" i="76"/>
  <c r="AB595" i="76"/>
  <c r="AC976" i="76"/>
  <c r="AA1045" i="76"/>
  <c r="Z561" i="76"/>
  <c r="AB675" i="76"/>
  <c r="BH430" i="76"/>
  <c r="BL961" i="76"/>
  <c r="AA378" i="76"/>
  <c r="BI372" i="76"/>
  <c r="AB391" i="76"/>
  <c r="BK279" i="76"/>
  <c r="AA254" i="76"/>
  <c r="BK1054" i="76"/>
  <c r="Z111" i="76"/>
  <c r="AB143" i="76"/>
  <c r="AA128" i="76"/>
  <c r="Z514" i="76"/>
  <c r="AC800" i="76"/>
  <c r="AE884" i="76"/>
  <c r="Z839" i="76"/>
  <c r="AE773" i="76"/>
  <c r="AD1034" i="76"/>
  <c r="AA764" i="76"/>
  <c r="AC962" i="76"/>
  <c r="AC469" i="76"/>
  <c r="AE510" i="76"/>
  <c r="Z85" i="76"/>
  <c r="Z431" i="76"/>
  <c r="AC975" i="76"/>
  <c r="AE234" i="76"/>
  <c r="AB899" i="76"/>
  <c r="AE981" i="76"/>
  <c r="AC841" i="76"/>
  <c r="AB912" i="76"/>
  <c r="AE922" i="76"/>
  <c r="AC864" i="76"/>
  <c r="Z660" i="76"/>
  <c r="BH692" i="76"/>
  <c r="BK1045" i="76"/>
  <c r="BI266" i="76"/>
  <c r="BL479" i="76"/>
  <c r="BG870" i="76"/>
  <c r="BK209" i="76"/>
  <c r="BH343" i="76"/>
  <c r="Z434" i="76"/>
  <c r="Z384" i="76"/>
  <c r="AC578" i="76"/>
  <c r="AA399" i="76"/>
  <c r="AA121" i="76"/>
  <c r="AA636" i="76"/>
  <c r="AD985" i="76"/>
  <c r="Z962" i="76"/>
  <c r="AD223" i="76"/>
  <c r="AB750" i="76"/>
  <c r="AD75" i="76"/>
  <c r="Z938" i="76"/>
  <c r="AD775" i="76"/>
  <c r="Z347" i="76"/>
  <c r="AD189" i="76"/>
  <c r="AC780" i="76"/>
  <c r="AC246" i="76"/>
  <c r="AE619" i="76"/>
  <c r="Z519" i="76"/>
  <c r="AB938" i="76"/>
  <c r="AC1066" i="76"/>
  <c r="AC968" i="76"/>
  <c r="Z1029" i="76"/>
  <c r="AD842" i="76"/>
  <c r="AB880" i="76"/>
  <c r="AD788" i="76"/>
  <c r="Z227" i="76"/>
  <c r="BH943" i="76"/>
  <c r="BH571" i="76"/>
  <c r="AB337" i="76"/>
  <c r="BI532" i="76"/>
  <c r="BL996" i="76"/>
  <c r="BH737" i="76"/>
  <c r="BH106" i="76"/>
  <c r="AC416" i="76"/>
  <c r="Z498" i="76"/>
  <c r="AC473" i="76"/>
  <c r="AA327" i="76"/>
  <c r="Z282" i="76"/>
  <c r="AC545" i="76"/>
  <c r="AB987" i="76"/>
  <c r="AC667" i="76"/>
  <c r="AD988" i="76"/>
  <c r="AA610" i="76"/>
  <c r="AB598" i="76"/>
  <c r="AD759" i="76"/>
  <c r="AD193" i="76"/>
  <c r="AD861" i="76"/>
  <c r="AB825" i="76"/>
  <c r="AA119" i="76"/>
  <c r="AA483" i="76"/>
  <c r="AD761" i="76"/>
  <c r="AA474" i="76"/>
  <c r="AC763" i="76"/>
  <c r="AC896" i="76"/>
  <c r="Z692" i="76"/>
  <c r="AC951" i="76"/>
  <c r="AA923" i="76"/>
  <c r="AC868" i="76"/>
  <c r="Z440" i="76"/>
  <c r="BH191" i="76"/>
  <c r="BL820" i="76"/>
  <c r="BI725" i="76"/>
  <c r="BG542" i="76"/>
  <c r="BI750" i="76"/>
  <c r="BG507" i="76"/>
  <c r="BI498" i="76"/>
  <c r="AB588" i="76"/>
  <c r="AD678" i="76"/>
  <c r="AA452" i="76"/>
  <c r="Z99" i="76"/>
  <c r="AC919" i="76"/>
  <c r="AA131" i="76"/>
  <c r="Z629" i="76"/>
  <c r="AE454" i="76"/>
  <c r="AE622" i="76"/>
  <c r="AB795" i="76"/>
  <c r="Z562" i="76"/>
  <c r="Z719" i="76"/>
  <c r="AA945" i="76"/>
  <c r="AB164" i="76"/>
  <c r="Z941" i="76"/>
  <c r="AB902" i="76"/>
  <c r="AE430" i="76"/>
  <c r="AB268" i="76"/>
  <c r="AC687" i="76"/>
  <c r="AA601" i="76"/>
  <c r="AA955" i="76"/>
  <c r="AE542" i="76"/>
  <c r="AD906" i="76"/>
  <c r="AD854" i="76"/>
  <c r="AA846" i="76"/>
  <c r="AE439" i="76"/>
  <c r="BK860" i="76"/>
  <c r="AD520" i="76"/>
  <c r="AE97" i="76"/>
  <c r="BK174" i="76"/>
  <c r="AC177" i="76"/>
  <c r="BH929" i="76"/>
  <c r="AC641" i="76"/>
  <c r="AE489" i="76"/>
  <c r="AA799" i="76"/>
  <c r="AC200" i="76"/>
  <c r="AC577" i="76"/>
  <c r="AA79" i="76"/>
  <c r="Z527" i="76"/>
  <c r="AC689" i="76"/>
  <c r="AB650" i="76"/>
  <c r="AE531" i="76"/>
  <c r="Z555" i="76"/>
  <c r="AE261" i="76"/>
  <c r="AC598" i="76"/>
  <c r="AA233" i="76"/>
  <c r="AA183" i="76"/>
  <c r="AE306" i="76"/>
  <c r="BK1015" i="76"/>
  <c r="AA803" i="76"/>
  <c r="AC922" i="76"/>
  <c r="Z1033" i="76"/>
  <c r="Z886" i="76"/>
  <c r="Z304" i="76"/>
  <c r="AC195" i="76"/>
  <c r="Z307" i="76"/>
  <c r="AB897" i="76"/>
  <c r="Z484" i="76"/>
  <c r="Z638" i="76"/>
  <c r="AB336" i="76"/>
  <c r="Z306" i="76"/>
  <c r="BL525" i="76"/>
  <c r="BI818" i="76"/>
  <c r="BJ147" i="76"/>
  <c r="Z265" i="76"/>
  <c r="AA91" i="76"/>
  <c r="AC699" i="76"/>
  <c r="AD838" i="76"/>
  <c r="AB1036" i="76"/>
  <c r="AB859" i="76"/>
  <c r="AA318" i="76"/>
  <c r="AA221" i="76"/>
  <c r="AC435" i="76"/>
  <c r="AC1053" i="76"/>
  <c r="AA946" i="76"/>
  <c r="Z936" i="76"/>
  <c r="AE671" i="76"/>
  <c r="BI900" i="76"/>
  <c r="BK630" i="76"/>
  <c r="BH363" i="76"/>
  <c r="BK569" i="76"/>
  <c r="AB849" i="76"/>
  <c r="Z563" i="76"/>
  <c r="Z659" i="76"/>
  <c r="AD574" i="76"/>
  <c r="AC838" i="76"/>
  <c r="AB958" i="76"/>
  <c r="AC741" i="76"/>
  <c r="Z194" i="76"/>
  <c r="AB772" i="76"/>
  <c r="AE756" i="76"/>
  <c r="Z756" i="76"/>
  <c r="AB575" i="76"/>
  <c r="BH127" i="76"/>
  <c r="AB386" i="76"/>
  <c r="BK492" i="76"/>
  <c r="BL780" i="76"/>
  <c r="AA230" i="76"/>
  <c r="BH1025" i="76"/>
  <c r="AB770" i="76"/>
  <c r="AA355" i="76"/>
  <c r="AC95" i="76"/>
  <c r="AC157" i="76"/>
  <c r="AE978" i="76"/>
  <c r="AD880" i="76"/>
  <c r="AD771" i="76"/>
  <c r="Z896" i="76"/>
  <c r="AD1050" i="76"/>
  <c r="AD948" i="76"/>
  <c r="Z986" i="76"/>
  <c r="BL564" i="76"/>
  <c r="AB685" i="76"/>
  <c r="AA726" i="76"/>
  <c r="AA975" i="76"/>
  <c r="AE1051" i="76"/>
  <c r="BH254" i="76"/>
  <c r="AC230" i="76"/>
  <c r="AB614" i="76"/>
  <c r="Z952" i="76"/>
  <c r="AA891" i="76"/>
  <c r="BK797" i="76"/>
  <c r="BH854" i="76"/>
  <c r="AC547" i="76"/>
  <c r="AC1011" i="76"/>
  <c r="AD965" i="76"/>
  <c r="AA200" i="76"/>
  <c r="AA447" i="76"/>
  <c r="AD399" i="76"/>
  <c r="AE855" i="76"/>
  <c r="AC265" i="76"/>
  <c r="AB1065" i="76"/>
  <c r="AB989" i="76"/>
  <c r="AD535" i="76"/>
  <c r="AD760" i="76"/>
  <c r="AD360" i="76"/>
  <c r="BK972" i="76"/>
  <c r="AC125" i="76"/>
  <c r="AA423" i="76"/>
  <c r="AE899" i="76"/>
  <c r="BI130" i="76"/>
  <c r="AD145" i="76"/>
  <c r="AE496" i="76"/>
  <c r="AA986" i="76"/>
  <c r="AA195" i="76"/>
  <c r="AE722" i="76"/>
  <c r="AB574" i="76"/>
  <c r="AB776" i="76"/>
  <c r="AD658" i="76"/>
  <c r="AC396" i="76"/>
  <c r="Z965" i="76"/>
  <c r="Z1004" i="76"/>
  <c r="AD355" i="76"/>
  <c r="BH639" i="76"/>
  <c r="AE684" i="76"/>
  <c r="BK856" i="76"/>
  <c r="Z169" i="76"/>
  <c r="BG188" i="76"/>
  <c r="AE741" i="76"/>
  <c r="AD1053" i="76"/>
  <c r="D198" i="89"/>
  <c r="D130" i="19"/>
  <c r="M67" i="20"/>
  <c r="AY8" i="76" s="1"/>
  <c r="Q55" i="76" s="1"/>
  <c r="N151" i="20"/>
  <c r="K31" i="82" s="1"/>
  <c r="T7" i="18"/>
  <c r="AS9" i="18" s="1"/>
  <c r="O108" i="20"/>
  <c r="I8" i="86"/>
  <c r="R12" i="65"/>
  <c r="S53" i="76"/>
  <c r="BX15" i="18"/>
  <c r="BY15" i="18"/>
  <c r="BU26" i="18"/>
  <c r="L67" i="20"/>
  <c r="AX8" i="76" s="1"/>
  <c r="P55" i="76" s="1"/>
  <c r="L136" i="20"/>
  <c r="L156" i="20" s="1"/>
  <c r="M87" i="20"/>
  <c r="M86" i="20"/>
  <c r="C9" i="89"/>
  <c r="L86" i="20"/>
  <c r="L87" i="20"/>
  <c r="I151" i="20"/>
  <c r="L254" i="19"/>
  <c r="L166" i="19"/>
  <c r="L145" i="19"/>
  <c r="L152" i="19"/>
  <c r="L240" i="19"/>
  <c r="L159" i="19"/>
  <c r="L193" i="19"/>
  <c r="L247" i="19"/>
  <c r="L173" i="19"/>
  <c r="L261" i="19"/>
  <c r="L268" i="19"/>
  <c r="V111" i="38"/>
  <c r="H67" i="20"/>
  <c r="AT8" i="76" s="1"/>
  <c r="L55" i="76" s="1"/>
  <c r="L79" i="20"/>
  <c r="M79" i="20"/>
  <c r="H128" i="12"/>
  <c r="E31" i="89" s="1"/>
  <c r="H78" i="12"/>
  <c r="E31" i="23" s="1"/>
  <c r="H108" i="12"/>
  <c r="E31" i="32" s="1"/>
  <c r="H68" i="12"/>
  <c r="E31" i="17" s="1"/>
  <c r="H148" i="12"/>
  <c r="E31" i="30" s="1"/>
  <c r="H48" i="12"/>
  <c r="H118" i="12"/>
  <c r="E31" i="40" s="1"/>
  <c r="H138" i="12"/>
  <c r="E31" i="28" s="1"/>
  <c r="D263" i="89"/>
  <c r="B216" i="30"/>
  <c r="H58" i="20"/>
  <c r="H131" i="20"/>
  <c r="D102" i="20"/>
  <c r="E168" i="32"/>
  <c r="B296" i="30"/>
  <c r="D116" i="19"/>
  <c r="AX187" i="18"/>
  <c r="I94" i="85" s="1"/>
  <c r="AY56" i="18"/>
  <c r="AY192" i="18"/>
  <c r="AV197" i="18"/>
  <c r="Q94" i="85" s="1"/>
  <c r="AU194" i="18"/>
  <c r="P91" i="85" s="1"/>
  <c r="AW181" i="18"/>
  <c r="AY54" i="18"/>
  <c r="AY52" i="18"/>
  <c r="AY65" i="18"/>
  <c r="AY196" i="18"/>
  <c r="T93" i="85" s="1"/>
  <c r="AW55" i="18"/>
  <c r="AV186" i="18"/>
  <c r="G93" i="85" s="1"/>
  <c r="AW186" i="18"/>
  <c r="H93" i="85" s="1"/>
  <c r="AU53" i="18"/>
  <c r="AX190" i="18"/>
  <c r="AY63" i="18"/>
  <c r="AU58" i="18"/>
  <c r="AX193" i="18"/>
  <c r="AT183" i="18"/>
  <c r="AV183" i="18"/>
  <c r="AV52" i="18"/>
  <c r="AX194" i="18"/>
  <c r="S91" i="85" s="1"/>
  <c r="AT67" i="18"/>
  <c r="AU192" i="18"/>
  <c r="AT193" i="18"/>
  <c r="AT185" i="18"/>
  <c r="E92" i="85" s="1"/>
  <c r="AY183" i="18"/>
  <c r="AU59" i="18"/>
  <c r="AX62" i="18"/>
  <c r="AT63" i="18"/>
  <c r="AU197" i="18"/>
  <c r="P94" i="85" s="1"/>
  <c r="AY197" i="18"/>
  <c r="T94" i="85" s="1"/>
  <c r="M89" i="19"/>
  <c r="AV54" i="18"/>
  <c r="AY181" i="18"/>
  <c r="AU180" i="18"/>
  <c r="AY180" i="18"/>
  <c r="AU187" i="18"/>
  <c r="F94" i="85" s="1"/>
  <c r="AY55" i="18"/>
  <c r="AT55" i="18"/>
  <c r="AX58" i="18"/>
  <c r="AT54" i="18"/>
  <c r="AT66" i="18"/>
  <c r="AU69" i="18"/>
  <c r="AW62" i="18"/>
  <c r="AX63" i="18"/>
  <c r="AT68" i="18"/>
  <c r="I85" i="19"/>
  <c r="AX196" i="18"/>
  <c r="S93" i="85" s="1"/>
  <c r="AT58" i="18"/>
  <c r="AW193" i="18"/>
  <c r="AW194" i="18"/>
  <c r="R91" i="85" s="1"/>
  <c r="AT194" i="18"/>
  <c r="O91" i="85" s="1"/>
  <c r="AW197" i="18"/>
  <c r="R94" i="85" s="1"/>
  <c r="AT197" i="18"/>
  <c r="O94" i="85" s="1"/>
  <c r="D108" i="20"/>
  <c r="H53" i="76"/>
  <c r="H142" i="20"/>
  <c r="H136" i="20" s="1"/>
  <c r="H156" i="20" s="1"/>
  <c r="DR14" i="18"/>
  <c r="AT7" i="76"/>
  <c r="L54" i="76" s="1"/>
  <c r="B169" i="30"/>
  <c r="N53" i="76"/>
  <c r="J108" i="20"/>
  <c r="B190" i="32"/>
  <c r="E45" i="89"/>
  <c r="N73" i="89"/>
  <c r="F93" i="20"/>
  <c r="F92" i="20"/>
  <c r="I142" i="20"/>
  <c r="I136" i="20" s="1"/>
  <c r="I156" i="20" s="1"/>
  <c r="AU7" i="76"/>
  <c r="M54" i="76" s="1"/>
  <c r="E46" i="12"/>
  <c r="B29" i="14" s="1"/>
  <c r="E106" i="12"/>
  <c r="B29" i="32" s="1"/>
  <c r="E126" i="12"/>
  <c r="B29" i="89" s="1"/>
  <c r="G146" i="12"/>
  <c r="D29" i="30" s="1"/>
  <c r="E66" i="12"/>
  <c r="B29" i="17" s="1"/>
  <c r="E116" i="12"/>
  <c r="B29" i="40" s="1"/>
  <c r="I146" i="12"/>
  <c r="F29" i="30" s="1"/>
  <c r="E86" i="12"/>
  <c r="B31" i="25" s="1"/>
  <c r="E146" i="12"/>
  <c r="B29" i="30" s="1"/>
  <c r="E96" i="12"/>
  <c r="B29" i="38" s="1"/>
  <c r="H146" i="12"/>
  <c r="E29" i="30" s="1"/>
  <c r="E76" i="12"/>
  <c r="B29" i="23" s="1"/>
  <c r="E136" i="12"/>
  <c r="B29" i="28" s="1"/>
  <c r="J146" i="12"/>
  <c r="G29" i="30" s="1"/>
  <c r="F146" i="12"/>
  <c r="C29" i="30" s="1"/>
  <c r="B288" i="30"/>
  <c r="B150" i="30"/>
  <c r="E273" i="38"/>
  <c r="Q40" i="82"/>
  <c r="E257" i="38"/>
  <c r="T98" i="19"/>
  <c r="M98" i="19" s="1"/>
  <c r="BP32" i="18"/>
  <c r="BP30" i="18"/>
  <c r="BP17" i="18"/>
  <c r="BP15" i="18"/>
  <c r="I108" i="12"/>
  <c r="F31" i="32" s="1"/>
  <c r="I138" i="12"/>
  <c r="F31" i="28" s="1"/>
  <c r="I118" i="12"/>
  <c r="F31" i="40" s="1"/>
  <c r="I68" i="12"/>
  <c r="F31" i="17" s="1"/>
  <c r="I48" i="12"/>
  <c r="I128" i="12"/>
  <c r="F31" i="89" s="1"/>
  <c r="I148" i="12"/>
  <c r="F31" i="30" s="1"/>
  <c r="I78" i="12"/>
  <c r="F31" i="23" s="1"/>
  <c r="J130" i="20"/>
  <c r="J58" i="20"/>
  <c r="AV9" i="76" s="1"/>
  <c r="N56" i="76" s="1"/>
  <c r="C147" i="89"/>
  <c r="E142" i="20"/>
  <c r="E136" i="20" s="1"/>
  <c r="E156" i="20" s="1"/>
  <c r="AQ7" i="76"/>
  <c r="I16" i="82"/>
  <c r="B285" i="23"/>
  <c r="E151" i="20"/>
  <c r="E129" i="20"/>
  <c r="AV180" i="18"/>
  <c r="AW59" i="18"/>
  <c r="AT59" i="18"/>
  <c r="AV64" i="18"/>
  <c r="AY193" i="18"/>
  <c r="C43" i="65"/>
  <c r="C45" i="65" s="1"/>
  <c r="AX185" i="18"/>
  <c r="I92" i="85" s="1"/>
  <c r="AU186" i="18"/>
  <c r="F93" i="85" s="1"/>
  <c r="AW58" i="18"/>
  <c r="AX66" i="18"/>
  <c r="AX191" i="18"/>
  <c r="AV191" i="18"/>
  <c r="AW52" i="18"/>
  <c r="AU184" i="18"/>
  <c r="F91" i="85" s="1"/>
  <c r="AV182" i="18"/>
  <c r="AT52" i="18"/>
  <c r="AU64" i="18"/>
  <c r="AT65" i="18"/>
  <c r="AY195" i="18"/>
  <c r="T92" i="85" s="1"/>
  <c r="AT184" i="18"/>
  <c r="E91" i="85" s="1"/>
  <c r="AW190" i="18"/>
  <c r="AU182" i="18"/>
  <c r="AV56" i="18"/>
  <c r="AX54" i="18"/>
  <c r="AV62" i="18"/>
  <c r="AT64" i="18"/>
  <c r="D43" i="65"/>
  <c r="D45" i="65" s="1"/>
  <c r="AU193" i="18"/>
  <c r="AX183" i="18"/>
  <c r="AY57" i="18"/>
  <c r="AU54" i="18"/>
  <c r="AV63" i="18"/>
  <c r="AY191" i="18"/>
  <c r="J86" i="19"/>
  <c r="K86" i="19" s="1"/>
  <c r="L86" i="19" s="1"/>
  <c r="M86" i="19" s="1"/>
  <c r="AW53" i="18"/>
  <c r="AT56" i="18"/>
  <c r="AY186" i="18"/>
  <c r="J93" i="85" s="1"/>
  <c r="AW180" i="18"/>
  <c r="AU183" i="18"/>
  <c r="AW187" i="18"/>
  <c r="H94" i="85" s="1"/>
  <c r="AU56" i="18"/>
  <c r="AX53" i="18"/>
  <c r="AT53" i="18"/>
  <c r="AW57" i="18"/>
  <c r="AV190" i="18"/>
  <c r="AU63" i="18"/>
  <c r="AY62" i="18"/>
  <c r="AU66" i="18"/>
  <c r="AY64" i="18"/>
  <c r="AW67" i="18"/>
  <c r="AW196" i="18"/>
  <c r="R93" i="85" s="1"/>
  <c r="AT196" i="18"/>
  <c r="O93" i="85" s="1"/>
  <c r="AT191" i="18"/>
  <c r="AX195" i="18"/>
  <c r="S92" i="85" s="1"/>
  <c r="AV195" i="18"/>
  <c r="Q92" i="85" s="1"/>
  <c r="AU196" i="18"/>
  <c r="P93" i="85" s="1"/>
  <c r="AW195" i="18"/>
  <c r="R92" i="85" s="1"/>
  <c r="S20" i="18" l="1"/>
  <c r="K14" i="82"/>
  <c r="A69" i="68"/>
  <c r="B234" i="23"/>
  <c r="B235" i="23" s="1"/>
  <c r="L94" i="85"/>
  <c r="L91" i="85"/>
  <c r="L92" i="85"/>
  <c r="AK28" i="76"/>
  <c r="AL28" i="76" s="1"/>
  <c r="AL41" i="76" s="1"/>
  <c r="E45" i="40"/>
  <c r="F45" i="40" s="1"/>
  <c r="P73" i="40" s="1"/>
  <c r="Q203" i="17"/>
  <c r="W298" i="89"/>
  <c r="B6" i="14"/>
  <c r="B6" i="89"/>
  <c r="B6" i="30"/>
  <c r="B6" i="32"/>
  <c r="B6" i="23"/>
  <c r="R8" i="20"/>
  <c r="B6" i="28"/>
  <c r="T8" i="20"/>
  <c r="B6" i="38"/>
  <c r="B6" i="17"/>
  <c r="P109" i="20"/>
  <c r="N10" i="82" s="1"/>
  <c r="U8" i="20"/>
  <c r="Q8" i="20"/>
  <c r="B6" i="40"/>
  <c r="S8" i="20"/>
  <c r="V270" i="89"/>
  <c r="P166" i="17"/>
  <c r="DQ2" i="18"/>
  <c r="E3" i="19"/>
  <c r="F3" i="19" s="1"/>
  <c r="V254" i="17"/>
  <c r="P298" i="17"/>
  <c r="W111" i="17"/>
  <c r="W176" i="17" s="1"/>
  <c r="B11" i="89"/>
  <c r="B7" i="40"/>
  <c r="Q10" i="20"/>
  <c r="B11" i="38"/>
  <c r="R11" i="20"/>
  <c r="R16" i="20" s="1"/>
  <c r="B90" i="12"/>
  <c r="F89" i="12" s="1"/>
  <c r="B280" i="25"/>
  <c r="B281" i="25" s="1"/>
  <c r="L90" i="20"/>
  <c r="BP41" i="76"/>
  <c r="G85" i="12"/>
  <c r="D30" i="25" s="1"/>
  <c r="J106" i="12"/>
  <c r="G29" i="32" s="1"/>
  <c r="J111" i="32"/>
  <c r="K111" i="32" s="1"/>
  <c r="W139" i="89"/>
  <c r="G125" i="12"/>
  <c r="D28" i="89" s="1"/>
  <c r="J126" i="12"/>
  <c r="G29" i="89" s="1"/>
  <c r="G105" i="12"/>
  <c r="D28" i="32" s="1"/>
  <c r="P111" i="23"/>
  <c r="P261" i="23" s="1"/>
  <c r="P298" i="89"/>
  <c r="G75" i="12"/>
  <c r="D28" i="23" s="1"/>
  <c r="J111" i="89"/>
  <c r="B13" i="25"/>
  <c r="O138" i="30"/>
  <c r="O233" i="30"/>
  <c r="V159" i="17"/>
  <c r="B292" i="32"/>
  <c r="W271" i="89"/>
  <c r="P234" i="17"/>
  <c r="B153" i="89"/>
  <c r="W153" i="89" s="1"/>
  <c r="P203" i="17"/>
  <c r="P261" i="17"/>
  <c r="F86" i="12"/>
  <c r="C31" i="25" s="1"/>
  <c r="AW13" i="18"/>
  <c r="I89" i="20"/>
  <c r="I120" i="20" s="1"/>
  <c r="AW85" i="18"/>
  <c r="H58" i="83" s="1"/>
  <c r="J89" i="20"/>
  <c r="J120" i="20" s="1"/>
  <c r="G115" i="12"/>
  <c r="D28" i="40" s="1"/>
  <c r="J66" i="12"/>
  <c r="G29" i="17" s="1"/>
  <c r="L129" i="20"/>
  <c r="L149" i="20" s="1"/>
  <c r="K90" i="20"/>
  <c r="R29" i="20"/>
  <c r="D11" i="19"/>
  <c r="G65" i="12"/>
  <c r="D28" i="17" s="1"/>
  <c r="J116" i="12"/>
  <c r="G29" i="40" s="1"/>
  <c r="H66" i="12"/>
  <c r="E29" i="17" s="1"/>
  <c r="M126" i="20"/>
  <c r="M146" i="20" s="1"/>
  <c r="I130" i="20"/>
  <c r="I150" i="20" s="1"/>
  <c r="G135" i="12"/>
  <c r="D28" i="28" s="1"/>
  <c r="J86" i="12"/>
  <c r="G31" i="25" s="1"/>
  <c r="BB9" i="76"/>
  <c r="T56" i="76" s="1"/>
  <c r="P130" i="20"/>
  <c r="P150" i="20" s="1"/>
  <c r="N30" i="82" s="1"/>
  <c r="H106" i="12"/>
  <c r="E29" i="32" s="1"/>
  <c r="L58" i="20"/>
  <c r="AX9" i="76" s="1"/>
  <c r="P56" i="76" s="1"/>
  <c r="P61" i="76" s="1"/>
  <c r="P58" i="76" s="1"/>
  <c r="R58" i="20"/>
  <c r="BD9" i="76" s="1"/>
  <c r="V56" i="76" s="1"/>
  <c r="H76" i="12"/>
  <c r="E29" i="23" s="1"/>
  <c r="E67" i="12"/>
  <c r="B30" i="17" s="1"/>
  <c r="U45" i="18" s="1"/>
  <c r="AT119" i="18" s="1"/>
  <c r="O75" i="85" s="1"/>
  <c r="H86" i="12"/>
  <c r="E31" i="25" s="1"/>
  <c r="B67" i="89"/>
  <c r="R150" i="20"/>
  <c r="P30" i="82" s="1"/>
  <c r="N58" i="20"/>
  <c r="AZ9" i="76" s="1"/>
  <c r="R56" i="76" s="1"/>
  <c r="R61" i="76" s="1"/>
  <c r="R58" i="76" s="1"/>
  <c r="H126" i="12"/>
  <c r="E29" i="89" s="1"/>
  <c r="H116" i="12"/>
  <c r="E29" i="40" s="1"/>
  <c r="B7" i="23"/>
  <c r="F76" i="12"/>
  <c r="C29" i="23" s="1"/>
  <c r="F116" i="12"/>
  <c r="C29" i="40" s="1"/>
  <c r="S49" i="20"/>
  <c r="S56" i="20"/>
  <c r="F126" i="12"/>
  <c r="C29" i="89" s="1"/>
  <c r="J37" i="12"/>
  <c r="J59" i="12" s="1"/>
  <c r="J60" i="12" s="1"/>
  <c r="F125" i="12"/>
  <c r="C28" i="89" s="1"/>
  <c r="J135" i="12"/>
  <c r="G28" i="28" s="1"/>
  <c r="F115" i="12"/>
  <c r="C28" i="40" s="1"/>
  <c r="J105" i="12"/>
  <c r="G28" i="32" s="1"/>
  <c r="F135" i="20"/>
  <c r="F155" i="20" s="1"/>
  <c r="J115" i="12"/>
  <c r="G28" i="40" s="1"/>
  <c r="F65" i="12"/>
  <c r="C28" i="17" s="1"/>
  <c r="F37" i="12"/>
  <c r="F77" i="12" s="1"/>
  <c r="C30" i="23" s="1"/>
  <c r="V59" i="18" s="1"/>
  <c r="AU107" i="18" s="1"/>
  <c r="F81" i="85" s="1"/>
  <c r="J65" i="12"/>
  <c r="G28" i="17" s="1"/>
  <c r="J85" i="12"/>
  <c r="G30" i="25" s="1"/>
  <c r="F105" i="12"/>
  <c r="C28" i="32" s="1"/>
  <c r="H83" i="12"/>
  <c r="E28" i="25" s="1"/>
  <c r="X71" i="18" s="1"/>
  <c r="AW127" i="18" s="1"/>
  <c r="R79" i="85" s="1"/>
  <c r="J125" i="12"/>
  <c r="G28" i="89" s="1"/>
  <c r="F75" i="12"/>
  <c r="C28" i="23" s="1"/>
  <c r="H43" i="12"/>
  <c r="E26" i="14" s="1"/>
  <c r="E34" i="14" s="1"/>
  <c r="F135" i="12"/>
  <c r="C28" i="28" s="1"/>
  <c r="E26" i="17"/>
  <c r="E34" i="17" s="1"/>
  <c r="H94" i="12"/>
  <c r="E27" i="38" s="1"/>
  <c r="X86" i="18" s="1"/>
  <c r="AW165" i="18" s="1"/>
  <c r="H86" i="85" s="1"/>
  <c r="O58" i="20"/>
  <c r="H113" i="12"/>
  <c r="E26" i="40" s="1"/>
  <c r="E34" i="40" s="1"/>
  <c r="J147" i="12"/>
  <c r="G30" i="30" s="1"/>
  <c r="Z115" i="18" s="1"/>
  <c r="AY35" i="18" s="1"/>
  <c r="J66" i="83" s="1"/>
  <c r="H143" i="12"/>
  <c r="E26" i="30" s="1"/>
  <c r="X113" i="18" s="1"/>
  <c r="AW33" i="18" s="1"/>
  <c r="H64" i="83" s="1"/>
  <c r="D90" i="20"/>
  <c r="F147" i="12"/>
  <c r="C30" i="30" s="1"/>
  <c r="V115" i="18" s="1"/>
  <c r="AU35" i="18" s="1"/>
  <c r="F66" i="83" s="1"/>
  <c r="AY13" i="18"/>
  <c r="U130" i="20"/>
  <c r="U129" i="20" s="1"/>
  <c r="U149" i="20" s="1"/>
  <c r="S29" i="82" s="1"/>
  <c r="L134" i="20"/>
  <c r="L154" i="20" s="1"/>
  <c r="H123" i="12"/>
  <c r="E26" i="89" s="1"/>
  <c r="E34" i="89" s="1"/>
  <c r="E147" i="12"/>
  <c r="B30" i="30" s="1"/>
  <c r="U115" i="18" s="1"/>
  <c r="AT35" i="18" s="1"/>
  <c r="E66" i="83" s="1"/>
  <c r="AY85" i="18"/>
  <c r="J58" i="83" s="1"/>
  <c r="B7" i="25"/>
  <c r="H103" i="12"/>
  <c r="E26" i="32" s="1"/>
  <c r="BJ45" i="76"/>
  <c r="L126" i="20"/>
  <c r="L146" i="20" s="1"/>
  <c r="G147" i="12"/>
  <c r="D30" i="30" s="1"/>
  <c r="W115" i="18" s="1"/>
  <c r="AV35" i="18" s="1"/>
  <c r="G66" i="83" s="1"/>
  <c r="E53" i="12"/>
  <c r="E54" i="12" s="1"/>
  <c r="H73" i="12"/>
  <c r="E26" i="23" s="1"/>
  <c r="X57" i="18" s="1"/>
  <c r="AW105" i="18" s="1"/>
  <c r="H79" i="85" s="1"/>
  <c r="AV85" i="18"/>
  <c r="G58" i="83" s="1"/>
  <c r="Q61" i="76"/>
  <c r="Q58" i="76" s="1"/>
  <c r="N129" i="20"/>
  <c r="N149" i="20" s="1"/>
  <c r="K29" i="82" s="1"/>
  <c r="G73" i="12"/>
  <c r="D26" i="23" s="1"/>
  <c r="D34" i="23" s="1"/>
  <c r="D101" i="20"/>
  <c r="B7" i="14"/>
  <c r="G43" i="12"/>
  <c r="D26" i="14" s="1"/>
  <c r="W29" i="18" s="1"/>
  <c r="AV95" i="18" s="1"/>
  <c r="G73" i="85" s="1"/>
  <c r="F134" i="20"/>
  <c r="D34" i="30"/>
  <c r="G113" i="12"/>
  <c r="D26" i="40" s="1"/>
  <c r="W141" i="18" s="1"/>
  <c r="F133" i="12"/>
  <c r="C26" i="28" s="1"/>
  <c r="V99" i="18" s="1"/>
  <c r="AU23" i="18" s="1"/>
  <c r="P58" i="83" s="1"/>
  <c r="G63" i="12"/>
  <c r="D26" i="17" s="1"/>
  <c r="M135" i="20"/>
  <c r="M155" i="20" s="1"/>
  <c r="G123" i="12"/>
  <c r="D26" i="89" s="1"/>
  <c r="W155" i="18" s="1"/>
  <c r="G83" i="12"/>
  <c r="D28" i="25" s="1"/>
  <c r="W71" i="18" s="1"/>
  <c r="AV127" i="18" s="1"/>
  <c r="Q79" i="85" s="1"/>
  <c r="AC45" i="76"/>
  <c r="AC46" i="76"/>
  <c r="E9" i="40"/>
  <c r="AV13" i="18"/>
  <c r="B7" i="89"/>
  <c r="N135" i="20"/>
  <c r="N155" i="20" s="1"/>
  <c r="K35" i="82" s="1"/>
  <c r="E97" i="12"/>
  <c r="B30" i="38" s="1"/>
  <c r="U87" i="18" s="1"/>
  <c r="AT166" i="18" s="1"/>
  <c r="E87" i="85" s="1"/>
  <c r="E127" i="12"/>
  <c r="B30" i="89" s="1"/>
  <c r="U157" i="18" s="1"/>
  <c r="M136" i="20"/>
  <c r="M156" i="20" s="1"/>
  <c r="K134" i="20"/>
  <c r="K154" i="20" s="1"/>
  <c r="J143" i="12"/>
  <c r="G26" i="30" s="1"/>
  <c r="G34" i="30" s="1"/>
  <c r="B66" i="28"/>
  <c r="E137" i="12"/>
  <c r="B30" i="28" s="1"/>
  <c r="U101" i="18" s="1"/>
  <c r="AT25" i="18" s="1"/>
  <c r="O60" i="83" s="1"/>
  <c r="J43" i="12"/>
  <c r="G26" i="14" s="1"/>
  <c r="Z29" i="18" s="1"/>
  <c r="AY95" i="18" s="1"/>
  <c r="J73" i="85" s="1"/>
  <c r="E47" i="12"/>
  <c r="B30" i="14" s="1"/>
  <c r="U31" i="18" s="1"/>
  <c r="AT97" i="18" s="1"/>
  <c r="E75" i="85" s="1"/>
  <c r="E59" i="12"/>
  <c r="E60" i="12" s="1"/>
  <c r="J83" i="12"/>
  <c r="G28" i="25" s="1"/>
  <c r="G36" i="25" s="1"/>
  <c r="B7" i="28"/>
  <c r="T29" i="20"/>
  <c r="F11" i="19"/>
  <c r="I35" i="12"/>
  <c r="G133" i="12"/>
  <c r="D26" i="28" s="1"/>
  <c r="D34" i="28" s="1"/>
  <c r="H147" i="12"/>
  <c r="E30" i="30" s="1"/>
  <c r="X115" i="18" s="1"/>
  <c r="AW35" i="18" s="1"/>
  <c r="H66" i="83" s="1"/>
  <c r="E87" i="12"/>
  <c r="B32" i="25" s="1"/>
  <c r="U73" i="18" s="1"/>
  <c r="AT129" i="18" s="1"/>
  <c r="O81" i="85" s="1"/>
  <c r="AC43" i="76"/>
  <c r="T49" i="20"/>
  <c r="T56" i="20"/>
  <c r="E117" i="12"/>
  <c r="B30" i="40" s="1"/>
  <c r="U143" i="18" s="1"/>
  <c r="I133" i="12"/>
  <c r="F26" i="28" s="1"/>
  <c r="Y99" i="18" s="1"/>
  <c r="AX23" i="18" s="1"/>
  <c r="S58" i="83" s="1"/>
  <c r="I147" i="12"/>
  <c r="F30" i="30" s="1"/>
  <c r="Y115" i="18" s="1"/>
  <c r="AX35" i="18" s="1"/>
  <c r="I66" i="83" s="1"/>
  <c r="E107" i="12"/>
  <c r="B30" i="32" s="1"/>
  <c r="U129" i="18" s="1"/>
  <c r="B11" i="25"/>
  <c r="B6" i="25" s="1"/>
  <c r="BJ44" i="76"/>
  <c r="BJ46" i="76"/>
  <c r="V240" i="17"/>
  <c r="V119" i="17"/>
  <c r="O138" i="89"/>
  <c r="V111" i="30"/>
  <c r="V254" i="30" s="1"/>
  <c r="V270" i="17"/>
  <c r="V284" i="17"/>
  <c r="O233" i="17"/>
  <c r="W166" i="89"/>
  <c r="DQ46" i="18"/>
  <c r="W50" i="18"/>
  <c r="P261" i="89"/>
  <c r="B11" i="14"/>
  <c r="V214" i="89"/>
  <c r="V152" i="17"/>
  <c r="B11" i="40"/>
  <c r="V175" i="17"/>
  <c r="V291" i="17"/>
  <c r="V128" i="17"/>
  <c r="G103" i="12"/>
  <c r="G104" i="12" s="1"/>
  <c r="D27" i="32" s="1"/>
  <c r="W128" i="18" s="1"/>
  <c r="DQ47" i="18"/>
  <c r="J123" i="12"/>
  <c r="G26" i="89" s="1"/>
  <c r="G34" i="89" s="1"/>
  <c r="V233" i="17"/>
  <c r="DQ48" i="18"/>
  <c r="B11" i="30"/>
  <c r="B241" i="89"/>
  <c r="V189" i="17"/>
  <c r="V277" i="17"/>
  <c r="V223" i="17"/>
  <c r="V247" i="17"/>
  <c r="J135" i="20"/>
  <c r="J155" i="20" s="1"/>
  <c r="AB45" i="76"/>
  <c r="B285" i="89"/>
  <c r="W285" i="89" s="1"/>
  <c r="B292" i="23"/>
  <c r="B293" i="23" s="1"/>
  <c r="W215" i="89"/>
  <c r="B167" i="23"/>
  <c r="V196" i="17"/>
  <c r="V138" i="17"/>
  <c r="F63" i="12"/>
  <c r="C26" i="17" s="1"/>
  <c r="B11" i="17"/>
  <c r="O138" i="17"/>
  <c r="V240" i="89"/>
  <c r="V214" i="17"/>
  <c r="V182" i="17"/>
  <c r="V223" i="28"/>
  <c r="V138" i="28"/>
  <c r="I37" i="82"/>
  <c r="V145" i="17"/>
  <c r="O134" i="20"/>
  <c r="O154" i="20" s="1"/>
  <c r="L34" i="82" s="1"/>
  <c r="O37" i="82"/>
  <c r="U37" i="82" s="1"/>
  <c r="V157" i="20"/>
  <c r="V52" i="76"/>
  <c r="BE6" i="76"/>
  <c r="AC44" i="76"/>
  <c r="M134" i="20"/>
  <c r="M154" i="20" s="1"/>
  <c r="P111" i="38"/>
  <c r="J73" i="12"/>
  <c r="G26" i="23" s="1"/>
  <c r="G34" i="23" s="1"/>
  <c r="C8" i="40"/>
  <c r="C11" i="40" s="1"/>
  <c r="B7" i="38"/>
  <c r="V214" i="28"/>
  <c r="I123" i="12"/>
  <c r="F26" i="89" s="1"/>
  <c r="Y155" i="18" s="1"/>
  <c r="B7" i="32"/>
  <c r="I38" i="82"/>
  <c r="C8" i="32"/>
  <c r="C11" i="32" s="1"/>
  <c r="DH19" i="18"/>
  <c r="DH22" i="18" s="1"/>
  <c r="BJ43" i="76"/>
  <c r="C8" i="38"/>
  <c r="BI46" i="76"/>
  <c r="B139" i="23"/>
  <c r="J103" i="12"/>
  <c r="G26" i="32" s="1"/>
  <c r="Z127" i="18" s="1"/>
  <c r="B11" i="28"/>
  <c r="C8" i="25"/>
  <c r="C8" i="14"/>
  <c r="C11" i="14" s="1"/>
  <c r="V137" i="20"/>
  <c r="G134" i="20"/>
  <c r="G154" i="20" s="1"/>
  <c r="K61" i="76"/>
  <c r="K58" i="76" s="1"/>
  <c r="BI44" i="76"/>
  <c r="B248" i="89"/>
  <c r="W248" i="89" s="1"/>
  <c r="H133" i="12"/>
  <c r="E26" i="28" s="1"/>
  <c r="X99" i="18" s="1"/>
  <c r="AW23" i="18" s="1"/>
  <c r="R58" i="83" s="1"/>
  <c r="J113" i="12"/>
  <c r="G26" i="40" s="1"/>
  <c r="G34" i="40" s="1"/>
  <c r="W261" i="89"/>
  <c r="V270" i="32"/>
  <c r="C8" i="89"/>
  <c r="C11" i="89" s="1"/>
  <c r="C8" i="28"/>
  <c r="C11" i="28" s="1"/>
  <c r="V189" i="28"/>
  <c r="C8" i="23"/>
  <c r="C7" i="23" s="1"/>
  <c r="E9" i="32"/>
  <c r="Q16" i="20"/>
  <c r="C8" i="30"/>
  <c r="C7" i="30" s="1"/>
  <c r="O233" i="40"/>
  <c r="H134" i="20"/>
  <c r="P203" i="89"/>
  <c r="H135" i="20"/>
  <c r="H155" i="20" s="1"/>
  <c r="B224" i="89"/>
  <c r="B225" i="89" s="1"/>
  <c r="B226" i="89" s="1"/>
  <c r="B227" i="89" s="1"/>
  <c r="B228" i="89" s="1"/>
  <c r="B204" i="32"/>
  <c r="G54" i="14"/>
  <c r="V254" i="28"/>
  <c r="V240" i="28"/>
  <c r="AB46" i="76"/>
  <c r="I73" i="12"/>
  <c r="F26" i="23" s="1"/>
  <c r="I134" i="20"/>
  <c r="I154" i="20" s="1"/>
  <c r="DM19" i="18"/>
  <c r="DM20" i="18" s="1"/>
  <c r="DM25" i="18" s="1"/>
  <c r="DM26" i="18" s="1"/>
  <c r="O233" i="89"/>
  <c r="B11" i="32"/>
  <c r="O250" i="19"/>
  <c r="V277" i="28"/>
  <c r="AB44" i="76"/>
  <c r="I113" i="12"/>
  <c r="F26" i="40" s="1"/>
  <c r="F34" i="40" s="1"/>
  <c r="I143" i="12"/>
  <c r="F26" i="30" s="1"/>
  <c r="F34" i="30" s="1"/>
  <c r="V111" i="40"/>
  <c r="V254" i="40" s="1"/>
  <c r="U40" i="82"/>
  <c r="M61" i="76"/>
  <c r="M58" i="76" s="1"/>
  <c r="V284" i="32"/>
  <c r="O220" i="19"/>
  <c r="V277" i="89"/>
  <c r="I63" i="12"/>
  <c r="F26" i="17" s="1"/>
  <c r="Y43" i="18" s="1"/>
  <c r="AX117" i="18" s="1"/>
  <c r="S73" i="85" s="1"/>
  <c r="I103" i="12"/>
  <c r="F26" i="32" s="1"/>
  <c r="Y127" i="18" s="1"/>
  <c r="I94" i="19"/>
  <c r="J94" i="19" s="1"/>
  <c r="K94" i="19" s="1"/>
  <c r="I43" i="12"/>
  <c r="F26" i="14" s="1"/>
  <c r="F34" i="14" s="1"/>
  <c r="V160" i="20"/>
  <c r="W203" i="89"/>
  <c r="B11" i="23"/>
  <c r="V159" i="28"/>
  <c r="B7" i="17"/>
  <c r="N134" i="20"/>
  <c r="N154" i="20" s="1"/>
  <c r="K34" i="82" s="1"/>
  <c r="Q150" i="20"/>
  <c r="O30" i="82" s="1"/>
  <c r="Q129" i="20"/>
  <c r="Q149" i="20" s="1"/>
  <c r="O29" i="82" s="1"/>
  <c r="BK34" i="76"/>
  <c r="AD35" i="76"/>
  <c r="BK35" i="76"/>
  <c r="BK29" i="76"/>
  <c r="AD32" i="76"/>
  <c r="BK36" i="76"/>
  <c r="AD34" i="76"/>
  <c r="AD29" i="76"/>
  <c r="BK33" i="76"/>
  <c r="BK30" i="76"/>
  <c r="AD30" i="76"/>
  <c r="AD36" i="76"/>
  <c r="BK32" i="76"/>
  <c r="AD37" i="76"/>
  <c r="BK37" i="76"/>
  <c r="AD33" i="76"/>
  <c r="BK31" i="76"/>
  <c r="BK42" i="76" s="1"/>
  <c r="AD31" i="76"/>
  <c r="AD42" i="76" s="1"/>
  <c r="K9" i="82"/>
  <c r="N126" i="20"/>
  <c r="N146" i="20" s="1"/>
  <c r="K26" i="82" s="1"/>
  <c r="O135" i="20"/>
  <c r="O155" i="20" s="1"/>
  <c r="L35" i="82" s="1"/>
  <c r="Y71" i="18"/>
  <c r="AX127" i="18" s="1"/>
  <c r="S79" i="85" s="1"/>
  <c r="F36" i="25"/>
  <c r="AE32" i="76"/>
  <c r="AE35" i="76"/>
  <c r="BL31" i="76"/>
  <c r="BL42" i="76" s="1"/>
  <c r="BL34" i="76"/>
  <c r="AE37" i="76"/>
  <c r="AE34" i="76"/>
  <c r="BL32" i="76"/>
  <c r="AE36" i="76"/>
  <c r="BL30" i="76"/>
  <c r="BL29" i="76"/>
  <c r="AE33" i="76"/>
  <c r="AE30" i="76"/>
  <c r="BL35" i="76"/>
  <c r="AE31" i="76"/>
  <c r="AE42" i="76" s="1"/>
  <c r="AE29" i="76"/>
  <c r="BL33" i="76"/>
  <c r="BL36" i="76"/>
  <c r="BL37" i="76"/>
  <c r="O150" i="20"/>
  <c r="L30" i="82" s="1"/>
  <c r="O129" i="20"/>
  <c r="O149" i="20" s="1"/>
  <c r="L29" i="82" s="1"/>
  <c r="J134" i="20"/>
  <c r="X4" i="18"/>
  <c r="X92" i="18" s="1"/>
  <c r="W36" i="18"/>
  <c r="O233" i="28"/>
  <c r="O233" i="32"/>
  <c r="V196" i="89"/>
  <c r="F103" i="12"/>
  <c r="F104" i="12" s="1"/>
  <c r="C27" i="32" s="1"/>
  <c r="V128" i="18" s="1"/>
  <c r="E126" i="20"/>
  <c r="E146" i="20" s="1"/>
  <c r="W120" i="18"/>
  <c r="W92" i="18"/>
  <c r="V182" i="89"/>
  <c r="O125" i="19"/>
  <c r="O155" i="19"/>
  <c r="I126" i="20"/>
  <c r="I146" i="20" s="1"/>
  <c r="P139" i="17"/>
  <c r="V175" i="32"/>
  <c r="V233" i="28"/>
  <c r="V175" i="28"/>
  <c r="V142" i="20"/>
  <c r="AT154" i="18"/>
  <c r="AT13" i="18"/>
  <c r="AT85" i="18"/>
  <c r="E58" i="83" s="1"/>
  <c r="N120" i="20"/>
  <c r="K11" i="82" s="1"/>
  <c r="S9" i="18"/>
  <c r="AR12" i="18" s="1"/>
  <c r="N73" i="30"/>
  <c r="E45" i="30"/>
  <c r="AT15" i="18"/>
  <c r="AT156" i="18"/>
  <c r="AT87" i="18"/>
  <c r="E60" i="83" s="1"/>
  <c r="G135" i="20"/>
  <c r="G155" i="20" s="1"/>
  <c r="F126" i="20"/>
  <c r="F146" i="20" s="1"/>
  <c r="O264" i="19"/>
  <c r="P77" i="19"/>
  <c r="H100" i="20"/>
  <c r="BB10" i="18" s="1"/>
  <c r="J136" i="20"/>
  <c r="J156" i="20" s="1"/>
  <c r="W106" i="18"/>
  <c r="W148" i="18"/>
  <c r="W78" i="18"/>
  <c r="B278" i="23"/>
  <c r="B160" i="89"/>
  <c r="B248" i="23"/>
  <c r="B292" i="89"/>
  <c r="W292" i="89" s="1"/>
  <c r="B153" i="32"/>
  <c r="O132" i="19"/>
  <c r="O199" i="19"/>
  <c r="P139" i="89"/>
  <c r="B54" i="40"/>
  <c r="P20" i="20"/>
  <c r="P111" i="20" s="1"/>
  <c r="Z15" i="18"/>
  <c r="BG9" i="76"/>
  <c r="Y56" i="76" s="1"/>
  <c r="T9" i="18"/>
  <c r="AS12" i="18" s="1"/>
  <c r="O120" i="20"/>
  <c r="L11" i="82" s="1"/>
  <c r="AA12" i="65"/>
  <c r="I9" i="86"/>
  <c r="B278" i="89"/>
  <c r="N136" i="20"/>
  <c r="N156" i="20" s="1"/>
  <c r="K36" i="82" s="1"/>
  <c r="W6" i="18"/>
  <c r="B278" i="32"/>
  <c r="B197" i="89"/>
  <c r="B198" i="89" s="1"/>
  <c r="B199" i="89" s="1"/>
  <c r="B200" i="89" s="1"/>
  <c r="B201" i="89" s="1"/>
  <c r="O148" i="19"/>
  <c r="O162" i="19"/>
  <c r="W22" i="18"/>
  <c r="V159" i="89"/>
  <c r="O243" i="19"/>
  <c r="O213" i="19"/>
  <c r="V138" i="89"/>
  <c r="B69" i="25"/>
  <c r="B67" i="23"/>
  <c r="Q167" i="17"/>
  <c r="BI45" i="76"/>
  <c r="AB43" i="76"/>
  <c r="BI43" i="76"/>
  <c r="BC9" i="76"/>
  <c r="U56" i="76" s="1"/>
  <c r="V15" i="18"/>
  <c r="F73" i="12"/>
  <c r="C26" i="23" s="1"/>
  <c r="F123" i="12"/>
  <c r="C26" i="89" s="1"/>
  <c r="F143" i="12"/>
  <c r="C26" i="30" s="1"/>
  <c r="F113" i="12"/>
  <c r="C26" i="40" s="1"/>
  <c r="F83" i="12"/>
  <c r="C28" i="25" s="1"/>
  <c r="V71" i="18" s="1"/>
  <c r="AU127" i="18" s="1"/>
  <c r="P79" i="85" s="1"/>
  <c r="F43" i="12"/>
  <c r="C26" i="14" s="1"/>
  <c r="F129" i="20"/>
  <c r="F149" i="20" s="1"/>
  <c r="F151" i="20"/>
  <c r="AU13" i="18"/>
  <c r="AU85" i="18"/>
  <c r="F58" i="83" s="1"/>
  <c r="AU154" i="18"/>
  <c r="E83" i="12"/>
  <c r="B28" i="25" s="1"/>
  <c r="E43" i="12"/>
  <c r="B26" i="14" s="1"/>
  <c r="E73" i="12"/>
  <c r="B26" i="23" s="1"/>
  <c r="E133" i="12"/>
  <c r="B26" i="28" s="1"/>
  <c r="E103" i="12"/>
  <c r="B26" i="32" s="1"/>
  <c r="E123" i="12"/>
  <c r="B26" i="89" s="1"/>
  <c r="E143" i="12"/>
  <c r="B26" i="30" s="1"/>
  <c r="E63" i="12"/>
  <c r="B26" i="17" s="1"/>
  <c r="E113" i="12"/>
  <c r="B26" i="40" s="1"/>
  <c r="E93" i="12"/>
  <c r="B26" i="38" s="1"/>
  <c r="G151" i="20"/>
  <c r="G129" i="20"/>
  <c r="G149" i="20" s="1"/>
  <c r="O118" i="19"/>
  <c r="J61" i="76"/>
  <c r="J58" i="76" s="1"/>
  <c r="O257" i="19"/>
  <c r="O111" i="19"/>
  <c r="W134" i="18"/>
  <c r="V189" i="23"/>
  <c r="V291" i="89"/>
  <c r="O227" i="19"/>
  <c r="S22" i="18"/>
  <c r="S64" i="18"/>
  <c r="S106" i="18"/>
  <c r="S36" i="18"/>
  <c r="S6" i="18"/>
  <c r="S92" i="18"/>
  <c r="S50" i="18"/>
  <c r="S78" i="18"/>
  <c r="N73" i="28"/>
  <c r="E45" i="28"/>
  <c r="H8" i="82"/>
  <c r="D3" i="20"/>
  <c r="H25" i="82"/>
  <c r="AD41" i="76"/>
  <c r="AC28" i="76"/>
  <c r="L84" i="85"/>
  <c r="T66" i="83"/>
  <c r="S66" i="83"/>
  <c r="O66" i="83"/>
  <c r="AP41" i="18"/>
  <c r="AQ41" i="18" s="1"/>
  <c r="Q66" i="83"/>
  <c r="O67" i="83"/>
  <c r="S64" i="83"/>
  <c r="R66" i="83"/>
  <c r="P64" i="83"/>
  <c r="P65" i="83"/>
  <c r="R64" i="83"/>
  <c r="Q67" i="83"/>
  <c r="S67" i="83"/>
  <c r="L64" i="83"/>
  <c r="R65" i="83"/>
  <c r="P29" i="65"/>
  <c r="P67" i="83"/>
  <c r="Q64" i="83"/>
  <c r="R67" i="83"/>
  <c r="P66" i="83"/>
  <c r="Q65" i="83"/>
  <c r="L65" i="83"/>
  <c r="T67" i="83"/>
  <c r="E12" i="18"/>
  <c r="L66" i="83"/>
  <c r="L67" i="83"/>
  <c r="AP169" i="18"/>
  <c r="AQ169" i="18" s="1"/>
  <c r="P40" i="85" s="1"/>
  <c r="L63" i="83"/>
  <c r="T64" i="83"/>
  <c r="O64" i="83"/>
  <c r="O65" i="83"/>
  <c r="BA28" i="18"/>
  <c r="D31" i="83"/>
  <c r="S65" i="83"/>
  <c r="T65" i="83"/>
  <c r="F45" i="17"/>
  <c r="O73" i="17"/>
  <c r="B248" i="28"/>
  <c r="B249" i="28" s="1"/>
  <c r="B250" i="28" s="1"/>
  <c r="B251" i="28" s="1"/>
  <c r="B252" i="28" s="1"/>
  <c r="V189" i="32"/>
  <c r="V233" i="89"/>
  <c r="W255" i="89"/>
  <c r="P298" i="32"/>
  <c r="H42" i="12"/>
  <c r="I32" i="12"/>
  <c r="G62" i="12"/>
  <c r="G72" i="12" s="1"/>
  <c r="G82" i="12" s="1"/>
  <c r="G92" i="12" s="1"/>
  <c r="G102" i="12" s="1"/>
  <c r="G112" i="12" s="1"/>
  <c r="G52" i="12"/>
  <c r="G58" i="12" s="1"/>
  <c r="F45" i="32"/>
  <c r="O73" i="32"/>
  <c r="B129" i="28"/>
  <c r="B130" i="28" s="1"/>
  <c r="B131" i="28" s="1"/>
  <c r="B132" i="28" s="1"/>
  <c r="B133" i="28" s="1"/>
  <c r="V128" i="28"/>
  <c r="B234" i="89"/>
  <c r="B235" i="89" s="1"/>
  <c r="B236" i="89" s="1"/>
  <c r="B237" i="89" s="1"/>
  <c r="B238" i="89" s="1"/>
  <c r="V233" i="32"/>
  <c r="O233" i="38"/>
  <c r="O138" i="40"/>
  <c r="O141" i="19"/>
  <c r="B176" i="32"/>
  <c r="B177" i="32" s="1"/>
  <c r="V291" i="28"/>
  <c r="V284" i="28"/>
  <c r="E47" i="25"/>
  <c r="N75" i="25"/>
  <c r="E122" i="12"/>
  <c r="E132" i="12"/>
  <c r="E142" i="12" s="1"/>
  <c r="V223" i="32"/>
  <c r="V277" i="32"/>
  <c r="V196" i="28"/>
  <c r="F132" i="12"/>
  <c r="F142" i="12" s="1"/>
  <c r="F122" i="12"/>
  <c r="O73" i="23"/>
  <c r="F45" i="23"/>
  <c r="F45" i="38"/>
  <c r="O73" i="38"/>
  <c r="F99" i="20"/>
  <c r="W120" i="89"/>
  <c r="V152" i="32"/>
  <c r="V145" i="28"/>
  <c r="V128" i="32"/>
  <c r="V214" i="32"/>
  <c r="V291" i="32"/>
  <c r="O169" i="19"/>
  <c r="V270" i="28"/>
  <c r="V152" i="28"/>
  <c r="O138" i="28"/>
  <c r="V182" i="28"/>
  <c r="V111" i="14"/>
  <c r="O233" i="14"/>
  <c r="B54" i="23"/>
  <c r="B51" i="23"/>
  <c r="B176" i="89"/>
  <c r="V175" i="89"/>
  <c r="J111" i="28"/>
  <c r="P111" i="28"/>
  <c r="P166" i="89"/>
  <c r="B53" i="25"/>
  <c r="B56" i="25"/>
  <c r="B190" i="89"/>
  <c r="V189" i="89"/>
  <c r="R3" i="20"/>
  <c r="F9" i="2"/>
  <c r="R107" i="20"/>
  <c r="O50" i="2"/>
  <c r="B31" i="14"/>
  <c r="B54" i="14" s="1"/>
  <c r="B67" i="14"/>
  <c r="B66" i="17"/>
  <c r="B68" i="25"/>
  <c r="P234" i="30"/>
  <c r="B66" i="14"/>
  <c r="P113" i="25"/>
  <c r="J113" i="25"/>
  <c r="B162" i="14"/>
  <c r="B163" i="14" s="1"/>
  <c r="B164" i="14" s="1"/>
  <c r="B51" i="28"/>
  <c r="B54" i="28"/>
  <c r="B167" i="32"/>
  <c r="B168" i="32" s="1"/>
  <c r="B169" i="32" s="1"/>
  <c r="B170" i="32" s="1"/>
  <c r="B171" i="32" s="1"/>
  <c r="J111" i="14"/>
  <c r="P111" i="14"/>
  <c r="B54" i="17"/>
  <c r="B51" i="17"/>
  <c r="O25" i="82"/>
  <c r="O8" i="82"/>
  <c r="B146" i="89"/>
  <c r="O206" i="19"/>
  <c r="B67" i="17"/>
  <c r="B66" i="30"/>
  <c r="O138" i="14"/>
  <c r="B66" i="40"/>
  <c r="B51" i="38"/>
  <c r="B54" i="38"/>
  <c r="B67" i="28"/>
  <c r="B66" i="32"/>
  <c r="B248" i="32"/>
  <c r="B249" i="32" s="1"/>
  <c r="B250" i="32" s="1"/>
  <c r="B251" i="32" s="1"/>
  <c r="B252" i="32" s="1"/>
  <c r="B51" i="30"/>
  <c r="B54" i="30"/>
  <c r="B204" i="89"/>
  <c r="B67" i="40"/>
  <c r="E9" i="30"/>
  <c r="V145" i="89"/>
  <c r="O138" i="38"/>
  <c r="O236" i="19"/>
  <c r="B271" i="32"/>
  <c r="B272" i="32" s="1"/>
  <c r="B66" i="23"/>
  <c r="B66" i="89"/>
  <c r="B67" i="30"/>
  <c r="B54" i="32"/>
  <c r="B51" i="32"/>
  <c r="B241" i="32"/>
  <c r="B242" i="32" s="1"/>
  <c r="B243" i="32" s="1"/>
  <c r="V128" i="89"/>
  <c r="B129" i="89"/>
  <c r="V113" i="25"/>
  <c r="O235" i="25"/>
  <c r="O140" i="25"/>
  <c r="O138" i="32"/>
  <c r="B183" i="89"/>
  <c r="B184" i="89" s="1"/>
  <c r="O104" i="19"/>
  <c r="B66" i="38"/>
  <c r="B67" i="38"/>
  <c r="D300" i="14"/>
  <c r="D302" i="25"/>
  <c r="C31" i="14"/>
  <c r="C67" i="30"/>
  <c r="C67" i="38"/>
  <c r="C66" i="28"/>
  <c r="C67" i="89"/>
  <c r="C66" i="30"/>
  <c r="C66" i="14"/>
  <c r="C66" i="32"/>
  <c r="C66" i="89"/>
  <c r="C69" i="25"/>
  <c r="C66" i="40"/>
  <c r="C67" i="32"/>
  <c r="C66" i="23"/>
  <c r="C67" i="17"/>
  <c r="C68" i="25"/>
  <c r="C66" i="17"/>
  <c r="C67" i="28"/>
  <c r="C67" i="40"/>
  <c r="C67" i="14"/>
  <c r="C67" i="23"/>
  <c r="C66" i="38"/>
  <c r="C162" i="32"/>
  <c r="B293" i="14"/>
  <c r="D243" i="14"/>
  <c r="B295" i="25"/>
  <c r="C51" i="23"/>
  <c r="C54" i="23"/>
  <c r="C288" i="17"/>
  <c r="D201" i="25"/>
  <c r="D273" i="14"/>
  <c r="D274" i="14" s="1"/>
  <c r="D275" i="14" s="1"/>
  <c r="D150" i="14"/>
  <c r="D185" i="17"/>
  <c r="D273" i="17"/>
  <c r="B300" i="14"/>
  <c r="B186" i="25"/>
  <c r="Q111" i="30"/>
  <c r="K111" i="30"/>
  <c r="C131" i="17"/>
  <c r="B208" i="25"/>
  <c r="B209" i="25" s="1"/>
  <c r="B210" i="25" s="1"/>
  <c r="E199" i="14"/>
  <c r="C51" i="32"/>
  <c r="C54" i="32"/>
  <c r="D141" i="17"/>
  <c r="Q140" i="17"/>
  <c r="B140" i="14"/>
  <c r="E169" i="17"/>
  <c r="D257" i="30"/>
  <c r="V159" i="23"/>
  <c r="H87" i="12"/>
  <c r="E32" i="25" s="1"/>
  <c r="X73" i="18" s="1"/>
  <c r="AW129" i="18" s="1"/>
  <c r="R81" i="85" s="1"/>
  <c r="H67" i="12"/>
  <c r="E30" i="17" s="1"/>
  <c r="X45" i="18" s="1"/>
  <c r="AW119" i="18" s="1"/>
  <c r="R75" i="85" s="1"/>
  <c r="H53" i="12"/>
  <c r="H54" i="12" s="1"/>
  <c r="H127" i="12"/>
  <c r="E30" i="89" s="1"/>
  <c r="X157" i="18" s="1"/>
  <c r="H107" i="12"/>
  <c r="E30" i="32" s="1"/>
  <c r="X129" i="18" s="1"/>
  <c r="H59" i="12"/>
  <c r="H60" i="12" s="1"/>
  <c r="H77" i="12"/>
  <c r="E30" i="23" s="1"/>
  <c r="X59" i="18" s="1"/>
  <c r="AW107" i="18" s="1"/>
  <c r="H81" i="85" s="1"/>
  <c r="E194" i="25"/>
  <c r="B263" i="14"/>
  <c r="D193" i="30"/>
  <c r="E143" i="25"/>
  <c r="C250" i="17"/>
  <c r="C189" i="25"/>
  <c r="B147" i="14"/>
  <c r="C199" i="30"/>
  <c r="D162" i="30"/>
  <c r="B177" i="14"/>
  <c r="Q95" i="19"/>
  <c r="J95" i="19" s="1"/>
  <c r="K95" i="19" s="1"/>
  <c r="L95" i="19" s="1"/>
  <c r="M95" i="19" s="1"/>
  <c r="D157" i="14"/>
  <c r="Q111" i="23"/>
  <c r="K111" i="23"/>
  <c r="B218" i="25"/>
  <c r="B198" i="14"/>
  <c r="B251" i="25"/>
  <c r="C274" i="14"/>
  <c r="C178" i="30"/>
  <c r="Q261" i="17"/>
  <c r="Q298" i="17"/>
  <c r="Q262" i="17"/>
  <c r="X111" i="17"/>
  <c r="X130" i="17" s="1"/>
  <c r="Q299" i="17"/>
  <c r="Q166" i="17"/>
  <c r="B272" i="14"/>
  <c r="C51" i="17"/>
  <c r="C54" i="17"/>
  <c r="V254" i="32"/>
  <c r="V119" i="32"/>
  <c r="V138" i="32"/>
  <c r="V196" i="32"/>
  <c r="V247" i="32"/>
  <c r="V182" i="32"/>
  <c r="V145" i="32"/>
  <c r="V240" i="32"/>
  <c r="V159" i="32"/>
  <c r="F29" i="40"/>
  <c r="D266" i="25"/>
  <c r="C230" i="25"/>
  <c r="D143" i="30"/>
  <c r="D250" i="32"/>
  <c r="E185" i="14"/>
  <c r="C236" i="17"/>
  <c r="Q235" i="17"/>
  <c r="B249" i="14"/>
  <c r="B250" i="14" s="1"/>
  <c r="B251" i="14" s="1"/>
  <c r="B252" i="14" s="1"/>
  <c r="E258" i="32"/>
  <c r="P203" i="32"/>
  <c r="V291" i="23"/>
  <c r="V284" i="23"/>
  <c r="B302" i="25"/>
  <c r="C226" i="30"/>
  <c r="B227" i="25"/>
  <c r="B168" i="89"/>
  <c r="C180" i="25"/>
  <c r="V270" i="23"/>
  <c r="V119" i="23"/>
  <c r="V223" i="23"/>
  <c r="V128" i="23"/>
  <c r="V277" i="23"/>
  <c r="V152" i="23"/>
  <c r="V196" i="23"/>
  <c r="V247" i="23"/>
  <c r="V214" i="23"/>
  <c r="V240" i="23"/>
  <c r="V175" i="23"/>
  <c r="Q190" i="19"/>
  <c r="J190" i="19" s="1"/>
  <c r="K190" i="19" s="1"/>
  <c r="L190" i="19" s="1"/>
  <c r="M190" i="19" s="1"/>
  <c r="P139" i="32"/>
  <c r="P166" i="32"/>
  <c r="P261" i="32"/>
  <c r="W111" i="32"/>
  <c r="W234" i="32" s="1"/>
  <c r="D54" i="14"/>
  <c r="D51" i="14"/>
  <c r="D207" i="25"/>
  <c r="D237" i="14"/>
  <c r="C199" i="23"/>
  <c r="D192" i="14"/>
  <c r="D301" i="30"/>
  <c r="E28" i="40"/>
  <c r="D205" i="17"/>
  <c r="Q204" i="17"/>
  <c r="D205" i="30"/>
  <c r="E301" i="23"/>
  <c r="C259" i="30"/>
  <c r="G87" i="12"/>
  <c r="D32" i="25" s="1"/>
  <c r="W73" i="18" s="1"/>
  <c r="AV129" i="18" s="1"/>
  <c r="Q81" i="85" s="1"/>
  <c r="G127" i="12"/>
  <c r="D30" i="89" s="1"/>
  <c r="W157" i="18" s="1"/>
  <c r="G107" i="12"/>
  <c r="D30" i="32" s="1"/>
  <c r="W129" i="18" s="1"/>
  <c r="G77" i="12"/>
  <c r="D30" i="23" s="1"/>
  <c r="W59" i="18" s="1"/>
  <c r="AV107" i="18" s="1"/>
  <c r="G81" i="85" s="1"/>
  <c r="C178" i="17"/>
  <c r="E274" i="30"/>
  <c r="L111" i="17"/>
  <c r="R111" i="17"/>
  <c r="B309" i="14"/>
  <c r="D178" i="23"/>
  <c r="C51" i="30"/>
  <c r="C54" i="30"/>
  <c r="E294" i="30"/>
  <c r="C250" i="14"/>
  <c r="B265" i="25"/>
  <c r="T13" i="20"/>
  <c r="E9" i="28"/>
  <c r="E9" i="17"/>
  <c r="E9" i="14"/>
  <c r="E9" i="89"/>
  <c r="E9" i="23"/>
  <c r="C124" i="17"/>
  <c r="C243" i="17"/>
  <c r="B168" i="14"/>
  <c r="C51" i="28"/>
  <c r="C54" i="28"/>
  <c r="B130" i="14"/>
  <c r="P166" i="30"/>
  <c r="W111" i="30"/>
  <c r="P261" i="30"/>
  <c r="P298" i="30"/>
  <c r="P139" i="30"/>
  <c r="C196" i="25"/>
  <c r="E273" i="23"/>
  <c r="E186" i="32"/>
  <c r="C54" i="89"/>
  <c r="C51" i="89"/>
  <c r="R191" i="19"/>
  <c r="K191" i="19" s="1"/>
  <c r="L191" i="19" s="1"/>
  <c r="M191" i="19" s="1"/>
  <c r="C257" i="17"/>
  <c r="B244" i="14"/>
  <c r="B279" i="14"/>
  <c r="C54" i="40"/>
  <c r="C51" i="40"/>
  <c r="B149" i="25"/>
  <c r="C280" i="30"/>
  <c r="E280" i="89"/>
  <c r="E238" i="25"/>
  <c r="V254" i="23"/>
  <c r="V182" i="23"/>
  <c r="V233" i="23"/>
  <c r="V138" i="23"/>
  <c r="V145" i="23"/>
  <c r="K96" i="19"/>
  <c r="L96" i="19" s="1"/>
  <c r="M96" i="19" s="1"/>
  <c r="P203" i="30"/>
  <c r="B289" i="30"/>
  <c r="B225" i="32"/>
  <c r="B193" i="17"/>
  <c r="B207" i="30"/>
  <c r="B161" i="23"/>
  <c r="J85" i="19"/>
  <c r="B238" i="17"/>
  <c r="AF29" i="76"/>
  <c r="BM32" i="76"/>
  <c r="AF35" i="76"/>
  <c r="AF32" i="76"/>
  <c r="AF37" i="76"/>
  <c r="BM35" i="76"/>
  <c r="BM36" i="76"/>
  <c r="AF31" i="76"/>
  <c r="AF42" i="76" s="1"/>
  <c r="BM34" i="76"/>
  <c r="BM30" i="76"/>
  <c r="AF36" i="76"/>
  <c r="BM33" i="76"/>
  <c r="AF30" i="76"/>
  <c r="BM37" i="76"/>
  <c r="AF33" i="76"/>
  <c r="BM31" i="76"/>
  <c r="BM42" i="76" s="1"/>
  <c r="AF34" i="76"/>
  <c r="BM29" i="76"/>
  <c r="P166" i="40"/>
  <c r="P203" i="40"/>
  <c r="P261" i="40"/>
  <c r="P298" i="40"/>
  <c r="W111" i="40"/>
  <c r="P139" i="40"/>
  <c r="P234" i="40"/>
  <c r="B252" i="17"/>
  <c r="B201" i="30"/>
  <c r="B122" i="23"/>
  <c r="V180" i="19"/>
  <c r="V141" i="19"/>
  <c r="V257" i="19"/>
  <c r="V118" i="19"/>
  <c r="V236" i="19"/>
  <c r="V250" i="19"/>
  <c r="V148" i="19"/>
  <c r="V189" i="19"/>
  <c r="V162" i="19"/>
  <c r="V125" i="19"/>
  <c r="V111" i="19"/>
  <c r="V104" i="19"/>
  <c r="V213" i="19"/>
  <c r="V206" i="19"/>
  <c r="V155" i="19"/>
  <c r="V199" i="19"/>
  <c r="V243" i="19"/>
  <c r="V220" i="19"/>
  <c r="V169" i="19"/>
  <c r="V227" i="19"/>
  <c r="V264" i="19"/>
  <c r="V132" i="19"/>
  <c r="V94" i="19"/>
  <c r="V85" i="19"/>
  <c r="B263" i="23"/>
  <c r="B130" i="32"/>
  <c r="F54" i="17"/>
  <c r="F51" i="17"/>
  <c r="B256" i="23"/>
  <c r="B201" i="17"/>
  <c r="B191" i="32"/>
  <c r="C9" i="17"/>
  <c r="B258" i="14"/>
  <c r="H58" i="76"/>
  <c r="E51" i="89"/>
  <c r="E54" i="89"/>
  <c r="B242" i="23"/>
  <c r="D276" i="19"/>
  <c r="K111" i="40"/>
  <c r="Q111" i="40"/>
  <c r="E134" i="20"/>
  <c r="E51" i="40"/>
  <c r="E54" i="40"/>
  <c r="B184" i="23"/>
  <c r="R13" i="65"/>
  <c r="R24" i="65" s="1"/>
  <c r="R16" i="65"/>
  <c r="R27" i="65" s="1"/>
  <c r="R19" i="65"/>
  <c r="R30" i="65" s="1"/>
  <c r="R14" i="65"/>
  <c r="R25" i="65" s="1"/>
  <c r="R18" i="65"/>
  <c r="R29" i="65" s="1"/>
  <c r="R23" i="65"/>
  <c r="R15" i="65"/>
  <c r="R26" i="65" s="1"/>
  <c r="R20" i="65"/>
  <c r="R31" i="65" s="1"/>
  <c r="R17" i="65"/>
  <c r="R28" i="65" s="1"/>
  <c r="D199" i="89"/>
  <c r="B235" i="32"/>
  <c r="P234" i="32"/>
  <c r="Q77" i="19"/>
  <c r="K77" i="19"/>
  <c r="D264" i="89"/>
  <c r="I9" i="82"/>
  <c r="G126" i="20"/>
  <c r="H126" i="20"/>
  <c r="I54" i="76"/>
  <c r="E22" i="76"/>
  <c r="R22" i="76" s="1"/>
  <c r="D15" i="76"/>
  <c r="I22" i="76"/>
  <c r="E25" i="76" s="1"/>
  <c r="F54" i="89"/>
  <c r="F51" i="89"/>
  <c r="E258" i="38"/>
  <c r="B216" i="32"/>
  <c r="E274" i="38"/>
  <c r="F45" i="89"/>
  <c r="O73" i="89"/>
  <c r="B286" i="32"/>
  <c r="B170" i="30"/>
  <c r="G34" i="28"/>
  <c r="Z99" i="18"/>
  <c r="AY23" i="18" s="1"/>
  <c r="T58" i="83" s="1"/>
  <c r="B156" i="23"/>
  <c r="B217" i="30"/>
  <c r="E51" i="32"/>
  <c r="E54" i="32"/>
  <c r="B156" i="30"/>
  <c r="B206" i="14"/>
  <c r="D9" i="17"/>
  <c r="J64" i="12"/>
  <c r="I135" i="20"/>
  <c r="E149" i="20"/>
  <c r="H129" i="20"/>
  <c r="H151" i="20"/>
  <c r="E67" i="89"/>
  <c r="E66" i="32"/>
  <c r="E67" i="38"/>
  <c r="E67" i="30"/>
  <c r="E66" i="14"/>
  <c r="E67" i="28"/>
  <c r="E67" i="23"/>
  <c r="E67" i="32"/>
  <c r="E68" i="25"/>
  <c r="E66" i="30"/>
  <c r="E66" i="23"/>
  <c r="E66" i="38"/>
  <c r="E66" i="28"/>
  <c r="E67" i="14"/>
  <c r="E31" i="14"/>
  <c r="E66" i="17"/>
  <c r="E67" i="17"/>
  <c r="E66" i="89"/>
  <c r="E67" i="40"/>
  <c r="E69" i="25"/>
  <c r="E66" i="40"/>
  <c r="B122" i="32"/>
  <c r="BY31" i="18"/>
  <c r="BY17" i="18"/>
  <c r="BY27" i="18"/>
  <c r="BY20" i="18"/>
  <c r="BY16" i="18"/>
  <c r="BY22" i="18"/>
  <c r="BY36" i="18"/>
  <c r="BY26" i="18"/>
  <c r="BY35" i="18"/>
  <c r="BY30" i="18"/>
  <c r="BY37" i="18"/>
  <c r="BY32" i="18"/>
  <c r="BY25" i="18"/>
  <c r="BY21" i="18"/>
  <c r="F51" i="40"/>
  <c r="F54" i="40"/>
  <c r="E54" i="28"/>
  <c r="E51" i="28"/>
  <c r="T193" i="19"/>
  <c r="M193" i="19" s="1"/>
  <c r="F67" i="89"/>
  <c r="F69" i="25"/>
  <c r="F66" i="28"/>
  <c r="F31" i="14"/>
  <c r="F66" i="89"/>
  <c r="F66" i="38"/>
  <c r="F66" i="17"/>
  <c r="F66" i="32"/>
  <c r="F67" i="28"/>
  <c r="F66" i="23"/>
  <c r="F67" i="40"/>
  <c r="F67" i="38"/>
  <c r="F67" i="14"/>
  <c r="F66" i="30"/>
  <c r="F66" i="14"/>
  <c r="F67" i="30"/>
  <c r="F68" i="25"/>
  <c r="F66" i="40"/>
  <c r="F67" i="23"/>
  <c r="F67" i="17"/>
  <c r="F67" i="32"/>
  <c r="B286" i="23"/>
  <c r="K111" i="38"/>
  <c r="Q111" i="38"/>
  <c r="F51" i="30"/>
  <c r="F54" i="30"/>
  <c r="B264" i="32"/>
  <c r="BQ41" i="76"/>
  <c r="BR28" i="76"/>
  <c r="O61" i="76"/>
  <c r="O58" i="76" s="1"/>
  <c r="E54" i="17"/>
  <c r="E51" i="17"/>
  <c r="B163" i="17"/>
  <c r="B147" i="23"/>
  <c r="D171" i="14"/>
  <c r="B300" i="89"/>
  <c r="D99" i="20"/>
  <c r="B191" i="23"/>
  <c r="F54" i="32"/>
  <c r="F51" i="32"/>
  <c r="Z43" i="18"/>
  <c r="AY117" i="18" s="1"/>
  <c r="T73" i="85" s="1"/>
  <c r="B180" i="23"/>
  <c r="C148" i="89"/>
  <c r="F51" i="28"/>
  <c r="F54" i="28"/>
  <c r="B218" i="17"/>
  <c r="B300" i="32"/>
  <c r="I55" i="76"/>
  <c r="I23" i="76"/>
  <c r="F25" i="76" s="1"/>
  <c r="D16" i="76"/>
  <c r="F23" i="76"/>
  <c r="S23" i="76" s="1"/>
  <c r="E51" i="23"/>
  <c r="E54" i="23"/>
  <c r="V138" i="38"/>
  <c r="V214" i="38"/>
  <c r="V240" i="38"/>
  <c r="V159" i="38"/>
  <c r="V291" i="38"/>
  <c r="V247" i="38"/>
  <c r="V175" i="38"/>
  <c r="V277" i="38"/>
  <c r="V223" i="38"/>
  <c r="V196" i="38"/>
  <c r="V254" i="38"/>
  <c r="V128" i="38"/>
  <c r="V284" i="38"/>
  <c r="V233" i="38"/>
  <c r="V189" i="38"/>
  <c r="V145" i="38"/>
  <c r="V152" i="38"/>
  <c r="V119" i="38"/>
  <c r="V270" i="38"/>
  <c r="V182" i="38"/>
  <c r="J150" i="20"/>
  <c r="J129" i="20"/>
  <c r="F54" i="23"/>
  <c r="F51" i="23"/>
  <c r="B157" i="17"/>
  <c r="K135" i="20"/>
  <c r="K126" i="20"/>
  <c r="J126" i="20"/>
  <c r="DR19" i="18"/>
  <c r="DS19" i="18"/>
  <c r="DT19" i="18"/>
  <c r="DT21" i="18" s="1"/>
  <c r="DT23" i="18"/>
  <c r="DQ23" i="18"/>
  <c r="B130" i="23"/>
  <c r="E169" i="32"/>
  <c r="AT9" i="76"/>
  <c r="E54" i="30"/>
  <c r="E51" i="30"/>
  <c r="BX26" i="18"/>
  <c r="BX17" i="18"/>
  <c r="BX35" i="18"/>
  <c r="BX16" i="18"/>
  <c r="BX37" i="18"/>
  <c r="BX36" i="18"/>
  <c r="BX21" i="18"/>
  <c r="BX22" i="18"/>
  <c r="BX32" i="18"/>
  <c r="BX20" i="18"/>
  <c r="BX27" i="18"/>
  <c r="BX31" i="18"/>
  <c r="BX30" i="18"/>
  <c r="BX25" i="18"/>
  <c r="L9" i="82"/>
  <c r="O126" i="20"/>
  <c r="P135" i="20"/>
  <c r="F45" i="14"/>
  <c r="O73" i="14"/>
  <c r="B205" i="23"/>
  <c r="E236" i="89"/>
  <c r="N61" i="76"/>
  <c r="N58" i="76" s="1"/>
  <c r="E135" i="20"/>
  <c r="E155" i="20" s="1"/>
  <c r="P155" i="19" l="1"/>
  <c r="I155" i="19" s="1"/>
  <c r="P200" i="19"/>
  <c r="W261" i="17"/>
  <c r="G45" i="40"/>
  <c r="Q73" i="40" s="1"/>
  <c r="AK41" i="76"/>
  <c r="W160" i="17"/>
  <c r="O73" i="40"/>
  <c r="P298" i="38"/>
  <c r="P203" i="38"/>
  <c r="P139" i="38"/>
  <c r="B286" i="89"/>
  <c r="B287" i="89" s="1"/>
  <c r="P234" i="38"/>
  <c r="W111" i="38"/>
  <c r="W190" i="38" s="1"/>
  <c r="P261" i="38"/>
  <c r="V270" i="30"/>
  <c r="B249" i="89"/>
  <c r="B250" i="89" s="1"/>
  <c r="W197" i="89"/>
  <c r="V223" i="30"/>
  <c r="C7" i="32"/>
  <c r="V277" i="30"/>
  <c r="V196" i="30"/>
  <c r="V128" i="30"/>
  <c r="V233" i="30"/>
  <c r="V119" i="30"/>
  <c r="W271" i="17"/>
  <c r="D6" i="28"/>
  <c r="D6" i="32"/>
  <c r="D6" i="23"/>
  <c r="D6" i="17"/>
  <c r="D6" i="38"/>
  <c r="D6" i="30"/>
  <c r="D6" i="89"/>
  <c r="R109" i="20"/>
  <c r="P10" i="82" s="1"/>
  <c r="D6" i="14"/>
  <c r="D6" i="40"/>
  <c r="G6" i="28"/>
  <c r="U109" i="20"/>
  <c r="S10" i="82" s="1"/>
  <c r="G6" i="23"/>
  <c r="G6" i="89"/>
  <c r="G6" i="40"/>
  <c r="G6" i="32"/>
  <c r="G6" i="14"/>
  <c r="G6" i="38"/>
  <c r="G6" i="17"/>
  <c r="G6" i="30"/>
  <c r="E6" i="40"/>
  <c r="E6" i="38"/>
  <c r="E6" i="28"/>
  <c r="E6" i="17"/>
  <c r="E6" i="30"/>
  <c r="E6" i="23"/>
  <c r="E6" i="14"/>
  <c r="E6" i="89"/>
  <c r="E6" i="32"/>
  <c r="S109" i="20"/>
  <c r="Q10" i="82" s="1"/>
  <c r="C6" i="38"/>
  <c r="C6" i="14"/>
  <c r="C6" i="17"/>
  <c r="C6" i="40"/>
  <c r="C6" i="30"/>
  <c r="C6" i="23"/>
  <c r="C6" i="32"/>
  <c r="C6" i="28"/>
  <c r="Q109" i="20"/>
  <c r="O10" i="82" s="1"/>
  <c r="C6" i="89"/>
  <c r="F6" i="40"/>
  <c r="T109" i="20"/>
  <c r="R10" i="82" s="1"/>
  <c r="F6" i="23"/>
  <c r="F6" i="14"/>
  <c r="F6" i="38"/>
  <c r="F6" i="32"/>
  <c r="F6" i="28"/>
  <c r="F6" i="30"/>
  <c r="F6" i="89"/>
  <c r="F6" i="17"/>
  <c r="W197" i="17"/>
  <c r="W278" i="17"/>
  <c r="V182" i="40"/>
  <c r="W190" i="17"/>
  <c r="W183" i="17"/>
  <c r="W166" i="17"/>
  <c r="P139" i="23"/>
  <c r="W241" i="17"/>
  <c r="C11" i="23"/>
  <c r="W203" i="17"/>
  <c r="W139" i="17"/>
  <c r="P166" i="38"/>
  <c r="W215" i="17"/>
  <c r="W298" i="17"/>
  <c r="W129" i="17"/>
  <c r="W120" i="17"/>
  <c r="W234" i="17"/>
  <c r="W146" i="17"/>
  <c r="P298" i="23"/>
  <c r="W285" i="17"/>
  <c r="W255" i="17"/>
  <c r="W292" i="17"/>
  <c r="W248" i="17"/>
  <c r="W153" i="17"/>
  <c r="W224" i="17"/>
  <c r="V145" i="30"/>
  <c r="V175" i="30"/>
  <c r="V291" i="30"/>
  <c r="D8" i="40"/>
  <c r="D7" i="40" s="1"/>
  <c r="D8" i="30"/>
  <c r="D7" i="30" s="1"/>
  <c r="V214" i="30"/>
  <c r="W146" i="89"/>
  <c r="V284" i="30"/>
  <c r="V247" i="30"/>
  <c r="D8" i="23"/>
  <c r="D7" i="23" s="1"/>
  <c r="X36" i="18"/>
  <c r="V159" i="30"/>
  <c r="V189" i="30"/>
  <c r="D8" i="14"/>
  <c r="D11" i="14" s="1"/>
  <c r="V138" i="30"/>
  <c r="V182" i="30"/>
  <c r="O37" i="19"/>
  <c r="V240" i="40"/>
  <c r="B249" i="23"/>
  <c r="B250" i="23" s="1"/>
  <c r="D8" i="38"/>
  <c r="D8" i="17"/>
  <c r="D7" i="17" s="1"/>
  <c r="D8" i="25"/>
  <c r="D8" i="32"/>
  <c r="D7" i="32" s="1"/>
  <c r="I129" i="20"/>
  <c r="I149" i="20" s="1"/>
  <c r="D8" i="89"/>
  <c r="D11" i="89" s="1"/>
  <c r="R10" i="20"/>
  <c r="D8" i="28"/>
  <c r="D11" i="28" s="1"/>
  <c r="S11" i="20"/>
  <c r="E8" i="14" s="1"/>
  <c r="P203" i="23"/>
  <c r="P234" i="23"/>
  <c r="V138" i="40"/>
  <c r="P166" i="23"/>
  <c r="Q111" i="89"/>
  <c r="K111" i="89"/>
  <c r="B168" i="23"/>
  <c r="C11" i="30"/>
  <c r="W292" i="32"/>
  <c r="V128" i="40"/>
  <c r="P244" i="19"/>
  <c r="W111" i="23"/>
  <c r="W160" i="23" s="1"/>
  <c r="DU37" i="18"/>
  <c r="H46" i="88"/>
  <c r="Q111" i="32"/>
  <c r="C7" i="40"/>
  <c r="B154" i="89"/>
  <c r="V284" i="40"/>
  <c r="C7" i="89"/>
  <c r="B293" i="89"/>
  <c r="C7" i="28"/>
  <c r="AY174" i="18"/>
  <c r="T85" i="85" s="1"/>
  <c r="B293" i="32"/>
  <c r="B294" i="32" s="1"/>
  <c r="AU175" i="18"/>
  <c r="P86" i="85" s="1"/>
  <c r="BF7" i="18"/>
  <c r="AT176" i="18"/>
  <c r="O87" i="85" s="1"/>
  <c r="W190" i="32"/>
  <c r="AV175" i="18"/>
  <c r="Q86" i="85" s="1"/>
  <c r="I11" i="82"/>
  <c r="E36" i="25"/>
  <c r="DU38" i="18"/>
  <c r="DX40" i="18"/>
  <c r="E34" i="23"/>
  <c r="E34" i="30"/>
  <c r="X29" i="18"/>
  <c r="AW95" i="18" s="1"/>
  <c r="H73" i="85" s="1"/>
  <c r="S15" i="18"/>
  <c r="D34" i="14"/>
  <c r="J117" i="12"/>
  <c r="G30" i="40" s="1"/>
  <c r="Z143" i="18" s="1"/>
  <c r="BF4" i="18"/>
  <c r="G117" i="12"/>
  <c r="D30" i="40" s="1"/>
  <c r="W143" i="18" s="1"/>
  <c r="P129" i="20"/>
  <c r="P149" i="20" s="1"/>
  <c r="N29" i="82" s="1"/>
  <c r="D103" i="20"/>
  <c r="G137" i="12" s="1"/>
  <c r="E103" i="20"/>
  <c r="G59" i="12" s="1"/>
  <c r="G60" i="12" s="1"/>
  <c r="I30" i="82"/>
  <c r="F87" i="12"/>
  <c r="C32" i="25" s="1"/>
  <c r="V73" i="18" s="1"/>
  <c r="AU129" i="18" s="1"/>
  <c r="P81" i="85" s="1"/>
  <c r="F53" i="12"/>
  <c r="F54" i="12" s="1"/>
  <c r="Z113" i="18"/>
  <c r="AY33" i="18" s="1"/>
  <c r="J64" i="83" s="1"/>
  <c r="J107" i="12"/>
  <c r="G30" i="32" s="1"/>
  <c r="Z129" i="18" s="1"/>
  <c r="AY176" i="18" s="1"/>
  <c r="T87" i="85" s="1"/>
  <c r="J67" i="12"/>
  <c r="G30" i="17" s="1"/>
  <c r="Z45" i="18" s="1"/>
  <c r="AY119" i="18" s="1"/>
  <c r="T75" i="85" s="1"/>
  <c r="J77" i="12"/>
  <c r="G30" i="23" s="1"/>
  <c r="Z59" i="18" s="1"/>
  <c r="AY107" i="18" s="1"/>
  <c r="J81" i="85" s="1"/>
  <c r="H117" i="12"/>
  <c r="E30" i="40" s="1"/>
  <c r="X143" i="18" s="1"/>
  <c r="G53" i="12"/>
  <c r="G54" i="12" s="1"/>
  <c r="J127" i="12"/>
  <c r="G30" i="89" s="1"/>
  <c r="Z157" i="18" s="1"/>
  <c r="J87" i="12"/>
  <c r="G32" i="25" s="1"/>
  <c r="Z73" i="18" s="1"/>
  <c r="AY129" i="18" s="1"/>
  <c r="T81" i="85" s="1"/>
  <c r="F64" i="12"/>
  <c r="C27" i="17" s="1"/>
  <c r="V44" i="18" s="1"/>
  <c r="AU118" i="18" s="1"/>
  <c r="P74" i="85" s="1"/>
  <c r="F127" i="12"/>
  <c r="C30" i="89" s="1"/>
  <c r="V157" i="18" s="1"/>
  <c r="W15" i="18"/>
  <c r="S130" i="20"/>
  <c r="S58" i="20"/>
  <c r="W99" i="18"/>
  <c r="AV23" i="18" s="1"/>
  <c r="Q58" i="83" s="1"/>
  <c r="Z57" i="18"/>
  <c r="AY105" i="18" s="1"/>
  <c r="J79" i="85" s="1"/>
  <c r="Z71" i="18"/>
  <c r="AY127" i="18" s="1"/>
  <c r="T79" i="85" s="1"/>
  <c r="BG4" i="18"/>
  <c r="X155" i="18"/>
  <c r="BG7" i="18"/>
  <c r="F117" i="12"/>
  <c r="C30" i="40" s="1"/>
  <c r="V143" i="18" s="1"/>
  <c r="W57" i="18"/>
  <c r="AV105" i="18" s="1"/>
  <c r="G79" i="85" s="1"/>
  <c r="D34" i="40"/>
  <c r="G64" i="12"/>
  <c r="D27" i="17" s="1"/>
  <c r="W44" i="18" s="1"/>
  <c r="AV118" i="18" s="1"/>
  <c r="Q74" i="85" s="1"/>
  <c r="F107" i="12"/>
  <c r="F110" i="12" s="1"/>
  <c r="C33" i="32" s="1"/>
  <c r="X141" i="18"/>
  <c r="BA9" i="76"/>
  <c r="S56" i="76" s="1"/>
  <c r="S61" i="76" s="1"/>
  <c r="S58" i="76" s="1"/>
  <c r="J133" i="20"/>
  <c r="J132" i="20" s="1"/>
  <c r="J152" i="20" s="1"/>
  <c r="H93" i="12"/>
  <c r="E26" i="38" s="1"/>
  <c r="X85" i="18" s="1"/>
  <c r="AW164" i="18" s="1"/>
  <c r="H85" i="85" s="1"/>
  <c r="F133" i="20"/>
  <c r="F132" i="20" s="1"/>
  <c r="F152" i="20" s="1"/>
  <c r="T15" i="18"/>
  <c r="H104" i="12"/>
  <c r="E27" i="32" s="1"/>
  <c r="X128" i="18" s="1"/>
  <c r="AW175" i="18" s="1"/>
  <c r="R86" i="85" s="1"/>
  <c r="C34" i="28"/>
  <c r="G93" i="12"/>
  <c r="D26" i="38" s="1"/>
  <c r="W85" i="18" s="1"/>
  <c r="AV164" i="18" s="1"/>
  <c r="G85" i="85" s="1"/>
  <c r="J104" i="12"/>
  <c r="G27" i="32" s="1"/>
  <c r="Z128" i="18" s="1"/>
  <c r="AY175" i="18" s="1"/>
  <c r="T86" i="85" s="1"/>
  <c r="U150" i="20"/>
  <c r="S30" i="82" s="1"/>
  <c r="H133" i="20"/>
  <c r="H132" i="20" s="1"/>
  <c r="H152" i="20" s="1"/>
  <c r="L133" i="20"/>
  <c r="L132" i="20" s="1"/>
  <c r="L152" i="20" s="1"/>
  <c r="X43" i="18"/>
  <c r="AW117" i="18" s="1"/>
  <c r="R73" i="85" s="1"/>
  <c r="DX37" i="18"/>
  <c r="DR39" i="18"/>
  <c r="DZ39" i="18"/>
  <c r="DW39" i="18"/>
  <c r="I36" i="82"/>
  <c r="G34" i="14"/>
  <c r="DY38" i="18"/>
  <c r="DY43" i="18"/>
  <c r="EA37" i="18"/>
  <c r="DR38" i="18"/>
  <c r="DZ43" i="18"/>
  <c r="DS40" i="18"/>
  <c r="DV43" i="18"/>
  <c r="F34" i="28"/>
  <c r="DZ37" i="18"/>
  <c r="DR43" i="18"/>
  <c r="DQ39" i="18"/>
  <c r="DU43" i="18"/>
  <c r="DV39" i="18"/>
  <c r="DR37" i="18"/>
  <c r="DV40" i="18"/>
  <c r="DQ38" i="18"/>
  <c r="D36" i="25"/>
  <c r="DY40" i="18"/>
  <c r="DV38" i="18"/>
  <c r="DS43" i="18"/>
  <c r="DT40" i="18"/>
  <c r="DT43" i="18"/>
  <c r="DX38" i="18"/>
  <c r="DY37" i="18"/>
  <c r="DS38" i="18"/>
  <c r="E29" i="18"/>
  <c r="DT39" i="18"/>
  <c r="DT37" i="18"/>
  <c r="Z141" i="18"/>
  <c r="DZ38" i="18"/>
  <c r="DX39" i="18"/>
  <c r="EA38" i="18"/>
  <c r="DQ50" i="18"/>
  <c r="DS39" i="18"/>
  <c r="DX43" i="18"/>
  <c r="EA39" i="18"/>
  <c r="DS37" i="18"/>
  <c r="D26" i="32"/>
  <c r="W127" i="18" s="1"/>
  <c r="AV174" i="18" s="1"/>
  <c r="Q85" i="85" s="1"/>
  <c r="D34" i="89"/>
  <c r="DQ40" i="18"/>
  <c r="DR40" i="18"/>
  <c r="DV37" i="18"/>
  <c r="DW40" i="18"/>
  <c r="DY39" i="18"/>
  <c r="DQ43" i="18"/>
  <c r="DM21" i="18"/>
  <c r="F154" i="20"/>
  <c r="DW38" i="18"/>
  <c r="EB38" i="18"/>
  <c r="DU40" i="18"/>
  <c r="DU39" i="18"/>
  <c r="DT38" i="18"/>
  <c r="EA43" i="18"/>
  <c r="DZ40" i="18"/>
  <c r="DW37" i="18"/>
  <c r="EA40" i="18"/>
  <c r="DQ37" i="18"/>
  <c r="DW43" i="18"/>
  <c r="Y29" i="18"/>
  <c r="AX95" i="18" s="1"/>
  <c r="I73" i="85" s="1"/>
  <c r="N133" i="20"/>
  <c r="N153" i="20" s="1"/>
  <c r="K33" i="82" s="1"/>
  <c r="AD45" i="76"/>
  <c r="E34" i="28"/>
  <c r="I75" i="12"/>
  <c r="F28" i="23" s="1"/>
  <c r="I125" i="12"/>
  <c r="F28" i="89" s="1"/>
  <c r="I105" i="12"/>
  <c r="F28" i="32" s="1"/>
  <c r="I135" i="12"/>
  <c r="F28" i="28" s="1"/>
  <c r="I65" i="12"/>
  <c r="F28" i="17" s="1"/>
  <c r="I37" i="12"/>
  <c r="I85" i="12"/>
  <c r="F30" i="25" s="1"/>
  <c r="I115" i="12"/>
  <c r="J93" i="12"/>
  <c r="G26" i="38" s="1"/>
  <c r="Z85" i="18" s="1"/>
  <c r="AY164" i="18" s="1"/>
  <c r="J85" i="85" s="1"/>
  <c r="F84" i="12"/>
  <c r="C29" i="25" s="1"/>
  <c r="V72" i="18" s="1"/>
  <c r="AU128" i="18" s="1"/>
  <c r="P80" i="85" s="1"/>
  <c r="DH20" i="18"/>
  <c r="DH25" i="18" s="1"/>
  <c r="DH26" i="18" s="1"/>
  <c r="I15" i="86"/>
  <c r="P15" i="86" s="1"/>
  <c r="T130" i="20"/>
  <c r="T58" i="20"/>
  <c r="AF44" i="76"/>
  <c r="Z155" i="18"/>
  <c r="X120" i="18"/>
  <c r="X78" i="18"/>
  <c r="BM45" i="76"/>
  <c r="B242" i="89"/>
  <c r="W241" i="89"/>
  <c r="V240" i="30"/>
  <c r="V152" i="30"/>
  <c r="P104" i="19"/>
  <c r="I104" i="19" s="1"/>
  <c r="Y4" i="18"/>
  <c r="Y148" i="18" s="1"/>
  <c r="I61" i="76"/>
  <c r="I58" i="76" s="1"/>
  <c r="X64" i="18"/>
  <c r="B140" i="23"/>
  <c r="Q140" i="23" s="1"/>
  <c r="I31" i="82"/>
  <c r="P265" i="19"/>
  <c r="P206" i="19"/>
  <c r="I206" i="19" s="1"/>
  <c r="X50" i="18"/>
  <c r="P126" i="19"/>
  <c r="AV176" i="18"/>
  <c r="Q87" i="85" s="1"/>
  <c r="G133" i="20"/>
  <c r="G132" i="20" s="1"/>
  <c r="G152" i="20" s="1"/>
  <c r="W52" i="76"/>
  <c r="BF6" i="76"/>
  <c r="P220" i="19"/>
  <c r="I220" i="19" s="1"/>
  <c r="P142" i="19"/>
  <c r="C7" i="14"/>
  <c r="V175" i="40"/>
  <c r="C26" i="32"/>
  <c r="V127" i="18" s="1"/>
  <c r="AU174" i="18" s="1"/>
  <c r="P85" i="85" s="1"/>
  <c r="V152" i="40"/>
  <c r="P207" i="19"/>
  <c r="P250" i="19"/>
  <c r="I250" i="19" s="1"/>
  <c r="W224" i="89"/>
  <c r="F34" i="89"/>
  <c r="V233" i="40"/>
  <c r="V247" i="40"/>
  <c r="V189" i="40"/>
  <c r="P163" i="19"/>
  <c r="P148" i="19"/>
  <c r="I148" i="19" s="1"/>
  <c r="P243" i="19"/>
  <c r="I243" i="19" s="1"/>
  <c r="P264" i="19"/>
  <c r="I264" i="19" s="1"/>
  <c r="P119" i="19"/>
  <c r="P170" i="19"/>
  <c r="P133" i="19"/>
  <c r="V270" i="40"/>
  <c r="P258" i="19"/>
  <c r="V214" i="40"/>
  <c r="V159" i="40"/>
  <c r="V119" i="40"/>
  <c r="P237" i="19"/>
  <c r="P228" i="19"/>
  <c r="P221" i="19"/>
  <c r="P169" i="19"/>
  <c r="I169" i="19" s="1"/>
  <c r="P132" i="19"/>
  <c r="I132" i="19" s="1"/>
  <c r="W77" i="19"/>
  <c r="H154" i="20"/>
  <c r="AW176" i="18"/>
  <c r="R87" i="85" s="1"/>
  <c r="BK44" i="76"/>
  <c r="V223" i="40"/>
  <c r="P112" i="19"/>
  <c r="Y113" i="18"/>
  <c r="AX33" i="18" s="1"/>
  <c r="I64" i="83" s="1"/>
  <c r="BL46" i="76"/>
  <c r="F88" i="12"/>
  <c r="C33" i="25" s="1"/>
  <c r="I16" i="86"/>
  <c r="P16" i="86" s="1"/>
  <c r="B154" i="32"/>
  <c r="V145" i="40"/>
  <c r="V291" i="40"/>
  <c r="V196" i="40"/>
  <c r="P257" i="19"/>
  <c r="I257" i="19" s="1"/>
  <c r="P236" i="19"/>
  <c r="I236" i="19" s="1"/>
  <c r="P213" i="19"/>
  <c r="I213" i="19" s="1"/>
  <c r="P149" i="19"/>
  <c r="P141" i="19"/>
  <c r="I141" i="19" s="1"/>
  <c r="I104" i="12"/>
  <c r="F27" i="32" s="1"/>
  <c r="Y128" i="18" s="1"/>
  <c r="AX175" i="18" s="1"/>
  <c r="S86" i="85" s="1"/>
  <c r="P162" i="19"/>
  <c r="I162" i="19" s="1"/>
  <c r="P199" i="19"/>
  <c r="I199" i="19" s="1"/>
  <c r="V277" i="40"/>
  <c r="P105" i="19"/>
  <c r="P118" i="19"/>
  <c r="I118" i="19" s="1"/>
  <c r="P251" i="19"/>
  <c r="P111" i="19"/>
  <c r="I111" i="19" s="1"/>
  <c r="P214" i="19"/>
  <c r="P227" i="19"/>
  <c r="I227" i="19" s="1"/>
  <c r="P125" i="19"/>
  <c r="I125" i="19" s="1"/>
  <c r="P156" i="19"/>
  <c r="M133" i="20"/>
  <c r="B205" i="32"/>
  <c r="AE43" i="76"/>
  <c r="AD46" i="76"/>
  <c r="BL44" i="76"/>
  <c r="Q204" i="30"/>
  <c r="O133" i="20"/>
  <c r="O132" i="20" s="1"/>
  <c r="AE46" i="76"/>
  <c r="I64" i="12"/>
  <c r="F27" i="17" s="1"/>
  <c r="Y44" i="18" s="1"/>
  <c r="AX118" i="18" s="1"/>
  <c r="S74" i="85" s="1"/>
  <c r="Y141" i="18"/>
  <c r="B161" i="89"/>
  <c r="I93" i="12"/>
  <c r="F26" i="38" s="1"/>
  <c r="Y85" i="18" s="1"/>
  <c r="AX164" i="18" s="1"/>
  <c r="I85" i="85" s="1"/>
  <c r="B34" i="38"/>
  <c r="B35" i="38" s="1"/>
  <c r="U85" i="18"/>
  <c r="AT164" i="18" s="1"/>
  <c r="E85" i="85" s="1"/>
  <c r="F34" i="23"/>
  <c r="Y57" i="18"/>
  <c r="AX105" i="18" s="1"/>
  <c r="I79" i="85" s="1"/>
  <c r="B34" i="28"/>
  <c r="B35" i="28" s="1"/>
  <c r="U99" i="18"/>
  <c r="AT23" i="18" s="1"/>
  <c r="O58" i="83" s="1"/>
  <c r="U127" i="18"/>
  <c r="AT174" i="18" s="1"/>
  <c r="O85" i="85" s="1"/>
  <c r="B34" i="32"/>
  <c r="B35" i="32" s="1"/>
  <c r="AU15" i="18"/>
  <c r="AU87" i="18"/>
  <c r="F60" i="83" s="1"/>
  <c r="AU156" i="18"/>
  <c r="U155" i="18"/>
  <c r="B34" i="89"/>
  <c r="B35" i="89" s="1"/>
  <c r="C34" i="23"/>
  <c r="V57" i="18"/>
  <c r="AU105" i="18" s="1"/>
  <c r="F79" i="85" s="1"/>
  <c r="AF45" i="76"/>
  <c r="AE44" i="76"/>
  <c r="F93" i="12"/>
  <c r="C26" i="38" s="1"/>
  <c r="V85" i="18" s="1"/>
  <c r="AU164" i="18" s="1"/>
  <c r="F85" i="85" s="1"/>
  <c r="X22" i="18"/>
  <c r="J154" i="20"/>
  <c r="BL45" i="76"/>
  <c r="BK43" i="76"/>
  <c r="AD43" i="76"/>
  <c r="F45" i="30"/>
  <c r="O73" i="30"/>
  <c r="U113" i="18"/>
  <c r="AT33" i="18" s="1"/>
  <c r="E64" i="83" s="1"/>
  <c r="B34" i="30"/>
  <c r="B35" i="30" s="1"/>
  <c r="V155" i="18"/>
  <c r="C34" i="89"/>
  <c r="X127" i="18"/>
  <c r="AW174" i="18" s="1"/>
  <c r="R85" i="85" s="1"/>
  <c r="BM43" i="76"/>
  <c r="B279" i="23"/>
  <c r="B279" i="32"/>
  <c r="B280" i="32" s="1"/>
  <c r="X134" i="18"/>
  <c r="AF43" i="76"/>
  <c r="U29" i="18"/>
  <c r="AT95" i="18" s="1"/>
  <c r="E73" i="85" s="1"/>
  <c r="B34" i="14"/>
  <c r="B35" i="14" s="1"/>
  <c r="AA23" i="65"/>
  <c r="AA13" i="65"/>
  <c r="U43" i="18"/>
  <c r="AT117" i="18" s="1"/>
  <c r="O73" i="85" s="1"/>
  <c r="B34" i="17"/>
  <c r="B35" i="17" s="1"/>
  <c r="C34" i="30"/>
  <c r="V113" i="18"/>
  <c r="AU33" i="18" s="1"/>
  <c r="F64" i="83" s="1"/>
  <c r="B279" i="89"/>
  <c r="W278" i="89"/>
  <c r="BK45" i="76"/>
  <c r="X6" i="18"/>
  <c r="X148" i="18"/>
  <c r="AE45" i="76"/>
  <c r="U57" i="18"/>
  <c r="AT105" i="18" s="1"/>
  <c r="E79" i="85" s="1"/>
  <c r="B34" i="23"/>
  <c r="B35" i="23" s="1"/>
  <c r="C34" i="14"/>
  <c r="V29" i="18"/>
  <c r="AU95" i="18" s="1"/>
  <c r="F73" i="85" s="1"/>
  <c r="AY87" i="18"/>
  <c r="J60" i="83" s="1"/>
  <c r="AY156" i="18"/>
  <c r="AY15" i="18"/>
  <c r="U141" i="18"/>
  <c r="B34" i="40"/>
  <c r="B35" i="40" s="1"/>
  <c r="U71" i="18"/>
  <c r="AT127" i="18" s="1"/>
  <c r="O79" i="85" s="1"/>
  <c r="B36" i="25"/>
  <c r="B37" i="25" s="1"/>
  <c r="V141" i="18"/>
  <c r="C34" i="40"/>
  <c r="B24" i="19"/>
  <c r="C34" i="2" s="1"/>
  <c r="B60" i="14" s="1"/>
  <c r="BK46" i="76"/>
  <c r="W160" i="89"/>
  <c r="E23" i="76"/>
  <c r="F22" i="76" s="1"/>
  <c r="S22" i="76" s="1"/>
  <c r="X106" i="18"/>
  <c r="BM46" i="76"/>
  <c r="BL43" i="76"/>
  <c r="AD44" i="76"/>
  <c r="G45" i="38"/>
  <c r="Q73" i="38" s="1"/>
  <c r="P73" i="38"/>
  <c r="AB28" i="76"/>
  <c r="AB41" i="76" s="1"/>
  <c r="AC41" i="76"/>
  <c r="B25" i="19"/>
  <c r="C35" i="2" s="1"/>
  <c r="B61" i="17" s="1"/>
  <c r="I42" i="12"/>
  <c r="J32" i="12"/>
  <c r="J42" i="12" s="1"/>
  <c r="L85" i="85"/>
  <c r="L87" i="85"/>
  <c r="L88" i="85"/>
  <c r="L86" i="85"/>
  <c r="F45" i="28"/>
  <c r="O73" i="28"/>
  <c r="P73" i="17"/>
  <c r="G45" i="17"/>
  <c r="Q73" i="17" s="1"/>
  <c r="G45" i="23"/>
  <c r="Q73" i="23" s="1"/>
  <c r="P73" i="23"/>
  <c r="O75" i="25"/>
  <c r="F47" i="25"/>
  <c r="AX174" i="18"/>
  <c r="S85" i="85" s="1"/>
  <c r="AT175" i="18"/>
  <c r="O86" i="85" s="1"/>
  <c r="W234" i="89"/>
  <c r="Q262" i="23"/>
  <c r="P234" i="89"/>
  <c r="G132" i="12"/>
  <c r="G142" i="12" s="1"/>
  <c r="G122" i="12"/>
  <c r="P37" i="19"/>
  <c r="G3" i="19"/>
  <c r="Q37" i="19" s="1"/>
  <c r="P73" i="32"/>
  <c r="G45" i="32"/>
  <c r="Q73" i="32" s="1"/>
  <c r="H62" i="12"/>
  <c r="H72" i="12" s="1"/>
  <c r="H82" i="12" s="1"/>
  <c r="H92" i="12" s="1"/>
  <c r="H102" i="12" s="1"/>
  <c r="H112" i="12" s="1"/>
  <c r="H52" i="12"/>
  <c r="H58" i="12" s="1"/>
  <c r="AT46" i="18"/>
  <c r="AV44" i="18"/>
  <c r="AV47" i="18"/>
  <c r="AW42" i="18"/>
  <c r="AW45" i="18"/>
  <c r="AW44" i="18"/>
  <c r="AX47" i="18"/>
  <c r="AW48" i="18"/>
  <c r="AV48" i="18"/>
  <c r="AY45" i="18"/>
  <c r="AV42" i="18"/>
  <c r="AY46" i="18"/>
  <c r="AX48" i="18"/>
  <c r="AT47" i="18"/>
  <c r="AX42" i="18"/>
  <c r="AV49" i="18"/>
  <c r="AW49" i="18"/>
  <c r="AV43" i="18"/>
  <c r="AX46" i="18"/>
  <c r="AY42" i="18"/>
  <c r="AU42" i="18"/>
  <c r="AW47" i="18"/>
  <c r="AT48" i="18"/>
  <c r="AX49" i="18"/>
  <c r="AU46" i="18"/>
  <c r="AY43" i="18"/>
  <c r="AU45" i="18"/>
  <c r="AU48" i="18"/>
  <c r="AT45" i="18"/>
  <c r="AX44" i="18"/>
  <c r="AT49" i="18"/>
  <c r="AY48" i="18"/>
  <c r="AY44" i="18"/>
  <c r="AU43" i="18"/>
  <c r="AU47" i="18"/>
  <c r="AX43" i="18"/>
  <c r="AU49" i="18"/>
  <c r="AW46" i="18"/>
  <c r="AX45" i="18"/>
  <c r="AT44" i="18"/>
  <c r="AV45" i="18"/>
  <c r="AY49" i="18"/>
  <c r="AV46" i="18"/>
  <c r="AY47" i="18"/>
  <c r="AW43" i="18"/>
  <c r="AT43" i="18"/>
  <c r="AT42" i="18"/>
  <c r="AU44" i="18"/>
  <c r="P234" i="14"/>
  <c r="P203" i="14"/>
  <c r="P261" i="14"/>
  <c r="W111" i="14"/>
  <c r="P298" i="14"/>
  <c r="P166" i="14"/>
  <c r="P8" i="82"/>
  <c r="P25" i="82"/>
  <c r="B130" i="89"/>
  <c r="W129" i="89"/>
  <c r="B147" i="89"/>
  <c r="B177" i="89"/>
  <c r="W176" i="89"/>
  <c r="W271" i="32"/>
  <c r="X256" i="17"/>
  <c r="B51" i="14"/>
  <c r="X177" i="17"/>
  <c r="X235" i="17"/>
  <c r="S107" i="20"/>
  <c r="S3" i="20"/>
  <c r="G9" i="2"/>
  <c r="P50" i="2"/>
  <c r="V154" i="25"/>
  <c r="V256" i="25"/>
  <c r="V130" i="25"/>
  <c r="V198" i="25"/>
  <c r="V191" i="25"/>
  <c r="V235" i="25"/>
  <c r="V272" i="25"/>
  <c r="V140" i="25"/>
  <c r="V121" i="25"/>
  <c r="V286" i="25"/>
  <c r="V161" i="25"/>
  <c r="V242" i="25"/>
  <c r="V225" i="25"/>
  <c r="V279" i="25"/>
  <c r="V177" i="25"/>
  <c r="V147" i="25"/>
  <c r="V249" i="25"/>
  <c r="V184" i="25"/>
  <c r="V293" i="25"/>
  <c r="V216" i="25"/>
  <c r="Q204" i="23"/>
  <c r="R168" i="17"/>
  <c r="P139" i="14"/>
  <c r="B205" i="89"/>
  <c r="Q113" i="25"/>
  <c r="K113" i="25"/>
  <c r="W183" i="89"/>
  <c r="B191" i="89"/>
  <c r="W190" i="89"/>
  <c r="X242" i="17"/>
  <c r="Q167" i="23"/>
  <c r="Q111" i="14"/>
  <c r="Q140" i="14" s="1"/>
  <c r="K111" i="14"/>
  <c r="W113" i="25"/>
  <c r="P168" i="25"/>
  <c r="P205" i="25"/>
  <c r="P141" i="25"/>
  <c r="P300" i="25"/>
  <c r="P263" i="25"/>
  <c r="P236" i="25"/>
  <c r="K111" i="28"/>
  <c r="Q111" i="28"/>
  <c r="P298" i="28"/>
  <c r="P139" i="28"/>
  <c r="P261" i="28"/>
  <c r="P234" i="28"/>
  <c r="P166" i="28"/>
  <c r="P203" i="28"/>
  <c r="W111" i="28"/>
  <c r="V284" i="14"/>
  <c r="V152" i="14"/>
  <c r="V182" i="14"/>
  <c r="V223" i="14"/>
  <c r="V159" i="14"/>
  <c r="V119" i="14"/>
  <c r="V214" i="14"/>
  <c r="V254" i="14"/>
  <c r="V189" i="14"/>
  <c r="V233" i="14"/>
  <c r="V128" i="14"/>
  <c r="V277" i="14"/>
  <c r="V145" i="14"/>
  <c r="V175" i="14"/>
  <c r="V196" i="14"/>
  <c r="V270" i="14"/>
  <c r="V291" i="14"/>
  <c r="V240" i="14"/>
  <c r="V138" i="14"/>
  <c r="V247" i="14"/>
  <c r="R204" i="17"/>
  <c r="C200" i="23"/>
  <c r="B303" i="25"/>
  <c r="B304" i="25" s="1"/>
  <c r="B305" i="25" s="1"/>
  <c r="D194" i="30"/>
  <c r="D258" i="30"/>
  <c r="D206" i="30"/>
  <c r="E259" i="32"/>
  <c r="X167" i="17"/>
  <c r="X184" i="17"/>
  <c r="X279" i="17"/>
  <c r="X293" i="17"/>
  <c r="X140" i="17"/>
  <c r="X225" i="17"/>
  <c r="X261" i="17"/>
  <c r="X262" i="17"/>
  <c r="X203" i="17"/>
  <c r="X147" i="17"/>
  <c r="X166" i="17"/>
  <c r="X298" i="17"/>
  <c r="X119" i="17"/>
  <c r="X204" i="17"/>
  <c r="X214" i="17"/>
  <c r="X223" i="17"/>
  <c r="X128" i="17"/>
  <c r="X272" i="17"/>
  <c r="X154" i="17"/>
  <c r="X121" i="17"/>
  <c r="X299" i="17"/>
  <c r="X198" i="17"/>
  <c r="X161" i="17"/>
  <c r="X286" i="17"/>
  <c r="X191" i="17"/>
  <c r="X216" i="17"/>
  <c r="B252" i="25"/>
  <c r="C200" i="30"/>
  <c r="B148" i="14"/>
  <c r="B264" i="14"/>
  <c r="B141" i="14"/>
  <c r="C54" i="14"/>
  <c r="C51" i="14"/>
  <c r="W248" i="30"/>
  <c r="W153" i="30"/>
  <c r="W255" i="30"/>
  <c r="W120" i="30"/>
  <c r="W261" i="30"/>
  <c r="W234" i="30"/>
  <c r="W166" i="30"/>
  <c r="W129" i="30"/>
  <c r="W160" i="30"/>
  <c r="W183" i="30"/>
  <c r="W271" i="30"/>
  <c r="W292" i="30"/>
  <c r="W278" i="30"/>
  <c r="W139" i="30"/>
  <c r="W241" i="30"/>
  <c r="W176" i="30"/>
  <c r="W190" i="30"/>
  <c r="W298" i="30"/>
  <c r="W203" i="30"/>
  <c r="W146" i="30"/>
  <c r="W285" i="30"/>
  <c r="W197" i="30"/>
  <c r="W215" i="30"/>
  <c r="W224" i="30"/>
  <c r="B131" i="14"/>
  <c r="D179" i="23"/>
  <c r="C179" i="17"/>
  <c r="C181" i="25"/>
  <c r="C227" i="30"/>
  <c r="C237" i="17"/>
  <c r="R236" i="17"/>
  <c r="X111" i="23"/>
  <c r="X235" i="23" s="1"/>
  <c r="Q298" i="23"/>
  <c r="Q203" i="23"/>
  <c r="Q166" i="23"/>
  <c r="Q261" i="23"/>
  <c r="Q299" i="23"/>
  <c r="D274" i="17"/>
  <c r="X249" i="17"/>
  <c r="W153" i="32"/>
  <c r="W224" i="32"/>
  <c r="H110" i="12"/>
  <c r="E33" i="32" s="1"/>
  <c r="B301" i="14"/>
  <c r="C244" i="17"/>
  <c r="C132" i="17"/>
  <c r="E295" i="30"/>
  <c r="D186" i="17"/>
  <c r="B280" i="14"/>
  <c r="C258" i="17"/>
  <c r="E187" i="32"/>
  <c r="B266" i="25"/>
  <c r="B267" i="25" s="1"/>
  <c r="B268" i="25" s="1"/>
  <c r="D238" i="14"/>
  <c r="D251" i="32"/>
  <c r="B273" i="14"/>
  <c r="L111" i="23"/>
  <c r="R111" i="23"/>
  <c r="B282" i="25"/>
  <c r="E144" i="25"/>
  <c r="E170" i="17"/>
  <c r="D142" i="17"/>
  <c r="R141" i="17"/>
  <c r="D244" i="14"/>
  <c r="B294" i="14"/>
  <c r="B310" i="14"/>
  <c r="C179" i="30"/>
  <c r="B199" i="14"/>
  <c r="B178" i="14"/>
  <c r="C163" i="32"/>
  <c r="E274" i="23"/>
  <c r="B169" i="89"/>
  <c r="C251" i="17"/>
  <c r="C289" i="17"/>
  <c r="B296" i="25"/>
  <c r="D301" i="14"/>
  <c r="B187" i="25"/>
  <c r="B150" i="25"/>
  <c r="S111" i="17"/>
  <c r="M111" i="17"/>
  <c r="T111" i="17" s="1"/>
  <c r="D193" i="14"/>
  <c r="D208" i="25"/>
  <c r="D267" i="25"/>
  <c r="B219" i="25"/>
  <c r="B220" i="25" s="1"/>
  <c r="B221" i="25" s="1"/>
  <c r="D163" i="30"/>
  <c r="E195" i="25"/>
  <c r="E8" i="28"/>
  <c r="E200" i="14"/>
  <c r="Q167" i="30"/>
  <c r="Q235" i="30"/>
  <c r="Q166" i="30"/>
  <c r="Q261" i="30"/>
  <c r="Q262" i="30"/>
  <c r="X111" i="30"/>
  <c r="Q298" i="30"/>
  <c r="Q140" i="30"/>
  <c r="Q203" i="30"/>
  <c r="Q299" i="30"/>
  <c r="D202" i="25"/>
  <c r="D303" i="25"/>
  <c r="W176" i="32"/>
  <c r="E302" i="23"/>
  <c r="E186" i="14"/>
  <c r="E239" i="25"/>
  <c r="F9" i="89"/>
  <c r="U13" i="20"/>
  <c r="F9" i="40"/>
  <c r="F9" i="32"/>
  <c r="F9" i="30"/>
  <c r="F9" i="28"/>
  <c r="F9" i="23"/>
  <c r="F9" i="14"/>
  <c r="F9" i="17"/>
  <c r="C281" i="30"/>
  <c r="B169" i="14"/>
  <c r="D302" i="30"/>
  <c r="W248" i="32"/>
  <c r="W203" i="32"/>
  <c r="W285" i="32"/>
  <c r="W120" i="32"/>
  <c r="W241" i="32"/>
  <c r="W129" i="32"/>
  <c r="W166" i="32"/>
  <c r="W146" i="32"/>
  <c r="W183" i="32"/>
  <c r="W298" i="32"/>
  <c r="W215" i="32"/>
  <c r="W197" i="32"/>
  <c r="W261" i="32"/>
  <c r="W160" i="32"/>
  <c r="W255" i="32"/>
  <c r="W139" i="32"/>
  <c r="W278" i="32"/>
  <c r="L111" i="32"/>
  <c r="R111" i="32"/>
  <c r="B245" i="14"/>
  <c r="E275" i="30"/>
  <c r="E281" i="89"/>
  <c r="C251" i="14"/>
  <c r="Y111" i="17"/>
  <c r="Y236" i="17" s="1"/>
  <c r="R262" i="17"/>
  <c r="R175" i="17"/>
  <c r="R263" i="17"/>
  <c r="R300" i="17"/>
  <c r="R270" i="17"/>
  <c r="R299" i="17"/>
  <c r="R167" i="17"/>
  <c r="R205" i="17"/>
  <c r="D206" i="17"/>
  <c r="B228" i="25"/>
  <c r="B229" i="25" s="1"/>
  <c r="B230" i="25" s="1"/>
  <c r="C275" i="14"/>
  <c r="L111" i="30"/>
  <c r="R111" i="30"/>
  <c r="G110" i="12"/>
  <c r="D33" i="32" s="1"/>
  <c r="H70" i="12"/>
  <c r="E33" i="17" s="1"/>
  <c r="B218" i="30"/>
  <c r="B192" i="32"/>
  <c r="W248" i="38"/>
  <c r="B194" i="17"/>
  <c r="L56" i="76"/>
  <c r="L61" i="76" s="1"/>
  <c r="L58" i="76" s="1"/>
  <c r="H23" i="76"/>
  <c r="U23" i="76" s="1"/>
  <c r="S25" i="76"/>
  <c r="B157" i="23"/>
  <c r="R25" i="76"/>
  <c r="H22" i="76"/>
  <c r="U22" i="76" s="1"/>
  <c r="Q298" i="40"/>
  <c r="Q167" i="40"/>
  <c r="Q140" i="40"/>
  <c r="Q203" i="40"/>
  <c r="Q235" i="40"/>
  <c r="Q204" i="40"/>
  <c r="Q262" i="40"/>
  <c r="Q261" i="40"/>
  <c r="X111" i="40"/>
  <c r="Q299" i="40"/>
  <c r="Q166" i="40"/>
  <c r="B22" i="19"/>
  <c r="V282" i="19"/>
  <c r="B162" i="23"/>
  <c r="B206" i="23"/>
  <c r="K155" i="20"/>
  <c r="K133" i="20"/>
  <c r="B301" i="32"/>
  <c r="E275" i="38"/>
  <c r="L94" i="19"/>
  <c r="DS21" i="18"/>
  <c r="DS26" i="18"/>
  <c r="DR21" i="18"/>
  <c r="DR26" i="18"/>
  <c r="BR41" i="76"/>
  <c r="BS28" i="76"/>
  <c r="I155" i="20"/>
  <c r="I133" i="20"/>
  <c r="B287" i="32"/>
  <c r="P155" i="20"/>
  <c r="E170" i="32"/>
  <c r="K146" i="20"/>
  <c r="E51" i="14"/>
  <c r="E54" i="14"/>
  <c r="H149" i="20"/>
  <c r="Q155" i="19"/>
  <c r="J155" i="19" s="1"/>
  <c r="Q156" i="19"/>
  <c r="J156" i="19" s="1"/>
  <c r="Q148" i="19"/>
  <c r="Q111" i="19"/>
  <c r="Q199" i="19"/>
  <c r="Q163" i="19"/>
  <c r="J163" i="19" s="1"/>
  <c r="Q106" i="19"/>
  <c r="Q245" i="19"/>
  <c r="Q265" i="19"/>
  <c r="J265" i="19" s="1"/>
  <c r="Q133" i="19"/>
  <c r="J133" i="19" s="1"/>
  <c r="Q162" i="19"/>
  <c r="Q119" i="19"/>
  <c r="J119" i="19" s="1"/>
  <c r="X77" i="19"/>
  <c r="Q120" i="19"/>
  <c r="Q227" i="19"/>
  <c r="Q105" i="19"/>
  <c r="J105" i="19" s="1"/>
  <c r="Q134" i="19"/>
  <c r="Q220" i="19"/>
  <c r="Q258" i="19"/>
  <c r="J258" i="19" s="1"/>
  <c r="Q214" i="19"/>
  <c r="J214" i="19" s="1"/>
  <c r="Q104" i="19"/>
  <c r="Q259" i="19"/>
  <c r="Q157" i="19"/>
  <c r="Q222" i="19"/>
  <c r="Q164" i="19"/>
  <c r="Q237" i="19"/>
  <c r="J237" i="19" s="1"/>
  <c r="Q200" i="19"/>
  <c r="J200" i="19" s="1"/>
  <c r="Q236" i="19"/>
  <c r="Q143" i="19"/>
  <c r="Q171" i="19"/>
  <c r="Q264" i="19"/>
  <c r="Q142" i="19"/>
  <c r="J142" i="19" s="1"/>
  <c r="Q113" i="19"/>
  <c r="Q215" i="19"/>
  <c r="Q243" i="19"/>
  <c r="Q207" i="19"/>
  <c r="J207" i="19" s="1"/>
  <c r="Q250" i="19"/>
  <c r="Q229" i="19"/>
  <c r="Q221" i="19"/>
  <c r="J221" i="19" s="1"/>
  <c r="Q141" i="19"/>
  <c r="Q127" i="19"/>
  <c r="Q201" i="19"/>
  <c r="Q252" i="19"/>
  <c r="Q112" i="19"/>
  <c r="J112" i="19" s="1"/>
  <c r="Q170" i="19"/>
  <c r="J170" i="19" s="1"/>
  <c r="Q125" i="19"/>
  <c r="Q208" i="19"/>
  <c r="Q149" i="19"/>
  <c r="J149" i="19" s="1"/>
  <c r="Q257" i="19"/>
  <c r="Q238" i="19"/>
  <c r="Q169" i="19"/>
  <c r="Q213" i="19"/>
  <c r="Q132" i="19"/>
  <c r="Q228" i="19"/>
  <c r="J228" i="19" s="1"/>
  <c r="Q118" i="19"/>
  <c r="Q206" i="19"/>
  <c r="Q126" i="19"/>
  <c r="J126" i="19" s="1"/>
  <c r="Q266" i="19"/>
  <c r="Q150" i="19"/>
  <c r="Q244" i="19"/>
  <c r="J244" i="19" s="1"/>
  <c r="Q251" i="19"/>
  <c r="J251" i="19" s="1"/>
  <c r="Q273" i="19"/>
  <c r="B301" i="89"/>
  <c r="J94" i="12"/>
  <c r="G27" i="38" s="1"/>
  <c r="Z86" i="18" s="1"/>
  <c r="AY165" i="18" s="1"/>
  <c r="J86" i="85" s="1"/>
  <c r="G27" i="17"/>
  <c r="B265" i="32"/>
  <c r="B185" i="89"/>
  <c r="R111" i="38"/>
  <c r="L111" i="38"/>
  <c r="B294" i="23"/>
  <c r="C149" i="89"/>
  <c r="B164" i="17"/>
  <c r="B157" i="30"/>
  <c r="E259" i="38"/>
  <c r="D200" i="89"/>
  <c r="L111" i="40"/>
  <c r="R111" i="40"/>
  <c r="C7" i="17"/>
  <c r="C11" i="17"/>
  <c r="V283" i="19"/>
  <c r="B23" i="19"/>
  <c r="C33" i="2" s="1"/>
  <c r="B208" i="30"/>
  <c r="E237" i="89"/>
  <c r="O146" i="20"/>
  <c r="L26" i="82" s="1"/>
  <c r="B131" i="23"/>
  <c r="J146" i="20"/>
  <c r="J149" i="20"/>
  <c r="P846" i="76"/>
  <c r="N1062" i="76"/>
  <c r="AU354" i="76"/>
  <c r="O908" i="76"/>
  <c r="AY390" i="76"/>
  <c r="AX122" i="76"/>
  <c r="AW556" i="76"/>
  <c r="O154" i="76"/>
  <c r="AW618" i="76"/>
  <c r="R845" i="76"/>
  <c r="AU550" i="76"/>
  <c r="AZ255" i="76"/>
  <c r="AW630" i="76"/>
  <c r="AW388" i="76"/>
  <c r="AZ272" i="76"/>
  <c r="AV536" i="76"/>
  <c r="P397" i="76"/>
  <c r="AU591" i="76"/>
  <c r="AX501" i="76"/>
  <c r="AW571" i="76"/>
  <c r="N576" i="76"/>
  <c r="Q713" i="76"/>
  <c r="O644" i="76"/>
  <c r="AX437" i="76"/>
  <c r="AV925" i="76"/>
  <c r="AX854" i="76"/>
  <c r="O275" i="76"/>
  <c r="AY793" i="76"/>
  <c r="AU181" i="76"/>
  <c r="R833" i="76"/>
  <c r="AV541" i="76"/>
  <c r="AX529" i="76"/>
  <c r="AW607" i="76"/>
  <c r="AZ352" i="76"/>
  <c r="S333" i="76"/>
  <c r="AV1022" i="76"/>
  <c r="O951" i="76"/>
  <c r="AW746" i="76"/>
  <c r="P1018" i="76"/>
  <c r="AV819" i="76"/>
  <c r="N724" i="76"/>
  <c r="P71" i="76"/>
  <c r="AX974" i="76"/>
  <c r="S268" i="76"/>
  <c r="AY224" i="76"/>
  <c r="AX629" i="76"/>
  <c r="AX759" i="76"/>
  <c r="N958" i="76"/>
  <c r="N900" i="76"/>
  <c r="N661" i="76"/>
  <c r="AU985" i="76"/>
  <c r="AY124" i="76"/>
  <c r="AU647" i="76"/>
  <c r="AV206" i="76"/>
  <c r="AW859" i="76"/>
  <c r="AZ205" i="76"/>
  <c r="AX173" i="76"/>
  <c r="P756" i="76"/>
  <c r="P504" i="76"/>
  <c r="AU841" i="76"/>
  <c r="O583" i="76"/>
  <c r="O361" i="76"/>
  <c r="S937" i="76"/>
  <c r="AY1031" i="76"/>
  <c r="AX957" i="76"/>
  <c r="AV652" i="76"/>
  <c r="O945" i="76"/>
  <c r="AU126" i="76"/>
  <c r="AX828" i="76"/>
  <c r="AW966" i="76"/>
  <c r="AX399" i="76"/>
  <c r="AY383" i="76"/>
  <c r="AV310" i="76"/>
  <c r="AU544" i="76"/>
  <c r="R977" i="76"/>
  <c r="Q858" i="76"/>
  <c r="N445" i="76"/>
  <c r="AW666" i="76"/>
  <c r="AY504" i="76"/>
  <c r="Q130" i="76"/>
  <c r="AV463" i="76"/>
  <c r="AX587" i="76"/>
  <c r="AX555" i="76"/>
  <c r="R934" i="76"/>
  <c r="AY652" i="76"/>
  <c r="AZ442" i="76"/>
  <c r="S711" i="76"/>
  <c r="Q175" i="76"/>
  <c r="AW726" i="76"/>
  <c r="AW313" i="76"/>
  <c r="AX550" i="76"/>
  <c r="R811" i="76"/>
  <c r="AV503" i="76"/>
  <c r="AX282" i="76"/>
  <c r="AZ194" i="76"/>
  <c r="AY298" i="76"/>
  <c r="AX526" i="76"/>
  <c r="AV969" i="76"/>
  <c r="P70" i="76"/>
  <c r="S469" i="76"/>
  <c r="AW734" i="76"/>
  <c r="R349" i="76"/>
  <c r="AV146" i="76"/>
  <c r="Q199" i="76"/>
  <c r="AW827" i="76"/>
  <c r="S142" i="76"/>
  <c r="AX906" i="76"/>
  <c r="O558" i="76"/>
  <c r="AV909" i="76"/>
  <c r="AV608" i="76"/>
  <c r="AX135" i="76"/>
  <c r="AY466" i="76"/>
  <c r="AV490" i="76"/>
  <c r="AU710" i="76"/>
  <c r="Q668" i="76"/>
  <c r="AW880" i="76"/>
  <c r="AV588" i="76"/>
  <c r="AX142" i="76"/>
  <c r="N789" i="76"/>
  <c r="AW1044" i="76"/>
  <c r="AZ1013" i="76"/>
  <c r="AW703" i="76"/>
  <c r="N528" i="76"/>
  <c r="AU249" i="76"/>
  <c r="AU1010" i="76"/>
  <c r="AV343" i="76"/>
  <c r="AV1043" i="76"/>
  <c r="Q527" i="76"/>
  <c r="R119" i="76"/>
  <c r="AX497" i="76"/>
  <c r="AU202" i="76"/>
  <c r="AX1056" i="76"/>
  <c r="S77" i="76"/>
  <c r="AZ277" i="76"/>
  <c r="AU630" i="76"/>
  <c r="AW905" i="76"/>
  <c r="AV567" i="76"/>
  <c r="AZ389" i="76"/>
  <c r="AU973" i="76"/>
  <c r="AX733" i="76"/>
  <c r="AW603" i="76"/>
  <c r="R252" i="76"/>
  <c r="AX503" i="76"/>
  <c r="AZ1032" i="76"/>
  <c r="AZ817" i="76"/>
  <c r="AX245" i="76"/>
  <c r="S951" i="76"/>
  <c r="AX153" i="76"/>
  <c r="AV725" i="76"/>
  <c r="AX930" i="76"/>
  <c r="AX756" i="76"/>
  <c r="AW149" i="76"/>
  <c r="AY956" i="76"/>
  <c r="Q276" i="76"/>
  <c r="AU676" i="76"/>
  <c r="AU827" i="76"/>
  <c r="AV144" i="76"/>
  <c r="AY278" i="76"/>
  <c r="S963" i="76"/>
  <c r="AY452" i="76"/>
  <c r="P189" i="76"/>
  <c r="AV986" i="76"/>
  <c r="R479" i="76"/>
  <c r="AV229" i="76"/>
  <c r="AY659" i="76"/>
  <c r="AX1028" i="76"/>
  <c r="N314" i="76"/>
  <c r="N306" i="76"/>
  <c r="N885" i="76"/>
  <c r="AW146" i="76"/>
  <c r="AV176" i="76"/>
  <c r="S352" i="76"/>
  <c r="AX1060" i="76"/>
  <c r="AW209" i="76"/>
  <c r="AX710" i="76"/>
  <c r="S487" i="76"/>
  <c r="AX730" i="76"/>
  <c r="AY797" i="76"/>
  <c r="AU848" i="76"/>
  <c r="O738" i="76"/>
  <c r="AV345" i="76"/>
  <c r="N850" i="76"/>
  <c r="AZ464" i="76"/>
  <c r="AV383" i="76"/>
  <c r="AX914" i="76"/>
  <c r="AX837" i="76"/>
  <c r="Q973" i="76"/>
  <c r="AY677" i="76"/>
  <c r="AY145" i="76"/>
  <c r="R565" i="76"/>
  <c r="AX683" i="76"/>
  <c r="P147" i="76"/>
  <c r="AZ562" i="76"/>
  <c r="AW525" i="76"/>
  <c r="O835" i="76"/>
  <c r="AV522" i="76"/>
  <c r="AY863" i="76"/>
  <c r="O940" i="76"/>
  <c r="O87" i="76"/>
  <c r="AZ724" i="76"/>
  <c r="AU381" i="76"/>
  <c r="Q126" i="76"/>
  <c r="R593" i="76"/>
  <c r="AV929" i="76"/>
  <c r="AZ698" i="76"/>
  <c r="AY922" i="76"/>
  <c r="AZ566" i="76"/>
  <c r="N85" i="76"/>
  <c r="AX507" i="76"/>
  <c r="AX616" i="76"/>
  <c r="Q123" i="76"/>
  <c r="Q240" i="76"/>
  <c r="O689" i="76"/>
  <c r="AW741" i="76"/>
  <c r="AX169" i="76"/>
  <c r="AV361" i="76"/>
  <c r="R910" i="76"/>
  <c r="AX269" i="76"/>
  <c r="S157" i="76"/>
  <c r="AX175" i="76"/>
  <c r="R107" i="76"/>
  <c r="AU706" i="76"/>
  <c r="AV385" i="76"/>
  <c r="AW239" i="76"/>
  <c r="P281" i="76"/>
  <c r="N896" i="76"/>
  <c r="AZ966" i="76"/>
  <c r="AV812" i="76"/>
  <c r="N118" i="76"/>
  <c r="AZ765" i="76"/>
  <c r="S1052" i="76"/>
  <c r="AY832" i="76"/>
  <c r="AU395" i="76"/>
  <c r="P466" i="76"/>
  <c r="AX324" i="76"/>
  <c r="P871" i="76"/>
  <c r="AZ797" i="76"/>
  <c r="AX822" i="76"/>
  <c r="P556" i="76"/>
  <c r="AY253" i="76"/>
  <c r="AX1066" i="76"/>
  <c r="AX720" i="76"/>
  <c r="AX204" i="76"/>
  <c r="S780" i="76"/>
  <c r="AU873" i="76"/>
  <c r="AW528" i="76"/>
  <c r="S666" i="76"/>
  <c r="Q456" i="76"/>
  <c r="AU210" i="76"/>
  <c r="AU298" i="76"/>
  <c r="AU1036" i="76"/>
  <c r="O971" i="76"/>
  <c r="AU655" i="76"/>
  <c r="P802" i="76"/>
  <c r="AU678" i="76"/>
  <c r="AZ647" i="76"/>
  <c r="P114" i="76"/>
  <c r="S299" i="76"/>
  <c r="P964" i="76"/>
  <c r="AW1016" i="76"/>
  <c r="AU767" i="76"/>
  <c r="Q428" i="76"/>
  <c r="AV554" i="76"/>
  <c r="AZ852" i="76"/>
  <c r="AY141" i="76"/>
  <c r="R425" i="76"/>
  <c r="AY431" i="76"/>
  <c r="AW1006" i="76"/>
  <c r="AZ145" i="76"/>
  <c r="AU892" i="76"/>
  <c r="AY92" i="76"/>
  <c r="AU717" i="76"/>
  <c r="AY102" i="76"/>
  <c r="N192" i="76"/>
  <c r="P255" i="76"/>
  <c r="AY105" i="76"/>
  <c r="O1044" i="76"/>
  <c r="P926" i="76"/>
  <c r="O942" i="76"/>
  <c r="P785" i="76"/>
  <c r="S709" i="76"/>
  <c r="S536" i="76"/>
  <c r="O747" i="76"/>
  <c r="Q319" i="76"/>
  <c r="N303" i="76"/>
  <c r="P335" i="76"/>
  <c r="R967" i="76"/>
  <c r="R1053" i="76"/>
  <c r="Q827" i="76"/>
  <c r="Q692" i="76"/>
  <c r="O651" i="76"/>
  <c r="R794" i="76"/>
  <c r="S377" i="76"/>
  <c r="R288" i="76"/>
  <c r="O355" i="76"/>
  <c r="S71" i="76"/>
  <c r="R1004" i="76"/>
  <c r="R950" i="76"/>
  <c r="O763" i="76"/>
  <c r="P625" i="76"/>
  <c r="N628" i="76"/>
  <c r="S485" i="76"/>
  <c r="R418" i="76"/>
  <c r="R432" i="76"/>
  <c r="S555" i="76"/>
  <c r="R144" i="76"/>
  <c r="Q1041" i="76"/>
  <c r="O931" i="76"/>
  <c r="Q1055" i="76"/>
  <c r="R937" i="76"/>
  <c r="N972" i="76"/>
  <c r="Q798" i="76"/>
  <c r="P724" i="76"/>
  <c r="O546" i="76"/>
  <c r="N319" i="76"/>
  <c r="S330" i="76"/>
  <c r="R312" i="76"/>
  <c r="Q361" i="76"/>
  <c r="N977" i="76"/>
  <c r="Q945" i="76"/>
  <c r="S838" i="76"/>
  <c r="S703" i="76"/>
  <c r="Q662" i="76"/>
  <c r="N886" i="76"/>
  <c r="O387" i="76"/>
  <c r="N298" i="76"/>
  <c r="P367" i="76"/>
  <c r="O81" i="76"/>
  <c r="N1014" i="76"/>
  <c r="N988" i="76"/>
  <c r="S777" i="76"/>
  <c r="R636" i="76"/>
  <c r="O648" i="76"/>
  <c r="O495" i="76"/>
  <c r="N428" i="76"/>
  <c r="N450" i="76"/>
  <c r="P639" i="76"/>
  <c r="N154" i="76"/>
  <c r="S1064" i="76"/>
  <c r="S956" i="76"/>
  <c r="S1066" i="76"/>
  <c r="N947" i="76"/>
  <c r="S1033" i="76"/>
  <c r="N813" i="76"/>
  <c r="Q737" i="76"/>
  <c r="R557" i="76"/>
  <c r="P330" i="76"/>
  <c r="O340" i="76"/>
  <c r="Q324" i="76"/>
  <c r="O390" i="76"/>
  <c r="P988" i="76"/>
  <c r="O961" i="76"/>
  <c r="O848" i="76"/>
  <c r="O713" i="76"/>
  <c r="P682" i="76"/>
  <c r="P534" i="76"/>
  <c r="Q398" i="76"/>
  <c r="N308" i="76"/>
  <c r="N381" i="76"/>
  <c r="Q92" i="76"/>
  <c r="P1025" i="76"/>
  <c r="S1068" i="76"/>
  <c r="P792" i="76"/>
  <c r="N646" i="76"/>
  <c r="N667" i="76"/>
  <c r="Q506" i="76"/>
  <c r="P439" i="76"/>
  <c r="O488" i="76"/>
  <c r="S185" i="76"/>
  <c r="P165" i="76"/>
  <c r="N1000" i="76"/>
  <c r="R997" i="76"/>
  <c r="Q991" i="76"/>
  <c r="R952" i="76"/>
  <c r="R852" i="76"/>
  <c r="S909" i="76"/>
  <c r="R641" i="76"/>
  <c r="P722" i="76"/>
  <c r="N545" i="76"/>
  <c r="Q523" i="76"/>
  <c r="P250" i="76"/>
  <c r="O216" i="76"/>
  <c r="Q1024" i="76"/>
  <c r="S1025" i="76"/>
  <c r="S774" i="76"/>
  <c r="Q816" i="76"/>
  <c r="Q598" i="76"/>
  <c r="P635" i="76"/>
  <c r="Q615" i="76"/>
  <c r="N234" i="76"/>
  <c r="Q290" i="76"/>
  <c r="O378" i="76"/>
  <c r="S1021" i="76"/>
  <c r="N866" i="76"/>
  <c r="P707" i="76"/>
  <c r="R572" i="76"/>
  <c r="R559" i="76"/>
  <c r="Q750" i="76"/>
  <c r="N738" i="76"/>
  <c r="P337" i="76"/>
  <c r="Q342" i="76"/>
  <c r="N90" i="76"/>
  <c r="N1011" i="76"/>
  <c r="R857" i="76"/>
  <c r="O1012" i="76"/>
  <c r="Q882" i="76"/>
  <c r="P662" i="76"/>
  <c r="N608" i="76"/>
  <c r="N271" i="76"/>
  <c r="O1045" i="76"/>
  <c r="Q795" i="76"/>
  <c r="O619" i="76"/>
  <c r="R711" i="76"/>
  <c r="R310" i="76"/>
  <c r="Q1062" i="76"/>
  <c r="N728" i="76"/>
  <c r="R586" i="76"/>
  <c r="R386" i="76"/>
  <c r="P413" i="76"/>
  <c r="R1057" i="76"/>
  <c r="O769" i="76"/>
  <c r="S648" i="76"/>
  <c r="O703" i="76"/>
  <c r="P422" i="76"/>
  <c r="O432" i="76"/>
  <c r="Q501" i="76"/>
  <c r="P116" i="76"/>
  <c r="N969" i="76"/>
  <c r="S830" i="76"/>
  <c r="Q654" i="76"/>
  <c r="O379" i="76"/>
  <c r="N358" i="76"/>
  <c r="S128" i="76"/>
  <c r="R555" i="76"/>
  <c r="S222" i="76"/>
  <c r="AU1022" i="76"/>
  <c r="AU498" i="76"/>
  <c r="AZ696" i="76"/>
  <c r="AV914" i="76"/>
  <c r="AZ208" i="76"/>
  <c r="AU413" i="76"/>
  <c r="AY294" i="76"/>
  <c r="AU371" i="76"/>
  <c r="AU379" i="76"/>
  <c r="AY380" i="76"/>
  <c r="AW267" i="76"/>
  <c r="Q892" i="76"/>
  <c r="O797" i="76"/>
  <c r="Q623" i="76"/>
  <c r="Q400" i="76"/>
  <c r="Q160" i="76"/>
  <c r="N970" i="76"/>
  <c r="P633" i="76"/>
  <c r="S493" i="76"/>
  <c r="R448" i="76"/>
  <c r="N162" i="76"/>
  <c r="P970" i="76"/>
  <c r="S664" i="76"/>
  <c r="P438" i="76"/>
  <c r="P551" i="76"/>
  <c r="S994" i="76"/>
  <c r="R854" i="76"/>
  <c r="N643" i="76"/>
  <c r="P552" i="76"/>
  <c r="R253" i="76"/>
  <c r="S1019" i="76"/>
  <c r="O768" i="76"/>
  <c r="R608" i="76"/>
  <c r="Q605" i="76"/>
  <c r="O467" i="76"/>
  <c r="N400" i="76"/>
  <c r="N394" i="76"/>
  <c r="S460" i="76"/>
  <c r="P137" i="76"/>
  <c r="P786" i="76"/>
  <c r="P721" i="76"/>
  <c r="R501" i="76"/>
  <c r="S252" i="76"/>
  <c r="O466" i="76"/>
  <c r="P437" i="76"/>
  <c r="AV1051" i="76"/>
  <c r="P234" i="76"/>
  <c r="AY680" i="76"/>
  <c r="AU898" i="76"/>
  <c r="AW193" i="76"/>
  <c r="AU389" i="76"/>
  <c r="AV595" i="76"/>
  <c r="AX652" i="76"/>
  <c r="AZ742" i="76"/>
  <c r="AZ118" i="76"/>
  <c r="AZ498" i="76"/>
  <c r="AV700" i="76"/>
  <c r="O1023" i="76"/>
  <c r="R710" i="76"/>
  <c r="P563" i="76"/>
  <c r="P761" i="76"/>
  <c r="S349" i="76"/>
  <c r="P280" i="76"/>
  <c r="N135" i="76"/>
  <c r="AU972" i="76"/>
  <c r="AU1029" i="76"/>
  <c r="AY382" i="76"/>
  <c r="AZ580" i="76"/>
  <c r="AU775" i="76"/>
  <c r="AZ92" i="76"/>
  <c r="AW297" i="76"/>
  <c r="AU784" i="76"/>
  <c r="AV989" i="76"/>
  <c r="AZ74" i="76"/>
  <c r="AW539" i="76"/>
  <c r="AX1033" i="76"/>
  <c r="N879" i="76"/>
  <c r="N662" i="76"/>
  <c r="Q522" i="76"/>
  <c r="R533" i="76"/>
  <c r="O1054" i="76"/>
  <c r="R644" i="76"/>
  <c r="O503" i="76"/>
  <c r="P482" i="76"/>
  <c r="P173" i="76"/>
  <c r="N1047" i="76"/>
  <c r="S674" i="76"/>
  <c r="R449" i="76"/>
  <c r="R610" i="76"/>
  <c r="O1004" i="76"/>
  <c r="O872" i="76"/>
  <c r="P654" i="76"/>
  <c r="S584" i="76"/>
  <c r="N263" i="76"/>
  <c r="O1029" i="76"/>
  <c r="Q779" i="76"/>
  <c r="N618" i="76"/>
  <c r="P620" i="76"/>
  <c r="Q478" i="76"/>
  <c r="P411" i="76"/>
  <c r="P417" i="76"/>
  <c r="O517" i="76"/>
  <c r="N956" i="76"/>
  <c r="S612" i="76"/>
  <c r="O290" i="76"/>
  <c r="Q856" i="76"/>
  <c r="S824" i="76"/>
  <c r="O302" i="76"/>
  <c r="P929" i="76"/>
  <c r="P698" i="76"/>
  <c r="O605" i="76"/>
  <c r="R933" i="76"/>
  <c r="P661" i="76"/>
  <c r="N683" i="76"/>
  <c r="N612" i="76"/>
  <c r="N361" i="76"/>
  <c r="Q963" i="76"/>
  <c r="P795" i="76"/>
  <c r="S566" i="76"/>
  <c r="P606" i="76"/>
  <c r="S125" i="76"/>
  <c r="AY906" i="76"/>
  <c r="AV1057" i="76"/>
  <c r="AV316" i="76"/>
  <c r="AW300" i="76"/>
  <c r="AW261" i="76"/>
  <c r="AY233" i="76"/>
  <c r="AV227" i="76"/>
  <c r="AW592" i="76"/>
  <c r="AW278" i="76"/>
  <c r="Q1060" i="76"/>
  <c r="R792" i="76"/>
  <c r="P590" i="76"/>
  <c r="Q330" i="76"/>
  <c r="S149" i="76"/>
  <c r="AW1034" i="76"/>
  <c r="AV956" i="76"/>
  <c r="AW713" i="76"/>
  <c r="AU814" i="76"/>
  <c r="AY983" i="76"/>
  <c r="AV134" i="76"/>
  <c r="AY245" i="76"/>
  <c r="AW487" i="76"/>
  <c r="AZ396" i="76"/>
  <c r="AZ129" i="76"/>
  <c r="AU453" i="76"/>
  <c r="S949" i="76"/>
  <c r="S804" i="76"/>
  <c r="R675" i="76"/>
  <c r="Q364" i="76"/>
  <c r="R278" i="76"/>
  <c r="R169" i="76"/>
  <c r="AX990" i="76"/>
  <c r="AZ1036" i="76"/>
  <c r="AU618" i="76"/>
  <c r="AY816" i="76"/>
  <c r="AY132" i="76"/>
  <c r="AX328" i="76"/>
  <c r="AX534" i="76"/>
  <c r="AZ531" i="76"/>
  <c r="AV616" i="76"/>
  <c r="AU902" i="76"/>
  <c r="Q842" i="76"/>
  <c r="N600" i="76"/>
  <c r="S257" i="76"/>
  <c r="Q853" i="76"/>
  <c r="R697" i="76"/>
  <c r="R427" i="76"/>
  <c r="P806" i="76"/>
  <c r="R573" i="76"/>
  <c r="Q459" i="76"/>
  <c r="O852" i="76"/>
  <c r="R680" i="76"/>
  <c r="S598" i="76"/>
  <c r="Q315" i="76"/>
  <c r="N354" i="76"/>
  <c r="S981" i="76"/>
  <c r="Q887" i="76"/>
  <c r="P334" i="76"/>
  <c r="S282" i="76"/>
  <c r="P454" i="76"/>
  <c r="AZ977" i="76"/>
  <c r="AZ963" i="76"/>
  <c r="AZ135" i="76"/>
  <c r="AU118" i="76"/>
  <c r="AZ80" i="76"/>
  <c r="AZ881" i="76"/>
  <c r="AX591" i="76"/>
  <c r="AU753" i="76"/>
  <c r="AU458" i="76"/>
  <c r="S1040" i="76"/>
  <c r="N638" i="76"/>
  <c r="O423" i="76"/>
  <c r="R115" i="76"/>
  <c r="N96" i="76"/>
  <c r="AX875" i="76"/>
  <c r="R130" i="76"/>
  <c r="AY564" i="76"/>
  <c r="AV654" i="76"/>
  <c r="AW754" i="76"/>
  <c r="AV871" i="76"/>
  <c r="AY85" i="76"/>
  <c r="AZ169" i="76"/>
  <c r="AZ78" i="76"/>
  <c r="AX488" i="76"/>
  <c r="AU81" i="76"/>
  <c r="Q937" i="76"/>
  <c r="Q649" i="76"/>
  <c r="N509" i="76"/>
  <c r="R307" i="76"/>
  <c r="Q109" i="76"/>
  <c r="S308" i="76"/>
  <c r="Q74" i="76"/>
  <c r="AY988" i="76"/>
  <c r="AZ480" i="76"/>
  <c r="AX677" i="76"/>
  <c r="AX881" i="76"/>
  <c r="AX189" i="76"/>
  <c r="AZ395" i="76"/>
  <c r="AX255" i="76"/>
  <c r="AY337" i="76"/>
  <c r="AV299" i="76"/>
  <c r="N672" i="76"/>
  <c r="R373" i="76"/>
  <c r="O165" i="76"/>
  <c r="P727" i="76"/>
  <c r="O529" i="76"/>
  <c r="O438" i="76"/>
  <c r="N861" i="76"/>
  <c r="N583" i="76"/>
  <c r="N101" i="76"/>
  <c r="O832" i="76"/>
  <c r="N793" i="76"/>
  <c r="Q491" i="76"/>
  <c r="P229" i="76"/>
  <c r="N378" i="76"/>
  <c r="S1060" i="76"/>
  <c r="Q878" i="76"/>
  <c r="P387" i="76"/>
  <c r="Q116" i="76"/>
  <c r="N189" i="76"/>
  <c r="AY982" i="76"/>
  <c r="AW866" i="76"/>
  <c r="AY824" i="76"/>
  <c r="AY785" i="76"/>
  <c r="AZ777" i="76"/>
  <c r="AZ547" i="76"/>
  <c r="AY162" i="76"/>
  <c r="AV697" i="76"/>
  <c r="AZ490" i="76"/>
  <c r="P898" i="76"/>
  <c r="N635" i="76"/>
  <c r="R474" i="76"/>
  <c r="Q213" i="76"/>
  <c r="N651" i="76"/>
  <c r="S155" i="76"/>
  <c r="R736" i="76"/>
  <c r="R629" i="76"/>
  <c r="Q549" i="76"/>
  <c r="R1040" i="76"/>
  <c r="Q762" i="76"/>
  <c r="N505" i="76"/>
  <c r="Q76" i="76"/>
  <c r="N737" i="76"/>
  <c r="O294" i="76"/>
  <c r="P162" i="76"/>
  <c r="AX1016" i="76"/>
  <c r="AZ632" i="76"/>
  <c r="AW917" i="76"/>
  <c r="AZ486" i="76"/>
  <c r="AV569" i="76"/>
  <c r="S975" i="76"/>
  <c r="N498" i="76"/>
  <c r="Q413" i="76"/>
  <c r="N92" i="76"/>
  <c r="AZ978" i="76"/>
  <c r="AW489" i="76"/>
  <c r="AW312" i="76"/>
  <c r="AZ156" i="76"/>
  <c r="AU849" i="76"/>
  <c r="AU204" i="76"/>
  <c r="AU237" i="76"/>
  <c r="AY214" i="76"/>
  <c r="Q754" i="76"/>
  <c r="Q458" i="76"/>
  <c r="N838" i="76"/>
  <c r="N120" i="76"/>
  <c r="AV1011" i="76"/>
  <c r="AW870" i="76"/>
  <c r="AX180" i="76"/>
  <c r="AW153" i="76"/>
  <c r="AX125" i="76"/>
  <c r="AY97" i="76"/>
  <c r="AZ662" i="76"/>
  <c r="AX523" i="76"/>
  <c r="AW587" i="76"/>
  <c r="AW223" i="76"/>
  <c r="R935" i="76"/>
  <c r="Q725" i="76"/>
  <c r="S582" i="76"/>
  <c r="R196" i="76"/>
  <c r="Q268" i="76"/>
  <c r="R298" i="76"/>
  <c r="AV911" i="76"/>
  <c r="AU929" i="76"/>
  <c r="AW793" i="76"/>
  <c r="AV109" i="76"/>
  <c r="AY307" i="76"/>
  <c r="AU503" i="76"/>
  <c r="AZ709" i="76"/>
  <c r="AZ931" i="76"/>
  <c r="AX242" i="76"/>
  <c r="AX342" i="76"/>
  <c r="AZ432" i="76"/>
  <c r="AV151" i="76"/>
  <c r="R1000" i="76"/>
  <c r="N623" i="76"/>
  <c r="P531" i="76"/>
  <c r="S816" i="76"/>
  <c r="S230" i="76"/>
  <c r="Q774" i="76"/>
  <c r="P121" i="76"/>
  <c r="S559" i="76"/>
  <c r="O997" i="76"/>
  <c r="R820" i="76"/>
  <c r="P520" i="76"/>
  <c r="O97" i="76"/>
  <c r="N796" i="76"/>
  <c r="P340" i="76"/>
  <c r="S216" i="76"/>
  <c r="AZ1039" i="76"/>
  <c r="AX653" i="76"/>
  <c r="AX69" i="76"/>
  <c r="AU568" i="76"/>
  <c r="AZ743" i="76"/>
  <c r="S1039" i="76"/>
  <c r="Q589" i="76"/>
  <c r="O510" i="76"/>
  <c r="P179" i="76"/>
  <c r="AX999" i="76"/>
  <c r="AY500" i="76"/>
  <c r="AW344" i="76"/>
  <c r="AZ188" i="76"/>
  <c r="AZ904" i="76"/>
  <c r="AZ249" i="76"/>
  <c r="AU324" i="76"/>
  <c r="AY365" i="76"/>
  <c r="O849" i="76"/>
  <c r="S501" i="76"/>
  <c r="S201" i="76"/>
  <c r="R166" i="76"/>
  <c r="AZ1033" i="76"/>
  <c r="AV882" i="76"/>
  <c r="AV201" i="76"/>
  <c r="AU174" i="76"/>
  <c r="AZ136" i="76"/>
  <c r="AW118" i="76"/>
  <c r="AX703" i="76"/>
  <c r="AZ706" i="76"/>
  <c r="AU628" i="76"/>
  <c r="AU422" i="76"/>
  <c r="O963" i="76"/>
  <c r="P771" i="76"/>
  <c r="S611" i="76"/>
  <c r="P217" i="76"/>
  <c r="P328" i="76"/>
  <c r="N348" i="76"/>
  <c r="AX922" i="76"/>
  <c r="AW940" i="76"/>
  <c r="AY804" i="76"/>
  <c r="AX120" i="76"/>
  <c r="AU317" i="76"/>
  <c r="AW514" i="76"/>
  <c r="AV719" i="76"/>
  <c r="AX996" i="76"/>
  <c r="AY265" i="76"/>
  <c r="AZ365" i="76"/>
  <c r="AW473" i="76"/>
  <c r="AU300" i="76"/>
  <c r="N1042" i="76"/>
  <c r="N703" i="76"/>
  <c r="Q202" i="76"/>
  <c r="N892" i="76"/>
  <c r="N232" i="76"/>
  <c r="N750" i="76"/>
  <c r="O113" i="76"/>
  <c r="P517" i="76"/>
  <c r="S1030" i="76"/>
  <c r="N717" i="76"/>
  <c r="N432" i="76"/>
  <c r="N184" i="76"/>
  <c r="R888" i="76"/>
  <c r="N226" i="76"/>
  <c r="Q103" i="76"/>
  <c r="N175" i="76"/>
  <c r="AV738" i="76"/>
  <c r="AX165" i="76"/>
  <c r="AY742" i="76"/>
  <c r="AX826" i="76"/>
  <c r="Q1007" i="76"/>
  <c r="S613" i="76"/>
  <c r="N422" i="76"/>
  <c r="P122" i="76"/>
  <c r="AX1063" i="76"/>
  <c r="AU574" i="76"/>
  <c r="AY398" i="76"/>
  <c r="AX241" i="76"/>
  <c r="AU95" i="76"/>
  <c r="AX377" i="76"/>
  <c r="AX576" i="76"/>
  <c r="AY150" i="76"/>
  <c r="O812" i="76"/>
  <c r="N681" i="76"/>
  <c r="P336" i="76"/>
  <c r="R319" i="76"/>
  <c r="P212" i="76"/>
  <c r="AU1006" i="76"/>
  <c r="AY255" i="76"/>
  <c r="AY228" i="76"/>
  <c r="AZ200" i="76"/>
  <c r="AU171" i="76"/>
  <c r="AU808" i="76"/>
  <c r="AZ345" i="76"/>
  <c r="AY802" i="76"/>
  <c r="AW80" i="76"/>
  <c r="S952" i="76"/>
  <c r="S707" i="76"/>
  <c r="N930" i="76"/>
  <c r="N302" i="76"/>
  <c r="O85" i="76"/>
  <c r="P87" i="76"/>
  <c r="AY965" i="76"/>
  <c r="AX983" i="76"/>
  <c r="AV846" i="76"/>
  <c r="AZ163" i="76"/>
  <c r="AW360" i="76"/>
  <c r="AY557" i="76"/>
  <c r="AX762" i="76"/>
  <c r="AU79" i="76"/>
  <c r="AV346" i="76"/>
  <c r="AU446" i="76"/>
  <c r="AX640" i="76"/>
  <c r="AW969" i="76"/>
  <c r="P996" i="76"/>
  <c r="R692" i="76"/>
  <c r="N397" i="76"/>
  <c r="Q575" i="76"/>
  <c r="Q764" i="76"/>
  <c r="Q775" i="76"/>
  <c r="P1034" i="76"/>
  <c r="R369" i="76"/>
  <c r="Q1016" i="76"/>
  <c r="Q360" i="76"/>
  <c r="AV987" i="76"/>
  <c r="AZ504" i="76"/>
  <c r="AV693" i="76"/>
  <c r="AW747" i="76"/>
  <c r="O688" i="76"/>
  <c r="O317" i="76"/>
  <c r="AZ903" i="76"/>
  <c r="AZ644" i="76"/>
  <c r="AZ757" i="76"/>
  <c r="AV441" i="76"/>
  <c r="AX715" i="76"/>
  <c r="N826" i="76"/>
  <c r="O298" i="76"/>
  <c r="P146" i="76"/>
  <c r="AY1052" i="76"/>
  <c r="AV634" i="76"/>
  <c r="AV867" i="76"/>
  <c r="AW511" i="76"/>
  <c r="AV793" i="76"/>
  <c r="AZ93" i="76"/>
  <c r="S778" i="76"/>
  <c r="Q466" i="76"/>
  <c r="R147" i="76"/>
  <c r="N131" i="76"/>
  <c r="AV1004" i="76"/>
  <c r="AX473" i="76"/>
  <c r="AV253" i="76"/>
  <c r="AZ1008" i="76"/>
  <c r="AV493" i="76"/>
  <c r="AY491" i="76"/>
  <c r="AU981" i="76"/>
  <c r="O1002" i="76"/>
  <c r="N274" i="76"/>
  <c r="P316" i="76"/>
  <c r="AV1065" i="76"/>
  <c r="AX753" i="76"/>
  <c r="AW265" i="76"/>
  <c r="AW406" i="76"/>
  <c r="AW608" i="76"/>
  <c r="AU208" i="76"/>
  <c r="Q862" i="76"/>
  <c r="O376" i="76"/>
  <c r="R509" i="76"/>
  <c r="R391" i="76"/>
  <c r="AY279" i="76"/>
  <c r="AY673" i="76"/>
  <c r="AU195" i="76"/>
  <c r="AU677" i="76"/>
  <c r="AU141" i="76"/>
  <c r="R801" i="76"/>
  <c r="P524" i="76"/>
  <c r="N504" i="76"/>
  <c r="AV1059" i="76"/>
  <c r="AY688" i="76"/>
  <c r="AW201" i="76"/>
  <c r="AV603" i="76"/>
  <c r="AZ758" i="76"/>
  <c r="AZ594" i="76"/>
  <c r="R984" i="76"/>
  <c r="R602" i="76"/>
  <c r="R456" i="76"/>
  <c r="R187" i="76"/>
  <c r="P421" i="76"/>
  <c r="AV594" i="76"/>
  <c r="AV106" i="76"/>
  <c r="Q588" i="76"/>
  <c r="O783" i="76"/>
  <c r="N884" i="76"/>
  <c r="N1064" i="76"/>
  <c r="R401" i="76"/>
  <c r="S1059" i="76"/>
  <c r="O586" i="76"/>
  <c r="AZ1009" i="76"/>
  <c r="AV546" i="76"/>
  <c r="AX780" i="76"/>
  <c r="AV827" i="76"/>
  <c r="Q686" i="76"/>
  <c r="O373" i="76"/>
  <c r="AU913" i="76"/>
  <c r="AV686" i="76"/>
  <c r="AX778" i="76"/>
  <c r="AX551" i="76"/>
  <c r="AU128" i="76"/>
  <c r="O906" i="76"/>
  <c r="N374" i="76"/>
  <c r="P196" i="76"/>
  <c r="AX1064" i="76"/>
  <c r="AZ656" i="76"/>
  <c r="AZ944" i="76"/>
  <c r="AU552" i="76"/>
  <c r="AX857" i="76"/>
  <c r="AW283" i="76"/>
  <c r="Q799" i="76"/>
  <c r="O487" i="76"/>
  <c r="N197" i="76"/>
  <c r="P154" i="76"/>
  <c r="AV1036" i="76"/>
  <c r="AZ484" i="76"/>
  <c r="AX264" i="76"/>
  <c r="AX894" i="76"/>
  <c r="AX516" i="76"/>
  <c r="AY555" i="76"/>
  <c r="AW132" i="76"/>
  <c r="P1007" i="76"/>
  <c r="R368" i="76"/>
  <c r="N83" i="76"/>
  <c r="AU1025" i="76"/>
  <c r="AV774" i="76"/>
  <c r="AZ287" i="76"/>
  <c r="AV446" i="76"/>
  <c r="AY695" i="76"/>
  <c r="AU295" i="76"/>
  <c r="R752" i="76"/>
  <c r="Q419" i="76"/>
  <c r="S93" i="76"/>
  <c r="AZ891" i="76"/>
  <c r="AV300" i="76"/>
  <c r="AW694" i="76"/>
  <c r="AY217" i="76"/>
  <c r="AY723" i="76"/>
  <c r="AX214" i="76"/>
  <c r="N843" i="76"/>
  <c r="N627" i="76"/>
  <c r="N74" i="76"/>
  <c r="P166" i="76"/>
  <c r="Q958" i="76"/>
  <c r="P894" i="76"/>
  <c r="O1068" i="76"/>
  <c r="P660" i="76"/>
  <c r="P489" i="76"/>
  <c r="N105" i="76"/>
  <c r="N621" i="76"/>
  <c r="N75" i="76"/>
  <c r="AV348" i="76"/>
  <c r="AX638" i="76"/>
  <c r="AZ892" i="76"/>
  <c r="N917" i="76"/>
  <c r="P284" i="76"/>
  <c r="AZ957" i="76"/>
  <c r="AY275" i="76"/>
  <c r="AZ359" i="76"/>
  <c r="AU720" i="76"/>
  <c r="AW196" i="76"/>
  <c r="O990" i="76"/>
  <c r="O447" i="76"/>
  <c r="S186" i="76"/>
  <c r="O214" i="76"/>
  <c r="AV169" i="76"/>
  <c r="AY489" i="76"/>
  <c r="AZ659" i="76"/>
  <c r="AU729" i="76"/>
  <c r="AW236" i="76"/>
  <c r="Q907" i="76"/>
  <c r="P576" i="76"/>
  <c r="R526" i="76"/>
  <c r="S271" i="76"/>
  <c r="N516" i="76"/>
  <c r="AU782" i="76"/>
  <c r="AX585" i="76"/>
  <c r="AX364" i="76"/>
  <c r="AW154" i="76"/>
  <c r="AW409" i="76"/>
  <c r="AX386" i="76"/>
  <c r="AU125" i="76"/>
  <c r="P631" i="76"/>
  <c r="N495" i="76"/>
  <c r="N366" i="76"/>
  <c r="AU277" i="76"/>
  <c r="AU671" i="76"/>
  <c r="AW194" i="76"/>
  <c r="AW676" i="76"/>
  <c r="AU140" i="76"/>
  <c r="R797" i="76"/>
  <c r="O516" i="76"/>
  <c r="P492" i="76"/>
  <c r="AZ1057" i="76"/>
  <c r="AW685" i="76"/>
  <c r="AU198" i="76"/>
  <c r="AZ601" i="76"/>
  <c r="AX751" i="76"/>
  <c r="AX571" i="76"/>
  <c r="P1009" i="76"/>
  <c r="Q639" i="76"/>
  <c r="O592" i="76"/>
  <c r="O280" i="76"/>
  <c r="AY861" i="76"/>
  <c r="AZ608" i="76"/>
  <c r="AZ120" i="76"/>
  <c r="AU844" i="76"/>
  <c r="P906" i="76"/>
  <c r="S867" i="76"/>
  <c r="P238" i="76"/>
  <c r="P343" i="76"/>
  <c r="P579" i="76"/>
  <c r="R198" i="76"/>
  <c r="N657" i="76"/>
  <c r="S539" i="76"/>
  <c r="AU380" i="76"/>
  <c r="AZ713" i="76"/>
  <c r="AV331" i="76"/>
  <c r="O847" i="76"/>
  <c r="R179" i="76"/>
  <c r="AX978" i="76"/>
  <c r="AZ318" i="76"/>
  <c r="AZ402" i="76"/>
  <c r="AU851" i="76"/>
  <c r="AY409" i="76"/>
  <c r="O873" i="76"/>
  <c r="O602" i="76"/>
  <c r="O382" i="76"/>
  <c r="AV920" i="76"/>
  <c r="AV233" i="76"/>
  <c r="AY521" i="76"/>
  <c r="AV741" i="76"/>
  <c r="AY143" i="76"/>
  <c r="AZ799" i="76"/>
  <c r="Q951" i="76"/>
  <c r="Q632" i="76"/>
  <c r="S264" i="76"/>
  <c r="N425" i="76"/>
  <c r="AY930" i="76"/>
  <c r="AV825" i="76"/>
  <c r="AV606" i="76"/>
  <c r="AV396" i="76"/>
  <c r="AW186" i="76"/>
  <c r="AV496" i="76"/>
  <c r="AV553" i="76"/>
  <c r="AZ443" i="76"/>
  <c r="R598" i="76"/>
  <c r="S133" i="76"/>
  <c r="AX911" i="76"/>
  <c r="AV320" i="76"/>
  <c r="AW714" i="76"/>
  <c r="AY237" i="76"/>
  <c r="AY763" i="76"/>
  <c r="AV294" i="76"/>
  <c r="N882" i="76"/>
  <c r="R847" i="76"/>
  <c r="P113" i="76"/>
  <c r="R428" i="76"/>
  <c r="AY728" i="76"/>
  <c r="AW241" i="76"/>
  <c r="AV643" i="76"/>
  <c r="AY838" i="76"/>
  <c r="AY171" i="76"/>
  <c r="Q988" i="76"/>
  <c r="Q562" i="76"/>
  <c r="Q254" i="76"/>
  <c r="S154" i="76"/>
  <c r="AX933" i="76"/>
  <c r="AV650" i="76"/>
  <c r="O991" i="76"/>
  <c r="Q328" i="76"/>
  <c r="R670" i="76"/>
  <c r="S795" i="76"/>
  <c r="AX1044" i="76"/>
  <c r="AY289" i="76"/>
  <c r="S346" i="76"/>
  <c r="AW777" i="76"/>
  <c r="AW74" i="76"/>
  <c r="AW389" i="76"/>
  <c r="O293" i="76"/>
  <c r="AY608" i="76"/>
  <c r="AY352" i="76"/>
  <c r="AU756" i="76"/>
  <c r="Q790" i="76"/>
  <c r="N199" i="76"/>
  <c r="AU887" i="76"/>
  <c r="AU695" i="76"/>
  <c r="AZ328" i="76"/>
  <c r="AX771" i="76"/>
  <c r="N485" i="76"/>
  <c r="AY684" i="76"/>
  <c r="AV599" i="76"/>
  <c r="AV564" i="76"/>
  <c r="P630" i="76"/>
  <c r="Q255" i="76"/>
  <c r="AX605" i="76"/>
  <c r="AX838" i="76"/>
  <c r="AX436" i="76"/>
  <c r="P241" i="76"/>
  <c r="AV952" i="76"/>
  <c r="AY116" i="76"/>
  <c r="AV709" i="76"/>
  <c r="AY1035" i="76"/>
  <c r="R1023" i="76"/>
  <c r="P465" i="76"/>
  <c r="O489" i="76"/>
  <c r="AV1003" i="76"/>
  <c r="AU439" i="76"/>
  <c r="AY641" i="76"/>
  <c r="AW993" i="76"/>
  <c r="AV359" i="76"/>
  <c r="AZ250" i="76"/>
  <c r="S596" i="76"/>
  <c r="Q185" i="76"/>
  <c r="AX593" i="76"/>
  <c r="AX814" i="76"/>
  <c r="AY230" i="76"/>
  <c r="AW682" i="76"/>
  <c r="S700" i="76"/>
  <c r="P259" i="76"/>
  <c r="AX100" i="76"/>
  <c r="AW876" i="76"/>
  <c r="AV977" i="76"/>
  <c r="N207" i="76"/>
  <c r="AU845" i="76"/>
  <c r="O151" i="76"/>
  <c r="AY420" i="76"/>
  <c r="S446" i="76"/>
  <c r="AU905" i="76"/>
  <c r="AY709" i="76"/>
  <c r="AU749" i="76"/>
  <c r="Q788" i="76"/>
  <c r="AV197" i="76"/>
  <c r="AV350" i="76"/>
  <c r="AV443" i="76"/>
  <c r="P849" i="76"/>
  <c r="O159" i="76"/>
  <c r="AX335" i="76"/>
  <c r="AV250" i="76"/>
  <c r="AZ356" i="76"/>
  <c r="R739" i="76"/>
  <c r="S278" i="76"/>
  <c r="AU234" i="76"/>
  <c r="AW823" i="76"/>
  <c r="P1053" i="76"/>
  <c r="S213" i="76"/>
  <c r="AY893" i="76"/>
  <c r="AV142" i="76"/>
  <c r="AX861" i="76"/>
  <c r="S921" i="76"/>
  <c r="N282" i="76"/>
  <c r="AY311" i="76"/>
  <c r="Q452" i="76"/>
  <c r="AY207" i="76"/>
  <c r="AX918" i="76"/>
  <c r="AU248" i="76"/>
  <c r="N345" i="76"/>
  <c r="AW157" i="76"/>
  <c r="AZ822" i="76"/>
  <c r="AY1018" i="76"/>
  <c r="AZ893" i="76"/>
  <c r="S369" i="76"/>
  <c r="AZ901" i="76"/>
  <c r="S978" i="76"/>
  <c r="AU666" i="76"/>
  <c r="AX202" i="76"/>
  <c r="N775" i="76"/>
  <c r="S112" i="76"/>
  <c r="AV786" i="76"/>
  <c r="AZ643" i="76"/>
  <c r="AW855" i="76"/>
  <c r="R308" i="76"/>
  <c r="AY533" i="76"/>
  <c r="Q990" i="76"/>
  <c r="S734" i="76"/>
  <c r="AX383" i="76"/>
  <c r="N1049" i="76"/>
  <c r="AU129" i="76"/>
  <c r="P989" i="76"/>
  <c r="AV847" i="76"/>
  <c r="AU303" i="76"/>
  <c r="AU1018" i="76"/>
  <c r="N1030" i="76"/>
  <c r="AU762" i="76"/>
  <c r="AV708" i="76"/>
  <c r="AW1055" i="76"/>
  <c r="AU267" i="76"/>
  <c r="S111" i="76"/>
  <c r="AZ228" i="76"/>
  <c r="Q577" i="76"/>
  <c r="Q881" i="76"/>
  <c r="AW637" i="76"/>
  <c r="O678" i="76"/>
  <c r="AW234" i="76"/>
  <c r="R291" i="76"/>
  <c r="AU843" i="76"/>
  <c r="N755" i="76"/>
  <c r="O969" i="76"/>
  <c r="N356" i="76"/>
  <c r="P728" i="76"/>
  <c r="O1006" i="76"/>
  <c r="AY1027" i="76"/>
  <c r="AU307" i="76"/>
  <c r="Q367" i="76"/>
  <c r="AY788" i="76"/>
  <c r="AW106" i="76"/>
  <c r="AU245" i="76"/>
  <c r="S361" i="76"/>
  <c r="AW629" i="76"/>
  <c r="AW373" i="76"/>
  <c r="AY842" i="76"/>
  <c r="P585" i="76"/>
  <c r="R213" i="76"/>
  <c r="AX909" i="76"/>
  <c r="AW706" i="76"/>
  <c r="AX369" i="76"/>
  <c r="AW1009" i="76"/>
  <c r="S785" i="76"/>
  <c r="AW705" i="76"/>
  <c r="AZ621" i="76"/>
  <c r="AW988" i="76"/>
  <c r="R717" i="76"/>
  <c r="P557" i="76"/>
  <c r="AV626" i="76"/>
  <c r="AZ928" i="76"/>
  <c r="AZ802" i="76"/>
  <c r="R284" i="76"/>
  <c r="AZ974" i="76"/>
  <c r="AU158" i="76"/>
  <c r="AZ755" i="76"/>
  <c r="AW696" i="76"/>
  <c r="N1065" i="76"/>
  <c r="R508" i="76"/>
  <c r="Q84" i="76"/>
  <c r="AZ1025" i="76"/>
  <c r="AX461" i="76"/>
  <c r="AW662" i="76"/>
  <c r="AY936" i="76"/>
  <c r="AZ404" i="76"/>
  <c r="AX536" i="76"/>
  <c r="R755" i="76"/>
  <c r="O92" i="76"/>
  <c r="AZ636" i="76"/>
  <c r="AX997" i="76"/>
  <c r="AY74" i="76"/>
  <c r="AV810" i="76"/>
  <c r="S667" i="76"/>
  <c r="N531" i="76"/>
  <c r="AZ143" i="76"/>
  <c r="AY963" i="76"/>
  <c r="AV577" i="76"/>
  <c r="R85" i="76"/>
  <c r="AU288" i="76"/>
  <c r="Q89" i="76"/>
  <c r="AU292" i="76"/>
  <c r="N561" i="76"/>
  <c r="AU948" i="76"/>
  <c r="AU751" i="76"/>
  <c r="AX835" i="76"/>
  <c r="R871" i="76"/>
  <c r="AY283" i="76"/>
  <c r="AZ735" i="76"/>
  <c r="AZ572" i="76"/>
  <c r="R702" i="76"/>
  <c r="P264" i="76"/>
  <c r="AY378" i="76"/>
  <c r="AW293" i="76"/>
  <c r="AW523" i="76"/>
  <c r="S513" i="76"/>
  <c r="AX883" i="76"/>
  <c r="AV277" i="76"/>
  <c r="AZ185" i="76"/>
  <c r="Q1032" i="76"/>
  <c r="Q298" i="76"/>
  <c r="AY980" i="76"/>
  <c r="AX185" i="76"/>
  <c r="AU276" i="76"/>
  <c r="P505" i="76"/>
  <c r="Q590" i="76"/>
  <c r="AW552" i="76"/>
  <c r="AW868" i="76"/>
  <c r="O907" i="76"/>
  <c r="AW693" i="76"/>
  <c r="AU668" i="76"/>
  <c r="Q223" i="76"/>
  <c r="AZ425" i="76"/>
  <c r="AW436" i="76"/>
  <c r="AU427" i="76"/>
  <c r="AU652" i="76"/>
  <c r="AX971" i="76"/>
  <c r="AZ361" i="76"/>
  <c r="Q187" i="76"/>
  <c r="AW526" i="76"/>
  <c r="AZ1027" i="76"/>
  <c r="N487" i="76"/>
  <c r="O674" i="76"/>
  <c r="AZ299" i="76"/>
  <c r="AZ427" i="76"/>
  <c r="S81" i="76"/>
  <c r="AX306" i="76"/>
  <c r="R1027" i="76"/>
  <c r="AX899" i="76"/>
  <c r="AW492" i="76"/>
  <c r="AW497" i="76"/>
  <c r="AZ374" i="76"/>
  <c r="O357" i="76"/>
  <c r="AY316" i="76"/>
  <c r="P619" i="76"/>
  <c r="AZ332" i="76"/>
  <c r="R869" i="76"/>
  <c r="AU876" i="76"/>
  <c r="AV179" i="76"/>
  <c r="R335" i="76"/>
  <c r="AX722" i="76"/>
  <c r="N707" i="76"/>
  <c r="AU373" i="76"/>
  <c r="N910" i="76"/>
  <c r="P312" i="76"/>
  <c r="AU667" i="76"/>
  <c r="AW907" i="76"/>
  <c r="AU197" i="76"/>
  <c r="AW1059" i="76"/>
  <c r="AX496" i="76"/>
  <c r="O453" i="76"/>
  <c r="P310" i="76"/>
  <c r="N572" i="76"/>
  <c r="S326" i="76"/>
  <c r="Q235" i="76"/>
  <c r="AY753" i="76"/>
  <c r="AZ210" i="76"/>
  <c r="R145" i="76"/>
  <c r="AY216" i="76"/>
  <c r="AX310" i="76"/>
  <c r="P638" i="76"/>
  <c r="AU1035" i="76"/>
  <c r="AU238" i="76"/>
  <c r="AV488" i="76"/>
  <c r="S1018" i="76"/>
  <c r="O493" i="76"/>
  <c r="O107" i="76"/>
  <c r="AV173" i="76"/>
  <c r="AZ645" i="76"/>
  <c r="AW704" i="76"/>
  <c r="R714" i="76"/>
  <c r="AW994" i="76"/>
  <c r="AZ390" i="76"/>
  <c r="AZ407" i="76"/>
  <c r="Q1059" i="76"/>
  <c r="S315" i="76"/>
  <c r="O147" i="76"/>
  <c r="AV309" i="76"/>
  <c r="AW784" i="76"/>
  <c r="O814" i="76"/>
  <c r="S141" i="76"/>
  <c r="AY496" i="76"/>
  <c r="AV98" i="76"/>
  <c r="AZ630" i="76"/>
  <c r="AZ482" i="76"/>
  <c r="N1020" i="76"/>
  <c r="R554" i="76"/>
  <c r="R86" i="76"/>
  <c r="R274" i="76"/>
  <c r="AV658" i="76"/>
  <c r="AX877" i="76"/>
  <c r="AV472" i="76"/>
  <c r="AW131" i="76"/>
  <c r="AZ181" i="76"/>
  <c r="N336" i="76"/>
  <c r="AV1014" i="76"/>
  <c r="AZ319" i="76"/>
  <c r="AX823" i="76"/>
  <c r="N161" i="76"/>
  <c r="AZ631" i="76"/>
  <c r="O444" i="76"/>
  <c r="AW904" i="76"/>
  <c r="AU707" i="76"/>
  <c r="AW748" i="76"/>
  <c r="R632" i="76"/>
  <c r="AX112" i="76"/>
  <c r="AU545" i="76"/>
  <c r="AV614" i="76"/>
  <c r="P907" i="76"/>
  <c r="O158" i="76"/>
  <c r="AW529" i="76"/>
  <c r="AV444" i="76"/>
  <c r="S82" i="76"/>
  <c r="N288" i="76"/>
  <c r="AX498" i="76"/>
  <c r="Q307" i="76"/>
  <c r="AU272" i="76"/>
  <c r="R494" i="76"/>
  <c r="AU920" i="76"/>
  <c r="AY929" i="76"/>
  <c r="AY479" i="76"/>
  <c r="R925" i="76"/>
  <c r="Q329" i="76"/>
  <c r="AV907" i="76"/>
  <c r="AW850" i="76"/>
  <c r="AU524" i="76"/>
  <c r="S640" i="76"/>
  <c r="Q247" i="76"/>
  <c r="AY844" i="76"/>
  <c r="AZ587" i="76"/>
  <c r="AZ570" i="76"/>
  <c r="P809" i="76"/>
  <c r="O983" i="76"/>
  <c r="O984" i="76"/>
  <c r="AV1019" i="76"/>
  <c r="AW840" i="76"/>
  <c r="R745" i="76"/>
  <c r="AY935" i="76"/>
  <c r="AY821" i="76"/>
  <c r="AY155" i="76"/>
  <c r="N475" i="76"/>
  <c r="AW1024" i="76"/>
  <c r="AX93" i="76"/>
  <c r="AW444" i="76"/>
  <c r="O820" i="76"/>
  <c r="O226" i="76"/>
  <c r="AX1047" i="76"/>
  <c r="AU285" i="76"/>
  <c r="AX580" i="76"/>
  <c r="AV318" i="76"/>
  <c r="O449" i="76"/>
  <c r="Q90" i="76"/>
  <c r="AX308" i="76"/>
  <c r="AU777" i="76"/>
  <c r="Q808" i="76"/>
  <c r="Q134" i="76"/>
  <c r="AZ322" i="76"/>
  <c r="AW238" i="76"/>
  <c r="AX301" i="76"/>
  <c r="Q891" i="76"/>
  <c r="AZ850" i="76"/>
  <c r="AV586" i="76"/>
  <c r="AU346" i="76"/>
  <c r="AV88" i="76"/>
  <c r="AY130" i="76"/>
  <c r="S706" i="76"/>
  <c r="S312" i="76"/>
  <c r="R306" i="76"/>
  <c r="AW781" i="76"/>
  <c r="AU102" i="76"/>
  <c r="AW333" i="76"/>
  <c r="AY115" i="76"/>
  <c r="AU416" i="76"/>
  <c r="P690" i="76"/>
  <c r="AY423" i="76"/>
  <c r="Q137" i="76"/>
  <c r="AX366" i="76"/>
  <c r="AU941" i="76"/>
  <c r="AY243" i="76"/>
  <c r="AW759" i="76"/>
  <c r="AU105" i="76"/>
  <c r="AV101" i="76"/>
  <c r="O702" i="76"/>
  <c r="N1048" i="76"/>
  <c r="S631" i="76"/>
  <c r="AY280" i="76"/>
  <c r="P258" i="76"/>
  <c r="S190" i="76"/>
  <c r="AZ781" i="76"/>
  <c r="O121" i="76"/>
  <c r="AZ690" i="76"/>
  <c r="AX320" i="76"/>
  <c r="R203" i="76"/>
  <c r="AV561" i="76"/>
  <c r="AU547" i="76"/>
  <c r="O638" i="76"/>
  <c r="AZ980" i="76"/>
  <c r="AZ385" i="76"/>
  <c r="O478" i="76"/>
  <c r="AZ821" i="76"/>
  <c r="P580" i="76"/>
  <c r="AY800" i="76"/>
  <c r="AX980" i="76"/>
  <c r="R916" i="76"/>
  <c r="AW800" i="76"/>
  <c r="AX1005" i="76"/>
  <c r="O1064" i="76"/>
  <c r="AY406" i="76"/>
  <c r="S655" i="76"/>
  <c r="AU421" i="76"/>
  <c r="S136" i="76"/>
  <c r="AZ75" i="76"/>
  <c r="AY540" i="76"/>
  <c r="AU347" i="76"/>
  <c r="O131" i="76"/>
  <c r="AY94" i="76"/>
  <c r="AV797" i="76"/>
  <c r="AV123" i="76"/>
  <c r="AY271" i="76"/>
  <c r="Q849" i="76"/>
  <c r="AX254" i="76"/>
  <c r="AZ764" i="76"/>
  <c r="N639" i="76"/>
  <c r="AY531" i="76"/>
  <c r="AY808" i="76"/>
  <c r="Q417" i="76"/>
  <c r="AZ511" i="76"/>
  <c r="AW709" i="76"/>
  <c r="AV737" i="76"/>
  <c r="R69" i="76"/>
  <c r="AU233" i="76"/>
  <c r="N403" i="76"/>
  <c r="AY653" i="76"/>
  <c r="S1041" i="76"/>
  <c r="N480" i="76"/>
  <c r="O875" i="76"/>
  <c r="S328" i="76"/>
  <c r="AZ567" i="76"/>
  <c r="AZ180" i="76"/>
  <c r="AW554" i="76"/>
  <c r="P167" i="76"/>
  <c r="AY614" i="76"/>
  <c r="AW727" i="76"/>
  <c r="N759" i="76"/>
  <c r="AX520" i="76"/>
  <c r="AW85" i="76"/>
  <c r="AX868" i="76"/>
  <c r="AV773" i="76"/>
  <c r="AZ596" i="76"/>
  <c r="AW844" i="76"/>
  <c r="AZ613" i="76"/>
  <c r="AZ479" i="76"/>
  <c r="R184" i="76"/>
  <c r="AU623" i="76"/>
  <c r="P890" i="76"/>
  <c r="O326" i="76"/>
  <c r="AU748" i="76"/>
  <c r="AV112" i="76"/>
  <c r="AV507" i="76"/>
  <c r="AW168" i="76"/>
  <c r="P472" i="76"/>
  <c r="AY443" i="76"/>
  <c r="Q179" i="76"/>
  <c r="AZ77" i="76"/>
  <c r="S284" i="76"/>
  <c r="R671" i="76"/>
  <c r="AW368" i="76"/>
  <c r="Q1017" i="76"/>
  <c r="Q867" i="76"/>
  <c r="AX635" i="76"/>
  <c r="AU157" i="76"/>
  <c r="O840" i="76"/>
  <c r="Q335" i="76"/>
  <c r="AV476" i="76"/>
  <c r="AV425" i="76"/>
  <c r="R89" i="76"/>
  <c r="AW178" i="76"/>
  <c r="AY192" i="76"/>
  <c r="AW1056" i="76"/>
  <c r="O505" i="76"/>
  <c r="AW220" i="76"/>
  <c r="AV993" i="76"/>
  <c r="AY571" i="76"/>
  <c r="AX318" i="76"/>
  <c r="AY111" i="76"/>
  <c r="AW110" i="76"/>
  <c r="S414" i="76"/>
  <c r="AY437" i="76"/>
  <c r="S362" i="76"/>
  <c r="AU1044" i="76"/>
  <c r="AY426" i="76"/>
  <c r="O211" i="76"/>
  <c r="AZ902" i="76"/>
  <c r="AU319" i="76"/>
  <c r="AZ101" i="76"/>
  <c r="AV573" i="76"/>
  <c r="AZ321" i="76"/>
  <c r="AW82" i="76"/>
  <c r="AY148" i="76"/>
  <c r="AZ872" i="76"/>
  <c r="P812" i="76"/>
  <c r="AY178" i="76"/>
  <c r="AZ639" i="76"/>
  <c r="AZ912" i="76"/>
  <c r="N786" i="76"/>
  <c r="AY404" i="76"/>
  <c r="AV948" i="76"/>
  <c r="AU693" i="76"/>
  <c r="S1028" i="76"/>
  <c r="AY796" i="76"/>
  <c r="R771" i="76"/>
  <c r="R914" i="76"/>
  <c r="AW561" i="76"/>
  <c r="O221" i="76"/>
  <c r="O316" i="76"/>
  <c r="AX74" i="76"/>
  <c r="S546" i="76"/>
  <c r="R157" i="76"/>
  <c r="AZ991" i="76"/>
  <c r="AV611" i="76"/>
  <c r="AZ502" i="76"/>
  <c r="O319" i="76"/>
  <c r="AU637" i="76"/>
  <c r="AV410" i="76"/>
  <c r="AY631" i="76"/>
  <c r="R183" i="76"/>
  <c r="AZ252" i="76"/>
  <c r="P987" i="76"/>
  <c r="AU447" i="76"/>
  <c r="AX259" i="76"/>
  <c r="AV454" i="76"/>
  <c r="AY829" i="76"/>
  <c r="S784" i="76"/>
  <c r="AX628" i="76"/>
  <c r="AV776" i="76"/>
  <c r="S467" i="76"/>
  <c r="AW100" i="76"/>
  <c r="AW900" i="76"/>
  <c r="AV371" i="76"/>
  <c r="AX701" i="76"/>
  <c r="P940" i="76"/>
  <c r="AX419" i="76"/>
  <c r="AZ122" i="76"/>
  <c r="N615" i="76"/>
  <c r="AU1060" i="76"/>
  <c r="AW546" i="76"/>
  <c r="AX447" i="76"/>
  <c r="AU702" i="76"/>
  <c r="S208" i="76"/>
  <c r="AU783" i="76"/>
  <c r="P946" i="76"/>
  <c r="AZ988" i="76"/>
  <c r="AU316" i="76"/>
  <c r="N88" i="76"/>
  <c r="S658" i="76"/>
  <c r="AV103" i="76"/>
  <c r="AV964" i="76"/>
  <c r="AV742" i="76"/>
  <c r="N269" i="76"/>
  <c r="AU810" i="76"/>
  <c r="AY211" i="76"/>
  <c r="AZ268" i="76"/>
  <c r="R716" i="76"/>
  <c r="AY774" i="76"/>
  <c r="S105" i="76"/>
  <c r="AW180" i="76"/>
  <c r="P933" i="76"/>
  <c r="AX391" i="76"/>
  <c r="AX663" i="76"/>
  <c r="AW410" i="76"/>
  <c r="N325" i="76"/>
  <c r="Q222" i="76"/>
  <c r="AZ144" i="76"/>
  <c r="AY187" i="76"/>
  <c r="N409" i="76"/>
  <c r="AX564" i="76"/>
  <c r="Q493" i="76"/>
  <c r="AW858" i="76"/>
  <c r="N923" i="76"/>
  <c r="AZ267" i="76"/>
  <c r="AU358" i="76"/>
  <c r="N758" i="76"/>
  <c r="AV874" i="76"/>
  <c r="AY579" i="76"/>
  <c r="P599" i="76"/>
  <c r="P770" i="76"/>
  <c r="S146" i="76"/>
  <c r="AW683" i="76"/>
  <c r="AY402" i="76"/>
  <c r="Q529" i="76"/>
  <c r="AV1013" i="76"/>
  <c r="AW302" i="76"/>
  <c r="Q305" i="76"/>
  <c r="AW1053" i="76"/>
  <c r="AZ108" i="76"/>
  <c r="AX187" i="76"/>
  <c r="AZ612" i="76"/>
  <c r="P565" i="76"/>
  <c r="AZ605" i="76"/>
  <c r="O582" i="76"/>
  <c r="AZ748" i="76"/>
  <c r="AY357" i="76"/>
  <c r="AZ883" i="76"/>
  <c r="AZ871" i="76"/>
  <c r="R631" i="76"/>
  <c r="AW272" i="76"/>
  <c r="AY814" i="76"/>
  <c r="AX975" i="76"/>
  <c r="AV451" i="76"/>
  <c r="O839" i="76"/>
  <c r="AZ686" i="76"/>
  <c r="N216" i="76"/>
  <c r="AZ927" i="76"/>
  <c r="AV960" i="76"/>
  <c r="AY258" i="76"/>
  <c r="AY1056" i="76"/>
  <c r="AX622" i="76"/>
  <c r="AU930" i="76"/>
  <c r="S828" i="76"/>
  <c r="AX1008" i="76"/>
  <c r="AX1013" i="76"/>
  <c r="AZ746" i="76"/>
  <c r="N69" i="76"/>
  <c r="R1065" i="76"/>
  <c r="N888" i="76"/>
  <c r="S938" i="76"/>
  <c r="S620" i="76"/>
  <c r="N649" i="76"/>
  <c r="P394" i="76"/>
  <c r="O404" i="76"/>
  <c r="S432" i="76"/>
  <c r="P88" i="76"/>
  <c r="P1052" i="76"/>
  <c r="Q888" i="76"/>
  <c r="P958" i="76"/>
  <c r="S792" i="76"/>
  <c r="R775" i="76"/>
  <c r="N616" i="76"/>
  <c r="S472" i="76"/>
  <c r="Q392" i="76"/>
  <c r="N511" i="76"/>
  <c r="Q156" i="76"/>
  <c r="S983" i="76"/>
  <c r="S932" i="76"/>
  <c r="S913" i="76"/>
  <c r="N721" i="76"/>
  <c r="S557" i="76"/>
  <c r="S579" i="76"/>
  <c r="Q516" i="76"/>
  <c r="P193" i="76"/>
  <c r="S249" i="76"/>
  <c r="S243" i="76"/>
  <c r="O933" i="76"/>
  <c r="P810" i="76"/>
  <c r="N902" i="76"/>
  <c r="S1008" i="76"/>
  <c r="R902" i="76"/>
  <c r="N1068" i="76"/>
  <c r="O630" i="76"/>
  <c r="O667" i="76"/>
  <c r="R405" i="76"/>
  <c r="Q415" i="76"/>
  <c r="O450" i="76"/>
  <c r="R99" i="76"/>
  <c r="R1063" i="76"/>
  <c r="S899" i="76"/>
  <c r="P995" i="76"/>
  <c r="P807" i="76"/>
  <c r="N806" i="76"/>
  <c r="S639" i="76"/>
  <c r="P487" i="76"/>
  <c r="S415" i="76"/>
  <c r="Q555" i="76"/>
  <c r="S167" i="76"/>
  <c r="O993" i="76"/>
  <c r="P947" i="76"/>
  <c r="N957" i="76"/>
  <c r="R735" i="76"/>
  <c r="O567" i="76"/>
  <c r="P594" i="76"/>
  <c r="Q536" i="76"/>
  <c r="R204" i="76"/>
  <c r="O259" i="76"/>
  <c r="O261" i="76"/>
  <c r="Q944" i="76"/>
  <c r="R821" i="76"/>
  <c r="N936" i="76"/>
  <c r="O1026" i="76"/>
  <c r="N920" i="76"/>
  <c r="Q760" i="76"/>
  <c r="Q641" i="76"/>
  <c r="P684" i="76"/>
  <c r="N415" i="76"/>
  <c r="S426" i="76"/>
  <c r="R482" i="76"/>
  <c r="N109" i="76"/>
  <c r="O960" i="76"/>
  <c r="P913" i="76"/>
  <c r="R822" i="76"/>
  <c r="Q820" i="76"/>
  <c r="Q836" i="76"/>
  <c r="O657" i="76"/>
  <c r="P500" i="76"/>
  <c r="O433" i="76"/>
  <c r="S594" i="76"/>
  <c r="O177" i="76"/>
  <c r="Q1004" i="76"/>
  <c r="Q961" i="76"/>
  <c r="S754" i="76"/>
  <c r="N764" i="76"/>
  <c r="Q578" i="76"/>
  <c r="Q607" i="76"/>
  <c r="N563" i="76"/>
  <c r="N214" i="76"/>
  <c r="Q270" i="76"/>
  <c r="Q284" i="76"/>
  <c r="S955" i="76"/>
  <c r="N831" i="76"/>
  <c r="Q1010" i="76"/>
  <c r="S960" i="76"/>
  <c r="O831" i="76"/>
  <c r="Q833" i="76"/>
  <c r="R758" i="76"/>
  <c r="S570" i="76"/>
  <c r="R341" i="76"/>
  <c r="Q351" i="76"/>
  <c r="Q337" i="76"/>
  <c r="S436" i="76"/>
  <c r="R999" i="76"/>
  <c r="Q1005" i="76"/>
  <c r="N868" i="76"/>
  <c r="Q724" i="76"/>
  <c r="Q695" i="76"/>
  <c r="R545" i="76"/>
  <c r="S409" i="76"/>
  <c r="Q316" i="76"/>
  <c r="P404" i="76"/>
  <c r="S103" i="76"/>
  <c r="R1036" i="76"/>
  <c r="P874" i="76"/>
  <c r="P805" i="76"/>
  <c r="P657" i="76"/>
  <c r="R685" i="76"/>
  <c r="S517" i="76"/>
  <c r="R450" i="76"/>
  <c r="S515" i="76"/>
  <c r="O195" i="76"/>
  <c r="R176" i="76"/>
  <c r="P1023" i="76"/>
  <c r="R757" i="76"/>
  <c r="S812" i="76"/>
  <c r="R1029" i="76"/>
  <c r="P673" i="76"/>
  <c r="N447" i="76"/>
  <c r="P603" i="76"/>
  <c r="O992" i="76"/>
  <c r="R853" i="76"/>
  <c r="P642" i="76"/>
  <c r="R551" i="76"/>
  <c r="N251" i="76"/>
  <c r="Q1036" i="76"/>
  <c r="S786" i="76"/>
  <c r="Q610" i="76"/>
  <c r="N671" i="76"/>
  <c r="Q302" i="76"/>
  <c r="Q1006" i="76"/>
  <c r="N700" i="76"/>
  <c r="S765" i="76"/>
  <c r="R500" i="76"/>
  <c r="Q535" i="76"/>
  <c r="R538" i="76"/>
  <c r="S276" i="76"/>
  <c r="N213" i="76"/>
  <c r="Q1027" i="76"/>
  <c r="S902" i="76"/>
  <c r="N685" i="76"/>
  <c r="Q652" i="76"/>
  <c r="P286" i="76"/>
  <c r="Q219" i="76"/>
  <c r="P98" i="76"/>
  <c r="AV955" i="76"/>
  <c r="AW1040" i="76"/>
  <c r="AY584" i="76"/>
  <c r="AX781" i="76"/>
  <c r="AW97" i="76"/>
  <c r="AV293" i="76"/>
  <c r="AV499" i="76"/>
  <c r="AW461" i="76"/>
  <c r="AZ550" i="76"/>
  <c r="AW720" i="76"/>
  <c r="AU817" i="76"/>
  <c r="AY325" i="76"/>
  <c r="R1033" i="76"/>
  <c r="N889" i="76"/>
  <c r="Q620" i="76"/>
  <c r="O388" i="76"/>
  <c r="P72" i="76"/>
  <c r="P1046" i="76"/>
  <c r="S691" i="76"/>
  <c r="P787" i="76"/>
  <c r="N286" i="76"/>
  <c r="O69" i="76"/>
  <c r="R926" i="76"/>
  <c r="P613" i="76"/>
  <c r="S473" i="76"/>
  <c r="R408" i="76"/>
  <c r="N142" i="76"/>
  <c r="P949" i="76"/>
  <c r="O654" i="76"/>
  <c r="R429" i="76"/>
  <c r="P519" i="76"/>
  <c r="S966" i="76"/>
  <c r="P827" i="76"/>
  <c r="O699" i="76"/>
  <c r="R800" i="76"/>
  <c r="S553" i="76"/>
  <c r="S494" i="76"/>
  <c r="Q717" i="76"/>
  <c r="O231" i="76"/>
  <c r="Q229" i="76"/>
  <c r="N875" i="76"/>
  <c r="N658" i="76"/>
  <c r="Q518" i="76"/>
  <c r="N519" i="76"/>
  <c r="O186" i="76"/>
  <c r="S199" i="76"/>
  <c r="AV884" i="76"/>
  <c r="AV901" i="76"/>
  <c r="AW765" i="76"/>
  <c r="AV81" i="76"/>
  <c r="AZ279" i="76"/>
  <c r="AV475" i="76"/>
  <c r="AZ681" i="76"/>
  <c r="AU821" i="76"/>
  <c r="AX186" i="76"/>
  <c r="AX286" i="76"/>
  <c r="AY322" i="76"/>
  <c r="AU588" i="76"/>
  <c r="O1017" i="76"/>
  <c r="Q767" i="76"/>
  <c r="O591" i="76"/>
  <c r="Q596" i="76"/>
  <c r="O283" i="76"/>
  <c r="Q97" i="76"/>
  <c r="Q227" i="76"/>
  <c r="AY1058" i="76"/>
  <c r="AY964" i="76"/>
  <c r="AZ468" i="76"/>
  <c r="AX665" i="76"/>
  <c r="AZ864" i="76"/>
  <c r="AX177" i="76"/>
  <c r="AZ383" i="76"/>
  <c r="AY231" i="76"/>
  <c r="AY313" i="76"/>
  <c r="AV180" i="76"/>
  <c r="AW887" i="76"/>
  <c r="AW92" i="76"/>
  <c r="R986" i="76"/>
  <c r="Q720" i="76"/>
  <c r="R541" i="76"/>
  <c r="P313" i="76"/>
  <c r="N944" i="76"/>
  <c r="O701" i="76"/>
  <c r="S881" i="76"/>
  <c r="P297" i="76"/>
  <c r="Q80" i="76"/>
  <c r="N949" i="76"/>
  <c r="R624" i="76"/>
  <c r="O483" i="76"/>
  <c r="N426" i="76"/>
  <c r="P153" i="76"/>
  <c r="O974" i="76"/>
  <c r="R665" i="76"/>
  <c r="N439" i="76"/>
  <c r="Q565" i="76"/>
  <c r="O976" i="76"/>
  <c r="R838" i="76"/>
  <c r="S713" i="76"/>
  <c r="Q893" i="76"/>
  <c r="R569" i="76"/>
  <c r="O509" i="76"/>
  <c r="P845" i="76"/>
  <c r="Q242" i="76"/>
  <c r="R1001" i="76"/>
  <c r="N774" i="76"/>
  <c r="R212" i="76"/>
  <c r="S1032" i="76"/>
  <c r="P740" i="76"/>
  <c r="Q341" i="76"/>
  <c r="Q940" i="76"/>
  <c r="Q796" i="76"/>
  <c r="N469" i="76"/>
  <c r="N1018" i="76"/>
  <c r="O697" i="76"/>
  <c r="N641" i="76"/>
  <c r="N456" i="76"/>
  <c r="O719" i="76"/>
  <c r="R116" i="76"/>
  <c r="P884" i="76"/>
  <c r="Q664" i="76"/>
  <c r="S572" i="76"/>
  <c r="O74" i="76"/>
  <c r="AU1011" i="76"/>
  <c r="P123" i="76"/>
  <c r="AY445" i="76"/>
  <c r="AW407" i="76"/>
  <c r="AX368" i="76"/>
  <c r="AY360" i="76"/>
  <c r="AW440" i="76"/>
  <c r="AV72" i="76"/>
  <c r="AU788" i="76"/>
  <c r="S1050" i="76"/>
  <c r="O1003" i="76"/>
  <c r="R727" i="76"/>
  <c r="Q308" i="76"/>
  <c r="S604" i="76"/>
  <c r="O171" i="76"/>
  <c r="AV1052" i="76"/>
  <c r="AX820" i="76"/>
  <c r="AU1002" i="76"/>
  <c r="AU130" i="76"/>
  <c r="AV230" i="76"/>
  <c r="AY340" i="76"/>
  <c r="AW679" i="76"/>
  <c r="AY587" i="76"/>
  <c r="AZ535" i="76"/>
  <c r="AW835" i="76"/>
  <c r="R1006" i="76"/>
  <c r="S901" i="76"/>
  <c r="Q628" i="76"/>
  <c r="R316" i="76"/>
  <c r="P738" i="76"/>
  <c r="R824" i="76"/>
  <c r="N127" i="76"/>
  <c r="S246" i="76"/>
  <c r="AY704" i="76"/>
  <c r="AX972" i="76"/>
  <c r="AW217" i="76"/>
  <c r="AZ414" i="76"/>
  <c r="AV619" i="76"/>
  <c r="AX700" i="76"/>
  <c r="AZ790" i="76"/>
  <c r="AZ166" i="76"/>
  <c r="P855" i="76"/>
  <c r="N741" i="76"/>
  <c r="N352" i="76"/>
  <c r="P904" i="76"/>
  <c r="R516" i="76"/>
  <c r="N372" i="76"/>
  <c r="O1027" i="76"/>
  <c r="O716" i="76"/>
  <c r="S272" i="76"/>
  <c r="Q985" i="76"/>
  <c r="R576" i="76"/>
  <c r="P550" i="76"/>
  <c r="Q461" i="76"/>
  <c r="O263" i="76"/>
  <c r="O1037" i="76"/>
  <c r="P820" i="76"/>
  <c r="P652" i="76"/>
  <c r="O303" i="76"/>
  <c r="P373" i="76"/>
  <c r="Q184" i="76"/>
  <c r="AW981" i="76"/>
  <c r="AY263" i="76"/>
  <c r="AW225" i="76"/>
  <c r="AV186" i="76"/>
  <c r="AU179" i="76"/>
  <c r="AY806" i="76"/>
  <c r="AX290" i="76"/>
  <c r="AY834" i="76"/>
  <c r="P1017" i="76"/>
  <c r="S739" i="76"/>
  <c r="R421" i="76"/>
  <c r="S705" i="76"/>
  <c r="N376" i="76"/>
  <c r="AW970" i="76"/>
  <c r="AX892" i="76"/>
  <c r="AY660" i="76"/>
  <c r="AX761" i="76"/>
  <c r="AZ849" i="76"/>
  <c r="AV70" i="76"/>
  <c r="AY181" i="76"/>
  <c r="AZ360" i="76"/>
  <c r="AY270" i="76"/>
  <c r="AV255" i="76"/>
  <c r="AU240" i="76"/>
  <c r="N941" i="76"/>
  <c r="R620" i="76"/>
  <c r="N423" i="76"/>
  <c r="N247" i="76"/>
  <c r="S194" i="76"/>
  <c r="S527" i="76"/>
  <c r="AU936" i="76"/>
  <c r="N533" i="76"/>
  <c r="AW565" i="76"/>
  <c r="AV762" i="76"/>
  <c r="AU78" i="76"/>
  <c r="AU274" i="76"/>
  <c r="AU480" i="76"/>
  <c r="AU423" i="76"/>
  <c r="AX511" i="76"/>
  <c r="AY647" i="76"/>
  <c r="O804" i="76"/>
  <c r="P562" i="76"/>
  <c r="Q251" i="76"/>
  <c r="S912" i="76"/>
  <c r="P578" i="76"/>
  <c r="N406" i="76"/>
  <c r="R981" i="76"/>
  <c r="O562" i="76"/>
  <c r="O227" i="76"/>
  <c r="S1001" i="76"/>
  <c r="R731" i="76"/>
  <c r="S489" i="76"/>
  <c r="O401" i="76"/>
  <c r="N169" i="76"/>
  <c r="N1027" i="76"/>
  <c r="N594" i="76"/>
  <c r="Q422" i="76"/>
  <c r="R71" i="76"/>
  <c r="S126" i="76"/>
  <c r="AY891" i="76"/>
  <c r="AY979" i="76"/>
  <c r="AW871" i="76"/>
  <c r="AZ976" i="76"/>
  <c r="AX897" i="76"/>
  <c r="AV757" i="76"/>
  <c r="AW417" i="76"/>
  <c r="AX139" i="76"/>
  <c r="AX98" i="76"/>
  <c r="S946" i="76"/>
  <c r="R693" i="76"/>
  <c r="S478" i="76"/>
  <c r="P210" i="76"/>
  <c r="S732" i="76"/>
  <c r="O235" i="76"/>
  <c r="R790" i="76"/>
  <c r="Q397" i="76"/>
  <c r="O838" i="76"/>
  <c r="O185" i="76"/>
  <c r="O626" i="76"/>
  <c r="R522" i="76"/>
  <c r="O354" i="76"/>
  <c r="R964" i="76"/>
  <c r="S399" i="76"/>
  <c r="S309" i="76"/>
  <c r="N205" i="76"/>
  <c r="AW813" i="76"/>
  <c r="AZ240" i="76"/>
  <c r="AW946" i="76"/>
  <c r="AU387" i="76"/>
  <c r="AZ213" i="76"/>
  <c r="Q743" i="76"/>
  <c r="S241" i="76"/>
  <c r="O256" i="76"/>
  <c r="Q547" i="76"/>
  <c r="AU606" i="76"/>
  <c r="AU451" i="76"/>
  <c r="AZ295" i="76"/>
  <c r="AW138" i="76"/>
  <c r="AW464" i="76"/>
  <c r="AV745" i="76"/>
  <c r="AX90" i="76"/>
  <c r="S977" i="76"/>
  <c r="N597" i="76"/>
  <c r="N437" i="76"/>
  <c r="Q86" i="76"/>
  <c r="AV876" i="76"/>
  <c r="O132" i="76"/>
  <c r="AZ298" i="76"/>
  <c r="AZ271" i="76"/>
  <c r="AZ232" i="76"/>
  <c r="AW214" i="76"/>
  <c r="AX170" i="76"/>
  <c r="AV473" i="76"/>
  <c r="AV100" i="76"/>
  <c r="AW156" i="76"/>
  <c r="O881" i="76"/>
  <c r="R782" i="76"/>
  <c r="S608" i="76"/>
  <c r="R378" i="76"/>
  <c r="O149" i="76"/>
  <c r="P151" i="76"/>
  <c r="AY997" i="76"/>
  <c r="AX1015" i="76"/>
  <c r="AU915" i="76"/>
  <c r="AZ195" i="76"/>
  <c r="AV392" i="76"/>
  <c r="AY589" i="76"/>
  <c r="AX794" i="76"/>
  <c r="AU111" i="76"/>
  <c r="AV409" i="76"/>
  <c r="AU509" i="76"/>
  <c r="AX768" i="76"/>
  <c r="AW488" i="76"/>
  <c r="Q1011" i="76"/>
  <c r="R661" i="76"/>
  <c r="P270" i="76"/>
  <c r="O669" i="76"/>
  <c r="Q246" i="76"/>
  <c r="O642" i="76"/>
  <c r="N484" i="76"/>
  <c r="O599" i="76"/>
  <c r="R210" i="76"/>
  <c r="Q637" i="76"/>
  <c r="S571" i="76"/>
  <c r="R621" i="76"/>
  <c r="O766" i="76"/>
  <c r="N501" i="76"/>
  <c r="O365" i="76"/>
  <c r="AU858" i="76"/>
  <c r="AU834" i="76"/>
  <c r="AU250" i="76"/>
  <c r="AY175" i="76"/>
  <c r="AW536" i="76"/>
  <c r="AW107" i="76"/>
  <c r="R657" i="76"/>
  <c r="S305" i="76"/>
  <c r="Q358" i="76"/>
  <c r="AU897" i="76"/>
  <c r="AY628" i="76"/>
  <c r="AY473" i="76"/>
  <c r="AV305" i="76"/>
  <c r="AU159" i="76"/>
  <c r="AV528" i="76"/>
  <c r="AZ791" i="76"/>
  <c r="AX130" i="76"/>
  <c r="R850" i="76"/>
  <c r="S630" i="76"/>
  <c r="Q539" i="76"/>
  <c r="O127" i="76"/>
  <c r="AX887" i="76"/>
  <c r="AV1041" i="76"/>
  <c r="AX319" i="76"/>
  <c r="AV281" i="76"/>
  <c r="AW253" i="76"/>
  <c r="AU235" i="76"/>
  <c r="AZ193" i="76"/>
  <c r="AW560" i="76"/>
  <c r="AW270" i="76"/>
  <c r="AZ226" i="76"/>
  <c r="N906" i="76"/>
  <c r="S811" i="76"/>
  <c r="S647" i="76"/>
  <c r="S423" i="76"/>
  <c r="S171" i="76"/>
  <c r="R174" i="76"/>
  <c r="AU1007" i="76"/>
  <c r="AZ1026" i="76"/>
  <c r="AV945" i="76"/>
  <c r="AV205" i="76"/>
  <c r="AW403" i="76"/>
  <c r="AU599" i="76"/>
  <c r="AZ805" i="76"/>
  <c r="AW122" i="76"/>
  <c r="AW432" i="76"/>
  <c r="AW532" i="76"/>
  <c r="AU809" i="76"/>
  <c r="AW648" i="76"/>
  <c r="S1054" i="76"/>
  <c r="Q721" i="76"/>
  <c r="R311" i="76"/>
  <c r="N851" i="76"/>
  <c r="O548" i="76"/>
  <c r="Q677" i="76"/>
  <c r="O252" i="76"/>
  <c r="S741" i="76"/>
  <c r="O125" i="76"/>
  <c r="R944" i="76"/>
  <c r="O403" i="76"/>
  <c r="R159" i="76"/>
  <c r="P751" i="76"/>
  <c r="S430" i="76"/>
  <c r="P211" i="76"/>
  <c r="AW944" i="76"/>
  <c r="AV1045" i="76"/>
  <c r="AZ347" i="76"/>
  <c r="AU376" i="76"/>
  <c r="AU85" i="76"/>
  <c r="AW584" i="76"/>
  <c r="R667" i="76"/>
  <c r="P266" i="76"/>
  <c r="Q127" i="76"/>
  <c r="AY962" i="76"/>
  <c r="AY692" i="76"/>
  <c r="AX537" i="76"/>
  <c r="AW380" i="76"/>
  <c r="AU223" i="76"/>
  <c r="AZ638" i="76"/>
  <c r="AZ833" i="76"/>
  <c r="AY373" i="76"/>
  <c r="R870" i="76"/>
  <c r="Q595" i="76"/>
  <c r="Q310" i="76"/>
  <c r="N241" i="76"/>
  <c r="AW950" i="76"/>
  <c r="AU1065" i="76"/>
  <c r="AV372" i="76"/>
  <c r="AU345" i="76"/>
  <c r="AZ307" i="76"/>
  <c r="AY288" i="76"/>
  <c r="AZ320" i="76"/>
  <c r="AY775" i="76"/>
  <c r="AY114" i="76"/>
  <c r="AX131" i="76"/>
  <c r="R921" i="76"/>
  <c r="N778" i="76"/>
  <c r="O530" i="76"/>
  <c r="S314" i="76"/>
  <c r="O322" i="76"/>
  <c r="N309" i="76"/>
  <c r="AW1050" i="76"/>
  <c r="AV1068" i="76"/>
  <c r="AX905" i="76"/>
  <c r="AW248" i="76"/>
  <c r="AX446" i="76"/>
  <c r="AW642" i="76"/>
  <c r="AZ847" i="76"/>
  <c r="AY165" i="76"/>
  <c r="AW519" i="76"/>
  <c r="AY619" i="76"/>
  <c r="AU508" i="76"/>
  <c r="AV628" i="76"/>
  <c r="AW499" i="76"/>
  <c r="N727" i="76"/>
  <c r="Q257" i="76"/>
  <c r="Q933" i="76"/>
  <c r="N852" i="76"/>
  <c r="O918" i="76"/>
  <c r="P101" i="76"/>
  <c r="O613" i="76"/>
  <c r="S251" i="76"/>
  <c r="N595" i="76"/>
  <c r="AY1001" i="76"/>
  <c r="AV770" i="76"/>
  <c r="AZ264" i="76"/>
  <c r="AX154" i="76"/>
  <c r="S894" i="76"/>
  <c r="P222" i="76"/>
  <c r="P318" i="76"/>
  <c r="AX901" i="76"/>
  <c r="AX81" i="76"/>
  <c r="AU911" i="76"/>
  <c r="AW795" i="76"/>
  <c r="P924" i="76"/>
  <c r="S306" i="76"/>
  <c r="O329" i="76"/>
  <c r="P86" i="76"/>
  <c r="AX805" i="76"/>
  <c r="AX221" i="76"/>
  <c r="AX993" i="76"/>
  <c r="AV236" i="76"/>
  <c r="AU414" i="76"/>
  <c r="Q994" i="76"/>
  <c r="R579" i="76"/>
  <c r="Q294" i="76"/>
  <c r="O136" i="76"/>
  <c r="AZ914" i="76"/>
  <c r="AW601" i="76"/>
  <c r="AZ382" i="76"/>
  <c r="AV182" i="76"/>
  <c r="AX772" i="76"/>
  <c r="AU765" i="76"/>
  <c r="AZ218" i="76"/>
  <c r="O968" i="76"/>
  <c r="O512" i="76"/>
  <c r="Q111" i="76"/>
  <c r="AU862" i="76"/>
  <c r="AX1065" i="76"/>
  <c r="AU436" i="76"/>
  <c r="AZ747" i="76"/>
  <c r="AV208" i="76"/>
  <c r="AV985" i="76"/>
  <c r="N918" i="76"/>
  <c r="S519" i="76"/>
  <c r="S80" i="76"/>
  <c r="AU1040" i="76"/>
  <c r="AV450" i="76"/>
  <c r="AZ844" i="76"/>
  <c r="AW365" i="76"/>
  <c r="AV275" i="76"/>
  <c r="AZ809" i="76"/>
  <c r="O1030" i="76"/>
  <c r="N551" i="76"/>
  <c r="O109" i="76"/>
  <c r="AY977" i="76"/>
  <c r="AV862" i="76"/>
  <c r="AW372" i="76"/>
  <c r="AX774" i="76"/>
  <c r="AV370" i="76"/>
  <c r="AX688" i="76"/>
  <c r="Q995" i="76"/>
  <c r="R645" i="76"/>
  <c r="P254" i="76"/>
  <c r="S554" i="76"/>
  <c r="AW1008" i="76"/>
  <c r="AX765" i="76"/>
  <c r="AW277" i="76"/>
  <c r="O575" i="76"/>
  <c r="R884" i="76"/>
  <c r="S1012" i="76"/>
  <c r="N225" i="76"/>
  <c r="N644" i="76"/>
  <c r="Q292" i="76"/>
  <c r="O443" i="76"/>
  <c r="AW1022" i="76"/>
  <c r="AW845" i="76"/>
  <c r="AV274" i="76"/>
  <c r="AY235" i="76"/>
  <c r="O717" i="76"/>
  <c r="S235" i="76"/>
  <c r="AW908" i="76"/>
  <c r="AV933" i="76"/>
  <c r="AV102" i="76"/>
  <c r="AX210" i="76"/>
  <c r="AU96" i="76"/>
  <c r="N878" i="76"/>
  <c r="S370" i="76"/>
  <c r="O397" i="76"/>
  <c r="AW861" i="76"/>
  <c r="AU826" i="76"/>
  <c r="AY264" i="76"/>
  <c r="AW192" i="76"/>
  <c r="AX401" i="76"/>
  <c r="AX499" i="76"/>
  <c r="S837" i="76"/>
  <c r="S678" i="76"/>
  <c r="S313" i="76"/>
  <c r="Q159" i="76"/>
  <c r="AX935" i="76"/>
  <c r="AY612" i="76"/>
  <c r="AY414" i="76"/>
  <c r="AX193" i="76"/>
  <c r="AZ795" i="76"/>
  <c r="AZ810" i="76"/>
  <c r="AW378" i="76"/>
  <c r="AX107" i="76"/>
  <c r="O608" i="76"/>
  <c r="O152" i="76"/>
  <c r="AY884" i="76"/>
  <c r="AV997" i="76"/>
  <c r="AX458" i="76"/>
  <c r="AX788" i="76"/>
  <c r="AY254" i="76"/>
  <c r="AZ245" i="76"/>
  <c r="O776" i="76"/>
  <c r="Q627" i="76"/>
  <c r="Q101" i="76"/>
  <c r="AY1062" i="76"/>
  <c r="AZ472" i="76"/>
  <c r="AU869" i="76"/>
  <c r="AZ387" i="76"/>
  <c r="AY321" i="76"/>
  <c r="AX973" i="76"/>
  <c r="Q884" i="76"/>
  <c r="R611" i="76"/>
  <c r="Q152" i="76"/>
  <c r="AW998" i="76"/>
  <c r="P852" i="76"/>
  <c r="N1066" i="76"/>
  <c r="P220" i="76"/>
  <c r="Q357" i="76"/>
  <c r="R689" i="76"/>
  <c r="S376" i="76"/>
  <c r="S633" i="76"/>
  <c r="P159" i="76"/>
  <c r="AY616" i="76"/>
  <c r="AY952" i="76"/>
  <c r="AZ246" i="76"/>
  <c r="O938" i="76"/>
  <c r="R461" i="76"/>
  <c r="AU896" i="76"/>
  <c r="AV478" i="76"/>
  <c r="AU583" i="76"/>
  <c r="AZ444" i="76"/>
  <c r="AY538" i="76"/>
  <c r="S935" i="76"/>
  <c r="S787" i="76"/>
  <c r="P183" i="76"/>
  <c r="AU1048" i="76"/>
  <c r="AX351" i="76"/>
  <c r="AU659" i="76"/>
  <c r="AW86" i="76"/>
  <c r="AV311" i="76"/>
  <c r="AZ722" i="76"/>
  <c r="N1028" i="76"/>
  <c r="S702" i="76"/>
  <c r="Q698" i="76"/>
  <c r="R303" i="76"/>
  <c r="AX1026" i="76"/>
  <c r="AZ1056" i="76"/>
  <c r="AX713" i="76"/>
  <c r="AY493" i="76"/>
  <c r="AU302" i="76"/>
  <c r="AV688" i="76"/>
  <c r="AZ348" i="76"/>
  <c r="AX94" i="76"/>
  <c r="R567" i="76"/>
  <c r="O78" i="76"/>
  <c r="AW1039" i="76"/>
  <c r="AX449" i="76"/>
  <c r="AV842" i="76"/>
  <c r="AY364" i="76"/>
  <c r="AX274" i="76"/>
  <c r="AU804" i="76"/>
  <c r="O1014" i="76"/>
  <c r="N547" i="76"/>
  <c r="O105" i="76"/>
  <c r="AW974" i="76"/>
  <c r="AZ857" i="76"/>
  <c r="AU369" i="76"/>
  <c r="AV771" i="76"/>
  <c r="AZ368" i="76"/>
  <c r="AZ679" i="76"/>
  <c r="O1020" i="76"/>
  <c r="S677" i="76"/>
  <c r="N279" i="76"/>
  <c r="N91" i="76"/>
  <c r="AU1033" i="76"/>
  <c r="AV778" i="76"/>
  <c r="AZ291" i="76"/>
  <c r="AU454" i="76"/>
  <c r="R968" i="76"/>
  <c r="P1020" i="76"/>
  <c r="Q226" i="76"/>
  <c r="P515" i="76"/>
  <c r="P676" i="76"/>
  <c r="R493" i="76"/>
  <c r="P634" i="76"/>
  <c r="S471" i="76"/>
  <c r="AW701" i="76"/>
  <c r="AZ112" i="76"/>
  <c r="AX350" i="76"/>
  <c r="N991" i="76"/>
  <c r="S331" i="76"/>
  <c r="AU959" i="76"/>
  <c r="AY532" i="76"/>
  <c r="AU615" i="76"/>
  <c r="AZ507" i="76"/>
  <c r="AX600" i="76"/>
  <c r="N998" i="76"/>
  <c r="N571" i="76"/>
  <c r="S223" i="76"/>
  <c r="N265" i="76"/>
  <c r="AZ405" i="76"/>
  <c r="AU723" i="76"/>
  <c r="AW150" i="76"/>
  <c r="AV375" i="76"/>
  <c r="AU160" i="76"/>
  <c r="S969" i="76"/>
  <c r="N933" i="76"/>
  <c r="R260" i="76"/>
  <c r="O414" i="76"/>
  <c r="AX1058" i="76"/>
  <c r="AU965" i="76"/>
  <c r="AZ756" i="76"/>
  <c r="AU535" i="76"/>
  <c r="AY324" i="76"/>
  <c r="AV752" i="76"/>
  <c r="AW755" i="76"/>
  <c r="AY222" i="76"/>
  <c r="O595" i="76"/>
  <c r="Q121" i="76"/>
  <c r="Q170" i="76"/>
  <c r="AY492" i="76"/>
  <c r="AY900" i="76"/>
  <c r="AY407" i="76"/>
  <c r="AY361" i="76"/>
  <c r="AY277" i="76"/>
  <c r="S930" i="76"/>
  <c r="P677" i="76"/>
  <c r="P194" i="76"/>
  <c r="AY1017" i="76"/>
  <c r="AW976" i="76"/>
  <c r="AU412" i="76"/>
  <c r="AW814" i="76"/>
  <c r="AZ454" i="76"/>
  <c r="AV887" i="76"/>
  <c r="AW103" i="76"/>
  <c r="P848" i="76"/>
  <c r="S384" i="76"/>
  <c r="P178" i="76"/>
  <c r="AX1045" i="76"/>
  <c r="AW821" i="76"/>
  <c r="AV333" i="76"/>
  <c r="N555" i="76"/>
  <c r="N967" i="76"/>
  <c r="S948" i="76"/>
  <c r="AX1051" i="76"/>
  <c r="AW719" i="76"/>
  <c r="S820" i="76"/>
  <c r="AY1028" i="76"/>
  <c r="AZ501" i="76"/>
  <c r="AX707" i="76"/>
  <c r="Q286" i="76"/>
  <c r="AX981" i="76"/>
  <c r="AV715" i="76"/>
  <c r="AZ130" i="76"/>
  <c r="R753" i="76"/>
  <c r="Q761" i="76"/>
  <c r="P150" i="76"/>
  <c r="AU82" i="76"/>
  <c r="AY932" i="76"/>
  <c r="AZ221" i="76"/>
  <c r="S337" i="76"/>
  <c r="AU938" i="76"/>
  <c r="AY875" i="76"/>
  <c r="AX243" i="76"/>
  <c r="N626" i="76"/>
  <c r="S158" i="76"/>
  <c r="AY1032" i="76"/>
  <c r="AV789" i="76"/>
  <c r="AV286" i="76"/>
  <c r="P647" i="76"/>
  <c r="AU1064" i="76"/>
  <c r="AZ394" i="76"/>
  <c r="AY177" i="76"/>
  <c r="AU537" i="76"/>
  <c r="AZ955" i="76"/>
  <c r="Q727" i="76"/>
  <c r="R167" i="76"/>
  <c r="AX942" i="76"/>
  <c r="AY632" i="76"/>
  <c r="AX833" i="76"/>
  <c r="AW206" i="76"/>
  <c r="AW700" i="76"/>
  <c r="AZ173" i="76"/>
  <c r="R600" i="76"/>
  <c r="S134" i="76"/>
  <c r="AZ885" i="76"/>
  <c r="AV765" i="76"/>
  <c r="AY110" i="76"/>
  <c r="AX785" i="76"/>
  <c r="Q865" i="76"/>
  <c r="S72" i="76"/>
  <c r="AW442" i="76"/>
  <c r="AW357" i="76"/>
  <c r="AW779" i="76"/>
  <c r="Q142" i="76"/>
  <c r="AY284" i="76"/>
  <c r="S408" i="76"/>
  <c r="AW612" i="76"/>
  <c r="N435" i="76"/>
  <c r="AZ1029" i="76"/>
  <c r="AU170" i="76"/>
  <c r="AX695" i="76"/>
  <c r="N1039" i="76"/>
  <c r="AU922" i="76"/>
  <c r="AZ274" i="76"/>
  <c r="AY588" i="76"/>
  <c r="N779" i="76"/>
  <c r="Q457" i="76"/>
  <c r="AW677" i="76"/>
  <c r="AZ593" i="76"/>
  <c r="AW484" i="76"/>
  <c r="R556" i="76"/>
  <c r="P126" i="76"/>
  <c r="AX577" i="76"/>
  <c r="AY782" i="76"/>
  <c r="AZ905" i="76"/>
  <c r="N579" i="76"/>
  <c r="AY911" i="76"/>
  <c r="AZ485" i="76"/>
  <c r="AV303" i="76"/>
  <c r="P457" i="76"/>
  <c r="Q768" i="76"/>
  <c r="AU562" i="76"/>
  <c r="N389" i="76"/>
  <c r="AZ233" i="76"/>
  <c r="P79" i="76"/>
  <c r="AX250" i="76"/>
  <c r="P410" i="76"/>
  <c r="AZ692" i="76"/>
  <c r="AV363" i="76"/>
  <c r="S518" i="76"/>
  <c r="AU342" i="76"/>
  <c r="O643" i="76"/>
  <c r="AV690" i="76"/>
  <c r="AV705" i="76"/>
  <c r="R162" i="76"/>
  <c r="AY374" i="76"/>
  <c r="O999" i="76"/>
  <c r="S127" i="76"/>
  <c r="AZ290" i="76"/>
  <c r="AW78" i="76"/>
  <c r="AX483" i="76"/>
  <c r="P253" i="76"/>
  <c r="AW336" i="76"/>
  <c r="AV529" i="76"/>
  <c r="P905" i="76"/>
  <c r="AV185" i="76"/>
  <c r="AV339" i="76"/>
  <c r="AY460" i="76"/>
  <c r="AX800" i="76"/>
  <c r="AZ862" i="76"/>
  <c r="AW179" i="76"/>
  <c r="AZ524" i="76"/>
  <c r="AV824" i="76"/>
  <c r="AZ899" i="76"/>
  <c r="AU692" i="76"/>
  <c r="S215" i="76"/>
  <c r="AX1004" i="76"/>
  <c r="N324" i="76"/>
  <c r="AZ972" i="76"/>
  <c r="Q873" i="76"/>
  <c r="R889" i="76"/>
  <c r="AY1046" i="76"/>
  <c r="O855" i="76"/>
  <c r="AV198" i="76"/>
  <c r="Q477" i="76"/>
  <c r="AY681" i="76"/>
  <c r="P1024" i="76"/>
  <c r="AZ1037" i="76"/>
  <c r="S558" i="76"/>
  <c r="N905" i="76"/>
  <c r="S993" i="76"/>
  <c r="N310" i="76"/>
  <c r="AW783" i="76"/>
  <c r="R791" i="76"/>
  <c r="AU1046" i="76"/>
  <c r="AV511" i="76"/>
  <c r="AV748" i="76"/>
  <c r="Q362" i="76"/>
  <c r="P155" i="76"/>
  <c r="AX726" i="76"/>
  <c r="AZ161" i="76"/>
  <c r="O782" i="76"/>
  <c r="S107" i="76"/>
  <c r="AW865" i="76"/>
  <c r="AW93" i="76"/>
  <c r="AZ1011" i="76"/>
  <c r="AW262" i="76"/>
  <c r="S474" i="76"/>
  <c r="AX956" i="76"/>
  <c r="AX73" i="76"/>
  <c r="AW632" i="76"/>
  <c r="R668" i="76"/>
  <c r="O217" i="76"/>
  <c r="AZ87" i="76"/>
  <c r="AY835" i="76"/>
  <c r="AW659" i="76"/>
  <c r="S373" i="76"/>
  <c r="S203" i="76"/>
  <c r="AW415" i="76"/>
  <c r="AW198" i="76"/>
  <c r="AW624" i="76"/>
  <c r="AU721" i="76"/>
  <c r="P813" i="76"/>
  <c r="S224" i="76"/>
  <c r="AU963" i="76"/>
  <c r="AW653" i="76"/>
  <c r="AV854" i="76"/>
  <c r="AU227" i="76"/>
  <c r="AU741" i="76"/>
  <c r="AU255" i="76"/>
  <c r="R687" i="76"/>
  <c r="P243" i="76"/>
  <c r="AX96" i="76"/>
  <c r="AY865" i="76"/>
  <c r="AY794" i="76"/>
  <c r="AV1010" i="76"/>
  <c r="S802" i="76"/>
  <c r="O114" i="76"/>
  <c r="AX485" i="76"/>
  <c r="AW400" i="76"/>
  <c r="AZ165" i="76"/>
  <c r="S428" i="76"/>
  <c r="AW369" i="76"/>
  <c r="Q476" i="76"/>
  <c r="AX924" i="76"/>
  <c r="Q571" i="76"/>
  <c r="N95" i="76"/>
  <c r="AW213" i="76"/>
  <c r="AZ782" i="76"/>
  <c r="N1044" i="76"/>
  <c r="AV978" i="76"/>
  <c r="AX608" i="76"/>
  <c r="AY716" i="76"/>
  <c r="R861" i="76"/>
  <c r="R96" i="76"/>
  <c r="AY720" i="76"/>
  <c r="AV635" i="76"/>
  <c r="AV148" i="76"/>
  <c r="R672" i="76"/>
  <c r="R396" i="76"/>
  <c r="AZ620" i="76"/>
  <c r="AW878" i="76"/>
  <c r="AV724" i="76"/>
  <c r="N242" i="76"/>
  <c r="AZ954" i="76"/>
  <c r="AU527" i="76"/>
  <c r="AW390" i="76"/>
  <c r="R1056" i="76"/>
  <c r="Q986" i="76"/>
  <c r="AZ614" i="76"/>
  <c r="AZ930" i="76"/>
  <c r="AW433" i="76"/>
  <c r="AW1036" i="76"/>
  <c r="AV115" i="76"/>
  <c r="Q560" i="76"/>
  <c r="AX88" i="76"/>
  <c r="AY139" i="76"/>
  <c r="AV905" i="76"/>
  <c r="AY338" i="76"/>
  <c r="AY953" i="76"/>
  <c r="AW362" i="76"/>
  <c r="S733" i="76"/>
  <c r="AY180" i="76"/>
  <c r="AZ775" i="76"/>
  <c r="N550" i="76"/>
  <c r="AX1046" i="76"/>
  <c r="AU683" i="76"/>
  <c r="AY147" i="76"/>
  <c r="R330" i="76"/>
  <c r="AW338" i="76"/>
  <c r="AX358" i="76"/>
  <c r="P163" i="76"/>
  <c r="AW393" i="76"/>
  <c r="O208" i="76"/>
  <c r="P299" i="76"/>
  <c r="O472" i="76"/>
  <c r="AZ453" i="76"/>
  <c r="S815" i="76"/>
  <c r="AX412" i="76"/>
  <c r="AX675" i="76"/>
  <c r="AW1011" i="76"/>
  <c r="AY819" i="76"/>
  <c r="R577" i="76"/>
  <c r="AY517" i="76"/>
  <c r="R879" i="76"/>
  <c r="AX176" i="76"/>
  <c r="AV220" i="76"/>
  <c r="O610" i="76"/>
  <c r="AZ948" i="76"/>
  <c r="O476" i="76"/>
  <c r="AV267" i="76"/>
  <c r="P99" i="76"/>
  <c r="AZ357" i="76"/>
  <c r="P399" i="76"/>
  <c r="P636" i="76"/>
  <c r="R718" i="76"/>
  <c r="P925" i="76"/>
  <c r="P269" i="76"/>
  <c r="AX493" i="76"/>
  <c r="AU532" i="76"/>
  <c r="O167" i="76"/>
  <c r="AX633" i="76"/>
  <c r="AY400" i="76"/>
  <c r="R770" i="76"/>
  <c r="R105" i="76"/>
  <c r="AV602" i="76"/>
  <c r="AU488" i="76"/>
  <c r="AX82" i="76"/>
  <c r="N863" i="76"/>
  <c r="P90" i="76"/>
  <c r="AY441" i="76"/>
  <c r="AZ975" i="76"/>
  <c r="AX468" i="76"/>
  <c r="N995" i="76"/>
  <c r="S196" i="76"/>
  <c r="AZ732" i="76"/>
  <c r="AY366" i="76"/>
  <c r="AZ137" i="76"/>
  <c r="S334" i="76"/>
  <c r="P139" i="76"/>
  <c r="AU651" i="76"/>
  <c r="AW636" i="76"/>
  <c r="P758" i="76"/>
  <c r="O421" i="76"/>
  <c r="AW773" i="76"/>
  <c r="AZ355" i="76"/>
  <c r="AX329" i="76"/>
  <c r="AZ440" i="76"/>
  <c r="R865" i="76"/>
  <c r="O490" i="76"/>
  <c r="O192" i="76"/>
  <c r="AZ982" i="76"/>
  <c r="AY849" i="76"/>
  <c r="AV170" i="76"/>
  <c r="AV815" i="76"/>
  <c r="AU232" i="76"/>
  <c r="AU287" i="76"/>
  <c r="S350" i="76"/>
  <c r="S228" i="76"/>
  <c r="AY661" i="76"/>
  <c r="AU653" i="76"/>
  <c r="O481" i="76"/>
  <c r="AY471" i="76"/>
  <c r="P434" i="76"/>
  <c r="AV1027" i="76"/>
  <c r="AW169" i="76"/>
  <c r="AZ694" i="76"/>
  <c r="N940" i="76"/>
  <c r="AW753" i="76"/>
  <c r="AV777" i="76"/>
  <c r="AU758" i="76"/>
  <c r="Q864" i="76"/>
  <c r="Q132" i="76"/>
  <c r="AU881" i="76"/>
  <c r="AX786" i="76"/>
  <c r="AX736" i="76"/>
  <c r="Q385" i="76"/>
  <c r="AX292" i="76"/>
  <c r="S693" i="76"/>
  <c r="AZ865" i="76"/>
  <c r="O649" i="76"/>
  <c r="AY1009" i="76"/>
  <c r="AU404" i="76"/>
  <c r="AU433" i="76"/>
  <c r="Q1043" i="76"/>
  <c r="P302" i="76"/>
  <c r="AU1057" i="76"/>
  <c r="AZ303" i="76"/>
  <c r="AY759" i="76"/>
  <c r="Q757" i="76"/>
  <c r="S101" i="76"/>
  <c r="AV304" i="76"/>
  <c r="AY221" i="76"/>
  <c r="AX230" i="76"/>
  <c r="P826" i="76"/>
  <c r="O291" i="76"/>
  <c r="R95" i="76"/>
  <c r="P416" i="76"/>
  <c r="AZ617" i="76"/>
  <c r="Q831" i="76"/>
  <c r="AX903" i="76"/>
  <c r="AV337" i="76"/>
  <c r="AU872" i="76"/>
  <c r="O383" i="76"/>
  <c r="AV1064" i="76"/>
  <c r="AZ457" i="76"/>
  <c r="AW688" i="76"/>
  <c r="N887" i="76"/>
  <c r="Q469" i="76"/>
  <c r="O189" i="76"/>
  <c r="AX553" i="76"/>
  <c r="AU143" i="76"/>
  <c r="AW347" i="76"/>
  <c r="Q572" i="76"/>
  <c r="N132" i="76"/>
  <c r="AW650" i="76"/>
  <c r="AY635" i="76"/>
  <c r="R1061" i="76"/>
  <c r="Q412" i="76"/>
  <c r="AY664" i="76"/>
  <c r="AV579" i="76"/>
  <c r="AX278" i="76"/>
  <c r="S580" i="76"/>
  <c r="R165" i="76"/>
  <c r="AY870" i="76"/>
  <c r="AZ561" i="76"/>
  <c r="AY515" i="76"/>
  <c r="AZ650" i="76"/>
  <c r="Q748" i="76"/>
  <c r="Q241" i="76"/>
  <c r="Q349" i="76"/>
  <c r="AY984" i="76"/>
  <c r="AY295" i="76"/>
  <c r="AZ505" i="76"/>
  <c r="AX559" i="76"/>
  <c r="AY613" i="76"/>
  <c r="N488" i="76"/>
  <c r="AW311" i="76"/>
  <c r="P83" i="76"/>
  <c r="AY480" i="76"/>
  <c r="AW805" i="76"/>
  <c r="Q977" i="76"/>
  <c r="AU113" i="76"/>
  <c r="N1010" i="76"/>
  <c r="AY299" i="76"/>
  <c r="O555" i="76"/>
  <c r="P480" i="76"/>
  <c r="Q216" i="76"/>
  <c r="AY486" i="76"/>
  <c r="Q200" i="76"/>
  <c r="AV288" i="76"/>
  <c r="AW98" i="76"/>
  <c r="R126" i="76"/>
  <c r="AU429" i="76"/>
  <c r="AZ633" i="76"/>
  <c r="AZ921" i="76"/>
  <c r="O901" i="76"/>
  <c r="AV731" i="76"/>
  <c r="N467" i="76"/>
  <c r="AY1051" i="76"/>
  <c r="R1026" i="76"/>
  <c r="AZ1019" i="76"/>
  <c r="AU172" i="76"/>
  <c r="O837" i="76"/>
  <c r="AU206" i="76"/>
  <c r="AY184" i="76"/>
  <c r="Q207" i="76"/>
  <c r="AW259" i="76"/>
  <c r="AY604" i="76"/>
  <c r="Q1026" i="76"/>
  <c r="AW602" i="76"/>
  <c r="S431" i="76"/>
  <c r="AY310" i="76"/>
  <c r="N76" i="76"/>
  <c r="AZ589" i="76"/>
  <c r="AZ908" i="76"/>
  <c r="AZ329" i="76"/>
  <c r="AU998" i="76"/>
  <c r="O1053" i="76"/>
  <c r="AZ349" i="76"/>
  <c r="AV99" i="76"/>
  <c r="AY469" i="76"/>
  <c r="P582" i="76"/>
  <c r="P769" i="76"/>
  <c r="AY80" i="76"/>
  <c r="P544" i="76"/>
  <c r="AU569" i="76"/>
  <c r="AU230" i="76"/>
  <c r="Q322" i="76"/>
  <c r="AV366" i="76"/>
  <c r="AZ800" i="76"/>
  <c r="AW664" i="76"/>
  <c r="AZ1014" i="76"/>
  <c r="AV461" i="76"/>
  <c r="P339" i="76"/>
  <c r="AY862" i="76"/>
  <c r="N604" i="76"/>
  <c r="R287" i="76"/>
  <c r="P136" i="76"/>
  <c r="N542" i="76"/>
  <c r="AW1042" i="76"/>
  <c r="O731" i="76"/>
  <c r="AZ767" i="76"/>
  <c r="AY428" i="76"/>
  <c r="AZ189" i="76"/>
  <c r="Q485" i="76"/>
  <c r="AU177" i="76"/>
  <c r="R97" i="76"/>
  <c r="S100" i="76"/>
  <c r="R173" i="76"/>
  <c r="P103" i="76"/>
  <c r="AY703" i="76"/>
  <c r="AX812" i="76"/>
  <c r="AX441" i="76"/>
  <c r="AV470" i="76"/>
  <c r="R887" i="76"/>
  <c r="AY244" i="76"/>
  <c r="AX452" i="76"/>
  <c r="AY285" i="76"/>
  <c r="AW355" i="76"/>
  <c r="AZ451" i="76"/>
  <c r="Q747" i="76"/>
  <c r="AW943" i="76"/>
  <c r="S466" i="76"/>
  <c r="AW258" i="76"/>
  <c r="O650" i="76"/>
  <c r="P618" i="76"/>
  <c r="O95" i="76"/>
  <c r="AU320" i="76"/>
  <c r="P392" i="76"/>
  <c r="AZ664" i="76"/>
  <c r="P172" i="76"/>
  <c r="AZ335" i="76"/>
  <c r="AU1008" i="76"/>
  <c r="AY457" i="76"/>
  <c r="AX661" i="76"/>
  <c r="AV637" i="76"/>
  <c r="AV761" i="76"/>
  <c r="AX146" i="76"/>
  <c r="AW210" i="76"/>
  <c r="AU361" i="76"/>
  <c r="AV69" i="76"/>
  <c r="P650" i="76"/>
  <c r="AX607" i="76"/>
  <c r="AZ447" i="76"/>
  <c r="AZ1064" i="76"/>
  <c r="S771" i="76"/>
  <c r="AV468" i="76"/>
  <c r="AV889" i="76"/>
  <c r="AZ726" i="76"/>
  <c r="R983" i="76"/>
  <c r="AZ1045" i="76"/>
  <c r="O691" i="76"/>
  <c r="AV282" i="76"/>
  <c r="AV703" i="76"/>
  <c r="N872" i="76"/>
  <c r="AW941" i="76"/>
  <c r="R875" i="76"/>
  <c r="O830" i="76"/>
  <c r="AV172" i="76"/>
  <c r="AW166" i="76"/>
  <c r="AW772" i="76"/>
  <c r="R270" i="76"/>
  <c r="AZ778" i="76"/>
  <c r="AZ1060" i="76"/>
  <c r="AY843" i="76"/>
  <c r="S229" i="76"/>
  <c r="O554" i="76"/>
  <c r="AZ868" i="76"/>
  <c r="O823" i="76"/>
  <c r="Q584" i="76"/>
  <c r="AZ460" i="76"/>
  <c r="AY967" i="76"/>
  <c r="AV207" i="76"/>
  <c r="AY442" i="76"/>
  <c r="AY636" i="76"/>
  <c r="Q208" i="76"/>
  <c r="N968" i="76"/>
  <c r="AU639" i="76"/>
  <c r="AX426" i="76"/>
  <c r="AZ683" i="76"/>
  <c r="AU386" i="76"/>
  <c r="AW651" i="76"/>
  <c r="AW758" i="76"/>
  <c r="AW294" i="76"/>
  <c r="Q296" i="76"/>
  <c r="AX404" i="76"/>
  <c r="AX851" i="76"/>
  <c r="AX353" i="76"/>
  <c r="O426" i="76"/>
  <c r="AX344" i="76"/>
  <c r="Q759" i="76"/>
  <c r="AU377" i="76"/>
  <c r="AZ523" i="76"/>
  <c r="R497" i="76"/>
  <c r="AZ117" i="76"/>
  <c r="AZ253" i="76"/>
  <c r="R231" i="76"/>
  <c r="R601" i="76"/>
  <c r="AU694" i="76"/>
  <c r="AY282" i="76"/>
  <c r="AU994" i="76"/>
  <c r="R345" i="76"/>
  <c r="AW475" i="76"/>
  <c r="R1052" i="76"/>
  <c r="Q148" i="76"/>
  <c r="AW513" i="76"/>
  <c r="AZ581" i="76"/>
  <c r="AY674" i="76"/>
  <c r="AZ220" i="76"/>
  <c r="O661" i="76"/>
  <c r="AU867" i="76"/>
  <c r="R741" i="76"/>
  <c r="AU889" i="76"/>
  <c r="AU1050" i="76"/>
  <c r="AV963" i="76"/>
  <c r="AV980" i="76"/>
  <c r="S769" i="76"/>
  <c r="AY572" i="76"/>
  <c r="AU768" i="76"/>
  <c r="AV1039" i="76"/>
  <c r="AW750" i="76"/>
  <c r="P919" i="76"/>
  <c r="AX471" i="76"/>
  <c r="S508" i="76"/>
  <c r="AZ257" i="76"/>
  <c r="AX923" i="76"/>
  <c r="AW819" i="76"/>
  <c r="AZ1004" i="76"/>
  <c r="AV74" i="76"/>
  <c r="AZ503" i="76"/>
  <c r="O1067" i="76"/>
  <c r="AX951" i="76"/>
  <c r="S444" i="76"/>
  <c r="AW481" i="76"/>
  <c r="AW231" i="76"/>
  <c r="AZ938" i="76"/>
  <c r="AY795" i="76"/>
  <c r="O89" i="76"/>
  <c r="AZ848" i="76"/>
  <c r="O1038" i="76"/>
  <c r="AU326" i="76"/>
  <c r="AV480" i="76"/>
  <c r="R350" i="76"/>
  <c r="AY826" i="76"/>
  <c r="AX747" i="76"/>
  <c r="P199" i="76"/>
  <c r="R172" i="76"/>
  <c r="AZ310" i="76"/>
  <c r="AX428" i="76"/>
  <c r="AW534" i="76"/>
  <c r="O440" i="76"/>
  <c r="AV865" i="76"/>
  <c r="S831" i="76"/>
  <c r="Q264" i="76"/>
  <c r="AU838" i="76"/>
  <c r="AX852" i="76"/>
  <c r="AW71" i="76"/>
  <c r="AU946" i="76"/>
  <c r="Q172" i="76"/>
  <c r="AU800" i="76"/>
  <c r="Q339" i="76"/>
  <c r="AU687" i="76"/>
  <c r="R781" i="76"/>
  <c r="AW847" i="76"/>
  <c r="AY845" i="76"/>
  <c r="S307" i="76"/>
  <c r="AU341" i="76"/>
  <c r="O1000" i="76"/>
  <c r="AY481" i="76"/>
  <c r="AZ529" i="76"/>
  <c r="R512" i="76"/>
  <c r="AZ408" i="76"/>
  <c r="R218" i="76"/>
  <c r="AY743" i="76"/>
  <c r="AU802" i="76"/>
  <c r="N919" i="76"/>
  <c r="AY991" i="76"/>
  <c r="AX408" i="76"/>
  <c r="N962" i="76"/>
  <c r="S607" i="76"/>
  <c r="AX152" i="76"/>
  <c r="AW356" i="76"/>
  <c r="Q253" i="76"/>
  <c r="N705" i="76"/>
  <c r="O905" i="76"/>
  <c r="P782" i="76"/>
  <c r="N854" i="76"/>
  <c r="N714" i="76"/>
  <c r="R472" i="76"/>
  <c r="O497" i="76"/>
  <c r="P496" i="76"/>
  <c r="S248" i="76"/>
  <c r="N173" i="76"/>
  <c r="O1024" i="76"/>
  <c r="R1058" i="76"/>
  <c r="Q898" i="76"/>
  <c r="O759" i="76"/>
  <c r="O682" i="76"/>
  <c r="R982" i="76"/>
  <c r="S643" i="76"/>
  <c r="N731" i="76"/>
  <c r="N283" i="76"/>
  <c r="P276" i="76"/>
  <c r="Q1068" i="76"/>
  <c r="P1014" i="76"/>
  <c r="S818" i="76"/>
  <c r="S683" i="76"/>
  <c r="Q642" i="76"/>
  <c r="N754" i="76"/>
  <c r="O367" i="76"/>
  <c r="N278" i="76"/>
  <c r="N342" i="76"/>
  <c r="S538" i="76"/>
  <c r="R976" i="76"/>
  <c r="Q899" i="76"/>
  <c r="N732" i="76"/>
  <c r="Q916" i="76"/>
  <c r="R793" i="76"/>
  <c r="P862" i="76"/>
  <c r="R728" i="76"/>
  <c r="N482" i="76"/>
  <c r="S511" i="76"/>
  <c r="Q509" i="76"/>
  <c r="O258" i="76"/>
  <c r="P191" i="76"/>
  <c r="Q1035" i="76"/>
  <c r="R917" i="76"/>
  <c r="P916" i="76"/>
  <c r="S773" i="76"/>
  <c r="S696" i="76"/>
  <c r="O526" i="76"/>
  <c r="N699" i="76"/>
  <c r="S310" i="76"/>
  <c r="P294" i="76"/>
  <c r="R299" i="76"/>
  <c r="P968" i="76"/>
  <c r="N1055" i="76"/>
  <c r="O828" i="76"/>
  <c r="O693" i="76"/>
  <c r="S653" i="76"/>
  <c r="O806" i="76"/>
  <c r="Q378" i="76"/>
  <c r="P289" i="76"/>
  <c r="R356" i="76"/>
  <c r="R707" i="76"/>
  <c r="N986" i="76"/>
  <c r="S918" i="76"/>
  <c r="P743" i="76"/>
  <c r="S927" i="76"/>
  <c r="N803" i="76"/>
  <c r="O883" i="76"/>
  <c r="N743" i="76"/>
  <c r="P493" i="76"/>
  <c r="N527" i="76"/>
  <c r="O525" i="76"/>
  <c r="Q269" i="76"/>
  <c r="P204" i="76"/>
  <c r="S1046" i="76"/>
  <c r="N927" i="76"/>
  <c r="R943" i="76"/>
  <c r="P788" i="76"/>
  <c r="O711" i="76"/>
  <c r="Q537" i="76"/>
  <c r="R759" i="76"/>
  <c r="O320" i="76"/>
  <c r="R305" i="76"/>
  <c r="S336" i="76"/>
  <c r="R979" i="76"/>
  <c r="P948" i="76"/>
  <c r="Q839" i="76"/>
  <c r="Q704" i="76"/>
  <c r="O663" i="76"/>
  <c r="R900" i="76"/>
  <c r="S389" i="76"/>
  <c r="R300" i="76"/>
  <c r="Q369" i="76"/>
  <c r="Q72" i="76"/>
  <c r="P997" i="76"/>
  <c r="P936" i="76"/>
  <c r="Q753" i="76"/>
  <c r="Q1049" i="76"/>
  <c r="N942" i="76"/>
  <c r="Q773" i="76"/>
  <c r="S652" i="76"/>
  <c r="Q710" i="76"/>
  <c r="P426" i="76"/>
  <c r="O436" i="76"/>
  <c r="N513" i="76"/>
  <c r="P120" i="76"/>
  <c r="Q971" i="76"/>
  <c r="Q926" i="76"/>
  <c r="N832" i="76"/>
  <c r="R843" i="76"/>
  <c r="S905" i="76"/>
  <c r="Q670" i="76"/>
  <c r="Q513" i="76"/>
  <c r="S464" i="76"/>
  <c r="N653" i="76"/>
  <c r="Q188" i="76"/>
  <c r="S1015" i="76"/>
  <c r="P990" i="76"/>
  <c r="O764" i="76"/>
  <c r="S791" i="76"/>
  <c r="S589" i="76"/>
  <c r="O621" i="76"/>
  <c r="S590" i="76"/>
  <c r="P225" i="76"/>
  <c r="S281" i="76"/>
  <c r="N321" i="76"/>
  <c r="Q966" i="76"/>
  <c r="P842" i="76"/>
  <c r="P679" i="76"/>
  <c r="S944" i="76"/>
  <c r="N622" i="76"/>
  <c r="Q482" i="76"/>
  <c r="P425" i="76"/>
  <c r="R152" i="76"/>
  <c r="Q943" i="76"/>
  <c r="Q653" i="76"/>
  <c r="N427" i="76"/>
  <c r="R514" i="76"/>
  <c r="Q983" i="76"/>
  <c r="N844" i="76"/>
  <c r="R633" i="76"/>
  <c r="O532" i="76"/>
  <c r="P242" i="76"/>
  <c r="Q1008" i="76"/>
  <c r="S758" i="76"/>
  <c r="P597" i="76"/>
  <c r="P592" i="76"/>
  <c r="S457" i="76"/>
  <c r="R390" i="76"/>
  <c r="R371" i="76"/>
  <c r="P429" i="76"/>
  <c r="N126" i="76"/>
  <c r="R765" i="76"/>
  <c r="O692" i="76"/>
  <c r="Q472" i="76"/>
  <c r="N773" i="76"/>
  <c r="S435" i="76"/>
  <c r="O351" i="76"/>
  <c r="AZ1041" i="76"/>
  <c r="S562" i="76"/>
  <c r="AW669" i="76"/>
  <c r="AU875" i="76"/>
  <c r="AU182" i="76"/>
  <c r="AY379" i="76"/>
  <c r="AZ585" i="76"/>
  <c r="AV629" i="76"/>
  <c r="AX719" i="76"/>
  <c r="AX95" i="76"/>
  <c r="AY349" i="76"/>
  <c r="AX659" i="76"/>
  <c r="Q982" i="76"/>
  <c r="N688" i="76"/>
  <c r="P541" i="76"/>
  <c r="S642" i="76"/>
  <c r="Q283" i="76"/>
  <c r="P1051" i="76"/>
  <c r="S757" i="76"/>
  <c r="S965" i="76"/>
  <c r="S726" i="76"/>
  <c r="R275" i="76"/>
  <c r="O962" i="76"/>
  <c r="S671" i="76"/>
  <c r="P720" i="76"/>
  <c r="N266" i="76"/>
  <c r="P523" i="76"/>
  <c r="Q911" i="76"/>
  <c r="R604" i="76"/>
  <c r="O463" i="76"/>
  <c r="N386" i="76"/>
  <c r="N122" i="76"/>
  <c r="O898" i="76"/>
  <c r="O665" i="76"/>
  <c r="S625" i="76"/>
  <c r="O707" i="76"/>
  <c r="O742" i="76"/>
  <c r="P261" i="76"/>
  <c r="P320" i="76"/>
  <c r="S503" i="76"/>
  <c r="O978" i="76"/>
  <c r="Q716" i="76"/>
  <c r="R537" i="76"/>
  <c r="O310" i="76"/>
  <c r="S95" i="76"/>
  <c r="P95" i="76"/>
  <c r="AY969" i="76"/>
  <c r="AX987" i="76"/>
  <c r="AX849" i="76"/>
  <c r="AZ167" i="76"/>
  <c r="AW364" i="76"/>
  <c r="AY561" i="76"/>
  <c r="AX766" i="76"/>
  <c r="AU83" i="76"/>
  <c r="AV354" i="76"/>
  <c r="AV453" i="76"/>
  <c r="AX656" i="76"/>
  <c r="AU112" i="76"/>
  <c r="O964" i="76"/>
  <c r="R826" i="76"/>
  <c r="O874" i="76"/>
  <c r="O506" i="76"/>
  <c r="R613" i="76"/>
  <c r="O182" i="76"/>
  <c r="Q304" i="76"/>
  <c r="AU924" i="76"/>
  <c r="AZ1063" i="76"/>
  <c r="AW553" i="76"/>
  <c r="AV750" i="76"/>
  <c r="AV982" i="76"/>
  <c r="AU262" i="76"/>
  <c r="AU468" i="76"/>
  <c r="AU399" i="76"/>
  <c r="AX487" i="76"/>
  <c r="AY599" i="76"/>
  <c r="AW339" i="76"/>
  <c r="AW199" i="76"/>
  <c r="P934" i="76"/>
  <c r="R795" i="76"/>
  <c r="S544" i="76"/>
  <c r="Q327" i="76"/>
  <c r="N915" i="76"/>
  <c r="P772" i="76"/>
  <c r="Q525" i="76"/>
  <c r="O308" i="76"/>
  <c r="N293" i="76"/>
  <c r="N1007" i="76"/>
  <c r="O681" i="76"/>
  <c r="O750" i="76"/>
  <c r="P277" i="76"/>
  <c r="S688" i="76"/>
  <c r="O927" i="76"/>
  <c r="N614" i="76"/>
  <c r="Q474" i="76"/>
  <c r="P409" i="76"/>
  <c r="P133" i="76"/>
  <c r="R915" i="76"/>
  <c r="Q676" i="76"/>
  <c r="O635" i="76"/>
  <c r="Q733" i="76"/>
  <c r="P893" i="76"/>
  <c r="R272" i="76"/>
  <c r="P333" i="76"/>
  <c r="N990" i="76"/>
  <c r="R803" i="76"/>
  <c r="O372" i="76"/>
  <c r="S971" i="76"/>
  <c r="Q837" i="76"/>
  <c r="Q427" i="76"/>
  <c r="P1000" i="76"/>
  <c r="P680" i="76"/>
  <c r="N548" i="76"/>
  <c r="P1004" i="76"/>
  <c r="S869" i="76"/>
  <c r="R532" i="76"/>
  <c r="Q382" i="76"/>
  <c r="S424" i="76"/>
  <c r="O269" i="76"/>
  <c r="N824" i="76"/>
  <c r="S749" i="76"/>
  <c r="Q800" i="76"/>
  <c r="Q181" i="76"/>
  <c r="O123" i="76"/>
  <c r="AY923" i="76"/>
  <c r="AY552" i="76"/>
  <c r="AV514" i="76"/>
  <c r="AY497" i="76"/>
  <c r="AW467" i="76"/>
  <c r="AW655" i="76"/>
  <c r="AV327" i="76"/>
  <c r="AU332" i="76"/>
  <c r="AX760" i="76"/>
  <c r="S810" i="76"/>
  <c r="Q541" i="76"/>
  <c r="S296" i="76"/>
  <c r="O150" i="76"/>
  <c r="Q453" i="76"/>
  <c r="AX919" i="76"/>
  <c r="AY1019" i="76"/>
  <c r="AX136" i="76"/>
  <c r="AU226" i="76"/>
  <c r="AZ327" i="76"/>
  <c r="AV436" i="76"/>
  <c r="AX886" i="76"/>
  <c r="AY779" i="76"/>
  <c r="AW254" i="76"/>
  <c r="AW465" i="76"/>
  <c r="R1020" i="76"/>
  <c r="S799" i="76"/>
  <c r="N715" i="76"/>
  <c r="N230" i="76"/>
  <c r="Q252" i="76"/>
  <c r="R282" i="76"/>
  <c r="AU908" i="76"/>
  <c r="AU925" i="76"/>
  <c r="AW789" i="76"/>
  <c r="AV105" i="76"/>
  <c r="AY303" i="76"/>
  <c r="AU499" i="76"/>
  <c r="AZ705" i="76"/>
  <c r="AU910" i="76"/>
  <c r="AX234" i="76"/>
  <c r="AX334" i="76"/>
  <c r="Q876" i="76"/>
  <c r="S565" i="76"/>
  <c r="R318" i="76"/>
  <c r="Q939" i="76"/>
  <c r="N710" i="76"/>
  <c r="R662" i="76"/>
  <c r="P965" i="76"/>
  <c r="R740" i="76"/>
  <c r="R236" i="76"/>
  <c r="R1046" i="76"/>
  <c r="Q741" i="76"/>
  <c r="S532" i="76"/>
  <c r="P780" i="76"/>
  <c r="N413" i="76"/>
  <c r="Q719" i="76"/>
  <c r="P687" i="76"/>
  <c r="N660" i="76"/>
  <c r="O330" i="76"/>
  <c r="Q236" i="76"/>
  <c r="AZ937" i="76"/>
  <c r="AV1006" i="76"/>
  <c r="AZ370" i="76"/>
  <c r="AW332" i="76"/>
  <c r="AZ315" i="76"/>
  <c r="AW285" i="76"/>
  <c r="AV290" i="76"/>
  <c r="AX807" i="76"/>
  <c r="AW491" i="76"/>
  <c r="N1013" i="76"/>
  <c r="S767" i="76"/>
  <c r="Q498" i="76"/>
  <c r="R435" i="76"/>
  <c r="N211" i="76"/>
  <c r="AW1066" i="76"/>
  <c r="AV988" i="76"/>
  <c r="AY756" i="76"/>
  <c r="AW860" i="76"/>
  <c r="AW77" i="76"/>
  <c r="AV166" i="76"/>
  <c r="AZ276" i="76"/>
  <c r="AW551" i="76"/>
  <c r="AZ459" i="76"/>
  <c r="AX283" i="76"/>
  <c r="AV620" i="76"/>
  <c r="N955" i="76"/>
  <c r="S699" i="76"/>
  <c r="O479" i="76"/>
  <c r="P507" i="76"/>
  <c r="S364" i="76"/>
  <c r="Q263" i="76"/>
  <c r="AX1022" i="76"/>
  <c r="O233" i="76"/>
  <c r="AU650" i="76"/>
  <c r="AX847" i="76"/>
  <c r="AY164" i="76"/>
  <c r="AX360" i="76"/>
  <c r="AX566" i="76"/>
  <c r="AZ595" i="76"/>
  <c r="AV680" i="76"/>
  <c r="AW208" i="76"/>
  <c r="S860" i="76"/>
  <c r="O633" i="76"/>
  <c r="R324" i="76"/>
  <c r="R805" i="76"/>
  <c r="O572" i="76"/>
  <c r="P458" i="76"/>
  <c r="N827" i="76"/>
  <c r="P669" i="76"/>
  <c r="R314" i="76"/>
  <c r="N867" i="76"/>
  <c r="R709" i="76"/>
  <c r="P626" i="76"/>
  <c r="O336" i="76"/>
  <c r="S587" i="76"/>
  <c r="O1063" i="76"/>
  <c r="O737" i="76"/>
  <c r="R377" i="76"/>
  <c r="R420" i="76"/>
  <c r="R118" i="76"/>
  <c r="AX998" i="76"/>
  <c r="AW1068" i="76"/>
  <c r="AV177" i="76"/>
  <c r="AY140" i="76"/>
  <c r="AX101" i="76"/>
  <c r="AW94" i="76"/>
  <c r="AV632" i="76"/>
  <c r="AU168" i="76"/>
  <c r="AX227" i="76"/>
  <c r="N1040" i="76"/>
  <c r="O683" i="76"/>
  <c r="P536" i="76"/>
  <c r="N157" i="76"/>
  <c r="P952" i="76"/>
  <c r="Q409" i="76"/>
  <c r="S735" i="76"/>
  <c r="O247" i="76"/>
  <c r="Q731" i="76"/>
  <c r="Q445" i="76"/>
  <c r="R640" i="76"/>
  <c r="R507" i="76"/>
  <c r="O284" i="76"/>
  <c r="S766" i="76"/>
  <c r="N752" i="76"/>
  <c r="O79" i="76"/>
  <c r="AX1019" i="76"/>
  <c r="AV113" i="76"/>
  <c r="AX411" i="76"/>
  <c r="AX524" i="76"/>
  <c r="AU505" i="76"/>
  <c r="AU923" i="76"/>
  <c r="R596" i="76"/>
  <c r="S360" i="76"/>
  <c r="S231" i="76"/>
  <c r="AU1004" i="76"/>
  <c r="AW745" i="76"/>
  <c r="AV590" i="76"/>
  <c r="AV412" i="76"/>
  <c r="AX265" i="76"/>
  <c r="AX743" i="76"/>
  <c r="AX776" i="76"/>
  <c r="AX579" i="76"/>
  <c r="R769" i="76"/>
  <c r="S704" i="76"/>
  <c r="S448" i="76"/>
  <c r="R466" i="76"/>
  <c r="AW982" i="76"/>
  <c r="O100" i="76"/>
  <c r="AV415" i="76"/>
  <c r="AZ378" i="76"/>
  <c r="AV349" i="76"/>
  <c r="AU330" i="76"/>
  <c r="AY384" i="76"/>
  <c r="AW176" i="76"/>
  <c r="AZ495" i="76"/>
  <c r="AW247" i="76"/>
  <c r="P1010" i="76"/>
  <c r="Q863" i="76"/>
  <c r="R605" i="76"/>
  <c r="S378" i="76"/>
  <c r="P616" i="76"/>
  <c r="R530" i="76"/>
  <c r="O188" i="76"/>
  <c r="P448" i="76"/>
  <c r="AX976" i="76"/>
  <c r="AW280" i="76"/>
  <c r="AW478" i="76"/>
  <c r="AW674" i="76"/>
  <c r="AV894" i="76"/>
  <c r="AY197" i="76"/>
  <c r="AW583" i="76"/>
  <c r="AY683" i="76"/>
  <c r="AU109" i="76"/>
  <c r="AY142" i="76"/>
  <c r="AZ133" i="76"/>
  <c r="P621" i="76"/>
  <c r="R424" i="76"/>
  <c r="P683" i="76"/>
  <c r="N544" i="76"/>
  <c r="S763" i="76"/>
  <c r="S301" i="76"/>
  <c r="R784" i="76"/>
  <c r="O194" i="76"/>
  <c r="N650" i="76"/>
  <c r="Q624" i="76"/>
  <c r="R323" i="76"/>
  <c r="O808" i="76"/>
  <c r="N408" i="76"/>
  <c r="Q102" i="76"/>
  <c r="AV1040" i="76"/>
  <c r="AX124" i="76"/>
  <c r="AU432" i="76"/>
  <c r="AV565" i="76"/>
  <c r="AY551" i="76"/>
  <c r="AV79" i="76"/>
  <c r="P617" i="76"/>
  <c r="N577" i="76"/>
  <c r="P275" i="76"/>
  <c r="AY1026" i="76"/>
  <c r="AU766" i="76"/>
  <c r="AX601" i="76"/>
  <c r="AU444" i="76"/>
  <c r="AU286" i="76"/>
  <c r="AZ766" i="76"/>
  <c r="AZ186" i="76"/>
  <c r="AZ666" i="76"/>
  <c r="N811" i="76"/>
  <c r="P921" i="76"/>
  <c r="R591" i="76"/>
  <c r="O624" i="76"/>
  <c r="AU1003" i="76"/>
  <c r="N180" i="76"/>
  <c r="AW426" i="76"/>
  <c r="AW399" i="76"/>
  <c r="AZ371" i="76"/>
  <c r="AW341" i="76"/>
  <c r="AW424" i="76"/>
  <c r="AX79" i="76"/>
  <c r="AX680" i="76"/>
  <c r="AY293" i="76"/>
  <c r="N1051" i="76"/>
  <c r="O926" i="76"/>
  <c r="P640" i="76"/>
  <c r="Q399" i="76"/>
  <c r="R83" i="76"/>
  <c r="O71" i="76"/>
  <c r="P323" i="76"/>
  <c r="P752" i="76"/>
  <c r="AX985" i="76"/>
  <c r="AX291" i="76"/>
  <c r="AX489" i="76"/>
  <c r="AY685" i="76"/>
  <c r="AV913" i="76"/>
  <c r="AU207" i="76"/>
  <c r="AY606" i="76"/>
  <c r="AU701" i="76"/>
  <c r="AX275" i="76"/>
  <c r="AV175" i="76"/>
  <c r="AZ282" i="76"/>
  <c r="R664" i="76"/>
  <c r="Q540" i="76"/>
  <c r="Q751" i="76"/>
  <c r="N190" i="76"/>
  <c r="P860" i="76"/>
  <c r="Q340" i="76"/>
  <c r="Q706" i="76"/>
  <c r="S217" i="76"/>
  <c r="N830" i="76"/>
  <c r="N379" i="76"/>
  <c r="Q210" i="76"/>
  <c r="S873" i="76"/>
  <c r="N812" i="76"/>
  <c r="R370" i="76"/>
  <c r="AW896" i="76"/>
  <c r="AX220" i="76"/>
  <c r="AW518" i="76"/>
  <c r="AZ739" i="76"/>
  <c r="AY167" i="76"/>
  <c r="AV156" i="76"/>
  <c r="Q696" i="76"/>
  <c r="R416" i="76"/>
  <c r="P119" i="76"/>
  <c r="N227" i="76"/>
  <c r="AZ831" i="76"/>
  <c r="AZ676" i="76"/>
  <c r="AW498" i="76"/>
  <c r="AU350" i="76"/>
  <c r="AV187" i="76"/>
  <c r="AY317" i="76"/>
  <c r="AX102" i="76"/>
  <c r="Q1029" i="76"/>
  <c r="P595" i="76"/>
  <c r="R344" i="76"/>
  <c r="S120" i="76"/>
  <c r="AY1057" i="76"/>
  <c r="AU850" i="76"/>
  <c r="AU490" i="76"/>
  <c r="AY453" i="76"/>
  <c r="AU424" i="76"/>
  <c r="AU405" i="76"/>
  <c r="AY534" i="76"/>
  <c r="AV184" i="76"/>
  <c r="AZ463" i="76"/>
  <c r="AW460" i="76"/>
  <c r="P1063" i="76"/>
  <c r="N842" i="76"/>
  <c r="N466" i="76"/>
  <c r="N489" i="76"/>
  <c r="P168" i="76"/>
  <c r="Q158" i="76"/>
  <c r="P202" i="76"/>
  <c r="AV924" i="76"/>
  <c r="Q600" i="76"/>
  <c r="AZ334" i="76"/>
  <c r="AZ532" i="76"/>
  <c r="AU727" i="76"/>
  <c r="AU1066" i="76"/>
  <c r="AX249" i="76"/>
  <c r="AU688" i="76"/>
  <c r="AW788" i="76"/>
  <c r="AU152" i="76"/>
  <c r="AX349" i="76"/>
  <c r="AU132" i="76"/>
  <c r="O721" i="76"/>
  <c r="P314" i="76"/>
  <c r="O718" i="76"/>
  <c r="P923" i="76"/>
  <c r="O1025" i="76"/>
  <c r="R372" i="76"/>
  <c r="P623" i="76"/>
  <c r="N285" i="76"/>
  <c r="S595" i="76"/>
  <c r="O445" i="76"/>
  <c r="AZ199" i="76"/>
  <c r="AV531" i="76"/>
  <c r="AV593" i="76"/>
  <c r="O890" i="76"/>
  <c r="S75" i="76"/>
  <c r="S145" i="76"/>
  <c r="AV189" i="76"/>
  <c r="AX284" i="76"/>
  <c r="AU592" i="76"/>
  <c r="AU406" i="76"/>
  <c r="Q902" i="76"/>
  <c r="S510" i="76"/>
  <c r="R947" i="76"/>
  <c r="AV1032" i="76"/>
  <c r="AX116" i="76"/>
  <c r="AX403" i="76"/>
  <c r="AX508" i="76"/>
  <c r="AY432" i="76"/>
  <c r="AZ419" i="76"/>
  <c r="Q915" i="76"/>
  <c r="S800" i="76"/>
  <c r="S316" i="76"/>
  <c r="N128" i="76"/>
  <c r="AW1063" i="76"/>
  <c r="AY740" i="76"/>
  <c r="AX521" i="76"/>
  <c r="AZ311" i="76"/>
  <c r="AY101" i="76"/>
  <c r="AW322" i="76"/>
  <c r="AY219" i="76"/>
  <c r="AX912" i="76"/>
  <c r="R597" i="76"/>
  <c r="P192" i="76"/>
  <c r="AZ1034" i="76"/>
  <c r="AV213" i="76"/>
  <c r="AU607" i="76"/>
  <c r="AW130" i="76"/>
  <c r="AW548" i="76"/>
  <c r="AW776" i="76"/>
  <c r="Q855" i="76"/>
  <c r="P366" i="76"/>
  <c r="N280" i="76"/>
  <c r="AZ993" i="76"/>
  <c r="AW621" i="76"/>
  <c r="AU134" i="76"/>
  <c r="AZ537" i="76"/>
  <c r="AX623" i="76"/>
  <c r="AW504" i="76"/>
  <c r="Q924" i="76"/>
  <c r="N490" i="76"/>
  <c r="N200" i="76"/>
  <c r="R295" i="76"/>
  <c r="AU943" i="76"/>
  <c r="AZ544" i="76"/>
  <c r="AX898" i="76"/>
  <c r="AU712" i="76"/>
  <c r="AX314" i="76"/>
  <c r="AX362" i="76"/>
  <c r="P605" i="76"/>
  <c r="R392" i="76"/>
  <c r="Q135" i="76"/>
  <c r="AU874" i="76"/>
  <c r="AY892" i="76"/>
  <c r="AZ449" i="76"/>
  <c r="O762" i="76"/>
  <c r="N815" i="76"/>
  <c r="R1011" i="76"/>
  <c r="Q238" i="76"/>
  <c r="P664" i="76"/>
  <c r="N73" i="76"/>
  <c r="R623" i="76"/>
  <c r="N172" i="76"/>
  <c r="AZ231" i="76"/>
  <c r="AZ553" i="76"/>
  <c r="AY70" i="76"/>
  <c r="O788" i="76"/>
  <c r="Q96" i="76"/>
  <c r="O430" i="76"/>
  <c r="AX200" i="76"/>
  <c r="AX316" i="76"/>
  <c r="AY638" i="76"/>
  <c r="AV548" i="76"/>
  <c r="R901" i="76"/>
  <c r="S603" i="76"/>
  <c r="Q150" i="76"/>
  <c r="AZ1054" i="76"/>
  <c r="AZ127" i="76"/>
  <c r="AW435" i="76"/>
  <c r="AV549" i="76"/>
  <c r="AU601" i="76"/>
  <c r="AY602" i="76"/>
  <c r="N959" i="76"/>
  <c r="R488" i="76"/>
  <c r="O346" i="76"/>
  <c r="R199" i="76"/>
  <c r="Q106" i="76"/>
  <c r="AU750" i="76"/>
  <c r="AV542" i="76"/>
  <c r="AV321" i="76"/>
  <c r="AY133" i="76"/>
  <c r="AY345" i="76"/>
  <c r="AV260" i="76"/>
  <c r="AV355" i="76"/>
  <c r="N792" i="76"/>
  <c r="O257" i="76"/>
  <c r="AX1055" i="76"/>
  <c r="AZ235" i="76"/>
  <c r="AY629" i="76"/>
  <c r="AU151" i="76"/>
  <c r="AU589" i="76"/>
  <c r="AW397" i="76"/>
  <c r="R911" i="76"/>
  <c r="R409" i="76"/>
  <c r="S340" i="76"/>
  <c r="AX1014" i="76"/>
  <c r="AU642" i="76"/>
  <c r="AY156" i="76"/>
  <c r="AX558" i="76"/>
  <c r="AV664" i="76"/>
  <c r="AX815" i="76"/>
  <c r="P969" i="76"/>
  <c r="P533" i="76"/>
  <c r="Q267" i="76"/>
  <c r="P78" i="76"/>
  <c r="P978" i="76"/>
  <c r="O133" i="76"/>
  <c r="P364" i="76"/>
  <c r="P516" i="76"/>
  <c r="S738" i="76"/>
  <c r="P956" i="76"/>
  <c r="S681" i="76"/>
  <c r="S160" i="76"/>
  <c r="AY992" i="76"/>
  <c r="AV325" i="76"/>
  <c r="AZ818" i="76"/>
  <c r="N1038" i="76"/>
  <c r="O311" i="76"/>
  <c r="S89" i="76"/>
  <c r="AW681" i="76"/>
  <c r="AW786" i="76"/>
  <c r="AY827" i="76"/>
  <c r="AX338" i="76"/>
  <c r="O988" i="76"/>
  <c r="O522" i="76"/>
  <c r="N106" i="76"/>
  <c r="AZ1001" i="76"/>
  <c r="AU554" i="76"/>
  <c r="AV850" i="76"/>
  <c r="AV266" i="76"/>
  <c r="AW652" i="76"/>
  <c r="AY546" i="76"/>
  <c r="Q1046" i="76"/>
  <c r="Q657" i="76"/>
  <c r="S651" i="76"/>
  <c r="Q145" i="76"/>
  <c r="AY902" i="76"/>
  <c r="AW1052" i="76"/>
  <c r="AZ851" i="76"/>
  <c r="AU631" i="76"/>
  <c r="AX431" i="76"/>
  <c r="AV219" i="76"/>
  <c r="AW127" i="76"/>
  <c r="AZ602" i="76"/>
  <c r="S670" i="76"/>
  <c r="P279" i="76"/>
  <c r="AV991" i="76"/>
  <c r="AY620" i="76"/>
  <c r="AW133" i="76"/>
  <c r="AV535" i="76"/>
  <c r="AZ622" i="76"/>
  <c r="AU497" i="76"/>
  <c r="Q920" i="76"/>
  <c r="N486" i="76"/>
  <c r="R195" i="76"/>
  <c r="N281" i="76"/>
  <c r="AV941" i="76"/>
  <c r="AX541" i="76"/>
  <c r="AX890" i="76"/>
  <c r="AY710" i="76"/>
  <c r="AY250" i="76"/>
  <c r="AZ305" i="76"/>
  <c r="N630" i="76"/>
  <c r="P441" i="76"/>
  <c r="O160" i="76"/>
  <c r="AY888" i="76"/>
  <c r="AV1066" i="76"/>
  <c r="AX462" i="76"/>
  <c r="AX796" i="76"/>
  <c r="S973" i="76"/>
  <c r="O744" i="76"/>
  <c r="R762" i="76"/>
  <c r="N407" i="76"/>
  <c r="N586" i="76"/>
  <c r="R328" i="76"/>
  <c r="R766" i="76"/>
  <c r="S191" i="76"/>
  <c r="AZ992" i="76"/>
  <c r="AV400" i="76"/>
  <c r="AU244" i="76"/>
  <c r="P992" i="76"/>
  <c r="Q593" i="76"/>
  <c r="Q332" i="76"/>
  <c r="AU734" i="76"/>
  <c r="AZ840" i="76"/>
  <c r="AV1018" i="76"/>
  <c r="AW425" i="76"/>
  <c r="AU156" i="76"/>
  <c r="N665" i="76"/>
  <c r="P219" i="76"/>
  <c r="AX1054" i="76"/>
  <c r="AU586" i="76"/>
  <c r="AV921" i="76"/>
  <c r="AY320" i="76"/>
  <c r="AW780" i="76"/>
  <c r="AW715" i="76"/>
  <c r="N1006" i="76"/>
  <c r="P737" i="76"/>
  <c r="O356" i="76"/>
  <c r="P186" i="76"/>
  <c r="AV943" i="76"/>
  <c r="AU860" i="76"/>
  <c r="AV922" i="76"/>
  <c r="AU663" i="76"/>
  <c r="AY474" i="76"/>
  <c r="AX305" i="76"/>
  <c r="AZ388" i="76"/>
  <c r="AZ730" i="76"/>
  <c r="N578" i="76"/>
  <c r="O405" i="76"/>
  <c r="AX1034" i="76"/>
  <c r="AU662" i="76"/>
  <c r="AY176" i="76"/>
  <c r="AX578" i="76"/>
  <c r="AV704" i="76"/>
  <c r="AZ269" i="76"/>
  <c r="S1045" i="76"/>
  <c r="Q573" i="76"/>
  <c r="P375" i="76"/>
  <c r="N151" i="76"/>
  <c r="AU1045" i="76"/>
  <c r="AZ584" i="76"/>
  <c r="AZ96" i="76"/>
  <c r="AU792" i="76"/>
  <c r="AW123" i="76"/>
  <c r="AU121" i="76"/>
  <c r="S729" i="76"/>
  <c r="N198" i="76"/>
  <c r="N300" i="76"/>
  <c r="AY931" i="76"/>
  <c r="AZ111" i="76"/>
  <c r="AY505" i="76"/>
  <c r="O778" i="76"/>
  <c r="N1057" i="76"/>
  <c r="R148" i="76"/>
  <c r="AX926" i="76"/>
  <c r="AU147" i="76"/>
  <c r="R660" i="76"/>
  <c r="AZ1042" i="76"/>
  <c r="AZ956" i="76"/>
  <c r="AY626" i="76"/>
  <c r="O366" i="76"/>
  <c r="O115" i="76"/>
  <c r="AV178" i="76"/>
  <c r="AX394" i="76"/>
  <c r="S856" i="76"/>
  <c r="S209" i="76"/>
  <c r="AW892" i="76"/>
  <c r="AU349" i="76"/>
  <c r="AV685" i="76"/>
  <c r="AZ559" i="76"/>
  <c r="S588" i="76"/>
  <c r="S320" i="76"/>
  <c r="AU393" i="76"/>
  <c r="AZ126" i="76"/>
  <c r="R764" i="76"/>
  <c r="S396" i="76"/>
  <c r="AV407" i="76"/>
  <c r="AU322" i="76"/>
  <c r="AY642" i="76"/>
  <c r="R650" i="76"/>
  <c r="AX934" i="76"/>
  <c r="AZ672" i="76"/>
  <c r="AV389" i="76"/>
  <c r="AV216" i="76"/>
  <c r="AX150" i="76"/>
  <c r="N562" i="76"/>
  <c r="P452" i="76"/>
  <c r="N195" i="76"/>
  <c r="AX824" i="76"/>
  <c r="AW145" i="76"/>
  <c r="AY376" i="76"/>
  <c r="AW298" i="76"/>
  <c r="AY850" i="76"/>
  <c r="P735" i="76"/>
  <c r="R326" i="76"/>
  <c r="AW395" i="76"/>
  <c r="AU310" i="76"/>
  <c r="AY594" i="76"/>
  <c r="AV903" i="76"/>
  <c r="R909" i="76"/>
  <c r="P232" i="76"/>
  <c r="AY784" i="76"/>
  <c r="AV699" i="76"/>
  <c r="AZ393" i="76"/>
  <c r="R151" i="76"/>
  <c r="AV78" i="76"/>
  <c r="S627" i="76"/>
  <c r="AY302" i="76"/>
  <c r="S736" i="76"/>
  <c r="S121" i="76"/>
  <c r="AX513" i="76"/>
  <c r="AY654" i="76"/>
  <c r="AV753" i="76"/>
  <c r="AZ1018" i="76"/>
  <c r="AW263" i="76"/>
  <c r="Q619" i="76"/>
  <c r="S903" i="76"/>
  <c r="R171" i="76"/>
  <c r="AX1068" i="76"/>
  <c r="AZ841" i="76"/>
  <c r="AW159" i="76"/>
  <c r="R568" i="76"/>
  <c r="S102" i="76"/>
  <c r="AU1034" i="76"/>
  <c r="AV733" i="76"/>
  <c r="AX920" i="76"/>
  <c r="Q468" i="76"/>
  <c r="AW1023" i="76"/>
  <c r="AV826" i="76"/>
  <c r="AW243" i="76"/>
  <c r="P749" i="76"/>
  <c r="Q708" i="76"/>
  <c r="AY950" i="76"/>
  <c r="N768" i="76"/>
  <c r="AZ381" i="76"/>
  <c r="N185" i="76"/>
  <c r="AW232" i="76"/>
  <c r="S645" i="76"/>
  <c r="AX355" i="76"/>
  <c r="AV828" i="76"/>
  <c r="O636" i="76"/>
  <c r="AX137" i="76"/>
  <c r="Q819" i="76"/>
  <c r="AW493" i="76"/>
  <c r="AX592" i="76"/>
  <c r="AW931" i="76"/>
  <c r="AU219" i="76"/>
  <c r="AX147" i="76"/>
  <c r="R297" i="76"/>
  <c r="AU674" i="76"/>
  <c r="AY419" i="76"/>
  <c r="AV633" i="76"/>
  <c r="Q682" i="76"/>
  <c r="AZ139" i="76"/>
  <c r="AX544" i="76"/>
  <c r="AU847" i="76"/>
  <c r="AY878" i="76"/>
  <c r="AV729" i="76"/>
  <c r="AW249" i="76"/>
  <c r="AY811" i="76"/>
  <c r="Q143" i="76"/>
  <c r="AZ779" i="76"/>
  <c r="AX961" i="76"/>
  <c r="AZ469" i="76"/>
  <c r="P389" i="76"/>
  <c r="AX619" i="76"/>
  <c r="O94" i="76"/>
  <c r="AX380" i="76"/>
  <c r="R553" i="76"/>
  <c r="AZ716" i="76"/>
  <c r="AW96" i="76"/>
  <c r="O332" i="76"/>
  <c r="O241" i="76"/>
  <c r="AU962" i="76"/>
  <c r="AY120" i="76"/>
  <c r="S637" i="76"/>
  <c r="AV538" i="76"/>
  <c r="AZ714" i="76"/>
  <c r="N156" i="76"/>
  <c r="Q814" i="76"/>
  <c r="Q1051" i="76"/>
  <c r="P203" i="76"/>
  <c r="AV947" i="76"/>
  <c r="AW190" i="76"/>
  <c r="P712" i="76"/>
  <c r="P107" i="76"/>
  <c r="AX928" i="76"/>
  <c r="AW667" i="76"/>
  <c r="S407" i="76"/>
  <c r="P304" i="76"/>
  <c r="AV210" i="76"/>
  <c r="AZ125" i="76"/>
  <c r="S889" i="76"/>
  <c r="Q230" i="76"/>
  <c r="AY903" i="76"/>
  <c r="AY371" i="76"/>
  <c r="AV749" i="76"/>
  <c r="AX744" i="76"/>
  <c r="S813" i="76"/>
  <c r="Q303" i="76"/>
  <c r="AX415" i="76"/>
  <c r="AX167" i="76"/>
  <c r="P821" i="76"/>
  <c r="S650" i="76"/>
  <c r="AY429" i="76"/>
  <c r="AY344" i="76"/>
  <c r="AU724" i="76"/>
  <c r="S775" i="76"/>
  <c r="AU955" i="76"/>
  <c r="AX693" i="76"/>
  <c r="AY411" i="76"/>
  <c r="AY262" i="76"/>
  <c r="AU224" i="76"/>
  <c r="R648" i="76"/>
  <c r="N559" i="76"/>
  <c r="Q405" i="76"/>
  <c r="AV845" i="76"/>
  <c r="AU166" i="76"/>
  <c r="AU397" i="76"/>
  <c r="AU339" i="76"/>
  <c r="AW108" i="76"/>
  <c r="N858" i="76"/>
  <c r="P937" i="76"/>
  <c r="AW438" i="76"/>
  <c r="AW353" i="76"/>
  <c r="AW763" i="76"/>
  <c r="AU1001" i="76"/>
  <c r="S957" i="76"/>
  <c r="O508" i="76"/>
  <c r="AZ827" i="76"/>
  <c r="AX742" i="76"/>
  <c r="AX560" i="76"/>
  <c r="S606" i="76"/>
  <c r="AZ164" i="76"/>
  <c r="Q663" i="76"/>
  <c r="AZ555" i="76"/>
  <c r="P513" i="76"/>
  <c r="S492" i="76"/>
  <c r="AZ556" i="76"/>
  <c r="AU736" i="76"/>
  <c r="AU577" i="76"/>
  <c r="Q483" i="76"/>
  <c r="AU430" i="76"/>
  <c r="AW1007" i="76"/>
  <c r="O1007" i="76"/>
  <c r="P329" i="76"/>
  <c r="AU1013" i="76"/>
  <c r="AZ88" i="76"/>
  <c r="AZ873" i="76"/>
  <c r="P653" i="76"/>
  <c r="P198" i="76"/>
  <c r="AX80" i="76"/>
  <c r="AW820" i="76"/>
  <c r="AY554" i="76"/>
  <c r="R654" i="76"/>
  <c r="AY1066" i="76"/>
  <c r="AV875" i="76"/>
  <c r="AY329" i="76"/>
  <c r="O439" i="76"/>
  <c r="Q274" i="76"/>
  <c r="AY296" i="76"/>
  <c r="AV864" i="76"/>
  <c r="AU437" i="76"/>
  <c r="AW1027" i="76"/>
  <c r="AY257" i="76"/>
  <c r="P555" i="76"/>
  <c r="AY644" i="76"/>
  <c r="AZ301" i="76"/>
  <c r="AV888" i="76"/>
  <c r="AX294" i="76"/>
  <c r="N686" i="76"/>
  <c r="AV280" i="76"/>
  <c r="Q524" i="76"/>
  <c r="AZ736" i="76"/>
  <c r="AY711" i="76"/>
  <c r="P696" i="76"/>
  <c r="P110" i="76"/>
  <c r="AY188" i="76"/>
  <c r="AV104" i="76"/>
  <c r="N449" i="76"/>
  <c r="AV256" i="76"/>
  <c r="AX802" i="76"/>
  <c r="Q157" i="76"/>
  <c r="AW102" i="76"/>
  <c r="O126" i="76"/>
  <c r="Q408" i="76"/>
  <c r="P403" i="76"/>
  <c r="AX256" i="76"/>
  <c r="AU351" i="76"/>
  <c r="AY590" i="76"/>
  <c r="AV171" i="76"/>
  <c r="AZ882" i="76"/>
  <c r="AY336" i="76"/>
  <c r="S585" i="76"/>
  <c r="AW320" i="76"/>
  <c r="R1007" i="76"/>
  <c r="AU864" i="76"/>
  <c r="AZ695" i="76"/>
  <c r="N829" i="76"/>
  <c r="O314" i="76"/>
  <c r="N287" i="76"/>
  <c r="AU462" i="76"/>
  <c r="O209" i="76"/>
  <c r="AW319" i="76"/>
  <c r="P462" i="76"/>
  <c r="R612" i="76"/>
  <c r="Q972" i="76"/>
  <c r="O542" i="76"/>
  <c r="P754" i="76"/>
  <c r="AX188" i="76"/>
  <c r="AY330" i="76"/>
  <c r="N433" i="76"/>
  <c r="AV157" i="76"/>
  <c r="AY510" i="76"/>
  <c r="S874" i="76"/>
  <c r="N393" i="76"/>
  <c r="AZ95" i="76"/>
  <c r="AY468" i="76"/>
  <c r="AX977" i="76"/>
  <c r="R723" i="76"/>
  <c r="R110" i="76"/>
  <c r="AW729" i="76"/>
  <c r="AV289" i="76"/>
  <c r="AX258" i="76"/>
  <c r="AX696" i="76"/>
  <c r="N144" i="76"/>
  <c r="AX192" i="76"/>
  <c r="AY109" i="76"/>
  <c r="AY424" i="76"/>
  <c r="N323" i="76"/>
  <c r="AV971" i="76"/>
  <c r="AW113" i="76"/>
  <c r="AZ582" i="76"/>
  <c r="N1024" i="76"/>
  <c r="N149" i="76"/>
  <c r="AY960" i="76"/>
  <c r="AU611" i="76"/>
  <c r="AW799" i="76"/>
  <c r="AX267" i="76"/>
  <c r="P967" i="76"/>
  <c r="O507" i="76"/>
  <c r="S176" i="76"/>
  <c r="AV944" i="76"/>
  <c r="AV161" i="76"/>
  <c r="AZ363" i="76"/>
  <c r="AX429" i="76"/>
  <c r="AW656" i="76"/>
  <c r="AZ261" i="76"/>
  <c r="N339" i="76"/>
  <c r="AZ981" i="76"/>
  <c r="AU122" i="76"/>
  <c r="AX599" i="76"/>
  <c r="N785" i="76"/>
  <c r="AW162" i="76"/>
  <c r="O735" i="76"/>
  <c r="Q114" i="76"/>
  <c r="AZ512" i="76"/>
  <c r="AU648" i="76"/>
  <c r="AZ703" i="76"/>
  <c r="AW889" i="76"/>
  <c r="AW516" i="76"/>
  <c r="AU964" i="76"/>
  <c r="P1028" i="76"/>
  <c r="P456" i="76"/>
  <c r="AZ1015" i="76"/>
  <c r="AV238" i="76"/>
  <c r="AY503" i="76"/>
  <c r="N371" i="76"/>
  <c r="AY96" i="76"/>
  <c r="Q896" i="76"/>
  <c r="AZ717" i="76"/>
  <c r="Q824" i="76"/>
  <c r="Q272" i="76"/>
  <c r="AV746" i="76"/>
  <c r="AV391" i="76"/>
  <c r="AW183" i="76"/>
  <c r="S318" i="76"/>
  <c r="R82" i="76"/>
  <c r="AY645" i="76"/>
  <c r="AU621" i="76"/>
  <c r="Q919" i="76"/>
  <c r="Q352" i="76"/>
  <c r="AU646" i="76"/>
  <c r="AX562" i="76"/>
  <c r="AY1064" i="76"/>
  <c r="Q520" i="76"/>
  <c r="O431" i="76"/>
  <c r="O442" i="76"/>
  <c r="Q85" i="76"/>
  <c r="AU282" i="76"/>
  <c r="R996" i="76"/>
  <c r="R242" i="76"/>
  <c r="AU743" i="76"/>
  <c r="AX916" i="76"/>
  <c r="Q810" i="76"/>
  <c r="AV979" i="76"/>
  <c r="AV830" i="76"/>
  <c r="AY611" i="76"/>
  <c r="S943" i="76"/>
  <c r="R547" i="76"/>
  <c r="AX891" i="76"/>
  <c r="AW841" i="76"/>
  <c r="AU409" i="76"/>
  <c r="AX472" i="76"/>
  <c r="Q629" i="76"/>
  <c r="AX970" i="76"/>
  <c r="AY112" i="76"/>
  <c r="AV576" i="76"/>
  <c r="N1016" i="76"/>
  <c r="N145" i="76"/>
  <c r="AU1042" i="76"/>
  <c r="AV1001" i="76"/>
  <c r="AV866" i="76"/>
  <c r="R588" i="76"/>
  <c r="Q119" i="76"/>
  <c r="AW260" i="76"/>
  <c r="AV795" i="76"/>
  <c r="AY242" i="76"/>
  <c r="AY495" i="76"/>
  <c r="R698" i="76"/>
  <c r="P347" i="76"/>
  <c r="N398" i="76"/>
  <c r="AU990" i="76"/>
  <c r="AZ488" i="76"/>
  <c r="AZ697" i="76"/>
  <c r="AZ177" i="76"/>
  <c r="AW818" i="76"/>
  <c r="O200" i="76"/>
  <c r="AX393" i="76"/>
  <c r="N344" i="76"/>
  <c r="AW307" i="76"/>
  <c r="AV121" i="76"/>
  <c r="O777" i="76"/>
  <c r="AV107" i="76"/>
  <c r="O563" i="76"/>
  <c r="AU495" i="76"/>
  <c r="P746" i="76"/>
  <c r="P345" i="76"/>
  <c r="AX954" i="76"/>
  <c r="AZ436" i="76"/>
  <c r="R73" i="76"/>
  <c r="AX1057" i="76"/>
  <c r="AW385" i="76"/>
  <c r="AU983" i="76"/>
  <c r="AV764" i="76"/>
  <c r="AY185" i="76"/>
  <c r="AU901" i="76"/>
  <c r="P841" i="76"/>
  <c r="AW134" i="76"/>
  <c r="Q381" i="76"/>
  <c r="AU835" i="76"/>
  <c r="O846" i="76"/>
  <c r="AX128" i="76"/>
  <c r="AX504" i="76"/>
  <c r="S263" i="76"/>
  <c r="AV523" i="76"/>
  <c r="AY308" i="76"/>
  <c r="AX1029" i="76"/>
  <c r="AU398" i="76"/>
  <c r="AX801" i="76"/>
  <c r="Q734" i="76"/>
  <c r="AU807" i="76"/>
  <c r="S175" i="76"/>
  <c r="AZ392" i="76"/>
  <c r="O325" i="76"/>
  <c r="AU145" i="76"/>
  <c r="AW412" i="76"/>
  <c r="AV215" i="76"/>
  <c r="AV486" i="76"/>
  <c r="Q803" i="76"/>
  <c r="AW188" i="76"/>
  <c r="Q683" i="76"/>
  <c r="AY665" i="76"/>
  <c r="Q359" i="76"/>
  <c r="Q164" i="76"/>
  <c r="AY276" i="76"/>
  <c r="R249" i="76"/>
  <c r="AY807" i="76"/>
  <c r="AW598" i="76"/>
  <c r="O111" i="76"/>
  <c r="AY483" i="76"/>
  <c r="AW73" i="76"/>
  <c r="O1019" i="76"/>
  <c r="AU578" i="76"/>
  <c r="AV808" i="76"/>
  <c r="O237" i="76"/>
  <c r="AY69" i="76"/>
  <c r="O652" i="76"/>
  <c r="R581" i="76"/>
  <c r="AV967" i="76"/>
  <c r="P180" i="76"/>
  <c r="S537" i="76"/>
  <c r="R146" i="76"/>
  <c r="R515" i="76"/>
  <c r="AX182" i="76"/>
  <c r="AX288" i="76"/>
  <c r="S108" i="76"/>
  <c r="O342" i="76"/>
  <c r="AV1067" i="76"/>
  <c r="AX724" i="76"/>
  <c r="N839" i="76"/>
  <c r="AW599" i="76"/>
  <c r="N676" i="76"/>
  <c r="N928" i="76"/>
  <c r="Q259" i="76"/>
  <c r="O360" i="76"/>
  <c r="N70" i="76"/>
  <c r="AW318" i="76"/>
  <c r="AY714" i="76"/>
  <c r="AY868" i="76"/>
  <c r="R216" i="76"/>
  <c r="S556" i="76"/>
  <c r="AU348" i="76"/>
  <c r="AX331" i="76"/>
  <c r="AX144" i="76"/>
  <c r="O296" i="76"/>
  <c r="S940" i="76"/>
  <c r="S214" i="76"/>
  <c r="AX1061" i="76"/>
  <c r="AU730" i="76"/>
  <c r="AW124" i="76"/>
  <c r="AX913" i="76"/>
  <c r="P910" i="76"/>
  <c r="AV843" i="76"/>
  <c r="S841" i="76"/>
  <c r="AU290" i="76"/>
  <c r="R830" i="76"/>
  <c r="N470" i="76"/>
  <c r="AV399" i="76"/>
  <c r="AV837" i="76"/>
  <c r="R333" i="76"/>
  <c r="AU585" i="76"/>
  <c r="AY209" i="76"/>
  <c r="AV544" i="76"/>
  <c r="Q515" i="76"/>
  <c r="AU144" i="76"/>
  <c r="AZ922" i="76"/>
  <c r="AZ806" i="76"/>
  <c r="P372" i="76"/>
  <c r="P729" i="76"/>
  <c r="AU154" i="76"/>
  <c r="Q901" i="76"/>
  <c r="N655" i="76"/>
  <c r="AX1006" i="76"/>
  <c r="AZ691" i="76"/>
  <c r="N440" i="76"/>
  <c r="AV899" i="76"/>
  <c r="Q320" i="76"/>
  <c r="AZ762" i="76"/>
  <c r="AW451" i="76"/>
  <c r="AV145" i="76"/>
  <c r="O925" i="76"/>
  <c r="AU149" i="76"/>
  <c r="S385" i="76"/>
  <c r="AZ1050" i="76"/>
  <c r="R281" i="76"/>
  <c r="AZ530" i="76"/>
  <c r="N709" i="76"/>
  <c r="O370" i="76"/>
  <c r="R137" i="76"/>
  <c r="AY281" i="76"/>
  <c r="P868" i="76"/>
  <c r="AV357" i="76"/>
  <c r="P75" i="76"/>
  <c r="Q336" i="76"/>
  <c r="AX236" i="76"/>
  <c r="AY718" i="76"/>
  <c r="AU559" i="76"/>
  <c r="AU634" i="76"/>
  <c r="Q79" i="76"/>
  <c r="Q968" i="76"/>
  <c r="AU314" i="76"/>
  <c r="AV657" i="76"/>
  <c r="AY487" i="76"/>
  <c r="P962" i="76"/>
  <c r="AV792" i="76"/>
  <c r="O142" i="76"/>
  <c r="AY866" i="76"/>
  <c r="R724" i="76"/>
  <c r="Q256" i="76"/>
  <c r="AU161" i="76"/>
  <c r="S165" i="76"/>
  <c r="AZ379" i="76"/>
  <c r="Q533" i="76"/>
  <c r="AV800" i="76"/>
  <c r="AZ265" i="76"/>
  <c r="O229" i="76"/>
  <c r="R1045" i="76"/>
  <c r="AV271" i="76"/>
  <c r="R77" i="76"/>
  <c r="AY1050" i="76"/>
  <c r="AX721" i="76"/>
  <c r="AX651" i="76"/>
  <c r="AX213" i="76"/>
  <c r="S344" i="76"/>
  <c r="AW160" i="76"/>
  <c r="N733" i="76"/>
  <c r="AW1038" i="76"/>
  <c r="AU325" i="76"/>
  <c r="AU624" i="76"/>
  <c r="N819" i="76"/>
  <c r="AW354" i="76"/>
  <c r="O673" i="76"/>
  <c r="AV669" i="76"/>
  <c r="R382" i="76"/>
  <c r="AY940" i="76"/>
  <c r="N1059" i="76"/>
  <c r="AZ987" i="76"/>
  <c r="AY725" i="76"/>
  <c r="R76" i="76"/>
  <c r="AW470" i="76"/>
  <c r="AW600" i="76"/>
  <c r="AZ155" i="76"/>
  <c r="AZ657" i="76"/>
  <c r="P783" i="76"/>
  <c r="AW216" i="76"/>
  <c r="S187" i="76"/>
  <c r="AX191" i="76"/>
  <c r="AZ1067" i="76"/>
  <c r="N1026" i="76"/>
  <c r="AX303" i="76"/>
  <c r="AW367" i="76"/>
  <c r="O1016" i="76"/>
  <c r="S300" i="76"/>
  <c r="AW430" i="76"/>
  <c r="AX709" i="76"/>
  <c r="O519" i="76"/>
  <c r="N1041" i="76"/>
  <c r="AY732" i="76"/>
  <c r="AV649" i="76"/>
  <c r="P215" i="76"/>
  <c r="AZ563" i="76"/>
  <c r="O576" i="76"/>
  <c r="AU713" i="76"/>
  <c r="AX853" i="76"/>
  <c r="Q73" i="76"/>
  <c r="O687" i="76"/>
  <c r="AY301" i="76"/>
  <c r="AV1048" i="76"/>
  <c r="AW673" i="76"/>
  <c r="AY208" i="76"/>
  <c r="N1017" i="76"/>
  <c r="AV803" i="76"/>
  <c r="N301" i="76"/>
  <c r="AV712" i="76"/>
  <c r="R413" i="76"/>
  <c r="AW955" i="76"/>
  <c r="AW522" i="76"/>
  <c r="AX432" i="76"/>
  <c r="N679" i="76"/>
  <c r="AY134" i="76"/>
  <c r="P205" i="76"/>
  <c r="AW644" i="76"/>
  <c r="P511" i="76"/>
  <c r="AX594" i="76"/>
  <c r="S827" i="76"/>
  <c r="AX789" i="76"/>
  <c r="AY623" i="76"/>
  <c r="AV1033" i="76"/>
  <c r="AW281" i="76"/>
  <c r="O850" i="76"/>
  <c r="AX626" i="76"/>
  <c r="AW735" i="76"/>
  <c r="R400" i="76"/>
  <c r="AY182" i="76"/>
  <c r="AV1023" i="76"/>
  <c r="AV379" i="76"/>
  <c r="AX140" i="76"/>
  <c r="O810" i="76"/>
  <c r="AX825" i="76"/>
  <c r="AY639" i="76"/>
  <c r="R756" i="76"/>
  <c r="AY973" i="76"/>
  <c r="AU178" i="76"/>
  <c r="AY161" i="76"/>
  <c r="AZ1010" i="76"/>
  <c r="O770" i="76"/>
  <c r="Q1014" i="76"/>
  <c r="R863" i="76"/>
  <c r="N704" i="76"/>
  <c r="P569" i="76"/>
  <c r="Q557" i="76"/>
  <c r="R744" i="76"/>
  <c r="P726" i="76"/>
  <c r="N333" i="76"/>
  <c r="R336" i="76"/>
  <c r="N98" i="76"/>
  <c r="R1025" i="76"/>
  <c r="S861" i="76"/>
  <c r="Q877" i="76"/>
  <c r="S866" i="76"/>
  <c r="S615" i="76"/>
  <c r="P374" i="76"/>
  <c r="O384" i="76"/>
  <c r="S392" i="76"/>
  <c r="P911" i="76"/>
  <c r="R1043" i="76"/>
  <c r="S879" i="76"/>
  <c r="N932" i="76"/>
  <c r="S779" i="76"/>
  <c r="O755" i="76"/>
  <c r="P604" i="76"/>
  <c r="N460" i="76"/>
  <c r="Q373" i="76"/>
  <c r="P486" i="76"/>
  <c r="Q136" i="76"/>
  <c r="P1061" i="76"/>
  <c r="N899" i="76"/>
  <c r="Q848" i="76"/>
  <c r="S1037" i="76"/>
  <c r="S877" i="76"/>
  <c r="P715" i="76"/>
  <c r="R580" i="76"/>
  <c r="N569" i="76"/>
  <c r="R806" i="76"/>
  <c r="N818" i="76"/>
  <c r="R347" i="76"/>
  <c r="P365" i="76"/>
  <c r="P109" i="76"/>
  <c r="N1043" i="76"/>
  <c r="P876" i="76"/>
  <c r="S910" i="76"/>
  <c r="Q913" i="76"/>
  <c r="R630" i="76"/>
  <c r="R385" i="76"/>
  <c r="Q395" i="76"/>
  <c r="O410" i="76"/>
  <c r="R79" i="76"/>
  <c r="N1053" i="76"/>
  <c r="O889" i="76"/>
  <c r="S961" i="76"/>
  <c r="O794" i="76"/>
  <c r="P781" i="76"/>
  <c r="Q617" i="76"/>
  <c r="O474" i="76"/>
  <c r="O393" i="76"/>
  <c r="Q512" i="76"/>
  <c r="S147" i="76"/>
  <c r="O965" i="76"/>
  <c r="R908" i="76"/>
  <c r="O864" i="76"/>
  <c r="O1055" i="76"/>
  <c r="O892" i="76"/>
  <c r="R726" i="76"/>
  <c r="N590" i="76"/>
  <c r="R583" i="76"/>
  <c r="R989" i="76"/>
  <c r="P383" i="76"/>
  <c r="N362" i="76"/>
  <c r="R404" i="76"/>
  <c r="R120" i="76"/>
  <c r="P1066" i="76"/>
  <c r="Q889" i="76"/>
  <c r="O943" i="76"/>
  <c r="Q621" i="76"/>
  <c r="R655" i="76"/>
  <c r="N395" i="76"/>
  <c r="S406" i="76"/>
  <c r="Q433" i="76"/>
  <c r="N89" i="76"/>
  <c r="P1064" i="76"/>
  <c r="Q900" i="76"/>
  <c r="R1002" i="76"/>
  <c r="S808" i="76"/>
  <c r="R807" i="76"/>
  <c r="Q640" i="76"/>
  <c r="S488" i="76"/>
  <c r="Q416" i="76"/>
  <c r="N557" i="76"/>
  <c r="O157" i="76"/>
  <c r="Q976" i="76"/>
  <c r="R922" i="76"/>
  <c r="R891" i="76"/>
  <c r="O937" i="76"/>
  <c r="P814" i="76"/>
  <c r="Q918" i="76"/>
  <c r="P777" i="76"/>
  <c r="R504" i="76"/>
  <c r="Q543" i="76"/>
  <c r="R546" i="76"/>
  <c r="S280" i="76"/>
  <c r="Q217" i="76"/>
  <c r="O1056" i="76"/>
  <c r="P938" i="76"/>
  <c r="P974" i="76"/>
  <c r="P801" i="76"/>
  <c r="S725" i="76"/>
  <c r="S548" i="76"/>
  <c r="R321" i="76"/>
  <c r="Q331" i="76"/>
  <c r="R313" i="76"/>
  <c r="Q365" i="76"/>
  <c r="N989" i="76"/>
  <c r="R973" i="76"/>
  <c r="S850" i="76"/>
  <c r="S715" i="76"/>
  <c r="P685" i="76"/>
  <c r="N535" i="76"/>
  <c r="O399" i="76"/>
  <c r="O309" i="76"/>
  <c r="R387" i="76"/>
  <c r="S83" i="76"/>
  <c r="R1008" i="76"/>
  <c r="S964" i="76"/>
  <c r="R767" i="76"/>
  <c r="R1005" i="76"/>
  <c r="Q680" i="76"/>
  <c r="S748" i="76"/>
  <c r="R276" i="76"/>
  <c r="O612" i="76"/>
  <c r="S908" i="76"/>
  <c r="N602" i="76"/>
  <c r="Q462" i="76"/>
  <c r="P385" i="76"/>
  <c r="R132" i="76"/>
  <c r="S926" i="76"/>
  <c r="S644" i="76"/>
  <c r="P418" i="76"/>
  <c r="O494" i="76"/>
  <c r="P1068" i="76"/>
  <c r="R1034" i="76"/>
  <c r="S684" i="76"/>
  <c r="N751" i="76"/>
  <c r="Q542" i="76"/>
  <c r="O480" i="76"/>
  <c r="R622" i="76"/>
  <c r="S221" i="76"/>
  <c r="P216" i="76"/>
  <c r="Q997" i="76"/>
  <c r="P637" i="76"/>
  <c r="S497" i="76"/>
  <c r="Q463" i="76"/>
  <c r="N166" i="76"/>
  <c r="Q167" i="76"/>
  <c r="AZ874" i="76"/>
  <c r="AU890" i="76"/>
  <c r="AU754" i="76"/>
  <c r="AZ71" i="76"/>
  <c r="AX268" i="76"/>
  <c r="AZ465" i="76"/>
  <c r="AX670" i="76"/>
  <c r="AZ803" i="76"/>
  <c r="AV163" i="76"/>
  <c r="AU264" i="76"/>
  <c r="AV276" i="76"/>
  <c r="AX357" i="76"/>
  <c r="Q996" i="76"/>
  <c r="P975" i="76"/>
  <c r="Q570" i="76"/>
  <c r="S543" i="76"/>
  <c r="Q262" i="76"/>
  <c r="P1031" i="76"/>
  <c r="O817" i="76"/>
  <c r="R831" i="76"/>
  <c r="S468" i="76"/>
  <c r="P152" i="76"/>
  <c r="O979" i="76"/>
  <c r="R965" i="76"/>
  <c r="R772" i="76"/>
  <c r="P567" i="76"/>
  <c r="O232" i="76"/>
  <c r="R948" i="76"/>
  <c r="P973" i="76"/>
  <c r="O694" i="76"/>
  <c r="P257" i="76"/>
  <c r="P424" i="76"/>
  <c r="P873" i="76"/>
  <c r="Q756" i="76"/>
  <c r="P733" i="76"/>
  <c r="N581" i="76"/>
  <c r="O435" i="76"/>
  <c r="O350" i="76"/>
  <c r="O454" i="76"/>
  <c r="O129" i="76"/>
  <c r="P930" i="76"/>
  <c r="O791" i="76"/>
  <c r="S540" i="76"/>
  <c r="Q323" i="76"/>
  <c r="R342" i="76"/>
  <c r="O315" i="76"/>
  <c r="AW1054" i="76"/>
  <c r="N100" i="76"/>
  <c r="AY908" i="76"/>
  <c r="AW252" i="76"/>
  <c r="AW450" i="76"/>
  <c r="AW646" i="76"/>
  <c r="AW852" i="76"/>
  <c r="AY169" i="76"/>
  <c r="AW527" i="76"/>
  <c r="AY627" i="76"/>
  <c r="AW531" i="76"/>
  <c r="AZ674" i="76"/>
  <c r="AY570" i="76"/>
  <c r="S896" i="76"/>
  <c r="Q625" i="76"/>
  <c r="N399" i="76"/>
  <c r="Q441" i="76"/>
  <c r="N332" i="76"/>
  <c r="N221" i="76"/>
  <c r="AX1010" i="76"/>
  <c r="N524" i="76"/>
  <c r="AU638" i="76"/>
  <c r="AY836" i="76"/>
  <c r="AY152" i="76"/>
  <c r="AX348" i="76"/>
  <c r="AX554" i="76"/>
  <c r="AZ571" i="76"/>
  <c r="AV656" i="76"/>
  <c r="AU169" i="76"/>
  <c r="AY751" i="76"/>
  <c r="AZ538" i="76"/>
  <c r="O913" i="76"/>
  <c r="O860" i="76"/>
  <c r="R480" i="76"/>
  <c r="R506" i="76"/>
  <c r="R1054" i="76"/>
  <c r="P833" i="76"/>
  <c r="P461" i="76"/>
  <c r="P483" i="76"/>
  <c r="R163" i="76"/>
  <c r="N1012" i="76"/>
  <c r="R747" i="76"/>
  <c r="Q828" i="76"/>
  <c r="P622" i="76"/>
  <c r="N253" i="76"/>
  <c r="N963" i="76"/>
  <c r="Q672" i="76"/>
  <c r="S721" i="76"/>
  <c r="R268" i="76"/>
  <c r="R477" i="76"/>
  <c r="Q886" i="76"/>
  <c r="Q769" i="76"/>
  <c r="S745" i="76"/>
  <c r="R595" i="76"/>
  <c r="Q446" i="76"/>
  <c r="N364" i="76"/>
  <c r="Q467" i="76"/>
  <c r="R1051" i="76"/>
  <c r="O758" i="76"/>
  <c r="N404" i="76"/>
  <c r="Q1067" i="76"/>
  <c r="O745" i="76"/>
  <c r="Q500" i="76"/>
  <c r="P887" i="76"/>
  <c r="P844" i="76"/>
  <c r="Q410" i="76"/>
  <c r="N196" i="76"/>
  <c r="S929" i="76"/>
  <c r="P697" i="76"/>
  <c r="P522" i="76"/>
  <c r="O307" i="76"/>
  <c r="S87" i="76"/>
  <c r="Q981" i="76"/>
  <c r="Q845" i="76"/>
  <c r="Q440" i="76"/>
  <c r="O389" i="76"/>
  <c r="S122" i="76"/>
  <c r="AZ1030" i="76"/>
  <c r="AU658" i="76"/>
  <c r="AV642" i="76"/>
  <c r="AU603" i="76"/>
  <c r="AX574" i="76"/>
  <c r="Q139" i="76"/>
  <c r="AW540" i="76"/>
  <c r="AU200" i="76"/>
  <c r="AW75" i="76"/>
  <c r="P955" i="76"/>
  <c r="R520" i="76"/>
  <c r="N270" i="76"/>
  <c r="N272" i="76"/>
  <c r="R138" i="76"/>
  <c r="AW1015" i="76"/>
  <c r="R98" i="76"/>
  <c r="AX232" i="76"/>
  <c r="AU333" i="76"/>
  <c r="AX423" i="76"/>
  <c r="AZ533" i="76"/>
  <c r="AU336" i="76"/>
  <c r="AW227" i="76"/>
  <c r="AZ121" i="76"/>
  <c r="AY333" i="76"/>
  <c r="P1016" i="76"/>
  <c r="R783" i="76"/>
  <c r="S755" i="76"/>
  <c r="O514" i="76"/>
  <c r="O141" i="76"/>
  <c r="P143" i="76"/>
  <c r="AY993" i="76"/>
  <c r="AX1011" i="76"/>
  <c r="AW888" i="76"/>
  <c r="AZ191" i="76"/>
  <c r="AV388" i="76"/>
  <c r="AY585" i="76"/>
  <c r="AX790" i="76"/>
  <c r="AU107" i="76"/>
  <c r="AV401" i="76"/>
  <c r="AU501" i="76"/>
  <c r="R990" i="76"/>
  <c r="O789" i="76"/>
  <c r="N369" i="76"/>
  <c r="O949" i="76"/>
  <c r="O821" i="76"/>
  <c r="P495" i="76"/>
  <c r="N1046" i="76"/>
  <c r="N757" i="76"/>
  <c r="S354" i="76"/>
  <c r="N1050" i="76"/>
  <c r="O729" i="76"/>
  <c r="O805" i="76"/>
  <c r="Q544" i="76"/>
  <c r="N299" i="76"/>
  <c r="P169" i="76"/>
  <c r="Q787" i="76"/>
  <c r="S560" i="76"/>
  <c r="Q313" i="76"/>
  <c r="O106" i="76"/>
  <c r="AY1065" i="76"/>
  <c r="O504" i="76"/>
  <c r="AX477" i="76"/>
  <c r="AY461" i="76"/>
  <c r="AZ422" i="76"/>
  <c r="AX392" i="76"/>
  <c r="AY550" i="76"/>
  <c r="AZ182" i="76"/>
  <c r="AU92" i="76"/>
  <c r="AU764" i="76"/>
  <c r="R780" i="76"/>
  <c r="N565" i="76"/>
  <c r="N500" i="76"/>
  <c r="O86" i="76"/>
  <c r="R521" i="76"/>
  <c r="P195" i="76"/>
  <c r="AY851" i="76"/>
  <c r="AX72" i="76"/>
  <c r="AW173" i="76"/>
  <c r="AW273" i="76"/>
  <c r="AY372" i="76"/>
  <c r="AW743" i="76"/>
  <c r="AY651" i="76"/>
  <c r="AZ663" i="76"/>
  <c r="AZ364" i="76"/>
  <c r="R956" i="76"/>
  <c r="O826" i="76"/>
  <c r="R836" i="76"/>
  <c r="N418" i="76"/>
  <c r="R128" i="76"/>
  <c r="O128" i="76"/>
  <c r="AX855" i="76"/>
  <c r="AY872" i="76"/>
  <c r="AY736" i="76"/>
  <c r="AW882" i="76"/>
  <c r="AV249" i="76"/>
  <c r="AY446" i="76"/>
  <c r="AV651" i="76"/>
  <c r="AX764" i="76"/>
  <c r="AU855" i="76"/>
  <c r="AZ230" i="76"/>
  <c r="P915" i="76"/>
  <c r="P525" i="76"/>
  <c r="O386" i="76"/>
  <c r="P931" i="76"/>
  <c r="N585" i="76"/>
  <c r="O270" i="76"/>
  <c r="Q1053" i="76"/>
  <c r="S781" i="76"/>
  <c r="Q293" i="76"/>
  <c r="O893" i="76"/>
  <c r="P629" i="76"/>
  <c r="P628" i="76"/>
  <c r="R490" i="76"/>
  <c r="S285" i="76"/>
  <c r="P1012" i="76"/>
  <c r="S884" i="76"/>
  <c r="Q454" i="76"/>
  <c r="N429" i="76"/>
  <c r="N637" i="76"/>
  <c r="AV852" i="76"/>
  <c r="AY1068" i="76"/>
  <c r="AV284" i="76"/>
  <c r="AU246" i="76"/>
  <c r="AX229" i="76"/>
  <c r="AY201" i="76"/>
  <c r="AV851" i="76"/>
  <c r="AX464" i="76"/>
  <c r="AY154" i="76"/>
  <c r="R1060" i="76"/>
  <c r="Q894" i="76"/>
  <c r="Q475" i="76"/>
  <c r="O219" i="76"/>
  <c r="Q989" i="76"/>
  <c r="R354" i="76"/>
  <c r="R674" i="76"/>
  <c r="Q281" i="76"/>
  <c r="O765" i="76"/>
  <c r="P428" i="76"/>
  <c r="S719" i="76"/>
  <c r="P478" i="76"/>
  <c r="O295" i="76"/>
  <c r="P927" i="76"/>
  <c r="R535" i="76"/>
  <c r="S96" i="76"/>
  <c r="AW971" i="76"/>
  <c r="AX295" i="76"/>
  <c r="AY593" i="76"/>
  <c r="AW942" i="76"/>
  <c r="AX159" i="76"/>
  <c r="AY451" i="76"/>
  <c r="Q1013" i="76"/>
  <c r="P249" i="76"/>
  <c r="S212" i="76"/>
  <c r="AY914" i="76"/>
  <c r="AU884" i="76"/>
  <c r="AZ708" i="76"/>
  <c r="AU551" i="76"/>
  <c r="AW404" i="76"/>
  <c r="AU251" i="76"/>
  <c r="AW79" i="76"/>
  <c r="AU780" i="76"/>
  <c r="N953" i="76"/>
  <c r="P908" i="76"/>
  <c r="N625" i="76"/>
  <c r="S152" i="76"/>
  <c r="S427" i="76"/>
  <c r="AV893" i="76"/>
  <c r="AU522" i="76"/>
  <c r="AZ496" i="76"/>
  <c r="AV467" i="76"/>
  <c r="AZ438" i="76"/>
  <c r="AU616" i="76"/>
  <c r="AW271" i="76"/>
  <c r="AU120" i="76"/>
  <c r="AZ586" i="76"/>
  <c r="N964" i="76"/>
  <c r="R678" i="76"/>
  <c r="N530" i="76"/>
  <c r="R607" i="76"/>
  <c r="O260" i="76"/>
  <c r="O224" i="76"/>
  <c r="N71" i="76"/>
  <c r="AU956" i="76"/>
  <c r="AZ959" i="76"/>
  <c r="AZ366" i="76"/>
  <c r="AZ564" i="76"/>
  <c r="AU759" i="76"/>
  <c r="AZ76" i="76"/>
  <c r="AX281" i="76"/>
  <c r="AU752" i="76"/>
  <c r="AX865" i="76"/>
  <c r="AU689" i="76"/>
  <c r="AX475" i="76"/>
  <c r="AY671" i="76"/>
  <c r="P744" i="76"/>
  <c r="P612" i="76"/>
  <c r="P869" i="76"/>
  <c r="S391" i="76"/>
  <c r="S839" i="76"/>
  <c r="S292" i="76"/>
  <c r="P804" i="76"/>
  <c r="R451" i="76"/>
  <c r="N784" i="76"/>
  <c r="Q504" i="76"/>
  <c r="Q346" i="76"/>
  <c r="N807" i="76"/>
  <c r="N589" i="76"/>
  <c r="Q117" i="76"/>
  <c r="AU992" i="76"/>
  <c r="AZ306" i="76"/>
  <c r="AW614" i="76"/>
  <c r="AZ1016" i="76"/>
  <c r="AV200" i="76"/>
  <c r="AX531" i="76"/>
  <c r="R763" i="76"/>
  <c r="R292" i="76"/>
  <c r="O289" i="76"/>
  <c r="AY946" i="76"/>
  <c r="AU926" i="76"/>
  <c r="AX729" i="76"/>
  <c r="AY573" i="76"/>
  <c r="AY415" i="76"/>
  <c r="AV314" i="76"/>
  <c r="AZ297" i="76"/>
  <c r="AW112" i="76"/>
  <c r="S942" i="76"/>
  <c r="Q594" i="76"/>
  <c r="R188" i="76"/>
  <c r="Q173" i="76"/>
  <c r="S137" i="76"/>
  <c r="AX904" i="76"/>
  <c r="AY544" i="76"/>
  <c r="AX517" i="76"/>
  <c r="AX478" i="76"/>
  <c r="AW459" i="76"/>
  <c r="AY662" i="76"/>
  <c r="AZ293" i="76"/>
  <c r="AX262" i="76"/>
  <c r="AX627" i="76"/>
  <c r="S1005" i="76"/>
  <c r="P699" i="76"/>
  <c r="R552" i="76"/>
  <c r="O700" i="76"/>
  <c r="N322" i="76"/>
  <c r="N257" i="76"/>
  <c r="R117" i="76"/>
  <c r="AW967" i="76"/>
  <c r="AY1011" i="76"/>
  <c r="AV376" i="76"/>
  <c r="AV574" i="76"/>
  <c r="AW770" i="76"/>
  <c r="AV86" i="76"/>
  <c r="AY292" i="76"/>
  <c r="AW775" i="76"/>
  <c r="AU931" i="76"/>
  <c r="AZ838" i="76"/>
  <c r="AU516" i="76"/>
  <c r="AW843" i="76"/>
  <c r="N797" i="76"/>
  <c r="O328" i="76"/>
  <c r="N835" i="76"/>
  <c r="S394" i="76"/>
  <c r="N897" i="76"/>
  <c r="P245" i="76"/>
  <c r="Q890" i="76"/>
  <c r="R463" i="76"/>
  <c r="N765" i="76"/>
  <c r="R872" i="76"/>
  <c r="Q568" i="76"/>
  <c r="R897" i="76"/>
  <c r="N532" i="76"/>
  <c r="P206" i="76"/>
  <c r="Q138" i="76"/>
  <c r="AX402" i="76"/>
  <c r="AU699" i="76"/>
  <c r="AY137" i="76"/>
  <c r="AZ373" i="76"/>
  <c r="AU927" i="76"/>
  <c r="O858" i="76"/>
  <c r="N809" i="76"/>
  <c r="O103" i="76"/>
  <c r="AV999" i="76"/>
  <c r="AW972" i="76"/>
  <c r="AX793" i="76"/>
  <c r="AY637" i="76"/>
  <c r="AX490" i="76"/>
  <c r="AZ423" i="76"/>
  <c r="AW512" i="76"/>
  <c r="AZ234" i="76"/>
  <c r="S895" i="76"/>
  <c r="O746" i="76"/>
  <c r="O337" i="76"/>
  <c r="O236" i="76"/>
  <c r="R101" i="76"/>
  <c r="AV968" i="76"/>
  <c r="AW597" i="76"/>
  <c r="AV570" i="76"/>
  <c r="AW542" i="76"/>
  <c r="AZ513" i="76"/>
  <c r="AW767" i="76"/>
  <c r="AZ420" i="76"/>
  <c r="AY887" i="76"/>
  <c r="AV796" i="76"/>
  <c r="R1028" i="76"/>
  <c r="O795" i="76"/>
  <c r="N669" i="76"/>
  <c r="R442" i="76"/>
  <c r="O187" i="76"/>
  <c r="O524" i="76"/>
  <c r="N382" i="76"/>
  <c r="AY1010" i="76"/>
  <c r="AY874" i="76"/>
  <c r="AV419" i="76"/>
  <c r="AX617" i="76"/>
  <c r="AX813" i="76"/>
  <c r="AX129" i="76"/>
  <c r="AU334" i="76"/>
  <c r="AY869" i="76"/>
  <c r="AY218" i="76"/>
  <c r="AV612" i="76"/>
  <c r="AY690" i="76"/>
  <c r="AZ658" i="76"/>
  <c r="P861" i="76"/>
  <c r="N508" i="76"/>
  <c r="R903" i="76"/>
  <c r="P1002" i="76"/>
  <c r="O145" i="76"/>
  <c r="N670" i="76"/>
  <c r="Q582" i="76"/>
  <c r="S189" i="76"/>
  <c r="R560" i="76"/>
  <c r="P230" i="76"/>
  <c r="AU530" i="76"/>
  <c r="AU819" i="76"/>
  <c r="AU857" i="76"/>
  <c r="N898" i="76"/>
  <c r="Q198" i="76"/>
  <c r="R109" i="76"/>
  <c r="AV403" i="76"/>
  <c r="AU487" i="76"/>
  <c r="AV272" i="76"/>
  <c r="AX704" i="76"/>
  <c r="N1035" i="76"/>
  <c r="R445" i="76"/>
  <c r="O98" i="76"/>
  <c r="AY974" i="76"/>
  <c r="AX287" i="76"/>
  <c r="AW606" i="76"/>
  <c r="AU953" i="76"/>
  <c r="AX143" i="76"/>
  <c r="AU593" i="76"/>
  <c r="Q860" i="76"/>
  <c r="Q602" i="76"/>
  <c r="P393" i="76"/>
  <c r="O135" i="76"/>
  <c r="AZ973" i="76"/>
  <c r="AZ876" i="76"/>
  <c r="AV670" i="76"/>
  <c r="AX450" i="76"/>
  <c r="AU239" i="76"/>
  <c r="AX583" i="76"/>
  <c r="AZ727" i="76"/>
  <c r="AY99" i="76"/>
  <c r="O666" i="76"/>
  <c r="N289" i="76"/>
  <c r="AW975" i="76"/>
  <c r="AU384" i="76"/>
  <c r="AW778" i="76"/>
  <c r="AY300" i="76"/>
  <c r="AW996" i="76"/>
  <c r="AU548" i="76"/>
  <c r="O934" i="76"/>
  <c r="O581" i="76"/>
  <c r="S267" i="76"/>
  <c r="AX910" i="76"/>
  <c r="AY792" i="76"/>
  <c r="AU305" i="76"/>
  <c r="AV707" i="76"/>
  <c r="AZ241" i="76"/>
  <c r="AX425" i="76"/>
  <c r="N1005" i="76"/>
  <c r="R705" i="76"/>
  <c r="R419" i="76"/>
  <c r="R122" i="76"/>
  <c r="AW1061" i="76"/>
  <c r="AV714" i="76"/>
  <c r="AV226" i="76"/>
  <c r="AU328" i="76"/>
  <c r="AZ455" i="76"/>
  <c r="AW95" i="76"/>
  <c r="S920" i="76"/>
  <c r="P540" i="76"/>
  <c r="P224" i="76"/>
  <c r="AZ1046" i="76"/>
  <c r="AV225" i="76"/>
  <c r="AU619" i="76"/>
  <c r="Q909" i="76"/>
  <c r="Q928" i="76"/>
  <c r="N564" i="76"/>
  <c r="Q781" i="76"/>
  <c r="O603" i="76"/>
  <c r="S253" i="76"/>
  <c r="N617" i="76"/>
  <c r="S568" i="76"/>
  <c r="AW541" i="76"/>
  <c r="AW830" i="76"/>
  <c r="AW200" i="76"/>
  <c r="S934" i="76"/>
  <c r="R359" i="76"/>
  <c r="AZ854" i="76"/>
  <c r="AX414" i="76"/>
  <c r="AY509" i="76"/>
  <c r="AW295" i="76"/>
  <c r="AU101" i="76"/>
  <c r="Q1001" i="76"/>
  <c r="S479" i="76"/>
  <c r="O130" i="76"/>
  <c r="AW995" i="76"/>
  <c r="AZ330" i="76"/>
  <c r="AU627" i="76"/>
  <c r="AV1061" i="76"/>
  <c r="AX207" i="76"/>
  <c r="AU769" i="76"/>
  <c r="O932" i="76"/>
  <c r="O623" i="76"/>
  <c r="N434" i="76"/>
  <c r="S181" i="76"/>
  <c r="AV983" i="76"/>
  <c r="AW980" i="76"/>
  <c r="AX681" i="76"/>
  <c r="AZ461" i="76"/>
  <c r="AZ260" i="76"/>
  <c r="AZ606" i="76"/>
  <c r="AV966" i="76"/>
  <c r="AZ178" i="76"/>
  <c r="N760" i="76"/>
  <c r="Q389" i="76"/>
  <c r="AU996" i="76"/>
  <c r="AX406" i="76"/>
  <c r="AU799" i="76"/>
  <c r="AW321" i="76"/>
  <c r="AU188" i="76"/>
  <c r="AW635" i="76"/>
  <c r="Q1034" i="76"/>
  <c r="R642" i="76"/>
  <c r="N385" i="76"/>
  <c r="AV931" i="76"/>
  <c r="AV813" i="76"/>
  <c r="AY327" i="76"/>
  <c r="AZ729" i="76"/>
  <c r="AW282" i="76"/>
  <c r="AV505" i="76"/>
  <c r="P1048" i="76"/>
  <c r="P768" i="76"/>
  <c r="Q499" i="76"/>
  <c r="R215" i="76"/>
  <c r="AX1032" i="76"/>
  <c r="N479" i="76"/>
  <c r="R594" i="76"/>
  <c r="P591" i="76"/>
  <c r="O813" i="76"/>
  <c r="R304" i="76"/>
  <c r="N708" i="76"/>
  <c r="O285" i="76"/>
  <c r="AY1004" i="76"/>
  <c r="AY625" i="76"/>
  <c r="AX655" i="76"/>
  <c r="AU426" i="76"/>
  <c r="S507" i="76"/>
  <c r="N573" i="76"/>
  <c r="AZ996" i="76"/>
  <c r="AW109" i="76"/>
  <c r="AW202" i="76"/>
  <c r="AX119" i="76"/>
  <c r="AU785" i="76"/>
  <c r="O615" i="76"/>
  <c r="N245" i="76"/>
  <c r="AZ929" i="76"/>
  <c r="AW725" i="76"/>
  <c r="AU142" i="76"/>
  <c r="AY470" i="76"/>
  <c r="AU291" i="76"/>
  <c r="AX810" i="76"/>
  <c r="R1003" i="76"/>
  <c r="S697" i="76"/>
  <c r="O886" i="76"/>
  <c r="P377" i="76"/>
  <c r="AU1039" i="76"/>
  <c r="AY1060" i="76"/>
  <c r="AZ99" i="76"/>
  <c r="AY781" i="76"/>
  <c r="AX570" i="76"/>
  <c r="AU496" i="76"/>
  <c r="AX448" i="76"/>
  <c r="AU919" i="76"/>
  <c r="P858" i="76"/>
  <c r="Q368" i="76"/>
  <c r="AZ909" i="76"/>
  <c r="AU790" i="76"/>
  <c r="AW304" i="76"/>
  <c r="AX706" i="76"/>
  <c r="AV235" i="76"/>
  <c r="AW418" i="76"/>
  <c r="N1001" i="76"/>
  <c r="P701" i="76"/>
  <c r="R411" i="76"/>
  <c r="N108" i="76"/>
  <c r="AU1054" i="76"/>
  <c r="AZ712" i="76"/>
  <c r="AZ224" i="76"/>
  <c r="AY326" i="76"/>
  <c r="AW441" i="76"/>
  <c r="AU93" i="76"/>
  <c r="S753" i="76"/>
  <c r="P693" i="76"/>
  <c r="O273" i="76"/>
  <c r="AX1059" i="76"/>
  <c r="AZ239" i="76"/>
  <c r="AY633" i="76"/>
  <c r="AU155" i="76"/>
  <c r="AU597" i="76"/>
  <c r="S371" i="76"/>
  <c r="P663" i="76"/>
  <c r="P485" i="76"/>
  <c r="S752" i="76"/>
  <c r="Q424" i="76"/>
  <c r="N971" i="76"/>
  <c r="S159" i="76"/>
  <c r="AU1017" i="76"/>
  <c r="AY689" i="76"/>
  <c r="AX783" i="76"/>
  <c r="AW358" i="76"/>
  <c r="S445" i="76"/>
  <c r="R81" i="76"/>
  <c r="AW909" i="76"/>
  <c r="AU162" i="76"/>
  <c r="AV254" i="76"/>
  <c r="AX247" i="76"/>
  <c r="AV981" i="76"/>
  <c r="Q658" i="76"/>
  <c r="O422" i="76"/>
  <c r="AU971" i="76"/>
  <c r="AU778" i="76"/>
  <c r="AY196" i="76"/>
  <c r="AX502" i="76"/>
  <c r="AV378" i="76"/>
  <c r="AY346" i="76"/>
  <c r="Q975" i="76"/>
  <c r="S1049" i="76"/>
  <c r="N420" i="76"/>
  <c r="R499" i="76"/>
  <c r="S98" i="76"/>
  <c r="N148" i="76"/>
  <c r="AV141" i="76"/>
  <c r="AW802" i="76"/>
  <c r="AX602" i="76"/>
  <c r="AU560" i="76"/>
  <c r="AU617" i="76"/>
  <c r="AZ543" i="76"/>
  <c r="O801" i="76"/>
  <c r="S143" i="76"/>
  <c r="AU951" i="76"/>
  <c r="AV833" i="76"/>
  <c r="AY347" i="76"/>
  <c r="AZ749" i="76"/>
  <c r="AX321" i="76"/>
  <c r="AV585" i="76"/>
  <c r="S974" i="76"/>
  <c r="Q917" i="76"/>
  <c r="Q681" i="76"/>
  <c r="P325" i="76"/>
  <c r="P91" i="76"/>
  <c r="AV754" i="76"/>
  <c r="AU266" i="76"/>
  <c r="AU407" i="76"/>
  <c r="AY615" i="76"/>
  <c r="AW215" i="76"/>
  <c r="O870" i="76"/>
  <c r="O380" i="76"/>
  <c r="N558" i="76"/>
  <c r="Q464" i="76"/>
  <c r="AU281" i="76"/>
  <c r="AU675" i="76"/>
  <c r="O877" i="76"/>
  <c r="Q261" i="76"/>
  <c r="R388" i="76"/>
  <c r="N729" i="76"/>
  <c r="AV723" i="76"/>
  <c r="S988" i="76"/>
  <c r="AZ1021" i="76"/>
  <c r="AV455" i="76"/>
  <c r="AU450" i="76"/>
  <c r="O680" i="76"/>
  <c r="AX931" i="76"/>
  <c r="AY553" i="76"/>
  <c r="AZ102" i="76"/>
  <c r="N1023" i="76"/>
  <c r="Q285" i="76"/>
  <c r="AU940" i="76"/>
  <c r="AZ628" i="76"/>
  <c r="AW218" i="76"/>
  <c r="AZ599" i="76"/>
  <c r="P668" i="76"/>
  <c r="AV932" i="76"/>
  <c r="AU735" i="76"/>
  <c r="AW804" i="76"/>
  <c r="Q956" i="76"/>
  <c r="R156" i="76"/>
  <c r="AW749" i="76"/>
  <c r="AZ665" i="76"/>
  <c r="AZ258" i="76"/>
  <c r="S605" i="76"/>
  <c r="R258" i="76"/>
  <c r="AU861" i="76"/>
  <c r="AZ625" i="76"/>
  <c r="AY643" i="76"/>
  <c r="AX1052" i="76"/>
  <c r="R776" i="76"/>
  <c r="S325" i="76"/>
  <c r="R154" i="76"/>
  <c r="R332" i="76"/>
  <c r="AU337" i="76"/>
  <c r="AV547" i="76"/>
  <c r="AZ646" i="76"/>
  <c r="AU673" i="76"/>
  <c r="R904" i="76"/>
  <c r="P129" i="76"/>
  <c r="AW737" i="76"/>
  <c r="AZ653" i="76"/>
  <c r="AU205" i="76"/>
  <c r="AV959" i="76"/>
  <c r="S967" i="76"/>
  <c r="S233" i="76"/>
  <c r="AV910" i="76"/>
  <c r="AZ152" i="76"/>
  <c r="AU72" i="76"/>
  <c r="P467" i="76"/>
  <c r="AW762" i="76"/>
  <c r="P909" i="76"/>
  <c r="AV759" i="76"/>
  <c r="Q661" i="76"/>
  <c r="O288" i="76"/>
  <c r="AU856" i="76"/>
  <c r="AV605" i="76"/>
  <c r="AX611" i="76"/>
  <c r="AU999" i="76"/>
  <c r="AY249" i="76"/>
  <c r="P106" i="76"/>
  <c r="AZ610" i="76"/>
  <c r="Q245" i="76"/>
  <c r="Q196" i="76"/>
  <c r="AY387" i="76"/>
  <c r="AX111" i="76"/>
  <c r="P703" i="76"/>
  <c r="R271" i="76"/>
  <c r="AW379" i="76"/>
  <c r="AU294" i="76"/>
  <c r="AY530" i="76"/>
  <c r="Q534" i="76"/>
  <c r="AY894" i="76"/>
  <c r="AW288" i="76"/>
  <c r="AV203" i="76"/>
  <c r="S1002" i="76"/>
  <c r="O93" i="76"/>
  <c r="N136" i="76"/>
  <c r="AZ575" i="76"/>
  <c r="AZ597" i="76"/>
  <c r="Q391" i="76"/>
  <c r="AX427" i="76"/>
  <c r="Q934" i="76"/>
  <c r="AU1005" i="76"/>
  <c r="AZ478" i="76"/>
  <c r="Q449" i="76"/>
  <c r="AX821" i="76"/>
  <c r="R959" i="76"/>
  <c r="AW1013" i="76"/>
  <c r="AV422" i="76"/>
  <c r="N204" i="76"/>
  <c r="AZ689" i="76"/>
  <c r="AU716" i="76"/>
  <c r="S398" i="76"/>
  <c r="AW1004" i="76"/>
  <c r="AX782" i="76"/>
  <c r="AZ400" i="76"/>
  <c r="O922" i="76"/>
  <c r="AZ823" i="76"/>
  <c r="AV398" i="76"/>
  <c r="AW469" i="76"/>
  <c r="AZ1006" i="76"/>
  <c r="AV433" i="76"/>
  <c r="AX737" i="76"/>
  <c r="AW229" i="76"/>
  <c r="R140" i="76"/>
  <c r="AX658" i="76"/>
  <c r="Q287" i="76"/>
  <c r="AU916" i="76"/>
  <c r="N536" i="76"/>
  <c r="AW219" i="76"/>
  <c r="S277" i="76"/>
  <c r="AV174" i="76"/>
  <c r="Q732" i="76"/>
  <c r="AU518" i="76"/>
  <c r="AY746" i="76"/>
  <c r="N853" i="76"/>
  <c r="N410" i="76"/>
  <c r="AX784" i="76"/>
  <c r="AZ83" i="76"/>
  <c r="R899" i="76"/>
  <c r="AW937" i="76"/>
  <c r="AU213" i="76"/>
  <c r="Q345" i="76"/>
  <c r="R949" i="76"/>
  <c r="O282" i="76"/>
  <c r="S724" i="76"/>
  <c r="O144" i="76"/>
  <c r="AX798" i="76"/>
  <c r="N787" i="76"/>
  <c r="AX1042" i="76"/>
  <c r="AZ477" i="76"/>
  <c r="AV617" i="76"/>
  <c r="P402" i="76"/>
  <c r="AZ942" i="76"/>
  <c r="AU563" i="76"/>
  <c r="AV120" i="76"/>
  <c r="Q1021" i="76"/>
  <c r="P356" i="76"/>
  <c r="AV951" i="76"/>
  <c r="AV638" i="76"/>
  <c r="AY229" i="76"/>
  <c r="AV681" i="76"/>
  <c r="P598" i="76"/>
  <c r="AY954" i="76"/>
  <c r="AY757" i="76"/>
  <c r="AZ861" i="76"/>
  <c r="P886" i="76"/>
  <c r="Q197" i="76"/>
  <c r="AU770" i="76"/>
  <c r="AX686" i="76"/>
  <c r="AU340" i="76"/>
  <c r="O647" i="76"/>
  <c r="P528" i="76"/>
  <c r="AV89" i="76"/>
  <c r="AX646" i="76"/>
  <c r="AW684" i="76"/>
  <c r="AZ300" i="76"/>
  <c r="Q841" i="76"/>
  <c r="R489" i="76"/>
  <c r="S247" i="76"/>
  <c r="AV949" i="76"/>
  <c r="AY359" i="76"/>
  <c r="AZ569" i="76"/>
  <c r="AX687" i="76"/>
  <c r="AX134" i="76"/>
  <c r="P902" i="76"/>
  <c r="S220" i="76"/>
  <c r="AY780" i="76"/>
  <c r="AV695" i="76"/>
  <c r="AZ377" i="76"/>
  <c r="AZ878" i="76"/>
  <c r="Q1052" i="76"/>
  <c r="S321" i="76"/>
  <c r="AW997" i="76"/>
  <c r="AV194" i="76"/>
  <c r="AX322" i="76"/>
  <c r="N424" i="76"/>
  <c r="AY847" i="76"/>
  <c r="P854" i="76"/>
  <c r="AZ900" i="76"/>
  <c r="N802" i="76"/>
  <c r="O710" i="76"/>
  <c r="AW960" i="76"/>
  <c r="AX692" i="76"/>
  <c r="AV780" i="76"/>
  <c r="Q162" i="76"/>
  <c r="AX416" i="76"/>
  <c r="O88" i="76"/>
  <c r="AW167" i="76"/>
  <c r="N330" i="76"/>
  <c r="AY856" i="76"/>
  <c r="AY430" i="76"/>
  <c r="AZ198" i="76"/>
  <c r="R799" i="76"/>
  <c r="P543" i="76"/>
  <c r="AX422" i="76"/>
  <c r="AW337" i="76"/>
  <c r="AW699" i="76"/>
  <c r="P651" i="76"/>
  <c r="AV935" i="76"/>
  <c r="AY331" i="76"/>
  <c r="AX289" i="76"/>
  <c r="O928" i="76"/>
  <c r="O371" i="76"/>
  <c r="AW582" i="76"/>
  <c r="N160" i="76"/>
  <c r="AW163" i="76"/>
  <c r="S234" i="76"/>
  <c r="AU75" i="76"/>
  <c r="Q735" i="76"/>
  <c r="AU1014" i="76"/>
  <c r="AZ670" i="76"/>
  <c r="Q211" i="76"/>
  <c r="AX194" i="76"/>
  <c r="Q726" i="76"/>
  <c r="AW408" i="76"/>
  <c r="R684" i="76"/>
  <c r="AU388" i="76"/>
  <c r="AU725" i="76"/>
  <c r="S798" i="76"/>
  <c r="R250" i="76"/>
  <c r="AX573" i="76"/>
  <c r="AY787" i="76"/>
  <c r="N697" i="76"/>
  <c r="AX738" i="76"/>
  <c r="AX160" i="76"/>
  <c r="P455" i="76"/>
  <c r="AZ785" i="76"/>
  <c r="Q374" i="76"/>
  <c r="R942" i="76"/>
  <c r="N610" i="76"/>
  <c r="AY925" i="76"/>
  <c r="AY158" i="76"/>
  <c r="AW242" i="76"/>
  <c r="AY332" i="76"/>
  <c r="Q192" i="76"/>
  <c r="AV130" i="76"/>
  <c r="O760" i="76"/>
  <c r="AZ123" i="76"/>
  <c r="AY314" i="76"/>
  <c r="N609" i="76"/>
  <c r="AZ475" i="76"/>
  <c r="O341" i="76"/>
  <c r="O318" i="76"/>
  <c r="R618" i="76"/>
  <c r="AX650" i="76"/>
  <c r="R334" i="76"/>
  <c r="AV491" i="76"/>
  <c r="P730" i="76"/>
  <c r="O923" i="76"/>
  <c r="Q480" i="76"/>
  <c r="N841" i="76"/>
  <c r="Q645" i="76"/>
  <c r="AY744" i="76"/>
  <c r="AY499" i="76"/>
  <c r="O274" i="76"/>
  <c r="AW585" i="76"/>
  <c r="AV653" i="76"/>
  <c r="O977" i="76"/>
  <c r="N296" i="76"/>
  <c r="AV458" i="76"/>
  <c r="AW182" i="76"/>
  <c r="AX333" i="76"/>
  <c r="Q673" i="76"/>
  <c r="O70" i="76"/>
  <c r="O83" i="76"/>
  <c r="AU567" i="76"/>
  <c r="AY839" i="76"/>
  <c r="AY309" i="76"/>
  <c r="S164" i="76"/>
  <c r="AU534" i="76"/>
  <c r="AY450" i="76"/>
  <c r="AY118" i="76"/>
  <c r="O550" i="76"/>
  <c r="AU1059" i="76"/>
  <c r="AU455" i="76"/>
  <c r="AU536" i="76"/>
  <c r="AU684" i="76"/>
  <c r="Q675" i="76"/>
  <c r="P384" i="76"/>
  <c r="AU907" i="76"/>
  <c r="AX540" i="76"/>
  <c r="AY586" i="76"/>
  <c r="O1005" i="76"/>
  <c r="N575" i="76"/>
  <c r="P177" i="76"/>
  <c r="AY918" i="76"/>
  <c r="AZ354" i="76"/>
  <c r="AU555" i="76"/>
  <c r="AZ771" i="76"/>
  <c r="AV232" i="76"/>
  <c r="AZ114" i="76"/>
  <c r="O569" i="76"/>
  <c r="O84" i="76"/>
  <c r="AY465" i="76"/>
  <c r="AY558" i="76"/>
  <c r="AV835" i="76"/>
  <c r="AV297" i="76"/>
  <c r="S660" i="76"/>
  <c r="S286" i="76"/>
  <c r="AZ853" i="76"/>
  <c r="AX604" i="76"/>
  <c r="AV604" i="76"/>
  <c r="AV872" i="76"/>
  <c r="AV330" i="76"/>
  <c r="R380" i="76"/>
  <c r="AZ340" i="76"/>
  <c r="O353" i="76"/>
  <c r="AX1007" i="76"/>
  <c r="AY581" i="76"/>
  <c r="AU493" i="76"/>
  <c r="N862" i="76"/>
  <c r="AZ780" i="76"/>
  <c r="AU260" i="76"/>
  <c r="AU852" i="76"/>
  <c r="R814" i="76"/>
  <c r="P175" i="76"/>
  <c r="AZ207" i="76"/>
  <c r="AU123" i="76"/>
  <c r="AY655" i="76"/>
  <c r="S744" i="76"/>
  <c r="AZ965" i="76"/>
  <c r="AU106" i="76"/>
  <c r="AX567" i="76"/>
  <c r="Q1025" i="76"/>
  <c r="P108" i="76"/>
  <c r="AV1037" i="76"/>
  <c r="AX948" i="76"/>
  <c r="AZ527" i="76"/>
  <c r="P265" i="76"/>
  <c r="N726" i="76"/>
  <c r="S422" i="76"/>
  <c r="P348" i="76"/>
  <c r="AX862" i="76"/>
  <c r="AV279" i="76"/>
  <c r="R561" i="76"/>
  <c r="AY291" i="76"/>
  <c r="AW500" i="76"/>
  <c r="S628" i="76"/>
  <c r="N292" i="76"/>
  <c r="AU313" i="76"/>
  <c r="AZ598" i="76"/>
  <c r="AX396" i="76"/>
  <c r="Q370" i="76"/>
  <c r="S412" i="76"/>
  <c r="AZ227" i="76"/>
  <c r="AV687" i="76"/>
  <c r="AU185" i="76"/>
  <c r="S814" i="76"/>
  <c r="AW1058" i="76"/>
  <c r="AW454" i="76"/>
  <c r="AW535" i="76"/>
  <c r="AY634" i="76"/>
  <c r="S634" i="76"/>
  <c r="O249" i="76"/>
  <c r="AV373" i="76"/>
  <c r="AZ86" i="76"/>
  <c r="P723" i="76"/>
  <c r="N305" i="76"/>
  <c r="AU538" i="76"/>
  <c r="AX141" i="76"/>
  <c r="AX671" i="76"/>
  <c r="AU564" i="76"/>
  <c r="R923" i="76"/>
  <c r="R688" i="76"/>
  <c r="P127" i="76"/>
  <c r="S129" i="76"/>
  <c r="AZ680" i="76"/>
  <c r="AV906" i="76"/>
  <c r="AY518" i="76"/>
  <c r="AU135" i="76"/>
  <c r="Q205" i="76"/>
  <c r="AZ416" i="76"/>
  <c r="AY1044" i="76"/>
  <c r="N985" i="76"/>
  <c r="AY319" i="76"/>
  <c r="S614" i="76"/>
  <c r="N952" i="76"/>
  <c r="O255" i="76"/>
  <c r="AZ701" i="76"/>
  <c r="R235" i="76"/>
  <c r="AU502" i="76"/>
  <c r="AU582" i="76"/>
  <c r="AV520" i="76"/>
  <c r="AY942" i="76"/>
  <c r="AY699" i="76"/>
  <c r="AX484" i="76"/>
  <c r="AZ1002" i="76"/>
  <c r="AU513" i="76"/>
  <c r="AU344" i="76"/>
  <c r="AU903" i="76"/>
  <c r="O672" i="76"/>
  <c r="AW671" i="76"/>
  <c r="O240" i="76"/>
  <c r="AZ707" i="76"/>
  <c r="N461" i="76"/>
  <c r="AW956" i="76"/>
  <c r="AZ786" i="76"/>
  <c r="AW665" i="76"/>
  <c r="AW401" i="76"/>
  <c r="AV287" i="76"/>
  <c r="AW742" i="76"/>
  <c r="Q301" i="76"/>
  <c r="AW117" i="76"/>
  <c r="R329" i="76"/>
  <c r="AY125" i="76"/>
  <c r="N176" i="76"/>
  <c r="AX409" i="76"/>
  <c r="AU1038" i="76"/>
  <c r="P984" i="76"/>
  <c r="AY202" i="76"/>
  <c r="AX203" i="76"/>
  <c r="AZ684" i="76"/>
  <c r="O627" i="76"/>
  <c r="Q700" i="76"/>
  <c r="P694" i="76"/>
  <c r="AY881" i="76"/>
  <c r="N465" i="76"/>
  <c r="AZ895" i="76"/>
  <c r="AY482" i="76"/>
  <c r="O196" i="76"/>
  <c r="AY227" i="76"/>
  <c r="AZ128" i="76"/>
  <c r="Q99" i="76"/>
  <c r="P980" i="76"/>
  <c r="AW269" i="76"/>
  <c r="N677" i="76"/>
  <c r="AV562" i="76"/>
  <c r="AY95" i="76"/>
  <c r="AX991" i="76"/>
  <c r="AU283" i="76"/>
  <c r="S345" i="76"/>
  <c r="AX212" i="76"/>
  <c r="AZ286" i="76"/>
  <c r="Q703" i="76"/>
  <c r="N164" i="76"/>
  <c r="AZ100" i="76"/>
  <c r="R279" i="76"/>
  <c r="AX596" i="76"/>
  <c r="S270" i="76"/>
  <c r="O398" i="76"/>
  <c r="AZ1000" i="76"/>
  <c r="S433" i="76"/>
  <c r="N291" i="76"/>
  <c r="N780" i="76"/>
  <c r="Q215" i="76"/>
  <c r="AX584" i="76"/>
  <c r="AV356" i="76"/>
  <c r="AX684" i="76"/>
  <c r="AV193" i="76"/>
  <c r="O600" i="76"/>
  <c r="AZ669" i="76"/>
  <c r="AV168" i="76"/>
  <c r="AU937" i="76"/>
  <c r="P985" i="76"/>
  <c r="S495" i="76"/>
  <c r="AV743" i="76"/>
  <c r="N229" i="76"/>
  <c r="AX637" i="76"/>
  <c r="S616" i="76"/>
  <c r="AU542" i="76"/>
  <c r="AU119" i="76"/>
  <c r="AX299" i="76"/>
  <c r="AX158" i="76"/>
  <c r="P104" i="76"/>
  <c r="R94" i="76"/>
  <c r="AW580" i="76"/>
  <c r="AY990" i="76"/>
  <c r="AY971" i="76"/>
  <c r="R141" i="76"/>
  <c r="AW386" i="76"/>
  <c r="AY1039" i="76"/>
  <c r="N79" i="76"/>
  <c r="AY687" i="76"/>
  <c r="AZ916" i="76"/>
  <c r="AY341" i="76"/>
  <c r="P236" i="76"/>
  <c r="AY381" i="76"/>
  <c r="AX588" i="76"/>
  <c r="S878" i="76"/>
  <c r="AV861" i="76"/>
  <c r="O632" i="76"/>
  <c r="AW1012" i="76"/>
  <c r="N220" i="76"/>
  <c r="R988" i="76"/>
  <c r="Q435" i="76"/>
  <c r="AV896" i="76"/>
  <c r="AU893" i="76"/>
  <c r="AU434" i="76"/>
  <c r="AU1020" i="76"/>
  <c r="AV836" i="76"/>
  <c r="AU980" i="76"/>
  <c r="R87" i="76"/>
  <c r="O709" i="76"/>
  <c r="AW567" i="76"/>
  <c r="AW148" i="76"/>
  <c r="N155" i="76"/>
  <c r="AV352" i="76"/>
  <c r="AY705" i="76"/>
  <c r="AY241" i="76"/>
  <c r="S219" i="76"/>
  <c r="AU175" i="76"/>
  <c r="AW447" i="76"/>
  <c r="AV647" i="76"/>
  <c r="AW833" i="76"/>
  <c r="AY1054" i="76"/>
  <c r="N587" i="76"/>
  <c r="AU512" i="76"/>
  <c r="AW622" i="76"/>
  <c r="AV768" i="76"/>
  <c r="AU212" i="76"/>
  <c r="AY396" i="76"/>
  <c r="AZ793" i="76"/>
  <c r="R1018" i="76"/>
  <c r="AX979" i="76"/>
  <c r="N1019" i="76"/>
  <c r="AX491" i="76"/>
  <c r="AW477" i="76"/>
  <c r="AW452" i="76"/>
  <c r="R439" i="76"/>
  <c r="AY527" i="76"/>
  <c r="AZ417" i="76"/>
  <c r="Q936" i="76"/>
  <c r="O169" i="76"/>
  <c r="N327" i="76"/>
  <c r="AZ351" i="76"/>
  <c r="P646" i="76"/>
  <c r="Q218" i="76"/>
  <c r="R960" i="76"/>
  <c r="Q712" i="76"/>
  <c r="Q1042" i="76"/>
  <c r="N307" i="76"/>
  <c r="S91" i="76"/>
  <c r="S976" i="76"/>
  <c r="N634" i="76"/>
  <c r="Q494" i="76"/>
  <c r="P449" i="76"/>
  <c r="R164" i="76"/>
  <c r="P1054" i="76"/>
  <c r="O676" i="76"/>
  <c r="P450" i="76"/>
  <c r="Q631" i="76"/>
  <c r="Q987" i="76"/>
  <c r="N848" i="76"/>
  <c r="O998" i="76"/>
  <c r="S723" i="76"/>
  <c r="N543" i="76"/>
  <c r="P315" i="76"/>
  <c r="O101" i="76"/>
  <c r="Q1061" i="76"/>
  <c r="P645" i="76"/>
  <c r="S505" i="76"/>
  <c r="S483" i="76"/>
  <c r="N174" i="76"/>
  <c r="N763" i="76"/>
  <c r="S690" i="76"/>
  <c r="N471" i="76"/>
  <c r="O754" i="76"/>
  <c r="S998" i="76"/>
  <c r="S857" i="76"/>
  <c r="S1044" i="76"/>
  <c r="O733" i="76"/>
  <c r="P554" i="76"/>
  <c r="Q325" i="76"/>
  <c r="Q112" i="76"/>
  <c r="R873" i="76"/>
  <c r="R656" i="76"/>
  <c r="O515" i="76"/>
  <c r="P514" i="76"/>
  <c r="O184" i="76"/>
  <c r="P774" i="76"/>
  <c r="P705" i="76"/>
  <c r="R485" i="76"/>
  <c r="S240" i="76"/>
  <c r="O1008" i="76"/>
  <c r="R876" i="76"/>
  <c r="S945" i="76"/>
  <c r="S925" i="76"/>
  <c r="P688" i="76"/>
  <c r="N254" i="76"/>
  <c r="N463" i="76"/>
  <c r="O879" i="76"/>
  <c r="P581" i="76"/>
  <c r="N833" i="76"/>
  <c r="N349" i="76"/>
  <c r="N110" i="76"/>
  <c r="P892" i="76"/>
  <c r="O622" i="76"/>
  <c r="R397" i="76"/>
  <c r="O434" i="76"/>
  <c r="R1047" i="76"/>
  <c r="N946" i="76"/>
  <c r="P760" i="76"/>
  <c r="P415" i="76"/>
  <c r="O1050" i="76"/>
  <c r="P716" i="76"/>
  <c r="N121" i="76"/>
  <c r="O887" i="76"/>
  <c r="S496" i="76"/>
  <c r="N966" i="76"/>
  <c r="R637" i="76"/>
  <c r="N537" i="76"/>
  <c r="P246" i="76"/>
  <c r="P1039" i="76"/>
  <c r="O884" i="76"/>
  <c r="P156" i="76"/>
  <c r="S169" i="76"/>
  <c r="AW1065" i="76"/>
  <c r="AX525" i="76"/>
  <c r="AX1020" i="76"/>
  <c r="AY678" i="76"/>
  <c r="AU117" i="76"/>
  <c r="AV111" i="76"/>
  <c r="P935" i="76"/>
  <c r="Q314" i="76"/>
  <c r="Q895" i="76"/>
  <c r="Q636" i="76"/>
  <c r="Q1056" i="76"/>
  <c r="Q630" i="76"/>
  <c r="N326" i="76"/>
  <c r="P739" i="76"/>
  <c r="N396" i="76"/>
  <c r="S1000" i="76"/>
  <c r="O658" i="76"/>
  <c r="R433" i="76"/>
  <c r="N529" i="76"/>
  <c r="R991" i="76"/>
  <c r="S686" i="76"/>
  <c r="P388" i="76"/>
  <c r="R90" i="76"/>
  <c r="AW1045" i="76"/>
  <c r="AV706" i="76"/>
  <c r="AV218" i="76"/>
  <c r="AU312" i="76"/>
  <c r="AV418" i="76"/>
  <c r="AU89" i="76"/>
  <c r="P828" i="76"/>
  <c r="O441" i="76"/>
  <c r="S183" i="76"/>
  <c r="AX1031" i="76"/>
  <c r="AZ211" i="76"/>
  <c r="AY605" i="76"/>
  <c r="AU127" i="76"/>
  <c r="AU541" i="76"/>
  <c r="AY719" i="76"/>
  <c r="S968" i="76"/>
  <c r="O939" i="76"/>
  <c r="R912" i="76"/>
  <c r="S694" i="76"/>
  <c r="S1067" i="76"/>
  <c r="S641" i="76"/>
  <c r="R340" i="76"/>
  <c r="R750" i="76"/>
  <c r="P407" i="76"/>
  <c r="O1018" i="76"/>
  <c r="S668" i="76"/>
  <c r="N443" i="76"/>
  <c r="P584" i="76"/>
  <c r="S954" i="76"/>
  <c r="Q479" i="76"/>
  <c r="P575" i="76"/>
  <c r="S845" i="76"/>
  <c r="N405" i="76"/>
  <c r="N975" i="76"/>
  <c r="O482" i="76"/>
  <c r="R998" i="76"/>
  <c r="S504" i="76"/>
  <c r="N268" i="76"/>
  <c r="AY1024" i="76"/>
  <c r="AZ967" i="76"/>
  <c r="AY890" i="76"/>
  <c r="AV769" i="76"/>
  <c r="N931" i="76"/>
  <c r="Q874" i="76"/>
  <c r="R458" i="76"/>
  <c r="AV1030" i="76"/>
  <c r="AV622" i="76"/>
  <c r="AU831" i="76"/>
  <c r="AW807" i="76"/>
  <c r="AW803" i="76"/>
  <c r="P853" i="76"/>
  <c r="Q426" i="76"/>
  <c r="Q77" i="76"/>
  <c r="AY1038" i="76"/>
  <c r="AZ448" i="76"/>
  <c r="AX841" i="76"/>
  <c r="AU362" i="76"/>
  <c r="AZ273" i="76"/>
  <c r="N788" i="76"/>
  <c r="Q144" i="76"/>
  <c r="N363" i="76"/>
  <c r="Q818" i="76"/>
  <c r="S404" i="76"/>
  <c r="O704" i="76"/>
  <c r="R208" i="76"/>
  <c r="Q935" i="76"/>
  <c r="Q635" i="76"/>
  <c r="N139" i="76"/>
  <c r="AZ819" i="76"/>
  <c r="AU763" i="76"/>
  <c r="AV501" i="76"/>
  <c r="AX528" i="76"/>
  <c r="S1004" i="76"/>
  <c r="Q431" i="76"/>
  <c r="S302" i="76"/>
  <c r="AX941" i="76"/>
  <c r="AW462" i="76"/>
  <c r="AV671" i="76"/>
  <c r="AZ510" i="76"/>
  <c r="AV452" i="76"/>
  <c r="N828" i="76"/>
  <c r="P587" i="76"/>
  <c r="S109" i="76"/>
  <c r="AY899" i="76"/>
  <c r="AV308" i="76"/>
  <c r="AW702" i="76"/>
  <c r="AY225" i="76"/>
  <c r="AY739" i="76"/>
  <c r="R703" i="76"/>
  <c r="R1031" i="76"/>
  <c r="N384" i="76"/>
  <c r="Q736" i="76"/>
  <c r="S1062" i="76"/>
  <c r="S638" i="76"/>
  <c r="S244" i="76"/>
  <c r="O866" i="76"/>
  <c r="S332" i="76"/>
  <c r="P174" i="76"/>
  <c r="AU626" i="76"/>
  <c r="AU571" i="76"/>
  <c r="AX806" i="76"/>
  <c r="AY575" i="76"/>
  <c r="P847" i="76"/>
  <c r="S619" i="76"/>
  <c r="Q714" i="76"/>
  <c r="R417" i="76"/>
  <c r="O620" i="76"/>
  <c r="S672" i="76"/>
  <c r="N1033" i="76"/>
  <c r="O210" i="76"/>
  <c r="AV829" i="76"/>
  <c r="AV563" i="76"/>
  <c r="AU883" i="76"/>
  <c r="N503" i="76"/>
  <c r="AU1055" i="76"/>
  <c r="AV221" i="76"/>
  <c r="AZ789" i="76"/>
  <c r="AW437" i="76"/>
  <c r="N973" i="76"/>
  <c r="S692" i="76"/>
  <c r="R222" i="76"/>
  <c r="AX870" i="76"/>
  <c r="AX809" i="76"/>
  <c r="AX572" i="76"/>
  <c r="AZ105" i="76"/>
  <c r="AV167" i="76"/>
  <c r="R839" i="76"/>
  <c r="N377" i="76"/>
  <c r="R177" i="76"/>
  <c r="AZ1044" i="76"/>
  <c r="AY820" i="76"/>
  <c r="AX332" i="76"/>
  <c r="AZ539" i="76"/>
  <c r="AV965" i="76"/>
  <c r="AW476" i="76"/>
  <c r="S481" i="76"/>
  <c r="Q585" i="76"/>
  <c r="O544" i="76"/>
  <c r="S421" i="76"/>
  <c r="Q903" i="76"/>
  <c r="R1055" i="76"/>
  <c r="R237" i="76"/>
  <c r="AY883" i="76"/>
  <c r="AX606" i="76"/>
  <c r="AX222" i="76"/>
  <c r="S534" i="76"/>
  <c r="O148" i="76"/>
  <c r="AZ243" i="76"/>
  <c r="AV799" i="76"/>
  <c r="AV477" i="76"/>
  <c r="N1037" i="76"/>
  <c r="Q914" i="76"/>
  <c r="O304" i="76"/>
  <c r="AV930" i="76"/>
  <c r="AZ820" i="76"/>
  <c r="AV613" i="76"/>
  <c r="AY261" i="76"/>
  <c r="AU279" i="76"/>
  <c r="O967" i="76"/>
  <c r="O418" i="76"/>
  <c r="N208" i="76"/>
  <c r="AV1062" i="76"/>
  <c r="AU830" i="76"/>
  <c r="AZ343" i="76"/>
  <c r="AV557" i="76"/>
  <c r="AU153" i="76"/>
  <c r="AX515" i="76"/>
  <c r="O523" i="76"/>
  <c r="P614" i="76"/>
  <c r="S563" i="76"/>
  <c r="N343" i="76"/>
  <c r="P553" i="76"/>
  <c r="N94" i="76"/>
  <c r="S261" i="76"/>
  <c r="AU970" i="76"/>
  <c r="AV691" i="76"/>
  <c r="AZ623" i="76"/>
  <c r="O568" i="76"/>
  <c r="N249" i="76"/>
  <c r="AX307" i="76"/>
  <c r="AZ889" i="76"/>
  <c r="AU605" i="76"/>
  <c r="Q1031" i="76"/>
  <c r="R543" i="76"/>
  <c r="Q87" i="76"/>
  <c r="AW910" i="76"/>
  <c r="AU899" i="76"/>
  <c r="AZ723" i="76"/>
  <c r="AW984" i="76"/>
  <c r="AX115" i="76"/>
  <c r="O708" i="76"/>
  <c r="O242" i="76"/>
  <c r="P405" i="76"/>
  <c r="O179" i="76"/>
  <c r="AU885" i="76"/>
  <c r="AU385" i="76"/>
  <c r="AX644" i="76"/>
  <c r="AZ110" i="76"/>
  <c r="AV684" i="76"/>
  <c r="P542" i="76"/>
  <c r="N402" i="76"/>
  <c r="P742" i="76"/>
  <c r="Q379" i="76"/>
  <c r="P92" i="76"/>
  <c r="AZ828" i="76"/>
  <c r="AY107" i="76"/>
  <c r="R190" i="76"/>
  <c r="AX248" i="76"/>
  <c r="AV351" i="76"/>
  <c r="O748" i="76"/>
  <c r="AW1046" i="76"/>
  <c r="AX260" i="76"/>
  <c r="AZ534" i="76"/>
  <c r="O1060" i="76"/>
  <c r="R638" i="76"/>
  <c r="S153" i="76"/>
  <c r="AX184" i="76"/>
  <c r="AV655" i="76"/>
  <c r="AY791" i="76"/>
  <c r="Q897" i="76"/>
  <c r="AU1015" i="76"/>
  <c r="AW411" i="76"/>
  <c r="AV448" i="76"/>
  <c r="AW99" i="76"/>
  <c r="R376" i="76"/>
  <c r="AV1038" i="76"/>
  <c r="AZ331" i="76"/>
  <c r="AV958" i="76"/>
  <c r="P877" i="76"/>
  <c r="R182" i="76"/>
  <c r="AZ346" i="76"/>
  <c r="AX261" i="76"/>
  <c r="AV397" i="76"/>
  <c r="S465" i="76"/>
  <c r="AZ858" i="76"/>
  <c r="AX252" i="76"/>
  <c r="P201" i="76"/>
  <c r="Q711" i="76"/>
  <c r="S390" i="76"/>
  <c r="N113" i="76"/>
  <c r="AY848" i="76"/>
  <c r="AY238" i="76"/>
  <c r="R444" i="76"/>
  <c r="AZ259" i="76"/>
  <c r="AV414" i="76"/>
  <c r="P897" i="76"/>
  <c r="AU1067" i="76"/>
  <c r="AW292" i="76"/>
  <c r="AV552" i="76"/>
  <c r="AV95" i="76"/>
  <c r="S737" i="76"/>
  <c r="P288" i="76"/>
  <c r="AX216" i="76"/>
  <c r="AX666" i="76"/>
  <c r="AV832" i="76"/>
  <c r="Q771" i="76"/>
  <c r="AY1037" i="76"/>
  <c r="AZ433" i="76"/>
  <c r="AY494" i="76"/>
  <c r="AV302" i="76"/>
  <c r="N468" i="76"/>
  <c r="S114" i="76"/>
  <c r="AX352" i="76"/>
  <c r="AY183" i="76"/>
  <c r="N680" i="76"/>
  <c r="R225" i="76"/>
  <c r="P765" i="76"/>
  <c r="Q1058" i="76"/>
  <c r="Q519" i="76"/>
  <c r="O408" i="76"/>
  <c r="AZ600" i="76"/>
  <c r="AW172" i="76"/>
  <c r="S76" i="76"/>
  <c r="AZ740" i="76"/>
  <c r="AV592" i="76"/>
  <c r="R734" i="76"/>
  <c r="R455" i="76"/>
  <c r="AV698" i="76"/>
  <c r="AU680" i="76"/>
  <c r="AX99" i="76"/>
  <c r="O551" i="76"/>
  <c r="Q279" i="76"/>
  <c r="AY516" i="76"/>
  <c r="AX97" i="76"/>
  <c r="AW596" i="76"/>
  <c r="O1031" i="76"/>
  <c r="P170" i="76"/>
  <c r="AW817" i="76"/>
  <c r="AX532" i="76"/>
  <c r="AY467" i="76"/>
  <c r="S516" i="76"/>
  <c r="AZ934" i="76"/>
  <c r="AY737" i="76"/>
  <c r="AU805" i="76"/>
  <c r="P966" i="76"/>
  <c r="R160" i="76"/>
  <c r="AY752" i="76"/>
  <c r="AV667" i="76"/>
  <c r="O628" i="76"/>
  <c r="R817" i="76"/>
  <c r="N725" i="76"/>
  <c r="R575" i="76"/>
  <c r="AX685" i="76"/>
  <c r="AV449" i="76"/>
  <c r="S140" i="76"/>
  <c r="AV782" i="76"/>
  <c r="AV720" i="76"/>
  <c r="S770" i="76"/>
  <c r="S110" i="76"/>
  <c r="AZ752" i="76"/>
  <c r="AY726" i="76"/>
  <c r="AY206" i="76"/>
  <c r="Q701" i="76"/>
  <c r="Q492" i="76"/>
  <c r="AU558" i="76"/>
  <c r="AV118" i="76"/>
  <c r="AW660" i="76"/>
  <c r="O1021" i="76"/>
  <c r="N318" i="76"/>
  <c r="AW864" i="76"/>
  <c r="AZ619" i="76"/>
  <c r="AZ634" i="76"/>
  <c r="P867" i="76"/>
  <c r="AU976" i="76"/>
  <c r="AU779" i="76"/>
  <c r="AW1000" i="76"/>
  <c r="R938" i="76"/>
  <c r="S275" i="76"/>
  <c r="AU794" i="76"/>
  <c r="N514" i="76"/>
  <c r="O499" i="76"/>
  <c r="AZ728" i="76"/>
  <c r="Q161" i="76"/>
  <c r="AV784" i="76"/>
  <c r="Q151" i="76"/>
  <c r="AY790" i="76"/>
  <c r="O761" i="76"/>
  <c r="AW569" i="76"/>
  <c r="AW724" i="76"/>
  <c r="S459" i="76"/>
  <c r="AX660" i="76"/>
  <c r="P419" i="76"/>
  <c r="AY801" i="76"/>
  <c r="Q1050" i="76"/>
  <c r="AZ919" i="76"/>
  <c r="AW543" i="76"/>
  <c r="N950" i="76"/>
  <c r="Q69" i="76"/>
  <c r="AX1017" i="76"/>
  <c r="AU201" i="76"/>
  <c r="AV84" i="76"/>
  <c r="AY986" i="76"/>
  <c r="AY170" i="76"/>
  <c r="AY686" i="76"/>
  <c r="AW903" i="76"/>
  <c r="AZ225" i="76"/>
  <c r="AU1058" i="76"/>
  <c r="AY948" i="76"/>
  <c r="N129" i="76"/>
  <c r="AU986" i="76"/>
  <c r="O385" i="76"/>
  <c r="Q801" i="76"/>
  <c r="P469" i="76"/>
  <c r="AX533" i="76"/>
  <c r="AY146" i="76"/>
  <c r="AW857" i="76"/>
  <c r="AX199" i="76"/>
  <c r="R720" i="76"/>
  <c r="AY348" i="76"/>
  <c r="P207" i="76"/>
  <c r="AX271" i="76"/>
  <c r="AW595" i="76"/>
  <c r="AZ546" i="76"/>
  <c r="AW826" i="76"/>
  <c r="AW769" i="76"/>
  <c r="O122" i="76"/>
  <c r="Q969" i="76"/>
  <c r="AX302" i="76"/>
  <c r="AY985" i="76"/>
  <c r="AX345" i="76"/>
  <c r="N472" i="76"/>
  <c r="R302" i="76"/>
  <c r="AX237" i="76"/>
  <c r="P800" i="76"/>
  <c r="AV598" i="76"/>
  <c r="AY475" i="76"/>
  <c r="AZ473" i="76"/>
  <c r="AX465" i="76"/>
  <c r="AW978" i="76"/>
  <c r="O910" i="76"/>
  <c r="AV90" i="76"/>
  <c r="AZ142" i="76"/>
  <c r="AV338" i="76"/>
  <c r="R819" i="76"/>
  <c r="Q510" i="76"/>
  <c r="AZ760" i="76"/>
  <c r="S172" i="76"/>
  <c r="AV853" i="76"/>
  <c r="N235" i="76"/>
  <c r="AV831" i="76"/>
  <c r="R549" i="76"/>
  <c r="AY580" i="76"/>
  <c r="AY747" i="76"/>
  <c r="S70" i="76"/>
  <c r="AV701" i="76"/>
  <c r="S462" i="76"/>
  <c r="AV822" i="76"/>
  <c r="R1037" i="76"/>
  <c r="AX984" i="76"/>
  <c r="AU584" i="76"/>
  <c r="P951" i="76"/>
  <c r="O90" i="76"/>
  <c r="AX76" i="76"/>
  <c r="AZ262" i="76"/>
  <c r="AX171" i="76"/>
  <c r="AU1028" i="76"/>
  <c r="AV251" i="76"/>
  <c r="AY199" i="76"/>
  <c r="AZ945" i="76"/>
  <c r="AV306" i="76"/>
  <c r="AU863" i="76"/>
  <c r="AW1048" i="76"/>
  <c r="R230" i="76"/>
  <c r="S367" i="76"/>
  <c r="S382" i="76"/>
  <c r="R832" i="76"/>
  <c r="N554" i="76"/>
  <c r="AZ576" i="76"/>
  <c r="AV855" i="76"/>
  <c r="AX900" i="76"/>
  <c r="AZ285" i="76"/>
  <c r="Q105" i="76"/>
  <c r="AZ391" i="76"/>
  <c r="Q317" i="76"/>
  <c r="O751" i="76"/>
  <c r="O596" i="76"/>
  <c r="P960" i="76"/>
  <c r="AZ204" i="76"/>
  <c r="AV479" i="76"/>
  <c r="AZ151" i="76"/>
  <c r="AU1019" i="76"/>
  <c r="AU311" i="76"/>
  <c r="AX874" i="76"/>
  <c r="AZ682" i="76"/>
  <c r="AV164" i="76"/>
  <c r="AY528" i="76"/>
  <c r="AW455" i="76"/>
  <c r="AW991" i="76"/>
  <c r="AW959" i="76"/>
  <c r="O511" i="76"/>
  <c r="AU308" i="76"/>
  <c r="AW306" i="76"/>
  <c r="AV775" i="76"/>
  <c r="O841" i="76"/>
  <c r="AU510" i="76"/>
  <c r="AW383" i="76"/>
  <c r="O429" i="76"/>
  <c r="P235" i="76"/>
  <c r="O220" i="76"/>
  <c r="P731" i="76"/>
  <c r="AY252" i="76"/>
  <c r="N412" i="76"/>
  <c r="AW392" i="76"/>
  <c r="Q883" i="76"/>
  <c r="AW1031" i="76"/>
  <c r="AW90" i="76"/>
  <c r="P446" i="76"/>
  <c r="AW586" i="76"/>
  <c r="O986" i="76"/>
  <c r="AY600" i="76"/>
  <c r="AX211" i="76"/>
  <c r="O155" i="76"/>
  <c r="AV539" i="76"/>
  <c r="AX563" i="76"/>
  <c r="S523" i="76"/>
  <c r="AU961" i="76"/>
  <c r="AW483" i="76"/>
  <c r="AX552" i="76"/>
  <c r="N256" i="76"/>
  <c r="AZ525" i="76"/>
  <c r="AX1023" i="76"/>
  <c r="P128" i="76"/>
  <c r="AZ979" i="76"/>
  <c r="N442" i="76"/>
  <c r="O902" i="76"/>
  <c r="O736" i="76"/>
  <c r="AV726" i="76"/>
  <c r="AZ106" i="76"/>
  <c r="AW370" i="76"/>
  <c r="O956" i="76"/>
  <c r="AZ1055" i="76"/>
  <c r="AY583" i="76"/>
  <c r="O313" i="76"/>
  <c r="AU167" i="76"/>
  <c r="P414" i="76"/>
  <c r="AY160" i="76"/>
  <c r="S887" i="76"/>
  <c r="O724" i="76"/>
  <c r="AZ923" i="76"/>
  <c r="P819" i="76"/>
  <c r="AV781" i="76"/>
  <c r="R539" i="76"/>
  <c r="AZ256" i="76"/>
  <c r="S636" i="76"/>
  <c r="AV950" i="76"/>
  <c r="AZ201" i="76"/>
  <c r="R238" i="76"/>
  <c r="AX514" i="76"/>
  <c r="Q793" i="76"/>
  <c r="AZ520" i="76"/>
  <c r="AV859" i="76"/>
  <c r="AU866" i="76"/>
  <c r="AV581" i="76"/>
  <c r="Q1048" i="76"/>
  <c r="R226" i="76"/>
  <c r="AX375" i="76"/>
  <c r="AW812" i="76"/>
  <c r="AX988" i="76"/>
  <c r="AX937" i="76"/>
  <c r="AX1000" i="76"/>
  <c r="AY597" i="76"/>
  <c r="AX326" i="76"/>
  <c r="AV460" i="76"/>
  <c r="AX270" i="76"/>
  <c r="R649" i="76"/>
  <c r="AX379" i="76"/>
  <c r="AZ150" i="76"/>
  <c r="P124" i="76"/>
  <c r="AX196" i="76"/>
  <c r="AX907" i="76"/>
  <c r="S245" i="76"/>
  <c r="O685" i="76"/>
  <c r="R590" i="76"/>
  <c r="AX500" i="76"/>
  <c r="AY823" i="76"/>
  <c r="N909" i="76"/>
  <c r="Q394" i="76"/>
  <c r="Q169" i="76"/>
  <c r="S116" i="76"/>
  <c r="AY995" i="76"/>
  <c r="Q288" i="76"/>
  <c r="AU649" i="76"/>
  <c r="S990" i="76"/>
  <c r="AY904" i="76"/>
  <c r="AV243" i="76"/>
  <c r="AW751" i="76"/>
  <c r="AY565" i="76"/>
  <c r="AX398" i="76"/>
  <c r="AY370" i="76"/>
  <c r="S916" i="76"/>
  <c r="N103" i="76"/>
  <c r="P256" i="76"/>
  <c r="R301" i="76"/>
  <c r="AX123" i="76"/>
  <c r="AZ109" i="76"/>
  <c r="AV124" i="76"/>
  <c r="S524" i="76"/>
  <c r="Q481" i="76"/>
  <c r="R402" i="76"/>
  <c r="Q953" i="76"/>
  <c r="AZ492" i="76"/>
  <c r="R200" i="76"/>
  <c r="AZ323" i="76"/>
  <c r="AU613" i="76"/>
  <c r="AZ280" i="76"/>
  <c r="AV902" i="76"/>
  <c r="N781" i="76"/>
  <c r="Q171" i="76"/>
  <c r="AX986" i="76"/>
  <c r="AZ824" i="76"/>
  <c r="Q78" i="76"/>
  <c r="AY667" i="76"/>
  <c r="AZ985" i="76"/>
  <c r="AX149" i="76"/>
  <c r="AU995" i="76"/>
  <c r="AW564" i="76"/>
  <c r="Q115" i="76"/>
  <c r="N749" i="76"/>
  <c r="Q234" i="76"/>
  <c r="AV430" i="76"/>
  <c r="S97" i="76"/>
  <c r="AU73" i="76"/>
  <c r="AX953" i="76"/>
  <c r="AY1000" i="76"/>
  <c r="AX434" i="76"/>
  <c r="P1043" i="76"/>
  <c r="AY444" i="76"/>
  <c r="AX445" i="76"/>
  <c r="R886" i="76"/>
  <c r="AY128" i="76"/>
  <c r="S742" i="76"/>
  <c r="AW717" i="76"/>
  <c r="Q880" i="76"/>
  <c r="N146" i="76"/>
  <c r="R924" i="76"/>
  <c r="AY506" i="76"/>
  <c r="AY828" i="76"/>
  <c r="AY812" i="76"/>
  <c r="AZ839" i="76"/>
  <c r="O946" i="76"/>
  <c r="O557" i="76"/>
  <c r="AZ1020" i="76"/>
  <c r="AY560" i="76"/>
  <c r="AX547" i="76"/>
  <c r="AZ815" i="76"/>
  <c r="S897" i="76"/>
  <c r="AZ915" i="76"/>
  <c r="N430" i="76"/>
  <c r="R732" i="76"/>
  <c r="AZ412" i="76"/>
  <c r="O867" i="76"/>
  <c r="AX947" i="76"/>
  <c r="AY422" i="76"/>
  <c r="AZ846" i="76"/>
  <c r="AZ288" i="76"/>
  <c r="AX950" i="76"/>
  <c r="AX711" i="76"/>
  <c r="AW394" i="76"/>
  <c r="AU415" i="76"/>
  <c r="AW730" i="76"/>
  <c r="AW906" i="76"/>
  <c r="S84" i="76"/>
  <c r="AZ403" i="76"/>
  <c r="AX614" i="76"/>
  <c r="AX480" i="76"/>
  <c r="AZ830" i="76"/>
  <c r="Q1057" i="76"/>
  <c r="AW495" i="76"/>
  <c r="N186" i="76"/>
  <c r="AX581" i="76"/>
  <c r="R931" i="76"/>
  <c r="AY190" i="76"/>
  <c r="AY707" i="76"/>
  <c r="R1041" i="76"/>
  <c r="AX946" i="76"/>
  <c r="S953" i="76"/>
  <c r="AW289" i="76"/>
  <c r="R905" i="76"/>
  <c r="R486" i="76"/>
  <c r="R346" i="76"/>
  <c r="AU87" i="76"/>
  <c r="S458" i="76"/>
  <c r="AU722" i="76"/>
  <c r="Q910" i="76"/>
  <c r="Q817" i="76"/>
  <c r="Q656" i="76"/>
  <c r="Q432" i="76"/>
  <c r="Q176" i="76"/>
  <c r="P944" i="76"/>
  <c r="O734" i="76"/>
  <c r="Q591" i="76"/>
  <c r="N202" i="76"/>
  <c r="S283" i="76"/>
  <c r="P838" i="76"/>
  <c r="S844" i="76"/>
  <c r="S610" i="76"/>
  <c r="S304" i="76"/>
  <c r="S635" i="76"/>
  <c r="O827" i="76"/>
  <c r="Q923" i="76"/>
  <c r="N837" i="76"/>
  <c r="Q669" i="76"/>
  <c r="P463" i="76"/>
  <c r="N187" i="76"/>
  <c r="O958" i="76"/>
  <c r="S759" i="76"/>
  <c r="Q604" i="76"/>
  <c r="P213" i="76"/>
  <c r="O301" i="76"/>
  <c r="R849" i="76"/>
  <c r="O904" i="76"/>
  <c r="N645" i="76"/>
  <c r="Q312" i="76"/>
  <c r="P69" i="76"/>
  <c r="Q838" i="76"/>
  <c r="N938" i="76"/>
  <c r="P881" i="76"/>
  <c r="O696" i="76"/>
  <c r="Q489" i="76"/>
  <c r="R201" i="76"/>
  <c r="S984" i="76"/>
  <c r="O790" i="76"/>
  <c r="N619" i="76"/>
  <c r="R224" i="76"/>
  <c r="O347" i="76"/>
  <c r="Q857" i="76"/>
  <c r="P561" i="76"/>
  <c r="O706" i="76"/>
  <c r="P324" i="76"/>
  <c r="R80" i="76"/>
  <c r="S849" i="76"/>
  <c r="S855" i="76"/>
  <c r="Q744" i="76"/>
  <c r="P572" i="76"/>
  <c r="N340" i="76"/>
  <c r="S123" i="76"/>
  <c r="N883" i="76"/>
  <c r="Q666" i="76"/>
  <c r="Q526" i="76"/>
  <c r="O549" i="76"/>
  <c r="R194" i="76"/>
  <c r="R785" i="76"/>
  <c r="P718" i="76"/>
  <c r="O500" i="76"/>
  <c r="O250" i="76"/>
  <c r="Q1019" i="76"/>
  <c r="O891" i="76"/>
  <c r="Q815" i="76"/>
  <c r="S365" i="76"/>
  <c r="P981" i="76"/>
  <c r="R599" i="76"/>
  <c r="R452" i="76"/>
  <c r="S764" i="76"/>
  <c r="O428" i="76"/>
  <c r="N907" i="76"/>
  <c r="N746" i="76"/>
  <c r="R337" i="76"/>
  <c r="O333" i="76"/>
  <c r="R1016" i="76"/>
  <c r="S654" i="76"/>
  <c r="R646" i="76"/>
  <c r="S294" i="76"/>
  <c r="AX864" i="76"/>
  <c r="AV610" i="76"/>
  <c r="AV122" i="76"/>
  <c r="AV849" i="76"/>
  <c r="AY459" i="76"/>
  <c r="AZ514" i="76"/>
  <c r="Q738" i="76"/>
  <c r="N206" i="76"/>
  <c r="R761" i="76"/>
  <c r="O468" i="76"/>
  <c r="Q1003" i="76"/>
  <c r="R653" i="76"/>
  <c r="P262" i="76"/>
  <c r="O796" i="76"/>
  <c r="O723" i="76"/>
  <c r="S1029" i="76"/>
  <c r="P796" i="76"/>
  <c r="O564" i="76"/>
  <c r="O286" i="76"/>
  <c r="O1048" i="76"/>
  <c r="O714" i="76"/>
  <c r="P307" i="76"/>
  <c r="R121" i="76"/>
  <c r="AY1063" i="76"/>
  <c r="AZ792" i="76"/>
  <c r="AX304" i="76"/>
  <c r="AY484" i="76"/>
  <c r="AU761" i="76"/>
  <c r="AW366" i="76"/>
  <c r="N976" i="76"/>
  <c r="S410" i="76"/>
  <c r="S85" i="76"/>
  <c r="AZ887" i="76"/>
  <c r="AV296" i="76"/>
  <c r="AW690" i="76"/>
  <c r="AY213" i="76"/>
  <c r="AY715" i="76"/>
  <c r="AX198" i="76"/>
  <c r="P790" i="76"/>
  <c r="Q507" i="76"/>
  <c r="N771" i="76"/>
  <c r="S482" i="76"/>
  <c r="S1014" i="76"/>
  <c r="N663" i="76"/>
  <c r="R273" i="76"/>
  <c r="Q807" i="76"/>
  <c r="S807" i="76"/>
  <c r="O1047" i="76"/>
  <c r="Q822" i="76"/>
  <c r="S591" i="76"/>
  <c r="Q297" i="76"/>
  <c r="R825" i="76"/>
  <c r="S506" i="76"/>
  <c r="S685" i="76"/>
  <c r="N895" i="76"/>
  <c r="Q356" i="76"/>
  <c r="N873" i="76"/>
  <c r="O400" i="76"/>
  <c r="O973" i="76"/>
  <c r="R441" i="76"/>
  <c r="S182" i="76"/>
  <c r="AX917" i="76"/>
  <c r="AY172" i="76"/>
  <c r="AW126" i="76"/>
  <c r="AU77" i="76"/>
  <c r="O953" i="76"/>
  <c r="P816" i="76"/>
  <c r="Q248" i="76"/>
  <c r="AW849" i="76"/>
  <c r="AV718" i="76"/>
  <c r="AV1026" i="76"/>
  <c r="AZ296" i="76"/>
  <c r="AX456" i="76"/>
  <c r="S1009" i="76"/>
  <c r="N359" i="76"/>
  <c r="O162" i="76"/>
  <c r="AV904" i="76"/>
  <c r="AW533" i="76"/>
  <c r="AU1037" i="76"/>
  <c r="AU448" i="76"/>
  <c r="AY447" i="76"/>
  <c r="R940" i="76"/>
  <c r="R131" i="76"/>
  <c r="O547" i="76"/>
  <c r="N913" i="76"/>
  <c r="Q206" i="76"/>
  <c r="Q702" i="76"/>
  <c r="O321" i="76"/>
  <c r="N951" i="76"/>
  <c r="S673" i="76"/>
  <c r="O80" i="76"/>
  <c r="AY916" i="76"/>
  <c r="AV877" i="76"/>
  <c r="AX716" i="76"/>
  <c r="AW643" i="76"/>
  <c r="O1062" i="76"/>
  <c r="P431" i="76"/>
  <c r="O168" i="76"/>
  <c r="R351" i="76"/>
  <c r="AV558" i="76"/>
  <c r="AV767" i="76"/>
  <c r="AZ702" i="76"/>
  <c r="AX834" i="76"/>
  <c r="S936" i="76"/>
  <c r="O545" i="76"/>
  <c r="P319" i="76"/>
  <c r="AU984" i="76"/>
  <c r="AY394" i="76"/>
  <c r="AU787" i="76"/>
  <c r="AW309" i="76"/>
  <c r="AU164" i="76"/>
  <c r="Q804" i="76"/>
  <c r="N236" i="76"/>
  <c r="S441" i="76"/>
  <c r="R751" i="76"/>
  <c r="Q104" i="76"/>
  <c r="S593" i="76"/>
  <c r="R440" i="76"/>
  <c r="R896" i="76"/>
  <c r="Q387" i="76"/>
  <c r="P131" i="76"/>
  <c r="AW733" i="76"/>
  <c r="AW678" i="76"/>
  <c r="AW335" i="76"/>
  <c r="AU189" i="76"/>
  <c r="P766" i="76"/>
  <c r="R502" i="76"/>
  <c r="R536" i="76"/>
  <c r="P588" i="76"/>
  <c r="S550" i="76"/>
  <c r="O670" i="76"/>
  <c r="N158" i="76"/>
  <c r="Q460" i="76"/>
  <c r="AW945" i="76"/>
  <c r="AZ745" i="76"/>
  <c r="AZ69" i="76"/>
  <c r="P538" i="76"/>
  <c r="R181" i="76"/>
  <c r="AZ350" i="76"/>
  <c r="AU993" i="76"/>
  <c r="AW692" i="76"/>
  <c r="AU620" i="76"/>
  <c r="P338" i="76"/>
  <c r="S174" i="76"/>
  <c r="AX1012" i="76"/>
  <c r="AY987" i="76"/>
  <c r="AV805" i="76"/>
  <c r="AZ607" i="76"/>
  <c r="AX632" i="76"/>
  <c r="S868" i="76"/>
  <c r="O306" i="76"/>
  <c r="O72" i="76"/>
  <c r="N338" i="76"/>
  <c r="AZ984" i="76"/>
  <c r="AZ418" i="76"/>
  <c r="AX708" i="76"/>
  <c r="AZ174" i="76"/>
  <c r="AU812" i="76"/>
  <c r="S817" i="76"/>
  <c r="N546" i="76"/>
  <c r="Q601" i="76"/>
  <c r="P840" i="76"/>
  <c r="Q723" i="76"/>
  <c r="R180" i="76"/>
  <c r="P518" i="76"/>
  <c r="AW953" i="76"/>
  <c r="AV787" i="76"/>
  <c r="AV660" i="76"/>
  <c r="O594" i="76"/>
  <c r="Q225" i="76"/>
  <c r="AX371" i="76"/>
  <c r="AU859" i="76"/>
  <c r="AU733" i="76"/>
  <c r="AW111" i="76"/>
  <c r="R381" i="76"/>
  <c r="R205" i="76"/>
  <c r="AW1033" i="76"/>
  <c r="AW886" i="76"/>
  <c r="AW828" i="76"/>
  <c r="AZ783" i="76"/>
  <c r="AW808" i="76"/>
  <c r="R564" i="76"/>
  <c r="O327" i="76"/>
  <c r="Q95" i="76"/>
  <c r="AU854" i="76"/>
  <c r="AX1025" i="76"/>
  <c r="AU428" i="76"/>
  <c r="AZ731" i="76"/>
  <c r="AV192" i="76"/>
  <c r="AW863" i="76"/>
  <c r="Q545" i="76"/>
  <c r="R737" i="76"/>
  <c r="N494" i="76"/>
  <c r="P546" i="76"/>
  <c r="Q646" i="76"/>
  <c r="S329" i="76"/>
  <c r="S440" i="76"/>
  <c r="AZ940" i="76"/>
  <c r="AV886" i="76"/>
  <c r="AW363" i="76"/>
  <c r="N591" i="76"/>
  <c r="R290" i="76"/>
  <c r="AU435" i="76"/>
  <c r="AX113" i="76"/>
  <c r="AY913" i="76"/>
  <c r="AZ202" i="76"/>
  <c r="O536" i="76"/>
  <c r="R606" i="76"/>
  <c r="AZ968" i="76"/>
  <c r="AU110" i="76"/>
  <c r="AV1029" i="76"/>
  <c r="AY767" i="76"/>
  <c r="AY607" i="76"/>
  <c r="P649" i="76"/>
  <c r="Q495" i="76"/>
  <c r="N191" i="76"/>
  <c r="AV897" i="76"/>
  <c r="AV77" i="76"/>
  <c r="AV471" i="76"/>
  <c r="AU813" i="76"/>
  <c r="AW279" i="76"/>
  <c r="AZ474" i="76"/>
  <c r="P481" i="76"/>
  <c r="R513" i="76"/>
  <c r="Q693" i="76"/>
  <c r="R465" i="76"/>
  <c r="R265" i="76"/>
  <c r="AU214" i="76"/>
  <c r="AZ591" i="76"/>
  <c r="R78" i="76"/>
  <c r="AZ441" i="76"/>
  <c r="AU797" i="76"/>
  <c r="P745" i="76"/>
  <c r="S90" i="76"/>
  <c r="AX442" i="76"/>
  <c r="AZ936" i="76"/>
  <c r="AV291" i="76"/>
  <c r="R325" i="76"/>
  <c r="P251" i="76"/>
  <c r="AX323" i="76"/>
  <c r="AV783" i="76"/>
  <c r="AZ238" i="76"/>
  <c r="P834" i="76"/>
  <c r="R149" i="76"/>
  <c r="AV582" i="76"/>
  <c r="AW791" i="76"/>
  <c r="AY75" i="76"/>
  <c r="N194" i="76"/>
  <c r="AW928" i="76"/>
  <c r="AW502" i="76"/>
  <c r="AZ341" i="76"/>
  <c r="O878" i="76"/>
  <c r="O146" i="76"/>
  <c r="AW517" i="76"/>
  <c r="AV432" i="76"/>
  <c r="AW739" i="76"/>
  <c r="N734" i="76"/>
  <c r="AU1027" i="76"/>
  <c r="AW423" i="76"/>
  <c r="Q552" i="76"/>
  <c r="O725" i="76"/>
  <c r="N640" i="76"/>
  <c r="P359" i="76"/>
  <c r="AY236" i="76"/>
  <c r="AZ353" i="76"/>
  <c r="R142" i="76"/>
  <c r="AU483" i="76"/>
  <c r="AX819" i="76"/>
  <c r="N904" i="76"/>
  <c r="O172" i="76"/>
  <c r="AU463" i="76"/>
  <c r="AV211" i="76"/>
  <c r="AY440" i="76"/>
  <c r="P346" i="76"/>
  <c r="O381" i="76"/>
  <c r="AV344" i="76"/>
  <c r="AU815" i="76"/>
  <c r="AU256" i="76"/>
  <c r="O876" i="76"/>
  <c r="O248" i="76"/>
  <c r="AZ604" i="76"/>
  <c r="AZ837" i="76"/>
  <c r="AV429" i="76"/>
  <c r="P237" i="76"/>
  <c r="AZ950" i="76"/>
  <c r="AU523" i="76"/>
  <c r="AW382" i="76"/>
  <c r="Q947" i="76"/>
  <c r="S168" i="76"/>
  <c r="S801" i="76"/>
  <c r="P950" i="76"/>
  <c r="N539" i="76"/>
  <c r="N355" i="76"/>
  <c r="AW964" i="76"/>
  <c r="AZ487" i="76"/>
  <c r="O437" i="76"/>
  <c r="AY959" i="76"/>
  <c r="AX337" i="76"/>
  <c r="S829" i="76"/>
  <c r="R102" i="76"/>
  <c r="AY909" i="76"/>
  <c r="AU296" i="76"/>
  <c r="AV668" i="76"/>
  <c r="N880" i="76"/>
  <c r="N252" i="76"/>
  <c r="AU654" i="76"/>
  <c r="AX225" i="76"/>
  <c r="AX1009" i="76"/>
  <c r="AZ316" i="76"/>
  <c r="N284" i="76"/>
  <c r="AZ107" i="76"/>
  <c r="AY924" i="76"/>
  <c r="AV132" i="76"/>
  <c r="O411" i="76"/>
  <c r="N497" i="76"/>
  <c r="AX960" i="76"/>
  <c r="AY408" i="76"/>
  <c r="R1042" i="76"/>
  <c r="P268" i="76"/>
  <c r="S200" i="76"/>
  <c r="AW838" i="76"/>
  <c r="O662" i="76"/>
  <c r="O929" i="76"/>
  <c r="R894" i="76"/>
  <c r="N419" i="76"/>
  <c r="AX92" i="76"/>
  <c r="AU97" i="76"/>
  <c r="P125" i="76"/>
  <c r="AZ115" i="76"/>
  <c r="AX400" i="76"/>
  <c r="N1015" i="76"/>
  <c r="S255" i="76"/>
  <c r="AZ1059" i="76"/>
  <c r="AY405" i="76"/>
  <c r="AX755" i="76"/>
  <c r="Q576" i="76"/>
  <c r="Q505" i="76"/>
  <c r="AU686" i="76"/>
  <c r="AY268" i="76"/>
  <c r="AW195" i="76"/>
  <c r="AV1050" i="76"/>
  <c r="O653" i="76"/>
  <c r="AV149" i="76"/>
  <c r="AX1049" i="76"/>
  <c r="AZ655" i="76"/>
  <c r="R519" i="76"/>
  <c r="AU928" i="76"/>
  <c r="AU70" i="76"/>
  <c r="AX495" i="76"/>
  <c r="R1017" i="76"/>
  <c r="N687" i="76"/>
  <c r="AW977" i="76"/>
  <c r="R694" i="76"/>
  <c r="O656" i="76"/>
  <c r="AW434" i="76"/>
  <c r="R211" i="76"/>
  <c r="AU957" i="76"/>
  <c r="Q806" i="76"/>
  <c r="AZ787" i="76"/>
  <c r="N722" i="76"/>
  <c r="AX836" i="76"/>
  <c r="AX519" i="76"/>
  <c r="Q174" i="76"/>
  <c r="AX257" i="76"/>
  <c r="Q486" i="76"/>
  <c r="AZ263" i="76"/>
  <c r="S1031" i="76"/>
  <c r="AU974" i="76"/>
  <c r="AU241" i="76"/>
  <c r="R1062" i="76"/>
  <c r="P303" i="76"/>
  <c r="AZ247" i="76"/>
  <c r="AX556" i="76"/>
  <c r="AV508" i="76"/>
  <c r="AV856" i="76"/>
  <c r="AZ869" i="76"/>
  <c r="AX546" i="76"/>
  <c r="O108" i="76"/>
  <c r="AZ1024" i="76"/>
  <c r="AV916" i="76"/>
  <c r="P231" i="76"/>
  <c r="R542" i="76"/>
  <c r="AZ367" i="76"/>
  <c r="N613" i="76"/>
  <c r="P1060" i="76"/>
  <c r="N711" i="76"/>
  <c r="AZ888" i="76"/>
  <c r="AX691" i="76"/>
  <c r="AY970" i="76"/>
  <c r="AV938" i="76"/>
  <c r="O206" i="76"/>
  <c r="AX690" i="76"/>
  <c r="R527" i="76"/>
  <c r="AW925" i="76"/>
  <c r="AY618" i="76"/>
  <c r="AU372" i="76"/>
  <c r="AX482" i="76"/>
  <c r="AW884" i="76"/>
  <c r="R343" i="76"/>
  <c r="P839" i="76"/>
  <c r="AW456" i="76"/>
  <c r="N107" i="76"/>
  <c r="AW687" i="76"/>
  <c r="O110" i="76"/>
  <c r="O392" i="76"/>
  <c r="AU579" i="76"/>
  <c r="AU485" i="76"/>
  <c r="AZ401" i="76"/>
  <c r="AY603" i="76"/>
  <c r="AV618" i="76"/>
  <c r="AW957" i="76"/>
  <c r="N112" i="76"/>
  <c r="R261" i="76"/>
  <c r="AY343" i="76"/>
  <c r="AU378" i="76"/>
  <c r="AY129" i="76"/>
  <c r="S872" i="76"/>
  <c r="S561" i="76"/>
  <c r="AZ456" i="76"/>
  <c r="R505" i="76"/>
  <c r="Q420" i="76"/>
  <c r="S88" i="76"/>
  <c r="AZ863" i="76"/>
  <c r="P793" i="76"/>
  <c r="AZ859" i="76"/>
  <c r="AZ542" i="76"/>
  <c r="P218" i="76"/>
  <c r="AV278" i="76"/>
  <c r="S529" i="76"/>
  <c r="AW284" i="76"/>
  <c r="R963" i="76"/>
  <c r="AY1020" i="76"/>
  <c r="AW287" i="76"/>
  <c r="O941" i="76"/>
  <c r="N370" i="76"/>
  <c r="AW268" i="76"/>
  <c r="AV597" i="76"/>
  <c r="AX595" i="76"/>
  <c r="AW899" i="76"/>
  <c r="AZ217" i="76"/>
  <c r="AX674" i="76"/>
  <c r="Q388" i="76"/>
  <c r="AV264" i="76"/>
  <c r="AY1002" i="76"/>
  <c r="AW962" i="76"/>
  <c r="Q289" i="76"/>
  <c r="AZ410" i="76"/>
  <c r="Q611" i="76"/>
  <c r="R16" i="76"/>
  <c r="N566" i="76"/>
  <c r="AW1028" i="76"/>
  <c r="AV870" i="76"/>
  <c r="AU1012" i="76"/>
  <c r="AU220" i="76"/>
  <c r="P408" i="76"/>
  <c r="AZ733" i="76"/>
  <c r="N939" i="76"/>
  <c r="Q938" i="76"/>
  <c r="O753" i="76"/>
  <c r="AV540" i="76"/>
  <c r="AY749" i="76"/>
  <c r="AX625" i="76"/>
  <c r="AZ835" i="76"/>
  <c r="R363" i="76"/>
  <c r="AW147" i="76"/>
  <c r="AU1049" i="76"/>
  <c r="AV342" i="76"/>
  <c r="AW104" i="76"/>
  <c r="AV1009" i="76"/>
  <c r="AZ856" i="76"/>
  <c r="R206" i="76"/>
  <c r="Q231" i="76"/>
  <c r="R652" i="76"/>
  <c r="AU280" i="76"/>
  <c r="AY223" i="76"/>
  <c r="AW570" i="76"/>
  <c r="Q108" i="76"/>
  <c r="P214" i="76"/>
  <c r="AY901" i="76"/>
  <c r="S419" i="76"/>
  <c r="O574" i="76"/>
  <c r="S206" i="76"/>
  <c r="P999" i="76"/>
  <c r="AY669" i="76"/>
  <c r="O739" i="76"/>
  <c r="AY745" i="76"/>
  <c r="O1058" i="76"/>
  <c r="R457" i="76"/>
  <c r="AY356" i="76"/>
  <c r="R748" i="76"/>
  <c r="AZ1048" i="76"/>
  <c r="R941" i="76"/>
  <c r="AY912" i="76"/>
  <c r="AU572" i="76"/>
  <c r="P332" i="76"/>
  <c r="AZ753" i="76"/>
  <c r="AX728" i="76"/>
  <c r="P301" i="76"/>
  <c r="AW949" i="76"/>
  <c r="AV675" i="76"/>
  <c r="AW212" i="76"/>
  <c r="Q429" i="76"/>
  <c r="AW875" i="76"/>
  <c r="O202" i="76"/>
  <c r="P535" i="76"/>
  <c r="AV365" i="76"/>
  <c r="O491" i="76"/>
  <c r="O1032" i="76"/>
  <c r="S760" i="76"/>
  <c r="AZ187" i="76"/>
  <c r="AX346" i="76"/>
  <c r="AW375" i="76"/>
  <c r="AW507" i="76"/>
  <c r="AX1027" i="76"/>
  <c r="AU533" i="76"/>
  <c r="N231" i="76"/>
  <c r="AZ509" i="76"/>
  <c r="Q678" i="76"/>
  <c r="AV502" i="76"/>
  <c r="AX568" i="76"/>
  <c r="Q871" i="76"/>
  <c r="AW912" i="76"/>
  <c r="O455" i="76"/>
  <c r="AV393" i="76"/>
  <c r="R355" i="76"/>
  <c r="AZ609" i="76"/>
  <c r="N925" i="76"/>
  <c r="O164" i="76"/>
  <c r="AY734" i="76"/>
  <c r="S250" i="76"/>
  <c r="AX858" i="76"/>
  <c r="R677" i="76"/>
  <c r="AX866" i="76"/>
  <c r="AV636" i="76"/>
  <c r="AW979" i="76"/>
  <c r="AY113" i="76"/>
  <c r="AX138" i="76"/>
  <c r="N81" i="76"/>
  <c r="AW589" i="76"/>
  <c r="AU163" i="76"/>
  <c r="AZ219" i="76"/>
  <c r="AX217" i="76"/>
  <c r="AW266" i="76"/>
  <c r="AU425" i="76"/>
  <c r="AV395" i="76"/>
  <c r="P912" i="76"/>
  <c r="R859" i="76"/>
  <c r="R571" i="76"/>
  <c r="AU575" i="76"/>
  <c r="AV465" i="76"/>
  <c r="Q133" i="76"/>
  <c r="AY351" i="76"/>
  <c r="AV1042" i="76"/>
  <c r="Q404" i="76"/>
  <c r="O464" i="76"/>
  <c r="N99" i="76"/>
  <c r="AZ590" i="76"/>
  <c r="AU705" i="76"/>
  <c r="N816" i="76"/>
  <c r="O377" i="76"/>
  <c r="AW911" i="76"/>
  <c r="S395" i="76"/>
  <c r="AV420" i="76"/>
  <c r="AW968" i="76"/>
  <c r="AV545" i="76"/>
  <c r="Q851" i="76"/>
  <c r="AX418" i="76"/>
  <c r="AY389" i="76"/>
  <c r="AW508" i="76"/>
  <c r="AZ557" i="76"/>
  <c r="AZ500" i="76"/>
  <c r="Q852" i="76"/>
  <c r="N209" i="76"/>
  <c r="P559" i="76"/>
  <c r="P74" i="76"/>
  <c r="AX118" i="76"/>
  <c r="AY592" i="76"/>
  <c r="AV292" i="76"/>
  <c r="AW558" i="76"/>
  <c r="AV301" i="76"/>
  <c r="AU781" i="76"/>
  <c r="AZ369" i="76"/>
  <c r="N313" i="76"/>
  <c r="AV580" i="76"/>
  <c r="AY157" i="76"/>
  <c r="AX943" i="76"/>
  <c r="AW590" i="76"/>
  <c r="AU791" i="76"/>
  <c r="P589" i="76"/>
  <c r="AX467" i="76"/>
  <c r="AV551" i="76"/>
  <c r="AV804" i="76"/>
  <c r="Q1054" i="76"/>
  <c r="Q574" i="76"/>
  <c r="P285" i="76"/>
  <c r="N502" i="76"/>
  <c r="N223" i="76"/>
  <c r="S682" i="76"/>
  <c r="AV648" i="76"/>
  <c r="AV332" i="76"/>
  <c r="AW620" i="76"/>
  <c r="N810" i="76"/>
  <c r="P527" i="76"/>
  <c r="AY144" i="76"/>
  <c r="AX240" i="76"/>
  <c r="Q153" i="76"/>
  <c r="AU431" i="76"/>
  <c r="AU526" i="76"/>
  <c r="AW87" i="76"/>
  <c r="R701" i="76"/>
  <c r="AW695" i="76"/>
  <c r="AY805" i="76"/>
  <c r="AV152" i="76"/>
  <c r="AY78" i="76"/>
  <c r="AX309" i="76"/>
  <c r="AV665" i="76"/>
  <c r="AX347" i="76"/>
  <c r="AU967" i="76"/>
  <c r="Q425" i="76"/>
  <c r="AZ197" i="76"/>
  <c r="N86" i="76"/>
  <c r="AX846" i="76"/>
  <c r="AU703" i="76"/>
  <c r="AV440" i="76"/>
  <c r="AY771" i="76"/>
  <c r="AV1025" i="76"/>
  <c r="AX87" i="76"/>
  <c r="S1010" i="76"/>
  <c r="AY1067" i="76"/>
  <c r="AW921" i="76"/>
  <c r="AX164" i="76"/>
  <c r="AW932" i="76"/>
  <c r="Q866" i="76"/>
  <c r="AV517" i="76"/>
  <c r="AY427" i="76"/>
  <c r="AZ458" i="76"/>
  <c r="S793" i="76"/>
  <c r="AU697" i="76"/>
  <c r="R106" i="76"/>
  <c r="AX662" i="76"/>
  <c r="Q834" i="76"/>
  <c r="AV524" i="76"/>
  <c r="AY305" i="76"/>
  <c r="P1021" i="76"/>
  <c r="AU1031" i="76"/>
  <c r="O679" i="76"/>
  <c r="AU417" i="76"/>
  <c r="N772" i="76"/>
  <c r="N168" i="76"/>
  <c r="S204" i="76"/>
  <c r="AU215" i="76"/>
  <c r="N255" i="76"/>
  <c r="AW1017" i="76"/>
  <c r="N167" i="76"/>
  <c r="Q403" i="76"/>
  <c r="R955" i="76"/>
  <c r="AY189" i="76"/>
  <c r="AU685" i="76"/>
  <c r="N264" i="76"/>
  <c r="AW948" i="76"/>
  <c r="AW316" i="76"/>
  <c r="AY817" i="76"/>
  <c r="N275" i="76"/>
  <c r="AX940" i="76"/>
  <c r="AY355" i="76"/>
  <c r="P1033" i="76"/>
  <c r="N801" i="76"/>
  <c r="P678" i="76"/>
  <c r="P447" i="76"/>
  <c r="S193" i="76"/>
  <c r="N1032" i="76"/>
  <c r="R818" i="76"/>
  <c r="N849" i="76"/>
  <c r="O470" i="76"/>
  <c r="N153" i="76"/>
  <c r="P1019" i="76"/>
  <c r="P748" i="76"/>
  <c r="S835" i="76"/>
  <c r="O637" i="76"/>
  <c r="R233" i="76"/>
  <c r="P941" i="76"/>
  <c r="R1044" i="76"/>
  <c r="R815" i="76"/>
  <c r="R704" i="76"/>
  <c r="N459" i="76"/>
  <c r="O203" i="76"/>
  <c r="P1055" i="76"/>
  <c r="N834" i="76"/>
  <c r="N462" i="76"/>
  <c r="S484" i="76"/>
  <c r="P164" i="76"/>
  <c r="N1060" i="76"/>
  <c r="R760" i="76"/>
  <c r="P1006" i="76"/>
  <c r="O771" i="76"/>
  <c r="R259" i="76"/>
  <c r="Q954" i="76"/>
  <c r="N1054" i="76"/>
  <c r="O833" i="76"/>
  <c r="N735" i="76"/>
  <c r="Q471" i="76"/>
  <c r="Q214" i="76"/>
  <c r="S907" i="76"/>
  <c r="N855" i="76"/>
  <c r="P473" i="76"/>
  <c r="P499" i="76"/>
  <c r="R175" i="76"/>
  <c r="P918" i="76"/>
  <c r="O775" i="76"/>
  <c r="S528" i="76"/>
  <c r="Q311" i="76"/>
  <c r="N277" i="76"/>
  <c r="S985" i="76"/>
  <c r="R980" i="76"/>
  <c r="N736" i="76"/>
  <c r="O598" i="76"/>
  <c r="R394" i="76"/>
  <c r="P445" i="76"/>
  <c r="Q1009" i="76"/>
  <c r="S750" i="76"/>
  <c r="O668" i="76"/>
  <c r="O416" i="76"/>
  <c r="P100" i="76"/>
  <c r="S914" i="76"/>
  <c r="P824" i="76"/>
  <c r="S663" i="76"/>
  <c r="S439" i="76"/>
  <c r="Q168" i="76"/>
  <c r="N937" i="76"/>
  <c r="R1010" i="76"/>
  <c r="N822" i="76"/>
  <c r="P252" i="76"/>
  <c r="P939" i="76"/>
  <c r="R256" i="76"/>
  <c r="O895" i="76"/>
  <c r="S453" i="76"/>
  <c r="R112" i="76"/>
  <c r="O899" i="76"/>
  <c r="S676" i="76"/>
  <c r="N250" i="76"/>
  <c r="P440" i="76"/>
  <c r="S695" i="76"/>
  <c r="N290" i="76"/>
  <c r="N72" i="76"/>
  <c r="AV976" i="76"/>
  <c r="AX156" i="76"/>
  <c r="AW550" i="76"/>
  <c r="AY73" i="76"/>
  <c r="AY436" i="76"/>
  <c r="AV785" i="76"/>
  <c r="Q965" i="76"/>
  <c r="N477" i="76"/>
  <c r="R1012" i="76"/>
  <c r="S646" i="76"/>
  <c r="N611" i="76"/>
  <c r="Q789" i="76"/>
  <c r="O448" i="76"/>
  <c r="Q955" i="76"/>
  <c r="R729" i="76"/>
  <c r="Q204" i="76"/>
  <c r="R928" i="76"/>
  <c r="P741" i="76"/>
  <c r="N549" i="76"/>
  <c r="P226" i="76"/>
  <c r="N857" i="76"/>
  <c r="O502" i="76"/>
  <c r="Q166" i="76"/>
  <c r="AV928" i="76"/>
  <c r="AZ338" i="76"/>
  <c r="AU731" i="76"/>
  <c r="AX253" i="76"/>
  <c r="AW796" i="76"/>
  <c r="AX365" i="76"/>
  <c r="Q870" i="76"/>
  <c r="S768" i="76"/>
  <c r="R104" i="76"/>
  <c r="R352" i="76"/>
  <c r="AY724" i="76"/>
  <c r="AW237" i="76"/>
  <c r="AV639" i="76"/>
  <c r="AY830" i="76"/>
  <c r="AX155" i="76"/>
  <c r="P1041" i="76"/>
  <c r="S698" i="76"/>
  <c r="N1022" i="76"/>
  <c r="O664" i="76"/>
  <c r="Q182" i="76"/>
  <c r="N804" i="76"/>
  <c r="O457" i="76"/>
  <c r="S980" i="76"/>
  <c r="N777" i="76"/>
  <c r="N219" i="76"/>
  <c r="S1020" i="76"/>
  <c r="O803" i="76"/>
  <c r="S600" i="76"/>
  <c r="P244" i="76"/>
  <c r="P471" i="76"/>
  <c r="P763" i="76"/>
  <c r="Q124" i="76"/>
  <c r="P354" i="76"/>
  <c r="N782" i="76"/>
  <c r="P390" i="76"/>
  <c r="O197" i="76"/>
  <c r="O845" i="76"/>
  <c r="Q244" i="76"/>
  <c r="AY907" i="76"/>
  <c r="AX749" i="76"/>
  <c r="AX702" i="76"/>
  <c r="AY755" i="76"/>
  <c r="AU192" i="76"/>
  <c r="Q634" i="76"/>
  <c r="N82" i="76"/>
  <c r="AV892" i="76"/>
  <c r="AV328" i="76"/>
  <c r="AW530" i="76"/>
  <c r="AV525" i="76"/>
  <c r="AX699" i="76"/>
  <c r="AU263" i="76"/>
  <c r="S662" i="76"/>
  <c r="Q531" i="76"/>
  <c r="Q155" i="76"/>
  <c r="AV973" i="76"/>
  <c r="AW474" i="76"/>
  <c r="AW890" i="76"/>
  <c r="AW575" i="76"/>
  <c r="S991" i="76"/>
  <c r="Q447" i="76"/>
  <c r="Q690" i="76"/>
  <c r="P1032" i="76"/>
  <c r="O461" i="76"/>
  <c r="R779" i="76"/>
  <c r="Q414" i="76"/>
  <c r="P360" i="76"/>
  <c r="R540" i="76"/>
  <c r="N248" i="76"/>
  <c r="AX955" i="76"/>
  <c r="AZ568" i="76"/>
  <c r="AZ521" i="76"/>
  <c r="AU391" i="76"/>
  <c r="AY735" i="76"/>
  <c r="Q697" i="76"/>
  <c r="O193" i="76"/>
  <c r="AW951" i="76"/>
  <c r="AX168" i="76"/>
  <c r="AV369" i="76"/>
  <c r="AW184" i="76"/>
  <c r="AY650" i="76"/>
  <c r="S999" i="76"/>
  <c r="S567" i="76"/>
  <c r="R447" i="76"/>
  <c r="AV939" i="76"/>
  <c r="AV821" i="76"/>
  <c r="AY335" i="76"/>
  <c r="AZ737" i="76"/>
  <c r="AX297" i="76"/>
  <c r="O897" i="76"/>
  <c r="N753" i="76"/>
  <c r="N739" i="76"/>
  <c r="O1010" i="76"/>
  <c r="P331" i="76"/>
  <c r="P803" i="76"/>
  <c r="R422" i="76"/>
  <c r="R84" i="76"/>
  <c r="R563" i="76"/>
  <c r="N315" i="76"/>
  <c r="AZ1052" i="76"/>
  <c r="AY375" i="76"/>
  <c r="AU306" i="76"/>
  <c r="AY135" i="76"/>
  <c r="S986" i="76"/>
  <c r="S541" i="76"/>
  <c r="P928" i="76"/>
  <c r="S833" i="76"/>
  <c r="Q840" i="76"/>
  <c r="R890" i="76"/>
  <c r="R289" i="76"/>
  <c r="O475" i="76"/>
  <c r="AY934" i="76"/>
  <c r="AW774" i="76"/>
  <c r="AU517" i="76"/>
  <c r="Q752" i="76"/>
  <c r="R185" i="76"/>
  <c r="AU1026" i="76"/>
  <c r="AU679" i="76"/>
  <c r="AU528" i="76"/>
  <c r="AZ154" i="76"/>
  <c r="N659" i="76"/>
  <c r="Q333" i="76"/>
  <c r="AV1000" i="76"/>
  <c r="AX613" i="76"/>
  <c r="AV555" i="76"/>
  <c r="AZ483" i="76"/>
  <c r="AY106" i="76"/>
  <c r="Q921" i="76"/>
  <c r="O520" i="76"/>
  <c r="Q81" i="76"/>
  <c r="AY1042" i="76"/>
  <c r="AZ452" i="76"/>
  <c r="AX845" i="76"/>
  <c r="AU366" i="76"/>
  <c r="AZ281" i="76"/>
  <c r="AV811" i="76"/>
  <c r="P757" i="76"/>
  <c r="Q941" i="76"/>
  <c r="O843" i="76"/>
  <c r="R878" i="76"/>
  <c r="N1004" i="76"/>
  <c r="Q309" i="76"/>
  <c r="O539" i="76"/>
  <c r="AU944" i="76"/>
  <c r="AU795" i="76"/>
  <c r="AY563" i="76"/>
  <c r="S809" i="76"/>
  <c r="R239" i="76"/>
  <c r="O590" i="76"/>
  <c r="AY701" i="76"/>
  <c r="AY574" i="76"/>
  <c r="AX539" i="76"/>
  <c r="P692" i="76"/>
  <c r="S403" i="76"/>
  <c r="AZ1022" i="76"/>
  <c r="AZ624" i="76"/>
  <c r="AZ577" i="76"/>
  <c r="AW524" i="76"/>
  <c r="AX238" i="76"/>
  <c r="O756" i="76"/>
  <c r="P570" i="76"/>
  <c r="S92" i="76"/>
  <c r="AU1052" i="76"/>
  <c r="AV462" i="76"/>
  <c r="AW856" i="76"/>
  <c r="AV377" i="76"/>
  <c r="AU299" i="76"/>
  <c r="AY857" i="76"/>
  <c r="N814" i="76"/>
  <c r="R974" i="76"/>
  <c r="S893" i="76"/>
  <c r="R834" i="76"/>
  <c r="R690" i="76"/>
  <c r="P475" i="76"/>
  <c r="S592" i="76"/>
  <c r="AX1062" i="76"/>
  <c r="AW897" i="76"/>
  <c r="AW732" i="76"/>
  <c r="S852" i="76"/>
  <c r="R768" i="76"/>
  <c r="AW854" i="76"/>
  <c r="AY765" i="76"/>
  <c r="AY702" i="76"/>
  <c r="AV239" i="76"/>
  <c r="S669" i="76"/>
  <c r="P85" i="76"/>
  <c r="R114" i="76"/>
  <c r="AZ688" i="76"/>
  <c r="AX630" i="76"/>
  <c r="AU629" i="76"/>
  <c r="AW116" i="76"/>
  <c r="S842" i="76"/>
  <c r="O391" i="76"/>
  <c r="O134" i="76"/>
  <c r="N316" i="76"/>
  <c r="AW505" i="76"/>
  <c r="AW929" i="76"/>
  <c r="AW420" i="76"/>
  <c r="AV386" i="76"/>
  <c r="AY490" i="76"/>
  <c r="N865" i="76"/>
  <c r="P961" i="76"/>
  <c r="R241" i="76"/>
  <c r="N890" i="76"/>
  <c r="Q758" i="76"/>
  <c r="AW797" i="76"/>
  <c r="AU581" i="76"/>
  <c r="O369" i="76"/>
  <c r="AY596" i="76"/>
  <c r="AX676" i="76"/>
  <c r="O1041" i="76"/>
  <c r="Q444" i="76"/>
  <c r="AX469" i="76"/>
  <c r="AU203" i="76"/>
  <c r="AV374" i="76"/>
  <c r="O730" i="76"/>
  <c r="O102" i="76"/>
  <c r="AW1049" i="76"/>
  <c r="AW578" i="76"/>
  <c r="AX878" i="76"/>
  <c r="AX389" i="76"/>
  <c r="P184" i="76"/>
  <c r="AY556" i="76"/>
  <c r="AW471" i="76"/>
  <c r="AU419" i="76"/>
  <c r="O604" i="76"/>
  <c r="O180" i="76"/>
  <c r="AY477" i="76"/>
  <c r="AY582" i="76"/>
  <c r="AY123" i="76"/>
  <c r="O266" i="76"/>
  <c r="S380" i="76"/>
  <c r="AZ398" i="76"/>
  <c r="AZ134" i="76"/>
  <c r="N740" i="76"/>
  <c r="O338" i="76"/>
  <c r="AZ397" i="76"/>
  <c r="O865" i="76"/>
  <c r="Q353" i="76"/>
  <c r="N695" i="76"/>
  <c r="R816" i="76"/>
  <c r="AX808" i="76"/>
  <c r="AW668" i="76"/>
  <c r="R523" i="76"/>
  <c r="AW649" i="76"/>
  <c r="AZ699" i="76"/>
  <c r="S1063" i="76"/>
  <c r="S480" i="76"/>
  <c r="AW501" i="76"/>
  <c r="AW246" i="76"/>
  <c r="AX420" i="76"/>
  <c r="N776" i="76"/>
  <c r="Q113" i="76"/>
  <c r="AU942" i="76"/>
  <c r="AW610" i="76"/>
  <c r="AV961" i="76"/>
  <c r="AZ435" i="76"/>
  <c r="S210" i="76"/>
  <c r="AW577" i="76"/>
  <c r="AZ493" i="76"/>
  <c r="AZ687" i="76"/>
  <c r="P670" i="76"/>
  <c r="S512" i="76"/>
  <c r="AV498" i="76"/>
  <c r="AW623" i="76"/>
  <c r="AV513" i="76"/>
  <c r="P308" i="76"/>
  <c r="N357" i="76"/>
  <c r="Q1045" i="76"/>
  <c r="R796" i="76"/>
  <c r="R829" i="76"/>
  <c r="AU933" i="76"/>
  <c r="AX463" i="76"/>
  <c r="S477" i="76"/>
  <c r="AW867" i="76"/>
  <c r="AZ426" i="76"/>
  <c r="AU327" i="76"/>
  <c r="Q528" i="76"/>
  <c r="AW1025" i="76"/>
  <c r="AZ641" i="76"/>
  <c r="AW413" i="76"/>
  <c r="S751" i="76"/>
  <c r="N228" i="76"/>
  <c r="S356" i="76"/>
  <c r="AX964" i="76"/>
  <c r="AY798" i="76"/>
  <c r="AU461" i="76"/>
  <c r="P361" i="76"/>
  <c r="AV974" i="76"/>
  <c r="AV891" i="76"/>
  <c r="AU100" i="76"/>
  <c r="P734" i="76"/>
  <c r="R473" i="76"/>
  <c r="AU918" i="76"/>
  <c r="AV661" i="76"/>
  <c r="AX723" i="76"/>
  <c r="P423" i="76"/>
  <c r="AU1000" i="76"/>
  <c r="AU803" i="76"/>
  <c r="AU196" i="76"/>
  <c r="R658" i="76"/>
  <c r="S853" i="76"/>
  <c r="Q930" i="76"/>
  <c r="AV1008" i="76"/>
  <c r="AU632" i="76"/>
  <c r="O675" i="76"/>
  <c r="AW1005" i="76"/>
  <c r="AY458" i="76"/>
  <c r="AV492" i="76"/>
  <c r="S265" i="76"/>
  <c r="AZ920" i="76"/>
  <c r="AX694" i="76"/>
  <c r="AV676" i="76"/>
  <c r="O842" i="76"/>
  <c r="Q496" i="76"/>
  <c r="R358" i="76"/>
  <c r="AY72" i="76"/>
  <c r="AX839" i="76"/>
  <c r="AZ82" i="76"/>
  <c r="O287" i="76"/>
  <c r="AY1040" i="76"/>
  <c r="AU997" i="76"/>
  <c r="AU833" i="76"/>
  <c r="R584" i="76"/>
  <c r="O112" i="76"/>
  <c r="N84" i="76"/>
  <c r="AX748" i="76"/>
  <c r="AW992" i="76"/>
  <c r="N525" i="76"/>
  <c r="AW1043" i="76"/>
  <c r="AY846" i="76"/>
  <c r="S514" i="76"/>
  <c r="P271" i="76"/>
  <c r="R1035" i="76"/>
  <c r="AW879" i="76"/>
  <c r="P501" i="76"/>
  <c r="AW952" i="76"/>
  <c r="P1049" i="76"/>
  <c r="AW954" i="76"/>
  <c r="AU484" i="76"/>
  <c r="S716" i="76"/>
  <c r="AW197" i="76"/>
  <c r="P1005" i="76"/>
  <c r="AY858" i="76"/>
  <c r="AX381" i="76"/>
  <c r="Q436" i="76"/>
  <c r="AU865" i="76"/>
  <c r="AW468" i="76"/>
  <c r="O312" i="76"/>
  <c r="AZ1007" i="76"/>
  <c r="AV739" i="76"/>
  <c r="AU466" i="76"/>
  <c r="N438" i="76"/>
  <c r="AX105" i="76"/>
  <c r="P248" i="76"/>
  <c r="P736" i="76"/>
  <c r="AW494" i="76"/>
  <c r="S819" i="76"/>
  <c r="AV75" i="76"/>
  <c r="R786" i="76"/>
  <c r="AX315" i="76"/>
  <c r="AU271" i="76"/>
  <c r="AU939" i="76"/>
  <c r="AY464" i="76"/>
  <c r="AZ926" i="76"/>
  <c r="AU789" i="76"/>
  <c r="P97" i="76"/>
  <c r="AZ637" i="76"/>
  <c r="S730" i="76"/>
  <c r="AV630" i="76"/>
  <c r="AU840" i="76"/>
  <c r="R495" i="76"/>
  <c r="AY541" i="76"/>
  <c r="AV285" i="76"/>
  <c r="AZ946" i="76"/>
  <c r="O363" i="76"/>
  <c r="AX795" i="76"/>
  <c r="AV322" i="76"/>
  <c r="AY248" i="76"/>
  <c r="Q730" i="76"/>
  <c r="AX85" i="76"/>
  <c r="O792" i="76"/>
  <c r="AV298" i="76"/>
  <c r="AU987" i="76"/>
  <c r="AW1021" i="76"/>
  <c r="P401" i="76"/>
  <c r="O268" i="76"/>
  <c r="Q190" i="76"/>
  <c r="P221" i="76"/>
  <c r="Q1037" i="76"/>
  <c r="AV457" i="76"/>
  <c r="N742" i="76"/>
  <c r="AW901" i="76"/>
  <c r="AU746" i="76"/>
  <c r="R375" i="76"/>
  <c r="O527" i="76"/>
  <c r="S327" i="76"/>
  <c r="O1028" i="76"/>
  <c r="AV898" i="76"/>
  <c r="R544" i="76"/>
  <c r="Q239" i="76"/>
  <c r="Q964" i="76"/>
  <c r="AU975" i="76"/>
  <c r="AV495" i="76"/>
  <c r="O809" i="76"/>
  <c r="AU218" i="76"/>
  <c r="R1048" i="76"/>
  <c r="AY886" i="76"/>
  <c r="AX763" i="76"/>
  <c r="R70" i="76"/>
  <c r="AV895" i="76"/>
  <c r="AU820" i="76"/>
  <c r="Q355" i="76"/>
  <c r="AX1048" i="76"/>
  <c r="AZ761" i="76"/>
  <c r="AZ551" i="76"/>
  <c r="O223" i="76"/>
  <c r="AZ148" i="76"/>
  <c r="S132" i="76"/>
  <c r="N262" i="76"/>
  <c r="AY537" i="76"/>
  <c r="O640" i="76"/>
  <c r="AV155" i="76"/>
  <c r="N945" i="76"/>
  <c r="AZ358" i="76"/>
  <c r="AU445" i="76"/>
  <c r="AW114" i="76"/>
  <c r="AX451" i="76"/>
  <c r="AU968" i="76"/>
  <c r="AU935" i="76"/>
  <c r="N182" i="76"/>
  <c r="AV679" i="76"/>
  <c r="Q606" i="76"/>
  <c r="AX673" i="76"/>
  <c r="AU136" i="76"/>
  <c r="AW930" i="76"/>
  <c r="AU191" i="76"/>
  <c r="AU811" i="76"/>
  <c r="AX908" i="76"/>
  <c r="O253" i="76"/>
  <c r="R280" i="76"/>
  <c r="N874" i="76"/>
  <c r="AY630" i="76"/>
  <c r="Q70" i="76"/>
  <c r="AV728" i="76"/>
  <c r="AX885" i="76"/>
  <c r="S437" i="76"/>
  <c r="P953" i="76"/>
  <c r="S922" i="76"/>
  <c r="AW228" i="76"/>
  <c r="AZ700" i="76"/>
  <c r="AV814" i="76"/>
  <c r="AZ807" i="76"/>
  <c r="N124" i="76"/>
  <c r="O588" i="76"/>
  <c r="P979" i="76"/>
  <c r="O543" i="76"/>
  <c r="R742" i="76"/>
  <c r="O451" i="76"/>
  <c r="P963" i="76"/>
  <c r="AW250" i="76"/>
  <c r="AZ1051" i="76"/>
  <c r="AX219" i="76"/>
  <c r="AZ811" i="76"/>
  <c r="AW139" i="76"/>
  <c r="N114" i="76"/>
  <c r="AV834" i="76"/>
  <c r="AX163" i="76"/>
  <c r="AX902" i="76"/>
  <c r="AZ759" i="76"/>
  <c r="P130" i="76"/>
  <c r="AX492" i="76"/>
  <c r="P464" i="76"/>
  <c r="AY287" i="76"/>
  <c r="AU76" i="76"/>
  <c r="O579" i="76"/>
  <c r="AX879" i="76"/>
  <c r="AU747" i="76"/>
  <c r="AW572" i="76"/>
  <c r="O757" i="76"/>
  <c r="AU806" i="76"/>
  <c r="AW421" i="76"/>
  <c r="O785" i="76"/>
  <c r="AZ314" i="76"/>
  <c r="AY269" i="76"/>
  <c r="AU71" i="76"/>
  <c r="AW736" i="76"/>
  <c r="AV900" i="76"/>
  <c r="AZ439" i="76"/>
  <c r="AW625" i="76"/>
  <c r="AZ203" i="76"/>
  <c r="O178" i="76"/>
  <c r="AU464" i="76"/>
  <c r="O534" i="76"/>
  <c r="AY449" i="76"/>
  <c r="AW563" i="76"/>
  <c r="S178" i="76"/>
  <c r="AU193" i="76"/>
  <c r="R898" i="76"/>
  <c r="S366" i="76"/>
  <c r="AX106" i="76"/>
  <c r="AX697" i="76"/>
  <c r="N712" i="76"/>
  <c r="AV666" i="76"/>
  <c r="AW91" i="76"/>
  <c r="S238" i="76"/>
  <c r="AU989" i="76"/>
  <c r="R957" i="76"/>
  <c r="AZ796" i="76"/>
  <c r="AZ380" i="76"/>
  <c r="AV912" i="76"/>
  <c r="AW764" i="76"/>
  <c r="P117" i="76"/>
  <c r="AX376" i="76"/>
  <c r="AZ751" i="76"/>
  <c r="R713" i="76"/>
  <c r="AX1003" i="76"/>
  <c r="AZ192" i="76"/>
  <c r="AZ462" i="76"/>
  <c r="AU604" i="76"/>
  <c r="S846" i="76"/>
  <c r="R220" i="76"/>
  <c r="N541" i="76"/>
  <c r="R266" i="76"/>
  <c r="AU138" i="76"/>
  <c r="AY1015" i="76"/>
  <c r="AV713" i="76"/>
  <c r="O853" i="76"/>
  <c r="AU610" i="76"/>
  <c r="AW872" i="76"/>
  <c r="AU449" i="76"/>
  <c r="AX936" i="76"/>
  <c r="AV766" i="76"/>
  <c r="AX78" i="76"/>
  <c r="Q430" i="76"/>
  <c r="Q321" i="76"/>
  <c r="AW1010" i="76"/>
  <c r="AU506" i="76"/>
  <c r="AY658" i="76"/>
  <c r="AU894" i="76"/>
  <c r="S79" i="76"/>
  <c r="AU187" i="76"/>
  <c r="AX272" i="76"/>
  <c r="O540" i="76"/>
  <c r="AY462" i="76"/>
  <c r="P818" i="76"/>
  <c r="S574" i="76"/>
  <c r="O888" i="76"/>
  <c r="AU383" i="76"/>
  <c r="AW510" i="76"/>
  <c r="S254" i="76"/>
  <c r="AX1050" i="76"/>
  <c r="P305" i="76"/>
  <c r="AY412" i="76"/>
  <c r="P1059" i="76"/>
  <c r="O936" i="76"/>
  <c r="O246" i="76"/>
  <c r="O580" i="76"/>
  <c r="AV165" i="76"/>
  <c r="O254" i="76"/>
  <c r="Q437" i="76"/>
  <c r="R647" i="76"/>
  <c r="Q1000" i="76"/>
  <c r="AX848" i="76"/>
  <c r="AW414" i="76"/>
  <c r="AY350" i="76"/>
  <c r="AV863" i="76"/>
  <c r="Q98" i="76"/>
  <c r="P190" i="76"/>
  <c r="S343" i="76"/>
  <c r="S526" i="76"/>
  <c r="AY315" i="76"/>
  <c r="AY668" i="76"/>
  <c r="R367" i="76"/>
  <c r="AV474" i="76"/>
  <c r="AW697" i="76"/>
  <c r="AV1007" i="76"/>
  <c r="AZ431" i="76"/>
  <c r="AZ986" i="76"/>
  <c r="AY697" i="76"/>
  <c r="O120" i="76"/>
  <c r="O1009" i="76"/>
  <c r="AW503" i="76"/>
  <c r="R93" i="76"/>
  <c r="AV162" i="76"/>
  <c r="AZ375" i="76"/>
  <c r="AV534" i="76"/>
  <c r="AZ499" i="76"/>
  <c r="AU737" i="76"/>
  <c r="AW342" i="76"/>
  <c r="AV199" i="76"/>
  <c r="S1048" i="76"/>
  <c r="Q423" i="76"/>
  <c r="P671" i="76"/>
  <c r="AW245" i="76"/>
  <c r="P118" i="76"/>
  <c r="Q93" i="76"/>
  <c r="AX444" i="76"/>
  <c r="AW934" i="76"/>
  <c r="AX228" i="76"/>
  <c r="AX610" i="76"/>
  <c r="AZ515" i="76"/>
  <c r="AV405" i="76"/>
  <c r="AZ776" i="76"/>
  <c r="AW731" i="76"/>
  <c r="P391" i="76"/>
  <c r="AU636" i="76"/>
  <c r="AZ651" i="76"/>
  <c r="AW105" i="76"/>
  <c r="AV694" i="76"/>
  <c r="S583" i="76"/>
  <c r="AZ834" i="76"/>
  <c r="AX174" i="76"/>
  <c r="AY770" i="76"/>
  <c r="N668" i="76"/>
  <c r="AV481" i="76"/>
  <c r="Q107" i="76"/>
  <c r="AU438" i="76"/>
  <c r="O811" i="76"/>
  <c r="S890" i="76"/>
  <c r="AW515" i="76"/>
  <c r="S236" i="76"/>
  <c r="AZ1028" i="76"/>
  <c r="O818" i="76"/>
  <c r="AU977" i="76"/>
  <c r="S542" i="76"/>
  <c r="AY1049" i="76"/>
  <c r="AW1062" i="76"/>
  <c r="AU315" i="76"/>
  <c r="N693" i="76"/>
  <c r="AU456" i="76"/>
  <c r="P171" i="76"/>
  <c r="R459" i="76"/>
  <c r="Q705" i="76"/>
  <c r="AZ312" i="76"/>
  <c r="AW728" i="76"/>
  <c r="S455" i="76"/>
  <c r="AX224" i="76"/>
  <c r="AY513" i="76"/>
  <c r="AZ935" i="76"/>
  <c r="R150" i="76"/>
  <c r="AV621" i="76"/>
  <c r="AX548" i="76"/>
  <c r="Q1012" i="76"/>
  <c r="S762" i="76"/>
  <c r="Q586" i="76"/>
  <c r="Q583" i="76"/>
  <c r="Q278" i="76"/>
  <c r="Q974" i="76"/>
  <c r="N684" i="76"/>
  <c r="P537" i="76"/>
  <c r="R626" i="76"/>
  <c r="Q275" i="76"/>
  <c r="N1003" i="76"/>
  <c r="Q861" i="76"/>
  <c r="S602" i="76"/>
  <c r="Q375" i="76"/>
  <c r="P491" i="76"/>
  <c r="S851" i="76"/>
  <c r="S1023" i="76"/>
  <c r="O772" i="76"/>
  <c r="S597" i="76"/>
  <c r="R609" i="76"/>
  <c r="S289" i="76"/>
  <c r="S997" i="76"/>
  <c r="P695" i="76"/>
  <c r="R548" i="76"/>
  <c r="N674" i="76"/>
  <c r="S298" i="76"/>
  <c r="P1026" i="76"/>
  <c r="P883" i="76"/>
  <c r="O617" i="76"/>
  <c r="S386" i="76"/>
  <c r="R578" i="76"/>
  <c r="O861" i="76"/>
  <c r="O1033" i="76"/>
  <c r="Q783" i="76"/>
  <c r="O607" i="76"/>
  <c r="N656" i="76"/>
  <c r="O299" i="76"/>
  <c r="O1015" i="76"/>
  <c r="R706" i="76"/>
  <c r="R558" i="76"/>
  <c r="R733" i="76"/>
  <c r="N341" i="76"/>
  <c r="R1049" i="76"/>
  <c r="O915" i="76"/>
  <c r="N633" i="76"/>
  <c r="O396" i="76"/>
  <c r="P80" i="76"/>
  <c r="Q872" i="76"/>
  <c r="P1065" i="76"/>
  <c r="N859" i="76"/>
  <c r="O767" i="76"/>
  <c r="Q484" i="76"/>
  <c r="S225" i="76"/>
  <c r="O917" i="76"/>
  <c r="P863" i="76"/>
  <c r="R484" i="76"/>
  <c r="P512" i="76"/>
  <c r="S192" i="76"/>
  <c r="R929" i="76"/>
  <c r="S789" i="76"/>
  <c r="O538" i="76"/>
  <c r="S322" i="76"/>
  <c r="P300" i="76"/>
  <c r="P1030" i="76"/>
  <c r="N1008" i="76"/>
  <c r="P767" i="76"/>
  <c r="N141" i="76"/>
  <c r="N914" i="76"/>
  <c r="S530" i="76"/>
  <c r="N934" i="76"/>
  <c r="P659" i="76"/>
  <c r="R383" i="76"/>
  <c r="Q740" i="76"/>
  <c r="R566" i="76"/>
  <c r="S335" i="76"/>
  <c r="S119" i="76"/>
  <c r="N762" i="76"/>
  <c r="N790" i="76"/>
  <c r="S287" i="76"/>
  <c r="AZ1062" i="76"/>
  <c r="AV241" i="76"/>
  <c r="AU635" i="76"/>
  <c r="AW158" i="76"/>
  <c r="AW604" i="76"/>
  <c r="AV532" i="76"/>
  <c r="R867" i="76"/>
  <c r="P378" i="76"/>
  <c r="N965" i="76"/>
  <c r="Q650" i="76"/>
  <c r="S353" i="76"/>
  <c r="N748" i="76"/>
  <c r="R406" i="76"/>
  <c r="S1056" i="76"/>
  <c r="S717" i="76"/>
  <c r="R123" i="76"/>
  <c r="S848" i="76"/>
  <c r="Q579" i="76"/>
  <c r="S358" i="76"/>
  <c r="S456" i="76"/>
  <c r="P808" i="76"/>
  <c r="P451" i="76"/>
  <c r="R550" i="76"/>
  <c r="AY1014" i="76"/>
  <c r="AV423" i="76"/>
  <c r="AX817" i="76"/>
  <c r="AU338" i="76"/>
  <c r="AY226" i="76"/>
  <c r="AY706" i="76"/>
  <c r="O995" i="76"/>
  <c r="N624" i="76"/>
  <c r="Q354" i="76"/>
  <c r="AV927" i="76"/>
  <c r="AV809" i="76"/>
  <c r="AY323" i="76"/>
  <c r="AZ725" i="76"/>
  <c r="AW274" i="76"/>
  <c r="AV489" i="76"/>
  <c r="R995" i="76"/>
  <c r="N691" i="76"/>
  <c r="P976" i="76"/>
  <c r="S661" i="76"/>
  <c r="N365" i="76"/>
  <c r="S761" i="76"/>
  <c r="N416" i="76"/>
  <c r="N992" i="76"/>
  <c r="S746" i="76"/>
  <c r="N133" i="76"/>
  <c r="O856" i="76"/>
  <c r="Q592" i="76"/>
  <c r="O368" i="76"/>
  <c r="Q517" i="76"/>
  <c r="O577" i="76"/>
  <c r="N877" i="76"/>
  <c r="R111" i="76"/>
  <c r="Q538" i="76"/>
  <c r="S876" i="76"/>
  <c r="P624" i="76"/>
  <c r="P84" i="76"/>
  <c r="R666" i="76"/>
  <c r="Q180" i="76"/>
  <c r="AW1035" i="76"/>
  <c r="AV858" i="76"/>
  <c r="AY809" i="76"/>
  <c r="AX266" i="76"/>
  <c r="AZ618" i="76"/>
  <c r="R715" i="76"/>
  <c r="O560" i="76"/>
  <c r="AZ989" i="76"/>
  <c r="AY425" i="76"/>
  <c r="AW626" i="76"/>
  <c r="AV717" i="76"/>
  <c r="AZ471" i="76"/>
  <c r="AW115" i="76"/>
  <c r="O720" i="76"/>
  <c r="O244" i="76"/>
  <c r="Q643" i="76"/>
  <c r="AY955" i="76"/>
  <c r="AZ560" i="76"/>
  <c r="AZ72" i="76"/>
  <c r="AU744" i="76"/>
  <c r="AU625" i="76"/>
  <c r="P532" i="76"/>
  <c r="S882" i="76"/>
  <c r="R223" i="76"/>
  <c r="Q442" i="76"/>
  <c r="S825" i="76"/>
  <c r="P725" i="76"/>
  <c r="Q140" i="76"/>
  <c r="O611" i="76"/>
  <c r="P81" i="76"/>
  <c r="R178" i="76"/>
  <c r="AV674" i="76"/>
  <c r="AV627" i="76"/>
  <c r="AU645" i="76"/>
  <c r="AU148" i="76"/>
  <c r="Q655" i="76"/>
  <c r="Q396" i="76"/>
  <c r="AW1047" i="76"/>
  <c r="AW264" i="76"/>
  <c r="AX466" i="76"/>
  <c r="AW422" i="76"/>
  <c r="AY543" i="76"/>
  <c r="Q967" i="76"/>
  <c r="N522" i="76"/>
  <c r="O213" i="76"/>
  <c r="AY1025" i="76"/>
  <c r="AY999" i="76"/>
  <c r="AU420" i="76"/>
  <c r="AW822" i="76"/>
  <c r="AZ470" i="76"/>
  <c r="R958" i="76"/>
  <c r="O409" i="76"/>
  <c r="Q745" i="76"/>
  <c r="R1068" i="76"/>
  <c r="S418" i="76"/>
  <c r="R798" i="76"/>
  <c r="P602" i="76"/>
  <c r="S188" i="76"/>
  <c r="S618" i="76"/>
  <c r="Q149" i="76"/>
  <c r="AW869" i="76"/>
  <c r="AW482" i="76"/>
  <c r="AX435" i="76"/>
  <c r="AX223" i="76"/>
  <c r="AY163" i="76"/>
  <c r="P709" i="76"/>
  <c r="P1042" i="76"/>
  <c r="Q1066" i="76"/>
  <c r="S906" i="76"/>
  <c r="N1031" i="76"/>
  <c r="Q265" i="76"/>
  <c r="P784" i="76"/>
  <c r="AX863" i="76"/>
  <c r="AY76" i="76"/>
  <c r="AW985" i="76"/>
  <c r="N903" i="76"/>
  <c r="O118" i="76"/>
  <c r="AV918" i="76"/>
  <c r="AZ808" i="76"/>
  <c r="AV807" i="76"/>
  <c r="AV413" i="76"/>
  <c r="O825" i="76"/>
  <c r="N170" i="76"/>
  <c r="AX888" i="76"/>
  <c r="AZ720" i="76"/>
  <c r="AZ673" i="76"/>
  <c r="AW716" i="76"/>
  <c r="AY472" i="76"/>
  <c r="S941" i="76"/>
  <c r="R462" i="76"/>
  <c r="O166" i="76"/>
  <c r="AV908" i="76"/>
  <c r="AW537" i="76"/>
  <c r="AW1057" i="76"/>
  <c r="AU452" i="76"/>
  <c r="AY455" i="76"/>
  <c r="AV131" i="76"/>
  <c r="Q879" i="76"/>
  <c r="Q948" i="76"/>
  <c r="O1046" i="76"/>
  <c r="N795" i="76"/>
  <c r="Q843" i="76"/>
  <c r="R315" i="76"/>
  <c r="R589" i="76"/>
  <c r="AW895" i="76"/>
  <c r="AU86" i="76"/>
  <c r="AU180" i="76"/>
  <c r="Q826" i="76"/>
  <c r="Q129" i="76"/>
  <c r="AU982" i="76"/>
  <c r="AX829" i="76"/>
  <c r="AX830" i="76"/>
  <c r="AY498" i="76"/>
  <c r="P577" i="76"/>
  <c r="O190" i="76"/>
  <c r="AZ910" i="76"/>
  <c r="AX741" i="76"/>
  <c r="AV683" i="76"/>
  <c r="AU757" i="76"/>
  <c r="AX648" i="76"/>
  <c r="P1027" i="76"/>
  <c r="R491" i="76"/>
  <c r="Q177" i="76"/>
  <c r="AW919" i="76"/>
  <c r="AY548" i="76"/>
  <c r="AW913" i="76"/>
  <c r="AW463" i="76"/>
  <c r="AU473" i="76"/>
  <c r="AU284" i="76"/>
  <c r="Q970" i="76"/>
  <c r="Q980" i="76"/>
  <c r="N979" i="76"/>
  <c r="Q905" i="76"/>
  <c r="S959" i="76"/>
  <c r="O501" i="76"/>
  <c r="N518" i="76"/>
  <c r="AW990" i="76"/>
  <c r="AY204" i="76"/>
  <c r="AY353" i="76"/>
  <c r="R809" i="76"/>
  <c r="S207" i="76"/>
  <c r="AV1017" i="76"/>
  <c r="AW918" i="76"/>
  <c r="AZ254" i="76"/>
  <c r="AY754" i="76"/>
  <c r="O715" i="76"/>
  <c r="O593" i="76"/>
  <c r="AW963" i="76"/>
  <c r="AV794" i="76"/>
  <c r="AV747" i="76"/>
  <c r="AY920" i="76"/>
  <c r="AX417" i="76"/>
  <c r="O924" i="76"/>
  <c r="N718" i="76"/>
  <c r="O228" i="76"/>
  <c r="AX962" i="76"/>
  <c r="AU590" i="76"/>
  <c r="AY104" i="76"/>
  <c r="AX506" i="76"/>
  <c r="AV560" i="76"/>
  <c r="AX114" i="76"/>
  <c r="N791" i="76"/>
  <c r="O1001" i="76"/>
  <c r="Q363" i="76"/>
  <c r="S772" i="76"/>
  <c r="O854" i="76"/>
  <c r="AW851" i="76"/>
  <c r="AX440" i="76"/>
  <c r="Q532" i="76"/>
  <c r="AU798" i="76"/>
  <c r="AY117" i="76"/>
  <c r="AV625" i="76"/>
  <c r="O77" i="76"/>
  <c r="AY672" i="76"/>
  <c r="AX384" i="76"/>
  <c r="AZ897" i="76"/>
  <c r="N606" i="76"/>
  <c r="N240" i="76"/>
  <c r="AW973" i="76"/>
  <c r="AY717" i="76"/>
  <c r="AY392" i="76"/>
  <c r="AY138" i="76"/>
  <c r="R108" i="76"/>
  <c r="AU726" i="76"/>
  <c r="AX642" i="76"/>
  <c r="AW164" i="76"/>
  <c r="Q558" i="76"/>
  <c r="O140" i="76"/>
  <c r="AZ648" i="76"/>
  <c r="AW144" i="76"/>
  <c r="AW84" i="76"/>
  <c r="R322" i="76"/>
  <c r="AX995" i="76"/>
  <c r="AY569" i="76"/>
  <c r="AV469" i="76"/>
  <c r="R855" i="76"/>
  <c r="R197" i="76"/>
  <c r="AY568" i="76"/>
  <c r="N1029" i="76"/>
  <c r="S374" i="76"/>
  <c r="S687" i="76"/>
  <c r="O896" i="76"/>
  <c r="AW894" i="76"/>
  <c r="AY463" i="76"/>
  <c r="N388" i="76"/>
  <c r="AV841" i="76"/>
  <c r="AW170" i="76"/>
  <c r="AV801" i="76"/>
  <c r="S99" i="76"/>
  <c r="AU682" i="76"/>
  <c r="AW416" i="76"/>
  <c r="AY435" i="76"/>
  <c r="R628" i="76"/>
  <c r="P263" i="76"/>
  <c r="AY996" i="76"/>
  <c r="AW738" i="76"/>
  <c r="AX455" i="76"/>
  <c r="AX293" i="76"/>
  <c r="N150" i="76"/>
  <c r="AY748" i="76"/>
  <c r="AV663" i="76"/>
  <c r="AX251" i="76"/>
  <c r="S601" i="76"/>
  <c r="N244" i="76"/>
  <c r="AX669" i="76"/>
  <c r="AY239" i="76"/>
  <c r="AZ98" i="76"/>
  <c r="Q384" i="76"/>
  <c r="AV1016" i="76"/>
  <c r="N526" i="76"/>
  <c r="P878" i="76"/>
  <c r="Q993" i="76"/>
  <c r="AU1024" i="76"/>
  <c r="AY358" i="76"/>
  <c r="P477" i="76"/>
  <c r="AX1053" i="76"/>
  <c r="AX618" i="76"/>
  <c r="AU229" i="76"/>
  <c r="P290" i="76"/>
  <c r="AZ855" i="76"/>
  <c r="AY833" i="76"/>
  <c r="AW457" i="76"/>
  <c r="N720" i="76"/>
  <c r="N261" i="76"/>
  <c r="AY919" i="76"/>
  <c r="AY168" i="76"/>
  <c r="AW327" i="76"/>
  <c r="AY562" i="76"/>
  <c r="N596" i="76"/>
  <c r="AX925" i="76"/>
  <c r="AV158" i="76"/>
  <c r="AZ85" i="76"/>
  <c r="S727" i="76"/>
  <c r="N104" i="76"/>
  <c r="AX172" i="76"/>
  <c r="AY89" i="76"/>
  <c r="AW140" i="76"/>
  <c r="P627" i="76"/>
  <c r="AZ953" i="76"/>
  <c r="AU94" i="76"/>
  <c r="AX543" i="76"/>
  <c r="S609" i="76"/>
  <c r="O954" i="76"/>
  <c r="Q1022" i="76"/>
  <c r="AU1056" i="76"/>
  <c r="AV438" i="76"/>
  <c r="Q691" i="76"/>
  <c r="R247" i="76"/>
  <c r="AZ693" i="76"/>
  <c r="AX792" i="76"/>
  <c r="O402" i="76"/>
  <c r="AV942" i="76"/>
  <c r="AX873" i="76"/>
  <c r="AX624" i="76"/>
  <c r="N766" i="76"/>
  <c r="S454" i="76"/>
  <c r="AZ962" i="76"/>
  <c r="AY200" i="76"/>
  <c r="AY413" i="76"/>
  <c r="AU644" i="76"/>
  <c r="N346" i="76"/>
  <c r="AY1012" i="76"/>
  <c r="AX201" i="76"/>
  <c r="AX354" i="76"/>
  <c r="N845" i="76"/>
  <c r="O198" i="76"/>
  <c r="AZ215" i="76"/>
  <c r="AU131" i="76"/>
  <c r="AY783" i="76"/>
  <c r="P370" i="76"/>
  <c r="AV995" i="76"/>
  <c r="AW137" i="76"/>
  <c r="N582" i="76"/>
  <c r="N329" i="76"/>
  <c r="AV183" i="76"/>
  <c r="AX387" i="76"/>
  <c r="P641" i="76"/>
  <c r="AY410" i="76"/>
  <c r="AW449" i="76"/>
  <c r="N664" i="76"/>
  <c r="AV751" i="76"/>
  <c r="N901" i="76"/>
  <c r="AZ540" i="76"/>
  <c r="AX298" i="76"/>
  <c r="AW885" i="76"/>
  <c r="AW255" i="76"/>
  <c r="S104" i="76"/>
  <c r="AZ184" i="76"/>
  <c r="AY738" i="76"/>
  <c r="S491" i="76"/>
  <c r="AW853" i="76"/>
  <c r="AW1060" i="76"/>
  <c r="AV268" i="76"/>
  <c r="Q376" i="76"/>
  <c r="AV447" i="76"/>
  <c r="R317" i="76"/>
  <c r="O496" i="76"/>
  <c r="AZ836" i="76"/>
  <c r="R682" i="76"/>
  <c r="AZ825" i="76"/>
  <c r="R966" i="76"/>
  <c r="AW657" i="76"/>
  <c r="AV159" i="76"/>
  <c r="AX754" i="76"/>
  <c r="AZ384" i="76"/>
  <c r="AZ1049" i="76"/>
  <c r="AX735" i="76"/>
  <c r="O335" i="76"/>
  <c r="AX89" i="76"/>
  <c r="N673" i="76"/>
  <c r="AZ91" i="76"/>
  <c r="AW723" i="76"/>
  <c r="R475" i="76"/>
  <c r="AX505" i="76"/>
  <c r="AW121" i="76"/>
  <c r="AY1029" i="76"/>
  <c r="P836" i="76"/>
  <c r="AY722" i="76"/>
  <c r="N111" i="76"/>
  <c r="AW782" i="76"/>
  <c r="O578" i="76"/>
  <c r="AU491" i="76"/>
  <c r="S1043" i="76"/>
  <c r="AX932" i="76"/>
  <c r="R134" i="76"/>
  <c r="O156" i="76"/>
  <c r="Q470" i="76"/>
  <c r="N534" i="76"/>
  <c r="N444" i="76"/>
  <c r="O616" i="76"/>
  <c r="AZ89" i="76"/>
  <c r="AY416" i="76"/>
  <c r="O1034" i="76"/>
  <c r="AW983" i="76"/>
  <c r="AW936" i="76"/>
  <c r="N238" i="76"/>
  <c r="Q667" i="76"/>
  <c r="N243" i="76"/>
  <c r="AY730" i="76"/>
  <c r="AW419" i="76"/>
  <c r="O686" i="76"/>
  <c r="AV431" i="76"/>
  <c r="AW119" i="76"/>
  <c r="S106" i="76"/>
  <c r="AZ773" i="76"/>
  <c r="P1022" i="76"/>
  <c r="AX561" i="76"/>
  <c r="AU657" i="76"/>
  <c r="AZ907" i="76"/>
  <c r="AV295" i="76"/>
  <c r="Q125" i="76"/>
  <c r="AX205" i="76"/>
  <c r="AX818" i="76"/>
  <c r="Q564" i="76"/>
  <c r="AX896" i="76"/>
  <c r="AU978" i="76"/>
  <c r="AX664" i="76"/>
  <c r="N648" i="76"/>
  <c r="AW490" i="76"/>
  <c r="R296" i="76"/>
  <c r="P755" i="76"/>
  <c r="AU891" i="76"/>
  <c r="R932" i="76"/>
  <c r="AU165" i="76"/>
  <c r="N823" i="76"/>
  <c r="AY700" i="76"/>
  <c r="AZ754" i="76"/>
  <c r="AU839" i="76"/>
  <c r="AV640" i="76"/>
  <c r="Q271" i="76"/>
  <c r="AY822" i="76"/>
  <c r="O191" i="76"/>
  <c r="AZ132" i="76"/>
  <c r="R844" i="76"/>
  <c r="AV133" i="76"/>
  <c r="AZ424" i="76"/>
  <c r="AU958" i="76"/>
  <c r="AZ124" i="76"/>
  <c r="AW638" i="76"/>
  <c r="AV1015" i="76"/>
  <c r="R524" i="76"/>
  <c r="S756" i="76"/>
  <c r="O935" i="76"/>
  <c r="AU837" i="76"/>
  <c r="P453" i="76"/>
  <c r="AW303" i="76"/>
  <c r="AV678" i="76"/>
  <c r="R582" i="76"/>
  <c r="AY103" i="76"/>
  <c r="AZ506" i="76"/>
  <c r="AV240" i="76"/>
  <c r="AX844" i="76"/>
  <c r="AX276" i="76"/>
  <c r="AY943" i="76"/>
  <c r="S148" i="76"/>
  <c r="R985" i="76"/>
  <c r="AV127" i="76"/>
  <c r="R835" i="76"/>
  <c r="P942" i="76"/>
  <c r="R1013" i="76"/>
  <c r="N1058" i="76"/>
  <c r="AZ675" i="76"/>
  <c r="AW881" i="76"/>
  <c r="AY559" i="76"/>
  <c r="AW1029" i="76"/>
  <c r="AZ711" i="76"/>
  <c r="N125" i="76"/>
  <c r="AU242" i="76"/>
  <c r="AU772" i="76"/>
  <c r="AX1024" i="76"/>
  <c r="AU521" i="76"/>
  <c r="Q338" i="76"/>
  <c r="AW174" i="76"/>
  <c r="O465" i="76"/>
  <c r="AX565" i="76"/>
  <c r="AY191" i="76"/>
  <c r="S656" i="76"/>
  <c r="Q91" i="76"/>
  <c r="AY897" i="76"/>
  <c r="AW171" i="76"/>
  <c r="S832" i="76"/>
  <c r="AY267" i="76"/>
  <c r="AW72" i="76"/>
  <c r="P959" i="76"/>
  <c r="AY656" i="76"/>
  <c r="AZ153" i="76"/>
  <c r="AV711" i="76"/>
  <c r="AZ344" i="76"/>
  <c r="AY989" i="76"/>
  <c r="AU394" i="76"/>
  <c r="AV1046" i="76"/>
  <c r="AZ1047" i="76"/>
  <c r="O173" i="76"/>
  <c r="AW806" i="76"/>
  <c r="P708" i="76"/>
  <c r="AV790" i="76"/>
  <c r="AU359" i="76"/>
  <c r="AY895" i="76"/>
  <c r="AY731" i="76"/>
  <c r="O972" i="76"/>
  <c r="O726" i="76"/>
  <c r="AW310" i="76"/>
  <c r="AU253" i="76"/>
  <c r="N924" i="76"/>
  <c r="AZ159" i="76"/>
  <c r="AW787" i="76"/>
  <c r="O230" i="76"/>
  <c r="AV353" i="76"/>
  <c r="AW520" i="76"/>
  <c r="AW256" i="76"/>
  <c r="AV772" i="76"/>
  <c r="AV1035" i="76"/>
  <c r="AZ710" i="76"/>
  <c r="N390" i="76"/>
  <c r="AW654" i="76"/>
  <c r="AY354" i="76"/>
  <c r="Q550" i="76"/>
  <c r="AY966" i="76"/>
  <c r="AW384" i="76"/>
  <c r="AU557" i="76"/>
  <c r="AU88" i="76"/>
  <c r="N678" i="76"/>
  <c r="N334" i="76"/>
  <c r="AV934" i="76"/>
  <c r="AU904" i="76"/>
  <c r="AZ541" i="76"/>
  <c r="AU570" i="76"/>
  <c r="AW275" i="76"/>
  <c r="S743" i="76"/>
  <c r="AZ119" i="76"/>
  <c r="AX370" i="76"/>
  <c r="AX341" i="76"/>
  <c r="AX842" i="76"/>
  <c r="AZ995" i="76"/>
  <c r="Q794" i="76"/>
  <c r="R496" i="76"/>
  <c r="P247" i="76"/>
  <c r="AV1028" i="76"/>
  <c r="AZ704" i="76"/>
  <c r="S1036" i="76"/>
  <c r="AZ196" i="76"/>
  <c r="AZ1066" i="76"/>
  <c r="AY566" i="76"/>
  <c r="AX989" i="76"/>
  <c r="AY938" i="76"/>
  <c r="AY867" i="76"/>
  <c r="O1035" i="76"/>
  <c r="R246" i="76"/>
  <c r="P529" i="76"/>
  <c r="AV740" i="76"/>
  <c r="AV677" i="76"/>
  <c r="AX359" i="76"/>
  <c r="AV727" i="76"/>
  <c r="AZ294" i="76"/>
  <c r="N922" i="76"/>
  <c r="AX413" i="76"/>
  <c r="AY260" i="76"/>
  <c r="AU608" i="76"/>
  <c r="AV736" i="76"/>
  <c r="AU108" i="76"/>
  <c r="P228" i="76"/>
  <c r="AU459" i="76"/>
  <c r="R229" i="76"/>
  <c r="Q221" i="76"/>
  <c r="AU823" i="76"/>
  <c r="AV445" i="76"/>
  <c r="AY951" i="76"/>
  <c r="N540" i="76"/>
  <c r="AU1063" i="76"/>
  <c r="O278" i="76"/>
  <c r="AZ526" i="76"/>
  <c r="AV500" i="76"/>
  <c r="AV91" i="76"/>
  <c r="AU476" i="76"/>
  <c r="P357" i="76"/>
  <c r="AU672" i="76"/>
  <c r="AX312" i="76"/>
  <c r="AZ654" i="76"/>
  <c r="AV188" i="76"/>
  <c r="AX944" i="76"/>
  <c r="N698" i="76"/>
  <c r="AV456" i="76"/>
  <c r="R492" i="76"/>
  <c r="N840" i="76"/>
  <c r="Q280" i="76"/>
  <c r="AZ1017" i="76"/>
  <c r="AU270" i="76"/>
  <c r="AU1051" i="76"/>
  <c r="AV631" i="76"/>
  <c r="AW343" i="76"/>
  <c r="AV223" i="76"/>
  <c r="S979" i="76"/>
  <c r="AX739" i="76"/>
  <c r="AV917" i="76"/>
  <c r="R264" i="76"/>
  <c r="Q266" i="76"/>
  <c r="R487" i="76"/>
  <c r="AZ171" i="76"/>
  <c r="S626" i="76"/>
  <c r="AZ522" i="76"/>
  <c r="AU443" i="76"/>
  <c r="P822" i="76"/>
  <c r="AV1024" i="76"/>
  <c r="AW675" i="76"/>
  <c r="AZ450" i="76"/>
  <c r="S279" i="76"/>
  <c r="AW672" i="76"/>
  <c r="AW877" i="76"/>
  <c r="AX718" i="76"/>
  <c r="AV1056" i="76"/>
  <c r="AZ372" i="76"/>
  <c r="Q847" i="76"/>
  <c r="S397" i="76"/>
  <c r="P1013" i="76"/>
  <c r="Q647" i="76"/>
  <c r="P632" i="76"/>
  <c r="Q805" i="76"/>
  <c r="O458" i="76"/>
  <c r="O948" i="76"/>
  <c r="R866" i="76"/>
  <c r="O407" i="76"/>
  <c r="R1024" i="76"/>
  <c r="N666" i="76"/>
  <c r="O183" i="76"/>
  <c r="N820" i="76"/>
  <c r="R471" i="76"/>
  <c r="R970" i="76"/>
  <c r="N881" i="76"/>
  <c r="Q418" i="76"/>
  <c r="N1034" i="76"/>
  <c r="O684" i="76"/>
  <c r="Q194" i="76"/>
  <c r="R840" i="76"/>
  <c r="O486" i="76"/>
  <c r="R994" i="76"/>
  <c r="S794" i="76"/>
  <c r="P704" i="76"/>
  <c r="Q1038" i="76"/>
  <c r="R570" i="76"/>
  <c r="N368" i="76"/>
  <c r="Q950" i="76"/>
  <c r="Q407" i="76"/>
  <c r="S883" i="76"/>
  <c r="O625" i="76"/>
  <c r="Q776" i="76"/>
  <c r="Q942" i="76"/>
  <c r="Q191" i="76"/>
  <c r="S710" i="76"/>
  <c r="S211" i="76"/>
  <c r="N473" i="76"/>
  <c r="AZ918" i="76"/>
  <c r="AY721" i="76"/>
  <c r="AU773" i="76"/>
  <c r="O851" i="76"/>
  <c r="Q1023" i="76"/>
  <c r="P282" i="76"/>
  <c r="O793" i="76"/>
  <c r="N601" i="76"/>
  <c r="S783" i="76"/>
  <c r="Q443" i="76"/>
  <c r="R851" i="76"/>
  <c r="O138" i="76"/>
  <c r="AW509" i="76"/>
  <c r="AV424" i="76"/>
  <c r="AW611" i="76"/>
  <c r="P665" i="76"/>
  <c r="AY1013" i="76"/>
  <c r="AU408" i="76"/>
  <c r="AU441" i="76"/>
  <c r="O1052" i="76"/>
  <c r="S1034" i="76"/>
  <c r="R293" i="76"/>
  <c r="Q366" i="76"/>
  <c r="R615" i="76"/>
  <c r="O798" i="76"/>
  <c r="N453" i="76"/>
  <c r="N603" i="76"/>
  <c r="S237" i="76"/>
  <c r="P778" i="76"/>
  <c r="S266" i="76"/>
  <c r="R135" i="76"/>
  <c r="AZ103" i="76"/>
  <c r="AU481" i="76"/>
  <c r="N821" i="76"/>
  <c r="Q193" i="76"/>
  <c r="AW722" i="76"/>
  <c r="AY882" i="76"/>
  <c r="Q809" i="76"/>
  <c r="Q131" i="76"/>
  <c r="AX645" i="76"/>
  <c r="AW128" i="76"/>
  <c r="N351" i="76"/>
  <c r="N203" i="76"/>
  <c r="Q825" i="76"/>
  <c r="S323" i="76"/>
  <c r="R431" i="76"/>
  <c r="AV802" i="76"/>
  <c r="AW883" i="76"/>
  <c r="P717" i="76"/>
  <c r="AW935" i="76"/>
  <c r="AW562" i="76"/>
  <c r="AW88" i="76"/>
  <c r="S573" i="76"/>
  <c r="O91" i="76"/>
  <c r="AV506" i="76"/>
  <c r="AW639" i="76"/>
  <c r="N593" i="76"/>
  <c r="S1058" i="76"/>
  <c r="R808" i="76"/>
  <c r="P574" i="76"/>
  <c r="R294" i="76"/>
  <c r="AX589" i="76"/>
  <c r="AX476" i="76"/>
  <c r="S898" i="76"/>
  <c r="S939" i="76"/>
  <c r="R789" i="76"/>
  <c r="Q746" i="76"/>
  <c r="AV257" i="76"/>
  <c r="R877" i="76"/>
  <c r="AU1041" i="76"/>
  <c r="AY318" i="76"/>
  <c r="O677" i="76"/>
  <c r="AY1006" i="76"/>
  <c r="AV779" i="76"/>
  <c r="AW175" i="76"/>
  <c r="N367" i="76"/>
  <c r="AX994" i="76"/>
  <c r="AY136" i="76"/>
  <c r="AV624" i="76"/>
  <c r="P943" i="76"/>
  <c r="N960" i="76"/>
  <c r="N799" i="76"/>
  <c r="S569" i="76"/>
  <c r="AU289" i="76"/>
  <c r="N921" i="76"/>
  <c r="AW1064" i="76"/>
  <c r="AW359" i="76"/>
  <c r="O741" i="76"/>
  <c r="AU1016" i="76"/>
  <c r="AZ801" i="76"/>
  <c r="AV390" i="76"/>
  <c r="R389" i="76"/>
  <c r="AZ1005" i="76"/>
  <c r="AU146" i="76"/>
  <c r="AX647" i="76"/>
  <c r="R881" i="76"/>
  <c r="S1035" i="76"/>
  <c r="R939" i="76"/>
  <c r="O787" i="76"/>
  <c r="AZ386" i="76"/>
  <c r="S871" i="76"/>
  <c r="P644" i="76"/>
  <c r="AW485" i="76"/>
  <c r="R743" i="76"/>
  <c r="O163" i="76"/>
  <c r="AX856" i="76"/>
  <c r="AW135" i="76"/>
  <c r="Q488" i="76"/>
  <c r="AV1047" i="76"/>
  <c r="AW189" i="76"/>
  <c r="AZ734" i="76"/>
  <c r="S996" i="76"/>
  <c r="P342" i="76"/>
  <c r="R846" i="76"/>
  <c r="AY273" i="76"/>
  <c r="AV946" i="76"/>
  <c r="AY274" i="76"/>
  <c r="AZ843" i="76"/>
  <c r="AX330" i="76"/>
  <c r="R136" i="76"/>
  <c r="AU871" i="76"/>
  <c r="AZ289" i="76"/>
  <c r="AX969" i="76"/>
  <c r="AZ875" i="76"/>
  <c r="N171" i="76"/>
  <c r="AV533" i="76"/>
  <c r="S522" i="76"/>
  <c r="AU739" i="76"/>
  <c r="N912" i="76"/>
  <c r="AU738" i="76"/>
  <c r="R353" i="76"/>
  <c r="Q846" i="76"/>
  <c r="AX313" i="76"/>
  <c r="AZ964" i="76"/>
  <c r="AZ157" i="76"/>
  <c r="AY853" i="76"/>
  <c r="AW616" i="76"/>
  <c r="P157" i="76"/>
  <c r="AV890" i="76"/>
  <c r="AZ880" i="76"/>
  <c r="AX1036" i="76"/>
  <c r="AV334" i="76"/>
  <c r="O234" i="76"/>
  <c r="AZ579" i="76"/>
  <c r="Q613" i="76"/>
  <c r="R592" i="76"/>
  <c r="S1006" i="76"/>
  <c r="AW1001" i="76"/>
  <c r="AX967" i="76"/>
  <c r="AX285" i="76"/>
  <c r="AY1047" i="76"/>
  <c r="AW547" i="76"/>
  <c r="P381" i="76"/>
  <c r="AW296" i="76"/>
  <c r="AU732" i="76"/>
  <c r="AX1037" i="76"/>
  <c r="AZ951" i="76"/>
  <c r="O175" i="76"/>
  <c r="AV258" i="76"/>
  <c r="Q490" i="76"/>
  <c r="AV265" i="76"/>
  <c r="R868" i="76"/>
  <c r="P105" i="76"/>
  <c r="AU115" i="76"/>
  <c r="AV1020" i="76"/>
  <c r="AU580" i="76"/>
  <c r="AV1054" i="76"/>
  <c r="AW204" i="76"/>
  <c r="O573" i="76"/>
  <c r="AY339" i="76"/>
  <c r="AX433" i="76"/>
  <c r="N188" i="76"/>
  <c r="AV80" i="76"/>
  <c r="P296" i="76"/>
  <c r="AW301" i="76"/>
  <c r="R585" i="76"/>
  <c r="AW308" i="76"/>
  <c r="O477" i="76"/>
  <c r="AZ804" i="76"/>
  <c r="AX773" i="76"/>
  <c r="P672" i="76"/>
  <c r="Q1064" i="76"/>
  <c r="AV716" i="76"/>
  <c r="AY194" i="76"/>
  <c r="AU440" i="76"/>
  <c r="N387" i="76"/>
  <c r="AV234" i="76"/>
  <c r="N392" i="76"/>
  <c r="P545" i="76"/>
  <c r="AU297" i="76"/>
  <c r="AU80" i="76"/>
  <c r="N297" i="76"/>
  <c r="AY549" i="76"/>
  <c r="R209" i="76"/>
  <c r="R331" i="76"/>
  <c r="Q832" i="76"/>
  <c r="AU740" i="76"/>
  <c r="AW446" i="76"/>
  <c r="S218" i="76"/>
  <c r="AV756" i="76"/>
  <c r="AW458" i="76"/>
  <c r="AY889" i="76"/>
  <c r="AW396" i="76"/>
  <c r="P352" i="76"/>
  <c r="R1030" i="76"/>
  <c r="R778" i="76"/>
  <c r="AY334" i="76"/>
  <c r="R234" i="76"/>
  <c r="S552" i="76"/>
  <c r="O537" i="76"/>
  <c r="AW825" i="76"/>
  <c r="AZ784" i="76"/>
  <c r="S118" i="76"/>
  <c r="R1039" i="76"/>
  <c r="AX803" i="76"/>
  <c r="AW235" i="76"/>
  <c r="AV483" i="76"/>
  <c r="P430" i="76"/>
  <c r="AY256" i="76"/>
  <c r="N483" i="76"/>
  <c r="O659" i="76"/>
  <c r="AW340" i="76"/>
  <c r="AW544" i="76"/>
  <c r="AX952" i="76"/>
  <c r="AW634" i="76"/>
  <c r="N119" i="76"/>
  <c r="N507" i="76"/>
  <c r="S782" i="76"/>
  <c r="P267" i="76"/>
  <c r="AU98" i="76"/>
  <c r="N517" i="76"/>
  <c r="Q684" i="76"/>
  <c r="AY454" i="76"/>
  <c r="AZ248" i="76"/>
  <c r="P759" i="76"/>
  <c r="AY297" i="76"/>
  <c r="N80" i="76"/>
  <c r="AZ925" i="76"/>
  <c r="P474" i="76"/>
  <c r="S989" i="76"/>
  <c r="P843" i="76"/>
  <c r="AY478" i="76"/>
  <c r="AU116" i="76"/>
  <c r="AY393" i="76"/>
  <c r="AV510" i="76"/>
  <c r="AV1012" i="76"/>
  <c r="P239" i="76"/>
  <c r="Q812" i="76"/>
  <c r="AW429" i="76"/>
  <c r="R189" i="76"/>
  <c r="AZ518" i="76"/>
  <c r="AW609" i="76"/>
  <c r="Q1065" i="76"/>
  <c r="AX712" i="76"/>
  <c r="AU374" i="76"/>
  <c r="AU352" i="76"/>
  <c r="AU1047" i="76"/>
  <c r="AU258" i="76"/>
  <c r="AY251" i="76"/>
  <c r="AX1018" i="76"/>
  <c r="P488" i="76"/>
  <c r="AU709" i="76"/>
  <c r="R1059" i="76"/>
  <c r="AU500" i="76"/>
  <c r="AY621" i="76"/>
  <c r="AU598" i="76"/>
  <c r="Q146" i="76"/>
  <c r="O359" i="76"/>
  <c r="AZ113" i="76"/>
  <c r="AZ961" i="76"/>
  <c r="AV1058" i="76"/>
  <c r="O395" i="76"/>
  <c r="AX609" i="76"/>
  <c r="AZ718" i="76"/>
  <c r="R975" i="76"/>
  <c r="AZ445" i="76"/>
  <c r="AY810" i="76"/>
  <c r="AZ236" i="76"/>
  <c r="N794" i="76"/>
  <c r="AV953" i="76"/>
  <c r="N210" i="76"/>
  <c r="AW486" i="76"/>
  <c r="AV135" i="76"/>
  <c r="AU728" i="76"/>
  <c r="S73" i="76"/>
  <c r="AX643" i="76"/>
  <c r="AV659" i="76"/>
  <c r="Q561" i="76"/>
  <c r="N320" i="76"/>
  <c r="AY595" i="76"/>
  <c r="AV404" i="76"/>
  <c r="AV984" i="76"/>
  <c r="AW829" i="76"/>
  <c r="O585" i="76"/>
  <c r="AV247" i="76"/>
  <c r="AU1061" i="76"/>
  <c r="N692" i="76"/>
  <c r="AY758" i="76"/>
  <c r="Q201" i="76"/>
  <c r="AX545" i="76"/>
  <c r="AU74" i="76"/>
  <c r="AV881" i="76"/>
  <c r="AV434" i="76"/>
  <c r="AZ222" i="76"/>
  <c r="R360" i="76"/>
  <c r="AX395" i="76"/>
  <c r="AX757" i="76"/>
  <c r="AV262" i="76"/>
  <c r="AZ1068" i="76"/>
  <c r="AU133" i="76"/>
  <c r="AW740" i="76"/>
  <c r="AX325" i="76"/>
  <c r="R510" i="76"/>
  <c r="Q603" i="76"/>
  <c r="AY81" i="76"/>
  <c r="Q203" i="76"/>
  <c r="AW801" i="76"/>
  <c r="Q186" i="76"/>
  <c r="AY693" i="76"/>
  <c r="P530" i="76"/>
  <c r="Q957" i="76"/>
  <c r="AV427" i="76"/>
  <c r="P608" i="76"/>
  <c r="AW938" i="76"/>
  <c r="P1044" i="76"/>
  <c r="S363" i="76"/>
  <c r="AX884" i="76"/>
  <c r="AU124" i="76"/>
  <c r="AW613" i="76"/>
  <c r="AU99" i="76"/>
  <c r="AV364" i="76"/>
  <c r="N770" i="76"/>
  <c r="R1066" i="76"/>
  <c r="Q497" i="76"/>
  <c r="Q992" i="76"/>
  <c r="Q566" i="76"/>
  <c r="Q258" i="76"/>
  <c r="P675" i="76"/>
  <c r="P600" i="76"/>
  <c r="P954" i="76"/>
  <c r="P831" i="76"/>
  <c r="N512" i="76"/>
  <c r="S1003" i="76"/>
  <c r="S577" i="76"/>
  <c r="S269" i="76"/>
  <c r="R686" i="76"/>
  <c r="N629" i="76"/>
  <c r="O970" i="76"/>
  <c r="R842" i="76"/>
  <c r="R529" i="76"/>
  <c r="O1013" i="76"/>
  <c r="O587" i="76"/>
  <c r="O279" i="76"/>
  <c r="N696" i="76"/>
  <c r="P681" i="76"/>
  <c r="R993" i="76"/>
  <c r="R895" i="76"/>
  <c r="S429" i="76"/>
  <c r="P1045" i="76"/>
  <c r="P710" i="76"/>
  <c r="S205" i="76"/>
  <c r="N856" i="76"/>
  <c r="S500" i="76"/>
  <c r="P1035" i="76"/>
  <c r="O639" i="76"/>
  <c r="R738" i="76"/>
  <c r="Q1033" i="76"/>
  <c r="P112" i="76"/>
  <c r="P566" i="76"/>
  <c r="S420" i="76"/>
  <c r="R430" i="76"/>
  <c r="AW1003" i="76"/>
  <c r="AV806" i="76"/>
  <c r="AW203" i="76"/>
  <c r="O950" i="76"/>
  <c r="S291" i="76"/>
  <c r="P713" i="76"/>
  <c r="P583" i="76"/>
  <c r="S621" i="76"/>
  <c r="P711" i="76"/>
  <c r="N556" i="76"/>
  <c r="Q949" i="76"/>
  <c r="Q232" i="76"/>
  <c r="AU594" i="76"/>
  <c r="AX510" i="76"/>
  <c r="AY126" i="76"/>
  <c r="R663" i="76"/>
  <c r="O413" i="76"/>
  <c r="AV494" i="76"/>
  <c r="AW615" i="76"/>
  <c r="AV442" i="76"/>
  <c r="S256" i="76"/>
  <c r="Q237" i="76"/>
  <c r="Q609" i="76"/>
  <c r="O631" i="76"/>
  <c r="R722" i="76"/>
  <c r="Q581" i="76"/>
  <c r="S599" i="76"/>
  <c r="P327" i="76"/>
  <c r="R951" i="76"/>
  <c r="O199" i="76"/>
  <c r="O239" i="76"/>
  <c r="AV209" i="76"/>
  <c r="AV696" i="76"/>
  <c r="S675" i="76"/>
  <c r="AX938" i="76"/>
  <c r="AV818" i="76"/>
  <c r="AX183" i="76"/>
  <c r="O966" i="76"/>
  <c r="Q189" i="76"/>
  <c r="AV730" i="76"/>
  <c r="AU360" i="76"/>
  <c r="Q694" i="76"/>
  <c r="Q233" i="76"/>
  <c r="Q927" i="76"/>
  <c r="P148" i="76"/>
  <c r="O406" i="76"/>
  <c r="AZ999" i="76"/>
  <c r="AW330" i="76"/>
  <c r="O646" i="76"/>
  <c r="AV1031" i="76"/>
  <c r="AW658" i="76"/>
  <c r="AW640" i="76"/>
  <c r="S888" i="76"/>
  <c r="Q183" i="76"/>
  <c r="AZ592" i="76"/>
  <c r="AZ813" i="76"/>
  <c r="S788" i="76"/>
  <c r="Q260" i="76"/>
  <c r="O859" i="76"/>
  <c r="O161" i="76"/>
  <c r="R124" i="76"/>
  <c r="AX717" i="76"/>
  <c r="AY691" i="76"/>
  <c r="R749" i="76"/>
  <c r="S982" i="76"/>
  <c r="N911" i="76"/>
  <c r="O802" i="76"/>
  <c r="AZ429" i="76"/>
  <c r="R953" i="76"/>
  <c r="N224" i="76"/>
  <c r="AV589" i="76"/>
  <c r="P896" i="76"/>
  <c r="AZ894" i="76"/>
  <c r="AY933" i="76"/>
  <c r="AX246" i="76"/>
  <c r="Q616" i="76"/>
  <c r="N159" i="76"/>
  <c r="AW221" i="76"/>
  <c r="AZ798" i="76"/>
  <c r="P1003" i="76"/>
  <c r="R804" i="76"/>
  <c r="P922" i="76"/>
  <c r="S624" i="76"/>
  <c r="AU471" i="76"/>
  <c r="N987" i="76"/>
  <c r="AU870" i="76"/>
  <c r="AZ635" i="76"/>
  <c r="P1011" i="76"/>
  <c r="AW915" i="76"/>
  <c r="AV994" i="76"/>
  <c r="AZ292" i="76"/>
  <c r="S720" i="76"/>
  <c r="O264" i="76"/>
  <c r="AY232" i="76"/>
  <c r="AU816" i="76"/>
  <c r="N935" i="76"/>
  <c r="O277" i="76"/>
  <c r="S923" i="76"/>
  <c r="P573" i="76"/>
  <c r="AX557" i="76"/>
  <c r="N974" i="76"/>
  <c r="AW924" i="76"/>
  <c r="AZ763" i="76"/>
  <c r="P691" i="76"/>
  <c r="AZ969" i="76"/>
  <c r="AV82" i="76"/>
  <c r="AX459" i="76"/>
  <c r="S509" i="76"/>
  <c r="AV880" i="76"/>
  <c r="AZ275" i="76"/>
  <c r="AX178" i="76"/>
  <c r="S915" i="76"/>
  <c r="S586" i="76"/>
  <c r="S891" i="76"/>
  <c r="AZ829" i="76"/>
  <c r="AX1040" i="76"/>
  <c r="AZ794" i="76"/>
  <c r="AV937" i="76"/>
  <c r="AY290" i="76"/>
  <c r="Q128" i="76"/>
  <c r="AU114" i="76"/>
  <c r="AZ308" i="76"/>
  <c r="AY1043" i="76"/>
  <c r="AV119" i="76"/>
  <c r="P291" i="76"/>
  <c r="AY928" i="76"/>
  <c r="O415" i="76"/>
  <c r="AY968" i="76"/>
  <c r="P957" i="76"/>
  <c r="AY1003" i="76"/>
  <c r="O601" i="76"/>
  <c r="P945" i="76"/>
  <c r="AU225" i="76"/>
  <c r="AY1023" i="76"/>
  <c r="AV231" i="76"/>
  <c r="AU947" i="76"/>
  <c r="AW331" i="76"/>
  <c r="S195" i="76"/>
  <c r="AW125" i="76"/>
  <c r="AU390" i="76"/>
  <c r="AV857" i="76"/>
  <c r="AW374" i="76"/>
  <c r="S411" i="76"/>
  <c r="AX850" i="76"/>
  <c r="Q465" i="76"/>
  <c r="N860" i="76"/>
  <c r="Q780" i="76"/>
  <c r="AW349" i="76"/>
  <c r="AV940" i="76"/>
  <c r="AX110" i="76"/>
  <c r="AY915" i="76"/>
  <c r="AU367" i="76"/>
  <c r="P412" i="76"/>
  <c r="AV435" i="76"/>
  <c r="AV139" i="76"/>
  <c r="AY927" i="76"/>
  <c r="AV335" i="76"/>
  <c r="S144" i="76"/>
  <c r="AZ430" i="76"/>
  <c r="S928" i="76"/>
  <c r="AZ437" i="76"/>
  <c r="O784" i="76"/>
  <c r="S151" i="76"/>
  <c r="AZ446" i="76"/>
  <c r="AY994" i="76"/>
  <c r="AW824" i="76"/>
  <c r="AY947" i="76"/>
  <c r="AX91" i="76"/>
  <c r="P700" i="76"/>
  <c r="AU467" i="76"/>
  <c r="AZ578" i="76"/>
  <c r="AZ970" i="76"/>
  <c r="AX421" i="76"/>
  <c r="P185" i="76"/>
  <c r="AU472" i="76"/>
  <c r="Q608" i="76"/>
  <c r="AU479" i="76"/>
  <c r="R691" i="76"/>
  <c r="AX339" i="76"/>
  <c r="AX244" i="76"/>
  <c r="Q94" i="76"/>
  <c r="AW811" i="76"/>
  <c r="AW381" i="76"/>
  <c r="AU954" i="76"/>
  <c r="AW718" i="76"/>
  <c r="R695" i="76"/>
  <c r="AW427" i="76"/>
  <c r="O459" i="76"/>
  <c r="R954" i="76"/>
  <c r="AZ640" i="76"/>
  <c r="AV283" i="76"/>
  <c r="N116" i="76"/>
  <c r="AW352" i="76"/>
  <c r="R412" i="76"/>
  <c r="N719" i="76"/>
  <c r="N891" i="76"/>
  <c r="AU356" i="76"/>
  <c r="AZ1012" i="76"/>
  <c r="O345" i="76"/>
  <c r="AY234" i="76"/>
  <c r="AX132" i="76"/>
  <c r="AV380" i="76"/>
  <c r="AV190" i="76"/>
  <c r="S649" i="76"/>
  <c r="AU612" i="76"/>
  <c r="R978" i="76"/>
  <c r="AZ434" i="76"/>
  <c r="N521" i="76"/>
  <c r="R828" i="76"/>
  <c r="P497" i="76"/>
  <c r="AU392" i="76"/>
  <c r="AU265" i="76"/>
  <c r="S117" i="76"/>
  <c r="AY83" i="76"/>
  <c r="AZ466" i="76"/>
  <c r="AV195" i="76"/>
  <c r="AY761" i="76"/>
  <c r="O911" i="76"/>
  <c r="AX470" i="76"/>
  <c r="S545" i="76"/>
  <c r="P914" i="76"/>
  <c r="AV682" i="76"/>
  <c r="AU457" i="76"/>
  <c r="R186" i="76"/>
  <c r="AX438" i="76"/>
  <c r="O96" i="76"/>
  <c r="R446" i="76"/>
  <c r="S1057" i="76"/>
  <c r="AV521" i="76"/>
  <c r="AX968" i="76"/>
  <c r="R193" i="76"/>
  <c r="R1021" i="76"/>
  <c r="AY944" i="76"/>
  <c r="AX590" i="76"/>
  <c r="S863" i="76"/>
  <c r="AV126" i="76"/>
  <c r="N631" i="76"/>
  <c r="R362" i="76"/>
  <c r="O981" i="76"/>
  <c r="AV641" i="76"/>
  <c r="P77" i="76"/>
  <c r="AZ176" i="76"/>
  <c r="AW760" i="76"/>
  <c r="AX460" i="76"/>
  <c r="AX777" i="76"/>
  <c r="AZ906" i="76"/>
  <c r="S372" i="76"/>
  <c r="N682" i="76"/>
  <c r="AY1016" i="76"/>
  <c r="O272" i="76"/>
  <c r="AY871" i="76"/>
  <c r="AY921" i="76"/>
  <c r="AW83" i="76"/>
  <c r="AZ70" i="76"/>
  <c r="AU511" i="76"/>
  <c r="AU103" i="76"/>
  <c r="O174" i="76"/>
  <c r="AY601" i="76"/>
  <c r="AW593" i="76"/>
  <c r="O75" i="76"/>
  <c r="S578" i="76"/>
  <c r="AV417" i="76"/>
  <c r="AW286" i="76"/>
  <c r="AU801" i="76"/>
  <c r="AU906" i="76"/>
  <c r="AZ911" i="76"/>
  <c r="R320" i="76"/>
  <c r="N380" i="76"/>
  <c r="AW251" i="76"/>
  <c r="AU900" i="76"/>
  <c r="AX126" i="76"/>
  <c r="R379" i="76"/>
  <c r="AX121" i="76"/>
  <c r="AV76" i="76"/>
  <c r="P435" i="76"/>
  <c r="AZ812" i="76"/>
  <c r="R945" i="76"/>
  <c r="AW345" i="76"/>
  <c r="S447" i="76"/>
  <c r="AX208" i="76"/>
  <c r="AV919" i="76"/>
  <c r="AU247" i="76"/>
  <c r="R972" i="76"/>
  <c r="AW472" i="76"/>
  <c r="AU909" i="76"/>
  <c r="P998" i="76"/>
  <c r="AZ162" i="76"/>
  <c r="AY663" i="76"/>
  <c r="AX831" i="76"/>
  <c r="AU932" i="76"/>
  <c r="P648" i="76"/>
  <c r="AV341" i="76"/>
  <c r="AU895" i="76"/>
  <c r="AV428" i="76"/>
  <c r="R971" i="76"/>
  <c r="S295" i="76"/>
  <c r="Q660" i="76"/>
  <c r="AX869" i="76"/>
  <c r="AV972" i="76"/>
  <c r="AV464" i="76"/>
  <c r="AX641" i="76"/>
  <c r="AV873" i="76"/>
  <c r="R874" i="76"/>
  <c r="AU474" i="76"/>
  <c r="P350" i="76"/>
  <c r="P610" i="76"/>
  <c r="Q521" i="76"/>
  <c r="AU520" i="76"/>
  <c r="R161" i="76"/>
  <c r="AU186" i="76"/>
  <c r="R262" i="76"/>
  <c r="AX770" i="76"/>
  <c r="O218" i="76"/>
  <c r="R712" i="76"/>
  <c r="AW538" i="76"/>
  <c r="N560" i="76"/>
  <c r="AX311" i="76"/>
  <c r="O781" i="76"/>
  <c r="AY981" i="76"/>
  <c r="AX927" i="76"/>
  <c r="AY786" i="76"/>
  <c r="AU698" i="76"/>
  <c r="AY121" i="76"/>
  <c r="AY536" i="76"/>
  <c r="P857" i="76"/>
  <c r="AY397" i="76"/>
  <c r="AW181" i="76"/>
  <c r="AX239" i="76"/>
  <c r="AY514" i="76"/>
  <c r="AZ138" i="76"/>
  <c r="AU700" i="76"/>
  <c r="N871" i="76"/>
  <c r="Q514" i="76"/>
  <c r="N183" i="76"/>
  <c r="P689" i="76"/>
  <c r="O732" i="76"/>
  <c r="S886" i="76"/>
  <c r="P615" i="76"/>
  <c r="Q1040" i="76"/>
  <c r="P882" i="76"/>
  <c r="S525" i="76"/>
  <c r="N193" i="76"/>
  <c r="P702" i="76"/>
  <c r="O238" i="76"/>
  <c r="P901" i="76"/>
  <c r="O645" i="76"/>
  <c r="S1051" i="76"/>
  <c r="R893" i="76"/>
  <c r="O535" i="76"/>
  <c r="R207" i="76"/>
  <c r="Q715" i="76"/>
  <c r="Q249" i="76"/>
  <c r="O920" i="76"/>
  <c r="P706" i="76"/>
  <c r="O1061" i="76"/>
  <c r="R906" i="76"/>
  <c r="S461" i="76"/>
  <c r="N130" i="76"/>
  <c r="S632" i="76"/>
  <c r="O462" i="76"/>
  <c r="P823" i="76"/>
  <c r="P503" i="76"/>
  <c r="S987" i="76"/>
  <c r="N745" i="76"/>
  <c r="O947" i="76"/>
  <c r="P470" i="76"/>
  <c r="R366" i="76"/>
  <c r="Q614" i="76"/>
  <c r="Q306" i="76"/>
  <c r="Q813" i="76"/>
  <c r="AW958" i="76"/>
  <c r="AU353" i="76"/>
  <c r="AZ336" i="76"/>
  <c r="P1056" i="76"/>
  <c r="R525" i="76"/>
  <c r="R426" i="76"/>
  <c r="Q742" i="76"/>
  <c r="P917" i="76"/>
  <c r="Q1002" i="76"/>
  <c r="O570" i="76"/>
  <c r="O909" i="76"/>
  <c r="N177" i="76"/>
  <c r="Q154" i="76"/>
  <c r="AY854" i="76"/>
  <c r="AX179" i="76"/>
  <c r="N574" i="76"/>
  <c r="O104" i="76"/>
  <c r="AY1048" i="76"/>
  <c r="AX740" i="76"/>
  <c r="AU934" i="76"/>
  <c r="N457" i="76"/>
  <c r="N436" i="76"/>
  <c r="R774" i="76"/>
  <c r="P982" i="76"/>
  <c r="O1043" i="76"/>
  <c r="P596" i="76"/>
  <c r="P859" i="76"/>
  <c r="N331" i="76"/>
  <c r="S179" i="76"/>
  <c r="P526" i="76"/>
  <c r="Q451" i="76"/>
  <c r="AU786" i="76"/>
  <c r="AW398" i="76"/>
  <c r="P830" i="76"/>
  <c r="N163" i="76"/>
  <c r="AX430" i="76"/>
  <c r="AU418" i="76"/>
  <c r="S892" i="76"/>
  <c r="S490" i="76"/>
  <c r="AW276" i="76"/>
  <c r="AY193" i="76"/>
  <c r="N1036" i="76"/>
  <c r="P568" i="76"/>
  <c r="O1040" i="76"/>
  <c r="Q659" i="76"/>
  <c r="R248" i="76"/>
  <c r="AW605" i="76"/>
  <c r="AU760" i="76"/>
  <c r="P888" i="76"/>
  <c r="S170" i="76"/>
  <c r="AV269" i="76"/>
  <c r="AV840" i="76"/>
  <c r="S1017" i="76"/>
  <c r="R467" i="76"/>
  <c r="AV137" i="76"/>
  <c r="AX921" i="76"/>
  <c r="S629" i="76"/>
  <c r="R192" i="76"/>
  <c r="Q912" i="76"/>
  <c r="O528" i="76"/>
  <c r="O394" i="76"/>
  <c r="AW391" i="76"/>
  <c r="AW377" i="76"/>
  <c r="R823" i="76"/>
  <c r="O660" i="76"/>
  <c r="Q350" i="76"/>
  <c r="Q978" i="76"/>
  <c r="AV466" i="76"/>
  <c r="AY195" i="76"/>
  <c r="AZ1053" i="76"/>
  <c r="AX522" i="76"/>
  <c r="R913" i="76"/>
  <c r="Q326" i="76"/>
  <c r="AW574" i="76"/>
  <c r="AY203" i="76"/>
  <c r="O559" i="76"/>
  <c r="Q147" i="76"/>
  <c r="AX649" i="76"/>
  <c r="AW152" i="76"/>
  <c r="AY86" i="76"/>
  <c r="N499" i="76"/>
  <c r="Q556" i="76"/>
  <c r="O869" i="76"/>
  <c r="AY488" i="76"/>
  <c r="AU364" i="76"/>
  <c r="AV1063" i="76"/>
  <c r="AV543" i="76"/>
  <c r="P994" i="76"/>
  <c r="S499" i="76"/>
  <c r="AU595" i="76"/>
  <c r="AW244" i="76"/>
  <c r="S581" i="76"/>
  <c r="O201" i="76"/>
  <c r="AZ660" i="76"/>
  <c r="AU209" i="76"/>
  <c r="AX86" i="76"/>
  <c r="Q450" i="76"/>
  <c r="Q344" i="76"/>
  <c r="P986" i="76"/>
  <c r="AW573" i="76"/>
  <c r="AV140" i="76"/>
  <c r="AZ886" i="76"/>
  <c r="AV607" i="76"/>
  <c r="P1047" i="76"/>
  <c r="R460" i="76"/>
  <c r="AY649" i="76"/>
  <c r="AU411" i="76"/>
  <c r="R673" i="76"/>
  <c r="R74" i="76"/>
  <c r="AV702" i="76"/>
  <c r="AU304" i="76"/>
  <c r="AU84" i="76"/>
  <c r="P141" i="76"/>
  <c r="P379" i="76"/>
  <c r="AX197" i="76"/>
  <c r="AU1023" i="76"/>
  <c r="AU184" i="76"/>
  <c r="AW947" i="76"/>
  <c r="AY547" i="76"/>
  <c r="S348" i="76"/>
  <c r="AV798" i="76"/>
  <c r="AV962" i="76"/>
  <c r="AW927" i="76"/>
  <c r="AZ494" i="76"/>
  <c r="Q597" i="76"/>
  <c r="AW893" i="76"/>
  <c r="O740" i="76"/>
  <c r="AW926" i="76"/>
  <c r="AV732" i="76"/>
  <c r="AW987" i="76"/>
  <c r="S259" i="76"/>
  <c r="Q401" i="76"/>
  <c r="AY272" i="76"/>
  <c r="AY1045" i="76"/>
  <c r="AV516" i="76"/>
  <c r="AX958" i="76"/>
  <c r="AW588" i="76"/>
  <c r="P476" i="76"/>
  <c r="AW809" i="76"/>
  <c r="AV307" i="76"/>
  <c r="AZ949" i="76"/>
  <c r="AX535" i="76"/>
  <c r="R103" i="76"/>
  <c r="AY937" i="76"/>
  <c r="P880" i="76"/>
  <c r="P560" i="76"/>
  <c r="N476" i="76"/>
  <c r="AY1008" i="76"/>
  <c r="Q749" i="76"/>
  <c r="AY523" i="76"/>
  <c r="Q178" i="76"/>
  <c r="AX639" i="76"/>
  <c r="S413" i="76"/>
  <c r="AV237" i="76"/>
  <c r="AW224" i="76"/>
  <c r="S162" i="76"/>
  <c r="AU576" i="76"/>
  <c r="O262" i="76"/>
  <c r="AY395" i="76"/>
  <c r="N769" i="76"/>
  <c r="AX410" i="76"/>
  <c r="Q383" i="76"/>
  <c r="Q707" i="76"/>
  <c r="AW129" i="76"/>
  <c r="O204" i="76"/>
  <c r="AW628" i="76"/>
  <c r="P351" i="76"/>
  <c r="AV744" i="76"/>
  <c r="N520" i="76"/>
  <c r="AU269" i="76"/>
  <c r="AV128" i="76"/>
  <c r="O139" i="76"/>
  <c r="AW663" i="76"/>
  <c r="P353" i="76"/>
  <c r="AY438" i="76"/>
  <c r="N929" i="76"/>
  <c r="AX453" i="76"/>
  <c r="S357" i="76"/>
  <c r="P94" i="76"/>
  <c r="AZ1065" i="76"/>
  <c r="O420" i="76"/>
  <c r="AZ770" i="76"/>
  <c r="AZ750" i="76"/>
  <c r="AX117" i="76"/>
  <c r="AV324" i="76"/>
  <c r="O862" i="76"/>
  <c r="AV530" i="76"/>
  <c r="N978" i="76"/>
  <c r="AY198" i="76"/>
  <c r="AW920" i="76"/>
  <c r="AV566" i="76"/>
  <c r="O119" i="76"/>
  <c r="R158" i="76"/>
  <c r="N492" i="76"/>
  <c r="R862" i="76"/>
  <c r="AZ149" i="76"/>
  <c r="AZ943" i="76"/>
  <c r="AY448" i="76"/>
  <c r="Q960" i="76"/>
  <c r="AZ283" i="76"/>
  <c r="S198" i="76"/>
  <c r="AU917" i="76"/>
  <c r="AX959" i="76"/>
  <c r="AW351" i="76"/>
  <c r="AV110" i="76"/>
  <c r="AX876" i="76"/>
  <c r="AU1062" i="76"/>
  <c r="AZ678" i="76"/>
  <c r="AX70" i="76"/>
  <c r="S470" i="76"/>
  <c r="N317" i="76"/>
  <c r="N373" i="76"/>
  <c r="S442" i="76"/>
  <c r="AY79" i="76"/>
  <c r="AX791" i="76"/>
  <c r="AV138" i="76"/>
  <c r="AX367" i="76"/>
  <c r="Q755" i="76"/>
  <c r="AZ552" i="76"/>
  <c r="R1064" i="76"/>
  <c r="AZ73" i="76"/>
  <c r="AX963" i="76"/>
  <c r="AZ652" i="76"/>
  <c r="O205" i="76"/>
  <c r="N567" i="76"/>
  <c r="S714" i="76"/>
  <c r="P870" i="76"/>
  <c r="AW315" i="76"/>
  <c r="AY247" i="76"/>
  <c r="S359" i="76"/>
  <c r="R669" i="76"/>
  <c r="AU829" i="76"/>
  <c r="AW914" i="76"/>
  <c r="AV97" i="76"/>
  <c r="AY1005" i="76"/>
  <c r="AW568" i="76"/>
  <c r="AU719" i="76"/>
  <c r="S1011" i="76"/>
  <c r="AZ376" i="76"/>
  <c r="AW594" i="76"/>
  <c r="AU988" i="76"/>
  <c r="Q195" i="76"/>
  <c r="AU318" i="76"/>
  <c r="AZ545" i="76"/>
  <c r="AW1032" i="76"/>
  <c r="R534" i="76"/>
  <c r="S728" i="76"/>
  <c r="AV382" i="76"/>
  <c r="AW70" i="76"/>
  <c r="S452" i="76"/>
  <c r="AW142" i="76"/>
  <c r="N147" i="76"/>
  <c r="AU400" i="76"/>
  <c r="AW230" i="76"/>
  <c r="P76" i="76"/>
  <c r="AV1002" i="76"/>
  <c r="AX373" i="76"/>
  <c r="AW549" i="76"/>
  <c r="AY1053" i="76"/>
  <c r="N481" i="76"/>
  <c r="R614" i="76"/>
  <c r="AV578" i="76"/>
  <c r="AZ574" i="76"/>
  <c r="AY598" i="76"/>
  <c r="AU494" i="76"/>
  <c r="R129" i="76"/>
  <c r="P459" i="76"/>
  <c r="P889" i="76"/>
  <c r="AZ415" i="76"/>
  <c r="R255" i="76"/>
  <c r="AZ867" i="76"/>
  <c r="AY508" i="76"/>
  <c r="S69" i="76"/>
  <c r="AU254" i="76"/>
  <c r="Q999" i="76"/>
  <c r="AW815" i="76"/>
  <c r="AY1022" i="76"/>
  <c r="AW691" i="76"/>
  <c r="AU824" i="76"/>
  <c r="AY439" i="76"/>
  <c r="O844" i="76"/>
  <c r="O774" i="76"/>
  <c r="P432" i="76"/>
  <c r="AU641" i="76"/>
  <c r="AX518" i="76"/>
  <c r="AW641" i="76"/>
  <c r="AY391" i="76"/>
  <c r="S338" i="76"/>
  <c r="S150" i="76"/>
  <c r="S1024" i="76"/>
  <c r="S180" i="76"/>
  <c r="AZ826" i="76"/>
  <c r="AX679" i="76"/>
  <c r="Q165" i="76"/>
  <c r="R625" i="76"/>
  <c r="AX769" i="76"/>
  <c r="AY1036" i="76"/>
  <c r="S722" i="76"/>
  <c r="AU489" i="76"/>
  <c r="AW965" i="76"/>
  <c r="AX530" i="76"/>
  <c r="AZ616" i="76"/>
  <c r="AZ147" i="76"/>
  <c r="N994" i="76"/>
  <c r="S239" i="76"/>
  <c r="R92" i="76"/>
  <c r="O170" i="76"/>
  <c r="AY159" i="76"/>
  <c r="AY1034" i="76"/>
  <c r="AX727" i="76"/>
  <c r="R153" i="76"/>
  <c r="AY622" i="76"/>
  <c r="AY418" i="76"/>
  <c r="N496" i="76"/>
  <c r="AV487" i="76"/>
  <c r="N138" i="76"/>
  <c r="AX509" i="76"/>
  <c r="Q644" i="76"/>
  <c r="AZ772" i="76"/>
  <c r="AW848" i="76"/>
  <c r="AX206" i="76"/>
  <c r="AX597" i="76"/>
  <c r="AW559" i="76"/>
  <c r="AY220" i="76"/>
  <c r="P149" i="76"/>
  <c r="AW708" i="76"/>
  <c r="AZ715" i="76"/>
  <c r="AY385" i="76"/>
  <c r="AU343" i="76"/>
  <c r="N756" i="76"/>
  <c r="AY778" i="76"/>
  <c r="N983" i="76"/>
  <c r="R617" i="76"/>
  <c r="P341" i="76"/>
  <c r="P899" i="76"/>
  <c r="P311" i="76"/>
  <c r="Q854" i="76"/>
  <c r="R365" i="76"/>
  <c r="R1015" i="76"/>
  <c r="Q1018" i="76"/>
  <c r="R634" i="76"/>
  <c r="S375" i="76"/>
  <c r="R1050" i="76"/>
  <c r="P321" i="76"/>
  <c r="S862" i="76"/>
  <c r="N375" i="76"/>
  <c r="N1025" i="76"/>
  <c r="O1059" i="76"/>
  <c r="N652" i="76"/>
  <c r="R415" i="76"/>
  <c r="N570" i="76"/>
  <c r="Q334" i="76"/>
  <c r="P879" i="76"/>
  <c r="P386" i="76"/>
  <c r="P1036" i="76"/>
  <c r="P903" i="76"/>
  <c r="Q546" i="76"/>
  <c r="O222" i="76"/>
  <c r="N730" i="76"/>
  <c r="S260" i="76"/>
  <c r="N948" i="76"/>
  <c r="Q778" i="76"/>
  <c r="N961" i="76"/>
  <c r="R802" i="76"/>
  <c r="N954" i="76"/>
  <c r="R217" i="76"/>
  <c r="N246" i="76"/>
  <c r="S718" i="76"/>
  <c r="P436" i="76"/>
  <c r="N1063" i="76"/>
  <c r="AU1043" i="76"/>
  <c r="AV439" i="76"/>
  <c r="AU504" i="76"/>
  <c r="AU382" i="76"/>
  <c r="S400" i="76"/>
  <c r="O375" i="76"/>
  <c r="O614" i="76"/>
  <c r="P779" i="76"/>
  <c r="O919" i="76"/>
  <c r="N347" i="76"/>
  <c r="P1037" i="76"/>
  <c r="S197" i="76"/>
  <c r="AU879" i="76"/>
  <c r="AX133" i="76"/>
  <c r="AV692" i="76"/>
  <c r="Q797" i="76"/>
  <c r="S379" i="76"/>
  <c r="AV125" i="76"/>
  <c r="AU1053" i="76"/>
  <c r="AW371" i="76"/>
  <c r="S405" i="76"/>
  <c r="Q386" i="76"/>
  <c r="R627" i="76"/>
  <c r="Q792" i="76"/>
  <c r="S933" i="76"/>
  <c r="P358" i="76"/>
  <c r="P747" i="76"/>
  <c r="O609" i="76"/>
  <c r="P223" i="76"/>
  <c r="P293" i="76"/>
  <c r="P506" i="76"/>
  <c r="AV957" i="76"/>
  <c r="AZ611" i="76"/>
  <c r="N984" i="76"/>
  <c r="S86" i="76"/>
  <c r="AV526" i="76"/>
  <c r="AX615" i="76"/>
  <c r="Q850" i="76"/>
  <c r="Q212" i="76"/>
  <c r="AZ362" i="76"/>
  <c r="AX277" i="76"/>
  <c r="S776" i="76"/>
  <c r="O419" i="76"/>
  <c r="R348" i="76"/>
  <c r="O343" i="76"/>
  <c r="O344" i="76"/>
  <c r="AY712" i="76"/>
  <c r="AV248" i="76"/>
  <c r="R930" i="76"/>
  <c r="R423" i="76"/>
  <c r="AU365" i="76"/>
  <c r="AW290" i="76"/>
  <c r="P1038" i="76"/>
  <c r="N217" i="76"/>
  <c r="AZ223" i="76"/>
  <c r="AU139" i="76"/>
  <c r="N864" i="76"/>
  <c r="O352" i="76"/>
  <c r="P972" i="76"/>
  <c r="S317" i="76"/>
  <c r="S368" i="76"/>
  <c r="AY520" i="76"/>
  <c r="AW591" i="76"/>
  <c r="S847" i="76"/>
  <c r="P362" i="76"/>
  <c r="Q343" i="76"/>
  <c r="S931" i="76"/>
  <c r="AY648" i="76"/>
  <c r="AV191" i="76"/>
  <c r="AZ917" i="76"/>
  <c r="AZ661" i="76"/>
  <c r="Q1030" i="76"/>
  <c r="N140" i="76"/>
  <c r="AU691" i="76"/>
  <c r="AV537" i="76"/>
  <c r="N761" i="76"/>
  <c r="P208" i="76"/>
  <c r="AV734" i="76"/>
  <c r="AU368" i="76"/>
  <c r="AV143" i="76"/>
  <c r="N383" i="76"/>
  <c r="O364" i="76"/>
  <c r="Q952" i="76"/>
  <c r="AU690" i="76"/>
  <c r="AZ237" i="76"/>
  <c r="AY949" i="76"/>
  <c r="AX682" i="76"/>
  <c r="P977" i="76"/>
  <c r="N237" i="76"/>
  <c r="AY713" i="76"/>
  <c r="AZ583" i="76"/>
  <c r="O819" i="76"/>
  <c r="O265" i="76"/>
  <c r="AX745" i="76"/>
  <c r="AX390" i="76"/>
  <c r="AU176" i="76"/>
  <c r="O471" i="76"/>
  <c r="S836" i="76"/>
  <c r="S995" i="76"/>
  <c r="AY776" i="76"/>
  <c r="AW619" i="76"/>
  <c r="AW1002" i="76"/>
  <c r="AX746" i="76"/>
  <c r="Q1020" i="76"/>
  <c r="N123" i="76"/>
  <c r="AW766" i="76"/>
  <c r="AX752" i="76"/>
  <c r="N701" i="76"/>
  <c r="R113" i="76"/>
  <c r="AZ788" i="76"/>
  <c r="AY476" i="76"/>
  <c r="AW350" i="76"/>
  <c r="O292" i="76"/>
  <c r="Q567" i="76"/>
  <c r="AU507" i="76"/>
  <c r="Q83" i="76"/>
  <c r="AZ814" i="76"/>
  <c r="AZ866" i="76"/>
  <c r="AX992" i="76"/>
  <c r="P460" i="76"/>
  <c r="AZ896" i="76"/>
  <c r="AV244" i="76"/>
  <c r="N414" i="76"/>
  <c r="AU832" i="76"/>
  <c r="Q250" i="76"/>
  <c r="AZ160" i="76"/>
  <c r="S731" i="76"/>
  <c r="AZ175" i="76"/>
  <c r="AZ170" i="76"/>
  <c r="AW939" i="76"/>
  <c r="O267" i="76"/>
  <c r="P197" i="76"/>
  <c r="AU539" i="76"/>
  <c r="O124" i="76"/>
  <c r="AU137" i="76"/>
  <c r="AY898" i="76"/>
  <c r="AW187" i="76"/>
  <c r="O518" i="76"/>
  <c r="AZ1043" i="76"/>
  <c r="AV315" i="76"/>
  <c r="AX867" i="76"/>
  <c r="AZ947" i="76"/>
  <c r="S293" i="76"/>
  <c r="AX181" i="76"/>
  <c r="Q785" i="76"/>
  <c r="P484" i="76"/>
  <c r="S393" i="76"/>
  <c r="AU321" i="76"/>
  <c r="P317" i="76"/>
  <c r="AY186" i="76"/>
  <c r="N592" i="76"/>
  <c r="AU275" i="76"/>
  <c r="N431" i="76"/>
  <c r="AW387" i="76"/>
  <c r="AV319" i="76"/>
  <c r="S138" i="76"/>
  <c r="AW136" i="76"/>
  <c r="Q318" i="76"/>
  <c r="AW566" i="76"/>
  <c r="R892" i="76"/>
  <c r="AW581" i="76"/>
  <c r="R437" i="76"/>
  <c r="N493" i="76"/>
  <c r="AU396" i="76"/>
  <c r="R651" i="76"/>
  <c r="AU331" i="76"/>
  <c r="N312" i="76"/>
  <c r="AX361" i="76"/>
  <c r="R517" i="76"/>
  <c r="AZ409" i="76"/>
  <c r="AX405" i="76"/>
  <c r="P479" i="76"/>
  <c r="AX279" i="76"/>
  <c r="R470" i="76"/>
  <c r="AY609" i="76"/>
  <c r="R858" i="76"/>
  <c r="AY624" i="76"/>
  <c r="O930" i="76"/>
  <c r="S324" i="76"/>
  <c r="P142" i="76"/>
  <c r="P564" i="76"/>
  <c r="AX151" i="76"/>
  <c r="AU704" i="76"/>
  <c r="AV459" i="76"/>
  <c r="AU602" i="76"/>
  <c r="S880" i="76"/>
  <c r="AV722" i="76"/>
  <c r="AZ266" i="76"/>
  <c r="AX231" i="76"/>
  <c r="AU1032" i="76"/>
  <c r="AZ326" i="76"/>
  <c r="S387" i="76"/>
  <c r="O153" i="76"/>
  <c r="P494" i="76"/>
  <c r="S1013" i="76"/>
  <c r="AU969" i="76"/>
  <c r="AW839" i="76"/>
  <c r="AV136" i="76"/>
  <c r="AW792" i="76"/>
  <c r="AV85" i="76"/>
  <c r="R483" i="76"/>
  <c r="O99" i="76"/>
  <c r="AZ941" i="76"/>
  <c r="AX443" i="76"/>
  <c r="AW794" i="76"/>
  <c r="AX678" i="76"/>
  <c r="AV996" i="76"/>
  <c r="AU370" i="76"/>
  <c r="AW314" i="76"/>
  <c r="P443" i="76"/>
  <c r="R587" i="76"/>
  <c r="S232" i="76"/>
  <c r="N620" i="76"/>
  <c r="AX215" i="76"/>
  <c r="AY750" i="76"/>
  <c r="AZ481" i="76"/>
  <c r="AW645" i="76"/>
  <c r="S950" i="76"/>
  <c r="AZ744" i="76"/>
  <c r="AV689" i="76"/>
  <c r="AZ317" i="76"/>
  <c r="S113" i="76"/>
  <c r="AV411" i="76"/>
  <c r="O618" i="76"/>
  <c r="N706" i="76"/>
  <c r="P732" i="76"/>
  <c r="R1032" i="76"/>
  <c r="AZ626" i="76"/>
  <c r="AY873" i="76"/>
  <c r="R410" i="76"/>
  <c r="O912" i="76"/>
  <c r="AZ685" i="76"/>
  <c r="AZ1038" i="76"/>
  <c r="AV482" i="76"/>
  <c r="R907" i="76"/>
  <c r="AX631" i="76"/>
  <c r="AV368" i="76"/>
  <c r="AY522" i="76"/>
  <c r="AY93" i="76"/>
  <c r="AZ548" i="76"/>
  <c r="AY1061" i="76"/>
  <c r="AU912" i="76"/>
  <c r="AX714" i="76"/>
  <c r="AZ1040" i="76"/>
  <c r="AZ994" i="76"/>
  <c r="R232" i="76"/>
  <c r="S805" i="76"/>
  <c r="AX779" i="76"/>
  <c r="AY304" i="76"/>
  <c r="O271" i="76"/>
  <c r="AY312" i="76"/>
  <c r="P400" i="76"/>
  <c r="AW545" i="76"/>
  <c r="AV571" i="76"/>
  <c r="Q687" i="76"/>
  <c r="AV384" i="76"/>
  <c r="AY377" i="76"/>
  <c r="AU949" i="76"/>
  <c r="N115" i="76"/>
  <c r="O424" i="76"/>
  <c r="P791" i="76"/>
  <c r="AU273" i="76"/>
  <c r="AU656" i="76"/>
  <c r="AX636" i="76"/>
  <c r="AY772" i="76"/>
  <c r="O331" i="76"/>
  <c r="N451" i="76"/>
  <c r="S1053" i="76"/>
  <c r="AZ939" i="76"/>
  <c r="S226" i="76"/>
  <c r="AU470" i="76"/>
  <c r="AX705" i="76"/>
  <c r="AZ983" i="76"/>
  <c r="AZ558" i="76"/>
  <c r="S858" i="76"/>
  <c r="AX827" i="76"/>
  <c r="AZ1035" i="76"/>
  <c r="Q638" i="76"/>
  <c r="AY90" i="76"/>
  <c r="AY539" i="76"/>
  <c r="R676" i="76"/>
  <c r="O323" i="76"/>
  <c r="O116" i="76"/>
  <c r="AY174" i="76"/>
  <c r="AZ627" i="76"/>
  <c r="AZ668" i="76"/>
  <c r="AY766" i="76"/>
  <c r="AV600" i="76"/>
  <c r="AX582" i="76"/>
  <c r="AY885" i="76"/>
  <c r="AU442" i="76"/>
  <c r="S958" i="76"/>
  <c r="AV92" i="76"/>
  <c r="AY610" i="76"/>
  <c r="S227" i="76"/>
  <c r="AV408" i="76"/>
  <c r="AX657" i="76"/>
  <c r="Q979" i="76"/>
  <c r="O712" i="76"/>
  <c r="N350" i="76"/>
  <c r="O521" i="76"/>
  <c r="AW1041" i="76"/>
  <c r="AX77" i="76"/>
  <c r="AY741" i="76"/>
  <c r="AU357" i="76"/>
  <c r="AU252" i="76"/>
  <c r="AY166" i="76"/>
  <c r="N259" i="76"/>
  <c r="O417" i="76"/>
  <c r="P73" i="76"/>
  <c r="N222" i="76"/>
  <c r="R643" i="76"/>
  <c r="P825" i="76"/>
  <c r="P891" i="76"/>
  <c r="P233" i="76"/>
  <c r="S701" i="76"/>
  <c r="O871" i="76"/>
  <c r="O903" i="76"/>
  <c r="R244" i="76"/>
  <c r="N747" i="76"/>
  <c r="P932" i="76"/>
  <c r="P920" i="76"/>
  <c r="P655" i="76"/>
  <c r="O513" i="76"/>
  <c r="S712" i="76"/>
  <c r="S822" i="76"/>
  <c r="O728" i="76"/>
  <c r="R860" i="76"/>
  <c r="P1067" i="76"/>
  <c r="O485" i="76"/>
  <c r="AV421" i="76"/>
  <c r="S826" i="76"/>
  <c r="S486" i="76"/>
  <c r="Q777" i="76"/>
  <c r="N690" i="76"/>
  <c r="AX621" i="76"/>
  <c r="AX731" i="76"/>
  <c r="AU945" i="76"/>
  <c r="AX374" i="76"/>
  <c r="O836" i="76"/>
  <c r="Q548" i="76"/>
  <c r="N808" i="76"/>
  <c r="N552" i="76"/>
  <c r="Q946" i="76"/>
  <c r="Q295" i="76"/>
  <c r="AU825" i="76"/>
  <c r="Q75" i="76"/>
  <c r="AU708" i="76"/>
  <c r="AU952" i="76"/>
  <c r="AU846" i="76"/>
  <c r="S840" i="76"/>
  <c r="P850" i="76"/>
  <c r="AY657" i="76"/>
  <c r="O334" i="76"/>
  <c r="AV575" i="76"/>
  <c r="O348" i="76"/>
  <c r="AY617" i="76"/>
  <c r="S1061" i="76"/>
  <c r="R468" i="76"/>
  <c r="R221" i="76"/>
  <c r="AU796" i="76"/>
  <c r="Q487" i="76"/>
  <c r="O556" i="76"/>
  <c r="S381" i="76"/>
  <c r="AV160" i="76"/>
  <c r="AW757" i="76"/>
  <c r="N1045" i="76"/>
  <c r="AZ1031" i="76"/>
  <c r="AY535" i="76"/>
  <c r="N515" i="76"/>
  <c r="O137" i="76"/>
  <c r="Q402" i="76"/>
  <c r="AV224" i="76"/>
  <c r="AY768" i="76"/>
  <c r="R1067" i="76"/>
  <c r="AV1049" i="76"/>
  <c r="AW576" i="76"/>
  <c r="S531" i="76"/>
  <c r="R498" i="76"/>
  <c r="N335" i="76"/>
  <c r="AZ333" i="76"/>
  <c r="AX832" i="76"/>
  <c r="Q1039" i="76"/>
  <c r="AY1055" i="76"/>
  <c r="AU745" i="76"/>
  <c r="S549" i="76"/>
  <c r="AW151" i="76"/>
  <c r="O566" i="76"/>
  <c r="Q1028" i="76"/>
  <c r="AZ517" i="76"/>
  <c r="AY240" i="76"/>
  <c r="AV926" i="76"/>
  <c r="P111" i="76"/>
  <c r="N553" i="76"/>
  <c r="O565" i="76"/>
  <c r="AY362" i="76"/>
  <c r="S622" i="76"/>
  <c r="O1049" i="76"/>
  <c r="AV527" i="76"/>
  <c r="AV261" i="76"/>
  <c r="AY972" i="76"/>
  <c r="N152" i="76"/>
  <c r="Q273" i="76"/>
  <c r="AZ516" i="76"/>
  <c r="AZ528" i="76"/>
  <c r="P115" i="76"/>
  <c r="O1011" i="76"/>
  <c r="AZ81" i="76"/>
  <c r="AZ467" i="76"/>
  <c r="AZ497" i="76"/>
  <c r="Q612" i="76"/>
  <c r="AX569" i="76"/>
  <c r="AX549" i="76"/>
  <c r="P344" i="76"/>
  <c r="S875" i="76"/>
  <c r="AV228" i="76"/>
  <c r="AU549" i="76"/>
  <c r="R562" i="76"/>
  <c r="AU669" i="76"/>
  <c r="AZ302" i="76"/>
  <c r="P433" i="76"/>
  <c r="AX799" i="76"/>
  <c r="AU600" i="76"/>
  <c r="AY567" i="76"/>
  <c r="AV117" i="76"/>
  <c r="P382" i="76"/>
  <c r="AW1020" i="76"/>
  <c r="S747" i="76"/>
  <c r="AV270" i="76"/>
  <c r="AZ141" i="76"/>
  <c r="AU1030" i="76"/>
  <c r="Q835" i="76"/>
  <c r="R962" i="76"/>
  <c r="S623" i="76"/>
  <c r="AW756" i="76"/>
  <c r="AV312" i="76"/>
  <c r="P558" i="76"/>
  <c r="AV844" i="76"/>
  <c r="AY646" i="76"/>
  <c r="AX103" i="76"/>
  <c r="AV245" i="76"/>
  <c r="Q502" i="76"/>
  <c r="AY877" i="76"/>
  <c r="O1022" i="76"/>
  <c r="AV559" i="76"/>
  <c r="S1038" i="76"/>
  <c r="AX725" i="76"/>
  <c r="S502" i="76"/>
  <c r="P398" i="76"/>
  <c r="N943" i="76"/>
  <c r="Q277" i="76"/>
  <c r="AW453" i="76"/>
  <c r="AU257" i="76"/>
  <c r="AY91" i="76"/>
  <c r="AU596" i="76"/>
  <c r="Q380" i="76"/>
  <c r="N584" i="76"/>
  <c r="N908" i="76"/>
  <c r="AU478" i="76"/>
  <c r="N478" i="76"/>
  <c r="S173" i="76"/>
  <c r="AU363" i="76"/>
  <c r="AW177" i="76"/>
  <c r="P1050" i="76"/>
  <c r="AX1039" i="76"/>
  <c r="AX226" i="76"/>
  <c r="AV181" i="76"/>
  <c r="Q71" i="76"/>
  <c r="AV519" i="76"/>
  <c r="P468" i="76"/>
  <c r="AV512" i="76"/>
  <c r="AX494" i="76"/>
  <c r="N876" i="76"/>
  <c r="AY696" i="76"/>
  <c r="AW305" i="76"/>
  <c r="AV970" i="76"/>
  <c r="AZ406" i="76"/>
  <c r="AV1044" i="76"/>
  <c r="O894" i="76"/>
  <c r="N391" i="76"/>
  <c r="AX775" i="76"/>
  <c r="S451" i="76"/>
  <c r="AZ933" i="76"/>
  <c r="Q770" i="76"/>
  <c r="AZ774" i="76"/>
  <c r="P82" i="76"/>
  <c r="AV583" i="76"/>
  <c r="AY859" i="76"/>
  <c r="AX162" i="76"/>
  <c r="AY852" i="76"/>
  <c r="R443" i="76"/>
  <c r="AU1009" i="76"/>
  <c r="S402" i="76"/>
  <c r="AW165" i="76"/>
  <c r="AU236" i="76"/>
  <c r="Q679" i="76"/>
  <c r="P776" i="76"/>
  <c r="P1015" i="76"/>
  <c r="P144" i="76"/>
  <c r="N694" i="76"/>
  <c r="P789" i="76"/>
  <c r="R1038" i="76"/>
  <c r="R155" i="76"/>
  <c r="R708" i="76"/>
  <c r="Q802" i="76"/>
  <c r="N1056" i="76"/>
  <c r="N165" i="76"/>
  <c r="Q618" i="76"/>
  <c r="N716" i="76"/>
  <c r="N1067" i="76"/>
  <c r="R91" i="76"/>
  <c r="O541" i="76"/>
  <c r="N702" i="76"/>
  <c r="P508" i="76"/>
  <c r="O143" i="76"/>
  <c r="AU243" i="76"/>
  <c r="R659" i="76"/>
  <c r="S806" i="76"/>
  <c r="R454" i="76"/>
  <c r="R127" i="76"/>
  <c r="P363" i="76"/>
  <c r="AV394" i="76"/>
  <c r="O181" i="76"/>
  <c r="AW810" i="76"/>
  <c r="Q718" i="76"/>
  <c r="O816" i="76"/>
  <c r="N491" i="76"/>
  <c r="N137" i="76"/>
  <c r="Q671" i="76"/>
  <c r="Q709" i="76"/>
  <c r="AV990" i="76"/>
  <c r="Q348" i="76"/>
  <c r="AW891" i="76"/>
  <c r="O243" i="76"/>
  <c r="AX157" i="76"/>
  <c r="O957" i="76"/>
  <c r="S463" i="76"/>
  <c r="AU960" i="76"/>
  <c r="AW405" i="76"/>
  <c r="AV360" i="76"/>
  <c r="AW771" i="76"/>
  <c r="AV1053" i="76"/>
  <c r="S1055" i="76"/>
  <c r="P490" i="76"/>
  <c r="N588" i="76"/>
  <c r="AX542" i="76"/>
  <c r="P1040" i="76"/>
  <c r="N218" i="76"/>
  <c r="AV504" i="76"/>
  <c r="AZ877" i="76"/>
  <c r="Q120" i="76"/>
  <c r="AY210" i="76"/>
  <c r="R286" i="76"/>
  <c r="AX538" i="76"/>
  <c r="N1061" i="76"/>
  <c r="R240" i="76"/>
  <c r="AX527" i="76"/>
  <c r="AY88" i="76"/>
  <c r="S163" i="76"/>
  <c r="AU228" i="76"/>
  <c r="N304" i="76"/>
  <c r="AZ549" i="76"/>
  <c r="R191" i="76"/>
  <c r="S383" i="76"/>
  <c r="AV760" i="76"/>
  <c r="AW141" i="76"/>
  <c r="S355" i="76"/>
  <c r="AU355" i="76"/>
  <c r="Q455" i="76"/>
  <c r="AV591" i="76"/>
  <c r="Q100" i="76"/>
  <c r="R787" i="76"/>
  <c r="AW329" i="76"/>
  <c r="AV587" i="76"/>
  <c r="S161" i="76"/>
  <c r="N97" i="76"/>
  <c r="P832" i="76"/>
  <c r="AU469" i="76"/>
  <c r="AX811" i="76"/>
  <c r="AX654" i="76"/>
  <c r="AY880" i="76"/>
  <c r="AW361" i="76"/>
  <c r="AX598" i="76"/>
  <c r="AX1021" i="76"/>
  <c r="P140" i="76"/>
  <c r="O634" i="76"/>
  <c r="AZ554" i="76"/>
  <c r="P1029" i="76"/>
  <c r="S803" i="76"/>
  <c r="P209" i="76"/>
  <c r="P875" i="76"/>
  <c r="AZ603" i="76"/>
  <c r="AV329" i="76"/>
  <c r="AX343" i="76"/>
  <c r="AX871" i="76"/>
  <c r="N993" i="76"/>
  <c r="P764" i="76"/>
  <c r="P273" i="76"/>
  <c r="N836" i="76"/>
  <c r="AZ667" i="76"/>
  <c r="AX372" i="76"/>
  <c r="AY386" i="76"/>
  <c r="AZ913" i="76"/>
  <c r="AW744" i="76"/>
  <c r="AW334" i="76"/>
  <c r="AU914" i="76"/>
  <c r="N401" i="76"/>
  <c r="AX1067" i="76"/>
  <c r="AY789" i="76"/>
  <c r="P971" i="76"/>
  <c r="AZ719" i="76"/>
  <c r="AY694" i="76"/>
  <c r="AY433" i="76"/>
  <c r="AV879" i="76"/>
  <c r="AX750" i="76"/>
  <c r="AY127" i="76"/>
  <c r="P611" i="76"/>
  <c r="AU868" i="76"/>
  <c r="AY961" i="76"/>
  <c r="AU836" i="76"/>
  <c r="AU375" i="76"/>
  <c r="AY976" i="76"/>
  <c r="P799" i="76"/>
  <c r="N233" i="76"/>
  <c r="AZ832" i="76"/>
  <c r="O989" i="76"/>
  <c r="AU529" i="76"/>
  <c r="AU776" i="76"/>
  <c r="AZ476" i="76"/>
  <c r="AY485" i="76"/>
  <c r="AX235" i="76"/>
  <c r="AX481" i="76"/>
  <c r="AX882" i="76"/>
  <c r="P420" i="76"/>
  <c r="AX603" i="76"/>
  <c r="AU1068" i="76"/>
  <c r="R277" i="76"/>
  <c r="AY507" i="76"/>
  <c r="AU842" i="76"/>
  <c r="AV273" i="76"/>
  <c r="AZ337" i="76"/>
  <c r="AW506" i="76"/>
  <c r="AZ997" i="76"/>
  <c r="Q782" i="76"/>
  <c r="AV672" i="76"/>
  <c r="AU670" i="76"/>
  <c r="S124" i="76"/>
  <c r="AV204" i="76"/>
  <c r="AV839" i="76"/>
  <c r="AY577" i="76"/>
  <c r="P355" i="76"/>
  <c r="AZ768" i="76"/>
  <c r="AW76" i="76"/>
  <c r="R75" i="76"/>
  <c r="AW933" i="76"/>
  <c r="AU661" i="76"/>
  <c r="O722" i="76"/>
  <c r="AV816" i="76"/>
  <c r="AX75" i="76"/>
  <c r="AX895" i="76"/>
  <c r="S740" i="76"/>
  <c r="AW299" i="76"/>
  <c r="AV550" i="76"/>
  <c r="AY524" i="76"/>
  <c r="N311" i="76"/>
  <c r="AV721" i="76"/>
  <c r="AU460" i="76"/>
  <c r="AZ131" i="76"/>
  <c r="P309" i="76"/>
  <c r="AV485" i="76"/>
  <c r="AY576" i="76"/>
  <c r="AZ94" i="76"/>
  <c r="AU492" i="76"/>
  <c r="O807" i="76"/>
  <c r="AZ84" i="76"/>
  <c r="Q110" i="76"/>
  <c r="AY259" i="76"/>
  <c r="Q88" i="76"/>
  <c r="AZ971" i="76"/>
  <c r="AX512" i="76"/>
  <c r="O829" i="76"/>
  <c r="O952" i="76"/>
  <c r="R961" i="76"/>
  <c r="S258" i="76"/>
  <c r="P900" i="76"/>
  <c r="O752" i="76"/>
  <c r="O975" i="76"/>
  <c r="O276" i="76"/>
  <c r="N999" i="76"/>
  <c r="Q763" i="76"/>
  <c r="Q998" i="76"/>
  <c r="Q299" i="76"/>
  <c r="N723" i="76"/>
  <c r="N817" i="76"/>
  <c r="Q908" i="76"/>
  <c r="P176" i="76"/>
  <c r="O339" i="76"/>
  <c r="O690" i="76"/>
  <c r="Q347" i="76"/>
  <c r="O446" i="76"/>
  <c r="AY328" i="76"/>
  <c r="O597" i="76"/>
  <c r="S870" i="76"/>
  <c r="S311" i="76"/>
  <c r="R227" i="76"/>
  <c r="AX966" i="76"/>
  <c r="AV568" i="76"/>
  <c r="N93" i="76"/>
  <c r="AX929" i="76"/>
  <c r="R725" i="76"/>
  <c r="P885" i="76"/>
  <c r="R327" i="76"/>
  <c r="Q243" i="76"/>
  <c r="N506" i="76"/>
  <c r="R827" i="76"/>
  <c r="AV154" i="76"/>
  <c r="S242" i="76"/>
  <c r="AY149" i="76"/>
  <c r="O473" i="76"/>
  <c r="AV242" i="76"/>
  <c r="R882" i="76"/>
  <c r="O773" i="76"/>
  <c r="AW1067" i="76"/>
  <c r="AU828" i="76"/>
  <c r="AX457" i="76"/>
  <c r="AY591" i="76"/>
  <c r="P182" i="76"/>
  <c r="AW191" i="76"/>
  <c r="P322" i="76"/>
  <c r="P714" i="76"/>
  <c r="AZ649" i="76"/>
  <c r="Q473" i="76"/>
  <c r="P674" i="76"/>
  <c r="AY905" i="76"/>
  <c r="AU194" i="76"/>
  <c r="P96" i="76"/>
  <c r="AX424" i="76"/>
  <c r="R72" i="76"/>
  <c r="AV623" i="76"/>
  <c r="R251" i="76"/>
  <c r="Q844" i="76"/>
  <c r="AZ209" i="76"/>
  <c r="AW205" i="76"/>
  <c r="R139" i="76"/>
  <c r="AU465" i="76"/>
  <c r="P93" i="76"/>
  <c r="AX634" i="76"/>
  <c r="N360" i="76"/>
  <c r="Q411" i="76"/>
  <c r="AZ399" i="76"/>
  <c r="AX280" i="76"/>
  <c r="S290" i="76"/>
  <c r="AX575" i="76"/>
  <c r="N178" i="76"/>
  <c r="AZ677" i="76"/>
  <c r="P188" i="76"/>
  <c r="AV885" i="76"/>
  <c r="AZ565" i="76"/>
  <c r="AX758" i="76"/>
  <c r="AY876" i="76"/>
  <c r="N632" i="76"/>
  <c r="Q722" i="76"/>
  <c r="AZ146" i="76"/>
  <c r="AU410" i="76"/>
  <c r="AY825" i="76"/>
  <c r="AX939" i="76"/>
  <c r="AX586" i="76"/>
  <c r="AZ769" i="76"/>
  <c r="AU886" i="76"/>
  <c r="P369" i="76"/>
  <c r="N825" i="76"/>
  <c r="AU403" i="76"/>
  <c r="S115" i="76"/>
  <c r="S821" i="76"/>
  <c r="S434" i="76"/>
  <c r="O955" i="76"/>
  <c r="AW874" i="76"/>
  <c r="AY501" i="76"/>
  <c r="AU514" i="76"/>
  <c r="AY1041" i="76"/>
  <c r="P368" i="76"/>
  <c r="S796" i="76"/>
  <c r="O799" i="76"/>
  <c r="P798" i="76"/>
  <c r="AZ952" i="76"/>
  <c r="AU543" i="76"/>
  <c r="AW557" i="76"/>
  <c r="S202" i="76"/>
  <c r="AU633" i="76"/>
  <c r="AW120" i="76"/>
  <c r="AZ342" i="76"/>
  <c r="S297" i="76"/>
  <c r="AY1030" i="76"/>
  <c r="AZ251" i="76"/>
  <c r="AV71" i="76"/>
  <c r="AX71" i="76"/>
  <c r="AV645" i="76"/>
  <c r="AU774" i="76"/>
  <c r="AU882" i="76"/>
  <c r="AY545" i="76"/>
  <c r="AV83" i="76"/>
  <c r="R746" i="76"/>
  <c r="AV367" i="76"/>
  <c r="S184" i="76"/>
  <c r="AY679" i="76"/>
  <c r="AU268" i="76"/>
  <c r="AX363" i="76"/>
  <c r="P349" i="76"/>
  <c r="AW1051" i="76"/>
  <c r="AU293" i="76"/>
  <c r="AV196" i="76"/>
  <c r="AZ158" i="76"/>
  <c r="AX732" i="76"/>
  <c r="AV817" i="76"/>
  <c r="AV340" i="76"/>
  <c r="AZ284" i="76"/>
  <c r="AW989" i="76"/>
  <c r="AV823" i="76"/>
  <c r="S417" i="76"/>
  <c r="AV883" i="76"/>
  <c r="AU991" i="76"/>
  <c r="S319" i="76"/>
  <c r="AW448" i="76"/>
  <c r="AV217" i="76"/>
  <c r="AW466" i="76"/>
  <c r="AW707" i="76"/>
  <c r="AU309" i="76"/>
  <c r="R339" i="76"/>
  <c r="Q931" i="76"/>
  <c r="AW631" i="76"/>
  <c r="R125" i="76"/>
  <c r="P200" i="76"/>
  <c r="AU556" i="76"/>
  <c r="AU329" i="76"/>
  <c r="AY769" i="76"/>
  <c r="AV923" i="76"/>
  <c r="AY84" i="76"/>
  <c r="AY417" i="76"/>
  <c r="AW1014" i="76"/>
  <c r="AZ216" i="76"/>
  <c r="AY762" i="76"/>
  <c r="Q390" i="76"/>
  <c r="AX378" i="76"/>
  <c r="Q580" i="76"/>
  <c r="S288" i="76"/>
  <c r="P607" i="76"/>
  <c r="AX479" i="76"/>
  <c r="AW211" i="76"/>
  <c r="AY957" i="76"/>
  <c r="Q904" i="76"/>
  <c r="AY456" i="76"/>
  <c r="AU643" i="76"/>
  <c r="AY855" i="76"/>
  <c r="AX317" i="76"/>
  <c r="R813" i="76"/>
  <c r="O552" i="76"/>
  <c r="AU525" i="76"/>
  <c r="AW1026" i="76"/>
  <c r="AW328" i="76"/>
  <c r="N328" i="76"/>
  <c r="AX233" i="76"/>
  <c r="AW579" i="76"/>
  <c r="AW686" i="76"/>
  <c r="O982" i="76"/>
  <c r="AU966" i="76"/>
  <c r="N654" i="76"/>
  <c r="P762" i="76"/>
  <c r="Q1015" i="76"/>
  <c r="P274" i="76"/>
  <c r="Q665" i="76"/>
  <c r="R773" i="76"/>
  <c r="S1026" i="76"/>
  <c r="R285" i="76"/>
  <c r="Q674" i="76"/>
  <c r="N783" i="76"/>
  <c r="O1036" i="76"/>
  <c r="N295" i="76"/>
  <c r="P601" i="76"/>
  <c r="S904" i="76"/>
  <c r="S962" i="76"/>
  <c r="N599" i="76"/>
  <c r="R619" i="76"/>
  <c r="P593" i="76"/>
  <c r="Q685" i="76"/>
  <c r="O73" i="76"/>
  <c r="AV755" i="76"/>
  <c r="R788" i="76"/>
  <c r="P991" i="76"/>
  <c r="O533" i="76"/>
  <c r="R257" i="76"/>
  <c r="Q228" i="76"/>
  <c r="AU696" i="76"/>
  <c r="S341" i="76"/>
  <c r="AY434" i="76"/>
  <c r="R812" i="76"/>
  <c r="R1014" i="76"/>
  <c r="R574" i="76"/>
  <c r="N267" i="76"/>
  <c r="N926" i="76"/>
  <c r="R919" i="76"/>
  <c r="AW710" i="76"/>
  <c r="O324" i="76"/>
  <c r="AZ629" i="76"/>
  <c r="N454" i="76"/>
  <c r="AW670" i="76"/>
  <c r="N1009" i="76"/>
  <c r="S564" i="76"/>
  <c r="N87" i="76"/>
  <c r="AY266" i="76"/>
  <c r="AY917" i="76"/>
  <c r="AV116" i="76"/>
  <c r="AZ958" i="76"/>
  <c r="AX397" i="76"/>
  <c r="O727" i="76"/>
  <c r="R730" i="76"/>
  <c r="AX336" i="76"/>
  <c r="R245" i="76"/>
  <c r="O531" i="76"/>
  <c r="AU211" i="76"/>
  <c r="AW846" i="76"/>
  <c r="Q448" i="76"/>
  <c r="AU853" i="76"/>
  <c r="O251" i="76"/>
  <c r="AX161" i="76"/>
  <c r="R414" i="76"/>
  <c r="O584" i="76"/>
  <c r="AW222" i="76"/>
  <c r="AU877" i="76"/>
  <c r="N605" i="76"/>
  <c r="AU888" i="76"/>
  <c r="S273" i="76"/>
  <c r="AZ172" i="76"/>
  <c r="N458" i="76"/>
  <c r="R946" i="76"/>
  <c r="AW317" i="76"/>
  <c r="AZ879" i="76"/>
  <c r="O412" i="76"/>
  <c r="AZ278" i="76"/>
  <c r="R374" i="76"/>
  <c r="AV214" i="76"/>
  <c r="Q406" i="76"/>
  <c r="N273" i="76"/>
  <c r="AU711" i="76"/>
  <c r="AY777" i="76"/>
  <c r="AX859" i="76"/>
  <c r="N893" i="76"/>
  <c r="R1009" i="76"/>
  <c r="AU104" i="76"/>
  <c r="AX668" i="76"/>
  <c r="AW790" i="76"/>
  <c r="Q739" i="76"/>
  <c r="AY733" i="76"/>
  <c r="AW798" i="76"/>
  <c r="AZ870" i="76"/>
  <c r="P815" i="76"/>
  <c r="S1016" i="76"/>
  <c r="AV497" i="76"/>
  <c r="O914" i="76"/>
  <c r="AV572" i="76"/>
  <c r="R696" i="76"/>
  <c r="AW627" i="76"/>
  <c r="AX698" i="76"/>
  <c r="AU475" i="76"/>
  <c r="S339" i="76"/>
  <c r="Q421" i="76"/>
  <c r="Q633" i="76"/>
  <c r="AX787" i="76"/>
  <c r="N598" i="76"/>
  <c r="AV252" i="76"/>
  <c r="AZ741" i="76"/>
  <c r="AV518" i="76"/>
  <c r="AY864" i="76"/>
  <c r="O82" i="76"/>
  <c r="AX454" i="76"/>
  <c r="AY803" i="76"/>
  <c r="AV1055" i="76"/>
  <c r="P837" i="76"/>
  <c r="S94" i="76"/>
  <c r="R219" i="76"/>
  <c r="AZ325" i="76"/>
  <c r="AU231" i="76"/>
  <c r="AY729" i="76"/>
  <c r="S74" i="76"/>
  <c r="Q772" i="76"/>
  <c r="S177" i="76"/>
  <c r="AW445" i="76"/>
  <c r="Q122" i="76"/>
  <c r="AX860" i="76"/>
  <c r="AV596" i="76"/>
  <c r="AX486" i="76"/>
  <c r="AV820" i="76"/>
  <c r="P134" i="76"/>
  <c r="Q688" i="76"/>
  <c r="O176" i="76"/>
  <c r="AW902" i="76"/>
  <c r="AV406" i="76"/>
  <c r="AX273" i="76"/>
  <c r="AU771" i="76"/>
  <c r="N276" i="76"/>
  <c r="Q141" i="76"/>
  <c r="AV202" i="76"/>
  <c r="S617" i="76"/>
  <c r="AU742" i="76"/>
  <c r="AU482" i="76"/>
  <c r="AV317" i="76"/>
  <c r="S659" i="76"/>
  <c r="Q728" i="76"/>
  <c r="AV791" i="76"/>
  <c r="AX915" i="76"/>
  <c r="AU546" i="76"/>
  <c r="AV509" i="76"/>
  <c r="S166" i="76"/>
  <c r="N894" i="76"/>
  <c r="AW291" i="76"/>
  <c r="AX356" i="76"/>
  <c r="R453" i="76"/>
  <c r="Q530" i="76"/>
  <c r="AZ491" i="76"/>
  <c r="AX816" i="76"/>
  <c r="AZ884" i="76"/>
  <c r="AU515" i="76"/>
  <c r="AU665" i="76"/>
  <c r="Q551" i="76"/>
  <c r="AY831" i="76"/>
  <c r="AU540" i="76"/>
  <c r="N179" i="76"/>
  <c r="AX982" i="76"/>
  <c r="AZ898" i="76"/>
  <c r="AX672" i="76"/>
  <c r="AU199" i="76"/>
  <c r="AV484" i="76"/>
  <c r="O606" i="76"/>
  <c r="AV222" i="76"/>
  <c r="R721" i="76"/>
  <c r="P1058" i="76"/>
  <c r="AU278" i="76"/>
  <c r="AW226" i="76"/>
  <c r="AV763" i="76"/>
  <c r="AV710" i="76"/>
  <c r="N847" i="76"/>
  <c r="O374" i="76"/>
  <c r="P856" i="76"/>
  <c r="Q393" i="76"/>
  <c r="S864" i="76"/>
  <c r="S416" i="76"/>
  <c r="P794" i="76"/>
  <c r="P306" i="76"/>
  <c r="O880" i="76"/>
  <c r="R283" i="76"/>
  <c r="S885" i="76"/>
  <c r="Q439" i="76"/>
  <c r="N446" i="76"/>
  <c r="R228" i="76"/>
  <c r="S854" i="76"/>
  <c r="S450" i="76"/>
  <c r="Q869" i="76"/>
  <c r="AV838" i="76"/>
  <c r="AV735" i="76"/>
  <c r="AU755" i="76"/>
  <c r="O571" i="76"/>
  <c r="AX83" i="76"/>
  <c r="AZ842" i="76"/>
  <c r="AU565" i="76"/>
  <c r="Q885" i="76"/>
  <c r="S900" i="76"/>
  <c r="AV381" i="76"/>
  <c r="P539" i="76"/>
  <c r="O492" i="76"/>
  <c r="R603" i="76"/>
  <c r="AY403" i="76"/>
  <c r="Q651" i="76"/>
  <c r="O561" i="76"/>
  <c r="S992" i="76"/>
  <c r="AZ489" i="76"/>
  <c r="R481" i="76"/>
  <c r="P298" i="76"/>
  <c r="P510" i="76"/>
  <c r="AY945" i="76"/>
  <c r="AW986" i="76"/>
  <c r="Q984" i="76"/>
  <c r="AU91" i="76"/>
  <c r="N102" i="76"/>
  <c r="AY100" i="76"/>
  <c r="P775" i="76"/>
  <c r="AV212" i="76"/>
  <c r="AW326" i="76"/>
  <c r="AY71" i="76"/>
  <c r="AV646" i="76"/>
  <c r="N215" i="76"/>
  <c r="AZ411" i="76"/>
  <c r="AV788" i="76"/>
  <c r="AX689" i="76"/>
  <c r="P287" i="76"/>
  <c r="AX767" i="76"/>
  <c r="O780" i="76"/>
  <c r="AW873" i="76"/>
  <c r="AZ573" i="76"/>
  <c r="Q224" i="76"/>
  <c r="O498" i="76"/>
  <c r="O225" i="76"/>
  <c r="AY179" i="76"/>
  <c r="AW831" i="76"/>
  <c r="Q823" i="76"/>
  <c r="AW916" i="76"/>
  <c r="AV615" i="76"/>
  <c r="S443" i="76"/>
  <c r="AW348" i="76"/>
  <c r="AU878" i="76"/>
  <c r="AW185" i="76"/>
  <c r="O863" i="76"/>
  <c r="AX1038" i="76"/>
  <c r="AU183" i="76"/>
  <c r="S1022" i="76"/>
  <c r="AW698" i="76"/>
  <c r="P509" i="76"/>
  <c r="AY1059" i="76"/>
  <c r="AZ721" i="76"/>
  <c r="N258" i="76"/>
  <c r="AV87" i="76"/>
  <c r="AY939" i="76"/>
  <c r="AY368" i="76"/>
  <c r="AU640" i="76"/>
  <c r="AY525" i="76"/>
  <c r="AZ508" i="76"/>
  <c r="O427" i="76"/>
  <c r="AY212" i="76"/>
  <c r="AW480" i="76"/>
  <c r="N916" i="76"/>
  <c r="AV1060" i="76"/>
  <c r="AW689" i="76"/>
  <c r="AV584" i="76"/>
  <c r="P380" i="76"/>
  <c r="O786" i="76"/>
  <c r="R403" i="76"/>
  <c r="P865" i="76"/>
  <c r="N421" i="76"/>
  <c r="R464" i="76"/>
  <c r="R309" i="76"/>
  <c r="P656" i="76"/>
  <c r="S438" i="76"/>
  <c r="Q821" i="76"/>
  <c r="AZ324" i="76"/>
  <c r="N982" i="76"/>
  <c r="S401" i="76"/>
  <c r="S917" i="76"/>
  <c r="AW832" i="76"/>
  <c r="P993" i="76"/>
  <c r="O1051" i="76"/>
  <c r="AW923" i="76"/>
  <c r="AW521" i="76"/>
  <c r="AZ924" i="76"/>
  <c r="R531" i="76"/>
  <c r="AX734" i="76"/>
  <c r="AX612" i="76"/>
  <c r="AZ960" i="76"/>
  <c r="R478" i="76"/>
  <c r="AW207" i="76"/>
  <c r="AY1033" i="76"/>
  <c r="AZ229" i="76"/>
  <c r="R856" i="76"/>
  <c r="AY511" i="76"/>
  <c r="S130" i="76"/>
  <c r="AW428" i="76"/>
  <c r="O882" i="76"/>
  <c r="AW680" i="76"/>
  <c r="R511" i="76"/>
  <c r="AV673" i="76"/>
  <c r="R777" i="76"/>
  <c r="AU477" i="76"/>
  <c r="R357" i="76"/>
  <c r="O749" i="76"/>
  <c r="AY813" i="76"/>
  <c r="AV936" i="76"/>
  <c r="R848" i="76"/>
  <c r="R214" i="76"/>
  <c r="AW711" i="76"/>
  <c r="AY840" i="76"/>
  <c r="P102" i="76"/>
  <c r="AV114" i="76"/>
  <c r="Q371" i="76"/>
  <c r="AY388" i="76"/>
  <c r="AV915" i="76"/>
  <c r="AZ168" i="76"/>
  <c r="N455" i="76"/>
  <c r="AW555" i="76"/>
  <c r="Q791" i="76"/>
  <c r="AY998" i="76"/>
  <c r="AY131" i="76"/>
  <c r="O1066" i="76"/>
  <c r="AW431" i="76"/>
  <c r="AX190" i="76"/>
  <c r="S131" i="76"/>
  <c r="R395" i="76"/>
  <c r="S834" i="76"/>
  <c r="AW1019" i="76"/>
  <c r="AZ313" i="76"/>
  <c r="S947" i="76"/>
  <c r="AX474" i="76"/>
  <c r="Q925" i="76"/>
  <c r="AU1021" i="76"/>
  <c r="AZ309" i="76"/>
  <c r="AZ990" i="76"/>
  <c r="AV515" i="76"/>
  <c r="Q830" i="76"/>
  <c r="R170" i="76"/>
  <c r="AZ642" i="76"/>
  <c r="AY512" i="76"/>
  <c r="AU664" i="76"/>
  <c r="R936" i="76"/>
  <c r="Q569" i="76"/>
  <c r="P138" i="76"/>
  <c r="AY1007" i="76"/>
  <c r="AZ1061" i="76"/>
  <c r="S972" i="76"/>
  <c r="AY542" i="76"/>
  <c r="AX439" i="76"/>
  <c r="Q599" i="76"/>
  <c r="AX109" i="76"/>
  <c r="AW323" i="76"/>
  <c r="S533" i="76"/>
  <c r="AU822" i="76"/>
  <c r="AZ588" i="76"/>
  <c r="AU793" i="76"/>
  <c r="Q587" i="76"/>
  <c r="R528" i="76"/>
  <c r="R635" i="76"/>
  <c r="N538" i="76"/>
  <c r="N239" i="76"/>
  <c r="P549" i="76"/>
  <c r="P444" i="76"/>
  <c r="N474" i="76"/>
  <c r="P395" i="76"/>
  <c r="O779" i="76"/>
  <c r="AU660" i="76"/>
  <c r="S1047" i="76"/>
  <c r="P797" i="76"/>
  <c r="O994" i="76"/>
  <c r="AV387" i="76"/>
  <c r="O1057" i="76"/>
  <c r="R837" i="76"/>
  <c r="AX1030" i="76"/>
  <c r="AW617" i="76"/>
  <c r="AZ1023" i="76"/>
  <c r="N636" i="76"/>
  <c r="AV869" i="76"/>
  <c r="AX804" i="76"/>
  <c r="AZ104" i="76"/>
  <c r="P326" i="76"/>
  <c r="AZ97" i="76"/>
  <c r="O76" i="76"/>
  <c r="AV323" i="76"/>
  <c r="R841" i="76"/>
  <c r="AU69" i="76"/>
  <c r="Q163" i="76"/>
  <c r="AU609" i="76"/>
  <c r="Q859" i="76"/>
  <c r="AV147" i="76"/>
  <c r="P227" i="76"/>
  <c r="AX667" i="76"/>
  <c r="P866" i="76"/>
  <c r="AY306" i="76"/>
  <c r="S520" i="76"/>
  <c r="P811" i="76"/>
  <c r="AV94" i="76"/>
  <c r="P571" i="76"/>
  <c r="N767" i="76"/>
  <c r="O629" i="76"/>
  <c r="AX263" i="76"/>
  <c r="AV129" i="76"/>
  <c r="Q82" i="76"/>
  <c r="AX296" i="76"/>
  <c r="S449" i="76"/>
  <c r="AY682" i="76"/>
  <c r="R133" i="76"/>
  <c r="AZ339" i="76"/>
  <c r="R361" i="76"/>
  <c r="AV426" i="76"/>
  <c r="R920" i="76"/>
  <c r="AV868" i="76"/>
  <c r="AY151" i="76"/>
  <c r="AY799" i="76"/>
  <c r="AY773" i="76"/>
  <c r="AY666" i="76"/>
  <c r="S351" i="76"/>
  <c r="N464" i="76"/>
  <c r="N996" i="76"/>
  <c r="AZ890" i="76"/>
  <c r="AU217" i="76"/>
  <c r="AV347" i="76"/>
  <c r="AZ816" i="76"/>
  <c r="AZ242" i="76"/>
  <c r="AW496" i="76"/>
  <c r="AY421" i="76"/>
  <c r="AY926" i="76"/>
  <c r="AZ860" i="76"/>
  <c r="O959" i="76"/>
  <c r="P135" i="76"/>
  <c r="AY122" i="76"/>
  <c r="AX965" i="76"/>
  <c r="AX620" i="76"/>
  <c r="Q875" i="76"/>
  <c r="R338" i="76"/>
  <c r="AV975" i="76"/>
  <c r="AU566" i="76"/>
  <c r="Q1063" i="76"/>
  <c r="AU614" i="76"/>
  <c r="AV362" i="76"/>
  <c r="S797" i="76"/>
  <c r="N642" i="76"/>
  <c r="O885" i="76"/>
  <c r="S388" i="76"/>
  <c r="AU222" i="76"/>
  <c r="AX1002" i="76"/>
  <c r="AV644" i="76"/>
  <c r="O641" i="76"/>
  <c r="Q508" i="76"/>
  <c r="S665" i="76"/>
  <c r="S547" i="76"/>
  <c r="R683" i="76"/>
  <c r="P586" i="76"/>
  <c r="O698" i="76"/>
  <c r="R384" i="76"/>
  <c r="S843" i="76"/>
  <c r="S689" i="76"/>
  <c r="P1062" i="76"/>
  <c r="AZ615" i="76"/>
  <c r="P132" i="76"/>
  <c r="R476" i="76"/>
  <c r="AX195" i="76"/>
  <c r="AZ206" i="76"/>
  <c r="R143" i="76"/>
  <c r="Q300" i="76"/>
  <c r="O297" i="76"/>
  <c r="AX880" i="76"/>
  <c r="N337" i="76"/>
  <c r="O822" i="76"/>
  <c r="AY529" i="76"/>
  <c r="AW479" i="76"/>
  <c r="AU531" i="76"/>
  <c r="Q553" i="76"/>
  <c r="AY578" i="76"/>
  <c r="O358" i="76"/>
  <c r="AY727" i="76"/>
  <c r="O985" i="76"/>
  <c r="AZ90" i="76"/>
  <c r="R518" i="76"/>
  <c r="AW768" i="76"/>
  <c r="S1007" i="76"/>
  <c r="AW143" i="76"/>
  <c r="N212" i="76"/>
  <c r="AV96" i="76"/>
  <c r="N981" i="76"/>
  <c r="AV402" i="76"/>
  <c r="S911" i="76"/>
  <c r="R1022" i="76"/>
  <c r="AW69" i="76"/>
  <c r="Q511" i="76"/>
  <c r="Q503" i="76"/>
  <c r="P667" i="76"/>
  <c r="AY399" i="76"/>
  <c r="AV1021" i="76"/>
  <c r="P498" i="76"/>
  <c r="AW324" i="76"/>
  <c r="R927" i="76"/>
  <c r="AX127" i="76"/>
  <c r="Q282" i="76"/>
  <c r="AY367" i="76"/>
  <c r="P851" i="76"/>
  <c r="AZ214" i="76"/>
  <c r="AU553" i="76"/>
  <c r="Q559" i="76"/>
  <c r="AU259" i="76"/>
  <c r="AW922" i="76"/>
  <c r="AW721" i="76"/>
  <c r="AY286" i="76"/>
  <c r="AX893" i="76"/>
  <c r="O215" i="76"/>
  <c r="AU681" i="76"/>
  <c r="O207" i="76"/>
  <c r="AZ304" i="76"/>
  <c r="AW101" i="76"/>
  <c r="AY764" i="76"/>
  <c r="AW836" i="76"/>
  <c r="AV998" i="76"/>
  <c r="N353" i="76"/>
  <c r="P160" i="76"/>
  <c r="AX797" i="76"/>
  <c r="AU216" i="76"/>
  <c r="Q438" i="76"/>
  <c r="AY526" i="76"/>
  <c r="Q377" i="76"/>
  <c r="AU715" i="76"/>
  <c r="AY1021" i="76"/>
  <c r="AX872" i="76"/>
  <c r="AV313" i="76"/>
  <c r="AZ428" i="76"/>
  <c r="O349" i="76"/>
  <c r="AY818" i="76"/>
  <c r="AV336" i="76"/>
  <c r="AU221" i="76"/>
  <c r="AX889" i="76"/>
  <c r="R987" i="76"/>
  <c r="N997" i="76"/>
  <c r="P1008" i="76"/>
  <c r="Q1044" i="76"/>
  <c r="P1001" i="76"/>
  <c r="AX327" i="76"/>
  <c r="Q729" i="76"/>
  <c r="AW961" i="76"/>
  <c r="P753" i="76"/>
  <c r="AV108" i="76"/>
  <c r="AY82" i="76"/>
  <c r="R168" i="76"/>
  <c r="R719" i="76"/>
  <c r="O857" i="76"/>
  <c r="AW837" i="76"/>
  <c r="Q868" i="76"/>
  <c r="AW862" i="76"/>
  <c r="S919" i="76"/>
  <c r="AZ1003" i="76"/>
  <c r="R754" i="76"/>
  <c r="AY670" i="76"/>
  <c r="N134" i="76"/>
  <c r="O868" i="76"/>
  <c r="AY958" i="76"/>
  <c r="AZ1058" i="76"/>
  <c r="AX1001" i="76"/>
  <c r="O281" i="76"/>
  <c r="R880" i="76"/>
  <c r="AU561" i="76"/>
  <c r="AY77" i="76"/>
  <c r="R699" i="76"/>
  <c r="R885" i="76"/>
  <c r="AV848" i="76"/>
  <c r="AY205" i="76"/>
  <c r="O300" i="76"/>
  <c r="R267" i="76"/>
  <c r="O705" i="76"/>
  <c r="S575" i="76"/>
  <c r="AV556" i="76"/>
  <c r="AU921" i="76"/>
  <c r="AU401" i="76"/>
  <c r="R969" i="76"/>
  <c r="O589" i="76"/>
  <c r="Q699" i="76"/>
  <c r="R436" i="76"/>
  <c r="AU718" i="76"/>
  <c r="Q563" i="76"/>
  <c r="AX209" i="76"/>
  <c r="R399" i="76"/>
  <c r="P145" i="76"/>
  <c r="P895" i="76"/>
  <c r="AV860" i="76"/>
  <c r="N143" i="76"/>
  <c r="AY363" i="76"/>
  <c r="AV437" i="76"/>
  <c r="AV153" i="76"/>
  <c r="Q959" i="76"/>
  <c r="S970" i="76"/>
  <c r="O980" i="76"/>
  <c r="R1019" i="76"/>
  <c r="O1065" i="76"/>
  <c r="AZ413" i="76"/>
  <c r="N510" i="76"/>
  <c r="AV1005" i="76"/>
  <c r="P521" i="76"/>
  <c r="AW712" i="76"/>
  <c r="AY519" i="76"/>
  <c r="O117" i="76"/>
  <c r="O834" i="76"/>
  <c r="O1039" i="76"/>
  <c r="AV73" i="76"/>
  <c r="P1057" i="76"/>
  <c r="AX84" i="76"/>
  <c r="N1021" i="76"/>
  <c r="AX148" i="76"/>
  <c r="N869" i="76"/>
  <c r="AW240" i="76"/>
  <c r="Q220" i="76"/>
  <c r="N870" i="76"/>
  <c r="AY910" i="76"/>
  <c r="AY978" i="76"/>
  <c r="AY502" i="76"/>
  <c r="AW999" i="76"/>
  <c r="N417" i="76"/>
  <c r="AZ519" i="76"/>
  <c r="AZ212" i="76"/>
  <c r="R918" i="76"/>
  <c r="S135" i="76"/>
  <c r="AV601" i="76"/>
  <c r="AX340" i="76"/>
  <c r="R679" i="76"/>
  <c r="P278" i="76"/>
  <c r="Q929" i="76"/>
  <c r="O425" i="76"/>
  <c r="AY246" i="76"/>
  <c r="AW785" i="76"/>
  <c r="AZ270" i="76"/>
  <c r="P643" i="76"/>
  <c r="AV416" i="76"/>
  <c r="S551" i="76"/>
  <c r="N448" i="76"/>
  <c r="S680" i="76"/>
  <c r="S521" i="76"/>
  <c r="N117" i="76"/>
  <c r="AU622" i="76"/>
  <c r="AW633" i="76"/>
  <c r="N181" i="76"/>
  <c r="AW834" i="76"/>
  <c r="AW898" i="76"/>
  <c r="Q554" i="76"/>
  <c r="AV150" i="76"/>
  <c r="AZ79" i="76"/>
  <c r="R616" i="76"/>
  <c r="P376" i="76"/>
  <c r="AY153" i="76"/>
  <c r="P272" i="76"/>
  <c r="S823" i="76"/>
  <c r="P829" i="76"/>
  <c r="P187" i="76"/>
  <c r="S139" i="76"/>
  <c r="AX108" i="76"/>
  <c r="AX145" i="76"/>
  <c r="AX407" i="76"/>
  <c r="AW439" i="76"/>
  <c r="AZ671" i="76"/>
  <c r="AY401" i="76"/>
  <c r="AZ190" i="76"/>
  <c r="AW1030" i="76"/>
  <c r="AV358" i="76"/>
  <c r="AY896" i="76"/>
  <c r="AX1041" i="76"/>
  <c r="Q689" i="76"/>
  <c r="S790" i="76"/>
  <c r="O800" i="76"/>
  <c r="Q811" i="76"/>
  <c r="S924" i="76"/>
  <c r="AX840" i="76"/>
  <c r="N647" i="76"/>
  <c r="AY860" i="76"/>
  <c r="P658" i="76"/>
  <c r="AW402" i="76"/>
  <c r="AY675" i="76"/>
  <c r="O469" i="76"/>
  <c r="Q962" i="76"/>
  <c r="P371" i="76"/>
  <c r="AY640" i="76"/>
  <c r="S342" i="76"/>
  <c r="AW661" i="76"/>
  <c r="P547" i="76"/>
  <c r="AU714" i="76"/>
  <c r="S475" i="76"/>
  <c r="AX388" i="76"/>
  <c r="R398" i="76"/>
  <c r="O921" i="76"/>
  <c r="S78" i="76"/>
  <c r="P158" i="76"/>
  <c r="AW325" i="76"/>
  <c r="S262" i="76"/>
  <c r="N77" i="76"/>
  <c r="AU323" i="76"/>
  <c r="P292" i="76"/>
  <c r="AU335" i="76"/>
  <c r="S274" i="76"/>
  <c r="AY369" i="76"/>
  <c r="Q291" i="76"/>
  <c r="S859" i="76"/>
  <c r="R864" i="76"/>
  <c r="AY698" i="76"/>
  <c r="N1052" i="76"/>
  <c r="AU573" i="76"/>
  <c r="AV878" i="76"/>
  <c r="O824" i="76"/>
  <c r="S1042" i="76"/>
  <c r="O987" i="76"/>
  <c r="R438" i="76"/>
  <c r="Q829" i="76"/>
  <c r="AY941" i="76"/>
  <c r="AZ738" i="76"/>
  <c r="AZ998" i="76"/>
  <c r="P295" i="76"/>
  <c r="AY676" i="76"/>
  <c r="P442" i="76"/>
  <c r="S865" i="76"/>
  <c r="AZ140" i="76"/>
  <c r="O671" i="76"/>
  <c r="Q372" i="76"/>
  <c r="P240" i="76"/>
  <c r="AU402" i="76"/>
  <c r="AU261" i="76"/>
  <c r="N523" i="76"/>
  <c r="S535" i="76"/>
  <c r="O460" i="76"/>
  <c r="P686" i="76"/>
  <c r="AY98" i="76"/>
  <c r="P502" i="76"/>
  <c r="O245" i="76"/>
  <c r="AW761" i="76"/>
  <c r="AZ116" i="76"/>
  <c r="P835" i="76"/>
  <c r="N798" i="76"/>
  <c r="AZ421" i="76"/>
  <c r="Q622" i="76"/>
  <c r="AX218" i="76"/>
  <c r="P609" i="76"/>
  <c r="AY215" i="76"/>
  <c r="S156" i="76"/>
  <c r="Q209" i="76"/>
  <c r="S303" i="76"/>
  <c r="N78" i="76"/>
  <c r="P89" i="76"/>
  <c r="R100" i="76"/>
  <c r="Q1047" i="76"/>
  <c r="S425" i="76"/>
  <c r="R992" i="76"/>
  <c r="AU880" i="76"/>
  <c r="N1002" i="76"/>
  <c r="O916" i="76"/>
  <c r="R434" i="76"/>
  <c r="P283" i="76"/>
  <c r="AX1043" i="76"/>
  <c r="AW443" i="76"/>
  <c r="AV93" i="76"/>
  <c r="AV246" i="76"/>
  <c r="AX104" i="76"/>
  <c r="AW257" i="76"/>
  <c r="AZ179" i="76"/>
  <c r="AX300" i="76"/>
  <c r="AW89" i="76"/>
  <c r="AY87" i="76"/>
  <c r="AV1034" i="76"/>
  <c r="S1027" i="76"/>
  <c r="N800" i="76"/>
  <c r="AV992" i="76"/>
  <c r="Q766" i="76"/>
  <c r="AX1035" i="76"/>
  <c r="R263" i="76"/>
  <c r="AV259" i="76"/>
  <c r="O1042" i="76"/>
  <c r="AV662" i="76"/>
  <c r="P750" i="76"/>
  <c r="AW346" i="76"/>
  <c r="R269" i="76"/>
  <c r="AW155" i="76"/>
  <c r="AZ244" i="76"/>
  <c r="P161" i="76"/>
  <c r="R243" i="76"/>
  <c r="AZ183" i="76"/>
  <c r="O996" i="76"/>
  <c r="AZ845" i="76"/>
  <c r="Q765" i="76"/>
  <c r="P427" i="76"/>
  <c r="O900" i="76"/>
  <c r="O695" i="76"/>
  <c r="O743" i="76"/>
  <c r="R254" i="76"/>
  <c r="R700" i="76"/>
  <c r="AU818" i="76"/>
  <c r="AW842" i="76"/>
  <c r="P719" i="76"/>
  <c r="N980" i="76"/>
  <c r="S708" i="76"/>
  <c r="AU173" i="76"/>
  <c r="R639" i="76"/>
  <c r="AX945" i="76"/>
  <c r="O553" i="76"/>
  <c r="AY108" i="76"/>
  <c r="Q922" i="76"/>
  <c r="AY708" i="76"/>
  <c r="P396" i="76"/>
  <c r="P872" i="76"/>
  <c r="N805" i="76"/>
  <c r="Q626" i="76"/>
  <c r="P548" i="76"/>
  <c r="O212" i="76"/>
  <c r="P983" i="76"/>
  <c r="R810" i="76"/>
  <c r="AY841" i="76"/>
  <c r="N580" i="76"/>
  <c r="Q648" i="76"/>
  <c r="N607" i="76"/>
  <c r="AW81" i="76"/>
  <c r="P864" i="76"/>
  <c r="AU190" i="76"/>
  <c r="AW233" i="76"/>
  <c r="AW816" i="76"/>
  <c r="AV758" i="76"/>
  <c r="AW1037" i="76"/>
  <c r="Q906" i="76"/>
  <c r="N260" i="76"/>
  <c r="AY342" i="76"/>
  <c r="O944" i="76"/>
  <c r="S476" i="76"/>
  <c r="Q932" i="76"/>
  <c r="N744" i="76"/>
  <c r="R469" i="76"/>
  <c r="R883" i="76"/>
  <c r="S657" i="76"/>
  <c r="AU979" i="76"/>
  <c r="AU950" i="76"/>
  <c r="AY975" i="76"/>
  <c r="AY119" i="76"/>
  <c r="AX843" i="76"/>
  <c r="AX166" i="76"/>
  <c r="Q118" i="76"/>
  <c r="AU587" i="76"/>
  <c r="S498" i="76"/>
  <c r="AZ932" i="76"/>
  <c r="AY815" i="76"/>
  <c r="S347" i="76"/>
  <c r="AU486" i="76"/>
  <c r="AX385" i="76"/>
  <c r="P773" i="76"/>
  <c r="N452" i="76"/>
  <c r="S576" i="76"/>
  <c r="N411" i="76"/>
  <c r="R393" i="76"/>
  <c r="Q784" i="76"/>
  <c r="O456" i="76"/>
  <c r="O362" i="76"/>
  <c r="O815" i="76"/>
  <c r="AX382" i="76"/>
  <c r="S679" i="76"/>
  <c r="AY837" i="76"/>
  <c r="O305" i="76"/>
  <c r="R407" i="76"/>
  <c r="AY760" i="76"/>
  <c r="N441" i="76"/>
  <c r="Q434" i="76"/>
  <c r="S1065" i="76"/>
  <c r="AU90" i="76"/>
  <c r="P181" i="76"/>
  <c r="R88" i="76"/>
  <c r="AY879" i="76"/>
  <c r="AY173" i="76"/>
  <c r="O484" i="76"/>
  <c r="AV326" i="76"/>
  <c r="AW376" i="76"/>
  <c r="N675" i="76"/>
  <c r="AW752" i="76"/>
  <c r="N713" i="76"/>
  <c r="P406" i="76"/>
  <c r="Q786" i="76"/>
  <c r="N294" i="76"/>
  <c r="R503" i="76"/>
  <c r="N568" i="76"/>
  <c r="AU301" i="76"/>
  <c r="AX949" i="76"/>
  <c r="R202" i="76"/>
  <c r="AW647" i="76"/>
  <c r="P260" i="76"/>
  <c r="N201" i="76"/>
  <c r="AV263" i="76"/>
  <c r="N689" i="76"/>
  <c r="AU519" i="76"/>
  <c r="AV954" i="76"/>
  <c r="P666" i="76"/>
  <c r="R681" i="76"/>
  <c r="P817" i="76"/>
  <c r="AU150" i="76"/>
  <c r="AW161" i="76"/>
  <c r="O655" i="76"/>
  <c r="AV609" i="76"/>
  <c r="AZ536" i="76"/>
  <c r="R364" i="76"/>
  <c r="N846" i="76"/>
  <c r="AW1018" i="76"/>
  <c r="O452" i="76"/>
  <c r="G89" i="12"/>
  <c r="C34" i="25"/>
  <c r="F99" i="12"/>
  <c r="C32" i="38" s="1"/>
  <c r="B192" i="23"/>
  <c r="W43" i="18"/>
  <c r="AV117" i="18" s="1"/>
  <c r="Q73" i="85" s="1"/>
  <c r="B236" i="23"/>
  <c r="Q235" i="23"/>
  <c r="B244" i="32"/>
  <c r="R77" i="19"/>
  <c r="L77" i="19"/>
  <c r="B273" i="32"/>
  <c r="B243" i="23"/>
  <c r="E154" i="20"/>
  <c r="E133" i="20"/>
  <c r="D277" i="19"/>
  <c r="B264" i="23"/>
  <c r="B226" i="32"/>
  <c r="V43" i="18"/>
  <c r="AU117" i="18" s="1"/>
  <c r="P73" i="85" s="1"/>
  <c r="B148" i="23"/>
  <c r="Q204" i="38"/>
  <c r="Q140" i="38"/>
  <c r="Q166" i="38"/>
  <c r="Q298" i="38"/>
  <c r="X111" i="38"/>
  <c r="Q203" i="38"/>
  <c r="Q235" i="38"/>
  <c r="Q261" i="38"/>
  <c r="Q299" i="38"/>
  <c r="Q262" i="38"/>
  <c r="Q167" i="38"/>
  <c r="B287" i="23"/>
  <c r="B171" i="30"/>
  <c r="B217" i="32"/>
  <c r="G146" i="20"/>
  <c r="K85" i="19"/>
  <c r="DT26" i="18"/>
  <c r="BM44" i="76"/>
  <c r="AF46" i="76"/>
  <c r="B178" i="32"/>
  <c r="B219" i="17"/>
  <c r="F54" i="14"/>
  <c r="F51" i="14"/>
  <c r="B207" i="14"/>
  <c r="G45" i="89"/>
  <c r="Q73" i="89" s="1"/>
  <c r="P73" i="89"/>
  <c r="H146" i="20"/>
  <c r="D265" i="89"/>
  <c r="B236" i="32"/>
  <c r="B185" i="23"/>
  <c r="B259" i="14"/>
  <c r="B257" i="23"/>
  <c r="B123" i="23"/>
  <c r="W241" i="40"/>
  <c r="W153" i="40"/>
  <c r="W197" i="40"/>
  <c r="W146" i="40"/>
  <c r="W129" i="40"/>
  <c r="W248" i="40"/>
  <c r="W166" i="40"/>
  <c r="W285" i="40"/>
  <c r="W271" i="40"/>
  <c r="W215" i="40"/>
  <c r="W203" i="40"/>
  <c r="W190" i="40"/>
  <c r="W292" i="40"/>
  <c r="W224" i="40"/>
  <c r="W278" i="40"/>
  <c r="W183" i="40"/>
  <c r="W160" i="40"/>
  <c r="W120" i="40"/>
  <c r="W261" i="40"/>
  <c r="W298" i="40"/>
  <c r="W234" i="40"/>
  <c r="W139" i="40"/>
  <c r="W176" i="40"/>
  <c r="W255" i="40"/>
  <c r="G45" i="14"/>
  <c r="Q73" i="14" s="1"/>
  <c r="P73" i="14"/>
  <c r="B123" i="32"/>
  <c r="AO1029" i="76"/>
  <c r="AS943" i="76"/>
  <c r="AQ858" i="76"/>
  <c r="AO773" i="76"/>
  <c r="AS687" i="76"/>
  <c r="AQ602" i="76"/>
  <c r="AO517" i="76"/>
  <c r="AT987" i="76"/>
  <c r="AR902" i="76"/>
  <c r="AP817" i="76"/>
  <c r="AT731" i="76"/>
  <c r="AR646" i="76"/>
  <c r="AO1008" i="76"/>
  <c r="AS922" i="76"/>
  <c r="AQ837" i="76"/>
  <c r="AO752" i="76"/>
  <c r="AS666" i="76"/>
  <c r="AT1014" i="76"/>
  <c r="AR929" i="76"/>
  <c r="AP844" i="76"/>
  <c r="AT758" i="76"/>
  <c r="AR673" i="76"/>
  <c r="AP588" i="76"/>
  <c r="AT1053" i="76"/>
  <c r="AP883" i="76"/>
  <c r="AR712" i="76"/>
  <c r="AS570" i="76"/>
  <c r="AR470" i="76"/>
  <c r="AP385" i="76"/>
  <c r="AT299" i="76"/>
  <c r="AR214" i="76"/>
  <c r="AP129" i="76"/>
  <c r="M1042" i="76"/>
  <c r="K957" i="76"/>
  <c r="I872" i="76"/>
  <c r="AS928" i="76"/>
  <c r="AO758" i="76"/>
  <c r="AO1009" i="76"/>
  <c r="AS923" i="76"/>
  <c r="AQ838" i="76"/>
  <c r="AO753" i="76"/>
  <c r="AS667" i="76"/>
  <c r="AQ582" i="76"/>
  <c r="AP1053" i="76"/>
  <c r="AT967" i="76"/>
  <c r="AR882" i="76"/>
  <c r="AP797" i="76"/>
  <c r="AT711" i="76"/>
  <c r="AR626" i="76"/>
  <c r="AO988" i="76"/>
  <c r="AS902" i="76"/>
  <c r="AQ817" i="76"/>
  <c r="AO732" i="76"/>
  <c r="AS646" i="76"/>
  <c r="AT994" i="76"/>
  <c r="AR909" i="76"/>
  <c r="AP824" i="76"/>
  <c r="AT738" i="76"/>
  <c r="AR653" i="76"/>
  <c r="AP568" i="76"/>
  <c r="AT1013" i="76"/>
  <c r="AP843" i="76"/>
  <c r="AR672" i="76"/>
  <c r="AO544" i="76"/>
  <c r="AR450" i="76"/>
  <c r="AP365" i="76"/>
  <c r="AT279" i="76"/>
  <c r="AR194" i="76"/>
  <c r="AP109" i="76"/>
  <c r="M1022" i="76"/>
  <c r="K937" i="76"/>
  <c r="AQ1059" i="76"/>
  <c r="AS888" i="76"/>
  <c r="AS1063" i="76"/>
  <c r="AQ978" i="76"/>
  <c r="AO893" i="76"/>
  <c r="AS807" i="76"/>
  <c r="AQ722" i="76"/>
  <c r="AO637" i="76"/>
  <c r="AS551" i="76"/>
  <c r="AR1022" i="76"/>
  <c r="AP937" i="76"/>
  <c r="AT851" i="76"/>
  <c r="AR766" i="76"/>
  <c r="AP681" i="76"/>
  <c r="AS1042" i="76"/>
  <c r="AQ957" i="76"/>
  <c r="AO872" i="76"/>
  <c r="AS786" i="76"/>
  <c r="AQ701" i="76"/>
  <c r="AR1049" i="76"/>
  <c r="AP964" i="76"/>
  <c r="AT878" i="76"/>
  <c r="AR793" i="76"/>
  <c r="AP708" i="76"/>
  <c r="AT622" i="76"/>
  <c r="AR537" i="76"/>
  <c r="AR952" i="76"/>
  <c r="AT781" i="76"/>
  <c r="AT616" i="76"/>
  <c r="AP505" i="76"/>
  <c r="AT419" i="76"/>
  <c r="AR334" i="76"/>
  <c r="AP249" i="76"/>
  <c r="AT163" i="76"/>
  <c r="AR78" i="76"/>
  <c r="I992" i="76"/>
  <c r="M906" i="76"/>
  <c r="AO998" i="76"/>
  <c r="AQ827" i="76"/>
  <c r="AS1035" i="76"/>
  <c r="AQ950" i="76"/>
  <c r="AO865" i="76"/>
  <c r="AS779" i="76"/>
  <c r="AQ694" i="76"/>
  <c r="AO609" i="76"/>
  <c r="AS523" i="76"/>
  <c r="AR994" i="76"/>
  <c r="AP909" i="76"/>
  <c r="AT823" i="76"/>
  <c r="AR738" i="76"/>
  <c r="AP653" i="76"/>
  <c r="AS1014" i="76"/>
  <c r="AQ929" i="76"/>
  <c r="AO844" i="76"/>
  <c r="AS758" i="76"/>
  <c r="AQ673" i="76"/>
  <c r="AR1021" i="76"/>
  <c r="AP936" i="76"/>
  <c r="AT850" i="76"/>
  <c r="AR765" i="76"/>
  <c r="AP680" i="76"/>
  <c r="AT594" i="76"/>
  <c r="AP1067" i="76"/>
  <c r="AR896" i="76"/>
  <c r="AT725" i="76"/>
  <c r="AR579" i="76"/>
  <c r="AP477" i="76"/>
  <c r="AT391" i="76"/>
  <c r="AR306" i="76"/>
  <c r="AP221" i="76"/>
  <c r="AT135" i="76"/>
  <c r="K1049" i="76"/>
  <c r="I964" i="76"/>
  <c r="M878" i="76"/>
  <c r="AO942" i="76"/>
  <c r="AQ771" i="76"/>
  <c r="AS947" i="76"/>
  <c r="AO777" i="76"/>
  <c r="AQ606" i="76"/>
  <c r="AT991" i="76"/>
  <c r="AP821" i="76"/>
  <c r="AR650" i="76"/>
  <c r="AS926" i="76"/>
  <c r="AO756" i="76"/>
  <c r="AT1018" i="76"/>
  <c r="AP848" i="76"/>
  <c r="AR677" i="76"/>
  <c r="AT1061" i="76"/>
  <c r="AR720" i="76"/>
  <c r="AR474" i="76"/>
  <c r="AT303" i="76"/>
  <c r="AP133" i="76"/>
  <c r="K961" i="76"/>
  <c r="AS936" i="76"/>
  <c r="AQ659" i="76"/>
  <c r="AQ535" i="76"/>
  <c r="AO444" i="76"/>
  <c r="AS358" i="76"/>
  <c r="AQ273" i="76"/>
  <c r="AO188" i="76"/>
  <c r="AS102" i="76"/>
  <c r="AT1008" i="76"/>
  <c r="AP838" i="76"/>
  <c r="AR667" i="76"/>
  <c r="AT540" i="76"/>
  <c r="AP448" i="76"/>
  <c r="AT362" i="76"/>
  <c r="AR277" i="76"/>
  <c r="AP192" i="76"/>
  <c r="AT106" i="76"/>
  <c r="K1020" i="76"/>
  <c r="AQ900" i="76"/>
  <c r="AS729" i="76"/>
  <c r="AO582" i="76"/>
  <c r="AO479" i="76"/>
  <c r="AS393" i="76"/>
  <c r="AQ308" i="76"/>
  <c r="AO223" i="76"/>
  <c r="AS137" i="76"/>
  <c r="J1051" i="76"/>
  <c r="H966" i="76"/>
  <c r="L880" i="76"/>
  <c r="AO738" i="76"/>
  <c r="AQ483" i="76"/>
  <c r="AS312" i="76"/>
  <c r="AO142" i="76"/>
  <c r="I991" i="76"/>
  <c r="L877" i="76"/>
  <c r="L789" i="76"/>
  <c r="J704" i="76"/>
  <c r="H619" i="76"/>
  <c r="L533" i="76"/>
  <c r="J448" i="76"/>
  <c r="H363" i="76"/>
  <c r="L277" i="76"/>
  <c r="J192" i="76"/>
  <c r="H107" i="76"/>
  <c r="AT828" i="76"/>
  <c r="AS534" i="76"/>
  <c r="AP358" i="76"/>
  <c r="AR187" i="76"/>
  <c r="I1022" i="76"/>
  <c r="M907" i="76"/>
  <c r="K812" i="76"/>
  <c r="I727" i="76"/>
  <c r="M641" i="76"/>
  <c r="K556" i="76"/>
  <c r="I471" i="76"/>
  <c r="M385" i="76"/>
  <c r="K300" i="76"/>
  <c r="AO1043" i="76"/>
  <c r="AS701" i="76"/>
  <c r="AO465" i="76"/>
  <c r="AQ294" i="76"/>
  <c r="AS123" i="76"/>
  <c r="I979" i="76"/>
  <c r="J867" i="76"/>
  <c r="L780" i="76"/>
  <c r="J695" i="76"/>
  <c r="H610" i="76"/>
  <c r="L524" i="76"/>
  <c r="AQ1034" i="76"/>
  <c r="AS863" i="76"/>
  <c r="AO693" i="76"/>
  <c r="AQ522" i="76"/>
  <c r="AT907" i="76"/>
  <c r="AP737" i="76"/>
  <c r="AQ1013" i="76"/>
  <c r="AS842" i="76"/>
  <c r="AO672" i="76"/>
  <c r="AT934" i="76"/>
  <c r="AP764" i="76"/>
  <c r="AR593" i="76"/>
  <c r="AT893" i="76"/>
  <c r="AT577" i="76"/>
  <c r="AR390" i="76"/>
  <c r="AT219" i="76"/>
  <c r="I1048" i="76"/>
  <c r="K877" i="76"/>
  <c r="AS768" i="76"/>
  <c r="AO594" i="76"/>
  <c r="AO488" i="76"/>
  <c r="AS402" i="76"/>
  <c r="AQ317" i="76"/>
  <c r="AO232" i="76"/>
  <c r="AS146" i="76"/>
  <c r="J1060" i="76"/>
  <c r="AP926" i="76"/>
  <c r="AR755" i="76"/>
  <c r="AR599" i="76"/>
  <c r="AP492" i="76"/>
  <c r="AT406" i="76"/>
  <c r="AR321" i="76"/>
  <c r="AP236" i="76"/>
  <c r="AT150" i="76"/>
  <c r="K1064" i="76"/>
  <c r="AQ988" i="76"/>
  <c r="AS817" i="76"/>
  <c r="AO647" i="76"/>
  <c r="AO527" i="76"/>
  <c r="AS437" i="76"/>
  <c r="AQ352" i="76"/>
  <c r="AO267" i="76"/>
  <c r="AS181" i="76"/>
  <c r="AQ96" i="76"/>
  <c r="H1010" i="76"/>
  <c r="L924" i="76"/>
  <c r="AO914" i="76"/>
  <c r="AQ591" i="76"/>
  <c r="AS400" i="76"/>
  <c r="AO230" i="76"/>
  <c r="J1058" i="76"/>
  <c r="H936" i="76"/>
  <c r="AO69" i="76"/>
  <c r="AS1039" i="76"/>
  <c r="AQ954" i="76"/>
  <c r="AO869" i="76"/>
  <c r="AS783" i="76"/>
  <c r="AQ698" i="76"/>
  <c r="AO613" i="76"/>
  <c r="AS527" i="76"/>
  <c r="AR998" i="76"/>
  <c r="AP913" i="76"/>
  <c r="AT827" i="76"/>
  <c r="AR742" i="76"/>
  <c r="AP657" i="76"/>
  <c r="AS1018" i="76"/>
  <c r="AQ933" i="76"/>
  <c r="AO848" i="76"/>
  <c r="AS762" i="76"/>
  <c r="AQ677" i="76"/>
  <c r="AR1025" i="76"/>
  <c r="AP940" i="76"/>
  <c r="AT854" i="76"/>
  <c r="AR769" i="76"/>
  <c r="AP684" i="76"/>
  <c r="AT598" i="76"/>
  <c r="AR513" i="76"/>
  <c r="AR904" i="76"/>
  <c r="AT733" i="76"/>
  <c r="AT584" i="76"/>
  <c r="AP481" i="76"/>
  <c r="AT395" i="76"/>
  <c r="AR310" i="76"/>
  <c r="AP225" i="76"/>
  <c r="AT139" i="76"/>
  <c r="K1053" i="76"/>
  <c r="I968" i="76"/>
  <c r="M882" i="76"/>
  <c r="AO950" i="76"/>
  <c r="AQ779" i="76"/>
  <c r="AS1019" i="76"/>
  <c r="AQ934" i="76"/>
  <c r="AO849" i="76"/>
  <c r="AS763" i="76"/>
  <c r="AQ678" i="76"/>
  <c r="AO593" i="76"/>
  <c r="AT1063" i="76"/>
  <c r="AR978" i="76"/>
  <c r="AP893" i="76"/>
  <c r="AT807" i="76"/>
  <c r="AR722" i="76"/>
  <c r="AP637" i="76"/>
  <c r="AS998" i="76"/>
  <c r="AQ913" i="76"/>
  <c r="AO828" i="76"/>
  <c r="AS742" i="76"/>
  <c r="AQ657" i="76"/>
  <c r="AR1005" i="76"/>
  <c r="AP920" i="76"/>
  <c r="AT834" i="76"/>
  <c r="AR749" i="76"/>
  <c r="AP664" i="76"/>
  <c r="AT578" i="76"/>
  <c r="AP1035" i="76"/>
  <c r="AR864" i="76"/>
  <c r="AT693" i="76"/>
  <c r="AP558" i="76"/>
  <c r="AP461" i="76"/>
  <c r="AT375" i="76"/>
  <c r="AR290" i="76"/>
  <c r="AP205" i="76"/>
  <c r="AT119" i="76"/>
  <c r="K1033" i="76"/>
  <c r="I948" i="76"/>
  <c r="M862" i="76"/>
  <c r="AO910" i="76"/>
  <c r="AQ739" i="76"/>
  <c r="AO989" i="76"/>
  <c r="AS903" i="76"/>
  <c r="AQ818" i="76"/>
  <c r="AO733" i="76"/>
  <c r="AS647" i="76"/>
  <c r="AQ562" i="76"/>
  <c r="AP1033" i="76"/>
  <c r="AT947" i="76"/>
  <c r="AR862" i="76"/>
  <c r="AP777" i="76"/>
  <c r="AT691" i="76"/>
  <c r="AQ1053" i="76"/>
  <c r="AO968" i="76"/>
  <c r="AS882" i="76"/>
  <c r="AQ797" i="76"/>
  <c r="AO712" i="76"/>
  <c r="AP1060" i="76"/>
  <c r="AT974" i="76"/>
  <c r="AR889" i="76"/>
  <c r="AP804" i="76"/>
  <c r="AT718" i="76"/>
  <c r="AR633" i="76"/>
  <c r="AP548" i="76"/>
  <c r="AT973" i="76"/>
  <c r="AP803" i="76"/>
  <c r="AT632" i="76"/>
  <c r="AQ517" i="76"/>
  <c r="AR430" i="76"/>
  <c r="AP345" i="76"/>
  <c r="AT259" i="76"/>
  <c r="AR174" i="76"/>
  <c r="AP89" i="76"/>
  <c r="M1002" i="76"/>
  <c r="K917" i="76"/>
  <c r="AQ1019" i="76"/>
  <c r="AS848" i="76"/>
  <c r="AQ1046" i="76"/>
  <c r="AO961" i="76"/>
  <c r="AS875" i="76"/>
  <c r="AQ790" i="76"/>
  <c r="AO705" i="76"/>
  <c r="AS619" i="76"/>
  <c r="AQ534" i="76"/>
  <c r="AP1005" i="76"/>
  <c r="AT919" i="76"/>
  <c r="AR834" i="76"/>
  <c r="AP749" i="76"/>
  <c r="AT663" i="76"/>
  <c r="AQ1025" i="76"/>
  <c r="AO940" i="76"/>
  <c r="AS854" i="76"/>
  <c r="AQ769" i="76"/>
  <c r="AO684" i="76"/>
  <c r="AP1032" i="76"/>
  <c r="AT946" i="76"/>
  <c r="AR861" i="76"/>
  <c r="AP776" i="76"/>
  <c r="AT690" i="76"/>
  <c r="AR605" i="76"/>
  <c r="AP520" i="76"/>
  <c r="AT917" i="76"/>
  <c r="AP747" i="76"/>
  <c r="AT593" i="76"/>
  <c r="AT487" i="76"/>
  <c r="AR402" i="76"/>
  <c r="AP317" i="76"/>
  <c r="AT231" i="76"/>
  <c r="AR146" i="76"/>
  <c r="I1060" i="76"/>
  <c r="M974" i="76"/>
  <c r="K889" i="76"/>
  <c r="AQ963" i="76"/>
  <c r="AS792" i="76"/>
  <c r="AO969" i="76"/>
  <c r="AQ798" i="76"/>
  <c r="AS627" i="76"/>
  <c r="AP1013" i="76"/>
  <c r="AR842" i="76"/>
  <c r="AT671" i="76"/>
  <c r="AO948" i="76"/>
  <c r="AQ777" i="76"/>
  <c r="AP1040" i="76"/>
  <c r="AR869" i="76"/>
  <c r="AT698" i="76"/>
  <c r="AP528" i="76"/>
  <c r="AP763" i="76"/>
  <c r="AT495" i="76"/>
  <c r="AP325" i="76"/>
  <c r="AR154" i="76"/>
  <c r="M982" i="76"/>
  <c r="AQ979" i="76"/>
  <c r="AS680" i="76"/>
  <c r="AS549" i="76"/>
  <c r="AS454" i="76"/>
  <c r="AQ369" i="76"/>
  <c r="AO284" i="76"/>
  <c r="AS198" i="76"/>
  <c r="AQ113" i="76"/>
  <c r="AP1030" i="76"/>
  <c r="AR859" i="76"/>
  <c r="AT688" i="76"/>
  <c r="AP555" i="76"/>
  <c r="AT458" i="76"/>
  <c r="AR373" i="76"/>
  <c r="AP288" i="76"/>
  <c r="AT202" i="76"/>
  <c r="AR117" i="76"/>
  <c r="I1031" i="76"/>
  <c r="AS921" i="76"/>
  <c r="AO751" i="76"/>
  <c r="AQ596" i="76"/>
  <c r="AS489" i="76"/>
  <c r="AQ404" i="76"/>
  <c r="AO319" i="76"/>
  <c r="AS233" i="76"/>
  <c r="AQ148" i="76"/>
  <c r="H1062" i="76"/>
  <c r="L976" i="76"/>
  <c r="J891" i="76"/>
  <c r="AS780" i="76"/>
  <c r="AS504" i="76"/>
  <c r="AO334" i="76"/>
  <c r="AQ163" i="76"/>
  <c r="J1005" i="76"/>
  <c r="L891" i="76"/>
  <c r="J800" i="76"/>
  <c r="H715" i="76"/>
  <c r="L629" i="76"/>
  <c r="J544" i="76"/>
  <c r="H459" i="76"/>
  <c r="L373" i="76"/>
  <c r="J288" i="76"/>
  <c r="H203" i="76"/>
  <c r="L117" i="76"/>
  <c r="AR871" i="76"/>
  <c r="AP563" i="76"/>
  <c r="AR379" i="76"/>
  <c r="AT208" i="76"/>
  <c r="H1039" i="76"/>
  <c r="I922" i="76"/>
  <c r="I823" i="76"/>
  <c r="M737" i="76"/>
  <c r="K652" i="76"/>
  <c r="I567" i="76"/>
  <c r="M481" i="76"/>
  <c r="K396" i="76"/>
  <c r="I311" i="76"/>
  <c r="M225" i="76"/>
  <c r="AQ744" i="76"/>
  <c r="AQ486" i="76"/>
  <c r="AS315" i="76"/>
  <c r="AO145" i="76"/>
  <c r="J993" i="76"/>
  <c r="L879" i="76"/>
  <c r="J791" i="76"/>
  <c r="H706" i="76"/>
  <c r="L620" i="76"/>
  <c r="J535" i="76"/>
  <c r="AS1055" i="76"/>
  <c r="AO885" i="76"/>
  <c r="AQ714" i="76"/>
  <c r="AS543" i="76"/>
  <c r="AP929" i="76"/>
  <c r="AR758" i="76"/>
  <c r="AS1034" i="76"/>
  <c r="AO864" i="76"/>
  <c r="AQ693" i="76"/>
  <c r="AP956" i="76"/>
  <c r="AR785" i="76"/>
  <c r="AT614" i="76"/>
  <c r="AR936" i="76"/>
  <c r="AP606" i="76"/>
  <c r="AT411" i="76"/>
  <c r="AP241" i="76"/>
  <c r="AR70" i="76"/>
  <c r="M898" i="76"/>
  <c r="AQ811" i="76"/>
  <c r="AQ608" i="76"/>
  <c r="AS498" i="76"/>
  <c r="AQ413" i="76"/>
  <c r="AO328" i="76"/>
  <c r="AS242" i="76"/>
  <c r="AQ157" i="76"/>
  <c r="AO72" i="76"/>
  <c r="AR947" i="76"/>
  <c r="AT776" i="76"/>
  <c r="AT613" i="76"/>
  <c r="AT502" i="76"/>
  <c r="AR417" i="76"/>
  <c r="AP332" i="76"/>
  <c r="AT246" i="76"/>
  <c r="AR161" i="76"/>
  <c r="AP76" i="76"/>
  <c r="AS1009" i="76"/>
  <c r="AO839" i="76"/>
  <c r="AQ668" i="76"/>
  <c r="AP541" i="76"/>
  <c r="AQ448" i="76"/>
  <c r="AO363" i="76"/>
  <c r="AS277" i="76"/>
  <c r="AQ192" i="76"/>
  <c r="AO107" i="76"/>
  <c r="L1020" i="76"/>
  <c r="J935" i="76"/>
  <c r="AS956" i="76"/>
  <c r="AT619" i="76"/>
  <c r="AO422" i="76"/>
  <c r="AQ251" i="76"/>
  <c r="AS80" i="76"/>
  <c r="J950" i="76"/>
  <c r="H69" i="76"/>
  <c r="AQ1050" i="76"/>
  <c r="AO965" i="76"/>
  <c r="AS879" i="76"/>
  <c r="AQ794" i="76"/>
  <c r="AO709" i="76"/>
  <c r="AS623" i="76"/>
  <c r="AQ538" i="76"/>
  <c r="AP1009" i="76"/>
  <c r="AT923" i="76"/>
  <c r="AR838" i="76"/>
  <c r="AP753" i="76"/>
  <c r="AT667" i="76"/>
  <c r="AQ1029" i="76"/>
  <c r="AO944" i="76"/>
  <c r="AS858" i="76"/>
  <c r="AQ773" i="76"/>
  <c r="AO688" i="76"/>
  <c r="AP1036" i="76"/>
  <c r="AT950" i="76"/>
  <c r="AR865" i="76"/>
  <c r="AP780" i="76"/>
  <c r="AT694" i="76"/>
  <c r="AR609" i="76"/>
  <c r="AP524" i="76"/>
  <c r="AT925" i="76"/>
  <c r="AP755" i="76"/>
  <c r="AP599" i="76"/>
  <c r="AT491" i="76"/>
  <c r="AR406" i="76"/>
  <c r="AP321" i="76"/>
  <c r="AT235" i="76"/>
  <c r="AR150" i="76"/>
  <c r="I1064" i="76"/>
  <c r="M978" i="76"/>
  <c r="K893" i="76"/>
  <c r="AQ971" i="76"/>
  <c r="AS800" i="76"/>
  <c r="AQ1030" i="76"/>
  <c r="AO945" i="76"/>
  <c r="AS859" i="76"/>
  <c r="AQ774" i="76"/>
  <c r="AO689" i="76"/>
  <c r="AS603" i="76"/>
  <c r="AQ518" i="76"/>
  <c r="AP989" i="76"/>
  <c r="AT903" i="76"/>
  <c r="AR818" i="76"/>
  <c r="AP733" i="76"/>
  <c r="AT647" i="76"/>
  <c r="AQ1009" i="76"/>
  <c r="AO924" i="76"/>
  <c r="AS838" i="76"/>
  <c r="AQ753" i="76"/>
  <c r="AO668" i="76"/>
  <c r="AP1016" i="76"/>
  <c r="AT930" i="76"/>
  <c r="AR845" i="76"/>
  <c r="AP760" i="76"/>
  <c r="AT674" i="76"/>
  <c r="AR589" i="76"/>
  <c r="AR1056" i="76"/>
  <c r="AT885" i="76"/>
  <c r="AP715" i="76"/>
  <c r="AR572" i="76"/>
  <c r="AT471" i="76"/>
  <c r="AR386" i="76"/>
  <c r="AP301" i="76"/>
  <c r="AT215" i="76"/>
  <c r="AR130" i="76"/>
  <c r="I1044" i="76"/>
  <c r="M958" i="76"/>
  <c r="K873" i="76"/>
  <c r="AQ931" i="76"/>
  <c r="AS760" i="76"/>
  <c r="AS999" i="76"/>
  <c r="AQ914" i="76"/>
  <c r="AO829" i="76"/>
  <c r="AS743" i="76"/>
  <c r="AQ658" i="76"/>
  <c r="AO573" i="76"/>
  <c r="AT1043" i="76"/>
  <c r="AR958" i="76"/>
  <c r="AP873" i="76"/>
  <c r="AT787" i="76"/>
  <c r="AR702" i="76"/>
  <c r="AO1064" i="76"/>
  <c r="AS978" i="76"/>
  <c r="AQ893" i="76"/>
  <c r="AO808" i="76"/>
  <c r="AS722" i="76"/>
  <c r="AQ637" i="76"/>
  <c r="AR985" i="76"/>
  <c r="AP900" i="76"/>
  <c r="AT814" i="76"/>
  <c r="AR729" i="76"/>
  <c r="AP644" i="76"/>
  <c r="AT558" i="76"/>
  <c r="AP995" i="76"/>
  <c r="AR824" i="76"/>
  <c r="AT653" i="76"/>
  <c r="AR531" i="76"/>
  <c r="AP441" i="76"/>
  <c r="AT355" i="76"/>
  <c r="AR270" i="76"/>
  <c r="AP185" i="76"/>
  <c r="AT99" i="76"/>
  <c r="K1013" i="76"/>
  <c r="I928" i="76"/>
  <c r="AS1040" i="76"/>
  <c r="AO870" i="76"/>
  <c r="AO1057" i="76"/>
  <c r="AS971" i="76"/>
  <c r="AQ886" i="76"/>
  <c r="AO801" i="76"/>
  <c r="AS715" i="76"/>
  <c r="AQ630" i="76"/>
  <c r="AO545" i="76"/>
  <c r="AT1015" i="76"/>
  <c r="AR930" i="76"/>
  <c r="AP845" i="76"/>
  <c r="AT759" i="76"/>
  <c r="AR674" i="76"/>
  <c r="AO1036" i="76"/>
  <c r="AS950" i="76"/>
  <c r="AQ865" i="76"/>
  <c r="AO780" i="76"/>
  <c r="AS694" i="76"/>
  <c r="AT1042" i="76"/>
  <c r="AR957" i="76"/>
  <c r="AP872" i="76"/>
  <c r="AT786" i="76"/>
  <c r="AR701" i="76"/>
  <c r="AP616" i="76"/>
  <c r="AT530" i="76"/>
  <c r="AP939" i="76"/>
  <c r="AR768" i="76"/>
  <c r="AO608" i="76"/>
  <c r="AR498" i="76"/>
  <c r="AP413" i="76"/>
  <c r="AT327" i="76"/>
  <c r="AR242" i="76"/>
  <c r="AP157" i="76"/>
  <c r="AT71" i="76"/>
  <c r="K985" i="76"/>
  <c r="I900" i="76"/>
  <c r="AS984" i="76"/>
  <c r="AO814" i="76"/>
  <c r="AQ990" i="76"/>
  <c r="AS819" i="76"/>
  <c r="AO649" i="76"/>
  <c r="AR1034" i="76"/>
  <c r="AT863" i="76"/>
  <c r="AP693" i="76"/>
  <c r="AQ969" i="76"/>
  <c r="AS798" i="76"/>
  <c r="AR1061" i="76"/>
  <c r="AT890" i="76"/>
  <c r="AP720" i="76"/>
  <c r="AR549" i="76"/>
  <c r="AT805" i="76"/>
  <c r="AP519" i="76"/>
  <c r="AR346" i="76"/>
  <c r="AT175" i="76"/>
  <c r="I1004" i="76"/>
  <c r="AO1022" i="76"/>
  <c r="AO702" i="76"/>
  <c r="AT563" i="76"/>
  <c r="AQ465" i="76"/>
  <c r="AO380" i="76"/>
  <c r="AS294" i="76"/>
  <c r="AQ209" i="76"/>
  <c r="AO124" i="76"/>
  <c r="AR1051" i="76"/>
  <c r="AT880" i="76"/>
  <c r="AP710" i="76"/>
  <c r="AQ569" i="76"/>
  <c r="AR469" i="76"/>
  <c r="AP384" i="76"/>
  <c r="AT298" i="76"/>
  <c r="AR213" i="76"/>
  <c r="AP128" i="76"/>
  <c r="M1041" i="76"/>
  <c r="AO943" i="76"/>
  <c r="AQ772" i="76"/>
  <c r="AR610" i="76"/>
  <c r="AQ500" i="76"/>
  <c r="AO415" i="76"/>
  <c r="AS329" i="76"/>
  <c r="AQ244" i="76"/>
  <c r="AO159" i="76"/>
  <c r="AS73" i="76"/>
  <c r="J987" i="76"/>
  <c r="H902" i="76"/>
  <c r="AQ823" i="76"/>
  <c r="AO531" i="76"/>
  <c r="AQ355" i="76"/>
  <c r="AS184" i="76"/>
  <c r="L1019" i="76"/>
  <c r="M905" i="76"/>
  <c r="H811" i="76"/>
  <c r="L725" i="76"/>
  <c r="J640" i="76"/>
  <c r="H555" i="76"/>
  <c r="L469" i="76"/>
  <c r="J384" i="76"/>
  <c r="H299" i="76"/>
  <c r="L213" i="76"/>
  <c r="J128" i="76"/>
  <c r="AP914" i="76"/>
  <c r="AR591" i="76"/>
  <c r="AT400" i="76"/>
  <c r="AP230" i="76"/>
  <c r="K1058" i="76"/>
  <c r="J936" i="76"/>
  <c r="M833" i="76"/>
  <c r="K748" i="76"/>
  <c r="I663" i="76"/>
  <c r="M577" i="76"/>
  <c r="K492" i="76"/>
  <c r="I407" i="76"/>
  <c r="M321" i="76"/>
  <c r="K236" i="76"/>
  <c r="AO787" i="76"/>
  <c r="AS507" i="76"/>
  <c r="AO337" i="76"/>
  <c r="AQ166" i="76"/>
  <c r="L1007" i="76"/>
  <c r="M893" i="76"/>
  <c r="H802" i="76"/>
  <c r="L716" i="76"/>
  <c r="J631" i="76"/>
  <c r="H546" i="76"/>
  <c r="L460" i="76"/>
  <c r="AQ906" i="76"/>
  <c r="AS735" i="76"/>
  <c r="AO565" i="76"/>
  <c r="AR950" i="76"/>
  <c r="AT779" i="76"/>
  <c r="AO1056" i="76"/>
  <c r="AQ885" i="76"/>
  <c r="AS714" i="76"/>
  <c r="AR977" i="76"/>
  <c r="AT806" i="76"/>
  <c r="AP636" i="76"/>
  <c r="AP979" i="76"/>
  <c r="AT637" i="76"/>
  <c r="AP433" i="76"/>
  <c r="AR262" i="76"/>
  <c r="AT91" i="76"/>
  <c r="I920" i="76"/>
  <c r="AO854" i="76"/>
  <c r="AS622" i="76"/>
  <c r="AQ509" i="76"/>
  <c r="AO424" i="76"/>
  <c r="AS338" i="76"/>
  <c r="AQ253" i="76"/>
  <c r="AO168" i="76"/>
  <c r="AS82" i="76"/>
  <c r="AT968" i="76"/>
  <c r="AP798" i="76"/>
  <c r="AQ629" i="76"/>
  <c r="AP514" i="76"/>
  <c r="AP428" i="76"/>
  <c r="AT342" i="76"/>
  <c r="AR257" i="76"/>
  <c r="AP172" i="76"/>
  <c r="AT86" i="76"/>
  <c r="AO1031" i="76"/>
  <c r="AQ860" i="76"/>
  <c r="AS689" i="76"/>
  <c r="AQ555" i="76"/>
  <c r="AO459" i="76"/>
  <c r="AS373" i="76"/>
  <c r="AQ288" i="76"/>
  <c r="AO203" i="76"/>
  <c r="AS117" i="76"/>
  <c r="J1031" i="76"/>
  <c r="H946" i="76"/>
  <c r="AQ999" i="76"/>
  <c r="AO658" i="76"/>
  <c r="AQ443" i="76"/>
  <c r="AS272" i="76"/>
  <c r="AO102" i="76"/>
  <c r="K964" i="76"/>
  <c r="AP69" i="76"/>
  <c r="AO1061" i="76"/>
  <c r="AS975" i="76"/>
  <c r="AQ890" i="76"/>
  <c r="AO805" i="76"/>
  <c r="AS719" i="76"/>
  <c r="AQ634" i="76"/>
  <c r="AO549" i="76"/>
  <c r="AT1019" i="76"/>
  <c r="AR934" i="76"/>
  <c r="AP849" i="76"/>
  <c r="AT763" i="76"/>
  <c r="AR678" i="76"/>
  <c r="AO1040" i="76"/>
  <c r="AS954" i="76"/>
  <c r="AQ869" i="76"/>
  <c r="AO784" i="76"/>
  <c r="AS698" i="76"/>
  <c r="AT1046" i="76"/>
  <c r="AR961" i="76"/>
  <c r="AP876" i="76"/>
  <c r="AT790" i="76"/>
  <c r="AR705" i="76"/>
  <c r="AP620" i="76"/>
  <c r="AT534" i="76"/>
  <c r="AP947" i="76"/>
  <c r="AR776" i="76"/>
  <c r="AQ613" i="76"/>
  <c r="AR502" i="76"/>
  <c r="AP417" i="76"/>
  <c r="AT331" i="76"/>
  <c r="AR246" i="76"/>
  <c r="AP161" i="76"/>
  <c r="AT75" i="76"/>
  <c r="K989" i="76"/>
  <c r="I904" i="76"/>
  <c r="AS992" i="76"/>
  <c r="AO822" i="76"/>
  <c r="AO1041" i="76"/>
  <c r="AS955" i="76"/>
  <c r="AQ870" i="76"/>
  <c r="AO785" i="76"/>
  <c r="AS699" i="76"/>
  <c r="AQ614" i="76"/>
  <c r="AO529" i="76"/>
  <c r="AT999" i="76"/>
  <c r="AR914" i="76"/>
  <c r="AP829" i="76"/>
  <c r="AT743" i="76"/>
  <c r="AR658" i="76"/>
  <c r="AO1020" i="76"/>
  <c r="AS934" i="76"/>
  <c r="AQ849" i="76"/>
  <c r="AO764" i="76"/>
  <c r="AS678" i="76"/>
  <c r="AT1026" i="76"/>
  <c r="AR941" i="76"/>
  <c r="AP856" i="76"/>
  <c r="AT770" i="76"/>
  <c r="AR685" i="76"/>
  <c r="AP600" i="76"/>
  <c r="AT514" i="76"/>
  <c r="AP907" i="76"/>
  <c r="AR736" i="76"/>
  <c r="AS586" i="76"/>
  <c r="AR482" i="76"/>
  <c r="AP397" i="76"/>
  <c r="AT311" i="76"/>
  <c r="AR226" i="76"/>
  <c r="AP141" i="76"/>
  <c r="M1054" i="76"/>
  <c r="K969" i="76"/>
  <c r="I884" i="76"/>
  <c r="AS952" i="76"/>
  <c r="AO782" i="76"/>
  <c r="AQ1010" i="76"/>
  <c r="AO925" i="76"/>
  <c r="AS839" i="76"/>
  <c r="AQ754" i="76"/>
  <c r="AO669" i="76"/>
  <c r="AS583" i="76"/>
  <c r="AR1054" i="76"/>
  <c r="AP969" i="76"/>
  <c r="AT883" i="76"/>
  <c r="AR798" i="76"/>
  <c r="AP713" i="76"/>
  <c r="AT627" i="76"/>
  <c r="AQ989" i="76"/>
  <c r="AO904" i="76"/>
  <c r="AS818" i="76"/>
  <c r="AQ733" i="76"/>
  <c r="AO648" i="76"/>
  <c r="AP996" i="76"/>
  <c r="AT910" i="76"/>
  <c r="AR825" i="76"/>
  <c r="AP740" i="76"/>
  <c r="AT654" i="76"/>
  <c r="AR569" i="76"/>
  <c r="AR1016" i="76"/>
  <c r="AT845" i="76"/>
  <c r="AP675" i="76"/>
  <c r="AT545" i="76"/>
  <c r="AT451" i="76"/>
  <c r="AR366" i="76"/>
  <c r="AP281" i="76"/>
  <c r="AT195" i="76"/>
  <c r="AR110" i="76"/>
  <c r="I1024" i="76"/>
  <c r="M938" i="76"/>
  <c r="AO1062" i="76"/>
  <c r="AQ891" i="76"/>
  <c r="AS1067" i="76"/>
  <c r="AQ982" i="76"/>
  <c r="AO897" i="76"/>
  <c r="AS811" i="76"/>
  <c r="AQ726" i="76"/>
  <c r="AO641" i="76"/>
  <c r="AS555" i="76"/>
  <c r="AR1026" i="76"/>
  <c r="AP941" i="76"/>
  <c r="AT855" i="76"/>
  <c r="AR770" i="76"/>
  <c r="AP685" i="76"/>
  <c r="AS1046" i="76"/>
  <c r="AQ961" i="76"/>
  <c r="AO876" i="76"/>
  <c r="AS790" i="76"/>
  <c r="AQ705" i="76"/>
  <c r="AR1053" i="76"/>
  <c r="AP968" i="76"/>
  <c r="AT882" i="76"/>
  <c r="AR797" i="76"/>
  <c r="AP712" i="76"/>
  <c r="AT626" i="76"/>
  <c r="AR541" i="76"/>
  <c r="AR960" i="76"/>
  <c r="AT789" i="76"/>
  <c r="AP622" i="76"/>
  <c r="AP509" i="76"/>
  <c r="AT423" i="76"/>
  <c r="AR338" i="76"/>
  <c r="AP253" i="76"/>
  <c r="AT167" i="76"/>
  <c r="AR82" i="76"/>
  <c r="I996" i="76"/>
  <c r="M910" i="76"/>
  <c r="AO1006" i="76"/>
  <c r="AQ835" i="76"/>
  <c r="AS1011" i="76"/>
  <c r="AO841" i="76"/>
  <c r="AQ670" i="76"/>
  <c r="AT1055" i="76"/>
  <c r="AP885" i="76"/>
  <c r="AR714" i="76"/>
  <c r="AS990" i="76"/>
  <c r="AO820" i="76"/>
  <c r="AQ649" i="76"/>
  <c r="AP912" i="76"/>
  <c r="AR741" i="76"/>
  <c r="AT570" i="76"/>
  <c r="AR848" i="76"/>
  <c r="AR547" i="76"/>
  <c r="AT367" i="76"/>
  <c r="AP197" i="76"/>
  <c r="K1025" i="76"/>
  <c r="AS1064" i="76"/>
  <c r="AQ723" i="76"/>
  <c r="AO578" i="76"/>
  <c r="AO476" i="76"/>
  <c r="AS390" i="76"/>
  <c r="AQ305" i="76"/>
  <c r="AO220" i="76"/>
  <c r="AS134" i="76"/>
  <c r="J1048" i="76"/>
  <c r="AP902" i="76"/>
  <c r="AR731" i="76"/>
  <c r="AR583" i="76"/>
  <c r="AP480" i="76"/>
  <c r="AT394" i="76"/>
  <c r="AR309" i="76"/>
  <c r="AP224" i="76"/>
  <c r="AT138" i="76"/>
  <c r="K1052" i="76"/>
  <c r="AQ964" i="76"/>
  <c r="AS793" i="76"/>
  <c r="AQ625" i="76"/>
  <c r="AP511" i="76"/>
  <c r="AS425" i="76"/>
  <c r="AQ340" i="76"/>
  <c r="AO255" i="76"/>
  <c r="AS169" i="76"/>
  <c r="AQ84" i="76"/>
  <c r="H998" i="76"/>
  <c r="L912" i="76"/>
  <c r="AO866" i="76"/>
  <c r="AQ559" i="76"/>
  <c r="AS376" i="76"/>
  <c r="AO206" i="76"/>
  <c r="M1036" i="76"/>
  <c r="H920" i="76"/>
  <c r="L821" i="76"/>
  <c r="J736" i="76"/>
  <c r="H651" i="76"/>
  <c r="L565" i="76"/>
  <c r="J480" i="76"/>
  <c r="H395" i="76"/>
  <c r="L309" i="76"/>
  <c r="J224" i="76"/>
  <c r="H139" i="76"/>
  <c r="AT956" i="76"/>
  <c r="AO620" i="76"/>
  <c r="AP422" i="76"/>
  <c r="AR251" i="76"/>
  <c r="AT80" i="76"/>
  <c r="K950" i="76"/>
  <c r="K844" i="76"/>
  <c r="I759" i="76"/>
  <c r="M673" i="76"/>
  <c r="K588" i="76"/>
  <c r="I503" i="76"/>
  <c r="M417" i="76"/>
  <c r="K332" i="76"/>
  <c r="I247" i="76"/>
  <c r="AS829" i="76"/>
  <c r="AO535" i="76"/>
  <c r="AQ358" i="76"/>
  <c r="AS187" i="76"/>
  <c r="J1022" i="76"/>
  <c r="H908" i="76"/>
  <c r="L812" i="76"/>
  <c r="J727" i="76"/>
  <c r="H642" i="76"/>
  <c r="L556" i="76"/>
  <c r="J471" i="76"/>
  <c r="AS927" i="76"/>
  <c r="AO757" i="76"/>
  <c r="AQ586" i="76"/>
  <c r="AT971" i="76"/>
  <c r="AP801" i="76"/>
  <c r="AR630" i="76"/>
  <c r="AS906" i="76"/>
  <c r="AO736" i="76"/>
  <c r="AT998" i="76"/>
  <c r="AP828" i="76"/>
  <c r="AR657" i="76"/>
  <c r="AT1021" i="76"/>
  <c r="AR680" i="76"/>
  <c r="AR454" i="76"/>
  <c r="AT283" i="76"/>
  <c r="AP113" i="76"/>
  <c r="K941" i="76"/>
  <c r="AS896" i="76"/>
  <c r="AS640" i="76"/>
  <c r="AO523" i="76"/>
  <c r="AS434" i="76"/>
  <c r="AQ349" i="76"/>
  <c r="AO264" i="76"/>
  <c r="AS178" i="76"/>
  <c r="AQ93" i="76"/>
  <c r="AP990" i="76"/>
  <c r="AR819" i="76"/>
  <c r="AT648" i="76"/>
  <c r="AR528" i="76"/>
  <c r="AT438" i="76"/>
  <c r="AR353" i="76"/>
  <c r="AP268" i="76"/>
  <c r="AT182" i="76"/>
  <c r="AR97" i="76"/>
  <c r="AQ1052" i="76"/>
  <c r="AS881" i="76"/>
  <c r="AO711" i="76"/>
  <c r="AS569" i="76"/>
  <c r="AS469" i="76"/>
  <c r="AQ384" i="76"/>
  <c r="AO299" i="76"/>
  <c r="AS213" i="76"/>
  <c r="AQ128" i="76"/>
  <c r="H1042" i="76"/>
  <c r="L956" i="76"/>
  <c r="AO1042" i="76"/>
  <c r="AS700" i="76"/>
  <c r="AS464" i="76"/>
  <c r="AO294" i="76"/>
  <c r="AQ123" i="76"/>
  <c r="L978" i="76"/>
  <c r="I69" i="76"/>
  <c r="AS911" i="76"/>
  <c r="AO741" i="76"/>
  <c r="AQ570" i="76"/>
  <c r="AT955" i="76"/>
  <c r="AP785" i="76"/>
  <c r="AQ1061" i="76"/>
  <c r="AS890" i="76"/>
  <c r="AO720" i="76"/>
  <c r="AT982" i="76"/>
  <c r="AP812" i="76"/>
  <c r="AR641" i="76"/>
  <c r="AT989" i="76"/>
  <c r="AR648" i="76"/>
  <c r="AR438" i="76"/>
  <c r="AT267" i="76"/>
  <c r="AP97" i="76"/>
  <c r="K925" i="76"/>
  <c r="AS864" i="76"/>
  <c r="AO977" i="76"/>
  <c r="AQ806" i="76"/>
  <c r="AS635" i="76"/>
  <c r="AP1021" i="76"/>
  <c r="AR850" i="76"/>
  <c r="AT679" i="76"/>
  <c r="AO956" i="76"/>
  <c r="AQ785" i="76"/>
  <c r="AP1048" i="76"/>
  <c r="AR877" i="76"/>
  <c r="AT706" i="76"/>
  <c r="AP536" i="76"/>
  <c r="AP779" i="76"/>
  <c r="AT503" i="76"/>
  <c r="AP333" i="76"/>
  <c r="AR162" i="76"/>
  <c r="M990" i="76"/>
  <c r="AQ995" i="76"/>
  <c r="AS1031" i="76"/>
  <c r="AO861" i="76"/>
  <c r="AQ690" i="76"/>
  <c r="AS519" i="76"/>
  <c r="AP905" i="76"/>
  <c r="AR734" i="76"/>
  <c r="AS1010" i="76"/>
  <c r="AO840" i="76"/>
  <c r="AQ669" i="76"/>
  <c r="AP932" i="76"/>
  <c r="AR761" i="76"/>
  <c r="AT590" i="76"/>
  <c r="AR888" i="76"/>
  <c r="AP574" i="76"/>
  <c r="AT387" i="76"/>
  <c r="AP217" i="76"/>
  <c r="K1045" i="76"/>
  <c r="M874" i="76"/>
  <c r="AQ763" i="76"/>
  <c r="AQ918" i="76"/>
  <c r="AS747" i="76"/>
  <c r="AO577" i="76"/>
  <c r="AR962" i="76"/>
  <c r="AT791" i="76"/>
  <c r="AO1068" i="76"/>
  <c r="AQ897" i="76"/>
  <c r="AS726" i="76"/>
  <c r="AR989" i="76"/>
  <c r="AT818" i="76"/>
  <c r="AP648" i="76"/>
  <c r="AP1003" i="76"/>
  <c r="AT661" i="76"/>
  <c r="AP445" i="76"/>
  <c r="AR274" i="76"/>
  <c r="AT103" i="76"/>
  <c r="I932" i="76"/>
  <c r="AO878" i="76"/>
  <c r="AS883" i="76"/>
  <c r="AQ542" i="76"/>
  <c r="AP757" i="76"/>
  <c r="AS862" i="76"/>
  <c r="AT954" i="76"/>
  <c r="AR613" i="76"/>
  <c r="AR604" i="76"/>
  <c r="AT239" i="76"/>
  <c r="K897" i="76"/>
  <c r="AR606" i="76"/>
  <c r="AO412" i="76"/>
  <c r="AQ241" i="76"/>
  <c r="AS70" i="76"/>
  <c r="AP774" i="76"/>
  <c r="AR501" i="76"/>
  <c r="AT330" i="76"/>
  <c r="AP160" i="76"/>
  <c r="AO1007" i="76"/>
  <c r="AS665" i="76"/>
  <c r="AO447" i="76"/>
  <c r="AQ276" i="76"/>
  <c r="AS105" i="76"/>
  <c r="H934" i="76"/>
  <c r="AQ616" i="76"/>
  <c r="AS248" i="76"/>
  <c r="K948" i="76"/>
  <c r="L757" i="76"/>
  <c r="H587" i="76"/>
  <c r="J416" i="76"/>
  <c r="L245" i="76"/>
  <c r="AP1042" i="76"/>
  <c r="AT464" i="76"/>
  <c r="AR123" i="76"/>
  <c r="I867" i="76"/>
  <c r="I695" i="76"/>
  <c r="K524" i="76"/>
  <c r="M353" i="76"/>
  <c r="AO915" i="76"/>
  <c r="AO401" i="76"/>
  <c r="L1058" i="76"/>
  <c r="H834" i="76"/>
  <c r="J663" i="76"/>
  <c r="L492" i="76"/>
  <c r="AS799" i="76"/>
  <c r="AR1014" i="76"/>
  <c r="AP673" i="76"/>
  <c r="AS778" i="76"/>
  <c r="AT870" i="76"/>
  <c r="AR529" i="76"/>
  <c r="AP497" i="76"/>
  <c r="AT155" i="76"/>
  <c r="AO982" i="76"/>
  <c r="AQ551" i="76"/>
  <c r="AS370" i="76"/>
  <c r="AO200" i="76"/>
  <c r="AT1032" i="76"/>
  <c r="AR691" i="76"/>
  <c r="AP460" i="76"/>
  <c r="AR289" i="76"/>
  <c r="AT118" i="76"/>
  <c r="AQ924" i="76"/>
  <c r="AO598" i="76"/>
  <c r="AS405" i="76"/>
  <c r="AO235" i="76"/>
  <c r="J1063" i="76"/>
  <c r="L892" i="76"/>
  <c r="AQ507" i="76"/>
  <c r="AO166" i="76"/>
  <c r="J893" i="76"/>
  <c r="L801" i="76"/>
  <c r="J716" i="76"/>
  <c r="H631" i="76"/>
  <c r="L545" i="76"/>
  <c r="J460" i="76"/>
  <c r="H375" i="76"/>
  <c r="L289" i="76"/>
  <c r="J204" i="76"/>
  <c r="H119" i="76"/>
  <c r="AT876" i="76"/>
  <c r="AS566" i="76"/>
  <c r="AP382" i="76"/>
  <c r="AR211" i="76"/>
  <c r="I1041" i="76"/>
  <c r="M923" i="76"/>
  <c r="K824" i="76"/>
  <c r="I739" i="76"/>
  <c r="M653" i="76"/>
  <c r="K568" i="76"/>
  <c r="I483" i="76"/>
  <c r="M397" i="76"/>
  <c r="K312" i="76"/>
  <c r="I227" i="76"/>
  <c r="AS749" i="76"/>
  <c r="AO489" i="76"/>
  <c r="AQ318" i="76"/>
  <c r="AS147" i="76"/>
  <c r="I995" i="76"/>
  <c r="J881" i="76"/>
  <c r="L792" i="76"/>
  <c r="J707" i="76"/>
  <c r="H622" i="76"/>
  <c r="L536" i="76"/>
  <c r="AQ1058" i="76"/>
  <c r="AS887" i="76"/>
  <c r="AO717" i="76"/>
  <c r="AQ546" i="76"/>
  <c r="AT931" i="76"/>
  <c r="AP761" i="76"/>
  <c r="AQ1037" i="76"/>
  <c r="AS866" i="76"/>
  <c r="AO696" i="76"/>
  <c r="AT958" i="76"/>
  <c r="AP788" i="76"/>
  <c r="AR617" i="76"/>
  <c r="AT941" i="76"/>
  <c r="AT609" i="76"/>
  <c r="AR414" i="76"/>
  <c r="AT243" i="76"/>
  <c r="AP73" i="76"/>
  <c r="K901" i="76"/>
  <c r="AS816" i="76"/>
  <c r="AO610" i="76"/>
  <c r="AO500" i="76"/>
  <c r="AS414" i="76"/>
  <c r="AQ329" i="76"/>
  <c r="AO244" i="76"/>
  <c r="AS158" i="76"/>
  <c r="AQ73" i="76"/>
  <c r="AP950" i="76"/>
  <c r="AR779" i="76"/>
  <c r="AR615" i="76"/>
  <c r="AP504" i="76"/>
  <c r="AT418" i="76"/>
  <c r="AR333" i="76"/>
  <c r="AP248" i="76"/>
  <c r="AT162" i="76"/>
  <c r="AR77" i="76"/>
  <c r="AQ1012" i="76"/>
  <c r="AS841" i="76"/>
  <c r="AO671" i="76"/>
  <c r="AO543" i="76"/>
  <c r="AS449" i="76"/>
  <c r="AQ364" i="76"/>
  <c r="AO279" i="76"/>
  <c r="AS193" i="76"/>
  <c r="AQ108" i="76"/>
  <c r="H1022" i="76"/>
  <c r="L936" i="76"/>
  <c r="AO962" i="76"/>
  <c r="AR623" i="76"/>
  <c r="AS424" i="76"/>
  <c r="AO254" i="76"/>
  <c r="AQ83" i="76"/>
  <c r="H952" i="76"/>
  <c r="L845" i="76"/>
  <c r="J760" i="76"/>
  <c r="H675" i="76"/>
  <c r="L589" i="76"/>
  <c r="J504" i="76"/>
  <c r="H419" i="76"/>
  <c r="L333" i="76"/>
  <c r="J248" i="76"/>
  <c r="H163" i="76"/>
  <c r="AT1052" i="76"/>
  <c r="AR711" i="76"/>
  <c r="AP470" i="76"/>
  <c r="AR299" i="76"/>
  <c r="AT128" i="76"/>
  <c r="K982" i="76"/>
  <c r="I870" i="76"/>
  <c r="I783" i="76"/>
  <c r="M697" i="76"/>
  <c r="K612" i="76"/>
  <c r="I527" i="76"/>
  <c r="M441" i="76"/>
  <c r="K356" i="76"/>
  <c r="I271" i="76"/>
  <c r="AS925" i="76"/>
  <c r="AO599" i="76"/>
  <c r="AQ406" i="76"/>
  <c r="AS235" i="76"/>
  <c r="H1064" i="76"/>
  <c r="H940" i="76"/>
  <c r="L836" i="76"/>
  <c r="J751" i="76"/>
  <c r="H666" i="76"/>
  <c r="L580" i="76"/>
  <c r="J495" i="76"/>
  <c r="AO981" i="76"/>
  <c r="AQ810" i="76"/>
  <c r="AS639" i="76"/>
  <c r="AP1025" i="76"/>
  <c r="AR854" i="76"/>
  <c r="AT683" i="76"/>
  <c r="AO960" i="76"/>
  <c r="AQ789" i="76"/>
  <c r="AP1052" i="76"/>
  <c r="AR881" i="76"/>
  <c r="AT710" i="76"/>
  <c r="AP540" i="76"/>
  <c r="AP787" i="76"/>
  <c r="AT507" i="76"/>
  <c r="AP337" i="76"/>
  <c r="AR166" i="76"/>
  <c r="M994" i="76"/>
  <c r="AQ1003" i="76"/>
  <c r="AO694" i="76"/>
  <c r="AR558" i="76"/>
  <c r="AQ461" i="76"/>
  <c r="AO376" i="76"/>
  <c r="AS290" i="76"/>
  <c r="AQ205" i="76"/>
  <c r="AO120" i="76"/>
  <c r="AR1043" i="76"/>
  <c r="AT872" i="76"/>
  <c r="AP702" i="76"/>
  <c r="AO564" i="76"/>
  <c r="AR465" i="76"/>
  <c r="AP380" i="76"/>
  <c r="AT294" i="76"/>
  <c r="AR209" i="76"/>
  <c r="AP124" i="76"/>
  <c r="M1037" i="76"/>
  <c r="AO935" i="76"/>
  <c r="AQ764" i="76"/>
  <c r="AP605" i="76"/>
  <c r="AQ496" i="76"/>
  <c r="AO411" i="76"/>
  <c r="AS325" i="76"/>
  <c r="AQ240" i="76"/>
  <c r="AO155" i="76"/>
  <c r="L1068" i="76"/>
  <c r="J983" i="76"/>
  <c r="H898" i="76"/>
  <c r="AQ807" i="76"/>
  <c r="AQ520" i="76"/>
  <c r="AQ347" i="76"/>
  <c r="AS176" i="76"/>
  <c r="J1014" i="76"/>
  <c r="K900" i="76"/>
  <c r="H807" i="76"/>
  <c r="L721" i="76"/>
  <c r="J636" i="76"/>
  <c r="H551" i="76"/>
  <c r="L465" i="76"/>
  <c r="J380" i="76"/>
  <c r="H295" i="76"/>
  <c r="L209" i="76"/>
  <c r="J124" i="76"/>
  <c r="AP898" i="76"/>
  <c r="AT580" i="76"/>
  <c r="AT392" i="76"/>
  <c r="AP222" i="76"/>
  <c r="K1050" i="76"/>
  <c r="H931" i="76"/>
  <c r="M829" i="76"/>
  <c r="K744" i="76"/>
  <c r="I659" i="76"/>
  <c r="M573" i="76"/>
  <c r="K488" i="76"/>
  <c r="I403" i="76"/>
  <c r="M317" i="76"/>
  <c r="K232" i="76"/>
  <c r="AO771" i="76"/>
  <c r="AS499" i="76"/>
  <c r="AO329" i="76"/>
  <c r="AQ158" i="76"/>
  <c r="J1002" i="76"/>
  <c r="K888" i="76"/>
  <c r="H798" i="76"/>
  <c r="L712" i="76"/>
  <c r="J627" i="76"/>
  <c r="H542" i="76"/>
  <c r="AQ69" i="76"/>
  <c r="AS727" i="76"/>
  <c r="AR942" i="76"/>
  <c r="AO1048" i="76"/>
  <c r="AS706" i="76"/>
  <c r="AT798" i="76"/>
  <c r="AP963" i="76"/>
  <c r="AP425" i="76"/>
  <c r="AT83" i="76"/>
  <c r="AO838" i="76"/>
  <c r="AQ505" i="76"/>
  <c r="AS334" i="76"/>
  <c r="AO164" i="76"/>
  <c r="AT960" i="76"/>
  <c r="AO623" i="76"/>
  <c r="AP424" i="76"/>
  <c r="AR253" i="76"/>
  <c r="AT82" i="76"/>
  <c r="AQ852" i="76"/>
  <c r="AO550" i="76"/>
  <c r="AS369" i="76"/>
  <c r="AO199" i="76"/>
  <c r="J1027" i="76"/>
  <c r="AQ983" i="76"/>
  <c r="AQ435" i="76"/>
  <c r="AO94" i="76"/>
  <c r="H851" i="76"/>
  <c r="J680" i="76"/>
  <c r="L509" i="76"/>
  <c r="H339" i="76"/>
  <c r="J168" i="76"/>
  <c r="AT732" i="76"/>
  <c r="AP310" i="76"/>
  <c r="L989" i="76"/>
  <c r="K788" i="76"/>
  <c r="M617" i="76"/>
  <c r="I447" i="76"/>
  <c r="K276" i="76"/>
  <c r="AP613" i="76"/>
  <c r="AQ246" i="76"/>
  <c r="I947" i="76"/>
  <c r="L756" i="76"/>
  <c r="H586" i="76"/>
  <c r="L436" i="76"/>
  <c r="J351" i="76"/>
  <c r="H266" i="76"/>
  <c r="AP847" i="76"/>
  <c r="AS546" i="76"/>
  <c r="AP367" i="76"/>
  <c r="AR196" i="76"/>
  <c r="H1029" i="76"/>
  <c r="L913" i="76"/>
  <c r="M816" i="76"/>
  <c r="K731" i="76"/>
  <c r="I646" i="76"/>
  <c r="M560" i="76"/>
  <c r="K475" i="76"/>
  <c r="I390" i="76"/>
  <c r="M304" i="76"/>
  <c r="K219" i="76"/>
  <c r="I134" i="76"/>
  <c r="AP794" i="76"/>
  <c r="AT340" i="76"/>
  <c r="I1010" i="76"/>
  <c r="M803" i="76"/>
  <c r="I633" i="76"/>
  <c r="K462" i="76"/>
  <c r="M291" i="76"/>
  <c r="H157" i="76"/>
  <c r="AQ944" i="76"/>
  <c r="AS415" i="76"/>
  <c r="AQ74" i="76"/>
  <c r="J841" i="76"/>
  <c r="L670" i="76"/>
  <c r="H500" i="76"/>
  <c r="J329" i="76"/>
  <c r="H182" i="76"/>
  <c r="M71" i="76"/>
  <c r="AP491" i="76"/>
  <c r="AT149" i="76"/>
  <c r="K882" i="76"/>
  <c r="I708" i="76"/>
  <c r="K537" i="76"/>
  <c r="M366" i="76"/>
  <c r="I207" i="76"/>
  <c r="J93" i="76"/>
  <c r="AO586" i="76"/>
  <c r="AO226" i="76"/>
  <c r="J933" i="76"/>
  <c r="J746" i="76"/>
  <c r="L575" i="76"/>
  <c r="H405" i="76"/>
  <c r="K234" i="76"/>
  <c r="K118" i="76"/>
  <c r="AO461" i="76"/>
  <c r="AP323" i="76"/>
  <c r="AR863" i="76"/>
  <c r="M1035" i="76"/>
  <c r="K650" i="76"/>
  <c r="I309" i="76"/>
  <c r="L1015" i="76"/>
  <c r="I589" i="76"/>
  <c r="H210" i="76"/>
  <c r="AT317" i="76"/>
  <c r="H736" i="76"/>
  <c r="H345" i="76"/>
  <c r="J72" i="76"/>
  <c r="H895" i="76"/>
  <c r="L498" i="76"/>
  <c r="AO857" i="76"/>
  <c r="AS515" i="76"/>
  <c r="AR730" i="76"/>
  <c r="AO836" i="76"/>
  <c r="AP928" i="76"/>
  <c r="AT586" i="76"/>
  <c r="AT568" i="76"/>
  <c r="AP213" i="76"/>
  <c r="M870" i="76"/>
  <c r="AR590" i="76"/>
  <c r="AO400" i="76"/>
  <c r="AQ229" i="76"/>
  <c r="L1057" i="76"/>
  <c r="AP750" i="76"/>
  <c r="AR489" i="76"/>
  <c r="AT318" i="76"/>
  <c r="AP148" i="76"/>
  <c r="AO983" i="76"/>
  <c r="AS641" i="76"/>
  <c r="AO435" i="76"/>
  <c r="AQ264" i="76"/>
  <c r="AS93" i="76"/>
  <c r="H922" i="76"/>
  <c r="AQ584" i="76"/>
  <c r="AS224" i="76"/>
  <c r="K932" i="76"/>
  <c r="L745" i="76"/>
  <c r="H575" i="76"/>
  <c r="J404" i="76"/>
  <c r="L233" i="76"/>
  <c r="AP994" i="76"/>
  <c r="AT440" i="76"/>
  <c r="AR99" i="76"/>
  <c r="M853" i="76"/>
  <c r="I683" i="76"/>
  <c r="K512" i="76"/>
  <c r="M341" i="76"/>
  <c r="AO867" i="76"/>
  <c r="AO377" i="76"/>
  <c r="I1037" i="76"/>
  <c r="H822" i="76"/>
  <c r="J651" i="76"/>
  <c r="L480" i="76"/>
  <c r="L384" i="76"/>
  <c r="J299" i="76"/>
  <c r="AR980" i="76"/>
  <c r="AP639" i="76"/>
  <c r="AT433" i="76"/>
  <c r="AP263" i="76"/>
  <c r="AR92" i="76"/>
  <c r="I958" i="76"/>
  <c r="I850" i="76"/>
  <c r="M764" i="76"/>
  <c r="K679" i="76"/>
  <c r="I594" i="76"/>
  <c r="M508" i="76"/>
  <c r="K423" i="76"/>
  <c r="I338" i="76"/>
  <c r="M252" i="76"/>
  <c r="K167" i="76"/>
  <c r="AT1060" i="76"/>
  <c r="AP474" i="76"/>
  <c r="AT132" i="76"/>
  <c r="K872" i="76"/>
  <c r="M699" i="76"/>
  <c r="I529" i="76"/>
  <c r="K358" i="76"/>
  <c r="J201" i="76"/>
  <c r="L87" i="76"/>
  <c r="AS561" i="76"/>
  <c r="AS207" i="76"/>
  <c r="J921" i="76"/>
  <c r="J737" i="76"/>
  <c r="L566" i="76"/>
  <c r="H396" i="76"/>
  <c r="L227" i="76"/>
  <c r="L112" i="76"/>
  <c r="AP679" i="76"/>
  <c r="AP283" i="76"/>
  <c r="K971" i="76"/>
  <c r="M774" i="76"/>
  <c r="I604" i="76"/>
  <c r="K433" i="76"/>
  <c r="M262" i="76"/>
  <c r="M137" i="76"/>
  <c r="AQ831" i="76"/>
  <c r="AQ359" i="76"/>
  <c r="L1022" i="76"/>
  <c r="H813" i="76"/>
  <c r="J642" i="76"/>
  <c r="L471" i="76"/>
  <c r="H301" i="76"/>
  <c r="M162" i="76"/>
  <c r="AS885" i="76"/>
  <c r="AO616" i="76"/>
  <c r="AO442" i="76"/>
  <c r="AT300" i="76"/>
  <c r="M783" i="76"/>
  <c r="K442" i="76"/>
  <c r="AQ338" i="76"/>
  <c r="J741" i="76"/>
  <c r="J350" i="76"/>
  <c r="I74" i="76"/>
  <c r="L894" i="76"/>
  <c r="K498" i="76"/>
  <c r="M157" i="76"/>
  <c r="AS132" i="76"/>
  <c r="M650" i="76"/>
  <c r="AQ1038" i="76"/>
  <c r="AO697" i="76"/>
  <c r="AT911" i="76"/>
  <c r="AQ1017" i="76"/>
  <c r="AO676" i="76"/>
  <c r="AP768" i="76"/>
  <c r="AT901" i="76"/>
  <c r="AR394" i="76"/>
  <c r="I1052" i="76"/>
  <c r="AS776" i="76"/>
  <c r="AS490" i="76"/>
  <c r="AO320" i="76"/>
  <c r="AQ149" i="76"/>
  <c r="AR931" i="76"/>
  <c r="AP603" i="76"/>
  <c r="AR409" i="76"/>
  <c r="AT238" i="76"/>
  <c r="I1067" i="76"/>
  <c r="AO823" i="76"/>
  <c r="AR530" i="76"/>
  <c r="AO355" i="76"/>
  <c r="AQ184" i="76"/>
  <c r="L1012" i="76"/>
  <c r="AS924" i="76"/>
  <c r="AO406" i="76"/>
  <c r="L1063" i="76"/>
  <c r="J836" i="76"/>
  <c r="L665" i="76"/>
  <c r="H495" i="76"/>
  <c r="J324" i="76"/>
  <c r="L153" i="76"/>
  <c r="AP674" i="76"/>
  <c r="AT280" i="76"/>
  <c r="I970" i="76"/>
  <c r="M773" i="76"/>
  <c r="I603" i="76"/>
  <c r="K432" i="76"/>
  <c r="M261" i="76"/>
  <c r="AO574" i="76"/>
  <c r="AO217" i="76"/>
  <c r="L927" i="76"/>
  <c r="H742" i="76"/>
  <c r="J571" i="76"/>
  <c r="L428" i="76"/>
  <c r="J343" i="76"/>
  <c r="H258" i="76"/>
  <c r="AP815" i="76"/>
  <c r="AQ525" i="76"/>
  <c r="AP351" i="76"/>
  <c r="AR180" i="76"/>
  <c r="M1016" i="76"/>
  <c r="H903" i="76"/>
  <c r="M808" i="76"/>
  <c r="K723" i="76"/>
  <c r="I638" i="76"/>
  <c r="M552" i="76"/>
  <c r="K467" i="76"/>
  <c r="I382" i="76"/>
  <c r="M296" i="76"/>
  <c r="K211" i="76"/>
  <c r="I126" i="76"/>
  <c r="AP730" i="76"/>
  <c r="AT308" i="76"/>
  <c r="M988" i="76"/>
  <c r="M787" i="76"/>
  <c r="I617" i="76"/>
  <c r="K446" i="76"/>
  <c r="M275" i="76"/>
  <c r="J146" i="76"/>
  <c r="AQ880" i="76"/>
  <c r="AS383" i="76"/>
  <c r="K1042" i="76"/>
  <c r="J825" i="76"/>
  <c r="L654" i="76"/>
  <c r="H484" i="76"/>
  <c r="J313" i="76"/>
  <c r="J171" i="76"/>
  <c r="AP1031" i="76"/>
  <c r="AP459" i="76"/>
  <c r="AT117" i="76"/>
  <c r="L863" i="76"/>
  <c r="I692" i="76"/>
  <c r="K521" i="76"/>
  <c r="M350" i="76"/>
  <c r="K196" i="76"/>
  <c r="L82" i="76"/>
  <c r="AQ543" i="76"/>
  <c r="AO194" i="76"/>
  <c r="H912" i="76"/>
  <c r="J730" i="76"/>
  <c r="L559" i="76"/>
  <c r="H389" i="76"/>
  <c r="K221" i="76"/>
  <c r="M107" i="76"/>
  <c r="AO397" i="76"/>
  <c r="AO1018" i="76"/>
  <c r="AR735" i="76"/>
  <c r="K990" i="76"/>
  <c r="K618" i="76"/>
  <c r="I277" i="76"/>
  <c r="I966" i="76"/>
  <c r="H552" i="76"/>
  <c r="L188" i="76"/>
  <c r="AS228" i="76"/>
  <c r="M698" i="76"/>
  <c r="J309" i="76"/>
  <c r="AQ879" i="76"/>
  <c r="L851" i="76"/>
  <c r="K461" i="76"/>
  <c r="AQ878" i="76"/>
  <c r="AO537" i="76"/>
  <c r="AT751" i="76"/>
  <c r="AQ857" i="76"/>
  <c r="AR949" i="76"/>
  <c r="AQ922" i="76"/>
  <c r="AS751" i="76"/>
  <c r="AO581" i="76"/>
  <c r="AR966" i="76"/>
  <c r="AT795" i="76"/>
  <c r="AP625" i="76"/>
  <c r="AQ901" i="76"/>
  <c r="AS730" i="76"/>
  <c r="AR993" i="76"/>
  <c r="AT822" i="76"/>
  <c r="AP652" i="76"/>
  <c r="AP1011" i="76"/>
  <c r="AT669" i="76"/>
  <c r="AP449" i="76"/>
  <c r="AR278" i="76"/>
  <c r="AT107" i="76"/>
  <c r="I936" i="76"/>
  <c r="AO886" i="76"/>
  <c r="AS987" i="76"/>
  <c r="AO817" i="76"/>
  <c r="AQ646" i="76"/>
  <c r="AT1031" i="76"/>
  <c r="AP861" i="76"/>
  <c r="AR690" i="76"/>
  <c r="AS966" i="76"/>
  <c r="AO796" i="76"/>
  <c r="AT1058" i="76"/>
  <c r="AP888" i="76"/>
  <c r="AR717" i="76"/>
  <c r="AT546" i="76"/>
  <c r="AR800" i="76"/>
  <c r="AR515" i="76"/>
  <c r="AT343" i="76"/>
  <c r="AP173" i="76"/>
  <c r="K1001" i="76"/>
  <c r="AS1016" i="76"/>
  <c r="AQ1042" i="76"/>
  <c r="AS871" i="76"/>
  <c r="AO701" i="76"/>
  <c r="AQ530" i="76"/>
  <c r="AT915" i="76"/>
  <c r="AP745" i="76"/>
  <c r="AQ1021" i="76"/>
  <c r="AS850" i="76"/>
  <c r="AO680" i="76"/>
  <c r="AT942" i="76"/>
  <c r="AP772" i="76"/>
  <c r="AR601" i="76"/>
  <c r="AT909" i="76"/>
  <c r="AR588" i="76"/>
  <c r="AR398" i="76"/>
  <c r="AT227" i="76"/>
  <c r="I1056" i="76"/>
  <c r="K885" i="76"/>
  <c r="AS784" i="76"/>
  <c r="AO929" i="76"/>
  <c r="AQ758" i="76"/>
  <c r="AS587" i="76"/>
  <c r="AP973" i="76"/>
  <c r="AR802" i="76"/>
  <c r="AT631" i="76"/>
  <c r="AO908" i="76"/>
  <c r="AQ737" i="76"/>
  <c r="AP1000" i="76"/>
  <c r="AR829" i="76"/>
  <c r="AT658" i="76"/>
  <c r="AR1024" i="76"/>
  <c r="AP683" i="76"/>
  <c r="AT455" i="76"/>
  <c r="AP285" i="76"/>
  <c r="AR114" i="76"/>
  <c r="M942" i="76"/>
  <c r="AQ899" i="76"/>
  <c r="AO905" i="76"/>
  <c r="AS563" i="76"/>
  <c r="AR778" i="76"/>
  <c r="AO884" i="76"/>
  <c r="AP976" i="76"/>
  <c r="AT634" i="76"/>
  <c r="AP635" i="76"/>
  <c r="AP261" i="76"/>
  <c r="M918" i="76"/>
  <c r="AS620" i="76"/>
  <c r="AS422" i="76"/>
  <c r="AO252" i="76"/>
  <c r="AQ81" i="76"/>
  <c r="AR795" i="76"/>
  <c r="AR512" i="76"/>
  <c r="AR341" i="76"/>
  <c r="AT170" i="76"/>
  <c r="AQ1028" i="76"/>
  <c r="AO687" i="76"/>
  <c r="AS457" i="76"/>
  <c r="AO287" i="76"/>
  <c r="AQ116" i="76"/>
  <c r="L944" i="76"/>
  <c r="AS652" i="76"/>
  <c r="AO270" i="76"/>
  <c r="L962" i="76"/>
  <c r="J768" i="76"/>
  <c r="L597" i="76"/>
  <c r="H427" i="76"/>
  <c r="J256" i="76"/>
  <c r="L85" i="76"/>
  <c r="AP486" i="76"/>
  <c r="AT144" i="76"/>
  <c r="K879" i="76"/>
  <c r="M705" i="76"/>
  <c r="I535" i="76"/>
  <c r="K364" i="76"/>
  <c r="AS957" i="76"/>
  <c r="AQ422" i="76"/>
  <c r="AO81" i="76"/>
  <c r="L844" i="76"/>
  <c r="H674" i="76"/>
  <c r="J503" i="76"/>
  <c r="AO821" i="76"/>
  <c r="AT1035" i="76"/>
  <c r="AR694" i="76"/>
  <c r="AO800" i="76"/>
  <c r="AP892" i="76"/>
  <c r="AT550" i="76"/>
  <c r="AT520" i="76"/>
  <c r="AP177" i="76"/>
  <c r="AS1024" i="76"/>
  <c r="AS565" i="76"/>
  <c r="AQ381" i="76"/>
  <c r="AS210" i="76"/>
  <c r="AP1054" i="76"/>
  <c r="AT712" i="76"/>
  <c r="AT470" i="76"/>
  <c r="AP300" i="76"/>
  <c r="AR129" i="76"/>
  <c r="AS945" i="76"/>
  <c r="AQ612" i="76"/>
  <c r="AQ416" i="76"/>
  <c r="AS245" i="76"/>
  <c r="AO75" i="76"/>
  <c r="J903" i="76"/>
  <c r="AR534" i="76"/>
  <c r="AQ187" i="76"/>
  <c r="L907" i="76"/>
  <c r="J812" i="76"/>
  <c r="H727" i="76"/>
  <c r="L641" i="76"/>
  <c r="J556" i="76"/>
  <c r="H471" i="76"/>
  <c r="L385" i="76"/>
  <c r="J300" i="76"/>
  <c r="H215" i="76"/>
  <c r="L129" i="76"/>
  <c r="AR919" i="76"/>
  <c r="AP595" i="76"/>
  <c r="AR403" i="76"/>
  <c r="AT232" i="76"/>
  <c r="I1061" i="76"/>
  <c r="I938" i="76"/>
  <c r="I835" i="76"/>
  <c r="M749" i="76"/>
  <c r="K664" i="76"/>
  <c r="I579" i="76"/>
  <c r="M493" i="76"/>
  <c r="K408" i="76"/>
  <c r="I323" i="76"/>
  <c r="M237" i="76"/>
  <c r="AQ792" i="76"/>
  <c r="AQ510" i="76"/>
  <c r="AS339" i="76"/>
  <c r="AO169" i="76"/>
  <c r="J1009" i="76"/>
  <c r="L895" i="76"/>
  <c r="J803" i="76"/>
  <c r="H718" i="76"/>
  <c r="L632" i="76"/>
  <c r="J547" i="76"/>
  <c r="H462" i="76"/>
  <c r="AO909" i="76"/>
  <c r="AQ738" i="76"/>
  <c r="AS567" i="76"/>
  <c r="AP953" i="76"/>
  <c r="AR782" i="76"/>
  <c r="AS1058" i="76"/>
  <c r="AO888" i="76"/>
  <c r="AQ717" i="76"/>
  <c r="AP980" i="76"/>
  <c r="AR809" i="76"/>
  <c r="AT638" i="76"/>
  <c r="AR984" i="76"/>
  <c r="AP643" i="76"/>
  <c r="AT435" i="76"/>
  <c r="AP265" i="76"/>
  <c r="AR94" i="76"/>
  <c r="M922" i="76"/>
  <c r="AQ859" i="76"/>
  <c r="AS624" i="76"/>
  <c r="AS510" i="76"/>
  <c r="AQ425" i="76"/>
  <c r="AO340" i="76"/>
  <c r="AS254" i="76"/>
  <c r="AQ169" i="76"/>
  <c r="AO84" i="76"/>
  <c r="AR971" i="76"/>
  <c r="AT800" i="76"/>
  <c r="AQ631" i="76"/>
  <c r="AO516" i="76"/>
  <c r="AR429" i="76"/>
  <c r="AP344" i="76"/>
  <c r="AT258" i="76"/>
  <c r="AR173" i="76"/>
  <c r="AP88" i="76"/>
  <c r="AS1033" i="76"/>
  <c r="AO863" i="76"/>
  <c r="AQ692" i="76"/>
  <c r="AP557" i="76"/>
  <c r="AQ460" i="76"/>
  <c r="AO375" i="76"/>
  <c r="AS289" i="76"/>
  <c r="AQ204" i="76"/>
  <c r="AO119" i="76"/>
  <c r="L1032" i="76"/>
  <c r="J947" i="76"/>
  <c r="AS1004" i="76"/>
  <c r="AQ663" i="76"/>
  <c r="AO446" i="76"/>
  <c r="AQ275" i="76"/>
  <c r="AS104" i="76"/>
  <c r="J966" i="76"/>
  <c r="J856" i="76"/>
  <c r="H771" i="76"/>
  <c r="L685" i="76"/>
  <c r="J600" i="76"/>
  <c r="H515" i="76"/>
  <c r="L429" i="76"/>
  <c r="J344" i="76"/>
  <c r="H259" i="76"/>
  <c r="L173" i="76"/>
  <c r="J88" i="76"/>
  <c r="AP754" i="76"/>
  <c r="AR491" i="76"/>
  <c r="AT320" i="76"/>
  <c r="AP150" i="76"/>
  <c r="M996" i="76"/>
  <c r="H883" i="76"/>
  <c r="M793" i="76"/>
  <c r="K708" i="76"/>
  <c r="I623" i="76"/>
  <c r="M537" i="76"/>
  <c r="K452" i="76"/>
  <c r="I367" i="76"/>
  <c r="M281" i="76"/>
  <c r="AQ968" i="76"/>
  <c r="AR628" i="76"/>
  <c r="AS427" i="76"/>
  <c r="AO257" i="76"/>
  <c r="AQ86" i="76"/>
  <c r="J954" i="76"/>
  <c r="J847" i="76"/>
  <c r="H762" i="76"/>
  <c r="L676" i="76"/>
  <c r="J591" i="76"/>
  <c r="H506" i="76"/>
  <c r="AQ1002" i="76"/>
  <c r="AS831" i="76"/>
  <c r="AO661" i="76"/>
  <c r="AR1046" i="76"/>
  <c r="AT875" i="76"/>
  <c r="AP705" i="76"/>
  <c r="AQ981" i="76"/>
  <c r="AS810" i="76"/>
  <c r="AO640" i="76"/>
  <c r="AT902" i="76"/>
  <c r="AP732" i="76"/>
  <c r="AR561" i="76"/>
  <c r="AT829" i="76"/>
  <c r="AP535" i="76"/>
  <c r="AR358" i="76"/>
  <c r="AT187" i="76"/>
  <c r="I1016" i="76"/>
  <c r="AO1046" i="76"/>
  <c r="AQ715" i="76"/>
  <c r="AS572" i="76"/>
  <c r="AO472" i="76"/>
  <c r="AS386" i="76"/>
  <c r="AQ301" i="76"/>
  <c r="AO216" i="76"/>
  <c r="AS130" i="76"/>
  <c r="AT1064" i="76"/>
  <c r="AP894" i="76"/>
  <c r="AR723" i="76"/>
  <c r="AP578" i="76"/>
  <c r="AP476" i="76"/>
  <c r="AT390" i="76"/>
  <c r="AR305" i="76"/>
  <c r="AP220" i="76"/>
  <c r="AT134" i="76"/>
  <c r="K1048" i="76"/>
  <c r="AQ956" i="76"/>
  <c r="AS785" i="76"/>
  <c r="AQ619" i="76"/>
  <c r="AO507" i="76"/>
  <c r="AS421" i="76"/>
  <c r="AQ336" i="76"/>
  <c r="AO251" i="76"/>
  <c r="AS165" i="76"/>
  <c r="AQ80" i="76"/>
  <c r="H994" i="76"/>
  <c r="L908" i="76"/>
  <c r="AO850" i="76"/>
  <c r="AS548" i="76"/>
  <c r="AS368" i="76"/>
  <c r="AO198" i="76"/>
  <c r="J1030" i="76"/>
  <c r="L914" i="76"/>
  <c r="L817" i="76"/>
  <c r="J732" i="76"/>
  <c r="H647" i="76"/>
  <c r="L561" i="76"/>
  <c r="J476" i="76"/>
  <c r="H391" i="76"/>
  <c r="L305" i="76"/>
  <c r="J220" i="76"/>
  <c r="H135" i="76"/>
  <c r="AT940" i="76"/>
  <c r="AQ609" i="76"/>
  <c r="AP414" i="76"/>
  <c r="AR243" i="76"/>
  <c r="AT72" i="76"/>
  <c r="I945" i="76"/>
  <c r="K840" i="76"/>
  <c r="I755" i="76"/>
  <c r="M669" i="76"/>
  <c r="K584" i="76"/>
  <c r="I499" i="76"/>
  <c r="M413" i="76"/>
  <c r="K328" i="76"/>
  <c r="I243" i="76"/>
  <c r="AS813" i="76"/>
  <c r="AQ524" i="76"/>
  <c r="AQ350" i="76"/>
  <c r="AS179" i="76"/>
  <c r="K1016" i="76"/>
  <c r="L902" i="76"/>
  <c r="L808" i="76"/>
  <c r="J723" i="76"/>
  <c r="H638" i="76"/>
  <c r="L552" i="76"/>
  <c r="J467" i="76"/>
  <c r="AQ770" i="76"/>
  <c r="AP985" i="76"/>
  <c r="AT643" i="76"/>
  <c r="AQ749" i="76"/>
  <c r="AR841" i="76"/>
  <c r="AR1048" i="76"/>
  <c r="AT467" i="76"/>
  <c r="AR126" i="76"/>
  <c r="AQ923" i="76"/>
  <c r="AT531" i="76"/>
  <c r="AO356" i="76"/>
  <c r="AQ185" i="76"/>
  <c r="AR1003" i="76"/>
  <c r="AP662" i="76"/>
  <c r="AR445" i="76"/>
  <c r="AT274" i="76"/>
  <c r="AP104" i="76"/>
  <c r="AO895" i="76"/>
  <c r="AR578" i="76"/>
  <c r="AO391" i="76"/>
  <c r="AQ220" i="76"/>
  <c r="L1048" i="76"/>
  <c r="AS1068" i="76"/>
  <c r="AO478" i="76"/>
  <c r="AS136" i="76"/>
  <c r="K874" i="76"/>
  <c r="L701" i="76"/>
  <c r="H531" i="76"/>
  <c r="J360" i="76"/>
  <c r="L189" i="76"/>
  <c r="AP818" i="76"/>
  <c r="AT352" i="76"/>
  <c r="I1018" i="76"/>
  <c r="M809" i="76"/>
  <c r="I639" i="76"/>
  <c r="K468" i="76"/>
  <c r="M297" i="76"/>
  <c r="AO691" i="76"/>
  <c r="AO289" i="76"/>
  <c r="L975" i="76"/>
  <c r="H778" i="76"/>
  <c r="J607" i="76"/>
  <c r="J447" i="76"/>
  <c r="H362" i="76"/>
  <c r="L276" i="76"/>
  <c r="AT889" i="76"/>
  <c r="AP575" i="76"/>
  <c r="AR388" i="76"/>
  <c r="AT217" i="76"/>
  <c r="I1046" i="76"/>
  <c r="M927" i="76"/>
  <c r="K827" i="76"/>
  <c r="I742" i="76"/>
  <c r="M656" i="76"/>
  <c r="K571" i="76"/>
  <c r="I486" i="76"/>
  <c r="M400" i="76"/>
  <c r="K315" i="76"/>
  <c r="I230" i="76"/>
  <c r="M144" i="76"/>
  <c r="AR879" i="76"/>
  <c r="AR383" i="76"/>
  <c r="J1042" i="76"/>
  <c r="I825" i="76"/>
  <c r="K654" i="76"/>
  <c r="M483" i="76"/>
  <c r="I313" i="76"/>
  <c r="I171" i="76"/>
  <c r="AS1029" i="76"/>
  <c r="AQ458" i="76"/>
  <c r="AO117" i="76"/>
  <c r="K863" i="76"/>
  <c r="H692" i="76"/>
  <c r="J521" i="76"/>
  <c r="L350" i="76"/>
  <c r="I196" i="76"/>
  <c r="K82" i="76"/>
  <c r="AQ541" i="76"/>
  <c r="AR192" i="76"/>
  <c r="H911" i="76"/>
  <c r="K729" i="76"/>
  <c r="M558" i="76"/>
  <c r="I388" i="76"/>
  <c r="J221" i="76"/>
  <c r="L107" i="76"/>
  <c r="AO650" i="76"/>
  <c r="AS268" i="76"/>
  <c r="M961" i="76"/>
  <c r="L767" i="76"/>
  <c r="H597" i="76"/>
  <c r="J426" i="76"/>
  <c r="L255" i="76"/>
  <c r="L132" i="76"/>
  <c r="AO558" i="76"/>
  <c r="AR408" i="76"/>
  <c r="AP1034" i="76"/>
  <c r="AR119" i="76"/>
  <c r="I693" i="76"/>
  <c r="M351" i="76"/>
  <c r="AR104" i="76"/>
  <c r="J637" i="76"/>
  <c r="M247" i="76"/>
  <c r="AR488" i="76"/>
  <c r="I784" i="76"/>
  <c r="L394" i="76"/>
  <c r="J97" i="76"/>
  <c r="H960" i="76"/>
  <c r="M546" i="76"/>
  <c r="AS899" i="76"/>
  <c r="AQ558" i="76"/>
  <c r="AP773" i="76"/>
  <c r="AS878" i="76"/>
  <c r="AT970" i="76"/>
  <c r="AR629" i="76"/>
  <c r="AS626" i="76"/>
  <c r="AT255" i="76"/>
  <c r="K913" i="76"/>
  <c r="AO619" i="76"/>
  <c r="AQ421" i="76"/>
  <c r="AS250" i="76"/>
  <c r="AO80" i="76"/>
  <c r="AT792" i="76"/>
  <c r="AO511" i="76"/>
  <c r="AP340" i="76"/>
  <c r="AR169" i="76"/>
  <c r="AS1025" i="76"/>
  <c r="AQ684" i="76"/>
  <c r="AQ456" i="76"/>
  <c r="AS285" i="76"/>
  <c r="AO115" i="76"/>
  <c r="J943" i="76"/>
  <c r="AQ647" i="76"/>
  <c r="AQ267" i="76"/>
  <c r="H961" i="76"/>
  <c r="H767" i="76"/>
  <c r="J596" i="76"/>
  <c r="L425" i="76"/>
  <c r="H255" i="76"/>
  <c r="J84" i="76"/>
  <c r="AR483" i="76"/>
  <c r="AP142" i="76"/>
  <c r="M877" i="76"/>
  <c r="K704" i="76"/>
  <c r="M533" i="76"/>
  <c r="I363" i="76"/>
  <c r="AQ952" i="76"/>
  <c r="AS419" i="76"/>
  <c r="AQ78" i="76"/>
  <c r="J843" i="76"/>
  <c r="L672" i="76"/>
  <c r="H502" i="76"/>
  <c r="J395" i="76"/>
  <c r="H310" i="76"/>
  <c r="AP1023" i="76"/>
  <c r="AT681" i="76"/>
  <c r="AP455" i="76"/>
  <c r="AR284" i="76"/>
  <c r="AT113" i="76"/>
  <c r="J972" i="76"/>
  <c r="J861" i="76"/>
  <c r="K775" i="76"/>
  <c r="I690" i="76"/>
  <c r="M604" i="76"/>
  <c r="K519" i="76"/>
  <c r="I434" i="76"/>
  <c r="M348" i="76"/>
  <c r="K263" i="76"/>
  <c r="I178" i="76"/>
  <c r="M92" i="76"/>
  <c r="AS518" i="76"/>
  <c r="AR175" i="76"/>
  <c r="M899" i="76"/>
  <c r="I721" i="76"/>
  <c r="K550" i="76"/>
  <c r="M379" i="76"/>
  <c r="L215" i="76"/>
  <c r="M101" i="76"/>
  <c r="AR618" i="76"/>
  <c r="AQ250" i="76"/>
  <c r="M949" i="76"/>
  <c r="L758" i="76"/>
  <c r="H588" i="76"/>
  <c r="J417" i="76"/>
  <c r="L246" i="76"/>
  <c r="M126" i="76"/>
  <c r="AR764" i="76"/>
  <c r="AT325" i="76"/>
  <c r="M999" i="76"/>
  <c r="I796" i="76"/>
  <c r="K625" i="76"/>
  <c r="M454" i="76"/>
  <c r="I284" i="76"/>
  <c r="H152" i="76"/>
  <c r="AS916" i="76"/>
  <c r="AO402" i="76"/>
  <c r="L1059" i="76"/>
  <c r="J834" i="76"/>
  <c r="L663" i="76"/>
  <c r="H493" i="76"/>
  <c r="J322" i="76"/>
  <c r="I177" i="76"/>
  <c r="AQ1056" i="76"/>
  <c r="AR780" i="76"/>
  <c r="AS532" i="76"/>
  <c r="AP386" i="76"/>
  <c r="K826" i="76"/>
  <c r="I485" i="76"/>
  <c r="AO509" i="76"/>
  <c r="K789" i="76"/>
  <c r="H400" i="76"/>
  <c r="M99" i="76"/>
  <c r="H959" i="76"/>
  <c r="L546" i="76"/>
  <c r="J186" i="76"/>
  <c r="AR231" i="76"/>
  <c r="L699" i="76"/>
  <c r="K309" i="76"/>
  <c r="AS739" i="76"/>
  <c r="AR954" i="76"/>
  <c r="AO1060" i="76"/>
  <c r="AS718" i="76"/>
  <c r="AT810" i="76"/>
  <c r="AP987" i="76"/>
  <c r="AP437" i="76"/>
  <c r="AT95" i="76"/>
  <c r="AO862" i="76"/>
  <c r="AQ512" i="76"/>
  <c r="AQ341" i="76"/>
  <c r="AS170" i="76"/>
  <c r="AP974" i="76"/>
  <c r="AS633" i="76"/>
  <c r="AT430" i="76"/>
  <c r="AP260" i="76"/>
  <c r="AR89" i="76"/>
  <c r="AS865" i="76"/>
  <c r="AO559" i="76"/>
  <c r="AQ376" i="76"/>
  <c r="AS205" i="76"/>
  <c r="H1034" i="76"/>
  <c r="AO1010" i="76"/>
  <c r="AS448" i="76"/>
  <c r="AQ107" i="76"/>
  <c r="M857" i="76"/>
  <c r="H687" i="76"/>
  <c r="J516" i="76"/>
  <c r="L345" i="76"/>
  <c r="H175" i="76"/>
  <c r="AR759" i="76"/>
  <c r="AR323" i="76"/>
  <c r="K998" i="76"/>
  <c r="I795" i="76"/>
  <c r="K624" i="76"/>
  <c r="M453" i="76"/>
  <c r="I283" i="76"/>
  <c r="AS632" i="76"/>
  <c r="AS259" i="76"/>
  <c r="H956" i="76"/>
  <c r="J763" i="76"/>
  <c r="L592" i="76"/>
  <c r="J439" i="76"/>
  <c r="H354" i="76"/>
  <c r="L268" i="76"/>
  <c r="AT857" i="76"/>
  <c r="AT553" i="76"/>
  <c r="AR372" i="76"/>
  <c r="AT201" i="76"/>
  <c r="I1033" i="76"/>
  <c r="I917" i="76"/>
  <c r="K819" i="76"/>
  <c r="I734" i="76"/>
  <c r="M648" i="76"/>
  <c r="K563" i="76"/>
  <c r="I478" i="76"/>
  <c r="M392" i="76"/>
  <c r="K307" i="76"/>
  <c r="I222" i="76"/>
  <c r="M136" i="76"/>
  <c r="AR815" i="76"/>
  <c r="AR351" i="76"/>
  <c r="I1017" i="76"/>
  <c r="I809" i="76"/>
  <c r="K638" i="76"/>
  <c r="M467" i="76"/>
  <c r="I297" i="76"/>
  <c r="K160" i="76"/>
  <c r="AS965" i="76"/>
  <c r="AQ426" i="76"/>
  <c r="AO85" i="76"/>
  <c r="L846" i="76"/>
  <c r="H676" i="76"/>
  <c r="J505" i="76"/>
  <c r="L334" i="76"/>
  <c r="K185" i="76"/>
  <c r="K74" i="76"/>
  <c r="AT501" i="76"/>
  <c r="AR160" i="76"/>
  <c r="L889" i="76"/>
  <c r="K713" i="76"/>
  <c r="M542" i="76"/>
  <c r="I372" i="76"/>
  <c r="L210" i="76"/>
  <c r="H97" i="76"/>
  <c r="AQ600" i="76"/>
  <c r="AS236" i="76"/>
  <c r="K940" i="76"/>
  <c r="L751" i="76"/>
  <c r="H581" i="76"/>
  <c r="J410" i="76"/>
  <c r="L239" i="76"/>
  <c r="H122" i="76"/>
  <c r="AQ482" i="76"/>
  <c r="AR344" i="76"/>
  <c r="AP906" i="76"/>
  <c r="K1054" i="76"/>
  <c r="I661" i="76"/>
  <c r="M319" i="76"/>
  <c r="J1033" i="76"/>
  <c r="I600" i="76"/>
  <c r="I217" i="76"/>
  <c r="AR360" i="76"/>
  <c r="L747" i="76"/>
  <c r="K357" i="76"/>
  <c r="L77" i="76"/>
  <c r="K912" i="76"/>
  <c r="J510" i="76"/>
  <c r="AO921" i="76"/>
  <c r="AS579" i="76"/>
  <c r="AR794" i="76"/>
  <c r="AO900" i="76"/>
  <c r="AP992" i="76"/>
  <c r="AT650" i="76"/>
  <c r="AO933" i="76"/>
  <c r="AQ762" i="76"/>
  <c r="AS591" i="76"/>
  <c r="AP977" i="76"/>
  <c r="AR806" i="76"/>
  <c r="AT635" i="76"/>
  <c r="AO912" i="76"/>
  <c r="AQ741" i="76"/>
  <c r="AP1004" i="76"/>
  <c r="AR833" i="76"/>
  <c r="AT662" i="76"/>
  <c r="AR1032" i="76"/>
  <c r="AP691" i="76"/>
  <c r="AT459" i="76"/>
  <c r="AP289" i="76"/>
  <c r="AR118" i="76"/>
  <c r="M946" i="76"/>
  <c r="AQ907" i="76"/>
  <c r="AQ998" i="76"/>
  <c r="AS827" i="76"/>
  <c r="AO657" i="76"/>
  <c r="AR1042" i="76"/>
  <c r="AT871" i="76"/>
  <c r="AP701" i="76"/>
  <c r="AQ977" i="76"/>
  <c r="AS806" i="76"/>
  <c r="AO636" i="76"/>
  <c r="AT898" i="76"/>
  <c r="AP728" i="76"/>
  <c r="AR557" i="76"/>
  <c r="AT821" i="76"/>
  <c r="AT529" i="76"/>
  <c r="AR354" i="76"/>
  <c r="AT183" i="76"/>
  <c r="I1012" i="76"/>
  <c r="AO1038" i="76"/>
  <c r="AO1053" i="76"/>
  <c r="AQ882" i="76"/>
  <c r="AS711" i="76"/>
  <c r="AO541" i="76"/>
  <c r="AR926" i="76"/>
  <c r="AT755" i="76"/>
  <c r="AO1032" i="76"/>
  <c r="AQ861" i="76"/>
  <c r="AS690" i="76"/>
  <c r="AR953" i="76"/>
  <c r="AT782" i="76"/>
  <c r="AP612" i="76"/>
  <c r="AP931" i="76"/>
  <c r="AS602" i="76"/>
  <c r="AP409" i="76"/>
  <c r="AR238" i="76"/>
  <c r="M1066" i="76"/>
  <c r="I896" i="76"/>
  <c r="AO806" i="76"/>
  <c r="AS939" i="76"/>
  <c r="AO769" i="76"/>
  <c r="AQ598" i="76"/>
  <c r="AT983" i="76"/>
  <c r="AP813" i="76"/>
  <c r="AR642" i="76"/>
  <c r="AS918" i="76"/>
  <c r="AO748" i="76"/>
  <c r="AT1010" i="76"/>
  <c r="AP840" i="76"/>
  <c r="AR669" i="76"/>
  <c r="AT1045" i="76"/>
  <c r="AR704" i="76"/>
  <c r="AR466" i="76"/>
  <c r="AT295" i="76"/>
  <c r="AP125" i="76"/>
  <c r="K953" i="76"/>
  <c r="AS920" i="76"/>
  <c r="AQ926" i="76"/>
  <c r="AO585" i="76"/>
  <c r="AT799" i="76"/>
  <c r="AQ905" i="76"/>
  <c r="AR997" i="76"/>
  <c r="AP656" i="76"/>
  <c r="AT677" i="76"/>
  <c r="AR282" i="76"/>
  <c r="I940" i="76"/>
  <c r="AO638" i="76"/>
  <c r="AQ433" i="76"/>
  <c r="AS262" i="76"/>
  <c r="AO92" i="76"/>
  <c r="AT816" i="76"/>
  <c r="AS526" i="76"/>
  <c r="AP352" i="76"/>
  <c r="AR181" i="76"/>
  <c r="AS1049" i="76"/>
  <c r="AQ708" i="76"/>
  <c r="AQ468" i="76"/>
  <c r="AS297" i="76"/>
  <c r="AO127" i="76"/>
  <c r="J955" i="76"/>
  <c r="AQ695" i="76"/>
  <c r="AQ291" i="76"/>
  <c r="H977" i="76"/>
  <c r="H779" i="76"/>
  <c r="J608" i="76"/>
  <c r="L437" i="76"/>
  <c r="H267" i="76"/>
  <c r="J96" i="76"/>
  <c r="AR507" i="76"/>
  <c r="AP166" i="76"/>
  <c r="L893" i="76"/>
  <c r="K716" i="76"/>
  <c r="M545" i="76"/>
  <c r="I375" i="76"/>
  <c r="AQ1000" i="76"/>
  <c r="AS443" i="76"/>
  <c r="AQ102" i="76"/>
  <c r="J855" i="76"/>
  <c r="L684" i="76"/>
  <c r="H514" i="76"/>
  <c r="AQ842" i="76"/>
  <c r="AP1057" i="76"/>
  <c r="AT715" i="76"/>
  <c r="AQ821" i="76"/>
  <c r="AR913" i="76"/>
  <c r="AP572" i="76"/>
  <c r="AQ549" i="76"/>
  <c r="AR198" i="76"/>
  <c r="AQ1067" i="76"/>
  <c r="AT579" i="76"/>
  <c r="AO392" i="76"/>
  <c r="AQ221" i="76"/>
  <c r="L1049" i="76"/>
  <c r="AP734" i="76"/>
  <c r="AR481" i="76"/>
  <c r="AT310" i="76"/>
  <c r="AP140" i="76"/>
  <c r="AO967" i="76"/>
  <c r="AQ627" i="76"/>
  <c r="AO427" i="76"/>
  <c r="AQ256" i="76"/>
  <c r="AS85" i="76"/>
  <c r="H914" i="76"/>
  <c r="AO563" i="76"/>
  <c r="AS208" i="76"/>
  <c r="M921" i="76"/>
  <c r="H823" i="76"/>
  <c r="L737" i="76"/>
  <c r="J652" i="76"/>
  <c r="H567" i="76"/>
  <c r="L481" i="76"/>
  <c r="J396" i="76"/>
  <c r="H311" i="76"/>
  <c r="L225" i="76"/>
  <c r="J140" i="76"/>
  <c r="AP962" i="76"/>
  <c r="AO624" i="76"/>
  <c r="AT424" i="76"/>
  <c r="AP254" i="76"/>
  <c r="AR83" i="76"/>
  <c r="J952" i="76"/>
  <c r="M845" i="76"/>
  <c r="K760" i="76"/>
  <c r="I675" i="76"/>
  <c r="M589" i="76"/>
  <c r="K504" i="76"/>
  <c r="I419" i="76"/>
  <c r="M333" i="76"/>
  <c r="K248" i="76"/>
  <c r="AO835" i="76"/>
  <c r="AR538" i="76"/>
  <c r="AO361" i="76"/>
  <c r="AQ190" i="76"/>
  <c r="J1024" i="76"/>
  <c r="M909" i="76"/>
  <c r="H814" i="76"/>
  <c r="L728" i="76"/>
  <c r="J643" i="76"/>
  <c r="H558" i="76"/>
  <c r="L472" i="76"/>
  <c r="AQ930" i="76"/>
  <c r="AS759" i="76"/>
  <c r="AO589" i="76"/>
  <c r="AR974" i="76"/>
  <c r="AT803" i="76"/>
  <c r="AP633" i="76"/>
  <c r="AQ909" i="76"/>
  <c r="AS738" i="76"/>
  <c r="AR1001" i="76"/>
  <c r="AT830" i="76"/>
  <c r="AP660" i="76"/>
  <c r="AP1027" i="76"/>
  <c r="AT685" i="76"/>
  <c r="AP457" i="76"/>
  <c r="AR286" i="76"/>
  <c r="AT115" i="76"/>
  <c r="I944" i="76"/>
  <c r="AO902" i="76"/>
  <c r="AQ643" i="76"/>
  <c r="AS524" i="76"/>
  <c r="AO436" i="76"/>
  <c r="AS350" i="76"/>
  <c r="AQ265" i="76"/>
  <c r="AO180" i="76"/>
  <c r="AS94" i="76"/>
  <c r="AT992" i="76"/>
  <c r="AP822" i="76"/>
  <c r="AR651" i="76"/>
  <c r="AP530" i="76"/>
  <c r="AP440" i="76"/>
  <c r="AT354" i="76"/>
  <c r="AR269" i="76"/>
  <c r="AP184" i="76"/>
  <c r="AT98" i="76"/>
  <c r="AO1055" i="76"/>
  <c r="AQ884" i="76"/>
  <c r="AS713" i="76"/>
  <c r="AQ571" i="76"/>
  <c r="AO471" i="76"/>
  <c r="AS385" i="76"/>
  <c r="AQ300" i="76"/>
  <c r="AO215" i="76"/>
  <c r="AS129" i="76"/>
  <c r="J1043" i="76"/>
  <c r="H958" i="76"/>
  <c r="AQ1047" i="76"/>
  <c r="AO706" i="76"/>
  <c r="AQ467" i="76"/>
  <c r="AS296" i="76"/>
  <c r="AO126" i="76"/>
  <c r="K980" i="76"/>
  <c r="K868" i="76"/>
  <c r="L781" i="76"/>
  <c r="J696" i="76"/>
  <c r="H611" i="76"/>
  <c r="L525" i="76"/>
  <c r="J440" i="76"/>
  <c r="H355" i="76"/>
  <c r="L269" i="76"/>
  <c r="J184" i="76"/>
  <c r="H99" i="76"/>
  <c r="AT796" i="76"/>
  <c r="AQ513" i="76"/>
  <c r="AP342" i="76"/>
  <c r="AR171" i="76"/>
  <c r="H1011" i="76"/>
  <c r="I897" i="76"/>
  <c r="K804" i="76"/>
  <c r="I719" i="76"/>
  <c r="M633" i="76"/>
  <c r="K548" i="76"/>
  <c r="I463" i="76"/>
  <c r="M377" i="76"/>
  <c r="K292" i="76"/>
  <c r="AO1011" i="76"/>
  <c r="AS669" i="76"/>
  <c r="AO449" i="76"/>
  <c r="AQ278" i="76"/>
  <c r="AS107" i="76"/>
  <c r="K968" i="76"/>
  <c r="I858" i="76"/>
  <c r="L772" i="76"/>
  <c r="J687" i="76"/>
  <c r="H602" i="76"/>
  <c r="L516" i="76"/>
  <c r="AS1023" i="76"/>
  <c r="AO853" i="76"/>
  <c r="AQ682" i="76"/>
  <c r="AT1067" i="76"/>
  <c r="AP897" i="76"/>
  <c r="AR726" i="76"/>
  <c r="AS1002" i="76"/>
  <c r="AO832" i="76"/>
  <c r="AQ661" i="76"/>
  <c r="AP924" i="76"/>
  <c r="AR753" i="76"/>
  <c r="AT582" i="76"/>
  <c r="AR872" i="76"/>
  <c r="AR563" i="76"/>
  <c r="AT379" i="76"/>
  <c r="AP209" i="76"/>
  <c r="K1037" i="76"/>
  <c r="M866" i="76"/>
  <c r="AQ747" i="76"/>
  <c r="AO587" i="76"/>
  <c r="AS482" i="76"/>
  <c r="AQ397" i="76"/>
  <c r="AO312" i="76"/>
  <c r="AS226" i="76"/>
  <c r="AQ141" i="76"/>
  <c r="H1055" i="76"/>
  <c r="AR915" i="76"/>
  <c r="AT744" i="76"/>
  <c r="AR592" i="76"/>
  <c r="AT486" i="76"/>
  <c r="AR401" i="76"/>
  <c r="AP316" i="76"/>
  <c r="AT230" i="76"/>
  <c r="AR145" i="76"/>
  <c r="I1059" i="76"/>
  <c r="AS977" i="76"/>
  <c r="AO807" i="76"/>
  <c r="AQ636" i="76"/>
  <c r="AT519" i="76"/>
  <c r="AQ432" i="76"/>
  <c r="AO347" i="76"/>
  <c r="AS261" i="76"/>
  <c r="AQ176" i="76"/>
  <c r="AO91" i="76"/>
  <c r="L1004" i="76"/>
  <c r="J919" i="76"/>
  <c r="AS892" i="76"/>
  <c r="AP577" i="76"/>
  <c r="AO390" i="76"/>
  <c r="AQ219" i="76"/>
  <c r="L1047" i="76"/>
  <c r="H929" i="76"/>
  <c r="J828" i="76"/>
  <c r="H743" i="76"/>
  <c r="L657" i="76"/>
  <c r="J572" i="76"/>
  <c r="H487" i="76"/>
  <c r="L401" i="76"/>
  <c r="J316" i="76"/>
  <c r="H231" i="76"/>
  <c r="L145" i="76"/>
  <c r="AR983" i="76"/>
  <c r="AP642" i="76"/>
  <c r="AR435" i="76"/>
  <c r="AT264" i="76"/>
  <c r="AP94" i="76"/>
  <c r="K959" i="76"/>
  <c r="I851" i="76"/>
  <c r="M765" i="76"/>
  <c r="K680" i="76"/>
  <c r="I595" i="76"/>
  <c r="M509" i="76"/>
  <c r="K424" i="76"/>
  <c r="I339" i="76"/>
  <c r="M253" i="76"/>
  <c r="AQ856" i="76"/>
  <c r="AS552" i="76"/>
  <c r="AS371" i="76"/>
  <c r="AO201" i="76"/>
  <c r="H1033" i="76"/>
  <c r="H917" i="76"/>
  <c r="J819" i="76"/>
  <c r="H734" i="76"/>
  <c r="L648" i="76"/>
  <c r="J563" i="76"/>
  <c r="H478" i="76"/>
  <c r="AO813" i="76"/>
  <c r="AT1027" i="76"/>
  <c r="AR686" i="76"/>
  <c r="AO792" i="76"/>
  <c r="AP884" i="76"/>
  <c r="AT542" i="76"/>
  <c r="AR510" i="76"/>
  <c r="AP169" i="76"/>
  <c r="AS1008" i="76"/>
  <c r="AQ560" i="76"/>
  <c r="AQ377" i="76"/>
  <c r="AS206" i="76"/>
  <c r="AP1046" i="76"/>
  <c r="AT704" i="76"/>
  <c r="AT466" i="76"/>
  <c r="AP296" i="76"/>
  <c r="AR125" i="76"/>
  <c r="AS937" i="76"/>
  <c r="AO607" i="76"/>
  <c r="AQ412" i="76"/>
  <c r="AS241" i="76"/>
  <c r="AO71" i="76"/>
  <c r="J899" i="76"/>
  <c r="AT523" i="76"/>
  <c r="AQ179" i="76"/>
  <c r="J902" i="76"/>
  <c r="H723" i="76"/>
  <c r="J552" i="76"/>
  <c r="L381" i="76"/>
  <c r="H211" i="76"/>
  <c r="AR903" i="76"/>
  <c r="AR395" i="76"/>
  <c r="I1053" i="76"/>
  <c r="I831" i="76"/>
  <c r="K660" i="76"/>
  <c r="M489" i="76"/>
  <c r="I319" i="76"/>
  <c r="AQ776" i="76"/>
  <c r="AS331" i="76"/>
  <c r="H1004" i="76"/>
  <c r="J799" i="76"/>
  <c r="L628" i="76"/>
  <c r="H458" i="76"/>
  <c r="L372" i="76"/>
  <c r="J287" i="76"/>
  <c r="AR932" i="76"/>
  <c r="AR603" i="76"/>
  <c r="AT409" i="76"/>
  <c r="AP239" i="76"/>
  <c r="K1067" i="76"/>
  <c r="I942" i="76"/>
  <c r="I838" i="76"/>
  <c r="M752" i="76"/>
  <c r="K667" i="76"/>
  <c r="I582" i="76"/>
  <c r="M496" i="76"/>
  <c r="K411" i="76"/>
  <c r="I326" i="76"/>
  <c r="M240" i="76"/>
  <c r="K155" i="76"/>
  <c r="AT964" i="76"/>
  <c r="AP426" i="76"/>
  <c r="AT84" i="76"/>
  <c r="K846" i="76"/>
  <c r="M675" i="76"/>
  <c r="I505" i="76"/>
  <c r="K334" i="76"/>
  <c r="J185" i="76"/>
  <c r="J74" i="76"/>
  <c r="AO501" i="76"/>
  <c r="AS159" i="76"/>
  <c r="J889" i="76"/>
  <c r="J713" i="76"/>
  <c r="L542" i="76"/>
  <c r="H372" i="76"/>
  <c r="K210" i="76"/>
  <c r="L96" i="76"/>
  <c r="AP598" i="76"/>
  <c r="AP235" i="76"/>
  <c r="K939" i="76"/>
  <c r="M750" i="76"/>
  <c r="I580" i="76"/>
  <c r="K409" i="76"/>
  <c r="M238" i="76"/>
  <c r="M121" i="76"/>
  <c r="AQ735" i="76"/>
  <c r="AQ311" i="76"/>
  <c r="J990" i="76"/>
  <c r="H789" i="76"/>
  <c r="J618" i="76"/>
  <c r="L447" i="76"/>
  <c r="H277" i="76"/>
  <c r="M146" i="76"/>
  <c r="AS693" i="76"/>
  <c r="AT493" i="76"/>
  <c r="AO346" i="76"/>
  <c r="AT204" i="76"/>
  <c r="M735" i="76"/>
  <c r="K394" i="76"/>
  <c r="AO202" i="76"/>
  <c r="K685" i="76"/>
  <c r="H296" i="76"/>
  <c r="AR748" i="76"/>
  <c r="H833" i="76"/>
  <c r="M442" i="76"/>
  <c r="M125" i="76"/>
  <c r="L1027" i="76"/>
  <c r="L595" i="76"/>
  <c r="AQ942" i="76"/>
  <c r="AO601" i="76"/>
  <c r="AT815" i="76"/>
  <c r="AQ921" i="76"/>
  <c r="AR1013" i="76"/>
  <c r="AP672" i="76"/>
  <c r="AT709" i="76"/>
  <c r="AR298" i="76"/>
  <c r="I956" i="76"/>
  <c r="AS656" i="76"/>
  <c r="AS442" i="76"/>
  <c r="AO272" i="76"/>
  <c r="AQ101" i="76"/>
  <c r="AR835" i="76"/>
  <c r="AP539" i="76"/>
  <c r="AR361" i="76"/>
  <c r="AT190" i="76"/>
  <c r="AQ1068" i="76"/>
  <c r="AO727" i="76"/>
  <c r="AS477" i="76"/>
  <c r="AO307" i="76"/>
  <c r="AQ136" i="76"/>
  <c r="L964" i="76"/>
  <c r="AS732" i="76"/>
  <c r="AO310" i="76"/>
  <c r="J989" i="76"/>
  <c r="J788" i="76"/>
  <c r="L617" i="76"/>
  <c r="H447" i="76"/>
  <c r="J276" i="76"/>
  <c r="L105" i="76"/>
  <c r="AP531" i="76"/>
  <c r="AT184" i="76"/>
  <c r="I906" i="76"/>
  <c r="M725" i="76"/>
  <c r="I555" i="76"/>
  <c r="K384" i="76"/>
  <c r="AS1037" i="76"/>
  <c r="AQ462" i="76"/>
  <c r="AO121" i="76"/>
  <c r="M865" i="76"/>
  <c r="H694" i="76"/>
  <c r="J523" i="76"/>
  <c r="H406" i="76"/>
  <c r="L320" i="76"/>
  <c r="AT1065" i="76"/>
  <c r="AR724" i="76"/>
  <c r="AR476" i="76"/>
  <c r="AT305" i="76"/>
  <c r="AP135" i="76"/>
  <c r="K986" i="76"/>
  <c r="L873" i="76"/>
  <c r="I786" i="76"/>
  <c r="M700" i="76"/>
  <c r="K615" i="76"/>
  <c r="I530" i="76"/>
  <c r="M444" i="76"/>
  <c r="K359" i="76"/>
  <c r="I274" i="76"/>
  <c r="M188" i="76"/>
  <c r="K103" i="76"/>
  <c r="AR575" i="76"/>
  <c r="AP218" i="76"/>
  <c r="J928" i="76"/>
  <c r="K742" i="76"/>
  <c r="M571" i="76"/>
  <c r="I401" i="76"/>
  <c r="L231" i="76"/>
  <c r="H116" i="76"/>
  <c r="AO699" i="76"/>
  <c r="AO293" i="76"/>
  <c r="J978" i="76"/>
  <c r="H780" i="76"/>
  <c r="J609" i="76"/>
  <c r="L438" i="76"/>
  <c r="H268" i="76"/>
  <c r="I141" i="76"/>
  <c r="AT849" i="76"/>
  <c r="AR368" i="76"/>
  <c r="I1030" i="76"/>
  <c r="K817" i="76"/>
  <c r="M646" i="76"/>
  <c r="I476" i="76"/>
  <c r="K305" i="76"/>
  <c r="J166" i="76"/>
  <c r="AO1002" i="76"/>
  <c r="AS444" i="76"/>
  <c r="AQ103" i="76"/>
  <c r="L855" i="76"/>
  <c r="H685" i="76"/>
  <c r="J514" i="76"/>
  <c r="L343" i="76"/>
  <c r="J191" i="76"/>
  <c r="M78" i="76"/>
  <c r="AP951" i="76"/>
  <c r="AQ655" i="76"/>
  <c r="AR471" i="76"/>
  <c r="H871" i="76"/>
  <c r="M527" i="76"/>
  <c r="AS789" i="76"/>
  <c r="J838" i="76"/>
  <c r="I448" i="76"/>
  <c r="I128" i="76"/>
  <c r="H1025" i="76"/>
  <c r="M594" i="76"/>
  <c r="L214" i="76"/>
  <c r="AO362" i="76"/>
  <c r="I749" i="76"/>
  <c r="J358" i="76"/>
  <c r="AQ782" i="76"/>
  <c r="AP997" i="76"/>
  <c r="AT655" i="76"/>
  <c r="AQ761" i="76"/>
  <c r="AR853" i="76"/>
  <c r="AP512" i="76"/>
  <c r="AT479" i="76"/>
  <c r="AR138" i="76"/>
  <c r="AQ947" i="76"/>
  <c r="AS540" i="76"/>
  <c r="AS362" i="76"/>
  <c r="AO192" i="76"/>
  <c r="AT1016" i="76"/>
  <c r="AR675" i="76"/>
  <c r="AP452" i="76"/>
  <c r="AR281" i="76"/>
  <c r="AT110" i="76"/>
  <c r="AQ908" i="76"/>
  <c r="AQ587" i="76"/>
  <c r="AS397" i="76"/>
  <c r="AO227" i="76"/>
  <c r="J1055" i="76"/>
  <c r="L884" i="76"/>
  <c r="AQ491" i="76"/>
  <c r="AO150" i="76"/>
  <c r="L882" i="76"/>
  <c r="J708" i="76"/>
  <c r="L537" i="76"/>
  <c r="H367" i="76"/>
  <c r="J196" i="76"/>
  <c r="AT844" i="76"/>
  <c r="AP366" i="76"/>
  <c r="J1028" i="76"/>
  <c r="K816" i="76"/>
  <c r="M645" i="76"/>
  <c r="I475" i="76"/>
  <c r="K304" i="76"/>
  <c r="AS717" i="76"/>
  <c r="AQ302" i="76"/>
  <c r="K984" i="76"/>
  <c r="L784" i="76"/>
  <c r="H614" i="76"/>
  <c r="H450" i="76"/>
  <c r="L364" i="76"/>
  <c r="J279" i="76"/>
  <c r="AR900" i="76"/>
  <c r="AP582" i="76"/>
  <c r="AT393" i="76"/>
  <c r="AP223" i="76"/>
  <c r="K1051" i="76"/>
  <c r="K931" i="76"/>
  <c r="I830" i="76"/>
  <c r="M744" i="76"/>
  <c r="K659" i="76"/>
  <c r="I574" i="76"/>
  <c r="M488" i="76"/>
  <c r="K403" i="76"/>
  <c r="I318" i="76"/>
  <c r="M232" i="76"/>
  <c r="K147" i="76"/>
  <c r="AT900" i="76"/>
  <c r="AP394" i="76"/>
  <c r="M1051" i="76"/>
  <c r="K830" i="76"/>
  <c r="M659" i="76"/>
  <c r="I489" i="76"/>
  <c r="K318" i="76"/>
  <c r="L174" i="76"/>
  <c r="AO1051" i="76"/>
  <c r="AO469" i="76"/>
  <c r="AS127" i="76"/>
  <c r="L869" i="76"/>
  <c r="J697" i="76"/>
  <c r="L526" i="76"/>
  <c r="H356" i="76"/>
  <c r="M199" i="76"/>
  <c r="H86" i="76"/>
  <c r="AR555" i="76"/>
  <c r="AP203" i="76"/>
  <c r="I918" i="76"/>
  <c r="M734" i="76"/>
  <c r="I564" i="76"/>
  <c r="K393" i="76"/>
  <c r="K225" i="76"/>
  <c r="I111" i="76"/>
  <c r="AQ671" i="76"/>
  <c r="AQ279" i="76"/>
  <c r="H969" i="76"/>
  <c r="H773" i="76"/>
  <c r="J602" i="76"/>
  <c r="L431" i="76"/>
  <c r="AQ986" i="76"/>
  <c r="AS815" i="76"/>
  <c r="AO645" i="76"/>
  <c r="AR1030" i="76"/>
  <c r="AT859" i="76"/>
  <c r="AP689" i="76"/>
  <c r="AQ965" i="76"/>
  <c r="AS794" i="76"/>
  <c r="AR1057" i="76"/>
  <c r="AT886" i="76"/>
  <c r="AP716" i="76"/>
  <c r="AR545" i="76"/>
  <c r="AT797" i="76"/>
  <c r="AT513" i="76"/>
  <c r="AR342" i="76"/>
  <c r="AT171" i="76"/>
  <c r="I1000" i="76"/>
  <c r="AO1014" i="76"/>
  <c r="AS1051" i="76"/>
  <c r="AO881" i="76"/>
  <c r="AQ710" i="76"/>
  <c r="AS539" i="76"/>
  <c r="AP925" i="76"/>
  <c r="AR754" i="76"/>
  <c r="AS1030" i="76"/>
  <c r="AO860" i="76"/>
  <c r="AQ689" i="76"/>
  <c r="AP952" i="76"/>
  <c r="AR781" i="76"/>
  <c r="AT610" i="76"/>
  <c r="AR928" i="76"/>
  <c r="AT600" i="76"/>
  <c r="AT407" i="76"/>
  <c r="AP237" i="76"/>
  <c r="K1065" i="76"/>
  <c r="M894" i="76"/>
  <c r="AQ803" i="76"/>
  <c r="AS935" i="76"/>
  <c r="AO765" i="76"/>
  <c r="AQ594" i="76"/>
  <c r="AT979" i="76"/>
  <c r="AP809" i="76"/>
  <c r="AR638" i="76"/>
  <c r="AS914" i="76"/>
  <c r="AO744" i="76"/>
  <c r="AT1006" i="76"/>
  <c r="AP836" i="76"/>
  <c r="AR665" i="76"/>
  <c r="AT1037" i="76"/>
  <c r="AR696" i="76"/>
  <c r="AR462" i="76"/>
  <c r="AT291" i="76"/>
  <c r="AP121" i="76"/>
  <c r="K949" i="76"/>
  <c r="AS912" i="76"/>
  <c r="AO993" i="76"/>
  <c r="AQ822" i="76"/>
  <c r="AS651" i="76"/>
  <c r="AP1037" i="76"/>
  <c r="AR866" i="76"/>
  <c r="AT695" i="76"/>
  <c r="AO972" i="76"/>
  <c r="AQ801" i="76"/>
  <c r="AP1064" i="76"/>
  <c r="AR893" i="76"/>
  <c r="AT722" i="76"/>
  <c r="AP552" i="76"/>
  <c r="AP811" i="76"/>
  <c r="AS522" i="76"/>
  <c r="AP349" i="76"/>
  <c r="AR178" i="76"/>
  <c r="M1006" i="76"/>
  <c r="AQ1027" i="76"/>
  <c r="AO1033" i="76"/>
  <c r="AS691" i="76"/>
  <c r="AR906" i="76"/>
  <c r="AO1012" i="76"/>
  <c r="AS670" i="76"/>
  <c r="AT762" i="76"/>
  <c r="AP891" i="76"/>
  <c r="AP389" i="76"/>
  <c r="M1046" i="76"/>
  <c r="AO766" i="76"/>
  <c r="AS486" i="76"/>
  <c r="AO316" i="76"/>
  <c r="AQ145" i="76"/>
  <c r="AR923" i="76"/>
  <c r="AT597" i="76"/>
  <c r="AR405" i="76"/>
  <c r="AT234" i="76"/>
  <c r="I1063" i="76"/>
  <c r="AO815" i="76"/>
  <c r="AP525" i="76"/>
  <c r="AO351" i="76"/>
  <c r="AQ180" i="76"/>
  <c r="L1008" i="76"/>
  <c r="AS908" i="76"/>
  <c r="AO398" i="76"/>
  <c r="L1055" i="76"/>
  <c r="J832" i="76"/>
  <c r="L661" i="76"/>
  <c r="H491" i="76"/>
  <c r="J320" i="76"/>
  <c r="L149" i="76"/>
  <c r="AP658" i="76"/>
  <c r="AT272" i="76"/>
  <c r="M964" i="76"/>
  <c r="M769" i="76"/>
  <c r="I599" i="76"/>
  <c r="K428" i="76"/>
  <c r="M257" i="76"/>
  <c r="AQ563" i="76"/>
  <c r="AO209" i="76"/>
  <c r="J922" i="76"/>
  <c r="H738" i="76"/>
  <c r="J567" i="76"/>
  <c r="AO949" i="76"/>
  <c r="AS607" i="76"/>
  <c r="AR822" i="76"/>
  <c r="AO928" i="76"/>
  <c r="AP1020" i="76"/>
  <c r="AT678" i="76"/>
  <c r="AP723" i="76"/>
  <c r="AP305" i="76"/>
  <c r="M962" i="76"/>
  <c r="AO662" i="76"/>
  <c r="AQ445" i="76"/>
  <c r="AS274" i="76"/>
  <c r="AO104" i="76"/>
  <c r="AT840" i="76"/>
  <c r="AS542" i="76"/>
  <c r="AP364" i="76"/>
  <c r="AR193" i="76"/>
  <c r="M1021" i="76"/>
  <c r="AQ732" i="76"/>
  <c r="AQ480" i="76"/>
  <c r="AS309" i="76"/>
  <c r="AO139" i="76"/>
  <c r="J967" i="76"/>
  <c r="AQ743" i="76"/>
  <c r="AQ315" i="76"/>
  <c r="H993" i="76"/>
  <c r="L833" i="76"/>
  <c r="J748" i="76"/>
  <c r="H663" i="76"/>
  <c r="L577" i="76"/>
  <c r="J492" i="76"/>
  <c r="H407" i="76"/>
  <c r="L321" i="76"/>
  <c r="J236" i="76"/>
  <c r="H151" i="76"/>
  <c r="AT1004" i="76"/>
  <c r="AR663" i="76"/>
  <c r="AP446" i="76"/>
  <c r="AR275" i="76"/>
  <c r="AT104" i="76"/>
  <c r="K966" i="76"/>
  <c r="K856" i="76"/>
  <c r="I771" i="76"/>
  <c r="M685" i="76"/>
  <c r="K600" i="76"/>
  <c r="I515" i="76"/>
  <c r="M429" i="76"/>
  <c r="K344" i="76"/>
  <c r="I259" i="76"/>
  <c r="AS877" i="76"/>
  <c r="AO567" i="76"/>
  <c r="AQ382" i="76"/>
  <c r="AS211" i="76"/>
  <c r="J1041" i="76"/>
  <c r="H924" i="76"/>
  <c r="L824" i="76"/>
  <c r="J739" i="76"/>
  <c r="H654" i="76"/>
  <c r="L568" i="76"/>
  <c r="J483" i="76"/>
  <c r="AS951" i="76"/>
  <c r="AO781" i="76"/>
  <c r="AQ610" i="76"/>
  <c r="AT995" i="76"/>
  <c r="AP825" i="76"/>
  <c r="AR654" i="76"/>
  <c r="AS930" i="76"/>
  <c r="AO760" i="76"/>
  <c r="AT1022" i="76"/>
  <c r="AP852" i="76"/>
  <c r="AR681" i="76"/>
  <c r="AT510" i="76"/>
  <c r="AR728" i="76"/>
  <c r="AR478" i="76"/>
  <c r="AT307" i="76"/>
  <c r="AP137" i="76"/>
  <c r="K965" i="76"/>
  <c r="AS944" i="76"/>
  <c r="AS664" i="76"/>
  <c r="AO539" i="76"/>
  <c r="AS446" i="76"/>
  <c r="AQ361" i="76"/>
  <c r="AO276" i="76"/>
  <c r="AS190" i="76"/>
  <c r="AQ105" i="76"/>
  <c r="AP1014" i="76"/>
  <c r="AR843" i="76"/>
  <c r="AT672" i="76"/>
  <c r="AR544" i="76"/>
  <c r="AT450" i="76"/>
  <c r="AR365" i="76"/>
  <c r="AP280" i="76"/>
  <c r="AT194" i="76"/>
  <c r="AR109" i="76"/>
  <c r="I1023" i="76"/>
  <c r="AS905" i="76"/>
  <c r="AO735" i="76"/>
  <c r="AS585" i="76"/>
  <c r="AS481" i="76"/>
  <c r="AQ396" i="76"/>
  <c r="AO311" i="76"/>
  <c r="AS225" i="76"/>
  <c r="AQ140" i="76"/>
  <c r="H1054" i="76"/>
  <c r="L968" i="76"/>
  <c r="J883" i="76"/>
  <c r="AS748" i="76"/>
  <c r="AS488" i="76"/>
  <c r="AO318" i="76"/>
  <c r="AQ147" i="76"/>
  <c r="L994" i="76"/>
  <c r="H881" i="76"/>
  <c r="J792" i="76"/>
  <c r="H707" i="76"/>
  <c r="L621" i="76"/>
  <c r="J536" i="76"/>
  <c r="H451" i="76"/>
  <c r="L365" i="76"/>
  <c r="J280" i="76"/>
  <c r="H195" i="76"/>
  <c r="L109" i="76"/>
  <c r="AR839" i="76"/>
  <c r="AT541" i="76"/>
  <c r="AR363" i="76"/>
  <c r="AT192" i="76"/>
  <c r="J1026" i="76"/>
  <c r="K911" i="76"/>
  <c r="I815" i="76"/>
  <c r="M729" i="76"/>
  <c r="K644" i="76"/>
  <c r="I559" i="76"/>
  <c r="M473" i="76"/>
  <c r="K388" i="76"/>
  <c r="I303" i="76"/>
  <c r="AS1053" i="76"/>
  <c r="AQ712" i="76"/>
  <c r="AQ470" i="76"/>
  <c r="AS299" i="76"/>
  <c r="AO129" i="76"/>
  <c r="L982" i="76"/>
  <c r="J870" i="76"/>
  <c r="J783" i="76"/>
  <c r="H698" i="76"/>
  <c r="L612" i="76"/>
  <c r="J527" i="76"/>
  <c r="AO1045" i="76"/>
  <c r="AQ874" i="76"/>
  <c r="AS703" i="76"/>
  <c r="AO533" i="76"/>
  <c r="AR918" i="76"/>
  <c r="AT747" i="76"/>
  <c r="AO1024" i="76"/>
  <c r="AQ853" i="76"/>
  <c r="AS682" i="76"/>
  <c r="AR945" i="76"/>
  <c r="AT774" i="76"/>
  <c r="AP604" i="76"/>
  <c r="AP915" i="76"/>
  <c r="AO592" i="76"/>
  <c r="AP401" i="76"/>
  <c r="AR230" i="76"/>
  <c r="M1058" i="76"/>
  <c r="I888" i="76"/>
  <c r="AO790" i="76"/>
  <c r="AP601" i="76"/>
  <c r="AQ493" i="76"/>
  <c r="AO408" i="76"/>
  <c r="AS322" i="76"/>
  <c r="AQ237" i="76"/>
  <c r="AO152" i="76"/>
  <c r="L1065" i="76"/>
  <c r="AT936" i="76"/>
  <c r="AP766" i="76"/>
  <c r="AS606" i="76"/>
  <c r="AR497" i="76"/>
  <c r="AP412" i="76"/>
  <c r="AT326" i="76"/>
  <c r="AR241" i="76"/>
  <c r="AP156" i="76"/>
  <c r="AT70" i="76"/>
  <c r="AO999" i="76"/>
  <c r="AQ828" i="76"/>
  <c r="AS657" i="76"/>
  <c r="AO534" i="76"/>
  <c r="AO443" i="76"/>
  <c r="AS357" i="76"/>
  <c r="AQ272" i="76"/>
  <c r="AO187" i="76"/>
  <c r="AS101" i="76"/>
  <c r="J1015" i="76"/>
  <c r="H930" i="76"/>
  <c r="AQ935" i="76"/>
  <c r="AS605" i="76"/>
  <c r="AQ411" i="76"/>
  <c r="AS240" i="76"/>
  <c r="AO70" i="76"/>
  <c r="I943" i="76"/>
  <c r="H839" i="76"/>
  <c r="L753" i="76"/>
  <c r="J668" i="76"/>
  <c r="H583" i="76"/>
  <c r="L497" i="76"/>
  <c r="J412" i="76"/>
  <c r="H327" i="76"/>
  <c r="L241" i="76"/>
  <c r="J156" i="76"/>
  <c r="AP1026" i="76"/>
  <c r="AT684" i="76"/>
  <c r="AT456" i="76"/>
  <c r="AP286" i="76"/>
  <c r="AR115" i="76"/>
  <c r="L973" i="76"/>
  <c r="K862" i="76"/>
  <c r="K776" i="76"/>
  <c r="I691" i="76"/>
  <c r="M605" i="76"/>
  <c r="K520" i="76"/>
  <c r="I435" i="76"/>
  <c r="M349" i="76"/>
  <c r="K264" i="76"/>
  <c r="AO899" i="76"/>
  <c r="AP581" i="76"/>
  <c r="AO393" i="76"/>
  <c r="AQ222" i="76"/>
  <c r="L1050" i="76"/>
  <c r="I931" i="76"/>
  <c r="H830" i="76"/>
  <c r="L744" i="76"/>
  <c r="J659" i="76"/>
  <c r="H574" i="76"/>
  <c r="L488" i="76"/>
  <c r="AS855" i="76"/>
  <c r="AQ514" i="76"/>
  <c r="AP729" i="76"/>
  <c r="AS834" i="76"/>
  <c r="AT926" i="76"/>
  <c r="AR585" i="76"/>
  <c r="AP567" i="76"/>
  <c r="AT211" i="76"/>
  <c r="K869" i="76"/>
  <c r="AS588" i="76"/>
  <c r="AS398" i="76"/>
  <c r="AO228" i="76"/>
  <c r="J1056" i="76"/>
  <c r="AR747" i="76"/>
  <c r="AP488" i="76"/>
  <c r="AR317" i="76"/>
  <c r="AT146" i="76"/>
  <c r="AQ980" i="76"/>
  <c r="AO639" i="76"/>
  <c r="AS433" i="76"/>
  <c r="AO263" i="76"/>
  <c r="AQ92" i="76"/>
  <c r="L920" i="76"/>
  <c r="AS580" i="76"/>
  <c r="AO222" i="76"/>
  <c r="L930" i="76"/>
  <c r="J744" i="76"/>
  <c r="L573" i="76"/>
  <c r="H403" i="76"/>
  <c r="J232" i="76"/>
  <c r="AT988" i="76"/>
  <c r="AP438" i="76"/>
  <c r="AT96" i="76"/>
  <c r="K852" i="76"/>
  <c r="M681" i="76"/>
  <c r="I511" i="76"/>
  <c r="K340" i="76"/>
  <c r="AS861" i="76"/>
  <c r="AQ374" i="76"/>
  <c r="H1035" i="76"/>
  <c r="L820" i="76"/>
  <c r="H650" i="76"/>
  <c r="J479" i="76"/>
  <c r="J383" i="76"/>
  <c r="H298" i="76"/>
  <c r="AP975" i="76"/>
  <c r="AO634" i="76"/>
  <c r="AP431" i="76"/>
  <c r="AR260" i="76"/>
  <c r="AT89" i="76"/>
  <c r="J956" i="76"/>
  <c r="M848" i="76"/>
  <c r="K763" i="76"/>
  <c r="I678" i="76"/>
  <c r="M592" i="76"/>
  <c r="K507" i="76"/>
  <c r="I422" i="76"/>
  <c r="M336" i="76"/>
  <c r="K251" i="76"/>
  <c r="I166" i="76"/>
  <c r="AP1050" i="76"/>
  <c r="AT468" i="76"/>
  <c r="AR127" i="76"/>
  <c r="J869" i="76"/>
  <c r="I697" i="76"/>
  <c r="K526" i="76"/>
  <c r="M355" i="76"/>
  <c r="L199" i="76"/>
  <c r="M85" i="76"/>
  <c r="AR554" i="76"/>
  <c r="AQ202" i="76"/>
  <c r="M917" i="76"/>
  <c r="L734" i="76"/>
  <c r="H564" i="76"/>
  <c r="J393" i="76"/>
  <c r="J225" i="76"/>
  <c r="M110" i="76"/>
  <c r="AR668" i="76"/>
  <c r="AT277" i="76"/>
  <c r="M967" i="76"/>
  <c r="I772" i="76"/>
  <c r="K601" i="76"/>
  <c r="M430" i="76"/>
  <c r="I260" i="76"/>
  <c r="H136" i="76"/>
  <c r="AS820" i="76"/>
  <c r="AO354" i="76"/>
  <c r="L1018" i="76"/>
  <c r="J810" i="76"/>
  <c r="L639" i="76"/>
  <c r="H469" i="76"/>
  <c r="J298" i="76"/>
  <c r="I161" i="76"/>
  <c r="AQ864" i="76"/>
  <c r="AT601" i="76"/>
  <c r="AQ431" i="76"/>
  <c r="AP290" i="76"/>
  <c r="K778" i="76"/>
  <c r="I437" i="76"/>
  <c r="AO317" i="76"/>
  <c r="J734" i="76"/>
  <c r="I344" i="76"/>
  <c r="K71" i="76"/>
  <c r="K887" i="76"/>
  <c r="L491" i="76"/>
  <c r="J154" i="76"/>
  <c r="AR120" i="76"/>
  <c r="J645" i="76"/>
  <c r="AO985" i="76"/>
  <c r="AS643" i="76"/>
  <c r="AR858" i="76"/>
  <c r="AO964" i="76"/>
  <c r="AP1056" i="76"/>
  <c r="AT714" i="76"/>
  <c r="AP795" i="76"/>
  <c r="AP341" i="76"/>
  <c r="M998" i="76"/>
  <c r="AQ699" i="76"/>
  <c r="AO464" i="76"/>
  <c r="AQ293" i="76"/>
  <c r="AS122" i="76"/>
  <c r="AP878" i="76"/>
  <c r="AR567" i="76"/>
  <c r="AT382" i="76"/>
  <c r="AP212" i="76"/>
  <c r="K1040" i="76"/>
  <c r="AS769" i="76"/>
  <c r="AO499" i="76"/>
  <c r="AQ328" i="76"/>
  <c r="AS157" i="76"/>
  <c r="H986" i="76"/>
  <c r="AO818" i="76"/>
  <c r="AS352" i="76"/>
  <c r="M1017" i="76"/>
  <c r="L809" i="76"/>
  <c r="H639" i="76"/>
  <c r="J468" i="76"/>
  <c r="L297" i="76"/>
  <c r="H127" i="76"/>
  <c r="AO588" i="76"/>
  <c r="AR227" i="76"/>
  <c r="K934" i="76"/>
  <c r="I747" i="76"/>
  <c r="K576" i="76"/>
  <c r="M405" i="76"/>
  <c r="I235" i="76"/>
  <c r="AO505" i="76"/>
  <c r="AS163" i="76"/>
  <c r="H892" i="76"/>
  <c r="J715" i="76"/>
  <c r="L544" i="76"/>
  <c r="L416" i="76"/>
  <c r="J331" i="76"/>
  <c r="H246" i="76"/>
  <c r="AP767" i="76"/>
  <c r="AT497" i="76"/>
  <c r="AP327" i="76"/>
  <c r="AR156" i="76"/>
  <c r="M1000" i="76"/>
  <c r="H887" i="76"/>
  <c r="M796" i="76"/>
  <c r="K711" i="76"/>
  <c r="I626" i="76"/>
  <c r="M540" i="76"/>
  <c r="K455" i="76"/>
  <c r="I370" i="76"/>
  <c r="M284" i="76"/>
  <c r="K199" i="76"/>
  <c r="I114" i="76"/>
  <c r="AS634" i="76"/>
  <c r="AT260" i="76"/>
  <c r="M956" i="76"/>
  <c r="M763" i="76"/>
  <c r="I593" i="76"/>
  <c r="K422" i="76"/>
  <c r="M251" i="76"/>
  <c r="J130" i="76"/>
  <c r="AQ784" i="76"/>
  <c r="AS335" i="76"/>
  <c r="L1006" i="76"/>
  <c r="J801" i="76"/>
  <c r="L630" i="76"/>
  <c r="H460" i="76"/>
  <c r="J289" i="76"/>
  <c r="J155" i="76"/>
  <c r="AP935" i="76"/>
  <c r="AP411" i="76"/>
  <c r="M1068" i="76"/>
  <c r="M838" i="76"/>
  <c r="I668" i="76"/>
  <c r="K497" i="76"/>
  <c r="M326" i="76"/>
  <c r="K180" i="76"/>
  <c r="L70" i="76"/>
  <c r="AQ487" i="76"/>
  <c r="AO146" i="76"/>
  <c r="H880" i="76"/>
  <c r="J706" i="76"/>
  <c r="L535" i="76"/>
  <c r="H365" i="76"/>
  <c r="K205" i="76"/>
  <c r="M91" i="76"/>
  <c r="AO301" i="76"/>
  <c r="AO826" i="76"/>
  <c r="AO572" i="76"/>
  <c r="K926" i="76"/>
  <c r="K570" i="76"/>
  <c r="K230" i="76"/>
  <c r="K894" i="76"/>
  <c r="H497" i="76"/>
  <c r="L156" i="76"/>
  <c r="AS119" i="76"/>
  <c r="L643" i="76"/>
  <c r="K253" i="76"/>
  <c r="AT539" i="76"/>
  <c r="J797" i="76"/>
  <c r="M407" i="76"/>
  <c r="AO825" i="76"/>
  <c r="AT1039" i="76"/>
  <c r="AR698" i="76"/>
  <c r="AO804" i="76"/>
  <c r="AP896" i="76"/>
  <c r="AT554" i="76"/>
  <c r="AP526" i="76"/>
  <c r="AP181" i="76"/>
  <c r="AS1032" i="76"/>
  <c r="AP569" i="76"/>
  <c r="AO384" i="76"/>
  <c r="AQ213" i="76"/>
  <c r="AR1059" i="76"/>
  <c r="AP718" i="76"/>
  <c r="AR473" i="76"/>
  <c r="AT302" i="76"/>
  <c r="AP132" i="76"/>
  <c r="AO951" i="76"/>
  <c r="AT615" i="76"/>
  <c r="AO419" i="76"/>
  <c r="AQ248" i="76"/>
  <c r="AS77" i="76"/>
  <c r="H906" i="76"/>
  <c r="AS541" i="76"/>
  <c r="AS192" i="76"/>
  <c r="I911" i="76"/>
  <c r="L729" i="76"/>
  <c r="H559" i="76"/>
  <c r="J388" i="76"/>
  <c r="L217" i="76"/>
  <c r="AP930" i="76"/>
  <c r="AT408" i="76"/>
  <c r="K1066" i="76"/>
  <c r="M837" i="76"/>
  <c r="I667" i="76"/>
  <c r="K496" i="76"/>
  <c r="M325" i="76"/>
  <c r="AO803" i="76"/>
  <c r="AO345" i="76"/>
  <c r="H1013" i="76"/>
  <c r="H806" i="76"/>
  <c r="J635" i="76"/>
  <c r="L464" i="76"/>
  <c r="J375" i="76"/>
  <c r="H290" i="76"/>
  <c r="AP943" i="76"/>
  <c r="AS610" i="76"/>
  <c r="AP415" i="76"/>
  <c r="AR244" i="76"/>
  <c r="AT73" i="76"/>
  <c r="L945" i="76"/>
  <c r="M840" i="76"/>
  <c r="K755" i="76"/>
  <c r="I670" i="76"/>
  <c r="M584" i="76"/>
  <c r="K499" i="76"/>
  <c r="I414" i="76"/>
  <c r="M328" i="76"/>
  <c r="K243" i="76"/>
  <c r="I158" i="76"/>
  <c r="AP986" i="76"/>
  <c r="AT436" i="76"/>
  <c r="AR95" i="76"/>
  <c r="M851" i="76"/>
  <c r="I681" i="76"/>
  <c r="K510" i="76"/>
  <c r="M339" i="76"/>
  <c r="H189" i="76"/>
  <c r="H77" i="76"/>
  <c r="AT511" i="76"/>
  <c r="AQ170" i="76"/>
  <c r="K896" i="76"/>
  <c r="L718" i="76"/>
  <c r="H548" i="76"/>
  <c r="J377" i="76"/>
  <c r="H214" i="76"/>
  <c r="I100" i="76"/>
  <c r="AR612" i="76"/>
  <c r="AT245" i="76"/>
  <c r="K946" i="76"/>
  <c r="I756" i="76"/>
  <c r="K585" i="76"/>
  <c r="M414" i="76"/>
  <c r="I244" i="76"/>
  <c r="J125" i="76"/>
  <c r="AS756" i="76"/>
  <c r="AO322" i="76"/>
  <c r="J997" i="76"/>
  <c r="J794" i="76"/>
  <c r="L623" i="76"/>
  <c r="H453" i="76"/>
  <c r="J282" i="76"/>
  <c r="K150" i="76"/>
  <c r="AQ736" i="76"/>
  <c r="AR516" i="76"/>
  <c r="AQ367" i="76"/>
  <c r="AP226" i="76"/>
  <c r="K746" i="76"/>
  <c r="I405" i="76"/>
  <c r="AP227" i="76"/>
  <c r="L698" i="76"/>
  <c r="L307" i="76"/>
  <c r="AT833" i="76"/>
  <c r="J845" i="76"/>
  <c r="M455" i="76"/>
  <c r="H133" i="76"/>
  <c r="J1046" i="76"/>
  <c r="I608" i="76"/>
  <c r="AQ1006" i="76"/>
  <c r="AO665" i="76"/>
  <c r="AT879" i="76"/>
  <c r="AQ985" i="76"/>
  <c r="AO644" i="76"/>
  <c r="AP736" i="76"/>
  <c r="AO901" i="76"/>
  <c r="AS559" i="76"/>
  <c r="AR774" i="76"/>
  <c r="AO880" i="76"/>
  <c r="AP972" i="76"/>
  <c r="AT630" i="76"/>
  <c r="AS628" i="76"/>
  <c r="AP257" i="76"/>
  <c r="M914" i="76"/>
  <c r="AQ966" i="76"/>
  <c r="AO625" i="76"/>
  <c r="AT839" i="76"/>
  <c r="AQ945" i="76"/>
  <c r="AR1037" i="76"/>
  <c r="AP696" i="76"/>
  <c r="AT757" i="76"/>
  <c r="AR322" i="76"/>
  <c r="I980" i="76"/>
  <c r="AO1021" i="76"/>
  <c r="AS679" i="76"/>
  <c r="AR894" i="76"/>
  <c r="AO1000" i="76"/>
  <c r="AS658" i="76"/>
  <c r="AT750" i="76"/>
  <c r="AP867" i="76"/>
  <c r="AP377" i="76"/>
  <c r="M1034" i="76"/>
  <c r="AO742" i="76"/>
  <c r="AO737" i="76"/>
  <c r="AT951" i="76"/>
  <c r="AQ1057" i="76"/>
  <c r="AO716" i="76"/>
  <c r="AP808" i="76"/>
  <c r="AT981" i="76"/>
  <c r="AR434" i="76"/>
  <c r="AP93" i="76"/>
  <c r="AS856" i="76"/>
  <c r="AO521" i="76"/>
  <c r="AQ841" i="76"/>
  <c r="AP592" i="76"/>
  <c r="AR218" i="76"/>
  <c r="AQ592" i="76"/>
  <c r="AS230" i="76"/>
  <c r="AT752" i="76"/>
  <c r="AP320" i="76"/>
  <c r="AS985" i="76"/>
  <c r="AQ436" i="76"/>
  <c r="AO95" i="76"/>
  <c r="AT587" i="76"/>
  <c r="J934" i="76"/>
  <c r="J576" i="76"/>
  <c r="H235" i="76"/>
  <c r="AR443" i="76"/>
  <c r="I855" i="76"/>
  <c r="M513" i="76"/>
  <c r="AQ872" i="76"/>
  <c r="K1039" i="76"/>
  <c r="L652" i="76"/>
  <c r="AQ778" i="76"/>
  <c r="AT651" i="76"/>
  <c r="AR849" i="76"/>
  <c r="AT475" i="76"/>
  <c r="AQ939" i="76"/>
  <c r="AO360" i="76"/>
  <c r="AR1011" i="76"/>
  <c r="AR449" i="76"/>
  <c r="AP108" i="76"/>
  <c r="AT583" i="76"/>
  <c r="AQ224" i="76"/>
  <c r="H882" i="76"/>
  <c r="AS144" i="76"/>
  <c r="H791" i="76"/>
  <c r="J620" i="76"/>
  <c r="L449" i="76"/>
  <c r="H279" i="76"/>
  <c r="J108" i="76"/>
  <c r="AP538" i="76"/>
  <c r="AP190" i="76"/>
  <c r="L909" i="76"/>
  <c r="K728" i="76"/>
  <c r="M557" i="76"/>
  <c r="I387" i="76"/>
  <c r="AQ1048" i="76"/>
  <c r="AS467" i="76"/>
  <c r="AQ126" i="76"/>
  <c r="M868" i="76"/>
  <c r="L696" i="76"/>
  <c r="H526" i="76"/>
  <c r="AQ866" i="76"/>
  <c r="AO525" i="76"/>
  <c r="AT739" i="76"/>
  <c r="AQ845" i="76"/>
  <c r="AR937" i="76"/>
  <c r="AP596" i="76"/>
  <c r="AQ581" i="76"/>
  <c r="AR222" i="76"/>
  <c r="I880" i="76"/>
  <c r="AT595" i="76"/>
  <c r="AO404" i="76"/>
  <c r="AQ233" i="76"/>
  <c r="L1061" i="76"/>
  <c r="AP758" i="76"/>
  <c r="AR493" i="76"/>
  <c r="AT322" i="76"/>
  <c r="AP152" i="76"/>
  <c r="AO991" i="76"/>
  <c r="AS649" i="76"/>
  <c r="AO439" i="76"/>
  <c r="AQ268" i="76"/>
  <c r="AS97" i="76"/>
  <c r="H926" i="76"/>
  <c r="AO595" i="76"/>
  <c r="AS232" i="76"/>
  <c r="M937" i="76"/>
  <c r="L749" i="76"/>
  <c r="H579" i="76"/>
  <c r="J408" i="76"/>
  <c r="L237" i="76"/>
  <c r="AP1010" i="76"/>
  <c r="AT448" i="76"/>
  <c r="AR107" i="76"/>
  <c r="H858" i="76"/>
  <c r="I687" i="76"/>
  <c r="K516" i="76"/>
  <c r="M345" i="76"/>
  <c r="AO883" i="76"/>
  <c r="AO385" i="76"/>
  <c r="L1043" i="76"/>
  <c r="H826" i="76"/>
  <c r="J655" i="76"/>
  <c r="L484" i="76"/>
  <c r="AO789" i="76"/>
  <c r="AT1003" i="76"/>
  <c r="AR662" i="76"/>
  <c r="AO768" i="76"/>
  <c r="AP860" i="76"/>
  <c r="AT518" i="76"/>
  <c r="AR486" i="76"/>
  <c r="AP145" i="76"/>
  <c r="AS960" i="76"/>
  <c r="AQ544" i="76"/>
  <c r="AQ365" i="76"/>
  <c r="AS194" i="76"/>
  <c r="AP1022" i="76"/>
  <c r="AT680" i="76"/>
  <c r="AT454" i="76"/>
  <c r="AP284" i="76"/>
  <c r="AR113" i="76"/>
  <c r="AS913" i="76"/>
  <c r="AO591" i="76"/>
  <c r="AQ400" i="76"/>
  <c r="AS229" i="76"/>
  <c r="H1058" i="76"/>
  <c r="J887" i="76"/>
  <c r="AS496" i="76"/>
  <c r="AQ155" i="76"/>
  <c r="J886" i="76"/>
  <c r="H711" i="76"/>
  <c r="J540" i="76"/>
  <c r="L369" i="76"/>
  <c r="H199" i="76"/>
  <c r="AR855" i="76"/>
  <c r="AR371" i="76"/>
  <c r="M1032" i="76"/>
  <c r="I819" i="76"/>
  <c r="K648" i="76"/>
  <c r="M477" i="76"/>
  <c r="I307" i="76"/>
  <c r="AQ728" i="76"/>
  <c r="AS307" i="76"/>
  <c r="H988" i="76"/>
  <c r="J787" i="76"/>
  <c r="L616" i="76"/>
  <c r="AQ1026" i="76"/>
  <c r="AT899" i="76"/>
  <c r="AO664" i="76"/>
  <c r="AT877" i="76"/>
  <c r="I1040" i="76"/>
  <c r="AO484" i="76"/>
  <c r="AS142" i="76"/>
  <c r="AP594" i="76"/>
  <c r="AP232" i="76"/>
  <c r="AS809" i="76"/>
  <c r="AQ348" i="76"/>
  <c r="H1006" i="76"/>
  <c r="AS392" i="76"/>
  <c r="L829" i="76"/>
  <c r="J488" i="76"/>
  <c r="H147" i="76"/>
  <c r="AR267" i="76"/>
  <c r="I767" i="76"/>
  <c r="M425" i="76"/>
  <c r="AQ556" i="76"/>
  <c r="L918" i="76"/>
  <c r="L564" i="76"/>
  <c r="L340" i="76"/>
  <c r="AR804" i="76"/>
  <c r="AT345" i="76"/>
  <c r="I1013" i="76"/>
  <c r="I806" i="76"/>
  <c r="K635" i="76"/>
  <c r="M464" i="76"/>
  <c r="I294" i="76"/>
  <c r="K123" i="76"/>
  <c r="AP298" i="76"/>
  <c r="K782" i="76"/>
  <c r="I441" i="76"/>
  <c r="L142" i="76"/>
  <c r="AO373" i="76"/>
  <c r="H820" i="76"/>
  <c r="L478" i="76"/>
  <c r="M167" i="76"/>
  <c r="AR448" i="76"/>
  <c r="L857" i="76"/>
  <c r="I516" i="76"/>
  <c r="H193" i="76"/>
  <c r="AP529" i="76"/>
  <c r="H905" i="76"/>
  <c r="J554" i="76"/>
  <c r="H218" i="76"/>
  <c r="AS375" i="76"/>
  <c r="AT692" i="76"/>
  <c r="M607" i="76"/>
  <c r="K951" i="76"/>
  <c r="K181" i="76"/>
  <c r="J686" i="76"/>
  <c r="AO794" i="76"/>
  <c r="K450" i="76"/>
  <c r="AP1029" i="76"/>
  <c r="AQ793" i="76"/>
  <c r="AP544" i="76"/>
  <c r="AR170" i="76"/>
  <c r="AO562" i="76"/>
  <c r="AO208" i="76"/>
  <c r="AR707" i="76"/>
  <c r="AR297" i="76"/>
  <c r="AQ940" i="76"/>
  <c r="AS413" i="76"/>
  <c r="AQ72" i="76"/>
  <c r="AQ527" i="76"/>
  <c r="H904" i="76"/>
  <c r="L553" i="76"/>
  <c r="J212" i="76"/>
  <c r="AP398" i="76"/>
  <c r="K832" i="76"/>
  <c r="I491" i="76"/>
  <c r="AS781" i="76"/>
  <c r="M1005" i="76"/>
  <c r="H630" i="76"/>
  <c r="H374" i="76"/>
  <c r="AT937" i="76"/>
  <c r="AR412" i="76"/>
  <c r="AP71" i="76"/>
  <c r="K839" i="76"/>
  <c r="M668" i="76"/>
  <c r="I498" i="76"/>
  <c r="K327" i="76"/>
  <c r="M156" i="76"/>
  <c r="AR431" i="76"/>
  <c r="I849" i="76"/>
  <c r="M507" i="76"/>
  <c r="I187" i="76"/>
  <c r="AQ506" i="76"/>
  <c r="H893" i="76"/>
  <c r="J545" i="76"/>
  <c r="I212" i="76"/>
  <c r="AQ605" i="76"/>
  <c r="H943" i="76"/>
  <c r="M582" i="76"/>
  <c r="K241" i="76"/>
  <c r="AO746" i="76"/>
  <c r="M993" i="76"/>
  <c r="H621" i="76"/>
  <c r="L279" i="76"/>
  <c r="AO715" i="76"/>
  <c r="AS356" i="76"/>
  <c r="I741" i="76"/>
  <c r="AS215" i="76"/>
  <c r="K301" i="76"/>
  <c r="M839" i="76"/>
  <c r="J129" i="76"/>
  <c r="L602" i="76"/>
  <c r="AQ654" i="76"/>
  <c r="AS974" i="76"/>
  <c r="AR725" i="76"/>
  <c r="AT351" i="76"/>
  <c r="AO710" i="76"/>
  <c r="AS298" i="76"/>
  <c r="AT888" i="76"/>
  <c r="AP388" i="76"/>
  <c r="M1045" i="76"/>
  <c r="AQ504" i="76"/>
  <c r="AO163" i="76"/>
  <c r="AQ839" i="76"/>
  <c r="I1026" i="76"/>
  <c r="J644" i="76"/>
  <c r="H303" i="76"/>
  <c r="AP602" i="76"/>
  <c r="L941" i="76"/>
  <c r="M581" i="76"/>
  <c r="K240" i="76"/>
  <c r="AQ174" i="76"/>
  <c r="L720" i="76"/>
  <c r="H418" i="76"/>
  <c r="J247" i="76"/>
  <c r="AR500" i="76"/>
  <c r="AP159" i="76"/>
  <c r="M888" i="76"/>
  <c r="M712" i="76"/>
  <c r="I542" i="76"/>
  <c r="K371" i="76"/>
  <c r="M200" i="76"/>
  <c r="AT644" i="76"/>
  <c r="J960" i="76"/>
  <c r="M595" i="76"/>
  <c r="K254" i="76"/>
  <c r="AO795" i="76"/>
  <c r="J1010" i="76"/>
  <c r="J633" i="76"/>
  <c r="H292" i="76"/>
  <c r="AT945" i="76"/>
  <c r="AP75" i="76"/>
  <c r="M670" i="76"/>
  <c r="K329" i="76"/>
  <c r="H72" i="76"/>
  <c r="AQ151" i="76"/>
  <c r="H709" i="76"/>
  <c r="L367" i="76"/>
  <c r="L164" i="76"/>
  <c r="AR972" i="76"/>
  <c r="AO282" i="76"/>
  <c r="M831" i="76"/>
  <c r="L234" i="76"/>
  <c r="M746" i="76"/>
  <c r="M131" i="76"/>
  <c r="I797" i="76"/>
  <c r="M189" i="76"/>
  <c r="M802" i="76"/>
  <c r="AO1049" i="76"/>
  <c r="AT1007" i="76"/>
  <c r="AS942" i="76"/>
  <c r="AR821" i="76"/>
  <c r="AT837" i="76"/>
  <c r="AR362" i="76"/>
  <c r="I1020" i="76"/>
  <c r="AS720" i="76"/>
  <c r="AS474" i="76"/>
  <c r="AO304" i="76"/>
  <c r="AQ133" i="76"/>
  <c r="AR899" i="76"/>
  <c r="AT581" i="76"/>
  <c r="AR393" i="76"/>
  <c r="AT222" i="76"/>
  <c r="I1051" i="76"/>
  <c r="AO791" i="76"/>
  <c r="AS509" i="76"/>
  <c r="AO339" i="76"/>
  <c r="AQ168" i="76"/>
  <c r="L996" i="76"/>
  <c r="AS860" i="76"/>
  <c r="AO374" i="76"/>
  <c r="K1034" i="76"/>
  <c r="J820" i="76"/>
  <c r="L649" i="76"/>
  <c r="H479" i="76"/>
  <c r="J308" i="76"/>
  <c r="L137" i="76"/>
  <c r="AR616" i="76"/>
  <c r="AT248" i="76"/>
  <c r="M948" i="76"/>
  <c r="M757" i="76"/>
  <c r="I587" i="76"/>
  <c r="K416" i="76"/>
  <c r="M245" i="76"/>
  <c r="AQ531" i="76"/>
  <c r="AO185" i="76"/>
  <c r="J906" i="76"/>
  <c r="H726" i="76"/>
  <c r="J555" i="76"/>
  <c r="H422" i="76"/>
  <c r="L336" i="76"/>
  <c r="J251" i="76"/>
  <c r="AR788" i="76"/>
  <c r="AR508" i="76"/>
  <c r="AT337" i="76"/>
  <c r="AP167" i="76"/>
  <c r="M1007" i="76"/>
  <c r="I894" i="76"/>
  <c r="I802" i="76"/>
  <c r="M716" i="76"/>
  <c r="K631" i="76"/>
  <c r="I546" i="76"/>
  <c r="M460" i="76"/>
  <c r="K375" i="76"/>
  <c r="I290" i="76"/>
  <c r="M204" i="76"/>
  <c r="K119" i="76"/>
  <c r="AT676" i="76"/>
  <c r="AP282" i="76"/>
  <c r="H971" i="76"/>
  <c r="K774" i="76"/>
  <c r="M603" i="76"/>
  <c r="I433" i="76"/>
  <c r="K262" i="76"/>
  <c r="J137" i="76"/>
  <c r="AO827" i="76"/>
  <c r="AO357" i="76"/>
  <c r="I1021" i="76"/>
  <c r="H812" i="76"/>
  <c r="J641" i="76"/>
  <c r="L470" i="76"/>
  <c r="H300" i="76"/>
  <c r="K162" i="76"/>
  <c r="AT977" i="76"/>
  <c r="AR432" i="76"/>
  <c r="AP91" i="76"/>
  <c r="K849" i="76"/>
  <c r="M678" i="76"/>
  <c r="I508" i="76"/>
  <c r="K337" i="76"/>
  <c r="L187" i="76"/>
  <c r="H76" i="76"/>
  <c r="AS508" i="76"/>
  <c r="AQ167" i="76"/>
  <c r="J894" i="76"/>
  <c r="H717" i="76"/>
  <c r="J546" i="76"/>
  <c r="L375" i="76"/>
  <c r="L212" i="76"/>
  <c r="M98" i="76"/>
  <c r="AS343" i="76"/>
  <c r="AQ911" i="76"/>
  <c r="AP630" i="76"/>
  <c r="H955" i="76"/>
  <c r="M591" i="76"/>
  <c r="K250" i="76"/>
  <c r="L926" i="76"/>
  <c r="H521" i="76"/>
  <c r="M170" i="76"/>
  <c r="AS167" i="76"/>
  <c r="I669" i="76"/>
  <c r="J278" i="76"/>
  <c r="AO666" i="76"/>
  <c r="K821" i="76"/>
  <c r="H432" i="76"/>
  <c r="AS851" i="76"/>
  <c r="AP725" i="76"/>
  <c r="AT922" i="76"/>
  <c r="AT561" i="76"/>
  <c r="K865" i="76"/>
  <c r="AO396" i="76"/>
  <c r="L1053" i="76"/>
  <c r="AR485" i="76"/>
  <c r="AP144" i="76"/>
  <c r="AT633" i="76"/>
  <c r="AQ260" i="76"/>
  <c r="H918" i="76"/>
  <c r="AS216" i="76"/>
  <c r="L741" i="76"/>
  <c r="J400" i="76"/>
  <c r="AP978" i="76"/>
  <c r="AR91" i="76"/>
  <c r="I679" i="76"/>
  <c r="M337" i="76"/>
  <c r="AO369" i="76"/>
  <c r="H818" i="76"/>
  <c r="L476" i="76"/>
  <c r="L296" i="76"/>
  <c r="AT629" i="76"/>
  <c r="AT257" i="76"/>
  <c r="K954" i="76"/>
  <c r="I762" i="76"/>
  <c r="K591" i="76"/>
  <c r="M420" i="76"/>
  <c r="I250" i="76"/>
  <c r="AR1039" i="76"/>
  <c r="AP122" i="76"/>
  <c r="K694" i="76"/>
  <c r="I353" i="76"/>
  <c r="H84" i="76"/>
  <c r="AO197" i="76"/>
  <c r="H732" i="76"/>
  <c r="L390" i="76"/>
  <c r="I109" i="76"/>
  <c r="AR272" i="76"/>
  <c r="K769" i="76"/>
  <c r="I428" i="76"/>
  <c r="J134" i="76"/>
  <c r="AS348" i="76"/>
  <c r="L807" i="76"/>
  <c r="J466" i="76"/>
  <c r="J159" i="76"/>
  <c r="AR587" i="76"/>
  <c r="AR279" i="76"/>
  <c r="M431" i="76"/>
  <c r="I728" i="76"/>
  <c r="AP1047" i="76"/>
  <c r="K485" i="76"/>
  <c r="AO109" i="76"/>
  <c r="H273" i="76"/>
  <c r="AT564" i="76"/>
  <c r="H801" i="76"/>
  <c r="M410" i="76"/>
  <c r="L106" i="76"/>
  <c r="L634" i="76"/>
  <c r="AR523" i="76"/>
  <c r="M402" i="76"/>
  <c r="L965" i="76"/>
  <c r="I188" i="76"/>
  <c r="K701" i="76"/>
  <c r="AT607" i="76"/>
  <c r="K133" i="76"/>
  <c r="H433" i="76"/>
  <c r="J774" i="76"/>
  <c r="AR232" i="76"/>
  <c r="J462" i="76"/>
  <c r="H737" i="76"/>
  <c r="AO873" i="76"/>
  <c r="AR746" i="76"/>
  <c r="AP944" i="76"/>
  <c r="AP590" i="76"/>
  <c r="M886" i="76"/>
  <c r="AS406" i="76"/>
  <c r="J1064" i="76"/>
  <c r="AP496" i="76"/>
  <c r="AT154" i="76"/>
  <c r="AO655" i="76"/>
  <c r="AO271" i="76"/>
  <c r="L928" i="76"/>
  <c r="AO238" i="76"/>
  <c r="J752" i="76"/>
  <c r="H411" i="76"/>
  <c r="AT1020" i="76"/>
  <c r="AT112" i="76"/>
  <c r="M689" i="76"/>
  <c r="K348" i="76"/>
  <c r="AQ390" i="76"/>
  <c r="L828" i="76"/>
  <c r="J487" i="76"/>
  <c r="H302" i="76"/>
  <c r="AT649" i="76"/>
  <c r="AR268" i="76"/>
  <c r="L961" i="76"/>
  <c r="K767" i="76"/>
  <c r="M596" i="76"/>
  <c r="I426" i="76"/>
  <c r="K255" i="76"/>
  <c r="M84" i="76"/>
  <c r="AR143" i="76"/>
  <c r="I705" i="76"/>
  <c r="M363" i="76"/>
  <c r="I91" i="76"/>
  <c r="AQ218" i="76"/>
  <c r="L742" i="76"/>
  <c r="J401" i="76"/>
  <c r="I116" i="76"/>
  <c r="AT293" i="76"/>
  <c r="I780" i="76"/>
  <c r="M438" i="76"/>
  <c r="J141" i="76"/>
  <c r="AO370" i="76"/>
  <c r="J818" i="76"/>
  <c r="H477" i="76"/>
  <c r="K166" i="76"/>
  <c r="AR652" i="76"/>
  <c r="AP322" i="76"/>
  <c r="I453" i="76"/>
  <c r="H753" i="76"/>
  <c r="K79" i="76"/>
  <c r="K509" i="76"/>
  <c r="AO157" i="76"/>
  <c r="M279" i="76"/>
  <c r="AQ593" i="76"/>
  <c r="M807" i="76"/>
  <c r="H417" i="76"/>
  <c r="J110" i="76"/>
  <c r="J646" i="76"/>
  <c r="AR580" i="76"/>
  <c r="H416" i="76"/>
  <c r="J980" i="76"/>
  <c r="J195" i="76"/>
  <c r="L714" i="76"/>
  <c r="AQ768" i="76"/>
  <c r="K190" i="76"/>
  <c r="L530" i="76"/>
  <c r="I874" i="76"/>
  <c r="AO551" i="76"/>
  <c r="L531" i="76"/>
  <c r="AS1028" i="76"/>
  <c r="AQ962" i="76"/>
  <c r="AT835" i="76"/>
  <c r="AR1033" i="76"/>
  <c r="AT749" i="76"/>
  <c r="I976" i="76"/>
  <c r="AO452" i="76"/>
  <c r="AS110" i="76"/>
  <c r="AR551" i="76"/>
  <c r="AP200" i="76"/>
  <c r="AS745" i="76"/>
  <c r="AQ316" i="76"/>
  <c r="H974" i="76"/>
  <c r="AS328" i="76"/>
  <c r="L797" i="76"/>
  <c r="J456" i="76"/>
  <c r="H115" i="76"/>
  <c r="AR203" i="76"/>
  <c r="I735" i="76"/>
  <c r="M393" i="76"/>
  <c r="AO481" i="76"/>
  <c r="K876" i="76"/>
  <c r="L532" i="76"/>
  <c r="L324" i="76"/>
  <c r="AR740" i="76"/>
  <c r="AT313" i="76"/>
  <c r="M991" i="76"/>
  <c r="I790" i="76"/>
  <c r="K619" i="76"/>
  <c r="M448" i="76"/>
  <c r="I278" i="76"/>
  <c r="K107" i="76"/>
  <c r="AP234" i="76"/>
  <c r="K750" i="76"/>
  <c r="I409" i="76"/>
  <c r="J121" i="76"/>
  <c r="AS223" i="76"/>
  <c r="J745" i="76"/>
  <c r="H404" i="76"/>
  <c r="H118" i="76"/>
  <c r="AP299" i="76"/>
  <c r="M782" i="76"/>
  <c r="K441" i="76"/>
  <c r="I143" i="76"/>
  <c r="AQ375" i="76"/>
  <c r="H821" i="76"/>
  <c r="L479" i="76"/>
  <c r="I168" i="76"/>
  <c r="AT673" i="76"/>
  <c r="AT332" i="76"/>
  <c r="K458" i="76"/>
  <c r="M759" i="76"/>
  <c r="I82" i="76"/>
  <c r="L515" i="76"/>
  <c r="AR168" i="76"/>
  <c r="M290" i="76"/>
  <c r="AT621" i="76"/>
  <c r="J813" i="76"/>
  <c r="M423" i="76"/>
  <c r="M113" i="76"/>
  <c r="L658" i="76"/>
  <c r="AT641" i="76"/>
  <c r="L427" i="76"/>
  <c r="M997" i="76"/>
  <c r="K202" i="76"/>
  <c r="J726" i="76"/>
  <c r="AO939" i="76"/>
  <c r="J262" i="76"/>
  <c r="L627" i="76"/>
  <c r="L1002" i="76"/>
  <c r="H78" i="76"/>
  <c r="J590" i="76"/>
  <c r="H70" i="76"/>
  <c r="AS915" i="76"/>
  <c r="AP789" i="76"/>
  <c r="AT986" i="76"/>
  <c r="AR656" i="76"/>
  <c r="K929" i="76"/>
  <c r="AO428" i="76"/>
  <c r="AS86" i="76"/>
  <c r="AR519" i="76"/>
  <c r="AP176" i="76"/>
  <c r="AS697" i="76"/>
  <c r="AQ292" i="76"/>
  <c r="H950" i="76"/>
  <c r="AS280" i="76"/>
  <c r="L773" i="76"/>
  <c r="J432" i="76"/>
  <c r="H91" i="76"/>
  <c r="AR155" i="76"/>
  <c r="I711" i="76"/>
  <c r="M369" i="76"/>
  <c r="AO433" i="76"/>
  <c r="H850" i="76"/>
  <c r="L508" i="76"/>
  <c r="L312" i="76"/>
  <c r="AR692" i="76"/>
  <c r="AT289" i="76"/>
  <c r="M975" i="76"/>
  <c r="I778" i="76"/>
  <c r="K607" i="76"/>
  <c r="M436" i="76"/>
  <c r="I266" i="76"/>
  <c r="K95" i="76"/>
  <c r="AP186" i="76"/>
  <c r="K726" i="76"/>
  <c r="I385" i="76"/>
  <c r="J105" i="76"/>
  <c r="AO261" i="76"/>
  <c r="H764" i="76"/>
  <c r="L422" i="76"/>
  <c r="K130" i="76"/>
  <c r="AR336" i="76"/>
  <c r="K801" i="76"/>
  <c r="I460" i="76"/>
  <c r="L155" i="76"/>
  <c r="AS412" i="76"/>
  <c r="L839" i="76"/>
  <c r="J498" i="76"/>
  <c r="L180" i="76"/>
  <c r="AP823" i="76"/>
  <c r="AR407" i="76"/>
  <c r="M495" i="76"/>
  <c r="K802" i="76"/>
  <c r="M106" i="76"/>
  <c r="J558" i="76"/>
  <c r="AT253" i="76"/>
  <c r="K322" i="76"/>
  <c r="AP746" i="76"/>
  <c r="H832" i="76"/>
  <c r="H441" i="76"/>
  <c r="K124" i="76"/>
  <c r="M695" i="76"/>
  <c r="AT897" i="76"/>
  <c r="I464" i="76"/>
  <c r="L1051" i="76"/>
  <c r="I224" i="76"/>
  <c r="M762" i="76"/>
  <c r="H85" i="76"/>
  <c r="M554" i="76"/>
  <c r="L937" i="76"/>
  <c r="AQ1024" i="76"/>
  <c r="I119" i="76"/>
  <c r="K786" i="76"/>
  <c r="I859" i="76"/>
  <c r="AO761" i="76"/>
  <c r="AP832" i="76"/>
  <c r="AS904" i="76"/>
  <c r="AR995" i="76"/>
  <c r="AP100" i="76"/>
  <c r="AQ216" i="76"/>
  <c r="AS128" i="76"/>
  <c r="J356" i="76"/>
  <c r="M1012" i="76"/>
  <c r="M293" i="76"/>
  <c r="H774" i="76"/>
  <c r="H274" i="76"/>
  <c r="AR212" i="76"/>
  <c r="K739" i="76"/>
  <c r="I398" i="76"/>
  <c r="AP858" i="76"/>
  <c r="I649" i="76"/>
  <c r="AQ1008" i="76"/>
  <c r="L686" i="76"/>
  <c r="M79" i="76"/>
  <c r="I724" i="76"/>
  <c r="H104" i="76"/>
  <c r="J762" i="76"/>
  <c r="I129" i="76"/>
  <c r="AP98" i="76"/>
  <c r="H625" i="76"/>
  <c r="K381" i="76"/>
  <c r="K218" i="76"/>
  <c r="L746" i="76"/>
  <c r="L76" i="76"/>
  <c r="AR199" i="76"/>
  <c r="J830" i="76"/>
  <c r="I592" i="76"/>
  <c r="AP211" i="76"/>
  <c r="AR1023" i="76"/>
  <c r="AT412" i="76"/>
  <c r="AS803" i="76"/>
  <c r="AT874" i="76"/>
  <c r="AO990" i="76"/>
  <c r="AP1038" i="76"/>
  <c r="AR121" i="76"/>
  <c r="AS237" i="76"/>
  <c r="AQ171" i="76"/>
  <c r="L377" i="76"/>
  <c r="J1045" i="76"/>
  <c r="I315" i="76"/>
  <c r="J795" i="76"/>
  <c r="L284" i="76"/>
  <c r="AT233" i="76"/>
  <c r="I750" i="76"/>
  <c r="M408" i="76"/>
  <c r="AR943" i="76"/>
  <c r="K670" i="76"/>
  <c r="L71" i="76"/>
  <c r="H708" i="76"/>
  <c r="I93" i="76"/>
  <c r="K745" i="76"/>
  <c r="J118" i="76"/>
  <c r="L783" i="76"/>
  <c r="J143" i="76"/>
  <c r="AR183" i="76"/>
  <c r="K674" i="76"/>
  <c r="J430" i="76"/>
  <c r="L242" i="76"/>
  <c r="L770" i="76"/>
  <c r="H89" i="76"/>
  <c r="AP307" i="76"/>
  <c r="H884" i="76"/>
  <c r="H641" i="76"/>
  <c r="AS500" i="76"/>
  <c r="J286" i="76"/>
  <c r="K177" i="76"/>
  <c r="AO809" i="76"/>
  <c r="AP880" i="76"/>
  <c r="AS1000" i="76"/>
  <c r="AT1040" i="76"/>
  <c r="AT122" i="76"/>
  <c r="AO239" i="76"/>
  <c r="AO174" i="76"/>
  <c r="H379" i="76"/>
  <c r="M1047" i="76"/>
  <c r="K316" i="76"/>
  <c r="L796" i="76"/>
  <c r="H286" i="76"/>
  <c r="AR236" i="76"/>
  <c r="K751" i="76"/>
  <c r="I410" i="76"/>
  <c r="AP954" i="76"/>
  <c r="I673" i="76"/>
  <c r="H73" i="76"/>
  <c r="L710" i="76"/>
  <c r="M94" i="76"/>
  <c r="I748" i="76"/>
  <c r="H120" i="76"/>
  <c r="J786" i="76"/>
  <c r="I145" i="76"/>
  <c r="AP194" i="76"/>
  <c r="H680" i="76"/>
  <c r="J437" i="76"/>
  <c r="I248" i="76"/>
  <c r="I776" i="76"/>
  <c r="K92" i="76"/>
  <c r="AT349" i="76"/>
  <c r="L899" i="76"/>
  <c r="J653" i="76"/>
  <c r="AO611" i="76"/>
  <c r="I384" i="76"/>
  <c r="L211" i="76"/>
  <c r="AO889" i="76"/>
  <c r="AP960" i="76"/>
  <c r="M902" i="76"/>
  <c r="AS74" i="76"/>
  <c r="AP164" i="76"/>
  <c r="AQ280" i="76"/>
  <c r="AO997" i="76"/>
  <c r="AS655" i="76"/>
  <c r="AR870" i="76"/>
  <c r="AO976" i="76"/>
  <c r="AP1068" i="76"/>
  <c r="AT726" i="76"/>
  <c r="AP819" i="76"/>
  <c r="AP353" i="76"/>
  <c r="M1010" i="76"/>
  <c r="AQ1062" i="76"/>
  <c r="AO721" i="76"/>
  <c r="AT935" i="76"/>
  <c r="AQ1041" i="76"/>
  <c r="AO700" i="76"/>
  <c r="AP792" i="76"/>
  <c r="AT949" i="76"/>
  <c r="AR418" i="76"/>
  <c r="AP77" i="76"/>
  <c r="AS824" i="76"/>
  <c r="AS775" i="76"/>
  <c r="AR990" i="76"/>
  <c r="AP649" i="76"/>
  <c r="AS754" i="76"/>
  <c r="AT846" i="76"/>
  <c r="AP1059" i="76"/>
  <c r="AP473" i="76"/>
  <c r="AT131" i="76"/>
  <c r="AO934" i="76"/>
  <c r="AO833" i="76"/>
  <c r="AT1047" i="76"/>
  <c r="AR706" i="76"/>
  <c r="AO812" i="76"/>
  <c r="AP904" i="76"/>
  <c r="AT562" i="76"/>
  <c r="AT536" i="76"/>
  <c r="AP189" i="76"/>
  <c r="AS1048" i="76"/>
  <c r="AO713" i="76"/>
  <c r="AQ1033" i="76"/>
  <c r="AP784" i="76"/>
  <c r="AR410" i="76"/>
  <c r="AS808" i="76"/>
  <c r="AS326" i="76"/>
  <c r="AT944" i="76"/>
  <c r="AP416" i="76"/>
  <c r="AT74" i="76"/>
  <c r="AQ539" i="76"/>
  <c r="AO191" i="76"/>
  <c r="AQ951" i="76"/>
  <c r="AO78" i="76"/>
  <c r="J672" i="76"/>
  <c r="H331" i="76"/>
  <c r="AT700" i="76"/>
  <c r="H979" i="76"/>
  <c r="M609" i="76"/>
  <c r="K268" i="76"/>
  <c r="AQ230" i="76"/>
  <c r="L748" i="76"/>
  <c r="AQ970" i="76"/>
  <c r="AT843" i="76"/>
  <c r="AR1041" i="76"/>
  <c r="AT765" i="76"/>
  <c r="I984" i="76"/>
  <c r="AO456" i="76"/>
  <c r="AS114" i="76"/>
  <c r="AT556" i="76"/>
  <c r="AP204" i="76"/>
  <c r="AS753" i="76"/>
  <c r="AQ320" i="76"/>
  <c r="H978" i="76"/>
  <c r="AS336" i="76"/>
  <c r="J844" i="76"/>
  <c r="L673" i="76"/>
  <c r="H503" i="76"/>
  <c r="J332" i="76"/>
  <c r="L161" i="76"/>
  <c r="AP706" i="76"/>
  <c r="AT296" i="76"/>
  <c r="M980" i="76"/>
  <c r="M781" i="76"/>
  <c r="I611" i="76"/>
  <c r="K440" i="76"/>
  <c r="M269" i="76"/>
  <c r="AQ595" i="76"/>
  <c r="AO233" i="76"/>
  <c r="J938" i="76"/>
  <c r="H750" i="76"/>
  <c r="J579" i="76"/>
  <c r="AO973" i="76"/>
  <c r="AS631" i="76"/>
  <c r="AR846" i="76"/>
  <c r="AO952" i="76"/>
  <c r="AP1044" i="76"/>
  <c r="AT702" i="76"/>
  <c r="AP771" i="76"/>
  <c r="AP329" i="76"/>
  <c r="M986" i="76"/>
  <c r="AO686" i="76"/>
  <c r="AQ457" i="76"/>
  <c r="AS286" i="76"/>
  <c r="AO116" i="76"/>
  <c r="AT864" i="76"/>
  <c r="AS558" i="76"/>
  <c r="AP376" i="76"/>
  <c r="AR205" i="76"/>
  <c r="M1033" i="76"/>
  <c r="AQ756" i="76"/>
  <c r="AQ492" i="76"/>
  <c r="AS321" i="76"/>
  <c r="AO151" i="76"/>
  <c r="J979" i="76"/>
  <c r="AQ791" i="76"/>
  <c r="AQ339" i="76"/>
  <c r="H1009" i="76"/>
  <c r="H803" i="76"/>
  <c r="J632" i="76"/>
  <c r="L461" i="76"/>
  <c r="H291" i="76"/>
  <c r="J120" i="76"/>
  <c r="AP570" i="76"/>
  <c r="AP214" i="76"/>
  <c r="L925" i="76"/>
  <c r="K740" i="76"/>
  <c r="M569" i="76"/>
  <c r="I399" i="76"/>
  <c r="K228" i="76"/>
  <c r="AS491" i="76"/>
  <c r="AQ150" i="76"/>
  <c r="I883" i="76"/>
  <c r="L708" i="76"/>
  <c r="H538" i="76"/>
  <c r="AS895" i="76"/>
  <c r="AQ554" i="76"/>
  <c r="AP769" i="76"/>
  <c r="AS874" i="76"/>
  <c r="AT966" i="76"/>
  <c r="AR625" i="76"/>
  <c r="AR620" i="76"/>
  <c r="AT251" i="76"/>
  <c r="K909" i="76"/>
  <c r="AQ615" i="76"/>
  <c r="AS418" i="76"/>
  <c r="AO248" i="76"/>
  <c r="AQ77" i="76"/>
  <c r="AR787" i="76"/>
  <c r="AP508" i="76"/>
  <c r="AR337" i="76"/>
  <c r="AT166" i="76"/>
  <c r="AQ1020" i="76"/>
  <c r="AO679" i="76"/>
  <c r="AS453" i="76"/>
  <c r="AO283" i="76"/>
  <c r="AQ112" i="76"/>
  <c r="L940" i="76"/>
  <c r="AS636" i="76"/>
  <c r="AO262" i="76"/>
  <c r="J957" i="76"/>
  <c r="J764" i="76"/>
  <c r="L593" i="76"/>
  <c r="H423" i="76"/>
  <c r="J252" i="76"/>
  <c r="AT1068" i="76"/>
  <c r="AP478" i="76"/>
  <c r="AT136" i="76"/>
  <c r="L874" i="76"/>
  <c r="M701" i="76"/>
  <c r="I531" i="76"/>
  <c r="K360" i="76"/>
  <c r="AS941" i="76"/>
  <c r="AQ414" i="76"/>
  <c r="AO73" i="76"/>
  <c r="L840" i="76"/>
  <c r="H670" i="76"/>
  <c r="J499" i="76"/>
  <c r="AO557" i="76"/>
  <c r="AQ877" i="76"/>
  <c r="AP628" i="76"/>
  <c r="AR254" i="76"/>
  <c r="AP617" i="76"/>
  <c r="AQ249" i="76"/>
  <c r="AP790" i="76"/>
  <c r="AT338" i="76"/>
  <c r="AO1023" i="76"/>
  <c r="AO455" i="76"/>
  <c r="AS113" i="76"/>
  <c r="AO642" i="76"/>
  <c r="I959" i="76"/>
  <c r="H595" i="76"/>
  <c r="L253" i="76"/>
  <c r="AT480" i="76"/>
  <c r="J876" i="76"/>
  <c r="K532" i="76"/>
  <c r="AO947" i="76"/>
  <c r="AS75" i="76"/>
  <c r="J671" i="76"/>
  <c r="H394" i="76"/>
  <c r="AT1017" i="76"/>
  <c r="AR452" i="76"/>
  <c r="AP111" i="76"/>
  <c r="M859" i="76"/>
  <c r="M688" i="76"/>
  <c r="I518" i="76"/>
  <c r="K347" i="76"/>
  <c r="M176" i="76"/>
  <c r="AS511" i="76"/>
  <c r="J896" i="76"/>
  <c r="M547" i="76"/>
  <c r="M213" i="76"/>
  <c r="AQ611" i="76"/>
  <c r="J946" i="76"/>
  <c r="J585" i="76"/>
  <c r="H244" i="76"/>
  <c r="AT753" i="76"/>
  <c r="J996" i="76"/>
  <c r="M622" i="76"/>
  <c r="K281" i="76"/>
  <c r="AO906" i="76"/>
  <c r="J1054" i="76"/>
  <c r="H661" i="76"/>
  <c r="L319" i="76"/>
  <c r="AO1035" i="76"/>
  <c r="AR518" i="76"/>
  <c r="I821" i="76"/>
  <c r="AS487" i="76"/>
  <c r="H393" i="76"/>
  <c r="L951" i="76"/>
  <c r="L182" i="76"/>
  <c r="K693" i="76"/>
  <c r="AQ686" i="76"/>
  <c r="AS1006" i="76"/>
  <c r="AR757" i="76"/>
  <c r="AT383" i="76"/>
  <c r="AQ755" i="76"/>
  <c r="AS314" i="76"/>
  <c r="AT920" i="76"/>
  <c r="AP404" i="76"/>
  <c r="M1061" i="76"/>
  <c r="AQ523" i="76"/>
  <c r="AO179" i="76"/>
  <c r="AQ903" i="76"/>
  <c r="H1053" i="76"/>
  <c r="J660" i="76"/>
  <c r="H319" i="76"/>
  <c r="AT652" i="76"/>
  <c r="H963" i="76"/>
  <c r="M597" i="76"/>
  <c r="K256" i="76"/>
  <c r="AQ206" i="76"/>
  <c r="L736" i="76"/>
  <c r="J427" i="76"/>
  <c r="L256" i="76"/>
  <c r="AT521" i="76"/>
  <c r="AT177" i="76"/>
  <c r="I901" i="76"/>
  <c r="I722" i="76"/>
  <c r="K551" i="76"/>
  <c r="M380" i="76"/>
  <c r="I210" i="76"/>
  <c r="AR719" i="76"/>
  <c r="I985" i="76"/>
  <c r="K614" i="76"/>
  <c r="I273" i="76"/>
  <c r="AS869" i="76"/>
  <c r="J1038" i="76"/>
  <c r="H652" i="76"/>
  <c r="L310" i="76"/>
  <c r="AR1020" i="76"/>
  <c r="AR112" i="76"/>
  <c r="K689" i="76"/>
  <c r="I348" i="76"/>
  <c r="J81" i="76"/>
  <c r="AS188" i="76"/>
  <c r="L727" i="76"/>
  <c r="J386" i="76"/>
  <c r="H106" i="76"/>
  <c r="AS996" i="76"/>
  <c r="K983" i="76"/>
  <c r="M271" i="76"/>
  <c r="K546" i="76"/>
  <c r="AR216" i="76"/>
  <c r="J302" i="76"/>
  <c r="K845" i="76"/>
  <c r="AS867" i="76"/>
  <c r="AP741" i="76"/>
  <c r="AT938" i="76"/>
  <c r="AP583" i="76"/>
  <c r="K881" i="76"/>
  <c r="AQ405" i="76"/>
  <c r="H1063" i="76"/>
  <c r="AT494" i="76"/>
  <c r="AR153" i="76"/>
  <c r="AQ652" i="76"/>
  <c r="AS269" i="76"/>
  <c r="J927" i="76"/>
  <c r="AQ235" i="76"/>
  <c r="H751" i="76"/>
  <c r="L409" i="76"/>
  <c r="AR1015" i="76"/>
  <c r="AP110" i="76"/>
  <c r="K688" i="76"/>
  <c r="I347" i="76"/>
  <c r="AS387" i="76"/>
  <c r="J827" i="76"/>
  <c r="H486" i="76"/>
  <c r="L300" i="76"/>
  <c r="AR644" i="76"/>
  <c r="AT265" i="76"/>
  <c r="M959" i="76"/>
  <c r="I766" i="76"/>
  <c r="K595" i="76"/>
  <c r="M424" i="76"/>
  <c r="I254" i="76"/>
  <c r="K83" i="76"/>
  <c r="AP138" i="76"/>
  <c r="K702" i="76"/>
  <c r="I361" i="76"/>
  <c r="J89" i="76"/>
  <c r="AO213" i="76"/>
  <c r="H740" i="76"/>
  <c r="L398" i="76"/>
  <c r="K114" i="76"/>
  <c r="AR288" i="76"/>
  <c r="K777" i="76"/>
  <c r="I436" i="76"/>
  <c r="L139" i="76"/>
  <c r="AS364" i="76"/>
  <c r="L815" i="76"/>
  <c r="J474" i="76"/>
  <c r="M178" i="76"/>
  <c r="AS311" i="76"/>
  <c r="AS452" i="76"/>
  <c r="H877" i="76"/>
  <c r="K362" i="76"/>
  <c r="L795" i="76"/>
  <c r="I160" i="76"/>
  <c r="I902" i="76"/>
  <c r="J218" i="76"/>
  <c r="M976" i="76"/>
  <c r="L315" i="76"/>
  <c r="AR1050" i="76"/>
  <c r="AO1028" i="76"/>
  <c r="AP864" i="76"/>
  <c r="AP923" i="76"/>
  <c r="AP405" i="76"/>
  <c r="M1062" i="76"/>
  <c r="AO798" i="76"/>
  <c r="AO496" i="76"/>
  <c r="AQ325" i="76"/>
  <c r="AS154" i="76"/>
  <c r="AP942" i="76"/>
  <c r="AP610" i="76"/>
  <c r="AT414" i="76"/>
  <c r="AP244" i="76"/>
  <c r="AR73" i="76"/>
  <c r="AS833" i="76"/>
  <c r="AS537" i="76"/>
  <c r="AQ360" i="76"/>
  <c r="AS189" i="76"/>
  <c r="H1018" i="76"/>
  <c r="AO946" i="76"/>
  <c r="AS416" i="76"/>
  <c r="AQ75" i="76"/>
  <c r="L841" i="76"/>
  <c r="H671" i="76"/>
  <c r="J500" i="76"/>
  <c r="L329" i="76"/>
  <c r="H159" i="76"/>
  <c r="AR695" i="76"/>
  <c r="AR291" i="76"/>
  <c r="I977" i="76"/>
  <c r="I779" i="76"/>
  <c r="K608" i="76"/>
  <c r="M437" i="76"/>
  <c r="I267" i="76"/>
  <c r="AQ588" i="76"/>
  <c r="AS227" i="76"/>
  <c r="L934" i="76"/>
  <c r="J747" i="76"/>
  <c r="L576" i="76"/>
  <c r="L432" i="76"/>
  <c r="J347" i="76"/>
  <c r="H262" i="76"/>
  <c r="AP831" i="76"/>
  <c r="AO536" i="76"/>
  <c r="AP359" i="76"/>
  <c r="AR188" i="76"/>
  <c r="K1022" i="76"/>
  <c r="J908" i="76"/>
  <c r="M812" i="76"/>
  <c r="K727" i="76"/>
  <c r="I642" i="76"/>
  <c r="M556" i="76"/>
  <c r="K471" i="76"/>
  <c r="I386" i="76"/>
  <c r="M300" i="76"/>
  <c r="K215" i="76"/>
  <c r="I130" i="76"/>
  <c r="AP762" i="76"/>
  <c r="AT324" i="76"/>
  <c r="K999" i="76"/>
  <c r="M795" i="76"/>
  <c r="I625" i="76"/>
  <c r="K454" i="76"/>
  <c r="M283" i="76"/>
  <c r="L151" i="76"/>
  <c r="AQ912" i="76"/>
  <c r="AS399" i="76"/>
  <c r="J1057" i="76"/>
  <c r="J833" i="76"/>
  <c r="L662" i="76"/>
  <c r="H492" i="76"/>
  <c r="J321" i="76"/>
  <c r="L176" i="76"/>
  <c r="AP1063" i="76"/>
  <c r="AP475" i="76"/>
  <c r="AT133" i="76"/>
  <c r="M872" i="76"/>
  <c r="I700" i="76"/>
  <c r="K529" i="76"/>
  <c r="M358" i="76"/>
  <c r="M201" i="76"/>
  <c r="H88" i="76"/>
  <c r="AS564" i="76"/>
  <c r="AO210" i="76"/>
  <c r="L922" i="76"/>
  <c r="J738" i="76"/>
  <c r="L567" i="76"/>
  <c r="H397" i="76"/>
  <c r="H228" i="76"/>
  <c r="I113" i="76"/>
  <c r="AO429" i="76"/>
  <c r="AP291" i="76"/>
  <c r="AR799" i="76"/>
  <c r="M1011" i="76"/>
  <c r="K634" i="76"/>
  <c r="I293" i="76"/>
  <c r="H991" i="76"/>
  <c r="L570" i="76"/>
  <c r="J199" i="76"/>
  <c r="AR264" i="76"/>
  <c r="J717" i="76"/>
  <c r="M327" i="76"/>
  <c r="AQ1007" i="76"/>
  <c r="J872" i="76"/>
  <c r="I480" i="76"/>
  <c r="AO937" i="76"/>
  <c r="AR810" i="76"/>
  <c r="AP1008" i="76"/>
  <c r="AP699" i="76"/>
  <c r="M950" i="76"/>
  <c r="AS438" i="76"/>
  <c r="AQ97" i="76"/>
  <c r="AT533" i="76"/>
  <c r="AT186" i="76"/>
  <c r="AO719" i="76"/>
  <c r="AO303" i="76"/>
  <c r="L960" i="76"/>
  <c r="AO302" i="76"/>
  <c r="J784" i="76"/>
  <c r="H443" i="76"/>
  <c r="L101" i="76"/>
  <c r="AT176" i="76"/>
  <c r="M721" i="76"/>
  <c r="K380" i="76"/>
  <c r="AQ454" i="76"/>
  <c r="I861" i="76"/>
  <c r="J519" i="76"/>
  <c r="H318" i="76"/>
  <c r="AT713" i="76"/>
  <c r="AR300" i="76"/>
  <c r="H983" i="76"/>
  <c r="K783" i="76"/>
  <c r="M612" i="76"/>
  <c r="I442" i="76"/>
  <c r="K271" i="76"/>
  <c r="M100" i="76"/>
  <c r="AR207" i="76"/>
  <c r="I737" i="76"/>
  <c r="M395" i="76"/>
  <c r="K112" i="76"/>
  <c r="AQ282" i="76"/>
  <c r="L774" i="76"/>
  <c r="J433" i="76"/>
  <c r="K137" i="76"/>
  <c r="AT357" i="76"/>
  <c r="I812" i="76"/>
  <c r="M470" i="76"/>
  <c r="L162" i="76"/>
  <c r="AO434" i="76"/>
  <c r="J850" i="76"/>
  <c r="H509" i="76"/>
  <c r="M187" i="76"/>
  <c r="AR908" i="76"/>
  <c r="AP450" i="76"/>
  <c r="I517" i="76"/>
  <c r="L826" i="76"/>
  <c r="I121" i="76"/>
  <c r="M583" i="76"/>
  <c r="AQ319" i="76"/>
  <c r="L346" i="76"/>
  <c r="AP874" i="76"/>
  <c r="K850" i="76"/>
  <c r="L459" i="76"/>
  <c r="I135" i="76"/>
  <c r="L731" i="76"/>
  <c r="I70" i="76"/>
  <c r="J501" i="76"/>
  <c r="AT125" i="76"/>
  <c r="K258" i="76"/>
  <c r="H800" i="76"/>
  <c r="J106" i="76"/>
  <c r="H848" i="76"/>
  <c r="AO683" i="76"/>
  <c r="J101" i="76"/>
  <c r="M161" i="76"/>
  <c r="I1019" i="76"/>
  <c r="M191" i="76"/>
  <c r="AQ958" i="76"/>
  <c r="AT831" i="76"/>
  <c r="AR1029" i="76"/>
  <c r="AT741" i="76"/>
  <c r="I972" i="76"/>
  <c r="AQ449" i="76"/>
  <c r="AO108" i="76"/>
  <c r="AO548" i="76"/>
  <c r="AR197" i="76"/>
  <c r="AQ740" i="76"/>
  <c r="AS313" i="76"/>
  <c r="J971" i="76"/>
  <c r="AQ323" i="76"/>
  <c r="H795" i="76"/>
  <c r="L453" i="76"/>
  <c r="J112" i="76"/>
  <c r="AP198" i="76"/>
  <c r="K732" i="76"/>
  <c r="I391" i="76"/>
  <c r="AS475" i="76"/>
  <c r="J873" i="76"/>
  <c r="H530" i="76"/>
  <c r="J323" i="76"/>
  <c r="AP735" i="76"/>
  <c r="AP311" i="76"/>
  <c r="I990" i="76"/>
  <c r="M788" i="76"/>
  <c r="I618" i="76"/>
  <c r="K447" i="76"/>
  <c r="M276" i="76"/>
  <c r="I106" i="76"/>
  <c r="AT228" i="76"/>
  <c r="M747" i="76"/>
  <c r="K406" i="76"/>
  <c r="L119" i="76"/>
  <c r="AS303" i="76"/>
  <c r="J785" i="76"/>
  <c r="H444" i="76"/>
  <c r="L144" i="76"/>
  <c r="AP379" i="76"/>
  <c r="M822" i="76"/>
  <c r="K481" i="76"/>
  <c r="M169" i="76"/>
  <c r="AQ455" i="76"/>
  <c r="L861" i="76"/>
  <c r="L519" i="76"/>
  <c r="M194" i="76"/>
  <c r="AT993" i="76"/>
  <c r="AT492" i="76"/>
  <c r="K538" i="76"/>
  <c r="L850" i="76"/>
  <c r="J135" i="76"/>
  <c r="H608" i="76"/>
  <c r="AS404" i="76"/>
  <c r="L370" i="76"/>
  <c r="AT916" i="76"/>
  <c r="H856" i="76"/>
  <c r="K466" i="76"/>
  <c r="L138" i="76"/>
  <c r="H744" i="76"/>
  <c r="K75" i="76"/>
  <c r="H513" i="76"/>
  <c r="AS151" i="76"/>
  <c r="K269" i="76"/>
  <c r="L811" i="76"/>
  <c r="J113" i="76"/>
  <c r="L970" i="76"/>
  <c r="M73" i="76"/>
  <c r="L115" i="76"/>
  <c r="H176" i="76"/>
  <c r="AQ146" i="76"/>
  <c r="L291" i="76"/>
  <c r="AS1047" i="76"/>
  <c r="AP921" i="76"/>
  <c r="AQ685" i="76"/>
  <c r="AR920" i="76"/>
  <c r="K1061" i="76"/>
  <c r="AS494" i="76"/>
  <c r="AQ153" i="76"/>
  <c r="AR608" i="76"/>
  <c r="AT242" i="76"/>
  <c r="AO831" i="76"/>
  <c r="AO359" i="76"/>
  <c r="L1016" i="76"/>
  <c r="AO414" i="76"/>
  <c r="J840" i="76"/>
  <c r="H499" i="76"/>
  <c r="L157" i="76"/>
  <c r="AT288" i="76"/>
  <c r="M777" i="76"/>
  <c r="K436" i="76"/>
  <c r="AS584" i="76"/>
  <c r="H933" i="76"/>
  <c r="J575" i="76"/>
  <c r="H346" i="76"/>
  <c r="AT825" i="76"/>
  <c r="AR356" i="76"/>
  <c r="J1020" i="76"/>
  <c r="K811" i="76"/>
  <c r="M640" i="76"/>
  <c r="I470" i="76"/>
  <c r="K299" i="76"/>
  <c r="M128" i="76"/>
  <c r="AR319" i="76"/>
  <c r="I793" i="76"/>
  <c r="M451" i="76"/>
  <c r="M149" i="76"/>
  <c r="AO309" i="76"/>
  <c r="H788" i="76"/>
  <c r="L446" i="76"/>
  <c r="K146" i="76"/>
  <c r="AR384" i="76"/>
  <c r="K825" i="76"/>
  <c r="I484" i="76"/>
  <c r="L171" i="76"/>
  <c r="AS460" i="76"/>
  <c r="L864" i="76"/>
  <c r="J522" i="76"/>
  <c r="L196" i="76"/>
  <c r="AP1015" i="76"/>
  <c r="AR503" i="76"/>
  <c r="M543" i="76"/>
  <c r="I856" i="76"/>
  <c r="M138" i="76"/>
  <c r="K613" i="76"/>
  <c r="AO426" i="76"/>
  <c r="I376" i="76"/>
  <c r="AR959" i="76"/>
  <c r="I862" i="76"/>
  <c r="H472" i="76"/>
  <c r="J142" i="76"/>
  <c r="L755" i="76"/>
  <c r="M80" i="76"/>
  <c r="J525" i="76"/>
  <c r="AQ175" i="76"/>
  <c r="L282" i="76"/>
  <c r="H824" i="76"/>
  <c r="K120" i="76"/>
  <c r="AS135" i="76"/>
  <c r="I85" i="76"/>
  <c r="M129" i="76"/>
  <c r="J190" i="76"/>
  <c r="AQ287" i="76"/>
  <c r="L419" i="76"/>
  <c r="AO1001" i="76"/>
  <c r="AR874" i="76"/>
  <c r="AS638" i="76"/>
  <c r="AP827" i="76"/>
  <c r="M1014" i="76"/>
  <c r="AS470" i="76"/>
  <c r="AQ129" i="76"/>
  <c r="AR576" i="76"/>
  <c r="AT218" i="76"/>
  <c r="AO783" i="76"/>
  <c r="AO335" i="76"/>
  <c r="L992" i="76"/>
  <c r="AO366" i="76"/>
  <c r="J816" i="76"/>
  <c r="H475" i="76"/>
  <c r="L133" i="76"/>
  <c r="AT240" i="76"/>
  <c r="M753" i="76"/>
  <c r="K412" i="76"/>
  <c r="AS520" i="76"/>
  <c r="H901" i="76"/>
  <c r="J551" i="76"/>
  <c r="H334" i="76"/>
  <c r="AT777" i="76"/>
  <c r="AR332" i="76"/>
  <c r="J1004" i="76"/>
  <c r="K799" i="76"/>
  <c r="M628" i="76"/>
  <c r="I458" i="76"/>
  <c r="K287" i="76"/>
  <c r="M116" i="76"/>
  <c r="AR271" i="76"/>
  <c r="I769" i="76"/>
  <c r="M427" i="76"/>
  <c r="M133" i="76"/>
  <c r="AQ346" i="76"/>
  <c r="L806" i="76"/>
  <c r="J465" i="76"/>
  <c r="M158" i="76"/>
  <c r="AT421" i="76"/>
  <c r="I844" i="76"/>
  <c r="M502" i="76"/>
  <c r="H184" i="76"/>
  <c r="AO498" i="76"/>
  <c r="I887" i="76"/>
  <c r="H541" i="76"/>
  <c r="I209" i="76"/>
  <c r="AQ322" i="76"/>
  <c r="AR600" i="76"/>
  <c r="I581" i="76"/>
  <c r="I909" i="76"/>
  <c r="M163" i="76"/>
  <c r="I656" i="76"/>
  <c r="AS596" i="76"/>
  <c r="M418" i="76"/>
  <c r="AR69" i="76"/>
  <c r="J884" i="76"/>
  <c r="L490" i="76"/>
  <c r="H153" i="76"/>
  <c r="I792" i="76"/>
  <c r="K101" i="76"/>
  <c r="K562" i="76"/>
  <c r="AR248" i="76"/>
  <c r="J318" i="76"/>
  <c r="M861" i="76"/>
  <c r="M141" i="76"/>
  <c r="M72" i="76"/>
  <c r="M127" i="76"/>
  <c r="K172" i="76"/>
  <c r="J237" i="76"/>
  <c r="J94" i="76"/>
  <c r="L810" i="76"/>
  <c r="AS931" i="76"/>
  <c r="AT1002" i="76"/>
  <c r="K945" i="76"/>
  <c r="AO96" i="76"/>
  <c r="AR185" i="76"/>
  <c r="AS301" i="76"/>
  <c r="AQ299" i="76"/>
  <c r="L441" i="76"/>
  <c r="AP174" i="76"/>
  <c r="I379" i="76"/>
  <c r="L859" i="76"/>
  <c r="L316" i="76"/>
  <c r="AT297" i="76"/>
  <c r="I782" i="76"/>
  <c r="M440" i="76"/>
  <c r="K99" i="76"/>
  <c r="K734" i="76"/>
  <c r="L110" i="76"/>
  <c r="H772" i="76"/>
  <c r="M135" i="76"/>
  <c r="K809" i="76"/>
  <c r="H161" i="76"/>
  <c r="L847" i="76"/>
  <c r="H186" i="76"/>
  <c r="AR439" i="76"/>
  <c r="L819" i="76"/>
  <c r="H577" i="76"/>
  <c r="L339" i="76"/>
  <c r="L843" i="76"/>
  <c r="L131" i="76"/>
  <c r="AR1068" i="76"/>
  <c r="AR103" i="76"/>
  <c r="M786" i="76"/>
  <c r="K749" i="76"/>
  <c r="I87" i="76"/>
  <c r="H941" i="76"/>
  <c r="AQ974" i="76"/>
  <c r="AR1045" i="76"/>
  <c r="I988" i="76"/>
  <c r="AQ117" i="76"/>
  <c r="AT206" i="76"/>
  <c r="AO323" i="76"/>
  <c r="AO342" i="76"/>
  <c r="H463" i="76"/>
  <c r="AT216" i="76"/>
  <c r="K400" i="76"/>
  <c r="H885" i="76"/>
  <c r="J327" i="76"/>
  <c r="AP319" i="76"/>
  <c r="M792" i="76"/>
  <c r="K451" i="76"/>
  <c r="I110" i="76"/>
  <c r="M755" i="76"/>
  <c r="H125" i="76"/>
  <c r="J793" i="76"/>
  <c r="H150" i="76"/>
  <c r="M830" i="76"/>
  <c r="I175" i="76"/>
  <c r="L870" i="76"/>
  <c r="I200" i="76"/>
  <c r="AQ529" i="76"/>
  <c r="I871" i="76"/>
  <c r="K626" i="76"/>
  <c r="J389" i="76"/>
  <c r="I869" i="76"/>
  <c r="M145" i="76"/>
  <c r="J87" i="76"/>
  <c r="AS199" i="76"/>
  <c r="L835" i="76"/>
  <c r="AO285" i="76"/>
  <c r="H144" i="76"/>
  <c r="AP498" i="76"/>
  <c r="AS979" i="76"/>
  <c r="AT1050" i="76"/>
  <c r="K993" i="76"/>
  <c r="AS118" i="76"/>
  <c r="AP208" i="76"/>
  <c r="AQ324" i="76"/>
  <c r="AS344" i="76"/>
  <c r="J464" i="76"/>
  <c r="AR219" i="76"/>
  <c r="M401" i="76"/>
  <c r="L886" i="76"/>
  <c r="L328" i="76"/>
  <c r="AT321" i="76"/>
  <c r="I794" i="76"/>
  <c r="M452" i="76"/>
  <c r="K111" i="76"/>
  <c r="K758" i="76"/>
  <c r="L126" i="76"/>
  <c r="H796" i="76"/>
  <c r="M151" i="76"/>
  <c r="K833" i="76"/>
  <c r="H177" i="76"/>
  <c r="M873" i="76"/>
  <c r="H202" i="76"/>
  <c r="AR543" i="76"/>
  <c r="J877" i="76"/>
  <c r="H632" i="76"/>
  <c r="M394" i="76"/>
  <c r="I877" i="76"/>
  <c r="J149" i="76"/>
  <c r="K94" i="76"/>
  <c r="AQ223" i="76"/>
  <c r="I848" i="76"/>
  <c r="AS853" i="76"/>
  <c r="J158" i="76"/>
  <c r="AR895" i="76"/>
  <c r="AS1059" i="76"/>
  <c r="AQ697" i="76"/>
  <c r="AR74" i="76"/>
  <c r="AO160" i="76"/>
  <c r="AR249" i="76"/>
  <c r="AS365" i="76"/>
  <c r="AQ427" i="76"/>
  <c r="AS1007" i="76"/>
  <c r="AQ666" i="76"/>
  <c r="AP881" i="76"/>
  <c r="AS986" i="76"/>
  <c r="AQ645" i="76"/>
  <c r="AR737" i="76"/>
  <c r="AR840" i="76"/>
  <c r="AT363" i="76"/>
  <c r="K1021" i="76"/>
  <c r="AS69" i="76"/>
  <c r="AS731" i="76"/>
  <c r="AR946" i="76"/>
  <c r="AO1052" i="76"/>
  <c r="AS710" i="76"/>
  <c r="AT802" i="76"/>
  <c r="AP971" i="76"/>
  <c r="AP429" i="76"/>
  <c r="AT87" i="76"/>
  <c r="AO846" i="76"/>
  <c r="AQ786" i="76"/>
  <c r="AP1001" i="76"/>
  <c r="AT659" i="76"/>
  <c r="AQ765" i="76"/>
  <c r="AR857" i="76"/>
  <c r="AP516" i="76"/>
  <c r="AT483" i="76"/>
  <c r="AR142" i="76"/>
  <c r="AQ955" i="76"/>
  <c r="AS843" i="76"/>
  <c r="AR1058" i="76"/>
  <c r="AP717" i="76"/>
  <c r="AS822" i="76"/>
  <c r="AT914" i="76"/>
  <c r="AR573" i="76"/>
  <c r="AP551" i="76"/>
  <c r="AT199" i="76"/>
  <c r="K857" i="76"/>
  <c r="AQ734" i="76"/>
  <c r="AS1054" i="76"/>
  <c r="AR805" i="76"/>
  <c r="AT431" i="76"/>
  <c r="AQ851" i="76"/>
  <c r="AQ337" i="76"/>
  <c r="AP966" i="76"/>
  <c r="AT426" i="76"/>
  <c r="AR85" i="76"/>
  <c r="AS553" i="76"/>
  <c r="AS201" i="76"/>
  <c r="AO994" i="76"/>
  <c r="AQ99" i="76"/>
  <c r="H683" i="76"/>
  <c r="L341" i="76"/>
  <c r="AR743" i="76"/>
  <c r="I993" i="76"/>
  <c r="K620" i="76"/>
  <c r="I279" i="76"/>
  <c r="AS251" i="76"/>
  <c r="J759" i="76"/>
  <c r="AS991" i="76"/>
  <c r="AP865" i="76"/>
  <c r="AT1062" i="76"/>
  <c r="AR808" i="76"/>
  <c r="K1005" i="76"/>
  <c r="AS466" i="76"/>
  <c r="AQ125" i="76"/>
  <c r="AP571" i="76"/>
  <c r="AT214" i="76"/>
  <c r="AO775" i="76"/>
  <c r="AO331" i="76"/>
  <c r="L988" i="76"/>
  <c r="AO358" i="76"/>
  <c r="H855" i="76"/>
  <c r="J684" i="76"/>
  <c r="L513" i="76"/>
  <c r="H343" i="76"/>
  <c r="J172" i="76"/>
  <c r="AT748" i="76"/>
  <c r="AP318" i="76"/>
  <c r="H995" i="76"/>
  <c r="K792" i="76"/>
  <c r="M621" i="76"/>
  <c r="I451" i="76"/>
  <c r="K280" i="76"/>
  <c r="AQ624" i="76"/>
  <c r="AQ254" i="76"/>
  <c r="K952" i="76"/>
  <c r="L760" i="76"/>
  <c r="H590" i="76"/>
  <c r="AQ994" i="76"/>
  <c r="AO653" i="76"/>
  <c r="AT867" i="76"/>
  <c r="AQ973" i="76"/>
  <c r="AR1065" i="76"/>
  <c r="AP724" i="76"/>
  <c r="AT813" i="76"/>
  <c r="AR350" i="76"/>
  <c r="I1008" i="76"/>
  <c r="AQ707" i="76"/>
  <c r="AO468" i="76"/>
  <c r="AQ297" i="76"/>
  <c r="AS126" i="76"/>
  <c r="AP886" i="76"/>
  <c r="AT572" i="76"/>
  <c r="AT386" i="76"/>
  <c r="AP216" i="76"/>
  <c r="K1044" i="76"/>
  <c r="AS777" i="76"/>
  <c r="AO503" i="76"/>
  <c r="AQ332" i="76"/>
  <c r="AS161" i="76"/>
  <c r="H990" i="76"/>
  <c r="AO834" i="76"/>
  <c r="AS360" i="76"/>
  <c r="M1023" i="76"/>
  <c r="L813" i="76"/>
  <c r="H643" i="76"/>
  <c r="J472" i="76"/>
  <c r="L301" i="76"/>
  <c r="H131" i="76"/>
  <c r="AS598" i="76"/>
  <c r="AR235" i="76"/>
  <c r="M939" i="76"/>
  <c r="I751" i="76"/>
  <c r="K580" i="76"/>
  <c r="M409" i="76"/>
  <c r="I239" i="76"/>
  <c r="AS513" i="76"/>
  <c r="AS171" i="76"/>
  <c r="J897" i="76"/>
  <c r="J719" i="76"/>
  <c r="L548" i="76"/>
  <c r="AO917" i="76"/>
  <c r="AS575" i="76"/>
  <c r="AR790" i="76"/>
  <c r="AO896" i="76"/>
  <c r="AP988" i="76"/>
  <c r="AT646" i="76"/>
  <c r="AP659" i="76"/>
  <c r="AP273" i="76"/>
  <c r="M930" i="76"/>
  <c r="AP631" i="76"/>
  <c r="AQ429" i="76"/>
  <c r="AS258" i="76"/>
  <c r="AO88" i="76"/>
  <c r="AT808" i="76"/>
  <c r="AQ521" i="76"/>
  <c r="AP348" i="76"/>
  <c r="AR177" i="76"/>
  <c r="AS1041" i="76"/>
  <c r="AQ700" i="76"/>
  <c r="AQ464" i="76"/>
  <c r="AS293" i="76"/>
  <c r="AO123" i="76"/>
  <c r="J951" i="76"/>
  <c r="AQ679" i="76"/>
  <c r="AQ283" i="76"/>
  <c r="L971" i="76"/>
  <c r="H775" i="76"/>
  <c r="J604" i="76"/>
  <c r="L433" i="76"/>
  <c r="H263" i="76"/>
  <c r="J92" i="76"/>
  <c r="AR499" i="76"/>
  <c r="AP158" i="76"/>
  <c r="J888" i="76"/>
  <c r="K712" i="76"/>
  <c r="M541" i="76"/>
  <c r="I371" i="76"/>
  <c r="AQ984" i="76"/>
  <c r="AS435" i="76"/>
  <c r="AQ94" i="76"/>
  <c r="J851" i="76"/>
  <c r="L680" i="76"/>
  <c r="H510" i="76"/>
  <c r="AS599" i="76"/>
  <c r="AO920" i="76"/>
  <c r="AT670" i="76"/>
  <c r="AP297" i="76"/>
  <c r="AO654" i="76"/>
  <c r="AS270" i="76"/>
  <c r="AT832" i="76"/>
  <c r="AP360" i="76"/>
  <c r="AS1065" i="76"/>
  <c r="AQ476" i="76"/>
  <c r="AO135" i="76"/>
  <c r="AQ727" i="76"/>
  <c r="L987" i="76"/>
  <c r="J616" i="76"/>
  <c r="H275" i="76"/>
  <c r="AR527" i="76"/>
  <c r="J904" i="76"/>
  <c r="M553" i="76"/>
  <c r="AQ1032" i="76"/>
  <c r="AQ118" i="76"/>
  <c r="L692" i="76"/>
  <c r="L404" i="76"/>
  <c r="AR1060" i="76"/>
  <c r="AT473" i="76"/>
  <c r="AR132" i="76"/>
  <c r="H872" i="76"/>
  <c r="K699" i="76"/>
  <c r="M528" i="76"/>
  <c r="I358" i="76"/>
  <c r="K187" i="76"/>
  <c r="AR568" i="76"/>
  <c r="M924" i="76"/>
  <c r="I569" i="76"/>
  <c r="J229" i="76"/>
  <c r="AQ688" i="76"/>
  <c r="L974" i="76"/>
  <c r="L606" i="76"/>
  <c r="J265" i="76"/>
  <c r="AP839" i="76"/>
  <c r="L1025" i="76"/>
  <c r="I644" i="76"/>
  <c r="M302" i="76"/>
  <c r="AQ991" i="76"/>
  <c r="AO98" i="76"/>
  <c r="J682" i="76"/>
  <c r="H341" i="76"/>
  <c r="K77" i="76"/>
  <c r="AP634" i="76"/>
  <c r="M864" i="76"/>
  <c r="AO747" i="76"/>
  <c r="L442" i="76"/>
  <c r="M1015" i="76"/>
  <c r="I211" i="76"/>
  <c r="J742" i="76"/>
  <c r="AO729" i="76"/>
  <c r="AQ1049" i="76"/>
  <c r="AP800" i="76"/>
  <c r="AR426" i="76"/>
  <c r="AS840" i="76"/>
  <c r="AO336" i="76"/>
  <c r="AR963" i="76"/>
  <c r="AR425" i="76"/>
  <c r="AP84" i="76"/>
  <c r="AT551" i="76"/>
  <c r="AQ200" i="76"/>
  <c r="AS988" i="76"/>
  <c r="AS96" i="76"/>
  <c r="L681" i="76"/>
  <c r="J340" i="76"/>
  <c r="AP738" i="76"/>
  <c r="K991" i="76"/>
  <c r="I619" i="76"/>
  <c r="M277" i="76"/>
  <c r="AO249" i="76"/>
  <c r="H758" i="76"/>
  <c r="H438" i="76"/>
  <c r="J267" i="76"/>
  <c r="AP550" i="76"/>
  <c r="AP199" i="76"/>
  <c r="K915" i="76"/>
  <c r="M732" i="76"/>
  <c r="I562" i="76"/>
  <c r="K391" i="76"/>
  <c r="M220" i="76"/>
  <c r="AT804" i="76"/>
  <c r="L1013" i="76"/>
  <c r="M635" i="76"/>
  <c r="K294" i="76"/>
  <c r="AO955" i="76"/>
  <c r="AS79" i="76"/>
  <c r="J673" i="76"/>
  <c r="H332" i="76"/>
  <c r="I73" i="76"/>
  <c r="AP155" i="76"/>
  <c r="M710" i="76"/>
  <c r="K369" i="76"/>
  <c r="I95" i="76"/>
  <c r="AQ231" i="76"/>
  <c r="H749" i="76"/>
  <c r="L407" i="76"/>
  <c r="I120" i="76"/>
  <c r="AT333" i="76"/>
  <c r="J1044" i="76"/>
  <c r="K314" i="76"/>
  <c r="L594" i="76"/>
  <c r="AP339" i="76"/>
  <c r="H352" i="76"/>
  <c r="I903" i="76"/>
  <c r="AQ910" i="76"/>
  <c r="AT783" i="76"/>
  <c r="AR981" i="76"/>
  <c r="AT645" i="76"/>
  <c r="I924" i="76"/>
  <c r="AS426" i="76"/>
  <c r="AQ85" i="76"/>
  <c r="AT517" i="76"/>
  <c r="AT174" i="76"/>
  <c r="AO695" i="76"/>
  <c r="AO291" i="76"/>
  <c r="L948" i="76"/>
  <c r="AO278" i="76"/>
  <c r="J772" i="76"/>
  <c r="H431" i="76"/>
  <c r="L89" i="76"/>
  <c r="AT152" i="76"/>
  <c r="M709" i="76"/>
  <c r="K368" i="76"/>
  <c r="AQ430" i="76"/>
  <c r="L848" i="76"/>
  <c r="J507" i="76"/>
  <c r="J311" i="76"/>
  <c r="AP687" i="76"/>
  <c r="AP287" i="76"/>
  <c r="I974" i="76"/>
  <c r="M776" i="76"/>
  <c r="I606" i="76"/>
  <c r="K435" i="76"/>
  <c r="M264" i="76"/>
  <c r="I94" i="76"/>
  <c r="AT180" i="76"/>
  <c r="M723" i="76"/>
  <c r="K382" i="76"/>
  <c r="L103" i="76"/>
  <c r="AS255" i="76"/>
  <c r="J761" i="76"/>
  <c r="H420" i="76"/>
  <c r="L128" i="76"/>
  <c r="AP331" i="76"/>
  <c r="M798" i="76"/>
  <c r="K457" i="76"/>
  <c r="M153" i="76"/>
  <c r="AQ407" i="76"/>
  <c r="H837" i="76"/>
  <c r="L495" i="76"/>
  <c r="I193" i="76"/>
  <c r="AR586" i="76"/>
  <c r="AO547" i="76"/>
  <c r="L933" i="76"/>
  <c r="M447" i="76"/>
  <c r="I845" i="76"/>
  <c r="M258" i="76"/>
  <c r="I967" i="76"/>
  <c r="L259" i="76"/>
  <c r="AP146" i="76"/>
  <c r="I365" i="76"/>
  <c r="AQ622" i="76"/>
  <c r="AT623" i="76"/>
  <c r="AT906" i="76"/>
  <c r="AR1008" i="76"/>
  <c r="AT447" i="76"/>
  <c r="AR106" i="76"/>
  <c r="AQ883" i="76"/>
  <c r="AQ519" i="76"/>
  <c r="AS346" i="76"/>
  <c r="AO176" i="76"/>
  <c r="AT984" i="76"/>
  <c r="AR643" i="76"/>
  <c r="AP436" i="76"/>
  <c r="AR265" i="76"/>
  <c r="AT94" i="76"/>
  <c r="AQ876" i="76"/>
  <c r="AO566" i="76"/>
  <c r="AS381" i="76"/>
  <c r="AO211" i="76"/>
  <c r="J1039" i="76"/>
  <c r="AQ1031" i="76"/>
  <c r="AQ459" i="76"/>
  <c r="AO118" i="76"/>
  <c r="M863" i="76"/>
  <c r="J692" i="76"/>
  <c r="L521" i="76"/>
  <c r="H351" i="76"/>
  <c r="J180" i="76"/>
  <c r="AT780" i="76"/>
  <c r="AP334" i="76"/>
  <c r="L1005" i="76"/>
  <c r="K800" i="76"/>
  <c r="M629" i="76"/>
  <c r="I459" i="76"/>
  <c r="K288" i="76"/>
  <c r="AS653" i="76"/>
  <c r="AQ270" i="76"/>
  <c r="I963" i="76"/>
  <c r="L768" i="76"/>
  <c r="H598" i="76"/>
  <c r="J443" i="76"/>
  <c r="H358" i="76"/>
  <c r="L272" i="76"/>
  <c r="AT873" i="76"/>
  <c r="AR564" i="76"/>
  <c r="AR380" i="76"/>
  <c r="AT209" i="76"/>
  <c r="L1039" i="76"/>
  <c r="K922" i="76"/>
  <c r="K823" i="76"/>
  <c r="I738" i="76"/>
  <c r="M652" i="76"/>
  <c r="K567" i="76"/>
  <c r="I482" i="76"/>
  <c r="M396" i="76"/>
  <c r="K311" i="76"/>
  <c r="I226" i="76"/>
  <c r="M140" i="76"/>
  <c r="AR847" i="76"/>
  <c r="AR367" i="76"/>
  <c r="J1029" i="76"/>
  <c r="I817" i="76"/>
  <c r="K646" i="76"/>
  <c r="M475" i="76"/>
  <c r="I305" i="76"/>
  <c r="M165" i="76"/>
  <c r="AS997" i="76"/>
  <c r="AQ442" i="76"/>
  <c r="AO101" i="76"/>
  <c r="L854" i="76"/>
  <c r="H684" i="76"/>
  <c r="J513" i="76"/>
  <c r="L342" i="76"/>
  <c r="M190" i="76"/>
  <c r="K78" i="76"/>
  <c r="AO520" i="76"/>
  <c r="AR176" i="76"/>
  <c r="J900" i="76"/>
  <c r="K721" i="76"/>
  <c r="M550" i="76"/>
  <c r="I380" i="76"/>
  <c r="H216" i="76"/>
  <c r="J102" i="76"/>
  <c r="AS621" i="76"/>
  <c r="AS252" i="76"/>
  <c r="I951" i="76"/>
  <c r="L759" i="76"/>
  <c r="H589" i="76"/>
  <c r="J418" i="76"/>
  <c r="L247" i="76"/>
  <c r="J127" i="76"/>
  <c r="AQ515" i="76"/>
  <c r="AR376" i="76"/>
  <c r="AP970" i="76"/>
  <c r="AR87" i="76"/>
  <c r="I677" i="76"/>
  <c r="M335" i="76"/>
  <c r="L1067" i="76"/>
  <c r="M618" i="76"/>
  <c r="L230" i="76"/>
  <c r="AR424" i="76"/>
  <c r="K765" i="76"/>
  <c r="H376" i="76"/>
  <c r="L86" i="76"/>
  <c r="I937" i="76"/>
  <c r="H529" i="76"/>
  <c r="AQ1022" i="76"/>
  <c r="AT895" i="76"/>
  <c r="AO660" i="76"/>
  <c r="AT869" i="76"/>
  <c r="I1036" i="76"/>
  <c r="AQ481" i="76"/>
  <c r="AO140" i="76"/>
  <c r="AS590" i="76"/>
  <c r="AR229" i="76"/>
  <c r="AQ804" i="76"/>
  <c r="AS345" i="76"/>
  <c r="J1003" i="76"/>
  <c r="AQ387" i="76"/>
  <c r="H827" i="76"/>
  <c r="L485" i="76"/>
  <c r="J144" i="76"/>
  <c r="AP262" i="76"/>
  <c r="K764" i="76"/>
  <c r="I423" i="76"/>
  <c r="AP549" i="76"/>
  <c r="I915" i="76"/>
  <c r="H562" i="76"/>
  <c r="J339" i="76"/>
  <c r="AP799" i="76"/>
  <c r="AP343" i="76"/>
  <c r="K1011" i="76"/>
  <c r="M804" i="76"/>
  <c r="I634" i="76"/>
  <c r="K463" i="76"/>
  <c r="M292" i="76"/>
  <c r="I122" i="76"/>
  <c r="AT292" i="76"/>
  <c r="M779" i="76"/>
  <c r="K438" i="76"/>
  <c r="H141" i="76"/>
  <c r="AS367" i="76"/>
  <c r="J817" i="76"/>
  <c r="H476" i="76"/>
  <c r="H166" i="76"/>
  <c r="AP443" i="76"/>
  <c r="M854" i="76"/>
  <c r="K513" i="76"/>
  <c r="I191" i="76"/>
  <c r="AO522" i="76"/>
  <c r="J901" i="76"/>
  <c r="L551" i="76"/>
  <c r="I216" i="76"/>
  <c r="AO365" i="76"/>
  <c r="AR671" i="76"/>
  <c r="K602" i="76"/>
  <c r="J942" i="76"/>
  <c r="H178" i="76"/>
  <c r="I680" i="76"/>
  <c r="AQ751" i="76"/>
  <c r="L443" i="76"/>
  <c r="M77" i="76"/>
  <c r="H909" i="76"/>
  <c r="I509" i="76"/>
  <c r="L163" i="76"/>
  <c r="J829" i="76"/>
  <c r="M122" i="76"/>
  <c r="J598" i="76"/>
  <c r="AQ351" i="76"/>
  <c r="M354" i="76"/>
  <c r="L906" i="76"/>
  <c r="I163" i="76"/>
  <c r="I112" i="76"/>
  <c r="K170" i="76"/>
  <c r="I215" i="76"/>
  <c r="J310" i="76"/>
  <c r="H208" i="76"/>
  <c r="AR607" i="76"/>
  <c r="AS1043" i="76"/>
  <c r="AP917" i="76"/>
  <c r="AQ681" i="76"/>
  <c r="AR912" i="76"/>
  <c r="K1057" i="76"/>
  <c r="AO492" i="76"/>
  <c r="AS150" i="76"/>
  <c r="AT604" i="76"/>
  <c r="AP240" i="76"/>
  <c r="AS825" i="76"/>
  <c r="AQ356" i="76"/>
  <c r="H1014" i="76"/>
  <c r="AS408" i="76"/>
  <c r="L837" i="76"/>
  <c r="J496" i="76"/>
  <c r="H155" i="76"/>
  <c r="AR283" i="76"/>
  <c r="I775" i="76"/>
  <c r="M433" i="76"/>
  <c r="AS577" i="76"/>
  <c r="J929" i="76"/>
  <c r="L572" i="76"/>
  <c r="L344" i="76"/>
  <c r="AR820" i="76"/>
  <c r="AT353" i="76"/>
  <c r="K1018" i="76"/>
  <c r="I810" i="76"/>
  <c r="K639" i="76"/>
  <c r="M468" i="76"/>
  <c r="I298" i="76"/>
  <c r="K127" i="76"/>
  <c r="AP314" i="76"/>
  <c r="K790" i="76"/>
  <c r="I449" i="76"/>
  <c r="H148" i="76"/>
  <c r="AO389" i="76"/>
  <c r="H828" i="76"/>
  <c r="L486" i="76"/>
  <c r="I173" i="76"/>
  <c r="AR464" i="76"/>
  <c r="L866" i="76"/>
  <c r="I524" i="76"/>
  <c r="J198" i="76"/>
  <c r="AR550" i="76"/>
  <c r="L915" i="76"/>
  <c r="J562" i="76"/>
  <c r="M223" i="76"/>
  <c r="AS407" i="76"/>
  <c r="AT756" i="76"/>
  <c r="M623" i="76"/>
  <c r="J974" i="76"/>
  <c r="I192" i="76"/>
  <c r="H705" i="76"/>
  <c r="AO922" i="76"/>
  <c r="L467" i="76"/>
  <c r="K80" i="76"/>
  <c r="J916" i="76"/>
  <c r="L514" i="76"/>
  <c r="I167" i="76"/>
  <c r="H841" i="76"/>
  <c r="H130" i="76"/>
  <c r="L610" i="76"/>
  <c r="AO394" i="76"/>
  <c r="H368" i="76"/>
  <c r="I923" i="76"/>
  <c r="J170" i="76"/>
  <c r="K126" i="76"/>
  <c r="L184" i="76"/>
  <c r="L232" i="76"/>
  <c r="J334" i="76"/>
  <c r="H264" i="76"/>
  <c r="L80" i="76"/>
  <c r="R15" i="76"/>
  <c r="AR1006" i="76"/>
  <c r="AS770" i="76"/>
  <c r="AR521" i="76"/>
  <c r="AT147" i="76"/>
  <c r="AO546" i="76"/>
  <c r="AO196" i="76"/>
  <c r="AR683" i="76"/>
  <c r="AR285" i="76"/>
  <c r="AQ916" i="76"/>
  <c r="AS401" i="76"/>
  <c r="J1059" i="76"/>
  <c r="AQ499" i="76"/>
  <c r="H888" i="76"/>
  <c r="L541" i="76"/>
  <c r="J200" i="76"/>
  <c r="AP374" i="76"/>
  <c r="K820" i="76"/>
  <c r="I479" i="76"/>
  <c r="AS733" i="76"/>
  <c r="M989" i="76"/>
  <c r="H618" i="76"/>
  <c r="J367" i="76"/>
  <c r="AP911" i="76"/>
  <c r="AP399" i="76"/>
  <c r="M1056" i="76"/>
  <c r="M832" i="76"/>
  <c r="I662" i="76"/>
  <c r="K491" i="76"/>
  <c r="M320" i="76"/>
  <c r="I150" i="76"/>
  <c r="AT404" i="76"/>
  <c r="M835" i="76"/>
  <c r="K494" i="76"/>
  <c r="J178" i="76"/>
  <c r="AQ394" i="76"/>
  <c r="L830" i="76"/>
  <c r="J489" i="76"/>
  <c r="M174" i="76"/>
  <c r="AT469" i="76"/>
  <c r="M869" i="76"/>
  <c r="M526" i="76"/>
  <c r="H200" i="76"/>
  <c r="AS557" i="76"/>
  <c r="I919" i="76"/>
  <c r="H565" i="76"/>
  <c r="H226" i="76"/>
  <c r="AQ418" i="76"/>
  <c r="AP778" i="76"/>
  <c r="I629" i="76"/>
  <c r="L983" i="76"/>
  <c r="M195" i="76"/>
  <c r="M711" i="76"/>
  <c r="AS964" i="76"/>
  <c r="L474" i="76"/>
  <c r="J83" i="76"/>
  <c r="K924" i="76"/>
  <c r="I520" i="76"/>
  <c r="L170" i="76"/>
  <c r="K853" i="76"/>
  <c r="I137" i="76"/>
  <c r="J622" i="76"/>
  <c r="AS436" i="76"/>
  <c r="L379" i="76"/>
  <c r="L938" i="76"/>
  <c r="J177" i="76"/>
  <c r="L140" i="76"/>
  <c r="M198" i="76"/>
  <c r="H256" i="76"/>
  <c r="M359" i="76"/>
  <c r="L322" i="76"/>
  <c r="J493" i="76"/>
  <c r="L154" i="76"/>
  <c r="AT959" i="76"/>
  <c r="AO724" i="76"/>
  <c r="AT997" i="76"/>
  <c r="AP101" i="76"/>
  <c r="AO514" i="76"/>
  <c r="AO172" i="76"/>
  <c r="AR635" i="76"/>
  <c r="AR261" i="76"/>
  <c r="AQ868" i="76"/>
  <c r="AS377" i="76"/>
  <c r="J1035" i="76"/>
  <c r="AQ451" i="76"/>
  <c r="J859" i="76"/>
  <c r="L517" i="76"/>
  <c r="J176" i="76"/>
  <c r="AP326" i="76"/>
  <c r="K796" i="76"/>
  <c r="I455" i="76"/>
  <c r="AS637" i="76"/>
  <c r="M957" i="76"/>
  <c r="H594" i="76"/>
  <c r="J355" i="76"/>
  <c r="AP863" i="76"/>
  <c r="AP375" i="76"/>
  <c r="K1035" i="76"/>
  <c r="M820" i="76"/>
  <c r="I650" i="76"/>
  <c r="K479" i="76"/>
  <c r="M308" i="76"/>
  <c r="I138" i="76"/>
  <c r="AT356" i="76"/>
  <c r="M811" i="76"/>
  <c r="K470" i="76"/>
  <c r="J162" i="76"/>
  <c r="AS431" i="76"/>
  <c r="J849" i="76"/>
  <c r="H508" i="76"/>
  <c r="J187" i="76"/>
  <c r="AP507" i="76"/>
  <c r="I893" i="76"/>
  <c r="K545" i="76"/>
  <c r="K212" i="76"/>
  <c r="AQ607" i="76"/>
  <c r="H944" i="76"/>
  <c r="L583" i="76"/>
  <c r="J242" i="76"/>
  <c r="AO493" i="76"/>
  <c r="AR927" i="76"/>
  <c r="K666" i="76"/>
  <c r="M1044" i="76"/>
  <c r="L220" i="76"/>
  <c r="K754" i="76"/>
  <c r="J80" i="76"/>
  <c r="J517" i="76"/>
  <c r="H94" i="76"/>
  <c r="J949" i="76"/>
  <c r="M538" i="76"/>
  <c r="J181" i="76"/>
  <c r="J898" i="76"/>
  <c r="K158" i="76"/>
  <c r="M658" i="76"/>
  <c r="AR582" i="76"/>
  <c r="I416" i="76"/>
  <c r="K987" i="76"/>
  <c r="L198" i="76"/>
  <c r="J183" i="76"/>
  <c r="L251" i="76"/>
  <c r="I328" i="76"/>
  <c r="I432" i="76"/>
  <c r="K517" i="76"/>
  <c r="K880" i="76"/>
  <c r="H752" i="76"/>
  <c r="AO740" i="76"/>
  <c r="AP117" i="76"/>
  <c r="AQ181" i="76"/>
  <c r="AT270" i="76"/>
  <c r="AO387" i="76"/>
  <c r="AO470" i="76"/>
  <c r="H527" i="76"/>
  <c r="AT344" i="76"/>
  <c r="K464" i="76"/>
  <c r="J970" i="76"/>
  <c r="J359" i="76"/>
  <c r="AP383" i="76"/>
  <c r="M824" i="76"/>
  <c r="K483" i="76"/>
  <c r="I142" i="76"/>
  <c r="M819" i="76"/>
  <c r="L167" i="76"/>
  <c r="J857" i="76"/>
  <c r="L192" i="76"/>
  <c r="M903" i="76"/>
  <c r="M217" i="76"/>
  <c r="L954" i="76"/>
  <c r="J250" i="76"/>
  <c r="AR991" i="76"/>
  <c r="AP82" i="76"/>
  <c r="L771" i="76"/>
  <c r="M535" i="76"/>
  <c r="M965" i="76"/>
  <c r="K188" i="76"/>
  <c r="L172" i="76"/>
  <c r="AO730" i="76"/>
  <c r="M1020" i="76"/>
  <c r="M211" i="76"/>
  <c r="H377" i="76"/>
  <c r="K653" i="76"/>
  <c r="J875" i="76"/>
  <c r="AS782" i="76"/>
  <c r="AT159" i="76"/>
  <c r="AS202" i="76"/>
  <c r="AP292" i="76"/>
  <c r="AQ408" i="76"/>
  <c r="AP513" i="76"/>
  <c r="AS847" i="76"/>
  <c r="AP945" i="76"/>
  <c r="AO816" i="76"/>
  <c r="AP748" i="76"/>
  <c r="AO528" i="76"/>
  <c r="K861" i="76"/>
  <c r="AS795" i="76"/>
  <c r="AT775" i="76"/>
  <c r="AQ721" i="76"/>
  <c r="AR621" i="76"/>
  <c r="AP269" i="76"/>
  <c r="AO974" i="76"/>
  <c r="AS615" i="76"/>
  <c r="AR670" i="76"/>
  <c r="AR1017" i="76"/>
  <c r="AR760" i="76"/>
  <c r="AR206" i="76"/>
  <c r="AQ1014" i="76"/>
  <c r="AO513" i="76"/>
  <c r="AS982" i="76"/>
  <c r="AT754" i="76"/>
  <c r="AR640" i="76"/>
  <c r="I1028" i="76"/>
  <c r="AS755" i="76"/>
  <c r="AO692" i="76"/>
  <c r="AT111" i="76"/>
  <c r="AQ401" i="76"/>
  <c r="AP627" i="76"/>
  <c r="AP96" i="76"/>
  <c r="AS361" i="76"/>
  <c r="AO462" i="76"/>
  <c r="H747" i="76"/>
  <c r="H171" i="76"/>
  <c r="K1007" i="76"/>
  <c r="I439" i="76"/>
  <c r="H965" i="76"/>
  <c r="H482" i="76"/>
  <c r="AS970" i="76"/>
  <c r="AP851" i="76"/>
  <c r="AQ683" i="76"/>
  <c r="AT904" i="76"/>
  <c r="AT278" i="76"/>
  <c r="AS501" i="76"/>
  <c r="J999" i="76"/>
  <c r="I1007" i="76"/>
  <c r="L609" i="76"/>
  <c r="J364" i="76"/>
  <c r="H87" i="76"/>
  <c r="AR339" i="76"/>
  <c r="L868" i="76"/>
  <c r="I547" i="76"/>
  <c r="M301" i="76"/>
  <c r="AO425" i="76"/>
  <c r="L966" i="76"/>
  <c r="L664" i="76"/>
  <c r="AO845" i="76"/>
  <c r="AR910" i="76"/>
  <c r="AS802" i="76"/>
  <c r="AR745" i="76"/>
  <c r="AT499" i="76"/>
  <c r="M858" i="76"/>
  <c r="AQ489" i="76"/>
  <c r="AO212" i="76"/>
  <c r="AR907" i="76"/>
  <c r="AR461" i="76"/>
  <c r="AR141" i="76"/>
  <c r="AQ820" i="76"/>
  <c r="AS417" i="76"/>
  <c r="AQ172" i="76"/>
  <c r="H894" i="76"/>
  <c r="AQ211" i="76"/>
  <c r="H835" i="76"/>
  <c r="L557" i="76"/>
  <c r="J312" i="76"/>
  <c r="AP882" i="76"/>
  <c r="AP86" i="76"/>
  <c r="K772" i="76"/>
  <c r="I495" i="76"/>
  <c r="M249" i="76"/>
  <c r="AO321" i="76"/>
  <c r="J815" i="76"/>
  <c r="H570" i="76"/>
  <c r="AQ746" i="76"/>
  <c r="AT811" i="76"/>
  <c r="AO704" i="76"/>
  <c r="AP1043" i="76"/>
  <c r="AT315" i="76"/>
  <c r="AQ875" i="76"/>
  <c r="AO440" i="76"/>
  <c r="AS162" i="76"/>
  <c r="AR659" i="76"/>
  <c r="AR369" i="76"/>
  <c r="AP92" i="76"/>
  <c r="AS721" i="76"/>
  <c r="AQ368" i="76"/>
  <c r="J1047" i="76"/>
  <c r="AS764" i="76"/>
  <c r="AS112" i="76"/>
  <c r="L785" i="76"/>
  <c r="J508" i="76"/>
  <c r="J188" i="76"/>
  <c r="AR552" i="76"/>
  <c r="I1002" i="76"/>
  <c r="I723" i="76"/>
  <c r="M445" i="76"/>
  <c r="AS685" i="76"/>
  <c r="AO137" i="76"/>
  <c r="H766" i="76"/>
  <c r="L520" i="76"/>
  <c r="AT771" i="76"/>
  <c r="AR792" i="76"/>
  <c r="AS752" i="76"/>
  <c r="AO100" i="76"/>
  <c r="AR381" i="76"/>
  <c r="AS681" i="76"/>
  <c r="L984" i="76"/>
  <c r="J1050" i="76"/>
  <c r="L445" i="76"/>
  <c r="AR584" i="76"/>
  <c r="I703" i="76"/>
  <c r="AQ502" i="76"/>
  <c r="J735" i="76"/>
  <c r="J319" i="76"/>
  <c r="AP495" i="76"/>
  <c r="K970" i="76"/>
  <c r="M624" i="76"/>
  <c r="K379" i="76"/>
  <c r="I102" i="76"/>
  <c r="I953" i="76"/>
  <c r="I377" i="76"/>
  <c r="AQ330" i="76"/>
  <c r="J649" i="76"/>
  <c r="J139" i="76"/>
  <c r="K1063" i="76"/>
  <c r="I452" i="76"/>
  <c r="AO482" i="76"/>
  <c r="H725" i="76"/>
  <c r="K189" i="76"/>
  <c r="AS804" i="76"/>
  <c r="M479" i="76"/>
  <c r="I153" i="76"/>
  <c r="I296" i="76"/>
  <c r="I352" i="76"/>
  <c r="AP645" i="76"/>
  <c r="AR880" i="76"/>
  <c r="AS533" i="76"/>
  <c r="AT1048" i="76"/>
  <c r="AT254" i="76"/>
  <c r="AQ580" i="76"/>
  <c r="J1007" i="76"/>
  <c r="H876" i="76"/>
  <c r="H383" i="76"/>
  <c r="AT312" i="76"/>
  <c r="K640" i="76"/>
  <c r="AT559" i="76"/>
  <c r="L608" i="76"/>
  <c r="L288" i="76"/>
  <c r="AT369" i="76"/>
  <c r="L929" i="76"/>
  <c r="M636" i="76"/>
  <c r="M316" i="76"/>
  <c r="AR975" i="76"/>
  <c r="K806" i="76"/>
  <c r="M315" i="76"/>
  <c r="AQ378" i="76"/>
  <c r="H524" i="76"/>
  <c r="K98" i="76"/>
  <c r="I886" i="76"/>
  <c r="M390" i="76"/>
  <c r="AQ536" i="76"/>
  <c r="L599" i="76"/>
  <c r="L148" i="76"/>
  <c r="AT884" i="76"/>
  <c r="I357" i="76"/>
  <c r="I185" i="76"/>
  <c r="H101" i="76"/>
  <c r="AS995" i="76"/>
  <c r="AQ889" i="76"/>
  <c r="AP731" i="76"/>
  <c r="AS597" i="76"/>
  <c r="AP846" i="76"/>
  <c r="AR217" i="76"/>
  <c r="AS461" i="76"/>
  <c r="H970" i="76"/>
  <c r="L939" i="76"/>
  <c r="L281" i="76"/>
  <c r="AP238" i="76"/>
  <c r="I539" i="76"/>
  <c r="AO473" i="76"/>
  <c r="L656" i="76"/>
  <c r="L236" i="76"/>
  <c r="AT329" i="76"/>
  <c r="H863" i="76"/>
  <c r="M616" i="76"/>
  <c r="K339" i="76"/>
  <c r="AS582" i="76"/>
  <c r="K766" i="76"/>
  <c r="J217" i="76"/>
  <c r="AQ298" i="76"/>
  <c r="J569" i="76"/>
  <c r="AR860" i="76"/>
  <c r="K841" i="76"/>
  <c r="M286" i="76"/>
  <c r="AO450" i="76"/>
  <c r="H645" i="76"/>
  <c r="I136" i="76"/>
  <c r="AQ847" i="76"/>
  <c r="M703" i="76"/>
  <c r="M901" i="76"/>
  <c r="AT537" i="76"/>
  <c r="J161" i="76"/>
  <c r="H560" i="76"/>
  <c r="AR922" i="76"/>
  <c r="AT1034" i="76"/>
  <c r="AQ597" i="76"/>
  <c r="K977" i="76"/>
  <c r="AQ576" i="76"/>
  <c r="AQ261" i="76"/>
  <c r="AR1027" i="76"/>
  <c r="AP500" i="76"/>
  <c r="AR201" i="76"/>
  <c r="AS961" i="76"/>
  <c r="AO467" i="76"/>
  <c r="AQ232" i="76"/>
  <c r="L932" i="76"/>
  <c r="AQ331" i="76"/>
  <c r="J918" i="76"/>
  <c r="H607" i="76"/>
  <c r="J372" i="76"/>
  <c r="AT1036" i="76"/>
  <c r="AP206" i="76"/>
  <c r="I843" i="76"/>
  <c r="K544" i="76"/>
  <c r="M309" i="76"/>
  <c r="AQ398" i="76"/>
  <c r="H878" i="76"/>
  <c r="L640" i="76"/>
  <c r="L400" i="76"/>
  <c r="J283" i="76"/>
  <c r="AR660" i="76"/>
  <c r="AR316" i="76"/>
  <c r="AT81" i="76"/>
  <c r="K867" i="76"/>
  <c r="M748" i="76"/>
  <c r="K599" i="76"/>
  <c r="I450" i="76"/>
  <c r="M332" i="76"/>
  <c r="K183" i="76"/>
  <c r="AT932" i="76"/>
  <c r="AP154" i="76"/>
  <c r="I753" i="76"/>
  <c r="K518" i="76"/>
  <c r="M222" i="76"/>
  <c r="J70" i="76"/>
  <c r="AO229" i="76"/>
  <c r="L790" i="76"/>
  <c r="H556" i="76"/>
  <c r="J257" i="76"/>
  <c r="J91" i="76"/>
  <c r="AR304" i="76"/>
  <c r="I828" i="76"/>
  <c r="K593" i="76"/>
  <c r="M294" i="76"/>
  <c r="K116" i="76"/>
  <c r="AS380" i="76"/>
  <c r="L867" i="76"/>
  <c r="L631" i="76"/>
  <c r="H333" i="76"/>
  <c r="K141" i="76"/>
  <c r="AP695" i="76"/>
  <c r="AP515" i="76"/>
  <c r="K762" i="76"/>
  <c r="AO622" i="76"/>
  <c r="L667" i="76"/>
  <c r="K85" i="76"/>
  <c r="L619" i="76"/>
  <c r="L143" i="76"/>
  <c r="L723" i="76"/>
  <c r="I204" i="76"/>
  <c r="AO916" i="76"/>
  <c r="AT463" i="76"/>
  <c r="AP585" i="76"/>
  <c r="AT912" i="76"/>
  <c r="AP272" i="76"/>
  <c r="AS473" i="76"/>
  <c r="AO1058" i="76"/>
  <c r="I927" i="76"/>
  <c r="H315" i="76"/>
  <c r="AR347" i="76"/>
  <c r="I551" i="76"/>
  <c r="AS283" i="76"/>
  <c r="J647" i="76"/>
  <c r="H254" i="76"/>
  <c r="AT385" i="76"/>
  <c r="K870" i="76"/>
  <c r="I570" i="76"/>
  <c r="K335" i="76"/>
  <c r="AP698" i="76"/>
  <c r="K822" i="76"/>
  <c r="J227" i="76"/>
  <c r="AS111" i="76"/>
  <c r="J561" i="76"/>
  <c r="AP999" i="76"/>
  <c r="K907" i="76"/>
  <c r="I300" i="76"/>
  <c r="AQ263" i="76"/>
  <c r="H637" i="76"/>
  <c r="K102" i="76"/>
  <c r="AT1012" i="76"/>
  <c r="AQ704" i="76"/>
  <c r="AP467" i="76"/>
  <c r="L150" i="76"/>
  <c r="H190" i="76"/>
  <c r="I973" i="76"/>
  <c r="I264" i="76"/>
  <c r="I536" i="76"/>
  <c r="H793" i="76"/>
  <c r="H745" i="76"/>
  <c r="J1040" i="76"/>
  <c r="H616" i="76"/>
  <c r="AP522" i="76"/>
  <c r="I701" i="76"/>
  <c r="J702" i="76"/>
  <c r="K140" i="76"/>
  <c r="AQ937" i="76"/>
  <c r="AP485" i="76"/>
  <c r="AQ599" i="76"/>
  <c r="AP934" i="76"/>
  <c r="AT282" i="76"/>
  <c r="AQ484" i="76"/>
  <c r="H886" i="76"/>
  <c r="J941" i="76"/>
  <c r="L325" i="76"/>
  <c r="AT368" i="76"/>
  <c r="M561" i="76"/>
  <c r="AO305" i="76"/>
  <c r="H658" i="76"/>
  <c r="J259" i="76"/>
  <c r="AR396" i="76"/>
  <c r="L876" i="76"/>
  <c r="K575" i="76"/>
  <c r="M340" i="76"/>
  <c r="AT740" i="76"/>
  <c r="I833" i="76"/>
  <c r="M235" i="76"/>
  <c r="AO133" i="76"/>
  <c r="H572" i="76"/>
  <c r="AT1041" i="76"/>
  <c r="L921" i="76"/>
  <c r="M310" i="76"/>
  <c r="AS284" i="76"/>
  <c r="L647" i="76"/>
  <c r="K109" i="76"/>
  <c r="AS292" i="76"/>
  <c r="AO875" i="76"/>
  <c r="AP566" i="76"/>
  <c r="H165" i="76"/>
  <c r="K193" i="76"/>
  <c r="J981" i="76"/>
  <c r="J270" i="76"/>
  <c r="J549" i="76"/>
  <c r="K805" i="76"/>
  <c r="K757" i="76"/>
  <c r="J1062" i="76"/>
  <c r="I640" i="76"/>
  <c r="AR639" i="76"/>
  <c r="J725" i="76"/>
  <c r="H761" i="76"/>
  <c r="J469" i="76"/>
  <c r="AS1026" i="76"/>
  <c r="AR595" i="76"/>
  <c r="AQ675" i="76"/>
  <c r="AT1024" i="76"/>
  <c r="AP328" i="76"/>
  <c r="AT535" i="76"/>
  <c r="J931" i="76"/>
  <c r="M1001" i="76"/>
  <c r="H371" i="76"/>
  <c r="AR459" i="76"/>
  <c r="I607" i="76"/>
  <c r="AS395" i="76"/>
  <c r="J703" i="76"/>
  <c r="H282" i="76"/>
  <c r="AT441" i="76"/>
  <c r="K906" i="76"/>
  <c r="I598" i="76"/>
  <c r="K363" i="76"/>
  <c r="AP922" i="76"/>
  <c r="I882" i="76"/>
  <c r="I281" i="76"/>
  <c r="AQ138" i="76"/>
  <c r="L574" i="76"/>
  <c r="AR1052" i="76"/>
  <c r="I925" i="76"/>
  <c r="K313" i="76"/>
  <c r="AO290" i="76"/>
  <c r="J650" i="76"/>
  <c r="J111" i="76"/>
  <c r="AQ303" i="76"/>
  <c r="AS917" i="76"/>
  <c r="AS594" i="76"/>
  <c r="K168" i="76"/>
  <c r="I197" i="76"/>
  <c r="L990" i="76"/>
  <c r="J277" i="76"/>
  <c r="H561" i="76"/>
  <c r="K818" i="76"/>
  <c r="K770" i="76"/>
  <c r="AR88" i="76"/>
  <c r="I664" i="76"/>
  <c r="AP810" i="76"/>
  <c r="J749" i="76"/>
  <c r="I829" i="76"/>
  <c r="M730" i="76"/>
  <c r="AO980" i="76"/>
  <c r="AQ533" i="76"/>
  <c r="AT628" i="76"/>
  <c r="AT976" i="76"/>
  <c r="AP304" i="76"/>
  <c r="AS505" i="76"/>
  <c r="J907" i="76"/>
  <c r="M969" i="76"/>
  <c r="H347" i="76"/>
  <c r="AR411" i="76"/>
  <c r="I583" i="76"/>
  <c r="AS347" i="76"/>
  <c r="J679" i="76"/>
  <c r="H270" i="76"/>
  <c r="AT417" i="76"/>
  <c r="K890" i="76"/>
  <c r="I586" i="76"/>
  <c r="K351" i="76"/>
  <c r="AP826" i="76"/>
  <c r="K854" i="76"/>
  <c r="I257" i="76"/>
  <c r="AS175" i="76"/>
  <c r="J593" i="76"/>
  <c r="M75" i="76"/>
  <c r="I950" i="76"/>
  <c r="I332" i="76"/>
  <c r="AQ327" i="76"/>
  <c r="H669" i="76"/>
  <c r="M123" i="76"/>
  <c r="AO378" i="76"/>
  <c r="M239" i="76"/>
  <c r="AR876" i="76"/>
  <c r="J193" i="76"/>
  <c r="J211" i="76"/>
  <c r="K1015" i="76"/>
  <c r="M295" i="76"/>
  <c r="K597" i="76"/>
  <c r="J854" i="76"/>
  <c r="J806" i="76"/>
  <c r="AQ162" i="76"/>
  <c r="K738" i="76"/>
  <c r="H162" i="76"/>
  <c r="J822" i="76"/>
  <c r="AQ98" i="76"/>
  <c r="L179" i="76"/>
  <c r="AR688" i="76"/>
  <c r="AT824" i="76"/>
  <c r="AP573" i="76"/>
  <c r="H870" i="76"/>
  <c r="AT516" i="76"/>
  <c r="AS451" i="76"/>
  <c r="AT1049" i="76"/>
  <c r="J924" i="76"/>
  <c r="M312" i="76"/>
  <c r="L917" i="76"/>
  <c r="AO277" i="76"/>
  <c r="AT817" i="76"/>
  <c r="M382" i="76"/>
  <c r="L591" i="76"/>
  <c r="AT603" i="76"/>
  <c r="K117" i="76"/>
  <c r="H158" i="76"/>
  <c r="L355" i="76"/>
  <c r="L683" i="76"/>
  <c r="AP499" i="76"/>
  <c r="AQ370" i="76"/>
  <c r="J163" i="76"/>
  <c r="AP677" i="76"/>
  <c r="AO555" i="76"/>
  <c r="AR377" i="76"/>
  <c r="L980" i="76"/>
  <c r="J548" i="76"/>
  <c r="I827" i="76"/>
  <c r="AS323" i="76"/>
  <c r="H370" i="76"/>
  <c r="I1062" i="76"/>
  <c r="K579" i="76"/>
  <c r="M152" i="76"/>
  <c r="M499" i="76"/>
  <c r="AO149" i="76"/>
  <c r="M206" i="76"/>
  <c r="M574" i="76"/>
  <c r="AS300" i="76"/>
  <c r="L271" i="76"/>
  <c r="I725" i="76"/>
  <c r="AP663" i="76"/>
  <c r="H584" i="76"/>
  <c r="H576" i="76"/>
  <c r="J573" i="76"/>
  <c r="H71" i="76"/>
  <c r="M250" i="76"/>
  <c r="AT980" i="76"/>
  <c r="H921" i="76"/>
  <c r="AT1023" i="76"/>
  <c r="AR506" i="76"/>
  <c r="AO204" i="76"/>
  <c r="AQ932" i="76"/>
  <c r="L896" i="76"/>
  <c r="L549" i="76"/>
  <c r="K828" i="76"/>
  <c r="AQ326" i="76"/>
  <c r="J371" i="76"/>
  <c r="M1064" i="76"/>
  <c r="M580" i="76"/>
  <c r="I154" i="76"/>
  <c r="K502" i="76"/>
  <c r="AQ154" i="76"/>
  <c r="L208" i="76"/>
  <c r="K577" i="76"/>
  <c r="AO306" i="76"/>
  <c r="J274" i="76"/>
  <c r="K730" i="76"/>
  <c r="AT705" i="76"/>
  <c r="K589" i="76"/>
  <c r="K581" i="76"/>
  <c r="H585" i="76"/>
  <c r="J76" i="76"/>
  <c r="M263" i="76"/>
  <c r="M90" i="76"/>
  <c r="M1009" i="76"/>
  <c r="AS547" i="76"/>
  <c r="AR611" i="76"/>
  <c r="AQ245" i="76"/>
  <c r="AO1015" i="76"/>
  <c r="H938" i="76"/>
  <c r="J676" i="76"/>
  <c r="AT716" i="76"/>
  <c r="M613" i="76"/>
  <c r="AQ238" i="76"/>
  <c r="H434" i="76"/>
  <c r="AR539" i="76"/>
  <c r="I910" i="76"/>
  <c r="I558" i="76"/>
  <c r="M216" i="76"/>
  <c r="H1003" i="76"/>
  <c r="K286" i="76"/>
  <c r="L1062" i="76"/>
  <c r="H324" i="76"/>
  <c r="AP139" i="76"/>
  <c r="K361" i="76"/>
  <c r="AQ215" i="76"/>
  <c r="L399" i="76"/>
  <c r="AT301" i="76"/>
  <c r="K298" i="76"/>
  <c r="AS276" i="76"/>
  <c r="J880" i="76"/>
  <c r="AQ274" i="76"/>
  <c r="L331" i="76"/>
  <c r="L475" i="76"/>
  <c r="J245" i="76"/>
  <c r="M95" i="76"/>
  <c r="H889" i="76"/>
  <c r="AO170" i="76"/>
  <c r="AO458" i="76"/>
  <c r="L298" i="76"/>
  <c r="AP576" i="76"/>
  <c r="AR739" i="76"/>
  <c r="AQ88" i="76"/>
  <c r="J228" i="76"/>
  <c r="AS845" i="76"/>
  <c r="AR964" i="76"/>
  <c r="K675" i="76"/>
  <c r="AP458" i="76"/>
  <c r="AQ540" i="76"/>
  <c r="AP647" i="76"/>
  <c r="AQ799" i="76"/>
  <c r="AS821" i="76"/>
  <c r="I333" i="76"/>
  <c r="K129" i="76"/>
  <c r="AO74" i="76"/>
  <c r="L538" i="76"/>
  <c r="H496" i="76"/>
  <c r="K541" i="76"/>
  <c r="AP624" i="76"/>
  <c r="AT784" i="76"/>
  <c r="AO111" i="76"/>
  <c r="H251" i="76"/>
  <c r="AQ936" i="76"/>
  <c r="AR1012" i="76"/>
  <c r="K687" i="76"/>
  <c r="AP506" i="76"/>
  <c r="AQ604" i="76"/>
  <c r="AP743" i="76"/>
  <c r="AQ895" i="76"/>
  <c r="AS1013" i="76"/>
  <c r="M386" i="76"/>
  <c r="J147" i="76"/>
  <c r="AS196" i="76"/>
  <c r="M599" i="76"/>
  <c r="H617" i="76"/>
  <c r="AP579" i="76"/>
  <c r="AR649" i="76"/>
  <c r="AR811" i="76"/>
  <c r="AQ124" i="76"/>
  <c r="J264" i="76"/>
  <c r="AS989" i="76"/>
  <c r="AP1039" i="76"/>
  <c r="I694" i="76"/>
  <c r="AO540" i="76"/>
  <c r="AS645" i="76"/>
  <c r="AR796" i="76"/>
  <c r="AS948" i="76"/>
  <c r="I72" i="76"/>
  <c r="K418" i="76"/>
  <c r="K154" i="76"/>
  <c r="AS244" i="76"/>
  <c r="H624" i="76"/>
  <c r="L666" i="76"/>
  <c r="L122" i="76"/>
  <c r="AT794" i="76"/>
  <c r="AR955" i="76"/>
  <c r="AQ196" i="76"/>
  <c r="J336" i="76"/>
  <c r="M273" i="76"/>
  <c r="L264" i="76"/>
  <c r="I730" i="76"/>
  <c r="AR783" i="76"/>
  <c r="AS933" i="76"/>
  <c r="K70" i="76"/>
  <c r="L91" i="76"/>
  <c r="L116" i="76"/>
  <c r="J582" i="76"/>
  <c r="M207" i="76"/>
  <c r="AO1067" i="76"/>
  <c r="L794" i="76"/>
  <c r="J1065" i="76"/>
  <c r="H987" i="76"/>
  <c r="AO734" i="76"/>
  <c r="H1043" i="76"/>
  <c r="J731" i="76"/>
  <c r="M376" i="76"/>
  <c r="H644" i="76"/>
  <c r="L719" i="76"/>
  <c r="I285" i="76"/>
  <c r="J1012" i="76"/>
  <c r="AS183" i="76"/>
  <c r="AS880" i="76"/>
  <c r="AQ115" i="76"/>
  <c r="J767" i="76"/>
  <c r="K395" i="76"/>
  <c r="J681" i="76"/>
  <c r="H757" i="76"/>
  <c r="K370" i="76"/>
  <c r="AT173" i="76"/>
  <c r="AT852" i="76"/>
  <c r="AQ1051" i="76"/>
  <c r="AS200" i="76"/>
  <c r="H810" i="76"/>
  <c r="M416" i="76"/>
  <c r="H724" i="76"/>
  <c r="L799" i="76"/>
  <c r="M466" i="76"/>
  <c r="AP435" i="76"/>
  <c r="M578" i="76"/>
  <c r="AS517" i="76"/>
  <c r="J862" i="76"/>
  <c r="L596" i="76"/>
  <c r="I310" i="76"/>
  <c r="L510" i="76"/>
  <c r="J586" i="76"/>
  <c r="I83" i="76"/>
  <c r="H672" i="76"/>
  <c r="I456" i="76"/>
  <c r="AP228" i="76"/>
  <c r="AR340" i="76"/>
  <c r="I852" i="76"/>
  <c r="L901" i="76"/>
  <c r="AQ813" i="76"/>
  <c r="K500" i="76"/>
  <c r="K192" i="76"/>
  <c r="AT252" i="76"/>
  <c r="L371" i="76"/>
  <c r="AQ508" i="76"/>
  <c r="J892" i="76"/>
  <c r="M334" i="76"/>
  <c r="J301" i="76"/>
  <c r="AP1049" i="76"/>
  <c r="M841" i="76"/>
  <c r="M515" i="76"/>
  <c r="I757" i="76"/>
  <c r="H288" i="76"/>
  <c r="AP246" i="76"/>
  <c r="AS614" i="76"/>
  <c r="J995" i="76"/>
  <c r="AQ503" i="76"/>
  <c r="AP859" i="76"/>
  <c r="AQ362" i="76"/>
  <c r="I156" i="76"/>
  <c r="I1006" i="76"/>
  <c r="I496" i="76"/>
  <c r="I601" i="76"/>
  <c r="AT896" i="76"/>
  <c r="J566" i="76"/>
  <c r="L477" i="76"/>
  <c r="L825" i="76"/>
  <c r="AR135" i="76"/>
  <c r="AQ579" i="76"/>
  <c r="J917" i="76"/>
  <c r="M510" i="76"/>
  <c r="AQ1018" i="76"/>
  <c r="AP1041" i="76"/>
  <c r="AS826" i="76"/>
  <c r="AR801" i="76"/>
  <c r="AP542" i="76"/>
  <c r="I1032" i="76"/>
  <c r="AS891" i="76"/>
  <c r="AR786" i="76"/>
  <c r="AS774" i="76"/>
  <c r="AP632" i="76"/>
  <c r="AT439" i="76"/>
  <c r="K905" i="76"/>
  <c r="AQ626" i="76"/>
  <c r="AT723" i="76"/>
  <c r="AP1028" i="76"/>
  <c r="AT526" i="76"/>
  <c r="AR302" i="76"/>
  <c r="AO1025" i="76"/>
  <c r="AQ566" i="76"/>
  <c r="AQ993" i="76"/>
  <c r="AR925" i="76"/>
  <c r="AR832" i="76"/>
  <c r="M1038" i="76"/>
  <c r="AQ862" i="76"/>
  <c r="AQ713" i="76"/>
  <c r="AP453" i="76"/>
  <c r="AQ497" i="76"/>
  <c r="AP646" i="76"/>
  <c r="AR149" i="76"/>
  <c r="AQ372" i="76"/>
  <c r="AS1036" i="76"/>
  <c r="H843" i="76"/>
  <c r="L181" i="76"/>
  <c r="AP102" i="76"/>
  <c r="M449" i="76"/>
  <c r="AO273" i="76"/>
  <c r="H578" i="76"/>
  <c r="AO992" i="76"/>
  <c r="AR1064" i="76"/>
  <c r="AS704" i="76"/>
  <c r="AO136" i="76"/>
  <c r="AT374" i="76"/>
  <c r="AS512" i="76"/>
  <c r="L1052" i="76"/>
  <c r="L1021" i="76"/>
  <c r="H695" i="76"/>
  <c r="L417" i="76"/>
  <c r="L97" i="76"/>
  <c r="AT360" i="76"/>
  <c r="I881" i="76"/>
  <c r="K632" i="76"/>
  <c r="I355" i="76"/>
  <c r="AQ446" i="76"/>
  <c r="H981" i="76"/>
  <c r="J675" i="76"/>
  <c r="AS1015" i="76"/>
  <c r="AP1017" i="76"/>
  <c r="AO824" i="76"/>
  <c r="AT766" i="76"/>
  <c r="AR524" i="76"/>
  <c r="K1029" i="76"/>
  <c r="AP553" i="76"/>
  <c r="AS222" i="76"/>
  <c r="AT928" i="76"/>
  <c r="AP472" i="76"/>
  <c r="AT226" i="76"/>
  <c r="AO927" i="76"/>
  <c r="AQ428" i="76"/>
  <c r="AO183" i="76"/>
  <c r="L904" i="76"/>
  <c r="AO382" i="76"/>
  <c r="I895" i="76"/>
  <c r="J568" i="76"/>
  <c r="H323" i="76"/>
  <c r="AT924" i="76"/>
  <c r="AT256" i="76"/>
  <c r="M825" i="76"/>
  <c r="M505" i="76"/>
  <c r="K260" i="76"/>
  <c r="AQ342" i="76"/>
  <c r="L911" i="76"/>
  <c r="J623" i="76"/>
  <c r="AS767" i="76"/>
  <c r="AP833" i="76"/>
  <c r="AQ725" i="76"/>
  <c r="AP668" i="76"/>
  <c r="AR422" i="76"/>
  <c r="AO918" i="76"/>
  <c r="AS450" i="76"/>
  <c r="AQ173" i="76"/>
  <c r="AP830" i="76"/>
  <c r="AT422" i="76"/>
  <c r="AT102" i="76"/>
  <c r="AO743" i="76"/>
  <c r="AO379" i="76"/>
  <c r="AS133" i="76"/>
  <c r="AO978" i="76"/>
  <c r="AO134" i="76"/>
  <c r="J796" i="76"/>
  <c r="H519" i="76"/>
  <c r="L273" i="76"/>
  <c r="AR727" i="76"/>
  <c r="J1016" i="76"/>
  <c r="M733" i="76"/>
  <c r="K456" i="76"/>
  <c r="AO1027" i="76"/>
  <c r="AS243" i="76"/>
  <c r="L776" i="76"/>
  <c r="J531" i="76"/>
  <c r="AR814" i="76"/>
  <c r="AR713" i="76"/>
  <c r="I912" i="76"/>
  <c r="AQ121" i="76"/>
  <c r="AT402" i="76"/>
  <c r="AQ724" i="76"/>
  <c r="AQ156" i="76"/>
  <c r="AS264" i="76"/>
  <c r="H467" i="76"/>
  <c r="AR647" i="76"/>
  <c r="K724" i="76"/>
  <c r="M233" i="76"/>
  <c r="H842" i="76"/>
  <c r="H330" i="76"/>
  <c r="AP518" i="76"/>
  <c r="M984" i="76"/>
  <c r="I710" i="76"/>
  <c r="M432" i="76"/>
  <c r="M112" i="76"/>
  <c r="L981" i="76"/>
  <c r="K398" i="76"/>
  <c r="AS773" i="76"/>
  <c r="H756" i="76"/>
  <c r="K153" i="76"/>
  <c r="AP107" i="76"/>
  <c r="K473" i="76"/>
  <c r="K69" i="76"/>
  <c r="L831" i="76"/>
  <c r="M203" i="76"/>
  <c r="AQ975" i="76"/>
  <c r="K522" i="76"/>
  <c r="M490" i="76"/>
  <c r="I541" i="76"/>
  <c r="H401" i="76"/>
  <c r="AT687" i="76"/>
  <c r="AT965" i="76"/>
  <c r="AO926" i="76"/>
  <c r="AO144" i="76"/>
  <c r="AP276" i="76"/>
  <c r="AS608" i="76"/>
  <c r="L1028" i="76"/>
  <c r="AQ139" i="76"/>
  <c r="L489" i="76"/>
  <c r="AR355" i="76"/>
  <c r="M661" i="76"/>
  <c r="AS616" i="76"/>
  <c r="J779" i="76"/>
  <c r="H342" i="76"/>
  <c r="AP391" i="76"/>
  <c r="M943" i="76"/>
  <c r="K647" i="76"/>
  <c r="I402" i="76"/>
  <c r="M124" i="76"/>
  <c r="M827" i="76"/>
  <c r="I337" i="76"/>
  <c r="AO421" i="76"/>
  <c r="L694" i="76"/>
  <c r="K169" i="76"/>
  <c r="K914" i="76"/>
  <c r="I412" i="76"/>
  <c r="AP593" i="76"/>
  <c r="J770" i="76"/>
  <c r="M219" i="76"/>
  <c r="AR1055" i="76"/>
  <c r="M399" i="76"/>
  <c r="K213" i="76"/>
  <c r="I400" i="76"/>
  <c r="H456" i="76"/>
  <c r="AO932" i="76"/>
  <c r="AR816" i="76"/>
  <c r="AO627" i="76"/>
  <c r="AS106" i="76"/>
  <c r="AP324" i="76"/>
  <c r="AO483" i="76"/>
  <c r="J991" i="76"/>
  <c r="H968" i="76"/>
  <c r="J452" i="76"/>
  <c r="AR451" i="76"/>
  <c r="K560" i="76"/>
  <c r="AP517" i="76"/>
  <c r="H678" i="76"/>
  <c r="H322" i="76"/>
  <c r="AR436" i="76"/>
  <c r="I875" i="76"/>
  <c r="K627" i="76"/>
  <c r="I350" i="76"/>
  <c r="M104" i="76"/>
  <c r="K875" i="76"/>
  <c r="K233" i="76"/>
  <c r="AO341" i="76"/>
  <c r="L590" i="76"/>
  <c r="M142" i="76"/>
  <c r="H975" i="76"/>
  <c r="I308" i="76"/>
  <c r="AS492" i="76"/>
  <c r="J666" i="76"/>
  <c r="J207" i="76"/>
  <c r="AT429" i="76"/>
  <c r="I789" i="76"/>
  <c r="AQ130" i="76"/>
  <c r="M76" i="76"/>
  <c r="J406" i="76"/>
  <c r="H657" i="76"/>
  <c r="AP965" i="76"/>
  <c r="AS686" i="76"/>
  <c r="AP667" i="76"/>
  <c r="AP149" i="76"/>
  <c r="AS604" i="76"/>
  <c r="AS282" i="76"/>
  <c r="H1047" i="76"/>
  <c r="AT524" i="76"/>
  <c r="AT286" i="76"/>
  <c r="AQ1004" i="76"/>
  <c r="AQ488" i="76"/>
  <c r="AS253" i="76"/>
  <c r="H954" i="76"/>
  <c r="AO502" i="76"/>
  <c r="L946" i="76"/>
  <c r="J628" i="76"/>
  <c r="L393" i="76"/>
  <c r="H95" i="76"/>
  <c r="AT376" i="76"/>
  <c r="L865" i="76"/>
  <c r="M565" i="76"/>
  <c r="I331" i="76"/>
  <c r="AO441" i="76"/>
  <c r="L991" i="76"/>
  <c r="H662" i="76"/>
  <c r="J411" i="76"/>
  <c r="H294" i="76"/>
  <c r="AP703" i="76"/>
  <c r="AT401" i="76"/>
  <c r="AP103" i="76"/>
  <c r="M879" i="76"/>
  <c r="K759" i="76"/>
  <c r="I610" i="76"/>
  <c r="M492" i="76"/>
  <c r="K343" i="76"/>
  <c r="I194" i="76"/>
  <c r="AP1018" i="76"/>
  <c r="AT196" i="76"/>
  <c r="K838" i="76"/>
  <c r="M539" i="76"/>
  <c r="I241" i="76"/>
  <c r="H81" i="76"/>
  <c r="AS271" i="76"/>
  <c r="L878" i="76"/>
  <c r="J577" i="76"/>
  <c r="L278" i="76"/>
  <c r="K105" i="76"/>
  <c r="AP347" i="76"/>
  <c r="M928" i="76"/>
  <c r="M614" i="76"/>
  <c r="I316" i="76"/>
  <c r="L130" i="76"/>
  <c r="AQ423" i="76"/>
  <c r="L979" i="76"/>
  <c r="H653" i="76"/>
  <c r="J354" i="76"/>
  <c r="M155" i="76"/>
  <c r="AT865" i="76"/>
  <c r="AO314" i="76"/>
  <c r="I805" i="76"/>
  <c r="AQ960" i="76"/>
  <c r="I717" i="76"/>
  <c r="H114" i="76"/>
  <c r="J814" i="76"/>
  <c r="H172" i="76"/>
  <c r="J773" i="76"/>
  <c r="I237" i="76"/>
  <c r="AQ1001" i="76"/>
  <c r="AR1040" i="76"/>
  <c r="AS648" i="76"/>
  <c r="AP998" i="76"/>
  <c r="AT314" i="76"/>
  <c r="AO518" i="76"/>
  <c r="H1046" i="76"/>
  <c r="H984" i="76"/>
  <c r="L357" i="76"/>
  <c r="AT432" i="76"/>
  <c r="M593" i="76"/>
  <c r="AQ680" i="76"/>
  <c r="H690" i="76"/>
  <c r="J275" i="76"/>
  <c r="AR428" i="76"/>
  <c r="L897" i="76"/>
  <c r="K655" i="76"/>
  <c r="M356" i="76"/>
  <c r="AT868" i="76"/>
  <c r="J866" i="76"/>
  <c r="M267" i="76"/>
  <c r="AO453" i="76"/>
  <c r="H604" i="76"/>
  <c r="I81" i="76"/>
  <c r="J964" i="76"/>
  <c r="M342" i="76"/>
  <c r="AQ639" i="76"/>
  <c r="L679" i="76"/>
  <c r="M130" i="76"/>
  <c r="AS420" i="76"/>
  <c r="I261" i="76"/>
  <c r="H241" i="76"/>
  <c r="L207" i="76"/>
  <c r="J222" i="76"/>
  <c r="I1042" i="76"/>
  <c r="H313" i="76"/>
  <c r="M945" i="76"/>
  <c r="K898" i="76"/>
  <c r="M842" i="76"/>
  <c r="AO234" i="76"/>
  <c r="M810" i="76"/>
  <c r="J325" i="76"/>
  <c r="J905" i="76"/>
  <c r="AT724" i="76"/>
  <c r="H536" i="76"/>
  <c r="AS1022" i="76"/>
  <c r="AR517" i="76"/>
  <c r="AO670" i="76"/>
  <c r="AR1019" i="76"/>
  <c r="AR325" i="76"/>
  <c r="AQ532" i="76"/>
  <c r="L1056" i="76"/>
  <c r="J998" i="76"/>
  <c r="J368" i="76"/>
  <c r="AP454" i="76"/>
  <c r="K604" i="76"/>
  <c r="AO723" i="76"/>
  <c r="L700" i="76"/>
  <c r="L280" i="76"/>
  <c r="AP439" i="76"/>
  <c r="M904" i="76"/>
  <c r="M660" i="76"/>
  <c r="I362" i="76"/>
  <c r="AR911" i="76"/>
  <c r="K878" i="76"/>
  <c r="K278" i="76"/>
  <c r="AQ474" i="76"/>
  <c r="L614" i="76"/>
  <c r="M87" i="76"/>
  <c r="K978" i="76"/>
  <c r="K353" i="76"/>
  <c r="AO682" i="76"/>
  <c r="J690" i="76"/>
  <c r="H138" i="76"/>
  <c r="AQ463" i="76"/>
  <c r="K282" i="76"/>
  <c r="H265" i="76"/>
  <c r="H222" i="76"/>
  <c r="L226" i="76"/>
  <c r="L1054" i="76"/>
  <c r="H320" i="76"/>
  <c r="K962" i="76"/>
  <c r="M915" i="76"/>
  <c r="M855" i="76"/>
  <c r="AP259" i="76"/>
  <c r="M834" i="76"/>
  <c r="J349" i="76"/>
  <c r="J937" i="76"/>
  <c r="M97" i="76"/>
  <c r="H664" i="76"/>
  <c r="AP665" i="76"/>
  <c r="AT606" i="76"/>
  <c r="AQ795" i="76"/>
  <c r="H1067" i="76"/>
  <c r="AT370" i="76"/>
  <c r="AS592" i="76"/>
  <c r="AO103" i="76"/>
  <c r="AS72" i="76"/>
  <c r="L413" i="76"/>
  <c r="AO556" i="76"/>
  <c r="M649" i="76"/>
  <c r="AQ904" i="76"/>
  <c r="H746" i="76"/>
  <c r="J303" i="76"/>
  <c r="AR484" i="76"/>
  <c r="H935" i="76"/>
  <c r="K683" i="76"/>
  <c r="M384" i="76"/>
  <c r="I86" i="76"/>
  <c r="H939" i="76"/>
  <c r="M323" i="76"/>
  <c r="AS479" i="76"/>
  <c r="J617" i="76"/>
  <c r="K89" i="76"/>
  <c r="I982" i="76"/>
  <c r="I356" i="76"/>
  <c r="AS692" i="76"/>
  <c r="H693" i="76"/>
  <c r="M139" i="76"/>
  <c r="AO474" i="76"/>
  <c r="M287" i="76"/>
  <c r="H272" i="76"/>
  <c r="K226" i="76"/>
  <c r="J231" i="76"/>
  <c r="I1066" i="76"/>
  <c r="K325" i="76"/>
  <c r="M979" i="76"/>
  <c r="K930" i="76"/>
  <c r="J868" i="76"/>
  <c r="AT285" i="76"/>
  <c r="H860" i="76"/>
  <c r="K373" i="76"/>
  <c r="L969" i="76"/>
  <c r="H137" i="76"/>
  <c r="I800" i="76"/>
  <c r="AQ1065" i="76"/>
  <c r="AP560" i="76"/>
  <c r="AS712" i="76"/>
  <c r="AP1062" i="76"/>
  <c r="AT346" i="76"/>
  <c r="AS560" i="76"/>
  <c r="AO79" i="76"/>
  <c r="H1028" i="76"/>
  <c r="L389" i="76"/>
  <c r="AT496" i="76"/>
  <c r="M625" i="76"/>
  <c r="AQ808" i="76"/>
  <c r="H722" i="76"/>
  <c r="J291" i="76"/>
  <c r="AR460" i="76"/>
  <c r="H919" i="76"/>
  <c r="K671" i="76"/>
  <c r="M372" i="76"/>
  <c r="AT996" i="76"/>
  <c r="H907" i="76"/>
  <c r="M299" i="76"/>
  <c r="AO519" i="76"/>
  <c r="H636" i="76"/>
  <c r="H102" i="76"/>
  <c r="H1007" i="76"/>
  <c r="M374" i="76"/>
  <c r="AQ767" i="76"/>
  <c r="L711" i="76"/>
  <c r="I152" i="76"/>
  <c r="AP561" i="76"/>
  <c r="I325" i="76"/>
  <c r="L314" i="76"/>
  <c r="L266" i="76"/>
  <c r="J254" i="76"/>
  <c r="AS103" i="76"/>
  <c r="H344" i="76"/>
  <c r="I1029" i="76"/>
  <c r="H980" i="76"/>
  <c r="H916" i="76"/>
  <c r="AT413" i="76"/>
  <c r="I955" i="76"/>
  <c r="J446" i="76"/>
  <c r="AS84" i="76"/>
  <c r="L267" i="76"/>
  <c r="AO554" i="76"/>
  <c r="AT1029" i="76"/>
  <c r="AS266" i="76"/>
  <c r="AQ716" i="76"/>
  <c r="J982" i="76"/>
  <c r="AP802" i="76"/>
  <c r="AO675" i="76"/>
  <c r="H402" i="76"/>
  <c r="I981" i="76"/>
  <c r="K355" i="76"/>
  <c r="L1033" i="76"/>
  <c r="AS447" i="76"/>
  <c r="H260" i="76"/>
  <c r="I468" i="76"/>
  <c r="H677" i="76"/>
  <c r="AP387" i="76"/>
  <c r="J235" i="76"/>
  <c r="L730" i="76"/>
  <c r="K453" i="76"/>
  <c r="M881" i="76"/>
  <c r="I124" i="76"/>
  <c r="I301" i="76"/>
  <c r="K386" i="76"/>
  <c r="AT847" i="76"/>
  <c r="AS688" i="76"/>
  <c r="AT462" i="76"/>
  <c r="H1066" i="76"/>
  <c r="L633" i="76"/>
  <c r="K927" i="76"/>
  <c r="AQ494" i="76"/>
  <c r="L412" i="76"/>
  <c r="AR148" i="76"/>
  <c r="I622" i="76"/>
  <c r="K195" i="76"/>
  <c r="I585" i="76"/>
  <c r="AS319" i="76"/>
  <c r="J281" i="76"/>
  <c r="I660" i="76"/>
  <c r="AQ471" i="76"/>
  <c r="H357" i="76"/>
  <c r="I905" i="76"/>
  <c r="H146" i="76"/>
  <c r="M778" i="76"/>
  <c r="H673" i="76"/>
  <c r="I768" i="76"/>
  <c r="H181" i="76"/>
  <c r="K445" i="76"/>
  <c r="J99" i="76"/>
  <c r="H640" i="76"/>
  <c r="AQ638" i="76"/>
  <c r="AR784" i="76"/>
  <c r="AQ289" i="76"/>
  <c r="K1036" i="76"/>
  <c r="H982" i="76"/>
  <c r="H635" i="76"/>
  <c r="I929" i="76"/>
  <c r="AO497" i="76"/>
  <c r="H414" i="76"/>
  <c r="AP151" i="76"/>
  <c r="K623" i="76"/>
  <c r="M196" i="76"/>
  <c r="M587" i="76"/>
  <c r="AO325" i="76"/>
  <c r="H284" i="76"/>
  <c r="M662" i="76"/>
  <c r="AS476" i="76"/>
  <c r="L359" i="76"/>
  <c r="J912" i="76"/>
  <c r="K149" i="76"/>
  <c r="H785" i="76"/>
  <c r="M679" i="76"/>
  <c r="I781" i="76"/>
  <c r="H188" i="76"/>
  <c r="L458" i="76"/>
  <c r="K113" i="76"/>
  <c r="L706" i="76"/>
  <c r="AQ718" i="76"/>
  <c r="AR944" i="76"/>
  <c r="AS330" i="76"/>
  <c r="AT78" i="76"/>
  <c r="J1023" i="76"/>
  <c r="L761" i="76"/>
  <c r="AP1058" i="76"/>
  <c r="I699" i="76"/>
  <c r="AO409" i="76"/>
  <c r="L496" i="76"/>
  <c r="AT665" i="76"/>
  <c r="H967" i="76"/>
  <c r="M600" i="76"/>
  <c r="K259" i="76"/>
  <c r="AR159" i="76"/>
  <c r="M371" i="76"/>
  <c r="AQ234" i="76"/>
  <c r="J409" i="76"/>
  <c r="AT309" i="76"/>
  <c r="M446" i="76"/>
  <c r="AO386" i="76"/>
  <c r="H485" i="76"/>
  <c r="AR716" i="76"/>
  <c r="I469" i="76"/>
  <c r="I89" i="76"/>
  <c r="AQ194" i="76"/>
  <c r="AT660" i="76"/>
  <c r="J429" i="76"/>
  <c r="J670" i="76"/>
  <c r="H440" i="76"/>
  <c r="K209" i="76"/>
  <c r="L73" i="76"/>
  <c r="K725" i="76"/>
  <c r="L90" i="76"/>
  <c r="J341" i="76"/>
  <c r="AR917" i="76"/>
  <c r="J1052" i="76"/>
  <c r="AO259" i="76"/>
  <c r="H399" i="76"/>
  <c r="K336" i="76"/>
  <c r="J295" i="76"/>
  <c r="M760" i="76"/>
  <c r="AT1028" i="76"/>
  <c r="J82" i="76"/>
  <c r="J107" i="76"/>
  <c r="K132" i="76"/>
  <c r="K157" i="76"/>
  <c r="L722" i="76"/>
  <c r="M266" i="76"/>
  <c r="I103" i="76"/>
  <c r="J948" i="76"/>
  <c r="I78" i="76"/>
  <c r="L395" i="76"/>
  <c r="AR965" i="76"/>
  <c r="AO76" i="76"/>
  <c r="AS281" i="76"/>
  <c r="L421" i="76"/>
  <c r="I359" i="76"/>
  <c r="J307" i="76"/>
  <c r="M772" i="76"/>
  <c r="I90" i="76"/>
  <c r="J98" i="76"/>
  <c r="J123" i="76"/>
  <c r="K148" i="76"/>
  <c r="K173" i="76"/>
  <c r="H777" i="76"/>
  <c r="H304" i="76"/>
  <c r="H121" i="76"/>
  <c r="M1031" i="76"/>
  <c r="H457" i="76"/>
  <c r="M727" i="76"/>
  <c r="AT990" i="76"/>
  <c r="AQ89" i="76"/>
  <c r="AO295" i="76"/>
  <c r="H435" i="76"/>
  <c r="K372" i="76"/>
  <c r="H314" i="76"/>
  <c r="K779" i="76"/>
  <c r="M96" i="76"/>
  <c r="I107" i="76"/>
  <c r="I132" i="76"/>
  <c r="J157" i="76"/>
  <c r="K182" i="76"/>
  <c r="H808" i="76"/>
  <c r="H328" i="76"/>
  <c r="H128" i="76"/>
  <c r="AT77" i="76"/>
  <c r="I653" i="76"/>
  <c r="J853" i="76"/>
  <c r="AS702" i="76"/>
  <c r="AQ161" i="76"/>
  <c r="AO367" i="76"/>
  <c r="H507" i="76"/>
  <c r="K444" i="76"/>
  <c r="H350" i="76"/>
  <c r="K815" i="76"/>
  <c r="M132" i="76"/>
  <c r="I155" i="76"/>
  <c r="I180" i="76"/>
  <c r="J205" i="76"/>
  <c r="I232" i="76"/>
  <c r="J1008" i="76"/>
  <c r="I493" i="76"/>
  <c r="M177" i="76"/>
  <c r="AS525" i="76"/>
  <c r="I169" i="76"/>
  <c r="M458" i="76"/>
  <c r="AP373" i="76"/>
  <c r="AO882" i="76"/>
  <c r="AS195" i="76"/>
  <c r="K547" i="76"/>
  <c r="J1025" i="76"/>
  <c r="AS172" i="76"/>
  <c r="AP179" i="76"/>
  <c r="M426" i="76"/>
  <c r="J994" i="76"/>
  <c r="AR446" i="76"/>
  <c r="AO1026" i="76"/>
  <c r="AS267" i="76"/>
  <c r="I566" i="76"/>
  <c r="AS95" i="76"/>
  <c r="AQ247" i="76"/>
  <c r="AP403" i="76"/>
  <c r="I512" i="76"/>
  <c r="AT348" i="76"/>
  <c r="AS538" i="76"/>
  <c r="H910" i="76"/>
  <c r="AO353" i="76"/>
  <c r="K587" i="76"/>
  <c r="AO181" i="76"/>
  <c r="AS332" i="76"/>
  <c r="AP919" i="76"/>
  <c r="K610" i="76"/>
  <c r="K237" i="76"/>
  <c r="AP105" i="76"/>
  <c r="AS456" i="76"/>
  <c r="J961" i="76"/>
  <c r="M480" i="76"/>
  <c r="H852" i="76"/>
  <c r="L947" i="76"/>
  <c r="H760" i="76"/>
  <c r="K165" i="76"/>
  <c r="H353" i="76"/>
  <c r="AS138" i="76"/>
  <c r="H338" i="76"/>
  <c r="I164" i="76"/>
  <c r="K437" i="76"/>
  <c r="H169" i="76"/>
  <c r="AT416" i="76"/>
  <c r="I857" i="76"/>
  <c r="AS388" i="76"/>
  <c r="AO186" i="76"/>
  <c r="AP392" i="76"/>
  <c r="AT505" i="76"/>
  <c r="AT85" i="76"/>
  <c r="AS212" i="76"/>
  <c r="I149" i="76"/>
  <c r="L221" i="76"/>
  <c r="AR447" i="76"/>
  <c r="AO779" i="76"/>
  <c r="K525" i="76"/>
  <c r="AQ371" i="76"/>
  <c r="L890" i="76"/>
  <c r="AO580" i="76"/>
  <c r="AP427" i="76"/>
  <c r="H973" i="76"/>
  <c r="AR287" i="76"/>
  <c r="M343" i="76"/>
  <c r="H554" i="76"/>
  <c r="AT625" i="76"/>
  <c r="AR164" i="76"/>
  <c r="L995" i="76"/>
  <c r="H721" i="76"/>
  <c r="AO132" i="76"/>
  <c r="M134" i="76"/>
  <c r="I272" i="76"/>
  <c r="M514" i="76"/>
  <c r="M185" i="76"/>
  <c r="M435" i="76"/>
  <c r="AT69" i="76"/>
  <c r="AT1051" i="76"/>
  <c r="AQ997" i="76"/>
  <c r="AR897" i="76"/>
  <c r="AR556" i="76"/>
  <c r="AR86" i="76"/>
  <c r="AQ902" i="76"/>
  <c r="AP957" i="76"/>
  <c r="AS870" i="76"/>
  <c r="AT642" i="76"/>
  <c r="AP493" i="76"/>
  <c r="I916" i="76"/>
  <c r="AO797" i="76"/>
  <c r="AT819" i="76"/>
  <c r="AT1038" i="76"/>
  <c r="AP580" i="76"/>
  <c r="AP313" i="76"/>
  <c r="AS976" i="76"/>
  <c r="AQ662" i="76"/>
  <c r="AO1004" i="76"/>
  <c r="AT978" i="76"/>
  <c r="AT853" i="76"/>
  <c r="AR210" i="76"/>
  <c r="AQ1054" i="76"/>
  <c r="AS734" i="76"/>
  <c r="AO576" i="76"/>
  <c r="AO508" i="76"/>
  <c r="AR987" i="76"/>
  <c r="AR245" i="76"/>
  <c r="AO383" i="76"/>
  <c r="J923" i="76"/>
  <c r="L853" i="76"/>
  <c r="J352" i="76"/>
  <c r="AP294" i="76"/>
  <c r="K460" i="76"/>
  <c r="AS379" i="76"/>
  <c r="L588" i="76"/>
  <c r="AR886" i="76"/>
  <c r="AP700" i="76"/>
  <c r="AO726" i="76"/>
  <c r="AQ189" i="76"/>
  <c r="AR385" i="76"/>
  <c r="AQ796" i="76"/>
  <c r="AS149" i="76"/>
  <c r="L1038" i="76"/>
  <c r="L705" i="76"/>
  <c r="J428" i="76"/>
  <c r="H183" i="76"/>
  <c r="AR467" i="76"/>
  <c r="K895" i="76"/>
  <c r="I643" i="76"/>
  <c r="M365" i="76"/>
  <c r="AQ664" i="76"/>
  <c r="J1061" i="76"/>
  <c r="H686" i="76"/>
  <c r="AO1037" i="76"/>
  <c r="AR1038" i="76"/>
  <c r="AS994" i="76"/>
  <c r="AR873" i="76"/>
  <c r="AT552" i="76"/>
  <c r="M1050" i="76"/>
  <c r="AQ567" i="76"/>
  <c r="AO308" i="76"/>
  <c r="AR1035" i="76"/>
  <c r="AT482" i="76"/>
  <c r="AR237" i="76"/>
  <c r="AQ948" i="76"/>
  <c r="AR514" i="76"/>
  <c r="AQ236" i="76"/>
  <c r="J915" i="76"/>
  <c r="AQ403" i="76"/>
  <c r="J909" i="76"/>
  <c r="L653" i="76"/>
  <c r="J376" i="76"/>
  <c r="AR967" i="76"/>
  <c r="AP278" i="76"/>
  <c r="K836" i="76"/>
  <c r="I591" i="76"/>
  <c r="M313" i="76"/>
  <c r="AS363" i="76"/>
  <c r="M925" i="76"/>
  <c r="H634" i="76"/>
  <c r="AQ938" i="76"/>
  <c r="AT939" i="76"/>
  <c r="AS746" i="76"/>
  <c r="AR689" i="76"/>
  <c r="AT443" i="76"/>
  <c r="I952" i="76"/>
  <c r="AO504" i="76"/>
  <c r="AO184" i="76"/>
  <c r="AR851" i="76"/>
  <c r="AR433" i="76"/>
  <c r="AP188" i="76"/>
  <c r="AS849" i="76"/>
  <c r="AS389" i="76"/>
  <c r="AQ144" i="76"/>
  <c r="AS1020" i="76"/>
  <c r="AS304" i="76"/>
  <c r="L849" i="76"/>
  <c r="L529" i="76"/>
  <c r="J284" i="76"/>
  <c r="AP770" i="76"/>
  <c r="AR179" i="76"/>
  <c r="I787" i="76"/>
  <c r="I467" i="76"/>
  <c r="M221" i="76"/>
  <c r="AO265" i="76"/>
  <c r="L862" i="76"/>
  <c r="L584" i="76"/>
  <c r="AP857" i="76"/>
  <c r="AP756" i="76"/>
  <c r="M954" i="76"/>
  <c r="AO292" i="76"/>
  <c r="AR509" i="76"/>
  <c r="AO767" i="76"/>
  <c r="AS177" i="76"/>
  <c r="AQ307" i="76"/>
  <c r="L637" i="76"/>
  <c r="H83" i="76"/>
  <c r="M745" i="76"/>
  <c r="I255" i="76"/>
  <c r="J864" i="76"/>
  <c r="J415" i="76"/>
  <c r="AR676" i="76"/>
  <c r="H999" i="76"/>
  <c r="M720" i="76"/>
  <c r="K443" i="76"/>
  <c r="I198" i="76"/>
  <c r="AP170" i="76"/>
  <c r="M419" i="76"/>
  <c r="AO859" i="76"/>
  <c r="J777" i="76"/>
  <c r="L286" i="76"/>
  <c r="AR320" i="76"/>
  <c r="M494" i="76"/>
  <c r="H80" i="76"/>
  <c r="H853" i="76"/>
  <c r="J362" i="76"/>
  <c r="AP759" i="76"/>
  <c r="I565" i="76"/>
  <c r="L539" i="76"/>
  <c r="J589" i="76"/>
  <c r="M791" i="76"/>
  <c r="AP901" i="76"/>
  <c r="AP1051" i="76"/>
  <c r="AQ1011" i="76"/>
  <c r="AQ165" i="76"/>
  <c r="AT446" i="76"/>
  <c r="AQ812" i="76"/>
  <c r="H1050" i="76"/>
  <c r="AO182" i="76"/>
  <c r="H511" i="76"/>
  <c r="AR823" i="76"/>
  <c r="K768" i="76"/>
  <c r="AQ696" i="76"/>
  <c r="L800" i="76"/>
  <c r="L352" i="76"/>
  <c r="AS578" i="76"/>
  <c r="H1015" i="76"/>
  <c r="I658" i="76"/>
  <c r="M412" i="76"/>
  <c r="K135" i="76"/>
  <c r="K1046" i="76"/>
  <c r="M443" i="76"/>
  <c r="AS463" i="76"/>
  <c r="H716" i="76"/>
  <c r="M183" i="76"/>
  <c r="AT197" i="76"/>
  <c r="M518" i="76"/>
  <c r="AS660" i="76"/>
  <c r="L791" i="76"/>
  <c r="H237" i="76"/>
  <c r="AP419" i="76"/>
  <c r="I613" i="76"/>
  <c r="J253" i="76"/>
  <c r="H449" i="76"/>
  <c r="I504" i="76"/>
  <c r="AR826" i="76"/>
  <c r="AR597" i="76"/>
  <c r="AQ667" i="76"/>
  <c r="AO128" i="76"/>
  <c r="AR345" i="76"/>
  <c r="AS737" i="76"/>
  <c r="AO99" i="76"/>
  <c r="K996" i="76"/>
  <c r="L473" i="76"/>
  <c r="AP494" i="76"/>
  <c r="I731" i="76"/>
  <c r="AQ888" i="76"/>
  <c r="J699" i="76"/>
  <c r="L332" i="76"/>
  <c r="AT457" i="76"/>
  <c r="J988" i="76"/>
  <c r="M680" i="76"/>
  <c r="M360" i="76"/>
  <c r="K115" i="76"/>
  <c r="K903" i="76"/>
  <c r="M403" i="76"/>
  <c r="AS568" i="76"/>
  <c r="H612" i="76"/>
  <c r="I157" i="76"/>
  <c r="K1003" i="76"/>
  <c r="M478" i="76"/>
  <c r="AO842" i="76"/>
  <c r="L687" i="76"/>
  <c r="H261" i="76"/>
  <c r="AO632" i="76"/>
  <c r="AT140" i="76"/>
  <c r="AS359" i="76"/>
  <c r="J103" i="76"/>
  <c r="H504" i="76"/>
  <c r="K706" i="76"/>
  <c r="AS707" i="76"/>
  <c r="AQ729" i="76"/>
  <c r="AR752" i="76"/>
  <c r="AT191" i="76"/>
  <c r="AQ635" i="76"/>
  <c r="AO368" i="76"/>
  <c r="J1068" i="76"/>
  <c r="AQ553" i="76"/>
  <c r="AP308" i="76"/>
  <c r="AO1047" i="76"/>
  <c r="AR594" i="76"/>
  <c r="AO275" i="76"/>
  <c r="J975" i="76"/>
  <c r="AT555" i="76"/>
  <c r="I975" i="76"/>
  <c r="L713" i="76"/>
  <c r="H415" i="76"/>
  <c r="J116" i="76"/>
  <c r="AR419" i="76"/>
  <c r="M891" i="76"/>
  <c r="I651" i="76"/>
  <c r="K352" i="76"/>
  <c r="AS483" i="76"/>
  <c r="H1020" i="76"/>
  <c r="J683" i="76"/>
  <c r="H454" i="76"/>
  <c r="L304" i="76"/>
  <c r="AT745" i="76"/>
  <c r="AP423" i="76"/>
  <c r="AR124" i="76"/>
  <c r="M936" i="76"/>
  <c r="I770" i="76"/>
  <c r="M620" i="76"/>
  <c r="K503" i="76"/>
  <c r="I354" i="76"/>
  <c r="M236" i="76"/>
  <c r="K87" i="76"/>
  <c r="AR239" i="76"/>
  <c r="J860" i="76"/>
  <c r="I561" i="76"/>
  <c r="K326" i="76"/>
  <c r="L94" i="76"/>
  <c r="AQ314" i="76"/>
  <c r="I907" i="76"/>
  <c r="L598" i="76"/>
  <c r="H364" i="76"/>
  <c r="M119" i="76"/>
  <c r="AT389" i="76"/>
  <c r="I957" i="76"/>
  <c r="I636" i="76"/>
  <c r="K401" i="76"/>
  <c r="H145" i="76"/>
  <c r="AO466" i="76"/>
  <c r="H1008" i="76"/>
  <c r="J674" i="76"/>
  <c r="L439" i="76"/>
  <c r="H170" i="76"/>
  <c r="AR1036" i="76"/>
  <c r="AQ399" i="76"/>
  <c r="M847" i="76"/>
  <c r="K378" i="76"/>
  <c r="J765" i="76"/>
  <c r="K142" i="76"/>
  <c r="H865" i="76"/>
  <c r="K200" i="76"/>
  <c r="J1001" i="76"/>
  <c r="J285" i="76"/>
  <c r="AT639" i="76"/>
  <c r="AR581" i="76"/>
  <c r="AS744" i="76"/>
  <c r="AS182" i="76"/>
  <c r="AR357" i="76"/>
  <c r="AO575" i="76"/>
  <c r="AS89" i="76"/>
  <c r="I1045" i="76"/>
  <c r="J528" i="76"/>
  <c r="AR520" i="76"/>
  <c r="K636" i="76"/>
  <c r="AO851" i="76"/>
  <c r="L732" i="76"/>
  <c r="L360" i="76"/>
  <c r="AP471" i="76"/>
  <c r="I926" i="76"/>
  <c r="M676" i="76"/>
  <c r="I378" i="76"/>
  <c r="K143" i="76"/>
  <c r="I921" i="76"/>
  <c r="K310" i="76"/>
  <c r="AQ547" i="76"/>
  <c r="L646" i="76"/>
  <c r="K194" i="76"/>
  <c r="J1021" i="76"/>
  <c r="K385" i="76"/>
  <c r="AO810" i="76"/>
  <c r="J722" i="76"/>
  <c r="H253" i="76"/>
  <c r="AO618" i="76"/>
  <c r="K346" i="76"/>
  <c r="L338" i="76"/>
  <c r="L290" i="76"/>
  <c r="J541" i="76"/>
  <c r="AO141" i="76"/>
  <c r="L362" i="76"/>
  <c r="AP99" i="76"/>
  <c r="L1031" i="76"/>
  <c r="AQ815" i="76"/>
  <c r="AO552" i="76"/>
  <c r="M1060" i="76"/>
  <c r="H520" i="76"/>
  <c r="AS231" i="76"/>
  <c r="I712" i="76"/>
  <c r="AR391" i="76"/>
  <c r="AP661" i="76"/>
  <c r="AT602" i="76"/>
  <c r="AQ787" i="76"/>
  <c r="AQ193" i="76"/>
  <c r="AP368" i="76"/>
  <c r="AP589" i="76"/>
  <c r="AQ100" i="76"/>
  <c r="J1066" i="76"/>
  <c r="H539" i="76"/>
  <c r="AT548" i="76"/>
  <c r="I647" i="76"/>
  <c r="AS893" i="76"/>
  <c r="J743" i="76"/>
  <c r="H366" i="76"/>
  <c r="AT481" i="76"/>
  <c r="I933" i="76"/>
  <c r="I682" i="76"/>
  <c r="K383" i="76"/>
  <c r="M148" i="76"/>
  <c r="K935" i="76"/>
  <c r="I321" i="76"/>
  <c r="AT575" i="76"/>
  <c r="J657" i="76"/>
  <c r="K201" i="76"/>
  <c r="K1038" i="76"/>
  <c r="I396" i="76"/>
  <c r="AS852" i="76"/>
  <c r="H733" i="76"/>
  <c r="L263" i="76"/>
  <c r="AO698" i="76"/>
  <c r="M367" i="76"/>
  <c r="M362" i="76"/>
  <c r="M314" i="76"/>
  <c r="K565" i="76"/>
  <c r="AR152" i="76"/>
  <c r="I368" i="76"/>
  <c r="AT124" i="76"/>
  <c r="I1050" i="76"/>
  <c r="AS900" i="76"/>
  <c r="AT608" i="76"/>
  <c r="AQ111" i="76"/>
  <c r="I544" i="76"/>
  <c r="AT284" i="76"/>
  <c r="L779" i="76"/>
  <c r="I79" i="76"/>
  <c r="AR750" i="76"/>
  <c r="AP692" i="76"/>
  <c r="AO966" i="76"/>
  <c r="AS238" i="76"/>
  <c r="AR413" i="76"/>
  <c r="AQ660" i="76"/>
  <c r="AS145" i="76"/>
  <c r="AO158" i="76"/>
  <c r="J584" i="76"/>
  <c r="AP690" i="76"/>
  <c r="K692" i="76"/>
  <c r="I223" i="76"/>
  <c r="L788" i="76"/>
  <c r="L388" i="76"/>
  <c r="AR532" i="76"/>
  <c r="K963" i="76"/>
  <c r="M704" i="76"/>
  <c r="I406" i="76"/>
  <c r="K171" i="76"/>
  <c r="M995" i="76"/>
  <c r="K366" i="76"/>
  <c r="AO583" i="76"/>
  <c r="H660" i="76"/>
  <c r="J203" i="76"/>
  <c r="L1042" i="76"/>
  <c r="M398" i="76"/>
  <c r="AQ863" i="76"/>
  <c r="L735" i="76"/>
  <c r="J266" i="76"/>
  <c r="AQ719" i="76"/>
  <c r="I373" i="76"/>
  <c r="H369" i="76"/>
  <c r="H321" i="76"/>
  <c r="L571" i="76"/>
  <c r="AS164" i="76"/>
  <c r="J374" i="76"/>
  <c r="AP147" i="76"/>
  <c r="AO77" i="76"/>
  <c r="AO986" i="76"/>
  <c r="AR684" i="76"/>
  <c r="AQ159" i="76"/>
  <c r="I568" i="76"/>
  <c r="AP370" i="76"/>
  <c r="H849" i="76"/>
  <c r="H361" i="76"/>
  <c r="AT703" i="76"/>
  <c r="AR645" i="76"/>
  <c r="AS872" i="76"/>
  <c r="AS214" i="76"/>
  <c r="AR389" i="76"/>
  <c r="AS617" i="76"/>
  <c r="AS121" i="76"/>
  <c r="AO110" i="76"/>
  <c r="J560" i="76"/>
  <c r="AT605" i="76"/>
  <c r="K668" i="76"/>
  <c r="AO979" i="76"/>
  <c r="L764" i="76"/>
  <c r="L376" i="76"/>
  <c r="AP503" i="76"/>
  <c r="K947" i="76"/>
  <c r="M692" i="76"/>
  <c r="I394" i="76"/>
  <c r="K159" i="76"/>
  <c r="M963" i="76"/>
  <c r="K342" i="76"/>
  <c r="AO635" i="76"/>
  <c r="L678" i="76"/>
  <c r="M215" i="76"/>
  <c r="AR80" i="76"/>
  <c r="K417" i="76"/>
  <c r="AO938" i="76"/>
  <c r="J754" i="76"/>
  <c r="H285" i="76"/>
  <c r="AS868" i="76"/>
  <c r="K410" i="76"/>
  <c r="L411" i="76"/>
  <c r="L363" i="76"/>
  <c r="J614" i="76"/>
  <c r="AR200" i="76"/>
  <c r="I392" i="76"/>
  <c r="AO221" i="76"/>
  <c r="AS148" i="76"/>
  <c r="L81" i="76"/>
  <c r="AR940" i="76"/>
  <c r="AS327" i="76"/>
  <c r="K642" i="76"/>
  <c r="AP682" i="76"/>
  <c r="AO138" i="76"/>
  <c r="AP1066" i="76"/>
  <c r="AR661" i="76"/>
  <c r="AO352" i="76"/>
  <c r="AO887" i="76"/>
  <c r="AQ711" i="76"/>
  <c r="J100" i="76"/>
  <c r="AQ1016" i="76"/>
  <c r="L444" i="76"/>
  <c r="L1041" i="76"/>
  <c r="I526" i="76"/>
  <c r="AP202" i="76"/>
  <c r="AO667" i="76"/>
  <c r="J345" i="76"/>
  <c r="K553" i="76"/>
  <c r="AQ87" i="76"/>
  <c r="AP887" i="76"/>
  <c r="K429" i="76"/>
  <c r="K944" i="76"/>
  <c r="M551" i="76"/>
  <c r="H329" i="76"/>
  <c r="K245" i="76"/>
  <c r="L690" i="76"/>
  <c r="M218" i="76"/>
  <c r="AR1018" i="76"/>
  <c r="AR330" i="76"/>
  <c r="AR560" i="76"/>
  <c r="AQ152" i="76"/>
  <c r="H719" i="76"/>
  <c r="AR387" i="76"/>
  <c r="AQ760" i="76"/>
  <c r="J455" i="76"/>
  <c r="AR404" i="76"/>
  <c r="M664" i="76"/>
  <c r="I238" i="76"/>
  <c r="I841" i="76"/>
  <c r="AQ490" i="76"/>
  <c r="L366" i="76"/>
  <c r="J932" i="76"/>
  <c r="AO714" i="76"/>
  <c r="J442" i="76"/>
  <c r="AS324" i="76"/>
  <c r="L283" i="76"/>
  <c r="M1008" i="76"/>
  <c r="I998" i="76"/>
  <c r="K994" i="76"/>
  <c r="J342" i="76"/>
  <c r="AP114" i="76"/>
  <c r="K397" i="76"/>
  <c r="L603" i="76"/>
  <c r="AP306" i="76"/>
  <c r="AT538" i="76"/>
  <c r="AS374" i="76"/>
  <c r="AR293" i="76"/>
  <c r="J1067" i="76"/>
  <c r="J720" i="76"/>
  <c r="AP390" i="76"/>
  <c r="AS765" i="76"/>
  <c r="L456" i="76"/>
  <c r="AP407" i="76"/>
  <c r="I666" i="76"/>
  <c r="K239" i="76"/>
  <c r="M843" i="76"/>
  <c r="AS495" i="76"/>
  <c r="J369" i="76"/>
  <c r="M935" i="76"/>
  <c r="AS724" i="76"/>
  <c r="H445" i="76"/>
  <c r="AQ335" i="76"/>
  <c r="K290" i="76"/>
  <c r="H1017" i="76"/>
  <c r="J1006" i="76"/>
  <c r="H1012" i="76"/>
  <c r="L354" i="76"/>
  <c r="AR136" i="76"/>
  <c r="J422" i="76"/>
  <c r="J701" i="76"/>
  <c r="K106" i="76"/>
  <c r="AT618" i="76"/>
  <c r="AO416" i="76"/>
  <c r="AT334" i="76"/>
  <c r="AS109" i="76"/>
  <c r="H847" i="76"/>
  <c r="J164" i="76"/>
  <c r="K784" i="76"/>
  <c r="AR602" i="76"/>
  <c r="H582" i="76"/>
  <c r="AR836" i="76"/>
  <c r="M1024" i="76"/>
  <c r="K643" i="76"/>
  <c r="I302" i="76"/>
  <c r="AP330" i="76"/>
  <c r="I457" i="76"/>
  <c r="AO405" i="76"/>
  <c r="L494" i="76"/>
  <c r="AR480" i="76"/>
  <c r="I532" i="76"/>
  <c r="AT571" i="76"/>
  <c r="J570" i="76"/>
  <c r="AS439" i="76"/>
  <c r="M639" i="76"/>
  <c r="M202" i="76"/>
  <c r="AO1050" i="76"/>
  <c r="M86" i="76"/>
  <c r="J526" i="76"/>
  <c r="M867" i="76"/>
  <c r="M634" i="76"/>
  <c r="H392" i="76"/>
  <c r="K184" i="76"/>
  <c r="I213" i="76"/>
  <c r="H384" i="76"/>
  <c r="AO90" i="76"/>
  <c r="AQ825" i="76"/>
  <c r="AO224" i="76"/>
  <c r="AS429" i="76"/>
  <c r="L569" i="76"/>
  <c r="I507" i="76"/>
  <c r="L380" i="76"/>
  <c r="I846" i="76"/>
  <c r="K163" i="76"/>
  <c r="H196" i="76"/>
  <c r="I221" i="76"/>
  <c r="M254" i="76"/>
  <c r="H293" i="76"/>
  <c r="AP275" i="76"/>
  <c r="I632" i="76"/>
  <c r="H217" i="76"/>
  <c r="L95" i="76"/>
  <c r="I397" i="76"/>
  <c r="AT476" i="76"/>
  <c r="AQ873" i="76"/>
  <c r="AS246" i="76"/>
  <c r="AQ452" i="76"/>
  <c r="J592" i="76"/>
  <c r="M529" i="76"/>
  <c r="L392" i="76"/>
  <c r="J858" i="76"/>
  <c r="K175" i="76"/>
  <c r="H212" i="76"/>
  <c r="J241" i="76"/>
  <c r="M278" i="76"/>
  <c r="H317" i="76"/>
  <c r="AQ466" i="76"/>
  <c r="H688" i="76"/>
  <c r="I240" i="76"/>
  <c r="I131" i="76"/>
  <c r="J518" i="76"/>
  <c r="H206" i="76"/>
  <c r="AS898" i="76"/>
  <c r="AO260" i="76"/>
  <c r="AS465" i="76"/>
  <c r="L605" i="76"/>
  <c r="I543" i="76"/>
  <c r="J399" i="76"/>
  <c r="H866" i="76"/>
  <c r="I182" i="76"/>
  <c r="H221" i="76"/>
  <c r="L254" i="76"/>
  <c r="I292" i="76"/>
  <c r="J330" i="76"/>
  <c r="AS593" i="76"/>
  <c r="K717" i="76"/>
  <c r="I253" i="76"/>
  <c r="J145" i="76"/>
  <c r="M567" i="76"/>
  <c r="I317" i="76"/>
  <c r="AO1044" i="76"/>
  <c r="AO332" i="76"/>
  <c r="AR546" i="76"/>
  <c r="L677" i="76"/>
  <c r="I615" i="76"/>
  <c r="J435" i="76"/>
  <c r="M911" i="76"/>
  <c r="I218" i="76"/>
  <c r="I289" i="76"/>
  <c r="L326" i="76"/>
  <c r="I364" i="76"/>
  <c r="J402" i="76"/>
  <c r="M303" i="76"/>
  <c r="L887" i="76"/>
  <c r="K338" i="76"/>
  <c r="H257" i="76"/>
  <c r="H923" i="76"/>
  <c r="AR767" i="76"/>
  <c r="AT746" i="76"/>
  <c r="AS173" i="76"/>
  <c r="I251" i="76"/>
  <c r="I718" i="76"/>
  <c r="AS837" i="76"/>
  <c r="J77" i="76"/>
  <c r="H528" i="76"/>
  <c r="AQ640" i="76"/>
  <c r="K891" i="76"/>
  <c r="AP820" i="76"/>
  <c r="AS209" i="76"/>
  <c r="I287" i="76"/>
  <c r="M736" i="76"/>
  <c r="AO987" i="76"/>
  <c r="K100" i="76"/>
  <c r="J613" i="76"/>
  <c r="H74" i="76"/>
  <c r="AP163" i="76"/>
  <c r="AR905" i="76"/>
  <c r="AQ252" i="76"/>
  <c r="M329" i="76"/>
  <c r="I758" i="76"/>
  <c r="L79" i="76"/>
  <c r="H129" i="76"/>
  <c r="J710" i="76"/>
  <c r="L99" i="76"/>
  <c r="AQ943" i="76"/>
  <c r="AT1005" i="76"/>
  <c r="H1038" i="76"/>
  <c r="AQ648" i="76"/>
  <c r="K651" i="76"/>
  <c r="AO437" i="76"/>
  <c r="AR614" i="76"/>
  <c r="H225" i="76"/>
  <c r="M913" i="76"/>
  <c r="L275" i="76"/>
  <c r="M1030" i="76"/>
  <c r="J913" i="76"/>
  <c r="L814" i="76"/>
  <c r="L674" i="76"/>
  <c r="H201" i="76"/>
  <c r="H563" i="76"/>
  <c r="M160" i="76"/>
  <c r="L287" i="76"/>
  <c r="K88" i="76"/>
  <c r="AS302" i="76"/>
  <c r="L420" i="76"/>
  <c r="J297" i="76"/>
  <c r="H816" i="76"/>
  <c r="L834" i="76"/>
  <c r="K916" i="76"/>
  <c r="K331" i="76"/>
  <c r="H629" i="76"/>
  <c r="H769" i="76"/>
  <c r="AR221" i="76"/>
  <c r="M846" i="76"/>
  <c r="AP835" i="76"/>
  <c r="AS351" i="76"/>
  <c r="H142" i="76"/>
  <c r="M632" i="76"/>
  <c r="H817" i="76"/>
  <c r="K756" i="76"/>
  <c r="K586" i="76"/>
  <c r="H947" i="76"/>
  <c r="I374" i="76"/>
  <c r="M182" i="76"/>
  <c r="J714" i="76"/>
  <c r="AP274" i="76"/>
  <c r="L638" i="76"/>
  <c r="L74" i="76"/>
  <c r="L135" i="76"/>
  <c r="L1009" i="76"/>
  <c r="AR1062" i="76"/>
  <c r="AS1050" i="76"/>
  <c r="AP908" i="76"/>
  <c r="AT861" i="76"/>
  <c r="AR182" i="76"/>
  <c r="AO913" i="76"/>
  <c r="AR1010" i="76"/>
  <c r="AQ881" i="76"/>
  <c r="AR813" i="76"/>
  <c r="AP615" i="76"/>
  <c r="M926" i="76"/>
  <c r="AQ850" i="76"/>
  <c r="AR830" i="76"/>
  <c r="AO776" i="76"/>
  <c r="AP676" i="76"/>
  <c r="AT323" i="76"/>
  <c r="I864" i="76"/>
  <c r="AO673" i="76"/>
  <c r="AT727" i="76"/>
  <c r="AQ641" i="76"/>
  <c r="AP875" i="76"/>
  <c r="AT263" i="76"/>
  <c r="AS728" i="76"/>
  <c r="AP629" i="76"/>
  <c r="AT933" i="76"/>
  <c r="AP521" i="76"/>
  <c r="H1059" i="76"/>
  <c r="AP256" i="76"/>
  <c r="AT567" i="76"/>
  <c r="J1019" i="76"/>
  <c r="J865" i="76"/>
  <c r="L405" i="76"/>
  <c r="AR315" i="76"/>
  <c r="I631" i="76"/>
  <c r="AT591" i="76"/>
  <c r="J599" i="76"/>
  <c r="AP993" i="76"/>
  <c r="AR721" i="76"/>
  <c r="M1026" i="76"/>
  <c r="AQ285" i="76"/>
  <c r="AP396" i="76"/>
  <c r="AO903" i="76"/>
  <c r="AQ160" i="76"/>
  <c r="AQ379" i="76"/>
  <c r="H759" i="76"/>
  <c r="H439" i="76"/>
  <c r="L193" i="76"/>
  <c r="AT488" i="76"/>
  <c r="I1009" i="76"/>
  <c r="K696" i="76"/>
  <c r="K376" i="76"/>
  <c r="AO707" i="76"/>
  <c r="AS83" i="76"/>
  <c r="J771" i="76"/>
  <c r="H494" i="76"/>
  <c r="AT1059" i="76"/>
  <c r="AO1016" i="76"/>
  <c r="AT894" i="76"/>
  <c r="AR856" i="76"/>
  <c r="AR158" i="76"/>
  <c r="AS581" i="76"/>
  <c r="AS318" i="76"/>
  <c r="AT1056" i="76"/>
  <c r="AP587" i="76"/>
  <c r="AT290" i="76"/>
  <c r="AS969" i="76"/>
  <c r="AS528" i="76"/>
  <c r="AO247" i="76"/>
  <c r="L1000" i="76"/>
  <c r="AO510" i="76"/>
  <c r="L923" i="76"/>
  <c r="J664" i="76"/>
  <c r="H387" i="76"/>
  <c r="L141" i="76"/>
  <c r="AT384" i="76"/>
  <c r="I847" i="76"/>
  <c r="M601" i="76"/>
  <c r="K324" i="76"/>
  <c r="AO542" i="76"/>
  <c r="H997" i="76"/>
  <c r="L644" i="76"/>
  <c r="AS959" i="76"/>
  <c r="AP961" i="76"/>
  <c r="AQ917" i="76"/>
  <c r="AP796" i="76"/>
  <c r="AP465" i="76"/>
  <c r="K973" i="76"/>
  <c r="AT515" i="76"/>
  <c r="AQ269" i="76"/>
  <c r="AP958" i="76"/>
  <c r="AP444" i="76"/>
  <c r="AT198" i="76"/>
  <c r="AO871" i="76"/>
  <c r="AO475" i="76"/>
  <c r="AS197" i="76"/>
  <c r="AQ1063" i="76"/>
  <c r="AO326" i="76"/>
  <c r="M860" i="76"/>
  <c r="H615" i="76"/>
  <c r="L337" i="76"/>
  <c r="AT812" i="76"/>
  <c r="AT200" i="76"/>
  <c r="M797" i="76"/>
  <c r="K552" i="76"/>
  <c r="I275" i="76"/>
  <c r="AQ286" i="76"/>
  <c r="H875" i="76"/>
  <c r="J595" i="76"/>
  <c r="AQ642" i="76"/>
  <c r="AR969" i="76"/>
  <c r="K997" i="76"/>
  <c r="AQ313" i="76"/>
  <c r="AQ537" i="76"/>
  <c r="I1039" i="76"/>
  <c r="AQ284" i="76"/>
  <c r="AO350" i="76"/>
  <c r="H659" i="76"/>
  <c r="J104" i="76"/>
  <c r="M932" i="76"/>
  <c r="M361" i="76"/>
  <c r="J890" i="76"/>
  <c r="H426" i="76"/>
  <c r="AP719" i="76"/>
  <c r="AT153" i="76"/>
  <c r="I774" i="76"/>
  <c r="I454" i="76"/>
  <c r="M208" i="76"/>
  <c r="AT212" i="76"/>
  <c r="K590" i="76"/>
  <c r="H100" i="76"/>
  <c r="L798" i="76"/>
  <c r="H308" i="76"/>
  <c r="AP363" i="76"/>
  <c r="K665" i="76"/>
  <c r="J150" i="76"/>
  <c r="M876" i="76"/>
  <c r="L383" i="76"/>
  <c r="AT929" i="76"/>
  <c r="K919" i="76"/>
  <c r="H784" i="76"/>
  <c r="K637" i="76"/>
  <c r="H840" i="76"/>
  <c r="AT943" i="76"/>
  <c r="AT842" i="76"/>
  <c r="K1041" i="76"/>
  <c r="AS186" i="76"/>
  <c r="AP468" i="76"/>
  <c r="AO855" i="76"/>
  <c r="AS221" i="76"/>
  <c r="AQ395" i="76"/>
  <c r="J532" i="76"/>
  <c r="AT908" i="76"/>
  <c r="M789" i="76"/>
  <c r="I299" i="76"/>
  <c r="K920" i="76"/>
  <c r="J363" i="76"/>
  <c r="AP607" i="76"/>
  <c r="H1031" i="76"/>
  <c r="K743" i="76"/>
  <c r="I466" i="76"/>
  <c r="I146" i="76"/>
  <c r="AP90" i="76"/>
  <c r="I465" i="76"/>
  <c r="AQ1040" i="76"/>
  <c r="L822" i="76"/>
  <c r="H198" i="76"/>
  <c r="AR240" i="76"/>
  <c r="I540" i="76"/>
  <c r="J109" i="76"/>
  <c r="K908" i="76"/>
  <c r="J258" i="76"/>
  <c r="AR504" i="76"/>
  <c r="M655" i="76"/>
  <c r="M642" i="76"/>
  <c r="J693" i="76"/>
  <c r="H553" i="76"/>
  <c r="AP869" i="76"/>
  <c r="AP640" i="76"/>
  <c r="M966" i="76"/>
  <c r="AS234" i="76"/>
  <c r="AT366" i="76"/>
  <c r="AQ780" i="76"/>
  <c r="AQ120" i="76"/>
  <c r="AS320" i="76"/>
  <c r="J580" i="76"/>
  <c r="AQ545" i="76"/>
  <c r="K752" i="76"/>
  <c r="AS973" i="76"/>
  <c r="M871" i="76"/>
  <c r="H386" i="76"/>
  <c r="AP479" i="76"/>
  <c r="K1002" i="76"/>
  <c r="K691" i="76"/>
  <c r="I446" i="76"/>
  <c r="M168" i="76"/>
  <c r="M931" i="76"/>
  <c r="I425" i="76"/>
  <c r="AP626" i="76"/>
  <c r="L782" i="76"/>
  <c r="K229" i="76"/>
  <c r="J1034" i="76"/>
  <c r="I500" i="76"/>
  <c r="AQ927" i="76"/>
  <c r="K858" i="76"/>
  <c r="L303" i="76"/>
  <c r="AT801" i="76"/>
  <c r="AR311" i="76"/>
  <c r="AS536" i="76"/>
  <c r="J357" i="76"/>
  <c r="I552" i="76"/>
  <c r="L754" i="76"/>
  <c r="AQ750" i="76"/>
  <c r="AO772" i="76"/>
  <c r="AT522" i="76"/>
  <c r="AR234" i="76"/>
  <c r="AO678" i="76"/>
  <c r="AQ389" i="76"/>
  <c r="AS90" i="76"/>
  <c r="AP686" i="76"/>
  <c r="AR329" i="76"/>
  <c r="M1029" i="76"/>
  <c r="AP623" i="76"/>
  <c r="AQ296" i="76"/>
  <c r="L1060" i="76"/>
  <c r="AS612" i="76"/>
  <c r="L1003" i="76"/>
  <c r="H735" i="76"/>
  <c r="J436" i="76"/>
  <c r="L201" i="76"/>
  <c r="AP462" i="76"/>
  <c r="J920" i="76"/>
  <c r="K672" i="76"/>
  <c r="M373" i="76"/>
  <c r="AO739" i="76"/>
  <c r="H1056" i="76"/>
  <c r="L704" i="76"/>
  <c r="H470" i="76"/>
  <c r="J315" i="76"/>
  <c r="AR916" i="76"/>
  <c r="AR444" i="76"/>
  <c r="AT145" i="76"/>
  <c r="H951" i="76"/>
  <c r="M780" i="76"/>
  <c r="K663" i="76"/>
  <c r="I514" i="76"/>
  <c r="M364" i="76"/>
  <c r="K247" i="76"/>
  <c r="I98" i="76"/>
  <c r="AP410" i="76"/>
  <c r="L885" i="76"/>
  <c r="K582" i="76"/>
  <c r="M347" i="76"/>
  <c r="H109" i="76"/>
  <c r="AO485" i="76"/>
  <c r="L935" i="76"/>
  <c r="H620" i="76"/>
  <c r="J385" i="76"/>
  <c r="H134" i="76"/>
  <c r="AT576" i="76"/>
  <c r="L985" i="76"/>
  <c r="K657" i="76"/>
  <c r="M422" i="76"/>
  <c r="I159" i="76"/>
  <c r="AQ703" i="76"/>
  <c r="M1039" i="76"/>
  <c r="L695" i="76"/>
  <c r="H461" i="76"/>
  <c r="I184" i="76"/>
  <c r="AS630" i="76"/>
  <c r="AS484" i="76"/>
  <c r="I898" i="76"/>
  <c r="I421" i="76"/>
  <c r="K813" i="76"/>
  <c r="K277" i="76"/>
  <c r="H927" i="76"/>
  <c r="M230" i="76"/>
  <c r="AP83" i="76"/>
  <c r="K333" i="76"/>
  <c r="AP981" i="76"/>
  <c r="AT666" i="76"/>
  <c r="AQ915" i="76"/>
  <c r="AQ225" i="76"/>
  <c r="AP400" i="76"/>
  <c r="AS889" i="76"/>
  <c r="AQ132" i="76"/>
  <c r="AQ131" i="76"/>
  <c r="H571" i="76"/>
  <c r="AT636" i="76"/>
  <c r="I807" i="76"/>
  <c r="AS1021" i="76"/>
  <c r="J775" i="76"/>
  <c r="H382" i="76"/>
  <c r="AS514" i="76"/>
  <c r="M1043" i="76"/>
  <c r="I698" i="76"/>
  <c r="K399" i="76"/>
  <c r="M164" i="76"/>
  <c r="I978" i="76"/>
  <c r="I481" i="76"/>
  <c r="AS677" i="76"/>
  <c r="J689" i="76"/>
  <c r="J223" i="76"/>
  <c r="AT101" i="76"/>
  <c r="I556" i="76"/>
  <c r="AS980" i="76"/>
  <c r="H765" i="76"/>
  <c r="L295" i="76"/>
  <c r="AO954" i="76"/>
  <c r="M687" i="76"/>
  <c r="L435" i="76"/>
  <c r="L387" i="76"/>
  <c r="J638" i="76"/>
  <c r="AT237" i="76"/>
  <c r="J557" i="76"/>
  <c r="AQ306" i="76"/>
  <c r="AT221" i="76"/>
  <c r="L102" i="76"/>
  <c r="K76" i="76"/>
  <c r="H220" i="76"/>
  <c r="M714" i="76"/>
  <c r="I105" i="76"/>
  <c r="AO858" i="76"/>
  <c r="AR327" i="76"/>
  <c r="AR1002" i="76"/>
  <c r="AP688" i="76"/>
  <c r="AO958" i="76"/>
  <c r="AO236" i="76"/>
  <c r="AT410" i="76"/>
  <c r="AO911" i="76"/>
  <c r="AO143" i="76"/>
  <c r="AS152" i="76"/>
  <c r="L581" i="76"/>
  <c r="AR679" i="76"/>
  <c r="M817" i="76"/>
  <c r="AQ1064" i="76"/>
  <c r="H786" i="76"/>
  <c r="J387" i="76"/>
  <c r="AT528" i="76"/>
  <c r="I1054" i="76"/>
  <c r="K703" i="76"/>
  <c r="M404" i="76"/>
  <c r="I170" i="76"/>
  <c r="J992" i="76"/>
  <c r="M491" i="76"/>
  <c r="AQ720" i="76"/>
  <c r="H700" i="76"/>
  <c r="M231" i="76"/>
  <c r="AP123" i="76"/>
  <c r="M566" i="76"/>
  <c r="AQ1023" i="76"/>
  <c r="L775" i="76"/>
  <c r="J306" i="76"/>
  <c r="AQ1039" i="76"/>
  <c r="I709" i="76"/>
  <c r="I461" i="76"/>
  <c r="I413" i="76"/>
  <c r="M663" i="76"/>
  <c r="AO250" i="76"/>
  <c r="M562" i="76"/>
  <c r="AO349" i="76"/>
  <c r="AS247" i="76"/>
  <c r="M109" i="76"/>
  <c r="M81" i="76"/>
  <c r="L228" i="76"/>
  <c r="M738" i="76"/>
  <c r="M147" i="76"/>
  <c r="I92" i="76"/>
  <c r="L120" i="76"/>
  <c r="AS535" i="76"/>
  <c r="AR777" i="76"/>
  <c r="M890" i="76"/>
  <c r="AQ281" i="76"/>
  <c r="AP456" i="76"/>
  <c r="AS1001" i="76"/>
  <c r="AQ188" i="76"/>
  <c r="AQ243" i="76"/>
  <c r="H627" i="76"/>
  <c r="AT860" i="76"/>
  <c r="H864" i="76"/>
  <c r="M265" i="76"/>
  <c r="J831" i="76"/>
  <c r="H410" i="76"/>
  <c r="AQ589" i="76"/>
  <c r="AR100" i="76"/>
  <c r="I726" i="76"/>
  <c r="K427" i="76"/>
  <c r="M192" i="76"/>
  <c r="K1062" i="76"/>
  <c r="I537" i="76"/>
  <c r="AO731" i="76"/>
  <c r="L702" i="76"/>
  <c r="H234" i="76"/>
  <c r="AR128" i="76"/>
  <c r="K569" i="76"/>
  <c r="AO1034" i="76"/>
  <c r="J778" i="76"/>
  <c r="H309" i="76"/>
  <c r="AS1060" i="76"/>
  <c r="K714" i="76"/>
  <c r="L466" i="76"/>
  <c r="L418" i="76"/>
  <c r="J669" i="76"/>
  <c r="AR263" i="76"/>
  <c r="H569" i="76"/>
  <c r="AS391" i="76"/>
  <c r="AQ271" i="76"/>
  <c r="H117" i="76"/>
  <c r="L88" i="76"/>
  <c r="J238" i="76"/>
  <c r="L763" i="76"/>
  <c r="L204" i="76"/>
  <c r="J126" i="76"/>
  <c r="M193" i="76"/>
  <c r="AP1045" i="76"/>
  <c r="AT730" i="76"/>
  <c r="AQ1043" i="76"/>
  <c r="AQ257" i="76"/>
  <c r="AP432" i="76"/>
  <c r="AS953" i="76"/>
  <c r="AQ164" i="76"/>
  <c r="AQ195" i="76"/>
  <c r="H603" i="76"/>
  <c r="AT764" i="76"/>
  <c r="I839" i="76"/>
  <c r="M241" i="76"/>
  <c r="J807" i="76"/>
  <c r="H398" i="76"/>
  <c r="AQ557" i="76"/>
  <c r="AR76" i="76"/>
  <c r="I714" i="76"/>
  <c r="K415" i="76"/>
  <c r="M180" i="76"/>
  <c r="H1021" i="76"/>
  <c r="I513" i="76"/>
  <c r="AS805" i="76"/>
  <c r="J721" i="76"/>
  <c r="H252" i="76"/>
  <c r="AT165" i="76"/>
  <c r="I588" i="76"/>
  <c r="J73" i="76"/>
  <c r="H797" i="76"/>
  <c r="L327" i="76"/>
  <c r="AP355" i="76"/>
  <c r="M751" i="76"/>
  <c r="J509" i="76"/>
  <c r="J461" i="76"/>
  <c r="H712" i="76"/>
  <c r="AT316" i="76"/>
  <c r="L587" i="76"/>
  <c r="AR522" i="76"/>
  <c r="AR392" i="76"/>
  <c r="J138" i="76"/>
  <c r="H110" i="76"/>
  <c r="M274" i="76"/>
  <c r="J837" i="76"/>
  <c r="K482" i="76"/>
  <c r="H249" i="76"/>
  <c r="I560" i="76"/>
  <c r="AS910" i="76"/>
  <c r="AQ437" i="76"/>
  <c r="AS1057" i="76"/>
  <c r="AS1052" i="76"/>
  <c r="L185" i="76"/>
  <c r="M549" i="76"/>
  <c r="H518" i="76"/>
  <c r="AP127" i="76"/>
  <c r="M568" i="76"/>
  <c r="AT372" i="76"/>
  <c r="I225" i="76"/>
  <c r="L430" i="76"/>
  <c r="M638" i="76"/>
  <c r="AO258" i="76"/>
  <c r="AS529" i="76"/>
  <c r="AS661" i="76"/>
  <c r="AO298" i="76"/>
  <c r="I648" i="76"/>
  <c r="I525" i="76"/>
  <c r="I440" i="76"/>
  <c r="H592" i="76"/>
  <c r="L147" i="76"/>
  <c r="AO633" i="76"/>
  <c r="AP501" i="76"/>
  <c r="AT696" i="76"/>
  <c r="AS493" i="76"/>
  <c r="J804" i="76"/>
  <c r="AT573" i="76"/>
  <c r="M229" i="76"/>
  <c r="J539" i="76"/>
  <c r="AT489" i="76"/>
  <c r="K707" i="76"/>
  <c r="M280" i="76"/>
  <c r="I946" i="76"/>
  <c r="AQ752" i="76"/>
  <c r="H452" i="76"/>
  <c r="M1052" i="76"/>
  <c r="AQ1055" i="76"/>
  <c r="L527" i="76"/>
  <c r="AO762" i="76"/>
  <c r="J478" i="76"/>
  <c r="AS468" i="76"/>
  <c r="AP178" i="76"/>
  <c r="AQ434" i="76"/>
  <c r="H537" i="76"/>
  <c r="AT769" i="76"/>
  <c r="L787" i="76"/>
  <c r="K204" i="76"/>
  <c r="M615" i="76"/>
  <c r="AR709" i="76"/>
  <c r="AO460" i="76"/>
  <c r="AT378" i="76"/>
  <c r="AS153" i="76"/>
  <c r="L805" i="76"/>
  <c r="AQ577" i="76"/>
  <c r="I231" i="76"/>
  <c r="L540" i="76"/>
  <c r="AR492" i="76"/>
  <c r="M708" i="76"/>
  <c r="I282" i="76"/>
  <c r="L949" i="76"/>
  <c r="AO763" i="76"/>
  <c r="L454" i="76"/>
  <c r="I1058" i="76"/>
  <c r="AO1066" i="76"/>
  <c r="J530" i="76"/>
  <c r="AQ783" i="76"/>
  <c r="J485" i="76"/>
  <c r="AO490" i="76"/>
  <c r="AO189" i="76"/>
  <c r="AO477" i="76"/>
  <c r="K549" i="76"/>
  <c r="AP855" i="76"/>
  <c r="I813" i="76"/>
  <c r="L218" i="76"/>
  <c r="H1060" i="76"/>
  <c r="AR789" i="76"/>
  <c r="AQ501" i="76"/>
  <c r="AP420" i="76"/>
  <c r="AO195" i="76"/>
  <c r="M953" i="76"/>
  <c r="L249" i="76"/>
  <c r="L871" i="76"/>
  <c r="AO931" i="76"/>
  <c r="J667" i="76"/>
  <c r="AP1007" i="76"/>
  <c r="AT105" i="76"/>
  <c r="I686" i="76"/>
  <c r="M344" i="76"/>
  <c r="AT500" i="76"/>
  <c r="K542" i="76"/>
  <c r="AP597" i="76"/>
  <c r="H580" i="76"/>
  <c r="AR732" i="76"/>
  <c r="K617" i="76"/>
  <c r="AS884" i="76"/>
  <c r="L655" i="76"/>
  <c r="AQ992" i="76"/>
  <c r="K810" i="76"/>
  <c r="J381" i="76"/>
  <c r="L175" i="76"/>
  <c r="M143" i="76"/>
  <c r="I624" i="76"/>
  <c r="AO173" i="76"/>
  <c r="K829" i="76"/>
  <c r="M586" i="76"/>
  <c r="I349" i="76"/>
  <c r="H593" i="76"/>
  <c r="K773" i="76"/>
  <c r="AT188" i="76"/>
  <c r="AT719" i="76"/>
  <c r="AS394" i="76"/>
  <c r="AR631" i="76"/>
  <c r="J740" i="76"/>
  <c r="M677" i="76"/>
  <c r="J475" i="76"/>
  <c r="M952" i="76"/>
  <c r="M248" i="76"/>
  <c r="K350" i="76"/>
  <c r="H388" i="76"/>
  <c r="K425" i="76"/>
  <c r="L463" i="76"/>
  <c r="K426" i="76"/>
  <c r="AQ95" i="76"/>
  <c r="J405" i="76"/>
  <c r="M391" i="76"/>
  <c r="AQ498" i="76"/>
  <c r="H1040" i="76"/>
  <c r="AT767" i="76"/>
  <c r="AQ417" i="76"/>
  <c r="AQ676" i="76"/>
  <c r="H763" i="76"/>
  <c r="K700" i="76"/>
  <c r="H498" i="76"/>
  <c r="M968" i="76"/>
  <c r="M260" i="76"/>
  <c r="K374" i="76"/>
  <c r="H412" i="76"/>
  <c r="K449" i="76"/>
  <c r="L487" i="76"/>
  <c r="K474" i="76"/>
  <c r="AT205" i="76"/>
  <c r="M434" i="76"/>
  <c r="L451" i="76"/>
  <c r="H79" i="76"/>
  <c r="H105" i="76"/>
  <c r="AP793" i="76"/>
  <c r="AS430" i="76"/>
  <c r="AO703" i="76"/>
  <c r="J776" i="76"/>
  <c r="M713" i="76"/>
  <c r="J511" i="76"/>
  <c r="L977" i="76"/>
  <c r="K267" i="76"/>
  <c r="M387" i="76"/>
  <c r="J425" i="76"/>
  <c r="M462" i="76"/>
  <c r="H501" i="76"/>
  <c r="I501" i="76"/>
  <c r="AO266" i="76"/>
  <c r="H448" i="76"/>
  <c r="I477" i="76"/>
  <c r="H92" i="76"/>
  <c r="J133" i="76"/>
  <c r="AR938" i="76"/>
  <c r="AS502" i="76"/>
  <c r="AO847" i="76"/>
  <c r="J848" i="76"/>
  <c r="M785" i="76"/>
  <c r="J583" i="76"/>
  <c r="L1026" i="76"/>
  <c r="K303" i="76"/>
  <c r="M459" i="76"/>
  <c r="J497" i="76"/>
  <c r="M534" i="76"/>
  <c r="H573" i="76"/>
  <c r="I645" i="76"/>
  <c r="M69" i="76"/>
  <c r="J533" i="76"/>
  <c r="M647" i="76"/>
  <c r="L191" i="76"/>
  <c r="H408" i="76"/>
  <c r="AO996" i="76"/>
  <c r="AQ516" i="76"/>
  <c r="K592" i="76"/>
  <c r="M895" i="76"/>
  <c r="I265" i="76"/>
  <c r="I340" i="76"/>
  <c r="M255" i="76"/>
  <c r="M306" i="76"/>
  <c r="L786" i="76"/>
  <c r="AR622" i="76"/>
  <c r="AQ564" i="76"/>
  <c r="K628" i="76"/>
  <c r="M920" i="76"/>
  <c r="K302" i="76"/>
  <c r="K377" i="76"/>
  <c r="K330" i="76"/>
  <c r="K349" i="76"/>
  <c r="I987" i="76"/>
  <c r="AT707" i="76"/>
  <c r="AP621" i="76"/>
  <c r="I671" i="76"/>
  <c r="I949" i="76"/>
  <c r="I345" i="76"/>
  <c r="I420" i="76"/>
  <c r="M415" i="76"/>
  <c r="J398" i="76"/>
  <c r="AO413" i="76"/>
  <c r="AO728" i="76"/>
  <c r="AQ380" i="76"/>
  <c r="M457" i="76"/>
  <c r="I822" i="76"/>
  <c r="H164" i="76"/>
  <c r="J214" i="76"/>
  <c r="K1055" i="76"/>
  <c r="H185" i="76"/>
  <c r="K197" i="76"/>
  <c r="AS654" i="76"/>
  <c r="M421" i="76"/>
  <c r="I139" i="76"/>
  <c r="I934" i="76"/>
  <c r="H98" i="76"/>
  <c r="AQ552" i="76"/>
  <c r="I502" i="76"/>
  <c r="K1004" i="76"/>
  <c r="L222" i="76"/>
  <c r="AP361" i="76"/>
  <c r="AQ182" i="76"/>
  <c r="J1017" i="76"/>
  <c r="AT156" i="76"/>
  <c r="J962" i="76"/>
  <c r="AS81" i="76"/>
  <c r="M672" i="76"/>
  <c r="AO778" i="76"/>
  <c r="J1049" i="76"/>
  <c r="M1018" i="76"/>
  <c r="J809" i="76"/>
  <c r="L186" i="76"/>
  <c r="AT276" i="76"/>
  <c r="M330" i="76"/>
  <c r="AT793" i="76"/>
  <c r="I75" i="76"/>
  <c r="H819" i="76"/>
  <c r="L543" i="76"/>
  <c r="M1049" i="76"/>
  <c r="AO718" i="76"/>
  <c r="I97" i="76"/>
  <c r="L724" i="76"/>
  <c r="H425" i="76"/>
  <c r="J1032" i="76"/>
  <c r="AQ816" i="76"/>
  <c r="M800" i="76"/>
  <c r="I763" i="76"/>
  <c r="AQ730" i="76"/>
  <c r="AO656" i="76"/>
  <c r="AT203" i="76"/>
  <c r="AO561" i="76"/>
  <c r="AT962" i="76"/>
  <c r="AT151" i="76"/>
  <c r="AT1011" i="76"/>
  <c r="AR697" i="76"/>
  <c r="M970" i="76"/>
  <c r="AP877" i="76"/>
  <c r="AR637" i="76"/>
  <c r="I868" i="76"/>
  <c r="AP1019" i="76"/>
  <c r="AS166" i="76"/>
  <c r="AQ836" i="76"/>
  <c r="AQ227" i="76"/>
  <c r="AP786" i="76"/>
  <c r="AO659" i="76"/>
  <c r="AQ650" i="76"/>
  <c r="AR326" i="76"/>
  <c r="AP670" i="76"/>
  <c r="AS341" i="76"/>
  <c r="J780" i="76"/>
  <c r="L257" i="76"/>
  <c r="AP126" i="76"/>
  <c r="K472" i="76"/>
  <c r="AS275" i="76"/>
  <c r="J515" i="76"/>
  <c r="AP697" i="76"/>
  <c r="AP532" i="76"/>
  <c r="AO774" i="76"/>
  <c r="AQ137" i="76"/>
  <c r="AP312" i="76"/>
  <c r="AO614" i="76"/>
  <c r="L1064" i="76"/>
  <c r="H1061" i="76"/>
  <c r="H483" i="76"/>
  <c r="AR427" i="76"/>
  <c r="M665" i="76"/>
  <c r="AO755" i="76"/>
  <c r="L740" i="76"/>
  <c r="AO597" i="76"/>
  <c r="AT838" i="76"/>
  <c r="AR102" i="76"/>
  <c r="AQ333" i="76"/>
  <c r="AT549" i="76"/>
  <c r="AO1063" i="76"/>
  <c r="AO219" i="76"/>
  <c r="AO454" i="76"/>
  <c r="H679" i="76"/>
  <c r="L113" i="76"/>
  <c r="K902" i="76"/>
  <c r="K296" i="76"/>
  <c r="L959" i="76"/>
  <c r="AQ898" i="76"/>
  <c r="AR382" i="76"/>
  <c r="AR875" i="76"/>
  <c r="AO327" i="76"/>
  <c r="H787" i="76"/>
  <c r="AR139" i="76"/>
  <c r="AS203" i="76"/>
  <c r="L244" i="76"/>
  <c r="K795" i="76"/>
  <c r="M272" i="76"/>
  <c r="K718" i="76"/>
  <c r="I1034" i="76"/>
  <c r="AR924" i="76"/>
  <c r="L178" i="76"/>
  <c r="L511" i="76"/>
  <c r="AR375" i="76"/>
  <c r="AO205" i="76"/>
  <c r="AS771" i="76"/>
  <c r="AT127" i="76"/>
  <c r="AT624" i="76"/>
  <c r="AS349" i="76"/>
  <c r="J724" i="76"/>
  <c r="M1019" i="76"/>
  <c r="J977" i="76"/>
  <c r="AR852" i="76"/>
  <c r="K807" i="76"/>
  <c r="I242" i="76"/>
  <c r="I657" i="76"/>
  <c r="K866" i="76"/>
  <c r="AR496" i="76"/>
  <c r="L194" i="76"/>
  <c r="J450" i="76"/>
  <c r="AP130" i="76"/>
  <c r="J790" i="76"/>
  <c r="AO569" i="76"/>
  <c r="AT223" i="76"/>
  <c r="AS574" i="76"/>
  <c r="AQ312" i="76"/>
  <c r="H623" i="76"/>
  <c r="M884" i="76"/>
  <c r="L1045" i="76"/>
  <c r="AR772" i="76"/>
  <c r="K787" i="76"/>
  <c r="I190" i="76"/>
  <c r="I553" i="76"/>
  <c r="H925" i="76"/>
  <c r="AR416" i="76"/>
  <c r="H168" i="76"/>
  <c r="J346" i="76"/>
  <c r="AP482" i="76"/>
  <c r="J454" i="76"/>
  <c r="AQ383" i="76"/>
  <c r="AR666" i="76"/>
  <c r="AT319" i="76"/>
  <c r="AO432" i="76"/>
  <c r="AR771" i="76"/>
  <c r="AR137" i="76"/>
  <c r="AO403" i="76"/>
  <c r="AQ775" i="76"/>
  <c r="L777" i="76"/>
  <c r="J244" i="76"/>
  <c r="AP78" i="76"/>
  <c r="K480" i="76"/>
  <c r="AQ142" i="76"/>
  <c r="L512" i="76"/>
  <c r="AT1001" i="76"/>
  <c r="AR252" i="76"/>
  <c r="I834" i="76"/>
  <c r="K535" i="76"/>
  <c r="M268" i="76"/>
  <c r="AR495" i="76"/>
  <c r="I689" i="76"/>
  <c r="H180" i="76"/>
  <c r="K992" i="76"/>
  <c r="H428" i="76"/>
  <c r="AT721" i="76"/>
  <c r="I764" i="76"/>
  <c r="H232" i="76"/>
  <c r="AS124" i="76"/>
  <c r="L503" i="76"/>
  <c r="AO971" i="76"/>
  <c r="AP258" i="76"/>
  <c r="AR167" i="76"/>
  <c r="AR71" i="76"/>
  <c r="AR280" i="76"/>
  <c r="AS595" i="76"/>
  <c r="AT207" i="76"/>
  <c r="AT656" i="76"/>
  <c r="AS217" i="76"/>
  <c r="J656" i="76"/>
  <c r="M900" i="76"/>
  <c r="L1030" i="76"/>
  <c r="AR884" i="76"/>
  <c r="M740" i="76"/>
  <c r="K207" i="76"/>
  <c r="K566" i="76"/>
  <c r="J914" i="76"/>
  <c r="AP534" i="76"/>
  <c r="M105" i="76"/>
  <c r="H381" i="76"/>
  <c r="L858" i="76"/>
  <c r="J878" i="76"/>
  <c r="L104" i="76"/>
  <c r="J79" i="76"/>
  <c r="K216" i="76"/>
  <c r="H409" i="76"/>
  <c r="J597" i="76"/>
  <c r="I1049" i="76"/>
  <c r="AT858" i="76"/>
  <c r="AQ321" i="76"/>
  <c r="M1025" i="76"/>
  <c r="AO602" i="76"/>
  <c r="L197" i="76"/>
  <c r="M305" i="76"/>
  <c r="H430" i="76"/>
  <c r="AR140" i="76"/>
  <c r="K511" i="76"/>
  <c r="AR399" i="76"/>
  <c r="AS1061" i="76"/>
  <c r="H316" i="76"/>
  <c r="I652" i="76"/>
  <c r="K1031" i="76"/>
  <c r="AS600" i="76"/>
  <c r="H656" i="76"/>
  <c r="H859" i="76"/>
  <c r="J661" i="76"/>
  <c r="I256" i="76"/>
  <c r="H465" i="76"/>
  <c r="AO330" i="76"/>
  <c r="AT109" i="76"/>
  <c r="AQ706" i="76"/>
  <c r="AR318" i="76"/>
  <c r="AT768" i="76"/>
  <c r="AS273" i="76"/>
  <c r="J712" i="76"/>
  <c r="K975" i="76"/>
  <c r="AS139" i="76"/>
  <c r="AR996" i="76"/>
  <c r="M768" i="76"/>
  <c r="K235" i="76"/>
  <c r="K622" i="76"/>
  <c r="H932" i="76"/>
  <c r="AT569" i="76"/>
  <c r="L114" i="76"/>
  <c r="J394" i="76"/>
  <c r="H891" i="76"/>
  <c r="L919" i="76"/>
  <c r="M111" i="76"/>
  <c r="J85" i="76"/>
  <c r="I233" i="76"/>
  <c r="K434" i="76"/>
  <c r="K645" i="76"/>
  <c r="M1040" i="76"/>
  <c r="AR901" i="76"/>
  <c r="AS342" i="76"/>
  <c r="I1047" i="76"/>
  <c r="AO674" i="76"/>
  <c r="H219" i="76"/>
  <c r="I327" i="76"/>
  <c r="L440" i="76"/>
  <c r="AT161" i="76"/>
  <c r="I522" i="76"/>
  <c r="AP442" i="76"/>
  <c r="J78" i="76"/>
  <c r="J337" i="76"/>
  <c r="K673" i="76"/>
  <c r="AQ71" i="76"/>
  <c r="AS757" i="76"/>
  <c r="I704" i="76"/>
  <c r="M919" i="76"/>
  <c r="J685" i="76"/>
  <c r="H305" i="76"/>
  <c r="K514" i="76"/>
  <c r="AS772" i="76"/>
  <c r="J119" i="76"/>
  <c r="AP805" i="76"/>
  <c r="AR441" i="76"/>
  <c r="J612" i="76"/>
  <c r="L688" i="76"/>
  <c r="I654" i="76"/>
  <c r="I393" i="76"/>
  <c r="AT181" i="76"/>
  <c r="L335" i="76"/>
  <c r="H204" i="76"/>
  <c r="J930" i="76"/>
  <c r="I99" i="76"/>
  <c r="I824" i="76"/>
  <c r="AO288" i="76"/>
  <c r="L1010" i="76"/>
  <c r="I571" i="76"/>
  <c r="AP751" i="76"/>
  <c r="I366" i="76"/>
  <c r="M243" i="76"/>
  <c r="AP395" i="76"/>
  <c r="J698" i="76"/>
  <c r="AO1003" i="76"/>
  <c r="AP1002" i="76"/>
  <c r="H948" i="76"/>
  <c r="H689" i="76"/>
  <c r="I557" i="76"/>
  <c r="AQ691" i="76"/>
  <c r="AO495" i="76"/>
  <c r="H123" i="76"/>
  <c r="J711" i="76"/>
  <c r="K883" i="76"/>
  <c r="AP250" i="76"/>
  <c r="J625" i="76"/>
  <c r="K321" i="76"/>
  <c r="AS279" i="76"/>
  <c r="K242" i="76"/>
  <c r="H289" i="76"/>
  <c r="L306" i="76"/>
  <c r="L1037" i="76"/>
  <c r="AS1038" i="76"/>
  <c r="AQ617" i="76"/>
  <c r="AS256" i="76"/>
  <c r="AR131" i="76"/>
  <c r="H838" i="76"/>
  <c r="AR276" i="76"/>
  <c r="I430" i="76"/>
  <c r="I713" i="76"/>
  <c r="L750" i="76"/>
  <c r="I788" i="76"/>
  <c r="J826" i="76"/>
  <c r="AP354" i="76"/>
  <c r="I528" i="76"/>
  <c r="M818" i="76"/>
  <c r="AP727" i="76"/>
  <c r="L738" i="76"/>
  <c r="AR184" i="76"/>
  <c r="AQ846" i="76"/>
  <c r="AT142" i="76"/>
  <c r="AT88" i="76"/>
  <c r="AP255" i="76"/>
  <c r="M691" i="76"/>
  <c r="M766" i="76"/>
  <c r="AT268" i="76"/>
  <c r="M794" i="76"/>
  <c r="K690" i="76"/>
  <c r="AQ894" i="76"/>
  <c r="AR165" i="76"/>
  <c r="AP134" i="76"/>
  <c r="AP279" i="76"/>
  <c r="M715" i="76"/>
  <c r="M790" i="76"/>
  <c r="AT364" i="76"/>
  <c r="H825" i="76"/>
  <c r="J750" i="76"/>
  <c r="AS919" i="76"/>
  <c r="AT178" i="76"/>
  <c r="AT160" i="76"/>
  <c r="AR292" i="76"/>
  <c r="I729" i="76"/>
  <c r="I804" i="76"/>
  <c r="AP418" i="76"/>
  <c r="K837" i="76"/>
  <c r="M775" i="76"/>
  <c r="AO1065" i="76"/>
  <c r="AT250" i="76"/>
  <c r="AT304" i="76"/>
  <c r="AR364" i="76"/>
  <c r="I801" i="76"/>
  <c r="H879" i="76"/>
  <c r="AP842" i="76"/>
  <c r="I941" i="76"/>
  <c r="M972" i="76"/>
  <c r="M226" i="76"/>
  <c r="AR632" i="76"/>
  <c r="K974" i="76"/>
  <c r="AS932" i="76"/>
  <c r="I71" i="76"/>
  <c r="AT434" i="76"/>
  <c r="AT560" i="76"/>
  <c r="AP171" i="76"/>
  <c r="AP338" i="76"/>
  <c r="I688" i="76"/>
  <c r="AP946" i="76"/>
  <c r="AP106" i="76"/>
  <c r="AT544" i="76"/>
  <c r="H174" i="76"/>
  <c r="AP264" i="76"/>
  <c r="AT377" i="76"/>
  <c r="M896" i="76"/>
  <c r="K958" i="76"/>
  <c r="L72" i="76"/>
  <c r="M120" i="76"/>
  <c r="AS308" i="76"/>
  <c r="AR420" i="76"/>
  <c r="K1023" i="76"/>
  <c r="AT612" i="76"/>
  <c r="AO890" i="76"/>
  <c r="AP726" i="76"/>
  <c r="AR627" i="76"/>
  <c r="K413" i="76"/>
  <c r="L108" i="76"/>
  <c r="K72" i="76"/>
  <c r="AQ354" i="76"/>
  <c r="H468" i="76"/>
  <c r="M690" i="76"/>
  <c r="J473" i="76"/>
  <c r="AS708" i="76"/>
  <c r="AS337" i="76"/>
  <c r="H156" i="76"/>
  <c r="AQ826" i="76"/>
  <c r="AQ709" i="76"/>
  <c r="AR374" i="76"/>
  <c r="AS571" i="76"/>
  <c r="AR973" i="76"/>
  <c r="AT247" i="76"/>
  <c r="AP1065" i="76"/>
  <c r="AP868" i="76"/>
  <c r="K981" i="76"/>
  <c r="AT887" i="76"/>
  <c r="AR733" i="76"/>
  <c r="K921" i="76"/>
  <c r="AT826" i="76"/>
  <c r="AQ177" i="76"/>
  <c r="AS857" i="76"/>
  <c r="AQ419" i="76"/>
  <c r="AR999" i="76"/>
  <c r="M289" i="76"/>
  <c r="AS671" i="76"/>
  <c r="AT347" i="76"/>
  <c r="AP862" i="76"/>
  <c r="AO395" i="76"/>
  <c r="H867" i="76"/>
  <c r="J268" i="76"/>
  <c r="AR147" i="76"/>
  <c r="M525" i="76"/>
  <c r="AO297" i="76"/>
  <c r="L600" i="76"/>
  <c r="AR718" i="76"/>
  <c r="AR553" i="76"/>
  <c r="AQ987" i="76"/>
  <c r="AO148" i="76"/>
  <c r="AR397" i="76"/>
  <c r="AS629" i="76"/>
  <c r="AQ76" i="76"/>
  <c r="AS168" i="76"/>
  <c r="L493" i="76"/>
  <c r="AQ628" i="76"/>
  <c r="K676" i="76"/>
  <c r="AS797" i="76"/>
  <c r="H794" i="76"/>
  <c r="AQ618" i="76"/>
  <c r="AR1009" i="76"/>
  <c r="AT123" i="76"/>
  <c r="AO344" i="76"/>
  <c r="AT620" i="76"/>
  <c r="I1027" i="76"/>
  <c r="AQ304" i="76"/>
  <c r="AQ475" i="76"/>
  <c r="L689" i="76"/>
  <c r="H167" i="76"/>
  <c r="M916" i="76"/>
  <c r="M381" i="76"/>
  <c r="M973" i="76"/>
  <c r="AO941" i="76"/>
  <c r="AR624" i="76"/>
  <c r="AP918" i="76"/>
  <c r="AS497" i="76"/>
  <c r="J808" i="76"/>
  <c r="AP182" i="76"/>
  <c r="AO417" i="76"/>
  <c r="J255" i="76"/>
  <c r="I885" i="76"/>
  <c r="K283" i="76"/>
  <c r="M739" i="76"/>
  <c r="AO245" i="76"/>
  <c r="AT1009" i="76"/>
  <c r="I324" i="76"/>
  <c r="H533" i="76"/>
  <c r="AT460" i="76"/>
  <c r="I96" i="76"/>
  <c r="AQ814" i="76"/>
  <c r="AP469" i="76"/>
  <c r="AT664" i="76"/>
  <c r="AO371" i="76"/>
  <c r="H831" i="76"/>
  <c r="M1055" i="76"/>
  <c r="AS291" i="76"/>
  <c r="AP895" i="76"/>
  <c r="I818" i="76"/>
  <c r="K295" i="76"/>
  <c r="K678" i="76"/>
  <c r="AQ122" i="76"/>
  <c r="AR548" i="76"/>
  <c r="H209" i="76"/>
  <c r="H557" i="76"/>
  <c r="AR215" i="76"/>
  <c r="AT509" i="76"/>
  <c r="AS611" i="76"/>
  <c r="AR266" i="76"/>
  <c r="AT760" i="76"/>
  <c r="AS333" i="76"/>
  <c r="L793" i="76"/>
  <c r="I913" i="76"/>
  <c r="AO89" i="76"/>
  <c r="AT985" i="76"/>
  <c r="I798" i="76"/>
  <c r="K275" i="76"/>
  <c r="K574" i="76"/>
  <c r="J953" i="76"/>
  <c r="AT689" i="76"/>
  <c r="J182" i="76"/>
  <c r="H517" i="76"/>
  <c r="AP586" i="76"/>
  <c r="M503" i="76"/>
  <c r="AQ568" i="76"/>
  <c r="AP709" i="76"/>
  <c r="AR490" i="76"/>
  <c r="AQ453" i="76"/>
  <c r="AP814" i="76"/>
  <c r="AT158" i="76"/>
  <c r="AQ424" i="76"/>
  <c r="H890" i="76"/>
  <c r="H799" i="76"/>
  <c r="L265" i="76"/>
  <c r="AT120" i="76"/>
  <c r="M501" i="76"/>
  <c r="AO313" i="76"/>
  <c r="H534" i="76"/>
  <c r="AR1044" i="76"/>
  <c r="AT273" i="76"/>
  <c r="M844" i="76"/>
  <c r="I578" i="76"/>
  <c r="K279" i="76"/>
  <c r="AP547" i="76"/>
  <c r="K710" i="76"/>
  <c r="J194" i="76"/>
  <c r="AS143" i="76"/>
  <c r="J449" i="76"/>
  <c r="AP807" i="76"/>
  <c r="K785" i="76"/>
  <c r="I252" i="76"/>
  <c r="AQ295" i="76"/>
  <c r="H525" i="76"/>
  <c r="K73" i="76"/>
  <c r="AR343" i="76"/>
  <c r="AS263" i="76"/>
  <c r="AQ623" i="76"/>
  <c r="AQ447" i="76"/>
  <c r="AO681" i="76"/>
  <c r="AP293" i="76"/>
  <c r="AP742" i="76"/>
  <c r="AQ388" i="76"/>
  <c r="H699" i="76"/>
  <c r="L957" i="76"/>
  <c r="AO113" i="76"/>
  <c r="AT969" i="76"/>
  <c r="I826" i="76"/>
  <c r="M228" i="76"/>
  <c r="I609" i="76"/>
  <c r="I971" i="76"/>
  <c r="AT657" i="76"/>
  <c r="L219" i="76"/>
  <c r="L423" i="76"/>
  <c r="I969" i="76"/>
  <c r="K1008" i="76"/>
  <c r="I133" i="76"/>
  <c r="H192" i="76"/>
  <c r="K306" i="76"/>
  <c r="M506" i="76"/>
  <c r="H792" i="76"/>
  <c r="J678" i="76"/>
  <c r="AS766" i="76"/>
  <c r="AO364" i="76"/>
  <c r="K1068" i="76"/>
  <c r="AQ759" i="76"/>
  <c r="J240" i="76"/>
  <c r="K476" i="76"/>
  <c r="J451" i="76"/>
  <c r="AP183" i="76"/>
  <c r="M532" i="76"/>
  <c r="AT484" i="76"/>
  <c r="K176" i="76"/>
  <c r="L358" i="76"/>
  <c r="M694" i="76"/>
  <c r="AO114" i="76"/>
  <c r="AQ928" i="76"/>
  <c r="AT141" i="76"/>
  <c r="H985" i="76"/>
  <c r="K709" i="76"/>
  <c r="K354" i="76"/>
  <c r="L562" i="76"/>
  <c r="L250" i="76"/>
  <c r="I408" i="76"/>
  <c r="AS791" i="76"/>
  <c r="AT403" i="76"/>
  <c r="AP854" i="76"/>
  <c r="AQ444" i="76"/>
  <c r="H755" i="76"/>
  <c r="L1034" i="76"/>
  <c r="AO225" i="76"/>
  <c r="J239" i="76"/>
  <c r="I854" i="76"/>
  <c r="M256" i="76"/>
  <c r="I665" i="76"/>
  <c r="H989" i="76"/>
  <c r="AP711" i="76"/>
  <c r="H230" i="76"/>
  <c r="H437" i="76"/>
  <c r="M1004" i="76"/>
  <c r="H1057" i="76"/>
  <c r="I140" i="76"/>
  <c r="I199" i="76"/>
  <c r="L330" i="76"/>
  <c r="M530" i="76"/>
  <c r="I840" i="76"/>
  <c r="H953" i="76"/>
  <c r="AQ809" i="76"/>
  <c r="AQ385" i="76"/>
  <c r="AT90" i="76"/>
  <c r="AS844" i="76"/>
  <c r="L261" i="76"/>
  <c r="M497" i="76"/>
  <c r="H466" i="76"/>
  <c r="AR204" i="76"/>
  <c r="K543" i="76"/>
  <c r="AT532" i="76"/>
  <c r="L190" i="76"/>
  <c r="H380" i="76"/>
  <c r="I716" i="76"/>
  <c r="AS156" i="76"/>
  <c r="M70" i="76"/>
  <c r="AQ239" i="76"/>
  <c r="M1059" i="76"/>
  <c r="K733" i="76"/>
  <c r="L402" i="76"/>
  <c r="M610" i="76"/>
  <c r="L347" i="76"/>
  <c r="J798" i="76"/>
  <c r="AT975" i="76"/>
  <c r="AO532" i="76"/>
  <c r="L697" i="76"/>
  <c r="AQ110" i="76"/>
  <c r="M696" i="76"/>
  <c r="K478" i="76"/>
  <c r="AR352" i="76"/>
  <c r="H421" i="76"/>
  <c r="I1001" i="76"/>
  <c r="AT269" i="76"/>
  <c r="H213" i="76"/>
  <c r="H112" i="76"/>
  <c r="AQ373" i="76"/>
  <c r="AS796" i="76"/>
  <c r="K656" i="76"/>
  <c r="AT921" i="76"/>
  <c r="I494" i="76"/>
  <c r="I329" i="76"/>
  <c r="AO584" i="76"/>
  <c r="I983" i="76"/>
  <c r="M383" i="76"/>
  <c r="J115" i="76"/>
  <c r="I201" i="76"/>
  <c r="AP210" i="76"/>
  <c r="K108" i="76"/>
  <c r="AP165" i="76"/>
  <c r="AQ603" i="76"/>
  <c r="J208" i="76"/>
  <c r="K1000" i="76"/>
  <c r="J940" i="76"/>
  <c r="AT420" i="76"/>
  <c r="M885" i="76"/>
  <c r="M406" i="76"/>
  <c r="AQ672" i="76"/>
  <c r="M826" i="76"/>
  <c r="L386" i="76"/>
  <c r="K501" i="76"/>
  <c r="M498" i="76"/>
  <c r="AR762" i="76"/>
  <c r="AP782" i="76"/>
  <c r="AO628" i="76"/>
  <c r="AP302" i="76"/>
  <c r="M941" i="76"/>
  <c r="AT361" i="76"/>
  <c r="M472" i="76"/>
  <c r="K798" i="76"/>
  <c r="H836" i="76"/>
  <c r="M875" i="76"/>
  <c r="J926" i="76"/>
  <c r="AT820" i="76"/>
  <c r="M722" i="76"/>
  <c r="M933" i="76"/>
  <c r="I144" i="76"/>
  <c r="K955" i="76"/>
  <c r="H280" i="76"/>
  <c r="M887" i="76"/>
  <c r="AR313" i="76"/>
  <c r="AP430" i="76"/>
  <c r="AT425" i="76"/>
  <c r="J863" i="76"/>
  <c r="M960" i="76"/>
  <c r="AO410" i="76"/>
  <c r="H1032" i="76"/>
  <c r="AQ210" i="76"/>
  <c r="L410" i="76"/>
  <c r="AP336" i="76"/>
  <c r="AR475" i="76"/>
  <c r="AT449" i="76"/>
  <c r="M892" i="76"/>
  <c r="M992" i="76"/>
  <c r="AO506" i="76"/>
  <c r="AT92" i="76"/>
  <c r="AP371" i="76"/>
  <c r="AT157" i="76"/>
  <c r="AR349" i="76"/>
  <c r="AP502" i="76"/>
  <c r="AP463" i="76"/>
  <c r="K910" i="76"/>
  <c r="K1010" i="76"/>
  <c r="AQ575" i="76"/>
  <c r="AP115" i="76"/>
  <c r="AR456" i="76"/>
  <c r="H240" i="76"/>
  <c r="AR421" i="76"/>
  <c r="AP722" i="76"/>
  <c r="AP543" i="76"/>
  <c r="K1006" i="76"/>
  <c r="AR144" i="76"/>
  <c r="AR312" i="76"/>
  <c r="AR295" i="76"/>
  <c r="M102" i="76"/>
  <c r="L434" i="76"/>
  <c r="L313" i="76"/>
  <c r="AR687" i="76"/>
  <c r="L100" i="76"/>
  <c r="J733" i="76"/>
  <c r="AP982" i="76"/>
  <c r="J271" i="76"/>
  <c r="I77" i="76"/>
  <c r="M214" i="76"/>
  <c r="AO237" i="76"/>
  <c r="J392" i="76"/>
  <c r="AR1007" i="76"/>
  <c r="H154" i="76"/>
  <c r="L931" i="76"/>
  <c r="AT640" i="76"/>
  <c r="AR868" i="76"/>
  <c r="AT512" i="76"/>
  <c r="K97" i="76"/>
  <c r="K222" i="76"/>
  <c r="I462" i="76"/>
  <c r="M115" i="76"/>
  <c r="H378" i="76"/>
  <c r="I621" i="76"/>
  <c r="J648" i="76"/>
  <c r="H373" i="76"/>
  <c r="AR574" i="76"/>
  <c r="J553" i="76"/>
  <c r="L651" i="76"/>
  <c r="K892" i="76"/>
  <c r="J167" i="76"/>
  <c r="AO515" i="76"/>
  <c r="K430" i="76"/>
  <c r="M947" i="76"/>
  <c r="L560" i="76"/>
  <c r="H549" i="76"/>
  <c r="AS642" i="76"/>
  <c r="J502" i="76"/>
  <c r="AO837" i="76"/>
  <c r="AQ805" i="76"/>
  <c r="AT427" i="76"/>
  <c r="AQ742" i="76"/>
  <c r="AP984" i="76"/>
  <c r="AR258" i="76"/>
  <c r="AO605" i="76"/>
  <c r="AR921" i="76"/>
  <c r="AP153" i="76"/>
  <c r="AR898" i="76"/>
  <c r="AP744" i="76"/>
  <c r="K1017" i="76"/>
  <c r="AR933" i="76"/>
  <c r="AO348" i="76"/>
  <c r="AO879" i="76"/>
  <c r="AS440" i="76"/>
  <c r="J160" i="76"/>
  <c r="I343" i="76"/>
  <c r="AO1013" i="76"/>
  <c r="AP369" i="76"/>
  <c r="AR883" i="76"/>
  <c r="AO491" i="76"/>
  <c r="I879" i="76"/>
  <c r="L353" i="76"/>
  <c r="AT168" i="76"/>
  <c r="K536" i="76"/>
  <c r="AS403" i="76"/>
  <c r="J611" i="76"/>
  <c r="AP889" i="76"/>
  <c r="AT574" i="76"/>
  <c r="AO1030" i="76"/>
  <c r="AQ201" i="76"/>
  <c r="AP408" i="76"/>
  <c r="AO799" i="76"/>
  <c r="AO87" i="76"/>
  <c r="AO190" i="76"/>
  <c r="H547" i="76"/>
  <c r="AT668" i="76"/>
  <c r="M761" i="76"/>
  <c r="AQ840" i="76"/>
  <c r="L804" i="76"/>
  <c r="AO725" i="76"/>
  <c r="AT1030" i="76"/>
  <c r="AR294" i="76"/>
  <c r="AS354" i="76"/>
  <c r="AP638" i="76"/>
  <c r="AR81" i="76"/>
  <c r="AO315" i="76"/>
  <c r="AO722" i="76"/>
  <c r="J700" i="76"/>
  <c r="L177" i="76"/>
  <c r="M987" i="76"/>
  <c r="K392" i="76"/>
  <c r="AS115" i="76"/>
  <c r="AS983" i="76"/>
  <c r="AP707" i="76"/>
  <c r="AS78" i="76"/>
  <c r="AS521" i="76"/>
  <c r="H1016" i="76"/>
  <c r="AT224" i="76"/>
  <c r="AS459" i="76"/>
  <c r="L308" i="76"/>
  <c r="K899" i="76"/>
  <c r="M368" i="76"/>
  <c r="I761" i="76"/>
  <c r="AS287" i="76"/>
  <c r="I125" i="76"/>
  <c r="K345" i="76"/>
  <c r="L703" i="76"/>
  <c r="AT557" i="76"/>
  <c r="L124" i="76"/>
  <c r="AS1027" i="76"/>
  <c r="AO512" i="76"/>
  <c r="AP1006" i="76"/>
  <c r="AQ392" i="76"/>
  <c r="J852" i="76"/>
  <c r="AP270" i="76"/>
  <c r="AQ334" i="76"/>
  <c r="H278" i="76"/>
  <c r="M828" i="76"/>
  <c r="I306" i="76"/>
  <c r="I785" i="76"/>
  <c r="AO165" i="76"/>
  <c r="I84" i="76"/>
  <c r="L223" i="76"/>
  <c r="J578" i="76"/>
  <c r="AP714" i="76"/>
  <c r="AP791" i="76"/>
  <c r="AO953" i="76"/>
  <c r="AP309" i="76"/>
  <c r="AR803" i="76"/>
  <c r="AQ440" i="76"/>
  <c r="H815" i="76"/>
  <c r="AR195" i="76"/>
  <c r="AS131" i="76"/>
  <c r="AR1028" i="76"/>
  <c r="K851" i="76"/>
  <c r="I286" i="76"/>
  <c r="I745" i="76"/>
  <c r="M981" i="76"/>
  <c r="AP775" i="76"/>
  <c r="K265" i="76"/>
  <c r="J538" i="76"/>
  <c r="AS676" i="76"/>
  <c r="H649" i="76"/>
  <c r="K104" i="76"/>
  <c r="AP837" i="76"/>
  <c r="AR540" i="76"/>
  <c r="AT547" i="76"/>
  <c r="AT856" i="76"/>
  <c r="AP180" i="76"/>
  <c r="AS445" i="76"/>
  <c r="J911" i="76"/>
  <c r="M889" i="76"/>
  <c r="H287" i="76"/>
  <c r="AR163" i="76"/>
  <c r="I523" i="76"/>
  <c r="AS355" i="76"/>
  <c r="J619" i="76"/>
  <c r="L240" i="76"/>
  <c r="AP295" i="76"/>
  <c r="K855" i="76"/>
  <c r="M588" i="76"/>
  <c r="I322" i="76"/>
  <c r="AO604" i="76"/>
  <c r="M731" i="76"/>
  <c r="K208" i="76"/>
  <c r="AQ186" i="76"/>
  <c r="L534" i="76"/>
  <c r="AR892" i="76"/>
  <c r="M806" i="76"/>
  <c r="K273" i="76"/>
  <c r="AO338" i="76"/>
  <c r="J610" i="76"/>
  <c r="L84" i="76"/>
  <c r="AT428" i="76"/>
  <c r="AS423" i="76"/>
  <c r="AT961" i="76"/>
  <c r="I115" i="76"/>
  <c r="AQ766" i="76"/>
  <c r="AR378" i="76"/>
  <c r="AR827" i="76"/>
  <c r="AO431" i="76"/>
  <c r="K871" i="76"/>
  <c r="K1014" i="76"/>
  <c r="AQ198" i="76"/>
  <c r="AP1055" i="76"/>
  <c r="K847" i="76"/>
  <c r="I314" i="76"/>
  <c r="M651" i="76"/>
  <c r="L1029" i="76"/>
  <c r="AR828" i="76"/>
  <c r="K257" i="76"/>
  <c r="J594" i="76"/>
  <c r="AT108" i="76"/>
  <c r="AQ191" i="76"/>
  <c r="K161" i="76"/>
  <c r="K220" i="76"/>
  <c r="H696" i="76"/>
  <c r="I605" i="76"/>
  <c r="M1027" i="76"/>
  <c r="J197" i="76"/>
  <c r="AO852" i="76"/>
  <c r="AR542" i="76"/>
  <c r="AP112" i="76"/>
  <c r="AO930" i="76"/>
  <c r="H283" i="76"/>
  <c r="I519" i="76"/>
  <c r="J615" i="76"/>
  <c r="AT225" i="76"/>
  <c r="I554" i="76"/>
  <c r="AT589" i="76"/>
  <c r="H205" i="76"/>
  <c r="J529" i="76"/>
  <c r="K737" i="76"/>
  <c r="AQ199" i="76"/>
  <c r="K81" i="76"/>
  <c r="AO381" i="76"/>
  <c r="H108" i="76"/>
  <c r="J758" i="76"/>
  <c r="M450" i="76"/>
  <c r="L659" i="76"/>
  <c r="J445" i="76"/>
  <c r="K530" i="76"/>
  <c r="AO877" i="76"/>
  <c r="AP489" i="76"/>
  <c r="AR939" i="76"/>
  <c r="AO487" i="76"/>
  <c r="H945" i="76"/>
  <c r="AP118" i="76"/>
  <c r="AQ310" i="76"/>
  <c r="L260" i="76"/>
  <c r="I878" i="76"/>
  <c r="I342" i="76"/>
  <c r="M707" i="76"/>
  <c r="H1052" i="76"/>
  <c r="AT881" i="76"/>
  <c r="M270" i="76"/>
  <c r="L607" i="76"/>
  <c r="AP162" i="76"/>
  <c r="AO253" i="76"/>
  <c r="L168" i="76"/>
  <c r="I229" i="76"/>
  <c r="I720" i="76"/>
  <c r="J629" i="76"/>
  <c r="AO122" i="76"/>
  <c r="I312" i="76"/>
  <c r="AS894" i="76"/>
  <c r="AO571" i="76"/>
  <c r="AR133" i="76"/>
  <c r="AQ1015" i="76"/>
  <c r="J304" i="76"/>
  <c r="K540" i="76"/>
  <c r="L636" i="76"/>
  <c r="AP247" i="76"/>
  <c r="M564" i="76"/>
  <c r="AR655" i="76"/>
  <c r="I219" i="76"/>
  <c r="L550" i="76"/>
  <c r="M758" i="76"/>
  <c r="AO242" i="76"/>
  <c r="J95" i="76"/>
  <c r="AP565" i="76"/>
  <c r="K136" i="76"/>
  <c r="J782" i="76"/>
  <c r="L499" i="76"/>
  <c r="J709" i="76"/>
  <c r="J542" i="76"/>
  <c r="M626" i="76"/>
  <c r="AQ590" i="76"/>
  <c r="AP654" i="76"/>
  <c r="H783" i="76"/>
  <c r="AO281" i="76"/>
  <c r="H869" i="76"/>
  <c r="M563" i="76"/>
  <c r="AP527" i="76"/>
  <c r="J506" i="76"/>
  <c r="AT445" i="76"/>
  <c r="L258" i="76"/>
  <c r="J397" i="76"/>
  <c r="M482" i="76"/>
  <c r="AS458" i="76"/>
  <c r="J895" i="76"/>
  <c r="M741" i="76"/>
  <c r="H242" i="76"/>
  <c r="M536" i="76"/>
  <c r="K414" i="76"/>
  <c r="AP903" i="76"/>
  <c r="AO130" i="76"/>
  <c r="K554" i="76"/>
  <c r="I172" i="76"/>
  <c r="L378" i="76"/>
  <c r="L127" i="76"/>
  <c r="M370" i="76"/>
  <c r="AT335" i="76"/>
  <c r="AS761" i="76"/>
  <c r="L293" i="76"/>
  <c r="AS155" i="76"/>
  <c r="I997" i="76"/>
  <c r="AP618" i="76"/>
  <c r="L999" i="76"/>
  <c r="I492" i="76"/>
  <c r="I88" i="76"/>
  <c r="AT93" i="76"/>
  <c r="L483" i="76"/>
  <c r="I696" i="76"/>
  <c r="H896" i="76"/>
  <c r="AP933" i="76"/>
  <c r="AT952" i="76"/>
  <c r="AQ967" i="76"/>
  <c r="AT472" i="76"/>
  <c r="L1066" i="76"/>
  <c r="AP447" i="76"/>
  <c r="K515" i="76"/>
  <c r="I889" i="76"/>
  <c r="I939" i="76"/>
  <c r="I989" i="76"/>
  <c r="H1044" i="76"/>
  <c r="AQ495" i="76"/>
  <c r="I935" i="76"/>
  <c r="AQ79" i="76"/>
  <c r="I280" i="76"/>
  <c r="AR328" i="76"/>
  <c r="K669" i="76"/>
  <c r="M944" i="76"/>
  <c r="AP484" i="76"/>
  <c r="AT972" i="76"/>
  <c r="AS625" i="76"/>
  <c r="AT116" i="76"/>
  <c r="AP267" i="76"/>
  <c r="AQ573" i="76"/>
  <c r="AR536" i="76"/>
  <c r="I181" i="76"/>
  <c r="M346" i="76"/>
  <c r="AT506" i="76"/>
  <c r="AR1063" i="76"/>
  <c r="AP671" i="76"/>
  <c r="AT164" i="76"/>
  <c r="AP315" i="76"/>
  <c r="AT737" i="76"/>
  <c r="AR703" i="76"/>
  <c r="L216" i="76"/>
  <c r="J605" i="76"/>
  <c r="AP523" i="76"/>
  <c r="L93" i="76"/>
  <c r="AT697" i="76"/>
  <c r="AR191" i="76"/>
  <c r="AT341" i="76"/>
  <c r="AR844" i="76"/>
  <c r="AT788" i="76"/>
  <c r="J233" i="76"/>
  <c r="AP938" i="76"/>
  <c r="AP619" i="76"/>
  <c r="L165" i="76"/>
  <c r="AT841" i="76"/>
  <c r="AR335" i="76"/>
  <c r="AT485" i="76"/>
  <c r="AQ450" i="76"/>
  <c r="K90" i="76"/>
  <c r="L403" i="76"/>
  <c r="I151" i="76"/>
  <c r="H655" i="76"/>
  <c r="I206" i="76"/>
  <c r="J378" i="76"/>
  <c r="J209" i="76"/>
  <c r="AQ345" i="76"/>
  <c r="H442" i="76"/>
  <c r="H340" i="76"/>
  <c r="H928" i="76"/>
  <c r="I176" i="76"/>
  <c r="L733" i="76"/>
  <c r="I246" i="76"/>
  <c r="J458" i="76"/>
  <c r="M378" i="76"/>
  <c r="AS174" i="76"/>
  <c r="L356" i="76"/>
  <c r="I189" i="76"/>
  <c r="M522" i="76"/>
  <c r="I584" i="76"/>
  <c r="K803" i="76"/>
  <c r="H160" i="76"/>
  <c r="J1018" i="76"/>
  <c r="H857" i="76"/>
  <c r="AQ855" i="76"/>
  <c r="AO162" i="76"/>
  <c r="AP564" i="76"/>
  <c r="AO526" i="76"/>
  <c r="M471" i="76"/>
  <c r="J662" i="76"/>
  <c r="AO333" i="76"/>
  <c r="AT437" i="76"/>
  <c r="M288" i="76"/>
  <c r="I676" i="76"/>
  <c r="AO480" i="76"/>
  <c r="K291" i="76"/>
  <c r="H862" i="76"/>
  <c r="I597" i="76"/>
  <c r="AT699" i="76"/>
  <c r="AR968" i="76"/>
  <c r="AS736" i="76"/>
  <c r="AO892" i="76"/>
  <c r="AO631" i="76"/>
  <c r="AQ946" i="76"/>
  <c r="AQ829" i="76"/>
  <c r="AR494" i="76"/>
  <c r="AS683" i="76"/>
  <c r="AO652" i="76"/>
  <c r="AT359" i="76"/>
  <c r="AT735" i="76"/>
  <c r="AO894" i="76"/>
  <c r="AT266" i="76"/>
  <c r="H1030" i="76"/>
  <c r="L501" i="76"/>
  <c r="K684" i="76"/>
  <c r="H770" i="76"/>
  <c r="AT742" i="76"/>
  <c r="AO296" i="76"/>
  <c r="K1032" i="76"/>
  <c r="AO486" i="76"/>
  <c r="J524" i="76"/>
  <c r="AP510" i="76"/>
  <c r="I707" i="76"/>
  <c r="AQ920" i="76"/>
  <c r="H782" i="76"/>
  <c r="AQ674" i="76"/>
  <c r="AP916" i="76"/>
  <c r="AT179" i="76"/>
  <c r="AO372" i="76"/>
  <c r="AQ601" i="76"/>
  <c r="I1055" i="76"/>
  <c r="AS257" i="76"/>
  <c r="AO538" i="76"/>
  <c r="L717" i="76"/>
  <c r="J152" i="76"/>
  <c r="I954" i="76"/>
  <c r="I335" i="76"/>
  <c r="I1011" i="76"/>
  <c r="AQ1066" i="76"/>
  <c r="AS938" i="76"/>
  <c r="AT701" i="76"/>
  <c r="AO530" i="76"/>
  <c r="AR979" i="76"/>
  <c r="AP252" i="76"/>
  <c r="AS485" i="76"/>
  <c r="H962" i="76"/>
  <c r="H873" i="76"/>
  <c r="J348" i="76"/>
  <c r="AR307" i="76"/>
  <c r="I563" i="76"/>
  <c r="AO457" i="76"/>
  <c r="H606" i="76"/>
  <c r="AP1012" i="76"/>
  <c r="AO420" i="76"/>
  <c r="K1060" i="76"/>
  <c r="AS812" i="76"/>
  <c r="L125" i="76"/>
  <c r="I383" i="76"/>
  <c r="L500" i="76"/>
  <c r="AP175" i="76"/>
  <c r="K539" i="76"/>
  <c r="AR255" i="76"/>
  <c r="J114" i="76"/>
  <c r="L414" i="76"/>
  <c r="M686" i="76"/>
  <c r="AS140" i="76"/>
  <c r="AQ290" i="76"/>
  <c r="I832" i="76"/>
  <c r="AO218" i="76"/>
  <c r="AR885" i="76"/>
  <c r="AQ357" i="76"/>
  <c r="AS897" i="76"/>
  <c r="AO438" i="76"/>
  <c r="J148" i="76"/>
  <c r="K320" i="76"/>
  <c r="L448" i="76"/>
  <c r="M1048" i="76"/>
  <c r="M476" i="76"/>
  <c r="AR303" i="76"/>
  <c r="L75" i="76"/>
  <c r="J353" i="76"/>
  <c r="K561" i="76"/>
  <c r="H937" i="76"/>
  <c r="AQ386" i="76"/>
  <c r="L691" i="76"/>
  <c r="J969" i="76"/>
  <c r="AT682" i="76"/>
  <c r="AO256" i="76"/>
  <c r="AS993" i="76"/>
  <c r="AQ363" i="76"/>
  <c r="H111" i="76"/>
  <c r="AO1059" i="76"/>
  <c r="L396" i="76"/>
  <c r="AP95" i="76"/>
  <c r="M456" i="76"/>
  <c r="AR223" i="76"/>
  <c r="AS709" i="76"/>
  <c r="J249" i="76"/>
  <c r="M606" i="76"/>
  <c r="L883" i="76"/>
  <c r="AO907" i="76"/>
  <c r="AQ832" i="76"/>
  <c r="H601" i="76"/>
  <c r="AO793" i="76"/>
  <c r="AR565" i="76"/>
  <c r="AS968" i="76"/>
  <c r="AO112" i="76"/>
  <c r="AT350" i="76"/>
  <c r="AO663" i="76"/>
  <c r="AO83" i="76"/>
  <c r="AS160" i="76"/>
  <c r="L457" i="76"/>
  <c r="AT504" i="76"/>
  <c r="M693" i="76"/>
  <c r="AQ824" i="76"/>
  <c r="H790" i="76"/>
  <c r="H326" i="76"/>
  <c r="AT465" i="76"/>
  <c r="I965" i="76"/>
  <c r="I674" i="76"/>
  <c r="K407" i="76"/>
  <c r="M108" i="76"/>
  <c r="I914" i="76"/>
  <c r="I369" i="76"/>
  <c r="AP533" i="76"/>
  <c r="J705" i="76"/>
  <c r="I148" i="76"/>
  <c r="I1014" i="76"/>
  <c r="I444" i="76"/>
  <c r="AS788" i="76"/>
  <c r="H781" i="76"/>
  <c r="K198" i="76"/>
  <c r="AS589" i="76"/>
  <c r="M463" i="76"/>
  <c r="J326" i="76"/>
  <c r="I424" i="76"/>
  <c r="J382" i="76"/>
  <c r="AP752" i="76"/>
  <c r="AO268" i="76"/>
  <c r="AO975" i="76"/>
  <c r="AS472" i="76"/>
  <c r="AR807" i="76"/>
  <c r="K252" i="76"/>
  <c r="J403" i="76"/>
  <c r="AP87" i="76"/>
  <c r="M484" i="76"/>
  <c r="I1038" i="76"/>
  <c r="AQ848" i="76"/>
  <c r="L262" i="76"/>
  <c r="M598" i="76"/>
  <c r="J958" i="76"/>
  <c r="AT397" i="76"/>
  <c r="K533" i="76"/>
  <c r="I736" i="76"/>
  <c r="K605" i="76"/>
  <c r="M179" i="76"/>
  <c r="J131" i="76"/>
  <c r="K923" i="76"/>
  <c r="I445" i="76"/>
  <c r="AS531" i="76"/>
  <c r="AT143" i="76"/>
  <c r="AR453" i="76"/>
  <c r="AS185" i="76"/>
  <c r="J624" i="76"/>
  <c r="H861" i="76"/>
  <c r="J986" i="76"/>
  <c r="AT585" i="76"/>
  <c r="M724" i="76"/>
  <c r="K191" i="76"/>
  <c r="K534" i="76"/>
  <c r="L872" i="76"/>
  <c r="AR208" i="76"/>
  <c r="K84" i="76"/>
  <c r="H349" i="76"/>
  <c r="K794" i="76"/>
  <c r="L802" i="76"/>
  <c r="AP402" i="76"/>
  <c r="AO811" i="76"/>
  <c r="L166" i="76"/>
  <c r="L323" i="76"/>
  <c r="L426" i="76"/>
  <c r="AQ207" i="76"/>
  <c r="AT862" i="76"/>
  <c r="AO324" i="76"/>
  <c r="K1028" i="76"/>
  <c r="AP609" i="76"/>
  <c r="AR1031" i="76"/>
  <c r="K308" i="76"/>
  <c r="J431" i="76"/>
  <c r="AP143" i="76"/>
  <c r="M512" i="76"/>
  <c r="AT148" i="76"/>
  <c r="AS901" i="76"/>
  <c r="H276" i="76"/>
  <c r="I612" i="76"/>
  <c r="H976" i="76"/>
  <c r="AP451" i="76"/>
  <c r="L563" i="76"/>
  <c r="J766" i="76"/>
  <c r="L618" i="76"/>
  <c r="H194" i="76"/>
  <c r="K145" i="76"/>
  <c r="K988" i="76"/>
  <c r="J581" i="76"/>
  <c r="AQ574" i="76"/>
  <c r="AR186" i="76"/>
  <c r="AT474" i="76"/>
  <c r="AO207" i="76"/>
  <c r="L645" i="76"/>
  <c r="K886" i="76"/>
  <c r="L1014" i="76"/>
  <c r="AP614" i="76"/>
  <c r="K735" i="76"/>
  <c r="I202" i="76"/>
  <c r="M555" i="76"/>
  <c r="H900" i="76"/>
  <c r="AP251" i="76"/>
  <c r="L98" i="76"/>
  <c r="J370" i="76"/>
  <c r="I837" i="76"/>
  <c r="M850" i="76"/>
  <c r="AR487" i="76"/>
  <c r="J71" i="76"/>
  <c r="I195" i="76"/>
  <c r="J373" i="76"/>
  <c r="L523" i="76"/>
  <c r="M487" i="76"/>
  <c r="AR526" i="76"/>
  <c r="J959" i="76"/>
  <c r="I635" i="76"/>
  <c r="AR468" i="76"/>
  <c r="AP554" i="76"/>
  <c r="H516" i="76"/>
  <c r="AS428" i="76"/>
  <c r="I341" i="76"/>
  <c r="AQ127" i="76"/>
  <c r="L635" i="76"/>
  <c r="H481" i="76"/>
  <c r="AT773" i="76"/>
  <c r="AS601" i="76"/>
  <c r="AR887" i="76"/>
  <c r="L624" i="76"/>
  <c r="K835" i="76"/>
  <c r="AP74" i="76"/>
  <c r="J537" i="76"/>
  <c r="J234" i="76"/>
  <c r="AR472" i="76"/>
  <c r="L118" i="76"/>
  <c r="L202" i="76"/>
  <c r="L152" i="76"/>
  <c r="L578" i="76"/>
  <c r="AO788" i="76"/>
  <c r="AP464" i="76"/>
  <c r="L898" i="76"/>
  <c r="I487" i="76"/>
  <c r="AO600" i="76"/>
  <c r="M324" i="76"/>
  <c r="L183" i="76"/>
  <c r="AT229" i="76"/>
  <c r="L615" i="76"/>
  <c r="AT189" i="76"/>
  <c r="AP466" i="76"/>
  <c r="I744" i="76"/>
  <c r="M322" i="76"/>
  <c r="M754" i="76"/>
  <c r="AT611" i="76"/>
  <c r="AO451" i="76"/>
  <c r="H335" i="76"/>
  <c r="K272" i="76"/>
  <c r="J263" i="76"/>
  <c r="M728" i="76"/>
  <c r="AT772" i="76"/>
  <c r="AO923" i="76"/>
  <c r="J69" i="76"/>
  <c r="M89" i="76"/>
  <c r="M114" i="76"/>
  <c r="I576" i="76"/>
  <c r="L200" i="76"/>
  <c r="AS981" i="76"/>
  <c r="K781" i="76"/>
  <c r="H1023" i="76"/>
  <c r="M908" i="76"/>
  <c r="AQ583" i="76"/>
  <c r="J925" i="76"/>
  <c r="H646" i="76"/>
  <c r="I334" i="76"/>
  <c r="L558" i="76"/>
  <c r="J634" i="76"/>
  <c r="I147" i="76"/>
  <c r="J781" i="76"/>
  <c r="L675" i="76"/>
  <c r="AS613" i="76"/>
  <c r="L955" i="76"/>
  <c r="L668" i="76"/>
  <c r="I346" i="76"/>
  <c r="L582" i="76"/>
  <c r="J658" i="76"/>
  <c r="I179" i="76"/>
  <c r="L842" i="76"/>
  <c r="K797" i="76"/>
  <c r="AQ633" i="76"/>
  <c r="J973" i="76"/>
  <c r="H682" i="76"/>
  <c r="M352" i="76"/>
  <c r="H596" i="76"/>
  <c r="L671" i="76"/>
  <c r="H197" i="76"/>
  <c r="H868" i="76"/>
  <c r="J846" i="76"/>
  <c r="AO830" i="76"/>
  <c r="AS88" i="76"/>
  <c r="H754" i="76"/>
  <c r="M388" i="76"/>
  <c r="H668" i="76"/>
  <c r="L743" i="76"/>
  <c r="M338" i="76"/>
  <c r="AO125" i="76"/>
  <c r="AS550" i="76"/>
  <c r="K1056" i="76"/>
  <c r="AT169" i="76"/>
  <c r="K681" i="76"/>
  <c r="H697" i="76"/>
  <c r="AO749" i="76"/>
  <c r="M1003" i="76"/>
  <c r="M643" i="76"/>
  <c r="AT76" i="76"/>
  <c r="L579" i="76"/>
  <c r="AP136" i="76"/>
  <c r="AT249" i="76"/>
  <c r="K761" i="76"/>
  <c r="J789" i="76"/>
  <c r="AT963" i="76"/>
  <c r="I799" i="76"/>
  <c r="I473" i="76"/>
  <c r="M671" i="76"/>
  <c r="M205" i="76"/>
  <c r="AR259" i="76"/>
  <c r="AP650" i="76"/>
  <c r="AO423" i="76"/>
  <c r="K249" i="76"/>
  <c r="AO984" i="76"/>
  <c r="M259" i="76"/>
  <c r="L762" i="76"/>
  <c r="AP79" i="76"/>
  <c r="K594" i="76"/>
  <c r="M771" i="76"/>
  <c r="I630" i="76"/>
  <c r="AS545" i="76"/>
  <c r="AQ788" i="76"/>
  <c r="AS663" i="76"/>
  <c r="AP967" i="76"/>
  <c r="M210" i="76"/>
  <c r="K715" i="76"/>
  <c r="AS801" i="76"/>
  <c r="AT891" i="76"/>
  <c r="AS1056" i="76"/>
  <c r="AR525" i="76"/>
  <c r="AS946" i="76"/>
  <c r="AS1003" i="76"/>
  <c r="AQ565" i="76"/>
  <c r="AR90" i="76"/>
  <c r="AS265" i="76"/>
  <c r="M801" i="76"/>
  <c r="AQ949" i="76"/>
  <c r="AR225" i="76"/>
  <c r="H599" i="76"/>
  <c r="M813" i="76"/>
  <c r="L856" i="76"/>
  <c r="AQ781" i="76"/>
  <c r="AS478" i="76"/>
  <c r="AT130" i="76"/>
  <c r="AQ919" i="76"/>
  <c r="H227" i="76"/>
  <c r="K484" i="76"/>
  <c r="J559" i="76"/>
  <c r="AR1000" i="76"/>
  <c r="AQ109" i="76"/>
  <c r="AS576" i="76"/>
  <c r="AQ91" i="76"/>
  <c r="AO524" i="76"/>
  <c r="AO643" i="76"/>
  <c r="AQ1005" i="76"/>
  <c r="AT210" i="76"/>
  <c r="J424" i="76"/>
  <c r="H714" i="76"/>
  <c r="I614" i="76"/>
  <c r="K270" i="76"/>
  <c r="I836" i="76"/>
  <c r="J175" i="76"/>
  <c r="H248" i="76"/>
  <c r="AS506" i="76"/>
  <c r="L900" i="76"/>
  <c r="M469" i="76"/>
  <c r="AR348" i="76"/>
  <c r="AP890" i="76"/>
  <c r="L502" i="76"/>
  <c r="AS316" i="76"/>
  <c r="AS116" i="76"/>
  <c r="AS846" i="76"/>
  <c r="AP196" i="76"/>
  <c r="J260" i="76"/>
  <c r="H550" i="76"/>
  <c r="K531" i="76"/>
  <c r="I203" i="76"/>
  <c r="I820" i="76"/>
  <c r="K93" i="76"/>
  <c r="AP131" i="76"/>
  <c r="AT778" i="76"/>
  <c r="AO240" i="76"/>
  <c r="AO919" i="76"/>
  <c r="AS288" i="76"/>
  <c r="AR951" i="76"/>
  <c r="K224" i="76"/>
  <c r="H390" i="76"/>
  <c r="K1059" i="76"/>
  <c r="K439" i="76"/>
  <c r="AR111" i="76"/>
  <c r="AS741" i="76"/>
  <c r="H236" i="76"/>
  <c r="I572" i="76"/>
  <c r="H845" i="76"/>
  <c r="AP559" i="76"/>
  <c r="I472" i="76"/>
  <c r="M674" i="76"/>
  <c r="AQ528" i="76"/>
  <c r="AQ887" i="76"/>
  <c r="K508" i="76"/>
  <c r="AP215" i="76"/>
  <c r="AQ561" i="76"/>
  <c r="L518" i="76"/>
  <c r="AO178" i="76"/>
  <c r="AS295" i="76"/>
  <c r="I752" i="76"/>
  <c r="H648" i="76"/>
  <c r="H505" i="76"/>
  <c r="AT399" i="76"/>
  <c r="AS441" i="76"/>
  <c r="K1030" i="76"/>
  <c r="H238" i="76"/>
  <c r="K319" i="76"/>
  <c r="L1046" i="76"/>
  <c r="I268" i="76"/>
  <c r="AR151" i="76"/>
  <c r="I165" i="76"/>
  <c r="L707" i="76"/>
  <c r="AR72" i="76"/>
  <c r="AQ941" i="76"/>
  <c r="AR157" i="76"/>
  <c r="J328" i="76"/>
  <c r="L660" i="76"/>
  <c r="M576" i="76"/>
  <c r="K238" i="76"/>
  <c r="I740" i="76"/>
  <c r="M82" i="76"/>
  <c r="L111" i="76"/>
  <c r="H464" i="76"/>
  <c r="K469" i="76"/>
  <c r="AQ830" i="76"/>
  <c r="AR891" i="76"/>
  <c r="H913" i="76"/>
  <c r="AQ262" i="76"/>
  <c r="K864" i="76"/>
  <c r="M683" i="76"/>
  <c r="AR956" i="76"/>
  <c r="J626" i="76"/>
  <c r="AT381" i="76"/>
  <c r="J246" i="76"/>
  <c r="H665" i="76"/>
  <c r="L507" i="76"/>
  <c r="AQ472" i="76"/>
  <c r="AP879" i="76"/>
  <c r="AQ106" i="76"/>
  <c r="I853" i="76"/>
  <c r="I488" i="76"/>
  <c r="AQ953" i="76"/>
  <c r="J292" i="76"/>
  <c r="K995" i="76"/>
  <c r="H996" i="76"/>
  <c r="K86" i="76"/>
  <c r="K477" i="76"/>
  <c r="I866" i="76"/>
  <c r="AP870" i="76"/>
  <c r="I743" i="76"/>
  <c r="I538" i="76"/>
  <c r="AT913" i="76"/>
  <c r="M559" i="76"/>
  <c r="J390" i="76"/>
  <c r="J438" i="76"/>
  <c r="AQ844" i="76"/>
  <c r="K528" i="76"/>
  <c r="M856" i="76"/>
  <c r="J210" i="76"/>
  <c r="I276" i="76"/>
  <c r="AO445" i="76"/>
  <c r="M234" i="76"/>
  <c r="K493" i="76"/>
  <c r="AS554" i="76"/>
  <c r="AQ366" i="76"/>
  <c r="AS191" i="76"/>
  <c r="AR1004" i="76"/>
  <c r="H336" i="76"/>
  <c r="J939" i="76"/>
  <c r="I602" i="76"/>
  <c r="AQ391" i="76"/>
  <c r="M682" i="76"/>
  <c r="AR664" i="76"/>
  <c r="AQ438" i="76"/>
  <c r="AQ266" i="76"/>
  <c r="K110" i="76"/>
  <c r="AS87" i="76"/>
  <c r="L1024" i="76"/>
  <c r="M644" i="76"/>
  <c r="AO579" i="76"/>
  <c r="M880" i="76"/>
  <c r="AQ309" i="76"/>
  <c r="L302" i="76"/>
  <c r="M912" i="76"/>
  <c r="M224" i="76"/>
  <c r="H281" i="76"/>
  <c r="L468" i="76"/>
  <c r="AS71" i="76"/>
  <c r="J520" i="76"/>
  <c r="H245" i="76"/>
  <c r="AQ344" i="76"/>
  <c r="AR190" i="76"/>
  <c r="L547" i="76"/>
  <c r="J414" i="76"/>
  <c r="I320" i="76"/>
  <c r="J136" i="76"/>
  <c r="AP195" i="76"/>
  <c r="H307" i="76"/>
  <c r="AT734" i="76"/>
  <c r="AO677" i="76"/>
  <c r="AP193" i="76"/>
  <c r="AT866" i="76"/>
  <c r="AP841" i="76"/>
  <c r="I960" i="76"/>
  <c r="AP584" i="76"/>
  <c r="AR976" i="76"/>
  <c r="AQ644" i="76"/>
  <c r="AT336" i="76"/>
  <c r="AO629" i="76"/>
  <c r="AQ585" i="76"/>
  <c r="L769" i="76"/>
  <c r="H1024" i="76"/>
  <c r="AO105" i="76"/>
  <c r="AT675" i="76"/>
  <c r="AQ731" i="76"/>
  <c r="AR301" i="76"/>
  <c r="J1011" i="76"/>
  <c r="L397" i="76"/>
  <c r="I655" i="76"/>
  <c r="H730" i="76"/>
  <c r="AR817" i="76"/>
  <c r="AO280" i="76"/>
  <c r="AQ892" i="76"/>
  <c r="AS432" i="76"/>
  <c r="H103" i="76"/>
  <c r="M285" i="76"/>
  <c r="AO685" i="76"/>
  <c r="AT565" i="76"/>
  <c r="L765" i="76"/>
  <c r="AO161" i="76"/>
  <c r="M784" i="76"/>
  <c r="M611" i="76"/>
  <c r="AT405" i="76"/>
  <c r="J490" i="76"/>
  <c r="AO106" i="76"/>
  <c r="AP85" i="76"/>
  <c r="AO243" i="76"/>
  <c r="I811" i="76"/>
  <c r="AT809" i="76"/>
  <c r="K231" i="76"/>
  <c r="H844" i="76"/>
  <c r="L123" i="76"/>
  <c r="K698" i="76"/>
  <c r="AQ526" i="76"/>
  <c r="AP546" i="76"/>
  <c r="L601" i="76"/>
  <c r="I899" i="76"/>
  <c r="I702" i="76"/>
  <c r="M531" i="76"/>
  <c r="AT373" i="76"/>
  <c r="H325" i="76"/>
  <c r="K405" i="76"/>
  <c r="AS814" i="76"/>
  <c r="AS410" i="76"/>
  <c r="AP116" i="76"/>
  <c r="AO690" i="76"/>
  <c r="H223" i="76"/>
  <c r="I395" i="76"/>
  <c r="J491" i="76"/>
  <c r="AP231" i="76"/>
  <c r="M524" i="76"/>
  <c r="AT452" i="76"/>
  <c r="I123" i="76"/>
  <c r="L406" i="76"/>
  <c r="M742" i="76"/>
  <c r="AO82" i="76"/>
  <c r="AQ800" i="76"/>
  <c r="I863" i="76"/>
  <c r="AS180" i="76"/>
  <c r="AR122" i="76"/>
  <c r="AO175" i="76"/>
  <c r="M849" i="76"/>
  <c r="AR571" i="76"/>
  <c r="I186" i="76"/>
  <c r="K860" i="76"/>
  <c r="L78" i="76"/>
  <c r="I773" i="76"/>
  <c r="AT380" i="76"/>
  <c r="L159" i="76"/>
  <c r="K402" i="76"/>
  <c r="AR773" i="76"/>
  <c r="AQ996" i="76"/>
  <c r="AP850" i="76"/>
  <c r="L408" i="76"/>
  <c r="I490" i="76"/>
  <c r="AO891" i="76"/>
  <c r="K609" i="76"/>
  <c r="AR440" i="76"/>
  <c r="I760" i="76"/>
  <c r="M186" i="76"/>
  <c r="K956" i="76"/>
  <c r="AO621" i="76"/>
  <c r="AT498" i="76"/>
  <c r="L669" i="76"/>
  <c r="J1053" i="76"/>
  <c r="K747" i="76"/>
  <c r="M579" i="76"/>
  <c r="AT213" i="76"/>
  <c r="L351" i="76"/>
  <c r="I808" i="76"/>
  <c r="AQ896" i="76"/>
  <c r="I336" i="76"/>
  <c r="AQ687" i="76"/>
  <c r="AO300" i="76"/>
  <c r="AP545" i="76"/>
  <c r="K284" i="76"/>
  <c r="AP119" i="76"/>
  <c r="AT100" i="76"/>
  <c r="L294" i="76"/>
  <c r="H1001" i="76"/>
  <c r="J606" i="76"/>
  <c r="I637" i="76"/>
  <c r="M166" i="76"/>
  <c r="H776" i="76"/>
  <c r="AP356" i="76"/>
  <c r="J603" i="76"/>
  <c r="M307" i="76"/>
  <c r="M74" i="76"/>
  <c r="H720" i="76"/>
  <c r="K629" i="76"/>
  <c r="H897" i="76"/>
  <c r="AR596" i="76"/>
  <c r="M181" i="76"/>
  <c r="H613" i="76"/>
  <c r="AT444" i="76"/>
  <c r="M298" i="76"/>
  <c r="AS556" i="76"/>
  <c r="AT892" i="76"/>
  <c r="M836" i="76"/>
  <c r="H540" i="76"/>
  <c r="AP483" i="76"/>
  <c r="J206" i="76"/>
  <c r="M602" i="76"/>
  <c r="AR505" i="76"/>
  <c r="J984" i="76"/>
  <c r="AP191" i="76"/>
  <c r="M627" i="76"/>
  <c r="M702" i="76"/>
  <c r="H1019" i="76"/>
  <c r="K722" i="76"/>
  <c r="H544" i="76"/>
  <c r="AP1061" i="76"/>
  <c r="K848" i="76"/>
  <c r="I521" i="76"/>
  <c r="M767" i="76"/>
  <c r="L299" i="76"/>
  <c r="AS1017" i="76"/>
  <c r="AR108" i="76"/>
  <c r="I620" i="76"/>
  <c r="J630" i="76"/>
  <c r="AQ578" i="76"/>
  <c r="I890" i="76"/>
  <c r="K558" i="76"/>
  <c r="K842" i="76"/>
  <c r="H385" i="76"/>
  <c r="AP80" i="76"/>
  <c r="AT193" i="76"/>
  <c r="K705" i="76"/>
  <c r="H728" i="76"/>
  <c r="AS675" i="76"/>
  <c r="K606" i="76"/>
  <c r="J494" i="76"/>
  <c r="AP207" i="76"/>
  <c r="L739" i="76"/>
  <c r="AR75" i="76"/>
  <c r="AR247" i="76"/>
  <c r="AS873" i="76"/>
  <c r="I548" i="76"/>
  <c r="AO1017" i="76"/>
  <c r="I891" i="76"/>
  <c r="J213" i="76"/>
  <c r="I245" i="76"/>
  <c r="M590" i="76"/>
  <c r="J874" i="76"/>
  <c r="K174" i="76"/>
  <c r="L482" i="76"/>
  <c r="K285" i="76"/>
  <c r="AP556" i="76"/>
  <c r="AS1062" i="76"/>
  <c r="AO957" i="76"/>
  <c r="AO560" i="76"/>
  <c r="AS662" i="76"/>
  <c r="AT927" i="76"/>
  <c r="AR437" i="76"/>
  <c r="J512" i="76"/>
  <c r="J823" i="76"/>
  <c r="AS306" i="76"/>
  <c r="AO786" i="76"/>
  <c r="AR791" i="76"/>
  <c r="AO963" i="76"/>
  <c r="AS695" i="76"/>
  <c r="AP201" i="76"/>
  <c r="AP694" i="76"/>
  <c r="AO343" i="76"/>
  <c r="J728" i="76"/>
  <c r="J968" i="76"/>
  <c r="K1026" i="76"/>
  <c r="AQ1045" i="76"/>
  <c r="AQ651" i="76"/>
  <c r="AT262" i="76"/>
  <c r="L972" i="76"/>
  <c r="H359" i="76"/>
  <c r="K616" i="76"/>
  <c r="J691" i="76"/>
  <c r="AQ441" i="76"/>
  <c r="AO898" i="76"/>
  <c r="K404" i="76"/>
  <c r="AT281" i="76"/>
  <c r="AO626" i="76"/>
  <c r="H436" i="76"/>
  <c r="AQ183" i="76"/>
  <c r="J885" i="76"/>
  <c r="AQ665" i="76"/>
  <c r="AR105" i="76"/>
  <c r="L169" i="76"/>
  <c r="J459" i="76"/>
  <c r="K487" i="76"/>
  <c r="K144" i="76"/>
  <c r="I732" i="76"/>
  <c r="AS471" i="76"/>
  <c r="J1036" i="76"/>
  <c r="AQ277" i="76"/>
  <c r="AR598" i="76"/>
  <c r="M389" i="76"/>
  <c r="AR116" i="76"/>
  <c r="AP266" i="76"/>
  <c r="L270" i="76"/>
  <c r="H1027" i="76"/>
  <c r="K490" i="76"/>
  <c r="AS835" i="76"/>
  <c r="AO1054" i="76"/>
  <c r="AP372" i="76"/>
  <c r="AQ104" i="76"/>
  <c r="H543" i="76"/>
  <c r="I715" i="76"/>
  <c r="J811" i="76"/>
  <c r="AP487" i="76"/>
  <c r="M684" i="76"/>
  <c r="K151" i="76"/>
  <c r="K390" i="76"/>
  <c r="L726" i="76"/>
  <c r="K1047" i="76"/>
  <c r="AO874" i="76"/>
  <c r="H269" i="76"/>
  <c r="K506" i="76"/>
  <c r="H473" i="76"/>
  <c r="AR837" i="76"/>
  <c r="AQ1060" i="76"/>
  <c r="H187" i="76"/>
  <c r="L424" i="76"/>
  <c r="I506" i="76"/>
  <c r="AO1019" i="76"/>
  <c r="K641" i="76"/>
  <c r="AT543" i="76"/>
  <c r="K834" i="76"/>
  <c r="L243" i="76"/>
  <c r="AS260" i="76"/>
  <c r="AO617" i="76"/>
  <c r="AP678" i="76"/>
  <c r="H667" i="76"/>
  <c r="H1048" i="76"/>
  <c r="I746" i="76"/>
  <c r="I577" i="76"/>
  <c r="AS562" i="76"/>
  <c r="L391" i="76"/>
  <c r="J910" i="76"/>
  <c r="H82" i="76"/>
  <c r="K421" i="76"/>
  <c r="I220" i="76"/>
  <c r="AS366" i="76"/>
  <c r="AO770" i="76"/>
  <c r="I351" i="76"/>
  <c r="AT185" i="76"/>
  <c r="AP490" i="76"/>
  <c r="L318" i="76"/>
  <c r="L1035" i="76"/>
  <c r="K661" i="76"/>
  <c r="M666" i="76"/>
  <c r="J477" i="76"/>
  <c r="AP243" i="76"/>
  <c r="AT271" i="76"/>
  <c r="AS249" i="76"/>
  <c r="K943" i="76"/>
  <c r="AR948" i="76"/>
  <c r="K223" i="76"/>
  <c r="H957" i="76"/>
  <c r="I127" i="76"/>
  <c r="M940" i="76"/>
  <c r="K122" i="76"/>
  <c r="J269" i="76"/>
  <c r="J718" i="76"/>
  <c r="AO646" i="76"/>
  <c r="K720" i="76"/>
  <c r="M184" i="76"/>
  <c r="AO630" i="76"/>
  <c r="AR359" i="76"/>
  <c r="H874" i="76"/>
  <c r="AO759" i="76"/>
  <c r="H710" i="76"/>
  <c r="AT244" i="76"/>
  <c r="M318" i="76"/>
  <c r="L235" i="76"/>
  <c r="J294" i="76"/>
  <c r="AS958" i="76"/>
  <c r="K1012" i="76"/>
  <c r="AR756" i="76"/>
  <c r="K246" i="76"/>
  <c r="H701" i="76"/>
  <c r="AT1044" i="76"/>
  <c r="H713" i="76"/>
  <c r="AQ819" i="76"/>
  <c r="J420" i="76"/>
  <c r="H306" i="76"/>
  <c r="M88" i="76"/>
  <c r="K121" i="76"/>
  <c r="M171" i="76"/>
  <c r="H297" i="76"/>
  <c r="J1013" i="76"/>
  <c r="K658" i="76"/>
  <c r="AO214" i="76"/>
  <c r="K419" i="76"/>
  <c r="H805" i="76"/>
  <c r="AT477" i="76"/>
  <c r="I908" i="76"/>
  <c r="J839" i="76"/>
  <c r="J753" i="76"/>
  <c r="J534" i="76"/>
  <c r="AS455" i="76"/>
  <c r="AO286" i="76"/>
  <c r="I438" i="76"/>
  <c r="J842" i="76"/>
  <c r="AP983" i="76"/>
  <c r="AT79" i="76"/>
  <c r="L943" i="76"/>
  <c r="L838" i="76"/>
  <c r="H729" i="76"/>
  <c r="I304" i="76"/>
  <c r="AQ511" i="76"/>
  <c r="AQ226" i="76"/>
  <c r="AR775" i="76"/>
  <c r="AT365" i="76"/>
  <c r="AR477" i="76"/>
  <c r="AR256" i="76"/>
  <c r="AS372" i="76"/>
  <c r="K814" i="76"/>
  <c r="H1005" i="76"/>
  <c r="K214" i="76"/>
  <c r="L953" i="76"/>
  <c r="K967" i="76"/>
  <c r="AT953" i="76"/>
  <c r="K459" i="76"/>
  <c r="H143" i="76"/>
  <c r="K261" i="76"/>
  <c r="L160" i="76"/>
  <c r="AR890" i="76"/>
  <c r="AT566" i="76"/>
  <c r="AP669" i="76"/>
  <c r="AS967" i="76"/>
  <c r="AT717" i="76"/>
  <c r="AQ833" i="76"/>
  <c r="AP949" i="76"/>
  <c r="AT490" i="76"/>
  <c r="H523" i="76"/>
  <c r="K936" i="76"/>
  <c r="AQ477" i="76"/>
  <c r="AS828" i="76"/>
  <c r="AP834" i="76"/>
  <c r="AS1005" i="76"/>
  <c r="AQ802" i="76"/>
  <c r="AT371" i="76"/>
  <c r="AR715" i="76"/>
  <c r="AS353" i="76"/>
  <c r="H739" i="76"/>
  <c r="K1043" i="76"/>
  <c r="AO193" i="76"/>
  <c r="AS1066" i="76"/>
  <c r="AS672" i="76"/>
  <c r="AR273" i="76"/>
  <c r="H1026" i="76"/>
  <c r="J444" i="76"/>
  <c r="I627" i="76"/>
  <c r="H702" i="76"/>
  <c r="AS462" i="76"/>
  <c r="H942" i="76"/>
  <c r="I575" i="76"/>
  <c r="AP303" i="76"/>
  <c r="AT708" i="76"/>
  <c r="J457" i="76"/>
  <c r="AS396" i="76"/>
  <c r="J226" i="76"/>
  <c r="AO708" i="76"/>
  <c r="AT126" i="76"/>
  <c r="H191" i="76"/>
  <c r="H566" i="76"/>
  <c r="M572" i="76"/>
  <c r="L158" i="76"/>
  <c r="K753" i="76"/>
  <c r="AQ572" i="76"/>
  <c r="AS836" i="76"/>
  <c r="AO448" i="76"/>
  <c r="AS668" i="76"/>
  <c r="I411" i="76"/>
  <c r="AT137" i="76"/>
  <c r="AR479" i="76"/>
  <c r="J441" i="76"/>
  <c r="H1065" i="76"/>
  <c r="I533" i="76"/>
  <c r="AS963" i="76"/>
  <c r="I892" i="76"/>
  <c r="AR457" i="76"/>
  <c r="AS125" i="76"/>
  <c r="J564" i="76"/>
  <c r="K736" i="76"/>
  <c r="L832" i="76"/>
  <c r="AT592" i="76"/>
  <c r="K695" i="76"/>
  <c r="I162" i="76"/>
  <c r="M411" i="76"/>
  <c r="H748" i="76"/>
  <c r="AP219" i="76"/>
  <c r="AQ959" i="76"/>
  <c r="J290" i="76"/>
  <c r="I549" i="76"/>
  <c r="L522" i="76"/>
  <c r="AQ745" i="76"/>
  <c r="M1057" i="76"/>
  <c r="L229" i="76"/>
  <c r="H446" i="76"/>
  <c r="K527" i="76"/>
  <c r="J169" i="76"/>
  <c r="I684" i="76"/>
  <c r="AO843" i="76"/>
  <c r="M951" i="76"/>
  <c r="K341" i="76"/>
  <c r="I228" i="76"/>
  <c r="AQ702" i="76"/>
  <c r="AR763" i="76"/>
  <c r="L709" i="76"/>
  <c r="AQ134" i="76"/>
  <c r="K831" i="76"/>
  <c r="M619" i="76"/>
  <c r="AR700" i="76"/>
  <c r="J434" i="76"/>
  <c r="H1045" i="76"/>
  <c r="L195" i="76"/>
  <c r="M519" i="76"/>
  <c r="L803" i="76"/>
  <c r="AQ409" i="76"/>
  <c r="AS940" i="76"/>
  <c r="M521" i="76"/>
  <c r="AR228" i="76"/>
  <c r="AT596" i="76"/>
  <c r="J361" i="76"/>
  <c r="AQ119" i="76"/>
  <c r="AO154" i="76"/>
  <c r="L715" i="76"/>
  <c r="J574" i="76"/>
  <c r="L506" i="76"/>
  <c r="AP357" i="76"/>
  <c r="AQ420" i="76"/>
  <c r="J1000" i="76"/>
  <c r="AT1033" i="76"/>
  <c r="M244" i="76"/>
  <c r="M1013" i="76"/>
  <c r="M246" i="76"/>
  <c r="I1065" i="76"/>
  <c r="M150" i="76"/>
  <c r="J366" i="76"/>
  <c r="I930" i="76"/>
  <c r="AT287" i="76"/>
  <c r="M805" i="76"/>
  <c r="K227" i="76"/>
  <c r="AO970" i="76"/>
  <c r="AR831" i="76"/>
  <c r="H768" i="76"/>
  <c r="AS929" i="76"/>
  <c r="L998" i="76"/>
  <c r="AR415" i="76"/>
  <c r="I404" i="76"/>
  <c r="J821" i="76"/>
  <c r="H489" i="76"/>
  <c r="AR682" i="76"/>
  <c r="AS516" i="76"/>
  <c r="AP927" i="76"/>
  <c r="M331" i="76"/>
  <c r="L986" i="76"/>
  <c r="M118" i="76"/>
  <c r="AQ258" i="76"/>
  <c r="AP245" i="76"/>
  <c r="L505" i="76"/>
  <c r="L348" i="76"/>
  <c r="K131" i="76"/>
  <c r="K178" i="76"/>
  <c r="J230" i="76"/>
  <c r="J486" i="76"/>
  <c r="AQ479" i="76"/>
  <c r="K389" i="76"/>
  <c r="AO570" i="76"/>
  <c r="M504" i="76"/>
  <c r="L1011" i="76"/>
  <c r="H233" i="76"/>
  <c r="AR250" i="76"/>
  <c r="AQ70" i="76"/>
  <c r="L942" i="76"/>
  <c r="J944" i="76"/>
  <c r="J694" i="76"/>
  <c r="AS684" i="76"/>
  <c r="K523" i="76"/>
  <c r="AS76" i="76"/>
  <c r="J317" i="76"/>
  <c r="AP421" i="76"/>
  <c r="AO241" i="76"/>
  <c r="H1068" i="76"/>
  <c r="AR296" i="76"/>
  <c r="AT220" i="76"/>
  <c r="L252" i="76"/>
  <c r="K186" i="76"/>
  <c r="L349" i="76"/>
  <c r="K125" i="76"/>
  <c r="AR1067" i="76"/>
  <c r="M103" i="76"/>
  <c r="H337" i="76"/>
  <c r="AP362" i="76"/>
  <c r="I429" i="76"/>
  <c r="M897" i="76"/>
  <c r="K217" i="76"/>
  <c r="K203" i="76"/>
  <c r="J639" i="76"/>
  <c r="AP335" i="76"/>
  <c r="H1002" i="76"/>
  <c r="H149" i="76"/>
  <c r="I118" i="76"/>
  <c r="M83" i="76"/>
  <c r="AR577" i="76"/>
  <c r="AP765" i="76"/>
  <c r="AQ867" i="76"/>
  <c r="AP739" i="76"/>
  <c r="AS886" i="76"/>
  <c r="AR970" i="76"/>
  <c r="AO612" i="76"/>
  <c r="L693" i="76"/>
  <c r="L950" i="76"/>
  <c r="AP537" i="76"/>
  <c r="AQ871" i="76"/>
  <c r="AR1047" i="76"/>
  <c r="I291" i="76"/>
  <c r="AS823" i="76"/>
  <c r="AP393" i="76"/>
  <c r="AT736" i="76"/>
  <c r="AO407" i="76"/>
  <c r="J824" i="76"/>
  <c r="M1063" i="76"/>
  <c r="AQ214" i="76"/>
  <c r="AP641" i="76"/>
  <c r="AS832" i="76"/>
  <c r="AT358" i="76"/>
  <c r="L1036" i="76"/>
  <c r="H455" i="76"/>
  <c r="M637" i="76"/>
  <c r="J755" i="76"/>
  <c r="AS696" i="76"/>
  <c r="J963" i="76"/>
  <c r="K596" i="76"/>
  <c r="AR324" i="76"/>
  <c r="K91" i="76"/>
  <c r="H628" i="76"/>
  <c r="AQ439" i="76"/>
  <c r="K266" i="76"/>
  <c r="AS750" i="76"/>
  <c r="AR233" i="76"/>
  <c r="L361" i="76"/>
  <c r="J587" i="76"/>
  <c r="K583" i="76"/>
  <c r="H173" i="76"/>
  <c r="L860" i="76"/>
  <c r="K134" i="76"/>
  <c r="H75" i="76"/>
  <c r="AQ469" i="76"/>
  <c r="AO754" i="76"/>
  <c r="M517" i="76"/>
  <c r="AR308" i="76"/>
  <c r="AT525" i="76"/>
  <c r="L462" i="76"/>
  <c r="AS108" i="76"/>
  <c r="M575" i="76"/>
  <c r="J413" i="76"/>
  <c r="M934" i="76"/>
  <c r="AT478" i="76"/>
  <c r="AO147" i="76"/>
  <c r="L585" i="76"/>
  <c r="M821" i="76"/>
  <c r="H854" i="76"/>
  <c r="AQ621" i="76"/>
  <c r="I706" i="76"/>
  <c r="M172" i="76"/>
  <c r="I497" i="76"/>
  <c r="J769" i="76"/>
  <c r="AT261" i="76"/>
  <c r="AS1044" i="76"/>
  <c r="L311" i="76"/>
  <c r="M719" i="76"/>
  <c r="M570" i="76"/>
  <c r="AS830" i="76"/>
  <c r="AR101" i="76"/>
  <c r="J272" i="76"/>
  <c r="L604" i="76"/>
  <c r="M548" i="76"/>
  <c r="M197" i="76"/>
  <c r="M726" i="76"/>
  <c r="I76" i="76"/>
  <c r="M93" i="76"/>
  <c r="M439" i="76"/>
  <c r="J421" i="76"/>
  <c r="AS787" i="76"/>
  <c r="AT848" i="76"/>
  <c r="K884" i="76"/>
  <c r="AS219" i="76"/>
  <c r="M852" i="76"/>
  <c r="K662" i="76"/>
  <c r="AP871" i="76"/>
  <c r="H605" i="76"/>
  <c r="AP242" i="76"/>
  <c r="L224" i="76"/>
  <c r="I616" i="76"/>
  <c r="M242" i="76"/>
  <c r="AO603" i="76"/>
  <c r="L888" i="76"/>
  <c r="K564" i="76"/>
  <c r="AP271" i="76"/>
  <c r="AR751" i="76"/>
  <c r="H532" i="76"/>
  <c r="AS204" i="76"/>
  <c r="AQ402" i="76"/>
  <c r="I765" i="76"/>
  <c r="I672" i="76"/>
  <c r="L554" i="76"/>
  <c r="AR442" i="76"/>
  <c r="AO463" i="76"/>
  <c r="AP70" i="76"/>
  <c r="L248" i="76"/>
  <c r="I330" i="76"/>
  <c r="AQ90" i="76"/>
  <c r="K289" i="76"/>
  <c r="AT236" i="76"/>
  <c r="J179" i="76"/>
  <c r="J757" i="76"/>
  <c r="AO269" i="76"/>
  <c r="AR458" i="76"/>
  <c r="H899" i="76"/>
  <c r="I270" i="76"/>
  <c r="K297" i="76"/>
  <c r="I101" i="76"/>
  <c r="AP434" i="76"/>
  <c r="I1035" i="76"/>
  <c r="AO153" i="76"/>
  <c r="AP611" i="76"/>
  <c r="K489" i="76"/>
  <c r="AQ82" i="76"/>
  <c r="I685" i="76"/>
  <c r="AP853" i="76"/>
  <c r="AO802" i="76"/>
  <c r="J243" i="76"/>
  <c r="I417" i="76"/>
  <c r="AQ135" i="76"/>
  <c r="M175" i="76"/>
  <c r="L134" i="76"/>
  <c r="AT415" i="76"/>
  <c r="H591" i="76"/>
  <c r="J391" i="76"/>
  <c r="I174" i="76"/>
  <c r="L238" i="76"/>
  <c r="J314" i="76"/>
  <c r="H681" i="76"/>
  <c r="H124" i="76"/>
  <c r="J165" i="76"/>
  <c r="L916" i="76"/>
  <c r="I590" i="76"/>
  <c r="AQ343" i="76"/>
  <c r="K621" i="76"/>
  <c r="AS618" i="76"/>
  <c r="AS411" i="76"/>
  <c r="AS239" i="76"/>
  <c r="L92" i="76"/>
  <c r="M823" i="76"/>
  <c r="L952" i="76"/>
  <c r="M608" i="76"/>
  <c r="AO418" i="76"/>
  <c r="M706" i="76"/>
  <c r="AP955" i="76"/>
  <c r="AO606" i="76"/>
  <c r="AQ410" i="76"/>
  <c r="K206" i="76"/>
  <c r="H229" i="76"/>
  <c r="J423" i="76"/>
  <c r="L827" i="76"/>
  <c r="H691" i="76"/>
  <c r="L415" i="76"/>
  <c r="AO388" i="76"/>
  <c r="L382" i="76"/>
  <c r="L905" i="76"/>
  <c r="K139" i="76"/>
  <c r="AS644" i="76"/>
  <c r="J189" i="76"/>
  <c r="L903" i="76"/>
  <c r="M544" i="76"/>
  <c r="AO819" i="76"/>
  <c r="K904" i="76"/>
  <c r="AT588" i="76"/>
  <c r="K573" i="76"/>
  <c r="J335" i="76"/>
  <c r="K156" i="76"/>
  <c r="AQ843" i="76"/>
  <c r="AS907" i="76"/>
  <c r="AO156" i="76"/>
  <c r="AS650" i="76"/>
  <c r="I803" i="76"/>
  <c r="AP899" i="76"/>
  <c r="AR566" i="76"/>
  <c r="H474" i="76"/>
  <c r="AR535" i="76"/>
  <c r="AT328" i="76"/>
  <c r="AR189" i="76"/>
  <c r="AT761" i="76"/>
  <c r="K793" i="76"/>
  <c r="AQ485" i="76"/>
  <c r="H949" i="76"/>
  <c r="L374" i="76"/>
  <c r="AT1066" i="76"/>
  <c r="K859" i="76"/>
  <c r="M117" i="76"/>
  <c r="H1036" i="76"/>
  <c r="AT728" i="76"/>
  <c r="AR559" i="76"/>
  <c r="L993" i="76"/>
  <c r="M667" i="76"/>
  <c r="K465" i="76"/>
  <c r="H424" i="76"/>
  <c r="AT442" i="76"/>
  <c r="AT129" i="76"/>
  <c r="AS92" i="76"/>
  <c r="AS725" i="76"/>
  <c r="AP229" i="76"/>
  <c r="AP991" i="76"/>
  <c r="J273" i="76"/>
  <c r="I108" i="76"/>
  <c r="AO856" i="76"/>
  <c r="K918" i="76"/>
  <c r="H93" i="76"/>
  <c r="I994" i="76"/>
  <c r="L450" i="76"/>
  <c r="J688" i="76"/>
  <c r="I641" i="76"/>
  <c r="AS530" i="76"/>
  <c r="J470" i="76"/>
  <c r="AR708" i="76"/>
  <c r="J90" i="76"/>
  <c r="L121" i="76"/>
  <c r="AO651" i="76"/>
  <c r="J365" i="76"/>
  <c r="K367" i="76"/>
  <c r="I208" i="76"/>
  <c r="AO86" i="76"/>
  <c r="K96" i="76"/>
  <c r="J174" i="76"/>
  <c r="AQ972" i="76"/>
  <c r="H480" i="76"/>
  <c r="M516" i="76"/>
  <c r="I360" i="76"/>
  <c r="L766" i="76"/>
  <c r="AS972" i="76"/>
  <c r="K1027" i="76"/>
  <c r="AR96" i="76"/>
  <c r="L818" i="76"/>
  <c r="K677" i="76"/>
  <c r="J484" i="76"/>
  <c r="J202" i="76"/>
  <c r="J805" i="76"/>
  <c r="K244" i="76"/>
  <c r="AQ1035" i="76"/>
  <c r="AT686" i="76"/>
  <c r="I876" i="76"/>
  <c r="AQ757" i="76"/>
  <c r="H247" i="76"/>
  <c r="AQ653" i="76"/>
  <c r="AS876" i="76"/>
  <c r="AR570" i="76"/>
  <c r="AT1000" i="76"/>
  <c r="AP350" i="76"/>
  <c r="AT339" i="76"/>
  <c r="H522" i="76"/>
  <c r="M814" i="76"/>
  <c r="AR986" i="76"/>
  <c r="I427" i="76"/>
  <c r="J481" i="76"/>
  <c r="K741" i="76"/>
  <c r="J132" i="76"/>
  <c r="H132" i="76"/>
  <c r="AT396" i="76"/>
  <c r="AQ197" i="76"/>
  <c r="AP866" i="76"/>
  <c r="AP959" i="76"/>
  <c r="K942" i="76"/>
  <c r="M486" i="76"/>
  <c r="AT172" i="76"/>
  <c r="AS310" i="76"/>
  <c r="AR172" i="76"/>
  <c r="AP187" i="76"/>
  <c r="J654" i="76"/>
  <c r="AR314" i="76"/>
  <c r="I263" i="76"/>
  <c r="K928" i="76"/>
  <c r="L136" i="76"/>
  <c r="H512" i="76"/>
  <c r="H243" i="76"/>
  <c r="L206" i="76"/>
  <c r="M799" i="76"/>
  <c r="AQ415" i="76"/>
  <c r="H731" i="76"/>
  <c r="M500" i="76"/>
  <c r="H413" i="76"/>
  <c r="H568" i="76"/>
  <c r="H271" i="76"/>
  <c r="M511" i="76"/>
  <c r="H207" i="76"/>
  <c r="AR224" i="76"/>
  <c r="L1001" i="76"/>
  <c r="K495" i="76"/>
  <c r="J122" i="76"/>
  <c r="AS544" i="76"/>
  <c r="J153" i="76"/>
  <c r="J333" i="76"/>
  <c r="I860" i="76"/>
  <c r="J871" i="76"/>
  <c r="I873" i="76"/>
  <c r="AR812" i="76"/>
  <c r="K960" i="76"/>
  <c r="AS723" i="76"/>
  <c r="M929" i="76"/>
  <c r="AR988" i="76"/>
  <c r="M718" i="76"/>
  <c r="AT508" i="76"/>
  <c r="AS384" i="76"/>
  <c r="M585" i="76"/>
  <c r="AP783" i="76"/>
  <c r="AO167" i="76"/>
  <c r="AT918" i="76"/>
  <c r="AQ925" i="76"/>
  <c r="I1068" i="76"/>
  <c r="AQ620" i="76"/>
  <c r="H535" i="76"/>
  <c r="AS674" i="76"/>
  <c r="AT599" i="76"/>
  <c r="K420" i="76"/>
  <c r="AS98" i="76"/>
  <c r="L625" i="76"/>
  <c r="AT1054" i="76"/>
  <c r="J543" i="76"/>
  <c r="I1003" i="76"/>
  <c r="AS340" i="76"/>
  <c r="K448" i="76"/>
  <c r="K486" i="76"/>
  <c r="L958" i="76"/>
  <c r="H239" i="76"/>
  <c r="K179" i="76"/>
  <c r="L69" i="76"/>
  <c r="AS218" i="76"/>
  <c r="J756" i="76"/>
  <c r="L368" i="76"/>
  <c r="M1067" i="76"/>
  <c r="AR636" i="76"/>
  <c r="AS740" i="76"/>
  <c r="AQ353" i="76"/>
  <c r="H972" i="76"/>
  <c r="J305" i="76"/>
  <c r="H704" i="76"/>
  <c r="M977" i="76"/>
  <c r="H915" i="76"/>
  <c r="J985" i="76"/>
  <c r="K557" i="76"/>
  <c r="J621" i="76"/>
  <c r="L285" i="76"/>
  <c r="I214" i="76"/>
  <c r="AO615" i="76"/>
  <c r="L274" i="76"/>
  <c r="AO1039" i="76"/>
  <c r="M756" i="76"/>
  <c r="L455" i="76"/>
  <c r="J215" i="76"/>
  <c r="L1044" i="76"/>
  <c r="K682" i="76"/>
  <c r="AR867" i="76"/>
  <c r="L622" i="76"/>
  <c r="M474" i="76"/>
  <c r="H626" i="76"/>
  <c r="AS1045" i="76"/>
  <c r="AS673" i="76"/>
  <c r="K387" i="76"/>
  <c r="M770" i="76"/>
  <c r="AR202" i="76"/>
  <c r="I596" i="76"/>
  <c r="AQ259" i="76"/>
  <c r="J293" i="76"/>
  <c r="AT121" i="76"/>
  <c r="J75" i="76"/>
  <c r="AS220" i="76"/>
  <c r="M955" i="76"/>
  <c r="I1025" i="76"/>
  <c r="J261" i="76"/>
  <c r="H545" i="76"/>
  <c r="K274" i="76"/>
  <c r="AT527" i="76"/>
  <c r="L586" i="76"/>
  <c r="AR710" i="76"/>
  <c r="AO936" i="76"/>
  <c r="AO750" i="76"/>
  <c r="K780" i="76"/>
  <c r="J588" i="76"/>
  <c r="L504" i="76"/>
  <c r="M1065" i="76"/>
  <c r="I431" i="76"/>
  <c r="AP81" i="76"/>
  <c r="M985" i="76"/>
  <c r="AS962" i="76"/>
  <c r="I961" i="76"/>
  <c r="K128" i="76"/>
  <c r="AR511" i="76"/>
  <c r="H703" i="76"/>
  <c r="AP346" i="76"/>
  <c r="L1023" i="76"/>
  <c r="AS141" i="76"/>
  <c r="I510" i="76"/>
  <c r="I80" i="76"/>
  <c r="AP277" i="76"/>
  <c r="AQ203" i="76"/>
  <c r="J379" i="76"/>
  <c r="I258" i="76"/>
  <c r="I205" i="76"/>
  <c r="AT461" i="76"/>
  <c r="AR1066" i="76"/>
  <c r="I295" i="76"/>
  <c r="H348" i="76"/>
  <c r="L778" i="76"/>
  <c r="I1005" i="76"/>
  <c r="M971" i="76"/>
  <c r="I1057" i="76"/>
  <c r="M883" i="76"/>
  <c r="I816" i="76"/>
  <c r="AO231" i="76"/>
  <c r="I534" i="76"/>
  <c r="AS949" i="76"/>
  <c r="M173" i="76"/>
  <c r="AT720" i="76"/>
  <c r="I842" i="76"/>
  <c r="M630" i="76"/>
  <c r="H96" i="76"/>
  <c r="AO131" i="76"/>
  <c r="L1017" i="76"/>
  <c r="AR533" i="76"/>
  <c r="J882" i="76"/>
  <c r="I733" i="76"/>
  <c r="K572" i="76"/>
  <c r="I389" i="76"/>
  <c r="AO868" i="76"/>
  <c r="K771" i="76"/>
  <c r="I999" i="76"/>
  <c r="AR455" i="76"/>
  <c r="J729" i="76"/>
  <c r="AQ632" i="76"/>
  <c r="M815" i="76"/>
  <c r="L852" i="76"/>
  <c r="M743" i="76"/>
  <c r="K630" i="76"/>
  <c r="AT398" i="76"/>
  <c r="AT836" i="76"/>
  <c r="K686" i="76"/>
  <c r="AT948" i="76"/>
  <c r="AQ255" i="76"/>
  <c r="AO1005" i="76"/>
  <c r="AP666" i="76"/>
  <c r="AQ854" i="76"/>
  <c r="AR134" i="76"/>
  <c r="AQ393" i="76"/>
  <c r="J463" i="76"/>
  <c r="K808" i="76"/>
  <c r="K603" i="76"/>
  <c r="AS378" i="76"/>
  <c r="AT453" i="76"/>
  <c r="L528" i="76"/>
  <c r="L650" i="76"/>
  <c r="H1037" i="76"/>
  <c r="AQ656" i="76"/>
  <c r="M375" i="76"/>
  <c r="K719" i="76"/>
  <c r="J550" i="76"/>
  <c r="AT905" i="76"/>
  <c r="L611" i="76"/>
  <c r="H490" i="76"/>
  <c r="I865" i="76"/>
  <c r="AR935" i="76"/>
  <c r="AQ143" i="76"/>
  <c r="AO568" i="76"/>
  <c r="M485" i="76"/>
  <c r="AR699" i="76"/>
  <c r="L963" i="76"/>
  <c r="J665" i="76"/>
  <c r="M1028" i="76"/>
  <c r="K431" i="76"/>
  <c r="K633" i="76"/>
  <c r="H488" i="76"/>
  <c r="I117" i="76"/>
  <c r="I777" i="76"/>
  <c r="AR878" i="76"/>
  <c r="AR98" i="76"/>
  <c r="I791" i="76"/>
  <c r="J835" i="76"/>
  <c r="AP406" i="76"/>
  <c r="H1000" i="76"/>
  <c r="J296" i="76"/>
  <c r="J976" i="76"/>
  <c r="AT388" i="76"/>
  <c r="AQ1036" i="76"/>
  <c r="AS1012" i="76"/>
  <c r="AO246" i="76"/>
  <c r="I418" i="76"/>
  <c r="J482" i="76"/>
  <c r="M465" i="76"/>
  <c r="M631" i="76"/>
  <c r="AO494" i="76"/>
  <c r="L997" i="76"/>
  <c r="AP72" i="76"/>
  <c r="J86" i="76"/>
  <c r="AP806" i="76"/>
  <c r="AR619" i="76"/>
  <c r="AR634" i="76"/>
  <c r="AP704" i="76"/>
  <c r="M282" i="76"/>
  <c r="I236" i="76"/>
  <c r="I814" i="76"/>
  <c r="H360" i="76"/>
  <c r="AO553" i="76"/>
  <c r="AO97" i="76"/>
  <c r="I474" i="76"/>
  <c r="AR93" i="76"/>
  <c r="AS503" i="76"/>
  <c r="H126" i="76"/>
  <c r="AP651" i="76"/>
  <c r="AS120" i="76"/>
  <c r="H846" i="76"/>
  <c r="L205" i="76"/>
  <c r="AQ208" i="76"/>
  <c r="L317" i="76"/>
  <c r="H90" i="76"/>
  <c r="I754" i="76"/>
  <c r="K1024" i="76"/>
  <c r="I628" i="76"/>
  <c r="AS317" i="76"/>
  <c r="M428" i="76"/>
  <c r="J802" i="76"/>
  <c r="L613" i="76"/>
  <c r="AO93" i="76"/>
  <c r="AQ228" i="76"/>
  <c r="K972" i="76"/>
  <c r="AT114" i="76"/>
  <c r="M654" i="76"/>
  <c r="AP816" i="76"/>
  <c r="AT785" i="76"/>
  <c r="I288" i="76"/>
  <c r="K1019" i="76"/>
  <c r="I381" i="76"/>
  <c r="AR400" i="76"/>
  <c r="L752" i="76"/>
  <c r="M154" i="76"/>
  <c r="J677" i="76"/>
  <c r="AQ1044" i="76"/>
  <c r="K559" i="76"/>
  <c r="H609" i="76"/>
  <c r="J1037" i="76"/>
  <c r="H140" i="76"/>
  <c r="AR992" i="76"/>
  <c r="L1040" i="76"/>
  <c r="M461" i="76"/>
  <c r="J216" i="76"/>
  <c r="AQ548" i="76"/>
  <c r="AS305" i="76"/>
  <c r="I104" i="76"/>
  <c r="AR220" i="76"/>
  <c r="K1009" i="76"/>
  <c r="K649" i="76"/>
  <c r="AS705" i="76"/>
  <c r="K791" i="76"/>
  <c r="L823" i="76"/>
  <c r="AS573" i="76"/>
  <c r="J338" i="76"/>
  <c r="AO399" i="76"/>
  <c r="H113" i="76"/>
  <c r="AP233" i="76"/>
  <c r="K697" i="76"/>
  <c r="AS659" i="76"/>
  <c r="AQ976" i="76"/>
  <c r="L83" i="76"/>
  <c r="K152" i="76"/>
  <c r="AQ178" i="76"/>
  <c r="AP591" i="76"/>
  <c r="M357" i="76"/>
  <c r="AS100" i="76"/>
  <c r="I573" i="76"/>
  <c r="K933" i="76"/>
  <c r="I986" i="76"/>
  <c r="H633" i="76"/>
  <c r="AR331" i="76"/>
  <c r="AO959" i="76"/>
  <c r="AP721" i="76"/>
  <c r="AO171" i="76"/>
  <c r="AR744" i="76"/>
  <c r="I249" i="76"/>
  <c r="H429" i="76"/>
  <c r="AP608" i="76"/>
  <c r="J219" i="76"/>
  <c r="M523" i="76"/>
  <c r="M212" i="76"/>
  <c r="K555" i="76"/>
  <c r="J419" i="76"/>
  <c r="J601" i="76"/>
  <c r="M657" i="76"/>
  <c r="H741" i="76"/>
  <c r="H829" i="76"/>
  <c r="AP910" i="76"/>
  <c r="K843" i="76"/>
  <c r="I1043" i="76"/>
  <c r="AT957" i="76"/>
  <c r="I262" i="76"/>
  <c r="J965" i="76"/>
  <c r="AR693" i="76"/>
  <c r="H964" i="76"/>
  <c r="AP378" i="76"/>
  <c r="I234" i="76"/>
  <c r="AP655" i="76"/>
  <c r="AS91" i="76"/>
  <c r="L967" i="76"/>
  <c r="AS409" i="76"/>
  <c r="L146" i="76"/>
  <c r="H1049" i="76"/>
  <c r="L555" i="76"/>
  <c r="AT306" i="76"/>
  <c r="M1053" i="76"/>
  <c r="AR982" i="76"/>
  <c r="I550" i="76"/>
  <c r="AO274" i="76"/>
  <c r="AQ242" i="76"/>
  <c r="AO590" i="76"/>
  <c r="AR463" i="76"/>
  <c r="AT97" i="76"/>
  <c r="L452" i="76"/>
  <c r="AO177" i="76"/>
  <c r="K611" i="76"/>
  <c r="AP562" i="76"/>
  <c r="L203" i="76"/>
  <c r="I545" i="76"/>
  <c r="J151" i="76"/>
  <c r="AQ217" i="76"/>
  <c r="AQ212" i="76"/>
  <c r="H1041" i="76"/>
  <c r="AP168" i="76"/>
  <c r="AT241" i="76"/>
  <c r="H804" i="76"/>
  <c r="K979" i="76"/>
  <c r="AS716" i="76"/>
  <c r="AS278" i="76"/>
  <c r="AP948" i="76"/>
  <c r="AO745" i="76"/>
  <c r="AQ114" i="76"/>
  <c r="AT1057" i="76"/>
  <c r="I443" i="76"/>
  <c r="H600" i="76"/>
  <c r="AO430" i="76"/>
  <c r="H179" i="76"/>
  <c r="I415" i="76"/>
  <c r="AP120" i="76"/>
  <c r="AS480" i="76"/>
  <c r="AS99" i="76"/>
  <c r="M311" i="76"/>
  <c r="I269" i="76"/>
  <c r="K323" i="76"/>
  <c r="L910" i="76"/>
  <c r="AT617" i="76"/>
  <c r="L626" i="76"/>
  <c r="K505" i="76"/>
  <c r="H1051" i="76"/>
  <c r="J879" i="76"/>
  <c r="AS909" i="76"/>
  <c r="H312" i="76"/>
  <c r="K365" i="76"/>
  <c r="L881" i="76"/>
  <c r="AR84" i="76"/>
  <c r="L292" i="76"/>
  <c r="J945" i="76"/>
  <c r="K138" i="76"/>
  <c r="L642" i="76"/>
  <c r="AP381" i="76"/>
  <c r="H224" i="76"/>
  <c r="J565" i="76"/>
  <c r="AS382" i="76"/>
  <c r="AO596" i="76"/>
  <c r="AO995" i="76"/>
  <c r="J453" i="76"/>
  <c r="AR423" i="76"/>
  <c r="K938" i="76"/>
  <c r="L816" i="76"/>
  <c r="AQ834" i="76"/>
  <c r="AR370" i="76"/>
  <c r="K578" i="76"/>
  <c r="L682" i="76"/>
  <c r="AT729" i="76"/>
  <c r="I183" i="76"/>
  <c r="M717" i="76"/>
  <c r="K164" i="76"/>
  <c r="AQ748" i="76"/>
  <c r="I1015" i="76"/>
  <c r="L875" i="76"/>
  <c r="K293" i="76"/>
  <c r="J117" i="76"/>
  <c r="I962" i="76"/>
  <c r="M520" i="76"/>
  <c r="M209" i="76"/>
  <c r="H250" i="76"/>
  <c r="AQ478" i="76"/>
  <c r="H809" i="76"/>
  <c r="AP1024" i="76"/>
  <c r="AR79" i="76"/>
  <c r="M159" i="76"/>
  <c r="AS609" i="76"/>
  <c r="K976" i="76"/>
  <c r="H992" i="76"/>
  <c r="J173" i="76"/>
  <c r="AR562" i="76"/>
  <c r="K598" i="76"/>
  <c r="AT275" i="76"/>
  <c r="AP781" i="76"/>
  <c r="K317" i="76"/>
  <c r="AQ473" i="76"/>
  <c r="AQ550" i="76"/>
  <c r="M227" i="76"/>
  <c r="AT1025" i="76"/>
  <c r="M983" i="76"/>
  <c r="J407" i="76"/>
  <c r="B131" i="32"/>
  <c r="W156" i="19" l="1"/>
  <c r="W199" i="19"/>
  <c r="J199" i="19"/>
  <c r="D11" i="40"/>
  <c r="W166" i="38"/>
  <c r="W120" i="38"/>
  <c r="W261" i="38"/>
  <c r="W139" i="38"/>
  <c r="W271" i="38"/>
  <c r="W129" i="38"/>
  <c r="W215" i="38"/>
  <c r="W183" i="38"/>
  <c r="W160" i="38"/>
  <c r="W298" i="38"/>
  <c r="W224" i="38"/>
  <c r="W285" i="38"/>
  <c r="W203" i="38"/>
  <c r="W234" i="38"/>
  <c r="W176" i="38"/>
  <c r="W278" i="38"/>
  <c r="W146" i="38"/>
  <c r="W255" i="38"/>
  <c r="W153" i="38"/>
  <c r="W292" i="38"/>
  <c r="W197" i="38"/>
  <c r="W241" i="38"/>
  <c r="E8" i="23"/>
  <c r="E7" i="23" s="1"/>
  <c r="D11" i="30"/>
  <c r="X111" i="32"/>
  <c r="X272" i="32" s="1"/>
  <c r="W244" i="19"/>
  <c r="D7" i="89"/>
  <c r="E8" i="38"/>
  <c r="W181" i="19"/>
  <c r="D11" i="23"/>
  <c r="W207" i="19"/>
  <c r="W133" i="19"/>
  <c r="W278" i="23"/>
  <c r="W292" i="23"/>
  <c r="D7" i="14"/>
  <c r="W298" i="23"/>
  <c r="W197" i="23"/>
  <c r="Q262" i="32"/>
  <c r="W203" i="23"/>
  <c r="W248" i="23"/>
  <c r="W236" i="19"/>
  <c r="E8" i="25"/>
  <c r="W271" i="23"/>
  <c r="W285" i="23"/>
  <c r="W86" i="19"/>
  <c r="W214" i="19"/>
  <c r="E8" i="89"/>
  <c r="E11" i="89" s="1"/>
  <c r="S10" i="20"/>
  <c r="W215" i="23"/>
  <c r="W119" i="19"/>
  <c r="B169" i="23"/>
  <c r="J132" i="19"/>
  <c r="T11" i="20"/>
  <c r="T10" i="20" s="1"/>
  <c r="E8" i="30"/>
  <c r="E11" i="30" s="1"/>
  <c r="W176" i="23"/>
  <c r="W129" i="23"/>
  <c r="W241" i="23"/>
  <c r="E8" i="32"/>
  <c r="E8" i="17"/>
  <c r="E11" i="17" s="1"/>
  <c r="W183" i="23"/>
  <c r="W153" i="23"/>
  <c r="W146" i="23"/>
  <c r="W190" i="23"/>
  <c r="W105" i="19"/>
  <c r="E8" i="40"/>
  <c r="E7" i="40" s="1"/>
  <c r="W261" i="23"/>
  <c r="W213" i="19"/>
  <c r="W200" i="19"/>
  <c r="W255" i="23"/>
  <c r="S16" i="20"/>
  <c r="W139" i="23"/>
  <c r="D7" i="28"/>
  <c r="W120" i="23"/>
  <c r="B155" i="89"/>
  <c r="B156" i="89" s="1"/>
  <c r="W224" i="23"/>
  <c r="W265" i="19"/>
  <c r="W166" i="23"/>
  <c r="Z4" i="18"/>
  <c r="Z36" i="18" s="1"/>
  <c r="Y92" i="18"/>
  <c r="Y106" i="18"/>
  <c r="F59" i="12"/>
  <c r="F60" i="12" s="1"/>
  <c r="Q167" i="32"/>
  <c r="Q261" i="32"/>
  <c r="Q204" i="89"/>
  <c r="Q235" i="89"/>
  <c r="Q203" i="32"/>
  <c r="Q140" i="32"/>
  <c r="Q235" i="32"/>
  <c r="D11" i="17"/>
  <c r="D11" i="32"/>
  <c r="J111" i="19"/>
  <c r="Q166" i="32"/>
  <c r="Q261" i="89"/>
  <c r="X111" i="89"/>
  <c r="X279" i="89" s="1"/>
  <c r="Q299" i="89"/>
  <c r="Q166" i="89"/>
  <c r="Q167" i="89"/>
  <c r="Q298" i="89"/>
  <c r="Q203" i="89"/>
  <c r="Q140" i="89"/>
  <c r="Q262" i="89"/>
  <c r="R111" i="89"/>
  <c r="L111" i="89"/>
  <c r="Q298" i="32"/>
  <c r="Q204" i="32"/>
  <c r="Q299" i="32"/>
  <c r="W234" i="23"/>
  <c r="W148" i="19"/>
  <c r="W94" i="19"/>
  <c r="W189" i="19"/>
  <c r="Y134" i="18"/>
  <c r="W85" i="19"/>
  <c r="W250" i="19"/>
  <c r="W228" i="19"/>
  <c r="W237" i="19"/>
  <c r="W227" i="19"/>
  <c r="W126" i="19"/>
  <c r="Y120" i="18"/>
  <c r="Y36" i="18"/>
  <c r="B294" i="89"/>
  <c r="W95" i="19"/>
  <c r="W169" i="19"/>
  <c r="Y50" i="18"/>
  <c r="W155" i="19"/>
  <c r="W162" i="19"/>
  <c r="J206" i="19"/>
  <c r="W125" i="19"/>
  <c r="W180" i="19"/>
  <c r="W264" i="19"/>
  <c r="W112" i="19"/>
  <c r="W190" i="19"/>
  <c r="W220" i="19"/>
  <c r="Y22" i="18"/>
  <c r="BB7" i="18"/>
  <c r="B60" i="17"/>
  <c r="B24" i="17" s="1"/>
  <c r="W251" i="19"/>
  <c r="W111" i="19"/>
  <c r="W104" i="19"/>
  <c r="W163" i="19"/>
  <c r="W257" i="19"/>
  <c r="W206" i="19"/>
  <c r="W170" i="19"/>
  <c r="W243" i="19"/>
  <c r="Y6" i="18"/>
  <c r="W141" i="19"/>
  <c r="Y64" i="18"/>
  <c r="W221" i="19"/>
  <c r="Y78" i="18"/>
  <c r="W132" i="19"/>
  <c r="W258" i="19"/>
  <c r="W149" i="19"/>
  <c r="W142" i="19"/>
  <c r="W118" i="19"/>
  <c r="F137" i="12"/>
  <c r="C30" i="28" s="1"/>
  <c r="V101" i="18" s="1"/>
  <c r="AU25" i="18" s="1"/>
  <c r="P60" i="83" s="1"/>
  <c r="I137" i="12"/>
  <c r="F30" i="28" s="1"/>
  <c r="Y101" i="18" s="1"/>
  <c r="AX25" i="18" s="1"/>
  <c r="S60" i="83" s="1"/>
  <c r="F128" i="20"/>
  <c r="F141" i="20" s="1"/>
  <c r="F161" i="20" s="1"/>
  <c r="G94" i="12"/>
  <c r="D27" i="38" s="1"/>
  <c r="W86" i="18" s="1"/>
  <c r="AV165" i="18" s="1"/>
  <c r="G86" i="85" s="1"/>
  <c r="H137" i="12"/>
  <c r="E30" i="28" s="1"/>
  <c r="X101" i="18" s="1"/>
  <c r="AW25" i="18" s="1"/>
  <c r="R60" i="83" s="1"/>
  <c r="J137" i="12"/>
  <c r="F153" i="20"/>
  <c r="AV156" i="18"/>
  <c r="AV15" i="18"/>
  <c r="AV87" i="18"/>
  <c r="G60" i="83" s="1"/>
  <c r="I24" i="76"/>
  <c r="E24" i="76" s="1"/>
  <c r="G22" i="76" s="1"/>
  <c r="T22" i="76" s="1"/>
  <c r="G34" i="32"/>
  <c r="G24" i="76"/>
  <c r="T24" i="76" s="1"/>
  <c r="J153" i="20"/>
  <c r="D17" i="76"/>
  <c r="T878" i="76" s="1"/>
  <c r="J70" i="12"/>
  <c r="G33" i="17" s="1"/>
  <c r="J110" i="12"/>
  <c r="G33" i="32" s="1"/>
  <c r="Q75" i="32" s="1"/>
  <c r="F124" i="32" s="1"/>
  <c r="N132" i="20"/>
  <c r="N152" i="20" s="1"/>
  <c r="K32" i="82" s="1"/>
  <c r="S129" i="20"/>
  <c r="S149" i="20" s="1"/>
  <c r="Q29" i="82" s="1"/>
  <c r="S150" i="20"/>
  <c r="Q30" i="82" s="1"/>
  <c r="L128" i="20"/>
  <c r="L141" i="20" s="1"/>
  <c r="L161" i="20" s="1"/>
  <c r="L153" i="20"/>
  <c r="E34" i="38"/>
  <c r="H153" i="20"/>
  <c r="BH4" i="18"/>
  <c r="BE9" i="76"/>
  <c r="W56" i="76" s="1"/>
  <c r="X15" i="18"/>
  <c r="D34" i="32"/>
  <c r="C30" i="32"/>
  <c r="V129" i="18" s="1"/>
  <c r="AU176" i="18" s="1"/>
  <c r="P87" i="85" s="1"/>
  <c r="J264" i="19"/>
  <c r="C35" i="28"/>
  <c r="D35" i="28" s="1"/>
  <c r="E35" i="28" s="1"/>
  <c r="E34" i="32"/>
  <c r="F94" i="12"/>
  <c r="C27" i="38" s="1"/>
  <c r="V86" i="18" s="1"/>
  <c r="AU165" i="18" s="1"/>
  <c r="F86" i="85" s="1"/>
  <c r="J257" i="19"/>
  <c r="J169" i="19"/>
  <c r="J243" i="19"/>
  <c r="J162" i="19"/>
  <c r="J148" i="19"/>
  <c r="C34" i="32"/>
  <c r="C35" i="32" s="1"/>
  <c r="C49" i="32" s="1"/>
  <c r="T150" i="20"/>
  <c r="V130" i="20"/>
  <c r="T129" i="20"/>
  <c r="BF9" i="76"/>
  <c r="X56" i="76" s="1"/>
  <c r="BI4" i="18"/>
  <c r="BJ4" i="18"/>
  <c r="Y15" i="18"/>
  <c r="I107" i="12"/>
  <c r="F30" i="32" s="1"/>
  <c r="Y129" i="18" s="1"/>
  <c r="AX176" i="18" s="1"/>
  <c r="S87" i="85" s="1"/>
  <c r="I87" i="12"/>
  <c r="F32" i="25" s="1"/>
  <c r="Y73" i="18" s="1"/>
  <c r="AX129" i="18" s="1"/>
  <c r="S81" i="85" s="1"/>
  <c r="I67" i="12"/>
  <c r="I77" i="12"/>
  <c r="F30" i="23" s="1"/>
  <c r="Y59" i="18" s="1"/>
  <c r="AX107" i="18" s="1"/>
  <c r="I81" i="85" s="1"/>
  <c r="I59" i="12"/>
  <c r="I60" i="12" s="1"/>
  <c r="I53" i="12"/>
  <c r="I54" i="12" s="1"/>
  <c r="I127" i="12"/>
  <c r="F30" i="89" s="1"/>
  <c r="Y157" i="18" s="1"/>
  <c r="J53" i="12"/>
  <c r="J54" i="12" s="1"/>
  <c r="C36" i="25"/>
  <c r="C37" i="25" s="1"/>
  <c r="D37" i="25" s="1"/>
  <c r="F34" i="17"/>
  <c r="F28" i="40"/>
  <c r="I117" i="12"/>
  <c r="F30" i="40" s="1"/>
  <c r="Y143" i="18" s="1"/>
  <c r="J220" i="19"/>
  <c r="G153" i="20"/>
  <c r="C25" i="19"/>
  <c r="D35" i="2" s="1"/>
  <c r="B141" i="23"/>
  <c r="R141" i="23" s="1"/>
  <c r="G128" i="20"/>
  <c r="G148" i="20" s="1"/>
  <c r="B155" i="32"/>
  <c r="J236" i="19"/>
  <c r="B243" i="89"/>
  <c r="B280" i="23"/>
  <c r="J213" i="19"/>
  <c r="G88" i="12"/>
  <c r="H88" i="12" s="1"/>
  <c r="M153" i="20"/>
  <c r="M132" i="20"/>
  <c r="F98" i="12"/>
  <c r="C31" i="38" s="1"/>
  <c r="C54" i="38" s="1"/>
  <c r="J250" i="19"/>
  <c r="I94" i="12"/>
  <c r="F27" i="38" s="1"/>
  <c r="Y86" i="18" s="1"/>
  <c r="AX165" i="18" s="1"/>
  <c r="I86" i="85" s="1"/>
  <c r="BG6" i="76"/>
  <c r="Y52" i="76" s="1"/>
  <c r="X52" i="76"/>
  <c r="J125" i="19"/>
  <c r="J118" i="19"/>
  <c r="J227" i="19"/>
  <c r="B60" i="89"/>
  <c r="R23" i="76"/>
  <c r="F34" i="32"/>
  <c r="R263" i="23"/>
  <c r="B206" i="32"/>
  <c r="B207" i="32" s="1"/>
  <c r="O153" i="20"/>
  <c r="L33" i="82" s="1"/>
  <c r="B162" i="89"/>
  <c r="B61" i="89"/>
  <c r="B61" i="40"/>
  <c r="B63" i="25"/>
  <c r="R168" i="23"/>
  <c r="R205" i="23"/>
  <c r="I26" i="82"/>
  <c r="I29" i="82"/>
  <c r="O152" i="20"/>
  <c r="L32" i="82" s="1"/>
  <c r="O128" i="20"/>
  <c r="C35" i="40"/>
  <c r="B47" i="40"/>
  <c r="B49" i="40"/>
  <c r="C35" i="30"/>
  <c r="B47" i="30"/>
  <c r="B49" i="30"/>
  <c r="B47" i="17"/>
  <c r="B49" i="17"/>
  <c r="C35" i="89"/>
  <c r="B47" i="89"/>
  <c r="B49" i="89"/>
  <c r="B49" i="28"/>
  <c r="B47" i="28"/>
  <c r="B60" i="40"/>
  <c r="B61" i="32"/>
  <c r="I35" i="82"/>
  <c r="B60" i="28"/>
  <c r="B49" i="25"/>
  <c r="B51" i="25"/>
  <c r="C34" i="17"/>
  <c r="C35" i="17" s="1"/>
  <c r="C47" i="17" s="1"/>
  <c r="B61" i="38"/>
  <c r="B60" i="23"/>
  <c r="G45" i="30"/>
  <c r="Q73" i="30" s="1"/>
  <c r="P73" i="30"/>
  <c r="B62" i="25"/>
  <c r="B61" i="30"/>
  <c r="P34" i="20"/>
  <c r="C35" i="23"/>
  <c r="B47" i="23"/>
  <c r="B49" i="23"/>
  <c r="C35" i="14"/>
  <c r="D35" i="14" s="1"/>
  <c r="E35" i="14" s="1"/>
  <c r="F35" i="14" s="1"/>
  <c r="G35" i="14" s="1"/>
  <c r="B49" i="14"/>
  <c r="B47" i="14"/>
  <c r="B47" i="38"/>
  <c r="B49" i="38"/>
  <c r="AA14" i="65"/>
  <c r="AA24" i="65"/>
  <c r="B280" i="89"/>
  <c r="B47" i="32"/>
  <c r="B49" i="32"/>
  <c r="B60" i="32"/>
  <c r="B60" i="38"/>
  <c r="I34" i="82"/>
  <c r="B61" i="14"/>
  <c r="B24" i="14" s="1"/>
  <c r="B60" i="30"/>
  <c r="P73" i="28"/>
  <c r="G45" i="28"/>
  <c r="Q73" i="28" s="1"/>
  <c r="H122" i="12"/>
  <c r="H132" i="12"/>
  <c r="H142" i="12" s="1"/>
  <c r="P75" i="25"/>
  <c r="G47" i="25"/>
  <c r="Q75" i="25" s="1"/>
  <c r="B61" i="23"/>
  <c r="I52" i="12"/>
  <c r="I58" i="12" s="1"/>
  <c r="I62" i="12"/>
  <c r="I72" i="12" s="1"/>
  <c r="I82" i="12" s="1"/>
  <c r="I92" i="12" s="1"/>
  <c r="I102" i="12" s="1"/>
  <c r="I112" i="12" s="1"/>
  <c r="X140" i="23"/>
  <c r="B61" i="28"/>
  <c r="J52" i="12"/>
  <c r="J58" i="12" s="1"/>
  <c r="J62" i="12"/>
  <c r="J72" i="12" s="1"/>
  <c r="J82" i="12" s="1"/>
  <c r="J92" i="12" s="1"/>
  <c r="J102" i="12" s="1"/>
  <c r="J112" i="12" s="1"/>
  <c r="X111" i="14"/>
  <c r="Q203" i="14"/>
  <c r="Q307" i="14"/>
  <c r="Q235" i="14"/>
  <c r="Q298" i="14"/>
  <c r="Q261" i="14"/>
  <c r="Q166" i="14"/>
  <c r="Q299" i="14"/>
  <c r="Q167" i="14"/>
  <c r="Q262" i="14"/>
  <c r="Q204" i="14"/>
  <c r="T3" i="20"/>
  <c r="Q50" i="2"/>
  <c r="T107" i="20"/>
  <c r="H9" i="2"/>
  <c r="X286" i="23"/>
  <c r="X242" i="23"/>
  <c r="X161" i="23"/>
  <c r="X184" i="23"/>
  <c r="X147" i="23"/>
  <c r="X191" i="23"/>
  <c r="X293" i="23"/>
  <c r="W255" i="14"/>
  <c r="W261" i="14"/>
  <c r="W248" i="14"/>
  <c r="W153" i="14"/>
  <c r="W120" i="14"/>
  <c r="W139" i="14"/>
  <c r="W234" i="14"/>
  <c r="W160" i="14"/>
  <c r="W278" i="14"/>
  <c r="W298" i="14"/>
  <c r="W183" i="14"/>
  <c r="W285" i="14"/>
  <c r="W215" i="14"/>
  <c r="W203" i="14"/>
  <c r="W224" i="14"/>
  <c r="W166" i="14"/>
  <c r="W190" i="14"/>
  <c r="W197" i="14"/>
  <c r="W241" i="14"/>
  <c r="W146" i="14"/>
  <c r="W129" i="14"/>
  <c r="W271" i="14"/>
  <c r="W176" i="14"/>
  <c r="W292" i="14"/>
  <c r="B148" i="89"/>
  <c r="R111" i="14"/>
  <c r="L111" i="14"/>
  <c r="B178" i="89"/>
  <c r="R205" i="30"/>
  <c r="Q140" i="28"/>
  <c r="Q167" i="28"/>
  <c r="X111" i="28"/>
  <c r="Q298" i="28"/>
  <c r="Q261" i="28"/>
  <c r="Q235" i="28"/>
  <c r="Q262" i="28"/>
  <c r="Q166" i="28"/>
  <c r="Q299" i="28"/>
  <c r="Q204" i="28"/>
  <c r="Q203" i="28"/>
  <c r="B131" i="89"/>
  <c r="X113" i="25"/>
  <c r="Q168" i="25"/>
  <c r="Q169" i="25"/>
  <c r="Q300" i="25"/>
  <c r="Q263" i="25"/>
  <c r="Q205" i="25"/>
  <c r="Q301" i="25"/>
  <c r="Q206" i="25"/>
  <c r="Q142" i="25"/>
  <c r="Q264" i="25"/>
  <c r="Q237" i="25"/>
  <c r="L113" i="25"/>
  <c r="R113" i="25"/>
  <c r="Q8" i="82"/>
  <c r="Q25" i="82"/>
  <c r="W160" i="28"/>
  <c r="W271" i="28"/>
  <c r="W255" i="28"/>
  <c r="W285" i="28"/>
  <c r="W139" i="28"/>
  <c r="W203" i="28"/>
  <c r="W248" i="28"/>
  <c r="W183" i="28"/>
  <c r="W153" i="28"/>
  <c r="W241" i="28"/>
  <c r="W190" i="28"/>
  <c r="W120" i="28"/>
  <c r="W197" i="28"/>
  <c r="W146" i="28"/>
  <c r="W298" i="28"/>
  <c r="W234" i="28"/>
  <c r="W292" i="28"/>
  <c r="W278" i="28"/>
  <c r="W224" i="28"/>
  <c r="W166" i="28"/>
  <c r="W261" i="28"/>
  <c r="W176" i="28"/>
  <c r="W215" i="28"/>
  <c r="W129" i="28"/>
  <c r="W168" i="25"/>
  <c r="W199" i="25"/>
  <c r="W192" i="25"/>
  <c r="W205" i="25"/>
  <c r="W243" i="25"/>
  <c r="W131" i="25"/>
  <c r="W141" i="25"/>
  <c r="W236" i="25"/>
  <c r="W162" i="25"/>
  <c r="W257" i="25"/>
  <c r="W155" i="25"/>
  <c r="W287" i="25"/>
  <c r="W122" i="25"/>
  <c r="W263" i="25"/>
  <c r="W300" i="25"/>
  <c r="W273" i="25"/>
  <c r="W148" i="25"/>
  <c r="W185" i="25"/>
  <c r="W226" i="25"/>
  <c r="W280" i="25"/>
  <c r="W217" i="25"/>
  <c r="W294" i="25"/>
  <c r="W250" i="25"/>
  <c r="W178" i="25"/>
  <c r="B192" i="89"/>
  <c r="X279" i="23"/>
  <c r="X130" i="23"/>
  <c r="X256" i="23"/>
  <c r="L111" i="28"/>
  <c r="R111" i="28"/>
  <c r="B206" i="89"/>
  <c r="X249" i="23"/>
  <c r="S111" i="32"/>
  <c r="M111" i="32"/>
  <c r="T111" i="32" s="1"/>
  <c r="T170" i="32" s="1"/>
  <c r="C252" i="17"/>
  <c r="D303" i="30"/>
  <c r="D164" i="30"/>
  <c r="Y111" i="30"/>
  <c r="R262" i="30"/>
  <c r="R270" i="30"/>
  <c r="R167" i="30"/>
  <c r="R263" i="30"/>
  <c r="R236" i="30"/>
  <c r="R175" i="30"/>
  <c r="R141" i="30"/>
  <c r="R168" i="30"/>
  <c r="R299" i="30"/>
  <c r="R204" i="30"/>
  <c r="R300" i="30"/>
  <c r="D268" i="25"/>
  <c r="B151" i="25"/>
  <c r="E171" i="17"/>
  <c r="T170" i="17"/>
  <c r="D302" i="14"/>
  <c r="B170" i="89"/>
  <c r="D245" i="14"/>
  <c r="R175" i="23"/>
  <c r="Y111" i="23"/>
  <c r="R270" i="23"/>
  <c r="R299" i="23"/>
  <c r="R300" i="23"/>
  <c r="R262" i="23"/>
  <c r="R204" i="23"/>
  <c r="R167" i="23"/>
  <c r="C259" i="17"/>
  <c r="D180" i="23"/>
  <c r="C201" i="30"/>
  <c r="R205" i="32"/>
  <c r="Y250" i="17"/>
  <c r="S298" i="17"/>
  <c r="S175" i="17"/>
  <c r="S300" i="17"/>
  <c r="S264" i="17"/>
  <c r="Z111" i="17"/>
  <c r="Z237" i="17" s="1"/>
  <c r="S261" i="17"/>
  <c r="S263" i="17"/>
  <c r="S277" i="17"/>
  <c r="S270" i="17"/>
  <c r="S166" i="17"/>
  <c r="S182" i="17"/>
  <c r="S301" i="17"/>
  <c r="S203" i="17"/>
  <c r="S176" i="17"/>
  <c r="S271" i="17"/>
  <c r="S168" i="17"/>
  <c r="B188" i="25"/>
  <c r="B132" i="14"/>
  <c r="E282" i="89"/>
  <c r="E11" i="28"/>
  <c r="E7" i="28"/>
  <c r="T261" i="17"/>
  <c r="T299" i="17"/>
  <c r="T264" i="17"/>
  <c r="AA111" i="17"/>
  <c r="AA194" i="17" s="1"/>
  <c r="T175" i="17"/>
  <c r="T277" i="17"/>
  <c r="T265" i="17"/>
  <c r="T270" i="17"/>
  <c r="T262" i="17"/>
  <c r="T278" i="17"/>
  <c r="T298" i="17"/>
  <c r="T166" i="17"/>
  <c r="T182" i="17"/>
  <c r="T301" i="17"/>
  <c r="T203" i="17"/>
  <c r="T167" i="17"/>
  <c r="T271" i="17"/>
  <c r="T183" i="17"/>
  <c r="T302" i="17"/>
  <c r="T176" i="17"/>
  <c r="T272" i="17"/>
  <c r="T204" i="17"/>
  <c r="T177" i="17"/>
  <c r="B297" i="25"/>
  <c r="D143" i="17"/>
  <c r="T143" i="17" s="1"/>
  <c r="S142" i="17"/>
  <c r="B149" i="14"/>
  <c r="C201" i="23"/>
  <c r="S111" i="30"/>
  <c r="M111" i="30"/>
  <c r="T111" i="30" s="1"/>
  <c r="C180" i="30"/>
  <c r="E296" i="30"/>
  <c r="D194" i="14"/>
  <c r="C182" i="25"/>
  <c r="C252" i="14"/>
  <c r="C282" i="30"/>
  <c r="E7" i="32"/>
  <c r="E11" i="32"/>
  <c r="E7" i="17"/>
  <c r="E196" i="25"/>
  <c r="C164" i="32"/>
  <c r="B200" i="14"/>
  <c r="B283" i="25"/>
  <c r="D252" i="32"/>
  <c r="B142" i="14"/>
  <c r="B253" i="25"/>
  <c r="Y131" i="17"/>
  <c r="Y178" i="17"/>
  <c r="Y243" i="17"/>
  <c r="S169" i="17"/>
  <c r="Y263" i="17"/>
  <c r="Y224" i="17"/>
  <c r="Y120" i="17"/>
  <c r="Y226" i="17"/>
  <c r="Y262" i="17"/>
  <c r="Y215" i="17"/>
  <c r="Y299" i="17"/>
  <c r="Y214" i="17"/>
  <c r="Y280" i="17"/>
  <c r="Y204" i="17"/>
  <c r="Y300" i="17"/>
  <c r="Y167" i="17"/>
  <c r="Y185" i="17"/>
  <c r="Y128" i="17"/>
  <c r="Y168" i="17"/>
  <c r="Y273" i="17"/>
  <c r="Y119" i="17"/>
  <c r="Y205" i="17"/>
  <c r="Y294" i="17"/>
  <c r="Y223" i="17"/>
  <c r="Y141" i="17"/>
  <c r="Y148" i="17"/>
  <c r="Y122" i="17"/>
  <c r="Y129" i="17"/>
  <c r="Y199" i="17"/>
  <c r="Y155" i="17"/>
  <c r="Y287" i="17"/>
  <c r="Y162" i="17"/>
  <c r="Y217" i="17"/>
  <c r="Y192" i="17"/>
  <c r="B295" i="14"/>
  <c r="D207" i="30"/>
  <c r="D275" i="17"/>
  <c r="C238" i="17"/>
  <c r="S237" i="17"/>
  <c r="G9" i="89"/>
  <c r="G9" i="14"/>
  <c r="G9" i="40"/>
  <c r="G9" i="23"/>
  <c r="G9" i="17"/>
  <c r="G9" i="28"/>
  <c r="G9" i="30"/>
  <c r="G9" i="32"/>
  <c r="E187" i="14"/>
  <c r="B281" i="14"/>
  <c r="D259" i="30"/>
  <c r="D304" i="25"/>
  <c r="E201" i="14"/>
  <c r="D187" i="17"/>
  <c r="C245" i="17"/>
  <c r="O81" i="32"/>
  <c r="F155" i="32" s="1"/>
  <c r="O87" i="32"/>
  <c r="F192" i="32" s="1"/>
  <c r="O96" i="32"/>
  <c r="F236" i="32" s="1"/>
  <c r="O108" i="32"/>
  <c r="F310" i="32" s="1"/>
  <c r="O85" i="32"/>
  <c r="F178" i="32" s="1"/>
  <c r="O102" i="32"/>
  <c r="F273" i="32" s="1"/>
  <c r="O99" i="32"/>
  <c r="F257" i="32" s="1"/>
  <c r="O89" i="32"/>
  <c r="F206" i="32" s="1"/>
  <c r="O86" i="32"/>
  <c r="F185" i="32" s="1"/>
  <c r="O97" i="32"/>
  <c r="F243" i="32" s="1"/>
  <c r="O103" i="32"/>
  <c r="F280" i="32" s="1"/>
  <c r="O76" i="32"/>
  <c r="F131" i="32" s="1"/>
  <c r="O83" i="32"/>
  <c r="F169" i="32" s="1"/>
  <c r="O106" i="32"/>
  <c r="F301" i="32" s="1"/>
  <c r="O98" i="32"/>
  <c r="F250" i="32" s="1"/>
  <c r="O82" i="32"/>
  <c r="F162" i="32" s="1"/>
  <c r="O105" i="32"/>
  <c r="F294" i="32" s="1"/>
  <c r="O79" i="32"/>
  <c r="F141" i="32" s="1"/>
  <c r="O92" i="32"/>
  <c r="F217" i="32" s="1"/>
  <c r="O88" i="32"/>
  <c r="F199" i="32" s="1"/>
  <c r="O104" i="32"/>
  <c r="F287" i="32" s="1"/>
  <c r="O80" i="32"/>
  <c r="F148" i="32" s="1"/>
  <c r="O100" i="32"/>
  <c r="F264" i="32" s="1"/>
  <c r="O75" i="32"/>
  <c r="F122" i="32" s="1"/>
  <c r="O93" i="32"/>
  <c r="F226" i="32" s="1"/>
  <c r="X223" i="23"/>
  <c r="X119" i="23"/>
  <c r="X272" i="23"/>
  <c r="X216" i="23"/>
  <c r="X299" i="23"/>
  <c r="X298" i="23"/>
  <c r="X214" i="23"/>
  <c r="X225" i="23"/>
  <c r="X177" i="23"/>
  <c r="X154" i="23"/>
  <c r="X261" i="23"/>
  <c r="X166" i="23"/>
  <c r="X128" i="23"/>
  <c r="X203" i="23"/>
  <c r="X198" i="23"/>
  <c r="X121" i="23"/>
  <c r="X167" i="23"/>
  <c r="X204" i="23"/>
  <c r="X262" i="23"/>
  <c r="B265" i="14"/>
  <c r="Y257" i="17"/>
  <c r="T169" i="17"/>
  <c r="M102" i="32"/>
  <c r="F271" i="32" s="1"/>
  <c r="M100" i="32"/>
  <c r="F262" i="32" s="1"/>
  <c r="M88" i="32"/>
  <c r="F197" i="32" s="1"/>
  <c r="M99" i="32"/>
  <c r="F255" i="32" s="1"/>
  <c r="M86" i="32"/>
  <c r="F183" i="32" s="1"/>
  <c r="M97" i="32"/>
  <c r="F241" i="32" s="1"/>
  <c r="M75" i="32"/>
  <c r="F120" i="32" s="1"/>
  <c r="M87" i="32"/>
  <c r="F190" i="32" s="1"/>
  <c r="M85" i="32"/>
  <c r="F176" i="32" s="1"/>
  <c r="M103" i="32"/>
  <c r="F278" i="32" s="1"/>
  <c r="M89" i="32"/>
  <c r="F204" i="32" s="1"/>
  <c r="M80" i="32"/>
  <c r="F146" i="32" s="1"/>
  <c r="M83" i="32"/>
  <c r="F167" i="32" s="1"/>
  <c r="M76" i="32"/>
  <c r="F129" i="32" s="1"/>
  <c r="M98" i="32"/>
  <c r="F248" i="32" s="1"/>
  <c r="M106" i="32"/>
  <c r="F299" i="32" s="1"/>
  <c r="M104" i="32"/>
  <c r="F285" i="32" s="1"/>
  <c r="M79" i="32"/>
  <c r="F139" i="32" s="1"/>
  <c r="M92" i="32"/>
  <c r="F215" i="32" s="1"/>
  <c r="M105" i="32"/>
  <c r="F292" i="32" s="1"/>
  <c r="M93" i="32"/>
  <c r="F224" i="32" s="1"/>
  <c r="M82" i="32"/>
  <c r="F160" i="32" s="1"/>
  <c r="M108" i="32"/>
  <c r="F308" i="32" s="1"/>
  <c r="M96" i="32"/>
  <c r="F234" i="32" s="1"/>
  <c r="M81" i="32"/>
  <c r="F153" i="32" s="1"/>
  <c r="E145" i="25"/>
  <c r="Y111" i="32"/>
  <c r="Y131" i="32" s="1"/>
  <c r="R141" i="32"/>
  <c r="R167" i="32"/>
  <c r="R262" i="32"/>
  <c r="R270" i="32"/>
  <c r="R175" i="32"/>
  <c r="R263" i="32"/>
  <c r="R168" i="32"/>
  <c r="R204" i="32"/>
  <c r="R299" i="32"/>
  <c r="E275" i="23"/>
  <c r="B274" i="14"/>
  <c r="D203" i="25"/>
  <c r="O80" i="17"/>
  <c r="F148" i="17" s="1"/>
  <c r="O105" i="17"/>
  <c r="F294" i="17" s="1"/>
  <c r="O86" i="17"/>
  <c r="F185" i="17" s="1"/>
  <c r="O88" i="17"/>
  <c r="F199" i="17" s="1"/>
  <c r="O76" i="17"/>
  <c r="F131" i="17" s="1"/>
  <c r="O87" i="17"/>
  <c r="F192" i="17" s="1"/>
  <c r="O82" i="17"/>
  <c r="F162" i="17" s="1"/>
  <c r="O106" i="17"/>
  <c r="F301" i="17" s="1"/>
  <c r="O93" i="17"/>
  <c r="F226" i="17" s="1"/>
  <c r="O75" i="17"/>
  <c r="F122" i="17" s="1"/>
  <c r="O100" i="17"/>
  <c r="F264" i="17" s="1"/>
  <c r="O81" i="17"/>
  <c r="F155" i="17" s="1"/>
  <c r="O79" i="17"/>
  <c r="F141" i="17" s="1"/>
  <c r="O103" i="17"/>
  <c r="F280" i="17" s="1"/>
  <c r="O102" i="17"/>
  <c r="F273" i="17" s="1"/>
  <c r="O97" i="17"/>
  <c r="F243" i="17" s="1"/>
  <c r="O85" i="17"/>
  <c r="F178" i="17" s="1"/>
  <c r="O99" i="17"/>
  <c r="F257" i="17" s="1"/>
  <c r="O104" i="17"/>
  <c r="F287" i="17" s="1"/>
  <c r="O98" i="17"/>
  <c r="F250" i="17" s="1"/>
  <c r="O96" i="17"/>
  <c r="F236" i="17" s="1"/>
  <c r="O89" i="17"/>
  <c r="F206" i="17" s="1"/>
  <c r="O92" i="17"/>
  <c r="F217" i="17" s="1"/>
  <c r="O108" i="17"/>
  <c r="F310" i="17" s="1"/>
  <c r="O83" i="17"/>
  <c r="F169" i="17" s="1"/>
  <c r="M111" i="23"/>
  <c r="T111" i="23" s="1"/>
  <c r="S111" i="23"/>
  <c r="N79" i="32"/>
  <c r="F140" i="32" s="1"/>
  <c r="N83" i="32"/>
  <c r="F168" i="32" s="1"/>
  <c r="N108" i="32"/>
  <c r="F309" i="32" s="1"/>
  <c r="N103" i="32"/>
  <c r="F279" i="32" s="1"/>
  <c r="N93" i="32"/>
  <c r="F225" i="32" s="1"/>
  <c r="N100" i="32"/>
  <c r="F263" i="32" s="1"/>
  <c r="N80" i="32"/>
  <c r="F147" i="32" s="1"/>
  <c r="N88" i="32"/>
  <c r="F198" i="32" s="1"/>
  <c r="N89" i="32"/>
  <c r="F205" i="32" s="1"/>
  <c r="N104" i="32"/>
  <c r="F286" i="32" s="1"/>
  <c r="N85" i="32"/>
  <c r="F177" i="32" s="1"/>
  <c r="N99" i="32"/>
  <c r="F256" i="32" s="1"/>
  <c r="N76" i="32"/>
  <c r="F130" i="32" s="1"/>
  <c r="N106" i="32"/>
  <c r="F300" i="32" s="1"/>
  <c r="N96" i="32"/>
  <c r="F235" i="32" s="1"/>
  <c r="N75" i="32"/>
  <c r="F121" i="32" s="1"/>
  <c r="N81" i="32"/>
  <c r="F154" i="32" s="1"/>
  <c r="N87" i="32"/>
  <c r="F191" i="32" s="1"/>
  <c r="N97" i="32"/>
  <c r="F242" i="32" s="1"/>
  <c r="N92" i="32"/>
  <c r="F216" i="32" s="1"/>
  <c r="N82" i="32"/>
  <c r="F161" i="32" s="1"/>
  <c r="N105" i="32"/>
  <c r="F293" i="32" s="1"/>
  <c r="N102" i="32"/>
  <c r="F272" i="32" s="1"/>
  <c r="N86" i="32"/>
  <c r="F184" i="32" s="1"/>
  <c r="N98" i="32"/>
  <c r="F249" i="32" s="1"/>
  <c r="D207" i="17"/>
  <c r="T206" i="17"/>
  <c r="S206" i="17"/>
  <c r="B170" i="14"/>
  <c r="E240" i="25"/>
  <c r="E303" i="23"/>
  <c r="X293" i="30"/>
  <c r="X286" i="30"/>
  <c r="X298" i="30"/>
  <c r="X223" i="30"/>
  <c r="X130" i="30"/>
  <c r="X203" i="30"/>
  <c r="X119" i="30"/>
  <c r="X249" i="30"/>
  <c r="X261" i="30"/>
  <c r="X128" i="30"/>
  <c r="X161" i="30"/>
  <c r="X235" i="30"/>
  <c r="X166" i="30"/>
  <c r="X204" i="30"/>
  <c r="X121" i="30"/>
  <c r="X299" i="30"/>
  <c r="X256" i="30"/>
  <c r="X242" i="30"/>
  <c r="X167" i="30"/>
  <c r="X214" i="30"/>
  <c r="X272" i="30"/>
  <c r="X262" i="30"/>
  <c r="X191" i="30"/>
  <c r="X140" i="30"/>
  <c r="X147" i="30"/>
  <c r="X184" i="30"/>
  <c r="X154" i="30"/>
  <c r="X177" i="30"/>
  <c r="X225" i="30"/>
  <c r="X216" i="30"/>
  <c r="X198" i="30"/>
  <c r="X279" i="30"/>
  <c r="E7" i="14"/>
  <c r="E11" i="14"/>
  <c r="D209" i="25"/>
  <c r="B179" i="14"/>
  <c r="B311" i="14"/>
  <c r="B312" i="14" s="1"/>
  <c r="C133" i="17"/>
  <c r="B302" i="14"/>
  <c r="C228" i="30"/>
  <c r="C180" i="17"/>
  <c r="S205" i="17"/>
  <c r="R300" i="32"/>
  <c r="M94" i="19"/>
  <c r="B237" i="23"/>
  <c r="R236" i="23"/>
  <c r="K153" i="20"/>
  <c r="K132" i="20"/>
  <c r="D278" i="19"/>
  <c r="B274" i="32"/>
  <c r="B295" i="23"/>
  <c r="C56" i="25"/>
  <c r="C53" i="25"/>
  <c r="B237" i="32"/>
  <c r="R236" i="32"/>
  <c r="B245" i="32"/>
  <c r="B132" i="23"/>
  <c r="B295" i="32"/>
  <c r="B59" i="40"/>
  <c r="B59" i="89"/>
  <c r="B59" i="17"/>
  <c r="B59" i="23"/>
  <c r="B59" i="38"/>
  <c r="P33" i="20"/>
  <c r="P66" i="20" s="1"/>
  <c r="B59" i="32"/>
  <c r="B59" i="28"/>
  <c r="B59" i="30"/>
  <c r="B59" i="14"/>
  <c r="B61" i="25"/>
  <c r="N35" i="82"/>
  <c r="B251" i="23"/>
  <c r="B227" i="32"/>
  <c r="B163" i="23"/>
  <c r="B132" i="32"/>
  <c r="D201" i="89"/>
  <c r="B193" i="32"/>
  <c r="B186" i="23"/>
  <c r="B208" i="14"/>
  <c r="B244" i="23"/>
  <c r="R250" i="19"/>
  <c r="R199" i="19"/>
  <c r="R125" i="19"/>
  <c r="R245" i="19"/>
  <c r="K245" i="19" s="1"/>
  <c r="R228" i="19"/>
  <c r="K228" i="19" s="1"/>
  <c r="R126" i="19"/>
  <c r="K126" i="19" s="1"/>
  <c r="R105" i="19"/>
  <c r="K105" i="19" s="1"/>
  <c r="R266" i="19"/>
  <c r="K266" i="19" s="1"/>
  <c r="R151" i="19"/>
  <c r="R202" i="19"/>
  <c r="R260" i="19"/>
  <c r="R264" i="19"/>
  <c r="R141" i="19"/>
  <c r="R170" i="19"/>
  <c r="K170" i="19" s="1"/>
  <c r="R265" i="19"/>
  <c r="K265" i="19" s="1"/>
  <c r="R120" i="19"/>
  <c r="K120" i="19" s="1"/>
  <c r="R143" i="19"/>
  <c r="K143" i="19" s="1"/>
  <c r="R121" i="19"/>
  <c r="R155" i="19"/>
  <c r="K155" i="19" s="1"/>
  <c r="R237" i="19"/>
  <c r="K237" i="19" s="1"/>
  <c r="R112" i="19"/>
  <c r="K112" i="19" s="1"/>
  <c r="R149" i="19"/>
  <c r="K149" i="19" s="1"/>
  <c r="R163" i="19"/>
  <c r="K163" i="19" s="1"/>
  <c r="R251" i="19"/>
  <c r="K251" i="19" s="1"/>
  <c r="R134" i="19"/>
  <c r="K134" i="19" s="1"/>
  <c r="R127" i="19"/>
  <c r="K127" i="19" s="1"/>
  <c r="R252" i="19"/>
  <c r="K252" i="19" s="1"/>
  <c r="R107" i="19"/>
  <c r="R172" i="19"/>
  <c r="Y77" i="19"/>
  <c r="R132" i="19"/>
  <c r="R227" i="19"/>
  <c r="R148" i="19"/>
  <c r="R207" i="19"/>
  <c r="K207" i="19" s="1"/>
  <c r="R229" i="19"/>
  <c r="K229" i="19" s="1"/>
  <c r="R215" i="19"/>
  <c r="K215" i="19" s="1"/>
  <c r="R230" i="19"/>
  <c r="R111" i="19"/>
  <c r="R206" i="19"/>
  <c r="R150" i="19"/>
  <c r="K150" i="19" s="1"/>
  <c r="R164" i="19"/>
  <c r="K164" i="19" s="1"/>
  <c r="R135" i="19"/>
  <c r="R222" i="19"/>
  <c r="K222" i="19" s="1"/>
  <c r="R209" i="19"/>
  <c r="R144" i="19"/>
  <c r="R243" i="19"/>
  <c r="R104" i="19"/>
  <c r="R142" i="19"/>
  <c r="K142" i="19" s="1"/>
  <c r="R133" i="19"/>
  <c r="K133" i="19" s="1"/>
  <c r="R257" i="19"/>
  <c r="R220" i="19"/>
  <c r="R200" i="19"/>
  <c r="K200" i="19" s="1"/>
  <c r="R171" i="19"/>
  <c r="K171" i="19" s="1"/>
  <c r="R157" i="19"/>
  <c r="K157" i="19" s="1"/>
  <c r="R236" i="19"/>
  <c r="R169" i="19"/>
  <c r="R221" i="19"/>
  <c r="K221" i="19" s="1"/>
  <c r="R113" i="19"/>
  <c r="K113" i="19" s="1"/>
  <c r="R239" i="19"/>
  <c r="R223" i="19"/>
  <c r="R118" i="19"/>
  <c r="R156" i="19"/>
  <c r="K156" i="19" s="1"/>
  <c r="R259" i="19"/>
  <c r="K259" i="19" s="1"/>
  <c r="R165" i="19"/>
  <c r="R162" i="19"/>
  <c r="R246" i="19"/>
  <c r="R213" i="19"/>
  <c r="R201" i="19"/>
  <c r="K201" i="19" s="1"/>
  <c r="R238" i="19"/>
  <c r="K238" i="19" s="1"/>
  <c r="R208" i="19"/>
  <c r="K208" i="19" s="1"/>
  <c r="R214" i="19"/>
  <c r="K214" i="19" s="1"/>
  <c r="R216" i="19"/>
  <c r="R267" i="19"/>
  <c r="R106" i="19"/>
  <c r="K106" i="19" s="1"/>
  <c r="R253" i="19"/>
  <c r="R119" i="19"/>
  <c r="K119" i="19" s="1"/>
  <c r="R158" i="19"/>
  <c r="R258" i="19"/>
  <c r="K258" i="19" s="1"/>
  <c r="R244" i="19"/>
  <c r="K244" i="19" s="1"/>
  <c r="R114" i="19"/>
  <c r="R128" i="19"/>
  <c r="R273" i="19"/>
  <c r="R274" i="19"/>
  <c r="B193" i="23"/>
  <c r="B251" i="89"/>
  <c r="X125" i="19"/>
  <c r="X180" i="19"/>
  <c r="X221" i="19"/>
  <c r="X119" i="19"/>
  <c r="X164" i="19"/>
  <c r="X252" i="19"/>
  <c r="X120" i="19"/>
  <c r="X148" i="19"/>
  <c r="X118" i="19"/>
  <c r="X244" i="19"/>
  <c r="X258" i="19"/>
  <c r="X190" i="19"/>
  <c r="X127" i="19"/>
  <c r="X182" i="19"/>
  <c r="X250" i="19"/>
  <c r="X141" i="19"/>
  <c r="X257" i="19"/>
  <c r="X251" i="19"/>
  <c r="X237" i="19"/>
  <c r="X245" i="19"/>
  <c r="X157" i="19"/>
  <c r="X162" i="19"/>
  <c r="X207" i="19"/>
  <c r="X113" i="19"/>
  <c r="X238" i="19"/>
  <c r="X105" i="19"/>
  <c r="X265" i="19"/>
  <c r="X243" i="19"/>
  <c r="X214" i="19"/>
  <c r="X200" i="19"/>
  <c r="X150" i="19"/>
  <c r="X111" i="19"/>
  <c r="X133" i="19"/>
  <c r="X132" i="19"/>
  <c r="X155" i="19"/>
  <c r="X112" i="19"/>
  <c r="X181" i="19"/>
  <c r="X259" i="19"/>
  <c r="X228" i="19"/>
  <c r="X220" i="19"/>
  <c r="X199" i="19"/>
  <c r="X142" i="19"/>
  <c r="X215" i="19"/>
  <c r="X213" i="19"/>
  <c r="X169" i="19"/>
  <c r="X134" i="19"/>
  <c r="X104" i="19"/>
  <c r="X163" i="19"/>
  <c r="X208" i="19"/>
  <c r="X170" i="19"/>
  <c r="X149" i="19"/>
  <c r="X106" i="19"/>
  <c r="X236" i="19"/>
  <c r="X222" i="19"/>
  <c r="X206" i="19"/>
  <c r="X201" i="19"/>
  <c r="X156" i="19"/>
  <c r="X171" i="19"/>
  <c r="X227" i="19"/>
  <c r="X85" i="19"/>
  <c r="X189" i="19"/>
  <c r="X264" i="19"/>
  <c r="X94" i="19"/>
  <c r="X126" i="19"/>
  <c r="X229" i="19"/>
  <c r="X96" i="19"/>
  <c r="X266" i="19"/>
  <c r="X87" i="19"/>
  <c r="X191" i="19"/>
  <c r="X95" i="19"/>
  <c r="X86" i="19"/>
  <c r="X143" i="19"/>
  <c r="E171" i="32"/>
  <c r="G136" i="12"/>
  <c r="D29" i="28" s="1"/>
  <c r="D30" i="28"/>
  <c r="W101" i="18" s="1"/>
  <c r="AV25" i="18" s="1"/>
  <c r="Q60" i="83" s="1"/>
  <c r="J141" i="19"/>
  <c r="Q20" i="20"/>
  <c r="D266" i="89"/>
  <c r="B218" i="32"/>
  <c r="B265" i="23"/>
  <c r="H89" i="12"/>
  <c r="D34" i="25"/>
  <c r="G99" i="12"/>
  <c r="D32" i="38" s="1"/>
  <c r="R141" i="40"/>
  <c r="R175" i="40"/>
  <c r="R262" i="40"/>
  <c r="R300" i="40"/>
  <c r="R204" i="40"/>
  <c r="R168" i="40"/>
  <c r="R205" i="40"/>
  <c r="R167" i="40"/>
  <c r="Y111" i="40"/>
  <c r="R299" i="40"/>
  <c r="R236" i="40"/>
  <c r="R270" i="40"/>
  <c r="R263" i="40"/>
  <c r="J104" i="19"/>
  <c r="B288" i="32"/>
  <c r="B186" i="89"/>
  <c r="B281" i="32"/>
  <c r="B302" i="32"/>
  <c r="B124" i="23"/>
  <c r="B302" i="89"/>
  <c r="M77" i="19"/>
  <c r="T77" i="19" s="1"/>
  <c r="S77" i="19"/>
  <c r="E238" i="89"/>
  <c r="Y111" i="38"/>
  <c r="R167" i="38"/>
  <c r="R204" i="38"/>
  <c r="R299" i="38"/>
  <c r="R168" i="38"/>
  <c r="R236" i="38"/>
  <c r="R263" i="38"/>
  <c r="R300" i="38"/>
  <c r="R205" i="38"/>
  <c r="R141" i="38"/>
  <c r="R270" i="38"/>
  <c r="R262" i="38"/>
  <c r="R175" i="38"/>
  <c r="BS41" i="76"/>
  <c r="BS68" i="76"/>
  <c r="C32" i="2"/>
  <c r="B27" i="19"/>
  <c r="B35" i="19" s="1"/>
  <c r="X214" i="40"/>
  <c r="X286" i="40"/>
  <c r="X161" i="40"/>
  <c r="X128" i="40"/>
  <c r="X249" i="40"/>
  <c r="X216" i="40"/>
  <c r="X223" i="40"/>
  <c r="X279" i="40"/>
  <c r="X198" i="40"/>
  <c r="X119" i="40"/>
  <c r="X147" i="40"/>
  <c r="X121" i="40"/>
  <c r="X225" i="40"/>
  <c r="X262" i="40"/>
  <c r="X130" i="40"/>
  <c r="X261" i="40"/>
  <c r="X184" i="40"/>
  <c r="X235" i="40"/>
  <c r="X204" i="40"/>
  <c r="X272" i="40"/>
  <c r="X154" i="40"/>
  <c r="X298" i="40"/>
  <c r="X256" i="40"/>
  <c r="X203" i="40"/>
  <c r="X191" i="40"/>
  <c r="X293" i="40"/>
  <c r="X177" i="40"/>
  <c r="X242" i="40"/>
  <c r="X140" i="40"/>
  <c r="X167" i="40"/>
  <c r="X299" i="40"/>
  <c r="X166" i="40"/>
  <c r="D25" i="19"/>
  <c r="E35" i="2" s="1"/>
  <c r="D34" i="17"/>
  <c r="J128" i="20"/>
  <c r="H128" i="20"/>
  <c r="B124" i="32"/>
  <c r="B149" i="23"/>
  <c r="C10" i="25"/>
  <c r="C11" i="25"/>
  <c r="C6" i="25" s="1"/>
  <c r="Z44" i="18"/>
  <c r="AY118" i="18" s="1"/>
  <c r="T74" i="85" s="1"/>
  <c r="G34" i="17"/>
  <c r="B207" i="23"/>
  <c r="B258" i="23"/>
  <c r="C9" i="38"/>
  <c r="B266" i="32"/>
  <c r="B179" i="32"/>
  <c r="L85" i="19"/>
  <c r="B288" i="23"/>
  <c r="X119" i="38"/>
  <c r="X177" i="38"/>
  <c r="X293" i="38"/>
  <c r="X214" i="38"/>
  <c r="X154" i="38"/>
  <c r="X286" i="38"/>
  <c r="X223" i="38"/>
  <c r="X242" i="38"/>
  <c r="X279" i="38"/>
  <c r="X272" i="38"/>
  <c r="X140" i="38"/>
  <c r="X298" i="38"/>
  <c r="X147" i="38"/>
  <c r="X249" i="38"/>
  <c r="X204" i="38"/>
  <c r="X235" i="38"/>
  <c r="X225" i="38"/>
  <c r="X130" i="38"/>
  <c r="X191" i="38"/>
  <c r="X166" i="38"/>
  <c r="X216" i="38"/>
  <c r="X262" i="38"/>
  <c r="X256" i="38"/>
  <c r="X198" i="38"/>
  <c r="X167" i="38"/>
  <c r="X184" i="38"/>
  <c r="X299" i="38"/>
  <c r="X128" i="38"/>
  <c r="X121" i="38"/>
  <c r="X161" i="38"/>
  <c r="X261" i="38"/>
  <c r="X203" i="38"/>
  <c r="E153" i="20"/>
  <c r="E132" i="20"/>
  <c r="B288" i="89"/>
  <c r="S111" i="40"/>
  <c r="M111" i="40"/>
  <c r="T111" i="40" s="1"/>
  <c r="C150" i="89"/>
  <c r="S111" i="38"/>
  <c r="M111" i="38"/>
  <c r="T111" i="38" s="1"/>
  <c r="I153" i="20"/>
  <c r="I132" i="20"/>
  <c r="B219" i="30"/>
  <c r="G34" i="38"/>
  <c r="E11" i="23" l="1"/>
  <c r="E11" i="40"/>
  <c r="X140" i="32"/>
  <c r="X167" i="32"/>
  <c r="BC963" i="76"/>
  <c r="X121" i="32"/>
  <c r="B170" i="23"/>
  <c r="B171" i="23" s="1"/>
  <c r="X249" i="32"/>
  <c r="X223" i="32"/>
  <c r="X225" i="32"/>
  <c r="X119" i="32"/>
  <c r="Y1057" i="76"/>
  <c r="T169" i="23"/>
  <c r="X286" i="32"/>
  <c r="X262" i="32"/>
  <c r="X214" i="32"/>
  <c r="X191" i="32"/>
  <c r="T332" i="76"/>
  <c r="X147" i="32"/>
  <c r="X216" i="32"/>
  <c r="X298" i="32"/>
  <c r="X154" i="32"/>
  <c r="X161" i="32"/>
  <c r="X235" i="32"/>
  <c r="Y303" i="76"/>
  <c r="X166" i="32"/>
  <c r="X128" i="32"/>
  <c r="X279" i="32"/>
  <c r="X130" i="32"/>
  <c r="BB711" i="76"/>
  <c r="V1012" i="76"/>
  <c r="X203" i="32"/>
  <c r="BB1021" i="76"/>
  <c r="X293" i="32"/>
  <c r="X198" i="32"/>
  <c r="X184" i="32"/>
  <c r="X261" i="32"/>
  <c r="X299" i="32"/>
  <c r="X242" i="32"/>
  <c r="X177" i="32"/>
  <c r="BB799" i="76"/>
  <c r="X256" i="32"/>
  <c r="X204" i="32"/>
  <c r="F8" i="25"/>
  <c r="F8" i="40"/>
  <c r="F7" i="40" s="1"/>
  <c r="F8" i="28"/>
  <c r="F7" i="28" s="1"/>
  <c r="T264" i="23"/>
  <c r="F8" i="38"/>
  <c r="V278" i="76"/>
  <c r="BF836" i="76"/>
  <c r="Y745" i="76"/>
  <c r="U163" i="76"/>
  <c r="U11" i="20"/>
  <c r="G8" i="14" s="1"/>
  <c r="W677" i="76"/>
  <c r="U701" i="76"/>
  <c r="T439" i="76"/>
  <c r="W111" i="76"/>
  <c r="X202" i="76"/>
  <c r="BA677" i="76"/>
  <c r="W360" i="76"/>
  <c r="X532" i="76"/>
  <c r="T1031" i="76"/>
  <c r="E7" i="30"/>
  <c r="F8" i="30"/>
  <c r="F7" i="30" s="1"/>
  <c r="B60" i="12"/>
  <c r="W498" i="76"/>
  <c r="T674" i="76"/>
  <c r="BA391" i="76"/>
  <c r="BC1031" i="76"/>
  <c r="BF909" i="76"/>
  <c r="T16" i="20"/>
  <c r="T372" i="76"/>
  <c r="BD633" i="76"/>
  <c r="T716" i="76"/>
  <c r="V917" i="76"/>
  <c r="V853" i="76"/>
  <c r="U1018" i="76"/>
  <c r="X91" i="76"/>
  <c r="BC74" i="76"/>
  <c r="T971" i="76"/>
  <c r="T435" i="76"/>
  <c r="BC896" i="76"/>
  <c r="BB152" i="76"/>
  <c r="K132" i="19"/>
  <c r="F8" i="32"/>
  <c r="F11" i="32" s="1"/>
  <c r="BB170" i="76"/>
  <c r="BF733" i="76"/>
  <c r="BD833" i="76"/>
  <c r="Y731" i="76"/>
  <c r="BF252" i="76"/>
  <c r="F8" i="23"/>
  <c r="F11" i="23" s="1"/>
  <c r="BA291" i="76"/>
  <c r="BE1019" i="76"/>
  <c r="W460" i="76"/>
  <c r="BF993" i="76"/>
  <c r="V850" i="76"/>
  <c r="BB338" i="76"/>
  <c r="BF391" i="76"/>
  <c r="T203" i="76"/>
  <c r="Y288" i="76"/>
  <c r="V961" i="76"/>
  <c r="U413" i="76"/>
  <c r="F8" i="14"/>
  <c r="F7" i="14" s="1"/>
  <c r="F8" i="89"/>
  <c r="F7" i="89" s="1"/>
  <c r="R205" i="89"/>
  <c r="Y632" i="76"/>
  <c r="BA477" i="76"/>
  <c r="Y736" i="76"/>
  <c r="BB825" i="76"/>
  <c r="BA544" i="76"/>
  <c r="W150" i="76"/>
  <c r="X72" i="76"/>
  <c r="Y848" i="76"/>
  <c r="BF279" i="76"/>
  <c r="BD178" i="76"/>
  <c r="BE339" i="76"/>
  <c r="BC860" i="76"/>
  <c r="W772" i="76"/>
  <c r="T337" i="76"/>
  <c r="F8" i="17"/>
  <c r="F11" i="17" s="1"/>
  <c r="Z106" i="18"/>
  <c r="Z6" i="18"/>
  <c r="E7" i="89"/>
  <c r="BC557" i="76"/>
  <c r="Y445" i="76"/>
  <c r="BA632" i="76"/>
  <c r="BF620" i="76"/>
  <c r="Y770" i="76"/>
  <c r="BC989" i="76"/>
  <c r="BD1045" i="76"/>
  <c r="BB157" i="76"/>
  <c r="BB756" i="76"/>
  <c r="U510" i="76"/>
  <c r="Y661" i="76"/>
  <c r="W410" i="76"/>
  <c r="U200" i="76"/>
  <c r="BA316" i="76"/>
  <c r="U749" i="76"/>
  <c r="U904" i="76"/>
  <c r="BC156" i="76"/>
  <c r="BF463" i="76"/>
  <c r="BF281" i="76"/>
  <c r="BA601" i="76"/>
  <c r="X587" i="76"/>
  <c r="X667" i="76"/>
  <c r="BB204" i="76"/>
  <c r="BA150" i="76"/>
  <c r="BA543" i="76"/>
  <c r="BC778" i="76"/>
  <c r="BC499" i="76"/>
  <c r="T1054" i="76"/>
  <c r="BD262" i="76"/>
  <c r="BE771" i="76"/>
  <c r="U682" i="76"/>
  <c r="BB789" i="76"/>
  <c r="BB460" i="76"/>
  <c r="BC530" i="76"/>
  <c r="BD152" i="76"/>
  <c r="V836" i="76"/>
  <c r="BA867" i="76"/>
  <c r="BD129" i="76"/>
  <c r="Y679" i="76"/>
  <c r="T393" i="76"/>
  <c r="U823" i="76"/>
  <c r="Y314" i="76"/>
  <c r="BE722" i="76"/>
  <c r="W811" i="76"/>
  <c r="W714" i="76"/>
  <c r="BE926" i="76"/>
  <c r="BF273" i="76"/>
  <c r="BC748" i="76"/>
  <c r="W369" i="76"/>
  <c r="X765" i="76"/>
  <c r="V151" i="76"/>
  <c r="W342" i="76"/>
  <c r="BB158" i="76"/>
  <c r="X937" i="76"/>
  <c r="V987" i="76"/>
  <c r="U729" i="76"/>
  <c r="BF973" i="76"/>
  <c r="T118" i="76"/>
  <c r="BD959" i="76"/>
  <c r="BD462" i="76"/>
  <c r="BC716" i="76"/>
  <c r="BE1005" i="76"/>
  <c r="BB944" i="76"/>
  <c r="Y504" i="76"/>
  <c r="BE915" i="76"/>
  <c r="BE570" i="76"/>
  <c r="T480" i="76"/>
  <c r="X163" i="76"/>
  <c r="Y201" i="76"/>
  <c r="W269" i="76"/>
  <c r="BC292" i="76"/>
  <c r="T627" i="76"/>
  <c r="BF448" i="76"/>
  <c r="T968" i="76"/>
  <c r="W557" i="76"/>
  <c r="BC491" i="76"/>
  <c r="Y524" i="76"/>
  <c r="BD407" i="76"/>
  <c r="X990" i="76"/>
  <c r="U221" i="76"/>
  <c r="BD592" i="76"/>
  <c r="BA706" i="76"/>
  <c r="BD562" i="76"/>
  <c r="BF797" i="76"/>
  <c r="BB856" i="76"/>
  <c r="U295" i="76"/>
  <c r="BB141" i="76"/>
  <c r="BC233" i="76"/>
  <c r="Y530" i="76"/>
  <c r="T1024" i="76"/>
  <c r="BD946" i="76"/>
  <c r="BA615" i="76"/>
  <c r="BD648" i="76"/>
  <c r="BC395" i="76"/>
  <c r="BD481" i="76"/>
  <c r="W310" i="76"/>
  <c r="Y857" i="76"/>
  <c r="X557" i="76"/>
  <c r="U290" i="76"/>
  <c r="X598" i="76"/>
  <c r="BE590" i="76"/>
  <c r="U237" i="76"/>
  <c r="BC75" i="76"/>
  <c r="BB166" i="76"/>
  <c r="BD209" i="76"/>
  <c r="U706" i="76"/>
  <c r="BA1001" i="76"/>
  <c r="BF302" i="76"/>
  <c r="BC669" i="76"/>
  <c r="X1016" i="76"/>
  <c r="BC882" i="76"/>
  <c r="T650" i="76"/>
  <c r="Y169" i="76"/>
  <c r="BD736" i="76"/>
  <c r="BF377" i="76"/>
  <c r="BB607" i="76"/>
  <c r="BA1065" i="76"/>
  <c r="V534" i="76"/>
  <c r="BB337" i="76"/>
  <c r="X906" i="76"/>
  <c r="W467" i="76"/>
  <c r="X486" i="76"/>
  <c r="BD206" i="76"/>
  <c r="T661" i="76"/>
  <c r="T188" i="76"/>
  <c r="X506" i="76"/>
  <c r="BA440" i="76"/>
  <c r="BD845" i="76"/>
  <c r="BB478" i="76"/>
  <c r="W754" i="76"/>
  <c r="BB1047" i="76"/>
  <c r="BA305" i="76"/>
  <c r="X803" i="76"/>
  <c r="BA995" i="76"/>
  <c r="T244" i="76"/>
  <c r="BB750" i="76"/>
  <c r="T346" i="76"/>
  <c r="U87" i="76"/>
  <c r="V840" i="76"/>
  <c r="T678" i="76"/>
  <c r="BE810" i="76"/>
  <c r="BF293" i="76"/>
  <c r="U572" i="76"/>
  <c r="Y734" i="76"/>
  <c r="BA683" i="76"/>
  <c r="BA179" i="76"/>
  <c r="BD778" i="76"/>
  <c r="BD373" i="76"/>
  <c r="Y456" i="76"/>
  <c r="X416" i="76"/>
  <c r="Y952" i="76"/>
  <c r="BF690" i="76"/>
  <c r="BF238" i="76"/>
  <c r="X143" i="76"/>
  <c r="X751" i="76"/>
  <c r="BC996" i="76"/>
  <c r="U995" i="76"/>
  <c r="U882" i="76"/>
  <c r="BC316" i="76"/>
  <c r="BF784" i="76"/>
  <c r="T114" i="76"/>
  <c r="BE351" i="76"/>
  <c r="BC976" i="76"/>
  <c r="BB455" i="76"/>
  <c r="X1055" i="76"/>
  <c r="BD204" i="76"/>
  <c r="BF154" i="76"/>
  <c r="V759" i="76"/>
  <c r="Y142" i="76"/>
  <c r="BF174" i="76"/>
  <c r="BB520" i="76"/>
  <c r="BE188" i="76"/>
  <c r="BC909" i="76"/>
  <c r="BA172" i="76"/>
  <c r="V855" i="76"/>
  <c r="BE865" i="76"/>
  <c r="BD1027" i="76"/>
  <c r="BF682" i="76"/>
  <c r="BB359" i="76"/>
  <c r="BA527" i="76"/>
  <c r="BC628" i="76"/>
  <c r="BE389" i="76"/>
  <c r="W681" i="76"/>
  <c r="BF163" i="76"/>
  <c r="BF394" i="76"/>
  <c r="BE1061" i="76"/>
  <c r="BD700" i="76"/>
  <c r="BA260" i="76"/>
  <c r="W89" i="76"/>
  <c r="W444" i="76"/>
  <c r="T194" i="76"/>
  <c r="T127" i="76"/>
  <c r="T369" i="76"/>
  <c r="T287" i="76"/>
  <c r="BD391" i="76"/>
  <c r="BA401" i="76"/>
  <c r="BA883" i="76"/>
  <c r="T537" i="76"/>
  <c r="BD220" i="76"/>
  <c r="BE192" i="76"/>
  <c r="V697" i="76"/>
  <c r="BC509" i="76"/>
  <c r="BD526" i="76"/>
  <c r="X235" i="76"/>
  <c r="BD640" i="76"/>
  <c r="BC497" i="76"/>
  <c r="V235" i="76"/>
  <c r="BC131" i="76"/>
  <c r="BF799" i="76"/>
  <c r="W929" i="76"/>
  <c r="W885" i="76"/>
  <c r="BE610" i="76"/>
  <c r="V731" i="76"/>
  <c r="Y570" i="76"/>
  <c r="BC658" i="76"/>
  <c r="BE986" i="76"/>
  <c r="BA1028" i="76"/>
  <c r="BA465" i="76"/>
  <c r="BD222" i="76"/>
  <c r="BC421" i="76"/>
  <c r="BA1045" i="76"/>
  <c r="W979" i="76"/>
  <c r="V494" i="76"/>
  <c r="U931" i="76"/>
  <c r="X153" i="76"/>
  <c r="BE973" i="76"/>
  <c r="U1005" i="76"/>
  <c r="Y925" i="76"/>
  <c r="V665" i="76"/>
  <c r="BA235" i="76"/>
  <c r="BE851" i="76"/>
  <c r="BF165" i="76"/>
  <c r="T704" i="76"/>
  <c r="V446" i="76"/>
  <c r="T231" i="76"/>
  <c r="BD840" i="76"/>
  <c r="BC760" i="76"/>
  <c r="BB815" i="76"/>
  <c r="BC380" i="76"/>
  <c r="V998" i="76"/>
  <c r="V1049" i="76"/>
  <c r="BA781" i="76"/>
  <c r="U885" i="76"/>
  <c r="BE505" i="76"/>
  <c r="BE601" i="76"/>
  <c r="BE795" i="76"/>
  <c r="V254" i="76"/>
  <c r="BD1023" i="76"/>
  <c r="BF160" i="76"/>
  <c r="T564" i="76"/>
  <c r="BD356" i="76"/>
  <c r="Y175" i="76"/>
  <c r="W364" i="76"/>
  <c r="Y353" i="76"/>
  <c r="BB991" i="76"/>
  <c r="Y933" i="76"/>
  <c r="BE636" i="76"/>
  <c r="BE752" i="76"/>
  <c r="BA770" i="76"/>
  <c r="BF897" i="76"/>
  <c r="W274" i="76"/>
  <c r="BA974" i="76"/>
  <c r="BB251" i="76"/>
  <c r="X79" i="76"/>
  <c r="BD302" i="76"/>
  <c r="X977" i="76"/>
  <c r="BA269" i="76"/>
  <c r="X387" i="76"/>
  <c r="T902" i="76"/>
  <c r="BD799" i="76"/>
  <c r="U670" i="76"/>
  <c r="X556" i="76"/>
  <c r="BF677" i="76"/>
  <c r="V197" i="76"/>
  <c r="BE853" i="76"/>
  <c r="BB114" i="76"/>
  <c r="BF301" i="76"/>
  <c r="BF464" i="76"/>
  <c r="BA202" i="76"/>
  <c r="U714" i="76"/>
  <c r="V334" i="76"/>
  <c r="Y1048" i="76"/>
  <c r="X494" i="76"/>
  <c r="BE623" i="76"/>
  <c r="BF70" i="76"/>
  <c r="T532" i="76"/>
  <c r="V234" i="76"/>
  <c r="BB735" i="76"/>
  <c r="BD448" i="76"/>
  <c r="Y891" i="76"/>
  <c r="X484" i="76"/>
  <c r="BA777" i="76"/>
  <c r="U666" i="76"/>
  <c r="T210" i="76"/>
  <c r="V285" i="76"/>
  <c r="T398" i="76"/>
  <c r="W114" i="76"/>
  <c r="BD816" i="76"/>
  <c r="BA798" i="76"/>
  <c r="W776" i="76"/>
  <c r="X750" i="76"/>
  <c r="BA238" i="76"/>
  <c r="BD708" i="76"/>
  <c r="W645" i="76"/>
  <c r="Y977" i="76"/>
  <c r="BB341" i="76"/>
  <c r="BE714" i="76"/>
  <c r="BA95" i="76"/>
  <c r="BD563" i="76"/>
  <c r="W710" i="76"/>
  <c r="Y449" i="76"/>
  <c r="T520" i="76"/>
  <c r="BD905" i="76"/>
  <c r="BA92" i="76"/>
  <c r="W363" i="76"/>
  <c r="BF592" i="76"/>
  <c r="T1027" i="76"/>
  <c r="BB498" i="76"/>
  <c r="BC391" i="76"/>
  <c r="BA992" i="76"/>
  <c r="T517" i="76"/>
  <c r="W365" i="76"/>
  <c r="BC197" i="76"/>
  <c r="BB517" i="76"/>
  <c r="BB539" i="76"/>
  <c r="BD520" i="76"/>
  <c r="BB387" i="76"/>
  <c r="BC828" i="76"/>
  <c r="V667" i="76"/>
  <c r="BE588" i="76"/>
  <c r="V615" i="76"/>
  <c r="Y125" i="76"/>
  <c r="BC165" i="76"/>
  <c r="BD369" i="76"/>
  <c r="BD412" i="76"/>
  <c r="X695" i="76"/>
  <c r="U141" i="76"/>
  <c r="BC862" i="76"/>
  <c r="BB984" i="76"/>
  <c r="BD861" i="76"/>
  <c r="BC853" i="76"/>
  <c r="BF468" i="76"/>
  <c r="BB481" i="76"/>
  <c r="U1053" i="76"/>
  <c r="T831" i="76"/>
  <c r="V1042" i="76"/>
  <c r="U736" i="76"/>
  <c r="BA1055" i="76"/>
  <c r="V981" i="76"/>
  <c r="BE671" i="76"/>
  <c r="BE461" i="76"/>
  <c r="BF625" i="76"/>
  <c r="BB287" i="76"/>
  <c r="BE860" i="76"/>
  <c r="W787" i="76"/>
  <c r="X820" i="76"/>
  <c r="BB272" i="76"/>
  <c r="T901" i="76"/>
  <c r="Y280" i="76"/>
  <c r="BA647" i="76"/>
  <c r="BA841" i="76"/>
  <c r="T132" i="76"/>
  <c r="BA894" i="76"/>
  <c r="T739" i="76"/>
  <c r="BE1022" i="76"/>
  <c r="Y478" i="76"/>
  <c r="X264" i="76"/>
  <c r="BC899" i="76"/>
  <c r="BE335" i="76"/>
  <c r="T760" i="76"/>
  <c r="BB845" i="76"/>
  <c r="BD811" i="76"/>
  <c r="BA115" i="76"/>
  <c r="BE313" i="76"/>
  <c r="BF1008" i="76"/>
  <c r="BB578" i="76"/>
  <c r="BB70" i="76"/>
  <c r="BF119" i="76"/>
  <c r="X500" i="76"/>
  <c r="BA591" i="76"/>
  <c r="X865" i="76"/>
  <c r="W268" i="76"/>
  <c r="Y544" i="76"/>
  <c r="BC653" i="76"/>
  <c r="BD207" i="76"/>
  <c r="T613" i="76"/>
  <c r="BE360" i="76"/>
  <c r="U311" i="76"/>
  <c r="BF322" i="76"/>
  <c r="T469" i="76"/>
  <c r="BE173" i="76"/>
  <c r="BA602" i="76"/>
  <c r="W167" i="76"/>
  <c r="BF796" i="76"/>
  <c r="W572" i="76"/>
  <c r="BE383" i="76"/>
  <c r="Y120" i="76"/>
  <c r="BC1007" i="76"/>
  <c r="BD519" i="76"/>
  <c r="BF649" i="76"/>
  <c r="U919" i="76"/>
  <c r="BB867" i="76"/>
  <c r="V110" i="76"/>
  <c r="BF954" i="76"/>
  <c r="BC751" i="76"/>
  <c r="BD237" i="76"/>
  <c r="Y487" i="76"/>
  <c r="BD645" i="76"/>
  <c r="Y389" i="76"/>
  <c r="BB572" i="76"/>
  <c r="BD676" i="76"/>
  <c r="W670" i="76"/>
  <c r="T895" i="76"/>
  <c r="BC982" i="76"/>
  <c r="U1054" i="76"/>
  <c r="BA515" i="76"/>
  <c r="BE209" i="76"/>
  <c r="BA734" i="76"/>
  <c r="W887" i="76"/>
  <c r="U576" i="76"/>
  <c r="BC836" i="76"/>
  <c r="BA475" i="76"/>
  <c r="BD635" i="76"/>
  <c r="BE256" i="76"/>
  <c r="BD470" i="76"/>
  <c r="BD529" i="76"/>
  <c r="W749" i="76"/>
  <c r="Y865" i="76"/>
  <c r="BE462" i="76"/>
  <c r="BA1051" i="76"/>
  <c r="T120" i="76"/>
  <c r="BF861" i="76"/>
  <c r="BE829" i="76"/>
  <c r="BA1019" i="76"/>
  <c r="W506" i="76"/>
  <c r="BD704" i="76"/>
  <c r="BE694" i="76"/>
  <c r="BD494" i="76"/>
  <c r="W389" i="76"/>
  <c r="BE195" i="76"/>
  <c r="V995" i="76"/>
  <c r="V158" i="76"/>
  <c r="X225" i="76"/>
  <c r="U133" i="76"/>
  <c r="BA665" i="76"/>
  <c r="BB284" i="76"/>
  <c r="U156" i="76"/>
  <c r="BF570" i="76"/>
  <c r="W380" i="76"/>
  <c r="BA768" i="76"/>
  <c r="X230" i="76"/>
  <c r="BB474" i="76"/>
  <c r="V533" i="76"/>
  <c r="BD1036" i="76"/>
  <c r="BA664" i="76"/>
  <c r="BF1046" i="76"/>
  <c r="BB753" i="76"/>
  <c r="T981" i="76"/>
  <c r="Y74" i="76"/>
  <c r="X721" i="76"/>
  <c r="V637" i="76"/>
  <c r="BC112" i="76"/>
  <c r="V210" i="76"/>
  <c r="BC371" i="76"/>
  <c r="V708" i="76"/>
  <c r="BB683" i="76"/>
  <c r="Y339" i="76"/>
  <c r="BB344" i="76"/>
  <c r="BC1030" i="76"/>
  <c r="BC412" i="76"/>
  <c r="BB501" i="76"/>
  <c r="BF449" i="76"/>
  <c r="BA491" i="76"/>
  <c r="BD111" i="76"/>
  <c r="V542" i="76"/>
  <c r="X237" i="76"/>
  <c r="V76" i="76"/>
  <c r="BC657" i="76"/>
  <c r="X342" i="76"/>
  <c r="X921" i="76"/>
  <c r="T284" i="76"/>
  <c r="BB808" i="76"/>
  <c r="U114" i="76"/>
  <c r="V967" i="76"/>
  <c r="X232" i="76"/>
  <c r="U71" i="76"/>
  <c r="V532" i="76"/>
  <c r="BF181" i="76"/>
  <c r="BC158" i="76"/>
  <c r="T641" i="76"/>
  <c r="BE384" i="76"/>
  <c r="V217" i="76"/>
  <c r="BD719" i="76"/>
  <c r="BB185" i="76"/>
  <c r="X89" i="76"/>
  <c r="W163" i="76"/>
  <c r="BB75" i="76"/>
  <c r="BA558" i="76"/>
  <c r="BE516" i="76"/>
  <c r="BA577" i="76"/>
  <c r="U183" i="76"/>
  <c r="Y729" i="76"/>
  <c r="BC1054" i="76"/>
  <c r="Y762" i="76"/>
  <c r="X687" i="76"/>
  <c r="V259" i="76"/>
  <c r="BE362" i="76"/>
  <c r="BE656" i="76"/>
  <c r="BE736" i="76"/>
  <c r="BE453" i="76"/>
  <c r="BC891" i="76"/>
  <c r="X311" i="76"/>
  <c r="BF90" i="76"/>
  <c r="T900" i="76"/>
  <c r="BB775" i="76"/>
  <c r="T310" i="76"/>
  <c r="BC680" i="76"/>
  <c r="W770" i="76"/>
  <c r="W815" i="76"/>
  <c r="T273" i="76"/>
  <c r="T389" i="76"/>
  <c r="Y653" i="76"/>
  <c r="U450" i="76"/>
  <c r="BB415" i="76"/>
  <c r="W189" i="76"/>
  <c r="Y312" i="76"/>
  <c r="Y1031" i="76"/>
  <c r="BE1021" i="76"/>
  <c r="BA534" i="76"/>
  <c r="BC925" i="76"/>
  <c r="BC244" i="76"/>
  <c r="BB94" i="76"/>
  <c r="V314" i="76"/>
  <c r="BF768" i="76"/>
  <c r="BB449" i="76"/>
  <c r="Y134" i="76"/>
  <c r="BA340" i="76"/>
  <c r="U171" i="76"/>
  <c r="BE475" i="76"/>
  <c r="BE794" i="76"/>
  <c r="BC1065" i="76"/>
  <c r="T141" i="76"/>
  <c r="BA75" i="76"/>
  <c r="W295" i="76"/>
  <c r="W895" i="76"/>
  <c r="BA837" i="76"/>
  <c r="BF1038" i="76"/>
  <c r="BB677" i="76"/>
  <c r="W535" i="76"/>
  <c r="U709" i="76"/>
  <c r="BE241" i="76"/>
  <c r="X984" i="76"/>
  <c r="U244" i="76"/>
  <c r="V960" i="76"/>
  <c r="BA128" i="76"/>
  <c r="BB1050" i="76"/>
  <c r="BB103" i="76"/>
  <c r="X293" i="76"/>
  <c r="T731" i="76"/>
  <c r="V174" i="76"/>
  <c r="BC213" i="76"/>
  <c r="BE522" i="76"/>
  <c r="BA884" i="76"/>
  <c r="Y263" i="76"/>
  <c r="U395" i="76"/>
  <c r="BF157" i="76"/>
  <c r="X73" i="76"/>
  <c r="BF718" i="76"/>
  <c r="BF518" i="76"/>
  <c r="BC215" i="76"/>
  <c r="BE168" i="76"/>
  <c r="BC454" i="76"/>
  <c r="X552" i="76"/>
  <c r="Y337" i="76"/>
  <c r="T453" i="76"/>
  <c r="BD767" i="76"/>
  <c r="BD730" i="76"/>
  <c r="BC893" i="76"/>
  <c r="BA390" i="76"/>
  <c r="BF124" i="76"/>
  <c r="BD473" i="76"/>
  <c r="BD942" i="76"/>
  <c r="U1044" i="76"/>
  <c r="W79" i="76"/>
  <c r="BE543" i="76"/>
  <c r="BC572" i="76"/>
  <c r="BA337" i="76"/>
  <c r="W829" i="76"/>
  <c r="BA658" i="76"/>
  <c r="Y515" i="76"/>
  <c r="BD791" i="76"/>
  <c r="BB759" i="76"/>
  <c r="V889" i="76"/>
  <c r="Y790" i="76"/>
  <c r="BC483" i="76"/>
  <c r="BF473" i="76"/>
  <c r="V870" i="76"/>
  <c r="BE217" i="76"/>
  <c r="BF524" i="76"/>
  <c r="W826" i="76"/>
  <c r="BC825" i="76"/>
  <c r="BC251" i="76"/>
  <c r="T260" i="76"/>
  <c r="W718" i="76"/>
  <c r="U687" i="76"/>
  <c r="V596" i="76"/>
  <c r="V969" i="76"/>
  <c r="W683" i="76"/>
  <c r="BD997" i="76"/>
  <c r="X193" i="76"/>
  <c r="Y233" i="76"/>
  <c r="T952" i="76"/>
  <c r="V223" i="76"/>
  <c r="X210" i="76"/>
  <c r="W398" i="76"/>
  <c r="T71" i="76"/>
  <c r="X778" i="76"/>
  <c r="BB531" i="76"/>
  <c r="BB573" i="76"/>
  <c r="BF334" i="76"/>
  <c r="V605" i="76"/>
  <c r="BA1044" i="76"/>
  <c r="W706" i="76"/>
  <c r="V75" i="76"/>
  <c r="T163" i="76"/>
  <c r="BC320" i="76"/>
  <c r="X251" i="76"/>
  <c r="BC342" i="76"/>
  <c r="BD879" i="76"/>
  <c r="BA733" i="76"/>
  <c r="BE549" i="76"/>
  <c r="BC763" i="76"/>
  <c r="X650" i="76"/>
  <c r="BA855" i="76"/>
  <c r="W862" i="76"/>
  <c r="BA195" i="76"/>
  <c r="X315" i="76"/>
  <c r="U827" i="76"/>
  <c r="Y294" i="76"/>
  <c r="U759" i="76"/>
  <c r="X666" i="76"/>
  <c r="U456" i="76"/>
  <c r="U767" i="76"/>
  <c r="BE92" i="76"/>
  <c r="BF821" i="76"/>
  <c r="BA879" i="76"/>
  <c r="BE554" i="76"/>
  <c r="BE415" i="76"/>
  <c r="BD781" i="76"/>
  <c r="U492" i="76"/>
  <c r="X1041" i="76"/>
  <c r="T279" i="76"/>
  <c r="T765" i="76"/>
  <c r="X730" i="76"/>
  <c r="BC1040" i="76"/>
  <c r="V654" i="76"/>
  <c r="X81" i="76"/>
  <c r="BA671" i="76"/>
  <c r="X451" i="76"/>
  <c r="BF845" i="76"/>
  <c r="W867" i="76"/>
  <c r="BE311" i="76"/>
  <c r="X259" i="76"/>
  <c r="BA740" i="76"/>
  <c r="BD121" i="76"/>
  <c r="BA359" i="76"/>
  <c r="BF115" i="76"/>
  <c r="BE595" i="76"/>
  <c r="BC291" i="76"/>
  <c r="W620" i="76"/>
  <c r="BC303" i="76"/>
  <c r="W261" i="76"/>
  <c r="V735" i="76"/>
  <c r="U157" i="76"/>
  <c r="V736" i="76"/>
  <c r="W676" i="76"/>
  <c r="Y129" i="76"/>
  <c r="BD985" i="76"/>
  <c r="V490" i="76"/>
  <c r="W593" i="76"/>
  <c r="T967" i="76"/>
  <c r="Y252" i="76"/>
  <c r="U262" i="76"/>
  <c r="BE74" i="76"/>
  <c r="BA503" i="76"/>
  <c r="T619" i="76"/>
  <c r="BA983" i="76"/>
  <c r="BE776" i="76"/>
  <c r="BD808" i="76"/>
  <c r="U390" i="76"/>
  <c r="U529" i="76"/>
  <c r="V231" i="76"/>
  <c r="BA1064" i="76"/>
  <c r="Z120" i="18"/>
  <c r="Z92" i="18"/>
  <c r="Z134" i="18"/>
  <c r="Z148" i="18"/>
  <c r="Z22" i="18"/>
  <c r="K206" i="19"/>
  <c r="B295" i="89"/>
  <c r="Z50" i="18"/>
  <c r="Z78" i="18"/>
  <c r="Z64" i="18"/>
  <c r="W283" i="19"/>
  <c r="X90" i="76"/>
  <c r="X148" i="76"/>
  <c r="X339" i="76"/>
  <c r="BD655" i="76"/>
  <c r="W682" i="76"/>
  <c r="Y414" i="76"/>
  <c r="W419" i="76"/>
  <c r="BE99" i="76"/>
  <c r="X841" i="76"/>
  <c r="X732" i="76"/>
  <c r="BF812" i="76"/>
  <c r="BA307" i="76"/>
  <c r="W870" i="76"/>
  <c r="BC388" i="76"/>
  <c r="W866" i="76"/>
  <c r="BF918" i="76"/>
  <c r="Y634" i="76"/>
  <c r="V750" i="76"/>
  <c r="V159" i="76"/>
  <c r="V120" i="76"/>
  <c r="X844" i="76"/>
  <c r="BF835" i="76"/>
  <c r="BC1014" i="76"/>
  <c r="X138" i="76"/>
  <c r="V531" i="76"/>
  <c r="W977" i="76"/>
  <c r="T867" i="76"/>
  <c r="BE181" i="76"/>
  <c r="BE589" i="76"/>
  <c r="BF521" i="76"/>
  <c r="BE972" i="76"/>
  <c r="U768" i="76"/>
  <c r="V626" i="76"/>
  <c r="BA629" i="76"/>
  <c r="BF205" i="76"/>
  <c r="Y828" i="76"/>
  <c r="X932" i="76"/>
  <c r="BF629" i="76"/>
  <c r="U467" i="76"/>
  <c r="BD402" i="76"/>
  <c r="BA1020" i="76"/>
  <c r="U514" i="76"/>
  <c r="BC833" i="76"/>
  <c r="BF789" i="76"/>
  <c r="BC90" i="76"/>
  <c r="Y656" i="76"/>
  <c r="V689" i="76"/>
  <c r="U472" i="76"/>
  <c r="V399" i="76"/>
  <c r="BA1039" i="76"/>
  <c r="X426" i="76"/>
  <c r="Y689" i="76"/>
  <c r="Y931" i="76"/>
  <c r="BD495" i="76"/>
  <c r="Y748" i="76"/>
  <c r="V952" i="76"/>
  <c r="BC904" i="76"/>
  <c r="U327" i="76"/>
  <c r="T1062" i="76"/>
  <c r="W280" i="76"/>
  <c r="BA276" i="76"/>
  <c r="Y806" i="76"/>
  <c r="BE274" i="76"/>
  <c r="BD911" i="76"/>
  <c r="V247" i="76"/>
  <c r="W404" i="76"/>
  <c r="V95" i="76"/>
  <c r="W306" i="76"/>
  <c r="W100" i="76"/>
  <c r="BD873" i="76"/>
  <c r="BD1035" i="76"/>
  <c r="BC1017" i="76"/>
  <c r="BF635" i="76"/>
  <c r="BE374" i="76"/>
  <c r="BB298" i="76"/>
  <c r="T653" i="76"/>
  <c r="Y149" i="76"/>
  <c r="Y85" i="76"/>
  <c r="BF286" i="76"/>
  <c r="BA1037" i="76"/>
  <c r="BB618" i="76"/>
  <c r="V641" i="76"/>
  <c r="BB1028" i="76"/>
  <c r="BD919" i="76"/>
  <c r="X141" i="76"/>
  <c r="T689" i="76"/>
  <c r="V934" i="76"/>
  <c r="W1042" i="76"/>
  <c r="Y490" i="76"/>
  <c r="BE528" i="76"/>
  <c r="X476" i="76"/>
  <c r="V545" i="76"/>
  <c r="V645" i="76"/>
  <c r="Y404" i="76"/>
  <c r="X480" i="76"/>
  <c r="V797" i="76"/>
  <c r="BC769" i="76"/>
  <c r="V351" i="76"/>
  <c r="T417" i="76"/>
  <c r="BA502" i="76"/>
  <c r="Y76" i="76"/>
  <c r="BB227" i="76"/>
  <c r="T565" i="76"/>
  <c r="T814" i="76"/>
  <c r="BC231" i="76"/>
  <c r="T471" i="76"/>
  <c r="BC304" i="76"/>
  <c r="Y248" i="76"/>
  <c r="W385" i="76"/>
  <c r="BE423" i="76"/>
  <c r="BC1060" i="76"/>
  <c r="BE906" i="76"/>
  <c r="V867" i="76"/>
  <c r="BB168" i="76"/>
  <c r="V192" i="76"/>
  <c r="V1038" i="76"/>
  <c r="BC457" i="76"/>
  <c r="BE790" i="76"/>
  <c r="BE502" i="76"/>
  <c r="W383" i="76"/>
  <c r="BC452" i="76"/>
  <c r="BC824" i="76"/>
  <c r="BF655" i="76"/>
  <c r="BD568" i="76"/>
  <c r="BF679" i="76"/>
  <c r="BC586" i="76"/>
  <c r="Y251" i="76"/>
  <c r="U563" i="76"/>
  <c r="BC677" i="76"/>
  <c r="X335" i="76"/>
  <c r="W1066" i="76"/>
  <c r="X699" i="76"/>
  <c r="X582" i="76"/>
  <c r="X441" i="76"/>
  <c r="W728" i="76"/>
  <c r="BE408" i="76"/>
  <c r="BA69" i="76"/>
  <c r="BC296" i="76"/>
  <c r="W655" i="76"/>
  <c r="BE294" i="76"/>
  <c r="X558" i="76"/>
  <c r="V611" i="76"/>
  <c r="U920" i="76"/>
  <c r="BB924" i="76"/>
  <c r="X157" i="76"/>
  <c r="BC1025" i="76"/>
  <c r="X1012" i="76"/>
  <c r="BB535" i="76"/>
  <c r="BA87" i="76"/>
  <c r="BC965" i="76"/>
  <c r="X481" i="76"/>
  <c r="BE963" i="76"/>
  <c r="Y758" i="76"/>
  <c r="Y316" i="76"/>
  <c r="BF788" i="76"/>
  <c r="Y1060" i="76"/>
  <c r="BE828" i="76"/>
  <c r="U793" i="76"/>
  <c r="BF748" i="76"/>
  <c r="V432" i="76"/>
  <c r="Y928" i="76"/>
  <c r="U861" i="76"/>
  <c r="BE128" i="76"/>
  <c r="Y156" i="76"/>
  <c r="Y380" i="76"/>
  <c r="BE291" i="76"/>
  <c r="BE819" i="76"/>
  <c r="BE730" i="76"/>
  <c r="W395" i="76"/>
  <c r="BF130" i="76"/>
  <c r="T687" i="76"/>
  <c r="U674" i="76"/>
  <c r="V214" i="76"/>
  <c r="Y754" i="76"/>
  <c r="BB861" i="76"/>
  <c r="BB434" i="76"/>
  <c r="BB816" i="76"/>
  <c r="BF190" i="76"/>
  <c r="BC532" i="76"/>
  <c r="U908" i="76"/>
  <c r="X447" i="76"/>
  <c r="BF740" i="76"/>
  <c r="W302" i="76"/>
  <c r="BD777" i="76"/>
  <c r="BC351" i="76"/>
  <c r="Y433" i="76"/>
  <c r="X927" i="76"/>
  <c r="BB316" i="76"/>
  <c r="BE572" i="76"/>
  <c r="BA547" i="76"/>
  <c r="Y150" i="76"/>
  <c r="T173" i="76"/>
  <c r="BB374" i="76"/>
  <c r="BE799" i="76"/>
  <c r="BE449" i="76"/>
  <c r="X349" i="76"/>
  <c r="X594" i="76"/>
  <c r="T370" i="76"/>
  <c r="T437" i="76"/>
  <c r="X402" i="76"/>
  <c r="BA789" i="76"/>
  <c r="BE1043" i="76"/>
  <c r="BA415" i="76"/>
  <c r="BA892" i="76"/>
  <c r="BA292" i="76"/>
  <c r="BD1029" i="76"/>
  <c r="BC799" i="76"/>
  <c r="X604" i="76"/>
  <c r="W955" i="76"/>
  <c r="T852" i="76"/>
  <c r="BB375" i="76"/>
  <c r="BD738" i="76"/>
  <c r="W925" i="76"/>
  <c r="V291" i="76"/>
  <c r="BF999" i="76"/>
  <c r="BF229" i="76"/>
  <c r="BC1008" i="76"/>
  <c r="BC995" i="76"/>
  <c r="BA1016" i="76"/>
  <c r="BE1038" i="76"/>
  <c r="BE183" i="76"/>
  <c r="BF947" i="76"/>
  <c r="BF151" i="76"/>
  <c r="U320" i="76"/>
  <c r="W339" i="76"/>
  <c r="Y265" i="76"/>
  <c r="W249" i="76"/>
  <c r="BE1035" i="76"/>
  <c r="U771" i="76"/>
  <c r="Y824" i="76"/>
  <c r="W527" i="76"/>
  <c r="BE1028" i="76"/>
  <c r="V185" i="76"/>
  <c r="X515" i="76"/>
  <c r="Y605" i="76"/>
  <c r="X123" i="76"/>
  <c r="BB699" i="76"/>
  <c r="BE76" i="76"/>
  <c r="BF607" i="76"/>
  <c r="BD776" i="76"/>
  <c r="BF170" i="76"/>
  <c r="BD118" i="76"/>
  <c r="BE965" i="76"/>
  <c r="BD842" i="76"/>
  <c r="BE233" i="76"/>
  <c r="X76" i="76"/>
  <c r="BD447" i="76"/>
  <c r="BE258" i="76"/>
  <c r="Y519" i="76"/>
  <c r="T482" i="76"/>
  <c r="BF901" i="76"/>
  <c r="U118" i="76"/>
  <c r="BE246" i="76"/>
  <c r="BA183" i="76"/>
  <c r="BC194" i="76"/>
  <c r="BA247" i="76"/>
  <c r="U1067" i="76"/>
  <c r="V257" i="76"/>
  <c r="BE705" i="76"/>
  <c r="W94" i="76"/>
  <c r="Y207" i="76"/>
  <c r="W216" i="76"/>
  <c r="BA918" i="76"/>
  <c r="W742" i="76"/>
  <c r="U953" i="76"/>
  <c r="Y610" i="76"/>
  <c r="W807" i="76"/>
  <c r="X812" i="76"/>
  <c r="V1047" i="76"/>
  <c r="T780" i="76"/>
  <c r="BD282" i="76"/>
  <c r="BA546" i="76"/>
  <c r="BA529" i="76"/>
  <c r="BB525" i="76"/>
  <c r="BF1032" i="76"/>
  <c r="BF198" i="76"/>
  <c r="BD239" i="76"/>
  <c r="X224" i="76"/>
  <c r="BC69" i="76"/>
  <c r="W685" i="76"/>
  <c r="BB997" i="76"/>
  <c r="BB439" i="76"/>
  <c r="BF228" i="76"/>
  <c r="BC655" i="76"/>
  <c r="BB689" i="76"/>
  <c r="U660" i="76"/>
  <c r="V576" i="76"/>
  <c r="X327" i="76"/>
  <c r="BF409" i="76"/>
  <c r="BE684" i="76"/>
  <c r="BE773" i="76"/>
  <c r="BE373" i="76"/>
  <c r="BD998" i="76"/>
  <c r="BD1053" i="76"/>
  <c r="BB906" i="76"/>
  <c r="BC917" i="76"/>
  <c r="BE928" i="76"/>
  <c r="BF116" i="76"/>
  <c r="BD315" i="76"/>
  <c r="BB208" i="76"/>
  <c r="W143" i="76"/>
  <c r="BA756" i="76"/>
  <c r="BA725" i="76"/>
  <c r="BF117" i="76"/>
  <c r="W433" i="76"/>
  <c r="T412" i="76"/>
  <c r="V866" i="76"/>
  <c r="Y854" i="76"/>
  <c r="BC238" i="76"/>
  <c r="T880" i="76"/>
  <c r="BE950" i="76"/>
  <c r="BF323" i="76"/>
  <c r="Y254" i="76"/>
  <c r="BE917" i="76"/>
  <c r="Y939" i="76"/>
  <c r="BB102" i="76"/>
  <c r="T366" i="76"/>
  <c r="BD898" i="76"/>
  <c r="BB1009" i="76"/>
  <c r="T1026" i="76"/>
  <c r="V915" i="76"/>
  <c r="BE485" i="76"/>
  <c r="BC792" i="76"/>
  <c r="BF564" i="76"/>
  <c r="BD147" i="76"/>
  <c r="BD80" i="76"/>
  <c r="BA289" i="76"/>
  <c r="BE429" i="76"/>
  <c r="Y461" i="76"/>
  <c r="X137" i="76"/>
  <c r="X681" i="76"/>
  <c r="BF987" i="76"/>
  <c r="W441" i="76"/>
  <c r="BE437" i="76"/>
  <c r="Y284" i="76"/>
  <c r="Y431" i="76"/>
  <c r="U246" i="76"/>
  <c r="Y448" i="76"/>
  <c r="W975" i="76"/>
  <c r="W263" i="76"/>
  <c r="BE896" i="76"/>
  <c r="W315" i="76"/>
  <c r="W524" i="76"/>
  <c r="BE85" i="76"/>
  <c r="BB1017" i="76"/>
  <c r="BA869" i="76"/>
  <c r="BA186" i="76"/>
  <c r="BE846" i="76"/>
  <c r="BA804" i="76"/>
  <c r="Y257" i="76"/>
  <c r="BD920" i="76"/>
  <c r="BD365" i="76"/>
  <c r="BC96" i="76"/>
  <c r="BC733" i="76"/>
  <c r="BB899" i="76"/>
  <c r="BB729" i="76"/>
  <c r="BB803" i="76"/>
  <c r="W950" i="76"/>
  <c r="BE568" i="76"/>
  <c r="Y506" i="76"/>
  <c r="U786" i="76"/>
  <c r="BA506" i="76"/>
  <c r="Y697" i="76"/>
  <c r="U115" i="76"/>
  <c r="X842" i="76"/>
  <c r="Y324" i="76"/>
  <c r="BD926" i="76"/>
  <c r="BB1063" i="76"/>
  <c r="U787" i="76"/>
  <c r="BF1053" i="76"/>
  <c r="T416" i="76"/>
  <c r="Y138" i="76"/>
  <c r="BF852" i="76"/>
  <c r="U121" i="76"/>
  <c r="BD980" i="76"/>
  <c r="BB1001" i="76"/>
  <c r="BF1023" i="76"/>
  <c r="BB589" i="76"/>
  <c r="BD943" i="76"/>
  <c r="BD595" i="76"/>
  <c r="BF275" i="76"/>
  <c r="BE111" i="76"/>
  <c r="BC398" i="76"/>
  <c r="BE525" i="76"/>
  <c r="T429" i="76"/>
  <c r="U1023" i="76"/>
  <c r="U870" i="76"/>
  <c r="BD304" i="76"/>
  <c r="T594" i="76"/>
  <c r="Y315" i="76"/>
  <c r="BF695" i="76"/>
  <c r="V319" i="76"/>
  <c r="V200" i="76"/>
  <c r="BE844" i="76"/>
  <c r="BA268" i="76"/>
  <c r="BF369" i="76"/>
  <c r="BC664" i="76"/>
  <c r="BC477" i="76"/>
  <c r="X643" i="76"/>
  <c r="V524" i="76"/>
  <c r="BB612" i="76"/>
  <c r="BC749" i="76"/>
  <c r="BF775" i="76"/>
  <c r="T785" i="76"/>
  <c r="W478" i="76"/>
  <c r="V153" i="76"/>
  <c r="X641" i="76"/>
  <c r="Y512" i="76"/>
  <c r="U610" i="76"/>
  <c r="BF818" i="76"/>
  <c r="BA526" i="76"/>
  <c r="BE162" i="76"/>
  <c r="BB561" i="76"/>
  <c r="T488" i="76"/>
  <c r="T769" i="76"/>
  <c r="T448" i="76"/>
  <c r="V499" i="76"/>
  <c r="U566" i="76"/>
  <c r="T725" i="76"/>
  <c r="Y671" i="76"/>
  <c r="T224" i="76"/>
  <c r="BF378" i="76"/>
  <c r="W210" i="76"/>
  <c r="BC311" i="76"/>
  <c r="BD421" i="76"/>
  <c r="Y322" i="76"/>
  <c r="T659" i="76"/>
  <c r="BD396" i="76"/>
  <c r="U740" i="76"/>
  <c r="BE587" i="76"/>
  <c r="X379" i="76"/>
  <c r="X443" i="76"/>
  <c r="BF1017" i="76"/>
  <c r="Y1033" i="76"/>
  <c r="BB778" i="76"/>
  <c r="BB219" i="76"/>
  <c r="Y695" i="76"/>
  <c r="BE733" i="76"/>
  <c r="V1055" i="76"/>
  <c r="V170" i="76"/>
  <c r="X274" i="76"/>
  <c r="BC344" i="76"/>
  <c r="X343" i="76"/>
  <c r="T463" i="76"/>
  <c r="X549" i="76"/>
  <c r="Y277" i="76"/>
  <c r="W507" i="76"/>
  <c r="U854" i="76"/>
  <c r="BE895" i="76"/>
  <c r="X627" i="76"/>
  <c r="U844" i="76"/>
  <c r="BB291" i="76"/>
  <c r="Y756" i="76"/>
  <c r="BE692" i="76"/>
  <c r="X624" i="76"/>
  <c r="W953" i="76"/>
  <c r="BF617" i="76"/>
  <c r="BA510" i="76"/>
  <c r="BF431" i="76"/>
  <c r="BA422" i="76"/>
  <c r="BF257" i="76"/>
  <c r="V453" i="76"/>
  <c r="T922" i="76"/>
  <c r="T312" i="76"/>
  <c r="Y1012" i="76"/>
  <c r="V646" i="76"/>
  <c r="BB620" i="76"/>
  <c r="BE805" i="76"/>
  <c r="T236" i="76"/>
  <c r="W598" i="76"/>
  <c r="V180" i="76"/>
  <c r="BD718" i="76"/>
  <c r="U775" i="76"/>
  <c r="T187" i="76"/>
  <c r="X209" i="76"/>
  <c r="V230" i="76"/>
  <c r="BA381" i="76"/>
  <c r="BB113" i="76"/>
  <c r="BB139" i="76"/>
  <c r="BF922" i="76"/>
  <c r="BC489" i="76"/>
  <c r="X71" i="76"/>
  <c r="BE95" i="76"/>
  <c r="BF659" i="76"/>
  <c r="Y1030" i="76"/>
  <c r="T817" i="76"/>
  <c r="T810" i="76"/>
  <c r="BA972" i="76"/>
  <c r="X528" i="76"/>
  <c r="V745" i="76"/>
  <c r="V907" i="76"/>
  <c r="W199" i="76"/>
  <c r="T228" i="76"/>
  <c r="BB461" i="76"/>
  <c r="BD521" i="76"/>
  <c r="BF608" i="76"/>
  <c r="BB690" i="76"/>
  <c r="T266" i="76"/>
  <c r="BB972" i="76"/>
  <c r="BE731" i="76"/>
  <c r="BF871" i="76"/>
  <c r="V122" i="76"/>
  <c r="BA887" i="76"/>
  <c r="BC381" i="76"/>
  <c r="BE268" i="76"/>
  <c r="V944" i="76"/>
  <c r="BF1065" i="76"/>
  <c r="Y710" i="76"/>
  <c r="BB357" i="76"/>
  <c r="Y472" i="76"/>
  <c r="V503" i="76"/>
  <c r="T227" i="76"/>
  <c r="BF882" i="76"/>
  <c r="W440" i="76"/>
  <c r="U518" i="76"/>
  <c r="BE524" i="76"/>
  <c r="BA366" i="76"/>
  <c r="BC263" i="76"/>
  <c r="BB792" i="76"/>
  <c r="BE901" i="76"/>
  <c r="W733" i="76"/>
  <c r="Y860" i="76"/>
  <c r="Y970" i="76"/>
  <c r="BA618" i="76"/>
  <c r="BA190" i="76"/>
  <c r="BE648" i="76"/>
  <c r="BA776" i="76"/>
  <c r="BE122" i="76"/>
  <c r="BF227" i="76"/>
  <c r="BE105" i="76"/>
  <c r="BE296" i="76"/>
  <c r="BC317" i="76"/>
  <c r="BA338" i="76"/>
  <c r="BB662" i="76"/>
  <c r="U549" i="76"/>
  <c r="BE621" i="76"/>
  <c r="W266" i="76"/>
  <c r="BC818" i="76"/>
  <c r="BF877" i="76"/>
  <c r="BA561" i="76"/>
  <c r="BA628" i="76"/>
  <c r="W908" i="76"/>
  <c r="T988" i="76"/>
  <c r="T826" i="76"/>
  <c r="BE352" i="76"/>
  <c r="BC823" i="76"/>
  <c r="U195" i="76"/>
  <c r="BF485" i="76"/>
  <c r="BD1038" i="76"/>
  <c r="V451" i="76"/>
  <c r="U760" i="76"/>
  <c r="T909" i="76"/>
  <c r="V661" i="76"/>
  <c r="BC148" i="76"/>
  <c r="W580" i="76"/>
  <c r="V755" i="76"/>
  <c r="BB497" i="76"/>
  <c r="X570" i="76"/>
  <c r="BE916" i="76"/>
  <c r="V265" i="76"/>
  <c r="U907" i="76"/>
  <c r="T1058" i="76"/>
  <c r="Y283" i="76"/>
  <c r="BA911" i="76"/>
  <c r="BD956" i="76"/>
  <c r="BF131" i="76"/>
  <c r="W259" i="76"/>
  <c r="X908" i="76"/>
  <c r="U696" i="76"/>
  <c r="BF169" i="76"/>
  <c r="BC601" i="76"/>
  <c r="Y400" i="76"/>
  <c r="T903" i="76"/>
  <c r="BB655" i="76"/>
  <c r="W239" i="76"/>
  <c r="BD231" i="76"/>
  <c r="BB757" i="76"/>
  <c r="BB708" i="76"/>
  <c r="BA446" i="76"/>
  <c r="BF972" i="76"/>
  <c r="BD468" i="76"/>
  <c r="BD851" i="76"/>
  <c r="BE491" i="76"/>
  <c r="BB71" i="76"/>
  <c r="BF970" i="76"/>
  <c r="BB198" i="76"/>
  <c r="BF194" i="76"/>
  <c r="U255" i="76"/>
  <c r="BD192" i="76"/>
  <c r="BE670" i="76"/>
  <c r="V183" i="76"/>
  <c r="X195" i="76"/>
  <c r="BB559" i="76"/>
  <c r="BA759" i="76"/>
  <c r="BE492" i="76"/>
  <c r="BB1039" i="76"/>
  <c r="BB155" i="76"/>
  <c r="BA181" i="76"/>
  <c r="BA885" i="76"/>
  <c r="BF507" i="76"/>
  <c r="U448" i="76"/>
  <c r="BC503" i="76"/>
  <c r="BD142" i="76"/>
  <c r="Y823" i="76"/>
  <c r="Y368" i="76"/>
  <c r="BA171" i="76"/>
  <c r="BA419" i="76"/>
  <c r="Y213" i="76"/>
  <c r="W859" i="76"/>
  <c r="T529" i="76"/>
  <c r="W549" i="76"/>
  <c r="Y764" i="76"/>
  <c r="BF82" i="76"/>
  <c r="X418" i="76"/>
  <c r="T647" i="76"/>
  <c r="Y204" i="76"/>
  <c r="Y627" i="76"/>
  <c r="BB79" i="76"/>
  <c r="W254" i="76"/>
  <c r="BE564" i="76"/>
  <c r="U1028" i="76"/>
  <c r="T635" i="76"/>
  <c r="V249" i="76"/>
  <c r="V481" i="76"/>
  <c r="U689" i="76"/>
  <c r="Y144" i="76"/>
  <c r="BE115" i="76"/>
  <c r="BF933" i="76"/>
  <c r="X531" i="76"/>
  <c r="U636" i="76"/>
  <c r="X717" i="76"/>
  <c r="X792" i="76"/>
  <c r="V562" i="76"/>
  <c r="X941" i="76"/>
  <c r="X112" i="76"/>
  <c r="BB86" i="76"/>
  <c r="BD1022" i="76"/>
  <c r="V774" i="76"/>
  <c r="BF474" i="76"/>
  <c r="W223" i="76"/>
  <c r="U226" i="76"/>
  <c r="W767" i="76"/>
  <c r="X860" i="76"/>
  <c r="Y346" i="76"/>
  <c r="BD512" i="76"/>
  <c r="BF692" i="76"/>
  <c r="BE260" i="76"/>
  <c r="BD537" i="76"/>
  <c r="BC81" i="76"/>
  <c r="BC714" i="76"/>
  <c r="BC930" i="76"/>
  <c r="BE938" i="76"/>
  <c r="BA991" i="76"/>
  <c r="BF841" i="76"/>
  <c r="T82" i="76"/>
  <c r="BB598" i="76"/>
  <c r="BF736" i="76"/>
  <c r="BB604" i="76"/>
  <c r="V865" i="76"/>
  <c r="BF744" i="76"/>
  <c r="BA286" i="76"/>
  <c r="U548" i="76"/>
  <c r="V187" i="76"/>
  <c r="BE152" i="76"/>
  <c r="BB300" i="76"/>
  <c r="T703" i="76"/>
  <c r="BC254" i="76"/>
  <c r="U92" i="76"/>
  <c r="BC826" i="76"/>
  <c r="BE571" i="76"/>
  <c r="BE910" i="76"/>
  <c r="BB199" i="76"/>
  <c r="BF221" i="76"/>
  <c r="BD242" i="76"/>
  <c r="BF912" i="76"/>
  <c r="Y819" i="76"/>
  <c r="BF287" i="76"/>
  <c r="W513" i="76"/>
  <c r="T179" i="76"/>
  <c r="BC722" i="76"/>
  <c r="BA309" i="76"/>
  <c r="BC94" i="76"/>
  <c r="V188" i="76"/>
  <c r="X113" i="76"/>
  <c r="X839" i="76"/>
  <c r="BF804" i="76"/>
  <c r="BE718" i="76"/>
  <c r="BE782" i="76"/>
  <c r="BD891" i="76"/>
  <c r="BC1020" i="76"/>
  <c r="BF725" i="76"/>
  <c r="BC252" i="76"/>
  <c r="V1022" i="76"/>
  <c r="BF637" i="76"/>
  <c r="X680" i="76"/>
  <c r="Y779" i="76"/>
  <c r="BB926" i="76"/>
  <c r="U168" i="76"/>
  <c r="BB560" i="76"/>
  <c r="U487" i="76"/>
  <c r="V82" i="76"/>
  <c r="W477" i="76"/>
  <c r="V811" i="76"/>
  <c r="Y961" i="76"/>
  <c r="V121" i="76"/>
  <c r="V949" i="76"/>
  <c r="BE460" i="76"/>
  <c r="BE317" i="76"/>
  <c r="X1031" i="76"/>
  <c r="BE170" i="76"/>
  <c r="Y803" i="76"/>
  <c r="W1065" i="76"/>
  <c r="X288" i="76"/>
  <c r="BC250" i="76"/>
  <c r="BA848" i="76"/>
  <c r="BC688" i="76"/>
  <c r="BF964" i="76"/>
  <c r="Y426" i="76"/>
  <c r="BD636" i="76"/>
  <c r="BA944" i="76"/>
  <c r="BA933" i="76"/>
  <c r="U1061" i="76"/>
  <c r="BC687" i="76"/>
  <c r="BD1031" i="76"/>
  <c r="U330" i="76"/>
  <c r="T897" i="76"/>
  <c r="U228" i="76"/>
  <c r="BB1022" i="76"/>
  <c r="V858" i="76"/>
  <c r="V819" i="76"/>
  <c r="X869" i="76"/>
  <c r="T933" i="76"/>
  <c r="X670" i="76"/>
  <c r="Y296" i="76"/>
  <c r="BB1005" i="76"/>
  <c r="BA255" i="76"/>
  <c r="BF1027" i="76"/>
  <c r="Y216" i="76"/>
  <c r="BB289" i="76"/>
  <c r="BE630" i="76"/>
  <c r="BC921" i="76"/>
  <c r="U717" i="76"/>
  <c r="V751" i="76"/>
  <c r="X77" i="76"/>
  <c r="V958" i="76"/>
  <c r="BE87" i="76"/>
  <c r="BA474" i="76"/>
  <c r="X460" i="76"/>
  <c r="V229" i="76"/>
  <c r="BA452" i="76"/>
  <c r="BE837" i="76"/>
  <c r="BA915" i="76"/>
  <c r="BA847" i="76"/>
  <c r="BC73" i="76"/>
  <c r="X769" i="76"/>
  <c r="BF623" i="76"/>
  <c r="T338" i="76"/>
  <c r="BD744" i="76"/>
  <c r="X344" i="76"/>
  <c r="T172" i="76"/>
  <c r="BC715" i="76"/>
  <c r="V971" i="76"/>
  <c r="T139" i="76"/>
  <c r="BE631" i="76"/>
  <c r="V340" i="76"/>
  <c r="BD277" i="76"/>
  <c r="BE288" i="76"/>
  <c r="BC373" i="76"/>
  <c r="U319" i="76"/>
  <c r="U229" i="76"/>
  <c r="BE826" i="76"/>
  <c r="BC682" i="76"/>
  <c r="BC947" i="76"/>
  <c r="BB581" i="76"/>
  <c r="BF527" i="76"/>
  <c r="BA860" i="76"/>
  <c r="Y1023" i="76"/>
  <c r="T783" i="76"/>
  <c r="W1013" i="76"/>
  <c r="BC459" i="76"/>
  <c r="BF642" i="76"/>
  <c r="BC301" i="76"/>
  <c r="BA393" i="76"/>
  <c r="BA616" i="76"/>
  <c r="BB738" i="76"/>
  <c r="BD995" i="76"/>
  <c r="BD935" i="76"/>
  <c r="BA956" i="76"/>
  <c r="BE978" i="76"/>
  <c r="V193" i="76"/>
  <c r="BB267" i="76"/>
  <c r="U89" i="76"/>
  <c r="BB847" i="76"/>
  <c r="V239" i="76"/>
  <c r="BF266" i="76"/>
  <c r="BF260" i="76"/>
  <c r="BB834" i="76"/>
  <c r="X630" i="76"/>
  <c r="BE75" i="76"/>
  <c r="BF684" i="76"/>
  <c r="Y320" i="76"/>
  <c r="BD336" i="76"/>
  <c r="T821" i="76"/>
  <c r="Y165" i="76"/>
  <c r="BD153" i="76"/>
  <c r="BB794" i="76"/>
  <c r="BD428" i="76"/>
  <c r="BF439" i="76"/>
  <c r="BB492" i="76"/>
  <c r="V415" i="76"/>
  <c r="BD582" i="76"/>
  <c r="BA91" i="76"/>
  <c r="BE1067" i="76"/>
  <c r="BB549" i="76"/>
  <c r="T995" i="76"/>
  <c r="BC581" i="76"/>
  <c r="T96" i="76"/>
  <c r="T885" i="76"/>
  <c r="V342" i="76"/>
  <c r="BA371" i="76"/>
  <c r="W472" i="76"/>
  <c r="BD683" i="76"/>
  <c r="Y997" i="76"/>
  <c r="X1005" i="76"/>
  <c r="BA114" i="76"/>
  <c r="BD658" i="76"/>
  <c r="BC643" i="76"/>
  <c r="X419" i="76"/>
  <c r="BE156" i="76"/>
  <c r="Y416" i="76"/>
  <c r="W851" i="76"/>
  <c r="BA334" i="76"/>
  <c r="BE221" i="76"/>
  <c r="BF820" i="76"/>
  <c r="BB444" i="76"/>
  <c r="BF917" i="76"/>
  <c r="BC455" i="76"/>
  <c r="BD978" i="76"/>
  <c r="BE466" i="76"/>
  <c r="BC1057" i="76"/>
  <c r="BB248" i="76"/>
  <c r="BB955" i="76"/>
  <c r="BE500" i="76"/>
  <c r="BE247" i="76"/>
  <c r="V114" i="76"/>
  <c r="W366" i="76"/>
  <c r="BD375" i="76"/>
  <c r="BC442" i="76"/>
  <c r="BB959" i="76"/>
  <c r="BE541" i="76"/>
  <c r="BA394" i="76"/>
  <c r="BB702" i="76"/>
  <c r="BC536" i="76"/>
  <c r="BA750" i="76"/>
  <c r="T86" i="76"/>
  <c r="BE1009" i="76"/>
  <c r="W765" i="76"/>
  <c r="U287" i="76"/>
  <c r="W194" i="76"/>
  <c r="W294" i="76"/>
  <c r="W861" i="76"/>
  <c r="X772" i="76"/>
  <c r="Y447" i="76"/>
  <c r="BD1054" i="76"/>
  <c r="BF978" i="76"/>
  <c r="T473" i="76"/>
  <c r="V83" i="76"/>
  <c r="X417" i="76"/>
  <c r="BF222" i="76"/>
  <c r="BF533" i="76"/>
  <c r="W186" i="76"/>
  <c r="BC534" i="76"/>
  <c r="BF374" i="76"/>
  <c r="T917" i="76"/>
  <c r="T864" i="76"/>
  <c r="U261" i="76"/>
  <c r="Y725" i="76"/>
  <c r="X817" i="76"/>
  <c r="Y752" i="76"/>
  <c r="BA165" i="76"/>
  <c r="BB112" i="76"/>
  <c r="BC720" i="76"/>
  <c r="BB179" i="76"/>
  <c r="BA573" i="76"/>
  <c r="BB574" i="76"/>
  <c r="BF658" i="76"/>
  <c r="BD855" i="76"/>
  <c r="BC888" i="76"/>
  <c r="BD953" i="76"/>
  <c r="U505" i="76"/>
  <c r="V724" i="76"/>
  <c r="U349" i="76"/>
  <c r="BA329" i="76"/>
  <c r="BB1053" i="76"/>
  <c r="W756" i="76"/>
  <c r="BF410" i="76"/>
  <c r="T997" i="76"/>
  <c r="W87" i="76"/>
  <c r="BC752" i="76"/>
  <c r="BB331" i="76"/>
  <c r="W137" i="76"/>
  <c r="BF697" i="76"/>
  <c r="U602" i="76"/>
  <c r="U506" i="76"/>
  <c r="BD514" i="76"/>
  <c r="BA217" i="76"/>
  <c r="BD334" i="76"/>
  <c r="BF357" i="76"/>
  <c r="BD460" i="76"/>
  <c r="X156" i="76"/>
  <c r="BC781" i="76"/>
  <c r="BC815" i="76"/>
  <c r="V1035" i="76"/>
  <c r="BE327" i="76"/>
  <c r="Y266" i="76"/>
  <c r="BA252" i="76"/>
  <c r="BF786" i="76"/>
  <c r="Y578" i="76"/>
  <c r="V594" i="76"/>
  <c r="BB226" i="76"/>
  <c r="BC281" i="76"/>
  <c r="V147" i="76"/>
  <c r="V176" i="76"/>
  <c r="BF724" i="76"/>
  <c r="V501" i="76"/>
  <c r="V245" i="76"/>
  <c r="Y132" i="76"/>
  <c r="T486" i="76"/>
  <c r="W668" i="76"/>
  <c r="X84" i="76"/>
  <c r="BF1057" i="76"/>
  <c r="V806" i="76"/>
  <c r="BD453" i="76"/>
  <c r="BD983" i="76"/>
  <c r="BC202" i="76"/>
  <c r="BB1030" i="76"/>
  <c r="Y553" i="76"/>
  <c r="BD489" i="76"/>
  <c r="W834" i="76"/>
  <c r="BD631" i="76"/>
  <c r="BD991" i="76"/>
  <c r="BA700" i="76"/>
  <c r="BF481" i="76"/>
  <c r="BE989" i="76"/>
  <c r="BB511" i="76"/>
  <c r="BD459" i="76"/>
  <c r="BF110" i="76"/>
  <c r="BF72" i="76"/>
  <c r="BB768" i="76"/>
  <c r="BB1006" i="76"/>
  <c r="V1025" i="76"/>
  <c r="BD703" i="76"/>
  <c r="V935" i="76"/>
  <c r="BC524" i="76"/>
  <c r="T243" i="76"/>
  <c r="V575" i="76"/>
  <c r="W229" i="76"/>
  <c r="BC470" i="76"/>
  <c r="BF416" i="76"/>
  <c r="BB92" i="76"/>
  <c r="BD159" i="76"/>
  <c r="U679" i="76"/>
  <c r="U243" i="76"/>
  <c r="BD712" i="76"/>
  <c r="X694" i="76"/>
  <c r="BE995" i="76"/>
  <c r="BB523" i="76"/>
  <c r="BC713" i="76"/>
  <c r="X918" i="76"/>
  <c r="BB916" i="76"/>
  <c r="BA142" i="76"/>
  <c r="BA396" i="76"/>
  <c r="BA207" i="76"/>
  <c r="Y998" i="76"/>
  <c r="U794" i="76"/>
  <c r="V655" i="76"/>
  <c r="X149" i="76"/>
  <c r="W531" i="76"/>
  <c r="Y587" i="76"/>
  <c r="BF746" i="76"/>
  <c r="BA674" i="76"/>
  <c r="BF145" i="76"/>
  <c r="BF437" i="76"/>
  <c r="T544" i="76"/>
  <c r="X880" i="76"/>
  <c r="V940" i="76"/>
  <c r="Y884" i="76"/>
  <c r="V1008" i="76"/>
  <c r="BD764" i="76"/>
  <c r="BB177" i="76"/>
  <c r="BC359" i="76"/>
  <c r="BB763" i="76"/>
  <c r="T547" i="76"/>
  <c r="BE594" i="76"/>
  <c r="BD922" i="76"/>
  <c r="BF880" i="76"/>
  <c r="W988" i="76"/>
  <c r="BC1021" i="76"/>
  <c r="T942" i="76"/>
  <c r="BF771" i="76"/>
  <c r="BF355" i="76"/>
  <c r="BA635" i="76"/>
  <c r="BC235" i="76"/>
  <c r="BE815" i="76"/>
  <c r="W1009" i="76"/>
  <c r="BD115" i="76"/>
  <c r="BD151" i="76"/>
  <c r="BE227" i="76"/>
  <c r="W618" i="76"/>
  <c r="BB903" i="76"/>
  <c r="BA958" i="76"/>
  <c r="BD139" i="76"/>
  <c r="W354" i="76"/>
  <c r="Y93" i="76"/>
  <c r="V91" i="76"/>
  <c r="Y159" i="76"/>
  <c r="U619" i="76"/>
  <c r="BB908" i="76"/>
  <c r="W138" i="76"/>
  <c r="X109" i="76"/>
  <c r="U917" i="76"/>
  <c r="Y703" i="76"/>
  <c r="W242" i="76"/>
  <c r="U263" i="76"/>
  <c r="BF92" i="76"/>
  <c r="BE1052" i="76"/>
  <c r="BF512" i="76"/>
  <c r="BE77" i="76"/>
  <c r="BB918" i="76"/>
  <c r="T525" i="76"/>
  <c r="U82" i="76"/>
  <c r="BE1060" i="76"/>
  <c r="T925" i="76"/>
  <c r="BD566" i="76"/>
  <c r="BA460" i="76"/>
  <c r="X951" i="76"/>
  <c r="T248" i="76"/>
  <c r="BB929" i="76"/>
  <c r="BA829" i="76"/>
  <c r="T675" i="76"/>
  <c r="X1038" i="76"/>
  <c r="BD232" i="76"/>
  <c r="BE390" i="76"/>
  <c r="BE322" i="76"/>
  <c r="U691" i="76"/>
  <c r="BA509" i="76"/>
  <c r="BB328" i="76"/>
  <c r="BE981" i="76"/>
  <c r="BB132" i="76"/>
  <c r="U611" i="76"/>
  <c r="U894" i="76"/>
  <c r="U399" i="76"/>
  <c r="X1066" i="76"/>
  <c r="Y742" i="76"/>
  <c r="BB976" i="76"/>
  <c r="BF888" i="76"/>
  <c r="W185" i="76"/>
  <c r="T270" i="76"/>
  <c r="BD823" i="76"/>
  <c r="Y812" i="76"/>
  <c r="T202" i="76"/>
  <c r="V517" i="76"/>
  <c r="W473" i="76"/>
  <c r="X502" i="76"/>
  <c r="W533" i="76"/>
  <c r="U820" i="76"/>
  <c r="BC957" i="76"/>
  <c r="BF957" i="76"/>
  <c r="BA970" i="76"/>
  <c r="X487" i="76"/>
  <c r="W788" i="76"/>
  <c r="T834" i="76"/>
  <c r="BA1000" i="76"/>
  <c r="Y630" i="76"/>
  <c r="W842" i="76"/>
  <c r="W422" i="76"/>
  <c r="X982" i="76"/>
  <c r="T951" i="76"/>
  <c r="BC1058" i="76"/>
  <c r="BC717" i="76"/>
  <c r="Y311" i="76"/>
  <c r="BF708" i="76"/>
  <c r="W84" i="76"/>
  <c r="X1014" i="76"/>
  <c r="BC746" i="76"/>
  <c r="V721" i="76"/>
  <c r="BE93" i="76"/>
  <c r="X1051" i="76"/>
  <c r="T718" i="76"/>
  <c r="BD504" i="76"/>
  <c r="Y559" i="76"/>
  <c r="BB673" i="76"/>
  <c r="X611" i="76"/>
  <c r="BA426" i="76"/>
  <c r="Y715" i="76"/>
  <c r="BF963" i="76"/>
  <c r="V422" i="76"/>
  <c r="X455" i="76"/>
  <c r="BF517" i="76"/>
  <c r="BA229" i="76"/>
  <c r="BD1039" i="76"/>
  <c r="BC612" i="76"/>
  <c r="W638" i="76"/>
  <c r="Y230" i="76"/>
  <c r="BA640" i="76"/>
  <c r="BA906" i="76"/>
  <c r="BE367" i="76"/>
  <c r="T326" i="76"/>
  <c r="Y397" i="76"/>
  <c r="Y141" i="76"/>
  <c r="BA237" i="76"/>
  <c r="X562" i="76"/>
  <c r="V712" i="76"/>
  <c r="W550" i="76"/>
  <c r="BD624" i="76"/>
  <c r="BE551" i="76"/>
  <c r="BA90" i="76"/>
  <c r="BD94" i="76"/>
  <c r="BD405" i="76"/>
  <c r="BA226" i="76"/>
  <c r="BD487" i="76"/>
  <c r="BD679" i="76"/>
  <c r="BB700" i="76"/>
  <c r="BF722" i="76"/>
  <c r="Y394" i="76"/>
  <c r="T356" i="76"/>
  <c r="T458" i="76"/>
  <c r="BC685" i="76"/>
  <c r="BE614" i="76"/>
  <c r="W555" i="76"/>
  <c r="BA792" i="76"/>
  <c r="V695" i="76"/>
  <c r="BB886" i="76"/>
  <c r="BF114" i="76"/>
  <c r="BC541" i="76"/>
  <c r="BF975" i="76"/>
  <c r="BC953" i="76"/>
  <c r="T259" i="76"/>
  <c r="W353" i="76"/>
  <c r="BA536" i="76"/>
  <c r="BE948" i="76"/>
  <c r="BA689" i="76"/>
  <c r="BD848" i="76"/>
  <c r="BE862" i="76"/>
  <c r="BC614" i="76"/>
  <c r="BC200" i="76"/>
  <c r="BD500" i="76"/>
  <c r="BF596" i="76"/>
  <c r="V964" i="76"/>
  <c r="BE102" i="76"/>
  <c r="X864" i="76"/>
  <c r="T423" i="76"/>
  <c r="W970" i="76"/>
  <c r="U384" i="76"/>
  <c r="BC695" i="76"/>
  <c r="BE750" i="76"/>
  <c r="X720" i="76"/>
  <c r="BF469" i="76"/>
  <c r="X811" i="76"/>
  <c r="W350" i="76"/>
  <c r="BD829" i="76"/>
  <c r="BA964" i="76"/>
  <c r="Y360" i="76"/>
  <c r="V99" i="76"/>
  <c r="Y189" i="76"/>
  <c r="BB872" i="76"/>
  <c r="BB234" i="76"/>
  <c r="BB594" i="76"/>
  <c r="BC563" i="76"/>
  <c r="BE985" i="76"/>
  <c r="BD763" i="76"/>
  <c r="BF150" i="76"/>
  <c r="V1018" i="76"/>
  <c r="X726" i="76"/>
  <c r="X724" i="76"/>
  <c r="BB1041" i="76"/>
  <c r="U483" i="76"/>
  <c r="U615" i="76"/>
  <c r="BA193" i="76"/>
  <c r="U899" i="76"/>
  <c r="U513" i="76"/>
  <c r="BD342" i="76"/>
  <c r="BC788" i="76"/>
  <c r="BF810" i="76"/>
  <c r="BB828" i="76"/>
  <c r="X134" i="76"/>
  <c r="BB321" i="76"/>
  <c r="BE445" i="76"/>
  <c r="Y581" i="76"/>
  <c r="BB369" i="76"/>
  <c r="BB343" i="76"/>
  <c r="BD838" i="76"/>
  <c r="BF755" i="76"/>
  <c r="V743" i="76"/>
  <c r="BD1008" i="76"/>
  <c r="X542" i="76"/>
  <c r="BB451" i="76"/>
  <c r="BE281" i="76"/>
  <c r="BA728" i="76"/>
  <c r="U860" i="76"/>
  <c r="BF363" i="76"/>
  <c r="BB881" i="76"/>
  <c r="BA779" i="76"/>
  <c r="BC611" i="76"/>
  <c r="X875" i="76"/>
  <c r="BA376" i="76"/>
  <c r="V847" i="76"/>
  <c r="BF949" i="76"/>
  <c r="BA971" i="76"/>
  <c r="BC337" i="76"/>
  <c r="U107" i="76"/>
  <c r="W649" i="76"/>
  <c r="BE751" i="76"/>
  <c r="BB630" i="76"/>
  <c r="U763" i="76"/>
  <c r="BA364" i="76"/>
  <c r="BE650" i="76"/>
  <c r="BD843" i="76"/>
  <c r="BB939" i="76"/>
  <c r="BA256" i="76"/>
  <c r="T946" i="76"/>
  <c r="T556" i="76"/>
  <c r="Y557" i="76"/>
  <c r="BB998" i="76"/>
  <c r="BC567" i="76"/>
  <c r="BF666" i="76"/>
  <c r="BC403" i="76"/>
  <c r="T403" i="76"/>
  <c r="T189" i="76"/>
  <c r="X819" i="76"/>
  <c r="X997" i="76"/>
  <c r="BB95" i="76"/>
  <c r="U242" i="76"/>
  <c r="BD870" i="76"/>
  <c r="T748" i="76"/>
  <c r="BA315" i="76"/>
  <c r="X554" i="76"/>
  <c r="BA408" i="76"/>
  <c r="BE231" i="76"/>
  <c r="U1031" i="76"/>
  <c r="BA711" i="76"/>
  <c r="BE586" i="76"/>
  <c r="BF99" i="76"/>
  <c r="BD835" i="76"/>
  <c r="BB802" i="76"/>
  <c r="BD761" i="76"/>
  <c r="Y301" i="76"/>
  <c r="BE921" i="76"/>
  <c r="V644" i="76"/>
  <c r="V930" i="76"/>
  <c r="BC298" i="76"/>
  <c r="BF530" i="76"/>
  <c r="U999" i="76"/>
  <c r="BF743" i="76"/>
  <c r="BC631" i="76"/>
  <c r="U1064" i="76"/>
  <c r="BB983" i="76"/>
  <c r="T293" i="76"/>
  <c r="V244" i="76"/>
  <c r="V939" i="76"/>
  <c r="T751" i="76"/>
  <c r="X676" i="76"/>
  <c r="V1024" i="76"/>
  <c r="BD654" i="76"/>
  <c r="BB149" i="76"/>
  <c r="BC558" i="76"/>
  <c r="BD687" i="76"/>
  <c r="BA954" i="76"/>
  <c r="BF258" i="76"/>
  <c r="U269" i="76"/>
  <c r="BD518" i="76"/>
  <c r="U396" i="76"/>
  <c r="BB210" i="76"/>
  <c r="U380" i="76"/>
  <c r="T561" i="76"/>
  <c r="T108" i="76"/>
  <c r="BB304" i="76"/>
  <c r="BC273" i="76"/>
  <c r="W1023" i="76"/>
  <c r="U424" i="76"/>
  <c r="W461" i="76"/>
  <c r="X262" i="76"/>
  <c r="U550" i="76"/>
  <c r="BB186" i="76"/>
  <c r="BB1062" i="76"/>
  <c r="BC429" i="76"/>
  <c r="BD253" i="76"/>
  <c r="BE1056" i="76"/>
  <c r="BF701" i="76"/>
  <c r="BF138" i="76"/>
  <c r="BE644" i="76"/>
  <c r="BF168" i="76"/>
  <c r="Y470" i="76"/>
  <c r="X656" i="76"/>
  <c r="X757" i="76"/>
  <c r="X756" i="76"/>
  <c r="BA318" i="76"/>
  <c r="BA727" i="76"/>
  <c r="Y780" i="76"/>
  <c r="V1033" i="76"/>
  <c r="BF188" i="76"/>
  <c r="BB591" i="76"/>
  <c r="BC518" i="76"/>
  <c r="U629" i="76"/>
  <c r="BD347" i="76"/>
  <c r="V881" i="76"/>
  <c r="BF76" i="76"/>
  <c r="BF211" i="76"/>
  <c r="BE617" i="76"/>
  <c r="V702" i="76"/>
  <c r="BE441" i="76"/>
  <c r="BA134" i="76"/>
  <c r="BC183" i="76"/>
  <c r="BB674" i="76"/>
  <c r="U1037" i="76"/>
  <c r="Y868" i="76"/>
  <c r="Y631" i="76"/>
  <c r="BC1022" i="76"/>
  <c r="BE517" i="76"/>
  <c r="Y267" i="76"/>
  <c r="BA807" i="76"/>
  <c r="BD786" i="76"/>
  <c r="X671" i="76"/>
  <c r="BE109" i="76"/>
  <c r="U989" i="76"/>
  <c r="T960" i="76"/>
  <c r="V617" i="76"/>
  <c r="Y168" i="76"/>
  <c r="BF290" i="76"/>
  <c r="BC506" i="76"/>
  <c r="BD318" i="76"/>
  <c r="BF879" i="76"/>
  <c r="Y310" i="76"/>
  <c r="T590" i="76"/>
  <c r="V473" i="76"/>
  <c r="W431" i="76"/>
  <c r="U388" i="76"/>
  <c r="Y459" i="76"/>
  <c r="X583" i="76"/>
  <c r="BC132" i="76"/>
  <c r="BF800" i="76"/>
  <c r="BE103" i="76"/>
  <c r="BA581" i="76"/>
  <c r="W458" i="76"/>
  <c r="V416" i="76"/>
  <c r="W943" i="76"/>
  <c r="BF531" i="76"/>
  <c r="BA617" i="76"/>
  <c r="BE414" i="76"/>
  <c r="BA522" i="76"/>
  <c r="T1028" i="76"/>
  <c r="U832" i="76"/>
  <c r="BB925" i="76"/>
  <c r="BF385" i="76"/>
  <c r="Y1038" i="76"/>
  <c r="T792" i="76"/>
  <c r="BD591" i="76"/>
  <c r="BE299" i="76"/>
  <c r="W406" i="76"/>
  <c r="BC576" i="76"/>
  <c r="T611" i="76"/>
  <c r="V737" i="76"/>
  <c r="BB1056" i="76"/>
  <c r="X273" i="76"/>
  <c r="BA571" i="76"/>
  <c r="T811" i="76"/>
  <c r="U219" i="76"/>
  <c r="BB687" i="76"/>
  <c r="W228" i="76"/>
  <c r="BC267" i="76"/>
  <c r="BA551" i="76"/>
  <c r="BE509" i="76"/>
  <c r="U789" i="76"/>
  <c r="V568" i="76"/>
  <c r="BC922" i="76"/>
  <c r="W789" i="76"/>
  <c r="W863" i="76"/>
  <c r="BB1046" i="76"/>
  <c r="BE789" i="76"/>
  <c r="BA767" i="76"/>
  <c r="V1065" i="76"/>
  <c r="BD89" i="76"/>
  <c r="BB502" i="76"/>
  <c r="X397" i="76"/>
  <c r="W328" i="76"/>
  <c r="BC774" i="76"/>
  <c r="BB865" i="76"/>
  <c r="BB333" i="76"/>
  <c r="T829" i="76"/>
  <c r="T855" i="76"/>
  <c r="X689" i="76"/>
  <c r="BB181" i="76"/>
  <c r="W948" i="76"/>
  <c r="U375" i="76"/>
  <c r="U77" i="76"/>
  <c r="BF359" i="76"/>
  <c r="BB352" i="76"/>
  <c r="BE521" i="76"/>
  <c r="BA712" i="76"/>
  <c r="BC80" i="76"/>
  <c r="BC528" i="76"/>
  <c r="V202" i="76"/>
  <c r="T498" i="76"/>
  <c r="X317" i="76"/>
  <c r="F148" i="20"/>
  <c r="W692" i="76"/>
  <c r="Y589" i="76"/>
  <c r="V105" i="76"/>
  <c r="BB420" i="76"/>
  <c r="BC436" i="76"/>
  <c r="BB414" i="76"/>
  <c r="Y1042" i="76"/>
  <c r="BB804" i="76"/>
  <c r="BD82" i="76"/>
  <c r="BB320" i="76"/>
  <c r="BE806" i="76"/>
  <c r="BF126" i="76"/>
  <c r="Y619" i="76"/>
  <c r="BC916" i="76"/>
  <c r="V241" i="76"/>
  <c r="U618" i="76"/>
  <c r="V497" i="76"/>
  <c r="U1038" i="76"/>
  <c r="Y295" i="76"/>
  <c r="V240" i="76"/>
  <c r="BB165" i="76"/>
  <c r="W396" i="76"/>
  <c r="BE922" i="76"/>
  <c r="W783" i="76"/>
  <c r="BE194" i="76"/>
  <c r="BF990" i="76"/>
  <c r="BC210" i="76"/>
  <c r="T1005" i="76"/>
  <c r="W255" i="76"/>
  <c r="BE559" i="76"/>
  <c r="X824" i="76"/>
  <c r="T717" i="76"/>
  <c r="T1011" i="76"/>
  <c r="BE825" i="76"/>
  <c r="BD323" i="76"/>
  <c r="BA643" i="76"/>
  <c r="X649" i="76"/>
  <c r="X458" i="76"/>
  <c r="BD464" i="76"/>
  <c r="T130" i="76"/>
  <c r="V932" i="76"/>
  <c r="BD620" i="76"/>
  <c r="BB717" i="76"/>
  <c r="BB406" i="76"/>
  <c r="BA678" i="76"/>
  <c r="BD381" i="76"/>
  <c r="Y494" i="76"/>
  <c r="V820" i="76"/>
  <c r="BB262" i="76"/>
  <c r="X214" i="76"/>
  <c r="V144" i="76"/>
  <c r="U958" i="76"/>
  <c r="BC361" i="76"/>
  <c r="W762" i="76"/>
  <c r="T87" i="76"/>
  <c r="Y436" i="76"/>
  <c r="BA1036" i="76"/>
  <c r="V914" i="76"/>
  <c r="U945" i="76"/>
  <c r="BA729" i="76"/>
  <c r="BC1037" i="76"/>
  <c r="U987" i="76"/>
  <c r="Y127" i="76"/>
  <c r="V990" i="76"/>
  <c r="V406" i="76"/>
  <c r="BF217" i="76"/>
  <c r="BA156" i="76"/>
  <c r="X783" i="76"/>
  <c r="BF941" i="76"/>
  <c r="BF75" i="76"/>
  <c r="BC859" i="76"/>
  <c r="Y791" i="76"/>
  <c r="BB416" i="76"/>
  <c r="BA1066" i="76"/>
  <c r="BB818" i="76"/>
  <c r="V88" i="76"/>
  <c r="U95" i="76"/>
  <c r="X433" i="76"/>
  <c r="BE526" i="76"/>
  <c r="BA438" i="76"/>
  <c r="W470" i="76"/>
  <c r="T753" i="76"/>
  <c r="BB231" i="76"/>
  <c r="BC392" i="76"/>
  <c r="BF412" i="76"/>
  <c r="BE858" i="76"/>
  <c r="U886" i="76"/>
  <c r="X758" i="76"/>
  <c r="BB371" i="76"/>
  <c r="W329" i="76"/>
  <c r="V224" i="76"/>
  <c r="V781" i="76"/>
  <c r="BE762" i="76"/>
  <c r="BD847" i="76"/>
  <c r="X188" i="76"/>
  <c r="BE424" i="76"/>
  <c r="T404" i="76"/>
  <c r="T340" i="76"/>
  <c r="Y206" i="76"/>
  <c r="BF438" i="76"/>
  <c r="T772" i="76"/>
  <c r="BA588" i="76"/>
  <c r="BB330" i="76"/>
  <c r="BB308" i="76"/>
  <c r="Y276" i="76"/>
  <c r="W309" i="76"/>
  <c r="W289" i="76"/>
  <c r="T217" i="76"/>
  <c r="BF646" i="76"/>
  <c r="BA865" i="76"/>
  <c r="BE89" i="76"/>
  <c r="X843" i="76"/>
  <c r="V227" i="76"/>
  <c r="T1059" i="76"/>
  <c r="BC508" i="76"/>
  <c r="BB390" i="76"/>
  <c r="BA152" i="76"/>
  <c r="BD950" i="76"/>
  <c r="W719" i="76"/>
  <c r="BA194" i="76"/>
  <c r="T671" i="76"/>
  <c r="U680" i="76"/>
  <c r="V544" i="76"/>
  <c r="X526" i="76"/>
  <c r="X272" i="76"/>
  <c r="T799" i="76"/>
  <c r="BD527" i="76"/>
  <c r="BE483" i="76"/>
  <c r="BC362" i="76"/>
  <c r="BD749" i="76"/>
  <c r="BE464" i="76"/>
  <c r="Y880" i="76"/>
  <c r="T527" i="76"/>
  <c r="V154" i="76"/>
  <c r="BE1053" i="76"/>
  <c r="BC390" i="76"/>
  <c r="BD589" i="76"/>
  <c r="T962" i="76"/>
  <c r="BB180" i="76"/>
  <c r="W346" i="76"/>
  <c r="X190" i="76"/>
  <c r="X1023" i="76"/>
  <c r="BC619" i="76"/>
  <c r="BC426" i="76"/>
  <c r="T240" i="76"/>
  <c r="X861" i="76"/>
  <c r="BF589" i="76"/>
  <c r="BF525" i="76"/>
  <c r="BF472" i="76"/>
  <c r="Y987" i="76"/>
  <c r="V305" i="76"/>
  <c r="T76" i="76"/>
  <c r="BE355" i="76"/>
  <c r="X142" i="76"/>
  <c r="BB681" i="76"/>
  <c r="BD984" i="76"/>
  <c r="W836" i="76"/>
  <c r="Y751" i="76"/>
  <c r="W496" i="76"/>
  <c r="BA389" i="76"/>
  <c r="BD212" i="76"/>
  <c r="BF499" i="76"/>
  <c r="Y136" i="76"/>
  <c r="BE253" i="76"/>
  <c r="BC332" i="76"/>
  <c r="BA246" i="76"/>
  <c r="BB109" i="76"/>
  <c r="BB1032" i="76"/>
  <c r="BB437" i="76"/>
  <c r="W78" i="76"/>
  <c r="V1050" i="76"/>
  <c r="W126" i="76"/>
  <c r="Y242" i="76"/>
  <c r="BF164" i="76"/>
  <c r="BF791" i="76"/>
  <c r="BD88" i="76"/>
  <c r="W865" i="76"/>
  <c r="BD634" i="76"/>
  <c r="BD965" i="76"/>
  <c r="Y794" i="76"/>
  <c r="Y811" i="76"/>
  <c r="BE82" i="76"/>
  <c r="BD774" i="76"/>
  <c r="BE363" i="76"/>
  <c r="BA204" i="76"/>
  <c r="V394" i="76"/>
  <c r="BA874" i="76"/>
  <c r="V996" i="76"/>
  <c r="BF262" i="76"/>
  <c r="BC97" i="76"/>
  <c r="W525" i="76"/>
  <c r="T165" i="76"/>
  <c r="T472" i="76"/>
  <c r="BA928" i="76"/>
  <c r="W727" i="76"/>
  <c r="BE769" i="76"/>
  <c r="V613" i="76"/>
  <c r="BF475" i="76"/>
  <c r="BA1010" i="76"/>
  <c r="X1039" i="76"/>
  <c r="U1042" i="76"/>
  <c r="BD198" i="76"/>
  <c r="U112" i="76"/>
  <c r="BB1036" i="76"/>
  <c r="Y210" i="76"/>
  <c r="BF398" i="76"/>
  <c r="U351" i="76"/>
  <c r="BD279" i="76"/>
  <c r="U159" i="76"/>
  <c r="BE611" i="76"/>
  <c r="U233" i="76"/>
  <c r="BA806" i="76"/>
  <c r="BC177" i="76"/>
  <c r="BD1048" i="76"/>
  <c r="BE838" i="76"/>
  <c r="Y907" i="76"/>
  <c r="BD138" i="76"/>
  <c r="BC123" i="76"/>
  <c r="T156" i="76"/>
  <c r="Y333" i="76"/>
  <c r="W854" i="76"/>
  <c r="V669" i="76"/>
  <c r="BE348" i="76"/>
  <c r="Y181" i="76"/>
  <c r="BF892" i="76"/>
  <c r="V403" i="76"/>
  <c r="BF924" i="76"/>
  <c r="BD551" i="76"/>
  <c r="Y772" i="76"/>
  <c r="Y960" i="76"/>
  <c r="BA236" i="76"/>
  <c r="BC622" i="76"/>
  <c r="U324" i="76"/>
  <c r="BD251" i="76"/>
  <c r="BE433" i="76"/>
  <c r="BB135" i="76"/>
  <c r="BF540" i="76"/>
  <c r="BA361" i="76"/>
  <c r="T1061" i="76"/>
  <c r="BC724" i="76"/>
  <c r="Y574" i="76"/>
  <c r="T928" i="76"/>
  <c r="U891" i="76"/>
  <c r="BF794" i="76"/>
  <c r="BC448" i="76"/>
  <c r="T491" i="76"/>
  <c r="BA566" i="76"/>
  <c r="V784" i="76"/>
  <c r="X345" i="76"/>
  <c r="BF776" i="76"/>
  <c r="BD420" i="76"/>
  <c r="BC270" i="76"/>
  <c r="V506" i="76"/>
  <c r="W1049" i="76"/>
  <c r="X170" i="76"/>
  <c r="BC493" i="76"/>
  <c r="X705" i="76"/>
  <c r="T135" i="76"/>
  <c r="U755" i="76"/>
  <c r="W333" i="76"/>
  <c r="BC310" i="76"/>
  <c r="V887" i="76"/>
  <c r="T445" i="76"/>
  <c r="V639" i="76"/>
  <c r="BE468" i="76"/>
  <c r="BD270" i="76"/>
  <c r="X218" i="76"/>
  <c r="U225" i="76"/>
  <c r="Y221" i="76"/>
  <c r="BE1030" i="76"/>
  <c r="BD689" i="76"/>
  <c r="Y1008" i="76"/>
  <c r="BC958" i="76"/>
  <c r="U500" i="76"/>
  <c r="BB398" i="76"/>
  <c r="BE740" i="76"/>
  <c r="BC636" i="76"/>
  <c r="BF214" i="76"/>
  <c r="BD166" i="76"/>
  <c r="BE357" i="76"/>
  <c r="BA726" i="76"/>
  <c r="BB953" i="76"/>
  <c r="Y921" i="76"/>
  <c r="BF926" i="76"/>
  <c r="U201" i="76"/>
  <c r="U202" i="76"/>
  <c r="BD105" i="76"/>
  <c r="BF84" i="76"/>
  <c r="X936" i="76"/>
  <c r="BB278" i="76"/>
  <c r="BC312" i="76"/>
  <c r="U937" i="76"/>
  <c r="BA220" i="76"/>
  <c r="BD663" i="76"/>
  <c r="BA227" i="76"/>
  <c r="BA1022" i="76"/>
  <c r="V854" i="76"/>
  <c r="X678" i="76"/>
  <c r="W344" i="76"/>
  <c r="BE788" i="76"/>
  <c r="W390" i="76"/>
  <c r="X602" i="76"/>
  <c r="U906" i="76"/>
  <c r="T720" i="76"/>
  <c r="W715" i="76"/>
  <c r="BA589" i="76"/>
  <c r="U893" i="76"/>
  <c r="BB764" i="76"/>
  <c r="T367" i="76"/>
  <c r="BB376" i="76"/>
  <c r="BF362" i="76"/>
  <c r="BA1005" i="76"/>
  <c r="BC952" i="76"/>
  <c r="BB941" i="76"/>
  <c r="BC1045" i="76"/>
  <c r="BB382" i="76"/>
  <c r="Y197" i="76"/>
  <c r="Y651" i="76"/>
  <c r="T819" i="76"/>
  <c r="V373" i="76"/>
  <c r="V203" i="76"/>
  <c r="T701" i="76"/>
  <c r="U164" i="76"/>
  <c r="X286" i="76"/>
  <c r="X596" i="76"/>
  <c r="BE137" i="76"/>
  <c r="T185" i="76"/>
  <c r="V426" i="76"/>
  <c r="U366" i="76"/>
  <c r="BE725" i="76"/>
  <c r="BB385" i="76"/>
  <c r="W475" i="76"/>
  <c r="V904" i="76"/>
  <c r="BD716" i="76"/>
  <c r="V307" i="76"/>
  <c r="W515" i="76"/>
  <c r="Y808" i="76"/>
  <c r="W226" i="76"/>
  <c r="Y75" i="76"/>
  <c r="BD260" i="76"/>
  <c r="T636" i="76"/>
  <c r="BC179" i="76"/>
  <c r="X216" i="76"/>
  <c r="W568" i="76"/>
  <c r="T1007" i="76"/>
  <c r="BB418" i="76"/>
  <c r="BD1059" i="76"/>
  <c r="BB1016" i="76"/>
  <c r="BE689" i="76"/>
  <c r="BE520" i="76"/>
  <c r="BF615" i="76"/>
  <c r="BE298" i="76"/>
  <c r="BB202" i="76"/>
  <c r="T258" i="76"/>
  <c r="U559" i="76"/>
  <c r="W782" i="76"/>
  <c r="V740" i="76"/>
  <c r="BC142" i="76"/>
  <c r="BB766" i="76"/>
  <c r="Y492" i="76"/>
  <c r="BB987" i="76"/>
  <c r="BD608" i="76"/>
  <c r="BD244" i="76"/>
  <c r="V130" i="76"/>
  <c r="X491" i="76"/>
  <c r="T329" i="76"/>
  <c r="T375" i="76"/>
  <c r="BF826" i="76"/>
  <c r="BE728" i="76"/>
  <c r="U406" i="76"/>
  <c r="W1015" i="76"/>
  <c r="V297" i="76"/>
  <c r="BD707" i="76"/>
  <c r="BF728" i="76"/>
  <c r="BD171" i="76"/>
  <c r="BA126" i="76"/>
  <c r="W791" i="76"/>
  <c r="BC144" i="76"/>
  <c r="BF965" i="76"/>
  <c r="BA248" i="76"/>
  <c r="K111" i="19"/>
  <c r="X161" i="89"/>
  <c r="X147" i="89"/>
  <c r="B142" i="23"/>
  <c r="S142" i="23" s="1"/>
  <c r="I136" i="12"/>
  <c r="F29" i="28" s="1"/>
  <c r="X177" i="89"/>
  <c r="Q96" i="17"/>
  <c r="F238" i="17" s="1"/>
  <c r="Q100" i="17"/>
  <c r="F266" i="17" s="1"/>
  <c r="Q103" i="17"/>
  <c r="F282" i="17" s="1"/>
  <c r="X214" i="89"/>
  <c r="X166" i="89"/>
  <c r="X128" i="89"/>
  <c r="X198" i="89"/>
  <c r="X256" i="89"/>
  <c r="X298" i="89"/>
  <c r="X203" i="89"/>
  <c r="X261" i="89"/>
  <c r="X216" i="89"/>
  <c r="X167" i="89"/>
  <c r="X119" i="89"/>
  <c r="X140" i="89"/>
  <c r="X272" i="89"/>
  <c r="X223" i="89"/>
  <c r="X225" i="89"/>
  <c r="X121" i="89"/>
  <c r="X262" i="89"/>
  <c r="X299" i="89"/>
  <c r="X204" i="89"/>
  <c r="X184" i="89"/>
  <c r="X154" i="89"/>
  <c r="X235" i="89"/>
  <c r="X249" i="89"/>
  <c r="X286" i="89"/>
  <c r="X293" i="89"/>
  <c r="X130" i="89"/>
  <c r="X191" i="89"/>
  <c r="V1058" i="76"/>
  <c r="Y180" i="76"/>
  <c r="BB986" i="76"/>
  <c r="V267" i="76"/>
  <c r="BA449" i="76"/>
  <c r="Y383" i="76"/>
  <c r="BD345" i="76"/>
  <c r="W713" i="76"/>
  <c r="BD474" i="76"/>
  <c r="X685" i="76"/>
  <c r="BF106" i="76"/>
  <c r="BA265" i="76"/>
  <c r="BA519" i="76"/>
  <c r="Y547" i="76"/>
  <c r="X421" i="76"/>
  <c r="BD554" i="76"/>
  <c r="Y922" i="76"/>
  <c r="BE654" i="76"/>
  <c r="Y468" i="76"/>
  <c r="BF166" i="76"/>
  <c r="BB629" i="76"/>
  <c r="BB378" i="76"/>
  <c r="V606" i="76"/>
  <c r="BD1024" i="76"/>
  <c r="BE473" i="76"/>
  <c r="BE334" i="76"/>
  <c r="BB506" i="76"/>
  <c r="W443" i="76"/>
  <c r="BA799" i="76"/>
  <c r="BB703" i="76"/>
  <c r="Y452" i="76"/>
  <c r="BE196" i="76"/>
  <c r="BD775" i="76"/>
  <c r="BB563" i="76"/>
  <c r="BC986" i="76"/>
  <c r="T583" i="76"/>
  <c r="V664" i="76"/>
  <c r="U597" i="76"/>
  <c r="BD167" i="76"/>
  <c r="T519" i="76"/>
  <c r="BA942" i="76"/>
  <c r="Y317" i="76"/>
  <c r="U593" i="76"/>
  <c r="BD185" i="76"/>
  <c r="BF246" i="76"/>
  <c r="W292" i="76"/>
  <c r="BB493" i="76"/>
  <c r="U370" i="76"/>
  <c r="BA501" i="76"/>
  <c r="W418" i="76"/>
  <c r="BC242" i="76"/>
  <c r="BA339" i="76"/>
  <c r="BC464" i="76"/>
  <c r="T595" i="76"/>
  <c r="X295" i="76"/>
  <c r="BD509" i="76"/>
  <c r="BB787" i="76"/>
  <c r="BD685" i="76"/>
  <c r="BB106" i="76"/>
  <c r="BD899" i="76"/>
  <c r="BF128" i="76"/>
  <c r="BA940" i="76"/>
  <c r="BD149" i="76"/>
  <c r="X907" i="76"/>
  <c r="BC785" i="76"/>
  <c r="T101" i="76"/>
  <c r="BA965" i="76"/>
  <c r="BA661" i="76"/>
  <c r="X422" i="76"/>
  <c r="BE365" i="76"/>
  <c r="Y774" i="76"/>
  <c r="BF187" i="76"/>
  <c r="BC193" i="76"/>
  <c r="BE248" i="76"/>
  <c r="T873" i="76"/>
  <c r="BE448" i="76"/>
  <c r="BC727" i="76"/>
  <c r="T1018" i="76"/>
  <c r="BA209" i="76"/>
  <c r="X577" i="76"/>
  <c r="U131" i="76"/>
  <c r="W994" i="76"/>
  <c r="BA490" i="76"/>
  <c r="Y782" i="76"/>
  <c r="BF421" i="76"/>
  <c r="X348" i="76"/>
  <c r="V675" i="76"/>
  <c r="T586" i="76"/>
  <c r="BB927" i="76"/>
  <c r="Y402" i="76"/>
  <c r="BE655" i="76"/>
  <c r="BD215" i="76"/>
  <c r="Y425" i="76"/>
  <c r="BF893" i="76"/>
  <c r="BD837" i="76"/>
  <c r="Y827" i="76"/>
  <c r="BB484" i="76"/>
  <c r="BA673" i="76"/>
  <c r="BB844" i="76"/>
  <c r="BA86" i="76"/>
  <c r="BB907" i="76"/>
  <c r="BE104" i="76"/>
  <c r="BC110" i="76"/>
  <c r="BD187" i="76"/>
  <c r="BC433" i="76"/>
  <c r="BF97" i="76"/>
  <c r="X808" i="76"/>
  <c r="BB879" i="76"/>
  <c r="BE585" i="76"/>
  <c r="W596" i="76"/>
  <c r="BD515" i="76"/>
  <c r="Y995" i="76"/>
  <c r="BF670" i="76"/>
  <c r="BB296" i="76"/>
  <c r="BA1030" i="76"/>
  <c r="Y753" i="76"/>
  <c r="BF704" i="76"/>
  <c r="W283" i="76"/>
  <c r="BC616" i="76"/>
  <c r="W504" i="76"/>
  <c r="V376" i="76"/>
  <c r="V1040" i="76"/>
  <c r="T991" i="76"/>
  <c r="W258" i="76"/>
  <c r="BF644" i="76"/>
  <c r="BD894" i="76"/>
  <c r="BA626" i="76"/>
  <c r="W781" i="76"/>
  <c r="U220" i="76"/>
  <c r="BD717" i="76"/>
  <c r="Y840" i="76"/>
  <c r="BB108" i="76"/>
  <c r="V331" i="76"/>
  <c r="BE124" i="76"/>
  <c r="T352" i="76"/>
  <c r="BC188" i="76"/>
  <c r="BF1014" i="76"/>
  <c r="BD416" i="76"/>
  <c r="W160" i="76"/>
  <c r="BE270" i="76"/>
  <c r="BE458" i="76"/>
  <c r="BE513" i="76"/>
  <c r="T534" i="76"/>
  <c r="BD1012" i="76"/>
  <c r="BB776" i="76"/>
  <c r="T562" i="76"/>
  <c r="U923" i="76"/>
  <c r="BE446" i="76"/>
  <c r="BC516" i="76"/>
  <c r="U1049" i="76"/>
  <c r="BF298" i="76"/>
  <c r="BC447" i="76"/>
  <c r="W1003" i="76"/>
  <c r="U807" i="76"/>
  <c r="X945" i="76"/>
  <c r="BC1004" i="76"/>
  <c r="U915" i="76"/>
  <c r="BE160" i="76"/>
  <c r="W532" i="76"/>
  <c r="BA325" i="76"/>
  <c r="X382" i="76"/>
  <c r="Y103" i="76"/>
  <c r="Y937" i="76"/>
  <c r="BC994" i="76"/>
  <c r="V1003" i="76"/>
  <c r="BB748" i="76"/>
  <c r="Y261" i="76"/>
  <c r="BC504" i="76"/>
  <c r="BB945" i="76"/>
  <c r="BC512" i="76"/>
  <c r="BF494" i="76"/>
  <c r="BB606" i="76"/>
  <c r="BE909" i="76"/>
  <c r="BD693" i="76"/>
  <c r="BD839" i="76"/>
  <c r="BF780" i="76"/>
  <c r="BB91" i="76"/>
  <c r="T103" i="76"/>
  <c r="Y509" i="76"/>
  <c r="X213" i="76"/>
  <c r="V117" i="76"/>
  <c r="T84" i="76"/>
  <c r="BB917" i="76"/>
  <c r="BD499" i="76"/>
  <c r="T585" i="76"/>
  <c r="U445" i="76"/>
  <c r="BB726" i="76"/>
  <c r="BE726" i="76"/>
  <c r="U613" i="76"/>
  <c r="W222" i="76"/>
  <c r="U569" i="76"/>
  <c r="BD248" i="76"/>
  <c r="W964" i="76"/>
  <c r="X489" i="76"/>
  <c r="BA948" i="76"/>
  <c r="T467" i="76"/>
  <c r="BE596" i="76"/>
  <c r="BF683" i="76"/>
  <c r="BF994" i="76"/>
  <c r="BA538" i="76"/>
  <c r="Y269" i="76"/>
  <c r="BF1037" i="76"/>
  <c r="BF462" i="76"/>
  <c r="BF613" i="76"/>
  <c r="W810" i="76"/>
  <c r="BF657" i="76"/>
  <c r="U264" i="76"/>
  <c r="W800" i="76"/>
  <c r="BB981" i="76"/>
  <c r="U1068" i="76"/>
  <c r="BE397" i="76"/>
  <c r="U690" i="76"/>
  <c r="BC820" i="76"/>
  <c r="W701" i="76"/>
  <c r="BA886" i="76"/>
  <c r="X916" i="76"/>
  <c r="BB1018" i="76"/>
  <c r="BD548" i="76"/>
  <c r="BD1044" i="76"/>
  <c r="BE394" i="76"/>
  <c r="BA110" i="76"/>
  <c r="X989" i="76"/>
  <c r="W463" i="76"/>
  <c r="BF129" i="76"/>
  <c r="BA930" i="76"/>
  <c r="BF1009" i="76"/>
  <c r="BB116" i="76"/>
  <c r="BA736" i="76"/>
  <c r="BD79" i="76"/>
  <c r="BA627" i="76"/>
  <c r="Y659" i="76"/>
  <c r="BA240" i="76"/>
  <c r="W1014" i="76"/>
  <c r="BF865" i="76"/>
  <c r="T851" i="76"/>
  <c r="X762" i="76"/>
  <c r="Y476" i="76"/>
  <c r="U798" i="76"/>
  <c r="V989" i="76"/>
  <c r="BC465" i="76"/>
  <c r="U608" i="76"/>
  <c r="BF519" i="76"/>
  <c r="U702" i="76"/>
  <c r="BA277" i="76"/>
  <c r="T890" i="76"/>
  <c r="W313" i="76"/>
  <c r="BF434" i="76"/>
  <c r="T596" i="76"/>
  <c r="Y874" i="76"/>
  <c r="BE796" i="76"/>
  <c r="BE768" i="76"/>
  <c r="BE277" i="76"/>
  <c r="BA221" i="76"/>
  <c r="W571" i="76"/>
  <c r="BE375" i="76"/>
  <c r="BD333" i="76"/>
  <c r="BB553" i="76"/>
  <c r="BD539" i="76"/>
  <c r="BD903" i="76"/>
  <c r="BE548" i="76"/>
  <c r="BE343" i="76"/>
  <c r="BD987" i="76"/>
  <c r="BF388" i="76"/>
  <c r="BC830" i="76"/>
  <c r="X1046" i="76"/>
  <c r="BD1011" i="76"/>
  <c r="Y143" i="76"/>
  <c r="BF545" i="76"/>
  <c r="T708" i="76"/>
  <c r="V628" i="76"/>
  <c r="BF772" i="76"/>
  <c r="Y763" i="76"/>
  <c r="BD611" i="76"/>
  <c r="BB500" i="76"/>
  <c r="Y709" i="76"/>
  <c r="BB303" i="76"/>
  <c r="U796" i="76"/>
  <c r="T327" i="76"/>
  <c r="V912" i="76"/>
  <c r="X979" i="76"/>
  <c r="BB947" i="76"/>
  <c r="BC385" i="76"/>
  <c r="W208" i="76"/>
  <c r="BA299" i="76"/>
  <c r="X394" i="76"/>
  <c r="BA864" i="76"/>
  <c r="V876" i="76"/>
  <c r="BE855" i="76"/>
  <c r="BD790" i="76"/>
  <c r="BA275" i="76"/>
  <c r="BA1058" i="76"/>
  <c r="BA765" i="76"/>
  <c r="BA469" i="76"/>
  <c r="U210" i="76"/>
  <c r="BA998" i="76"/>
  <c r="BC929" i="76"/>
  <c r="Y167" i="76"/>
  <c r="BF951" i="76"/>
  <c r="BB99" i="76"/>
  <c r="BD972" i="76"/>
  <c r="V687" i="76"/>
  <c r="Y135" i="76"/>
  <c r="BA205" i="76"/>
  <c r="T100" i="76"/>
  <c r="BF553" i="76"/>
  <c r="BB203" i="76"/>
  <c r="BA796" i="76"/>
  <c r="BE451" i="76"/>
  <c r="BE737" i="76"/>
  <c r="U983" i="76"/>
  <c r="Y239" i="76"/>
  <c r="BB627" i="76"/>
  <c r="BC285" i="76"/>
  <c r="V566" i="76"/>
  <c r="U605" i="76"/>
  <c r="BC257" i="76"/>
  <c r="U935" i="76"/>
  <c r="T347" i="76"/>
  <c r="T479" i="76"/>
  <c r="BF881" i="76"/>
  <c r="U716" i="76"/>
  <c r="BE651" i="76"/>
  <c r="V523" i="76"/>
  <c r="W1029" i="76"/>
  <c r="X1002" i="76"/>
  <c r="BD904" i="76"/>
  <c r="Y668" i="76"/>
  <c r="BB809" i="76"/>
  <c r="BC898" i="76"/>
  <c r="Y548" i="76"/>
  <c r="BE172" i="76"/>
  <c r="BE982" i="76"/>
  <c r="BA109" i="76"/>
  <c r="BE924" i="76"/>
  <c r="BE251" i="76"/>
  <c r="BC936" i="76"/>
  <c r="BA634" i="76"/>
  <c r="BE947" i="76"/>
  <c r="BE680" i="76"/>
  <c r="BB1000" i="76"/>
  <c r="BC721" i="76"/>
  <c r="BB1002" i="76"/>
  <c r="BE920" i="76"/>
  <c r="BC999" i="76"/>
  <c r="T409" i="76"/>
  <c r="U347" i="76"/>
  <c r="Y208" i="76"/>
  <c r="BC349" i="76"/>
  <c r="BE364" i="76"/>
  <c r="BB1014" i="76"/>
  <c r="U369" i="76"/>
  <c r="Y442" i="76"/>
  <c r="BB800" i="76"/>
  <c r="BC439" i="76"/>
  <c r="Y552" i="76"/>
  <c r="BE742" i="76"/>
  <c r="T152" i="76"/>
  <c r="X205" i="76"/>
  <c r="W1056" i="76"/>
  <c r="Y575" i="76"/>
  <c r="T670" i="76"/>
  <c r="BE706" i="76"/>
  <c r="BB438" i="76"/>
  <c r="BA656" i="76"/>
  <c r="BD886" i="76"/>
  <c r="T747" i="76"/>
  <c r="BA549" i="76"/>
  <c r="BB395" i="76"/>
  <c r="BC229" i="76"/>
  <c r="BD544" i="76"/>
  <c r="BB269" i="76"/>
  <c r="BD720" i="76"/>
  <c r="BE315" i="76"/>
  <c r="BA373" i="76"/>
  <c r="BB734" i="76"/>
  <c r="V573" i="76"/>
  <c r="BC288" i="76"/>
  <c r="U436" i="76"/>
  <c r="BC420" i="76"/>
  <c r="BD189" i="76"/>
  <c r="BD732" i="76"/>
  <c r="BC386" i="76"/>
  <c r="BE210" i="76"/>
  <c r="BD649" i="76"/>
  <c r="BC105" i="76"/>
  <c r="U972" i="76"/>
  <c r="X454" i="76"/>
  <c r="Y816" i="76"/>
  <c r="U151" i="76"/>
  <c r="T193" i="76"/>
  <c r="T871" i="76"/>
  <c r="V1036" i="76"/>
  <c r="V730" i="76"/>
  <c r="U1001" i="76"/>
  <c r="BC689" i="76"/>
  <c r="V361" i="76"/>
  <c r="BE141" i="76"/>
  <c r="BF583" i="76"/>
  <c r="T758" i="76"/>
  <c r="BE532" i="76"/>
  <c r="T349" i="76"/>
  <c r="BE223" i="76"/>
  <c r="BC865" i="76"/>
  <c r="U829" i="76"/>
  <c r="BC417" i="76"/>
  <c r="Y463" i="76"/>
  <c r="BF402" i="76"/>
  <c r="U410" i="76"/>
  <c r="BD850" i="76"/>
  <c r="U130" i="76"/>
  <c r="BE886" i="76"/>
  <c r="W173" i="76"/>
  <c r="BC943" i="76"/>
  <c r="X222" i="76"/>
  <c r="BD283" i="76"/>
  <c r="X102" i="76"/>
  <c r="BC761" i="76"/>
  <c r="BC710" i="76"/>
  <c r="X946" i="76"/>
  <c r="X998" i="76"/>
  <c r="U479" i="76"/>
  <c r="BE314" i="76"/>
  <c r="BD872" i="76"/>
  <c r="BE1048" i="76"/>
  <c r="Y481" i="76"/>
  <c r="T924" i="76"/>
  <c r="BD813" i="76"/>
  <c r="T454" i="76"/>
  <c r="Y392" i="76"/>
  <c r="BC709" i="76"/>
  <c r="U951" i="76"/>
  <c r="T288" i="76"/>
  <c r="X773" i="76"/>
  <c r="BB682" i="76"/>
  <c r="BA876" i="76"/>
  <c r="T234" i="76"/>
  <c r="BA271" i="76"/>
  <c r="Y698" i="76"/>
  <c r="X449" i="76"/>
  <c r="Y543" i="76"/>
  <c r="W120" i="76"/>
  <c r="BB871" i="76"/>
  <c r="Y469" i="76"/>
  <c r="X585" i="76"/>
  <c r="BE336" i="76"/>
  <c r="T106" i="76"/>
  <c r="BA352" i="76"/>
  <c r="BA531" i="76"/>
  <c r="BB961" i="76"/>
  <c r="BA787" i="76"/>
  <c r="BC920" i="76"/>
  <c r="BB887" i="76"/>
  <c r="BD963" i="76"/>
  <c r="BB946" i="76"/>
  <c r="BF1006" i="76"/>
  <c r="X605" i="76"/>
  <c r="U146" i="76"/>
  <c r="V196" i="76"/>
  <c r="Y281" i="76"/>
  <c r="W115" i="76"/>
  <c r="Y714" i="76"/>
  <c r="BC204" i="76"/>
  <c r="X920" i="76"/>
  <c r="U888" i="76"/>
  <c r="Y393" i="76"/>
  <c r="BB361" i="76"/>
  <c r="T428" i="76"/>
  <c r="BB150" i="76"/>
  <c r="V369" i="76"/>
  <c r="V891" i="76"/>
  <c r="T660" i="76"/>
  <c r="T605" i="76"/>
  <c r="W899" i="76"/>
  <c r="W686" i="76"/>
  <c r="U428" i="76"/>
  <c r="U737" i="76"/>
  <c r="BC129" i="76"/>
  <c r="X799" i="76"/>
  <c r="BD108" i="76"/>
  <c r="U867" i="76"/>
  <c r="BC990" i="76"/>
  <c r="X1037" i="76"/>
  <c r="X297" i="76"/>
  <c r="BF244" i="76"/>
  <c r="T1056" i="76"/>
  <c r="Y908" i="76"/>
  <c r="BA218" i="76"/>
  <c r="W879" i="76"/>
  <c r="T255" i="76"/>
  <c r="X696" i="76"/>
  <c r="T673" i="76"/>
  <c r="BB453" i="76"/>
  <c r="BC396" i="76"/>
  <c r="BC411" i="76"/>
  <c r="BD349" i="76"/>
  <c r="BD951" i="76"/>
  <c r="BF207" i="76"/>
  <c r="BF674" i="76"/>
  <c r="BB216" i="76"/>
  <c r="BC934" i="76"/>
  <c r="U182" i="76"/>
  <c r="BF436" i="76"/>
  <c r="V963" i="76"/>
  <c r="BC539" i="76"/>
  <c r="V911" i="76"/>
  <c r="BD584" i="76"/>
  <c r="X114" i="76"/>
  <c r="BD617" i="76"/>
  <c r="BC960" i="76"/>
  <c r="V142" i="76"/>
  <c r="BE685" i="76"/>
  <c r="T1000" i="76"/>
  <c r="BE340" i="76"/>
  <c r="T876" i="76"/>
  <c r="U343" i="76"/>
  <c r="Y876" i="76"/>
  <c r="U627" i="76"/>
  <c r="T493" i="76"/>
  <c r="BE537" i="76"/>
  <c r="X462" i="76"/>
  <c r="BB366" i="76"/>
  <c r="X744" i="76"/>
  <c r="BE625" i="76"/>
  <c r="V1067" i="76"/>
  <c r="BA735" i="76"/>
  <c r="W536" i="76"/>
  <c r="BC82" i="76"/>
  <c r="BC450" i="76"/>
  <c r="BA303" i="76"/>
  <c r="BE581" i="76"/>
  <c r="X192" i="76"/>
  <c r="BB966" i="76"/>
  <c r="Y432" i="76"/>
  <c r="BB975" i="76"/>
  <c r="V84" i="76"/>
  <c r="BC872" i="76"/>
  <c r="T125" i="76"/>
  <c r="BD501" i="76"/>
  <c r="W643" i="76"/>
  <c r="Y385" i="76"/>
  <c r="BC121" i="76"/>
  <c r="X154" i="76"/>
  <c r="T505" i="76"/>
  <c r="BD709" i="76"/>
  <c r="Y137" i="76"/>
  <c r="W573" i="76"/>
  <c r="BE1032" i="76"/>
  <c r="BF236" i="76"/>
  <c r="T277" i="76"/>
  <c r="V430" i="76"/>
  <c r="BD124" i="76"/>
  <c r="BA966" i="76"/>
  <c r="V365" i="76"/>
  <c r="W992" i="76"/>
  <c r="U393" i="76"/>
  <c r="W805" i="76"/>
  <c r="BC876" i="76"/>
  <c r="V1062" i="76"/>
  <c r="BF758" i="76"/>
  <c r="X770" i="76"/>
  <c r="W1004" i="76"/>
  <c r="BE346" i="76"/>
  <c r="W233" i="76"/>
  <c r="BB105" i="76"/>
  <c r="BB215" i="76"/>
  <c r="BF710" i="76"/>
  <c r="U1003" i="76"/>
  <c r="BD652" i="76"/>
  <c r="W297" i="76"/>
  <c r="BD123" i="76"/>
  <c r="W500" i="76"/>
  <c r="BB762" i="76"/>
  <c r="Y405" i="76"/>
  <c r="BE166" i="76"/>
  <c r="U423" i="76"/>
  <c r="BC187" i="76"/>
  <c r="T598" i="76"/>
  <c r="BA208" i="76"/>
  <c r="V435" i="76"/>
  <c r="Y377" i="76"/>
  <c r="BB82" i="76"/>
  <c r="BB952" i="76"/>
  <c r="X386" i="76"/>
  <c r="BD682" i="76"/>
  <c r="BB805" i="76"/>
  <c r="Y485" i="76"/>
  <c r="Y278" i="76"/>
  <c r="X399" i="76"/>
  <c r="X265" i="76"/>
  <c r="Y531" i="76"/>
  <c r="T342" i="76"/>
  <c r="BC544" i="76"/>
  <c r="BA957" i="76"/>
  <c r="BD332" i="76"/>
  <c r="U720" i="76"/>
  <c r="BF1039" i="76"/>
  <c r="BC228" i="76"/>
  <c r="BB89" i="76"/>
  <c r="X181" i="76"/>
  <c r="BF443" i="76"/>
  <c r="V377" i="76"/>
  <c r="BF336" i="76"/>
  <c r="BD438" i="76"/>
  <c r="BF497" i="76"/>
  <c r="BD126" i="76"/>
  <c r="BF689" i="76"/>
  <c r="BF137" i="76"/>
  <c r="BD710" i="76"/>
  <c r="BB147" i="76"/>
  <c r="BB731" i="76"/>
  <c r="X1029" i="76"/>
  <c r="Y546" i="76"/>
  <c r="V390" i="76"/>
  <c r="U177" i="76"/>
  <c r="BC393" i="76"/>
  <c r="W856" i="76"/>
  <c r="V652" i="76"/>
  <c r="V942" i="76"/>
  <c r="U452" i="76"/>
  <c r="BF831" i="76"/>
  <c r="W414" i="76"/>
  <c r="W548" i="76"/>
  <c r="X282" i="76"/>
  <c r="BA306" i="76"/>
  <c r="BC422" i="76"/>
  <c r="BC754" i="76"/>
  <c r="V290" i="76"/>
  <c r="V726" i="76"/>
  <c r="Y537" i="76"/>
  <c r="V799" i="76"/>
  <c r="T797" i="76"/>
  <c r="BD90" i="76"/>
  <c r="T684" i="76"/>
  <c r="BA859" i="76"/>
  <c r="BB823" i="76"/>
  <c r="T230" i="76"/>
  <c r="BF611" i="76"/>
  <c r="X652" i="76"/>
  <c r="BB827" i="76"/>
  <c r="T323" i="76"/>
  <c r="BF330" i="76"/>
  <c r="BE529" i="76"/>
  <c r="W709" i="76"/>
  <c r="W486" i="76"/>
  <c r="BF183" i="76"/>
  <c r="W511" i="76"/>
  <c r="BD696" i="76"/>
  <c r="Y534" i="76"/>
  <c r="BF783" i="76"/>
  <c r="U557" i="76"/>
  <c r="BF889" i="76"/>
  <c r="X444" i="76"/>
  <c r="BA223" i="76"/>
  <c r="Y185" i="76"/>
  <c r="BF878" i="76"/>
  <c r="BC842" i="76"/>
  <c r="BA909" i="76"/>
  <c r="Y778" i="76"/>
  <c r="BD868" i="76"/>
  <c r="BC587" i="76"/>
  <c r="BE971" i="76"/>
  <c r="BE660" i="76"/>
  <c r="BE1016" i="76"/>
  <c r="BE178" i="76"/>
  <c r="BC345" i="76"/>
  <c r="BF108" i="76"/>
  <c r="BD982" i="76"/>
  <c r="U835" i="76"/>
  <c r="V565" i="76"/>
  <c r="V474" i="76"/>
  <c r="BE320" i="76"/>
  <c r="U511" i="76"/>
  <c r="X664" i="76"/>
  <c r="BE657" i="76"/>
  <c r="BD831" i="76"/>
  <c r="V150" i="76"/>
  <c r="BE687" i="76"/>
  <c r="W633" i="76"/>
  <c r="BB334" i="76"/>
  <c r="W324" i="76"/>
  <c r="BC72" i="76"/>
  <c r="BC975" i="76"/>
  <c r="T609" i="76"/>
  <c r="BD961" i="76"/>
  <c r="X405" i="76"/>
  <c r="U663" i="76"/>
  <c r="X524" i="76"/>
  <c r="W954" i="76"/>
  <c r="Y640" i="76"/>
  <c r="T745" i="76"/>
  <c r="X896" i="76"/>
  <c r="X904" i="76"/>
  <c r="BE1037" i="76"/>
  <c r="BB260" i="76"/>
  <c r="BB644" i="76"/>
  <c r="BE400" i="76"/>
  <c r="BA597" i="76"/>
  <c r="T693" i="76"/>
  <c r="BE488" i="76"/>
  <c r="BD615" i="76"/>
  <c r="BD637" i="76"/>
  <c r="BD234" i="76"/>
  <c r="BD622" i="76"/>
  <c r="BD721" i="76"/>
  <c r="T939" i="76"/>
  <c r="BF104" i="76"/>
  <c r="T518" i="76"/>
  <c r="BB399" i="76"/>
  <c r="W936" i="76"/>
  <c r="U914" i="76"/>
  <c r="X682" i="76"/>
  <c r="V983" i="76"/>
  <c r="BA405" i="76"/>
  <c r="Y256" i="76"/>
  <c r="BB301" i="76"/>
  <c r="Y270" i="76"/>
  <c r="BC856" i="76"/>
  <c r="U437" i="76"/>
  <c r="V155" i="76"/>
  <c r="X620" i="76"/>
  <c r="T318" i="76"/>
  <c r="X245" i="76"/>
  <c r="BC1056" i="76"/>
  <c r="X208" i="76"/>
  <c r="T175" i="76"/>
  <c r="U397" i="76"/>
  <c r="Y867" i="76"/>
  <c r="X902" i="76"/>
  <c r="Y379" i="76"/>
  <c r="BD122" i="76"/>
  <c r="U376" i="76"/>
  <c r="X729" i="76"/>
  <c r="BD892" i="76"/>
  <c r="BB740" i="76"/>
  <c r="BF307" i="76"/>
  <c r="T478" i="76"/>
  <c r="BE927" i="76"/>
  <c r="U451" i="76"/>
  <c r="X463" i="76"/>
  <c r="BD536" i="76"/>
  <c r="BA124" i="76"/>
  <c r="BD322" i="76"/>
  <c r="BE262" i="76"/>
  <c r="BD164" i="76"/>
  <c r="X787" i="76"/>
  <c r="W616" i="76"/>
  <c r="T85" i="76"/>
  <c r="X168" i="76"/>
  <c r="X804" i="76"/>
  <c r="V845" i="76"/>
  <c r="U940" i="76"/>
  <c r="V744" i="76"/>
  <c r="BE514" i="76"/>
  <c r="V74" i="76"/>
  <c r="V400" i="76"/>
  <c r="BF850" i="76"/>
  <c r="BA213" i="76"/>
  <c r="Y188" i="76"/>
  <c r="U927" i="76"/>
  <c r="U304" i="76"/>
  <c r="BE353" i="76"/>
  <c r="X368" i="76"/>
  <c r="BD367" i="76"/>
  <c r="U434" i="76"/>
  <c r="Y477" i="76"/>
  <c r="BA1023" i="76"/>
  <c r="X185" i="76"/>
  <c r="U337" i="76"/>
  <c r="X240" i="76"/>
  <c r="W505" i="76"/>
  <c r="V281" i="76"/>
  <c r="Y592" i="76"/>
  <c r="V312" i="76"/>
  <c r="W821" i="76"/>
  <c r="BF699" i="76"/>
  <c r="T276" i="76"/>
  <c r="X198" i="76"/>
  <c r="BB419" i="76"/>
  <c r="BE96" i="76"/>
  <c r="T943" i="76"/>
  <c r="BD856" i="76"/>
  <c r="BB850" i="76"/>
  <c r="W218" i="76"/>
  <c r="T621" i="76"/>
  <c r="BE199" i="76"/>
  <c r="BF86" i="76"/>
  <c r="BB994" i="76"/>
  <c r="V335" i="76"/>
  <c r="W906" i="76"/>
  <c r="BC745" i="76"/>
  <c r="W1025" i="76"/>
  <c r="BC1068" i="76"/>
  <c r="V968" i="76"/>
  <c r="BA133" i="76"/>
  <c r="BD136" i="76"/>
  <c r="X731" i="76"/>
  <c r="BC597" i="76"/>
  <c r="T362" i="76"/>
  <c r="BF344" i="76"/>
  <c r="BE138" i="76"/>
  <c r="BD806" i="76"/>
  <c r="X465" i="76"/>
  <c r="BD859" i="76"/>
  <c r="V445" i="76"/>
  <c r="Y938" i="76"/>
  <c r="BC1066" i="76"/>
  <c r="T726" i="76"/>
  <c r="BE338" i="76"/>
  <c r="X995" i="76"/>
  <c r="BB891" i="76"/>
  <c r="T1013" i="76"/>
  <c r="BA166" i="76"/>
  <c r="W993" i="76"/>
  <c r="BD116" i="76"/>
  <c r="BA74" i="76"/>
  <c r="BD221" i="76"/>
  <c r="T373" i="76"/>
  <c r="BE481" i="76"/>
  <c r="V489" i="76"/>
  <c r="T233" i="76"/>
  <c r="BF383" i="76"/>
  <c r="BC170" i="76"/>
  <c r="BB795" i="76"/>
  <c r="X248" i="76"/>
  <c r="U819" i="76"/>
  <c r="T140" i="76"/>
  <c r="BC134" i="76"/>
  <c r="BA1038" i="76"/>
  <c r="X780" i="76"/>
  <c r="W601" i="76"/>
  <c r="Y106" i="76"/>
  <c r="W934" i="76"/>
  <c r="Y723" i="76"/>
  <c r="Y849" i="76"/>
  <c r="W72" i="76"/>
  <c r="U952" i="76"/>
  <c r="W211" i="76"/>
  <c r="BF971" i="76"/>
  <c r="BE871" i="76"/>
  <c r="V758" i="76"/>
  <c r="U1052" i="76"/>
  <c r="BC126" i="76"/>
  <c r="X985" i="76"/>
  <c r="BA147" i="76"/>
  <c r="Y984" i="76"/>
  <c r="BE169" i="76"/>
  <c r="U318" i="76"/>
  <c r="BE952" i="76"/>
  <c r="BD866" i="76"/>
  <c r="X116" i="76"/>
  <c r="BB697" i="76"/>
  <c r="BA127" i="76"/>
  <c r="BE872" i="76"/>
  <c r="V104" i="76"/>
  <c r="X1056" i="76"/>
  <c r="BF328" i="76"/>
  <c r="BA913" i="76"/>
  <c r="BF641" i="76"/>
  <c r="W816" i="76"/>
  <c r="V384" i="76"/>
  <c r="W293" i="76"/>
  <c r="BA570" i="76"/>
  <c r="U571" i="76"/>
  <c r="V272" i="76"/>
  <c r="Y839" i="76"/>
  <c r="BF764" i="76"/>
  <c r="T380" i="76"/>
  <c r="BA497" i="76"/>
  <c r="U106" i="76"/>
  <c r="U204" i="76"/>
  <c r="U444" i="76"/>
  <c r="BA250" i="76"/>
  <c r="T600" i="76"/>
  <c r="W626" i="76"/>
  <c r="BC881" i="76"/>
  <c r="U172" i="76"/>
  <c r="BE290" i="76"/>
  <c r="BC863" i="76"/>
  <c r="X795" i="76"/>
  <c r="BB820" i="76"/>
  <c r="X1027" i="76"/>
  <c r="BE86" i="76"/>
  <c r="V1005" i="76"/>
  <c r="BA96" i="76"/>
  <c r="X1048" i="76"/>
  <c r="BE150" i="76"/>
  <c r="U977" i="76"/>
  <c r="V472" i="76"/>
  <c r="BD382" i="76"/>
  <c r="BF93" i="76"/>
  <c r="BA387" i="76"/>
  <c r="BE626" i="76"/>
  <c r="BF426" i="76"/>
  <c r="BB843" i="76"/>
  <c r="U332" i="76"/>
  <c r="BA530" i="76"/>
  <c r="Y354" i="76"/>
  <c r="X588" i="76"/>
  <c r="X196" i="76"/>
  <c r="BB670" i="76"/>
  <c r="V73" i="76"/>
  <c r="BB954" i="76"/>
  <c r="BA496" i="76"/>
  <c r="U704" i="76"/>
  <c r="V896" i="76"/>
  <c r="U312" i="76"/>
  <c r="T551" i="76"/>
  <c r="BC141" i="76"/>
  <c r="X321" i="76"/>
  <c r="BE816" i="76"/>
  <c r="U895" i="76"/>
  <c r="Y601" i="76"/>
  <c r="Y935" i="76"/>
  <c r="BA231" i="76"/>
  <c r="BF662" i="76"/>
  <c r="W666" i="76"/>
  <c r="BE864" i="76"/>
  <c r="BC901" i="76"/>
  <c r="W509" i="76"/>
  <c r="BD357" i="76"/>
  <c r="BB243" i="76"/>
  <c r="BC838" i="76"/>
  <c r="BD467" i="76"/>
  <c r="BD157" i="76"/>
  <c r="BF478" i="76"/>
  <c r="BB178" i="76"/>
  <c r="BA488" i="76"/>
  <c r="BF200" i="76"/>
  <c r="BE216" i="76"/>
  <c r="Y898" i="76"/>
  <c r="BE512" i="76"/>
  <c r="BB140" i="76"/>
  <c r="BC927" i="76"/>
  <c r="BD110" i="76"/>
  <c r="BA693" i="76"/>
  <c r="BF127" i="76"/>
  <c r="T773" i="76"/>
  <c r="BA981" i="76"/>
  <c r="Y727" i="76"/>
  <c r="V848" i="76"/>
  <c r="Y573" i="76"/>
  <c r="W325" i="76"/>
  <c r="BF245" i="76"/>
  <c r="X830" i="76"/>
  <c r="U94" i="76"/>
  <c r="V1030" i="76"/>
  <c r="V710" i="76"/>
  <c r="X1021" i="76"/>
  <c r="Q88" i="17"/>
  <c r="F201" i="17" s="1"/>
  <c r="X242" i="89"/>
  <c r="R263" i="89"/>
  <c r="R299" i="89"/>
  <c r="R167" i="89"/>
  <c r="R141" i="89"/>
  <c r="R262" i="89"/>
  <c r="R175" i="89"/>
  <c r="R270" i="89"/>
  <c r="Y111" i="89"/>
  <c r="Y178" i="89" s="1"/>
  <c r="R300" i="89"/>
  <c r="R236" i="89"/>
  <c r="R168" i="89"/>
  <c r="R204" i="89"/>
  <c r="S111" i="89"/>
  <c r="M111" i="89"/>
  <c r="T111" i="89" s="1"/>
  <c r="W282" i="19"/>
  <c r="BF466" i="76"/>
  <c r="Y474" i="76"/>
  <c r="T801" i="76"/>
  <c r="BE1001" i="76"/>
  <c r="U116" i="76"/>
  <c r="BA378" i="76"/>
  <c r="BA564" i="76"/>
  <c r="BB1026" i="76"/>
  <c r="BB564" i="76"/>
  <c r="BF830" i="76"/>
  <c r="BC239" i="76"/>
  <c r="BC993" i="76"/>
  <c r="BF669" i="76"/>
  <c r="U812" i="76"/>
  <c r="BA912" i="76"/>
  <c r="U873" i="76"/>
  <c r="BB896" i="76"/>
  <c r="BC186" i="76"/>
  <c r="BB340" i="76"/>
  <c r="BF626" i="76"/>
  <c r="X564" i="76"/>
  <c r="BD492" i="76"/>
  <c r="Y694" i="76"/>
  <c r="T1064" i="76"/>
  <c r="BC206" i="76"/>
  <c r="X312" i="76"/>
  <c r="BE73" i="76"/>
  <c r="BD180" i="76"/>
  <c r="BD1037" i="76"/>
  <c r="W231" i="76"/>
  <c r="Y378" i="76"/>
  <c r="BE709" i="76"/>
  <c r="BC851" i="76"/>
  <c r="Y488" i="76"/>
  <c r="BB206" i="76"/>
  <c r="BF559" i="76"/>
  <c r="BF992" i="76"/>
  <c r="X659" i="76"/>
  <c r="V166" i="76"/>
  <c r="BD999" i="76"/>
  <c r="U508" i="76"/>
  <c r="Y331" i="76"/>
  <c r="X94" i="76"/>
  <c r="BA418" i="76"/>
  <c r="BA794" i="76"/>
  <c r="BB608" i="76"/>
  <c r="U302" i="76"/>
  <c r="V274" i="76"/>
  <c r="T136" i="76"/>
  <c r="BA716" i="76"/>
  <c r="BA1049" i="76"/>
  <c r="BA148" i="76"/>
  <c r="V321" i="76"/>
  <c r="U530" i="76"/>
  <c r="X70" i="76"/>
  <c r="BF867" i="76"/>
  <c r="BB81" i="76"/>
  <c r="X121" i="76"/>
  <c r="Y190" i="76"/>
  <c r="Y641" i="76"/>
  <c r="BC1027" i="76"/>
  <c r="BC583" i="76"/>
  <c r="BE562" i="76"/>
  <c r="BA540" i="76"/>
  <c r="BF348" i="76"/>
  <c r="BF544" i="76"/>
  <c r="BF295" i="76"/>
  <c r="T461" i="76"/>
  <c r="BC424" i="76"/>
  <c r="X636" i="76"/>
  <c r="BA642" i="76"/>
  <c r="BE536" i="76"/>
  <c r="U294" i="76"/>
  <c r="T557" i="76"/>
  <c r="BE544" i="76"/>
  <c r="T465" i="76"/>
  <c r="BC481" i="76"/>
  <c r="U852" i="76"/>
  <c r="Y807" i="76"/>
  <c r="BB1057" i="76"/>
  <c r="Y795" i="76"/>
  <c r="BE318" i="76"/>
  <c r="BB379" i="76"/>
  <c r="BD660" i="76"/>
  <c r="BD819" i="76"/>
  <c r="BD435" i="76"/>
  <c r="X244" i="76"/>
  <c r="BB595" i="76"/>
  <c r="Y1034" i="76"/>
  <c r="BC384" i="76"/>
  <c r="X231" i="76"/>
  <c r="BD169" i="76"/>
  <c r="BF418" i="76"/>
  <c r="BA774" i="76"/>
  <c r="BC76" i="76"/>
  <c r="BE287" i="76"/>
  <c r="BC894" i="76"/>
  <c r="BF339" i="76"/>
  <c r="T79" i="76"/>
  <c r="W722" i="76"/>
  <c r="X622" i="76"/>
  <c r="T300" i="76"/>
  <c r="BF967" i="76"/>
  <c r="U822" i="76"/>
  <c r="T630" i="76"/>
  <c r="Y942" i="76"/>
  <c r="BF944" i="76"/>
  <c r="U418" i="76"/>
  <c r="BC397" i="76"/>
  <c r="BB743" i="76"/>
  <c r="X621" i="76"/>
  <c r="BE667" i="76"/>
  <c r="Y235" i="76"/>
  <c r="X263" i="76"/>
  <c r="BD603" i="76"/>
  <c r="BB806" i="76"/>
  <c r="Y968" i="76"/>
  <c r="BC578" i="76"/>
  <c r="BC575" i="76"/>
  <c r="U1030" i="76"/>
  <c r="BB603" i="76"/>
  <c r="BC125" i="76"/>
  <c r="BF827" i="76"/>
  <c r="BC117" i="76"/>
  <c r="BC338" i="76"/>
  <c r="T150" i="76"/>
  <c r="X108" i="76"/>
  <c r="W696" i="76"/>
  <c r="U266" i="76"/>
  <c r="BA899" i="76"/>
  <c r="BE489" i="76"/>
  <c r="W241" i="76"/>
  <c r="X184" i="76"/>
  <c r="BF875" i="76"/>
  <c r="BA163" i="76"/>
  <c r="BF1020" i="76"/>
  <c r="Y962" i="76"/>
  <c r="U970" i="76"/>
  <c r="BE911" i="76"/>
  <c r="BD445" i="76"/>
  <c r="BA262" i="76"/>
  <c r="BD160" i="76"/>
  <c r="X527" i="76"/>
  <c r="U433" i="76"/>
  <c r="BA380" i="76"/>
  <c r="BB592" i="76"/>
  <c r="BB362" i="76"/>
  <c r="W276" i="76"/>
  <c r="BC998" i="76"/>
  <c r="BE245" i="76"/>
  <c r="T364" i="76"/>
  <c r="BC914" i="76"/>
  <c r="BA1042" i="76"/>
  <c r="BD954" i="76"/>
  <c r="BB571" i="76"/>
  <c r="T155" i="76"/>
  <c r="U646" i="76"/>
  <c r="BD430" i="76"/>
  <c r="BB988" i="76"/>
  <c r="U1059" i="76"/>
  <c r="X314" i="76"/>
  <c r="BA935" i="76"/>
  <c r="T174" i="76"/>
  <c r="U227" i="76"/>
  <c r="BA83" i="76"/>
  <c r="BF477" i="76"/>
  <c r="BE669" i="76"/>
  <c r="Y291" i="76"/>
  <c r="T208" i="76"/>
  <c r="T1016" i="76"/>
  <c r="W178" i="76"/>
  <c r="W417" i="76"/>
  <c r="W112" i="76"/>
  <c r="X798" i="76"/>
  <c r="BC649" i="76"/>
  <c r="BB568" i="76"/>
  <c r="T177" i="76"/>
  <c r="U208" i="76"/>
  <c r="T484" i="76"/>
  <c r="BF308" i="76"/>
  <c r="BD783" i="76"/>
  <c r="BC266" i="76"/>
  <c r="BF762" i="76"/>
  <c r="BB223" i="76"/>
  <c r="BB676" i="76"/>
  <c r="BD711" i="76"/>
  <c r="BE420" i="76"/>
  <c r="BB241" i="76"/>
  <c r="BC1051" i="76"/>
  <c r="BD377" i="76"/>
  <c r="Y411" i="76"/>
  <c r="BD809" i="76"/>
  <c r="BE477" i="76"/>
  <c r="BE765" i="76"/>
  <c r="BC249" i="76"/>
  <c r="BC834" i="76"/>
  <c r="T385" i="76"/>
  <c r="BC372" i="76"/>
  <c r="Y107" i="76"/>
  <c r="BA414" i="76"/>
  <c r="BF171" i="76"/>
  <c r="X801" i="76"/>
  <c r="W142" i="76"/>
  <c r="T587" i="76"/>
  <c r="Y696" i="76"/>
  <c r="BE699" i="76"/>
  <c r="BF321" i="76"/>
  <c r="Y104" i="76"/>
  <c r="BB967" i="76"/>
  <c r="BE321" i="76"/>
  <c r="BA662" i="76"/>
  <c r="Y911" i="76"/>
  <c r="BE707" i="76"/>
  <c r="V528" i="76"/>
  <c r="BA846" i="76"/>
  <c r="BE212" i="76"/>
  <c r="BC279" i="76"/>
  <c r="V1020" i="76"/>
  <c r="X816" i="76"/>
  <c r="BD593" i="76"/>
  <c r="X655" i="76"/>
  <c r="X519" i="76"/>
  <c r="W577" i="76"/>
  <c r="V341" i="76"/>
  <c r="Y526" i="76"/>
  <c r="T314" i="76"/>
  <c r="W657" i="76"/>
  <c r="T158" i="76"/>
  <c r="BE380" i="76"/>
  <c r="T572" i="76"/>
  <c r="BD924" i="76"/>
  <c r="BF337" i="76"/>
  <c r="U239" i="76"/>
  <c r="BD695" i="76"/>
  <c r="V556" i="76"/>
  <c r="W913" i="76"/>
  <c r="W154" i="76"/>
  <c r="BB963" i="76"/>
  <c r="BF144" i="76"/>
  <c r="Y713" i="76"/>
  <c r="T391" i="76"/>
  <c r="BA1026" i="76"/>
  <c r="U482" i="76"/>
  <c r="W540" i="76"/>
  <c r="U564" i="76"/>
  <c r="BD113" i="76"/>
  <c r="T501" i="76"/>
  <c r="BE244" i="76"/>
  <c r="BD339" i="76"/>
  <c r="V380" i="76"/>
  <c r="BB811" i="76"/>
  <c r="BD530" i="76"/>
  <c r="BD681" i="76"/>
  <c r="W556" i="76"/>
  <c r="Y994" i="76"/>
  <c r="X400" i="76"/>
  <c r="T581" i="76"/>
  <c r="BD132" i="76"/>
  <c r="X940" i="76"/>
  <c r="BB445" i="76"/>
  <c r="T548" i="76"/>
  <c r="BE873" i="76"/>
  <c r="BA251" i="76"/>
  <c r="X468" i="76"/>
  <c r="BD230" i="76"/>
  <c r="Y71" i="76"/>
  <c r="BF209" i="76"/>
  <c r="BF936" i="76"/>
  <c r="BB632" i="76"/>
  <c r="W192" i="76"/>
  <c r="BF731" i="76"/>
  <c r="W491" i="76"/>
  <c r="BF537" i="76"/>
  <c r="BA153" i="76"/>
  <c r="X341" i="76"/>
  <c r="BB121" i="76"/>
  <c r="V828" i="76"/>
  <c r="T1043" i="76"/>
  <c r="BD779" i="76"/>
  <c r="V113" i="76"/>
  <c r="BA471" i="76"/>
  <c r="Y652" i="76"/>
  <c r="W279" i="76"/>
  <c r="X658" i="76"/>
  <c r="W803" i="76"/>
  <c r="V442" i="76"/>
  <c r="Y675" i="76"/>
  <c r="T655" i="76"/>
  <c r="BD745" i="76"/>
  <c r="U124" i="76"/>
  <c r="W452" i="76"/>
  <c r="BF435" i="76"/>
  <c r="V289" i="76"/>
  <c r="U256" i="76"/>
  <c r="V666" i="76"/>
  <c r="X452" i="76"/>
  <c r="BA764" i="76"/>
  <c r="W321" i="76"/>
  <c r="V156" i="76"/>
  <c r="T936" i="76"/>
  <c r="V326" i="76"/>
  <c r="U732" i="76"/>
  <c r="BF139" i="76"/>
  <c r="BD488" i="76"/>
  <c r="BB93" i="76"/>
  <c r="BB442" i="76"/>
  <c r="BA198" i="76"/>
  <c r="BA403" i="76"/>
  <c r="BC113" i="76"/>
  <c r="BB813" i="76"/>
  <c r="BD240" i="76"/>
  <c r="BA925" i="76"/>
  <c r="BB846" i="76"/>
  <c r="X197" i="76"/>
  <c r="BA444" i="76"/>
  <c r="U1047" i="76"/>
  <c r="BD505" i="76"/>
  <c r="V563" i="76"/>
  <c r="BC590" i="76"/>
  <c r="X86" i="76"/>
  <c r="X980" i="76"/>
  <c r="BC408" i="76"/>
  <c r="U898" i="76"/>
  <c r="X713" i="76"/>
  <c r="X943" i="76"/>
  <c r="X962" i="76"/>
  <c r="U727" i="76"/>
  <c r="BB100" i="76"/>
  <c r="W415" i="76"/>
  <c r="T89" i="76"/>
  <c r="U296" i="76"/>
  <c r="W544" i="76"/>
  <c r="BC756" i="76"/>
  <c r="V1013" i="76"/>
  <c r="V109" i="76"/>
  <c r="X836" i="76"/>
  <c r="U280" i="76"/>
  <c r="BA360" i="76"/>
  <c r="T913" i="76"/>
  <c r="BD76" i="76"/>
  <c r="T884" i="76"/>
  <c r="BE112" i="76"/>
  <c r="T628" i="76"/>
  <c r="T477" i="76"/>
  <c r="Y466" i="76"/>
  <c r="T431" i="76"/>
  <c r="BA840" i="76"/>
  <c r="BF381" i="76"/>
  <c r="BC1050" i="76"/>
  <c r="T221" i="76"/>
  <c r="X606" i="76"/>
  <c r="X1033" i="76"/>
  <c r="X267" i="76"/>
  <c r="BC702" i="76"/>
  <c r="BA1060" i="76"/>
  <c r="BE540" i="76"/>
  <c r="V246" i="76"/>
  <c r="U595" i="76"/>
  <c r="Y765" i="76"/>
  <c r="BE391" i="76"/>
  <c r="BF380" i="76"/>
  <c r="BE98" i="76"/>
  <c r="V282" i="76"/>
  <c r="BD348" i="76"/>
  <c r="BC358" i="76"/>
  <c r="BA76" i="76"/>
  <c r="X229" i="76"/>
  <c r="BB305" i="76"/>
  <c r="BE337" i="76"/>
  <c r="BA895" i="76"/>
  <c r="V218" i="76"/>
  <c r="BD794" i="76"/>
  <c r="BA144" i="76"/>
  <c r="BC740" i="76"/>
  <c r="X270" i="76"/>
  <c r="U101" i="76"/>
  <c r="BF580" i="76"/>
  <c r="BF456" i="76"/>
  <c r="W149" i="76"/>
  <c r="U400" i="76"/>
  <c r="BA821" i="76"/>
  <c r="BF988" i="76"/>
  <c r="W1021" i="76"/>
  <c r="BA1007" i="76"/>
  <c r="BD795" i="76"/>
  <c r="BC951" i="76"/>
  <c r="BF482" i="76"/>
  <c r="BE139" i="76"/>
  <c r="BB513" i="76"/>
  <c r="Y796" i="76"/>
  <c r="W102" i="76"/>
  <c r="W888" i="76"/>
  <c r="BF687" i="76"/>
  <c r="BD523" i="76"/>
  <c r="Y776" i="76"/>
  <c r="V162" i="76"/>
  <c r="W968" i="76"/>
  <c r="BC136" i="76"/>
  <c r="BC843" i="76"/>
  <c r="Y829" i="76"/>
  <c r="T1014" i="76"/>
  <c r="Y232" i="76"/>
  <c r="BF77" i="76"/>
  <c r="W731" i="76"/>
  <c r="Y704" i="76"/>
  <c r="X855" i="76"/>
  <c r="U526" i="76"/>
  <c r="BF1007" i="76"/>
  <c r="T560" i="76"/>
  <c r="BE821" i="76"/>
  <c r="X569" i="76"/>
  <c r="BE323" i="76"/>
  <c r="W125" i="76"/>
  <c r="BB402" i="76"/>
  <c r="BD1064" i="76"/>
  <c r="BE727" i="76"/>
  <c r="BA409" i="76"/>
  <c r="BB773" i="76"/>
  <c r="W484" i="76"/>
  <c r="BA851" i="76"/>
  <c r="BE990" i="76"/>
  <c r="BB96" i="76"/>
  <c r="BB466" i="76"/>
  <c r="BB817" i="76"/>
  <c r="BC867" i="76"/>
  <c r="BF590" i="76"/>
  <c r="T727" i="76"/>
  <c r="V251" i="76"/>
  <c r="BD443" i="76"/>
  <c r="T251" i="76"/>
  <c r="BD341" i="76"/>
  <c r="V571" i="76"/>
  <c r="X809" i="76"/>
  <c r="BE126" i="76"/>
  <c r="T400" i="76"/>
  <c r="W542" i="76"/>
  <c r="BF766" i="76"/>
  <c r="BB335" i="76"/>
  <c r="BA914" i="76"/>
  <c r="BE273" i="76"/>
  <c r="BB671" i="76"/>
  <c r="BA88" i="76"/>
  <c r="W349" i="76"/>
  <c r="BD291" i="76"/>
  <c r="T424" i="76"/>
  <c r="BE1040" i="76"/>
  <c r="Y321" i="76"/>
  <c r="BC268" i="76"/>
  <c r="V339" i="76"/>
  <c r="BB840" i="76"/>
  <c r="V298" i="76"/>
  <c r="BB245" i="76"/>
  <c r="X734" i="76"/>
  <c r="BB522" i="76"/>
  <c r="T407" i="76"/>
  <c r="BD485" i="76"/>
  <c r="U341" i="76"/>
  <c r="BE164" i="76"/>
  <c r="BE542" i="76"/>
  <c r="T119" i="76"/>
  <c r="BE761" i="76"/>
  <c r="BE678" i="76"/>
  <c r="BF319" i="76"/>
  <c r="V555" i="76"/>
  <c r="U942" i="76"/>
  <c r="BB1012" i="76"/>
  <c r="BB897" i="76"/>
  <c r="BE295" i="76"/>
  <c r="BD672" i="76"/>
  <c r="BF614" i="76"/>
  <c r="X318" i="76"/>
  <c r="Y370" i="76"/>
  <c r="BB457" i="76"/>
  <c r="T142" i="76"/>
  <c r="BE497" i="76"/>
  <c r="T422" i="76"/>
  <c r="T408" i="76"/>
  <c r="BB761" i="76"/>
  <c r="T688" i="76"/>
  <c r="BD817" i="76"/>
  <c r="V69" i="76"/>
  <c r="BC496" i="76"/>
  <c r="Y388" i="76"/>
  <c r="Y972" i="76"/>
  <c r="Y886" i="76"/>
  <c r="BA993" i="76"/>
  <c r="U606" i="76"/>
  <c r="Y983" i="76"/>
  <c r="X1022" i="76"/>
  <c r="T923" i="76"/>
  <c r="U178" i="76"/>
  <c r="T336" i="76"/>
  <c r="X633" i="76"/>
  <c r="V368" i="76"/>
  <c r="V264" i="76"/>
  <c r="V476" i="76"/>
  <c r="BE534" i="76"/>
  <c r="V178" i="76"/>
  <c r="U368" i="76"/>
  <c r="U616" i="76"/>
  <c r="BB551" i="76"/>
  <c r="BD93" i="76"/>
  <c r="BC1018" i="76"/>
  <c r="BC918" i="76"/>
  <c r="V80" i="76"/>
  <c r="U297" i="76"/>
  <c r="X647" i="76"/>
  <c r="V1054" i="76"/>
  <c r="W661" i="76"/>
  <c r="Y173" i="76"/>
  <c r="T379" i="76"/>
  <c r="BD303" i="76"/>
  <c r="W103" i="76"/>
  <c r="W654" i="76"/>
  <c r="U231" i="76"/>
  <c r="BF403" i="76"/>
  <c r="Y191" i="76"/>
  <c r="Y297" i="76"/>
  <c r="X284" i="76"/>
  <c r="Y358" i="76"/>
  <c r="X607" i="76"/>
  <c r="BE472" i="76"/>
  <c r="W245" i="76"/>
  <c r="V683" i="76"/>
  <c r="BA595" i="76"/>
  <c r="W471" i="76"/>
  <c r="BF1047" i="76"/>
  <c r="T614" i="76"/>
  <c r="BC574" i="76"/>
  <c r="W625" i="76"/>
  <c r="BD1004" i="76"/>
  <c r="T553" i="76"/>
  <c r="BE553" i="76"/>
  <c r="Y599" i="76"/>
  <c r="BC1026" i="76"/>
  <c r="Y335" i="76"/>
  <c r="BF232" i="76"/>
  <c r="W391" i="76"/>
  <c r="BE760" i="76"/>
  <c r="W434" i="76"/>
  <c r="W225" i="76"/>
  <c r="BF560" i="76"/>
  <c r="BC166" i="76"/>
  <c r="Y633" i="76"/>
  <c r="V1027" i="76"/>
  <c r="BB313" i="76"/>
  <c r="W151" i="76"/>
  <c r="BD480" i="76"/>
  <c r="BD95" i="76"/>
  <c r="W401" i="76"/>
  <c r="Y151" i="76"/>
  <c r="BA976" i="76"/>
  <c r="T289" i="76"/>
  <c r="BA481" i="76"/>
  <c r="BE1004" i="76"/>
  <c r="W101" i="76"/>
  <c r="V674" i="76"/>
  <c r="BA203" i="76"/>
  <c r="BF802" i="76"/>
  <c r="BF1019" i="76"/>
  <c r="T138" i="76"/>
  <c r="Y863" i="76"/>
  <c r="BB715" i="76"/>
  <c r="BE1044" i="76"/>
  <c r="BD513" i="76"/>
  <c r="V864" i="76"/>
  <c r="Y750" i="76"/>
  <c r="U586" i="76"/>
  <c r="T686" i="76"/>
  <c r="X975" i="76"/>
  <c r="X826" i="76"/>
  <c r="T774" i="76"/>
  <c r="U567" i="76"/>
  <c r="BE467" i="76"/>
  <c r="U551" i="76"/>
  <c r="W413" i="76"/>
  <c r="Y86" i="76"/>
  <c r="BC625" i="76"/>
  <c r="V94" i="76"/>
  <c r="BE1020" i="76"/>
  <c r="BC892" i="76"/>
  <c r="BA417" i="76"/>
  <c r="U422" i="76"/>
  <c r="BE84" i="76"/>
  <c r="V860" i="76"/>
  <c r="U950" i="76"/>
  <c r="T533" i="76"/>
  <c r="BD1007" i="76"/>
  <c r="U185" i="76"/>
  <c r="BB863" i="76"/>
  <c r="BA950" i="76"/>
  <c r="BA988" i="76"/>
  <c r="BD97" i="76"/>
  <c r="Y410" i="76"/>
  <c r="BB937" i="76"/>
  <c r="T126" i="76"/>
  <c r="T321" i="76"/>
  <c r="BD119" i="76"/>
  <c r="T365" i="76"/>
  <c r="T191" i="76"/>
  <c r="V588" i="76"/>
  <c r="BE1054" i="76"/>
  <c r="X260" i="76"/>
  <c r="BA891" i="76"/>
  <c r="BF622" i="76"/>
  <c r="BB653" i="76"/>
  <c r="BF862" i="76"/>
  <c r="Y205" i="76"/>
  <c r="BD579" i="76"/>
  <c r="BD612" i="76"/>
  <c r="BE511" i="76"/>
  <c r="V87" i="76"/>
  <c r="BB536" i="76"/>
  <c r="BF571" i="76"/>
  <c r="BF186" i="76"/>
  <c r="Y789" i="76"/>
  <c r="BC151" i="76"/>
  <c r="X254" i="76"/>
  <c r="W291" i="76"/>
  <c r="BB370" i="76"/>
  <c r="BB194" i="76"/>
  <c r="BF148" i="76"/>
  <c r="X845" i="76"/>
  <c r="BF915" i="76"/>
  <c r="Y936" i="76"/>
  <c r="Y225" i="76"/>
  <c r="BB593" i="76"/>
  <c r="BD69" i="76"/>
  <c r="X540" i="76"/>
  <c r="T256" i="76"/>
  <c r="W181" i="76"/>
  <c r="Y593" i="76"/>
  <c r="V551" i="76"/>
  <c r="T602" i="76"/>
  <c r="Y896" i="76"/>
  <c r="T886" i="76"/>
  <c r="T442" i="76"/>
  <c r="BE398" i="76"/>
  <c r="X78" i="76"/>
  <c r="U519" i="76"/>
  <c r="BA308" i="76"/>
  <c r="BC770" i="76"/>
  <c r="BF567" i="76"/>
  <c r="BF587" i="76"/>
  <c r="BC552" i="76"/>
  <c r="W775" i="76"/>
  <c r="BE114" i="76"/>
  <c r="BA336" i="76"/>
  <c r="BB429" i="76"/>
  <c r="U521" i="76"/>
  <c r="BF400" i="76"/>
  <c r="BF441" i="76"/>
  <c r="BD398" i="76"/>
  <c r="BE535" i="76"/>
  <c r="Y800" i="76"/>
  <c r="W606" i="76"/>
  <c r="BD893" i="76"/>
  <c r="BD691" i="76"/>
  <c r="Y131" i="76"/>
  <c r="BA926" i="76"/>
  <c r="BC209" i="76"/>
  <c r="W147" i="76"/>
  <c r="T591" i="76"/>
  <c r="V975" i="76"/>
  <c r="BA392" i="76"/>
  <c r="BE110" i="76"/>
  <c r="BF314" i="76"/>
  <c r="Y738" i="76"/>
  <c r="BF916" i="76"/>
  <c r="BF247" i="76"/>
  <c r="BA294" i="76"/>
  <c r="U300" i="76"/>
  <c r="BC869" i="76"/>
  <c r="BA138" i="76"/>
  <c r="BE284" i="76"/>
  <c r="V386" i="76"/>
  <c r="BD841" i="76"/>
  <c r="BF102" i="76"/>
  <c r="BD273" i="76"/>
  <c r="V225" i="76"/>
  <c r="BE649" i="76"/>
  <c r="BE440" i="76"/>
  <c r="BF853" i="76"/>
  <c r="U69" i="76"/>
  <c r="BE165" i="76"/>
  <c r="BE501" i="76"/>
  <c r="T782" i="76"/>
  <c r="Y805" i="76"/>
  <c r="U144" i="76"/>
  <c r="BA1040" i="76"/>
  <c r="BF167" i="76"/>
  <c r="BA355" i="76"/>
  <c r="Y473" i="76"/>
  <c r="U357" i="76"/>
  <c r="BB472" i="76"/>
  <c r="BA311" i="76"/>
  <c r="BF573" i="76"/>
  <c r="BB694" i="76"/>
  <c r="BB665" i="76"/>
  <c r="BF277" i="76"/>
  <c r="X999" i="76"/>
  <c r="Y177" i="76"/>
  <c r="T755" i="76"/>
  <c r="BB307" i="76"/>
  <c r="BF598" i="76"/>
  <c r="Y598" i="76"/>
  <c r="W257" i="76"/>
  <c r="T1065" i="76"/>
  <c r="BC286" i="76"/>
  <c r="W877" i="76"/>
  <c r="W846" i="76"/>
  <c r="T669" i="76"/>
  <c r="V649" i="76"/>
  <c r="W998" i="76"/>
  <c r="T1060" i="76"/>
  <c r="V824" i="76"/>
  <c r="T737" i="76"/>
  <c r="BA535" i="76"/>
  <c r="BD867" i="76"/>
  <c r="BB733" i="76"/>
  <c r="BA323" i="76"/>
  <c r="BF159" i="76"/>
  <c r="BB253" i="76"/>
  <c r="W203" i="76"/>
  <c r="Y491" i="76"/>
  <c r="Y761" i="76"/>
  <c r="BA297" i="76"/>
  <c r="U140" i="76"/>
  <c r="W740" i="76"/>
  <c r="BC212" i="76"/>
  <c r="BC640" i="76"/>
  <c r="T665" i="76"/>
  <c r="V479" i="76"/>
  <c r="V979" i="76"/>
  <c r="BD772" i="76"/>
  <c r="BC546" i="76"/>
  <c r="BF588" i="76"/>
  <c r="BB214" i="76"/>
  <c r="V495" i="76"/>
  <c r="X305" i="76"/>
  <c r="BF432" i="76"/>
  <c r="V703" i="76"/>
  <c r="W823" i="76"/>
  <c r="BE487" i="76"/>
  <c r="BC556" i="76"/>
  <c r="U991" i="76"/>
  <c r="V585" i="76"/>
  <c r="V1010" i="76"/>
  <c r="BE457" i="76"/>
  <c r="Y82" i="76"/>
  <c r="X530" i="76"/>
  <c r="BE967" i="76"/>
  <c r="Y957" i="76"/>
  <c r="U352" i="76"/>
  <c r="Y500" i="76"/>
  <c r="V405" i="76"/>
  <c r="T950" i="76"/>
  <c r="U187" i="76"/>
  <c r="Y471" i="76"/>
  <c r="V128" i="76"/>
  <c r="T915" i="76"/>
  <c r="X95" i="76"/>
  <c r="Y648" i="76"/>
  <c r="BB1027" i="76"/>
  <c r="X889" i="76"/>
  <c r="BA613" i="76"/>
  <c r="T325" i="76"/>
  <c r="U695" i="76"/>
  <c r="BD555" i="76"/>
  <c r="BF854" i="76"/>
  <c r="U944" i="76"/>
  <c r="T860" i="76"/>
  <c r="BA1031" i="76"/>
  <c r="W139" i="76"/>
  <c r="BD144" i="76"/>
  <c r="BD263" i="76"/>
  <c r="X144" i="76"/>
  <c r="V595" i="76"/>
  <c r="V124" i="76"/>
  <c r="V133" i="76"/>
  <c r="BB207" i="76"/>
  <c r="W159" i="76"/>
  <c r="X160" i="76"/>
  <c r="T790" i="76"/>
  <c r="BE280" i="76"/>
  <c r="BC527" i="76"/>
  <c r="BD939" i="76"/>
  <c r="T315" i="76"/>
  <c r="W1018" i="76"/>
  <c r="BE793" i="76"/>
  <c r="X700" i="76"/>
  <c r="BE447" i="76"/>
  <c r="BD96" i="76"/>
  <c r="V582" i="76"/>
  <c r="U1046" i="76"/>
  <c r="T865" i="76"/>
  <c r="V1057" i="76"/>
  <c r="Y941" i="76"/>
  <c r="W984" i="76"/>
  <c r="T881" i="76"/>
  <c r="X461" i="76"/>
  <c r="BA745" i="76"/>
  <c r="U401" i="76"/>
  <c r="T476" i="76"/>
  <c r="BD1050" i="76"/>
  <c r="BE498" i="76"/>
  <c r="BC700" i="76"/>
  <c r="BC404" i="76"/>
  <c r="T806" i="76"/>
  <c r="BD1003" i="76"/>
  <c r="Y113" i="76"/>
  <c r="V872" i="76"/>
  <c r="BC600" i="76"/>
  <c r="W220" i="76"/>
  <c r="BE171" i="76"/>
  <c r="BF83" i="76"/>
  <c r="W200" i="76"/>
  <c r="T390" i="76"/>
  <c r="W469" i="76"/>
  <c r="BB443" i="76"/>
  <c r="W206" i="76"/>
  <c r="BB302" i="76"/>
  <c r="BA999" i="76"/>
  <c r="BB391" i="76"/>
  <c r="BD276" i="76"/>
  <c r="V161" i="76"/>
  <c r="BB239" i="76"/>
  <c r="BE690" i="76"/>
  <c r="BB197" i="76"/>
  <c r="V1043" i="76"/>
  <c r="BF976" i="76"/>
  <c r="BA495" i="76"/>
  <c r="BF1034" i="76"/>
  <c r="Y247" i="76"/>
  <c r="BD484" i="76"/>
  <c r="Y365" i="76"/>
  <c r="BB784" i="76"/>
  <c r="BA412" i="76"/>
  <c r="BD528" i="76"/>
  <c r="Y255" i="76"/>
  <c r="BD280" i="76"/>
  <c r="V1059" i="76"/>
  <c r="U268" i="76"/>
  <c r="U788" i="76"/>
  <c r="BC138" i="76"/>
  <c r="BB263" i="76"/>
  <c r="BE783" i="76"/>
  <c r="W763" i="76"/>
  <c r="BC609" i="76"/>
  <c r="BA742" i="76"/>
  <c r="BD742" i="76"/>
  <c r="BD618" i="76"/>
  <c r="V455" i="76"/>
  <c r="BE969" i="76"/>
  <c r="BA1034" i="76"/>
  <c r="BF984" i="76"/>
  <c r="BD344" i="76"/>
  <c r="BF393" i="76"/>
  <c r="U443" i="76"/>
  <c r="T225" i="76"/>
  <c r="T744" i="76"/>
  <c r="BE688" i="76"/>
  <c r="BF579" i="76"/>
  <c r="X639" i="76"/>
  <c r="W695" i="76"/>
  <c r="BE812" i="76"/>
  <c r="BB462" i="76"/>
  <c r="U498" i="76"/>
  <c r="V600" i="76"/>
  <c r="BF500" i="76"/>
  <c r="BA713" i="76"/>
  <c r="T415" i="76"/>
  <c r="J136" i="12"/>
  <c r="G29" i="28" s="1"/>
  <c r="G30" i="28"/>
  <c r="Z101" i="18" s="1"/>
  <c r="AY25" i="18" s="1"/>
  <c r="T60" i="83" s="1"/>
  <c r="U980" i="76"/>
  <c r="V662" i="76"/>
  <c r="X1015" i="76"/>
  <c r="Y438" i="76"/>
  <c r="Y966" i="76"/>
  <c r="V635" i="76"/>
  <c r="X852" i="76"/>
  <c r="T481" i="76"/>
  <c r="U887" i="76"/>
  <c r="T499" i="76"/>
  <c r="W828" i="76"/>
  <c r="V226" i="76"/>
  <c r="X785" i="76"/>
  <c r="U993" i="76"/>
  <c r="T818" i="76"/>
  <c r="V299" i="76"/>
  <c r="T932" i="76"/>
  <c r="V863" i="76"/>
  <c r="T912" i="76"/>
  <c r="V592" i="76"/>
  <c r="BC324" i="76"/>
  <c r="X512" i="76"/>
  <c r="W831" i="76"/>
  <c r="V292" i="76"/>
  <c r="BF373" i="76"/>
  <c r="T405" i="76"/>
  <c r="Y899" i="76"/>
  <c r="T241" i="76"/>
  <c r="BB637" i="76"/>
  <c r="W384" i="76"/>
  <c r="T460" i="76"/>
  <c r="T979" i="76"/>
  <c r="BB1019" i="76"/>
  <c r="BE764" i="76"/>
  <c r="X302" i="76"/>
  <c r="BA872" i="76"/>
  <c r="U866" i="76"/>
  <c r="X599" i="76"/>
  <c r="X85" i="76"/>
  <c r="U979" i="76"/>
  <c r="BC970" i="76"/>
  <c r="BA809" i="76"/>
  <c r="V409" i="76"/>
  <c r="BE698" i="76"/>
  <c r="T844" i="76"/>
  <c r="BA1008" i="76"/>
  <c r="V132" i="76"/>
  <c r="T841" i="76"/>
  <c r="BB1010" i="76"/>
  <c r="BF79" i="76"/>
  <c r="W207" i="76"/>
  <c r="BE538" i="76"/>
  <c r="X949" i="76"/>
  <c r="V852" i="76"/>
  <c r="T302" i="76"/>
  <c r="X879" i="76"/>
  <c r="BF816" i="76"/>
  <c r="BE469" i="76"/>
  <c r="Y229" i="76"/>
  <c r="BC377" i="76"/>
  <c r="T697" i="76"/>
  <c r="BC940" i="76"/>
  <c r="W793" i="76"/>
  <c r="BB249" i="76"/>
  <c r="BF324" i="76"/>
  <c r="W780" i="76"/>
  <c r="W590" i="76"/>
  <c r="U574" i="76"/>
  <c r="V1061" i="76"/>
  <c r="T754" i="76"/>
  <c r="T1019" i="76"/>
  <c r="T521" i="76"/>
  <c r="Y904" i="76"/>
  <c r="V598" i="76"/>
  <c r="V905" i="76"/>
  <c r="Y374" i="76"/>
  <c r="Y947" i="76"/>
  <c r="U741" i="76"/>
  <c r="T788" i="76"/>
  <c r="Y415" i="76"/>
  <c r="U735" i="76"/>
  <c r="Y614" i="76"/>
  <c r="W707" i="76"/>
  <c r="T601" i="76"/>
  <c r="BF522" i="76"/>
  <c r="T475" i="76"/>
  <c r="X578" i="76"/>
  <c r="W355" i="76"/>
  <c r="BE190" i="76"/>
  <c r="W519" i="76"/>
  <c r="U982" i="76"/>
  <c r="Y290" i="76"/>
  <c r="BD705" i="76"/>
  <c r="X414" i="76"/>
  <c r="Y717" i="76"/>
  <c r="BF447" i="76"/>
  <c r="Y475" i="76"/>
  <c r="BB725" i="76"/>
  <c r="U417" i="76"/>
  <c r="BD750" i="76"/>
  <c r="BD259" i="76"/>
  <c r="W106" i="76"/>
  <c r="Y670" i="76"/>
  <c r="BE868" i="76"/>
  <c r="BE935" i="76"/>
  <c r="BA407" i="76"/>
  <c r="Y517" i="76"/>
  <c r="BD590" i="76"/>
  <c r="BA372" i="76"/>
  <c r="U76" i="76"/>
  <c r="W456" i="76"/>
  <c r="BB801" i="76"/>
  <c r="BC984" i="76"/>
  <c r="BB833" i="76"/>
  <c r="X261" i="76"/>
  <c r="BF430" i="76"/>
  <c r="BE527" i="76"/>
  <c r="W425" i="76"/>
  <c r="T637" i="76"/>
  <c r="BA89" i="76"/>
  <c r="BD1040" i="76"/>
  <c r="BA514" i="76"/>
  <c r="V398" i="76"/>
  <c r="BD269" i="76"/>
  <c r="Y1032" i="76"/>
  <c r="U293" i="76"/>
  <c r="BB958" i="76"/>
  <c r="BC437" i="76"/>
  <c r="BF112" i="76"/>
  <c r="U858" i="76"/>
  <c r="Y682" i="76"/>
  <c r="U975" i="76"/>
  <c r="BE923" i="76"/>
  <c r="U964" i="76"/>
  <c r="T543" i="76"/>
  <c r="Y887" i="76"/>
  <c r="BE932" i="76"/>
  <c r="X867" i="76"/>
  <c r="W1040" i="76"/>
  <c r="T625" i="76"/>
  <c r="V997" i="76"/>
  <c r="T842" i="76"/>
  <c r="U1036" i="76"/>
  <c r="T444" i="76"/>
  <c r="T824" i="76"/>
  <c r="T849" i="76"/>
  <c r="T804" i="76"/>
  <c r="V766" i="76"/>
  <c r="BB417" i="76"/>
  <c r="V813" i="76"/>
  <c r="W1031" i="76"/>
  <c r="V583" i="76"/>
  <c r="BB87" i="76"/>
  <c r="X692" i="76"/>
  <c r="U739" i="76"/>
  <c r="X496" i="76"/>
  <c r="BF714" i="76"/>
  <c r="X764" i="76"/>
  <c r="T746" i="76"/>
  <c r="BB974" i="76"/>
  <c r="U386" i="76"/>
  <c r="BD793" i="76"/>
  <c r="V447" i="76"/>
  <c r="BC646" i="76"/>
  <c r="BC637" i="76"/>
  <c r="X555" i="76"/>
  <c r="W744" i="76"/>
  <c r="BE386" i="76"/>
  <c r="Y275" i="76"/>
  <c r="BC474" i="76"/>
  <c r="V682" i="76"/>
  <c r="BD486" i="76"/>
  <c r="BB875" i="76"/>
  <c r="Y176" i="76"/>
  <c r="W613" i="76"/>
  <c r="BC629" i="76"/>
  <c r="U402" i="76"/>
  <c r="BD890" i="76"/>
  <c r="U408" i="76"/>
  <c r="BB325" i="76"/>
  <c r="BF210" i="76"/>
  <c r="V362" i="76"/>
  <c r="Y912" i="76"/>
  <c r="BB534" i="76"/>
  <c r="U176" i="76"/>
  <c r="BA541" i="76"/>
  <c r="U485" i="76"/>
  <c r="BD165" i="76"/>
  <c r="BD184" i="76"/>
  <c r="V134" i="76"/>
  <c r="BD511" i="76"/>
  <c r="BF121" i="76"/>
  <c r="BD889" i="76"/>
  <c r="T722" i="76"/>
  <c r="Y869" i="76"/>
  <c r="V618" i="76"/>
  <c r="V1044" i="76"/>
  <c r="X220" i="76"/>
  <c r="W1068" i="76"/>
  <c r="U604" i="76"/>
  <c r="W942" i="76"/>
  <c r="X929" i="76"/>
  <c r="BB873" i="76"/>
  <c r="U693" i="76"/>
  <c r="T889" i="76"/>
  <c r="BA550" i="76"/>
  <c r="X1032" i="76"/>
  <c r="BD662" i="76"/>
  <c r="X702" i="76"/>
  <c r="V599" i="76"/>
  <c r="BD844" i="76"/>
  <c r="T634" i="76"/>
  <c r="Y238" i="76"/>
  <c r="BA593" i="76"/>
  <c r="BC973" i="76"/>
  <c r="Y514" i="76"/>
  <c r="V404" i="76"/>
  <c r="Y287" i="76"/>
  <c r="BF382" i="76"/>
  <c r="BC742" i="76"/>
  <c r="U502" i="76"/>
  <c r="W569" i="76"/>
  <c r="T90" i="76"/>
  <c r="BF413" i="76"/>
  <c r="BC582" i="76"/>
  <c r="X334" i="76"/>
  <c r="W215" i="76"/>
  <c r="Y219" i="76"/>
  <c r="BC800" i="76"/>
  <c r="BF422" i="76"/>
  <c r="U454" i="76"/>
  <c r="BF329" i="76"/>
  <c r="T280" i="76"/>
  <c r="Y347" i="76"/>
  <c r="BD699" i="76"/>
  <c r="Y451" i="76"/>
  <c r="BD394" i="76"/>
  <c r="W820" i="76"/>
  <c r="BD298" i="76"/>
  <c r="BE506" i="76"/>
  <c r="BB1068" i="76"/>
  <c r="BC461" i="76"/>
  <c r="BD931" i="76"/>
  <c r="V504" i="76"/>
  <c r="W565" i="76"/>
  <c r="T75" i="76"/>
  <c r="V502" i="76"/>
  <c r="BE382" i="76"/>
  <c r="BB404" i="76"/>
  <c r="BA521" i="76"/>
  <c r="BC857" i="76"/>
  <c r="X252" i="76"/>
  <c r="BC974" i="76"/>
  <c r="BD324" i="76"/>
  <c r="Y350" i="76"/>
  <c r="U816" i="76"/>
  <c r="Y1019" i="76"/>
  <c r="T570" i="76"/>
  <c r="X976" i="76"/>
  <c r="V812" i="76"/>
  <c r="W995" i="76"/>
  <c r="V423" i="76"/>
  <c r="T1048" i="76"/>
  <c r="T778" i="76"/>
  <c r="U971" i="76"/>
  <c r="U542" i="76"/>
  <c r="X898" i="76"/>
  <c r="U640" i="76"/>
  <c r="W894" i="76"/>
  <c r="U329" i="76"/>
  <c r="X710" i="76"/>
  <c r="T577" i="76"/>
  <c r="T683" i="76"/>
  <c r="W372" i="76"/>
  <c r="BD436" i="76"/>
  <c r="Y525" i="76"/>
  <c r="W574" i="76"/>
  <c r="V477" i="76"/>
  <c r="BA104" i="76"/>
  <c r="Y677" i="76"/>
  <c r="X965" i="76"/>
  <c r="U356" i="76"/>
  <c r="BF536" i="76"/>
  <c r="T328" i="76"/>
  <c r="U523" i="76"/>
  <c r="BA537" i="76"/>
  <c r="BF1010" i="76"/>
  <c r="BD556" i="76"/>
  <c r="W332" i="76"/>
  <c r="BF665" i="76"/>
  <c r="BB169" i="76"/>
  <c r="V253" i="76"/>
  <c r="X523" i="76"/>
  <c r="BF940" i="76"/>
  <c r="BE1059" i="76"/>
  <c r="BE239" i="76"/>
  <c r="U342" i="76"/>
  <c r="BF505" i="76"/>
  <c r="BE836" i="76"/>
  <c r="T186" i="76"/>
  <c r="W340" i="76"/>
  <c r="BA332" i="76"/>
  <c r="BA898" i="76"/>
  <c r="BC665" i="76"/>
  <c r="X651" i="76"/>
  <c r="BE344" i="76"/>
  <c r="U957" i="76"/>
  <c r="W148" i="76"/>
  <c r="U335" i="76"/>
  <c r="BC77" i="76"/>
  <c r="BF955" i="76"/>
  <c r="BF346" i="76"/>
  <c r="U279" i="76"/>
  <c r="BE185" i="76"/>
  <c r="Y1066" i="76"/>
  <c r="T72" i="76"/>
  <c r="BA273" i="76"/>
  <c r="BD858" i="76"/>
  <c r="BC814" i="76"/>
  <c r="W986" i="76"/>
  <c r="U808" i="76"/>
  <c r="V793" i="76"/>
  <c r="BE1047" i="76"/>
  <c r="Y830" i="76"/>
  <c r="W1002" i="76"/>
  <c r="V821" i="76"/>
  <c r="Y623" i="76"/>
  <c r="V732" i="76"/>
  <c r="X1068" i="76"/>
  <c r="W703" i="76"/>
  <c r="U1022" i="76"/>
  <c r="U734" i="76"/>
  <c r="U910" i="76"/>
  <c r="V359" i="76"/>
  <c r="U828" i="76"/>
  <c r="U785" i="76"/>
  <c r="T956" i="76"/>
  <c r="V722" i="76"/>
  <c r="BF332" i="76"/>
  <c r="X829" i="76"/>
  <c r="X797" i="76"/>
  <c r="Y580" i="76"/>
  <c r="BE902" i="76"/>
  <c r="U772" i="76"/>
  <c r="W882" i="76"/>
  <c r="X628" i="76"/>
  <c r="BB628" i="76"/>
  <c r="W563" i="76"/>
  <c r="U675" i="76"/>
  <c r="BE600" i="76"/>
  <c r="Y139" i="76"/>
  <c r="BF624" i="76"/>
  <c r="X362" i="76"/>
  <c r="BE561" i="76"/>
  <c r="BF135" i="76"/>
  <c r="T282" i="76"/>
  <c r="V814" i="76"/>
  <c r="BD84" i="76"/>
  <c r="T658" i="76"/>
  <c r="BE307" i="76"/>
  <c r="T485" i="76"/>
  <c r="BB400" i="76"/>
  <c r="BA505" i="76"/>
  <c r="U90" i="76"/>
  <c r="Y600" i="76"/>
  <c r="BA466" i="76"/>
  <c r="V220" i="76"/>
  <c r="BC692" i="76"/>
  <c r="V636" i="76"/>
  <c r="BF240" i="76"/>
  <c r="BC418" i="76"/>
  <c r="X215" i="76"/>
  <c r="X790" i="76"/>
  <c r="BF636" i="76"/>
  <c r="BE1046" i="76"/>
  <c r="BD374" i="76"/>
  <c r="V396" i="76"/>
  <c r="BF80" i="76"/>
  <c r="BE575" i="76"/>
  <c r="T546" i="76"/>
  <c r="BC243" i="76"/>
  <c r="BE822" i="76"/>
  <c r="BA934" i="76"/>
  <c r="X1020" i="76"/>
  <c r="W864" i="76"/>
  <c r="U996" i="76"/>
  <c r="W374" i="76"/>
  <c r="U1063" i="76"/>
  <c r="T993" i="76"/>
  <c r="V897" i="76"/>
  <c r="BF938" i="76"/>
  <c r="U960" i="76"/>
  <c r="W684" i="76"/>
  <c r="W790" i="76"/>
  <c r="BE983" i="76"/>
  <c r="V890" i="76"/>
  <c r="T646" i="76"/>
  <c r="Y626" i="76"/>
  <c r="W347" i="76"/>
  <c r="U997" i="76"/>
  <c r="U547" i="76"/>
  <c r="T649" i="76"/>
  <c r="BE225" i="76"/>
  <c r="X1065" i="76"/>
  <c r="U1004" i="76"/>
  <c r="X874" i="76"/>
  <c r="BE770" i="76"/>
  <c r="T957" i="76"/>
  <c r="Y934" i="76"/>
  <c r="X877" i="76"/>
  <c r="BA524" i="76"/>
  <c r="W926" i="76"/>
  <c r="X742" i="76"/>
  <c r="BA810" i="76"/>
  <c r="Y209" i="76"/>
  <c r="BB672" i="76"/>
  <c r="U632" i="76"/>
  <c r="Y681" i="76"/>
  <c r="BC1001" i="76"/>
  <c r="T357" i="76"/>
  <c r="V577" i="76"/>
  <c r="BA301" i="76"/>
  <c r="T506" i="76"/>
  <c r="BB512" i="76"/>
  <c r="V788" i="76"/>
  <c r="BA1035" i="76"/>
  <c r="BF199" i="76"/>
  <c r="Y495" i="76"/>
  <c r="Y1013" i="76"/>
  <c r="BE499" i="76"/>
  <c r="U143" i="76"/>
  <c r="BA351" i="76"/>
  <c r="T905" i="76"/>
  <c r="BE913" i="76"/>
  <c r="BB550" i="76"/>
  <c r="W243" i="76"/>
  <c r="V929" i="76"/>
  <c r="BF747" i="76"/>
  <c r="Y154" i="76"/>
  <c r="BC191" i="76"/>
  <c r="Y510" i="76"/>
  <c r="BF848" i="76"/>
  <c r="BF604" i="76"/>
  <c r="W296" i="76"/>
  <c r="BF88" i="76"/>
  <c r="BD610" i="76"/>
  <c r="Y114" i="76"/>
  <c r="X711" i="76"/>
  <c r="X505" i="76"/>
  <c r="V771" i="76"/>
  <c r="V671" i="76"/>
  <c r="X316" i="76"/>
  <c r="W650" i="76"/>
  <c r="Y1037" i="76"/>
  <c r="U889" i="76"/>
  <c r="V993" i="76"/>
  <c r="U148" i="76"/>
  <c r="T654" i="76"/>
  <c r="U818" i="76"/>
  <c r="BD350" i="76"/>
  <c r="T874" i="76"/>
  <c r="BE729" i="76"/>
  <c r="W493" i="76"/>
  <c r="X473" i="76"/>
  <c r="BC705" i="76"/>
  <c r="U939" i="76"/>
  <c r="V448" i="76"/>
  <c r="BF389" i="76"/>
  <c r="BD876" i="76"/>
  <c r="V877" i="76"/>
  <c r="Y844" i="76"/>
  <c r="W416" i="76"/>
  <c r="BF815" i="76"/>
  <c r="BB968" i="76"/>
  <c r="V924" i="76"/>
  <c r="V760" i="76"/>
  <c r="U326" i="76"/>
  <c r="BE496" i="76"/>
  <c r="BA1017" i="76"/>
  <c r="T752" i="76"/>
  <c r="W603" i="76"/>
  <c r="V345" i="76"/>
  <c r="BD172" i="76"/>
  <c r="X103" i="76"/>
  <c r="T563" i="76"/>
  <c r="BD471" i="76"/>
  <c r="Y678" i="76"/>
  <c r="Y821" i="76"/>
  <c r="BE510" i="76"/>
  <c r="Y747" i="76"/>
  <c r="BA686" i="76"/>
  <c r="BE147" i="76"/>
  <c r="BF459" i="76"/>
  <c r="BB122" i="76"/>
  <c r="T91" i="76"/>
  <c r="BA357" i="76"/>
  <c r="X212" i="76"/>
  <c r="W615" i="76"/>
  <c r="X823" i="76"/>
  <c r="V358" i="76"/>
  <c r="X967" i="76"/>
  <c r="BF267" i="76"/>
  <c r="BE879" i="76"/>
  <c r="BA82" i="76"/>
  <c r="BD466" i="76"/>
  <c r="U142" i="76"/>
  <c r="X456" i="76"/>
  <c r="BF931" i="76"/>
  <c r="T207" i="76"/>
  <c r="W930" i="76"/>
  <c r="W663" i="76"/>
  <c r="W741" i="76"/>
  <c r="BA961" i="76"/>
  <c r="T862" i="76"/>
  <c r="U609" i="76"/>
  <c r="W583" i="76"/>
  <c r="BF1041" i="76"/>
  <c r="V898" i="76"/>
  <c r="T982" i="76"/>
  <c r="Y554" i="76"/>
  <c r="X1045" i="76"/>
  <c r="U909" i="76"/>
  <c r="V1063" i="76"/>
  <c r="U621" i="76"/>
  <c r="V880" i="76"/>
  <c r="V716" i="76"/>
  <c r="T858" i="76"/>
  <c r="T495" i="76"/>
  <c r="BB247" i="76"/>
  <c r="T977" i="76"/>
  <c r="W745" i="76"/>
  <c r="X370" i="76"/>
  <c r="BB788" i="76"/>
  <c r="U747" i="76"/>
  <c r="V837" i="76"/>
  <c r="X383" i="76"/>
  <c r="BD543" i="76"/>
  <c r="V518" i="76"/>
  <c r="Y730" i="76"/>
  <c r="BD299" i="76"/>
  <c r="W230" i="76"/>
  <c r="BA451" i="76"/>
  <c r="U634" i="76"/>
  <c r="BB475" i="76"/>
  <c r="BD807" i="76"/>
  <c r="W165" i="76"/>
  <c r="U543" i="76"/>
  <c r="BF460" i="76"/>
  <c r="X279" i="76"/>
  <c r="BC840" i="76"/>
  <c r="Y398" i="76"/>
  <c r="BF315" i="76"/>
  <c r="BB164" i="76"/>
  <c r="U336" i="76"/>
  <c r="T1045" i="76"/>
  <c r="BC728" i="76"/>
  <c r="W135" i="76"/>
  <c r="BE523" i="76"/>
  <c r="X470" i="76"/>
  <c r="BB154" i="76"/>
  <c r="BD71" i="76"/>
  <c r="T123" i="76"/>
  <c r="W794" i="76"/>
  <c r="BF711" i="76"/>
  <c r="BA960" i="76"/>
  <c r="BF206" i="76"/>
  <c r="Y577" i="76"/>
  <c r="BB880" i="76"/>
  <c r="BD728" i="76"/>
  <c r="X243" i="76"/>
  <c r="BD769" i="76"/>
  <c r="BD651" i="76"/>
  <c r="BB1043" i="76"/>
  <c r="W1045" i="76"/>
  <c r="X755" i="76"/>
  <c r="V1023" i="76"/>
  <c r="T196" i="76"/>
  <c r="W966" i="76"/>
  <c r="Y711" i="76"/>
  <c r="T1041" i="76"/>
  <c r="BD852" i="76"/>
  <c r="Y993" i="76"/>
  <c r="W599" i="76"/>
  <c r="V792" i="76"/>
  <c r="BC897" i="76"/>
  <c r="W911" i="76"/>
  <c r="Y529" i="76"/>
  <c r="T593" i="76"/>
  <c r="Y455" i="76"/>
  <c r="U1050" i="76"/>
  <c r="Y1067" i="76"/>
  <c r="V1037" i="76"/>
  <c r="BA139" i="76"/>
  <c r="U934" i="76"/>
  <c r="V1031" i="76"/>
  <c r="X897" i="76"/>
  <c r="BA684" i="76"/>
  <c r="X834" i="76"/>
  <c r="Y879" i="76"/>
  <c r="X637" i="76"/>
  <c r="BE439" i="76"/>
  <c r="W927" i="76"/>
  <c r="T511" i="76"/>
  <c r="BD577" i="76"/>
  <c r="V118" i="76"/>
  <c r="BD587" i="76"/>
  <c r="U603" i="76"/>
  <c r="BC1005" i="76"/>
  <c r="BE556" i="76"/>
  <c r="T252" i="76"/>
  <c r="Y976" i="76"/>
  <c r="BA773" i="76"/>
  <c r="U230" i="76"/>
  <c r="BF427" i="76"/>
  <c r="V746" i="76"/>
  <c r="BC875" i="76"/>
  <c r="BE997" i="76"/>
  <c r="U328" i="76"/>
  <c r="T955" i="76"/>
  <c r="BA264" i="76"/>
  <c r="U499" i="76"/>
  <c r="BD266" i="76"/>
  <c r="Y603" i="76"/>
  <c r="V139" i="76"/>
  <c r="BF1013" i="76"/>
  <c r="X522" i="76"/>
  <c r="Y775" i="76"/>
  <c r="BB509" i="76"/>
  <c r="W301" i="76"/>
  <c r="BE106" i="76"/>
  <c r="X648" i="76"/>
  <c r="BA763" i="76"/>
  <c r="BD256" i="76"/>
  <c r="T170" i="76"/>
  <c r="BD694" i="76"/>
  <c r="BD439" i="76"/>
  <c r="V500" i="76"/>
  <c r="W978" i="76"/>
  <c r="V922" i="76"/>
  <c r="X712" i="76"/>
  <c r="U214" i="76"/>
  <c r="T736" i="76"/>
  <c r="X691" i="76"/>
  <c r="U558" i="76"/>
  <c r="W462" i="76"/>
  <c r="W981" i="76"/>
  <c r="W693" i="76"/>
  <c r="W947" i="76"/>
  <c r="T213" i="76"/>
  <c r="T1033" i="76"/>
  <c r="W630" i="76"/>
  <c r="U797" i="76"/>
  <c r="BB1040" i="76"/>
  <c r="X912" i="76"/>
  <c r="T767" i="76"/>
  <c r="V851" i="76"/>
  <c r="BF1000" i="76"/>
  <c r="BF948" i="76"/>
  <c r="Y1009" i="76"/>
  <c r="U677" i="76"/>
  <c r="BF577" i="76"/>
  <c r="BB128" i="76"/>
  <c r="Y569" i="76"/>
  <c r="W522" i="76"/>
  <c r="BA330" i="76"/>
  <c r="X1060" i="76"/>
  <c r="V1053" i="76"/>
  <c r="BD226" i="76"/>
  <c r="U493" i="76"/>
  <c r="BD483" i="76"/>
  <c r="W804" i="76"/>
  <c r="BD1043" i="76"/>
  <c r="BB621" i="76"/>
  <c r="W368" i="76"/>
  <c r="V902" i="76"/>
  <c r="BE842" i="76"/>
  <c r="V165" i="76"/>
  <c r="BB322" i="76"/>
  <c r="X775" i="76"/>
  <c r="V374" i="76"/>
  <c r="BA304" i="76"/>
  <c r="W397" i="76"/>
  <c r="U863" i="76"/>
  <c r="BF586" i="76"/>
  <c r="Y344" i="76"/>
  <c r="BB163" i="76"/>
  <c r="Y684" i="76"/>
  <c r="BD932" i="76"/>
  <c r="BA730" i="76"/>
  <c r="T211" i="76"/>
  <c r="W825" i="76"/>
  <c r="BE329" i="76"/>
  <c r="Y128" i="76"/>
  <c r="BA907" i="76"/>
  <c r="V742" i="76"/>
  <c r="BD988" i="76"/>
  <c r="BB411" i="76"/>
  <c r="T322" i="76"/>
  <c r="V360" i="76"/>
  <c r="BC907" i="76"/>
  <c r="T350" i="76"/>
  <c r="Y1045" i="76"/>
  <c r="T875" i="76"/>
  <c r="W1001" i="76"/>
  <c r="X788" i="76"/>
  <c r="X301" i="76"/>
  <c r="Y875" i="76"/>
  <c r="U637" i="76"/>
  <c r="W891" i="76"/>
  <c r="V739" i="76"/>
  <c r="W183" i="76"/>
  <c r="T996" i="76"/>
  <c r="W1061" i="76"/>
  <c r="BC350" i="76"/>
  <c r="X565" i="76"/>
  <c r="X126" i="76"/>
  <c r="T891" i="76"/>
  <c r="V976" i="76"/>
  <c r="BA365" i="76"/>
  <c r="Y607" i="76"/>
  <c r="U841" i="76"/>
  <c r="BA244" i="76"/>
  <c r="W155" i="76"/>
  <c r="BB160" i="76"/>
  <c r="Y1010" i="76"/>
  <c r="W883" i="76"/>
  <c r="BA84" i="76"/>
  <c r="V116" i="76"/>
  <c r="BD417" i="76"/>
  <c r="X952" i="76"/>
  <c r="W704" i="76"/>
  <c r="BD665" i="76"/>
  <c r="W76" i="76"/>
  <c r="U1010" i="76"/>
  <c r="T733" i="76"/>
  <c r="U673" i="76"/>
  <c r="BC348" i="76"/>
  <c r="Y217" i="76"/>
  <c r="U1015" i="76"/>
  <c r="T290" i="76"/>
  <c r="BC568" i="76"/>
  <c r="U902" i="76"/>
  <c r="BE316" i="76"/>
  <c r="Y964" i="76"/>
  <c r="BE418" i="76"/>
  <c r="BD254" i="76"/>
  <c r="BA832" i="76"/>
  <c r="BC945" i="76"/>
  <c r="Y273" i="76"/>
  <c r="BA453" i="76"/>
  <c r="X445" i="76"/>
  <c r="Y1052" i="76"/>
  <c r="BF504" i="76"/>
  <c r="V574" i="76"/>
  <c r="BE772" i="76"/>
  <c r="BD218" i="76"/>
  <c r="BE1011" i="76"/>
  <c r="BF956" i="76"/>
  <c r="W95" i="76"/>
  <c r="T345" i="76"/>
  <c r="V831" i="76"/>
  <c r="W201" i="76"/>
  <c r="U532" i="76"/>
  <c r="T1067" i="76"/>
  <c r="Y672" i="76"/>
  <c r="W897" i="76"/>
  <c r="X122" i="76"/>
  <c r="U968" i="76"/>
  <c r="U916" i="76"/>
  <c r="Y755" i="76"/>
  <c r="BD1019" i="76"/>
  <c r="T836" i="76"/>
  <c r="T711" i="76"/>
  <c r="X573" i="76"/>
  <c r="BD1028" i="76"/>
  <c r="W812" i="76"/>
  <c r="Y636" i="76"/>
  <c r="U692" i="76"/>
  <c r="V1029" i="76"/>
  <c r="T987" i="76"/>
  <c r="V1009" i="76"/>
  <c r="U954" i="76"/>
  <c r="BA889" i="76"/>
  <c r="V951" i="76"/>
  <c r="W901" i="76"/>
  <c r="T749" i="76"/>
  <c r="BC599" i="76"/>
  <c r="Y838" i="76"/>
  <c r="X888" i="76"/>
  <c r="X688" i="76"/>
  <c r="BD353" i="76"/>
  <c r="Y989" i="76"/>
  <c r="V564" i="76"/>
  <c r="BF283" i="76"/>
  <c r="U442" i="76"/>
  <c r="BF502" i="76"/>
  <c r="Y706" i="76"/>
  <c r="BE1017" i="76"/>
  <c r="BD107" i="76"/>
  <c r="T468" i="76"/>
  <c r="T976" i="76"/>
  <c r="BD476" i="76"/>
  <c r="Y133" i="76"/>
  <c r="BE341" i="76"/>
  <c r="X815" i="76"/>
  <c r="BC1038" i="76"/>
  <c r="BB431" i="76"/>
  <c r="U232" i="76"/>
  <c r="W910" i="76"/>
  <c r="BD724" i="76"/>
  <c r="W131" i="76"/>
  <c r="BA180" i="76"/>
  <c r="W499" i="76"/>
  <c r="BB838" i="76"/>
  <c r="BB558" i="76"/>
  <c r="U273" i="76"/>
  <c r="Y873" i="76"/>
  <c r="BE215" i="76"/>
  <c r="V92" i="76"/>
  <c r="BF872" i="76"/>
  <c r="V483" i="76"/>
  <c r="BC678" i="76"/>
  <c r="BC164" i="76"/>
  <c r="V85" i="76"/>
  <c r="BD427" i="76"/>
  <c r="BF268" i="76"/>
  <c r="U277" i="76"/>
  <c r="W610" i="76"/>
  <c r="U984" i="76"/>
  <c r="W554" i="76"/>
  <c r="Y121" i="76"/>
  <c r="T573" i="76"/>
  <c r="U803" i="76"/>
  <c r="Y967" i="76"/>
  <c r="W156" i="76"/>
  <c r="T1003" i="76"/>
  <c r="U779" i="76"/>
  <c r="Y974" i="76"/>
  <c r="U128" i="76"/>
  <c r="U890" i="76"/>
  <c r="W723" i="76"/>
  <c r="V728" i="76"/>
  <c r="BD955" i="76"/>
  <c r="V610" i="76"/>
  <c r="U722" i="76"/>
  <c r="X593" i="76"/>
  <c r="BC822" i="76"/>
  <c r="BB545" i="76"/>
  <c r="W858" i="76"/>
  <c r="T692" i="76"/>
  <c r="BB491" i="76"/>
  <c r="BB646" i="76"/>
  <c r="X644" i="76"/>
  <c r="Y862" i="76"/>
  <c r="BC246" i="76"/>
  <c r="Y1000" i="76"/>
  <c r="W987" i="76"/>
  <c r="BF109" i="76"/>
  <c r="W264" i="76"/>
  <c r="BB397" i="76"/>
  <c r="X735" i="76"/>
  <c r="BF958" i="76"/>
  <c r="BC453" i="76"/>
  <c r="U658" i="76"/>
  <c r="Y866" i="76"/>
  <c r="BB724" i="76"/>
  <c r="X80" i="76"/>
  <c r="BD238" i="76"/>
  <c r="U857" i="76"/>
  <c r="BE1007" i="76"/>
  <c r="BF906" i="76"/>
  <c r="V286" i="76"/>
  <c r="X723" i="76"/>
  <c r="BC468" i="76"/>
  <c r="U205" i="76"/>
  <c r="BD78" i="76"/>
  <c r="T643" i="76"/>
  <c r="BF1063" i="76"/>
  <c r="BC561" i="76"/>
  <c r="T447" i="76"/>
  <c r="T599" i="76"/>
  <c r="BC211" i="76"/>
  <c r="U465" i="76"/>
  <c r="BF790" i="76"/>
  <c r="W726" i="76"/>
  <c r="BB902" i="76"/>
  <c r="BB237" i="76"/>
  <c r="V801" i="76"/>
  <c r="W92" i="76"/>
  <c r="BC926" i="76"/>
  <c r="T568" i="76"/>
  <c r="X708" i="76"/>
  <c r="V923" i="76"/>
  <c r="U655" i="76"/>
  <c r="V734" i="76"/>
  <c r="T667" i="76"/>
  <c r="Y895" i="76"/>
  <c r="U560" i="76"/>
  <c r="V221" i="76"/>
  <c r="V530" i="76"/>
  <c r="U859" i="76"/>
  <c r="U751" i="76"/>
  <c r="V480" i="76"/>
  <c r="W1024" i="76"/>
  <c r="X892" i="76"/>
  <c r="U1062" i="76"/>
  <c r="T387" i="76"/>
  <c r="T949" i="76"/>
  <c r="T984" i="76"/>
  <c r="X1042" i="76"/>
  <c r="BC718" i="76"/>
  <c r="BA93" i="76"/>
  <c r="Y917" i="76"/>
  <c r="U849" i="76"/>
  <c r="BE387" i="76"/>
  <c r="BF455" i="76"/>
  <c r="T709" i="76"/>
  <c r="X955" i="76"/>
  <c r="BD141" i="76"/>
  <c r="BF676" i="76"/>
  <c r="U949" i="76"/>
  <c r="BA448" i="76"/>
  <c r="V302" i="76"/>
  <c r="BC289" i="76"/>
  <c r="T958" i="76"/>
  <c r="X401" i="76"/>
  <c r="BF520" i="76"/>
  <c r="X863" i="76"/>
  <c r="U769" i="76"/>
  <c r="BE193" i="76"/>
  <c r="Y309" i="76"/>
  <c r="BC130" i="76"/>
  <c r="V1060" i="76"/>
  <c r="T113" i="76"/>
  <c r="BC157" i="76"/>
  <c r="Y434" i="76"/>
  <c r="W982" i="76"/>
  <c r="BF813" i="76"/>
  <c r="X290" i="76"/>
  <c r="BA853" i="76"/>
  <c r="W1026" i="76"/>
  <c r="Y341" i="76"/>
  <c r="BC588" i="76"/>
  <c r="V521" i="76"/>
  <c r="Y662" i="76"/>
  <c r="BA556" i="76"/>
  <c r="V385" i="76"/>
  <c r="BE686" i="76"/>
  <c r="X818" i="76"/>
  <c r="BE994" i="76"/>
  <c r="BC271" i="76"/>
  <c r="X690" i="76"/>
  <c r="V612" i="76"/>
  <c r="Y111" i="76"/>
  <c r="Y366" i="76"/>
  <c r="W639" i="76"/>
  <c r="U1043" i="76"/>
  <c r="BD927" i="76"/>
  <c r="X925" i="76"/>
  <c r="X338" i="76"/>
  <c r="U1066" i="76"/>
  <c r="W778" i="76"/>
  <c r="BB1059" i="76"/>
  <c r="U781" i="76"/>
  <c r="V484" i="76"/>
  <c r="X848" i="76"/>
  <c r="T906" i="76"/>
  <c r="BE674" i="76"/>
  <c r="Y1021" i="76"/>
  <c r="X728" i="76"/>
  <c r="BE151" i="76"/>
  <c r="W779" i="76"/>
  <c r="BD98" i="76"/>
  <c r="V584" i="76"/>
  <c r="BD688" i="76"/>
  <c r="BA568" i="76"/>
  <c r="Y186" i="76"/>
  <c r="BA814" i="76"/>
  <c r="U1034" i="76"/>
  <c r="BD760" i="76"/>
  <c r="BD408" i="76"/>
  <c r="X200" i="76"/>
  <c r="BC169" i="76"/>
  <c r="W967" i="76"/>
  <c r="BA825" i="76"/>
  <c r="BE249" i="76"/>
  <c r="W474" i="76"/>
  <c r="BF516" i="76"/>
  <c r="U833" i="76"/>
  <c r="Y1011" i="76"/>
  <c r="BF89" i="76"/>
  <c r="W161" i="76"/>
  <c r="BC592" i="76"/>
  <c r="W931" i="76"/>
  <c r="BF515" i="76"/>
  <c r="BD287" i="76"/>
  <c r="BB126" i="76"/>
  <c r="BF429" i="76"/>
  <c r="BD293" i="76"/>
  <c r="BF705" i="76"/>
  <c r="BE450" i="76"/>
  <c r="X75" i="76"/>
  <c r="U473" i="76"/>
  <c r="BE265" i="76"/>
  <c r="X763" i="76"/>
  <c r="BA345" i="76"/>
  <c r="BD337" i="76"/>
  <c r="BE711" i="76"/>
  <c r="BF643" i="76"/>
  <c r="BB707" i="76"/>
  <c r="T566" i="76"/>
  <c r="BE747" i="76"/>
  <c r="W146" i="76"/>
  <c r="T843" i="76"/>
  <c r="W860" i="76"/>
  <c r="T426" i="76"/>
  <c r="U868" i="76"/>
  <c r="BB311" i="76"/>
  <c r="X509" i="76"/>
  <c r="V698" i="76"/>
  <c r="Y1003" i="76"/>
  <c r="Y1020" i="76"/>
  <c r="U963" i="76"/>
  <c r="X917" i="76"/>
  <c r="X947" i="76"/>
  <c r="W957" i="76"/>
  <c r="W662" i="76"/>
  <c r="Y645" i="76"/>
  <c r="BE211" i="76"/>
  <c r="V462" i="76"/>
  <c r="BC140" i="76"/>
  <c r="W1052" i="76"/>
  <c r="Y1002" i="76"/>
  <c r="BC831" i="76"/>
  <c r="BF312" i="76"/>
  <c r="Y166" i="76"/>
  <c r="W377" i="76"/>
  <c r="BD575" i="76"/>
  <c r="BF153" i="76"/>
  <c r="BB921" i="76"/>
  <c r="X201" i="76"/>
  <c r="BC318" i="76"/>
  <c r="BE878" i="76"/>
  <c r="BB977" i="76"/>
  <c r="Y305" i="76"/>
  <c r="BF968" i="76"/>
  <c r="BB704" i="76"/>
  <c r="V829" i="76"/>
  <c r="Y413" i="76"/>
  <c r="BC762" i="76"/>
  <c r="T607" i="76"/>
  <c r="Y760" i="76"/>
  <c r="V770" i="76"/>
  <c r="W621" i="76"/>
  <c r="U824" i="76"/>
  <c r="U583" i="76"/>
  <c r="X1052" i="76"/>
  <c r="T999" i="76"/>
  <c r="T868" i="76"/>
  <c r="V962" i="76"/>
  <c r="BD406" i="76"/>
  <c r="V794" i="76"/>
  <c r="BA130" i="76"/>
  <c r="W697" i="76"/>
  <c r="BC259" i="76"/>
  <c r="BA298" i="76"/>
  <c r="BE205" i="76"/>
  <c r="X110" i="76"/>
  <c r="X518" i="76"/>
  <c r="W582" i="76"/>
  <c r="BF842" i="76"/>
  <c r="U461" i="76"/>
  <c r="W802" i="76"/>
  <c r="BC663" i="76"/>
  <c r="BA760" i="76"/>
  <c r="BA1068" i="76"/>
  <c r="T421" i="76"/>
  <c r="BF407" i="76"/>
  <c r="BA600" i="76"/>
  <c r="BC908" i="76"/>
  <c r="U491" i="76"/>
  <c r="U137" i="76"/>
  <c r="Y893" i="76"/>
  <c r="W748" i="76"/>
  <c r="T854" i="76"/>
  <c r="Y718" i="76"/>
  <c r="U875" i="76"/>
  <c r="X672" i="76"/>
  <c r="U669" i="76"/>
  <c r="X537" i="76"/>
  <c r="T679" i="76"/>
  <c r="X631" i="76"/>
  <c r="BD148" i="76"/>
  <c r="X1004" i="76"/>
  <c r="BA710" i="76"/>
  <c r="T948" i="76"/>
  <c r="BF508" i="76"/>
  <c r="BA675" i="76"/>
  <c r="BF100" i="76"/>
  <c r="U851" i="76"/>
  <c r="V486" i="76"/>
  <c r="BD419" i="76"/>
  <c r="BE813" i="76"/>
  <c r="W166" i="76"/>
  <c r="T559" i="76"/>
  <c r="BB162" i="76"/>
  <c r="BF653" i="76"/>
  <c r="V207" i="76"/>
  <c r="U536" i="76"/>
  <c r="BB779" i="76"/>
  <c r="BF493" i="76"/>
  <c r="T157" i="76"/>
  <c r="Y532" i="76"/>
  <c r="V273" i="76"/>
  <c r="X781" i="76"/>
  <c r="Y440" i="76"/>
  <c r="V764" i="76"/>
  <c r="W1055" i="76"/>
  <c r="T983" i="76"/>
  <c r="X968" i="76"/>
  <c r="BF120" i="76"/>
  <c r="V663" i="76"/>
  <c r="V991" i="76"/>
  <c r="V206" i="76"/>
  <c r="BB631" i="76"/>
  <c r="BF795" i="76"/>
  <c r="BC406" i="76"/>
  <c r="V250" i="76"/>
  <c r="BE919" i="76"/>
  <c r="BA310" i="76"/>
  <c r="BC981" i="76"/>
  <c r="BB125" i="76"/>
  <c r="T549" i="76"/>
  <c r="W813" i="76"/>
  <c r="BD580" i="76"/>
  <c r="BD446" i="76"/>
  <c r="X287" i="76"/>
  <c r="W757" i="76"/>
  <c r="BA71" i="76"/>
  <c r="BC997" i="76"/>
  <c r="BB427" i="76"/>
  <c r="BF1004" i="76"/>
  <c r="BE293" i="76"/>
  <c r="T972" i="76"/>
  <c r="X600" i="76"/>
  <c r="BD759" i="76"/>
  <c r="BB922" i="76"/>
  <c r="BA117" i="76"/>
  <c r="BD145" i="76"/>
  <c r="X101" i="76"/>
  <c r="V719" i="76"/>
  <c r="T550" i="76"/>
  <c r="BE988" i="76"/>
  <c r="BD102" i="76"/>
  <c r="BA545" i="76"/>
  <c r="BA828" i="76"/>
  <c r="BF959" i="76"/>
  <c r="BB1003" i="76"/>
  <c r="U900" i="76"/>
  <c r="U544" i="76"/>
  <c r="BA254" i="76"/>
  <c r="BE550" i="76"/>
  <c r="BA178" i="76"/>
  <c r="BF149" i="76"/>
  <c r="BF935" i="76"/>
  <c r="BD912" i="76"/>
  <c r="T914" i="76"/>
  <c r="U556" i="76"/>
  <c r="BC265" i="76"/>
  <c r="BC571" i="76"/>
  <c r="BB265" i="76"/>
  <c r="BD170" i="76"/>
  <c r="BC956" i="76"/>
  <c r="BE955" i="76"/>
  <c r="Y864" i="76"/>
  <c r="V640" i="76"/>
  <c r="BE276" i="76"/>
  <c r="BA592" i="76"/>
  <c r="BC352" i="76"/>
  <c r="BB191" i="76"/>
  <c r="BA977" i="76"/>
  <c r="BA997" i="76"/>
  <c r="BB153" i="76"/>
  <c r="BB746" i="76"/>
  <c r="BC346" i="76"/>
  <c r="T715" i="76"/>
  <c r="BC70" i="76"/>
  <c r="T723" i="76"/>
  <c r="BE515" i="76"/>
  <c r="BE257" i="76"/>
  <c r="BE749" i="76"/>
  <c r="BC119" i="76"/>
  <c r="U622" i="76"/>
  <c r="BA754" i="76"/>
  <c r="V344" i="76"/>
  <c r="BD83" i="76"/>
  <c r="V283" i="76"/>
  <c r="BB749" i="76"/>
  <c r="T512" i="76"/>
  <c r="X911" i="76"/>
  <c r="Y503" i="76"/>
  <c r="T433" i="76"/>
  <c r="BC941" i="76"/>
  <c r="T879" i="76"/>
  <c r="BC706" i="76"/>
  <c r="U928" i="76"/>
  <c r="BD797" i="76"/>
  <c r="W501" i="76"/>
  <c r="U648" i="76"/>
  <c r="BC656" i="76"/>
  <c r="BA1059" i="76"/>
  <c r="BE366" i="76"/>
  <c r="BD1057" i="76"/>
  <c r="Y660" i="76"/>
  <c r="BC647" i="76"/>
  <c r="Y722" i="76"/>
  <c r="BF763" i="76"/>
  <c r="BB616" i="76"/>
  <c r="BF597" i="76"/>
  <c r="W552" i="76"/>
  <c r="BC966" i="76"/>
  <c r="BB971" i="76"/>
  <c r="X182" i="76"/>
  <c r="X206" i="76"/>
  <c r="W359" i="76"/>
  <c r="V761" i="76"/>
  <c r="BF634" i="76"/>
  <c r="BA101" i="76"/>
  <c r="BB319" i="76"/>
  <c r="Y493" i="76"/>
  <c r="BB868" i="76"/>
  <c r="U804" i="76"/>
  <c r="V651" i="76"/>
  <c r="Y650" i="76"/>
  <c r="T515" i="76"/>
  <c r="Y591" i="76"/>
  <c r="U715" i="76"/>
  <c r="T966" i="76"/>
  <c r="V1004" i="76"/>
  <c r="V763" i="76"/>
  <c r="V1011" i="76"/>
  <c r="BB824" i="76"/>
  <c r="X807" i="76"/>
  <c r="BC85" i="76"/>
  <c r="X657" i="76"/>
  <c r="BD632" i="76"/>
  <c r="BC182" i="76"/>
  <c r="BA119" i="76"/>
  <c r="V72" i="76"/>
  <c r="W423" i="76"/>
  <c r="BE802" i="76"/>
  <c r="BB835" i="76"/>
  <c r="T238" i="76"/>
  <c r="T504" i="76"/>
  <c r="BE546" i="76"/>
  <c r="BC675" i="76"/>
  <c r="BC983" i="76"/>
  <c r="W656" i="76"/>
  <c r="BD289" i="76"/>
  <c r="BC515" i="76"/>
  <c r="V123" i="76"/>
  <c r="W400" i="76"/>
  <c r="BE907" i="76"/>
  <c r="T741" i="76"/>
  <c r="V777" i="76"/>
  <c r="Y744" i="76"/>
  <c r="V614" i="76"/>
  <c r="V694" i="76"/>
  <c r="V789" i="76"/>
  <c r="Y586" i="76"/>
  <c r="X893" i="76"/>
  <c r="T963" i="76"/>
  <c r="T781" i="76"/>
  <c r="BE839" i="76"/>
  <c r="T1051" i="76"/>
  <c r="BC225" i="76"/>
  <c r="W853" i="76"/>
  <c r="BB156" i="76"/>
  <c r="BC526" i="76"/>
  <c r="BC942" i="76"/>
  <c r="V276" i="76"/>
  <c r="U535" i="76"/>
  <c r="BC269" i="76"/>
  <c r="BB727" i="76"/>
  <c r="Y81" i="76"/>
  <c r="V648" i="76"/>
  <c r="BB938" i="76"/>
  <c r="BB567" i="76"/>
  <c r="X453" i="76"/>
  <c r="W801" i="76"/>
  <c r="BD630" i="76"/>
  <c r="BE407" i="76"/>
  <c r="V296" i="76"/>
  <c r="X430" i="76"/>
  <c r="U74" i="76"/>
  <c r="X986" i="76"/>
  <c r="T756" i="76"/>
  <c r="W900" i="76"/>
  <c r="V916" i="76"/>
  <c r="T677" i="76"/>
  <c r="V859" i="76"/>
  <c r="Y680" i="76"/>
  <c r="V909" i="76"/>
  <c r="T787" i="76"/>
  <c r="W759" i="76"/>
  <c r="BB765" i="76"/>
  <c r="V685" i="76"/>
  <c r="BA854" i="76"/>
  <c r="T728" i="76"/>
  <c r="BD363" i="76"/>
  <c r="Y119" i="76"/>
  <c r="BA783" i="76"/>
  <c r="V186" i="76"/>
  <c r="T847" i="76"/>
  <c r="BA1025" i="76"/>
  <c r="BA623" i="76"/>
  <c r="U427" i="76"/>
  <c r="Y732" i="76"/>
  <c r="BA1062" i="76"/>
  <c r="BB463" i="76"/>
  <c r="U150" i="76"/>
  <c r="Y859" i="76"/>
  <c r="U270" i="76"/>
  <c r="BF303" i="76"/>
  <c r="W311" i="76"/>
  <c r="V856" i="76"/>
  <c r="X427" i="76"/>
  <c r="W889" i="76"/>
  <c r="U236" i="76"/>
  <c r="X684" i="76"/>
  <c r="V629" i="76"/>
  <c r="V1000" i="76"/>
  <c r="W935" i="76"/>
  <c r="X328" i="76"/>
  <c r="Y701" i="76"/>
  <c r="X679" i="76"/>
  <c r="V549" i="76"/>
  <c r="BA982" i="76"/>
  <c r="BA192" i="76"/>
  <c r="BB119" i="76"/>
  <c r="X586" i="76"/>
  <c r="U350" i="76"/>
  <c r="BC634" i="76"/>
  <c r="BD561" i="76"/>
  <c r="BE479" i="76"/>
  <c r="T514" i="76"/>
  <c r="U316" i="76"/>
  <c r="BF514" i="76"/>
  <c r="BB332" i="76"/>
  <c r="Y1001" i="76"/>
  <c r="X439" i="76"/>
  <c r="BD754" i="76"/>
  <c r="BD675" i="76"/>
  <c r="BF256" i="76"/>
  <c r="Y300" i="76"/>
  <c r="BF105" i="76"/>
  <c r="BC768" i="76"/>
  <c r="BA458" i="76"/>
  <c r="BE376" i="76"/>
  <c r="BF1067" i="76"/>
  <c r="BC569" i="76"/>
  <c r="BD968" i="76"/>
  <c r="W282" i="76"/>
  <c r="Y649" i="76"/>
  <c r="BC339" i="76"/>
  <c r="BC854" i="76"/>
  <c r="BF876" i="76"/>
  <c r="BF779" i="76"/>
  <c r="BF446" i="76"/>
  <c r="V100" i="76"/>
  <c r="T146" i="76"/>
  <c r="U1051" i="76"/>
  <c r="BB244" i="76"/>
  <c r="X135" i="76"/>
  <c r="BB989" i="76"/>
  <c r="BC445" i="76"/>
  <c r="BD638" i="76"/>
  <c r="U213" i="76"/>
  <c r="X392" i="76"/>
  <c r="W857" i="76"/>
  <c r="BD290" i="76"/>
  <c r="U238" i="76"/>
  <c r="BF1011" i="76"/>
  <c r="BB485" i="76"/>
  <c r="BB659" i="76"/>
  <c r="X292" i="76"/>
  <c r="W488" i="76"/>
  <c r="W1062" i="76"/>
  <c r="BE503" i="76"/>
  <c r="BB882" i="76"/>
  <c r="BD1032" i="76"/>
  <c r="BE531" i="76"/>
  <c r="BF681" i="76"/>
  <c r="W442" i="76"/>
  <c r="U676" i="76"/>
  <c r="BB469" i="76"/>
  <c r="W567" i="76"/>
  <c r="BD458" i="76"/>
  <c r="BA447" i="76"/>
  <c r="BB960" i="76"/>
  <c r="BC837" i="76"/>
  <c r="BE478" i="76"/>
  <c r="T98" i="76"/>
  <c r="BF838" i="76"/>
  <c r="BA476" i="76"/>
  <c r="BA826" i="76"/>
  <c r="BC723" i="76"/>
  <c r="BF318" i="76"/>
  <c r="BA653" i="76"/>
  <c r="BD386" i="76"/>
  <c r="BF855" i="76"/>
  <c r="BF735" i="76"/>
  <c r="BF807" i="76"/>
  <c r="BD881" i="76"/>
  <c r="BB625" i="76"/>
  <c r="W622" i="76"/>
  <c r="W494" i="76"/>
  <c r="T1034" i="76"/>
  <c r="BB797" i="76"/>
  <c r="BE385" i="76"/>
  <c r="Y565" i="76"/>
  <c r="V725" i="76"/>
  <c r="BD268" i="76"/>
  <c r="V424" i="76"/>
  <c r="T705" i="76"/>
  <c r="BF180" i="76"/>
  <c r="BD862" i="76"/>
  <c r="X223" i="76"/>
  <c r="BE708" i="76"/>
  <c r="BC222" i="76"/>
  <c r="T147" i="76"/>
  <c r="BA328" i="76"/>
  <c r="W265" i="76"/>
  <c r="V431" i="76"/>
  <c r="U430" i="76"/>
  <c r="BB182" i="76"/>
  <c r="BA182" i="76"/>
  <c r="BE778" i="76"/>
  <c r="BB552" i="76"/>
  <c r="BA842" i="76"/>
  <c r="X269" i="76"/>
  <c r="BD380" i="76"/>
  <c r="BE401" i="76"/>
  <c r="BB999" i="76"/>
  <c r="BF282" i="76"/>
  <c r="BF458" i="76"/>
  <c r="BE958" i="76"/>
  <c r="T1039" i="76"/>
  <c r="BB327" i="76"/>
  <c r="U392" i="76"/>
  <c r="X1008" i="76"/>
  <c r="BD352" i="76"/>
  <c r="BE980" i="76"/>
  <c r="T714" i="76"/>
  <c r="W361" i="76"/>
  <c r="BC323" i="76"/>
  <c r="Y298" i="76"/>
  <c r="T502" i="76"/>
  <c r="X151" i="76"/>
  <c r="X298" i="76"/>
  <c r="U1014" i="76"/>
  <c r="Y562" i="76"/>
  <c r="W769" i="76"/>
  <c r="U896" i="76"/>
  <c r="BA1057" i="76"/>
  <c r="Y909" i="76"/>
  <c r="X592" i="76"/>
  <c r="X1035" i="76"/>
  <c r="Y676" i="76"/>
  <c r="U946" i="76"/>
  <c r="Y349" i="76"/>
  <c r="W427" i="76"/>
  <c r="BE840" i="76"/>
  <c r="U872" i="76"/>
  <c r="BC428" i="76"/>
  <c r="V980" i="76"/>
  <c r="X503" i="76"/>
  <c r="BA822" i="76"/>
  <c r="Y227" i="76"/>
  <c r="W122" i="76"/>
  <c r="BB145" i="76"/>
  <c r="BA845" i="76"/>
  <c r="V589" i="76"/>
  <c r="U203" i="76"/>
  <c r="U108" i="76"/>
  <c r="Y927" i="76"/>
  <c r="V833" i="76"/>
  <c r="T965" i="76"/>
  <c r="Y818" i="76"/>
  <c r="T830" i="76"/>
  <c r="U656" i="76"/>
  <c r="X674" i="76"/>
  <c r="W600" i="76"/>
  <c r="W849" i="76"/>
  <c r="W743" i="76"/>
  <c r="BC501" i="76"/>
  <c r="W921" i="76"/>
  <c r="BD805" i="76"/>
  <c r="X924" i="76"/>
  <c r="BC765" i="76"/>
  <c r="BB408" i="76"/>
  <c r="BD802" i="76"/>
  <c r="U155" i="76"/>
  <c r="X546" i="76"/>
  <c r="BF152" i="76"/>
  <c r="BD642" i="76"/>
  <c r="Y178" i="76"/>
  <c r="U524" i="76"/>
  <c r="BF769" i="76"/>
  <c r="BE482" i="76"/>
  <c r="X139" i="76"/>
  <c r="Y516" i="76"/>
  <c r="BF513" i="76"/>
  <c r="BC321" i="76"/>
  <c r="Y99" i="76"/>
  <c r="T344" i="76"/>
  <c r="W182" i="76"/>
  <c r="X866" i="76"/>
  <c r="Y846" i="76"/>
  <c r="Y929" i="76"/>
  <c r="V748" i="76"/>
  <c r="Y785" i="76"/>
  <c r="U750" i="76"/>
  <c r="W750" i="76"/>
  <c r="X701" i="76"/>
  <c r="Y801" i="76"/>
  <c r="U774" i="76"/>
  <c r="BD596" i="76"/>
  <c r="X753" i="76"/>
  <c r="BA682" i="76"/>
  <c r="W852" i="76"/>
  <c r="BB189" i="76"/>
  <c r="BD1051" i="76"/>
  <c r="BC698" i="76"/>
  <c r="T102" i="76"/>
  <c r="V749" i="76"/>
  <c r="BD964" i="76"/>
  <c r="BC538" i="76"/>
  <c r="X236" i="76"/>
  <c r="U707" i="76"/>
  <c r="BB923" i="76"/>
  <c r="BA377" i="76"/>
  <c r="X640" i="76"/>
  <c r="X828" i="76"/>
  <c r="BA861" i="76"/>
  <c r="BD217" i="76"/>
  <c r="X183" i="76"/>
  <c r="W595" i="76"/>
  <c r="W352" i="76"/>
  <c r="U990" i="76"/>
  <c r="T1021" i="76"/>
  <c r="X910" i="76"/>
  <c r="Y1014" i="76"/>
  <c r="V878" i="76"/>
  <c r="U911" i="76"/>
  <c r="Y843" i="76"/>
  <c r="V684" i="76"/>
  <c r="V1046" i="76"/>
  <c r="V1026" i="76"/>
  <c r="BF664" i="76"/>
  <c r="W946" i="76"/>
  <c r="BA709" i="76"/>
  <c r="Y897" i="76"/>
  <c r="BD223" i="76"/>
  <c r="X246" i="76"/>
  <c r="BA922" i="76"/>
  <c r="U247" i="76"/>
  <c r="W945" i="76"/>
  <c r="V512" i="76"/>
  <c r="BD1042" i="76"/>
  <c r="X323" i="76"/>
  <c r="Y888" i="76"/>
  <c r="T95" i="76"/>
  <c r="BE993" i="76"/>
  <c r="X432" i="76"/>
  <c r="W875" i="76"/>
  <c r="X155" i="76"/>
  <c r="BF1056" i="76"/>
  <c r="Y218" i="76"/>
  <c r="X831" i="76"/>
  <c r="V875" i="76"/>
  <c r="BE666" i="76"/>
  <c r="U630" i="76"/>
  <c r="U791" i="76"/>
  <c r="Y784" i="76"/>
  <c r="U932" i="76"/>
  <c r="X776" i="76"/>
  <c r="Y199" i="76"/>
  <c r="U1035" i="76"/>
  <c r="W607" i="76"/>
  <c r="Y721" i="76"/>
  <c r="BC924" i="76"/>
  <c r="BA516" i="76"/>
  <c r="BD726" i="76"/>
  <c r="V762" i="76"/>
  <c r="V149" i="76"/>
  <c r="BB1029" i="76"/>
  <c r="BF197" i="76"/>
  <c r="BC214" i="76"/>
  <c r="U672" i="76"/>
  <c r="Y112" i="76"/>
  <c r="BB643" i="76"/>
  <c r="BB192" i="76"/>
  <c r="Y861" i="76"/>
  <c r="U631" i="76"/>
  <c r="BE565" i="76"/>
  <c r="BE292" i="76"/>
  <c r="BA890" i="76"/>
  <c r="X632" i="76"/>
  <c r="BC787" i="76"/>
  <c r="BB264" i="76"/>
  <c r="BE856" i="76"/>
  <c r="BD882" i="76"/>
  <c r="U206" i="76"/>
  <c r="BE428" i="76"/>
  <c r="T117" i="76"/>
  <c r="U486" i="76"/>
  <c r="BE235" i="76"/>
  <c r="BB388" i="76"/>
  <c r="W133" i="76"/>
  <c r="T237" i="76"/>
  <c r="BF316" i="76"/>
  <c r="BC931" i="76"/>
  <c r="U188" i="76"/>
  <c r="V869" i="76"/>
  <c r="BC880" i="76"/>
  <c r="BC223" i="76"/>
  <c r="T343" i="76"/>
  <c r="W219" i="76"/>
  <c r="BA636" i="76"/>
  <c r="BC962" i="76"/>
  <c r="T434" i="76"/>
  <c r="Y870" i="76"/>
  <c r="BA370" i="76"/>
  <c r="BE234" i="76"/>
  <c r="Y373" i="76"/>
  <c r="U240" i="76"/>
  <c r="BE658" i="76"/>
  <c r="BA1003" i="76"/>
  <c r="U494" i="76"/>
  <c r="Y728" i="76"/>
  <c r="BA413" i="76"/>
  <c r="BA287" i="76"/>
  <c r="U814" i="76"/>
  <c r="Y262" i="76"/>
  <c r="BC743" i="76"/>
  <c r="BE1049" i="76"/>
  <c r="U553" i="76"/>
  <c r="X832" i="76"/>
  <c r="BA456" i="76"/>
  <c r="X474" i="76"/>
  <c r="Y306" i="76"/>
  <c r="BA123" i="76"/>
  <c r="V464" i="76"/>
  <c r="BE841" i="76"/>
  <c r="W119" i="76"/>
  <c r="BB88" i="76"/>
  <c r="BB73" i="76"/>
  <c r="BA978" i="76"/>
  <c r="BF822" i="76"/>
  <c r="T192" i="76"/>
  <c r="Y621" i="76"/>
  <c r="BE734" i="76"/>
  <c r="BE987" i="76"/>
  <c r="T825" i="76"/>
  <c r="BE882" i="76"/>
  <c r="BE746" i="76"/>
  <c r="X99" i="76"/>
  <c r="BE242" i="76"/>
  <c r="BA866" i="76"/>
  <c r="BC237" i="76"/>
  <c r="V77" i="76"/>
  <c r="T1017" i="76"/>
  <c r="BB777" i="76"/>
  <c r="V112" i="76"/>
  <c r="BF1059" i="76"/>
  <c r="BB282" i="76"/>
  <c r="BF95" i="76"/>
  <c r="T264" i="76"/>
  <c r="X128" i="76"/>
  <c r="BA572" i="76"/>
  <c r="Y326" i="76"/>
  <c r="BA243" i="76"/>
  <c r="BD860" i="76"/>
  <c r="BF811" i="76"/>
  <c r="U806" i="76"/>
  <c r="BD155" i="76"/>
  <c r="X152" i="76"/>
  <c r="BA645" i="76"/>
  <c r="BD542" i="76"/>
  <c r="BB741" i="76"/>
  <c r="Y639" i="76"/>
  <c r="BC135" i="76"/>
  <c r="BD354" i="76"/>
  <c r="BA698" i="76"/>
  <c r="X360" i="76"/>
  <c r="BC334" i="76"/>
  <c r="U110" i="76"/>
  <c r="BB668" i="76"/>
  <c r="BD897" i="76"/>
  <c r="T1004" i="76"/>
  <c r="W270" i="76"/>
  <c r="U874" i="76"/>
  <c r="BF696" i="76"/>
  <c r="BD214" i="76"/>
  <c r="BF551" i="76"/>
  <c r="BE163" i="76"/>
  <c r="V364" i="76"/>
  <c r="T161" i="76"/>
  <c r="BF974" i="76"/>
  <c r="X516" i="76"/>
  <c r="BC476" i="76"/>
  <c r="BA587" i="76"/>
  <c r="BF777" i="76"/>
  <c r="Y629" i="76"/>
  <c r="Y853" i="76"/>
  <c r="U723" i="76"/>
  <c r="X972" i="76"/>
  <c r="W107" i="76"/>
  <c r="U685" i="76"/>
  <c r="X883" i="76"/>
  <c r="X541" i="76"/>
  <c r="X894" i="76"/>
  <c r="BC959" i="76"/>
  <c r="T732" i="76"/>
  <c r="T832" i="76"/>
  <c r="BB84" i="76"/>
  <c r="Y566" i="76"/>
  <c r="BB747" i="76"/>
  <c r="U373" i="76"/>
  <c r="V805" i="76"/>
  <c r="BC241" i="76"/>
  <c r="X983" i="76"/>
  <c r="T334" i="76"/>
  <c r="BD200" i="76"/>
  <c r="BB1058" i="76"/>
  <c r="U625" i="76"/>
  <c r="Y746" i="76"/>
  <c r="Y563" i="76"/>
  <c r="BD725" i="76"/>
  <c r="X846" i="76"/>
  <c r="X881" i="76"/>
  <c r="U821" i="76"/>
  <c r="U967" i="76"/>
  <c r="Y810" i="76"/>
  <c r="W665" i="76"/>
  <c r="T639" i="76"/>
  <c r="W880" i="76"/>
  <c r="Y890" i="76"/>
  <c r="U856" i="76"/>
  <c r="BF428" i="76"/>
  <c r="T738" i="76"/>
  <c r="BC513" i="76"/>
  <c r="X501" i="76"/>
  <c r="BC149" i="76"/>
  <c r="BD940" i="76"/>
  <c r="BE613" i="76"/>
  <c r="W386" i="76"/>
  <c r="U710" i="76"/>
  <c r="BB1038" i="76"/>
  <c r="BF453" i="76"/>
  <c r="Y140" i="76"/>
  <c r="V798" i="76"/>
  <c r="BB995" i="76"/>
  <c r="BD292" i="76"/>
  <c r="U298" i="76"/>
  <c r="T795" i="76"/>
  <c r="BA707" i="76"/>
  <c r="BF132" i="76"/>
  <c r="V98" i="76"/>
  <c r="V550" i="76"/>
  <c r="X249" i="76"/>
  <c r="X1013" i="76"/>
  <c r="V999" i="76"/>
  <c r="Y900" i="76"/>
  <c r="T872" i="76"/>
  <c r="X782" i="76"/>
  <c r="Y943" i="76"/>
  <c r="U757" i="76"/>
  <c r="T793" i="76"/>
  <c r="Y916" i="76"/>
  <c r="X1059" i="76"/>
  <c r="BB490" i="76"/>
  <c r="V827" i="76"/>
  <c r="BC540" i="76"/>
  <c r="V873" i="76"/>
  <c r="BE811" i="76"/>
  <c r="T427" i="76"/>
  <c r="V171" i="76"/>
  <c r="W446" i="76"/>
  <c r="X963" i="76"/>
  <c r="Y84" i="76"/>
  <c r="BF1044" i="76"/>
  <c r="V756" i="76"/>
  <c r="T985" i="76"/>
  <c r="W110" i="76"/>
  <c r="BF846" i="76"/>
  <c r="U292" i="76"/>
  <c r="Y885" i="76"/>
  <c r="W198" i="76"/>
  <c r="BD966" i="76"/>
  <c r="T395" i="76"/>
  <c r="Y767" i="76"/>
  <c r="Y799" i="76"/>
  <c r="BC495" i="76"/>
  <c r="T779" i="76"/>
  <c r="U1033" i="76"/>
  <c r="W997" i="76"/>
  <c r="Y1026" i="76"/>
  <c r="T916" i="76"/>
  <c r="W1010" i="76"/>
  <c r="X885" i="76"/>
  <c r="W751" i="76"/>
  <c r="V723" i="76"/>
  <c r="BD607" i="76"/>
  <c r="X521" i="76"/>
  <c r="BB275" i="76"/>
  <c r="T1042" i="76"/>
  <c r="BD917" i="76"/>
  <c r="T961" i="76"/>
  <c r="BB928" i="76"/>
  <c r="T513" i="76"/>
  <c r="BD600" i="76"/>
  <c r="Y545" i="76"/>
  <c r="BB1020" i="76"/>
  <c r="Y343" i="76"/>
  <c r="BB233" i="76"/>
  <c r="Y666" i="76"/>
  <c r="Y70" i="76"/>
  <c r="Y356" i="76"/>
  <c r="BE136" i="76"/>
  <c r="Y351" i="76"/>
  <c r="BB909" i="76"/>
  <c r="W920" i="76"/>
  <c r="Y979" i="76"/>
  <c r="BD327" i="76"/>
  <c r="BA282" i="76"/>
  <c r="T657" i="76"/>
  <c r="W922" i="76"/>
  <c r="X806" i="76"/>
  <c r="T1008" i="76"/>
  <c r="T964" i="76"/>
  <c r="U382" i="76"/>
  <c r="W755" i="76"/>
  <c r="U925" i="76"/>
  <c r="BF353" i="76"/>
  <c r="T333" i="76"/>
  <c r="BB579" i="76"/>
  <c r="T249" i="76"/>
  <c r="BE319" i="76"/>
  <c r="U752" i="76"/>
  <c r="W180" i="76"/>
  <c r="BB258" i="76"/>
  <c r="T254" i="76"/>
  <c r="Y940" i="76"/>
  <c r="U490" i="76"/>
  <c r="BB940" i="76"/>
  <c r="BC852" i="76"/>
  <c r="T1035" i="76"/>
  <c r="BB962" i="76"/>
  <c r="BC1013" i="76"/>
  <c r="BC786" i="76"/>
  <c r="T724" i="76"/>
  <c r="Y375" i="76"/>
  <c r="BD594" i="76"/>
  <c r="BC354" i="76"/>
  <c r="BE578" i="76"/>
  <c r="BC1015" i="76"/>
  <c r="W317" i="76"/>
  <c r="BA132" i="76"/>
  <c r="Y198" i="76"/>
  <c r="W874" i="76"/>
  <c r="BD692" i="76"/>
  <c r="BD770" i="76"/>
  <c r="Y777" i="76"/>
  <c r="X749" i="76"/>
  <c r="BC766" i="76"/>
  <c r="W197" i="76"/>
  <c r="V452" i="76"/>
  <c r="BD605" i="76"/>
  <c r="V293" i="76"/>
  <c r="BF335" i="76"/>
  <c r="W675" i="76"/>
  <c r="U744" i="76"/>
  <c r="BB878" i="76"/>
  <c r="X247" i="76"/>
  <c r="W411" i="76"/>
  <c r="BD219" i="76"/>
  <c r="BE1010" i="76"/>
  <c r="BB345" i="76"/>
  <c r="X704" i="76"/>
  <c r="X853" i="76"/>
  <c r="BD914" i="76"/>
  <c r="X507" i="76"/>
  <c r="U432" i="76"/>
  <c r="BD306" i="76"/>
  <c r="BA1052" i="76"/>
  <c r="BD399" i="76"/>
  <c r="Y637" i="76"/>
  <c r="X581" i="76"/>
  <c r="BA955" i="76"/>
  <c r="V136" i="76"/>
  <c r="U453" i="76"/>
  <c r="BE393" i="76"/>
  <c r="Y384" i="76"/>
  <c r="BD669" i="76"/>
  <c r="BA766" i="76"/>
  <c r="Y564" i="76"/>
  <c r="X739" i="76"/>
  <c r="W521" i="76"/>
  <c r="Y444" i="76"/>
  <c r="BE717" i="76"/>
  <c r="V352" i="76"/>
  <c r="BF253" i="76"/>
  <c r="T1049" i="76"/>
  <c r="BE354" i="76"/>
  <c r="W508" i="76"/>
  <c r="Y513" i="76"/>
  <c r="BA1018" i="76"/>
  <c r="BC547" i="76"/>
  <c r="T582" i="76"/>
  <c r="BA969" i="76"/>
  <c r="BC584" i="76"/>
  <c r="BC738" i="76"/>
  <c r="W109" i="76"/>
  <c r="X191" i="76"/>
  <c r="BF172" i="76"/>
  <c r="W358" i="76"/>
  <c r="BB798" i="76"/>
  <c r="U703" i="76"/>
  <c r="BC810" i="76"/>
  <c r="BC533" i="76"/>
  <c r="BA423" i="76"/>
  <c r="BB839" i="76"/>
  <c r="BC101" i="76"/>
  <c r="Y105" i="76"/>
  <c r="Y705" i="76"/>
  <c r="X352" i="76"/>
  <c r="X389" i="76"/>
  <c r="BF204" i="76"/>
  <c r="V209" i="76"/>
  <c r="BD335" i="76"/>
  <c r="U134" i="76"/>
  <c r="BA594" i="76"/>
  <c r="U711" i="76"/>
  <c r="BF470" i="76"/>
  <c r="W168" i="76"/>
  <c r="BB575" i="76"/>
  <c r="V233" i="76"/>
  <c r="BC262" i="76"/>
  <c r="W1053" i="76"/>
  <c r="BB889" i="76"/>
  <c r="W690" i="76"/>
  <c r="W202" i="76"/>
  <c r="X376" i="76"/>
  <c r="BA672" i="76"/>
  <c r="BB973" i="76"/>
  <c r="X381" i="76"/>
  <c r="BF118" i="76"/>
  <c r="BA722" i="76"/>
  <c r="W502" i="76"/>
  <c r="BD557" i="76"/>
  <c r="BE647" i="76"/>
  <c r="BC648" i="76"/>
  <c r="BB1066" i="76"/>
  <c r="BD216" i="76"/>
  <c r="X413" i="76"/>
  <c r="T180" i="76"/>
  <c r="BF640" i="76"/>
  <c r="V844" i="76"/>
  <c r="T606" i="76"/>
  <c r="Y855" i="76"/>
  <c r="W841" i="76"/>
  <c r="T78" i="76"/>
  <c r="X859" i="76"/>
  <c r="V978" i="76"/>
  <c r="V825" i="76"/>
  <c r="U965" i="76"/>
  <c r="X854" i="76"/>
  <c r="W634" i="76"/>
  <c r="W952" i="76"/>
  <c r="BA517" i="76"/>
  <c r="U865" i="76"/>
  <c r="BB814" i="76"/>
  <c r="T552" i="76"/>
  <c r="Y719" i="76"/>
  <c r="BB895" i="76"/>
  <c r="W958" i="76"/>
  <c r="U364" i="76"/>
  <c r="BD310" i="76"/>
  <c r="BE962" i="76"/>
  <c r="W827" i="76"/>
  <c r="W835" i="76"/>
  <c r="X669" i="76"/>
  <c r="BD748" i="76"/>
  <c r="BF1054" i="76"/>
  <c r="V892" i="76"/>
  <c r="W838" i="76"/>
  <c r="U309" i="76"/>
  <c r="BD429" i="76"/>
  <c r="BB893" i="76"/>
  <c r="V809" i="76"/>
  <c r="U623" i="76"/>
  <c r="X217" i="76"/>
  <c r="BF868" i="76"/>
  <c r="BF943" i="76"/>
  <c r="U766" i="76"/>
  <c r="BE738" i="76"/>
  <c r="X610" i="76"/>
  <c r="W659" i="76"/>
  <c r="BC595" i="76"/>
  <c r="V729" i="76"/>
  <c r="BF243" i="76"/>
  <c r="BB368" i="76"/>
  <c r="BA797" i="76"/>
  <c r="BB293" i="76"/>
  <c r="V306" i="76"/>
  <c r="BF528" i="76"/>
  <c r="U98" i="76"/>
  <c r="U635" i="76"/>
  <c r="U924" i="76"/>
  <c r="U355" i="76"/>
  <c r="X1044" i="76"/>
  <c r="BB602" i="76"/>
  <c r="BA1043" i="76"/>
  <c r="BF231" i="76"/>
  <c r="BE637" i="76"/>
  <c r="V507" i="76"/>
  <c r="X164" i="76"/>
  <c r="X420" i="76"/>
  <c r="Y153" i="76"/>
  <c r="BD1061" i="76"/>
  <c r="BD962" i="76"/>
  <c r="BC654" i="76"/>
  <c r="X483" i="76"/>
  <c r="BA363" i="76"/>
  <c r="W457" i="76"/>
  <c r="BC203" i="76"/>
  <c r="Y427" i="76"/>
  <c r="BD1046" i="76"/>
  <c r="Y340" i="76"/>
  <c r="BF584" i="76"/>
  <c r="Y590" i="76"/>
  <c r="W799" i="76"/>
  <c r="Y308" i="76"/>
  <c r="X361" i="76"/>
  <c r="X100" i="76"/>
  <c r="Y115" i="76"/>
  <c r="BD884" i="76"/>
  <c r="BD1060" i="76"/>
  <c r="Y749" i="76"/>
  <c r="BE261" i="76"/>
  <c r="X825" i="76"/>
  <c r="BF101" i="76"/>
  <c r="Y604" i="76"/>
  <c r="BA812" i="76"/>
  <c r="W543" i="76"/>
  <c r="BB652" i="76"/>
  <c r="BA705" i="76"/>
  <c r="V327" i="76"/>
  <c r="T425" i="76"/>
  <c r="U446" i="76"/>
  <c r="Y245" i="76"/>
  <c r="Y226" i="76"/>
  <c r="W517" i="76"/>
  <c r="Y89" i="76"/>
  <c r="BC906" i="76"/>
  <c r="BE153" i="76"/>
  <c r="X1001" i="76"/>
  <c r="BD887" i="76"/>
  <c r="V1051" i="76"/>
  <c r="BA708" i="76"/>
  <c r="W871" i="76"/>
  <c r="BA548" i="76"/>
  <c r="BF274" i="76"/>
  <c r="T945" i="76"/>
  <c r="Y421" i="76"/>
  <c r="W892" i="76"/>
  <c r="BF870" i="76"/>
  <c r="BD109" i="76"/>
  <c r="T411" i="76"/>
  <c r="BF356" i="76"/>
  <c r="W896" i="76"/>
  <c r="BC870" i="76"/>
  <c r="Y101" i="76"/>
  <c r="V175" i="76"/>
  <c r="BB324" i="76"/>
  <c r="V353" i="76"/>
  <c r="W806" i="76"/>
  <c r="BB507" i="76"/>
  <c r="U1021" i="76"/>
  <c r="BE591" i="76"/>
  <c r="BE681" i="76"/>
  <c r="BC443" i="76"/>
  <c r="X675" i="76"/>
  <c r="BC275" i="76"/>
  <c r="BE732" i="76"/>
  <c r="BB911" i="76"/>
  <c r="V884" i="76"/>
  <c r="BF727" i="76"/>
  <c r="BA690" i="76"/>
  <c r="BB942" i="76"/>
  <c r="W872" i="76"/>
  <c r="BA97" i="76"/>
  <c r="BC777" i="76"/>
  <c r="BC935" i="76"/>
  <c r="T938" i="76"/>
  <c r="BC256" i="76"/>
  <c r="BD877" i="76"/>
  <c r="BB640" i="76"/>
  <c r="U136" i="76"/>
  <c r="BF311" i="76"/>
  <c r="BC1024" i="76"/>
  <c r="BD743" i="76"/>
  <c r="BA399" i="76"/>
  <c r="BF937" i="76"/>
  <c r="BE854" i="76"/>
  <c r="W80" i="76"/>
  <c r="BF873" i="76"/>
  <c r="BE710" i="76"/>
  <c r="T620" i="76"/>
  <c r="BD581" i="76"/>
  <c r="V266" i="76"/>
  <c r="BB979" i="76"/>
  <c r="BA852" i="76"/>
  <c r="BB934" i="76"/>
  <c r="BC1061" i="76"/>
  <c r="BB993" i="76"/>
  <c r="BE659" i="76"/>
  <c r="BE949" i="76"/>
  <c r="BA107" i="76"/>
  <c r="BC537" i="76"/>
  <c r="BF406" i="76"/>
  <c r="V115" i="76"/>
  <c r="U360" i="76"/>
  <c r="BF773" i="76"/>
  <c r="X385" i="76"/>
  <c r="U169" i="76"/>
  <c r="BA637" i="76"/>
  <c r="BC708" i="76"/>
  <c r="BE438" i="76"/>
  <c r="BE818" i="76"/>
  <c r="BA631" i="76"/>
  <c r="T631" i="76"/>
  <c r="BD1018" i="76"/>
  <c r="W819" i="76"/>
  <c r="T931" i="76"/>
  <c r="BC858" i="76"/>
  <c r="X1018" i="76"/>
  <c r="T959" i="76"/>
  <c r="BD205" i="76"/>
  <c r="X938" i="76"/>
  <c r="BF250" i="76"/>
  <c r="BE569" i="76"/>
  <c r="W587" i="76"/>
  <c r="BF717" i="76"/>
  <c r="BE602" i="76"/>
  <c r="V679" i="76"/>
  <c r="BB910" i="76"/>
  <c r="W331" i="76"/>
  <c r="BA300" i="76"/>
  <c r="Y486" i="76"/>
  <c r="T69" i="76"/>
  <c r="Y804" i="76"/>
  <c r="BB730" i="76"/>
  <c r="BA1053" i="76"/>
  <c r="BE848" i="76"/>
  <c r="BB514" i="76"/>
  <c r="BA507" i="76"/>
  <c r="V222" i="76"/>
  <c r="Y361" i="76"/>
  <c r="BB684" i="76"/>
  <c r="BB950" i="76"/>
  <c r="BB72" i="76"/>
  <c r="BB754" i="76"/>
  <c r="T896" i="76"/>
  <c r="BC832" i="76"/>
  <c r="BA666" i="76"/>
  <c r="BA839" i="76"/>
  <c r="U1048" i="76"/>
  <c r="BE607" i="76"/>
  <c r="BE847" i="76"/>
  <c r="U274" i="76"/>
  <c r="V608" i="76"/>
  <c r="X719" i="76"/>
  <c r="BD190" i="76"/>
  <c r="W238" i="76"/>
  <c r="W814" i="76"/>
  <c r="U783" i="76"/>
  <c r="Y336" i="76"/>
  <c r="V903" i="76"/>
  <c r="BC652" i="76"/>
  <c r="BE918" i="76"/>
  <c r="BB614" i="76"/>
  <c r="BD316" i="76"/>
  <c r="X313" i="76"/>
  <c r="X887" i="76"/>
  <c r="Y741" i="76"/>
  <c r="BD201" i="76"/>
  <c r="BE443" i="76"/>
  <c r="BE107" i="76"/>
  <c r="BB127" i="76"/>
  <c r="BB913" i="76"/>
  <c r="T209" i="76"/>
  <c r="Y674" i="76"/>
  <c r="X545" i="76"/>
  <c r="BE426" i="76"/>
  <c r="BD957" i="76"/>
  <c r="BF218" i="76"/>
  <c r="BB318" i="76"/>
  <c r="BD896" i="76"/>
  <c r="BB1044" i="76"/>
  <c r="V705" i="76"/>
  <c r="T574" i="76"/>
  <c r="BA436" i="76"/>
  <c r="BF1045" i="76"/>
  <c r="BA657" i="76"/>
  <c r="BF340" i="76"/>
  <c r="BA917" i="76"/>
  <c r="T226" i="76"/>
  <c r="T1057" i="76"/>
  <c r="X856" i="76"/>
  <c r="BB447" i="76"/>
  <c r="BD918" i="76"/>
  <c r="BF134" i="76"/>
  <c r="BD361" i="76"/>
  <c r="BE939" i="76"/>
  <c r="BB877" i="76"/>
  <c r="BC449" i="76"/>
  <c r="BD194" i="76"/>
  <c r="BB688" i="76"/>
  <c r="Y716" i="76"/>
  <c r="BE411" i="76"/>
  <c r="W785" i="76"/>
  <c r="BF488" i="76"/>
  <c r="BC1006" i="76"/>
  <c r="BA893" i="76"/>
  <c r="BB230" i="76"/>
  <c r="BC696" i="76"/>
  <c r="BA720" i="76"/>
  <c r="U317" i="76"/>
  <c r="BA606" i="76"/>
  <c r="U839" i="76"/>
  <c r="BF648" i="76"/>
  <c r="U303" i="76"/>
  <c r="X1053" i="76"/>
  <c r="V747" i="76"/>
  <c r="U792" i="76"/>
  <c r="BD947" i="76"/>
  <c r="W909" i="76"/>
  <c r="V126" i="76"/>
  <c r="BF487" i="76"/>
  <c r="X550" i="76"/>
  <c r="T368" i="76"/>
  <c r="BC668" i="76"/>
  <c r="BC529" i="76"/>
  <c r="Y355" i="76"/>
  <c r="BA136" i="76"/>
  <c r="BA410" i="76"/>
  <c r="X638" i="76"/>
  <c r="BE113" i="76"/>
  <c r="V514" i="76"/>
  <c r="BC684" i="76"/>
  <c r="BE427" i="76"/>
  <c r="BC883" i="76"/>
  <c r="U589" i="76"/>
  <c r="BB858" i="76"/>
  <c r="X396" i="76"/>
  <c r="U212" i="76"/>
  <c r="W637" i="76"/>
  <c r="U257" i="76"/>
  <c r="BA295" i="76"/>
  <c r="BD550" i="76"/>
  <c r="BD677" i="76"/>
  <c r="BA293" i="76"/>
  <c r="T604" i="76"/>
  <c r="BB326" i="76"/>
  <c r="T542" i="76"/>
  <c r="BE167" i="76"/>
  <c r="BA856" i="76"/>
  <c r="BC278" i="76"/>
  <c r="BC1016" i="76"/>
  <c r="W405" i="76"/>
  <c r="X722" i="76"/>
  <c r="Y258" i="76"/>
  <c r="Y376" i="76"/>
  <c r="U286" i="76"/>
  <c r="BF966" i="76"/>
  <c r="BC890" i="76"/>
  <c r="U647" i="76"/>
  <c r="BB175" i="76"/>
  <c r="W594" i="76"/>
  <c r="BE934" i="76"/>
  <c r="V741" i="76"/>
  <c r="BD727" i="76"/>
  <c r="X559" i="76"/>
  <c r="BD567" i="76"/>
  <c r="U1026" i="76"/>
  <c r="X548" i="76"/>
  <c r="W667" i="76"/>
  <c r="X310" i="76"/>
  <c r="U439" i="76"/>
  <c r="W240" i="76"/>
  <c r="T159" i="76"/>
  <c r="X428" i="76"/>
  <c r="X996" i="76"/>
  <c r="BC1046" i="76"/>
  <c r="X930" i="76"/>
  <c r="BC783" i="76"/>
  <c r="V791" i="76"/>
  <c r="BC623" i="76"/>
  <c r="U784" i="76"/>
  <c r="BD463" i="76"/>
  <c r="BC152" i="76"/>
  <c r="X517" i="76"/>
  <c r="Y454" i="76"/>
  <c r="V457" i="76"/>
  <c r="T510" i="76"/>
  <c r="Y496" i="76"/>
  <c r="T247" i="76"/>
  <c r="V886" i="76"/>
  <c r="BF143" i="76"/>
  <c r="BA835" i="76"/>
  <c r="BE583" i="76"/>
  <c r="BB675" i="76"/>
  <c r="BA154" i="76"/>
  <c r="BB515" i="76"/>
  <c r="BD378" i="76"/>
  <c r="BA354" i="76"/>
  <c r="BE779" i="76"/>
  <c r="U577" i="76"/>
  <c r="V436" i="76"/>
  <c r="X448" i="76"/>
  <c r="BB342" i="76"/>
  <c r="V317" i="76"/>
  <c r="W453" i="76"/>
  <c r="BE419" i="76"/>
  <c r="V1001" i="76"/>
  <c r="T104" i="76"/>
  <c r="X446" i="76"/>
  <c r="X136" i="76"/>
  <c r="BB841" i="76"/>
  <c r="X180" i="76"/>
  <c r="BF122" i="76"/>
  <c r="BA1047" i="76"/>
  <c r="BB686" i="76"/>
  <c r="BA482" i="76"/>
  <c r="T148" i="76"/>
  <c r="U123" i="76"/>
  <c r="BC1049" i="76"/>
  <c r="BF451" i="76"/>
  <c r="BF304" i="76"/>
  <c r="X388" i="76"/>
  <c r="BF417" i="76"/>
  <c r="BF834" i="76"/>
  <c r="BA688" i="76"/>
  <c r="V429" i="76"/>
  <c r="BD457" i="76"/>
  <c r="BD921" i="76"/>
  <c r="BC731" i="76"/>
  <c r="U86" i="76"/>
  <c r="BA498" i="76"/>
  <c r="BC189" i="76"/>
  <c r="BE774" i="76"/>
  <c r="T171" i="76"/>
  <c r="W236" i="76"/>
  <c r="T115" i="76"/>
  <c r="V948" i="76"/>
  <c r="BA118" i="76"/>
  <c r="Y882" i="76"/>
  <c r="BD444" i="76"/>
  <c r="W432" i="76"/>
  <c r="T263" i="76"/>
  <c r="U85" i="76"/>
  <c r="BE263" i="76"/>
  <c r="V401" i="76"/>
  <c r="U533" i="76"/>
  <c r="BD225" i="76"/>
  <c r="X179" i="76"/>
  <c r="V215" i="76"/>
  <c r="Y77" i="76"/>
  <c r="V718" i="76"/>
  <c r="BA421" i="76"/>
  <c r="BC969" i="76"/>
  <c r="BA199" i="76"/>
  <c r="BE814" i="76"/>
  <c r="BF1051" i="76"/>
  <c r="W86" i="76"/>
  <c r="Y858" i="76"/>
  <c r="BE823" i="76"/>
  <c r="V141" i="76"/>
  <c r="T882" i="76"/>
  <c r="BD319" i="76"/>
  <c r="X227" i="76"/>
  <c r="BE874" i="76"/>
  <c r="X104" i="76"/>
  <c r="BC145" i="76"/>
  <c r="X308" i="76"/>
  <c r="T784" i="76"/>
  <c r="BA1012" i="76"/>
  <c r="X568" i="76"/>
  <c r="U840" i="76"/>
  <c r="T80" i="76"/>
  <c r="T798" i="76"/>
  <c r="X759" i="76"/>
  <c r="BA987" i="76"/>
  <c r="X767" i="76"/>
  <c r="BC462" i="76"/>
  <c r="BE1066" i="76"/>
  <c r="X634" i="76"/>
  <c r="BF985" i="76"/>
  <c r="W70" i="76"/>
  <c r="BB912" i="76"/>
  <c r="BB853" i="76"/>
  <c r="W428" i="76"/>
  <c r="BD517" i="76"/>
  <c r="T969" i="76"/>
  <c r="X176" i="76"/>
  <c r="Y1059" i="76"/>
  <c r="BC282" i="76"/>
  <c r="W99" i="76"/>
  <c r="BA427" i="76"/>
  <c r="BD174" i="76"/>
  <c r="X174" i="76"/>
  <c r="X579" i="76"/>
  <c r="Y584" i="76"/>
  <c r="BD454" i="76"/>
  <c r="BF1035" i="76"/>
  <c r="BD789" i="76"/>
  <c r="BB464" i="76"/>
  <c r="BF554" i="76"/>
  <c r="BC473" i="76"/>
  <c r="BE182" i="76"/>
  <c r="Y835" i="76"/>
  <c r="W830" i="76"/>
  <c r="X653" i="76"/>
  <c r="X923" i="76"/>
  <c r="T694" i="76"/>
  <c r="U596" i="76"/>
  <c r="W629" i="76"/>
  <c r="Y892" i="76"/>
  <c r="V1032" i="76"/>
  <c r="X935" i="76"/>
  <c r="Y1006" i="76"/>
  <c r="Y813" i="76"/>
  <c r="U713" i="76"/>
  <c r="V647" i="76"/>
  <c r="W700" i="76"/>
  <c r="BA980" i="76"/>
  <c r="T911" i="76"/>
  <c r="V795" i="76"/>
  <c r="Y771" i="76"/>
  <c r="Y1041" i="76"/>
  <c r="U878" i="76"/>
  <c r="V832" i="76"/>
  <c r="V885" i="76"/>
  <c r="X903" i="76"/>
  <c r="V1006" i="76"/>
  <c r="U847" i="76"/>
  <c r="X914" i="76"/>
  <c r="U681" i="76"/>
  <c r="Y902" i="76"/>
  <c r="T838" i="76"/>
  <c r="U1040" i="76"/>
  <c r="Y958" i="76"/>
  <c r="Y1047" i="76"/>
  <c r="W1051" i="76"/>
  <c r="Y1065" i="76"/>
  <c r="V938" i="76"/>
  <c r="X367" i="76"/>
  <c r="X547" i="76"/>
  <c r="X981" i="76"/>
  <c r="V720" i="76"/>
  <c r="BC889" i="76"/>
  <c r="X597" i="76"/>
  <c r="BF511" i="76"/>
  <c r="U705" i="76"/>
  <c r="BE116" i="76"/>
  <c r="X988" i="76"/>
  <c r="BD653" i="76"/>
  <c r="W792" i="76"/>
  <c r="T1046" i="76"/>
  <c r="X796" i="76"/>
  <c r="V567" i="76"/>
  <c r="X395" i="76"/>
  <c r="BC416" i="76"/>
  <c r="T490" i="76"/>
  <c r="BC471" i="76"/>
  <c r="BC641" i="76"/>
  <c r="V1066" i="76"/>
  <c r="BE584" i="76"/>
  <c r="BB810" i="76"/>
  <c r="BD934" i="76"/>
  <c r="W878" i="76"/>
  <c r="BB544" i="76"/>
  <c r="T292" i="76"/>
  <c r="BD203" i="76"/>
  <c r="BA816" i="76"/>
  <c r="BF756" i="76"/>
  <c r="X150" i="76"/>
  <c r="BE894" i="76"/>
  <c r="W81" i="76"/>
  <c r="BF354" i="76"/>
  <c r="T232" i="76"/>
  <c r="BD656" i="76"/>
  <c r="W314" i="76"/>
  <c r="BC737" i="76"/>
  <c r="X276" i="76"/>
  <c r="BB793" i="76"/>
  <c r="U362" i="76"/>
  <c r="BA778" i="76"/>
  <c r="U79" i="76"/>
  <c r="BA85" i="76"/>
  <c r="W450" i="76"/>
  <c r="BF823" i="76"/>
  <c r="BD913" i="76"/>
  <c r="W1019" i="76"/>
  <c r="BF928" i="76"/>
  <c r="Y539" i="76"/>
  <c r="W381" i="76"/>
  <c r="BD973" i="76"/>
  <c r="BE213" i="76"/>
  <c r="U216" i="76"/>
  <c r="V529" i="76"/>
  <c r="U307" i="76"/>
  <c r="U930" i="76"/>
  <c r="T305" i="76"/>
  <c r="W224" i="76"/>
  <c r="W561" i="76"/>
  <c r="BE1039" i="76"/>
  <c r="T859" i="76"/>
  <c r="BA435" i="76"/>
  <c r="W541" i="76"/>
  <c r="T262" i="76"/>
  <c r="BE889" i="76"/>
  <c r="U657" i="76"/>
  <c r="BE943" i="76"/>
  <c r="BE345" i="76"/>
  <c r="X584" i="76"/>
  <c r="BD135" i="76"/>
  <c r="BE977" i="76"/>
  <c r="BF386" i="76"/>
  <c r="BB276" i="76"/>
  <c r="BA379" i="76"/>
  <c r="BA862" i="76"/>
  <c r="W164" i="76"/>
  <c r="BC937" i="76"/>
  <c r="BB489" i="76"/>
  <c r="BF445" i="76"/>
  <c r="W937" i="76"/>
  <c r="X117" i="76"/>
  <c r="W672" i="76"/>
  <c r="V1041" i="76"/>
  <c r="X234" i="76"/>
  <c r="V578" i="76"/>
  <c r="U1025" i="76"/>
  <c r="V106" i="76"/>
  <c r="W1067" i="76"/>
  <c r="BF619" i="76"/>
  <c r="X810" i="76"/>
  <c r="T291" i="76"/>
  <c r="BE1014" i="76"/>
  <c r="W271" i="76"/>
  <c r="W378" i="76"/>
  <c r="T729" i="76"/>
  <c r="U488" i="76"/>
  <c r="BD644" i="76"/>
  <c r="T1053" i="76"/>
  <c r="W855" i="76"/>
  <c r="BA98" i="76"/>
  <c r="BF601" i="76"/>
  <c r="T74" i="76"/>
  <c r="BB596" i="76"/>
  <c r="BE237" i="76"/>
  <c r="T274" i="76"/>
  <c r="BC712" i="76"/>
  <c r="BA253" i="76"/>
  <c r="U96" i="76"/>
  <c r="Y608" i="76"/>
  <c r="BC505" i="76"/>
  <c r="BD81" i="76"/>
  <c r="BB98" i="76"/>
  <c r="BB131" i="76"/>
  <c r="BA676" i="76"/>
  <c r="W128" i="76"/>
  <c r="BC701" i="76"/>
  <c r="BC849" i="76"/>
  <c r="BD125" i="76"/>
  <c r="BC201" i="76"/>
  <c r="BB510" i="76"/>
  <c r="BF91" i="76"/>
  <c r="BB679" i="76"/>
  <c r="W784" i="76"/>
  <c r="BA518" i="76"/>
  <c r="BF189" i="76"/>
  <c r="BE676" i="76"/>
  <c r="BE326" i="76"/>
  <c r="BB547" i="76"/>
  <c r="X340" i="76"/>
  <c r="BC596" i="76"/>
  <c r="W179" i="76"/>
  <c r="U512" i="76"/>
  <c r="BD613" i="76"/>
  <c r="BC127" i="76"/>
  <c r="W190" i="76"/>
  <c r="V337" i="76"/>
  <c r="BC615" i="76"/>
  <c r="BF921" i="76"/>
  <c r="V393" i="76"/>
  <c r="Y702" i="76"/>
  <c r="BE328" i="76"/>
  <c r="BF566" i="76"/>
  <c r="T813" i="76"/>
  <c r="U354" i="76"/>
  <c r="BE945" i="76"/>
  <c r="BD1034" i="76"/>
  <c r="T341" i="76"/>
  <c r="U805" i="76"/>
  <c r="BF713" i="76"/>
  <c r="BB576" i="76"/>
  <c r="X242" i="76"/>
  <c r="U383" i="76"/>
  <c r="BE81" i="76"/>
  <c r="X146" i="76"/>
  <c r="W370" i="76"/>
  <c r="X900" i="76"/>
  <c r="BB755" i="76"/>
  <c r="BF630" i="76"/>
  <c r="V295" i="76"/>
  <c r="Y429" i="76"/>
  <c r="BC102" i="76"/>
  <c r="T73" i="76"/>
  <c r="U407" i="76"/>
  <c r="U880" i="76"/>
  <c r="BD798" i="76"/>
  <c r="V535" i="76"/>
  <c r="W336" i="76"/>
  <c r="BF721" i="76"/>
  <c r="V242" i="76"/>
  <c r="BA651" i="76"/>
  <c r="W300" i="76"/>
  <c r="BF147" i="76"/>
  <c r="BB518" i="76"/>
  <c r="T250" i="76"/>
  <c r="BF723" i="76"/>
  <c r="W451" i="76"/>
  <c r="BB80" i="76"/>
  <c r="BC923" i="76"/>
  <c r="V465" i="76"/>
  <c r="U973" i="76"/>
  <c r="BA679" i="76"/>
  <c r="BA211" i="76"/>
  <c r="U258" i="76"/>
  <c r="BD627" i="76"/>
  <c r="BC667" i="76"/>
  <c r="BF392" i="76"/>
  <c r="T535" i="76"/>
  <c r="BE250" i="76"/>
  <c r="BA963" i="76"/>
  <c r="BC302" i="76"/>
  <c r="V634" i="76"/>
  <c r="BE777" i="76"/>
  <c r="BB852" i="76"/>
  <c r="V1015" i="76"/>
  <c r="Y527" i="76"/>
  <c r="BC230" i="76"/>
  <c r="X612" i="76"/>
  <c r="BA858" i="76"/>
  <c r="V201" i="76"/>
  <c r="BD757" i="76"/>
  <c r="BF671" i="76"/>
  <c r="BB599" i="76"/>
  <c r="T509" i="76"/>
  <c r="X412" i="76"/>
  <c r="BE959" i="76"/>
  <c r="V1016" i="76"/>
  <c r="T503" i="76"/>
  <c r="BB436" i="76"/>
  <c r="BE271" i="76"/>
  <c r="BC326" i="76"/>
  <c r="U642" i="76"/>
  <c r="BE960" i="76"/>
  <c r="V169" i="76"/>
  <c r="BD479" i="76"/>
  <c r="BE1023" i="76"/>
  <c r="BE406" i="76"/>
  <c r="U470" i="76"/>
  <c r="V954" i="76"/>
  <c r="BA433" i="76"/>
  <c r="Y981" i="76"/>
  <c r="Y905" i="76"/>
  <c r="T803" i="76"/>
  <c r="U799" i="76"/>
  <c r="X959" i="76"/>
  <c r="W768" i="76"/>
  <c r="V796" i="76"/>
  <c r="Y759" i="76"/>
  <c r="X1019" i="76"/>
  <c r="W773" i="76"/>
  <c r="X969" i="76"/>
  <c r="W651" i="76"/>
  <c r="T796" i="76"/>
  <c r="Y1015" i="76"/>
  <c r="T870" i="76"/>
  <c r="T953" i="76"/>
  <c r="U961" i="76"/>
  <c r="W917" i="76"/>
  <c r="X970" i="76"/>
  <c r="Y1022" i="76"/>
  <c r="Y809" i="76"/>
  <c r="W980" i="76"/>
  <c r="U1039" i="76"/>
  <c r="W809" i="76"/>
  <c r="BC808" i="76"/>
  <c r="T644" i="76"/>
  <c r="BC172" i="76"/>
  <c r="Y915" i="76"/>
  <c r="BE884" i="76"/>
  <c r="W905" i="76"/>
  <c r="BA146" i="76"/>
  <c r="T835" i="76"/>
  <c r="X697" i="76"/>
  <c r="V673" i="76"/>
  <c r="T1010" i="76"/>
  <c r="W1046" i="76"/>
  <c r="V539" i="76"/>
  <c r="W448" i="76"/>
  <c r="X281" i="76"/>
  <c r="U299" i="76"/>
  <c r="BC336" i="76"/>
  <c r="BD908" i="76"/>
  <c r="BC280" i="76"/>
  <c r="T1055" i="76"/>
  <c r="BE759" i="76"/>
  <c r="T929" i="76"/>
  <c r="BE131" i="76"/>
  <c r="V466" i="76"/>
  <c r="Y889" i="76"/>
  <c r="T1052" i="76"/>
  <c r="W868" i="76"/>
  <c r="T540" i="76"/>
  <c r="BB483" i="76"/>
  <c r="U570" i="76"/>
  <c r="BC794" i="76"/>
  <c r="BD735" i="76"/>
  <c r="W252" i="76"/>
  <c r="BC245" i="76"/>
  <c r="BB949" i="76"/>
  <c r="V256" i="76"/>
  <c r="BD275" i="76"/>
  <c r="BC162" i="76"/>
  <c r="V604" i="76"/>
  <c r="BC729" i="76"/>
  <c r="BC627" i="76"/>
  <c r="BD371" i="76"/>
  <c r="Y450" i="76"/>
  <c r="BD140" i="76"/>
  <c r="X277" i="76"/>
  <c r="BC895" i="76"/>
  <c r="V627" i="76"/>
  <c r="BE592" i="76"/>
  <c r="T1020" i="76"/>
  <c r="BA216" i="76"/>
  <c r="X673" i="76"/>
  <c r="BA610" i="76"/>
  <c r="Y327" i="76"/>
  <c r="BE238" i="76"/>
  <c r="Y693" i="76"/>
  <c r="BC633" i="76"/>
  <c r="W348" i="76"/>
  <c r="BB259" i="76"/>
  <c r="BF140" i="76"/>
  <c r="BA79" i="76"/>
  <c r="BB920" i="76"/>
  <c r="BC87" i="76"/>
  <c r="BB904" i="76"/>
  <c r="BB448" i="76"/>
  <c r="X425" i="76"/>
  <c r="BD321" i="76"/>
  <c r="T757" i="76"/>
  <c r="V817" i="76"/>
  <c r="BE149" i="76"/>
  <c r="X882" i="76"/>
  <c r="BA1009" i="76"/>
  <c r="Y643" i="76"/>
  <c r="BF242" i="76"/>
  <c r="BD400" i="76"/>
  <c r="BD1000" i="76"/>
  <c r="BC676" i="76"/>
  <c r="BA576" i="76"/>
  <c r="BB639" i="76"/>
  <c r="U731" i="76"/>
  <c r="T131" i="76"/>
  <c r="T578" i="76"/>
  <c r="BF672" i="76"/>
  <c r="BF220" i="76"/>
  <c r="T612" i="76"/>
  <c r="BD857" i="76"/>
  <c r="BA135" i="76"/>
  <c r="BB695" i="76"/>
  <c r="T734" i="76"/>
  <c r="BD392" i="76"/>
  <c r="U414" i="76"/>
  <c r="X618" i="76"/>
  <c r="BA122" i="76"/>
  <c r="Y739" i="76"/>
  <c r="X332" i="76"/>
  <c r="W760" i="76"/>
  <c r="W678" i="76"/>
  <c r="W234" i="76"/>
  <c r="X868" i="76"/>
  <c r="X794" i="76"/>
  <c r="W1008" i="76"/>
  <c r="Y483" i="76"/>
  <c r="BE361" i="76"/>
  <c r="W698" i="76"/>
  <c r="W734" i="76"/>
  <c r="T1036" i="76"/>
  <c r="X789" i="76"/>
  <c r="Y222" i="76"/>
  <c r="BC632" i="76"/>
  <c r="U825" i="76"/>
  <c r="BE118" i="76"/>
  <c r="BB1004" i="76"/>
  <c r="BC88" i="76"/>
  <c r="BA834" i="76"/>
  <c r="BA667" i="76"/>
  <c r="Y420" i="76"/>
  <c r="BA362" i="76"/>
  <c r="BA559" i="76"/>
  <c r="T271" i="76"/>
  <c r="BD179" i="76"/>
  <c r="T402" i="76"/>
  <c r="X741" i="76"/>
  <c r="T205" i="76"/>
  <c r="BF365" i="76"/>
  <c r="BF904" i="76"/>
  <c r="U394" i="76"/>
  <c r="BF621" i="76"/>
  <c r="BE900" i="76"/>
  <c r="BC987" i="76"/>
  <c r="BE140" i="76"/>
  <c r="BC463" i="76"/>
  <c r="BD948" i="76"/>
  <c r="BA72" i="76"/>
  <c r="BB224" i="76"/>
  <c r="BE388" i="76"/>
  <c r="BC490" i="76"/>
  <c r="BA249" i="76"/>
  <c r="BD604" i="76"/>
  <c r="BD678" i="76"/>
  <c r="BE627" i="76"/>
  <c r="BF384" i="76"/>
  <c r="BF989" i="76"/>
  <c r="W275" i="76"/>
  <c r="BE218" i="76"/>
  <c r="T410" i="76"/>
  <c r="X822" i="76"/>
  <c r="BE278" i="76"/>
  <c r="BB238" i="76"/>
  <c r="Y638" i="76"/>
  <c r="U671" i="76"/>
  <c r="BA849" i="76"/>
  <c r="W136" i="76"/>
  <c r="Y390" i="76"/>
  <c r="BE143" i="76"/>
  <c r="BC967" i="76"/>
  <c r="BE677" i="76"/>
  <c r="V861" i="76"/>
  <c r="T839" i="76"/>
  <c r="W214" i="76"/>
  <c r="Y259" i="76"/>
  <c r="V754" i="76"/>
  <c r="BC120" i="76"/>
  <c r="X353" i="76"/>
  <c r="BA687" i="76"/>
  <c r="X915" i="76"/>
  <c r="V672" i="76"/>
  <c r="BA863" i="76"/>
  <c r="X371" i="76"/>
  <c r="X322" i="76"/>
  <c r="BC394" i="76"/>
  <c r="V119" i="76"/>
  <c r="BE741" i="76"/>
  <c r="V913" i="76"/>
  <c r="X715" i="76"/>
  <c r="BE885" i="76"/>
  <c r="T629" i="76"/>
  <c r="V343" i="76"/>
  <c r="BE703" i="76"/>
  <c r="U223" i="76"/>
  <c r="BB832" i="76"/>
  <c r="BB557" i="76"/>
  <c r="X409" i="76"/>
  <c r="W1050" i="76"/>
  <c r="T452" i="76"/>
  <c r="X391" i="76"/>
  <c r="BE857" i="76"/>
  <c r="X858" i="76"/>
  <c r="BD364" i="76"/>
  <c r="BB569" i="76"/>
  <c r="BC949" i="76"/>
  <c r="Y894" i="76"/>
  <c r="V459" i="76"/>
  <c r="U122" i="76"/>
  <c r="BC353" i="76"/>
  <c r="Y484" i="76"/>
  <c r="BB849" i="76"/>
  <c r="BC355" i="76"/>
  <c r="BF945" i="76"/>
  <c r="W351" i="76"/>
  <c r="Y183" i="76"/>
  <c r="V172" i="76"/>
  <c r="W492" i="76"/>
  <c r="BD787" i="76"/>
  <c r="Y1063" i="76"/>
  <c r="X479" i="76"/>
  <c r="BC340" i="76"/>
  <c r="BD246" i="76"/>
  <c r="BC978" i="76"/>
  <c r="BF155" i="76"/>
  <c r="Y100" i="76"/>
  <c r="W886" i="76"/>
  <c r="W850" i="76"/>
  <c r="W316" i="76"/>
  <c r="BA931" i="76"/>
  <c r="X543" i="76"/>
  <c r="BE1013" i="76"/>
  <c r="U782" i="76"/>
  <c r="Y903" i="76"/>
  <c r="BE495" i="76"/>
  <c r="BC347" i="76"/>
  <c r="X304" i="76"/>
  <c r="BC992" i="76"/>
  <c r="BC968" i="76"/>
  <c r="BC562" i="76"/>
  <c r="BC744" i="76"/>
  <c r="T176" i="76"/>
  <c r="Y594" i="76"/>
  <c r="U474" i="76"/>
  <c r="V243" i="76"/>
  <c r="BC479" i="76"/>
  <c r="X131" i="76"/>
  <c r="W938" i="76"/>
  <c r="BD359" i="76"/>
  <c r="BD928" i="76"/>
  <c r="U912" i="76"/>
  <c r="U346" i="76"/>
  <c r="BA201" i="76"/>
  <c r="BA430" i="76"/>
  <c r="BB782" i="76"/>
  <c r="BD522" i="76"/>
  <c r="V328" i="76"/>
  <c r="BD424" i="76"/>
  <c r="W286" i="76"/>
  <c r="V982" i="76"/>
  <c r="U913" i="76"/>
  <c r="T164" i="76"/>
  <c r="U845" i="76"/>
  <c r="W308" i="76"/>
  <c r="X1050" i="76"/>
  <c r="W817" i="76"/>
  <c r="V931" i="76"/>
  <c r="T663" i="76"/>
  <c r="X384" i="76"/>
  <c r="W1054" i="76"/>
  <c r="U652" i="76"/>
  <c r="BF778" i="76"/>
  <c r="Y781" i="76"/>
  <c r="Y501" i="76"/>
  <c r="U733" i="76"/>
  <c r="BF216" i="76"/>
  <c r="U267" i="76"/>
  <c r="V279" i="76"/>
  <c r="X363" i="76"/>
  <c r="U184" i="76"/>
  <c r="V485" i="76"/>
  <c r="U281" i="76"/>
  <c r="T269" i="76"/>
  <c r="BD1049" i="76"/>
  <c r="X350" i="76"/>
  <c r="W375" i="76"/>
  <c r="U721" i="76"/>
  <c r="W320" i="76"/>
  <c r="W919" i="76"/>
  <c r="V471" i="76"/>
  <c r="V184" i="76"/>
  <c r="BC1055" i="76"/>
  <c r="T853" i="76"/>
  <c r="V678" i="76"/>
  <c r="X626" i="76"/>
  <c r="V808" i="76"/>
  <c r="BF631" i="76"/>
  <c r="V138" i="76"/>
  <c r="BB446" i="76"/>
  <c r="X665" i="76"/>
  <c r="V383" i="76"/>
  <c r="BE1068" i="76"/>
  <c r="BC328" i="76"/>
  <c r="U463" i="76"/>
  <c r="X654" i="76"/>
  <c r="BA187" i="76"/>
  <c r="U471" i="76"/>
  <c r="T761" i="76"/>
  <c r="U649" i="76"/>
  <c r="X850" i="76"/>
  <c r="T740" i="76"/>
  <c r="X870" i="76"/>
  <c r="Y946" i="76"/>
  <c r="U1000" i="76"/>
  <c r="BA382" i="76"/>
  <c r="BC168" i="76"/>
  <c r="BD261" i="76"/>
  <c r="BF742" i="76"/>
  <c r="BB570" i="76"/>
  <c r="BE743" i="76"/>
  <c r="BA317" i="76"/>
  <c r="BF85" i="76"/>
  <c r="BE668" i="76"/>
  <c r="BB723" i="76"/>
  <c r="BA432" i="76"/>
  <c r="BC294" i="76"/>
  <c r="BD199" i="76"/>
  <c r="X331" i="76"/>
  <c r="T295" i="76"/>
  <c r="BD188" i="76"/>
  <c r="X614" i="76"/>
  <c r="V1019" i="76"/>
  <c r="X469" i="76"/>
  <c r="W735" i="76"/>
  <c r="BC759" i="76"/>
  <c r="U846" i="76"/>
  <c r="BA258" i="76"/>
  <c r="BD278" i="76"/>
  <c r="BF557" i="76"/>
  <c r="U708" i="76"/>
  <c r="BA945" i="76"/>
  <c r="BC327" i="76"/>
  <c r="V643" i="76"/>
  <c r="BB440" i="76"/>
  <c r="BD901" i="76"/>
  <c r="BF212" i="76"/>
  <c r="BA609" i="76"/>
  <c r="U811" i="76"/>
  <c r="BC650" i="76"/>
  <c r="V601" i="76"/>
  <c r="U778" i="76"/>
  <c r="BD715" i="76"/>
  <c r="U431" i="76"/>
  <c r="X438" i="76"/>
  <c r="X127" i="76"/>
  <c r="U175" i="76"/>
  <c r="V131" i="76"/>
  <c r="BB519" i="76"/>
  <c r="BF923" i="76"/>
  <c r="BC357" i="76"/>
  <c r="U211" i="76"/>
  <c r="BC797" i="76"/>
  <c r="Y541" i="76"/>
  <c r="Y162" i="76"/>
  <c r="T764" i="76"/>
  <c r="V81" i="76"/>
  <c r="BC608" i="76"/>
  <c r="W579" i="76"/>
  <c r="U179" i="76"/>
  <c r="U988" i="76"/>
  <c r="X92" i="76"/>
  <c r="BA649" i="76"/>
  <c r="Y622" i="76"/>
  <c r="W205" i="76"/>
  <c r="X1017" i="76"/>
  <c r="V145" i="76"/>
  <c r="BE695" i="76"/>
  <c r="U664" i="76"/>
  <c r="V237" i="76"/>
  <c r="U994" i="76"/>
  <c r="X357" i="76"/>
  <c r="BC307" i="76"/>
  <c r="BD227" i="76"/>
  <c r="BA819" i="76"/>
  <c r="BC772" i="76"/>
  <c r="BC545" i="76"/>
  <c r="U579" i="76"/>
  <c r="BB1035" i="76"/>
  <c r="BC673" i="76"/>
  <c r="BB211" i="76"/>
  <c r="U441" i="76"/>
  <c r="W235" i="76"/>
  <c r="X508" i="76"/>
  <c r="V160" i="76"/>
  <c r="BF254" i="76"/>
  <c r="V910" i="76"/>
  <c r="X957" i="76"/>
  <c r="V475" i="76"/>
  <c r="BC522" i="76"/>
  <c r="BA425" i="76"/>
  <c r="V205" i="76"/>
  <c r="U552" i="76"/>
  <c r="BA402" i="76"/>
  <c r="V807" i="76"/>
  <c r="BF1036" i="76"/>
  <c r="BE693" i="76"/>
  <c r="X88" i="76"/>
  <c r="BE618" i="76"/>
  <c r="BD722" i="76"/>
  <c r="BB636" i="76"/>
  <c r="T212" i="76"/>
  <c r="X309" i="76"/>
  <c r="V262" i="76"/>
  <c r="BF864" i="76"/>
  <c r="BF903" i="76"/>
  <c r="V148" i="76"/>
  <c r="X748" i="76"/>
  <c r="BF1060" i="76"/>
  <c r="U598" i="76"/>
  <c r="BD395" i="76"/>
  <c r="BD723" i="76"/>
  <c r="BA923" i="76"/>
  <c r="BE807" i="76"/>
  <c r="X740" i="76"/>
  <c r="V208" i="76"/>
  <c r="T1047" i="76"/>
  <c r="W247" i="76"/>
  <c r="Y549" i="76"/>
  <c r="T348" i="76"/>
  <c r="T898" i="76"/>
  <c r="X978" i="76"/>
  <c r="V670" i="76"/>
  <c r="V879" i="76"/>
  <c r="BE691" i="76"/>
  <c r="U776" i="76"/>
  <c r="BE833" i="76"/>
  <c r="X457" i="76"/>
  <c r="U661" i="76"/>
  <c r="BC844" i="76"/>
  <c r="X950" i="76"/>
  <c r="Y508" i="76"/>
  <c r="BB633" i="76"/>
  <c r="BF860" i="76"/>
  <c r="V769" i="76"/>
  <c r="U764" i="76"/>
  <c r="U248" i="76"/>
  <c r="BE735" i="76"/>
  <c r="BD1014" i="76"/>
  <c r="U561" i="76"/>
  <c r="Y757" i="76"/>
  <c r="U305" i="76"/>
  <c r="BC423" i="76"/>
  <c r="BE753" i="76"/>
  <c r="V668" i="76"/>
  <c r="V727" i="76"/>
  <c r="V101" i="76"/>
  <c r="BA630" i="76"/>
  <c r="BE593" i="76"/>
  <c r="U460" i="76"/>
  <c r="BE792" i="76"/>
  <c r="U477" i="76"/>
  <c r="V463" i="76"/>
  <c r="BE887" i="76"/>
  <c r="U699" i="76"/>
  <c r="BF599" i="76"/>
  <c r="W1043" i="76"/>
  <c r="BA718" i="76"/>
  <c r="BC855" i="76"/>
  <c r="T377" i="76"/>
  <c r="BF803" i="76"/>
  <c r="U222" i="76"/>
  <c r="W379" i="76"/>
  <c r="X784" i="76"/>
  <c r="U138" i="76"/>
  <c r="V785" i="76"/>
  <c r="BC434" i="76"/>
  <c r="BA575" i="76"/>
  <c r="BC360" i="76"/>
  <c r="BC313" i="76"/>
  <c r="W553" i="76"/>
  <c r="BB901" i="76"/>
  <c r="BC666" i="76"/>
  <c r="T70" i="76"/>
  <c r="X840" i="76"/>
  <c r="BE798" i="76"/>
  <c r="T777" i="76"/>
  <c r="BE310" i="76"/>
  <c r="BF529" i="76"/>
  <c r="T690" i="76"/>
  <c r="BB143" i="76"/>
  <c r="BD824" i="76"/>
  <c r="T616" i="76"/>
  <c r="W454" i="76"/>
  <c r="BC410" i="76"/>
  <c r="BC366" i="76"/>
  <c r="T1037" i="76"/>
  <c r="V900" i="76"/>
  <c r="BA580" i="76"/>
  <c r="BD524" i="76"/>
  <c r="X354" i="76"/>
  <c r="X423" i="76"/>
  <c r="BF74" i="76"/>
  <c r="BD559" i="76"/>
  <c r="BB710" i="76"/>
  <c r="X933" i="76"/>
  <c r="BC591" i="76"/>
  <c r="BF547" i="76"/>
  <c r="V375" i="76"/>
  <c r="V444" i="76"/>
  <c r="BA479" i="76"/>
  <c r="BB580" i="76"/>
  <c r="BB454" i="76"/>
  <c r="V921" i="76"/>
  <c r="BA644" i="76"/>
  <c r="BB565" i="76"/>
  <c r="T396" i="76"/>
  <c r="Y464" i="76"/>
  <c r="BE820" i="76"/>
  <c r="BF602" i="76"/>
  <c r="BA173" i="76"/>
  <c r="BF824" i="76"/>
  <c r="W1005" i="76"/>
  <c r="BE573" i="76"/>
  <c r="BC190" i="76"/>
  <c r="T198" i="76"/>
  <c r="BB584" i="76"/>
  <c r="BE582" i="76"/>
  <c r="BC306" i="76"/>
  <c r="U540" i="76"/>
  <c r="V316" i="76"/>
  <c r="BD565" i="76"/>
  <c r="U81" i="76"/>
  <c r="V421" i="76"/>
  <c r="T320" i="76"/>
  <c r="BA771" i="76"/>
  <c r="BA552" i="76"/>
  <c r="W912" i="76"/>
  <c r="BB242" i="76"/>
  <c r="W1007" i="76"/>
  <c r="BF562" i="76"/>
  <c r="BC642" i="76"/>
  <c r="X257" i="76"/>
  <c r="BD588" i="76"/>
  <c r="BA347" i="76"/>
  <c r="V515" i="76"/>
  <c r="BF819" i="76"/>
  <c r="BC247" i="76"/>
  <c r="BB866" i="76"/>
  <c r="U158" i="76"/>
  <c r="X847" i="76"/>
  <c r="BC950" i="76"/>
  <c r="BC767" i="76"/>
  <c r="T181" i="76"/>
  <c r="BE285" i="76"/>
  <c r="BD70" i="76"/>
  <c r="BA404" i="76"/>
  <c r="Y246" i="76"/>
  <c r="T883" i="76"/>
  <c r="BE240" i="76"/>
  <c r="U497" i="76"/>
  <c r="BC681" i="76"/>
  <c r="BB807" i="76"/>
  <c r="X827" i="76"/>
  <c r="W528" i="76"/>
  <c r="Y913" i="76"/>
  <c r="T682" i="76"/>
  <c r="BB421" i="76"/>
  <c r="BD106" i="76"/>
  <c r="BF1043" i="76"/>
  <c r="BC644" i="76"/>
  <c r="BC846" i="76"/>
  <c r="BA214" i="76"/>
  <c r="U153" i="76"/>
  <c r="BD1030" i="76"/>
  <c r="V461" i="76"/>
  <c r="W578" i="76"/>
  <c r="BE349" i="76"/>
  <c r="V590" i="76"/>
  <c r="T245" i="76"/>
  <c r="BC621" i="76"/>
  <c r="BC1011" i="76"/>
  <c r="BD245" i="76"/>
  <c r="BF942" i="76"/>
  <c r="BA818" i="76"/>
  <c r="V908" i="76"/>
  <c r="X533" i="76"/>
  <c r="W343" i="76"/>
  <c r="T712" i="76"/>
  <c r="T887" i="76"/>
  <c r="Y737" i="76"/>
  <c r="Y1018" i="76"/>
  <c r="Y179" i="76"/>
  <c r="V1021" i="76"/>
  <c r="X642" i="76"/>
  <c r="W694" i="76"/>
  <c r="Y926" i="76"/>
  <c r="BD376" i="76"/>
  <c r="Y418" i="76"/>
  <c r="X1063" i="76"/>
  <c r="BA542" i="76"/>
  <c r="T531" i="76"/>
  <c r="BF673" i="76"/>
  <c r="V818" i="76"/>
  <c r="BC147" i="76"/>
  <c r="BA270" i="76"/>
  <c r="Y579" i="76"/>
  <c r="BE547" i="76"/>
  <c r="W176" i="76"/>
  <c r="BF600" i="76"/>
  <c r="BB110" i="76"/>
  <c r="U905" i="76"/>
  <c r="BF230" i="76"/>
  <c r="BD923" i="76"/>
  <c r="BC796" i="76"/>
  <c r="BA823" i="76"/>
  <c r="Y439" i="76"/>
  <c r="BF667" i="76"/>
  <c r="BD1015" i="76"/>
  <c r="BD286" i="76"/>
  <c r="BB663" i="76"/>
  <c r="W614" i="76"/>
  <c r="BE350" i="76"/>
  <c r="BC1064" i="76"/>
  <c r="BF781" i="76"/>
  <c r="BC841" i="76"/>
  <c r="BE850" i="76"/>
  <c r="BA646" i="76"/>
  <c r="BD423" i="76"/>
  <c r="V425" i="76"/>
  <c r="BE912" i="76"/>
  <c r="Y237" i="76"/>
  <c r="Y924" i="76"/>
  <c r="BA326" i="76"/>
  <c r="U1006" i="76"/>
  <c r="BC458" i="76"/>
  <c r="BB467" i="76"/>
  <c r="BD639" i="76"/>
  <c r="BF185" i="76"/>
  <c r="BA953" i="76"/>
  <c r="X233" i="76"/>
  <c r="BF550" i="76"/>
  <c r="Y313" i="76"/>
  <c r="BD525" i="76"/>
  <c r="BB978" i="76"/>
  <c r="Y769" i="76"/>
  <c r="BF556" i="76"/>
  <c r="BF399" i="76"/>
  <c r="BF962" i="76"/>
  <c r="BC335" i="76"/>
  <c r="BD1055" i="76"/>
  <c r="Y367" i="76"/>
  <c r="BC116" i="76"/>
  <c r="BF1001" i="76"/>
  <c r="BD1047" i="76"/>
  <c r="BD888" i="76"/>
  <c r="BA459" i="76"/>
  <c r="BD85" i="76"/>
  <c r="X69" i="76"/>
  <c r="T283" i="76"/>
  <c r="BD907" i="76"/>
  <c r="BA222" i="76"/>
  <c r="U594" i="76"/>
  <c r="T222" i="76"/>
  <c r="BE142" i="76"/>
  <c r="BC277" i="76"/>
  <c r="W305" i="76"/>
  <c r="W514" i="76"/>
  <c r="BE412" i="76"/>
  <c r="BB85" i="76"/>
  <c r="W88" i="76"/>
  <c r="V437" i="76"/>
  <c r="BC163" i="76"/>
  <c r="BF299" i="76"/>
  <c r="V330" i="76"/>
  <c r="Y609" i="76"/>
  <c r="BE455" i="76"/>
  <c r="BF195" i="76"/>
  <c r="X488" i="76"/>
  <c r="T88" i="76"/>
  <c r="BF249" i="76"/>
  <c r="BD320" i="76"/>
  <c r="V397" i="76"/>
  <c r="T794" i="76"/>
  <c r="BF498" i="76"/>
  <c r="Y985" i="76"/>
  <c r="BA938" i="76"/>
  <c r="BD191" i="76"/>
  <c r="V333" i="76"/>
  <c r="BD804" i="76"/>
  <c r="BC630" i="76"/>
  <c r="X358" i="76"/>
  <c r="BF979" i="76"/>
  <c r="Y482" i="76"/>
  <c r="BE940" i="76"/>
  <c r="Y286" i="76"/>
  <c r="BB691" i="76"/>
  <c r="X514" i="76"/>
  <c r="W175" i="76"/>
  <c r="W288" i="76"/>
  <c r="BF691" i="76"/>
  <c r="BB634" i="76"/>
  <c r="BE324" i="76"/>
  <c r="BD576" i="76"/>
  <c r="BD91" i="76"/>
  <c r="W752" i="76"/>
  <c r="BD241" i="76"/>
  <c r="BC734" i="76"/>
  <c r="BB728" i="76"/>
  <c r="BD666" i="76"/>
  <c r="BC645" i="76"/>
  <c r="W376" i="76"/>
  <c r="BC819" i="76"/>
  <c r="X922" i="76"/>
  <c r="BF1012" i="76"/>
  <c r="BF270" i="76"/>
  <c r="X211" i="76"/>
  <c r="BC208" i="76"/>
  <c r="BB373" i="76"/>
  <c r="U756" i="76"/>
  <c r="BC498" i="76"/>
  <c r="BF483" i="76"/>
  <c r="BE704" i="76"/>
  <c r="BB394" i="76"/>
  <c r="T354" i="76"/>
  <c r="W464" i="76"/>
  <c r="X504" i="76"/>
  <c r="BB120" i="76"/>
  <c r="BB848" i="76"/>
  <c r="W711" i="76"/>
  <c r="BE533" i="76"/>
  <c r="BA78" i="76"/>
  <c r="BB1024" i="76"/>
  <c r="BC845" i="76"/>
  <c r="BD606" i="76"/>
  <c r="Y182" i="76"/>
  <c r="BF558" i="76"/>
  <c r="BD77" i="76"/>
  <c r="BE434" i="76"/>
  <c r="W758" i="76"/>
  <c r="BD176" i="76"/>
  <c r="BC488" i="76"/>
  <c r="BD477" i="76"/>
  <c r="BD970" i="76"/>
  <c r="BB380" i="76"/>
  <c r="BE372" i="76"/>
  <c r="W157" i="76"/>
  <c r="BE791" i="76"/>
  <c r="Y602" i="76"/>
  <c r="X1009" i="76"/>
  <c r="W972" i="76"/>
  <c r="U645" i="76"/>
  <c r="BF1030" i="76"/>
  <c r="X467" i="76"/>
  <c r="W1036" i="76"/>
  <c r="V270" i="76"/>
  <c r="BA793" i="76"/>
  <c r="BA780" i="76"/>
  <c r="BE220" i="76"/>
  <c r="Y536" i="76"/>
  <c r="Y990" i="76"/>
  <c r="BA215" i="76"/>
  <c r="BD196" i="76"/>
  <c r="BB590" i="76"/>
  <c r="U338" i="76"/>
  <c r="X661" i="76"/>
  <c r="BC771" i="76"/>
  <c r="BA324" i="76"/>
  <c r="BC480" i="76"/>
  <c r="BC554" i="76"/>
  <c r="BB270" i="76"/>
  <c r="BC431" i="76"/>
  <c r="T719" i="76"/>
  <c r="W730" i="76"/>
  <c r="BA314" i="76"/>
  <c r="BA920" i="76"/>
  <c r="X96" i="76"/>
  <c r="T178" i="76"/>
  <c r="U628" i="76"/>
  <c r="BB288" i="76"/>
  <c r="V216" i="76"/>
  <c r="BE1045" i="76"/>
  <c r="X553" i="76"/>
  <c r="BF920" i="76"/>
  <c r="BD331" i="76"/>
  <c r="Y1005" i="76"/>
  <c r="T845" i="76"/>
  <c r="W1033" i="76"/>
  <c r="V586" i="76"/>
  <c r="V597" i="76"/>
  <c r="V977" i="76"/>
  <c r="T980" i="76"/>
  <c r="U620" i="76"/>
  <c r="W538" i="76"/>
  <c r="V955" i="76"/>
  <c r="Y363" i="76"/>
  <c r="W648" i="76"/>
  <c r="W1012" i="76"/>
  <c r="X942" i="76"/>
  <c r="U1008" i="76"/>
  <c r="X1025" i="76"/>
  <c r="U639" i="76"/>
  <c r="V711" i="76"/>
  <c r="T392" i="76"/>
  <c r="U633" i="76"/>
  <c r="U254" i="76"/>
  <c r="X106" i="76"/>
  <c r="BC1019" i="76"/>
  <c r="BF859" i="76"/>
  <c r="T920" i="76"/>
  <c r="T812" i="76"/>
  <c r="Y878" i="76"/>
  <c r="BE470" i="76"/>
  <c r="BA1002" i="76"/>
  <c r="W85" i="76"/>
  <c r="BA655" i="76"/>
  <c r="BA212" i="76"/>
  <c r="BD974" i="76"/>
  <c r="BF656" i="76"/>
  <c r="BC519" i="76"/>
  <c r="BC143" i="76"/>
  <c r="BC711" i="76"/>
  <c r="BE154" i="76"/>
  <c r="BA732" i="76"/>
  <c r="BA164" i="76"/>
  <c r="BE754" i="76"/>
  <c r="T489" i="76"/>
  <c r="V232" i="76"/>
  <c r="T265" i="76"/>
  <c r="X737" i="76"/>
  <c r="BD100" i="76"/>
  <c r="W658" i="76"/>
  <c r="BB610" i="76"/>
  <c r="Y271" i="76"/>
  <c r="V179" i="76"/>
  <c r="BB367" i="76"/>
  <c r="BD734" i="76"/>
  <c r="T182" i="76"/>
  <c r="BD228" i="76"/>
  <c r="W97" i="76"/>
  <c r="BF1049" i="76"/>
  <c r="W608" i="76"/>
  <c r="BA278" i="76"/>
  <c r="X415" i="76"/>
  <c r="W832" i="76"/>
  <c r="W961" i="76"/>
  <c r="X774" i="76"/>
  <c r="W213" i="76"/>
  <c r="U742" i="76"/>
  <c r="U745" i="76"/>
  <c r="BB701" i="76"/>
  <c r="BA441" i="76"/>
  <c r="BC192" i="76"/>
  <c r="X255" i="76"/>
  <c r="BB985" i="76"/>
  <c r="W833" i="76"/>
  <c r="W976" i="76"/>
  <c r="V536" i="76"/>
  <c r="X303" i="76"/>
  <c r="BF929" i="76"/>
  <c r="U712" i="76"/>
  <c r="V294" i="76"/>
  <c r="BA508" i="76"/>
  <c r="BE332" i="76"/>
  <c r="V355" i="76"/>
  <c r="BB951" i="76"/>
  <c r="Y441" i="76"/>
  <c r="Y606" i="76"/>
  <c r="V182" i="76"/>
  <c r="BB329" i="76"/>
  <c r="W399" i="76"/>
  <c r="BE852" i="76"/>
  <c r="BA411" i="76"/>
  <c r="BB482" i="76"/>
  <c r="X974" i="76"/>
  <c r="V882" i="76"/>
  <c r="BE608" i="76"/>
  <c r="BB148" i="76"/>
  <c r="BC184" i="76"/>
  <c r="Y1016" i="76"/>
  <c r="T809" i="76"/>
  <c r="BF627" i="76"/>
  <c r="BC363" i="76"/>
  <c r="BE207" i="76"/>
  <c r="U1058" i="76"/>
  <c r="W916" i="76"/>
  <c r="BB709" i="76"/>
  <c r="BA162" i="76"/>
  <c r="BA225" i="76"/>
  <c r="T990" i="76"/>
  <c r="V696" i="76"/>
  <c r="BD796" i="76"/>
  <c r="Y1004" i="76"/>
  <c r="BD762" i="76"/>
  <c r="BC382" i="76"/>
  <c r="BE456" i="76"/>
  <c r="U97" i="76"/>
  <c r="BE1000" i="76"/>
  <c r="V350" i="76"/>
  <c r="BA188" i="76"/>
  <c r="BB836" i="76"/>
  <c r="T281" i="76"/>
  <c r="BD740" i="76"/>
  <c r="X747" i="76"/>
  <c r="BB176" i="76"/>
  <c r="X403" i="76"/>
  <c r="V974" i="76"/>
  <c r="BF814" i="76"/>
  <c r="BF345" i="76"/>
  <c r="BE191" i="76"/>
  <c r="BE861" i="76"/>
  <c r="BC866" i="76"/>
  <c r="BE88" i="76"/>
  <c r="BD258" i="76"/>
  <c r="BA428" i="76"/>
  <c r="BC879" i="76"/>
  <c r="BE786" i="76"/>
  <c r="BD671" i="76"/>
  <c r="T676" i="76"/>
  <c r="V621" i="76"/>
  <c r="BB90" i="76"/>
  <c r="BA747" i="76"/>
  <c r="BA149" i="76"/>
  <c r="BA241" i="76"/>
  <c r="BB281" i="76"/>
  <c r="X873" i="76"/>
  <c r="BD602" i="76"/>
  <c r="BF883" i="76"/>
  <c r="BE392" i="76"/>
  <c r="T319" i="76"/>
  <c r="U638" i="76"/>
  <c r="BE797" i="76"/>
  <c r="T353" i="76"/>
  <c r="BD87" i="76"/>
  <c r="BB542" i="76"/>
  <c r="U881" i="76"/>
  <c r="U641" i="76"/>
  <c r="W619" i="76"/>
  <c r="W671" i="76"/>
  <c r="Y724" i="76"/>
  <c r="Y625" i="76"/>
  <c r="Y986" i="76"/>
  <c r="W660" i="76"/>
  <c r="V899" i="76"/>
  <c r="Y692" i="76"/>
  <c r="BB851" i="76"/>
  <c r="U1032" i="76"/>
  <c r="BC1010" i="76"/>
  <c r="W546" i="76"/>
  <c r="Y691" i="76"/>
  <c r="BE302" i="76"/>
  <c r="W965" i="76"/>
  <c r="U476" i="76"/>
  <c r="BB477" i="76"/>
  <c r="BC1047" i="76"/>
  <c r="V823" i="76"/>
  <c r="Y953" i="76"/>
  <c r="T360" i="76"/>
  <c r="T169" i="76"/>
  <c r="BF887" i="76"/>
  <c r="V906" i="76"/>
  <c r="W764" i="76"/>
  <c r="Y386" i="76"/>
  <c r="BB597" i="76"/>
  <c r="BD979" i="76"/>
  <c r="V676" i="76"/>
  <c r="W786" i="76"/>
  <c r="T775" i="76"/>
  <c r="BB280" i="76"/>
  <c r="BC1028" i="76"/>
  <c r="V780" i="76"/>
  <c r="BE129" i="76"/>
  <c r="U831" i="76"/>
  <c r="V691" i="76"/>
  <c r="BA680" i="76"/>
  <c r="Y673" i="76"/>
  <c r="BC585" i="76"/>
  <c r="BC276" i="76"/>
  <c r="BF433" i="76"/>
  <c r="BF465" i="76"/>
  <c r="U154" i="76"/>
  <c r="BD697" i="76"/>
  <c r="V311" i="76"/>
  <c r="W818" i="76"/>
  <c r="Y971" i="76"/>
  <c r="W482" i="76"/>
  <c r="BC829" i="76"/>
  <c r="BA990" i="76"/>
  <c r="BE1036" i="76"/>
  <c r="BC613" i="76"/>
  <c r="BF808" i="76"/>
  <c r="X203" i="76"/>
  <c r="X821" i="76"/>
  <c r="BD1063" i="76"/>
  <c r="U385" i="76"/>
  <c r="BF146" i="76"/>
  <c r="BF605" i="76"/>
  <c r="BD560" i="76"/>
  <c r="BA375" i="76"/>
  <c r="BB970" i="76"/>
  <c r="BE204" i="76"/>
  <c r="BE953" i="76"/>
  <c r="BF261" i="76"/>
  <c r="Y965" i="76"/>
  <c r="Y802" i="76"/>
  <c r="BA702" i="76"/>
  <c r="BB876" i="76"/>
  <c r="BD540" i="76"/>
  <c r="BD393" i="76"/>
  <c r="BD1020" i="76"/>
  <c r="BA485" i="76"/>
  <c r="W956" i="76"/>
  <c r="T846" i="76"/>
  <c r="BB292" i="76"/>
  <c r="BE177" i="76"/>
  <c r="BC548" i="76"/>
  <c r="BE404" i="76"/>
  <c r="BF1031" i="76"/>
  <c r="BB496" i="76"/>
  <c r="Y999" i="76"/>
  <c r="W642" i="76"/>
  <c r="BF338" i="76"/>
  <c r="BC198" i="76"/>
  <c r="BE635" i="76"/>
  <c r="BF490" i="76"/>
  <c r="X204" i="76"/>
  <c r="BD507" i="76"/>
  <c r="U1041" i="76"/>
  <c r="X698" i="76"/>
  <c r="BC379" i="76"/>
  <c r="BA219" i="76"/>
  <c r="BA717" i="76"/>
  <c r="Y272" i="76"/>
  <c r="BD257" i="76"/>
  <c r="X374" i="76"/>
  <c r="X162" i="76"/>
  <c r="BB268" i="76"/>
  <c r="BA868" i="76"/>
  <c r="W251" i="76"/>
  <c r="W98" i="76"/>
  <c r="Y268" i="76"/>
  <c r="BF856" i="76"/>
  <c r="BF849" i="76"/>
  <c r="W96" i="76"/>
  <c r="U580" i="76"/>
  <c r="V450" i="76"/>
  <c r="T857" i="76"/>
  <c r="BD992" i="76"/>
  <c r="BB232" i="76"/>
  <c r="X466" i="76"/>
  <c r="BA943" i="76"/>
  <c r="BE673" i="76"/>
  <c r="V443" i="76"/>
  <c r="BB933" i="76"/>
  <c r="BA844" i="76"/>
  <c r="BF839" i="76"/>
  <c r="BB693" i="76"/>
  <c r="BB732" i="76"/>
  <c r="BF541" i="76"/>
  <c r="X703" i="76"/>
  <c r="BE830" i="76"/>
  <c r="BE558" i="76"/>
  <c r="Y647" i="76"/>
  <c r="BE991" i="76"/>
  <c r="BD127" i="76"/>
  <c r="BE781" i="76"/>
  <c r="W193" i="76"/>
  <c r="X166" i="76"/>
  <c r="BC514" i="76"/>
  <c r="V559" i="76"/>
  <c r="BC1043" i="76"/>
  <c r="X119" i="76"/>
  <c r="W337" i="76"/>
  <c r="X347" i="76"/>
  <c r="BA941" i="76"/>
  <c r="BA553" i="76"/>
  <c r="BB424" i="76"/>
  <c r="BA116" i="76"/>
  <c r="T307" i="76"/>
  <c r="BA881" i="76"/>
  <c r="V602" i="76"/>
  <c r="BC868" i="76"/>
  <c r="V304" i="76"/>
  <c r="W277" i="76"/>
  <c r="BD629" i="76"/>
  <c r="BE966" i="76"/>
  <c r="BC407" i="76"/>
  <c r="BE619" i="76"/>
  <c r="W591" i="76"/>
  <c r="BA257" i="76"/>
  <c r="U850" i="76"/>
  <c r="X1010" i="76"/>
  <c r="X761" i="76"/>
  <c r="BA625" i="76"/>
  <c r="BF757" i="76"/>
  <c r="BC364" i="76"/>
  <c r="T1029" i="76"/>
  <c r="X813" i="76"/>
  <c r="W298" i="76"/>
  <c r="U830" i="76"/>
  <c r="Y572" i="76"/>
  <c r="W918" i="76"/>
  <c r="X862" i="76"/>
  <c r="V89" i="76"/>
  <c r="X805" i="76"/>
  <c r="T1044" i="76"/>
  <c r="Y1017" i="76"/>
  <c r="V498" i="76"/>
  <c r="BC912" i="76"/>
  <c r="X733" i="76"/>
  <c r="U686" i="76"/>
  <c r="BB200" i="76"/>
  <c r="X909" i="76"/>
  <c r="BE1029" i="76"/>
  <c r="X663" i="76"/>
  <c r="BC791" i="76"/>
  <c r="BD1021" i="76"/>
  <c r="T648" i="76"/>
  <c r="BF706" i="76"/>
  <c r="X186" i="76"/>
  <c r="BC535" i="76"/>
  <c r="BC1041" i="76"/>
  <c r="Y635" i="76"/>
  <c r="BF546" i="76"/>
  <c r="Y424" i="76"/>
  <c r="BA279" i="76"/>
  <c r="BC939" i="76"/>
  <c r="V857" i="76"/>
  <c r="BD385" i="76"/>
  <c r="U127" i="76"/>
  <c r="BF961" i="76"/>
  <c r="BC730" i="76"/>
  <c r="V620" i="76"/>
  <c r="BA224" i="76"/>
  <c r="Y122" i="76"/>
  <c r="BE1027" i="76"/>
  <c r="BD154" i="76"/>
  <c r="BA989" i="76"/>
  <c r="BC847" i="76"/>
  <c r="BA1029" i="76"/>
  <c r="T789" i="76"/>
  <c r="X319" i="76"/>
  <c r="T436" i="76"/>
  <c r="BB470" i="76"/>
  <c r="BD137" i="76"/>
  <c r="BF612" i="76"/>
  <c r="BB314" i="76"/>
  <c r="Y102" i="76"/>
  <c r="BF184" i="76"/>
  <c r="BD674" i="76"/>
  <c r="T278" i="76"/>
  <c r="V560" i="76"/>
  <c r="BF360" i="76"/>
  <c r="X716" i="76"/>
  <c r="BA125" i="76"/>
  <c r="BE530" i="76"/>
  <c r="BA242" i="76"/>
  <c r="BD247" i="76"/>
  <c r="BC946" i="76"/>
  <c r="V284" i="76"/>
  <c r="BA230" i="76"/>
  <c r="V78" i="76"/>
  <c r="X485" i="76"/>
  <c r="BF350" i="76"/>
  <c r="BC811" i="76"/>
  <c r="U251" i="76"/>
  <c r="T363" i="76"/>
  <c r="BF272" i="76"/>
  <c r="BF908" i="76"/>
  <c r="W250" i="76"/>
  <c r="V972" i="76"/>
  <c r="BB138" i="76"/>
  <c r="BF376" i="76"/>
  <c r="V527" i="76"/>
  <c r="U365" i="76"/>
  <c r="BF593" i="76"/>
  <c r="BF884" i="76"/>
  <c r="V693" i="76"/>
  <c r="X960" i="76"/>
  <c r="BA523" i="76"/>
  <c r="BA386" i="76"/>
  <c r="X576" i="76"/>
  <c r="Y387" i="76"/>
  <c r="BD614" i="76"/>
  <c r="BC905" i="76"/>
  <c r="T199" i="76"/>
  <c r="V1045" i="76"/>
  <c r="BC566" i="76"/>
  <c r="BC440" i="76"/>
  <c r="U325" i="76"/>
  <c r="W408" i="76"/>
  <c r="BB635" i="76"/>
  <c r="BF927" i="76"/>
  <c r="X221" i="76"/>
  <c r="U1017" i="76"/>
  <c r="BE609" i="76"/>
  <c r="U694" i="76"/>
  <c r="U724" i="76"/>
  <c r="BC1033" i="76"/>
  <c r="W585" i="76"/>
  <c r="BB1048" i="76"/>
  <c r="V553" i="76"/>
  <c r="BB658" i="76"/>
  <c r="BE957" i="76"/>
  <c r="BF113" i="76"/>
  <c r="BD586" i="76"/>
  <c r="BA344" i="76"/>
  <c r="BC456" i="76"/>
  <c r="W69" i="76"/>
  <c r="BE831" i="76"/>
  <c r="BD597" i="76"/>
  <c r="X130" i="76"/>
  <c r="BD958" i="76"/>
  <c r="U538" i="76"/>
  <c r="BE566" i="76"/>
  <c r="BD284" i="76"/>
  <c r="BE946" i="76"/>
  <c r="W632" i="76"/>
  <c r="BC401" i="76"/>
  <c r="BB229" i="76"/>
  <c r="BF414" i="76"/>
  <c r="Y152" i="76"/>
  <c r="X199" i="76"/>
  <c r="BA385" i="76"/>
  <c r="BA1006" i="76"/>
  <c r="V387" i="76"/>
  <c r="BA424" i="76"/>
  <c r="Y460" i="76"/>
  <c r="BE877" i="76"/>
  <c r="T457" i="76"/>
  <c r="BF349" i="76"/>
  <c r="BD553" i="76"/>
  <c r="BF1021" i="76"/>
  <c r="BB339" i="76"/>
  <c r="U855" i="76"/>
  <c r="W737" i="76"/>
  <c r="BE130" i="76"/>
  <c r="BE267" i="76"/>
  <c r="Y72" i="76"/>
  <c r="BC660" i="76"/>
  <c r="BC1044" i="76"/>
  <c r="Y241" i="76"/>
  <c r="BB250" i="76"/>
  <c r="V782" i="76"/>
  <c r="BF96" i="76"/>
  <c r="Y95" i="76"/>
  <c r="BE71" i="76"/>
  <c r="BE905" i="76"/>
  <c r="T698" i="76"/>
  <c r="BE999" i="76"/>
  <c r="BB722" i="76"/>
  <c r="BD455" i="76"/>
  <c r="U224" i="76"/>
  <c r="BA384" i="76"/>
  <c r="BA663" i="76"/>
  <c r="Y497" i="76"/>
  <c r="BA486" i="76"/>
  <c r="X266" i="76"/>
  <c r="BC878" i="76"/>
  <c r="BA284" i="76"/>
  <c r="V680" i="76"/>
  <c r="Y881" i="76"/>
  <c r="U933" i="76"/>
  <c r="W304" i="76"/>
  <c r="U1009" i="76"/>
  <c r="U725" i="76"/>
  <c r="Y700" i="76"/>
  <c r="BE347" i="76"/>
  <c r="BE1033" i="76"/>
  <c r="BD598" i="76"/>
  <c r="X601" i="76"/>
  <c r="Y80" i="76"/>
  <c r="BC933" i="76"/>
  <c r="BB716" i="76"/>
  <c r="BC86" i="76"/>
  <c r="V686" i="76"/>
  <c r="X475" i="76"/>
  <c r="BA1011" i="76"/>
  <c r="BE396" i="76"/>
  <c r="T168" i="76"/>
  <c r="BF1058" i="76"/>
  <c r="BF910" i="76"/>
  <c r="U111" i="76"/>
  <c r="BA121" i="76"/>
  <c r="BE144" i="76"/>
  <c r="BE954" i="76"/>
  <c r="BB142" i="76"/>
  <c r="V581" i="76"/>
  <c r="U612" i="76"/>
  <c r="BD902" i="76"/>
  <c r="BA206" i="76"/>
  <c r="V491" i="76"/>
  <c r="W141" i="76"/>
  <c r="BD418" i="76"/>
  <c r="V519" i="76"/>
  <c r="BC806" i="76"/>
  <c r="W330" i="76"/>
  <c r="W653" i="76"/>
  <c r="Y954" i="76"/>
  <c r="U607" i="76"/>
  <c r="Y381" i="76"/>
  <c r="V1002" i="76"/>
  <c r="W914" i="76"/>
  <c r="Y814" i="76"/>
  <c r="X878" i="76"/>
  <c r="X736" i="76"/>
  <c r="V561" i="76"/>
  <c r="U826" i="76"/>
  <c r="V469" i="76"/>
  <c r="U129" i="76"/>
  <c r="X351" i="76"/>
  <c r="BF934" i="76"/>
  <c r="BF1026" i="76"/>
  <c r="T921" i="76"/>
  <c r="T656" i="76"/>
  <c r="X725" i="76"/>
  <c r="T508" i="76"/>
  <c r="V195" i="76"/>
  <c r="T294" i="76"/>
  <c r="X207" i="76"/>
  <c r="Y171" i="76"/>
  <c r="BC972" i="76"/>
  <c r="BF271" i="76"/>
  <c r="BA94" i="76"/>
  <c r="BC1036" i="76"/>
  <c r="BA99" i="76"/>
  <c r="Y395" i="76"/>
  <c r="BB1052" i="76"/>
  <c r="BC707" i="76"/>
  <c r="BA528" i="76"/>
  <c r="BB413" i="76"/>
  <c r="BF136" i="76"/>
  <c r="BE638" i="76"/>
  <c r="BD328" i="76"/>
  <c r="BA648" i="76"/>
  <c r="BB349" i="76"/>
  <c r="BC659" i="76"/>
  <c r="BF371" i="76"/>
  <c r="BC736" i="76"/>
  <c r="BC399" i="76"/>
  <c r="BE598" i="76"/>
  <c r="BE69" i="76"/>
  <c r="BC694" i="76"/>
  <c r="U762" i="76"/>
  <c r="BF569" i="76"/>
  <c r="BC438" i="76"/>
  <c r="W928" i="76"/>
  <c r="U582" i="76"/>
  <c r="W1037" i="76"/>
  <c r="W996" i="76"/>
  <c r="T941" i="76"/>
  <c r="BB888" i="76"/>
  <c r="BF983" i="76"/>
  <c r="BA703" i="76"/>
  <c r="T494" i="76"/>
  <c r="W729" i="76"/>
  <c r="V1034" i="76"/>
  <c r="Y773" i="76"/>
  <c r="T651" i="76"/>
  <c r="W510" i="76"/>
  <c r="BC115" i="76"/>
  <c r="X754" i="76"/>
  <c r="BF237" i="76"/>
  <c r="BF761" i="76"/>
  <c r="BE859" i="76"/>
  <c r="X124" i="76"/>
  <c r="Y467" i="76"/>
  <c r="W705" i="76"/>
  <c r="V803" i="76"/>
  <c r="V985" i="76"/>
  <c r="V402" i="76"/>
  <c r="W152" i="76"/>
  <c r="W503" i="76"/>
  <c r="U665" i="76"/>
  <c r="T77" i="76"/>
  <c r="BB826" i="76"/>
  <c r="BB769" i="76"/>
  <c r="BA312" i="76"/>
  <c r="U345" i="76"/>
  <c r="BC915" i="76"/>
  <c r="Y412" i="76"/>
  <c r="BD936" i="76"/>
  <c r="W1063" i="76"/>
  <c r="BA996" i="76"/>
  <c r="T446" i="76"/>
  <c r="BE90" i="76"/>
  <c r="BF404" i="76"/>
  <c r="BD752" i="76"/>
  <c r="BE646" i="76"/>
  <c r="X97" i="76"/>
  <c r="BC314" i="76"/>
  <c r="BD827" i="76"/>
  <c r="BF495" i="76"/>
  <c r="BC154" i="76"/>
  <c r="T107" i="76"/>
  <c r="BE325" i="76"/>
  <c r="BA904" i="76"/>
  <c r="BB577" i="76"/>
  <c r="BE197" i="76"/>
  <c r="X161" i="76"/>
  <c r="BA335" i="76"/>
  <c r="BC173" i="76"/>
  <c r="BD664" i="76"/>
  <c r="BA239" i="76"/>
  <c r="BC370" i="76"/>
  <c r="U429" i="76"/>
  <c r="BE1050" i="76"/>
  <c r="BC199" i="76"/>
  <c r="V947" i="76"/>
  <c r="W873" i="76"/>
  <c r="X1062" i="76"/>
  <c r="BE236" i="76"/>
  <c r="T204" i="76"/>
  <c r="T376" i="76"/>
  <c r="X306" i="76"/>
  <c r="BC885" i="76"/>
  <c r="V925" i="76"/>
  <c r="T588" i="76"/>
  <c r="X326" i="76"/>
  <c r="U391" i="76"/>
  <c r="BB864" i="76"/>
  <c r="BD496" i="76"/>
  <c r="U941" i="76"/>
  <c r="U310" i="76"/>
  <c r="BD294" i="76"/>
  <c r="U435" i="76"/>
  <c r="BB386" i="76"/>
  <c r="Y567" i="76"/>
  <c r="U162" i="76"/>
  <c r="X791" i="76"/>
  <c r="BA927" i="76"/>
  <c r="BF269" i="76"/>
  <c r="X407" i="76"/>
  <c r="T167" i="76"/>
  <c r="BC821" i="76"/>
  <c r="BA1061" i="76"/>
  <c r="BC84" i="76"/>
  <c r="BD803" i="76"/>
  <c r="BE146" i="76"/>
  <c r="V301" i="76"/>
  <c r="Y453" i="76"/>
  <c r="BE545" i="76"/>
  <c r="Y158" i="76"/>
  <c r="BD822" i="76"/>
  <c r="BF661" i="76"/>
  <c r="Y462" i="76"/>
  <c r="BB837" i="76"/>
  <c r="V632" i="76"/>
  <c r="V511" i="76"/>
  <c r="T721" i="76"/>
  <c r="T685" i="76"/>
  <c r="U1013" i="76"/>
  <c r="W1041" i="76"/>
  <c r="Y832" i="76"/>
  <c r="W761" i="76"/>
  <c r="Y712" i="76"/>
  <c r="X1057" i="76"/>
  <c r="BF291" i="76"/>
  <c r="W278" i="76"/>
  <c r="Y364" i="76"/>
  <c r="W890" i="76"/>
  <c r="Y932" i="76"/>
  <c r="BA200" i="76"/>
  <c r="W904" i="76"/>
  <c r="V946" i="76"/>
  <c r="BE416" i="76"/>
  <c r="T151" i="76"/>
  <c r="BF548" i="76"/>
  <c r="W624" i="76"/>
  <c r="V1048" i="76"/>
  <c r="BB255" i="76"/>
  <c r="X299" i="76"/>
  <c r="BB641" i="76"/>
  <c r="V994" i="76"/>
  <c r="W822" i="76"/>
  <c r="BC95" i="76"/>
  <c r="U91" i="76"/>
  <c r="BB104" i="76"/>
  <c r="U1011" i="76"/>
  <c r="V928" i="76"/>
  <c r="BF688" i="76"/>
  <c r="W576" i="76"/>
  <c r="BF239" i="76"/>
  <c r="U339" i="76"/>
  <c r="BA585" i="76"/>
  <c r="BA369" i="76"/>
  <c r="BB487" i="76"/>
  <c r="BB582" i="76"/>
  <c r="BA140" i="76"/>
  <c r="BA820" i="76"/>
  <c r="BD301" i="76"/>
  <c r="U88" i="76"/>
  <c r="T361" i="76"/>
  <c r="BB624" i="76"/>
  <c r="Y877" i="76"/>
  <c r="BD99" i="76"/>
  <c r="BA184" i="76"/>
  <c r="T899" i="76"/>
  <c r="BE422" i="76"/>
  <c r="BC559" i="76"/>
  <c r="BB869" i="76"/>
  <c r="BE484" i="76"/>
  <c r="BA952" i="76"/>
  <c r="X535" i="76"/>
  <c r="T580" i="76"/>
  <c r="V86" i="76"/>
  <c r="T523" i="76"/>
  <c r="BB423" i="76"/>
  <c r="BD415" i="76"/>
  <c r="BE567" i="76"/>
  <c r="BA888" i="76"/>
  <c r="X580" i="76"/>
  <c r="X167" i="76"/>
  <c r="V310" i="76"/>
  <c r="BC755" i="76"/>
  <c r="BA916" i="76"/>
  <c r="W973" i="76"/>
  <c r="BF425" i="76"/>
  <c r="BD478" i="76"/>
  <c r="BA111" i="76"/>
  <c r="W171" i="76"/>
  <c r="Y250" i="76"/>
  <c r="BA103" i="76"/>
  <c r="BA272" i="76"/>
  <c r="BA785" i="76"/>
  <c r="BE808" i="76"/>
  <c r="BC670" i="76"/>
  <c r="BB495" i="76"/>
  <c r="T200" i="76"/>
  <c r="U260" i="76"/>
  <c r="BC114" i="76"/>
  <c r="BF317" i="76"/>
  <c r="BB273" i="76"/>
  <c r="BB854" i="76"/>
  <c r="BA691" i="76"/>
  <c r="BD538" i="76"/>
  <c r="W174" i="76"/>
  <c r="V322" i="76"/>
  <c r="BE125" i="76"/>
  <c r="BD358" i="76"/>
  <c r="BF532" i="76"/>
  <c r="BC985" i="76"/>
  <c r="BE713" i="76"/>
  <c r="BF581" i="76"/>
  <c r="U484" i="76"/>
  <c r="V238" i="76"/>
  <c r="BD875" i="76"/>
  <c r="Y285" i="76"/>
  <c r="BC356" i="76"/>
  <c r="W481" i="76"/>
  <c r="BF94" i="76"/>
  <c r="BA245" i="76"/>
  <c r="Y683" i="76"/>
  <c r="BF506" i="76"/>
  <c r="W267" i="76"/>
  <c r="BB605" i="76"/>
  <c r="BD300" i="76"/>
  <c r="BA555" i="76"/>
  <c r="V363" i="76"/>
  <c r="W644" i="76"/>
  <c r="BD929" i="76"/>
  <c r="T645" i="76"/>
  <c r="Y299" i="76"/>
  <c r="X93" i="76"/>
  <c r="BE832" i="76"/>
  <c r="BF193" i="76"/>
  <c r="BF454" i="76"/>
  <c r="X931" i="76"/>
  <c r="BE975" i="76"/>
  <c r="BA234" i="76"/>
  <c r="U601" i="76"/>
  <c r="T358" i="76"/>
  <c r="V255" i="76"/>
  <c r="W227" i="76"/>
  <c r="BD661" i="76"/>
  <c r="V623" i="76"/>
  <c r="BF467" i="76"/>
  <c r="V715" i="76"/>
  <c r="BD906" i="76"/>
  <c r="X1061" i="76"/>
  <c r="Y109" i="76"/>
  <c r="V468" i="76"/>
  <c r="BF476" i="76"/>
  <c r="V543" i="76"/>
  <c r="BE127" i="76"/>
  <c r="Y87" i="76"/>
  <c r="BB892" i="76"/>
  <c r="T524" i="76"/>
  <c r="U653" i="76"/>
  <c r="U367" i="76"/>
  <c r="BE612" i="76"/>
  <c r="T242" i="76"/>
  <c r="BA650" i="76"/>
  <c r="U119" i="76"/>
  <c r="U1007" i="76"/>
  <c r="V690" i="76"/>
  <c r="BD659" i="76"/>
  <c r="Y1046" i="76"/>
  <c r="V713" i="76"/>
  <c r="BD558" i="76"/>
  <c r="W345" i="76"/>
  <c r="BF351" i="76"/>
  <c r="BB1025" i="76"/>
  <c r="W407" i="76"/>
  <c r="BC108" i="76"/>
  <c r="BD235" i="76"/>
  <c r="Y743" i="76"/>
  <c r="BE640" i="76"/>
  <c r="BC961" i="76"/>
  <c r="X890" i="76"/>
  <c r="V834" i="76"/>
  <c r="Y948" i="76"/>
  <c r="Y740" i="76"/>
  <c r="T986" i="76"/>
  <c r="Y817" i="76"/>
  <c r="W497" i="76"/>
  <c r="Y851" i="76"/>
  <c r="Y582" i="76"/>
  <c r="T750" i="76"/>
  <c r="W839" i="76"/>
  <c r="W169" i="76"/>
  <c r="V1017" i="76"/>
  <c r="U539" i="76"/>
  <c r="BB532" i="76"/>
  <c r="T575" i="76"/>
  <c r="T144" i="76"/>
  <c r="U871" i="76"/>
  <c r="BE933" i="76"/>
  <c r="T124" i="76"/>
  <c r="V937" i="76"/>
  <c r="BA772" i="76"/>
  <c r="W560" i="76"/>
  <c r="BC686" i="76"/>
  <c r="BA1024" i="76"/>
  <c r="V775" i="76"/>
  <c r="BA612" i="76"/>
  <c r="V263" i="76"/>
  <c r="BE430" i="76"/>
  <c r="BD864" i="76"/>
  <c r="Y847" i="76"/>
  <c r="BB452" i="76"/>
  <c r="Y342" i="76"/>
  <c r="BD173" i="76"/>
  <c r="BB956" i="76"/>
  <c r="V838" i="76"/>
  <c r="BF292" i="76"/>
  <c r="U626" i="76"/>
  <c r="X393" i="76"/>
  <c r="BA795" i="76"/>
  <c r="W188" i="76"/>
  <c r="BA701" i="76"/>
  <c r="U103" i="76"/>
  <c r="Y1068" i="76"/>
  <c r="V434" i="76"/>
  <c r="Y783" i="76"/>
  <c r="BF603" i="76"/>
  <c r="BD821" i="76"/>
  <c r="BF492" i="76"/>
  <c r="BF805" i="76"/>
  <c r="U147" i="76"/>
  <c r="Y193" i="76"/>
  <c r="BC1034" i="76"/>
  <c r="X482" i="76"/>
  <c r="X939" i="76"/>
  <c r="BA167" i="76"/>
  <c r="X994" i="76"/>
  <c r="BA525" i="76"/>
  <c r="BB146" i="76"/>
  <c r="BC83" i="76"/>
  <c r="BF726" i="76"/>
  <c r="X178" i="76"/>
  <c r="Y465" i="76"/>
  <c r="BD389" i="76"/>
  <c r="U259" i="76"/>
  <c r="Y944" i="76"/>
  <c r="BF251" i="76"/>
  <c r="X82" i="76"/>
  <c r="U809" i="76"/>
  <c r="Y910" i="76"/>
  <c r="BF1055" i="76"/>
  <c r="T313" i="76"/>
  <c r="X450" i="76"/>
  <c r="BA694" i="76"/>
  <c r="X107" i="76"/>
  <c r="Y511" i="76"/>
  <c r="V919" i="76"/>
  <c r="W941" i="76"/>
  <c r="BF950" i="76"/>
  <c r="U100" i="76"/>
  <c r="Y502" i="76"/>
  <c r="BF572" i="76"/>
  <c r="V211" i="76"/>
  <c r="Y224" i="76"/>
  <c r="T940" i="76"/>
  <c r="U1012" i="76"/>
  <c r="BD971" i="76"/>
  <c r="Y146" i="76"/>
  <c r="W523" i="76"/>
  <c r="BB654" i="76"/>
  <c r="T285" i="76"/>
  <c r="BE881" i="76"/>
  <c r="Y1061" i="76"/>
  <c r="V986" i="76"/>
  <c r="BB992" i="76"/>
  <c r="U194" i="76"/>
  <c r="W547" i="76"/>
  <c r="BD741" i="76"/>
  <c r="U426" i="76"/>
  <c r="BA137" i="76"/>
  <c r="BD503" i="76"/>
  <c r="W388" i="76"/>
  <c r="BF326" i="76"/>
  <c r="Y815" i="76"/>
  <c r="U504" i="76"/>
  <c r="U173" i="76"/>
  <c r="BC704" i="76"/>
  <c r="W447" i="76"/>
  <c r="BB499" i="76"/>
  <c r="W1059" i="76"/>
  <c r="BA462" i="76"/>
  <c r="BC405" i="76"/>
  <c r="W771" i="76"/>
  <c r="BF847" i="76"/>
  <c r="X871" i="76"/>
  <c r="U149" i="76"/>
  <c r="BD573" i="76"/>
  <c r="BB964" i="76"/>
  <c r="W367" i="76"/>
  <c r="V348" i="76"/>
  <c r="BF806" i="76"/>
  <c r="BA873" i="76"/>
  <c r="Y292" i="76"/>
  <c r="BF325" i="76"/>
  <c r="BF734" i="76"/>
  <c r="BF745" i="76"/>
  <c r="V79" i="76"/>
  <c r="X431" i="76"/>
  <c r="BB666" i="76"/>
  <c r="T335" i="76"/>
  <c r="Y988" i="76"/>
  <c r="V659" i="76"/>
  <c r="X346" i="76"/>
  <c r="BA1032" i="76"/>
  <c r="X992" i="76"/>
  <c r="Y187" i="76"/>
  <c r="BC322" i="76"/>
  <c r="BA583" i="76"/>
  <c r="BC764" i="76"/>
  <c r="T624" i="76"/>
  <c r="U555" i="76"/>
  <c r="T466" i="76"/>
  <c r="T371" i="76"/>
  <c r="Y419" i="76"/>
  <c r="BC260" i="76"/>
  <c r="W184" i="76"/>
  <c r="U765" i="76"/>
  <c r="V412" i="76"/>
  <c r="Y359" i="76"/>
  <c r="BD1002" i="76"/>
  <c r="U466" i="76"/>
  <c r="BB405" i="76"/>
  <c r="BF213" i="76"/>
  <c r="BD150" i="76"/>
  <c r="BC446" i="76"/>
  <c r="BE493" i="76"/>
  <c r="BD818" i="76"/>
  <c r="BA924" i="76"/>
  <c r="BC99" i="76"/>
  <c r="BF278" i="76"/>
  <c r="BB240" i="76"/>
  <c r="BA896" i="76"/>
  <c r="BF285" i="76"/>
  <c r="V478" i="76"/>
  <c r="W798" i="76"/>
  <c r="V163" i="76"/>
  <c r="U464" i="76"/>
  <c r="U753" i="76"/>
  <c r="U416" i="76"/>
  <c r="BA416" i="76"/>
  <c r="BC150" i="76"/>
  <c r="W436" i="76"/>
  <c r="X595" i="76"/>
  <c r="BC672" i="76"/>
  <c r="X398" i="76"/>
  <c r="V381" i="76"/>
  <c r="BD229" i="76"/>
  <c r="X132" i="76"/>
  <c r="BA321" i="76"/>
  <c r="W999" i="76"/>
  <c r="X275" i="76"/>
  <c r="BD782" i="76"/>
  <c r="BA513" i="76"/>
  <c r="W262" i="76"/>
  <c r="T399" i="76"/>
  <c r="T539" i="76"/>
  <c r="BE880" i="76"/>
  <c r="BC697" i="76"/>
  <c r="X510" i="76"/>
  <c r="X115" i="76"/>
  <c r="BE370" i="76"/>
  <c r="BC813" i="76"/>
  <c r="Y401" i="76"/>
  <c r="BF685" i="76"/>
  <c r="T576" i="76"/>
  <c r="Y825" i="76"/>
  <c r="BC551" i="76"/>
  <c r="BD993" i="76"/>
  <c r="U284" i="76"/>
  <c r="U943" i="76"/>
  <c r="Y328" i="76"/>
  <c r="BE1034" i="76"/>
  <c r="BF737" i="76"/>
  <c r="BE161" i="76"/>
  <c r="BE286" i="76"/>
  <c r="BE712" i="76"/>
  <c r="BA388" i="76"/>
  <c r="BE228" i="76"/>
  <c r="U308" i="76"/>
  <c r="Y130" i="76"/>
  <c r="BE633" i="76"/>
  <c r="BE876" i="76"/>
  <c r="BA349" i="76"/>
  <c r="BE739" i="76"/>
  <c r="BF420" i="76"/>
  <c r="BB860" i="76"/>
  <c r="U378" i="76"/>
  <c r="Y203" i="76"/>
  <c r="BD996" i="76"/>
  <c r="BD825" i="76"/>
  <c r="BD535" i="76"/>
  <c r="BC374" i="76"/>
  <c r="BE214" i="76"/>
  <c r="BC884" i="76"/>
  <c r="Y585" i="76"/>
  <c r="X706" i="76"/>
  <c r="BB1055" i="76"/>
  <c r="BE476" i="76"/>
  <c r="BA151" i="76"/>
  <c r="BB783" i="76"/>
  <c r="BA827" i="76"/>
  <c r="X1058" i="76"/>
  <c r="X459" i="76"/>
  <c r="BE679" i="76"/>
  <c r="Y657" i="76"/>
  <c r="BF732" i="76"/>
  <c r="Y688" i="76"/>
  <c r="BD773" i="76"/>
  <c r="U730" i="76"/>
  <c r="BF305" i="76"/>
  <c r="W777" i="76"/>
  <c r="BF1025" i="76"/>
  <c r="BD346" i="76"/>
  <c r="BF817" i="76"/>
  <c r="T664" i="76"/>
  <c r="BB422" i="76"/>
  <c r="U315" i="76"/>
  <c r="BE539" i="76"/>
  <c r="BE721" i="76"/>
  <c r="Y1029" i="76"/>
  <c r="BB473" i="76"/>
  <c r="BA596" i="76"/>
  <c r="BF280" i="76"/>
  <c r="BC617" i="76"/>
  <c r="BF574" i="76"/>
  <c r="BA567" i="76"/>
  <c r="BC570" i="76"/>
  <c r="W971" i="76"/>
  <c r="Y973" i="76"/>
  <c r="Y428" i="76"/>
  <c r="X743" i="76"/>
  <c r="U926" i="76"/>
  <c r="T615" i="76"/>
  <c r="BB183" i="76"/>
  <c r="BC330" i="76"/>
  <c r="BC903" i="76"/>
  <c r="BF828" i="76"/>
  <c r="BB619" i="76"/>
  <c r="T554" i="76"/>
  <c r="U877" i="76"/>
  <c r="U962" i="76"/>
  <c r="V537" i="76"/>
  <c r="BB384" i="76"/>
  <c r="T397" i="76"/>
  <c r="X296" i="76"/>
  <c r="X802" i="76"/>
  <c r="BD616" i="76"/>
  <c r="U795" i="76"/>
  <c r="BC971" i="76"/>
  <c r="BC911" i="76"/>
  <c r="BC181" i="76"/>
  <c r="V1068" i="76"/>
  <c r="X87" i="76"/>
  <c r="V580" i="76"/>
  <c r="V591" i="76"/>
  <c r="BC160" i="76"/>
  <c r="X189" i="76"/>
  <c r="Y568" i="76"/>
  <c r="BA584" i="76"/>
  <c r="T220" i="76"/>
  <c r="BC402" i="76"/>
  <c r="V325" i="76"/>
  <c r="X617" i="76"/>
  <c r="BF809" i="76"/>
  <c r="T214" i="76"/>
  <c r="BC789" i="76"/>
  <c r="Y249" i="76"/>
  <c r="V638" i="76"/>
  <c r="BB819" i="76"/>
  <c r="X356" i="76"/>
  <c r="BE929" i="76"/>
  <c r="U291" i="76"/>
  <c r="U678" i="76"/>
  <c r="BD830" i="76"/>
  <c r="T438" i="76"/>
  <c r="BA174" i="76"/>
  <c r="U348" i="76"/>
  <c r="BD482" i="76"/>
  <c r="BA400" i="76"/>
  <c r="BA762" i="76"/>
  <c r="BA695" i="76"/>
  <c r="W438" i="76"/>
  <c r="X369" i="76"/>
  <c r="BB1037" i="76"/>
  <c r="BB874" i="76"/>
  <c r="Y345" i="76"/>
  <c r="Y163" i="76"/>
  <c r="T1009" i="76"/>
  <c r="V107" i="76"/>
  <c r="BB228" i="76"/>
  <c r="BF327" i="76"/>
  <c r="BD623" i="76"/>
  <c r="T94" i="76"/>
  <c r="BA985" i="76"/>
  <c r="BF977" i="76"/>
  <c r="BD747" i="76"/>
  <c r="BE580" i="76"/>
  <c r="BE1006" i="76"/>
  <c r="BD820" i="76"/>
  <c r="BB936" i="76"/>
  <c r="X171" i="76"/>
  <c r="T927" i="76"/>
  <c r="T808" i="76"/>
  <c r="BF78" i="76"/>
  <c r="BE480" i="76"/>
  <c r="BF396" i="76"/>
  <c r="BE100" i="76"/>
  <c r="BC977" i="76"/>
  <c r="Y837" i="76"/>
  <c r="BA468" i="76"/>
  <c r="BE629" i="76"/>
  <c r="V392" i="76"/>
  <c r="BB221" i="76"/>
  <c r="W562" i="76"/>
  <c r="BB101" i="76"/>
  <c r="V127" i="76"/>
  <c r="W118" i="76"/>
  <c r="BE134" i="76"/>
  <c r="BF628" i="76"/>
  <c r="T160" i="76"/>
  <c r="W736" i="76"/>
  <c r="T763" i="76"/>
  <c r="W869" i="76"/>
  <c r="W724" i="76"/>
  <c r="X629" i="76"/>
  <c r="Y766" i="76"/>
  <c r="V800" i="76"/>
  <c r="W940" i="76"/>
  <c r="W969" i="76"/>
  <c r="V893" i="76"/>
  <c r="BE951" i="76"/>
  <c r="W687" i="76"/>
  <c r="U425" i="76"/>
  <c r="BF591" i="76"/>
  <c r="W725" i="76"/>
  <c r="BE269" i="76"/>
  <c r="T861" i="76"/>
  <c r="BF289" i="76"/>
  <c r="BC739" i="76"/>
  <c r="T386" i="76"/>
  <c r="BE724" i="76"/>
  <c r="Y822" i="76"/>
  <c r="BA356" i="76"/>
  <c r="BC579" i="76"/>
  <c r="U196" i="76"/>
  <c r="BC864" i="76"/>
  <c r="T706" i="76"/>
  <c r="BC624" i="76"/>
  <c r="BF419" i="76"/>
  <c r="U215" i="76"/>
  <c r="BA210" i="76"/>
  <c r="W526" i="76"/>
  <c r="BF310" i="76"/>
  <c r="BA259" i="76"/>
  <c r="T528" i="76"/>
  <c r="BD701" i="76"/>
  <c r="X1026" i="76"/>
  <c r="BF752" i="76"/>
  <c r="BA769" i="76"/>
  <c r="BB297" i="76"/>
  <c r="BF103" i="76"/>
  <c r="BC635" i="76"/>
  <c r="BB365" i="76"/>
  <c r="BB791" i="76"/>
  <c r="Y145" i="76"/>
  <c r="X534" i="76"/>
  <c r="BE435" i="76"/>
  <c r="W584" i="76"/>
  <c r="BF647" i="76"/>
  <c r="BC679" i="76"/>
  <c r="BB678" i="76"/>
  <c r="BC564" i="76"/>
  <c r="BF176" i="76"/>
  <c r="X145" i="76"/>
  <c r="BD379" i="76"/>
  <c r="Y240" i="76"/>
  <c r="Y658" i="76"/>
  <c r="T833" i="76"/>
  <c r="X377" i="76"/>
  <c r="W1011" i="76"/>
  <c r="BA285" i="76"/>
  <c r="BE898" i="76"/>
  <c r="BE219" i="76"/>
  <c r="BA487" i="76"/>
  <c r="Y164" i="76"/>
  <c r="X1036" i="76"/>
  <c r="W581" i="76"/>
  <c r="BD372" i="76"/>
  <c r="BA784" i="76"/>
  <c r="BA882" i="76"/>
  <c r="BD297" i="76"/>
  <c r="W217" i="76"/>
  <c r="BF1002" i="76"/>
  <c r="W924" i="76"/>
  <c r="X1007" i="76"/>
  <c r="BE597" i="76"/>
  <c r="BE356" i="76"/>
  <c r="BB713" i="76"/>
  <c r="BE490" i="76"/>
  <c r="BD1067" i="76"/>
  <c r="U197" i="76"/>
  <c r="T1025" i="76"/>
  <c r="T579" i="76"/>
  <c r="BA607" i="76"/>
  <c r="BB377" i="76"/>
  <c r="BC100" i="76"/>
  <c r="BC511" i="76"/>
  <c r="U285" i="76"/>
  <c r="T92" i="76"/>
  <c r="X899" i="76"/>
  <c r="V701" i="76"/>
  <c r="BC618" i="76"/>
  <c r="BE399" i="76"/>
  <c r="BD224" i="76"/>
  <c r="BA532" i="76"/>
  <c r="BB857" i="76"/>
  <c r="U340" i="76"/>
  <c r="BD800" i="76"/>
  <c r="BD384" i="76"/>
  <c r="BD158" i="76"/>
  <c r="X884" i="76"/>
  <c r="BF753" i="76"/>
  <c r="W963" i="76"/>
  <c r="BA176" i="76"/>
  <c r="BD746" i="76"/>
  <c r="X169" i="76"/>
  <c r="T382" i="76"/>
  <c r="BF241" i="76"/>
  <c r="BD944" i="76"/>
  <c r="W1030" i="76"/>
  <c r="BE78" i="76"/>
  <c r="BE620" i="76"/>
  <c r="BD599" i="76"/>
  <c r="U409" i="76"/>
  <c r="BE628" i="76"/>
  <c r="Y918" i="76"/>
  <c r="W551" i="76"/>
  <c r="T626" i="76"/>
  <c r="BB225" i="76"/>
  <c r="X520" i="76"/>
  <c r="BD134" i="76"/>
  <c r="U73" i="76"/>
  <c r="U738" i="76"/>
  <c r="BF900" i="76"/>
  <c r="BB283" i="76"/>
  <c r="BD1006" i="76"/>
  <c r="BF364" i="76"/>
  <c r="BB752" i="76"/>
  <c r="U815" i="76"/>
  <c r="BE454" i="76"/>
  <c r="X613" i="76"/>
  <c r="BD657" i="76"/>
  <c r="BC234" i="76"/>
  <c r="X635" i="76"/>
  <c r="BB529" i="76"/>
  <c r="BB159" i="76"/>
  <c r="W617" i="76"/>
  <c r="W371" i="76"/>
  <c r="BD330" i="76"/>
  <c r="U381" i="76"/>
  <c r="BA1013" i="76"/>
  <c r="BE745" i="76"/>
  <c r="BD532" i="76"/>
  <c r="BC79" i="76"/>
  <c r="V786" i="76"/>
  <c r="BA668" i="76"/>
  <c r="U528" i="76"/>
  <c r="BD846" i="76"/>
  <c r="BF702" i="76"/>
  <c r="BB767" i="76"/>
  <c r="W738" i="76"/>
  <c r="T413" i="76"/>
  <c r="V525" i="76"/>
  <c r="W93" i="76"/>
  <c r="V956" i="76"/>
  <c r="BB277" i="76"/>
  <c r="BA949" i="76"/>
  <c r="X228" i="76"/>
  <c r="BD307" i="76"/>
  <c r="BC128" i="76"/>
  <c r="V470" i="76"/>
  <c r="W495" i="76"/>
  <c r="U527" i="76"/>
  <c r="Y792" i="76"/>
  <c r="Y628" i="76"/>
  <c r="V767" i="76"/>
  <c r="BC1023" i="76"/>
  <c r="T944" i="76"/>
  <c r="X434" i="76"/>
  <c r="V1014" i="76"/>
  <c r="U876" i="76"/>
  <c r="BE869" i="76"/>
  <c r="W570" i="76"/>
  <c r="T492" i="76"/>
  <c r="BD409" i="76"/>
  <c r="U883" i="76"/>
  <c r="BE867" i="76"/>
  <c r="Y991" i="76"/>
  <c r="V258" i="76"/>
  <c r="BD208" i="76"/>
  <c r="W73" i="76"/>
  <c r="V349" i="76"/>
  <c r="BA903" i="76"/>
  <c r="BB218" i="76"/>
  <c r="W489" i="76"/>
  <c r="U99" i="76"/>
  <c r="X129" i="76"/>
  <c r="BD128" i="76"/>
  <c r="BB900" i="76"/>
  <c r="X615" i="76"/>
  <c r="V167" i="76"/>
  <c r="V252" i="76"/>
  <c r="BD552" i="76"/>
  <c r="BB771" i="76"/>
  <c r="U389" i="76"/>
  <c r="BA905" i="76"/>
  <c r="Y69" i="76"/>
  <c r="BA157" i="76"/>
  <c r="BB611" i="76"/>
  <c r="U438" i="76"/>
  <c r="U892" i="76"/>
  <c r="W134" i="76"/>
  <c r="V417" i="76"/>
  <c r="BB271" i="76"/>
  <c r="X250" i="76"/>
  <c r="V830" i="76"/>
  <c r="T455" i="76"/>
  <c r="BA737" i="76"/>
  <c r="BB524" i="76"/>
  <c r="BD960" i="76"/>
  <c r="BD355" i="76"/>
  <c r="BD1026" i="76"/>
  <c r="X294" i="76"/>
  <c r="T483" i="76"/>
  <c r="X111" i="76"/>
  <c r="Y430" i="76"/>
  <c r="BF297" i="76"/>
  <c r="BB855" i="76"/>
  <c r="BB657" i="76"/>
  <c r="BE883" i="76"/>
  <c r="BB969" i="76"/>
  <c r="BD534" i="76"/>
  <c r="BA342" i="76"/>
  <c r="W140" i="76"/>
  <c r="X366" i="76"/>
  <c r="BF201" i="76"/>
  <c r="U457" i="76"/>
  <c r="BD836" i="76"/>
  <c r="BD210" i="76"/>
  <c r="V633" i="76"/>
  <c r="BE283" i="76"/>
  <c r="BA753" i="76"/>
  <c r="W209" i="76"/>
  <c r="V418" i="76"/>
  <c r="W808" i="76"/>
  <c r="BD628" i="76"/>
  <c r="V454" i="76"/>
  <c r="V228" i="76"/>
  <c r="BE413" i="76"/>
  <c r="BD272" i="76"/>
  <c r="W272" i="76"/>
  <c r="U344" i="76"/>
  <c r="T800" i="76"/>
  <c r="BC255" i="76"/>
  <c r="T324" i="76"/>
  <c r="U241" i="76"/>
  <c r="BB430" i="76"/>
  <c r="BA313" i="76"/>
  <c r="T308" i="76"/>
  <c r="W373" i="76"/>
  <c r="V843" i="76"/>
  <c r="BB295" i="76"/>
  <c r="V367" i="76"/>
  <c r="T330" i="76"/>
  <c r="BF539" i="76"/>
  <c r="BE359" i="76"/>
  <c r="Y338" i="76"/>
  <c r="T418" i="76"/>
  <c r="X901" i="76"/>
  <c r="BF341" i="76"/>
  <c r="X410" i="76"/>
  <c r="BD182" i="76"/>
  <c r="W449" i="76"/>
  <c r="BE604" i="76"/>
  <c r="BC620" i="76"/>
  <c r="BD475" i="76"/>
  <c r="BB505" i="76"/>
  <c r="U985" i="76"/>
  <c r="Y560" i="76"/>
  <c r="BA348" i="76"/>
  <c r="BC180" i="76"/>
  <c r="U884" i="76"/>
  <c r="U333" i="76"/>
  <c r="Y457" i="76"/>
  <c r="Y616" i="76"/>
  <c r="W797" i="76"/>
  <c r="BE358" i="76"/>
  <c r="Y663" i="76"/>
  <c r="BA473" i="76"/>
  <c r="X289" i="76"/>
  <c r="BD621" i="76"/>
  <c r="BA936" i="76"/>
  <c r="BA951" i="76"/>
  <c r="BC871" i="76"/>
  <c r="BC414" i="76"/>
  <c r="T894" i="76"/>
  <c r="U323" i="76"/>
  <c r="BE632" i="76"/>
  <c r="U289" i="76"/>
  <c r="T992" i="76"/>
  <c r="U181" i="76"/>
  <c r="BB601" i="76"/>
  <c r="BB781" i="76"/>
  <c r="BF750" i="76"/>
  <c r="BA489" i="76"/>
  <c r="X913" i="76"/>
  <c r="W465" i="76"/>
  <c r="T197" i="76"/>
  <c r="BC775" i="76"/>
  <c r="BF840" i="76"/>
  <c r="Y945" i="76"/>
  <c r="T162" i="76"/>
  <c r="W285" i="76"/>
  <c r="V704" i="76"/>
  <c r="BE803" i="76"/>
  <c r="BC798" i="76"/>
  <c r="BC913" i="76"/>
  <c r="U966" i="76"/>
  <c r="BB205" i="76"/>
  <c r="BE381" i="76"/>
  <c r="BF484" i="76"/>
  <c r="T702" i="76"/>
  <c r="U80" i="76"/>
  <c r="X490" i="76"/>
  <c r="BD564" i="76"/>
  <c r="BC103" i="76"/>
  <c r="T681" i="76"/>
  <c r="Y480" i="76"/>
  <c r="BD366" i="76"/>
  <c r="W664" i="76"/>
  <c r="BC425" i="76"/>
  <c r="BC661" i="76"/>
  <c r="BF595" i="76"/>
  <c r="X538" i="76"/>
  <c r="BF939" i="76"/>
  <c r="X928" i="76"/>
  <c r="V1052" i="76"/>
  <c r="X278" i="76"/>
  <c r="V587" i="76"/>
  <c r="X738" i="76"/>
  <c r="U903" i="76"/>
  <c r="BE94" i="76"/>
  <c r="BB1049" i="76"/>
  <c r="V822" i="76"/>
  <c r="U947" i="76"/>
  <c r="BC284" i="76"/>
  <c r="X1028" i="76"/>
  <c r="V709" i="76"/>
  <c r="T128" i="76"/>
  <c r="U587" i="76"/>
  <c r="BB351" i="76"/>
  <c r="W907" i="76"/>
  <c r="T597" i="76"/>
  <c r="W144" i="76"/>
  <c r="BF1064" i="76"/>
  <c r="Y831" i="76"/>
  <c r="W1047" i="76"/>
  <c r="BE436" i="76"/>
  <c r="BD1017" i="76"/>
  <c r="BA196" i="76"/>
  <c r="W951" i="76"/>
  <c r="U585" i="76"/>
  <c r="BF578" i="76"/>
  <c r="BE378" i="76"/>
  <c r="W326" i="76"/>
  <c r="V152" i="76"/>
  <c r="BD338" i="76"/>
  <c r="BF703" i="76"/>
  <c r="BF991" i="76"/>
  <c r="BF930" i="76"/>
  <c r="BD314" i="76"/>
  <c r="BA185" i="76"/>
  <c r="C23" i="19"/>
  <c r="D33" i="2" s="1"/>
  <c r="BB530" i="76"/>
  <c r="BA302" i="76"/>
  <c r="BE410" i="76"/>
  <c r="X118" i="76"/>
  <c r="BF1066" i="76"/>
  <c r="BE507" i="76"/>
  <c r="BF125" i="76"/>
  <c r="X745" i="76"/>
  <c r="T311" i="76"/>
  <c r="BD785" i="76"/>
  <c r="BD404" i="76"/>
  <c r="BD601" i="76"/>
  <c r="BD834" i="76"/>
  <c r="BA880" i="76"/>
  <c r="Y699" i="76"/>
  <c r="BA105" i="76"/>
  <c r="BA1004" i="76"/>
  <c r="X424" i="76"/>
  <c r="W1058" i="76"/>
  <c r="W335" i="76"/>
  <c r="BB350" i="76"/>
  <c r="BC598" i="76"/>
  <c r="BC171" i="76"/>
  <c r="V510" i="76"/>
  <c r="T541" i="76"/>
  <c r="X436" i="76"/>
  <c r="X714" i="76"/>
  <c r="BE395" i="76"/>
  <c r="BC553" i="76"/>
  <c r="Y357" i="76"/>
  <c r="BC387" i="76"/>
  <c r="BA168" i="76"/>
  <c r="U643" i="76"/>
  <c r="W439" i="76"/>
  <c r="BE333" i="76"/>
  <c r="BB236" i="76"/>
  <c r="BB1013" i="76"/>
  <c r="BC573" i="76"/>
  <c r="T218" i="76"/>
  <c r="BE187" i="76"/>
  <c r="BD312" i="76"/>
  <c r="T331" i="76"/>
  <c r="V441" i="76"/>
  <c r="BC690" i="76"/>
  <c r="BD506" i="76"/>
  <c r="U959" i="76"/>
  <c r="X625" i="76"/>
  <c r="T406" i="76"/>
  <c r="BD583" i="76"/>
  <c r="BF925" i="76"/>
  <c r="Y686" i="76"/>
  <c r="BC111" i="76"/>
  <c r="W487" i="76"/>
  <c r="U105" i="76"/>
  <c r="U420" i="76"/>
  <c r="BF953" i="76"/>
  <c r="BB526" i="76"/>
  <c r="BC726" i="76"/>
  <c r="Y726" i="76"/>
  <c r="BA511" i="76"/>
  <c r="BA900" i="76"/>
  <c r="BF179" i="76"/>
  <c r="BD92" i="76"/>
  <c r="BE132" i="76"/>
  <c r="BB355" i="76"/>
  <c r="BC510" i="76"/>
  <c r="U282" i="76"/>
  <c r="X660" i="76"/>
  <c r="U531" i="76"/>
  <c r="V509" i="76"/>
  <c r="BD1052" i="76"/>
  <c r="Y1054" i="76"/>
  <c r="Y644" i="76"/>
  <c r="X872" i="76"/>
  <c r="BD714" i="76"/>
  <c r="Y615" i="76"/>
  <c r="W647" i="76"/>
  <c r="BA748" i="76"/>
  <c r="V992" i="76"/>
  <c r="BC1012" i="76"/>
  <c r="BD309" i="76"/>
  <c r="U192" i="76"/>
  <c r="BC325" i="76"/>
  <c r="X219" i="76"/>
  <c r="X777" i="76"/>
  <c r="W732" i="76"/>
  <c r="BF294" i="76"/>
  <c r="U272" i="76"/>
  <c r="X849" i="76"/>
  <c r="U501" i="76"/>
  <c r="Y561" i="76"/>
  <c r="BC525" i="76"/>
  <c r="W341" i="76"/>
  <c r="BA968" i="76"/>
  <c r="BD784" i="76"/>
  <c r="BF342" i="76"/>
  <c r="BB193" i="76"/>
  <c r="BC283" i="76"/>
  <c r="V212" i="76"/>
  <c r="U834" i="76"/>
  <c r="BD211" i="76"/>
  <c r="BC549" i="76"/>
  <c r="W766" i="76"/>
  <c r="U405" i="76"/>
  <c r="U624" i="76"/>
  <c r="W680" i="76"/>
  <c r="BC482" i="76"/>
  <c r="BC877" i="76"/>
  <c r="U667" i="76"/>
  <c r="BD814" i="76"/>
  <c r="V959" i="76"/>
  <c r="BD383" i="76"/>
  <c r="W91" i="76"/>
  <c r="U790" i="76"/>
  <c r="BC593" i="76"/>
  <c r="Y507" i="76"/>
  <c r="BC500" i="76"/>
  <c r="X1030" i="76"/>
  <c r="BA467" i="76"/>
  <c r="X779" i="76"/>
  <c r="BE914" i="76"/>
  <c r="Y1027" i="76"/>
  <c r="BB381" i="76"/>
  <c r="X125" i="76"/>
  <c r="BA621" i="76"/>
  <c r="BA296" i="76"/>
  <c r="BB885" i="76"/>
  <c r="U207" i="76"/>
  <c r="T116" i="76"/>
  <c r="BB1061" i="76"/>
  <c r="BF650" i="76"/>
  <c r="V540" i="76"/>
  <c r="V630" i="76"/>
  <c r="V936" i="76"/>
  <c r="T617" i="76"/>
  <c r="X380" i="76"/>
  <c r="U363" i="76"/>
  <c r="V790" i="76"/>
  <c r="Y372" i="76"/>
  <c r="BD112" i="76"/>
  <c r="BB615" i="76"/>
  <c r="BF654" i="76"/>
  <c r="X905" i="76"/>
  <c r="V778" i="76"/>
  <c r="X1011" i="76"/>
  <c r="U306" i="76"/>
  <c r="BC795" i="76"/>
  <c r="U447" i="76"/>
  <c r="BF693" i="76"/>
  <c r="T608" i="76"/>
  <c r="T451" i="76"/>
  <c r="X539" i="76"/>
  <c r="W127" i="76"/>
  <c r="BE1055" i="76"/>
  <c r="T153" i="76"/>
  <c r="BE402" i="76"/>
  <c r="BA445" i="76"/>
  <c r="BB222" i="76"/>
  <c r="BF837" i="76"/>
  <c r="BE471" i="76"/>
  <c r="BA652" i="76"/>
  <c r="X1054" i="76"/>
  <c r="X609" i="76"/>
  <c r="V965" i="76"/>
  <c r="BF668" i="76"/>
  <c r="U591" i="76"/>
  <c r="X683" i="76"/>
  <c r="Y479" i="76"/>
  <c r="BE552" i="76"/>
  <c r="V378" i="76"/>
  <c r="U838" i="76"/>
  <c r="V198" i="76"/>
  <c r="BB412" i="76"/>
  <c r="BB527" i="76"/>
  <c r="U374" i="76"/>
  <c r="BB649" i="76"/>
  <c r="U358" i="76"/>
  <c r="BC472" i="76"/>
  <c r="V408" i="76"/>
  <c r="X300" i="76"/>
  <c r="V460" i="76"/>
  <c r="BA838" i="76"/>
  <c r="X442" i="76"/>
  <c r="BB323" i="76"/>
  <c r="T420" i="76"/>
  <c r="BE159" i="76"/>
  <c r="Y520" i="76"/>
  <c r="BE279" i="76"/>
  <c r="BC178" i="76"/>
  <c r="W273" i="76"/>
  <c r="BF832" i="76"/>
  <c r="X603" i="76"/>
  <c r="X147" i="76"/>
  <c r="BF263" i="76"/>
  <c r="V572" i="76"/>
  <c r="BC104" i="76"/>
  <c r="BA1046" i="76"/>
  <c r="V738" i="76"/>
  <c r="Y538" i="76"/>
  <c r="V516" i="76"/>
  <c r="T526" i="76"/>
  <c r="X591" i="76"/>
  <c r="V707" i="76"/>
  <c r="U853" i="76"/>
  <c r="BE603" i="76"/>
  <c r="U313" i="76"/>
  <c r="U644" i="76"/>
  <c r="V143" i="76"/>
  <c r="BC475" i="76"/>
  <c r="V137" i="76"/>
  <c r="BF452" i="76"/>
  <c r="T538" i="76"/>
  <c r="BE264" i="76"/>
  <c r="T83" i="76"/>
  <c r="BF932" i="76"/>
  <c r="V660" i="76"/>
  <c r="Y624" i="76"/>
  <c r="BC626" i="76"/>
  <c r="W605" i="76"/>
  <c r="BA563" i="76"/>
  <c r="BB465" i="76"/>
  <c r="BE504" i="76"/>
  <c r="W939" i="76"/>
  <c r="BB458" i="76"/>
  <c r="V681" i="76"/>
  <c r="BB372" i="76"/>
  <c r="T668" i="76"/>
  <c r="BE780" i="76"/>
  <c r="W1039" i="76"/>
  <c r="BA1054" i="76"/>
  <c r="U981" i="76"/>
  <c r="W212" i="76"/>
  <c r="BE145" i="76"/>
  <c r="T680" i="76"/>
  <c r="BE101" i="76"/>
  <c r="BE309" i="76"/>
  <c r="BA429" i="76"/>
  <c r="X238" i="76"/>
  <c r="BA158" i="76"/>
  <c r="V874" i="76"/>
  <c r="BD414" i="76"/>
  <c r="BD493" i="76"/>
  <c r="T978" i="76"/>
  <c r="BC944" i="76"/>
  <c r="X1000" i="76"/>
  <c r="T1002" i="76"/>
  <c r="X165" i="76"/>
  <c r="BF1015" i="76"/>
  <c r="BA493" i="76"/>
  <c r="BC378" i="76"/>
  <c r="BA850" i="76"/>
  <c r="BC900" i="76"/>
  <c r="BC297" i="76"/>
  <c r="BF111" i="76"/>
  <c r="BB133" i="76"/>
  <c r="BF565" i="76"/>
  <c r="BB209" i="76"/>
  <c r="BD243" i="76"/>
  <c r="W893" i="76"/>
  <c r="BD450" i="76"/>
  <c r="BB790" i="76"/>
  <c r="V625" i="76"/>
  <c r="U359" i="76"/>
  <c r="T470" i="76"/>
  <c r="Y98" i="76"/>
  <c r="X375" i="76"/>
  <c r="U614" i="76"/>
  <c r="W191" i="76"/>
  <c r="U245" i="76"/>
  <c r="BA398" i="76"/>
  <c r="U421" i="76"/>
  <c r="BB830" i="76"/>
  <c r="BF397" i="76"/>
  <c r="V356" i="76"/>
  <c r="BD497" i="76"/>
  <c r="X280" i="76"/>
  <c r="V458" i="76"/>
  <c r="Y906" i="76"/>
  <c r="X1049" i="76"/>
  <c r="BC333" i="76"/>
  <c r="T275" i="76"/>
  <c r="T145" i="76"/>
  <c r="BC258" i="76"/>
  <c r="X1040" i="76"/>
  <c r="X709" i="76"/>
  <c r="T1030" i="76"/>
  <c r="U575" i="76"/>
  <c r="BE301" i="76"/>
  <c r="BB172" i="76"/>
  <c r="BA455" i="76"/>
  <c r="X536" i="76"/>
  <c r="BC106" i="76"/>
  <c r="BB1034" i="76"/>
  <c r="BF787" i="76"/>
  <c r="X464" i="76"/>
  <c r="V757" i="76"/>
  <c r="BD916" i="76"/>
  <c r="W323" i="76"/>
  <c r="BD768" i="76"/>
  <c r="V420" i="76"/>
  <c r="BA341" i="76"/>
  <c r="U489" i="76"/>
  <c r="BB862" i="76"/>
  <c r="BF782" i="76"/>
  <c r="BD977" i="76"/>
  <c r="BB760" i="76"/>
  <c r="BD1065" i="76"/>
  <c r="BD739" i="76"/>
  <c r="BE605" i="76"/>
  <c r="BC290" i="76"/>
  <c r="T246" i="76"/>
  <c r="BD390" i="76"/>
  <c r="U458" i="76"/>
  <c r="BC365" i="76"/>
  <c r="BA681" i="76"/>
  <c r="W409" i="76"/>
  <c r="BF575" i="76"/>
  <c r="W774" i="76"/>
  <c r="W1038" i="76"/>
  <c r="BF694" i="76"/>
  <c r="U545" i="76"/>
  <c r="BB137" i="76"/>
  <c r="Y1024" i="76"/>
  <c r="X325" i="76"/>
  <c r="Y642" i="76"/>
  <c r="V733" i="76"/>
  <c r="BB1008" i="76"/>
  <c r="BA641" i="76"/>
  <c r="V508" i="76"/>
  <c r="BA802" i="76"/>
  <c r="BF651" i="76"/>
  <c r="BE226" i="76"/>
  <c r="T623" i="76"/>
  <c r="BF576" i="76"/>
  <c r="BA327" i="76"/>
  <c r="BA788" i="76"/>
  <c r="W843" i="76"/>
  <c r="BE371" i="76"/>
  <c r="T143" i="76"/>
  <c r="Y391" i="76"/>
  <c r="BE425" i="76"/>
  <c r="BF288" i="76"/>
  <c r="BF225" i="76"/>
  <c r="BD574" i="76"/>
  <c r="BB360" i="76"/>
  <c r="BB1054" i="76"/>
  <c r="BA815" i="76"/>
  <c r="BB459" i="76"/>
  <c r="T892" i="76"/>
  <c r="BF372" i="76"/>
  <c r="BA919" i="76"/>
  <c r="BA358" i="76"/>
  <c r="BB537" i="76"/>
  <c r="V569" i="76"/>
  <c r="T652" i="76"/>
  <c r="BA800" i="76"/>
  <c r="BB480" i="76"/>
  <c r="BC887" i="76"/>
  <c r="BE208" i="76"/>
  <c r="BF471" i="76"/>
  <c r="BA959" i="76"/>
  <c r="Y588" i="76"/>
  <c r="BC451" i="76"/>
  <c r="BB299" i="76"/>
  <c r="BC784" i="76"/>
  <c r="W534" i="76"/>
  <c r="BA397" i="76"/>
  <c r="BC137" i="76"/>
  <c r="BA697" i="76"/>
  <c r="V753" i="76"/>
  <c r="BF387" i="76"/>
  <c r="BD433" i="76"/>
  <c r="BF663" i="76"/>
  <c r="V657" i="76"/>
  <c r="BD826" i="76"/>
  <c r="BB883" i="76"/>
  <c r="T776" i="76"/>
  <c r="W884" i="76"/>
  <c r="X268" i="76"/>
  <c r="U180" i="76"/>
  <c r="BC185" i="76"/>
  <c r="BA368" i="76"/>
  <c r="U199" i="76"/>
  <c r="V439" i="76"/>
  <c r="BA383" i="76"/>
  <c r="BE312" i="76"/>
  <c r="BD120" i="76"/>
  <c r="V395" i="76"/>
  <c r="W708" i="76"/>
  <c r="BD413" i="76"/>
  <c r="BA967" i="76"/>
  <c r="V313" i="76"/>
  <c r="U590" i="76"/>
  <c r="BE508" i="76"/>
  <c r="V768" i="76"/>
  <c r="V318" i="76"/>
  <c r="U537" i="76"/>
  <c r="Y733" i="76"/>
  <c r="BB450" i="76"/>
  <c r="Y533" i="76"/>
  <c r="T930" i="76"/>
  <c r="BB130" i="76"/>
  <c r="BE664" i="76"/>
  <c r="W933" i="76"/>
  <c r="V918" i="76"/>
  <c r="X707" i="76"/>
  <c r="Y228" i="76"/>
  <c r="U1024" i="76"/>
  <c r="Y797" i="76"/>
  <c r="BE843" i="76"/>
  <c r="BC167" i="76"/>
  <c r="W537" i="76"/>
  <c r="U288" i="76"/>
  <c r="W674" i="76"/>
  <c r="BE899" i="76"/>
  <c r="BD874" i="76"/>
  <c r="W357" i="76"/>
  <c r="BB1033" i="76"/>
  <c r="BA454" i="76"/>
  <c r="BD274" i="76"/>
  <c r="T759" i="76"/>
  <c r="BF1048" i="76"/>
  <c r="W902" i="76"/>
  <c r="BB393" i="76"/>
  <c r="W318" i="76"/>
  <c r="V135" i="76"/>
  <c r="BE824" i="76"/>
  <c r="BE243" i="76"/>
  <c r="V388" i="76"/>
  <c r="Y196" i="76"/>
  <c r="BD900" i="76"/>
  <c r="BB353" i="76"/>
  <c r="W260" i="76"/>
  <c r="BB736" i="76"/>
  <c r="BE379" i="76"/>
  <c r="W604" i="76"/>
  <c r="BB363" i="76"/>
  <c r="BF996" i="76"/>
  <c r="Y253" i="76"/>
  <c r="V557" i="76"/>
  <c r="BB201" i="76"/>
  <c r="BA790" i="76"/>
  <c r="V277" i="76"/>
  <c r="X575" i="76"/>
  <c r="BE888" i="76"/>
  <c r="BA431" i="76"/>
  <c r="U160" i="76"/>
  <c r="X525" i="76"/>
  <c r="BC910" i="76"/>
  <c r="BE79" i="76"/>
  <c r="Y78" i="76"/>
  <c r="V482" i="76"/>
  <c r="BA878" i="76"/>
  <c r="BB609" i="76"/>
  <c r="BF914" i="76"/>
  <c r="W592" i="76"/>
  <c r="BB428" i="76"/>
  <c r="V846" i="76"/>
  <c r="BF857" i="76"/>
  <c r="BA699" i="76"/>
  <c r="BA320" i="76"/>
  <c r="BE672" i="76"/>
  <c r="BE702" i="76"/>
  <c r="Y172" i="76"/>
  <c r="Y223" i="76"/>
  <c r="BC122" i="76"/>
  <c r="BB479" i="76"/>
  <c r="W611" i="76"/>
  <c r="W631" i="76"/>
  <c r="BD780" i="76"/>
  <c r="BA472" i="76"/>
  <c r="X404" i="76"/>
  <c r="U743" i="76"/>
  <c r="BE97" i="76"/>
  <c r="BB111" i="76"/>
  <c r="BE944" i="76"/>
  <c r="X677" i="76"/>
  <c r="V622" i="76"/>
  <c r="BF609" i="76"/>
  <c r="BE431" i="76"/>
  <c r="BC1048" i="76"/>
  <c r="Y833" i="76"/>
  <c r="W960" i="76"/>
  <c r="T910" i="76"/>
  <c r="V269" i="76"/>
  <c r="T487" i="76"/>
  <c r="U758" i="76"/>
  <c r="T567" i="76"/>
  <c r="X662" i="76"/>
  <c r="W466" i="76"/>
  <c r="Y852" i="76"/>
  <c r="U974" i="76"/>
  <c r="V984" i="76"/>
  <c r="BE1003" i="76"/>
  <c r="BE120" i="76"/>
  <c r="BB309" i="76"/>
  <c r="Y435" i="76"/>
  <c r="BD647" i="76"/>
  <c r="BB285" i="76"/>
  <c r="BE574" i="76"/>
  <c r="T762" i="76"/>
  <c r="BF405" i="76"/>
  <c r="BC71" i="76"/>
  <c r="U139" i="76"/>
  <c r="X926" i="76"/>
  <c r="BF415" i="76"/>
  <c r="BE937" i="76"/>
  <c r="BC369" i="76"/>
  <c r="BC809" i="76"/>
  <c r="X307" i="76"/>
  <c r="X493" i="76"/>
  <c r="U109" i="76"/>
  <c r="X435" i="76"/>
  <c r="BB348" i="76"/>
  <c r="U948" i="76"/>
  <c r="W287" i="76"/>
  <c r="V427" i="76"/>
  <c r="BB257" i="76"/>
  <c r="BD75" i="76"/>
  <c r="BC671" i="76"/>
  <c r="BE1012" i="76"/>
  <c r="BB647" i="76"/>
  <c r="BE616" i="76"/>
  <c r="U165" i="76"/>
  <c r="BF523" i="76"/>
  <c r="BF1033" i="76"/>
  <c r="T662" i="76"/>
  <c r="W124" i="76"/>
  <c r="BA478" i="76"/>
  <c r="BD1010" i="76"/>
  <c r="U1045" i="76"/>
  <c r="Y83" i="76"/>
  <c r="BD437" i="76"/>
  <c r="V191" i="76"/>
  <c r="Y1035" i="76"/>
  <c r="T81" i="76"/>
  <c r="BA714" i="76"/>
  <c r="BE1064" i="76"/>
  <c r="V700" i="76"/>
  <c r="BE1041" i="76"/>
  <c r="BF896" i="76"/>
  <c r="BD680" i="76"/>
  <c r="X857" i="76"/>
  <c r="V776" i="76"/>
  <c r="T309" i="76"/>
  <c r="BE202" i="76"/>
  <c r="BE486" i="76"/>
  <c r="T802" i="76"/>
  <c r="W689" i="76"/>
  <c r="BC602" i="76"/>
  <c r="BF442" i="76"/>
  <c r="BA639" i="76"/>
  <c r="BB290" i="76"/>
  <c r="BB336" i="76"/>
  <c r="BA870" i="76"/>
  <c r="U1027" i="76"/>
  <c r="U515" i="76"/>
  <c r="BF107" i="76"/>
  <c r="BF370" i="76"/>
  <c r="BE300" i="76"/>
  <c r="V988" i="76"/>
  <c r="T239" i="76"/>
  <c r="BB383" i="76"/>
  <c r="BD883" i="76"/>
  <c r="BE80" i="76"/>
  <c r="Y369" i="76"/>
  <c r="X1034" i="76"/>
  <c r="W558" i="76"/>
  <c r="BF863" i="76"/>
  <c r="W575" i="76"/>
  <c r="U1057" i="76"/>
  <c r="U986" i="76"/>
  <c r="BB171" i="76"/>
  <c r="U773" i="76"/>
  <c r="BF81" i="76"/>
  <c r="BE403" i="76"/>
  <c r="BA586" i="76"/>
  <c r="BC988" i="76"/>
  <c r="T299" i="76"/>
  <c r="BE663" i="76"/>
  <c r="BE827" i="76"/>
  <c r="U331" i="76"/>
  <c r="BF133" i="76"/>
  <c r="W412" i="76"/>
  <c r="BD465" i="76"/>
  <c r="BC874" i="76"/>
  <c r="T893" i="76"/>
  <c r="BB407" i="76"/>
  <c r="BF680" i="76"/>
  <c r="T306" i="76"/>
  <c r="Y975" i="76"/>
  <c r="BD255" i="76"/>
  <c r="BA937" i="76"/>
  <c r="BA808" i="76"/>
  <c r="BE744" i="76"/>
  <c r="BF284" i="76"/>
  <c r="BD252" i="76"/>
  <c r="X718" i="76"/>
  <c r="BE224" i="76"/>
  <c r="BE723" i="76"/>
  <c r="BB617" i="76"/>
  <c r="BE275" i="76"/>
  <c r="BE230" i="76"/>
  <c r="Y655" i="76"/>
  <c r="Y558" i="76"/>
  <c r="U1060" i="76"/>
  <c r="V558" i="76"/>
  <c r="BD434" i="76"/>
  <c r="Y617" i="76"/>
  <c r="Y978" i="76"/>
  <c r="W490" i="76"/>
  <c r="BE331" i="76"/>
  <c r="X513" i="76"/>
  <c r="U922" i="76"/>
  <c r="W430" i="76"/>
  <c r="BC308" i="76"/>
  <c r="W483" i="76"/>
  <c r="BA1033" i="76"/>
  <c r="BE622" i="76"/>
  <c r="BD569" i="76"/>
  <c r="BC757" i="76"/>
  <c r="BC531" i="76"/>
  <c r="BC750" i="76"/>
  <c r="BD308" i="76"/>
  <c r="W944" i="76"/>
  <c r="BA131" i="76"/>
  <c r="W530" i="76"/>
  <c r="BB556" i="76"/>
  <c r="T201" i="76"/>
  <c r="BC341" i="76"/>
  <c r="W327" i="76"/>
  <c r="W1027" i="76"/>
  <c r="BE1002" i="76"/>
  <c r="T710" i="76"/>
  <c r="Y646" i="76"/>
  <c r="T1050" i="76"/>
  <c r="W83" i="76"/>
  <c r="T786" i="76"/>
  <c r="BA197" i="76"/>
  <c r="BF87" i="76"/>
  <c r="BD175" i="76"/>
  <c r="BB744" i="76"/>
  <c r="U135" i="76"/>
  <c r="Y1025" i="76"/>
  <c r="X333" i="76"/>
  <c r="BE577" i="76"/>
  <c r="Y244" i="76"/>
  <c r="T632" i="76"/>
  <c r="T235" i="76"/>
  <c r="U198" i="76"/>
  <c r="Y551" i="76"/>
  <c r="BF440" i="76"/>
  <c r="W512" i="76"/>
  <c r="V125" i="76"/>
  <c r="BF980" i="76"/>
  <c r="BD571" i="76"/>
  <c r="BE272" i="76"/>
  <c r="W623" i="76"/>
  <c r="BF616" i="76"/>
  <c r="BA333" i="76"/>
  <c r="BA574" i="76"/>
  <c r="BB403" i="76"/>
  <c r="BD265" i="76"/>
  <c r="Y371" i="76"/>
  <c r="T219" i="76"/>
  <c r="BA189" i="76"/>
  <c r="W636" i="76"/>
  <c r="U411" i="76"/>
  <c r="BB389" i="76"/>
  <c r="W673" i="76"/>
  <c r="BF678" i="76"/>
  <c r="BB151" i="76"/>
  <c r="BE368" i="76"/>
  <c r="V842" i="76"/>
  <c r="BD667" i="76"/>
  <c r="BB1023" i="76"/>
  <c r="BA346" i="76"/>
  <c r="T742" i="76"/>
  <c r="BB656" i="76"/>
  <c r="BF902" i="76"/>
  <c r="BA155" i="76"/>
  <c r="W739" i="76"/>
  <c r="BD432" i="76"/>
  <c r="BA232" i="76"/>
  <c r="BD547" i="76"/>
  <c r="BD690" i="76"/>
  <c r="W640" i="76"/>
  <c r="W845" i="76"/>
  <c r="BF1024" i="76"/>
  <c r="Y620" i="76"/>
  <c r="BF215" i="76"/>
  <c r="Y618" i="76"/>
  <c r="V157" i="76"/>
  <c r="V493" i="76"/>
  <c r="BB770" i="76"/>
  <c r="BA177" i="76"/>
  <c r="BE766" i="76"/>
  <c r="U761" i="76"/>
  <c r="Y845" i="76"/>
  <c r="BE452" i="76"/>
  <c r="T973" i="76"/>
  <c r="BB1064" i="76"/>
  <c r="W566" i="76"/>
  <c r="U848" i="76"/>
  <c r="BF333" i="76"/>
  <c r="V522" i="76"/>
  <c r="Y192" i="76"/>
  <c r="V677" i="76"/>
  <c r="BC469" i="76"/>
  <c r="X497" i="76"/>
  <c r="U1002" i="76"/>
  <c r="W796" i="76"/>
  <c r="U250" i="76"/>
  <c r="V688" i="76"/>
  <c r="T823" i="76"/>
  <c r="V642" i="76"/>
  <c r="W635" i="76"/>
  <c r="T695" i="76"/>
  <c r="BA758" i="76"/>
  <c r="Y583" i="76"/>
  <c r="V849" i="76"/>
  <c r="BD737" i="76"/>
  <c r="BD849" i="76"/>
  <c r="W848" i="76"/>
  <c r="BE903" i="76"/>
  <c r="V354" i="76"/>
  <c r="V181" i="76"/>
  <c r="BF739" i="76"/>
  <c r="BA801" i="76"/>
  <c r="T500" i="76"/>
  <c r="W559" i="76"/>
  <c r="BE180" i="76"/>
  <c r="W172" i="76"/>
  <c r="X285" i="76"/>
  <c r="Y443" i="76"/>
  <c r="BD86" i="76"/>
  <c r="BE968" i="76"/>
  <c r="W597" i="76"/>
  <c r="BB488" i="76"/>
  <c r="BE474" i="76"/>
  <c r="W187" i="76"/>
  <c r="U72" i="76"/>
  <c r="U802" i="76"/>
  <c r="BA786" i="76"/>
  <c r="BF798" i="76"/>
  <c r="BC580" i="76"/>
  <c r="W123" i="76"/>
  <c r="W420" i="76"/>
  <c r="U650" i="76"/>
  <c r="BA266" i="76"/>
  <c r="X320" i="76"/>
  <c r="BC400" i="76"/>
  <c r="W516" i="76"/>
  <c r="BF224" i="76"/>
  <c r="Y293" i="76"/>
  <c r="BF379" i="76"/>
  <c r="T383" i="76"/>
  <c r="BD181" i="76"/>
  <c r="U271" i="76"/>
  <c r="BC293" i="76"/>
  <c r="V370" i="76"/>
  <c r="BD670" i="76"/>
  <c r="T304" i="76"/>
  <c r="BD1062" i="76"/>
  <c r="T394" i="76"/>
  <c r="BD733" i="76"/>
  <c r="U167" i="76"/>
  <c r="W74" i="76"/>
  <c r="BB661" i="76"/>
  <c r="BB358" i="76"/>
  <c r="U468" i="76"/>
  <c r="Y555" i="76"/>
  <c r="BB503" i="76"/>
  <c r="BA902" i="76"/>
  <c r="BD195" i="76"/>
  <c r="BA761" i="76"/>
  <c r="V204" i="76"/>
  <c r="T121" i="76"/>
  <c r="BE904" i="76"/>
  <c r="V96" i="76"/>
  <c r="BC139" i="76"/>
  <c r="BE645" i="76"/>
  <c r="X364" i="76"/>
  <c r="U617" i="76"/>
  <c r="BD130" i="76"/>
  <c r="BC460" i="76"/>
  <c r="BE996" i="76"/>
  <c r="V102" i="76"/>
  <c r="T691" i="76"/>
  <c r="BE642" i="76"/>
  <c r="BF997" i="76"/>
  <c r="BD788" i="76"/>
  <c r="Y856" i="76"/>
  <c r="U698" i="76"/>
  <c r="T816" i="76"/>
  <c r="V554" i="76"/>
  <c r="V868" i="76"/>
  <c r="V888" i="76"/>
  <c r="T432" i="76"/>
  <c r="BE662" i="76"/>
  <c r="U688" i="76"/>
  <c r="BD161" i="76"/>
  <c r="Y1058" i="76"/>
  <c r="BC674" i="76"/>
  <c r="BB821" i="76"/>
  <c r="T926" i="76"/>
  <c r="BD213" i="76"/>
  <c r="Y307" i="76"/>
  <c r="BF986" i="76"/>
  <c r="BB541" i="76"/>
  <c r="U651" i="76"/>
  <c r="BD490" i="76"/>
  <c r="BD351" i="76"/>
  <c r="BF331" i="76"/>
  <c r="BD403" i="76"/>
  <c r="BF549" i="76"/>
  <c r="U161" i="76"/>
  <c r="BD771" i="76"/>
  <c r="BC948" i="76"/>
  <c r="Y664" i="76"/>
  <c r="BA857" i="76"/>
  <c r="BC725" i="76"/>
  <c r="BC409" i="76"/>
  <c r="X961" i="76"/>
  <c r="BF998" i="76"/>
  <c r="BE809" i="76"/>
  <c r="BD469" i="76"/>
  <c r="BC195" i="76"/>
  <c r="Y826" i="76"/>
  <c r="BF905" i="76"/>
  <c r="BA738" i="76"/>
  <c r="BC919" i="76"/>
  <c r="BA143" i="76"/>
  <c r="U117" i="76"/>
  <c r="BE200" i="76"/>
  <c r="U132" i="76"/>
  <c r="BA100" i="76"/>
  <c r="BC753" i="76"/>
  <c r="V419" i="76"/>
  <c r="Y117" i="76"/>
  <c r="BD163" i="76"/>
  <c r="T589" i="76"/>
  <c r="W679" i="76"/>
  <c r="X934" i="76"/>
  <c r="BC979" i="76"/>
  <c r="V280" i="76"/>
  <c r="T584" i="76"/>
  <c r="BF161" i="76"/>
  <c r="Y786" i="76"/>
  <c r="U862" i="76"/>
  <c r="BF203" i="76"/>
  <c r="BF259" i="76"/>
  <c r="V108" i="76"/>
  <c r="BF309" i="76"/>
  <c r="BD986" i="76"/>
  <c r="BF898" i="76"/>
  <c r="BF235" i="76"/>
  <c r="W898" i="76"/>
  <c r="T129" i="76"/>
  <c r="BA973" i="76"/>
  <c r="Y597" i="76"/>
  <c r="BE232" i="76"/>
  <c r="BC805" i="76"/>
  <c r="W747" i="76"/>
  <c r="Y841" i="76"/>
  <c r="BC89" i="76"/>
  <c r="BE639" i="76"/>
  <c r="T195" i="76"/>
  <c r="Y1036" i="76"/>
  <c r="T1022" i="76"/>
  <c r="BD103" i="76"/>
  <c r="Y951" i="76"/>
  <c r="V920" i="76"/>
  <c r="Y1007" i="76"/>
  <c r="W518" i="76"/>
  <c r="U321" i="76"/>
  <c r="BB401" i="76"/>
  <c r="Y157" i="76"/>
  <c r="BA704" i="76"/>
  <c r="BC607" i="76"/>
  <c r="BB548" i="76"/>
  <c r="BB538" i="76"/>
  <c r="V547" i="76"/>
  <c r="BE342" i="76"/>
  <c r="BF1040" i="76"/>
  <c r="BD949" i="76"/>
  <c r="BB425" i="76"/>
  <c r="V950" i="76"/>
  <c r="W844" i="76"/>
  <c r="BB1031" i="76"/>
  <c r="BE643" i="76"/>
  <c r="BF712" i="76"/>
  <c r="T696" i="76"/>
  <c r="BA986" i="76"/>
  <c r="BA605" i="76"/>
  <c r="W876" i="76"/>
  <c r="BB935" i="76"/>
  <c r="V93" i="76"/>
  <c r="BF69" i="76"/>
  <c r="W612" i="76"/>
  <c r="X478" i="76"/>
  <c r="Y348" i="76"/>
  <c r="U252" i="76"/>
  <c r="U546" i="76"/>
  <c r="U478" i="76"/>
  <c r="U697" i="76"/>
  <c r="BD641" i="76"/>
  <c r="W82" i="76"/>
  <c r="BF423" i="76"/>
  <c r="BC758" i="76"/>
  <c r="BB957" i="76"/>
  <c r="X177" i="76"/>
  <c r="BA696" i="76"/>
  <c r="X560" i="76"/>
  <c r="BB786" i="76"/>
  <c r="BA692" i="76"/>
  <c r="BD440" i="76"/>
  <c r="V164" i="76"/>
  <c r="BD236" i="76"/>
  <c r="X837" i="76"/>
  <c r="Y735" i="76"/>
  <c r="V433" i="76"/>
  <c r="BF561" i="76"/>
  <c r="BB435" i="76"/>
  <c r="V826" i="76"/>
  <c r="X1006" i="76"/>
  <c r="V815" i="76"/>
  <c r="BD325" i="76"/>
  <c r="X241" i="76"/>
  <c r="BF1029" i="76"/>
  <c r="Y522" i="76"/>
  <c r="X372" i="76"/>
  <c r="BC264" i="76"/>
  <c r="BE119" i="76"/>
  <c r="T97" i="76"/>
  <c r="BA746" i="76"/>
  <c r="BC577" i="76"/>
  <c r="BA554" i="76"/>
  <c r="BB718" i="76"/>
  <c r="W586" i="76"/>
  <c r="Y768" i="76"/>
  <c r="BC331" i="76"/>
  <c r="BD994" i="76"/>
  <c r="U780" i="76"/>
  <c r="T545" i="76"/>
  <c r="T640" i="76"/>
  <c r="U588" i="76"/>
  <c r="BA439" i="76"/>
  <c r="Y437" i="76"/>
  <c r="BB508" i="76"/>
  <c r="BB914" i="76"/>
  <c r="V616" i="76"/>
  <c r="BE875" i="76"/>
  <c r="W485" i="76"/>
  <c r="V765" i="76"/>
  <c r="BE1026" i="76"/>
  <c r="Y787" i="76"/>
  <c r="BE1058" i="76"/>
  <c r="V752" i="76"/>
  <c r="BA723" i="76"/>
  <c r="BA267" i="76"/>
  <c r="Y1062" i="76"/>
  <c r="BE117" i="76"/>
  <c r="V488" i="76"/>
  <c r="BB1065" i="76"/>
  <c r="BB622" i="76"/>
  <c r="BE835" i="76"/>
  <c r="BC261" i="76"/>
  <c r="BF208" i="76"/>
  <c r="BD197" i="76"/>
  <c r="BF633" i="76"/>
  <c r="T137" i="76"/>
  <c r="X408" i="76"/>
  <c r="BD370" i="76"/>
  <c r="U190" i="76"/>
  <c r="U592" i="76"/>
  <c r="BC793" i="76"/>
  <c r="BB256" i="76"/>
  <c r="W105" i="76"/>
  <c r="X668" i="76"/>
  <c r="BE308" i="76"/>
  <c r="BC605" i="76"/>
  <c r="Y883" i="76"/>
  <c r="BB144" i="76"/>
  <c r="Y91" i="76"/>
  <c r="BF844" i="76"/>
  <c r="BB279" i="76"/>
  <c r="BA620" i="76"/>
  <c r="W628" i="76"/>
  <c r="U654" i="76"/>
  <c r="X768" i="76"/>
  <c r="BA1041" i="76"/>
  <c r="T388" i="76"/>
  <c r="BA77" i="76"/>
  <c r="U600" i="76"/>
  <c r="V308" i="76"/>
  <c r="BE652" i="76"/>
  <c r="V336" i="76"/>
  <c r="BE121" i="76"/>
  <c r="BB426" i="76"/>
  <c r="BC220" i="76"/>
  <c r="BE179" i="76"/>
  <c r="X964" i="76"/>
  <c r="BB195" i="76"/>
  <c r="BB965" i="76"/>
  <c r="X258" i="76"/>
  <c r="BC719" i="76"/>
  <c r="BE697" i="76"/>
  <c r="W1016" i="76"/>
  <c r="BA463" i="76"/>
  <c r="W1044" i="76"/>
  <c r="BC486" i="76"/>
  <c r="X693" i="76"/>
  <c r="BE1065" i="76"/>
  <c r="W476" i="76"/>
  <c r="BA457" i="76"/>
  <c r="BC217" i="76"/>
  <c r="Y73" i="76"/>
  <c r="Y505" i="76"/>
  <c r="BB315" i="76"/>
  <c r="V699" i="76"/>
  <c r="BA283" i="76"/>
  <c r="BB117" i="76"/>
  <c r="W113" i="76"/>
  <c r="W437" i="76"/>
  <c r="Y396" i="76"/>
  <c r="X359" i="76"/>
  <c r="W545" i="76"/>
  <c r="W281" i="76"/>
  <c r="V653" i="76"/>
  <c r="BC196" i="76"/>
  <c r="T459" i="76"/>
  <c r="W221" i="76"/>
  <c r="BE849" i="76"/>
  <c r="BD869" i="76"/>
  <c r="Y982" i="76"/>
  <c r="Y788" i="76"/>
  <c r="T827" i="76"/>
  <c r="BF851" i="76"/>
  <c r="Y184" i="76"/>
  <c r="BC295" i="76"/>
  <c r="Y1050" i="76"/>
  <c r="T1068" i="76"/>
  <c r="X563" i="76"/>
  <c r="BB698" i="76"/>
  <c r="BD815" i="76"/>
  <c r="V303" i="76"/>
  <c r="BA145" i="76"/>
  <c r="BF594" i="76"/>
  <c r="BF313" i="76"/>
  <c r="BA160" i="76"/>
  <c r="BB540" i="76"/>
  <c r="W362" i="76"/>
  <c r="BC662" i="76"/>
  <c r="BC812" i="76"/>
  <c r="BE641" i="76"/>
  <c r="BF707" i="76"/>
  <c r="BA619" i="76"/>
  <c r="BD684" i="76"/>
  <c r="BC427" i="76"/>
  <c r="BE560" i="76"/>
  <c r="BF675" i="76"/>
  <c r="U921" i="76"/>
  <c r="BB720" i="76"/>
  <c r="BF300" i="76"/>
  <c r="BD498" i="76"/>
  <c r="Y406" i="76"/>
  <c r="BC817" i="76"/>
  <c r="U449" i="76"/>
  <c r="BA757" i="76"/>
  <c r="T339" i="76"/>
  <c r="BE158" i="76"/>
  <c r="BE442" i="76"/>
  <c r="V802" i="76"/>
  <c r="BA803" i="76"/>
  <c r="T730" i="76"/>
  <c r="Y919" i="76"/>
  <c r="Y850" i="76"/>
  <c r="BB286" i="76"/>
  <c r="BA129" i="76"/>
  <c r="BE282" i="76"/>
  <c r="BA108" i="76"/>
  <c r="BE1063" i="76"/>
  <c r="BE135" i="76"/>
  <c r="BD1041" i="76"/>
  <c r="BA560" i="76"/>
  <c r="BA470" i="76"/>
  <c r="BA614" i="76"/>
  <c r="BB613" i="76"/>
  <c r="Y446" i="76"/>
  <c r="T516" i="76"/>
  <c r="BD431" i="76"/>
  <c r="BD281" i="76"/>
  <c r="BC523" i="76"/>
  <c r="V332" i="76"/>
  <c r="U748" i="76"/>
  <c r="T296" i="76"/>
  <c r="U481" i="76"/>
  <c r="V275" i="76"/>
  <c r="V449" i="76"/>
  <c r="T316" i="76"/>
  <c r="T122" i="76"/>
  <c r="BD285" i="76"/>
  <c r="BF801" i="76"/>
  <c r="BD937" i="76"/>
  <c r="X746" i="76"/>
  <c r="BB1045" i="76"/>
  <c r="X814" i="76"/>
  <c r="V513" i="76"/>
  <c r="BB252" i="76"/>
  <c r="BD865" i="76"/>
  <c r="X411" i="76"/>
  <c r="Y194" i="76"/>
  <c r="Y96" i="76"/>
  <c r="X365" i="76"/>
  <c r="Y518" i="76"/>
  <c r="Y992" i="76"/>
  <c r="X956" i="76"/>
  <c r="BD975" i="76"/>
  <c r="BF457" i="76"/>
  <c r="BF352" i="76"/>
  <c r="BA622" i="76"/>
  <c r="BB516" i="76"/>
  <c r="BA741" i="76"/>
  <c r="BF899" i="76"/>
  <c r="BB107" i="76"/>
  <c r="BD305" i="76"/>
  <c r="BC221" i="76"/>
  <c r="BC747" i="76"/>
  <c r="BC802" i="76"/>
  <c r="U78" i="76"/>
  <c r="BD650" i="76"/>
  <c r="BB254" i="76"/>
  <c r="BA604" i="76"/>
  <c r="X1043" i="76"/>
  <c r="BB758" i="76"/>
  <c r="Y708" i="76"/>
  <c r="BA353" i="76"/>
  <c r="T571" i="76"/>
  <c r="BA877" i="76"/>
  <c r="X561" i="76"/>
  <c r="BF178" i="76"/>
  <c r="U955" i="76"/>
  <c r="BB842" i="76"/>
  <c r="T618" i="76"/>
  <c r="U278" i="76"/>
  <c r="BB167" i="76"/>
  <c r="V773" i="76"/>
  <c r="BB123" i="76"/>
  <c r="BE175" i="76"/>
  <c r="BD619" i="76"/>
  <c r="X256" i="76"/>
  <c r="BB829" i="76"/>
  <c r="W1022" i="76"/>
  <c r="BB124" i="76"/>
  <c r="T1038" i="76"/>
  <c r="W824" i="76"/>
  <c r="Y1055" i="76"/>
  <c r="U1019" i="76"/>
  <c r="BB562" i="76"/>
  <c r="BC1052" i="76"/>
  <c r="BF192" i="76"/>
  <c r="BA721" i="76"/>
  <c r="BA450" i="76"/>
  <c r="U728" i="76"/>
  <c r="BA755" i="76"/>
  <c r="BB680" i="76"/>
  <c r="BC441" i="76"/>
  <c r="T975" i="76"/>
  <c r="BA685" i="76"/>
  <c r="X953" i="76"/>
  <c r="BC248" i="76"/>
  <c r="U398" i="76"/>
  <c r="BF833" i="76"/>
  <c r="BC299" i="76"/>
  <c r="X329" i="76"/>
  <c r="X226" i="76"/>
  <c r="U276" i="76"/>
  <c r="T183" i="76"/>
  <c r="Y234" i="76"/>
  <c r="Y147" i="76"/>
  <c r="Y409" i="76"/>
  <c r="W244" i="76"/>
  <c r="BC227" i="76"/>
  <c r="U503" i="76"/>
  <c r="BA659" i="76"/>
  <c r="W1000" i="76"/>
  <c r="W121" i="76"/>
  <c r="BD895" i="76"/>
  <c r="W77" i="76"/>
  <c r="W246" i="76"/>
  <c r="U301" i="76"/>
  <c r="U918" i="76"/>
  <c r="BF248" i="76"/>
  <c r="V190" i="76"/>
  <c r="BA910" i="76"/>
  <c r="BF173" i="76"/>
  <c r="Y980" i="76"/>
  <c r="X495" i="76"/>
  <c r="Y1056" i="76"/>
  <c r="BF276" i="76"/>
  <c r="V787" i="76"/>
  <c r="BF829" i="76"/>
  <c r="BC435" i="76"/>
  <c r="BA80" i="76"/>
  <c r="BD702" i="76"/>
  <c r="T700" i="76"/>
  <c r="Y540" i="76"/>
  <c r="Y956" i="76"/>
  <c r="BE925" i="76"/>
  <c r="V320" i="76"/>
  <c r="W847" i="76"/>
  <c r="BD114" i="76"/>
  <c r="BB623" i="76"/>
  <c r="BC368" i="76"/>
  <c r="W609" i="76"/>
  <c r="BE91" i="76"/>
  <c r="BF610" i="76"/>
  <c r="U415" i="76"/>
  <c r="BE845" i="76"/>
  <c r="X566" i="76"/>
  <c r="BB996" i="76"/>
  <c r="U683" i="76"/>
  <c r="BA113" i="76"/>
  <c r="X1024" i="76"/>
  <c r="BA590" i="76"/>
  <c r="BC735" i="76"/>
  <c r="T216" i="76"/>
  <c r="BC232" i="76"/>
  <c r="T555" i="76"/>
  <c r="BF751" i="76"/>
  <c r="BD313" i="76"/>
  <c r="Y92" i="76"/>
  <c r="Y613" i="76"/>
  <c r="BC1039" i="76"/>
  <c r="BD72" i="76"/>
  <c r="X498" i="76"/>
  <c r="T558" i="76"/>
  <c r="BE1018" i="76"/>
  <c r="W1064" i="76"/>
  <c r="X337" i="76"/>
  <c r="Y923" i="76"/>
  <c r="BB932" i="76"/>
  <c r="Y1043" i="76"/>
  <c r="Y161" i="76"/>
  <c r="U480" i="76"/>
  <c r="BC928" i="76"/>
  <c r="X944" i="76"/>
  <c r="BB586" i="76"/>
  <c r="W588" i="76"/>
  <c r="T351" i="76"/>
  <c r="BE964" i="76"/>
  <c r="BB317" i="76"/>
  <c r="Y1053" i="76"/>
  <c r="X966" i="76"/>
  <c r="V288" i="76"/>
  <c r="X623" i="76"/>
  <c r="BA830" i="76"/>
  <c r="BB184" i="76"/>
  <c r="W319" i="76"/>
  <c r="U371" i="76"/>
  <c r="W170" i="76"/>
  <c r="Y302" i="76"/>
  <c r="BE634" i="76"/>
  <c r="BF1042" i="76"/>
  <c r="T522" i="76"/>
  <c r="T937" i="76"/>
  <c r="BA579" i="76"/>
  <c r="BC78" i="76"/>
  <c r="Y94" i="76"/>
  <c r="U283" i="76"/>
  <c r="T1001" i="76"/>
  <c r="BF885" i="76"/>
  <c r="Y329" i="76"/>
  <c r="BF618" i="76"/>
  <c r="R17" i="76"/>
  <c r="V835" i="76"/>
  <c r="T666" i="76"/>
  <c r="Y319" i="76"/>
  <c r="Y959" i="76"/>
  <c r="X993" i="76"/>
  <c r="U936" i="76"/>
  <c r="Y834" i="76"/>
  <c r="BD1068" i="76"/>
  <c r="X645" i="76"/>
  <c r="BF503" i="76"/>
  <c r="U976" i="76"/>
  <c r="BA281" i="76"/>
  <c r="BD952" i="76"/>
  <c r="W1028" i="76"/>
  <c r="W1048" i="76"/>
  <c r="V487" i="76"/>
  <c r="Y920" i="76"/>
  <c r="V631" i="76"/>
  <c r="Y417" i="76"/>
  <c r="BB1051" i="76"/>
  <c r="U186" i="76"/>
  <c r="BE203" i="76"/>
  <c r="BA81" i="76"/>
  <c r="W840" i="76"/>
  <c r="BE123" i="76"/>
  <c r="W177" i="76"/>
  <c r="BD143" i="76"/>
  <c r="BF1018" i="76"/>
  <c r="BA170" i="76"/>
  <c r="BF123" i="76"/>
  <c r="BC850" i="76"/>
  <c r="BA598" i="76"/>
  <c r="BA228" i="76"/>
  <c r="BB870" i="76"/>
  <c r="V268" i="76"/>
  <c r="BF408" i="76"/>
  <c r="BC161" i="76"/>
  <c r="U718" i="76"/>
  <c r="V315" i="76"/>
  <c r="BD510" i="76"/>
  <c r="T105" i="76"/>
  <c r="BE266" i="76"/>
  <c r="W248" i="76"/>
  <c r="BF489" i="76"/>
  <c r="BF1028" i="76"/>
  <c r="BF767" i="76"/>
  <c r="X187" i="76"/>
  <c r="BC467" i="76"/>
  <c r="U209" i="76"/>
  <c r="BB721" i="76"/>
  <c r="Y88" i="76"/>
  <c r="BB274" i="76"/>
  <c r="BA743" i="76"/>
  <c r="BC520" i="76"/>
  <c r="X355" i="76"/>
  <c r="BF401" i="76"/>
  <c r="BB588" i="76"/>
  <c r="Y612" i="76"/>
  <c r="V779" i="76"/>
  <c r="BC207" i="76"/>
  <c r="BE976" i="76"/>
  <c r="BC604" i="76"/>
  <c r="BF563" i="76"/>
  <c r="BD878" i="76"/>
  <c r="V177" i="76"/>
  <c r="BC991" i="76"/>
  <c r="BE108" i="76"/>
  <c r="BC240" i="76"/>
  <c r="W720" i="76"/>
  <c r="Y352" i="76"/>
  <c r="BA670" i="76"/>
  <c r="BF219" i="76"/>
  <c r="BC226" i="76"/>
  <c r="U1065" i="76"/>
  <c r="U581" i="76"/>
  <c r="BA169" i="76"/>
  <c r="BE870" i="76"/>
  <c r="BD546" i="76"/>
  <c r="V438" i="76"/>
  <c r="W881" i="76"/>
  <c r="V624" i="76"/>
  <c r="BB651" i="76"/>
  <c r="T1015" i="76"/>
  <c r="U938" i="76"/>
  <c r="V883" i="76"/>
  <c r="W746" i="76"/>
  <c r="U84" i="76"/>
  <c r="V841" i="76"/>
  <c r="BA624" i="76"/>
  <c r="BB751" i="76"/>
  <c r="BC91" i="76"/>
  <c r="BC543" i="76"/>
  <c r="BE801" i="76"/>
  <c r="U516" i="76"/>
  <c r="W312" i="76"/>
  <c r="BC92" i="76"/>
  <c r="Y955" i="76"/>
  <c r="W322" i="76"/>
  <c r="U455" i="76"/>
  <c r="BE133" i="76"/>
  <c r="BE758" i="76"/>
  <c r="W702" i="76"/>
  <c r="V609" i="76"/>
  <c r="BD362" i="76"/>
  <c r="T1066" i="76"/>
  <c r="BB980" i="76"/>
  <c r="BD990" i="76"/>
  <c r="BE1062" i="76"/>
  <c r="BB521" i="76"/>
  <c r="BD264" i="76"/>
  <c r="BE201" i="76"/>
  <c r="BC487" i="76"/>
  <c r="V541" i="76"/>
  <c r="Y214" i="76"/>
  <c r="V966" i="76"/>
  <c r="BF759" i="76"/>
  <c r="V1064" i="76"/>
  <c r="BC565" i="76"/>
  <c r="BC109" i="76"/>
  <c r="U562" i="76"/>
  <c r="BF981" i="76"/>
  <c r="X786" i="76"/>
  <c r="BD317" i="76"/>
  <c r="BA975" i="76"/>
  <c r="BB919" i="76"/>
  <c r="W983" i="76"/>
  <c r="BB306" i="76"/>
  <c r="BC861" i="76"/>
  <c r="BF869" i="76"/>
  <c r="X891" i="76"/>
  <c r="BF296" i="76"/>
  <c r="BA811" i="76"/>
  <c r="BB667" i="76"/>
  <c r="W837" i="76"/>
  <c r="BF73" i="76"/>
  <c r="BC118" i="76"/>
  <c r="BB187" i="76"/>
  <c r="BD73" i="76"/>
  <c r="X330" i="76"/>
  <c r="X760" i="76"/>
  <c r="BA946" i="76"/>
  <c r="BD1056" i="76"/>
  <c r="BF162" i="76"/>
  <c r="T1012" i="76"/>
  <c r="V271" i="76"/>
  <c r="X440" i="76"/>
  <c r="BD491" i="76"/>
  <c r="BE444" i="76"/>
  <c r="BC146" i="76"/>
  <c r="W1006" i="76"/>
  <c r="W959" i="76"/>
  <c r="BE715" i="76"/>
  <c r="X686" i="76"/>
  <c r="X159" i="76"/>
  <c r="Y498" i="76"/>
  <c r="W989" i="76"/>
  <c r="BB642" i="76"/>
  <c r="U746" i="76"/>
  <c r="T93" i="76"/>
  <c r="U668" i="76"/>
  <c r="BC732" i="76"/>
  <c r="W721" i="76"/>
  <c r="T622" i="76"/>
  <c r="X1003" i="76"/>
  <c r="U218" i="76"/>
  <c r="Y901" i="76"/>
  <c r="U801" i="76"/>
  <c r="U770" i="76"/>
  <c r="T603" i="76"/>
  <c r="BE653" i="76"/>
  <c r="Y155" i="76"/>
  <c r="X378" i="76"/>
  <c r="BD1005" i="76"/>
  <c r="BB894" i="76"/>
  <c r="Y690" i="76"/>
  <c r="BD1009" i="76"/>
  <c r="Y97" i="76"/>
  <c r="Y489" i="76"/>
  <c r="T440" i="76"/>
  <c r="BA744" i="76"/>
  <c r="BB476" i="76"/>
  <c r="BF177" i="76"/>
  <c r="BB356" i="76"/>
  <c r="BB859" i="76"/>
  <c r="Y200" i="76"/>
  <c r="V407" i="76"/>
  <c r="Y798" i="76"/>
  <c r="T642" i="76"/>
  <c r="BD910" i="76"/>
  <c r="BB898" i="76"/>
  <c r="Y669" i="76"/>
  <c r="BB890" i="76"/>
  <c r="W479" i="76"/>
  <c r="T99" i="76"/>
  <c r="BD250" i="76"/>
  <c r="BE942" i="76"/>
  <c r="X373" i="76"/>
  <c r="BA1063" i="76"/>
  <c r="X172" i="76"/>
  <c r="X574" i="76"/>
  <c r="V1028" i="76"/>
  <c r="BB1011" i="76"/>
  <c r="Y399" i="76"/>
  <c r="BD360" i="76"/>
  <c r="T610" i="76"/>
  <c r="BA1014" i="76"/>
  <c r="U377" i="76"/>
  <c r="BA274" i="76"/>
  <c r="V505" i="76"/>
  <c r="BD1013" i="76"/>
  <c r="W356" i="76"/>
  <c r="BC253" i="76"/>
  <c r="V492" i="76"/>
  <c r="BB822" i="76"/>
  <c r="BD810" i="76"/>
  <c r="T877" i="76"/>
  <c r="BC205" i="76"/>
  <c r="U578" i="76"/>
  <c r="BB982" i="76"/>
  <c r="BA233" i="76"/>
  <c r="BC691" i="76"/>
  <c r="U522" i="76"/>
  <c r="BF306" i="76"/>
  <c r="T450" i="76"/>
  <c r="BA638" i="76"/>
  <c r="U800" i="76"/>
  <c r="BD267" i="76"/>
  <c r="BA374" i="76"/>
  <c r="X838" i="76"/>
  <c r="BA480" i="76"/>
  <c r="X987" i="76"/>
  <c r="V538" i="76"/>
  <c r="U901" i="76"/>
  <c r="T908" i="76"/>
  <c r="W424" i="76"/>
  <c r="V347" i="76"/>
  <c r="BF461" i="76"/>
  <c r="V456" i="76"/>
  <c r="BC932" i="76"/>
  <c r="BA343" i="76"/>
  <c r="BA1048" i="76"/>
  <c r="BE229" i="76"/>
  <c r="BD456" i="76"/>
  <c r="BE804" i="76"/>
  <c r="BC683" i="76"/>
  <c r="BB648" i="76"/>
  <c r="V901" i="76"/>
  <c r="BA752" i="76"/>
  <c r="X324" i="76"/>
  <c r="BE701" i="76"/>
  <c r="V706" i="76"/>
  <c r="BC1009" i="76"/>
  <c r="BE255" i="76"/>
  <c r="BC175" i="76"/>
  <c r="U253" i="76"/>
  <c r="T970" i="76"/>
  <c r="Y963" i="76"/>
  <c r="U145" i="76"/>
  <c r="BA141" i="76"/>
  <c r="BA984" i="76"/>
  <c r="BD452" i="76"/>
  <c r="BD388" i="76"/>
  <c r="T443" i="76"/>
  <c r="BC1029" i="76"/>
  <c r="BA1027" i="76"/>
  <c r="BB772" i="76"/>
  <c r="W403" i="76"/>
  <c r="BE1024" i="76"/>
  <c r="W1032" i="76"/>
  <c r="BD751" i="76"/>
  <c r="Y382" i="76"/>
  <c r="BA939" i="76"/>
  <c r="T974" i="76"/>
  <c r="BF730" i="76"/>
  <c r="U1056" i="76"/>
  <c r="BE890" i="76"/>
  <c r="Y1064" i="76"/>
  <c r="BF538" i="76"/>
  <c r="T401" i="76"/>
  <c r="BE421" i="76"/>
  <c r="U777" i="76"/>
  <c r="BB645" i="76"/>
  <c r="BC938" i="76"/>
  <c r="U265" i="76"/>
  <c r="W104" i="76"/>
  <c r="BA484" i="76"/>
  <c r="BE661" i="76"/>
  <c r="U726" i="76"/>
  <c r="T863" i="76"/>
  <c r="Y243" i="76"/>
  <c r="X175" i="76"/>
  <c r="BE259" i="76"/>
  <c r="BE599" i="76"/>
  <c r="BB83" i="76"/>
  <c r="T303" i="76"/>
  <c r="Y550" i="76"/>
  <c r="BB136" i="76"/>
  <c r="U496" i="76"/>
  <c r="BF890" i="76"/>
  <c r="T743" i="76"/>
  <c r="T507" i="76"/>
  <c r="BF358" i="76"/>
  <c r="U836" i="76"/>
  <c r="BA871" i="76"/>
  <c r="T268" i="76"/>
  <c r="BC415" i="76"/>
  <c r="W602" i="76"/>
  <c r="V804" i="76"/>
  <c r="U662" i="76"/>
  <c r="Y174" i="76"/>
  <c r="W691" i="76"/>
  <c r="W699" i="76"/>
  <c r="U1029" i="76"/>
  <c r="U998" i="76"/>
  <c r="BD1058" i="76"/>
  <c r="Y362" i="76"/>
  <c r="BC485" i="76"/>
  <c r="T850" i="76"/>
  <c r="W435" i="76"/>
  <c r="BC804" i="76"/>
  <c r="BD668" i="76"/>
  <c r="BF264" i="76"/>
  <c r="BE892" i="76"/>
  <c r="BB190" i="76"/>
  <c r="BD570" i="76"/>
  <c r="U75" i="76"/>
  <c r="X291" i="76"/>
  <c r="BA442" i="76"/>
  <c r="BB930" i="76"/>
  <c r="BE992" i="76"/>
  <c r="Y332" i="76"/>
  <c r="BD871" i="76"/>
  <c r="BE576" i="76"/>
  <c r="W392" i="76"/>
  <c r="T381" i="76"/>
  <c r="BD425" i="76"/>
  <c r="BC376" i="76"/>
  <c r="BE518" i="76"/>
  <c r="BB69" i="76"/>
  <c r="BB294" i="76"/>
  <c r="BD202" i="76"/>
  <c r="BD117" i="76"/>
  <c r="BF156" i="76"/>
  <c r="BD288" i="76"/>
  <c r="T112" i="76"/>
  <c r="BA979" i="76"/>
  <c r="BC155" i="76"/>
  <c r="X133" i="76"/>
  <c r="BB714" i="76"/>
  <c r="BC955" i="76"/>
  <c r="BA112" i="76"/>
  <c r="T111" i="76"/>
  <c r="BD673" i="76"/>
  <c r="BA901" i="76"/>
  <c r="BE70" i="76"/>
  <c r="V90" i="76"/>
  <c r="BF632" i="76"/>
  <c r="BF891" i="76"/>
  <c r="BF1061" i="76"/>
  <c r="W158" i="76"/>
  <c r="BE787" i="76"/>
  <c r="BE979" i="76"/>
  <c r="BB312" i="76"/>
  <c r="U387" i="76"/>
  <c r="BA1021" i="76"/>
  <c r="BB76" i="76"/>
  <c r="BD545" i="76"/>
  <c r="U509" i="76"/>
  <c r="X336" i="76"/>
  <c r="BE930" i="76"/>
  <c r="BD296" i="76"/>
  <c r="V1039" i="76"/>
  <c r="Y1049" i="76"/>
  <c r="W394" i="76"/>
  <c r="BE252" i="76"/>
  <c r="BD1033" i="76"/>
  <c r="BC98" i="76"/>
  <c r="BC176" i="76"/>
  <c r="BD578" i="76"/>
  <c r="BA929" i="76"/>
  <c r="U353" i="76"/>
  <c r="BF491" i="76"/>
  <c r="BA813" i="76"/>
  <c r="BD969" i="76"/>
  <c r="BE998" i="76"/>
  <c r="T449" i="76"/>
  <c r="BE755" i="76"/>
  <c r="BB587" i="76"/>
  <c r="BA102" i="76"/>
  <c r="U719" i="76"/>
  <c r="U361" i="76"/>
  <c r="Y1051" i="76"/>
  <c r="X1067" i="76"/>
  <c r="X948" i="76"/>
  <c r="U1016" i="76"/>
  <c r="BD885" i="76"/>
  <c r="BA191" i="76"/>
  <c r="W915" i="76"/>
  <c r="W1035" i="76"/>
  <c r="BF375" i="76"/>
  <c r="BB129" i="76"/>
  <c r="U573" i="76"/>
  <c r="BA1056" i="76"/>
  <c r="BE866" i="76"/>
  <c r="Y685" i="76"/>
  <c r="BD508" i="76"/>
  <c r="T840" i="76"/>
  <c r="Y318" i="76"/>
  <c r="BC300" i="76"/>
  <c r="X253" i="76"/>
  <c r="BC219" i="76"/>
  <c r="BC224" i="76"/>
  <c r="BA994" i="76"/>
  <c r="BA500" i="76"/>
  <c r="T869" i="76"/>
  <c r="BA724" i="76"/>
  <c r="W162" i="76"/>
  <c r="BF552" i="76"/>
  <c r="U120" i="76"/>
  <c r="BC375" i="76"/>
  <c r="V941" i="76"/>
  <c r="BB554" i="76"/>
  <c r="BC466" i="76"/>
  <c r="BC1032" i="76"/>
  <c r="BE696" i="76"/>
  <c r="U475" i="76"/>
  <c r="BF555" i="76"/>
  <c r="BF226" i="76"/>
  <c r="BF71" i="76"/>
  <c r="BF526" i="76"/>
  <c r="V261" i="76"/>
  <c r="T441" i="76"/>
  <c r="BF98" i="76"/>
  <c r="BE72" i="76"/>
  <c r="V199" i="76"/>
  <c r="V783" i="76"/>
  <c r="X98" i="76"/>
  <c r="X1064" i="76"/>
  <c r="BD502" i="76"/>
  <c r="T866" i="76"/>
  <c r="Y542" i="76"/>
  <c r="V379" i="76"/>
  <c r="V213" i="76"/>
  <c r="BA159" i="76"/>
  <c r="BF700" i="76"/>
  <c r="BA557" i="76"/>
  <c r="V287" i="76"/>
  <c r="BB432" i="76"/>
  <c r="BE863" i="76"/>
  <c r="U568" i="76"/>
  <c r="BE834" i="76"/>
  <c r="BB780" i="76"/>
  <c r="BF770" i="76"/>
  <c r="BA331" i="76"/>
  <c r="BD945" i="76"/>
  <c r="Y118" i="76"/>
  <c r="BF960" i="76"/>
  <c r="V943" i="76"/>
  <c r="BF738" i="76"/>
  <c r="BD186" i="76"/>
  <c r="BE1015" i="76"/>
  <c r="W589" i="76"/>
  <c r="BD753" i="76"/>
  <c r="BE289" i="76"/>
  <c r="BA739" i="76"/>
  <c r="Y116" i="76"/>
  <c r="BB685" i="76"/>
  <c r="BA565" i="76"/>
  <c r="BA843" i="76"/>
  <c r="W253" i="76"/>
  <c r="Z258" i="17"/>
  <c r="Z132" i="17"/>
  <c r="B156" i="32"/>
  <c r="BC419" i="76"/>
  <c r="BC107" i="76"/>
  <c r="Y422" i="76"/>
  <c r="BC444" i="76"/>
  <c r="BD766" i="76"/>
  <c r="W299" i="76"/>
  <c r="BD146" i="76"/>
  <c r="T359" i="76"/>
  <c r="X499" i="76"/>
  <c r="BD426" i="76"/>
  <c r="BC560" i="76"/>
  <c r="BB706" i="76"/>
  <c r="BC383" i="76"/>
  <c r="U125" i="76"/>
  <c r="BB566" i="76"/>
  <c r="T456" i="76"/>
  <c r="X406" i="76"/>
  <c r="W641" i="76"/>
  <c r="BF913" i="76"/>
  <c r="W962" i="76"/>
  <c r="BE784" i="76"/>
  <c r="BC790" i="76"/>
  <c r="BB583" i="76"/>
  <c r="U754" i="76"/>
  <c r="BD368" i="76"/>
  <c r="BA932" i="76"/>
  <c r="X958" i="76"/>
  <c r="X833" i="76"/>
  <c r="BC980" i="76"/>
  <c r="W402" i="76"/>
  <c r="V70" i="76"/>
  <c r="BC780" i="76"/>
  <c r="T771" i="76"/>
  <c r="BB504" i="76"/>
  <c r="T355" i="76"/>
  <c r="Y274" i="76"/>
  <c r="BB188" i="76"/>
  <c r="BB235" i="76"/>
  <c r="U249" i="76"/>
  <c r="V440" i="76"/>
  <c r="BF367" i="76"/>
  <c r="X492" i="76"/>
  <c r="V411" i="76"/>
  <c r="BF1052" i="76"/>
  <c r="BD713" i="76"/>
  <c r="BC236" i="76"/>
  <c r="BD162" i="76"/>
  <c r="V324" i="76"/>
  <c r="BE189" i="76"/>
  <c r="BA751" i="76"/>
  <c r="BC827" i="76"/>
  <c r="BA406" i="76"/>
  <c r="BD183" i="76"/>
  <c r="Y535" i="76"/>
  <c r="T206" i="76"/>
  <c r="BC651" i="76"/>
  <c r="BE800" i="76"/>
  <c r="BF501" i="76"/>
  <c r="Y1028" i="76"/>
  <c r="BF982" i="76"/>
  <c r="BA280" i="76"/>
  <c r="BD729" i="76"/>
  <c r="BA603" i="76"/>
  <c r="BC550" i="76"/>
  <c r="BA539" i="76"/>
  <c r="BD101" i="76"/>
  <c r="BD976" i="76"/>
  <c r="U322" i="76"/>
  <c r="BA73" i="76"/>
  <c r="U104" i="76"/>
  <c r="T954" i="76"/>
  <c r="BC216" i="76"/>
  <c r="BF182" i="76"/>
  <c r="U189" i="76"/>
  <c r="BA569" i="76"/>
  <c r="W256" i="76"/>
  <c r="Y407" i="76"/>
  <c r="BF223" i="76"/>
  <c r="T110" i="76"/>
  <c r="BF858" i="76"/>
  <c r="BB174" i="76"/>
  <c r="BA921" i="76"/>
  <c r="T815" i="76"/>
  <c r="BC886" i="76"/>
  <c r="V371" i="76"/>
  <c r="Y571" i="76"/>
  <c r="BF411" i="76"/>
  <c r="BF645" i="76"/>
  <c r="BB433" i="76"/>
  <c r="BA1050" i="76"/>
  <c r="BB785" i="76"/>
  <c r="BE184" i="76"/>
  <c r="U404" i="76"/>
  <c r="V300" i="76"/>
  <c r="BE465" i="76"/>
  <c r="BD442" i="76"/>
  <c r="BA420" i="76"/>
  <c r="BE683" i="76"/>
  <c r="W382" i="76"/>
  <c r="V839" i="76"/>
  <c r="BB533" i="76"/>
  <c r="X619" i="76"/>
  <c r="Y330" i="76"/>
  <c r="BF911" i="76"/>
  <c r="T947" i="76"/>
  <c r="X646" i="76"/>
  <c r="BD472" i="76"/>
  <c r="BB660" i="76"/>
  <c r="V658" i="76"/>
  <c r="BB364" i="76"/>
  <c r="T918" i="76"/>
  <c r="BF886" i="76"/>
  <c r="BD193" i="76"/>
  <c r="W108" i="76"/>
  <c r="BF191" i="76"/>
  <c r="BF639" i="76"/>
  <c r="BA897" i="76"/>
  <c r="X572" i="76"/>
  <c r="T267" i="76"/>
  <c r="Y126" i="76"/>
  <c r="BA494" i="76"/>
  <c r="V413" i="76"/>
  <c r="BE1042" i="76"/>
  <c r="W468" i="76"/>
  <c r="BE763" i="76"/>
  <c r="X590" i="76"/>
  <c r="BD104" i="76"/>
  <c r="BE897" i="76"/>
  <c r="BB745" i="76"/>
  <c r="Y1039" i="76"/>
  <c r="BC964" i="76"/>
  <c r="W290" i="76"/>
  <c r="W991" i="76"/>
  <c r="V357" i="76"/>
  <c r="BC1035" i="76"/>
  <c r="BA322" i="76"/>
  <c r="W795" i="76"/>
  <c r="X835" i="76"/>
  <c r="X771" i="76"/>
  <c r="U700" i="76"/>
  <c r="BD626" i="76"/>
  <c r="BF698" i="76"/>
  <c r="W129" i="76"/>
  <c r="X851" i="76"/>
  <c r="X239" i="76"/>
  <c r="BF785" i="76"/>
  <c r="BF535" i="76"/>
  <c r="BB990" i="76"/>
  <c r="BF969" i="76"/>
  <c r="BD410" i="76"/>
  <c r="BF606" i="76"/>
  <c r="BE756" i="76"/>
  <c r="BD461" i="76"/>
  <c r="BE155" i="76"/>
  <c r="W985" i="76"/>
  <c r="Y707" i="76"/>
  <c r="BB97" i="76"/>
  <c r="BF486" i="76"/>
  <c r="BD271" i="76"/>
  <c r="BF141" i="76"/>
  <c r="Y654" i="76"/>
  <c r="X571" i="76"/>
  <c r="T998" i="76"/>
  <c r="X437" i="76"/>
  <c r="BF542" i="76"/>
  <c r="BC274" i="76"/>
  <c r="BC93" i="76"/>
  <c r="BD755" i="76"/>
  <c r="BB410" i="76"/>
  <c r="U517" i="76"/>
  <c r="BE941" i="76"/>
  <c r="BA608" i="76"/>
  <c r="BB638" i="76"/>
  <c r="W284" i="76"/>
  <c r="BB212" i="76"/>
  <c r="BC1053" i="76"/>
  <c r="BA805" i="76"/>
  <c r="W1020" i="76"/>
  <c r="BA1015" i="76"/>
  <c r="BB213" i="76"/>
  <c r="BA947" i="76"/>
  <c r="BF793" i="76"/>
  <c r="BA582" i="76"/>
  <c r="BB739" i="76"/>
  <c r="BF175" i="76"/>
  <c r="BF729" i="76"/>
  <c r="BE615" i="76"/>
  <c r="BA290" i="76"/>
  <c r="V970" i="76"/>
  <c r="BE1057" i="76"/>
  <c r="BD533" i="76"/>
  <c r="W195" i="76"/>
  <c r="BE555" i="76"/>
  <c r="BC873" i="76"/>
  <c r="U459" i="76"/>
  <c r="BA908" i="76"/>
  <c r="X529" i="76"/>
  <c r="T768" i="76"/>
  <c r="Y576" i="76"/>
  <c r="BE624" i="76"/>
  <c r="V895" i="76"/>
  <c r="BD832" i="76"/>
  <c r="V927" i="76"/>
  <c r="V372" i="76"/>
  <c r="W1034" i="76"/>
  <c r="Y949" i="76"/>
  <c r="BE984" i="76"/>
  <c r="Y930" i="76"/>
  <c r="V717" i="76"/>
  <c r="BF450" i="76"/>
  <c r="BD706" i="76"/>
  <c r="BA483" i="76"/>
  <c r="V953" i="76"/>
  <c r="BC782" i="76"/>
  <c r="BA443" i="76"/>
  <c r="BF510" i="76"/>
  <c r="BF361" i="76"/>
  <c r="BE1031" i="76"/>
  <c r="BF390" i="76"/>
  <c r="Y996" i="76"/>
  <c r="BE970" i="76"/>
  <c r="BD909" i="76"/>
  <c r="X971" i="76"/>
  <c r="BD863" i="76"/>
  <c r="W932" i="76"/>
  <c r="BB831" i="76"/>
  <c r="U897" i="76"/>
  <c r="BC639" i="76"/>
  <c r="X800" i="76"/>
  <c r="BA654" i="76"/>
  <c r="T497" i="76"/>
  <c r="BF720" i="76"/>
  <c r="BD449" i="76"/>
  <c r="BE606" i="76"/>
  <c r="BD925" i="76"/>
  <c r="BD812" i="76"/>
  <c r="W303" i="76"/>
  <c r="BD295" i="76"/>
  <c r="W923" i="76"/>
  <c r="BF479" i="76"/>
  <c r="BD1025" i="76"/>
  <c r="Y842" i="76"/>
  <c r="BF395" i="76"/>
  <c r="V933" i="76"/>
  <c r="V603" i="76"/>
  <c r="U659" i="76"/>
  <c r="V173" i="76"/>
  <c r="W1017" i="76"/>
  <c r="BE306" i="76"/>
  <c r="BB220" i="76"/>
  <c r="BD854" i="76"/>
  <c r="BC319" i="76"/>
  <c r="BF343" i="76"/>
  <c r="BF652" i="76"/>
  <c r="BD930" i="76"/>
  <c r="BE931" i="76"/>
  <c r="Y820" i="76"/>
  <c r="Y279" i="76"/>
  <c r="T257" i="76"/>
  <c r="X74" i="76"/>
  <c r="BA261" i="76"/>
  <c r="BC133" i="76"/>
  <c r="W145" i="76"/>
  <c r="V219" i="76"/>
  <c r="Y124" i="76"/>
  <c r="W116" i="76"/>
  <c r="U102" i="76"/>
  <c r="U93" i="76"/>
  <c r="V189" i="76"/>
  <c r="BC1067" i="76"/>
  <c r="BD731" i="76"/>
  <c r="BB310" i="76"/>
  <c r="BF509" i="76"/>
  <c r="V391" i="76"/>
  <c r="BE1025" i="76"/>
  <c r="T888" i="76"/>
  <c r="BF1022" i="76"/>
  <c r="U956" i="76"/>
  <c r="BC174" i="76"/>
  <c r="X429" i="76"/>
  <c r="BF1062" i="76"/>
  <c r="Y90" i="76"/>
  <c r="T934" i="76"/>
  <c r="V194" i="76"/>
  <c r="X991" i="76"/>
  <c r="U817" i="76"/>
  <c r="BD915" i="76"/>
  <c r="BE304" i="76"/>
  <c r="BB812" i="76"/>
  <c r="BE330" i="76"/>
  <c r="BE174" i="76"/>
  <c r="BC693" i="76"/>
  <c r="BC502" i="76"/>
  <c r="BA749" i="76"/>
  <c r="BA836" i="76"/>
  <c r="Y871" i="76"/>
  <c r="Y79" i="76"/>
  <c r="BB118" i="76"/>
  <c r="U83" i="76"/>
  <c r="BF874" i="76"/>
  <c r="BF638" i="76"/>
  <c r="BA263" i="76"/>
  <c r="X766" i="76"/>
  <c r="BE519" i="76"/>
  <c r="T536" i="76"/>
  <c r="BE432" i="76"/>
  <c r="T994" i="76"/>
  <c r="BB347" i="76"/>
  <c r="V973" i="76"/>
  <c r="BB392" i="76"/>
  <c r="T633" i="76"/>
  <c r="BE757" i="76"/>
  <c r="T1032" i="76"/>
  <c r="T184" i="76"/>
  <c r="BB884" i="76"/>
  <c r="U412" i="76"/>
  <c r="BA824" i="76"/>
  <c r="BA578" i="76"/>
  <c r="BF534" i="76"/>
  <c r="X173" i="76"/>
  <c r="BF255" i="76"/>
  <c r="Y969" i="76"/>
  <c r="BF719" i="76"/>
  <c r="U978" i="76"/>
  <c r="U992" i="76"/>
  <c r="U969" i="76"/>
  <c r="Y950" i="76"/>
  <c r="BF686" i="76"/>
  <c r="BB471" i="76"/>
  <c r="BC807" i="76"/>
  <c r="BB494" i="76"/>
  <c r="BD989" i="76"/>
  <c r="T298" i="76"/>
  <c r="BA175" i="76"/>
  <c r="BB74" i="76"/>
  <c r="Y110" i="76"/>
  <c r="BF894" i="76"/>
  <c r="W237" i="76"/>
  <c r="X1047" i="76"/>
  <c r="V656" i="76"/>
  <c r="BC413" i="76"/>
  <c r="BF895" i="76"/>
  <c r="BA715" i="76"/>
  <c r="W75" i="76"/>
  <c r="BF1003" i="76"/>
  <c r="BB246" i="76"/>
  <c r="BC555" i="76"/>
  <c r="Y304" i="76"/>
  <c r="T384" i="76"/>
  <c r="BC776" i="76"/>
  <c r="BB134" i="76"/>
  <c r="BD585" i="76"/>
  <c r="T272" i="76"/>
  <c r="BA1067" i="76"/>
  <c r="X544" i="76"/>
  <c r="V140" i="76"/>
  <c r="BD1001" i="76"/>
  <c r="X283" i="76"/>
  <c r="T286" i="76"/>
  <c r="BC839" i="76"/>
  <c r="W196" i="76"/>
  <c r="BC484" i="76"/>
  <c r="X83" i="76"/>
  <c r="BB796" i="76"/>
  <c r="U174" i="76"/>
  <c r="BE463" i="76"/>
  <c r="X271" i="76"/>
  <c r="BF754" i="76"/>
  <c r="W153" i="76"/>
  <c r="BB441" i="76"/>
  <c r="W232" i="76"/>
  <c r="BE369" i="76"/>
  <c r="Y264" i="76"/>
  <c r="BA120" i="76"/>
  <c r="Y211" i="76"/>
  <c r="BB737" i="76"/>
  <c r="BE974" i="76"/>
  <c r="BD880" i="76"/>
  <c r="BD541" i="76"/>
  <c r="BE206" i="76"/>
  <c r="Y323" i="76"/>
  <c r="X472" i="76"/>
  <c r="BB354" i="76"/>
  <c r="BC638" i="76"/>
  <c r="BF234" i="76"/>
  <c r="T1006" i="76"/>
  <c r="T190" i="76"/>
  <c r="BC594" i="76"/>
  <c r="BC1002" i="76"/>
  <c r="BB78" i="76"/>
  <c r="BD516" i="76"/>
  <c r="BF749" i="76"/>
  <c r="W71" i="76"/>
  <c r="X551" i="76"/>
  <c r="BD387" i="76"/>
  <c r="BD397" i="76"/>
  <c r="BF196" i="76"/>
  <c r="U191" i="76"/>
  <c r="W387" i="76"/>
  <c r="BE297" i="76"/>
  <c r="BD758" i="76"/>
  <c r="BB943" i="76"/>
  <c r="W480" i="76"/>
  <c r="V816" i="76"/>
  <c r="W646" i="76"/>
  <c r="Y667" i="76"/>
  <c r="W669" i="76"/>
  <c r="X752" i="76"/>
  <c r="W652" i="76"/>
  <c r="T317" i="76"/>
  <c r="V552" i="76"/>
  <c r="BE459" i="76"/>
  <c r="BD441" i="76"/>
  <c r="T592" i="76"/>
  <c r="V346" i="76"/>
  <c r="U275" i="76"/>
  <c r="BF1050" i="76"/>
  <c r="V236" i="76"/>
  <c r="BB1007" i="76"/>
  <c r="W717" i="76"/>
  <c r="BF582" i="76"/>
  <c r="BB1015" i="76"/>
  <c r="BF760" i="76"/>
  <c r="X390" i="76"/>
  <c r="W132" i="76"/>
  <c r="V146" i="76"/>
  <c r="BC1003" i="76"/>
  <c r="BC779" i="76"/>
  <c r="T223" i="76"/>
  <c r="Y212" i="76"/>
  <c r="BC272" i="76"/>
  <c r="U419" i="76"/>
  <c r="W520" i="76"/>
  <c r="V496" i="76"/>
  <c r="BF444" i="76"/>
  <c r="W539" i="76"/>
  <c r="T828" i="76"/>
  <c r="Y521" i="76"/>
  <c r="Y170" i="76"/>
  <c r="U166" i="76"/>
  <c r="V248" i="76"/>
  <c r="BC432" i="76"/>
  <c r="BE579" i="76"/>
  <c r="BC517" i="76"/>
  <c r="Y408" i="76"/>
  <c r="BC389" i="76"/>
  <c r="BA533" i="76"/>
  <c r="BC430" i="76"/>
  <c r="T253" i="76"/>
  <c r="BB346" i="76"/>
  <c r="BC492" i="76"/>
  <c r="BD343" i="76"/>
  <c r="Y231" i="76"/>
  <c r="BC835" i="76"/>
  <c r="BE893" i="76"/>
  <c r="BE176" i="76"/>
  <c r="W393" i="76"/>
  <c r="BF907" i="76"/>
  <c r="BE83" i="76"/>
  <c r="BB585" i="76"/>
  <c r="T133" i="76"/>
  <c r="Y595" i="76"/>
  <c r="BE720" i="76"/>
  <c r="V366" i="76"/>
  <c r="U584" i="76"/>
  <c r="U1055" i="76"/>
  <c r="BA367" i="76"/>
  <c r="BD1066" i="76"/>
  <c r="BF792" i="76"/>
  <c r="V957" i="76"/>
  <c r="W974" i="76"/>
  <c r="BF919" i="76"/>
  <c r="U113" i="76"/>
  <c r="T638" i="76"/>
  <c r="U1020" i="76"/>
  <c r="BF496" i="76"/>
  <c r="X589" i="76"/>
  <c r="Y220" i="76"/>
  <c r="Y793" i="76"/>
  <c r="BF660" i="76"/>
  <c r="BC159" i="76"/>
  <c r="T848" i="76"/>
  <c r="V862" i="76"/>
  <c r="V410" i="76"/>
  <c r="BF265" i="76"/>
  <c r="T935" i="76"/>
  <c r="T699" i="76"/>
  <c r="V526" i="76"/>
  <c r="T215" i="76"/>
  <c r="T1023" i="76"/>
  <c r="X954" i="76"/>
  <c r="BF543" i="76"/>
  <c r="V129" i="76"/>
  <c r="BE767" i="76"/>
  <c r="BB1042" i="76"/>
  <c r="W564" i="76"/>
  <c r="BA562" i="76"/>
  <c r="BA106" i="76"/>
  <c r="BC603" i="76"/>
  <c r="BD156" i="76"/>
  <c r="Y325" i="76"/>
  <c r="BC218" i="76"/>
  <c r="BA350" i="76"/>
  <c r="Y195" i="76"/>
  <c r="Y687" i="76"/>
  <c r="BD422" i="76"/>
  <c r="BD177" i="76"/>
  <c r="BB626" i="76"/>
  <c r="BD967" i="76"/>
  <c r="V714" i="76"/>
  <c r="BD801" i="76"/>
  <c r="BC1059" i="76"/>
  <c r="BD531" i="76"/>
  <c r="V579" i="76"/>
  <c r="V593" i="76"/>
  <c r="BC343" i="76"/>
  <c r="BF995" i="76"/>
  <c r="BE409" i="76"/>
  <c r="BF716" i="76"/>
  <c r="BF480" i="76"/>
  <c r="BA775" i="76"/>
  <c r="BA461" i="76"/>
  <c r="BC329" i="76"/>
  <c r="BB650" i="76"/>
  <c r="V607" i="76"/>
  <c r="BA782" i="76"/>
  <c r="X895" i="76"/>
  <c r="BD609" i="76"/>
  <c r="V520" i="76"/>
  <c r="BC741" i="76"/>
  <c r="Y528" i="76"/>
  <c r="BF568" i="76"/>
  <c r="T464" i="76"/>
  <c r="BE700" i="76"/>
  <c r="X511" i="76"/>
  <c r="BF1016" i="76"/>
  <c r="X567" i="76"/>
  <c r="BB486" i="76"/>
  <c r="U235" i="76"/>
  <c r="BB217" i="76"/>
  <c r="BB456" i="76"/>
  <c r="U217" i="76"/>
  <c r="BC494" i="76"/>
  <c r="BC507" i="76"/>
  <c r="BD233" i="76"/>
  <c r="U520" i="76"/>
  <c r="T820" i="76"/>
  <c r="BE1051" i="76"/>
  <c r="BC1000" i="76"/>
  <c r="BC848" i="76"/>
  <c r="BE719" i="76"/>
  <c r="BB528" i="76"/>
  <c r="Y108" i="76"/>
  <c r="U534" i="76"/>
  <c r="BC153" i="76"/>
  <c r="Y148" i="76"/>
  <c r="BD411" i="76"/>
  <c r="Y236" i="76"/>
  <c r="V323" i="76"/>
  <c r="BE377" i="76"/>
  <c r="V414" i="76"/>
  <c r="BA731" i="76"/>
  <c r="V309" i="76"/>
  <c r="BA161" i="76"/>
  <c r="Y289" i="76"/>
  <c r="W949" i="76"/>
  <c r="Y720" i="76"/>
  <c r="BE908" i="76"/>
  <c r="U842" i="76"/>
  <c r="X973" i="76"/>
  <c r="V1056" i="76"/>
  <c r="X919" i="76"/>
  <c r="W426" i="76"/>
  <c r="BD643" i="76"/>
  <c r="W459" i="76"/>
  <c r="BC610" i="76"/>
  <c r="BD765" i="76"/>
  <c r="BE198" i="76"/>
  <c r="X120" i="76"/>
  <c r="BE305" i="76"/>
  <c r="BE817" i="76"/>
  <c r="BF233" i="76"/>
  <c r="Y556" i="76"/>
  <c r="BF202" i="76"/>
  <c r="BE148" i="76"/>
  <c r="BF946" i="76"/>
  <c r="X793" i="76"/>
  <c r="BD74" i="76"/>
  <c r="BC606" i="76"/>
  <c r="BF1005" i="76"/>
  <c r="U837" i="76"/>
  <c r="W1060" i="76"/>
  <c r="BF366" i="76"/>
  <c r="BC902" i="76"/>
  <c r="T496" i="76"/>
  <c r="BC478" i="76"/>
  <c r="T822" i="76"/>
  <c r="BC1063" i="76"/>
  <c r="W529" i="76"/>
  <c r="V546" i="76"/>
  <c r="V926" i="76"/>
  <c r="BD329" i="76"/>
  <c r="BD981" i="76"/>
  <c r="BC305" i="76"/>
  <c r="BE748" i="76"/>
  <c r="V71" i="76"/>
  <c r="BF952" i="76"/>
  <c r="BE961" i="76"/>
  <c r="V894" i="76"/>
  <c r="Y334" i="76"/>
  <c r="BF843" i="76"/>
  <c r="BD938" i="76"/>
  <c r="T919" i="76"/>
  <c r="V168" i="76"/>
  <c r="BC801" i="76"/>
  <c r="BB915" i="76"/>
  <c r="T904" i="76"/>
  <c r="W204" i="76"/>
  <c r="BF774" i="76"/>
  <c r="BD941" i="76"/>
  <c r="U440" i="76"/>
  <c r="BB1067" i="76"/>
  <c r="BB742" i="76"/>
  <c r="V338" i="76"/>
  <c r="BA319" i="76"/>
  <c r="BE956" i="76"/>
  <c r="W903" i="76"/>
  <c r="Y1040" i="76"/>
  <c r="U541" i="76"/>
  <c r="BA669" i="76"/>
  <c r="U193" i="76"/>
  <c r="BE563" i="76"/>
  <c r="X616" i="76"/>
  <c r="U126" i="76"/>
  <c r="W990" i="76"/>
  <c r="T791" i="76"/>
  <c r="BA437" i="76"/>
  <c r="BE936" i="76"/>
  <c r="T807" i="76"/>
  <c r="BC367" i="76"/>
  <c r="W627" i="76"/>
  <c r="W90" i="76"/>
  <c r="BA512" i="76"/>
  <c r="V619" i="76"/>
  <c r="U684" i="76"/>
  <c r="BE222" i="76"/>
  <c r="U495" i="76"/>
  <c r="BB261" i="76"/>
  <c r="X886" i="76"/>
  <c r="BD828" i="76"/>
  <c r="BC1062" i="76"/>
  <c r="T907" i="76"/>
  <c r="U864" i="76"/>
  <c r="BB555" i="76"/>
  <c r="BF585" i="76"/>
  <c r="BD792" i="76"/>
  <c r="BB931" i="76"/>
  <c r="BD572" i="76"/>
  <c r="W712" i="76"/>
  <c r="BA833" i="76"/>
  <c r="BB409" i="76"/>
  <c r="BA464" i="76"/>
  <c r="U462" i="76"/>
  <c r="Y611" i="76"/>
  <c r="BE557" i="76"/>
  <c r="V871" i="76"/>
  <c r="Y872" i="76"/>
  <c r="BA611" i="76"/>
  <c r="X194" i="76"/>
  <c r="BC703" i="76"/>
  <c r="BF741" i="76"/>
  <c r="U879" i="76"/>
  <c r="Y123" i="76"/>
  <c r="BE682" i="76"/>
  <c r="BB719" i="76"/>
  <c r="T713" i="76"/>
  <c r="T419" i="76"/>
  <c r="BA660" i="76"/>
  <c r="BD698" i="76"/>
  <c r="V692" i="76"/>
  <c r="U314" i="76"/>
  <c r="BB468" i="76"/>
  <c r="BD249" i="76"/>
  <c r="U810" i="76"/>
  <c r="V548" i="76"/>
  <c r="BD311" i="76"/>
  <c r="BD625" i="76"/>
  <c r="W429" i="76"/>
  <c r="W688" i="76"/>
  <c r="BB546" i="76"/>
  <c r="BF347" i="76"/>
  <c r="BE716" i="76"/>
  <c r="BC773" i="76"/>
  <c r="BA520" i="76"/>
  <c r="X608" i="76"/>
  <c r="BE665" i="76"/>
  <c r="BA434" i="76"/>
  <c r="BC816" i="76"/>
  <c r="W1057" i="76"/>
  <c r="T134" i="76"/>
  <c r="BB196" i="76"/>
  <c r="BB161" i="76"/>
  <c r="BA504" i="76"/>
  <c r="V650" i="76"/>
  <c r="Y282" i="76"/>
  <c r="BD549" i="76"/>
  <c r="BB173" i="76"/>
  <c r="BF825" i="76"/>
  <c r="V945" i="76"/>
  <c r="T770" i="76"/>
  <c r="X876" i="76"/>
  <c r="BC309" i="76"/>
  <c r="U813" i="76"/>
  <c r="U929" i="76"/>
  <c r="T989" i="76"/>
  <c r="U599" i="76"/>
  <c r="T229" i="76"/>
  <c r="V772" i="76"/>
  <c r="BA962" i="76"/>
  <c r="Y458" i="76"/>
  <c r="BD853" i="76"/>
  <c r="T149" i="76"/>
  <c r="BC124" i="76"/>
  <c r="X105" i="76"/>
  <c r="U372" i="76"/>
  <c r="BC521" i="76"/>
  <c r="Y914" i="76"/>
  <c r="BD646" i="76"/>
  <c r="Y403" i="76"/>
  <c r="BF320" i="76"/>
  <c r="BE254" i="76"/>
  <c r="BE417" i="76"/>
  <c r="V570" i="76"/>
  <c r="BE1008" i="76"/>
  <c r="BA817" i="76"/>
  <c r="T707" i="76"/>
  <c r="BE775" i="76"/>
  <c r="Y523" i="76"/>
  <c r="T805" i="76"/>
  <c r="BC589" i="76"/>
  <c r="X471" i="76"/>
  <c r="W421" i="76"/>
  <c r="W455" i="76"/>
  <c r="W716" i="76"/>
  <c r="BD326" i="76"/>
  <c r="BA599" i="76"/>
  <c r="T837" i="76"/>
  <c r="BB664" i="76"/>
  <c r="BE303" i="76"/>
  <c r="BB712" i="76"/>
  <c r="BD756" i="76"/>
  <c r="Y202" i="76"/>
  <c r="BD168" i="76"/>
  <c r="U234" i="76"/>
  <c r="BF715" i="76"/>
  <c r="U869" i="76"/>
  <c r="BA70" i="76"/>
  <c r="U170" i="76"/>
  <c r="BB669" i="76"/>
  <c r="U525" i="76"/>
  <c r="BB774" i="76"/>
  <c r="Y160" i="76"/>
  <c r="BA288" i="76"/>
  <c r="X140" i="76"/>
  <c r="BA395" i="76"/>
  <c r="U334" i="76"/>
  <c r="BE891" i="76"/>
  <c r="BB115" i="76"/>
  <c r="T430" i="76"/>
  <c r="BB266" i="76"/>
  <c r="BB696" i="76"/>
  <c r="BF765" i="76"/>
  <c r="Y499" i="76"/>
  <c r="T1063" i="76"/>
  <c r="BC954" i="76"/>
  <c r="BA875" i="76"/>
  <c r="BF424" i="76"/>
  <c r="T735" i="76"/>
  <c r="BE186" i="76"/>
  <c r="T297" i="76"/>
  <c r="W307" i="76"/>
  <c r="BF142" i="76"/>
  <c r="W334" i="76"/>
  <c r="BD686" i="76"/>
  <c r="Y260" i="76"/>
  <c r="T462" i="76"/>
  <c r="BF866" i="76"/>
  <c r="T109" i="76"/>
  <c r="BD133" i="76"/>
  <c r="Y215" i="76"/>
  <c r="BC315" i="76"/>
  <c r="Y1044" i="76"/>
  <c r="Y836" i="76"/>
  <c r="X727" i="76"/>
  <c r="T672" i="76"/>
  <c r="V329" i="76"/>
  <c r="U403" i="76"/>
  <c r="T474" i="76"/>
  <c r="V1007" i="76"/>
  <c r="U70" i="76"/>
  <c r="T414" i="76"/>
  <c r="U565" i="76"/>
  <c r="BE675" i="76"/>
  <c r="BE405" i="76"/>
  <c r="BB543" i="76"/>
  <c r="BF158" i="76"/>
  <c r="BB1060" i="76"/>
  <c r="V382" i="76"/>
  <c r="BD1016" i="76"/>
  <c r="BB396" i="76"/>
  <c r="BD401" i="76"/>
  <c r="BF709" i="76"/>
  <c r="W445" i="76"/>
  <c r="BA831" i="76"/>
  <c r="X158" i="76"/>
  <c r="V111" i="76"/>
  <c r="BD340" i="76"/>
  <c r="W130" i="76"/>
  <c r="W338" i="76"/>
  <c r="BD451" i="76"/>
  <c r="BC542" i="76"/>
  <c r="BB948" i="76"/>
  <c r="Y423" i="76"/>
  <c r="U507" i="76"/>
  <c r="BF1068" i="76"/>
  <c r="BA499" i="76"/>
  <c r="BB905" i="76"/>
  <c r="U554" i="76"/>
  <c r="Y665" i="76"/>
  <c r="BE785" i="76"/>
  <c r="BC699" i="76"/>
  <c r="BD933" i="76"/>
  <c r="BC1042" i="76"/>
  <c r="T261" i="76"/>
  <c r="V810" i="76"/>
  <c r="BE157" i="76"/>
  <c r="X477" i="76"/>
  <c r="BC803" i="76"/>
  <c r="U379" i="76"/>
  <c r="BA719" i="76"/>
  <c r="BE494" i="76"/>
  <c r="BA492" i="76"/>
  <c r="BB692" i="76"/>
  <c r="T1040" i="76"/>
  <c r="BF368" i="76"/>
  <c r="V97" i="76"/>
  <c r="T569" i="76"/>
  <c r="BA633" i="76"/>
  <c r="BA791" i="76"/>
  <c r="BB600" i="76"/>
  <c r="BB705" i="76"/>
  <c r="BC287" i="76"/>
  <c r="BB77" i="76"/>
  <c r="T374" i="76"/>
  <c r="T301" i="76"/>
  <c r="V260" i="76"/>
  <c r="V389" i="76"/>
  <c r="U843" i="76"/>
  <c r="T856" i="76"/>
  <c r="T378" i="76"/>
  <c r="BD131" i="76"/>
  <c r="W753" i="76"/>
  <c r="U469" i="76"/>
  <c r="V467" i="76"/>
  <c r="T766" i="76"/>
  <c r="V428" i="76"/>
  <c r="Y596" i="76"/>
  <c r="T530" i="76"/>
  <c r="V103" i="76"/>
  <c r="T166" i="76"/>
  <c r="W117" i="76"/>
  <c r="T154" i="76"/>
  <c r="U152" i="76"/>
  <c r="K118" i="19"/>
  <c r="K213" i="19"/>
  <c r="K220" i="19"/>
  <c r="H136" i="12"/>
  <c r="E29" i="28" s="1"/>
  <c r="E49" i="28" s="1"/>
  <c r="D35" i="17"/>
  <c r="E35" i="17" s="1"/>
  <c r="F136" i="12"/>
  <c r="C29" i="28" s="1"/>
  <c r="C49" i="28" s="1"/>
  <c r="G25" i="76"/>
  <c r="T25" i="76" s="1"/>
  <c r="Q86" i="32"/>
  <c r="F187" i="32" s="1"/>
  <c r="D34" i="38"/>
  <c r="Q98" i="32"/>
  <c r="F252" i="32" s="1"/>
  <c r="Q92" i="32"/>
  <c r="F219" i="32" s="1"/>
  <c r="Q79" i="32"/>
  <c r="F143" i="32" s="1"/>
  <c r="Q83" i="32"/>
  <c r="F171" i="32" s="1"/>
  <c r="Q87" i="32"/>
  <c r="F194" i="32" s="1"/>
  <c r="Q75" i="17"/>
  <c r="F124" i="17" s="1"/>
  <c r="Q100" i="32"/>
  <c r="F266" i="32" s="1"/>
  <c r="Q99" i="17"/>
  <c r="F259" i="17" s="1"/>
  <c r="Q76" i="32"/>
  <c r="F133" i="32" s="1"/>
  <c r="C51" i="25"/>
  <c r="R24" i="76"/>
  <c r="Q104" i="17"/>
  <c r="F289" i="17" s="1"/>
  <c r="Q89" i="17"/>
  <c r="F208" i="17" s="1"/>
  <c r="Q86" i="17"/>
  <c r="F187" i="17" s="1"/>
  <c r="N128" i="20"/>
  <c r="N141" i="20" s="1"/>
  <c r="N161" i="20" s="1"/>
  <c r="K41" i="82" s="1"/>
  <c r="Q103" i="32"/>
  <c r="F282" i="32" s="1"/>
  <c r="Q102" i="32"/>
  <c r="F275" i="32" s="1"/>
  <c r="Q81" i="32"/>
  <c r="F157" i="32" s="1"/>
  <c r="C51" i="38"/>
  <c r="Q81" i="17"/>
  <c r="F157" i="17" s="1"/>
  <c r="Q83" i="17"/>
  <c r="F171" i="17" s="1"/>
  <c r="Q82" i="17"/>
  <c r="F164" i="17" s="1"/>
  <c r="Q106" i="17"/>
  <c r="F303" i="17" s="1"/>
  <c r="F24" i="76"/>
  <c r="S24" i="76" s="1"/>
  <c r="Q92" i="17"/>
  <c r="F219" i="17" s="1"/>
  <c r="Q76" i="17"/>
  <c r="F133" i="17" s="1"/>
  <c r="Q97" i="17"/>
  <c r="F245" i="17" s="1"/>
  <c r="Q104" i="32"/>
  <c r="F289" i="32" s="1"/>
  <c r="Q82" i="32"/>
  <c r="F164" i="32" s="1"/>
  <c r="Q89" i="32"/>
  <c r="F208" i="32" s="1"/>
  <c r="Q80" i="17"/>
  <c r="F150" i="17" s="1"/>
  <c r="Q105" i="17"/>
  <c r="F296" i="17" s="1"/>
  <c r="Q85" i="17"/>
  <c r="F180" i="17" s="1"/>
  <c r="Q79" i="17"/>
  <c r="F143" i="17" s="1"/>
  <c r="Q105" i="32"/>
  <c r="F296" i="32" s="1"/>
  <c r="Q80" i="32"/>
  <c r="F150" i="32" s="1"/>
  <c r="Q106" i="32"/>
  <c r="F303" i="32" s="1"/>
  <c r="Q88" i="32"/>
  <c r="F201" i="32" s="1"/>
  <c r="Q102" i="17"/>
  <c r="F275" i="17" s="1"/>
  <c r="Q93" i="17"/>
  <c r="F228" i="17" s="1"/>
  <c r="Q98" i="17"/>
  <c r="F252" i="17" s="1"/>
  <c r="Q108" i="17"/>
  <c r="F312" i="17" s="1"/>
  <c r="Q87" i="17"/>
  <c r="F194" i="17" s="1"/>
  <c r="Q99" i="32"/>
  <c r="F259" i="32" s="1"/>
  <c r="Q85" i="32"/>
  <c r="F180" i="32" s="1"/>
  <c r="Q93" i="32"/>
  <c r="F228" i="32" s="1"/>
  <c r="Q97" i="32"/>
  <c r="F245" i="32" s="1"/>
  <c r="Q108" i="32"/>
  <c r="F312" i="32" s="1"/>
  <c r="Q96" i="32"/>
  <c r="F238" i="32" s="1"/>
  <c r="AW156" i="18"/>
  <c r="AW87" i="18"/>
  <c r="H60" i="83" s="1"/>
  <c r="AW15" i="18"/>
  <c r="L148" i="20"/>
  <c r="K169" i="19"/>
  <c r="F66" i="12"/>
  <c r="C29" i="17" s="1"/>
  <c r="C49" i="17" s="1"/>
  <c r="B24" i="40"/>
  <c r="K264" i="19"/>
  <c r="F34" i="38"/>
  <c r="K162" i="19"/>
  <c r="K148" i="19"/>
  <c r="D49" i="28"/>
  <c r="D47" i="28"/>
  <c r="C47" i="28"/>
  <c r="C49" i="25"/>
  <c r="B24" i="23"/>
  <c r="D33" i="25"/>
  <c r="D53" i="25" s="1"/>
  <c r="K257" i="19"/>
  <c r="G98" i="12"/>
  <c r="D31" i="38" s="1"/>
  <c r="D51" i="38" s="1"/>
  <c r="C34" i="38"/>
  <c r="C35" i="38" s="1"/>
  <c r="K243" i="19"/>
  <c r="I110" i="12"/>
  <c r="F33" i="32" s="1"/>
  <c r="P87" i="32" s="1"/>
  <c r="F193" i="32" s="1"/>
  <c r="AX87" i="18"/>
  <c r="I60" i="83" s="1"/>
  <c r="AX15" i="18"/>
  <c r="AX156" i="18"/>
  <c r="F30" i="17"/>
  <c r="Y45" i="18" s="1"/>
  <c r="AX119" i="18" s="1"/>
  <c r="S75" i="85" s="1"/>
  <c r="I70" i="12"/>
  <c r="F33" i="17" s="1"/>
  <c r="V129" i="20"/>
  <c r="T149" i="20"/>
  <c r="K250" i="19"/>
  <c r="C47" i="32"/>
  <c r="C20" i="32" s="1"/>
  <c r="R30" i="82"/>
  <c r="U30" i="82" s="1"/>
  <c r="V150" i="20"/>
  <c r="D35" i="32"/>
  <c r="E35" i="32" s="1"/>
  <c r="B54" i="12"/>
  <c r="J47" i="12" s="1"/>
  <c r="BB4" i="18"/>
  <c r="G141" i="20"/>
  <c r="G161" i="20" s="1"/>
  <c r="B244" i="89"/>
  <c r="K199" i="19"/>
  <c r="B24" i="89"/>
  <c r="K236" i="19"/>
  <c r="B163" i="89"/>
  <c r="B164" i="89" s="1"/>
  <c r="K227" i="19"/>
  <c r="M128" i="20"/>
  <c r="M152" i="20"/>
  <c r="R141" i="14"/>
  <c r="B281" i="23"/>
  <c r="K125" i="19"/>
  <c r="B24" i="32"/>
  <c r="B24" i="38"/>
  <c r="B26" i="25"/>
  <c r="B24" i="30"/>
  <c r="Y236" i="23"/>
  <c r="B24" i="28"/>
  <c r="B20" i="38"/>
  <c r="Z179" i="17"/>
  <c r="B20" i="17"/>
  <c r="B20" i="32"/>
  <c r="D35" i="23"/>
  <c r="C49" i="23"/>
  <c r="C47" i="23"/>
  <c r="D35" i="40"/>
  <c r="C47" i="40"/>
  <c r="C49" i="40"/>
  <c r="B20" i="89"/>
  <c r="S206" i="23"/>
  <c r="B20" i="28"/>
  <c r="B20" i="40"/>
  <c r="B281" i="89"/>
  <c r="S264" i="23"/>
  <c r="S169" i="23"/>
  <c r="B20" i="14"/>
  <c r="D35" i="89"/>
  <c r="C49" i="89"/>
  <c r="C47" i="89"/>
  <c r="O148" i="20"/>
  <c r="L28" i="82" s="1"/>
  <c r="O141" i="20"/>
  <c r="O161" i="20" s="1"/>
  <c r="L41" i="82" s="1"/>
  <c r="B22" i="25"/>
  <c r="B20" i="30"/>
  <c r="AA133" i="17"/>
  <c r="B20" i="23"/>
  <c r="S206" i="32"/>
  <c r="AA15" i="65"/>
  <c r="AA25" i="65"/>
  <c r="D35" i="30"/>
  <c r="C47" i="30"/>
  <c r="C49" i="30"/>
  <c r="T302" i="23"/>
  <c r="Y162" i="23"/>
  <c r="T206" i="23"/>
  <c r="I132" i="12"/>
  <c r="I142" i="12" s="1"/>
  <c r="I122" i="12"/>
  <c r="Y280" i="23"/>
  <c r="Y250" i="23"/>
  <c r="J122" i="12"/>
  <c r="J132" i="12"/>
  <c r="J142" i="12" s="1"/>
  <c r="Y111" i="14"/>
  <c r="R175" i="14"/>
  <c r="R270" i="14"/>
  <c r="R307" i="14"/>
  <c r="R308" i="14"/>
  <c r="R167" i="14"/>
  <c r="R236" i="14"/>
  <c r="R299" i="14"/>
  <c r="R262" i="14"/>
  <c r="R204" i="14"/>
  <c r="R205" i="14"/>
  <c r="R300" i="14"/>
  <c r="R168" i="14"/>
  <c r="R263" i="14"/>
  <c r="B149" i="89"/>
  <c r="Y141" i="23"/>
  <c r="Y257" i="23"/>
  <c r="Y294" i="23"/>
  <c r="S206" i="30"/>
  <c r="X130" i="25"/>
  <c r="X244" i="25"/>
  <c r="X121" i="25"/>
  <c r="X237" i="25"/>
  <c r="X168" i="25"/>
  <c r="X142" i="25"/>
  <c r="X163" i="25"/>
  <c r="X132" i="25"/>
  <c r="X169" i="25"/>
  <c r="X193" i="25"/>
  <c r="X200" i="25"/>
  <c r="X258" i="25"/>
  <c r="X225" i="25"/>
  <c r="X263" i="25"/>
  <c r="X288" i="25"/>
  <c r="X123" i="25"/>
  <c r="X205" i="25"/>
  <c r="X300" i="25"/>
  <c r="X156" i="25"/>
  <c r="X274" i="25"/>
  <c r="X216" i="25"/>
  <c r="X264" i="25"/>
  <c r="X206" i="25"/>
  <c r="X301" i="25"/>
  <c r="X179" i="25"/>
  <c r="X186" i="25"/>
  <c r="X281" i="25"/>
  <c r="X149" i="25"/>
  <c r="X227" i="25"/>
  <c r="X218" i="25"/>
  <c r="X251" i="25"/>
  <c r="X295" i="25"/>
  <c r="R8" i="82"/>
  <c r="R25" i="82"/>
  <c r="R300" i="28"/>
  <c r="R236" i="28"/>
  <c r="R205" i="28"/>
  <c r="R204" i="28"/>
  <c r="R175" i="28"/>
  <c r="Y111" i="28"/>
  <c r="R168" i="28"/>
  <c r="R262" i="28"/>
  <c r="R263" i="28"/>
  <c r="R270" i="28"/>
  <c r="R299" i="28"/>
  <c r="R167" i="28"/>
  <c r="R141" i="28"/>
  <c r="M113" i="25"/>
  <c r="T113" i="25" s="1"/>
  <c r="S113" i="25"/>
  <c r="B179" i="89"/>
  <c r="B207" i="89"/>
  <c r="X177" i="28"/>
  <c r="X204" i="28"/>
  <c r="X235" i="28"/>
  <c r="X147" i="28"/>
  <c r="X119" i="28"/>
  <c r="X298" i="28"/>
  <c r="X223" i="28"/>
  <c r="X214" i="28"/>
  <c r="X154" i="28"/>
  <c r="X140" i="28"/>
  <c r="X161" i="28"/>
  <c r="X262" i="28"/>
  <c r="X279" i="28"/>
  <c r="X166" i="28"/>
  <c r="X167" i="28"/>
  <c r="X272" i="28"/>
  <c r="X286" i="28"/>
  <c r="X256" i="28"/>
  <c r="X293" i="28"/>
  <c r="X299" i="28"/>
  <c r="X191" i="28"/>
  <c r="X128" i="28"/>
  <c r="X261" i="28"/>
  <c r="X130" i="28"/>
  <c r="X225" i="28"/>
  <c r="X184" i="28"/>
  <c r="X203" i="28"/>
  <c r="X242" i="28"/>
  <c r="X216" i="28"/>
  <c r="X198" i="28"/>
  <c r="X249" i="28"/>
  <c r="X121" i="28"/>
  <c r="Y287" i="23"/>
  <c r="Y185" i="23"/>
  <c r="Y131" i="23"/>
  <c r="R264" i="25"/>
  <c r="R206" i="25"/>
  <c r="Y113" i="25"/>
  <c r="R272" i="25"/>
  <c r="R169" i="25"/>
  <c r="R177" i="25"/>
  <c r="R301" i="25"/>
  <c r="R170" i="25"/>
  <c r="R207" i="25"/>
  <c r="R302" i="25"/>
  <c r="R238" i="25"/>
  <c r="R143" i="25"/>
  <c r="R265" i="25"/>
  <c r="U107" i="20"/>
  <c r="R50" i="2"/>
  <c r="U3" i="20"/>
  <c r="B193" i="89"/>
  <c r="B132" i="89"/>
  <c r="X161" i="14"/>
  <c r="X184" i="14"/>
  <c r="X119" i="14"/>
  <c r="X203" i="14"/>
  <c r="X191" i="14"/>
  <c r="X128" i="14"/>
  <c r="X261" i="14"/>
  <c r="X286" i="14"/>
  <c r="X214" i="14"/>
  <c r="X256" i="14"/>
  <c r="X242" i="14"/>
  <c r="X166" i="14"/>
  <c r="X121" i="14"/>
  <c r="X298" i="14"/>
  <c r="X154" i="14"/>
  <c r="X223" i="14"/>
  <c r="X235" i="14"/>
  <c r="X167" i="14"/>
  <c r="X225" i="14"/>
  <c r="X216" i="14"/>
  <c r="X204" i="14"/>
  <c r="X262" i="14"/>
  <c r="X299" i="14"/>
  <c r="X249" i="14"/>
  <c r="X147" i="14"/>
  <c r="X198" i="14"/>
  <c r="X279" i="14"/>
  <c r="X177" i="14"/>
  <c r="X130" i="14"/>
  <c r="X140" i="14"/>
  <c r="X272" i="14"/>
  <c r="X293" i="14"/>
  <c r="Y148" i="23"/>
  <c r="Y192" i="23"/>
  <c r="Y243" i="23"/>
  <c r="Z244" i="17"/>
  <c r="S111" i="28"/>
  <c r="M111" i="28"/>
  <c r="T111" i="28" s="1"/>
  <c r="M111" i="14"/>
  <c r="T111" i="14" s="1"/>
  <c r="S111" i="14"/>
  <c r="Y236" i="32"/>
  <c r="AA259" i="17"/>
  <c r="Z111" i="32"/>
  <c r="Z295" i="32" s="1"/>
  <c r="S166" i="32"/>
  <c r="S182" i="32"/>
  <c r="S261" i="32"/>
  <c r="S142" i="32"/>
  <c r="S270" i="32"/>
  <c r="S203" i="32"/>
  <c r="S298" i="32"/>
  <c r="S277" i="32"/>
  <c r="S175" i="32"/>
  <c r="S168" i="32"/>
  <c r="S271" i="32"/>
  <c r="S263" i="32"/>
  <c r="S176" i="32"/>
  <c r="S300" i="32"/>
  <c r="S264" i="32"/>
  <c r="S205" i="32"/>
  <c r="S169" i="32"/>
  <c r="B180" i="14"/>
  <c r="B282" i="14"/>
  <c r="T238" i="17"/>
  <c r="AA238" i="17"/>
  <c r="B157" i="89"/>
  <c r="B201" i="14"/>
  <c r="B133" i="14"/>
  <c r="Y128" i="30"/>
  <c r="Y243" i="30"/>
  <c r="Y262" i="30"/>
  <c r="Y214" i="30"/>
  <c r="Y236" i="30"/>
  <c r="Y131" i="30"/>
  <c r="Y250" i="30"/>
  <c r="Y192" i="30"/>
  <c r="Y129" i="30"/>
  <c r="Y119" i="30"/>
  <c r="Y204" i="30"/>
  <c r="Y141" i="30"/>
  <c r="Y299" i="30"/>
  <c r="Y167" i="30"/>
  <c r="Y122" i="30"/>
  <c r="Y120" i="30"/>
  <c r="Y223" i="30"/>
  <c r="Y263" i="30"/>
  <c r="Y300" i="30"/>
  <c r="Y148" i="30"/>
  <c r="Y185" i="30"/>
  <c r="Y162" i="30"/>
  <c r="Y294" i="30"/>
  <c r="Y273" i="30"/>
  <c r="Y287" i="30"/>
  <c r="Y168" i="30"/>
  <c r="Y205" i="30"/>
  <c r="Y257" i="30"/>
  <c r="Y215" i="30"/>
  <c r="Y224" i="30"/>
  <c r="Y155" i="30"/>
  <c r="Y199" i="30"/>
  <c r="Y280" i="30"/>
  <c r="Y217" i="30"/>
  <c r="Y226" i="30"/>
  <c r="Y178" i="30"/>
  <c r="T206" i="32"/>
  <c r="Y273" i="32"/>
  <c r="Y178" i="32"/>
  <c r="Y280" i="32"/>
  <c r="Y287" i="32"/>
  <c r="AA228" i="17"/>
  <c r="AA215" i="17"/>
  <c r="AA166" i="17"/>
  <c r="AA296" i="17"/>
  <c r="AA224" i="17"/>
  <c r="AA120" i="17"/>
  <c r="AA226" i="17"/>
  <c r="AA204" i="17"/>
  <c r="AA119" i="17"/>
  <c r="AA203" i="17"/>
  <c r="AA206" i="17"/>
  <c r="AA261" i="17"/>
  <c r="AA169" i="17"/>
  <c r="AA225" i="17"/>
  <c r="AA262" i="17"/>
  <c r="AA214" i="17"/>
  <c r="AA167" i="17"/>
  <c r="AA121" i="17"/>
  <c r="AA299" i="17"/>
  <c r="AA207" i="17"/>
  <c r="AA298" i="17"/>
  <c r="AA264" i="17"/>
  <c r="AA223" i="17"/>
  <c r="AA128" i="17"/>
  <c r="AA265" i="17"/>
  <c r="AA282" i="17"/>
  <c r="AA301" i="17"/>
  <c r="AA170" i="17"/>
  <c r="AA302" i="17"/>
  <c r="AA129" i="17"/>
  <c r="AA216" i="17"/>
  <c r="AA275" i="17"/>
  <c r="AA122" i="17"/>
  <c r="AA187" i="17"/>
  <c r="AA217" i="17"/>
  <c r="AA130" i="17"/>
  <c r="AA150" i="17"/>
  <c r="AA143" i="17"/>
  <c r="AA157" i="17"/>
  <c r="AA131" i="17"/>
  <c r="AA124" i="17"/>
  <c r="AA201" i="17"/>
  <c r="T261" i="32"/>
  <c r="T166" i="32"/>
  <c r="T182" i="32"/>
  <c r="T183" i="32"/>
  <c r="AA111" i="32"/>
  <c r="AA164" i="32" s="1"/>
  <c r="T203" i="32"/>
  <c r="T298" i="32"/>
  <c r="T277" i="32"/>
  <c r="T143" i="32"/>
  <c r="T262" i="32"/>
  <c r="T175" i="32"/>
  <c r="T167" i="32"/>
  <c r="T270" i="32"/>
  <c r="T271" i="32"/>
  <c r="T299" i="32"/>
  <c r="T204" i="32"/>
  <c r="T176" i="32"/>
  <c r="T278" i="32"/>
  <c r="T169" i="32"/>
  <c r="T264" i="32"/>
  <c r="T177" i="32"/>
  <c r="T272" i="32"/>
  <c r="F11" i="14"/>
  <c r="AA252" i="17"/>
  <c r="T175" i="23"/>
  <c r="AA111" i="23"/>
  <c r="AA207" i="23" s="1"/>
  <c r="T270" i="23"/>
  <c r="T298" i="23"/>
  <c r="T203" i="23"/>
  <c r="T176" i="23"/>
  <c r="T271" i="23"/>
  <c r="T261" i="23"/>
  <c r="T299" i="23"/>
  <c r="T277" i="23"/>
  <c r="T182" i="23"/>
  <c r="T166" i="23"/>
  <c r="T167" i="23"/>
  <c r="T177" i="23"/>
  <c r="T262" i="23"/>
  <c r="T183" i="23"/>
  <c r="T278" i="23"/>
  <c r="T272" i="23"/>
  <c r="T204" i="23"/>
  <c r="T301" i="23"/>
  <c r="AA245" i="17"/>
  <c r="Z166" i="17"/>
  <c r="Z215" i="17"/>
  <c r="Z227" i="17"/>
  <c r="Z214" i="17"/>
  <c r="Z274" i="17"/>
  <c r="Z128" i="17"/>
  <c r="Z203" i="17"/>
  <c r="Z263" i="17"/>
  <c r="Z225" i="17"/>
  <c r="Z168" i="17"/>
  <c r="Z119" i="17"/>
  <c r="Z206" i="17"/>
  <c r="Z205" i="17"/>
  <c r="Z224" i="17"/>
  <c r="Z120" i="17"/>
  <c r="Z298" i="17"/>
  <c r="Z261" i="17"/>
  <c r="Z295" i="17"/>
  <c r="Z264" i="17"/>
  <c r="Z300" i="17"/>
  <c r="Z223" i="17"/>
  <c r="Z169" i="17"/>
  <c r="Z121" i="17"/>
  <c r="Z281" i="17"/>
  <c r="Z301" i="17"/>
  <c r="Z186" i="17"/>
  <c r="Z216" i="17"/>
  <c r="Z149" i="17"/>
  <c r="Z142" i="17"/>
  <c r="Z129" i="17"/>
  <c r="Z156" i="17"/>
  <c r="Z123" i="17"/>
  <c r="Z200" i="17"/>
  <c r="Z130" i="17"/>
  <c r="Z288" i="17"/>
  <c r="Z163" i="17"/>
  <c r="Z218" i="17"/>
  <c r="Z193" i="17"/>
  <c r="B171" i="89"/>
  <c r="B152" i="25"/>
  <c r="T206" i="30"/>
  <c r="T301" i="32"/>
  <c r="Y192" i="32"/>
  <c r="AA164" i="17"/>
  <c r="AA219" i="17"/>
  <c r="AA289" i="17"/>
  <c r="Z251" i="17"/>
  <c r="D208" i="17"/>
  <c r="T207" i="17"/>
  <c r="T271" i="30"/>
  <c r="T277" i="30"/>
  <c r="T167" i="30"/>
  <c r="T183" i="30"/>
  <c r="T238" i="30"/>
  <c r="T265" i="30"/>
  <c r="T175" i="30"/>
  <c r="T182" i="30"/>
  <c r="T270" i="30"/>
  <c r="T166" i="30"/>
  <c r="T261" i="30"/>
  <c r="T262" i="30"/>
  <c r="T299" i="30"/>
  <c r="T298" i="30"/>
  <c r="AA111" i="30"/>
  <c r="AA180" i="30" s="1"/>
  <c r="T264" i="30"/>
  <c r="T203" i="30"/>
  <c r="T272" i="30"/>
  <c r="T278" i="30"/>
  <c r="T176" i="30"/>
  <c r="T204" i="30"/>
  <c r="T169" i="30"/>
  <c r="T177" i="30"/>
  <c r="T143" i="30"/>
  <c r="T301" i="30"/>
  <c r="T170" i="30"/>
  <c r="AA180" i="17"/>
  <c r="Y257" i="32"/>
  <c r="Y199" i="32"/>
  <c r="Y185" i="32"/>
  <c r="Y119" i="32"/>
  <c r="Y141" i="32"/>
  <c r="Y168" i="32"/>
  <c r="Y167" i="32"/>
  <c r="Y250" i="32"/>
  <c r="Y120" i="32"/>
  <c r="Y214" i="32"/>
  <c r="Y148" i="32"/>
  <c r="Y128" i="32"/>
  <c r="Y223" i="32"/>
  <c r="Y262" i="32"/>
  <c r="Y263" i="32"/>
  <c r="Y299" i="32"/>
  <c r="Y204" i="32"/>
  <c r="Y215" i="32"/>
  <c r="Y129" i="32"/>
  <c r="Y224" i="32"/>
  <c r="Y162" i="32"/>
  <c r="Y300" i="32"/>
  <c r="Y205" i="32"/>
  <c r="Y243" i="32"/>
  <c r="Y122" i="32"/>
  <c r="D208" i="30"/>
  <c r="T207" i="30"/>
  <c r="B298" i="25"/>
  <c r="B189" i="25"/>
  <c r="D303" i="14"/>
  <c r="B171" i="14"/>
  <c r="D305" i="25"/>
  <c r="S182" i="23"/>
  <c r="S175" i="23"/>
  <c r="Z111" i="23"/>
  <c r="Z251" i="23" s="1"/>
  <c r="S298" i="23"/>
  <c r="S270" i="23"/>
  <c r="S277" i="23"/>
  <c r="S271" i="23"/>
  <c r="S203" i="23"/>
  <c r="S166" i="23"/>
  <c r="S176" i="23"/>
  <c r="S261" i="23"/>
  <c r="S300" i="23"/>
  <c r="S205" i="23"/>
  <c r="S263" i="23"/>
  <c r="S301" i="23"/>
  <c r="S168" i="23"/>
  <c r="B266" i="14"/>
  <c r="B284" i="25"/>
  <c r="B150" i="14"/>
  <c r="T302" i="30"/>
  <c r="S301" i="32"/>
  <c r="Y294" i="32"/>
  <c r="T265" i="32"/>
  <c r="Y217" i="32"/>
  <c r="Y226" i="32"/>
  <c r="Y155" i="32"/>
  <c r="B303" i="14"/>
  <c r="B275" i="14"/>
  <c r="B143" i="14"/>
  <c r="D210" i="25"/>
  <c r="B296" i="14"/>
  <c r="B254" i="25"/>
  <c r="S264" i="30"/>
  <c r="S261" i="30"/>
  <c r="S182" i="30"/>
  <c r="Z111" i="30"/>
  <c r="S270" i="30"/>
  <c r="S237" i="30"/>
  <c r="S298" i="30"/>
  <c r="S166" i="30"/>
  <c r="S271" i="30"/>
  <c r="S263" i="30"/>
  <c r="S175" i="30"/>
  <c r="S277" i="30"/>
  <c r="S168" i="30"/>
  <c r="S203" i="30"/>
  <c r="S176" i="30"/>
  <c r="S169" i="30"/>
  <c r="S142" i="30"/>
  <c r="S300" i="30"/>
  <c r="S205" i="30"/>
  <c r="S301" i="30"/>
  <c r="Y299" i="23"/>
  <c r="Y214" i="23"/>
  <c r="Y217" i="23"/>
  <c r="Y119" i="23"/>
  <c r="Y226" i="23"/>
  <c r="Y300" i="23"/>
  <c r="Y120" i="23"/>
  <c r="Y224" i="23"/>
  <c r="Y215" i="23"/>
  <c r="Y223" i="23"/>
  <c r="Y273" i="23"/>
  <c r="Y178" i="23"/>
  <c r="Y128" i="23"/>
  <c r="Y262" i="23"/>
  <c r="Y204" i="23"/>
  <c r="Y167" i="23"/>
  <c r="Y155" i="23"/>
  <c r="Y129" i="23"/>
  <c r="Y205" i="23"/>
  <c r="Y122" i="23"/>
  <c r="Y199" i="23"/>
  <c r="Y263" i="23"/>
  <c r="Y168" i="23"/>
  <c r="G8" i="30"/>
  <c r="G7" i="30" s="1"/>
  <c r="G8" i="25"/>
  <c r="U16" i="20"/>
  <c r="G8" i="23"/>
  <c r="G8" i="38"/>
  <c r="G8" i="32"/>
  <c r="T137" i="19"/>
  <c r="T109" i="19"/>
  <c r="AA77" i="19"/>
  <c r="T264" i="19"/>
  <c r="T237" i="19"/>
  <c r="T156" i="19"/>
  <c r="T246" i="19"/>
  <c r="T200" i="19"/>
  <c r="T127" i="19"/>
  <c r="T240" i="19"/>
  <c r="M240" i="19" s="1"/>
  <c r="T253" i="19"/>
  <c r="T203" i="19"/>
  <c r="M203" i="19" s="1"/>
  <c r="T141" i="19"/>
  <c r="T169" i="19"/>
  <c r="T148" i="19"/>
  <c r="T126" i="19"/>
  <c r="T133" i="19"/>
  <c r="T106" i="19"/>
  <c r="T229" i="19"/>
  <c r="T107" i="19"/>
  <c r="T216" i="19"/>
  <c r="T136" i="19"/>
  <c r="M136" i="19" s="1"/>
  <c r="T269" i="19"/>
  <c r="T122" i="19"/>
  <c r="M122" i="19" s="1"/>
  <c r="T108" i="19"/>
  <c r="M108" i="19" s="1"/>
  <c r="T241" i="19"/>
  <c r="T232" i="19"/>
  <c r="T244" i="19"/>
  <c r="T257" i="19"/>
  <c r="T132" i="19"/>
  <c r="T213" i="19"/>
  <c r="T163" i="19"/>
  <c r="T170" i="19"/>
  <c r="T247" i="19"/>
  <c r="M247" i="19" s="1"/>
  <c r="T157" i="19"/>
  <c r="T151" i="19"/>
  <c r="T172" i="19"/>
  <c r="T158" i="19"/>
  <c r="T121" i="19"/>
  <c r="T210" i="19"/>
  <c r="M210" i="19" s="1"/>
  <c r="T268" i="19"/>
  <c r="M268" i="19" s="1"/>
  <c r="T261" i="19"/>
  <c r="M261" i="19" s="1"/>
  <c r="T167" i="19"/>
  <c r="T111" i="19"/>
  <c r="T125" i="19"/>
  <c r="T220" i="19"/>
  <c r="T206" i="19"/>
  <c r="T258" i="19"/>
  <c r="T105" i="19"/>
  <c r="T201" i="19"/>
  <c r="T134" i="19"/>
  <c r="T171" i="19"/>
  <c r="T128" i="19"/>
  <c r="T165" i="19"/>
  <c r="T173" i="19"/>
  <c r="M173" i="19" s="1"/>
  <c r="T224" i="19"/>
  <c r="M224" i="19" s="1"/>
  <c r="T118" i="19"/>
  <c r="T104" i="19"/>
  <c r="T214" i="19"/>
  <c r="T143" i="19"/>
  <c r="T208" i="19"/>
  <c r="T209" i="19"/>
  <c r="T217" i="19"/>
  <c r="M217" i="19" s="1"/>
  <c r="T155" i="19"/>
  <c r="T150" i="19"/>
  <c r="T135" i="19"/>
  <c r="T239" i="19"/>
  <c r="T260" i="19"/>
  <c r="T218" i="19"/>
  <c r="T231" i="19"/>
  <c r="M231" i="19" s="1"/>
  <c r="T236" i="19"/>
  <c r="T112" i="19"/>
  <c r="T119" i="19"/>
  <c r="T228" i="19"/>
  <c r="T252" i="19"/>
  <c r="T174" i="19"/>
  <c r="T145" i="19"/>
  <c r="M145" i="19" s="1"/>
  <c r="T146" i="19"/>
  <c r="T199" i="19"/>
  <c r="T221" i="19"/>
  <c r="T142" i="19"/>
  <c r="T259" i="19"/>
  <c r="T230" i="19"/>
  <c r="T152" i="19"/>
  <c r="M152" i="19" s="1"/>
  <c r="T255" i="19"/>
  <c r="T251" i="19"/>
  <c r="T164" i="19"/>
  <c r="T223" i="19"/>
  <c r="T245" i="19"/>
  <c r="T222" i="19"/>
  <c r="T202" i="19"/>
  <c r="T160" i="19"/>
  <c r="T166" i="19"/>
  <c r="M166" i="19" s="1"/>
  <c r="T254" i="19"/>
  <c r="M254" i="19" s="1"/>
  <c r="T227" i="19"/>
  <c r="T120" i="19"/>
  <c r="T248" i="19"/>
  <c r="T225" i="19"/>
  <c r="T159" i="19"/>
  <c r="M159" i="19" s="1"/>
  <c r="T149" i="19"/>
  <c r="T207" i="19"/>
  <c r="T267" i="19"/>
  <c r="T211" i="19"/>
  <c r="T113" i="19"/>
  <c r="T238" i="19"/>
  <c r="T265" i="19"/>
  <c r="T144" i="19"/>
  <c r="T153" i="19"/>
  <c r="T250" i="19"/>
  <c r="T215" i="19"/>
  <c r="T162" i="19"/>
  <c r="T262" i="19"/>
  <c r="T266" i="19"/>
  <c r="T243" i="19"/>
  <c r="T273" i="19"/>
  <c r="T123" i="19"/>
  <c r="T204" i="19"/>
  <c r="T114" i="19"/>
  <c r="T274" i="19"/>
  <c r="T129" i="19"/>
  <c r="M129" i="19" s="1"/>
  <c r="T115" i="19"/>
  <c r="M115" i="19" s="1"/>
  <c r="T275" i="19"/>
  <c r="T116" i="19"/>
  <c r="T130" i="19"/>
  <c r="T276" i="19"/>
  <c r="B187" i="89"/>
  <c r="Y128" i="38"/>
  <c r="Y162" i="38"/>
  <c r="Y141" i="38"/>
  <c r="Y250" i="38"/>
  <c r="Y119" i="38"/>
  <c r="Y185" i="38"/>
  <c r="Y122" i="38"/>
  <c r="Y217" i="38"/>
  <c r="Y224" i="38"/>
  <c r="Y148" i="38"/>
  <c r="Y131" i="38"/>
  <c r="Y129" i="38"/>
  <c r="Y257" i="38"/>
  <c r="Y294" i="38"/>
  <c r="Y192" i="38"/>
  <c r="Y236" i="38"/>
  <c r="Y215" i="38"/>
  <c r="Y199" i="38"/>
  <c r="Y120" i="38"/>
  <c r="Y178" i="38"/>
  <c r="Y214" i="38"/>
  <c r="Y155" i="38"/>
  <c r="Y167" i="38"/>
  <c r="Y243" i="38"/>
  <c r="Y299" i="38"/>
  <c r="Y287" i="38"/>
  <c r="Y204" i="38"/>
  <c r="Y223" i="38"/>
  <c r="Y262" i="38"/>
  <c r="Y263" i="38"/>
  <c r="Y280" i="38"/>
  <c r="Y205" i="38"/>
  <c r="Y273" i="38"/>
  <c r="Y226" i="38"/>
  <c r="Y168" i="38"/>
  <c r="Y300" i="38"/>
  <c r="S203" i="38"/>
  <c r="S166" i="38"/>
  <c r="S182" i="38"/>
  <c r="S277" i="38"/>
  <c r="S261" i="38"/>
  <c r="S298" i="38"/>
  <c r="S168" i="38"/>
  <c r="S175" i="38"/>
  <c r="S263" i="38"/>
  <c r="S270" i="38"/>
  <c r="S206" i="38"/>
  <c r="S205" i="38"/>
  <c r="S301" i="38"/>
  <c r="S176" i="38"/>
  <c r="S142" i="38"/>
  <c r="S300" i="38"/>
  <c r="S237" i="38"/>
  <c r="Z111" i="38"/>
  <c r="S169" i="38"/>
  <c r="S264" i="38"/>
  <c r="S271" i="38"/>
  <c r="M85" i="19"/>
  <c r="C13" i="25"/>
  <c r="C7" i="25"/>
  <c r="D49" i="25"/>
  <c r="D51" i="25"/>
  <c r="E37" i="25"/>
  <c r="B228" i="32"/>
  <c r="B275" i="32"/>
  <c r="K141" i="19"/>
  <c r="R20" i="20"/>
  <c r="B282" i="32"/>
  <c r="H99" i="12"/>
  <c r="E32" i="38" s="1"/>
  <c r="E34" i="25"/>
  <c r="I89" i="12"/>
  <c r="Q111" i="20"/>
  <c r="B296" i="89"/>
  <c r="B252" i="23"/>
  <c r="B259" i="23"/>
  <c r="S210" i="19"/>
  <c r="S224" i="19"/>
  <c r="S169" i="19"/>
  <c r="S112" i="19"/>
  <c r="L112" i="19" s="1"/>
  <c r="S142" i="19"/>
  <c r="L142" i="19" s="1"/>
  <c r="S163" i="19"/>
  <c r="L163" i="19" s="1"/>
  <c r="S150" i="19"/>
  <c r="L150" i="19" s="1"/>
  <c r="S215" i="19"/>
  <c r="L215" i="19" s="1"/>
  <c r="S252" i="19"/>
  <c r="L252" i="19" s="1"/>
  <c r="S151" i="19"/>
  <c r="L151" i="19" s="1"/>
  <c r="S157" i="19"/>
  <c r="L157" i="19" s="1"/>
  <c r="S120" i="19"/>
  <c r="L120" i="19" s="1"/>
  <c r="S144" i="19"/>
  <c r="L144" i="19" s="1"/>
  <c r="S158" i="19"/>
  <c r="L158" i="19" s="1"/>
  <c r="S223" i="19"/>
  <c r="L223" i="19" s="1"/>
  <c r="S217" i="19"/>
  <c r="S141" i="19"/>
  <c r="S155" i="19"/>
  <c r="L155" i="19" s="1"/>
  <c r="S213" i="19"/>
  <c r="S244" i="19"/>
  <c r="L244" i="19" s="1"/>
  <c r="S221" i="19"/>
  <c r="L221" i="19" s="1"/>
  <c r="S119" i="19"/>
  <c r="L119" i="19" s="1"/>
  <c r="S209" i="19"/>
  <c r="L209" i="19" s="1"/>
  <c r="S136" i="19"/>
  <c r="S118" i="19"/>
  <c r="S162" i="19"/>
  <c r="S125" i="19"/>
  <c r="S238" i="19"/>
  <c r="L238" i="19" s="1"/>
  <c r="S126" i="19"/>
  <c r="L126" i="19" s="1"/>
  <c r="S258" i="19"/>
  <c r="L258" i="19" s="1"/>
  <c r="S134" i="19"/>
  <c r="L134" i="19" s="1"/>
  <c r="S266" i="19"/>
  <c r="L266" i="19" s="1"/>
  <c r="S222" i="19"/>
  <c r="L222" i="19" s="1"/>
  <c r="S229" i="19"/>
  <c r="L229" i="19" s="1"/>
  <c r="S201" i="19"/>
  <c r="L201" i="19" s="1"/>
  <c r="S152" i="19"/>
  <c r="S202" i="19"/>
  <c r="L202" i="19" s="1"/>
  <c r="S173" i="19"/>
  <c r="Z77" i="19"/>
  <c r="S199" i="19"/>
  <c r="S257" i="19"/>
  <c r="S264" i="19"/>
  <c r="S214" i="19"/>
  <c r="L214" i="19" s="1"/>
  <c r="S170" i="19"/>
  <c r="L170" i="19" s="1"/>
  <c r="S230" i="19"/>
  <c r="L230" i="19" s="1"/>
  <c r="S253" i="19"/>
  <c r="L253" i="19" s="1"/>
  <c r="S231" i="19"/>
  <c r="S166" i="19"/>
  <c r="S148" i="19"/>
  <c r="S132" i="19"/>
  <c r="S265" i="19"/>
  <c r="L265" i="19" s="1"/>
  <c r="S228" i="19"/>
  <c r="L228" i="19" s="1"/>
  <c r="S247" i="19"/>
  <c r="S106" i="19"/>
  <c r="L106" i="19" s="1"/>
  <c r="S121" i="19"/>
  <c r="L121" i="19" s="1"/>
  <c r="S236" i="19"/>
  <c r="S104" i="19"/>
  <c r="S251" i="19"/>
  <c r="L251" i="19" s="1"/>
  <c r="S260" i="19"/>
  <c r="L260" i="19" s="1"/>
  <c r="S111" i="19"/>
  <c r="S220" i="19"/>
  <c r="S246" i="19"/>
  <c r="L246" i="19" s="1"/>
  <c r="S135" i="19"/>
  <c r="L135" i="19" s="1"/>
  <c r="S208" i="19"/>
  <c r="L208" i="19" s="1"/>
  <c r="S107" i="19"/>
  <c r="L107" i="19" s="1"/>
  <c r="S240" i="19"/>
  <c r="S172" i="19"/>
  <c r="L172" i="19" s="1"/>
  <c r="S203" i="19"/>
  <c r="S237" i="19"/>
  <c r="L237" i="19" s="1"/>
  <c r="S113" i="19"/>
  <c r="L113" i="19" s="1"/>
  <c r="S261" i="19"/>
  <c r="S206" i="19"/>
  <c r="S200" i="19"/>
  <c r="L200" i="19" s="1"/>
  <c r="S250" i="19"/>
  <c r="S207" i="19"/>
  <c r="L207" i="19" s="1"/>
  <c r="S164" i="19"/>
  <c r="L164" i="19" s="1"/>
  <c r="S128" i="19"/>
  <c r="L128" i="19" s="1"/>
  <c r="S145" i="19"/>
  <c r="S243" i="19"/>
  <c r="S133" i="19"/>
  <c r="L133" i="19" s="1"/>
  <c r="S159" i="19"/>
  <c r="S259" i="19"/>
  <c r="L259" i="19" s="1"/>
  <c r="S171" i="19"/>
  <c r="L171" i="19" s="1"/>
  <c r="S245" i="19"/>
  <c r="L245" i="19" s="1"/>
  <c r="S268" i="19"/>
  <c r="S254" i="19"/>
  <c r="S108" i="19"/>
  <c r="S105" i="19"/>
  <c r="L105" i="19" s="1"/>
  <c r="S239" i="19"/>
  <c r="L239" i="19" s="1"/>
  <c r="S149" i="19"/>
  <c r="L149" i="19" s="1"/>
  <c r="S227" i="19"/>
  <c r="S127" i="19"/>
  <c r="L127" i="19" s="1"/>
  <c r="S267" i="19"/>
  <c r="L267" i="19" s="1"/>
  <c r="S122" i="19"/>
  <c r="S156" i="19"/>
  <c r="L156" i="19" s="1"/>
  <c r="S143" i="19"/>
  <c r="L143" i="19" s="1"/>
  <c r="S216" i="19"/>
  <c r="L216" i="19" s="1"/>
  <c r="S165" i="19"/>
  <c r="L165" i="19" s="1"/>
  <c r="S273" i="19"/>
  <c r="S114" i="19"/>
  <c r="L114" i="19" s="1"/>
  <c r="S274" i="19"/>
  <c r="S115" i="19"/>
  <c r="S129" i="19"/>
  <c r="S275" i="19"/>
  <c r="I88" i="12"/>
  <c r="E33" i="25"/>
  <c r="H98" i="12"/>
  <c r="E31" i="38" s="1"/>
  <c r="B238" i="32"/>
  <c r="S237" i="32"/>
  <c r="B266" i="23"/>
  <c r="T265" i="23"/>
  <c r="T176" i="38"/>
  <c r="T166" i="38"/>
  <c r="T143" i="38"/>
  <c r="T203" i="38"/>
  <c r="T265" i="38"/>
  <c r="T277" i="38"/>
  <c r="T261" i="38"/>
  <c r="T183" i="38"/>
  <c r="T175" i="38"/>
  <c r="T206" i="38"/>
  <c r="T302" i="38"/>
  <c r="T204" i="38"/>
  <c r="T262" i="38"/>
  <c r="T264" i="38"/>
  <c r="T238" i="38"/>
  <c r="T278" i="38"/>
  <c r="AA111" i="38"/>
  <c r="T167" i="38"/>
  <c r="T207" i="38"/>
  <c r="T299" i="38"/>
  <c r="T177" i="38"/>
  <c r="T169" i="38"/>
  <c r="T182" i="38"/>
  <c r="T270" i="38"/>
  <c r="T170" i="38"/>
  <c r="T301" i="38"/>
  <c r="T298" i="38"/>
  <c r="T271" i="38"/>
  <c r="T272" i="38"/>
  <c r="S182" i="40"/>
  <c r="Z111" i="40"/>
  <c r="S300" i="40"/>
  <c r="S263" i="40"/>
  <c r="S205" i="40"/>
  <c r="S206" i="40"/>
  <c r="S142" i="40"/>
  <c r="S298" i="40"/>
  <c r="S176" i="40"/>
  <c r="S175" i="40"/>
  <c r="S203" i="40"/>
  <c r="S270" i="40"/>
  <c r="S169" i="40"/>
  <c r="S271" i="40"/>
  <c r="S237" i="40"/>
  <c r="S301" i="40"/>
  <c r="S277" i="40"/>
  <c r="S166" i="40"/>
  <c r="S168" i="40"/>
  <c r="S264" i="40"/>
  <c r="S261" i="40"/>
  <c r="B180" i="32"/>
  <c r="B303" i="89"/>
  <c r="K104" i="19"/>
  <c r="Y128" i="40"/>
  <c r="Y294" i="40"/>
  <c r="Y148" i="40"/>
  <c r="Y287" i="40"/>
  <c r="Y223" i="40"/>
  <c r="Y141" i="40"/>
  <c r="Y199" i="40"/>
  <c r="Y217" i="40"/>
  <c r="Y129" i="40"/>
  <c r="Y236" i="40"/>
  <c r="Y280" i="40"/>
  <c r="Y215" i="40"/>
  <c r="Y178" i="40"/>
  <c r="Y155" i="40"/>
  <c r="Y119" i="40"/>
  <c r="Y162" i="40"/>
  <c r="Y204" i="40"/>
  <c r="Y214" i="40"/>
  <c r="Y192" i="40"/>
  <c r="Y263" i="40"/>
  <c r="Y168" i="40"/>
  <c r="Y257" i="40"/>
  <c r="Y300" i="40"/>
  <c r="Y273" i="40"/>
  <c r="Y205" i="40"/>
  <c r="Y120" i="40"/>
  <c r="Y262" i="40"/>
  <c r="Y122" i="40"/>
  <c r="Y243" i="40"/>
  <c r="Y226" i="40"/>
  <c r="Y250" i="40"/>
  <c r="Y131" i="40"/>
  <c r="Y224" i="40"/>
  <c r="Y167" i="40"/>
  <c r="Y299" i="40"/>
  <c r="Y185" i="40"/>
  <c r="B245" i="23"/>
  <c r="P69" i="20"/>
  <c r="P136" i="20"/>
  <c r="B133" i="23"/>
  <c r="X283" i="19"/>
  <c r="B289" i="89"/>
  <c r="B194" i="23"/>
  <c r="J148" i="20"/>
  <c r="J141" i="20"/>
  <c r="J161" i="20" s="1"/>
  <c r="B296" i="32"/>
  <c r="B164" i="23"/>
  <c r="B208" i="23"/>
  <c r="T207" i="23"/>
  <c r="D9" i="38"/>
  <c r="T166" i="40"/>
  <c r="T204" i="40"/>
  <c r="T265" i="40"/>
  <c r="T170" i="40"/>
  <c r="T167" i="40"/>
  <c r="T264" i="40"/>
  <c r="T206" i="40"/>
  <c r="T207" i="40"/>
  <c r="T302" i="40"/>
  <c r="T261" i="40"/>
  <c r="T298" i="40"/>
  <c r="AA111" i="40"/>
  <c r="T299" i="40"/>
  <c r="T270" i="40"/>
  <c r="T277" i="40"/>
  <c r="T301" i="40"/>
  <c r="T176" i="40"/>
  <c r="T238" i="40"/>
  <c r="T143" i="40"/>
  <c r="T262" i="40"/>
  <c r="T203" i="40"/>
  <c r="T183" i="40"/>
  <c r="T169" i="40"/>
  <c r="T182" i="40"/>
  <c r="T175" i="40"/>
  <c r="T278" i="40"/>
  <c r="T271" i="40"/>
  <c r="T272" i="40"/>
  <c r="T177" i="40"/>
  <c r="H148" i="20"/>
  <c r="H141" i="20"/>
  <c r="H161" i="20" s="1"/>
  <c r="B58" i="17"/>
  <c r="B60" i="25"/>
  <c r="B58" i="40"/>
  <c r="B58" i="89"/>
  <c r="B58" i="38"/>
  <c r="B58" i="32"/>
  <c r="P32" i="20"/>
  <c r="P65" i="20" s="1"/>
  <c r="P68" i="20" s="1"/>
  <c r="B58" i="23"/>
  <c r="B58" i="28"/>
  <c r="C37" i="2"/>
  <c r="C45" i="2" s="1"/>
  <c r="B58" i="30"/>
  <c r="B58" i="14"/>
  <c r="P31" i="20"/>
  <c r="B219" i="32"/>
  <c r="B194" i="32"/>
  <c r="B133" i="32"/>
  <c r="B296" i="23"/>
  <c r="E25" i="19"/>
  <c r="F35" i="2" s="1"/>
  <c r="D23" i="19"/>
  <c r="E33" i="2" s="1"/>
  <c r="I33" i="82"/>
  <c r="Y148" i="19"/>
  <c r="Y118" i="19"/>
  <c r="Y126" i="19"/>
  <c r="Y127" i="19"/>
  <c r="Y215" i="19"/>
  <c r="Y259" i="19"/>
  <c r="Y246" i="19"/>
  <c r="Y183" i="19"/>
  <c r="Y189" i="19"/>
  <c r="Y163" i="19"/>
  <c r="Y113" i="19"/>
  <c r="Y114" i="19"/>
  <c r="Y143" i="19"/>
  <c r="Y192" i="19"/>
  <c r="Y144" i="19"/>
  <c r="Y106" i="19"/>
  <c r="Y125" i="19"/>
  <c r="Y156" i="19"/>
  <c r="Y191" i="19"/>
  <c r="Y151" i="19"/>
  <c r="Y209" i="19"/>
  <c r="Y221" i="19"/>
  <c r="Y132" i="19"/>
  <c r="Y227" i="19"/>
  <c r="Y199" i="19"/>
  <c r="Y86" i="19"/>
  <c r="Y182" i="19"/>
  <c r="Y223" i="19"/>
  <c r="Y239" i="19"/>
  <c r="Y200" i="19"/>
  <c r="Y105" i="19"/>
  <c r="Y244" i="19"/>
  <c r="Y258" i="19"/>
  <c r="Y134" i="19"/>
  <c r="Y171" i="19"/>
  <c r="Y94" i="19"/>
  <c r="Y142" i="19"/>
  <c r="Y164" i="19"/>
  <c r="Y201" i="19"/>
  <c r="Y158" i="19"/>
  <c r="Y111" i="19"/>
  <c r="Y243" i="19"/>
  <c r="Y237" i="19"/>
  <c r="Y228" i="19"/>
  <c r="Y230" i="19"/>
  <c r="Y141" i="19"/>
  <c r="Y119" i="19"/>
  <c r="Y222" i="19"/>
  <c r="Y157" i="19"/>
  <c r="Y121" i="19"/>
  <c r="Y206" i="19"/>
  <c r="Y207" i="19"/>
  <c r="Y172" i="19"/>
  <c r="Y265" i="19"/>
  <c r="Y149" i="19"/>
  <c r="Y253" i="19"/>
  <c r="Y257" i="19"/>
  <c r="Y170" i="19"/>
  <c r="Y112" i="19"/>
  <c r="Y190" i="19"/>
  <c r="Y128" i="19"/>
  <c r="Y133" i="19"/>
  <c r="Y95" i="19"/>
  <c r="Y150" i="19"/>
  <c r="Y213" i="19"/>
  <c r="Y220" i="19"/>
  <c r="Y264" i="19"/>
  <c r="Y181" i="19"/>
  <c r="Y252" i="19"/>
  <c r="Y165" i="19"/>
  <c r="Y229" i="19"/>
  <c r="Y245" i="19"/>
  <c r="Y155" i="19"/>
  <c r="Y216" i="19"/>
  <c r="Y250" i="19"/>
  <c r="Y180" i="19"/>
  <c r="Y260" i="19"/>
  <c r="Y251" i="19"/>
  <c r="Y267" i="19"/>
  <c r="Y104" i="19"/>
  <c r="Y88" i="19"/>
  <c r="Y162" i="19"/>
  <c r="Y202" i="19"/>
  <c r="Y169" i="19"/>
  <c r="Y97" i="19"/>
  <c r="Y214" i="19"/>
  <c r="Y107" i="19"/>
  <c r="Y135" i="19"/>
  <c r="Y87" i="19"/>
  <c r="Y120" i="19"/>
  <c r="Y266" i="19"/>
  <c r="Y208" i="19"/>
  <c r="Y236" i="19"/>
  <c r="Y96" i="19"/>
  <c r="Y238" i="19"/>
  <c r="Y85" i="19"/>
  <c r="B187" i="23"/>
  <c r="B208" i="32"/>
  <c r="T207" i="32"/>
  <c r="K152" i="20"/>
  <c r="K128" i="20"/>
  <c r="D10" i="25"/>
  <c r="D11" i="25"/>
  <c r="D6" i="25" s="1"/>
  <c r="C7" i="38"/>
  <c r="C11" i="38"/>
  <c r="I152" i="20"/>
  <c r="I128" i="20"/>
  <c r="E152" i="20"/>
  <c r="E128" i="20"/>
  <c r="B289" i="23"/>
  <c r="B150" i="23"/>
  <c r="E47" i="28"/>
  <c r="F35" i="28"/>
  <c r="B303" i="32"/>
  <c r="T302" i="32"/>
  <c r="B289" i="32"/>
  <c r="B252" i="89"/>
  <c r="B238" i="23"/>
  <c r="S237" i="23"/>
  <c r="X282" i="19"/>
  <c r="F11" i="89" l="1"/>
  <c r="G8" i="28"/>
  <c r="G11" i="28" s="1"/>
  <c r="U10" i="20"/>
  <c r="G8" i="89"/>
  <c r="G11" i="89" s="1"/>
  <c r="L206" i="19"/>
  <c r="M206" i="19" s="1"/>
  <c r="G8" i="17"/>
  <c r="G11" i="17" s="1"/>
  <c r="G8" i="40"/>
  <c r="G7" i="40" s="1"/>
  <c r="T170" i="23"/>
  <c r="Y148" i="89"/>
  <c r="M246" i="19"/>
  <c r="Y131" i="89"/>
  <c r="Y162" i="89"/>
  <c r="F7" i="17"/>
  <c r="F11" i="40"/>
  <c r="Y192" i="89"/>
  <c r="Y243" i="89"/>
  <c r="Y280" i="89"/>
  <c r="L227" i="19"/>
  <c r="M227" i="19" s="1"/>
  <c r="F11" i="28"/>
  <c r="B282" i="23"/>
  <c r="P97" i="32"/>
  <c r="F244" i="32" s="1"/>
  <c r="F11" i="30"/>
  <c r="Z288" i="23"/>
  <c r="F7" i="32"/>
  <c r="C89" i="2"/>
  <c r="F7" i="23"/>
  <c r="L132" i="19"/>
  <c r="M132" i="19" s="1"/>
  <c r="L111" i="19"/>
  <c r="M111" i="19" s="1"/>
  <c r="T170" i="89"/>
  <c r="S206" i="89"/>
  <c r="L118" i="19"/>
  <c r="M118" i="19" s="1"/>
  <c r="T302" i="89"/>
  <c r="G23" i="76"/>
  <c r="T23" i="76" s="1"/>
  <c r="T206" i="89"/>
  <c r="Y257" i="89"/>
  <c r="Y263" i="89"/>
  <c r="Y299" i="89"/>
  <c r="Y224" i="89"/>
  <c r="Y128" i="89"/>
  <c r="Y236" i="89"/>
  <c r="Y300" i="89"/>
  <c r="Y120" i="89"/>
  <c r="Y214" i="89"/>
  <c r="Y217" i="89"/>
  <c r="Y168" i="89"/>
  <c r="Y223" i="89"/>
  <c r="Y204" i="89"/>
  <c r="Y262" i="89"/>
  <c r="Y119" i="89"/>
  <c r="Y215" i="89"/>
  <c r="Y199" i="89"/>
  <c r="Y122" i="89"/>
  <c r="Y167" i="89"/>
  <c r="Y141" i="89"/>
  <c r="Y226" i="89"/>
  <c r="Y129" i="89"/>
  <c r="Y273" i="89"/>
  <c r="Y205" i="89"/>
  <c r="Y250" i="89"/>
  <c r="Y155" i="89"/>
  <c r="Y294" i="89"/>
  <c r="Y185" i="89"/>
  <c r="Y287" i="89"/>
  <c r="S166" i="89"/>
  <c r="S205" i="89"/>
  <c r="S298" i="89"/>
  <c r="S270" i="89"/>
  <c r="S271" i="89"/>
  <c r="S142" i="89"/>
  <c r="S169" i="89"/>
  <c r="S175" i="89"/>
  <c r="Z111" i="89"/>
  <c r="Z132" i="89" s="1"/>
  <c r="S168" i="89"/>
  <c r="S264" i="89"/>
  <c r="S263" i="89"/>
  <c r="S176" i="89"/>
  <c r="S301" i="89"/>
  <c r="S300" i="89"/>
  <c r="S182" i="89"/>
  <c r="S237" i="89"/>
  <c r="S203" i="89"/>
  <c r="S277" i="89"/>
  <c r="S261" i="89"/>
  <c r="B143" i="23"/>
  <c r="T143" i="23" s="1"/>
  <c r="Z218" i="32"/>
  <c r="L199" i="19"/>
  <c r="M199" i="19" s="1"/>
  <c r="M215" i="19"/>
  <c r="T183" i="89"/>
  <c r="T143" i="89"/>
  <c r="T262" i="89"/>
  <c r="T277" i="89"/>
  <c r="T261" i="89"/>
  <c r="T176" i="89"/>
  <c r="T182" i="89"/>
  <c r="T203" i="89"/>
  <c r="T298" i="89"/>
  <c r="T265" i="89"/>
  <c r="T175" i="89"/>
  <c r="T264" i="89"/>
  <c r="T204" i="89"/>
  <c r="T166" i="89"/>
  <c r="T177" i="89"/>
  <c r="T278" i="89"/>
  <c r="T169" i="89"/>
  <c r="T270" i="89"/>
  <c r="T271" i="89"/>
  <c r="T299" i="89"/>
  <c r="T301" i="89"/>
  <c r="T167" i="89"/>
  <c r="T272" i="89"/>
  <c r="AA111" i="89"/>
  <c r="AA164" i="89" s="1"/>
  <c r="M121" i="19"/>
  <c r="B157" i="32"/>
  <c r="AA157" i="32" s="1"/>
  <c r="T238" i="89"/>
  <c r="L213" i="19"/>
  <c r="M213" i="19" s="1"/>
  <c r="AA124" i="23"/>
  <c r="D35" i="38"/>
  <c r="E35" i="38" s="1"/>
  <c r="F35" i="38" s="1"/>
  <c r="G35" i="38" s="1"/>
  <c r="Z132" i="32"/>
  <c r="L220" i="19"/>
  <c r="AA220" i="19" s="1"/>
  <c r="Q33" i="20"/>
  <c r="Q66" i="20" s="1"/>
  <c r="R33" i="20"/>
  <c r="R66" i="20" s="1"/>
  <c r="R69" i="20" s="1"/>
  <c r="L264" i="19"/>
  <c r="M264" i="19" s="1"/>
  <c r="C22" i="25"/>
  <c r="P96" i="32"/>
  <c r="F237" i="32" s="1"/>
  <c r="P99" i="32"/>
  <c r="F258" i="32" s="1"/>
  <c r="G66" i="12"/>
  <c r="G67" i="12" s="1"/>
  <c r="P76" i="32"/>
  <c r="F132" i="32" s="1"/>
  <c r="D47" i="17"/>
  <c r="H24" i="76"/>
  <c r="U24" i="76" s="1"/>
  <c r="L169" i="19"/>
  <c r="M169" i="19" s="1"/>
  <c r="C20" i="28"/>
  <c r="N148" i="20"/>
  <c r="K28" i="82" s="1"/>
  <c r="L250" i="19"/>
  <c r="AA250" i="19" s="1"/>
  <c r="P104" i="32"/>
  <c r="F288" i="32" s="1"/>
  <c r="L148" i="19"/>
  <c r="AA148" i="19" s="1"/>
  <c r="L162" i="19"/>
  <c r="M162" i="19" s="1"/>
  <c r="P80" i="32"/>
  <c r="F149" i="32" s="1"/>
  <c r="P81" i="32"/>
  <c r="F156" i="32" s="1"/>
  <c r="F67" i="12"/>
  <c r="C30" i="17" s="1"/>
  <c r="V45" i="18" s="1"/>
  <c r="AU119" i="18" s="1"/>
  <c r="P75" i="85" s="1"/>
  <c r="F47" i="12"/>
  <c r="F45" i="12" s="1"/>
  <c r="P103" i="32"/>
  <c r="F281" i="32" s="1"/>
  <c r="P92" i="32"/>
  <c r="F218" i="32" s="1"/>
  <c r="P86" i="32"/>
  <c r="F186" i="32" s="1"/>
  <c r="P85" i="32"/>
  <c r="F179" i="32" s="1"/>
  <c r="P106" i="32"/>
  <c r="F302" i="32" s="1"/>
  <c r="P100" i="32"/>
  <c r="F265" i="32" s="1"/>
  <c r="P83" i="32"/>
  <c r="F170" i="32" s="1"/>
  <c r="L243" i="19"/>
  <c r="AA243" i="19" s="1"/>
  <c r="P88" i="32"/>
  <c r="F200" i="32" s="1"/>
  <c r="P98" i="32"/>
  <c r="F251" i="32" s="1"/>
  <c r="D20" i="28"/>
  <c r="P102" i="32"/>
  <c r="F274" i="32" s="1"/>
  <c r="P75" i="32"/>
  <c r="F123" i="32" s="1"/>
  <c r="P108" i="32"/>
  <c r="F311" i="32" s="1"/>
  <c r="D54" i="38"/>
  <c r="H47" i="12"/>
  <c r="E30" i="14" s="1"/>
  <c r="X31" i="18" s="1"/>
  <c r="AW97" i="18" s="1"/>
  <c r="H75" i="85" s="1"/>
  <c r="P89" i="32"/>
  <c r="F207" i="32" s="1"/>
  <c r="P82" i="32"/>
  <c r="F163" i="32" s="1"/>
  <c r="P93" i="32"/>
  <c r="F227" i="32" s="1"/>
  <c r="D49" i="32"/>
  <c r="I47" i="12"/>
  <c r="F30" i="14" s="1"/>
  <c r="Y31" i="18" s="1"/>
  <c r="AX97" i="18" s="1"/>
  <c r="I75" i="85" s="1"/>
  <c r="D47" i="32"/>
  <c r="G47" i="12"/>
  <c r="D30" i="14" s="1"/>
  <c r="W31" i="18" s="1"/>
  <c r="AV97" i="18" s="1"/>
  <c r="G75" i="85" s="1"/>
  <c r="L236" i="19"/>
  <c r="AA236" i="19" s="1"/>
  <c r="D56" i="25"/>
  <c r="P79" i="32"/>
  <c r="F142" i="32" s="1"/>
  <c r="P105" i="32"/>
  <c r="F295" i="32" s="1"/>
  <c r="L257" i="19"/>
  <c r="M257" i="19" s="1"/>
  <c r="P87" i="17"/>
  <c r="F193" i="17" s="1"/>
  <c r="P100" i="17"/>
  <c r="F265" i="17" s="1"/>
  <c r="P102" i="17"/>
  <c r="F274" i="17" s="1"/>
  <c r="P83" i="17"/>
  <c r="F170" i="17" s="1"/>
  <c r="P88" i="17"/>
  <c r="F200" i="17" s="1"/>
  <c r="P105" i="17"/>
  <c r="F295" i="17" s="1"/>
  <c r="P99" i="17"/>
  <c r="F258" i="17" s="1"/>
  <c r="P82" i="17"/>
  <c r="F163" i="17" s="1"/>
  <c r="P93" i="17"/>
  <c r="F227" i="17" s="1"/>
  <c r="P89" i="17"/>
  <c r="F207" i="17" s="1"/>
  <c r="P92" i="17"/>
  <c r="F218" i="17" s="1"/>
  <c r="P85" i="17"/>
  <c r="F179" i="17" s="1"/>
  <c r="P80" i="17"/>
  <c r="F149" i="17" s="1"/>
  <c r="P104" i="17"/>
  <c r="F288" i="17" s="1"/>
  <c r="P97" i="17"/>
  <c r="F244" i="17" s="1"/>
  <c r="P108" i="17"/>
  <c r="F311" i="17" s="1"/>
  <c r="P75" i="17"/>
  <c r="F123" i="17" s="1"/>
  <c r="P76" i="17"/>
  <c r="F132" i="17" s="1"/>
  <c r="P79" i="17"/>
  <c r="F142" i="17" s="1"/>
  <c r="P86" i="17"/>
  <c r="F186" i="17" s="1"/>
  <c r="P96" i="17"/>
  <c r="F237" i="17" s="1"/>
  <c r="P103" i="17"/>
  <c r="F281" i="17" s="1"/>
  <c r="P98" i="17"/>
  <c r="F251" i="17" s="1"/>
  <c r="P81" i="17"/>
  <c r="F156" i="17" s="1"/>
  <c r="P106" i="17"/>
  <c r="F302" i="17" s="1"/>
  <c r="M156" i="19"/>
  <c r="V149" i="20"/>
  <c r="R29" i="82"/>
  <c r="U29" i="82" s="1"/>
  <c r="L125" i="19"/>
  <c r="AA125" i="19" s="1"/>
  <c r="B245" i="89"/>
  <c r="M155" i="19"/>
  <c r="M148" i="20"/>
  <c r="M141" i="20"/>
  <c r="M161" i="20" s="1"/>
  <c r="M163" i="19"/>
  <c r="M201" i="19"/>
  <c r="T145" i="25"/>
  <c r="AA265" i="23"/>
  <c r="C20" i="40"/>
  <c r="T265" i="14"/>
  <c r="Z163" i="23"/>
  <c r="AA133" i="23"/>
  <c r="C20" i="30"/>
  <c r="Z132" i="23"/>
  <c r="M259" i="19"/>
  <c r="AA170" i="23"/>
  <c r="T302" i="14"/>
  <c r="AA201" i="23"/>
  <c r="Z142" i="23"/>
  <c r="Z295" i="23"/>
  <c r="Z258" i="23"/>
  <c r="Z237" i="23"/>
  <c r="T170" i="14"/>
  <c r="C20" i="23"/>
  <c r="E35" i="40"/>
  <c r="D49" i="40"/>
  <c r="D47" i="40"/>
  <c r="E35" i="89"/>
  <c r="D49" i="89"/>
  <c r="D47" i="89"/>
  <c r="Z237" i="32"/>
  <c r="E35" i="23"/>
  <c r="D47" i="23"/>
  <c r="D49" i="23"/>
  <c r="AA26" i="65"/>
  <c r="AA16" i="65"/>
  <c r="E35" i="30"/>
  <c r="D47" i="30"/>
  <c r="D49" i="30"/>
  <c r="B282" i="89"/>
  <c r="M164" i="19"/>
  <c r="C20" i="89"/>
  <c r="Z281" i="32"/>
  <c r="M119" i="19"/>
  <c r="M150" i="19"/>
  <c r="M105" i="19"/>
  <c r="M133" i="19"/>
  <c r="M266" i="19"/>
  <c r="M222" i="19"/>
  <c r="Y162" i="14"/>
  <c r="Y215" i="14"/>
  <c r="Y226" i="14"/>
  <c r="Y224" i="14"/>
  <c r="Y122" i="14"/>
  <c r="Y214" i="14"/>
  <c r="Y236" i="14"/>
  <c r="Y223" i="14"/>
  <c r="Y119" i="14"/>
  <c r="Y120" i="14"/>
  <c r="Y217" i="14"/>
  <c r="Y287" i="14"/>
  <c r="Y155" i="14"/>
  <c r="Y185" i="14"/>
  <c r="Y128" i="14"/>
  <c r="Y192" i="14"/>
  <c r="Y243" i="14"/>
  <c r="Y257" i="14"/>
  <c r="Y129" i="14"/>
  <c r="Y262" i="14"/>
  <c r="Y205" i="14"/>
  <c r="Y299" i="14"/>
  <c r="Y204" i="14"/>
  <c r="Y167" i="14"/>
  <c r="Y263" i="14"/>
  <c r="Y300" i="14"/>
  <c r="Y250" i="14"/>
  <c r="Y168" i="14"/>
  <c r="Y141" i="14"/>
  <c r="Y294" i="14"/>
  <c r="Y273" i="14"/>
  <c r="Y148" i="14"/>
  <c r="Y199" i="14"/>
  <c r="Y280" i="14"/>
  <c r="Y178" i="14"/>
  <c r="Y131" i="14"/>
  <c r="B208" i="89"/>
  <c r="T207" i="89"/>
  <c r="B194" i="89"/>
  <c r="AA245" i="32"/>
  <c r="Z244" i="23"/>
  <c r="M216" i="19"/>
  <c r="M239" i="19"/>
  <c r="M107" i="19"/>
  <c r="M252" i="19"/>
  <c r="Z281" i="23"/>
  <c r="T240" i="25"/>
  <c r="B180" i="89"/>
  <c r="S175" i="28"/>
  <c r="S176" i="28"/>
  <c r="Z111" i="28"/>
  <c r="S261" i="28"/>
  <c r="S263" i="28"/>
  <c r="S142" i="28"/>
  <c r="S182" i="28"/>
  <c r="S271" i="28"/>
  <c r="S166" i="28"/>
  <c r="S206" i="28"/>
  <c r="S298" i="28"/>
  <c r="S301" i="28"/>
  <c r="S270" i="28"/>
  <c r="S205" i="28"/>
  <c r="S237" i="28"/>
  <c r="S300" i="28"/>
  <c r="S264" i="28"/>
  <c r="S203" i="28"/>
  <c r="S169" i="28"/>
  <c r="S168" i="28"/>
  <c r="S277" i="28"/>
  <c r="M165" i="19"/>
  <c r="M149" i="19"/>
  <c r="M251" i="19"/>
  <c r="M229" i="19"/>
  <c r="S203" i="14"/>
  <c r="S182" i="14"/>
  <c r="Z111" i="14"/>
  <c r="S307" i="14"/>
  <c r="S298" i="14"/>
  <c r="S270" i="14"/>
  <c r="S271" i="14"/>
  <c r="S261" i="14"/>
  <c r="S277" i="14"/>
  <c r="S166" i="14"/>
  <c r="S175" i="14"/>
  <c r="S176" i="14"/>
  <c r="S205" i="14"/>
  <c r="S308" i="14"/>
  <c r="S237" i="14"/>
  <c r="S300" i="14"/>
  <c r="S263" i="14"/>
  <c r="S168" i="14"/>
  <c r="S206" i="14"/>
  <c r="S309" i="14"/>
  <c r="S301" i="14"/>
  <c r="S264" i="14"/>
  <c r="S169" i="14"/>
  <c r="T301" i="25"/>
  <c r="T206" i="25"/>
  <c r="T179" i="25"/>
  <c r="T273" i="25"/>
  <c r="T169" i="25"/>
  <c r="T300" i="25"/>
  <c r="T272" i="25"/>
  <c r="T184" i="25"/>
  <c r="T178" i="25"/>
  <c r="T280" i="25"/>
  <c r="T263" i="25"/>
  <c r="T274" i="25"/>
  <c r="T177" i="25"/>
  <c r="T264" i="25"/>
  <c r="T168" i="25"/>
  <c r="AA113" i="25"/>
  <c r="AA152" i="25" s="1"/>
  <c r="T171" i="25"/>
  <c r="T279" i="25"/>
  <c r="T185" i="25"/>
  <c r="T172" i="25"/>
  <c r="T205" i="25"/>
  <c r="T267" i="25"/>
  <c r="T303" i="25"/>
  <c r="T208" i="25"/>
  <c r="T266" i="25"/>
  <c r="B133" i="89"/>
  <c r="S8" i="82"/>
  <c r="S25" i="82"/>
  <c r="T183" i="28"/>
  <c r="T182" i="28"/>
  <c r="T264" i="28"/>
  <c r="T298" i="28"/>
  <c r="T238" i="28"/>
  <c r="T265" i="28"/>
  <c r="T262" i="28"/>
  <c r="T169" i="28"/>
  <c r="T207" i="28"/>
  <c r="T206" i="28"/>
  <c r="T175" i="28"/>
  <c r="T277" i="28"/>
  <c r="AA111" i="28"/>
  <c r="T261" i="28"/>
  <c r="T166" i="28"/>
  <c r="T143" i="28"/>
  <c r="T299" i="28"/>
  <c r="T272" i="28"/>
  <c r="T271" i="28"/>
  <c r="T203" i="28"/>
  <c r="T302" i="28"/>
  <c r="T170" i="28"/>
  <c r="T177" i="28"/>
  <c r="T176" i="28"/>
  <c r="T301" i="28"/>
  <c r="T167" i="28"/>
  <c r="T204" i="28"/>
  <c r="T270" i="28"/>
  <c r="T278" i="28"/>
  <c r="Y122" i="28"/>
  <c r="Y250" i="28"/>
  <c r="Y299" i="28"/>
  <c r="Y141" i="28"/>
  <c r="Y119" i="28"/>
  <c r="Y257" i="28"/>
  <c r="Y263" i="28"/>
  <c r="Y129" i="28"/>
  <c r="Y199" i="28"/>
  <c r="Y294" i="28"/>
  <c r="Y205" i="28"/>
  <c r="Y155" i="28"/>
  <c r="Y215" i="28"/>
  <c r="Y236" i="28"/>
  <c r="Y280" i="28"/>
  <c r="Y192" i="28"/>
  <c r="Y120" i="28"/>
  <c r="Y168" i="28"/>
  <c r="Y162" i="28"/>
  <c r="Y300" i="28"/>
  <c r="Y204" i="28"/>
  <c r="Y273" i="28"/>
  <c r="Y148" i="28"/>
  <c r="Y128" i="28"/>
  <c r="Y287" i="28"/>
  <c r="Y217" i="28"/>
  <c r="Y131" i="28"/>
  <c r="Y243" i="28"/>
  <c r="Y262" i="28"/>
  <c r="Y226" i="28"/>
  <c r="Y214" i="28"/>
  <c r="Y178" i="28"/>
  <c r="Y224" i="28"/>
  <c r="Y167" i="28"/>
  <c r="Y223" i="28"/>
  <c r="Y185" i="28"/>
  <c r="B150" i="89"/>
  <c r="T304" i="25"/>
  <c r="M171" i="19"/>
  <c r="M207" i="19"/>
  <c r="M214" i="19"/>
  <c r="M157" i="19"/>
  <c r="AA228" i="30"/>
  <c r="Y252" i="25"/>
  <c r="Y219" i="25"/>
  <c r="Y170" i="25"/>
  <c r="Y226" i="25"/>
  <c r="Y122" i="25"/>
  <c r="Y238" i="25"/>
  <c r="Y302" i="25"/>
  <c r="Y131" i="25"/>
  <c r="Y201" i="25"/>
  <c r="Y164" i="25"/>
  <c r="Y265" i="25"/>
  <c r="Y194" i="25"/>
  <c r="Y217" i="25"/>
  <c r="Y133" i="25"/>
  <c r="Y180" i="25"/>
  <c r="Y259" i="25"/>
  <c r="Y282" i="25"/>
  <c r="Y143" i="25"/>
  <c r="Y124" i="25"/>
  <c r="Y225" i="25"/>
  <c r="Y264" i="25"/>
  <c r="Y157" i="25"/>
  <c r="Y289" i="25"/>
  <c r="Y121" i="25"/>
  <c r="Y301" i="25"/>
  <c r="Y245" i="25"/>
  <c r="Y206" i="25"/>
  <c r="Y275" i="25"/>
  <c r="Y207" i="25"/>
  <c r="Y130" i="25"/>
  <c r="Y216" i="25"/>
  <c r="Y169" i="25"/>
  <c r="Y150" i="25"/>
  <c r="Y228" i="25"/>
  <c r="Y296" i="25"/>
  <c r="Y187" i="25"/>
  <c r="S265" i="25"/>
  <c r="S279" i="25"/>
  <c r="S171" i="25"/>
  <c r="S263" i="25"/>
  <c r="S302" i="25"/>
  <c r="S178" i="25"/>
  <c r="S207" i="25"/>
  <c r="S272" i="25"/>
  <c r="S170" i="25"/>
  <c r="S184" i="25"/>
  <c r="S273" i="25"/>
  <c r="S168" i="25"/>
  <c r="S177" i="25"/>
  <c r="S205" i="25"/>
  <c r="Z113" i="25"/>
  <c r="S300" i="25"/>
  <c r="S144" i="25"/>
  <c r="S266" i="25"/>
  <c r="S239" i="25"/>
  <c r="S208" i="25"/>
  <c r="S303" i="25"/>
  <c r="T261" i="14"/>
  <c r="AA111" i="14"/>
  <c r="AA201" i="14" s="1"/>
  <c r="T307" i="14"/>
  <c r="T183" i="14"/>
  <c r="T182" i="14"/>
  <c r="T203" i="14"/>
  <c r="T166" i="14"/>
  <c r="T277" i="14"/>
  <c r="T298" i="14"/>
  <c r="T175" i="14"/>
  <c r="T270" i="14"/>
  <c r="T262" i="14"/>
  <c r="T299" i="14"/>
  <c r="T167" i="14"/>
  <c r="T278" i="14"/>
  <c r="T204" i="14"/>
  <c r="T271" i="14"/>
  <c r="T308" i="14"/>
  <c r="T176" i="14"/>
  <c r="T206" i="14"/>
  <c r="T272" i="14"/>
  <c r="T309" i="14"/>
  <c r="T177" i="14"/>
  <c r="T310" i="14"/>
  <c r="T207" i="14"/>
  <c r="T301" i="14"/>
  <c r="T169" i="14"/>
  <c r="T264" i="14"/>
  <c r="T238" i="14"/>
  <c r="S142" i="14"/>
  <c r="T209" i="25"/>
  <c r="M143" i="19"/>
  <c r="M208" i="19"/>
  <c r="Z149" i="23"/>
  <c r="Z186" i="23"/>
  <c r="Z193" i="23"/>
  <c r="M244" i="19"/>
  <c r="G7" i="28"/>
  <c r="J50" i="12"/>
  <c r="G33" i="14" s="1"/>
  <c r="Q82" i="14" s="1"/>
  <c r="F164" i="14" s="1"/>
  <c r="J45" i="12"/>
  <c r="G30" i="14"/>
  <c r="Z31" i="18" s="1"/>
  <c r="AY97" i="18" s="1"/>
  <c r="J75" i="85" s="1"/>
  <c r="Z149" i="32"/>
  <c r="Z166" i="32"/>
  <c r="Z142" i="32"/>
  <c r="Z119" i="32"/>
  <c r="Z203" i="32"/>
  <c r="Z200" i="32"/>
  <c r="Z214" i="32"/>
  <c r="Z251" i="32"/>
  <c r="Z168" i="32"/>
  <c r="Z261" i="32"/>
  <c r="Z186" i="32"/>
  <c r="Z258" i="32"/>
  <c r="Z169" i="32"/>
  <c r="Z298" i="32"/>
  <c r="Z120" i="32"/>
  <c r="Z223" i="32"/>
  <c r="Z128" i="32"/>
  <c r="Z121" i="32"/>
  <c r="Z263" i="32"/>
  <c r="Z215" i="32"/>
  <c r="Z224" i="32"/>
  <c r="Z129" i="32"/>
  <c r="Z225" i="32"/>
  <c r="Z216" i="32"/>
  <c r="Z264" i="32"/>
  <c r="Z300" i="32"/>
  <c r="Z205" i="32"/>
  <c r="Z130" i="32"/>
  <c r="Z163" i="32"/>
  <c r="Z206" i="32"/>
  <c r="Z123" i="32"/>
  <c r="Z301" i="32"/>
  <c r="Z244" i="32"/>
  <c r="G7" i="32"/>
  <c r="G11" i="32"/>
  <c r="M245" i="19"/>
  <c r="M113" i="19"/>
  <c r="M228" i="19"/>
  <c r="M170" i="19"/>
  <c r="M112" i="19"/>
  <c r="T143" i="14"/>
  <c r="AA223" i="30"/>
  <c r="AA122" i="30"/>
  <c r="AA206" i="30"/>
  <c r="AA133" i="30"/>
  <c r="AA299" i="30"/>
  <c r="AA261" i="30"/>
  <c r="AA167" i="30"/>
  <c r="AA130" i="30"/>
  <c r="AA301" i="30"/>
  <c r="AA143" i="30"/>
  <c r="AA119" i="30"/>
  <c r="AA166" i="30"/>
  <c r="AA224" i="30"/>
  <c r="AA298" i="30"/>
  <c r="AA262" i="30"/>
  <c r="AA120" i="30"/>
  <c r="AA245" i="30"/>
  <c r="AA204" i="30"/>
  <c r="AA129" i="30"/>
  <c r="AA121" i="30"/>
  <c r="AA265" i="30"/>
  <c r="AA302" i="30"/>
  <c r="AA194" i="30"/>
  <c r="AA124" i="30"/>
  <c r="AA238" i="30"/>
  <c r="AA203" i="30"/>
  <c r="AA275" i="30"/>
  <c r="AA150" i="30"/>
  <c r="AA169" i="30"/>
  <c r="AA131" i="30"/>
  <c r="AA264" i="30"/>
  <c r="AA215" i="30"/>
  <c r="AA252" i="30"/>
  <c r="AA128" i="30"/>
  <c r="AA187" i="30"/>
  <c r="AA214" i="30"/>
  <c r="AA216" i="30"/>
  <c r="AA164" i="30"/>
  <c r="AA225" i="30"/>
  <c r="AA296" i="30"/>
  <c r="AA217" i="30"/>
  <c r="AA259" i="30"/>
  <c r="AA170" i="30"/>
  <c r="AA289" i="30"/>
  <c r="AA226" i="30"/>
  <c r="AA207" i="30"/>
  <c r="AA157" i="30"/>
  <c r="M200" i="19"/>
  <c r="M120" i="19"/>
  <c r="M265" i="19"/>
  <c r="G11" i="30"/>
  <c r="Z288" i="32"/>
  <c r="M127" i="19"/>
  <c r="M230" i="19"/>
  <c r="M202" i="19"/>
  <c r="M126" i="19"/>
  <c r="M144" i="19"/>
  <c r="M142" i="19"/>
  <c r="AA282" i="30"/>
  <c r="G7" i="14"/>
  <c r="G11" i="14"/>
  <c r="Z119" i="30"/>
  <c r="Z237" i="30"/>
  <c r="Z142" i="30"/>
  <c r="Z203" i="30"/>
  <c r="Z128" i="30"/>
  <c r="Z121" i="30"/>
  <c r="Z298" i="30"/>
  <c r="Z120" i="30"/>
  <c r="Z300" i="30"/>
  <c r="Z129" i="30"/>
  <c r="Z193" i="30"/>
  <c r="Z263" i="30"/>
  <c r="Z244" i="30"/>
  <c r="Z261" i="30"/>
  <c r="Z223" i="30"/>
  <c r="Z166" i="30"/>
  <c r="Z214" i="30"/>
  <c r="Z130" i="30"/>
  <c r="Z251" i="30"/>
  <c r="Z301" i="30"/>
  <c r="Z132" i="30"/>
  <c r="Z123" i="30"/>
  <c r="Z264" i="30"/>
  <c r="Z224" i="30"/>
  <c r="Z274" i="30"/>
  <c r="Z163" i="30"/>
  <c r="Z149" i="30"/>
  <c r="Z186" i="30"/>
  <c r="Z215" i="30"/>
  <c r="Z205" i="30"/>
  <c r="Z295" i="30"/>
  <c r="Z168" i="30"/>
  <c r="Z206" i="30"/>
  <c r="Z288" i="30"/>
  <c r="Z169" i="30"/>
  <c r="Z258" i="30"/>
  <c r="Z225" i="30"/>
  <c r="Z216" i="30"/>
  <c r="Z156" i="30"/>
  <c r="Z179" i="30"/>
  <c r="Z218" i="30"/>
  <c r="Z200" i="30"/>
  <c r="Z227" i="30"/>
  <c r="Z281" i="30"/>
  <c r="AA128" i="32"/>
  <c r="AA187" i="32"/>
  <c r="AA119" i="32"/>
  <c r="AA223" i="32"/>
  <c r="AA170" i="32"/>
  <c r="AA215" i="32"/>
  <c r="AA261" i="32"/>
  <c r="AA214" i="32"/>
  <c r="AA298" i="32"/>
  <c r="AA259" i="32"/>
  <c r="AA150" i="32"/>
  <c r="AA252" i="32"/>
  <c r="AA203" i="32"/>
  <c r="AA120" i="32"/>
  <c r="AA201" i="32"/>
  <c r="AA262" i="32"/>
  <c r="AA167" i="32"/>
  <c r="AA169" i="32"/>
  <c r="AA166" i="32"/>
  <c r="AA143" i="32"/>
  <c r="AA204" i="32"/>
  <c r="AA121" i="32"/>
  <c r="AA224" i="32"/>
  <c r="AA129" i="32"/>
  <c r="AA299" i="32"/>
  <c r="AA130" i="32"/>
  <c r="AA264" i="32"/>
  <c r="AA216" i="32"/>
  <c r="AA122" i="32"/>
  <c r="AA225" i="32"/>
  <c r="AA226" i="32"/>
  <c r="AA217" i="32"/>
  <c r="AA265" i="32"/>
  <c r="AA131" i="32"/>
  <c r="AA301" i="32"/>
  <c r="AA206" i="32"/>
  <c r="Z274" i="23"/>
  <c r="Z214" i="23"/>
  <c r="Z225" i="23"/>
  <c r="Z166" i="23"/>
  <c r="Z261" i="23"/>
  <c r="Z227" i="23"/>
  <c r="Z216" i="23"/>
  <c r="Z300" i="23"/>
  <c r="Z301" i="23"/>
  <c r="Z223" i="23"/>
  <c r="Z128" i="23"/>
  <c r="Z203" i="23"/>
  <c r="Z119" i="23"/>
  <c r="Z121" i="23"/>
  <c r="Z224" i="23"/>
  <c r="Z129" i="23"/>
  <c r="Z215" i="23"/>
  <c r="Z218" i="23"/>
  <c r="Z120" i="23"/>
  <c r="Z298" i="23"/>
  <c r="Z179" i="23"/>
  <c r="Z205" i="23"/>
  <c r="Z130" i="23"/>
  <c r="Z263" i="23"/>
  <c r="Z168" i="23"/>
  <c r="Z156" i="23"/>
  <c r="Z200" i="23"/>
  <c r="Z169" i="23"/>
  <c r="Z264" i="23"/>
  <c r="Z123" i="23"/>
  <c r="Z206" i="23"/>
  <c r="AA216" i="23"/>
  <c r="AA301" i="23"/>
  <c r="AA228" i="23"/>
  <c r="AA225" i="23"/>
  <c r="AA119" i="23"/>
  <c r="AA223" i="23"/>
  <c r="AA302" i="23"/>
  <c r="AA217" i="23"/>
  <c r="AA298" i="23"/>
  <c r="AA299" i="23"/>
  <c r="AA215" i="23"/>
  <c r="AA219" i="23"/>
  <c r="AA224" i="23"/>
  <c r="AA226" i="23"/>
  <c r="AA214" i="23"/>
  <c r="AA275" i="23"/>
  <c r="AA128" i="23"/>
  <c r="AA120" i="23"/>
  <c r="AA166" i="23"/>
  <c r="AA261" i="23"/>
  <c r="AA203" i="23"/>
  <c r="AA204" i="23"/>
  <c r="AA167" i="23"/>
  <c r="AA121" i="23"/>
  <c r="AA262" i="23"/>
  <c r="AA129" i="23"/>
  <c r="AA122" i="23"/>
  <c r="AA180" i="23"/>
  <c r="AA130" i="23"/>
  <c r="AA131" i="23"/>
  <c r="AA157" i="23"/>
  <c r="AA169" i="23"/>
  <c r="AA264" i="23"/>
  <c r="AA206" i="23"/>
  <c r="AA207" i="32"/>
  <c r="M258" i="19"/>
  <c r="AA302" i="32"/>
  <c r="Y283" i="19"/>
  <c r="Z193" i="32"/>
  <c r="Z156" i="32"/>
  <c r="M253" i="19"/>
  <c r="AA228" i="32"/>
  <c r="AA201" i="30"/>
  <c r="AA219" i="30"/>
  <c r="G7" i="17"/>
  <c r="G7" i="23"/>
  <c r="G11" i="23"/>
  <c r="M106" i="19"/>
  <c r="Z274" i="32"/>
  <c r="M221" i="19"/>
  <c r="AA133" i="32"/>
  <c r="AA219" i="32"/>
  <c r="M238" i="19"/>
  <c r="Z179" i="32"/>
  <c r="M135" i="19"/>
  <c r="M134" i="19"/>
  <c r="M223" i="19"/>
  <c r="Z227" i="32"/>
  <c r="AA124" i="32"/>
  <c r="B23" i="32"/>
  <c r="B22" i="32" s="1"/>
  <c r="B63" i="32"/>
  <c r="E51" i="38"/>
  <c r="E54" i="38"/>
  <c r="E47" i="17"/>
  <c r="F35" i="17"/>
  <c r="E49" i="17"/>
  <c r="AA150" i="23"/>
  <c r="B23" i="28"/>
  <c r="B22" i="28" s="1"/>
  <c r="B63" i="28"/>
  <c r="B23" i="17"/>
  <c r="B22" i="17" s="1"/>
  <c r="B63" i="17"/>
  <c r="D11" i="38"/>
  <c r="D7" i="38"/>
  <c r="F35" i="32"/>
  <c r="E49" i="32"/>
  <c r="E47" i="32"/>
  <c r="AA259" i="23"/>
  <c r="AA252" i="23"/>
  <c r="E10" i="25"/>
  <c r="E11" i="25"/>
  <c r="E6" i="25" s="1"/>
  <c r="Z120" i="38"/>
  <c r="Z163" i="38"/>
  <c r="Z179" i="38"/>
  <c r="Z274" i="38"/>
  <c r="Z166" i="38"/>
  <c r="Z169" i="38"/>
  <c r="Z128" i="38"/>
  <c r="Z121" i="38"/>
  <c r="Z142" i="38"/>
  <c r="Z218" i="38"/>
  <c r="Z298" i="38"/>
  <c r="Z301" i="38"/>
  <c r="Z223" i="38"/>
  <c r="Z216" i="38"/>
  <c r="Z156" i="38"/>
  <c r="Z227" i="38"/>
  <c r="Z264" i="38"/>
  <c r="Z214" i="38"/>
  <c r="Z130" i="38"/>
  <c r="Z193" i="38"/>
  <c r="Z258" i="38"/>
  <c r="Z203" i="38"/>
  <c r="Z263" i="38"/>
  <c r="Z224" i="38"/>
  <c r="Z200" i="38"/>
  <c r="Z129" i="38"/>
  <c r="Z237" i="38"/>
  <c r="Z215" i="38"/>
  <c r="Z119" i="38"/>
  <c r="Z288" i="38"/>
  <c r="Z206" i="38"/>
  <c r="Z149" i="38"/>
  <c r="Z168" i="38"/>
  <c r="Z251" i="38"/>
  <c r="Z261" i="38"/>
  <c r="Z244" i="38"/>
  <c r="Z225" i="38"/>
  <c r="Z295" i="38"/>
  <c r="Z186" i="38"/>
  <c r="Z205" i="38"/>
  <c r="Z132" i="38"/>
  <c r="Z300" i="38"/>
  <c r="Z123" i="38"/>
  <c r="Z281" i="38"/>
  <c r="M237" i="19"/>
  <c r="M114" i="19"/>
  <c r="D13" i="25"/>
  <c r="D7" i="25"/>
  <c r="F47" i="28"/>
  <c r="G35" i="28"/>
  <c r="D22" i="25"/>
  <c r="AA289" i="32"/>
  <c r="AA187" i="23"/>
  <c r="B25" i="25"/>
  <c r="B24" i="25" s="1"/>
  <c r="B65" i="25"/>
  <c r="AA180" i="32"/>
  <c r="AA129" i="38"/>
  <c r="AA131" i="38"/>
  <c r="AA201" i="38"/>
  <c r="AA289" i="38"/>
  <c r="AA207" i="38"/>
  <c r="AA265" i="38"/>
  <c r="AA261" i="38"/>
  <c r="AA215" i="38"/>
  <c r="AA226" i="38"/>
  <c r="AA245" i="38"/>
  <c r="AA167" i="38"/>
  <c r="AA169" i="38"/>
  <c r="AA224" i="38"/>
  <c r="AA122" i="38"/>
  <c r="AA219" i="38"/>
  <c r="AA124" i="38"/>
  <c r="AA298" i="38"/>
  <c r="AA203" i="38"/>
  <c r="AA264" i="38"/>
  <c r="AA128" i="38"/>
  <c r="AA121" i="38"/>
  <c r="AA252" i="38"/>
  <c r="AA180" i="38"/>
  <c r="AA194" i="38"/>
  <c r="AA166" i="38"/>
  <c r="AA262" i="38"/>
  <c r="AA206" i="38"/>
  <c r="AA120" i="38"/>
  <c r="AA259" i="38"/>
  <c r="AA301" i="38"/>
  <c r="AA223" i="38"/>
  <c r="AA187" i="38"/>
  <c r="AA296" i="38"/>
  <c r="AA119" i="38"/>
  <c r="AA150" i="38"/>
  <c r="AA238" i="38"/>
  <c r="AA302" i="38"/>
  <c r="AA214" i="38"/>
  <c r="AA164" i="38"/>
  <c r="AA157" i="38"/>
  <c r="AA170" i="38"/>
  <c r="AA228" i="38"/>
  <c r="AA275" i="38"/>
  <c r="AA217" i="38"/>
  <c r="AA225" i="38"/>
  <c r="AA216" i="38"/>
  <c r="AA130" i="38"/>
  <c r="AA299" i="38"/>
  <c r="AA143" i="38"/>
  <c r="AA204" i="38"/>
  <c r="AA133" i="38"/>
  <c r="AA282" i="38"/>
  <c r="I99" i="12"/>
  <c r="F32" i="38" s="1"/>
  <c r="F34" i="25"/>
  <c r="J89" i="12"/>
  <c r="M267" i="19"/>
  <c r="M128" i="19"/>
  <c r="AA194" i="23"/>
  <c r="AA245" i="23"/>
  <c r="I148" i="20"/>
  <c r="I141" i="20"/>
  <c r="I161" i="20" s="1"/>
  <c r="T238" i="32"/>
  <c r="AA238" i="32"/>
  <c r="Z119" i="40"/>
  <c r="Z130" i="40"/>
  <c r="Z149" i="40"/>
  <c r="Z281" i="40"/>
  <c r="Z203" i="40"/>
  <c r="Z264" i="40"/>
  <c r="Z129" i="40"/>
  <c r="Z258" i="40"/>
  <c r="Z227" i="40"/>
  <c r="Z237" i="40"/>
  <c r="Z300" i="40"/>
  <c r="Z120" i="40"/>
  <c r="Z288" i="40"/>
  <c r="Z200" i="40"/>
  <c r="Z244" i="40"/>
  <c r="Z168" i="40"/>
  <c r="Z215" i="40"/>
  <c r="Z295" i="40"/>
  <c r="Z132" i="40"/>
  <c r="Z163" i="40"/>
  <c r="Z206" i="40"/>
  <c r="Z301" i="40"/>
  <c r="Z214" i="40"/>
  <c r="Z193" i="40"/>
  <c r="Z223" i="40"/>
  <c r="Z218" i="40"/>
  <c r="Z128" i="40"/>
  <c r="Z179" i="40"/>
  <c r="Z261" i="40"/>
  <c r="Z142" i="40"/>
  <c r="Z166" i="40"/>
  <c r="Z186" i="40"/>
  <c r="Z274" i="40"/>
  <c r="Z169" i="40"/>
  <c r="Z216" i="40"/>
  <c r="Z121" i="40"/>
  <c r="Z205" i="40"/>
  <c r="Z224" i="40"/>
  <c r="Z225" i="40"/>
  <c r="Z298" i="40"/>
  <c r="Z263" i="40"/>
  <c r="Z156" i="40"/>
  <c r="Z123" i="40"/>
  <c r="Z251" i="40"/>
  <c r="P28" i="20"/>
  <c r="E148" i="20"/>
  <c r="E141" i="20"/>
  <c r="E161" i="20" s="1"/>
  <c r="B23" i="30"/>
  <c r="B22" i="30" s="1"/>
  <c r="B63" i="30"/>
  <c r="B71" i="30" s="1"/>
  <c r="B98" i="30" s="1"/>
  <c r="B23" i="40"/>
  <c r="B22" i="40" s="1"/>
  <c r="B63" i="40"/>
  <c r="AA296" i="32"/>
  <c r="BF16" i="18"/>
  <c r="AA282" i="32"/>
  <c r="M151" i="19"/>
  <c r="G25" i="19"/>
  <c r="H35" i="2" s="1"/>
  <c r="M172" i="19"/>
  <c r="I32" i="82"/>
  <c r="M158" i="19"/>
  <c r="F49" i="28"/>
  <c r="B23" i="23"/>
  <c r="B22" i="23" s="1"/>
  <c r="B63" i="23"/>
  <c r="E9" i="38"/>
  <c r="E49" i="25"/>
  <c r="E51" i="25"/>
  <c r="F37" i="25"/>
  <c r="E20" i="28"/>
  <c r="AA238" i="23"/>
  <c r="T238" i="23"/>
  <c r="AA289" i="23"/>
  <c r="AA296" i="23"/>
  <c r="AA194" i="32"/>
  <c r="B23" i="14"/>
  <c r="B22" i="14" s="1"/>
  <c r="B63" i="14"/>
  <c r="B23" i="89"/>
  <c r="B22" i="89" s="1"/>
  <c r="B63" i="89"/>
  <c r="AA223" i="40"/>
  <c r="AA130" i="40"/>
  <c r="AA143" i="40"/>
  <c r="AA228" i="40"/>
  <c r="AA219" i="40"/>
  <c r="AA261" i="40"/>
  <c r="AA203" i="40"/>
  <c r="AA170" i="40"/>
  <c r="AA120" i="40"/>
  <c r="AA226" i="40"/>
  <c r="AA194" i="40"/>
  <c r="AA296" i="40"/>
  <c r="AA265" i="40"/>
  <c r="AA224" i="40"/>
  <c r="AA122" i="40"/>
  <c r="AA180" i="40"/>
  <c r="AA206" i="40"/>
  <c r="AA169" i="40"/>
  <c r="AA215" i="40"/>
  <c r="AA217" i="40"/>
  <c r="AA124" i="40"/>
  <c r="AA133" i="40"/>
  <c r="AA207" i="40"/>
  <c r="AA225" i="40"/>
  <c r="AA299" i="40"/>
  <c r="AA216" i="40"/>
  <c r="AA282" i="40"/>
  <c r="AA166" i="40"/>
  <c r="AA121" i="40"/>
  <c r="AA164" i="40"/>
  <c r="AA167" i="40"/>
  <c r="AA129" i="40"/>
  <c r="AA289" i="40"/>
  <c r="AA204" i="40"/>
  <c r="AA119" i="40"/>
  <c r="AA264" i="40"/>
  <c r="AA150" i="40"/>
  <c r="AA259" i="40"/>
  <c r="AA302" i="40"/>
  <c r="AA275" i="40"/>
  <c r="AA238" i="40"/>
  <c r="AA131" i="40"/>
  <c r="AA301" i="40"/>
  <c r="AA262" i="40"/>
  <c r="AA214" i="40"/>
  <c r="AA128" i="40"/>
  <c r="AA245" i="40"/>
  <c r="AA157" i="40"/>
  <c r="AA298" i="40"/>
  <c r="AA201" i="40"/>
  <c r="AA187" i="40"/>
  <c r="AA252" i="40"/>
  <c r="L104" i="19"/>
  <c r="AA104" i="19" s="1"/>
  <c r="F33" i="25"/>
  <c r="J88" i="12"/>
  <c r="I98" i="12"/>
  <c r="F31" i="38" s="1"/>
  <c r="Z162" i="19"/>
  <c r="Z189" i="19"/>
  <c r="Z95" i="19"/>
  <c r="Z157" i="19"/>
  <c r="Z245" i="19"/>
  <c r="Z121" i="19"/>
  <c r="Z192" i="19"/>
  <c r="Z253" i="19"/>
  <c r="Z193" i="19"/>
  <c r="Z122" i="19"/>
  <c r="Z221" i="19"/>
  <c r="Z199" i="19"/>
  <c r="Z180" i="19"/>
  <c r="Z181" i="19"/>
  <c r="Z114" i="19"/>
  <c r="Z208" i="19"/>
  <c r="Z164" i="19"/>
  <c r="Z239" i="19"/>
  <c r="Z223" i="19"/>
  <c r="Z217" i="19"/>
  <c r="Z159" i="19"/>
  <c r="Z107" i="19"/>
  <c r="Z94" i="19"/>
  <c r="Z142" i="19"/>
  <c r="Z201" i="19"/>
  <c r="Z150" i="19"/>
  <c r="Z127" i="19"/>
  <c r="Z128" i="19"/>
  <c r="Z216" i="19"/>
  <c r="Z166" i="19"/>
  <c r="Z108" i="19"/>
  <c r="Z111" i="19"/>
  <c r="Z105" i="19"/>
  <c r="Z215" i="19"/>
  <c r="Z118" i="19"/>
  <c r="Z149" i="19"/>
  <c r="Z222" i="19"/>
  <c r="Z183" i="19"/>
  <c r="Z261" i="19"/>
  <c r="Z254" i="19"/>
  <c r="Z231" i="19"/>
  <c r="Z250" i="19"/>
  <c r="Z86" i="19"/>
  <c r="Z252" i="19"/>
  <c r="Z151" i="19"/>
  <c r="Z260" i="19"/>
  <c r="Z210" i="19"/>
  <c r="Z141" i="19"/>
  <c r="Z200" i="19"/>
  <c r="Z87" i="19"/>
  <c r="Z209" i="19"/>
  <c r="Z246" i="19"/>
  <c r="Z152" i="19"/>
  <c r="Z220" i="19"/>
  <c r="Z136" i="19"/>
  <c r="Z85" i="19"/>
  <c r="Z190" i="19"/>
  <c r="Z238" i="19"/>
  <c r="Z96" i="19"/>
  <c r="Z144" i="19"/>
  <c r="Z240" i="19"/>
  <c r="Z214" i="19"/>
  <c r="Z119" i="19"/>
  <c r="Z115" i="19"/>
  <c r="Z213" i="19"/>
  <c r="Z112" i="19"/>
  <c r="Z172" i="19"/>
  <c r="Z134" i="19"/>
  <c r="Z88" i="19"/>
  <c r="Z89" i="19"/>
  <c r="Z113" i="19"/>
  <c r="Z156" i="19"/>
  <c r="Z202" i="19"/>
  <c r="Z184" i="19"/>
  <c r="Z132" i="19"/>
  <c r="Z228" i="19"/>
  <c r="Z257" i="19"/>
  <c r="Z97" i="19"/>
  <c r="Z163" i="19"/>
  <c r="Z165" i="19"/>
  <c r="Z203" i="19"/>
  <c r="Z268" i="19"/>
  <c r="Z230" i="19"/>
  <c r="Z251" i="19"/>
  <c r="Z126" i="19"/>
  <c r="Z191" i="19"/>
  <c r="Z247" i="19"/>
  <c r="Z227" i="19"/>
  <c r="Z133" i="19"/>
  <c r="Z258" i="19"/>
  <c r="Z98" i="19"/>
  <c r="Z259" i="19"/>
  <c r="Z171" i="19"/>
  <c r="Z173" i="19"/>
  <c r="Z243" i="19"/>
  <c r="Z120" i="19"/>
  <c r="Z206" i="19"/>
  <c r="Z265" i="19"/>
  <c r="Z237" i="19"/>
  <c r="Z104" i="19"/>
  <c r="Z106" i="19"/>
  <c r="Z182" i="19"/>
  <c r="Z170" i="19"/>
  <c r="Z143" i="19"/>
  <c r="Z169" i="19"/>
  <c r="Z155" i="19"/>
  <c r="Z267" i="19"/>
  <c r="Z244" i="19"/>
  <c r="Z224" i="19"/>
  <c r="Z148" i="19"/>
  <c r="Z264" i="19"/>
  <c r="Z236" i="19"/>
  <c r="Z229" i="19"/>
  <c r="Z207" i="19"/>
  <c r="Z125" i="19"/>
  <c r="Z129" i="19"/>
  <c r="Z145" i="19"/>
  <c r="Z158" i="19"/>
  <c r="Z135" i="19"/>
  <c r="Z266" i="19"/>
  <c r="L141" i="19"/>
  <c r="AA141" i="19" s="1"/>
  <c r="S20" i="20"/>
  <c r="AA275" i="32"/>
  <c r="F25" i="19"/>
  <c r="G35" i="2" s="1"/>
  <c r="M260" i="19"/>
  <c r="Y282" i="19"/>
  <c r="M209" i="19"/>
  <c r="K148" i="20"/>
  <c r="K141" i="20"/>
  <c r="K161" i="20" s="1"/>
  <c r="P45" i="20"/>
  <c r="P64" i="20"/>
  <c r="P70" i="20" s="1"/>
  <c r="P134" i="20" s="1"/>
  <c r="B23" i="38"/>
  <c r="B22" i="38" s="1"/>
  <c r="B63" i="38"/>
  <c r="AA164" i="23"/>
  <c r="E56" i="25"/>
  <c r="E53" i="25"/>
  <c r="R111" i="20"/>
  <c r="AA194" i="19"/>
  <c r="AA211" i="19"/>
  <c r="AA180" i="19"/>
  <c r="AA201" i="19"/>
  <c r="AA96" i="19"/>
  <c r="AA121" i="19"/>
  <c r="AA240" i="19"/>
  <c r="AA129" i="19"/>
  <c r="AA216" i="19"/>
  <c r="AA189" i="19"/>
  <c r="AA143" i="19"/>
  <c r="AA87" i="19"/>
  <c r="AA192" i="19"/>
  <c r="AA184" i="19"/>
  <c r="AA224" i="19"/>
  <c r="AA262" i="19"/>
  <c r="AA153" i="19"/>
  <c r="AA225" i="19"/>
  <c r="AA155" i="19"/>
  <c r="AA157" i="19"/>
  <c r="AA164" i="19"/>
  <c r="AA115" i="19"/>
  <c r="AA145" i="19"/>
  <c r="AA203" i="19"/>
  <c r="AA113" i="19"/>
  <c r="AA95" i="19"/>
  <c r="AA191" i="19"/>
  <c r="AA151" i="19"/>
  <c r="AA122" i="19"/>
  <c r="AA146" i="19"/>
  <c r="AA114" i="19"/>
  <c r="AA130" i="19"/>
  <c r="AA85" i="19"/>
  <c r="AA127" i="19"/>
  <c r="AA144" i="19"/>
  <c r="AA159" i="19"/>
  <c r="AA163" i="19"/>
  <c r="AA252" i="19"/>
  <c r="AA209" i="19"/>
  <c r="AA260" i="19"/>
  <c r="AA160" i="19"/>
  <c r="AA94" i="19"/>
  <c r="AA182" i="19"/>
  <c r="AA158" i="19"/>
  <c r="AA166" i="19"/>
  <c r="AA222" i="19"/>
  <c r="AA218" i="19"/>
  <c r="AA248" i="19"/>
  <c r="AA120" i="19"/>
  <c r="AA128" i="19"/>
  <c r="AA210" i="19"/>
  <c r="AA246" i="19"/>
  <c r="AA88" i="19"/>
  <c r="AA202" i="19"/>
  <c r="AA254" i="19"/>
  <c r="AA174" i="19"/>
  <c r="AA228" i="19"/>
  <c r="AA227" i="19"/>
  <c r="AA244" i="19"/>
  <c r="AA149" i="19"/>
  <c r="AA165" i="19"/>
  <c r="AA116" i="19"/>
  <c r="AA172" i="19"/>
  <c r="AA135" i="19"/>
  <c r="AA169" i="19"/>
  <c r="AA207" i="19"/>
  <c r="AA112" i="19"/>
  <c r="AA206" i="19"/>
  <c r="AA89" i="19"/>
  <c r="AA167" i="19"/>
  <c r="AA183" i="19"/>
  <c r="AA261" i="19"/>
  <c r="AA253" i="19"/>
  <c r="AA259" i="19"/>
  <c r="AA136" i="19"/>
  <c r="AA229" i="19"/>
  <c r="AA173" i="19"/>
  <c r="AA142" i="19"/>
  <c r="AA251" i="19"/>
  <c r="AA241" i="19"/>
  <c r="AA150" i="19"/>
  <c r="AA193" i="19"/>
  <c r="AA208" i="19"/>
  <c r="AA223" i="19"/>
  <c r="AA268" i="19"/>
  <c r="AA230" i="19"/>
  <c r="AA171" i="19"/>
  <c r="AA119" i="19"/>
  <c r="AA214" i="19"/>
  <c r="AA90" i="19"/>
  <c r="AA108" i="19"/>
  <c r="AA181" i="19"/>
  <c r="AA239" i="19"/>
  <c r="AA106" i="19"/>
  <c r="AA264" i="19"/>
  <c r="AA267" i="19"/>
  <c r="AA109" i="19"/>
  <c r="AA190" i="19"/>
  <c r="AA232" i="19"/>
  <c r="AA266" i="19"/>
  <c r="AA86" i="19"/>
  <c r="AA265" i="19"/>
  <c r="AA134" i="19"/>
  <c r="AA123" i="19"/>
  <c r="AA255" i="19"/>
  <c r="AA245" i="19"/>
  <c r="AA107" i="19"/>
  <c r="AA269" i="19"/>
  <c r="AA238" i="19"/>
  <c r="AA258" i="19"/>
  <c r="AA221" i="19"/>
  <c r="AA152" i="19"/>
  <c r="AA132" i="19"/>
  <c r="AA215" i="19"/>
  <c r="AA217" i="19"/>
  <c r="AA133" i="19"/>
  <c r="AA105" i="19"/>
  <c r="AA98" i="19"/>
  <c r="AA247" i="19"/>
  <c r="AA170" i="19"/>
  <c r="AA99" i="19"/>
  <c r="AA185" i="19"/>
  <c r="AA97" i="19"/>
  <c r="AA231" i="19"/>
  <c r="AA237" i="19"/>
  <c r="AA126" i="19"/>
  <c r="AA137" i="19"/>
  <c r="AA156" i="19"/>
  <c r="AA200" i="19"/>
  <c r="AA204" i="19"/>
  <c r="C20" i="17"/>
  <c r="E23" i="19"/>
  <c r="F33" i="2" s="1"/>
  <c r="G11" i="40" l="1"/>
  <c r="G7" i="89"/>
  <c r="AA282" i="23"/>
  <c r="Z281" i="89"/>
  <c r="Z149" i="89"/>
  <c r="Z179" i="89"/>
  <c r="Z244" i="89"/>
  <c r="B108" i="30"/>
  <c r="B105" i="30"/>
  <c r="B80" i="30"/>
  <c r="B75" i="30"/>
  <c r="B103" i="30"/>
  <c r="B87" i="30"/>
  <c r="B85" i="30"/>
  <c r="H175" i="30" s="1"/>
  <c r="B86" i="30"/>
  <c r="B79" i="30"/>
  <c r="B82" i="30"/>
  <c r="B106" i="30"/>
  <c r="AA118" i="19"/>
  <c r="B92" i="30"/>
  <c r="B93" i="30"/>
  <c r="B96" i="30"/>
  <c r="B102" i="30"/>
  <c r="B76" i="30"/>
  <c r="B81" i="30"/>
  <c r="B88" i="30"/>
  <c r="B97" i="30"/>
  <c r="B83" i="30"/>
  <c r="B89" i="30"/>
  <c r="B100" i="30"/>
  <c r="B99" i="30"/>
  <c r="B104" i="30"/>
  <c r="AA143" i="23"/>
  <c r="R136" i="20"/>
  <c r="AA111" i="19"/>
  <c r="AA157" i="89"/>
  <c r="AA296" i="89"/>
  <c r="AA187" i="89"/>
  <c r="AA289" i="89"/>
  <c r="AA199" i="19"/>
  <c r="Z301" i="89"/>
  <c r="Z261" i="89"/>
  <c r="Z166" i="89"/>
  <c r="Z258" i="89"/>
  <c r="Z142" i="89"/>
  <c r="Z295" i="89"/>
  <c r="Z200" i="89"/>
  <c r="Z251" i="89"/>
  <c r="Z168" i="89"/>
  <c r="Z264" i="89"/>
  <c r="Z129" i="89"/>
  <c r="Z274" i="89"/>
  <c r="Z203" i="89"/>
  <c r="Z224" i="89"/>
  <c r="Z169" i="89"/>
  <c r="Z123" i="89"/>
  <c r="Z163" i="89"/>
  <c r="Z225" i="89"/>
  <c r="Z298" i="89"/>
  <c r="Z121" i="89"/>
  <c r="Z300" i="89"/>
  <c r="Z205" i="89"/>
  <c r="Z218" i="89"/>
  <c r="Z216" i="89"/>
  <c r="Z223" i="89"/>
  <c r="Z186" i="89"/>
  <c r="Z288" i="89"/>
  <c r="Z119" i="89"/>
  <c r="Z215" i="89"/>
  <c r="Z128" i="89"/>
  <c r="Z130" i="89"/>
  <c r="Z263" i="89"/>
  <c r="Z120" i="89"/>
  <c r="Z156" i="89"/>
  <c r="Z227" i="89"/>
  <c r="Z214" i="89"/>
  <c r="Z237" i="89"/>
  <c r="Z206" i="89"/>
  <c r="AA133" i="89"/>
  <c r="AA265" i="89"/>
  <c r="AA120" i="89"/>
  <c r="AA143" i="89"/>
  <c r="AA203" i="89"/>
  <c r="AA261" i="89"/>
  <c r="AA214" i="89"/>
  <c r="AA201" i="89"/>
  <c r="AA169" i="89"/>
  <c r="AA302" i="89"/>
  <c r="AA129" i="89"/>
  <c r="AA204" i="89"/>
  <c r="AA119" i="89"/>
  <c r="AA275" i="89"/>
  <c r="AA206" i="89"/>
  <c r="AA131" i="89"/>
  <c r="AA223" i="89"/>
  <c r="AA217" i="89"/>
  <c r="AA301" i="89"/>
  <c r="AA225" i="89"/>
  <c r="AA124" i="89"/>
  <c r="AA128" i="89"/>
  <c r="AA219" i="89"/>
  <c r="AA264" i="89"/>
  <c r="AA298" i="89"/>
  <c r="AA238" i="89"/>
  <c r="AA215" i="89"/>
  <c r="AA228" i="89"/>
  <c r="AA167" i="89"/>
  <c r="AA166" i="89"/>
  <c r="AA122" i="89"/>
  <c r="AA170" i="89"/>
  <c r="AA259" i="89"/>
  <c r="AA299" i="89"/>
  <c r="AA121" i="89"/>
  <c r="AA216" i="89"/>
  <c r="AA130" i="89"/>
  <c r="AA226" i="89"/>
  <c r="AA224" i="89"/>
  <c r="AA262" i="89"/>
  <c r="AA254" i="25"/>
  <c r="M220" i="19"/>
  <c r="AA252" i="89"/>
  <c r="Z193" i="89"/>
  <c r="AA207" i="89"/>
  <c r="AA213" i="19"/>
  <c r="S33" i="20"/>
  <c r="S66" i="20" s="1"/>
  <c r="S69" i="20" s="1"/>
  <c r="Q69" i="20"/>
  <c r="Q136" i="20"/>
  <c r="D29" i="17"/>
  <c r="D49" i="17" s="1"/>
  <c r="D20" i="17" s="1"/>
  <c r="C30" i="14"/>
  <c r="V31" i="18" s="1"/>
  <c r="AU97" i="18" s="1"/>
  <c r="F75" i="85" s="1"/>
  <c r="M250" i="19"/>
  <c r="AA257" i="19"/>
  <c r="F70" i="12"/>
  <c r="C33" i="17" s="1"/>
  <c r="F50" i="12"/>
  <c r="C33" i="14" s="1"/>
  <c r="M85" i="14" s="1"/>
  <c r="F176" i="14" s="1"/>
  <c r="D20" i="32"/>
  <c r="M148" i="19"/>
  <c r="AA162" i="19"/>
  <c r="M243" i="19"/>
  <c r="I50" i="12"/>
  <c r="F33" i="14" s="1"/>
  <c r="P81" i="14" s="1"/>
  <c r="F156" i="14" s="1"/>
  <c r="I45" i="12"/>
  <c r="I46" i="12" s="1"/>
  <c r="G50" i="12"/>
  <c r="D33" i="14" s="1"/>
  <c r="N89" i="14" s="1"/>
  <c r="F205" i="14" s="1"/>
  <c r="H45" i="12"/>
  <c r="H95" i="12" s="1"/>
  <c r="E28" i="38" s="1"/>
  <c r="E47" i="38" s="1"/>
  <c r="Q106" i="14"/>
  <c r="F303" i="14" s="1"/>
  <c r="M236" i="19"/>
  <c r="H50" i="12"/>
  <c r="E33" i="14" s="1"/>
  <c r="O87" i="14" s="1"/>
  <c r="F192" i="14" s="1"/>
  <c r="G45" i="12"/>
  <c r="G95" i="12" s="1"/>
  <c r="M125" i="19"/>
  <c r="AA245" i="89"/>
  <c r="E49" i="40"/>
  <c r="F35" i="40"/>
  <c r="E47" i="40"/>
  <c r="AA282" i="89"/>
  <c r="F35" i="89"/>
  <c r="E47" i="89"/>
  <c r="E49" i="89"/>
  <c r="AA17" i="65"/>
  <c r="AA27" i="65"/>
  <c r="AA189" i="25"/>
  <c r="D20" i="89"/>
  <c r="F35" i="30"/>
  <c r="E47" i="30"/>
  <c r="E49" i="30"/>
  <c r="D20" i="23"/>
  <c r="F35" i="23"/>
  <c r="E47" i="23"/>
  <c r="E49" i="23"/>
  <c r="AA284" i="25"/>
  <c r="Q103" i="14"/>
  <c r="F282" i="14" s="1"/>
  <c r="D20" i="40"/>
  <c r="AA298" i="25"/>
  <c r="Q76" i="14"/>
  <c r="F133" i="14" s="1"/>
  <c r="D20" i="30"/>
  <c r="I41" i="82"/>
  <c r="Z168" i="25"/>
  <c r="Z246" i="25"/>
  <c r="Z239" i="25"/>
  <c r="Z134" i="25"/>
  <c r="Z220" i="25"/>
  <c r="Z260" i="25"/>
  <c r="Z225" i="25"/>
  <c r="Z216" i="25"/>
  <c r="Z125" i="25"/>
  <c r="Z217" i="25"/>
  <c r="Z158" i="25"/>
  <c r="Z303" i="25"/>
  <c r="Z151" i="25"/>
  <c r="Z132" i="25"/>
  <c r="Z123" i="25"/>
  <c r="Z131" i="25"/>
  <c r="Z208" i="25"/>
  <c r="Z181" i="25"/>
  <c r="Z130" i="25"/>
  <c r="Z226" i="25"/>
  <c r="Z121" i="25"/>
  <c r="Z227" i="25"/>
  <c r="Z122" i="25"/>
  <c r="Z170" i="25"/>
  <c r="Z218" i="25"/>
  <c r="Z188" i="25"/>
  <c r="Z207" i="25"/>
  <c r="Z263" i="25"/>
  <c r="Z202" i="25"/>
  <c r="Z290" i="25"/>
  <c r="Z302" i="25"/>
  <c r="Z144" i="25"/>
  <c r="Z165" i="25"/>
  <c r="Z265" i="25"/>
  <c r="Z300" i="25"/>
  <c r="Z205" i="25"/>
  <c r="Z229" i="25"/>
  <c r="Z195" i="25"/>
  <c r="Z171" i="25"/>
  <c r="Z266" i="25"/>
  <c r="Z276" i="25"/>
  <c r="Z253" i="25"/>
  <c r="Z297" i="25"/>
  <c r="Z283" i="25"/>
  <c r="AA143" i="14"/>
  <c r="Q83" i="14"/>
  <c r="F171" i="14" s="1"/>
  <c r="Q86" i="14"/>
  <c r="F187" i="14" s="1"/>
  <c r="Q89" i="14"/>
  <c r="F208" i="14" s="1"/>
  <c r="Q98" i="14"/>
  <c r="F252" i="14" s="1"/>
  <c r="Q79" i="14"/>
  <c r="F143" i="14" s="1"/>
  <c r="AA187" i="14"/>
  <c r="AA238" i="14"/>
  <c r="AA167" i="14"/>
  <c r="AA299" i="14"/>
  <c r="AA219" i="14"/>
  <c r="AA289" i="14"/>
  <c r="AA261" i="14"/>
  <c r="AA203" i="14"/>
  <c r="AA226" i="14"/>
  <c r="AA121" i="14"/>
  <c r="AA214" i="14"/>
  <c r="AA166" i="14"/>
  <c r="AA120" i="14"/>
  <c r="AA216" i="14"/>
  <c r="AA298" i="14"/>
  <c r="AA124" i="14"/>
  <c r="AA215" i="14"/>
  <c r="AA119" i="14"/>
  <c r="AA225" i="14"/>
  <c r="AA128" i="14"/>
  <c r="AA224" i="14"/>
  <c r="AA122" i="14"/>
  <c r="AA223" i="14"/>
  <c r="AA228" i="14"/>
  <c r="AA157" i="14"/>
  <c r="AA194" i="14"/>
  <c r="AA217" i="14"/>
  <c r="AA262" i="14"/>
  <c r="AA129" i="14"/>
  <c r="AA204" i="14"/>
  <c r="AA206" i="14"/>
  <c r="AA130" i="14"/>
  <c r="AA164" i="14"/>
  <c r="AA131" i="14"/>
  <c r="AA259" i="14"/>
  <c r="AA264" i="14"/>
  <c r="AA169" i="14"/>
  <c r="AA245" i="14"/>
  <c r="AA301" i="14"/>
  <c r="AA207" i="14"/>
  <c r="AA302" i="14"/>
  <c r="AA252" i="14"/>
  <c r="AA265" i="14"/>
  <c r="AA170" i="14"/>
  <c r="AA180" i="89"/>
  <c r="Z258" i="28"/>
  <c r="Z237" i="28"/>
  <c r="Z120" i="28"/>
  <c r="Z216" i="28"/>
  <c r="Z168" i="28"/>
  <c r="Z218" i="28"/>
  <c r="Z224" i="28"/>
  <c r="Z205" i="28"/>
  <c r="Z179" i="28"/>
  <c r="Z193" i="28"/>
  <c r="Z227" i="28"/>
  <c r="Z206" i="28"/>
  <c r="Z203" i="28"/>
  <c r="Z244" i="28"/>
  <c r="Z132" i="28"/>
  <c r="Z121" i="28"/>
  <c r="Z223" i="28"/>
  <c r="Z169" i="28"/>
  <c r="Z186" i="28"/>
  <c r="Z225" i="28"/>
  <c r="Z298" i="28"/>
  <c r="Z128" i="28"/>
  <c r="Z261" i="28"/>
  <c r="Z251" i="28"/>
  <c r="Z301" i="28"/>
  <c r="Z156" i="28"/>
  <c r="Z123" i="28"/>
  <c r="Z274" i="28"/>
  <c r="Z215" i="28"/>
  <c r="Z300" i="28"/>
  <c r="Z149" i="28"/>
  <c r="Z129" i="28"/>
  <c r="Z119" i="28"/>
  <c r="Z130" i="28"/>
  <c r="Z200" i="28"/>
  <c r="Z295" i="28"/>
  <c r="Z288" i="28"/>
  <c r="Z166" i="28"/>
  <c r="Z281" i="28"/>
  <c r="Z263" i="28"/>
  <c r="Z264" i="28"/>
  <c r="Z142" i="28"/>
  <c r="Z163" i="28"/>
  <c r="Z214" i="28"/>
  <c r="AA194" i="89"/>
  <c r="Q81" i="14"/>
  <c r="F157" i="14" s="1"/>
  <c r="Q96" i="14"/>
  <c r="F238" i="14" s="1"/>
  <c r="Q93" i="14"/>
  <c r="F228" i="14" s="1"/>
  <c r="Q92" i="14"/>
  <c r="F219" i="14" s="1"/>
  <c r="Q75" i="14"/>
  <c r="F124" i="14" s="1"/>
  <c r="Q88" i="14"/>
  <c r="F201" i="14" s="1"/>
  <c r="AA282" i="28"/>
  <c r="AA245" i="28"/>
  <c r="AA226" i="28"/>
  <c r="AA262" i="28"/>
  <c r="AA298" i="28"/>
  <c r="AA302" i="28"/>
  <c r="AA264" i="28"/>
  <c r="AA299" i="28"/>
  <c r="AA120" i="28"/>
  <c r="AA143" i="28"/>
  <c r="AA128" i="28"/>
  <c r="AA206" i="28"/>
  <c r="AA289" i="28"/>
  <c r="AA129" i="28"/>
  <c r="AA275" i="28"/>
  <c r="AA216" i="28"/>
  <c r="AA180" i="28"/>
  <c r="AA301" i="28"/>
  <c r="AA203" i="28"/>
  <c r="AA166" i="28"/>
  <c r="AA169" i="28"/>
  <c r="AA224" i="28"/>
  <c r="AA194" i="28"/>
  <c r="AA157" i="28"/>
  <c r="AA130" i="28"/>
  <c r="AA187" i="28"/>
  <c r="AA228" i="28"/>
  <c r="AA121" i="28"/>
  <c r="AA119" i="28"/>
  <c r="AA124" i="28"/>
  <c r="AA164" i="28"/>
  <c r="AA201" i="28"/>
  <c r="AA131" i="28"/>
  <c r="AA167" i="28"/>
  <c r="AA261" i="28"/>
  <c r="AA225" i="28"/>
  <c r="AA150" i="28"/>
  <c r="AA122" i="28"/>
  <c r="AA204" i="28"/>
  <c r="AA223" i="28"/>
  <c r="AA219" i="28"/>
  <c r="AA217" i="28"/>
  <c r="AA215" i="28"/>
  <c r="AA296" i="28"/>
  <c r="AA170" i="28"/>
  <c r="AA265" i="28"/>
  <c r="AA133" i="28"/>
  <c r="AA207" i="28"/>
  <c r="AA238" i="28"/>
  <c r="AA252" i="28"/>
  <c r="AA259" i="28"/>
  <c r="AA214" i="28"/>
  <c r="AA150" i="89"/>
  <c r="Z121" i="14"/>
  <c r="Z216" i="14"/>
  <c r="Z119" i="14"/>
  <c r="Z120" i="14"/>
  <c r="Z186" i="14"/>
  <c r="Z224" i="14"/>
  <c r="Z223" i="14"/>
  <c r="Z214" i="14"/>
  <c r="Z298" i="14"/>
  <c r="Z128" i="14"/>
  <c r="Z205" i="14"/>
  <c r="Z193" i="14"/>
  <c r="Z203" i="14"/>
  <c r="Z227" i="14"/>
  <c r="Z225" i="14"/>
  <c r="Z261" i="14"/>
  <c r="Z237" i="14"/>
  <c r="Z123" i="14"/>
  <c r="Z218" i="14"/>
  <c r="Z156" i="14"/>
  <c r="Z166" i="14"/>
  <c r="Z215" i="14"/>
  <c r="Z288" i="14"/>
  <c r="Z163" i="14"/>
  <c r="Z129" i="14"/>
  <c r="Z244" i="14"/>
  <c r="Z263" i="14"/>
  <c r="Z130" i="14"/>
  <c r="Z300" i="14"/>
  <c r="Z258" i="14"/>
  <c r="Z168" i="14"/>
  <c r="Z206" i="14"/>
  <c r="Z301" i="14"/>
  <c r="Z251" i="14"/>
  <c r="Z264" i="14"/>
  <c r="Z169" i="14"/>
  <c r="Z179" i="14"/>
  <c r="Z281" i="14"/>
  <c r="Z149" i="14"/>
  <c r="Z295" i="14"/>
  <c r="Z132" i="14"/>
  <c r="Z200" i="14"/>
  <c r="Z142" i="14"/>
  <c r="Z274" i="14"/>
  <c r="AA133" i="14"/>
  <c r="Q104" i="14"/>
  <c r="F289" i="14" s="1"/>
  <c r="Q97" i="14"/>
  <c r="F245" i="14" s="1"/>
  <c r="Q102" i="14"/>
  <c r="F275" i="14" s="1"/>
  <c r="Q100" i="14"/>
  <c r="F266" i="14" s="1"/>
  <c r="AA150" i="14"/>
  <c r="AA230" i="25"/>
  <c r="AA301" i="25"/>
  <c r="AA303" i="25"/>
  <c r="AA267" i="25"/>
  <c r="AA159" i="25"/>
  <c r="AA196" i="25"/>
  <c r="AA226" i="25"/>
  <c r="AA221" i="25"/>
  <c r="AA132" i="25"/>
  <c r="AA217" i="25"/>
  <c r="AA123" i="25"/>
  <c r="AA130" i="25"/>
  <c r="AA171" i="25"/>
  <c r="AA205" i="25"/>
  <c r="AA135" i="25"/>
  <c r="AA203" i="25"/>
  <c r="AA133" i="25"/>
  <c r="AA169" i="25"/>
  <c r="AA122" i="25"/>
  <c r="AA225" i="25"/>
  <c r="AA168" i="25"/>
  <c r="AA218" i="25"/>
  <c r="AA266" i="25"/>
  <c r="AA172" i="25"/>
  <c r="AA124" i="25"/>
  <c r="AA247" i="25"/>
  <c r="AA216" i="25"/>
  <c r="AA208" i="25"/>
  <c r="AA264" i="25"/>
  <c r="AA145" i="25"/>
  <c r="AA261" i="25"/>
  <c r="AA126" i="25"/>
  <c r="AA206" i="25"/>
  <c r="AA300" i="25"/>
  <c r="AA240" i="25"/>
  <c r="AA121" i="25"/>
  <c r="AA291" i="25"/>
  <c r="AA219" i="25"/>
  <c r="AA263" i="25"/>
  <c r="AA209" i="25"/>
  <c r="AA277" i="25"/>
  <c r="AA166" i="25"/>
  <c r="AA228" i="25"/>
  <c r="AA131" i="25"/>
  <c r="AA227" i="25"/>
  <c r="AA304" i="25"/>
  <c r="AA182" i="25"/>
  <c r="Q80" i="14"/>
  <c r="F150" i="14" s="1"/>
  <c r="Q99" i="14"/>
  <c r="F259" i="14" s="1"/>
  <c r="Q105" i="14"/>
  <c r="F296" i="14" s="1"/>
  <c r="AA296" i="14"/>
  <c r="Q108" i="14"/>
  <c r="F312" i="14" s="1"/>
  <c r="AA282" i="14"/>
  <c r="Q85" i="14"/>
  <c r="F180" i="14" s="1"/>
  <c r="Q87" i="14"/>
  <c r="F194" i="14" s="1"/>
  <c r="AA275" i="14"/>
  <c r="AA180" i="14"/>
  <c r="F95" i="12"/>
  <c r="C28" i="14"/>
  <c r="C47" i="14" s="1"/>
  <c r="F46" i="12"/>
  <c r="J95" i="12"/>
  <c r="G28" i="38" s="1"/>
  <c r="G47" i="38" s="1"/>
  <c r="G28" i="14"/>
  <c r="G47" i="14" s="1"/>
  <c r="J46" i="12"/>
  <c r="B41" i="14"/>
  <c r="U27" i="18" s="1"/>
  <c r="AT93" i="18" s="1"/>
  <c r="B38" i="14"/>
  <c r="U24" i="18" s="1"/>
  <c r="F49" i="32"/>
  <c r="G35" i="32"/>
  <c r="F47" i="32"/>
  <c r="J98" i="12"/>
  <c r="G31" i="38" s="1"/>
  <c r="G33" i="25"/>
  <c r="F54" i="38"/>
  <c r="F51" i="38"/>
  <c r="B41" i="89"/>
  <c r="U153" i="18" s="1"/>
  <c r="B38" i="89"/>
  <c r="U150" i="18" s="1"/>
  <c r="B19" i="30"/>
  <c r="B38" i="28"/>
  <c r="U94" i="18" s="1"/>
  <c r="B41" i="28"/>
  <c r="U97" i="18" s="1"/>
  <c r="AT21" i="18" s="1"/>
  <c r="B41" i="38"/>
  <c r="U83" i="18" s="1"/>
  <c r="AT162" i="18" s="1"/>
  <c r="B38" i="38"/>
  <c r="U80" i="18" s="1"/>
  <c r="G70" i="12"/>
  <c r="D30" i="17"/>
  <c r="W45" i="18" s="1"/>
  <c r="AV119" i="18" s="1"/>
  <c r="Q75" i="85" s="1"/>
  <c r="B41" i="32"/>
  <c r="U125" i="18" s="1"/>
  <c r="AT172" i="18" s="1"/>
  <c r="B38" i="32"/>
  <c r="U122" i="18" s="1"/>
  <c r="F53" i="25"/>
  <c r="F56" i="25"/>
  <c r="E20" i="32"/>
  <c r="B71" i="89"/>
  <c r="B19" i="89"/>
  <c r="E22" i="25"/>
  <c r="B41" i="40"/>
  <c r="U139" i="18" s="1"/>
  <c r="B38" i="40"/>
  <c r="U136" i="18" s="1"/>
  <c r="B43" i="25"/>
  <c r="U69" i="18" s="1"/>
  <c r="AT125" i="18" s="1"/>
  <c r="B40" i="25"/>
  <c r="U66" i="18" s="1"/>
  <c r="B71" i="28"/>
  <c r="B108" i="28" s="1"/>
  <c r="B19" i="28"/>
  <c r="AA283" i="19"/>
  <c r="E7" i="25"/>
  <c r="E13" i="25"/>
  <c r="E20" i="17"/>
  <c r="B19" i="38"/>
  <c r="B71" i="38"/>
  <c r="BG16" i="18"/>
  <c r="B71" i="14"/>
  <c r="B108" i="14" s="1"/>
  <c r="B19" i="14"/>
  <c r="B41" i="30"/>
  <c r="U111" i="18" s="1"/>
  <c r="AT31" i="18" s="1"/>
  <c r="B38" i="30"/>
  <c r="U108" i="18" s="1"/>
  <c r="P133" i="20"/>
  <c r="P154" i="20"/>
  <c r="M104" i="19"/>
  <c r="G37" i="25"/>
  <c r="F49" i="25"/>
  <c r="F51" i="25"/>
  <c r="B19" i="40"/>
  <c r="B71" i="40"/>
  <c r="B21" i="25"/>
  <c r="B73" i="25"/>
  <c r="B110" i="25" s="1"/>
  <c r="B38" i="17"/>
  <c r="U38" i="18" s="1"/>
  <c r="B41" i="17"/>
  <c r="U41" i="18" s="1"/>
  <c r="AT115" i="18" s="1"/>
  <c r="F23" i="19"/>
  <c r="G33" i="2" s="1"/>
  <c r="F20" i="28"/>
  <c r="J99" i="12"/>
  <c r="G32" i="38" s="1"/>
  <c r="G34" i="25"/>
  <c r="B38" i="23"/>
  <c r="U52" i="18" s="1"/>
  <c r="B41" i="23"/>
  <c r="U55" i="18" s="1"/>
  <c r="AT103" i="18" s="1"/>
  <c r="P89" i="20"/>
  <c r="P90" i="20"/>
  <c r="U12" i="18" s="1"/>
  <c r="F9" i="38"/>
  <c r="B19" i="17"/>
  <c r="B71" i="17"/>
  <c r="B108" i="17" s="1"/>
  <c r="Z282" i="19"/>
  <c r="Z283" i="19"/>
  <c r="E7" i="38"/>
  <c r="E11" i="38"/>
  <c r="B19" i="32"/>
  <c r="B71" i="32"/>
  <c r="B108" i="32" s="1"/>
  <c r="P86" i="20"/>
  <c r="U8" i="18" s="1"/>
  <c r="P87" i="20"/>
  <c r="U11" i="18" s="1"/>
  <c r="M141" i="19"/>
  <c r="T20" i="20"/>
  <c r="B25" i="38"/>
  <c r="U88" i="18" s="1"/>
  <c r="AT167" i="18" s="1"/>
  <c r="E88" i="85" s="1"/>
  <c r="B25" i="30"/>
  <c r="U116" i="18" s="1"/>
  <c r="AT36" i="18" s="1"/>
  <c r="E67" i="83" s="1"/>
  <c r="P67" i="20"/>
  <c r="N19" i="82"/>
  <c r="B25" i="14"/>
  <c r="U32" i="18" s="1"/>
  <c r="AT98" i="18" s="1"/>
  <c r="E76" i="85" s="1"/>
  <c r="B25" i="32"/>
  <c r="U130" i="18" s="1"/>
  <c r="AT177" i="18" s="1"/>
  <c r="O88" i="85" s="1"/>
  <c r="B25" i="40"/>
  <c r="U144" i="18" s="1"/>
  <c r="B25" i="28"/>
  <c r="U102" i="18" s="1"/>
  <c r="AT26" i="18" s="1"/>
  <c r="O61" i="83" s="1"/>
  <c r="B27" i="25"/>
  <c r="U74" i="18" s="1"/>
  <c r="AT130" i="18" s="1"/>
  <c r="O82" i="85" s="1"/>
  <c r="B25" i="17"/>
  <c r="U46" i="18" s="1"/>
  <c r="AT120" i="18" s="1"/>
  <c r="O76" i="85" s="1"/>
  <c r="B25" i="89"/>
  <c r="U158" i="18" s="1"/>
  <c r="U16" i="18"/>
  <c r="B25" i="23"/>
  <c r="U60" i="18" s="1"/>
  <c r="AT108" i="18" s="1"/>
  <c r="E82" i="85" s="1"/>
  <c r="S111" i="20"/>
  <c r="B19" i="23"/>
  <c r="B71" i="23"/>
  <c r="B108" i="23" s="1"/>
  <c r="F10" i="25"/>
  <c r="F11" i="25"/>
  <c r="F6" i="25" s="1"/>
  <c r="G47" i="28"/>
  <c r="G49" i="28"/>
  <c r="F49" i="17"/>
  <c r="G35" i="17"/>
  <c r="F47" i="17"/>
  <c r="AA282" i="19"/>
  <c r="I28" i="82"/>
  <c r="P175" i="30" l="1"/>
  <c r="O175" i="30"/>
  <c r="B91" i="25"/>
  <c r="H205" i="25" s="1"/>
  <c r="B89" i="25"/>
  <c r="H191" i="25" s="1"/>
  <c r="O191" i="25" s="1"/>
  <c r="B106" i="25"/>
  <c r="H286" i="25" s="1"/>
  <c r="O286" i="25" s="1"/>
  <c r="B88" i="25"/>
  <c r="H184" i="25" s="1"/>
  <c r="O184" i="25" s="1"/>
  <c r="B82" i="25"/>
  <c r="H147" i="25" s="1"/>
  <c r="O147" i="25" s="1"/>
  <c r="B104" i="25"/>
  <c r="H272" i="25" s="1"/>
  <c r="O272" i="25" s="1"/>
  <c r="B100" i="25"/>
  <c r="H249" i="25" s="1"/>
  <c r="O249" i="25" s="1"/>
  <c r="B81" i="25"/>
  <c r="H140" i="25" s="1"/>
  <c r="B99" i="25"/>
  <c r="H242" i="25" s="1"/>
  <c r="O242" i="25" s="1"/>
  <c r="B107" i="25"/>
  <c r="H293" i="25" s="1"/>
  <c r="O293" i="25" s="1"/>
  <c r="B84" i="25"/>
  <c r="H161" i="25" s="1"/>
  <c r="O161" i="25" s="1"/>
  <c r="B95" i="25"/>
  <c r="H225" i="25" s="1"/>
  <c r="W225" i="25" s="1"/>
  <c r="B83" i="25"/>
  <c r="H154" i="25" s="1"/>
  <c r="O154" i="25" s="1"/>
  <c r="B77" i="25"/>
  <c r="H121" i="25" s="1"/>
  <c r="P121" i="25" s="1"/>
  <c r="B78" i="25"/>
  <c r="H130" i="25" s="1"/>
  <c r="B105" i="25"/>
  <c r="H279" i="25" s="1"/>
  <c r="O279" i="25" s="1"/>
  <c r="B108" i="25"/>
  <c r="H300" i="25" s="1"/>
  <c r="B87" i="25"/>
  <c r="H177" i="25" s="1"/>
  <c r="O177" i="25" s="1"/>
  <c r="B94" i="25"/>
  <c r="H216" i="25" s="1"/>
  <c r="P216" i="25" s="1"/>
  <c r="I216" i="25" s="1"/>
  <c r="J216" i="25" s="1"/>
  <c r="K216" i="25" s="1"/>
  <c r="L216" i="25" s="1"/>
  <c r="M216" i="25" s="1"/>
  <c r="B85" i="25"/>
  <c r="H168" i="25" s="1"/>
  <c r="B101" i="25"/>
  <c r="H256" i="25" s="1"/>
  <c r="O256" i="25" s="1"/>
  <c r="B98" i="25"/>
  <c r="H235" i="25" s="1"/>
  <c r="B90" i="25"/>
  <c r="H198" i="25" s="1"/>
  <c r="O198" i="25" s="1"/>
  <c r="B102" i="25"/>
  <c r="H263" i="25" s="1"/>
  <c r="B105" i="40"/>
  <c r="H291" i="40" s="1"/>
  <c r="O291" i="40" s="1"/>
  <c r="B87" i="40"/>
  <c r="H189" i="40" s="1"/>
  <c r="O189" i="40" s="1"/>
  <c r="B93" i="40"/>
  <c r="H223" i="40" s="1"/>
  <c r="P223" i="40" s="1"/>
  <c r="I223" i="40" s="1"/>
  <c r="J223" i="40" s="1"/>
  <c r="K223" i="40" s="1"/>
  <c r="L223" i="40" s="1"/>
  <c r="M223" i="40" s="1"/>
  <c r="B88" i="40"/>
  <c r="H196" i="40" s="1"/>
  <c r="O196" i="40" s="1"/>
  <c r="B86" i="40"/>
  <c r="H182" i="40" s="1"/>
  <c r="O182" i="40" s="1"/>
  <c r="B89" i="40"/>
  <c r="H203" i="40" s="1"/>
  <c r="B76" i="40"/>
  <c r="H128" i="40" s="1"/>
  <c r="W128" i="40" s="1"/>
  <c r="B85" i="40"/>
  <c r="H175" i="40" s="1"/>
  <c r="O175" i="40" s="1"/>
  <c r="B99" i="40"/>
  <c r="H254" i="40" s="1"/>
  <c r="O254" i="40" s="1"/>
  <c r="B81" i="40"/>
  <c r="H152" i="40" s="1"/>
  <c r="O152" i="40" s="1"/>
  <c r="B75" i="40"/>
  <c r="H119" i="40" s="1"/>
  <c r="B100" i="40"/>
  <c r="H261" i="40" s="1"/>
  <c r="B80" i="40"/>
  <c r="H145" i="40" s="1"/>
  <c r="O145" i="40" s="1"/>
  <c r="B102" i="40"/>
  <c r="H270" i="40" s="1"/>
  <c r="O270" i="40" s="1"/>
  <c r="B97" i="40"/>
  <c r="H240" i="40" s="1"/>
  <c r="O240" i="40" s="1"/>
  <c r="B92" i="40"/>
  <c r="H214" i="40" s="1"/>
  <c r="B98" i="40"/>
  <c r="H247" i="40" s="1"/>
  <c r="O247" i="40" s="1"/>
  <c r="B106" i="40"/>
  <c r="H298" i="40" s="1"/>
  <c r="B79" i="40"/>
  <c r="H138" i="40" s="1"/>
  <c r="B103" i="40"/>
  <c r="H277" i="40" s="1"/>
  <c r="O277" i="40" s="1"/>
  <c r="B82" i="40"/>
  <c r="H159" i="40" s="1"/>
  <c r="O159" i="40" s="1"/>
  <c r="B104" i="40"/>
  <c r="H284" i="40" s="1"/>
  <c r="O284" i="40" s="1"/>
  <c r="B83" i="40"/>
  <c r="H166" i="40" s="1"/>
  <c r="B96" i="40"/>
  <c r="H233" i="40" s="1"/>
  <c r="B99" i="23"/>
  <c r="H254" i="23" s="1"/>
  <c r="O254" i="23" s="1"/>
  <c r="B93" i="23"/>
  <c r="H223" i="23" s="1"/>
  <c r="W223" i="23" s="1"/>
  <c r="B75" i="23"/>
  <c r="H119" i="23" s="1"/>
  <c r="P119" i="23" s="1"/>
  <c r="I119" i="23" s="1"/>
  <c r="B81" i="23"/>
  <c r="H152" i="23" s="1"/>
  <c r="O152" i="23" s="1"/>
  <c r="B92" i="23"/>
  <c r="B104" i="23"/>
  <c r="H284" i="23" s="1"/>
  <c r="O284" i="23" s="1"/>
  <c r="B76" i="23"/>
  <c r="H128" i="23" s="1"/>
  <c r="W128" i="23" s="1"/>
  <c r="B79" i="23"/>
  <c r="H138" i="23" s="1"/>
  <c r="B85" i="23"/>
  <c r="H175" i="23" s="1"/>
  <c r="B80" i="23"/>
  <c r="H145" i="23" s="1"/>
  <c r="O145" i="23" s="1"/>
  <c r="B96" i="23"/>
  <c r="H233" i="23" s="1"/>
  <c r="B88" i="23"/>
  <c r="H196" i="23" s="1"/>
  <c r="O196" i="23" s="1"/>
  <c r="B98" i="23"/>
  <c r="H247" i="23" s="1"/>
  <c r="O247" i="23" s="1"/>
  <c r="B106" i="23"/>
  <c r="H298" i="23" s="1"/>
  <c r="B100" i="23"/>
  <c r="H261" i="23" s="1"/>
  <c r="B89" i="23"/>
  <c r="H203" i="23" s="1"/>
  <c r="B102" i="23"/>
  <c r="H270" i="23" s="1"/>
  <c r="O270" i="23" s="1"/>
  <c r="B103" i="23"/>
  <c r="H277" i="23" s="1"/>
  <c r="O277" i="23" s="1"/>
  <c r="B97" i="23"/>
  <c r="H240" i="23" s="1"/>
  <c r="O240" i="23" s="1"/>
  <c r="B83" i="23"/>
  <c r="H166" i="23" s="1"/>
  <c r="B86" i="23"/>
  <c r="H182" i="23" s="1"/>
  <c r="O182" i="23" s="1"/>
  <c r="B105" i="23"/>
  <c r="H291" i="23" s="1"/>
  <c r="O291" i="23" s="1"/>
  <c r="B82" i="23"/>
  <c r="H159" i="23" s="1"/>
  <c r="O159" i="23" s="1"/>
  <c r="B87" i="23"/>
  <c r="H189" i="23" s="1"/>
  <c r="O189" i="23" s="1"/>
  <c r="B82" i="38"/>
  <c r="H159" i="38" s="1"/>
  <c r="O159" i="38" s="1"/>
  <c r="B96" i="38"/>
  <c r="H233" i="38" s="1"/>
  <c r="B98" i="38"/>
  <c r="H247" i="38" s="1"/>
  <c r="O247" i="38" s="1"/>
  <c r="B99" i="38"/>
  <c r="H254" i="38" s="1"/>
  <c r="O254" i="38" s="1"/>
  <c r="B86" i="38"/>
  <c r="H182" i="38" s="1"/>
  <c r="O182" i="38" s="1"/>
  <c r="B81" i="38"/>
  <c r="H152" i="38" s="1"/>
  <c r="O152" i="38" s="1"/>
  <c r="B106" i="38"/>
  <c r="H298" i="38" s="1"/>
  <c r="B80" i="38"/>
  <c r="H145" i="38" s="1"/>
  <c r="O145" i="38" s="1"/>
  <c r="B105" i="38"/>
  <c r="H291" i="38" s="1"/>
  <c r="O291" i="38" s="1"/>
  <c r="B102" i="38"/>
  <c r="H270" i="38" s="1"/>
  <c r="O270" i="38" s="1"/>
  <c r="B79" i="38"/>
  <c r="H138" i="38" s="1"/>
  <c r="B97" i="38"/>
  <c r="H240" i="38" s="1"/>
  <c r="O240" i="38" s="1"/>
  <c r="B87" i="38"/>
  <c r="H189" i="38" s="1"/>
  <c r="O189" i="38" s="1"/>
  <c r="B83" i="38"/>
  <c r="H166" i="38" s="1"/>
  <c r="B92" i="38"/>
  <c r="H214" i="38" s="1"/>
  <c r="P214" i="38" s="1"/>
  <c r="I214" i="38" s="1"/>
  <c r="J214" i="38" s="1"/>
  <c r="K214" i="38" s="1"/>
  <c r="L214" i="38" s="1"/>
  <c r="M214" i="38" s="1"/>
  <c r="B100" i="38"/>
  <c r="H261" i="38" s="1"/>
  <c r="B89" i="38"/>
  <c r="H203" i="38" s="1"/>
  <c r="B76" i="38"/>
  <c r="H128" i="38" s="1"/>
  <c r="B88" i="38"/>
  <c r="B85" i="38"/>
  <c r="H175" i="38" s="1"/>
  <c r="O175" i="38" s="1"/>
  <c r="B75" i="38"/>
  <c r="H119" i="38" s="1"/>
  <c r="W119" i="38" s="1"/>
  <c r="B103" i="38"/>
  <c r="H277" i="38" s="1"/>
  <c r="O277" i="38" s="1"/>
  <c r="B93" i="38"/>
  <c r="H223" i="38" s="1"/>
  <c r="W223" i="38" s="1"/>
  <c r="B104" i="38"/>
  <c r="H284" i="38" s="1"/>
  <c r="O284" i="38" s="1"/>
  <c r="B75" i="28"/>
  <c r="H119" i="28" s="1"/>
  <c r="B88" i="28"/>
  <c r="H196" i="28" s="1"/>
  <c r="O196" i="28" s="1"/>
  <c r="B103" i="28"/>
  <c r="H277" i="28" s="1"/>
  <c r="O277" i="28" s="1"/>
  <c r="B106" i="28"/>
  <c r="H298" i="28" s="1"/>
  <c r="B97" i="28"/>
  <c r="H240" i="28" s="1"/>
  <c r="O240" i="28" s="1"/>
  <c r="B86" i="28"/>
  <c r="H182" i="28" s="1"/>
  <c r="O182" i="28" s="1"/>
  <c r="B100" i="28"/>
  <c r="H261" i="28" s="1"/>
  <c r="B82" i="28"/>
  <c r="H159" i="28" s="1"/>
  <c r="O159" i="28" s="1"/>
  <c r="B87" i="28"/>
  <c r="H189" i="28" s="1"/>
  <c r="O189" i="28" s="1"/>
  <c r="B92" i="28"/>
  <c r="H214" i="28" s="1"/>
  <c r="P214" i="28" s="1"/>
  <c r="B93" i="28"/>
  <c r="H223" i="28" s="1"/>
  <c r="W223" i="28" s="1"/>
  <c r="B85" i="28"/>
  <c r="H175" i="28" s="1"/>
  <c r="O175" i="28" s="1"/>
  <c r="B98" i="28"/>
  <c r="H247" i="28" s="1"/>
  <c r="O247" i="28" s="1"/>
  <c r="B80" i="28"/>
  <c r="H145" i="28" s="1"/>
  <c r="O145" i="28" s="1"/>
  <c r="B102" i="28"/>
  <c r="H270" i="28" s="1"/>
  <c r="O270" i="28" s="1"/>
  <c r="B99" i="28"/>
  <c r="H254" i="28" s="1"/>
  <c r="O254" i="28" s="1"/>
  <c r="B81" i="28"/>
  <c r="H152" i="28" s="1"/>
  <c r="O152" i="28" s="1"/>
  <c r="B83" i="28"/>
  <c r="H166" i="28" s="1"/>
  <c r="B105" i="28"/>
  <c r="H291" i="28" s="1"/>
  <c r="O291" i="28" s="1"/>
  <c r="B96" i="28"/>
  <c r="H233" i="28" s="1"/>
  <c r="B76" i="28"/>
  <c r="H128" i="28" s="1"/>
  <c r="B89" i="28"/>
  <c r="H203" i="28" s="1"/>
  <c r="B104" i="28"/>
  <c r="H284" i="28" s="1"/>
  <c r="O284" i="28" s="1"/>
  <c r="B79" i="28"/>
  <c r="H138" i="28" s="1"/>
  <c r="B79" i="32"/>
  <c r="H138" i="32" s="1"/>
  <c r="B92" i="32"/>
  <c r="H214" i="32" s="1"/>
  <c r="W214" i="32" s="1"/>
  <c r="B88" i="32"/>
  <c r="H196" i="32" s="1"/>
  <c r="O196" i="32" s="1"/>
  <c r="B103" i="32"/>
  <c r="H277" i="32" s="1"/>
  <c r="O277" i="32" s="1"/>
  <c r="B76" i="32"/>
  <c r="H128" i="32" s="1"/>
  <c r="B87" i="32"/>
  <c r="H189" i="32" s="1"/>
  <c r="O189" i="32" s="1"/>
  <c r="B99" i="32"/>
  <c r="H254" i="32" s="1"/>
  <c r="O254" i="32" s="1"/>
  <c r="B85" i="32"/>
  <c r="H175" i="32" s="1"/>
  <c r="B100" i="32"/>
  <c r="H261" i="32" s="1"/>
  <c r="B105" i="32"/>
  <c r="H291" i="32" s="1"/>
  <c r="O291" i="32" s="1"/>
  <c r="B83" i="32"/>
  <c r="H166" i="32" s="1"/>
  <c r="B80" i="32"/>
  <c r="H145" i="32" s="1"/>
  <c r="O145" i="32" s="1"/>
  <c r="B93" i="32"/>
  <c r="H223" i="32" s="1"/>
  <c r="B89" i="32"/>
  <c r="H203" i="32" s="1"/>
  <c r="B97" i="32"/>
  <c r="H240" i="32" s="1"/>
  <c r="O240" i="32" s="1"/>
  <c r="B75" i="32"/>
  <c r="H119" i="32" s="1"/>
  <c r="B104" i="32"/>
  <c r="H284" i="32" s="1"/>
  <c r="O284" i="32" s="1"/>
  <c r="B96" i="32"/>
  <c r="H233" i="32" s="1"/>
  <c r="B98" i="32"/>
  <c r="H247" i="32" s="1"/>
  <c r="O247" i="32" s="1"/>
  <c r="B82" i="32"/>
  <c r="H159" i="32" s="1"/>
  <c r="O159" i="32" s="1"/>
  <c r="B106" i="32"/>
  <c r="H298" i="32" s="1"/>
  <c r="B102" i="32"/>
  <c r="H270" i="32" s="1"/>
  <c r="B81" i="32"/>
  <c r="H152" i="32" s="1"/>
  <c r="O152" i="32" s="1"/>
  <c r="B86" i="32"/>
  <c r="H182" i="32" s="1"/>
  <c r="O182" i="32" s="1"/>
  <c r="B106" i="14"/>
  <c r="H298" i="14" s="1"/>
  <c r="B102" i="14"/>
  <c r="H270" i="14" s="1"/>
  <c r="O270" i="14" s="1"/>
  <c r="B104" i="14"/>
  <c r="H284" i="14" s="1"/>
  <c r="O284" i="14" s="1"/>
  <c r="B85" i="14"/>
  <c r="B79" i="14"/>
  <c r="H138" i="14" s="1"/>
  <c r="B82" i="14"/>
  <c r="H159" i="14" s="1"/>
  <c r="O159" i="14" s="1"/>
  <c r="B88" i="14"/>
  <c r="H196" i="14" s="1"/>
  <c r="O196" i="14" s="1"/>
  <c r="B75" i="14"/>
  <c r="H119" i="14" s="1"/>
  <c r="B80" i="14"/>
  <c r="H145" i="14" s="1"/>
  <c r="O145" i="14" s="1"/>
  <c r="B76" i="14"/>
  <c r="H128" i="14" s="1"/>
  <c r="W128" i="14" s="1"/>
  <c r="B92" i="14"/>
  <c r="H214" i="14" s="1"/>
  <c r="P214" i="14" s="1"/>
  <c r="I214" i="14" s="1"/>
  <c r="J214" i="14" s="1"/>
  <c r="K214" i="14" s="1"/>
  <c r="L214" i="14" s="1"/>
  <c r="M214" i="14" s="1"/>
  <c r="B81" i="14"/>
  <c r="H152" i="14" s="1"/>
  <c r="O152" i="14" s="1"/>
  <c r="B100" i="14"/>
  <c r="H261" i="14" s="1"/>
  <c r="B86" i="14"/>
  <c r="H182" i="14" s="1"/>
  <c r="O182" i="14" s="1"/>
  <c r="B89" i="14"/>
  <c r="H203" i="14" s="1"/>
  <c r="B83" i="14"/>
  <c r="H166" i="14" s="1"/>
  <c r="B93" i="14"/>
  <c r="H223" i="14" s="1"/>
  <c r="P223" i="14" s="1"/>
  <c r="I223" i="14" s="1"/>
  <c r="J223" i="14" s="1"/>
  <c r="K223" i="14" s="1"/>
  <c r="L223" i="14" s="1"/>
  <c r="M223" i="14" s="1"/>
  <c r="B103" i="14"/>
  <c r="H277" i="14" s="1"/>
  <c r="O277" i="14" s="1"/>
  <c r="B87" i="14"/>
  <c r="H189" i="14" s="1"/>
  <c r="O189" i="14" s="1"/>
  <c r="B97" i="14"/>
  <c r="H240" i="14" s="1"/>
  <c r="O240" i="14" s="1"/>
  <c r="B99" i="14"/>
  <c r="H254" i="14" s="1"/>
  <c r="O254" i="14" s="1"/>
  <c r="B98" i="14"/>
  <c r="H247" i="14" s="1"/>
  <c r="O247" i="14" s="1"/>
  <c r="B105" i="14"/>
  <c r="H291" i="14" s="1"/>
  <c r="O291" i="14" s="1"/>
  <c r="B96" i="14"/>
  <c r="H233" i="14" s="1"/>
  <c r="B76" i="89"/>
  <c r="H128" i="89" s="1"/>
  <c r="B85" i="89"/>
  <c r="H175" i="89" s="1"/>
  <c r="O175" i="89" s="1"/>
  <c r="B88" i="89"/>
  <c r="H196" i="89" s="1"/>
  <c r="O196" i="89" s="1"/>
  <c r="B105" i="89"/>
  <c r="B82" i="89"/>
  <c r="H159" i="89" s="1"/>
  <c r="O159" i="89" s="1"/>
  <c r="B97" i="89"/>
  <c r="H240" i="89" s="1"/>
  <c r="O240" i="89" s="1"/>
  <c r="B103" i="89"/>
  <c r="H277" i="89" s="1"/>
  <c r="O277" i="89" s="1"/>
  <c r="B102" i="89"/>
  <c r="H270" i="89" s="1"/>
  <c r="O270" i="89" s="1"/>
  <c r="B96" i="89"/>
  <c r="H233" i="89" s="1"/>
  <c r="B81" i="89"/>
  <c r="H152" i="89" s="1"/>
  <c r="O152" i="89" s="1"/>
  <c r="B79" i="89"/>
  <c r="H138" i="89" s="1"/>
  <c r="B92" i="89"/>
  <c r="H214" i="89" s="1"/>
  <c r="B100" i="89"/>
  <c r="H261" i="89" s="1"/>
  <c r="B93" i="89"/>
  <c r="H223" i="89" s="1"/>
  <c r="W223" i="89" s="1"/>
  <c r="B106" i="89"/>
  <c r="H298" i="89" s="1"/>
  <c r="B75" i="89"/>
  <c r="H119" i="89" s="1"/>
  <c r="W119" i="89" s="1"/>
  <c r="B98" i="89"/>
  <c r="H247" i="89" s="1"/>
  <c r="O247" i="89" s="1"/>
  <c r="B99" i="89"/>
  <c r="H254" i="89" s="1"/>
  <c r="O254" i="89" s="1"/>
  <c r="B87" i="89"/>
  <c r="H189" i="89" s="1"/>
  <c r="O189" i="89" s="1"/>
  <c r="B104" i="89"/>
  <c r="H284" i="89" s="1"/>
  <c r="O284" i="89" s="1"/>
  <c r="B86" i="89"/>
  <c r="B83" i="89"/>
  <c r="H166" i="89" s="1"/>
  <c r="B80" i="89"/>
  <c r="H145" i="89" s="1"/>
  <c r="O145" i="89" s="1"/>
  <c r="B89" i="89"/>
  <c r="H203" i="89" s="1"/>
  <c r="B108" i="38"/>
  <c r="H307" i="38" s="1"/>
  <c r="B108" i="40"/>
  <c r="H307" i="40" s="1"/>
  <c r="B103" i="17"/>
  <c r="H277" i="17" s="1"/>
  <c r="O277" i="17" s="1"/>
  <c r="B79" i="17"/>
  <c r="H138" i="17" s="1"/>
  <c r="B85" i="17"/>
  <c r="H175" i="17" s="1"/>
  <c r="B98" i="17"/>
  <c r="H247" i="17" s="1"/>
  <c r="O247" i="17" s="1"/>
  <c r="B80" i="17"/>
  <c r="H145" i="17" s="1"/>
  <c r="O145" i="17" s="1"/>
  <c r="B83" i="17"/>
  <c r="H166" i="17" s="1"/>
  <c r="B82" i="17"/>
  <c r="H159" i="17" s="1"/>
  <c r="O159" i="17" s="1"/>
  <c r="B99" i="17"/>
  <c r="H254" i="17" s="1"/>
  <c r="O254" i="17" s="1"/>
  <c r="B97" i="17"/>
  <c r="H240" i="17" s="1"/>
  <c r="O240" i="17" s="1"/>
  <c r="B102" i="17"/>
  <c r="H270" i="17" s="1"/>
  <c r="B92" i="17"/>
  <c r="H214" i="17" s="1"/>
  <c r="B89" i="17"/>
  <c r="H203" i="17" s="1"/>
  <c r="B105" i="17"/>
  <c r="H291" i="17" s="1"/>
  <c r="O291" i="17" s="1"/>
  <c r="B93" i="17"/>
  <c r="H223" i="17" s="1"/>
  <c r="B75" i="17"/>
  <c r="H119" i="17" s="1"/>
  <c r="B106" i="17"/>
  <c r="H298" i="17" s="1"/>
  <c r="B100" i="17"/>
  <c r="H261" i="17" s="1"/>
  <c r="B86" i="17"/>
  <c r="H182" i="17" s="1"/>
  <c r="O182" i="17" s="1"/>
  <c r="B76" i="17"/>
  <c r="H128" i="17" s="1"/>
  <c r="B104" i="17"/>
  <c r="H284" i="17" s="1"/>
  <c r="O284" i="17" s="1"/>
  <c r="B87" i="17"/>
  <c r="H189" i="17" s="1"/>
  <c r="O189" i="17" s="1"/>
  <c r="B81" i="17"/>
  <c r="H152" i="17" s="1"/>
  <c r="O152" i="17" s="1"/>
  <c r="B96" i="17"/>
  <c r="H233" i="17" s="1"/>
  <c r="B88" i="17"/>
  <c r="H196" i="17" s="1"/>
  <c r="O196" i="17" s="1"/>
  <c r="B108" i="89"/>
  <c r="H307" i="89" s="1"/>
  <c r="S136" i="20"/>
  <c r="T33" i="20"/>
  <c r="T66" i="20" s="1"/>
  <c r="T69" i="20" s="1"/>
  <c r="P99" i="14"/>
  <c r="F258" i="14" s="1"/>
  <c r="O79" i="14"/>
  <c r="F141" i="14" s="1"/>
  <c r="P83" i="14"/>
  <c r="F170" i="14" s="1"/>
  <c r="P100" i="14"/>
  <c r="F265" i="14" s="1"/>
  <c r="P106" i="14"/>
  <c r="F302" i="14" s="1"/>
  <c r="P93" i="14"/>
  <c r="F227" i="14" s="1"/>
  <c r="M86" i="14"/>
  <c r="F183" i="14" s="1"/>
  <c r="N98" i="14"/>
  <c r="F249" i="14" s="1"/>
  <c r="G23" i="19"/>
  <c r="H33" i="2" s="1"/>
  <c r="N75" i="14"/>
  <c r="F121" i="14" s="1"/>
  <c r="M82" i="14"/>
  <c r="F160" i="14" s="1"/>
  <c r="M105" i="14"/>
  <c r="F292" i="14" s="1"/>
  <c r="M89" i="14"/>
  <c r="F204" i="14" s="1"/>
  <c r="M97" i="14"/>
  <c r="F241" i="14" s="1"/>
  <c r="M76" i="14"/>
  <c r="F129" i="14" s="1"/>
  <c r="M93" i="14"/>
  <c r="F224" i="14" s="1"/>
  <c r="M87" i="14"/>
  <c r="F190" i="14" s="1"/>
  <c r="M102" i="14"/>
  <c r="F271" i="14" s="1"/>
  <c r="M80" i="14"/>
  <c r="F146" i="14" s="1"/>
  <c r="M106" i="14"/>
  <c r="F299" i="14" s="1"/>
  <c r="M88" i="14"/>
  <c r="F197" i="14" s="1"/>
  <c r="M100" i="14"/>
  <c r="F262" i="14" s="1"/>
  <c r="M108" i="14"/>
  <c r="F308" i="14" s="1"/>
  <c r="M99" i="14"/>
  <c r="F255" i="14" s="1"/>
  <c r="M81" i="14"/>
  <c r="F153" i="14" s="1"/>
  <c r="M96" i="14"/>
  <c r="F234" i="14" s="1"/>
  <c r="M98" i="14"/>
  <c r="F248" i="14" s="1"/>
  <c r="M83" i="14"/>
  <c r="F167" i="14" s="1"/>
  <c r="E28" i="14"/>
  <c r="E47" i="14" s="1"/>
  <c r="M104" i="14"/>
  <c r="F285" i="14" s="1"/>
  <c r="M79" i="14"/>
  <c r="F139" i="14" s="1"/>
  <c r="M75" i="14"/>
  <c r="F120" i="14" s="1"/>
  <c r="M103" i="14"/>
  <c r="F278" i="14" s="1"/>
  <c r="O88" i="14"/>
  <c r="F199" i="14" s="1"/>
  <c r="M92" i="14"/>
  <c r="F215" i="14" s="1"/>
  <c r="O86" i="14"/>
  <c r="F185" i="14" s="1"/>
  <c r="O93" i="14"/>
  <c r="F226" i="14" s="1"/>
  <c r="P96" i="14"/>
  <c r="F237" i="14" s="1"/>
  <c r="O102" i="14"/>
  <c r="F273" i="14" s="1"/>
  <c r="O96" i="14"/>
  <c r="F236" i="14" s="1"/>
  <c r="P97" i="14"/>
  <c r="F244" i="14" s="1"/>
  <c r="O99" i="14"/>
  <c r="F257" i="14" s="1"/>
  <c r="O105" i="14"/>
  <c r="F294" i="14" s="1"/>
  <c r="P85" i="14"/>
  <c r="F179" i="14" s="1"/>
  <c r="P86" i="14"/>
  <c r="F186" i="14" s="1"/>
  <c r="P75" i="14"/>
  <c r="F123" i="14" s="1"/>
  <c r="P105" i="14"/>
  <c r="F295" i="14" s="1"/>
  <c r="P82" i="14"/>
  <c r="F163" i="14" s="1"/>
  <c r="P76" i="14"/>
  <c r="F132" i="14" s="1"/>
  <c r="P102" i="14"/>
  <c r="F274" i="14" s="1"/>
  <c r="I95" i="12"/>
  <c r="F28" i="38" s="1"/>
  <c r="F47" i="38" s="1"/>
  <c r="P89" i="14"/>
  <c r="F207" i="14" s="1"/>
  <c r="P87" i="14"/>
  <c r="F193" i="14" s="1"/>
  <c r="P104" i="14"/>
  <c r="F288" i="14" s="1"/>
  <c r="G46" i="12"/>
  <c r="D29" i="14" s="1"/>
  <c r="D49" i="14" s="1"/>
  <c r="N80" i="14"/>
  <c r="F147" i="14" s="1"/>
  <c r="F28" i="14"/>
  <c r="F47" i="14" s="1"/>
  <c r="P92" i="14"/>
  <c r="F218" i="14" s="1"/>
  <c r="N105" i="14"/>
  <c r="F293" i="14" s="1"/>
  <c r="P108" i="14"/>
  <c r="F311" i="14" s="1"/>
  <c r="D28" i="14"/>
  <c r="D47" i="14" s="1"/>
  <c r="P103" i="14"/>
  <c r="F281" i="14" s="1"/>
  <c r="P98" i="14"/>
  <c r="F251" i="14" s="1"/>
  <c r="P79" i="14"/>
  <c r="F142" i="14" s="1"/>
  <c r="P88" i="14"/>
  <c r="F200" i="14" s="1"/>
  <c r="N96" i="14"/>
  <c r="F235" i="14" s="1"/>
  <c r="P80" i="14"/>
  <c r="F149" i="14" s="1"/>
  <c r="N103" i="14"/>
  <c r="F279" i="14" s="1"/>
  <c r="H46" i="12"/>
  <c r="E29" i="14" s="1"/>
  <c r="E49" i="14" s="1"/>
  <c r="N85" i="14"/>
  <c r="F177" i="14" s="1"/>
  <c r="N87" i="14"/>
  <c r="F191" i="14" s="1"/>
  <c r="N106" i="14"/>
  <c r="F300" i="14" s="1"/>
  <c r="N79" i="14"/>
  <c r="F140" i="14" s="1"/>
  <c r="N108" i="14"/>
  <c r="F309" i="14" s="1"/>
  <c r="N93" i="14"/>
  <c r="F225" i="14" s="1"/>
  <c r="N86" i="14"/>
  <c r="F184" i="14" s="1"/>
  <c r="N100" i="14"/>
  <c r="F263" i="14" s="1"/>
  <c r="N97" i="14"/>
  <c r="F242" i="14" s="1"/>
  <c r="N104" i="14"/>
  <c r="F286" i="14" s="1"/>
  <c r="N92" i="14"/>
  <c r="F216" i="14" s="1"/>
  <c r="N83" i="14"/>
  <c r="F168" i="14" s="1"/>
  <c r="N99" i="14"/>
  <c r="F256" i="14" s="1"/>
  <c r="N81" i="14"/>
  <c r="F154" i="14" s="1"/>
  <c r="N76" i="14"/>
  <c r="F130" i="14" s="1"/>
  <c r="N102" i="14"/>
  <c r="F272" i="14" s="1"/>
  <c r="N88" i="14"/>
  <c r="F198" i="14" s="1"/>
  <c r="N82" i="14"/>
  <c r="F161" i="14" s="1"/>
  <c r="O92" i="14"/>
  <c r="F217" i="14" s="1"/>
  <c r="O103" i="14"/>
  <c r="F280" i="14" s="1"/>
  <c r="O108" i="14"/>
  <c r="F310" i="14" s="1"/>
  <c r="O83" i="14"/>
  <c r="F169" i="14" s="1"/>
  <c r="O98" i="14"/>
  <c r="F250" i="14" s="1"/>
  <c r="O100" i="14"/>
  <c r="F264" i="14" s="1"/>
  <c r="U20" i="20"/>
  <c r="U111" i="20" s="1"/>
  <c r="BJ16" i="18" s="1"/>
  <c r="O97" i="14"/>
  <c r="F243" i="14" s="1"/>
  <c r="O75" i="14"/>
  <c r="F122" i="14" s="1"/>
  <c r="H284" i="30"/>
  <c r="O284" i="30" s="1"/>
  <c r="O81" i="14"/>
  <c r="F155" i="14" s="1"/>
  <c r="O104" i="14"/>
  <c r="F287" i="14" s="1"/>
  <c r="O76" i="14"/>
  <c r="F131" i="14" s="1"/>
  <c r="O89" i="14"/>
  <c r="F206" i="14" s="1"/>
  <c r="O85" i="14"/>
  <c r="F178" i="14" s="1"/>
  <c r="H166" i="30"/>
  <c r="H189" i="30"/>
  <c r="O189" i="30" s="1"/>
  <c r="O82" i="14"/>
  <c r="F162" i="14" s="1"/>
  <c r="O80" i="14"/>
  <c r="F148" i="14" s="1"/>
  <c r="O106" i="14"/>
  <c r="F301" i="14" s="1"/>
  <c r="H298" i="30"/>
  <c r="H270" i="30"/>
  <c r="O270" i="30" s="1"/>
  <c r="E20" i="40"/>
  <c r="H291" i="89"/>
  <c r="O291" i="89" s="1"/>
  <c r="H182" i="89"/>
  <c r="O182" i="89" s="1"/>
  <c r="AA28" i="65"/>
  <c r="AA18" i="65"/>
  <c r="F47" i="23"/>
  <c r="F49" i="23"/>
  <c r="G35" i="23"/>
  <c r="H152" i="30"/>
  <c r="O152" i="30" s="1"/>
  <c r="F47" i="40"/>
  <c r="F49" i="40"/>
  <c r="G35" i="40"/>
  <c r="F47" i="30"/>
  <c r="F49" i="30"/>
  <c r="G35" i="30"/>
  <c r="F49" i="89"/>
  <c r="F47" i="89"/>
  <c r="G35" i="89"/>
  <c r="E20" i="23"/>
  <c r="E20" i="30"/>
  <c r="E20" i="89"/>
  <c r="H175" i="14"/>
  <c r="O175" i="14" s="1"/>
  <c r="J96" i="12"/>
  <c r="G29" i="14"/>
  <c r="G49" i="14" s="1"/>
  <c r="G20" i="14" s="1"/>
  <c r="D28" i="38"/>
  <c r="D47" i="38" s="1"/>
  <c r="C28" i="38"/>
  <c r="C47" i="38" s="1"/>
  <c r="H214" i="23"/>
  <c r="P214" i="23" s="1"/>
  <c r="H196" i="38"/>
  <c r="O196" i="38" s="1"/>
  <c r="H159" i="30"/>
  <c r="O159" i="30" s="1"/>
  <c r="C29" i="14"/>
  <c r="C49" i="14" s="1"/>
  <c r="C20" i="14" s="1"/>
  <c r="F96" i="12"/>
  <c r="C29" i="38" s="1"/>
  <c r="C49" i="38" s="1"/>
  <c r="F29" i="14"/>
  <c r="F49" i="14" s="1"/>
  <c r="I96" i="12"/>
  <c r="F29" i="38" s="1"/>
  <c r="F49" i="38" s="1"/>
  <c r="I175" i="30"/>
  <c r="Q175" i="30"/>
  <c r="W175" i="30"/>
  <c r="F20" i="32"/>
  <c r="B41" i="25"/>
  <c r="B44" i="25"/>
  <c r="U70" i="18" s="1"/>
  <c r="H307" i="30"/>
  <c r="H307" i="17"/>
  <c r="H309" i="25"/>
  <c r="H307" i="28"/>
  <c r="B72" i="19"/>
  <c r="H273" i="19" s="1"/>
  <c r="H307" i="32"/>
  <c r="H307" i="14"/>
  <c r="H307" i="23"/>
  <c r="G49" i="25"/>
  <c r="G51" i="25"/>
  <c r="P153" i="20"/>
  <c r="P132" i="20"/>
  <c r="G47" i="32"/>
  <c r="G49" i="32"/>
  <c r="H145" i="30"/>
  <c r="O145" i="30" s="1"/>
  <c r="H128" i="30"/>
  <c r="H138" i="30"/>
  <c r="H261" i="30"/>
  <c r="AT11" i="18"/>
  <c r="AT83" i="18"/>
  <c r="AT152" i="18"/>
  <c r="B42" i="40"/>
  <c r="U140" i="18" s="1"/>
  <c r="B39" i="40"/>
  <c r="B42" i="38"/>
  <c r="U84" i="18" s="1"/>
  <c r="B39" i="38"/>
  <c r="T111" i="20"/>
  <c r="B39" i="17"/>
  <c r="B42" i="17"/>
  <c r="U42" i="18" s="1"/>
  <c r="N34" i="82"/>
  <c r="D33" i="17"/>
  <c r="H240" i="30"/>
  <c r="O240" i="30" s="1"/>
  <c r="H182" i="30"/>
  <c r="O182" i="30" s="1"/>
  <c r="H214" i="30"/>
  <c r="H196" i="30"/>
  <c r="O196" i="30" s="1"/>
  <c r="G10" i="25"/>
  <c r="G11" i="25"/>
  <c r="G6" i="25" s="1"/>
  <c r="F7" i="38"/>
  <c r="F11" i="38"/>
  <c r="B42" i="32"/>
  <c r="U126" i="18" s="1"/>
  <c r="B39" i="32"/>
  <c r="F22" i="25"/>
  <c r="B39" i="14"/>
  <c r="B42" i="14"/>
  <c r="U28" i="18" s="1"/>
  <c r="G51" i="38"/>
  <c r="G54" i="38"/>
  <c r="H247" i="30"/>
  <c r="O247" i="30" s="1"/>
  <c r="H119" i="30"/>
  <c r="F7" i="25"/>
  <c r="F13" i="25"/>
  <c r="M79" i="17"/>
  <c r="F139" i="17" s="1"/>
  <c r="M93" i="17"/>
  <c r="F224" i="17" s="1"/>
  <c r="M105" i="17"/>
  <c r="F292" i="17" s="1"/>
  <c r="M85" i="17"/>
  <c r="F176" i="17" s="1"/>
  <c r="M102" i="17"/>
  <c r="F271" i="17" s="1"/>
  <c r="M108" i="17"/>
  <c r="F308" i="17" s="1"/>
  <c r="M99" i="17"/>
  <c r="F255" i="17" s="1"/>
  <c r="M82" i="17"/>
  <c r="F160" i="17" s="1"/>
  <c r="M96" i="17"/>
  <c r="F234" i="17" s="1"/>
  <c r="M103" i="17"/>
  <c r="F278" i="17" s="1"/>
  <c r="M80" i="17"/>
  <c r="F146" i="17" s="1"/>
  <c r="M86" i="17"/>
  <c r="F183" i="17" s="1"/>
  <c r="M87" i="17"/>
  <c r="F190" i="17" s="1"/>
  <c r="M83" i="17"/>
  <c r="F167" i="17" s="1"/>
  <c r="M98" i="17"/>
  <c r="F248" i="17" s="1"/>
  <c r="M76" i="17"/>
  <c r="F129" i="17" s="1"/>
  <c r="M104" i="17"/>
  <c r="F285" i="17" s="1"/>
  <c r="M75" i="17"/>
  <c r="F120" i="17" s="1"/>
  <c r="M97" i="17"/>
  <c r="F241" i="17" s="1"/>
  <c r="M92" i="17"/>
  <c r="F215" i="17" s="1"/>
  <c r="M89" i="17"/>
  <c r="F204" i="17" s="1"/>
  <c r="M88" i="17"/>
  <c r="F197" i="17" s="1"/>
  <c r="M100" i="17"/>
  <c r="F262" i="17" s="1"/>
  <c r="M106" i="17"/>
  <c r="F299" i="17" s="1"/>
  <c r="M81" i="17"/>
  <c r="F153" i="17" s="1"/>
  <c r="G56" i="25"/>
  <c r="G53" i="25"/>
  <c r="H203" i="30"/>
  <c r="H277" i="30"/>
  <c r="O277" i="30" s="1"/>
  <c r="H291" i="30"/>
  <c r="O291" i="30" s="1"/>
  <c r="AT157" i="18"/>
  <c r="AT88" i="18"/>
  <c r="E61" i="83" s="1"/>
  <c r="AT16" i="18"/>
  <c r="G20" i="28"/>
  <c r="BH16" i="18"/>
  <c r="F20" i="17"/>
  <c r="B42" i="23"/>
  <c r="U56" i="18" s="1"/>
  <c r="B39" i="23"/>
  <c r="G47" i="17"/>
  <c r="G49" i="17"/>
  <c r="BB8" i="76"/>
  <c r="T55" i="76" s="1"/>
  <c r="AB12" i="65"/>
  <c r="AB23" i="65" s="1"/>
  <c r="J9" i="86"/>
  <c r="P120" i="20"/>
  <c r="N11" i="82" s="1"/>
  <c r="U9" i="18"/>
  <c r="G9" i="38"/>
  <c r="B39" i="28"/>
  <c r="U95" i="18" s="1"/>
  <c r="AT22" i="18" s="1"/>
  <c r="B42" i="28"/>
  <c r="U98" i="18" s="1"/>
  <c r="B42" i="89"/>
  <c r="U154" i="18" s="1"/>
  <c r="B39" i="89"/>
  <c r="B39" i="30"/>
  <c r="U109" i="18" s="1"/>
  <c r="AT32" i="18" s="1"/>
  <c r="B42" i="30"/>
  <c r="U112" i="18" s="1"/>
  <c r="H254" i="30"/>
  <c r="O254" i="30" s="1"/>
  <c r="H233" i="30"/>
  <c r="H223" i="30"/>
  <c r="R138" i="14" l="1"/>
  <c r="T138" i="14"/>
  <c r="S138" i="14"/>
  <c r="R138" i="32"/>
  <c r="S138" i="32"/>
  <c r="T138" i="32"/>
  <c r="S138" i="17"/>
  <c r="T138" i="17"/>
  <c r="S138" i="28"/>
  <c r="T138" i="28"/>
  <c r="R138" i="23"/>
  <c r="S138" i="23"/>
  <c r="T138" i="23"/>
  <c r="R140" i="25"/>
  <c r="S140" i="25"/>
  <c r="T140" i="25"/>
  <c r="S138" i="30"/>
  <c r="T138" i="30"/>
  <c r="S138" i="89"/>
  <c r="T138" i="89"/>
  <c r="R138" i="38"/>
  <c r="T138" i="38"/>
  <c r="S138" i="38"/>
  <c r="T138" i="40"/>
  <c r="S138" i="40"/>
  <c r="S145" i="28"/>
  <c r="T145" i="28"/>
  <c r="T145" i="23"/>
  <c r="S145" i="23"/>
  <c r="S145" i="14"/>
  <c r="T145" i="14"/>
  <c r="T145" i="40"/>
  <c r="S145" i="40"/>
  <c r="T147" i="25"/>
  <c r="S147" i="25"/>
  <c r="T145" i="30"/>
  <c r="S145" i="30"/>
  <c r="S145" i="32"/>
  <c r="T145" i="32"/>
  <c r="S145" i="38"/>
  <c r="T145" i="38"/>
  <c r="S145" i="17"/>
  <c r="T145" i="17"/>
  <c r="S145" i="89"/>
  <c r="T145" i="89"/>
  <c r="P138" i="17"/>
  <c r="R138" i="17"/>
  <c r="P138" i="30"/>
  <c r="I138" i="30" s="1"/>
  <c r="R138" i="30"/>
  <c r="P138" i="28"/>
  <c r="R138" i="28"/>
  <c r="P138" i="89"/>
  <c r="I138" i="89" s="1"/>
  <c r="R138" i="89"/>
  <c r="P138" i="40"/>
  <c r="R138" i="40"/>
  <c r="R235" i="25"/>
  <c r="S235" i="25"/>
  <c r="T235" i="25"/>
  <c r="P233" i="17"/>
  <c r="R233" i="17"/>
  <c r="T233" i="17"/>
  <c r="S233" i="17"/>
  <c r="P233" i="89"/>
  <c r="I233" i="89" s="1"/>
  <c r="X233" i="89" s="1"/>
  <c r="R233" i="89"/>
  <c r="T233" i="89"/>
  <c r="S233" i="89"/>
  <c r="T240" i="28"/>
  <c r="S240" i="28"/>
  <c r="T242" i="25"/>
  <c r="S242" i="25"/>
  <c r="P233" i="32"/>
  <c r="R233" i="32"/>
  <c r="S233" i="32"/>
  <c r="T233" i="32"/>
  <c r="R233" i="38"/>
  <c r="T233" i="38"/>
  <c r="S233" i="38"/>
  <c r="P233" i="30"/>
  <c r="R233" i="30"/>
  <c r="T233" i="30"/>
  <c r="S233" i="30"/>
  <c r="S240" i="30"/>
  <c r="T240" i="30"/>
  <c r="P233" i="14"/>
  <c r="I233" i="14" s="1"/>
  <c r="R233" i="14"/>
  <c r="T233" i="14"/>
  <c r="S233" i="14"/>
  <c r="T240" i="14"/>
  <c r="S240" i="14"/>
  <c r="P233" i="28"/>
  <c r="R233" i="28"/>
  <c r="S233" i="28"/>
  <c r="T233" i="28"/>
  <c r="T240" i="38"/>
  <c r="S240" i="38"/>
  <c r="P233" i="40"/>
  <c r="I233" i="40" s="1"/>
  <c r="R233" i="40"/>
  <c r="S233" i="40"/>
  <c r="T233" i="40"/>
  <c r="S240" i="89"/>
  <c r="T240" i="89"/>
  <c r="S240" i="17"/>
  <c r="T240" i="17"/>
  <c r="S240" i="32"/>
  <c r="T240" i="32"/>
  <c r="S240" i="23"/>
  <c r="T240" i="23"/>
  <c r="R233" i="23"/>
  <c r="T233" i="23"/>
  <c r="S233" i="23"/>
  <c r="T240" i="40"/>
  <c r="S240" i="40"/>
  <c r="Y261" i="89"/>
  <c r="O261" i="89"/>
  <c r="V261" i="89"/>
  <c r="R261" i="14"/>
  <c r="O261" i="14"/>
  <c r="V261" i="14"/>
  <c r="V261" i="32"/>
  <c r="O261" i="32"/>
  <c r="Y261" i="38"/>
  <c r="O261" i="38"/>
  <c r="V261" i="38"/>
  <c r="R261" i="40"/>
  <c r="O261" i="40"/>
  <c r="V261" i="40"/>
  <c r="Y263" i="25"/>
  <c r="O263" i="25"/>
  <c r="V263" i="25"/>
  <c r="O261" i="30"/>
  <c r="V261" i="30"/>
  <c r="O261" i="17"/>
  <c r="V261" i="17"/>
  <c r="Y261" i="28"/>
  <c r="O261" i="28"/>
  <c r="V261" i="28"/>
  <c r="O261" i="23"/>
  <c r="V261" i="23"/>
  <c r="Y166" i="89"/>
  <c r="O166" i="89"/>
  <c r="V166" i="89"/>
  <c r="Y166" i="28"/>
  <c r="O166" i="28"/>
  <c r="V166" i="28"/>
  <c r="Y166" i="38"/>
  <c r="V166" i="38"/>
  <c r="O166" i="38"/>
  <c r="R166" i="30"/>
  <c r="O166" i="30"/>
  <c r="V166" i="30"/>
  <c r="O166" i="17"/>
  <c r="V166" i="17"/>
  <c r="O166" i="14"/>
  <c r="V166" i="14"/>
  <c r="O166" i="23"/>
  <c r="V166" i="23"/>
  <c r="O168" i="25"/>
  <c r="V168" i="25"/>
  <c r="O166" i="32"/>
  <c r="V166" i="32"/>
  <c r="Y166" i="40"/>
  <c r="O166" i="40"/>
  <c r="V166" i="40"/>
  <c r="Y298" i="17"/>
  <c r="O298" i="17"/>
  <c r="V298" i="17"/>
  <c r="P270" i="32"/>
  <c r="I270" i="32" s="1"/>
  <c r="O270" i="32"/>
  <c r="O298" i="23"/>
  <c r="V298" i="23"/>
  <c r="O298" i="40"/>
  <c r="V298" i="40"/>
  <c r="I298" i="30"/>
  <c r="J298" i="30" s="1"/>
  <c r="O298" i="30"/>
  <c r="V298" i="30"/>
  <c r="Y298" i="14"/>
  <c r="O298" i="14"/>
  <c r="V298" i="14"/>
  <c r="V298" i="32"/>
  <c r="O298" i="32"/>
  <c r="O300" i="25"/>
  <c r="V300" i="25"/>
  <c r="P270" i="17"/>
  <c r="I270" i="17" s="1"/>
  <c r="O270" i="17"/>
  <c r="V298" i="28"/>
  <c r="O298" i="28"/>
  <c r="Y298" i="89"/>
  <c r="O298" i="89"/>
  <c r="V298" i="89"/>
  <c r="I298" i="38"/>
  <c r="J298" i="38" s="1"/>
  <c r="O298" i="38"/>
  <c r="V298" i="38"/>
  <c r="V203" i="17"/>
  <c r="O203" i="17"/>
  <c r="O203" i="32"/>
  <c r="V203" i="32"/>
  <c r="I203" i="28"/>
  <c r="J203" i="28" s="1"/>
  <c r="O203" i="28"/>
  <c r="V203" i="28"/>
  <c r="O203" i="40"/>
  <c r="V203" i="40"/>
  <c r="R203" i="38"/>
  <c r="O203" i="38"/>
  <c r="V203" i="38"/>
  <c r="R205" i="25"/>
  <c r="O205" i="25"/>
  <c r="V205" i="25"/>
  <c r="R203" i="89"/>
  <c r="V203" i="89"/>
  <c r="O203" i="89"/>
  <c r="R203" i="23"/>
  <c r="O203" i="23"/>
  <c r="V203" i="23"/>
  <c r="O203" i="30"/>
  <c r="V203" i="30"/>
  <c r="O203" i="14"/>
  <c r="V203" i="14"/>
  <c r="P175" i="17"/>
  <c r="O175" i="17"/>
  <c r="P175" i="23"/>
  <c r="I175" i="23" s="1"/>
  <c r="O175" i="23"/>
  <c r="P175" i="32"/>
  <c r="O175" i="32"/>
  <c r="W291" i="89"/>
  <c r="P291" i="89"/>
  <c r="I291" i="89" s="1"/>
  <c r="X291" i="89" s="1"/>
  <c r="Q291" i="89"/>
  <c r="R291" i="89"/>
  <c r="T291" i="89"/>
  <c r="S291" i="89"/>
  <c r="P291" i="17"/>
  <c r="I291" i="17" s="1"/>
  <c r="Q291" i="17"/>
  <c r="R291" i="17"/>
  <c r="S291" i="17"/>
  <c r="T291" i="17"/>
  <c r="P291" i="14"/>
  <c r="I291" i="14" s="1"/>
  <c r="Q291" i="14"/>
  <c r="R291" i="14"/>
  <c r="T291" i="14"/>
  <c r="S291" i="14"/>
  <c r="W291" i="28"/>
  <c r="P291" i="28"/>
  <c r="I291" i="28" s="1"/>
  <c r="Q291" i="28"/>
  <c r="R291" i="28"/>
  <c r="T291" i="28"/>
  <c r="S291" i="28"/>
  <c r="P291" i="32"/>
  <c r="Q291" i="32"/>
  <c r="R291" i="32"/>
  <c r="S291" i="32"/>
  <c r="T291" i="32"/>
  <c r="Q291" i="23"/>
  <c r="P291" i="23"/>
  <c r="I291" i="23" s="1"/>
  <c r="R291" i="23"/>
  <c r="T291" i="23"/>
  <c r="S291" i="23"/>
  <c r="P293" i="25"/>
  <c r="I293" i="25" s="1"/>
  <c r="Q293" i="25"/>
  <c r="R293" i="25"/>
  <c r="T293" i="25"/>
  <c r="S293" i="25"/>
  <c r="P291" i="30"/>
  <c r="I291" i="30" s="1"/>
  <c r="Q291" i="30"/>
  <c r="R291" i="30"/>
  <c r="S291" i="30"/>
  <c r="T291" i="30"/>
  <c r="W291" i="38"/>
  <c r="P291" i="38"/>
  <c r="I291" i="38" s="1"/>
  <c r="X291" i="38" s="1"/>
  <c r="Q291" i="38"/>
  <c r="R291" i="38"/>
  <c r="T291" i="38"/>
  <c r="S291" i="38"/>
  <c r="W291" i="40"/>
  <c r="P291" i="40"/>
  <c r="I291" i="40" s="1"/>
  <c r="X291" i="40" s="1"/>
  <c r="Q291" i="40"/>
  <c r="R291" i="40"/>
  <c r="S291" i="40"/>
  <c r="T291" i="40"/>
  <c r="P284" i="89"/>
  <c r="Q284" i="89"/>
  <c r="R284" i="89"/>
  <c r="S284" i="89"/>
  <c r="T284" i="14"/>
  <c r="P284" i="14"/>
  <c r="Q284" i="14"/>
  <c r="R284" i="14"/>
  <c r="S284" i="14"/>
  <c r="P284" i="28"/>
  <c r="I284" i="28" s="1"/>
  <c r="Q284" i="28"/>
  <c r="R284" i="28"/>
  <c r="S284" i="28"/>
  <c r="P286" i="25"/>
  <c r="I286" i="25" s="1"/>
  <c r="Q286" i="25"/>
  <c r="R286" i="25"/>
  <c r="S286" i="25"/>
  <c r="T284" i="30"/>
  <c r="P284" i="30"/>
  <c r="I284" i="30" s="1"/>
  <c r="X284" i="30" s="1"/>
  <c r="Q284" i="30"/>
  <c r="R284" i="30"/>
  <c r="S284" i="30"/>
  <c r="Q284" i="17"/>
  <c r="P284" i="17"/>
  <c r="I284" i="17" s="1"/>
  <c r="R284" i="17"/>
  <c r="S284" i="17"/>
  <c r="W284" i="23"/>
  <c r="Q284" i="23"/>
  <c r="P284" i="23"/>
  <c r="R284" i="23"/>
  <c r="S284" i="23"/>
  <c r="P284" i="40"/>
  <c r="I284" i="40" s="1"/>
  <c r="Q284" i="40"/>
  <c r="R284" i="40"/>
  <c r="S284" i="40"/>
  <c r="W284" i="38"/>
  <c r="P284" i="38"/>
  <c r="Q284" i="38"/>
  <c r="R284" i="38"/>
  <c r="S284" i="38"/>
  <c r="W284" i="32"/>
  <c r="P284" i="32"/>
  <c r="I284" i="32" s="1"/>
  <c r="Q284" i="32"/>
  <c r="R284" i="32"/>
  <c r="S284" i="32"/>
  <c r="P277" i="40"/>
  <c r="I277" i="40" s="1"/>
  <c r="Q277" i="40"/>
  <c r="P277" i="17"/>
  <c r="I277" i="17" s="1"/>
  <c r="Q277" i="17"/>
  <c r="W277" i="89"/>
  <c r="P277" i="89"/>
  <c r="I277" i="89" s="1"/>
  <c r="X277" i="89" s="1"/>
  <c r="Q277" i="89"/>
  <c r="R277" i="28"/>
  <c r="P277" i="28"/>
  <c r="I277" i="28" s="1"/>
  <c r="X277" i="28" s="1"/>
  <c r="Q277" i="28"/>
  <c r="W277" i="14"/>
  <c r="P277" i="14"/>
  <c r="I277" i="14" s="1"/>
  <c r="X277" i="14" s="1"/>
  <c r="Q277" i="14"/>
  <c r="P277" i="38"/>
  <c r="I277" i="38" s="1"/>
  <c r="Q277" i="38"/>
  <c r="R277" i="23"/>
  <c r="P277" i="23"/>
  <c r="I277" i="23" s="1"/>
  <c r="X277" i="23" s="1"/>
  <c r="Q277" i="23"/>
  <c r="P277" i="30"/>
  <c r="I277" i="30" s="1"/>
  <c r="Q277" i="30"/>
  <c r="P277" i="32"/>
  <c r="I277" i="32" s="1"/>
  <c r="Q277" i="32"/>
  <c r="P279" i="25"/>
  <c r="I279" i="25" s="1"/>
  <c r="Q279" i="25"/>
  <c r="P270" i="28"/>
  <c r="I270" i="28" s="1"/>
  <c r="X270" i="28" s="1"/>
  <c r="Q270" i="30"/>
  <c r="P270" i="30"/>
  <c r="I270" i="30" s="1"/>
  <c r="X270" i="30" s="1"/>
  <c r="P270" i="14"/>
  <c r="I270" i="14" s="1"/>
  <c r="X270" i="14" s="1"/>
  <c r="W270" i="38"/>
  <c r="P270" i="38"/>
  <c r="I270" i="38" s="1"/>
  <c r="X270" i="38" s="1"/>
  <c r="W270" i="40"/>
  <c r="P270" i="40"/>
  <c r="I270" i="40" s="1"/>
  <c r="X270" i="40" s="1"/>
  <c r="W272" i="25"/>
  <c r="P272" i="25"/>
  <c r="I272" i="25" s="1"/>
  <c r="W270" i="89"/>
  <c r="P270" i="89"/>
  <c r="I270" i="89" s="1"/>
  <c r="P270" i="23"/>
  <c r="I270" i="23" s="1"/>
  <c r="X270" i="23" s="1"/>
  <c r="W254" i="28"/>
  <c r="P254" i="28"/>
  <c r="I254" i="28" s="1"/>
  <c r="Q254" i="28"/>
  <c r="R254" i="28"/>
  <c r="T254" i="28"/>
  <c r="S254" i="28"/>
  <c r="W254" i="38"/>
  <c r="P254" i="38"/>
  <c r="I254" i="38" s="1"/>
  <c r="X254" i="38" s="1"/>
  <c r="Q254" i="38"/>
  <c r="R254" i="38"/>
  <c r="T254" i="38"/>
  <c r="S254" i="38"/>
  <c r="P254" i="30"/>
  <c r="I254" i="30" s="1"/>
  <c r="Q254" i="30"/>
  <c r="R254" i="30"/>
  <c r="T254" i="30"/>
  <c r="S254" i="30"/>
  <c r="P254" i="32"/>
  <c r="I254" i="32" s="1"/>
  <c r="Q254" i="32"/>
  <c r="R254" i="32"/>
  <c r="S254" i="32"/>
  <c r="T254" i="32"/>
  <c r="P254" i="17"/>
  <c r="Q254" i="17"/>
  <c r="R254" i="17"/>
  <c r="T254" i="17"/>
  <c r="S254" i="17"/>
  <c r="P254" i="89"/>
  <c r="I254" i="89" s="1"/>
  <c r="Q254" i="89"/>
  <c r="R254" i="89"/>
  <c r="S254" i="89"/>
  <c r="T254" i="89"/>
  <c r="W254" i="14"/>
  <c r="P254" i="14"/>
  <c r="I254" i="14" s="1"/>
  <c r="X254" i="14" s="1"/>
  <c r="Q254" i="14"/>
  <c r="R254" i="14"/>
  <c r="T254" i="14"/>
  <c r="S254" i="14"/>
  <c r="W254" i="23"/>
  <c r="Q254" i="23"/>
  <c r="P254" i="23"/>
  <c r="I254" i="23" s="1"/>
  <c r="X254" i="23" s="1"/>
  <c r="R254" i="23"/>
  <c r="S254" i="23"/>
  <c r="T254" i="23"/>
  <c r="P254" i="40"/>
  <c r="I254" i="40" s="1"/>
  <c r="Q254" i="40"/>
  <c r="R254" i="40"/>
  <c r="S254" i="40"/>
  <c r="T254" i="40"/>
  <c r="P256" i="25"/>
  <c r="I256" i="25" s="1"/>
  <c r="Q256" i="25"/>
  <c r="R256" i="25"/>
  <c r="T256" i="25"/>
  <c r="S256" i="25"/>
  <c r="P247" i="17"/>
  <c r="I247" i="17" s="1"/>
  <c r="Q247" i="17"/>
  <c r="R247" i="17"/>
  <c r="S247" i="17"/>
  <c r="T247" i="14"/>
  <c r="P247" i="14"/>
  <c r="I247" i="14" s="1"/>
  <c r="Q247" i="14"/>
  <c r="R247" i="14"/>
  <c r="S247" i="14"/>
  <c r="P247" i="32"/>
  <c r="I247" i="32" s="1"/>
  <c r="Q247" i="32"/>
  <c r="R247" i="32"/>
  <c r="S247" i="32"/>
  <c r="T247" i="38"/>
  <c r="Q247" i="38"/>
  <c r="P247" i="38"/>
  <c r="I247" i="38" s="1"/>
  <c r="X247" i="38" s="1"/>
  <c r="R247" i="38"/>
  <c r="S247" i="38"/>
  <c r="W249" i="25"/>
  <c r="P249" i="25"/>
  <c r="I249" i="25" s="1"/>
  <c r="X249" i="25" s="1"/>
  <c r="Q249" i="25"/>
  <c r="R249" i="25"/>
  <c r="S249" i="25"/>
  <c r="P247" i="30"/>
  <c r="I247" i="30" s="1"/>
  <c r="Q247" i="30"/>
  <c r="R247" i="30"/>
  <c r="S247" i="30"/>
  <c r="T247" i="89"/>
  <c r="P247" i="89"/>
  <c r="I247" i="89" s="1"/>
  <c r="Q247" i="89"/>
  <c r="R247" i="89"/>
  <c r="S247" i="89"/>
  <c r="T247" i="28"/>
  <c r="P247" i="28"/>
  <c r="I247" i="28" s="1"/>
  <c r="X247" i="28" s="1"/>
  <c r="Q247" i="28"/>
  <c r="R247" i="28"/>
  <c r="S247" i="28"/>
  <c r="P247" i="23"/>
  <c r="I247" i="23" s="1"/>
  <c r="Q247" i="23"/>
  <c r="R247" i="23"/>
  <c r="S247" i="23"/>
  <c r="P247" i="40"/>
  <c r="I247" i="40" s="1"/>
  <c r="Q247" i="40"/>
  <c r="R247" i="40"/>
  <c r="S247" i="40"/>
  <c r="P240" i="38"/>
  <c r="I240" i="38" s="1"/>
  <c r="Q240" i="38"/>
  <c r="R240" i="89"/>
  <c r="P240" i="89"/>
  <c r="I240" i="89" s="1"/>
  <c r="Q240" i="89"/>
  <c r="W240" i="14"/>
  <c r="P240" i="14"/>
  <c r="I240" i="14" s="1"/>
  <c r="X240" i="14" s="1"/>
  <c r="Q240" i="14"/>
  <c r="P240" i="30"/>
  <c r="I240" i="30" s="1"/>
  <c r="Q240" i="30"/>
  <c r="Q240" i="17"/>
  <c r="P240" i="17"/>
  <c r="W240" i="32"/>
  <c r="P240" i="32"/>
  <c r="I240" i="32" s="1"/>
  <c r="X240" i="32" s="1"/>
  <c r="Q240" i="32"/>
  <c r="P240" i="23"/>
  <c r="I240" i="23" s="1"/>
  <c r="Q240" i="23"/>
  <c r="P240" i="40"/>
  <c r="I240" i="40" s="1"/>
  <c r="X240" i="40" s="1"/>
  <c r="Q240" i="40"/>
  <c r="W240" i="28"/>
  <c r="P240" i="28"/>
  <c r="I240" i="28" s="1"/>
  <c r="X240" i="28" s="1"/>
  <c r="Q240" i="28"/>
  <c r="P242" i="25"/>
  <c r="I242" i="25" s="1"/>
  <c r="Q242" i="25"/>
  <c r="P233" i="23"/>
  <c r="I233" i="23" s="1"/>
  <c r="X233" i="23" s="1"/>
  <c r="P233" i="38"/>
  <c r="I233" i="38" s="1"/>
  <c r="X233" i="38" s="1"/>
  <c r="P235" i="25"/>
  <c r="I235" i="25" s="1"/>
  <c r="X235" i="25" s="1"/>
  <c r="W196" i="38"/>
  <c r="Q196" i="38"/>
  <c r="P196" i="38"/>
  <c r="I196" i="38" s="1"/>
  <c r="X196" i="38" s="1"/>
  <c r="R196" i="38"/>
  <c r="S196" i="38"/>
  <c r="T196" i="38"/>
  <c r="P196" i="30"/>
  <c r="I196" i="30" s="1"/>
  <c r="Q196" i="30"/>
  <c r="R196" i="30"/>
  <c r="S196" i="30"/>
  <c r="T196" i="30"/>
  <c r="W196" i="89"/>
  <c r="P196" i="89"/>
  <c r="I196" i="89" s="1"/>
  <c r="X196" i="89" s="1"/>
  <c r="Q196" i="89"/>
  <c r="R196" i="89"/>
  <c r="S196" i="89"/>
  <c r="T196" i="89"/>
  <c r="W196" i="14"/>
  <c r="P196" i="14"/>
  <c r="I196" i="14" s="1"/>
  <c r="Q196" i="14"/>
  <c r="R196" i="14"/>
  <c r="T196" i="14"/>
  <c r="S196" i="14"/>
  <c r="P196" i="32"/>
  <c r="I196" i="32" s="1"/>
  <c r="Q196" i="32"/>
  <c r="R196" i="32"/>
  <c r="S196" i="32"/>
  <c r="T196" i="32"/>
  <c r="W198" i="25"/>
  <c r="P198" i="25"/>
  <c r="I198" i="25" s="1"/>
  <c r="Q198" i="25"/>
  <c r="R198" i="25"/>
  <c r="S198" i="25"/>
  <c r="T198" i="25"/>
  <c r="W196" i="40"/>
  <c r="P196" i="40"/>
  <c r="I196" i="40" s="1"/>
  <c r="X196" i="40" s="1"/>
  <c r="Q196" i="40"/>
  <c r="R196" i="40"/>
  <c r="T196" i="40"/>
  <c r="S196" i="40"/>
  <c r="P196" i="17"/>
  <c r="I196" i="17" s="1"/>
  <c r="Q196" i="17"/>
  <c r="R196" i="17"/>
  <c r="S196" i="17"/>
  <c r="T196" i="17"/>
  <c r="P196" i="28"/>
  <c r="I196" i="28" s="1"/>
  <c r="Q196" i="28"/>
  <c r="R196" i="28"/>
  <c r="T196" i="28"/>
  <c r="S196" i="28"/>
  <c r="P196" i="23"/>
  <c r="I196" i="23" s="1"/>
  <c r="Q196" i="23"/>
  <c r="R196" i="23"/>
  <c r="T196" i="23"/>
  <c r="S196" i="23"/>
  <c r="W189" i="17"/>
  <c r="P189" i="17"/>
  <c r="I189" i="17" s="1"/>
  <c r="X189" i="17" s="1"/>
  <c r="Q189" i="17"/>
  <c r="R189" i="17"/>
  <c r="S189" i="17"/>
  <c r="P189" i="89"/>
  <c r="I189" i="89" s="1"/>
  <c r="Q189" i="89"/>
  <c r="R189" i="89"/>
  <c r="S189" i="89"/>
  <c r="W189" i="14"/>
  <c r="P189" i="14"/>
  <c r="I189" i="14" s="1"/>
  <c r="Q189" i="14"/>
  <c r="R189" i="14"/>
  <c r="S189" i="14"/>
  <c r="P189" i="32"/>
  <c r="I189" i="32" s="1"/>
  <c r="R189" i="32"/>
  <c r="Q189" i="32"/>
  <c r="S189" i="32"/>
  <c r="P189" i="40"/>
  <c r="I189" i="40" s="1"/>
  <c r="Q189" i="40"/>
  <c r="R189" i="40"/>
  <c r="S189" i="40"/>
  <c r="P191" i="25"/>
  <c r="I191" i="25" s="1"/>
  <c r="Q191" i="25"/>
  <c r="R191" i="25"/>
  <c r="S191" i="25"/>
  <c r="T189" i="23"/>
  <c r="P189" i="23"/>
  <c r="I189" i="23" s="1"/>
  <c r="Q189" i="23"/>
  <c r="R189" i="23"/>
  <c r="S189" i="23"/>
  <c r="T189" i="30"/>
  <c r="P189" i="30"/>
  <c r="I189" i="30" s="1"/>
  <c r="Q189" i="30"/>
  <c r="R189" i="30"/>
  <c r="S189" i="30"/>
  <c r="T189" i="28"/>
  <c r="P189" i="28"/>
  <c r="I189" i="28" s="1"/>
  <c r="X189" i="28" s="1"/>
  <c r="Q189" i="28"/>
  <c r="R189" i="28"/>
  <c r="S189" i="28"/>
  <c r="W189" i="38"/>
  <c r="P189" i="38"/>
  <c r="I189" i="38" s="1"/>
  <c r="X189" i="38" s="1"/>
  <c r="Q189" i="38"/>
  <c r="R189" i="38"/>
  <c r="S189" i="38"/>
  <c r="P182" i="30"/>
  <c r="I182" i="30" s="1"/>
  <c r="Q182" i="30"/>
  <c r="P182" i="32"/>
  <c r="I182" i="32" s="1"/>
  <c r="Q182" i="32"/>
  <c r="W184" i="25"/>
  <c r="P184" i="25"/>
  <c r="I184" i="25" s="1"/>
  <c r="Q184" i="25"/>
  <c r="P182" i="17"/>
  <c r="I182" i="17" s="1"/>
  <c r="X182" i="17" s="1"/>
  <c r="Q182" i="17"/>
  <c r="R182" i="14"/>
  <c r="P182" i="14"/>
  <c r="I182" i="14" s="1"/>
  <c r="Q182" i="14"/>
  <c r="P182" i="28"/>
  <c r="I182" i="28" s="1"/>
  <c r="Q182" i="28"/>
  <c r="R182" i="89"/>
  <c r="P182" i="89"/>
  <c r="I182" i="89" s="1"/>
  <c r="X182" i="89" s="1"/>
  <c r="Q182" i="89"/>
  <c r="R182" i="38"/>
  <c r="Q182" i="38"/>
  <c r="P182" i="38"/>
  <c r="I182" i="38" s="1"/>
  <c r="X182" i="38" s="1"/>
  <c r="W182" i="23"/>
  <c r="P182" i="23"/>
  <c r="I182" i="23" s="1"/>
  <c r="Q182" i="23"/>
  <c r="P182" i="40"/>
  <c r="I182" i="40" s="1"/>
  <c r="Q182" i="40"/>
  <c r="Q175" i="14"/>
  <c r="P175" i="14"/>
  <c r="I175" i="14" s="1"/>
  <c r="X175" i="14" s="1"/>
  <c r="W175" i="28"/>
  <c r="P175" i="28"/>
  <c r="I175" i="28" s="1"/>
  <c r="X175" i="28" s="1"/>
  <c r="W175" i="38"/>
  <c r="P175" i="38"/>
  <c r="I175" i="38" s="1"/>
  <c r="X175" i="38" s="1"/>
  <c r="P175" i="40"/>
  <c r="I175" i="40" s="1"/>
  <c r="X175" i="40" s="1"/>
  <c r="Q175" i="89"/>
  <c r="P175" i="89"/>
  <c r="I175" i="89" s="1"/>
  <c r="Q177" i="25"/>
  <c r="P177" i="25"/>
  <c r="I177" i="25" s="1"/>
  <c r="X177" i="25" s="1"/>
  <c r="P159" i="32"/>
  <c r="I159" i="32" s="1"/>
  <c r="R159" i="32"/>
  <c r="Q159" i="32"/>
  <c r="S159" i="32"/>
  <c r="T159" i="32"/>
  <c r="W159" i="28"/>
  <c r="P159" i="28"/>
  <c r="I159" i="28" s="1"/>
  <c r="X159" i="28" s="1"/>
  <c r="Q159" i="28"/>
  <c r="R159" i="28"/>
  <c r="T159" i="28"/>
  <c r="S159" i="28"/>
  <c r="P159" i="23"/>
  <c r="I159" i="23" s="1"/>
  <c r="Q159" i="23"/>
  <c r="R159" i="23"/>
  <c r="T159" i="23"/>
  <c r="S159" i="23"/>
  <c r="W161" i="25"/>
  <c r="P161" i="25"/>
  <c r="I161" i="25" s="1"/>
  <c r="X161" i="25" s="1"/>
  <c r="Q161" i="25"/>
  <c r="R161" i="25"/>
  <c r="S161" i="25"/>
  <c r="T161" i="25"/>
  <c r="W159" i="14"/>
  <c r="P159" i="14"/>
  <c r="I159" i="14" s="1"/>
  <c r="X159" i="14" s="1"/>
  <c r="Q159" i="14"/>
  <c r="R159" i="14"/>
  <c r="T159" i="14"/>
  <c r="S159" i="14"/>
  <c r="P159" i="30"/>
  <c r="I159" i="30" s="1"/>
  <c r="Q159" i="30"/>
  <c r="R159" i="30"/>
  <c r="T159" i="30"/>
  <c r="S159" i="30"/>
  <c r="P159" i="17"/>
  <c r="I159" i="17" s="1"/>
  <c r="Q159" i="17"/>
  <c r="R159" i="17"/>
  <c r="S159" i="17"/>
  <c r="T159" i="17"/>
  <c r="P159" i="89"/>
  <c r="I159" i="89" s="1"/>
  <c r="Q159" i="89"/>
  <c r="R159" i="89"/>
  <c r="T159" i="89"/>
  <c r="S159" i="89"/>
  <c r="W159" i="38"/>
  <c r="P159" i="38"/>
  <c r="I159" i="38" s="1"/>
  <c r="Q159" i="38"/>
  <c r="R159" i="38"/>
  <c r="S159" i="38"/>
  <c r="T159" i="38"/>
  <c r="P159" i="40"/>
  <c r="I159" i="40" s="1"/>
  <c r="Q159" i="40"/>
  <c r="R159" i="40"/>
  <c r="S159" i="40"/>
  <c r="T159" i="40"/>
  <c r="W152" i="30"/>
  <c r="P152" i="30"/>
  <c r="I152" i="30" s="1"/>
  <c r="Q152" i="30"/>
  <c r="R152" i="30"/>
  <c r="S152" i="30"/>
  <c r="P152" i="32"/>
  <c r="I152" i="32" s="1"/>
  <c r="Q152" i="32"/>
  <c r="R152" i="32"/>
  <c r="S152" i="32"/>
  <c r="P152" i="23"/>
  <c r="I152" i="23" s="1"/>
  <c r="Q152" i="23"/>
  <c r="R152" i="23"/>
  <c r="S152" i="23"/>
  <c r="T152" i="89"/>
  <c r="P152" i="89"/>
  <c r="I152" i="89" s="1"/>
  <c r="X152" i="89" s="1"/>
  <c r="Q152" i="89"/>
  <c r="R152" i="89"/>
  <c r="S152" i="89"/>
  <c r="T152" i="38"/>
  <c r="P152" i="38"/>
  <c r="I152" i="38" s="1"/>
  <c r="X152" i="38" s="1"/>
  <c r="Q152" i="38"/>
  <c r="R152" i="38"/>
  <c r="S152" i="38"/>
  <c r="P152" i="40"/>
  <c r="I152" i="40" s="1"/>
  <c r="Q152" i="40"/>
  <c r="R152" i="40"/>
  <c r="S152" i="40"/>
  <c r="T152" i="17"/>
  <c r="Q152" i="17"/>
  <c r="P152" i="17"/>
  <c r="I152" i="17" s="1"/>
  <c r="X152" i="17" s="1"/>
  <c r="R152" i="17"/>
  <c r="S152" i="17"/>
  <c r="T152" i="14"/>
  <c r="P152" i="14"/>
  <c r="I152" i="14" s="1"/>
  <c r="Q152" i="14"/>
  <c r="R152" i="14"/>
  <c r="S152" i="14"/>
  <c r="P152" i="28"/>
  <c r="I152" i="28" s="1"/>
  <c r="X152" i="28" s="1"/>
  <c r="Q152" i="28"/>
  <c r="R152" i="28"/>
  <c r="S152" i="28"/>
  <c r="T154" i="25"/>
  <c r="P154" i="25"/>
  <c r="I154" i="25" s="1"/>
  <c r="Q154" i="25"/>
  <c r="R154" i="25"/>
  <c r="S154" i="25"/>
  <c r="W145" i="32"/>
  <c r="P145" i="32"/>
  <c r="I145" i="32" s="1"/>
  <c r="X145" i="32" s="1"/>
  <c r="Q145" i="32"/>
  <c r="R145" i="38"/>
  <c r="Q145" i="38"/>
  <c r="P145" i="38"/>
  <c r="I145" i="38" s="1"/>
  <c r="P145" i="30"/>
  <c r="I145" i="30" s="1"/>
  <c r="Q145" i="30"/>
  <c r="Q145" i="17"/>
  <c r="P145" i="17"/>
  <c r="I145" i="17" s="1"/>
  <c r="P145" i="89"/>
  <c r="I145" i="89" s="1"/>
  <c r="Q145" i="89"/>
  <c r="W147" i="25"/>
  <c r="P147" i="25"/>
  <c r="I147" i="25" s="1"/>
  <c r="Q147" i="25"/>
  <c r="P145" i="28"/>
  <c r="I145" i="28" s="1"/>
  <c r="Q145" i="28"/>
  <c r="P145" i="23"/>
  <c r="I145" i="23" s="1"/>
  <c r="Q145" i="23"/>
  <c r="P145" i="14"/>
  <c r="I145" i="14" s="1"/>
  <c r="Q145" i="14"/>
  <c r="R145" i="40"/>
  <c r="P145" i="40"/>
  <c r="I145" i="40" s="1"/>
  <c r="Q145" i="40"/>
  <c r="Q138" i="23"/>
  <c r="P138" i="23"/>
  <c r="I138" i="23" s="1"/>
  <c r="Q140" i="25"/>
  <c r="P140" i="25"/>
  <c r="I140" i="25" s="1"/>
  <c r="W138" i="38"/>
  <c r="P138" i="38"/>
  <c r="I138" i="38" s="1"/>
  <c r="X138" i="38" s="1"/>
  <c r="P138" i="14"/>
  <c r="I138" i="14" s="1"/>
  <c r="X138" i="14" s="1"/>
  <c r="W138" i="32"/>
  <c r="P138" i="32"/>
  <c r="I138" i="32" s="1"/>
  <c r="X138" i="32" s="1"/>
  <c r="R240" i="17"/>
  <c r="W240" i="17"/>
  <c r="I240" i="17"/>
  <c r="X240" i="17" s="1"/>
  <c r="Q138" i="38"/>
  <c r="R182" i="23"/>
  <c r="T152" i="28"/>
  <c r="W152" i="28"/>
  <c r="T189" i="32"/>
  <c r="W189" i="32"/>
  <c r="W119" i="14"/>
  <c r="P119" i="14"/>
  <c r="I119" i="14" s="1"/>
  <c r="J119" i="14" s="1"/>
  <c r="W233" i="89"/>
  <c r="Q233" i="89"/>
  <c r="R240" i="40"/>
  <c r="W240" i="40"/>
  <c r="Q235" i="25"/>
  <c r="W235" i="25"/>
  <c r="U33" i="20"/>
  <c r="U66" i="20" s="1"/>
  <c r="U69" i="20" s="1"/>
  <c r="T136" i="20"/>
  <c r="W284" i="30"/>
  <c r="F20" i="38"/>
  <c r="W240" i="89"/>
  <c r="F20" i="14"/>
  <c r="W247" i="14"/>
  <c r="R277" i="14"/>
  <c r="W189" i="30"/>
  <c r="E20" i="14"/>
  <c r="R298" i="14"/>
  <c r="D20" i="14"/>
  <c r="I284" i="14"/>
  <c r="I203" i="38"/>
  <c r="J203" i="38" s="1"/>
  <c r="K203" i="38" s="1"/>
  <c r="L203" i="38" s="1"/>
  <c r="M203" i="38" s="1"/>
  <c r="R203" i="28"/>
  <c r="G96" i="12"/>
  <c r="D29" i="38" s="1"/>
  <c r="D49" i="38" s="1"/>
  <c r="D20" i="38" s="1"/>
  <c r="Y203" i="28"/>
  <c r="W284" i="14"/>
  <c r="T152" i="30"/>
  <c r="H96" i="12"/>
  <c r="E29" i="38" s="1"/>
  <c r="E49" i="38" s="1"/>
  <c r="E20" i="38" s="1"/>
  <c r="Q270" i="89"/>
  <c r="I166" i="30"/>
  <c r="J166" i="30" s="1"/>
  <c r="Y166" i="30"/>
  <c r="R298" i="30"/>
  <c r="Y298" i="30"/>
  <c r="W214" i="14"/>
  <c r="Y203" i="23"/>
  <c r="I261" i="28"/>
  <c r="J261" i="28" s="1"/>
  <c r="R261" i="28"/>
  <c r="Y203" i="89"/>
  <c r="W270" i="30"/>
  <c r="I166" i="38"/>
  <c r="J166" i="38" s="1"/>
  <c r="Q138" i="14"/>
  <c r="W254" i="89"/>
  <c r="P128" i="14"/>
  <c r="I128" i="14" s="1"/>
  <c r="J128" i="14" s="1"/>
  <c r="W138" i="14"/>
  <c r="W175" i="89"/>
  <c r="W152" i="17"/>
  <c r="R184" i="25"/>
  <c r="W270" i="14"/>
  <c r="W145" i="14"/>
  <c r="I166" i="89"/>
  <c r="J166" i="89" s="1"/>
  <c r="W247" i="89"/>
  <c r="R145" i="14"/>
  <c r="P128" i="40"/>
  <c r="I128" i="40" s="1"/>
  <c r="J128" i="40" s="1"/>
  <c r="R166" i="89"/>
  <c r="R240" i="38"/>
  <c r="W270" i="28"/>
  <c r="P119" i="89"/>
  <c r="I119" i="89" s="1"/>
  <c r="W270" i="23"/>
  <c r="W216" i="25"/>
  <c r="W214" i="38"/>
  <c r="P225" i="25"/>
  <c r="I225" i="25" s="1"/>
  <c r="J225" i="25" s="1"/>
  <c r="K225" i="25" s="1"/>
  <c r="L225" i="25" s="1"/>
  <c r="M225" i="25" s="1"/>
  <c r="Q175" i="40"/>
  <c r="F20" i="89"/>
  <c r="R166" i="38"/>
  <c r="I261" i="89"/>
  <c r="J261" i="89" s="1"/>
  <c r="I261" i="14"/>
  <c r="J261" i="14" s="1"/>
  <c r="I166" i="40"/>
  <c r="J166" i="40" s="1"/>
  <c r="I261" i="38"/>
  <c r="J261" i="38" s="1"/>
  <c r="R261" i="38"/>
  <c r="W177" i="25"/>
  <c r="R261" i="89"/>
  <c r="P128" i="23"/>
  <c r="I128" i="23" s="1"/>
  <c r="J128" i="23" s="1"/>
  <c r="I298" i="14"/>
  <c r="J298" i="14" s="1"/>
  <c r="Y261" i="14"/>
  <c r="P214" i="32"/>
  <c r="I214" i="32" s="1"/>
  <c r="J214" i="32" s="1"/>
  <c r="K214" i="32" s="1"/>
  <c r="L214" i="32" s="1"/>
  <c r="M214" i="32" s="1"/>
  <c r="R240" i="28"/>
  <c r="I203" i="89"/>
  <c r="J203" i="89" s="1"/>
  <c r="W182" i="89"/>
  <c r="W247" i="38"/>
  <c r="R182" i="17"/>
  <c r="R147" i="25"/>
  <c r="F20" i="40"/>
  <c r="G47" i="30"/>
  <c r="G49" i="30"/>
  <c r="G49" i="23"/>
  <c r="G47" i="23"/>
  <c r="I97" i="12"/>
  <c r="F30" i="38" s="1"/>
  <c r="Y87" i="18" s="1"/>
  <c r="AX166" i="18" s="1"/>
  <c r="I87" i="85" s="1"/>
  <c r="W140" i="25"/>
  <c r="Q233" i="23"/>
  <c r="W182" i="38"/>
  <c r="P223" i="23"/>
  <c r="I223" i="23" s="1"/>
  <c r="J223" i="23" s="1"/>
  <c r="K223" i="23" s="1"/>
  <c r="L223" i="23" s="1"/>
  <c r="M223" i="23" s="1"/>
  <c r="G49" i="40"/>
  <c r="G47" i="40"/>
  <c r="W175" i="40"/>
  <c r="B16" i="23"/>
  <c r="F20" i="30"/>
  <c r="T249" i="25"/>
  <c r="Q272" i="25"/>
  <c r="R240" i="14"/>
  <c r="T284" i="32"/>
  <c r="W159" i="23"/>
  <c r="T189" i="14"/>
  <c r="Q270" i="14"/>
  <c r="F20" i="23"/>
  <c r="T189" i="17"/>
  <c r="W293" i="25"/>
  <c r="P119" i="38"/>
  <c r="I119" i="38" s="1"/>
  <c r="Q175" i="38"/>
  <c r="T189" i="38"/>
  <c r="I203" i="23"/>
  <c r="J203" i="23" s="1"/>
  <c r="R145" i="32"/>
  <c r="W145" i="38"/>
  <c r="W138" i="23"/>
  <c r="W119" i="23"/>
  <c r="AA19" i="65"/>
  <c r="AA29" i="65"/>
  <c r="G49" i="89"/>
  <c r="G47" i="89"/>
  <c r="Q270" i="28"/>
  <c r="R277" i="89"/>
  <c r="Y203" i="38"/>
  <c r="W121" i="25"/>
  <c r="W182" i="28"/>
  <c r="W277" i="28"/>
  <c r="T152" i="23"/>
  <c r="Q270" i="40"/>
  <c r="W154" i="25"/>
  <c r="W152" i="23"/>
  <c r="R182" i="28"/>
  <c r="W277" i="23"/>
  <c r="W233" i="38"/>
  <c r="P223" i="89"/>
  <c r="I223" i="89" s="1"/>
  <c r="J223" i="89" s="1"/>
  <c r="K223" i="89" s="1"/>
  <c r="L223" i="89" s="1"/>
  <c r="M223" i="89" s="1"/>
  <c r="R263" i="25"/>
  <c r="Q270" i="23"/>
  <c r="Q233" i="38"/>
  <c r="P223" i="28"/>
  <c r="I223" i="28" s="1"/>
  <c r="J223" i="28" s="1"/>
  <c r="K223" i="28" s="1"/>
  <c r="L223" i="28" s="1"/>
  <c r="M223" i="28" s="1"/>
  <c r="W214" i="23"/>
  <c r="W175" i="14"/>
  <c r="I205" i="25"/>
  <c r="J205" i="25" s="1"/>
  <c r="W240" i="38"/>
  <c r="T284" i="38"/>
  <c r="W277" i="38"/>
  <c r="R166" i="40"/>
  <c r="I298" i="17"/>
  <c r="J298" i="17" s="1"/>
  <c r="W159" i="30"/>
  <c r="W223" i="40"/>
  <c r="R298" i="17"/>
  <c r="B14" i="38"/>
  <c r="I298" i="89"/>
  <c r="J298" i="89" s="1"/>
  <c r="B15" i="40"/>
  <c r="R240" i="23"/>
  <c r="R298" i="38"/>
  <c r="K298" i="38" s="1"/>
  <c r="L298" i="38" s="1"/>
  <c r="M298" i="38" s="1"/>
  <c r="W286" i="25"/>
  <c r="B15" i="38"/>
  <c r="R240" i="32"/>
  <c r="W196" i="28"/>
  <c r="W214" i="28"/>
  <c r="W152" i="89"/>
  <c r="R298" i="89"/>
  <c r="Q175" i="28"/>
  <c r="W240" i="23"/>
  <c r="I261" i="40"/>
  <c r="J261" i="40" s="1"/>
  <c r="W182" i="14"/>
  <c r="Y298" i="38"/>
  <c r="Q270" i="38"/>
  <c r="T286" i="25"/>
  <c r="C20" i="38"/>
  <c r="I214" i="23"/>
  <c r="J214" i="23" s="1"/>
  <c r="K214" i="23" s="1"/>
  <c r="L214" i="23" s="1"/>
  <c r="M214" i="23" s="1"/>
  <c r="R277" i="38"/>
  <c r="W182" i="17"/>
  <c r="I284" i="38"/>
  <c r="X284" i="38" s="1"/>
  <c r="W247" i="28"/>
  <c r="W189" i="28"/>
  <c r="W291" i="17"/>
  <c r="W152" i="38"/>
  <c r="W233" i="23"/>
  <c r="P223" i="38"/>
  <c r="I223" i="38" s="1"/>
  <c r="J223" i="38" s="1"/>
  <c r="K223" i="38" s="1"/>
  <c r="L223" i="38" s="1"/>
  <c r="M223" i="38" s="1"/>
  <c r="I263" i="25"/>
  <c r="J263" i="25" s="1"/>
  <c r="B18" i="25"/>
  <c r="Y261" i="40"/>
  <c r="I284" i="23"/>
  <c r="B14" i="14"/>
  <c r="I166" i="28"/>
  <c r="J166" i="28" s="1"/>
  <c r="R242" i="25"/>
  <c r="T284" i="23"/>
  <c r="W152" i="14"/>
  <c r="P128" i="38"/>
  <c r="I128" i="38" s="1"/>
  <c r="G29" i="38"/>
  <c r="G49" i="38" s="1"/>
  <c r="G20" i="38" s="1"/>
  <c r="J97" i="12"/>
  <c r="G30" i="38" s="1"/>
  <c r="Z87" i="18" s="1"/>
  <c r="AY166" i="18" s="1"/>
  <c r="J87" i="85" s="1"/>
  <c r="Y205" i="25"/>
  <c r="R166" i="28"/>
  <c r="W242" i="25"/>
  <c r="W145" i="40"/>
  <c r="W128" i="38"/>
  <c r="Q138" i="32"/>
  <c r="W223" i="14"/>
  <c r="I214" i="28"/>
  <c r="J214" i="28" s="1"/>
  <c r="K214" i="28" s="1"/>
  <c r="L214" i="28" s="1"/>
  <c r="M214" i="28" s="1"/>
  <c r="W256" i="25"/>
  <c r="B16" i="38"/>
  <c r="F97" i="12"/>
  <c r="C30" i="38" s="1"/>
  <c r="V87" i="18" s="1"/>
  <c r="AU166" i="18" s="1"/>
  <c r="F87" i="85" s="1"/>
  <c r="W189" i="23"/>
  <c r="B16" i="25"/>
  <c r="B15" i="23"/>
  <c r="B14" i="89"/>
  <c r="B16" i="89"/>
  <c r="W254" i="30"/>
  <c r="T247" i="17"/>
  <c r="W247" i="17"/>
  <c r="U67" i="18"/>
  <c r="AT126" i="18" s="1"/>
  <c r="AB16" i="65"/>
  <c r="AB27" i="65" s="1"/>
  <c r="U53" i="18"/>
  <c r="AT104" i="18" s="1"/>
  <c r="AB15" i="65"/>
  <c r="AB26" i="65" s="1"/>
  <c r="P223" i="32"/>
  <c r="I223" i="32" s="1"/>
  <c r="J223" i="32" s="1"/>
  <c r="K223" i="32" s="1"/>
  <c r="L223" i="32" s="1"/>
  <c r="M223" i="32" s="1"/>
  <c r="W223" i="32"/>
  <c r="W273" i="19"/>
  <c r="C22" i="19" s="1"/>
  <c r="P19" i="20"/>
  <c r="P21" i="20"/>
  <c r="P273" i="19"/>
  <c r="C24" i="19" s="1"/>
  <c r="I166" i="23"/>
  <c r="J166" i="23" s="1"/>
  <c r="R166" i="23"/>
  <c r="Y166" i="23"/>
  <c r="W214" i="17"/>
  <c r="P214" i="17"/>
  <c r="I214" i="17" s="1"/>
  <c r="J214" i="17" s="1"/>
  <c r="K214" i="17" s="1"/>
  <c r="L214" i="17" s="1"/>
  <c r="M214" i="17" s="1"/>
  <c r="P128" i="28"/>
  <c r="B15" i="28"/>
  <c r="W128" i="28"/>
  <c r="I138" i="28"/>
  <c r="W138" i="28"/>
  <c r="Q138" i="28"/>
  <c r="P307" i="32"/>
  <c r="I307" i="32" s="1"/>
  <c r="W307" i="32"/>
  <c r="P119" i="32"/>
  <c r="I119" i="32" s="1"/>
  <c r="B14" i="32"/>
  <c r="B16" i="32"/>
  <c r="W119" i="32"/>
  <c r="T61" i="76"/>
  <c r="T247" i="32"/>
  <c r="W247" i="32"/>
  <c r="R203" i="30"/>
  <c r="I203" i="30"/>
  <c r="J203" i="30" s="1"/>
  <c r="Y203" i="30"/>
  <c r="I175" i="32"/>
  <c r="Q175" i="32"/>
  <c r="W175" i="32"/>
  <c r="T247" i="30"/>
  <c r="W247" i="30"/>
  <c r="G7" i="25"/>
  <c r="G13" i="25"/>
  <c r="I203" i="32"/>
  <c r="J203" i="32" s="1"/>
  <c r="Y203" i="32"/>
  <c r="R203" i="32"/>
  <c r="W189" i="89"/>
  <c r="T189" i="89"/>
  <c r="I168" i="25"/>
  <c r="J168" i="25" s="1"/>
  <c r="R168" i="25"/>
  <c r="Y168" i="25"/>
  <c r="P119" i="17"/>
  <c r="I119" i="17" s="1"/>
  <c r="B14" i="17"/>
  <c r="B16" i="17"/>
  <c r="W119" i="17"/>
  <c r="I284" i="89"/>
  <c r="W284" i="89"/>
  <c r="T284" i="89"/>
  <c r="G20" i="32"/>
  <c r="P307" i="14"/>
  <c r="W307" i="14"/>
  <c r="P307" i="38"/>
  <c r="W307" i="38"/>
  <c r="B16" i="14"/>
  <c r="N33" i="82"/>
  <c r="P152" i="20"/>
  <c r="R182" i="30"/>
  <c r="W182" i="30"/>
  <c r="BI16" i="18"/>
  <c r="BB16" i="18" s="1"/>
  <c r="W284" i="40"/>
  <c r="T284" i="40"/>
  <c r="W284" i="17"/>
  <c r="T284" i="17"/>
  <c r="R277" i="30"/>
  <c r="W277" i="30"/>
  <c r="P119" i="40"/>
  <c r="B14" i="40"/>
  <c r="B16" i="40"/>
  <c r="W119" i="40"/>
  <c r="P119" i="30"/>
  <c r="B14" i="30"/>
  <c r="W119" i="30"/>
  <c r="B16" i="30"/>
  <c r="Q138" i="89"/>
  <c r="W138" i="89"/>
  <c r="W196" i="32"/>
  <c r="P214" i="30"/>
  <c r="I214" i="30" s="1"/>
  <c r="J214" i="30" s="1"/>
  <c r="K214" i="30" s="1"/>
  <c r="L214" i="30" s="1"/>
  <c r="M214" i="30" s="1"/>
  <c r="W214" i="30"/>
  <c r="W254" i="17"/>
  <c r="I254" i="17"/>
  <c r="W254" i="32"/>
  <c r="I261" i="23"/>
  <c r="J261" i="23" s="1"/>
  <c r="Y261" i="23"/>
  <c r="R261" i="23"/>
  <c r="W145" i="30"/>
  <c r="R145" i="30"/>
  <c r="W307" i="40"/>
  <c r="P307" i="40"/>
  <c r="I307" i="40" s="1"/>
  <c r="P307" i="89"/>
  <c r="I307" i="89" s="1"/>
  <c r="W307" i="89"/>
  <c r="B14" i="23"/>
  <c r="W159" i="89"/>
  <c r="W270" i="17"/>
  <c r="Q270" i="17"/>
  <c r="AT84" i="18"/>
  <c r="AT153" i="18"/>
  <c r="AT12" i="18"/>
  <c r="T152" i="32"/>
  <c r="W152" i="32"/>
  <c r="W240" i="30"/>
  <c r="R240" i="30"/>
  <c r="AB17" i="65"/>
  <c r="AB28" i="65" s="1"/>
  <c r="U81" i="18"/>
  <c r="AT163" i="18" s="1"/>
  <c r="AB19" i="65"/>
  <c r="AB30" i="65" s="1"/>
  <c r="U137" i="18"/>
  <c r="Q138" i="30"/>
  <c r="W138" i="30"/>
  <c r="W196" i="23"/>
  <c r="I298" i="40"/>
  <c r="J298" i="40" s="1"/>
  <c r="R298" i="40"/>
  <c r="Y298" i="40"/>
  <c r="W196" i="30"/>
  <c r="J119" i="23"/>
  <c r="R300" i="25"/>
  <c r="I300" i="25"/>
  <c r="J300" i="25" s="1"/>
  <c r="Y300" i="25"/>
  <c r="P128" i="20"/>
  <c r="Y203" i="14"/>
  <c r="R203" i="14"/>
  <c r="I203" i="14"/>
  <c r="J203" i="14" s="1"/>
  <c r="I138" i="40"/>
  <c r="Q138" i="40"/>
  <c r="W138" i="40"/>
  <c r="P128" i="17"/>
  <c r="I128" i="17" s="1"/>
  <c r="W128" i="17"/>
  <c r="B15" i="17"/>
  <c r="P214" i="40"/>
  <c r="I214" i="40" s="1"/>
  <c r="J214" i="40" s="1"/>
  <c r="K214" i="40" s="1"/>
  <c r="L214" i="40" s="1"/>
  <c r="M214" i="40" s="1"/>
  <c r="W214" i="40"/>
  <c r="P223" i="30"/>
  <c r="I223" i="30" s="1"/>
  <c r="J223" i="30" s="1"/>
  <c r="K223" i="30" s="1"/>
  <c r="L223" i="30" s="1"/>
  <c r="M223" i="30" s="1"/>
  <c r="W223" i="30"/>
  <c r="R182" i="32"/>
  <c r="W182" i="32"/>
  <c r="I166" i="14"/>
  <c r="J166" i="14" s="1"/>
  <c r="R166" i="14"/>
  <c r="Y166" i="14"/>
  <c r="W233" i="40"/>
  <c r="Q233" i="40"/>
  <c r="W175" i="17"/>
  <c r="Q175" i="17"/>
  <c r="I175" i="17"/>
  <c r="W152" i="40"/>
  <c r="T152" i="40"/>
  <c r="W145" i="17"/>
  <c r="R145" i="17"/>
  <c r="AB13" i="65"/>
  <c r="AB24" i="65" s="1"/>
  <c r="U25" i="18"/>
  <c r="AT94" i="18" s="1"/>
  <c r="W291" i="23"/>
  <c r="B16" i="28"/>
  <c r="B14" i="28"/>
  <c r="P119" i="28"/>
  <c r="W119" i="28"/>
  <c r="W189" i="40"/>
  <c r="T189" i="40"/>
  <c r="N105" i="17"/>
  <c r="F293" i="17" s="1"/>
  <c r="N79" i="17"/>
  <c r="F140" i="17" s="1"/>
  <c r="N89" i="17"/>
  <c r="F205" i="17" s="1"/>
  <c r="N87" i="17"/>
  <c r="F191" i="17" s="1"/>
  <c r="N86" i="17"/>
  <c r="F184" i="17" s="1"/>
  <c r="N93" i="17"/>
  <c r="F225" i="17" s="1"/>
  <c r="N96" i="17"/>
  <c r="F235" i="17" s="1"/>
  <c r="N108" i="17"/>
  <c r="F309" i="17" s="1"/>
  <c r="N80" i="17"/>
  <c r="F147" i="17" s="1"/>
  <c r="N98" i="17"/>
  <c r="F249" i="17" s="1"/>
  <c r="N104" i="17"/>
  <c r="F286" i="17" s="1"/>
  <c r="N81" i="17"/>
  <c r="F154" i="17" s="1"/>
  <c r="N97" i="17"/>
  <c r="F242" i="17" s="1"/>
  <c r="N75" i="17"/>
  <c r="F121" i="17" s="1"/>
  <c r="N99" i="17"/>
  <c r="F256" i="17" s="1"/>
  <c r="N85" i="17"/>
  <c r="F177" i="17" s="1"/>
  <c r="N102" i="17"/>
  <c r="F272" i="17" s="1"/>
  <c r="N76" i="17"/>
  <c r="F130" i="17" s="1"/>
  <c r="N106" i="17"/>
  <c r="F300" i="17" s="1"/>
  <c r="N92" i="17"/>
  <c r="F216" i="17" s="1"/>
  <c r="N100" i="17"/>
  <c r="F263" i="17" s="1"/>
  <c r="N103" i="17"/>
  <c r="F279" i="17" s="1"/>
  <c r="N88" i="17"/>
  <c r="F198" i="17" s="1"/>
  <c r="N82" i="17"/>
  <c r="F161" i="17" s="1"/>
  <c r="N83" i="17"/>
  <c r="F168" i="17" s="1"/>
  <c r="U39" i="18"/>
  <c r="AT116" i="18" s="1"/>
  <c r="AB14" i="65"/>
  <c r="AB25" i="65" s="1"/>
  <c r="P128" i="89"/>
  <c r="I128" i="89" s="1"/>
  <c r="B15" i="89"/>
  <c r="W128" i="89"/>
  <c r="P128" i="32"/>
  <c r="B15" i="32"/>
  <c r="W128" i="32"/>
  <c r="R145" i="23"/>
  <c r="W145" i="23"/>
  <c r="W128" i="30"/>
  <c r="B15" i="30"/>
  <c r="P128" i="30"/>
  <c r="I128" i="30" s="1"/>
  <c r="P307" i="23"/>
  <c r="I307" i="23" s="1"/>
  <c r="W307" i="23"/>
  <c r="W307" i="30"/>
  <c r="P307" i="30"/>
  <c r="I307" i="30" s="1"/>
  <c r="X175" i="30"/>
  <c r="J175" i="30"/>
  <c r="B15" i="14"/>
  <c r="Q233" i="17"/>
  <c r="I233" i="17"/>
  <c r="W233" i="17"/>
  <c r="I203" i="40"/>
  <c r="J203" i="40" s="1"/>
  <c r="R203" i="40"/>
  <c r="Y203" i="40"/>
  <c r="W159" i="17"/>
  <c r="I298" i="32"/>
  <c r="J298" i="32" s="1"/>
  <c r="R298" i="32"/>
  <c r="Y298" i="32"/>
  <c r="I233" i="28"/>
  <c r="W233" i="28"/>
  <c r="Q233" i="28"/>
  <c r="R261" i="17"/>
  <c r="Y261" i="17"/>
  <c r="I261" i="17"/>
  <c r="J261" i="17" s="1"/>
  <c r="G20" i="17"/>
  <c r="R166" i="17"/>
  <c r="Y166" i="17"/>
  <c r="I166" i="17"/>
  <c r="J166" i="17" s="1"/>
  <c r="R145" i="89"/>
  <c r="W145" i="89"/>
  <c r="I298" i="23"/>
  <c r="J298" i="23" s="1"/>
  <c r="Y298" i="23"/>
  <c r="R298" i="23"/>
  <c r="W284" i="28"/>
  <c r="T284" i="28"/>
  <c r="W196" i="17"/>
  <c r="W145" i="28"/>
  <c r="R145" i="28"/>
  <c r="Q138" i="17"/>
  <c r="I138" i="17"/>
  <c r="W138" i="17"/>
  <c r="W247" i="23"/>
  <c r="T247" i="23"/>
  <c r="W233" i="30"/>
  <c r="I233" i="30"/>
  <c r="Q233" i="30"/>
  <c r="R261" i="32"/>
  <c r="Y261" i="32"/>
  <c r="I261" i="32"/>
  <c r="J261" i="32" s="1"/>
  <c r="W291" i="30"/>
  <c r="W247" i="40"/>
  <c r="T247" i="40"/>
  <c r="W277" i="40"/>
  <c r="R277" i="40"/>
  <c r="R279" i="25"/>
  <c r="W279" i="25"/>
  <c r="I298" i="28"/>
  <c r="J298" i="28" s="1"/>
  <c r="R298" i="28"/>
  <c r="Y298" i="28"/>
  <c r="R277" i="32"/>
  <c r="W277" i="32"/>
  <c r="Y261" i="30"/>
  <c r="R261" i="30"/>
  <c r="I261" i="30"/>
  <c r="J261" i="30" s="1"/>
  <c r="W175" i="23"/>
  <c r="Q175" i="23"/>
  <c r="W291" i="14"/>
  <c r="W159" i="40"/>
  <c r="G22" i="25"/>
  <c r="P307" i="17"/>
  <c r="I307" i="17" s="1"/>
  <c r="W307" i="17"/>
  <c r="P214" i="89"/>
  <c r="W214" i="89"/>
  <c r="P307" i="28"/>
  <c r="I307" i="28" s="1"/>
  <c r="W307" i="28"/>
  <c r="W159" i="32"/>
  <c r="G7" i="38"/>
  <c r="G11" i="38"/>
  <c r="W130" i="25"/>
  <c r="P130" i="25"/>
  <c r="B17" i="25"/>
  <c r="Q270" i="32"/>
  <c r="W270" i="32"/>
  <c r="Y203" i="17"/>
  <c r="R203" i="17"/>
  <c r="I203" i="17"/>
  <c r="J203" i="17" s="1"/>
  <c r="I166" i="32"/>
  <c r="J166" i="32" s="1"/>
  <c r="R166" i="32"/>
  <c r="Y166" i="32"/>
  <c r="I291" i="32"/>
  <c r="W291" i="32"/>
  <c r="U151" i="18"/>
  <c r="AB20" i="65"/>
  <c r="AB31" i="65" s="1"/>
  <c r="W277" i="17"/>
  <c r="R277" i="17"/>
  <c r="W223" i="17"/>
  <c r="P223" i="17"/>
  <c r="I223" i="17" s="1"/>
  <c r="J223" i="17" s="1"/>
  <c r="K223" i="17" s="1"/>
  <c r="L223" i="17" s="1"/>
  <c r="M223" i="17" s="1"/>
  <c r="U123" i="18"/>
  <c r="AT173" i="18" s="1"/>
  <c r="AB18" i="65"/>
  <c r="AB29" i="65" s="1"/>
  <c r="I233" i="32"/>
  <c r="Q233" i="32"/>
  <c r="W233" i="32"/>
  <c r="W254" i="40"/>
  <c r="W182" i="40"/>
  <c r="R182" i="40"/>
  <c r="T191" i="25"/>
  <c r="W191" i="25"/>
  <c r="W233" i="14"/>
  <c r="Q233" i="14"/>
  <c r="P309" i="25"/>
  <c r="I309" i="25" s="1"/>
  <c r="W309" i="25"/>
  <c r="I121" i="25"/>
  <c r="D34" i="2" l="1"/>
  <c r="Q34" i="20" s="1"/>
  <c r="K298" i="30"/>
  <c r="L298" i="30" s="1"/>
  <c r="M298" i="30" s="1"/>
  <c r="K261" i="40"/>
  <c r="L261" i="40" s="1"/>
  <c r="M261" i="40" s="1"/>
  <c r="K166" i="30"/>
  <c r="L166" i="30" s="1"/>
  <c r="M166" i="30" s="1"/>
  <c r="K205" i="25"/>
  <c r="L205" i="25" s="1"/>
  <c r="M205" i="25" s="1"/>
  <c r="K203" i="28"/>
  <c r="L203" i="28" s="1"/>
  <c r="M203" i="28" s="1"/>
  <c r="J284" i="14"/>
  <c r="K284" i="14" s="1"/>
  <c r="K261" i="14"/>
  <c r="L261" i="14" s="1"/>
  <c r="M261" i="14" s="1"/>
  <c r="K203" i="23"/>
  <c r="L203" i="23" s="1"/>
  <c r="M203" i="23" s="1"/>
  <c r="J291" i="28"/>
  <c r="K291" i="28" s="1"/>
  <c r="K203" i="89"/>
  <c r="L203" i="89" s="1"/>
  <c r="M203" i="89" s="1"/>
  <c r="J284" i="23"/>
  <c r="K284" i="23" s="1"/>
  <c r="J147" i="25"/>
  <c r="Y147" i="25" s="1"/>
  <c r="J189" i="32"/>
  <c r="Y189" i="32" s="1"/>
  <c r="J247" i="89"/>
  <c r="K247" i="89" s="1"/>
  <c r="J254" i="28"/>
  <c r="K254" i="28" s="1"/>
  <c r="J291" i="17"/>
  <c r="Y291" i="17" s="1"/>
  <c r="X291" i="17"/>
  <c r="X293" i="25"/>
  <c r="J293" i="25"/>
  <c r="Y293" i="25" s="1"/>
  <c r="J196" i="14"/>
  <c r="Y196" i="14" s="1"/>
  <c r="X286" i="25"/>
  <c r="J286" i="25"/>
  <c r="Y286" i="25" s="1"/>
  <c r="J284" i="32"/>
  <c r="K284" i="32" s="1"/>
  <c r="X277" i="38"/>
  <c r="J277" i="38"/>
  <c r="Y277" i="38" s="1"/>
  <c r="J254" i="89"/>
  <c r="K254" i="89" s="1"/>
  <c r="X254" i="89"/>
  <c r="J247" i="14"/>
  <c r="Y247" i="14" s="1"/>
  <c r="J140" i="25"/>
  <c r="K140" i="25" s="1"/>
  <c r="J240" i="89"/>
  <c r="K240" i="89" s="1"/>
  <c r="J270" i="28"/>
  <c r="Y270" i="28" s="1"/>
  <c r="J270" i="14"/>
  <c r="K270" i="14" s="1"/>
  <c r="J270" i="23"/>
  <c r="Y270" i="23" s="1"/>
  <c r="X256" i="25"/>
  <c r="J256" i="25"/>
  <c r="K256" i="25" s="1"/>
  <c r="J196" i="28"/>
  <c r="K196" i="28" s="1"/>
  <c r="J198" i="25"/>
  <c r="Y198" i="25" s="1"/>
  <c r="X240" i="23"/>
  <c r="J240" i="23"/>
  <c r="K240" i="23" s="1"/>
  <c r="X242" i="25"/>
  <c r="J242" i="25"/>
  <c r="Y242" i="25" s="1"/>
  <c r="J240" i="38"/>
  <c r="Y240" i="38" s="1"/>
  <c r="X240" i="38"/>
  <c r="X196" i="28"/>
  <c r="J233" i="23"/>
  <c r="Y233" i="23" s="1"/>
  <c r="J189" i="30"/>
  <c r="Y189" i="30" s="1"/>
  <c r="J233" i="38"/>
  <c r="Y233" i="38" s="1"/>
  <c r="J235" i="25"/>
  <c r="K235" i="25" s="1"/>
  <c r="J184" i="25"/>
  <c r="K184" i="25" s="1"/>
  <c r="J189" i="23"/>
  <c r="K189" i="23" s="1"/>
  <c r="J152" i="14"/>
  <c r="K152" i="14" s="1"/>
  <c r="J182" i="14"/>
  <c r="K182" i="14" s="1"/>
  <c r="J189" i="14"/>
  <c r="K189" i="14" s="1"/>
  <c r="J152" i="30"/>
  <c r="Y152" i="30" s="1"/>
  <c r="J138" i="23"/>
  <c r="K138" i="23" s="1"/>
  <c r="J175" i="89"/>
  <c r="K175" i="89" s="1"/>
  <c r="X182" i="23"/>
  <c r="J182" i="23"/>
  <c r="Y182" i="23" s="1"/>
  <c r="X182" i="28"/>
  <c r="J182" i="28"/>
  <c r="K182" i="28" s="1"/>
  <c r="J182" i="17"/>
  <c r="Y182" i="17" s="1"/>
  <c r="J159" i="23"/>
  <c r="K159" i="23" s="1"/>
  <c r="X159" i="23"/>
  <c r="J175" i="40"/>
  <c r="K175" i="40" s="1"/>
  <c r="J159" i="30"/>
  <c r="K159" i="30" s="1"/>
  <c r="X159" i="30"/>
  <c r="J154" i="25"/>
  <c r="Y154" i="25" s="1"/>
  <c r="J159" i="38"/>
  <c r="K159" i="38" s="1"/>
  <c r="X145" i="14"/>
  <c r="J145" i="14"/>
  <c r="Y145" i="14" s="1"/>
  <c r="J152" i="23"/>
  <c r="Y152" i="23" s="1"/>
  <c r="X152" i="23"/>
  <c r="J145" i="40"/>
  <c r="Y145" i="40" s="1"/>
  <c r="J145" i="38"/>
  <c r="K145" i="38" s="1"/>
  <c r="J138" i="14"/>
  <c r="K138" i="14" s="1"/>
  <c r="J240" i="17"/>
  <c r="K240" i="17" s="1"/>
  <c r="J233" i="89"/>
  <c r="K233" i="89" s="1"/>
  <c r="J240" i="40"/>
  <c r="K240" i="40" s="1"/>
  <c r="X189" i="32"/>
  <c r="J138" i="38"/>
  <c r="Y138" i="38" s="1"/>
  <c r="J152" i="28"/>
  <c r="Y152" i="28" s="1"/>
  <c r="U136" i="20"/>
  <c r="V136" i="20" s="1"/>
  <c r="J284" i="30"/>
  <c r="K284" i="30" s="1"/>
  <c r="J277" i="14"/>
  <c r="K277" i="14" s="1"/>
  <c r="X240" i="89"/>
  <c r="J270" i="89"/>
  <c r="Y270" i="89" s="1"/>
  <c r="X189" i="30"/>
  <c r="X247" i="14"/>
  <c r="G97" i="12"/>
  <c r="D30" i="38" s="1"/>
  <c r="W87" i="18" s="1"/>
  <c r="AV166" i="18" s="1"/>
  <c r="G87" i="85" s="1"/>
  <c r="K298" i="14"/>
  <c r="L298" i="14" s="1"/>
  <c r="M298" i="14" s="1"/>
  <c r="J175" i="14"/>
  <c r="Y175" i="14" s="1"/>
  <c r="K261" i="28"/>
  <c r="L261" i="28" s="1"/>
  <c r="M261" i="28" s="1"/>
  <c r="H97" i="12"/>
  <c r="E30" i="38" s="1"/>
  <c r="X87" i="18" s="1"/>
  <c r="AW166" i="18" s="1"/>
  <c r="H87" i="85" s="1"/>
  <c r="X247" i="89"/>
  <c r="X284" i="14"/>
  <c r="J152" i="17"/>
  <c r="Y152" i="17" s="1"/>
  <c r="J277" i="28"/>
  <c r="Y277" i="28" s="1"/>
  <c r="J270" i="30"/>
  <c r="Y270" i="30" s="1"/>
  <c r="X270" i="89"/>
  <c r="J270" i="38"/>
  <c r="Y270" i="38" s="1"/>
  <c r="K298" i="89"/>
  <c r="L298" i="89" s="1"/>
  <c r="M298" i="89" s="1"/>
  <c r="J291" i="40"/>
  <c r="Y291" i="40" s="1"/>
  <c r="J272" i="25"/>
  <c r="K272" i="25" s="1"/>
  <c r="J291" i="89"/>
  <c r="K291" i="89" s="1"/>
  <c r="J182" i="89"/>
  <c r="Y182" i="89" s="1"/>
  <c r="X175" i="89"/>
  <c r="X189" i="14"/>
  <c r="X147" i="25"/>
  <c r="J254" i="38"/>
  <c r="Y254" i="38" s="1"/>
  <c r="K166" i="38"/>
  <c r="L166" i="38" s="1"/>
  <c r="M166" i="38" s="1"/>
  <c r="X254" i="28"/>
  <c r="K261" i="38"/>
  <c r="L261" i="38" s="1"/>
  <c r="M261" i="38" s="1"/>
  <c r="J152" i="89"/>
  <c r="Y152" i="89" s="1"/>
  <c r="X284" i="32"/>
  <c r="K166" i="89"/>
  <c r="L166" i="89" s="1"/>
  <c r="M166" i="89" s="1"/>
  <c r="X138" i="23"/>
  <c r="J177" i="25"/>
  <c r="Y177" i="25" s="1"/>
  <c r="G20" i="40"/>
  <c r="G20" i="23"/>
  <c r="K261" i="89"/>
  <c r="L261" i="89" s="1"/>
  <c r="M261" i="89" s="1"/>
  <c r="X152" i="30"/>
  <c r="X145" i="38"/>
  <c r="J240" i="28"/>
  <c r="Y240" i="28" s="1"/>
  <c r="X184" i="25"/>
  <c r="J159" i="14"/>
  <c r="K159" i="14" s="1"/>
  <c r="J182" i="38"/>
  <c r="Y182" i="38" s="1"/>
  <c r="J284" i="38"/>
  <c r="Y284" i="38" s="1"/>
  <c r="J240" i="32"/>
  <c r="K240" i="32" s="1"/>
  <c r="J247" i="38"/>
  <c r="Y247" i="38" s="1"/>
  <c r="X152" i="14"/>
  <c r="X284" i="23"/>
  <c r="J175" i="38"/>
  <c r="Y175" i="38" s="1"/>
  <c r="J196" i="38"/>
  <c r="Y196" i="38" s="1"/>
  <c r="J145" i="32"/>
  <c r="K145" i="32" s="1"/>
  <c r="J270" i="40"/>
  <c r="K270" i="40" s="1"/>
  <c r="X272" i="25"/>
  <c r="X196" i="14"/>
  <c r="K166" i="40"/>
  <c r="L166" i="40" s="1"/>
  <c r="M166" i="40" s="1"/>
  <c r="J159" i="28"/>
  <c r="Y159" i="28" s="1"/>
  <c r="I307" i="14"/>
  <c r="J307" i="14" s="1"/>
  <c r="AA30" i="65"/>
  <c r="AA20" i="65"/>
  <c r="AA31" i="65" s="1"/>
  <c r="X159" i="38"/>
  <c r="J189" i="38"/>
  <c r="Y189" i="38" s="1"/>
  <c r="J240" i="14"/>
  <c r="K240" i="14" s="1"/>
  <c r="K263" i="25"/>
  <c r="L263" i="25" s="1"/>
  <c r="M263" i="25" s="1"/>
  <c r="G20" i="89"/>
  <c r="J277" i="23"/>
  <c r="K277" i="23" s="1"/>
  <c r="J291" i="38"/>
  <c r="Y291" i="38" s="1"/>
  <c r="J189" i="17"/>
  <c r="K189" i="17" s="1"/>
  <c r="J161" i="25"/>
  <c r="Y161" i="25" s="1"/>
  <c r="G20" i="30"/>
  <c r="X140" i="25"/>
  <c r="J249" i="25"/>
  <c r="K249" i="25" s="1"/>
  <c r="J196" i="89"/>
  <c r="Y196" i="89" s="1"/>
  <c r="X182" i="14"/>
  <c r="X291" i="28"/>
  <c r="J189" i="28"/>
  <c r="K189" i="28" s="1"/>
  <c r="B13" i="38"/>
  <c r="B5" i="38" s="1"/>
  <c r="B37" i="38" s="1"/>
  <c r="K298" i="17"/>
  <c r="L298" i="17" s="1"/>
  <c r="M298" i="17" s="1"/>
  <c r="X189" i="23"/>
  <c r="J152" i="38"/>
  <c r="Y152" i="38" s="1"/>
  <c r="J196" i="40"/>
  <c r="Y196" i="40" s="1"/>
  <c r="J175" i="28"/>
  <c r="Y175" i="28" s="1"/>
  <c r="X145" i="40"/>
  <c r="B13" i="89"/>
  <c r="B5" i="89" s="1"/>
  <c r="B40" i="89" s="1"/>
  <c r="U152" i="18" s="1"/>
  <c r="J254" i="23"/>
  <c r="Y254" i="23" s="1"/>
  <c r="J247" i="28"/>
  <c r="Y247" i="28" s="1"/>
  <c r="J254" i="14"/>
  <c r="Y254" i="14" s="1"/>
  <c r="K166" i="28"/>
  <c r="L166" i="28" s="1"/>
  <c r="M166" i="28" s="1"/>
  <c r="I130" i="25"/>
  <c r="J130" i="25" s="1"/>
  <c r="X198" i="25"/>
  <c r="B17" i="38"/>
  <c r="J277" i="89"/>
  <c r="K277" i="89" s="1"/>
  <c r="J138" i="32"/>
  <c r="K138" i="32" s="1"/>
  <c r="K298" i="32"/>
  <c r="L298" i="32" s="1"/>
  <c r="M298" i="32" s="1"/>
  <c r="K168" i="25"/>
  <c r="L168" i="25" s="1"/>
  <c r="M168" i="25" s="1"/>
  <c r="X154" i="25"/>
  <c r="K203" i="40"/>
  <c r="L203" i="40" s="1"/>
  <c r="M203" i="40" s="1"/>
  <c r="B17" i="14"/>
  <c r="B17" i="89"/>
  <c r="B19" i="25"/>
  <c r="I307" i="38"/>
  <c r="X307" i="38" s="1"/>
  <c r="K298" i="23"/>
  <c r="L298" i="23" s="1"/>
  <c r="M298" i="23" s="1"/>
  <c r="K166" i="17"/>
  <c r="L166" i="17" s="1"/>
  <c r="M166" i="17" s="1"/>
  <c r="K166" i="32"/>
  <c r="L166" i="32" s="1"/>
  <c r="M166" i="32" s="1"/>
  <c r="I214" i="89"/>
  <c r="J214" i="89" s="1"/>
  <c r="K214" i="89" s="1"/>
  <c r="L214" i="89" s="1"/>
  <c r="M214" i="89" s="1"/>
  <c r="K298" i="28"/>
  <c r="L298" i="28" s="1"/>
  <c r="M298" i="28" s="1"/>
  <c r="K203" i="30"/>
  <c r="L203" i="30" s="1"/>
  <c r="M203" i="30" s="1"/>
  <c r="K166" i="14"/>
  <c r="L166" i="14" s="1"/>
  <c r="M166" i="14" s="1"/>
  <c r="K298" i="40"/>
  <c r="L298" i="40" s="1"/>
  <c r="M298" i="40" s="1"/>
  <c r="K261" i="23"/>
  <c r="L261" i="23" s="1"/>
  <c r="M261" i="23" s="1"/>
  <c r="I119" i="30"/>
  <c r="J119" i="30" s="1"/>
  <c r="I128" i="28"/>
  <c r="J128" i="28" s="1"/>
  <c r="J307" i="17"/>
  <c r="X307" i="17"/>
  <c r="X307" i="23"/>
  <c r="J307" i="23"/>
  <c r="J307" i="89"/>
  <c r="X307" i="89"/>
  <c r="X307" i="32"/>
  <c r="J307" i="32"/>
  <c r="X309" i="25"/>
  <c r="J309" i="25"/>
  <c r="X307" i="28"/>
  <c r="J307" i="28"/>
  <c r="K119" i="23"/>
  <c r="J152" i="32"/>
  <c r="X152" i="32"/>
  <c r="J254" i="32"/>
  <c r="X254" i="32"/>
  <c r="X138" i="30"/>
  <c r="J138" i="30"/>
  <c r="J196" i="32"/>
  <c r="X196" i="32"/>
  <c r="K182" i="17"/>
  <c r="X270" i="17"/>
  <c r="J270" i="17"/>
  <c r="J247" i="32"/>
  <c r="X247" i="32"/>
  <c r="J284" i="28"/>
  <c r="X284" i="28"/>
  <c r="J145" i="23"/>
  <c r="X145" i="23"/>
  <c r="J128" i="89"/>
  <c r="J145" i="17"/>
  <c r="X145" i="17"/>
  <c r="J240" i="30"/>
  <c r="X240" i="30"/>
  <c r="B13" i="30"/>
  <c r="B5" i="30" s="1"/>
  <c r="B17" i="30"/>
  <c r="B13" i="17"/>
  <c r="B5" i="17" s="1"/>
  <c r="B17" i="17"/>
  <c r="X254" i="30"/>
  <c r="J254" i="30"/>
  <c r="K261" i="17"/>
  <c r="L261" i="17" s="1"/>
  <c r="M261" i="17" s="1"/>
  <c r="I119" i="28"/>
  <c r="J119" i="17"/>
  <c r="X233" i="14"/>
  <c r="J233" i="14"/>
  <c r="J277" i="17"/>
  <c r="X277" i="17"/>
  <c r="J277" i="40"/>
  <c r="X277" i="40"/>
  <c r="J233" i="40"/>
  <c r="X233" i="40"/>
  <c r="J128" i="17"/>
  <c r="X196" i="23"/>
  <c r="J196" i="23"/>
  <c r="J119" i="89"/>
  <c r="B13" i="32"/>
  <c r="B5" i="32" s="1"/>
  <c r="B17" i="32"/>
  <c r="K119" i="14"/>
  <c r="K261" i="32"/>
  <c r="L261" i="32" s="1"/>
  <c r="M261" i="32" s="1"/>
  <c r="K203" i="14"/>
  <c r="L203" i="14" s="1"/>
  <c r="M203" i="14" s="1"/>
  <c r="K300" i="25"/>
  <c r="L300" i="25" s="1"/>
  <c r="M300" i="25" s="1"/>
  <c r="K166" i="23"/>
  <c r="L166" i="23" s="1"/>
  <c r="M166" i="23" s="1"/>
  <c r="J291" i="32"/>
  <c r="X291" i="32"/>
  <c r="Y284" i="14"/>
  <c r="P114" i="20"/>
  <c r="J138" i="40"/>
  <c r="X138" i="40"/>
  <c r="X182" i="30"/>
  <c r="J182" i="30"/>
  <c r="J189" i="89"/>
  <c r="X189" i="89"/>
  <c r="J247" i="23"/>
  <c r="X247" i="23"/>
  <c r="J145" i="28"/>
  <c r="X145" i="28"/>
  <c r="J233" i="17"/>
  <c r="X233" i="17"/>
  <c r="J182" i="40"/>
  <c r="X182" i="40"/>
  <c r="J159" i="40"/>
  <c r="X159" i="40"/>
  <c r="J145" i="89"/>
  <c r="X145" i="89"/>
  <c r="Y175" i="30"/>
  <c r="K175" i="30"/>
  <c r="J189" i="40"/>
  <c r="X189" i="40"/>
  <c r="J145" i="30"/>
  <c r="X145" i="30"/>
  <c r="B13" i="40"/>
  <c r="B5" i="40" s="1"/>
  <c r="B17" i="40"/>
  <c r="J284" i="40"/>
  <c r="X284" i="40"/>
  <c r="J247" i="30"/>
  <c r="X247" i="30"/>
  <c r="B15" i="25"/>
  <c r="B5" i="25" s="1"/>
  <c r="I273" i="19"/>
  <c r="B13" i="14"/>
  <c r="B5" i="14" s="1"/>
  <c r="J138" i="17"/>
  <c r="X138" i="17"/>
  <c r="J128" i="30"/>
  <c r="J159" i="89"/>
  <c r="X159" i="89"/>
  <c r="J307" i="40"/>
  <c r="X307" i="40"/>
  <c r="X277" i="30"/>
  <c r="J277" i="30"/>
  <c r="J119" i="32"/>
  <c r="J138" i="28"/>
  <c r="X138" i="28"/>
  <c r="X291" i="14"/>
  <c r="J291" i="14"/>
  <c r="J159" i="32"/>
  <c r="X159" i="32"/>
  <c r="J119" i="38"/>
  <c r="J277" i="32"/>
  <c r="X277" i="32"/>
  <c r="J121" i="25"/>
  <c r="X191" i="25"/>
  <c r="J191" i="25"/>
  <c r="J233" i="32"/>
  <c r="X233" i="32"/>
  <c r="J233" i="30"/>
  <c r="X233" i="30"/>
  <c r="J233" i="28"/>
  <c r="X233" i="28"/>
  <c r="J307" i="30"/>
  <c r="X307" i="30"/>
  <c r="J291" i="23"/>
  <c r="X291" i="23"/>
  <c r="J152" i="40"/>
  <c r="X152" i="40"/>
  <c r="J182" i="32"/>
  <c r="X182" i="32"/>
  <c r="J138" i="89"/>
  <c r="X138" i="89"/>
  <c r="X284" i="17"/>
  <c r="J284" i="17"/>
  <c r="J284" i="89"/>
  <c r="X284" i="89"/>
  <c r="D32" i="2"/>
  <c r="K203" i="17"/>
  <c r="L203" i="17" s="1"/>
  <c r="M203" i="17" s="1"/>
  <c r="K203" i="32"/>
  <c r="L203" i="32" s="1"/>
  <c r="M203" i="32" s="1"/>
  <c r="J175" i="23"/>
  <c r="X175" i="23"/>
  <c r="X196" i="17"/>
  <c r="J196" i="17"/>
  <c r="J175" i="32"/>
  <c r="X175" i="32"/>
  <c r="J254" i="40"/>
  <c r="X254" i="40"/>
  <c r="J128" i="38"/>
  <c r="J247" i="40"/>
  <c r="X247" i="40"/>
  <c r="B13" i="28"/>
  <c r="B5" i="28" s="1"/>
  <c r="B17" i="28"/>
  <c r="K128" i="23"/>
  <c r="K128" i="40"/>
  <c r="J270" i="32"/>
  <c r="X270" i="32"/>
  <c r="J279" i="25"/>
  <c r="X279" i="25"/>
  <c r="X291" i="30"/>
  <c r="J291" i="30"/>
  <c r="J159" i="17"/>
  <c r="X159" i="17"/>
  <c r="X175" i="17"/>
  <c r="J175" i="17"/>
  <c r="X196" i="30"/>
  <c r="J196" i="30"/>
  <c r="B13" i="23"/>
  <c r="B5" i="23" s="1"/>
  <c r="B17" i="23"/>
  <c r="X254" i="17"/>
  <c r="J254" i="17"/>
  <c r="P148" i="20"/>
  <c r="N32" i="82"/>
  <c r="P22" i="20"/>
  <c r="P115" i="20" s="1"/>
  <c r="P112" i="20"/>
  <c r="P18" i="20"/>
  <c r="P7" i="20" s="1"/>
  <c r="X247" i="17"/>
  <c r="J247" i="17"/>
  <c r="K128" i="14"/>
  <c r="K261" i="30"/>
  <c r="L261" i="30" s="1"/>
  <c r="M261" i="30" s="1"/>
  <c r="I128" i="32"/>
  <c r="I119" i="40"/>
  <c r="C27" i="19" l="1"/>
  <c r="C35" i="19" s="1"/>
  <c r="K196" i="14"/>
  <c r="L196" i="14" s="1"/>
  <c r="K291" i="17"/>
  <c r="L291" i="17" s="1"/>
  <c r="Y235" i="25"/>
  <c r="K147" i="25"/>
  <c r="L147" i="25" s="1"/>
  <c r="Y270" i="14"/>
  <c r="Y140" i="25"/>
  <c r="K189" i="32"/>
  <c r="Z189" i="32" s="1"/>
  <c r="Y291" i="28"/>
  <c r="K198" i="25"/>
  <c r="L198" i="25" s="1"/>
  <c r="K277" i="38"/>
  <c r="L277" i="38" s="1"/>
  <c r="Y159" i="30"/>
  <c r="K270" i="28"/>
  <c r="L270" i="28" s="1"/>
  <c r="Y284" i="23"/>
  <c r="Y240" i="89"/>
  <c r="K286" i="25"/>
  <c r="Z286" i="25" s="1"/>
  <c r="Y254" i="89"/>
  <c r="Y247" i="89"/>
  <c r="K240" i="38"/>
  <c r="L240" i="38" s="1"/>
  <c r="Y159" i="23"/>
  <c r="Y189" i="23"/>
  <c r="Y256" i="25"/>
  <c r="K293" i="25"/>
  <c r="Z293" i="25" s="1"/>
  <c r="K154" i="25"/>
  <c r="Z154" i="25" s="1"/>
  <c r="Y240" i="23"/>
  <c r="Y284" i="32"/>
  <c r="Y254" i="28"/>
  <c r="Y152" i="14"/>
  <c r="K233" i="38"/>
  <c r="Z233" i="38" s="1"/>
  <c r="K270" i="23"/>
  <c r="L270" i="23" s="1"/>
  <c r="K247" i="14"/>
  <c r="Z247" i="14" s="1"/>
  <c r="Y196" i="28"/>
  <c r="K189" i="30"/>
  <c r="L189" i="30" s="1"/>
  <c r="K145" i="14"/>
  <c r="L145" i="14" s="1"/>
  <c r="K182" i="23"/>
  <c r="Z182" i="23" s="1"/>
  <c r="K233" i="23"/>
  <c r="L233" i="23" s="1"/>
  <c r="Y240" i="17"/>
  <c r="K145" i="40"/>
  <c r="L145" i="40" s="1"/>
  <c r="K138" i="38"/>
  <c r="Z138" i="38" s="1"/>
  <c r="K242" i="25"/>
  <c r="L242" i="25" s="1"/>
  <c r="Y175" i="89"/>
  <c r="Y184" i="25"/>
  <c r="Y182" i="14"/>
  <c r="Y189" i="14"/>
  <c r="Y175" i="40"/>
  <c r="K152" i="23"/>
  <c r="Z152" i="23" s="1"/>
  <c r="Y138" i="14"/>
  <c r="Y138" i="23"/>
  <c r="K152" i="30"/>
  <c r="L152" i="30" s="1"/>
  <c r="Y145" i="38"/>
  <c r="Y182" i="28"/>
  <c r="Y159" i="38"/>
  <c r="Y233" i="89"/>
  <c r="Y240" i="40"/>
  <c r="K152" i="28"/>
  <c r="Z152" i="28" s="1"/>
  <c r="Y284" i="30"/>
  <c r="B40" i="38"/>
  <c r="U82" i="18" s="1"/>
  <c r="AT161" i="18" s="1"/>
  <c r="Y277" i="14"/>
  <c r="K270" i="89"/>
  <c r="Z270" i="89" s="1"/>
  <c r="K175" i="14"/>
  <c r="Z175" i="14" s="1"/>
  <c r="Y272" i="25"/>
  <c r="K177" i="25"/>
  <c r="L177" i="25" s="1"/>
  <c r="Y159" i="14"/>
  <c r="K152" i="17"/>
  <c r="L152" i="17" s="1"/>
  <c r="Y291" i="89"/>
  <c r="K182" i="89"/>
  <c r="L182" i="89" s="1"/>
  <c r="K277" i="28"/>
  <c r="Z277" i="28" s="1"/>
  <c r="K284" i="38"/>
  <c r="L284" i="38" s="1"/>
  <c r="K270" i="30"/>
  <c r="L270" i="30" s="1"/>
  <c r="K196" i="38"/>
  <c r="L196" i="38" s="1"/>
  <c r="K270" i="38"/>
  <c r="Z270" i="38" s="1"/>
  <c r="K291" i="40"/>
  <c r="Z291" i="40" s="1"/>
  <c r="Y270" i="40"/>
  <c r="K254" i="38"/>
  <c r="L254" i="38" s="1"/>
  <c r="K152" i="89"/>
  <c r="L152" i="89" s="1"/>
  <c r="K240" i="28"/>
  <c r="Z240" i="28" s="1"/>
  <c r="Y240" i="32"/>
  <c r="K247" i="38"/>
  <c r="Z247" i="38" s="1"/>
  <c r="K182" i="38"/>
  <c r="L182" i="38" s="1"/>
  <c r="K175" i="38"/>
  <c r="Z175" i="38" s="1"/>
  <c r="Y189" i="28"/>
  <c r="K254" i="23"/>
  <c r="Z254" i="23" s="1"/>
  <c r="B37" i="89"/>
  <c r="U149" i="18" s="1"/>
  <c r="X307" i="14"/>
  <c r="Y145" i="32"/>
  <c r="K159" i="28"/>
  <c r="Z159" i="28" s="1"/>
  <c r="K161" i="25"/>
  <c r="Z161" i="25" s="1"/>
  <c r="K189" i="38"/>
  <c r="L189" i="38" s="1"/>
  <c r="Y240" i="14"/>
  <c r="Y189" i="17"/>
  <c r="Y277" i="23"/>
  <c r="K152" i="38"/>
  <c r="Z152" i="38" s="1"/>
  <c r="K291" i="38"/>
  <c r="Z291" i="38" s="1"/>
  <c r="Y249" i="25"/>
  <c r="K196" i="89"/>
  <c r="Z196" i="89" s="1"/>
  <c r="Y138" i="32"/>
  <c r="K247" i="28"/>
  <c r="L247" i="28" s="1"/>
  <c r="K175" i="28"/>
  <c r="Z175" i="28" s="1"/>
  <c r="Y277" i="89"/>
  <c r="K254" i="14"/>
  <c r="Z254" i="14" s="1"/>
  <c r="K196" i="40"/>
  <c r="Z196" i="40" s="1"/>
  <c r="J307" i="38"/>
  <c r="Y307" i="38" s="1"/>
  <c r="L272" i="25"/>
  <c r="Z272" i="25"/>
  <c r="K284" i="89"/>
  <c r="Y284" i="89"/>
  <c r="K307" i="30"/>
  <c r="Y307" i="30"/>
  <c r="K121" i="25"/>
  <c r="K189" i="40"/>
  <c r="Y189" i="40"/>
  <c r="Y307" i="14"/>
  <c r="K307" i="14"/>
  <c r="K307" i="17"/>
  <c r="Y307" i="17"/>
  <c r="L128" i="40"/>
  <c r="K307" i="40"/>
  <c r="Y307" i="40"/>
  <c r="P24" i="20"/>
  <c r="P95" i="20"/>
  <c r="P84" i="20"/>
  <c r="U10" i="18" s="1"/>
  <c r="P83" i="20"/>
  <c r="T62" i="76"/>
  <c r="P118" i="20"/>
  <c r="Y291" i="30"/>
  <c r="K291" i="30"/>
  <c r="Z240" i="38"/>
  <c r="K189" i="89"/>
  <c r="Y189" i="89"/>
  <c r="Y138" i="30"/>
  <c r="K138" i="30"/>
  <c r="Y159" i="17"/>
  <c r="K159" i="17"/>
  <c r="K191" i="25"/>
  <c r="Y191" i="25"/>
  <c r="K277" i="32"/>
  <c r="Y277" i="32"/>
  <c r="K119" i="32"/>
  <c r="L182" i="23"/>
  <c r="L256" i="25"/>
  <c r="Z256" i="25"/>
  <c r="J273" i="19"/>
  <c r="X273" i="19"/>
  <c r="L270" i="14"/>
  <c r="Z270" i="14"/>
  <c r="L189" i="17"/>
  <c r="Z189" i="17"/>
  <c r="L249" i="25"/>
  <c r="Z249" i="25"/>
  <c r="K138" i="40"/>
  <c r="Y138" i="40"/>
  <c r="Z233" i="23"/>
  <c r="K128" i="17"/>
  <c r="K277" i="40"/>
  <c r="Y277" i="40"/>
  <c r="L152" i="14"/>
  <c r="Z152" i="14"/>
  <c r="B40" i="30"/>
  <c r="U110" i="18" s="1"/>
  <c r="AT30" i="18" s="1"/>
  <c r="B37" i="30"/>
  <c r="U107" i="18" s="1"/>
  <c r="AT29" i="18" s="1"/>
  <c r="K128" i="89"/>
  <c r="L240" i="89"/>
  <c r="Z240" i="89"/>
  <c r="L189" i="14"/>
  <c r="Z189" i="14"/>
  <c r="Y196" i="32"/>
  <c r="K196" i="32"/>
  <c r="K152" i="32"/>
  <c r="Y152" i="32"/>
  <c r="K138" i="89"/>
  <c r="Y138" i="89"/>
  <c r="L240" i="32"/>
  <c r="Z240" i="32"/>
  <c r="K119" i="38"/>
  <c r="K277" i="17"/>
  <c r="Y277" i="17"/>
  <c r="B37" i="17"/>
  <c r="B40" i="17"/>
  <c r="U40" i="18" s="1"/>
  <c r="AT114" i="18" s="1"/>
  <c r="Y145" i="17"/>
  <c r="K145" i="17"/>
  <c r="K291" i="23"/>
  <c r="Y291" i="23"/>
  <c r="K159" i="40"/>
  <c r="Y159" i="40"/>
  <c r="K119" i="89"/>
  <c r="Z291" i="17"/>
  <c r="L240" i="40"/>
  <c r="Z240" i="40"/>
  <c r="K247" i="40"/>
  <c r="Y247" i="40"/>
  <c r="J128" i="32"/>
  <c r="K247" i="17"/>
  <c r="Y247" i="17"/>
  <c r="K196" i="30"/>
  <c r="Y196" i="30"/>
  <c r="L277" i="14"/>
  <c r="Z277" i="14"/>
  <c r="Z284" i="30"/>
  <c r="L284" i="30"/>
  <c r="L277" i="89"/>
  <c r="Z277" i="89"/>
  <c r="K233" i="28"/>
  <c r="Y233" i="28"/>
  <c r="L145" i="38"/>
  <c r="Z145" i="38"/>
  <c r="K138" i="28"/>
  <c r="Y138" i="28"/>
  <c r="Y277" i="30"/>
  <c r="K277" i="30"/>
  <c r="B40" i="14"/>
  <c r="U26" i="18" s="1"/>
  <c r="AT92" i="18" s="1"/>
  <c r="B37" i="14"/>
  <c r="L138" i="14"/>
  <c r="Z138" i="14"/>
  <c r="Y145" i="30"/>
  <c r="K145" i="30"/>
  <c r="K182" i="40"/>
  <c r="Y182" i="40"/>
  <c r="K247" i="23"/>
  <c r="Y247" i="23"/>
  <c r="S17" i="65"/>
  <c r="S28" i="65" s="1"/>
  <c r="U79" i="18"/>
  <c r="AT160" i="18" s="1"/>
  <c r="Z140" i="25"/>
  <c r="L140" i="25"/>
  <c r="Y182" i="32"/>
  <c r="K182" i="32"/>
  <c r="L184" i="25"/>
  <c r="Z184" i="25"/>
  <c r="Y233" i="17"/>
  <c r="K233" i="17"/>
  <c r="B40" i="32"/>
  <c r="U124" i="18" s="1"/>
  <c r="AT171" i="18" s="1"/>
  <c r="B37" i="32"/>
  <c r="K119" i="17"/>
  <c r="B37" i="28"/>
  <c r="B40" i="28"/>
  <c r="U96" i="18" s="1"/>
  <c r="AT20" i="18" s="1"/>
  <c r="K175" i="32"/>
  <c r="Y175" i="32"/>
  <c r="L138" i="23"/>
  <c r="Z138" i="23"/>
  <c r="K145" i="89"/>
  <c r="Y145" i="89"/>
  <c r="L284" i="23"/>
  <c r="Z284" i="23"/>
  <c r="N28" i="82"/>
  <c r="L175" i="89"/>
  <c r="Z175" i="89"/>
  <c r="L128" i="14"/>
  <c r="L240" i="23"/>
  <c r="Z240" i="23"/>
  <c r="Z196" i="14"/>
  <c r="Y279" i="25"/>
  <c r="K279" i="25"/>
  <c r="L270" i="40"/>
  <c r="Z270" i="40"/>
  <c r="L189" i="23"/>
  <c r="Z189" i="23"/>
  <c r="K254" i="40"/>
  <c r="Y254" i="40"/>
  <c r="L284" i="32"/>
  <c r="Z284" i="32"/>
  <c r="L145" i="32"/>
  <c r="Z145" i="32"/>
  <c r="Y284" i="17"/>
  <c r="K284" i="17"/>
  <c r="Y291" i="14"/>
  <c r="K291" i="14"/>
  <c r="L233" i="89"/>
  <c r="Z233" i="89"/>
  <c r="Y138" i="17"/>
  <c r="K138" i="17"/>
  <c r="Z175" i="30"/>
  <c r="L175" i="30"/>
  <c r="K119" i="30"/>
  <c r="K291" i="32"/>
  <c r="Y291" i="32"/>
  <c r="Y240" i="30"/>
  <c r="K240" i="30"/>
  <c r="L159" i="23"/>
  <c r="Z159" i="23"/>
  <c r="K284" i="28"/>
  <c r="Y284" i="28"/>
  <c r="Z182" i="17"/>
  <c r="L182" i="17"/>
  <c r="Y254" i="32"/>
  <c r="K254" i="32"/>
  <c r="Y307" i="28"/>
  <c r="K307" i="28"/>
  <c r="Y307" i="32"/>
  <c r="K307" i="32"/>
  <c r="Y307" i="89"/>
  <c r="K307" i="89"/>
  <c r="L277" i="23"/>
  <c r="Z277" i="23"/>
  <c r="K128" i="30"/>
  <c r="Y182" i="30"/>
  <c r="K182" i="30"/>
  <c r="J119" i="28"/>
  <c r="K175" i="17"/>
  <c r="Y175" i="17"/>
  <c r="L291" i="28"/>
  <c r="Z291" i="28"/>
  <c r="J119" i="40"/>
  <c r="D37" i="2"/>
  <c r="Q32" i="20"/>
  <c r="Q65" i="20" s="1"/>
  <c r="Q68" i="20" s="1"/>
  <c r="Q31" i="20"/>
  <c r="L159" i="14"/>
  <c r="Z159" i="14"/>
  <c r="K152" i="40"/>
  <c r="Y152" i="40"/>
  <c r="Z235" i="25"/>
  <c r="L235" i="25"/>
  <c r="K233" i="32"/>
  <c r="Y233" i="32"/>
  <c r="Y159" i="32"/>
  <c r="K159" i="32"/>
  <c r="L291" i="89"/>
  <c r="Z291" i="89"/>
  <c r="L240" i="14"/>
  <c r="Z240" i="14"/>
  <c r="B42" i="25"/>
  <c r="U68" i="18" s="1"/>
  <c r="AT124" i="18" s="1"/>
  <c r="B39" i="25"/>
  <c r="K247" i="30"/>
  <c r="Y247" i="30"/>
  <c r="B40" i="40"/>
  <c r="U138" i="18" s="1"/>
  <c r="B37" i="40"/>
  <c r="L189" i="28"/>
  <c r="Z189" i="28"/>
  <c r="L182" i="14"/>
  <c r="Z182" i="14"/>
  <c r="K145" i="28"/>
  <c r="Y145" i="28"/>
  <c r="L138" i="32"/>
  <c r="Z138" i="32"/>
  <c r="L254" i="89"/>
  <c r="Z254" i="89"/>
  <c r="K233" i="14"/>
  <c r="Y233" i="14"/>
  <c r="Y254" i="30"/>
  <c r="K254" i="30"/>
  <c r="L293" i="25"/>
  <c r="Y270" i="17"/>
  <c r="K270" i="17"/>
  <c r="Y233" i="30"/>
  <c r="K233" i="30"/>
  <c r="L254" i="28"/>
  <c r="Z254" i="28"/>
  <c r="K284" i="40"/>
  <c r="Y284" i="40"/>
  <c r="L284" i="14"/>
  <c r="Z284" i="14"/>
  <c r="Y196" i="23"/>
  <c r="K196" i="23"/>
  <c r="L119" i="23"/>
  <c r="K270" i="32"/>
  <c r="Y270" i="32"/>
  <c r="K233" i="40"/>
  <c r="Y233" i="40"/>
  <c r="K145" i="23"/>
  <c r="Y145" i="23"/>
  <c r="K247" i="32"/>
  <c r="Y247" i="32"/>
  <c r="L240" i="17"/>
  <c r="Z240" i="17"/>
  <c r="K254" i="17"/>
  <c r="Y254" i="17"/>
  <c r="K196" i="17"/>
  <c r="Y196" i="17"/>
  <c r="B40" i="23"/>
  <c r="U54" i="18" s="1"/>
  <c r="AT102" i="18" s="1"/>
  <c r="B37" i="23"/>
  <c r="Z159" i="30"/>
  <c r="L159" i="30"/>
  <c r="L175" i="40"/>
  <c r="Z175" i="40"/>
  <c r="L128" i="23"/>
  <c r="L159" i="38"/>
  <c r="Z159" i="38"/>
  <c r="K128" i="38"/>
  <c r="Y175" i="23"/>
  <c r="K175" i="23"/>
  <c r="K128" i="28"/>
  <c r="L182" i="28"/>
  <c r="Z182" i="28"/>
  <c r="L247" i="89"/>
  <c r="Z247" i="89"/>
  <c r="K159" i="89"/>
  <c r="Y159" i="89"/>
  <c r="L119" i="14"/>
  <c r="L196" i="28"/>
  <c r="Z196" i="28"/>
  <c r="K130" i="25"/>
  <c r="Y309" i="25"/>
  <c r="K309" i="25"/>
  <c r="K307" i="23"/>
  <c r="Y307" i="23"/>
  <c r="P117" i="20"/>
  <c r="D45" i="2" l="1"/>
  <c r="D89" i="2" s="1"/>
  <c r="Z270" i="28"/>
  <c r="Z147" i="25"/>
  <c r="Z277" i="38"/>
  <c r="L189" i="32"/>
  <c r="AA189" i="32" s="1"/>
  <c r="Z198" i="25"/>
  <c r="L138" i="38"/>
  <c r="AA138" i="38" s="1"/>
  <c r="L154" i="25"/>
  <c r="M154" i="25" s="1"/>
  <c r="L286" i="25"/>
  <c r="M286" i="25" s="1"/>
  <c r="Z270" i="23"/>
  <c r="L152" i="23"/>
  <c r="AA152" i="23" s="1"/>
  <c r="L247" i="14"/>
  <c r="AA247" i="14" s="1"/>
  <c r="L233" i="38"/>
  <c r="AA233" i="38" s="1"/>
  <c r="Z189" i="30"/>
  <c r="Z145" i="14"/>
  <c r="Z145" i="40"/>
  <c r="Z242" i="25"/>
  <c r="L152" i="28"/>
  <c r="AA152" i="28" s="1"/>
  <c r="Z152" i="30"/>
  <c r="N14" i="82"/>
  <c r="U20" i="18"/>
  <c r="P122" i="20"/>
  <c r="Z177" i="25"/>
  <c r="Z270" i="30"/>
  <c r="Z152" i="17"/>
  <c r="L270" i="89"/>
  <c r="AA270" i="89" s="1"/>
  <c r="L175" i="14"/>
  <c r="AA175" i="14" s="1"/>
  <c r="Z182" i="89"/>
  <c r="L277" i="28"/>
  <c r="M277" i="28" s="1"/>
  <c r="Z254" i="38"/>
  <c r="Z284" i="38"/>
  <c r="Z189" i="38"/>
  <c r="L175" i="28"/>
  <c r="AA175" i="28" s="1"/>
  <c r="Z196" i="38"/>
  <c r="L291" i="40"/>
  <c r="AA291" i="40" s="1"/>
  <c r="L247" i="38"/>
  <c r="AA247" i="38" s="1"/>
  <c r="L270" i="38"/>
  <c r="M270" i="38" s="1"/>
  <c r="Z182" i="38"/>
  <c r="L161" i="25"/>
  <c r="M161" i="25" s="1"/>
  <c r="Z152" i="89"/>
  <c r="L240" i="28"/>
  <c r="AA240" i="28" s="1"/>
  <c r="S20" i="65"/>
  <c r="S31" i="65" s="1"/>
  <c r="L159" i="28"/>
  <c r="M159" i="28" s="1"/>
  <c r="L152" i="38"/>
  <c r="AA152" i="38" s="1"/>
  <c r="L291" i="38"/>
  <c r="AA291" i="38" s="1"/>
  <c r="L175" i="38"/>
  <c r="AA175" i="38" s="1"/>
  <c r="L254" i="23"/>
  <c r="M254" i="23" s="1"/>
  <c r="L254" i="14"/>
  <c r="AA254" i="14" s="1"/>
  <c r="L196" i="40"/>
  <c r="AA196" i="40" s="1"/>
  <c r="U93" i="18"/>
  <c r="AT19" i="18" s="1"/>
  <c r="Z247" i="28"/>
  <c r="L196" i="89"/>
  <c r="AA196" i="89" s="1"/>
  <c r="K307" i="38"/>
  <c r="L307" i="38" s="1"/>
  <c r="L128" i="38"/>
  <c r="L145" i="23"/>
  <c r="Z145" i="23"/>
  <c r="S19" i="65"/>
  <c r="S30" i="65" s="1"/>
  <c r="U135" i="18"/>
  <c r="M189" i="23"/>
  <c r="AA189" i="23"/>
  <c r="M284" i="23"/>
  <c r="AA284" i="23"/>
  <c r="M145" i="38"/>
  <c r="AA145" i="38"/>
  <c r="S12" i="65"/>
  <c r="S23" i="65" s="1"/>
  <c r="T53" i="76"/>
  <c r="P108" i="20"/>
  <c r="J8" i="86"/>
  <c r="U7" i="18"/>
  <c r="M198" i="25"/>
  <c r="AA198" i="25"/>
  <c r="L119" i="17"/>
  <c r="M277" i="89"/>
  <c r="AA277" i="89"/>
  <c r="Z196" i="30"/>
  <c r="L196" i="30"/>
  <c r="M152" i="30"/>
  <c r="AA152" i="30"/>
  <c r="L189" i="89"/>
  <c r="Z189" i="89"/>
  <c r="L121" i="25"/>
  <c r="M270" i="28"/>
  <c r="AA270" i="28"/>
  <c r="M184" i="25"/>
  <c r="AA184" i="25"/>
  <c r="U23" i="18"/>
  <c r="AT91" i="18" s="1"/>
  <c r="S13" i="65"/>
  <c r="S24" i="65" s="1"/>
  <c r="L119" i="89"/>
  <c r="L119" i="38"/>
  <c r="L128" i="17"/>
  <c r="AA189" i="17"/>
  <c r="M189" i="17"/>
  <c r="M256" i="25"/>
  <c r="AA256" i="25"/>
  <c r="L307" i="40"/>
  <c r="Z307" i="40"/>
  <c r="M240" i="32"/>
  <c r="AA240" i="32"/>
  <c r="M270" i="14"/>
  <c r="AA270" i="14"/>
  <c r="L189" i="40"/>
  <c r="Z189" i="40"/>
  <c r="L277" i="32"/>
  <c r="Z277" i="32"/>
  <c r="M254" i="28"/>
  <c r="AA254" i="28"/>
  <c r="M254" i="89"/>
  <c r="AA254" i="89"/>
  <c r="M182" i="38"/>
  <c r="AA182" i="38"/>
  <c r="M119" i="14"/>
  <c r="M128" i="23"/>
  <c r="Z159" i="32"/>
  <c r="L159" i="32"/>
  <c r="M196" i="14"/>
  <c r="AA196" i="14"/>
  <c r="L247" i="23"/>
  <c r="Z247" i="23"/>
  <c r="M240" i="40"/>
  <c r="AA240" i="40"/>
  <c r="L138" i="89"/>
  <c r="Z138" i="89"/>
  <c r="L119" i="32"/>
  <c r="L307" i="14"/>
  <c r="Z307" i="14"/>
  <c r="M272" i="25"/>
  <c r="AA272" i="25"/>
  <c r="L307" i="30"/>
  <c r="Z307" i="30"/>
  <c r="M159" i="30"/>
  <c r="AA159" i="30"/>
  <c r="L233" i="32"/>
  <c r="Z233" i="32"/>
  <c r="L284" i="17"/>
  <c r="Z284" i="17"/>
  <c r="M128" i="14"/>
  <c r="S14" i="65"/>
  <c r="S25" i="65" s="1"/>
  <c r="U37" i="18"/>
  <c r="AT113" i="18" s="1"/>
  <c r="M152" i="14"/>
  <c r="AA152" i="14"/>
  <c r="M233" i="23"/>
  <c r="AA233" i="23"/>
  <c r="M182" i="23"/>
  <c r="AA182" i="23"/>
  <c r="M175" i="40"/>
  <c r="AA175" i="40"/>
  <c r="Z196" i="17"/>
  <c r="L196" i="17"/>
  <c r="L247" i="32"/>
  <c r="Z247" i="32"/>
  <c r="L233" i="30"/>
  <c r="Z233" i="30"/>
  <c r="Z254" i="30"/>
  <c r="L254" i="30"/>
  <c r="K119" i="28"/>
  <c r="L128" i="30"/>
  <c r="AA182" i="17"/>
  <c r="M182" i="17"/>
  <c r="L119" i="30"/>
  <c r="L254" i="40"/>
  <c r="Z254" i="40"/>
  <c r="M145" i="14"/>
  <c r="AA145" i="14"/>
  <c r="M240" i="23"/>
  <c r="AA240" i="23"/>
  <c r="Z182" i="32"/>
  <c r="L182" i="32"/>
  <c r="L182" i="40"/>
  <c r="Z182" i="40"/>
  <c r="M159" i="14"/>
  <c r="AA159" i="14"/>
  <c r="K119" i="40"/>
  <c r="Z175" i="17"/>
  <c r="L175" i="17"/>
  <c r="Z309" i="25"/>
  <c r="L309" i="25"/>
  <c r="M247" i="89"/>
  <c r="AA247" i="89"/>
  <c r="M242" i="25"/>
  <c r="AA242" i="25"/>
  <c r="AA240" i="17"/>
  <c r="M240" i="17"/>
  <c r="L196" i="23"/>
  <c r="Z196" i="23"/>
  <c r="M293" i="25"/>
  <c r="AA293" i="25"/>
  <c r="U65" i="18"/>
  <c r="AT123" i="18" s="1"/>
  <c r="S16" i="65"/>
  <c r="S27" i="65" s="1"/>
  <c r="M189" i="30"/>
  <c r="AA189" i="30"/>
  <c r="L254" i="32"/>
  <c r="Z254" i="32"/>
  <c r="Z240" i="30"/>
  <c r="L240" i="30"/>
  <c r="M284" i="32"/>
  <c r="AA284" i="32"/>
  <c r="M138" i="23"/>
  <c r="AA138" i="23"/>
  <c r="M138" i="14"/>
  <c r="AA138" i="14"/>
  <c r="L138" i="28"/>
  <c r="Z138" i="28"/>
  <c r="M247" i="28"/>
  <c r="AA247" i="28"/>
  <c r="M177" i="25"/>
  <c r="AA177" i="25"/>
  <c r="Z145" i="17"/>
  <c r="L145" i="17"/>
  <c r="L196" i="32"/>
  <c r="Z196" i="32"/>
  <c r="Z307" i="23"/>
  <c r="L307" i="23"/>
  <c r="M138" i="38"/>
  <c r="L175" i="23"/>
  <c r="Z175" i="23"/>
  <c r="M119" i="23"/>
  <c r="L284" i="40"/>
  <c r="Z284" i="40"/>
  <c r="L233" i="14"/>
  <c r="Z233" i="14"/>
  <c r="M182" i="14"/>
  <c r="AA182" i="14"/>
  <c r="L247" i="30"/>
  <c r="Z247" i="30"/>
  <c r="M291" i="89"/>
  <c r="AA291" i="89"/>
  <c r="L152" i="40"/>
  <c r="Z152" i="40"/>
  <c r="L307" i="89"/>
  <c r="Z307" i="89"/>
  <c r="M159" i="23"/>
  <c r="AA159" i="23"/>
  <c r="L291" i="32"/>
  <c r="Z291" i="32"/>
  <c r="Z138" i="17"/>
  <c r="L138" i="17"/>
  <c r="L291" i="14"/>
  <c r="Z291" i="14"/>
  <c r="L291" i="23"/>
  <c r="Z291" i="23"/>
  <c r="L152" i="32"/>
  <c r="Z152" i="32"/>
  <c r="L277" i="40"/>
  <c r="Z277" i="40"/>
  <c r="M249" i="25"/>
  <c r="AA249" i="25"/>
  <c r="Y273" i="19"/>
  <c r="K273" i="19"/>
  <c r="L138" i="30"/>
  <c r="Z138" i="30"/>
  <c r="Z291" i="30"/>
  <c r="L291" i="30"/>
  <c r="P93" i="20"/>
  <c r="P92" i="20"/>
  <c r="L307" i="17"/>
  <c r="Z307" i="17"/>
  <c r="M182" i="28"/>
  <c r="AA182" i="28"/>
  <c r="L270" i="32"/>
  <c r="Z270" i="32"/>
  <c r="M235" i="25"/>
  <c r="AA235" i="25"/>
  <c r="L307" i="32"/>
  <c r="Z307" i="32"/>
  <c r="L175" i="32"/>
  <c r="Z175" i="32"/>
  <c r="M140" i="25"/>
  <c r="AA140" i="25"/>
  <c r="AA152" i="17"/>
  <c r="M152" i="17"/>
  <c r="Z247" i="17"/>
  <c r="L247" i="17"/>
  <c r="L130" i="25"/>
  <c r="M284" i="14"/>
  <c r="AA284" i="14"/>
  <c r="M138" i="32"/>
  <c r="AA138" i="32"/>
  <c r="M189" i="28"/>
  <c r="AA189" i="28"/>
  <c r="M152" i="89"/>
  <c r="AA152" i="89"/>
  <c r="M175" i="30"/>
  <c r="AA175" i="30"/>
  <c r="M189" i="14"/>
  <c r="AA189" i="14"/>
  <c r="M284" i="38"/>
  <c r="AA284" i="38"/>
  <c r="L128" i="28"/>
  <c r="M159" i="38"/>
  <c r="AA159" i="38"/>
  <c r="L254" i="17"/>
  <c r="Z254" i="17"/>
  <c r="L233" i="40"/>
  <c r="Z233" i="40"/>
  <c r="L270" i="17"/>
  <c r="Z270" i="17"/>
  <c r="Q28" i="20"/>
  <c r="M277" i="23"/>
  <c r="AA277" i="23"/>
  <c r="L307" i="28"/>
  <c r="Z307" i="28"/>
  <c r="M233" i="89"/>
  <c r="AA233" i="89"/>
  <c r="M145" i="32"/>
  <c r="AA145" i="32"/>
  <c r="M175" i="89"/>
  <c r="AA175" i="89"/>
  <c r="L145" i="89"/>
  <c r="Z145" i="89"/>
  <c r="Z233" i="17"/>
  <c r="L233" i="17"/>
  <c r="L233" i="28"/>
  <c r="Z233" i="28"/>
  <c r="M277" i="14"/>
  <c r="AA277" i="14"/>
  <c r="L247" i="40"/>
  <c r="Z247" i="40"/>
  <c r="M270" i="23"/>
  <c r="AA270" i="23"/>
  <c r="L128" i="89"/>
  <c r="M240" i="38"/>
  <c r="AA240" i="38"/>
  <c r="L284" i="89"/>
  <c r="Z284" i="89"/>
  <c r="L159" i="89"/>
  <c r="Z159" i="89"/>
  <c r="Q64" i="20"/>
  <c r="Q45" i="20"/>
  <c r="M182" i="89"/>
  <c r="AA182" i="89"/>
  <c r="M270" i="40"/>
  <c r="AA270" i="40"/>
  <c r="U121" i="18"/>
  <c r="AT170" i="18" s="1"/>
  <c r="S18" i="65"/>
  <c r="S29" i="65" s="1"/>
  <c r="Z191" i="25"/>
  <c r="L191" i="25"/>
  <c r="M240" i="14"/>
  <c r="AA240" i="14"/>
  <c r="L277" i="30"/>
  <c r="Z277" i="30"/>
  <c r="M284" i="30"/>
  <c r="AA284" i="30"/>
  <c r="L159" i="40"/>
  <c r="Z159" i="40"/>
  <c r="M196" i="28"/>
  <c r="AA196" i="28"/>
  <c r="U51" i="18"/>
  <c r="AT101" i="18" s="1"/>
  <c r="S15" i="65"/>
  <c r="S26" i="65" s="1"/>
  <c r="M254" i="38"/>
  <c r="AA254" i="38"/>
  <c r="M189" i="38"/>
  <c r="AA189" i="38"/>
  <c r="M196" i="38"/>
  <c r="AA196" i="38"/>
  <c r="L145" i="28"/>
  <c r="Z145" i="28"/>
  <c r="M147" i="25"/>
  <c r="AA147" i="25"/>
  <c r="M291" i="28"/>
  <c r="AA291" i="28"/>
  <c r="Z182" i="30"/>
  <c r="L182" i="30"/>
  <c r="L284" i="28"/>
  <c r="Z284" i="28"/>
  <c r="M277" i="38"/>
  <c r="AA277" i="38"/>
  <c r="L279" i="25"/>
  <c r="Z279" i="25"/>
  <c r="L145" i="30"/>
  <c r="Z145" i="30"/>
  <c r="M270" i="30"/>
  <c r="AA270" i="30"/>
  <c r="K128" i="32"/>
  <c r="AA291" i="17"/>
  <c r="M291" i="17"/>
  <c r="Z277" i="17"/>
  <c r="L277" i="17"/>
  <c r="M240" i="89"/>
  <c r="AA240" i="89"/>
  <c r="L138" i="40"/>
  <c r="Z138" i="40"/>
  <c r="M145" i="40"/>
  <c r="AA145" i="40"/>
  <c r="L159" i="17"/>
  <c r="Z159" i="17"/>
  <c r="AT151" i="18"/>
  <c r="AT10" i="18"/>
  <c r="AT82" i="18"/>
  <c r="M128" i="40"/>
  <c r="M247" i="14" l="1"/>
  <c r="AA286" i="25"/>
  <c r="M189" i="32"/>
  <c r="M233" i="38"/>
  <c r="AA154" i="25"/>
  <c r="M152" i="23"/>
  <c r="M152" i="28"/>
  <c r="M270" i="89"/>
  <c r="M175" i="14"/>
  <c r="AA254" i="23"/>
  <c r="M247" i="38"/>
  <c r="AA277" i="28"/>
  <c r="AA270" i="38"/>
  <c r="M196" i="89"/>
  <c r="M291" i="40"/>
  <c r="M175" i="28"/>
  <c r="AA159" i="28"/>
  <c r="AA161" i="25"/>
  <c r="M240" i="28"/>
  <c r="M152" i="38"/>
  <c r="M291" i="38"/>
  <c r="M175" i="38"/>
  <c r="M254" i="14"/>
  <c r="M196" i="40"/>
  <c r="Z307" i="38"/>
  <c r="M128" i="30"/>
  <c r="M189" i="89"/>
  <c r="AA189" i="89"/>
  <c r="AA307" i="17"/>
  <c r="M307" i="17"/>
  <c r="M145" i="17"/>
  <c r="AA145" i="17"/>
  <c r="AA159" i="17"/>
  <c r="M159" i="17"/>
  <c r="L128" i="32"/>
  <c r="M159" i="89"/>
  <c r="AA159" i="89"/>
  <c r="M121" i="25"/>
  <c r="M128" i="38"/>
  <c r="M277" i="40"/>
  <c r="AA277" i="40"/>
  <c r="M291" i="14"/>
  <c r="AA291" i="14"/>
  <c r="M307" i="89"/>
  <c r="AA307" i="89"/>
  <c r="M247" i="30"/>
  <c r="AA247" i="30"/>
  <c r="AA309" i="25"/>
  <c r="M309" i="25"/>
  <c r="M254" i="40"/>
  <c r="AA254" i="40"/>
  <c r="M233" i="32"/>
  <c r="AA233" i="32"/>
  <c r="AA307" i="14"/>
  <c r="M307" i="14"/>
  <c r="M159" i="32"/>
  <c r="AA159" i="32"/>
  <c r="M307" i="38"/>
  <c r="AA307" i="38"/>
  <c r="M128" i="17"/>
  <c r="M196" i="30"/>
  <c r="AA196" i="30"/>
  <c r="M159" i="40"/>
  <c r="AA159" i="40"/>
  <c r="M175" i="32"/>
  <c r="AA175" i="32"/>
  <c r="M233" i="28"/>
  <c r="AA233" i="28"/>
  <c r="M233" i="40"/>
  <c r="AA233" i="40"/>
  <c r="M130" i="25"/>
  <c r="M182" i="30"/>
  <c r="AA182" i="30"/>
  <c r="M138" i="30"/>
  <c r="AA138" i="30"/>
  <c r="M279" i="25"/>
  <c r="AA279" i="25"/>
  <c r="M284" i="28"/>
  <c r="AA284" i="28"/>
  <c r="M145" i="28"/>
  <c r="AA145" i="28"/>
  <c r="M277" i="30"/>
  <c r="AA277" i="30"/>
  <c r="O19" i="82"/>
  <c r="V16" i="18"/>
  <c r="Q67" i="20"/>
  <c r="Q70" i="20"/>
  <c r="Q134" i="20" s="1"/>
  <c r="M145" i="89"/>
  <c r="AA145" i="89"/>
  <c r="AA270" i="17"/>
  <c r="M270" i="17"/>
  <c r="M128" i="28"/>
  <c r="M307" i="32"/>
  <c r="AA307" i="32"/>
  <c r="M254" i="32"/>
  <c r="AA254" i="32"/>
  <c r="AA196" i="23"/>
  <c r="M196" i="23"/>
  <c r="M254" i="30"/>
  <c r="AA254" i="30"/>
  <c r="AT150" i="18"/>
  <c r="AT9" i="18"/>
  <c r="AT81" i="18"/>
  <c r="M145" i="23"/>
  <c r="AA145" i="23"/>
  <c r="AA175" i="23"/>
  <c r="M175" i="23"/>
  <c r="M119" i="32"/>
  <c r="AA307" i="40"/>
  <c r="M307" i="40"/>
  <c r="AA138" i="17"/>
  <c r="M138" i="17"/>
  <c r="M196" i="32"/>
  <c r="AA196" i="32"/>
  <c r="Q87" i="20"/>
  <c r="V11" i="18" s="1"/>
  <c r="Q86" i="20"/>
  <c r="V8" i="18" s="1"/>
  <c r="AA284" i="17"/>
  <c r="M284" i="17"/>
  <c r="M189" i="40"/>
  <c r="AA189" i="40"/>
  <c r="M119" i="89"/>
  <c r="AA254" i="17"/>
  <c r="M254" i="17"/>
  <c r="M270" i="32"/>
  <c r="AA270" i="32"/>
  <c r="Z273" i="19"/>
  <c r="L273" i="19"/>
  <c r="M119" i="38"/>
  <c r="M152" i="32"/>
  <c r="AA152" i="32"/>
  <c r="M233" i="30"/>
  <c r="AA233" i="30"/>
  <c r="T58" i="76"/>
  <c r="M128" i="89"/>
  <c r="AA307" i="28"/>
  <c r="M307" i="28"/>
  <c r="M138" i="28"/>
  <c r="AA138" i="28"/>
  <c r="N9" i="82"/>
  <c r="Q135" i="20"/>
  <c r="P126" i="20"/>
  <c r="M291" i="23"/>
  <c r="AA291" i="23"/>
  <c r="M307" i="23"/>
  <c r="AA307" i="23"/>
  <c r="M138" i="40"/>
  <c r="AA138" i="40"/>
  <c r="M145" i="30"/>
  <c r="AA145" i="30"/>
  <c r="M284" i="89"/>
  <c r="AA284" i="89"/>
  <c r="M247" i="40"/>
  <c r="AA247" i="40"/>
  <c r="M291" i="30"/>
  <c r="AA291" i="30"/>
  <c r="M182" i="32"/>
  <c r="AA182" i="32"/>
  <c r="M196" i="17"/>
  <c r="AA196" i="17"/>
  <c r="M138" i="89"/>
  <c r="AA138" i="89"/>
  <c r="M247" i="23"/>
  <c r="AA247" i="23"/>
  <c r="M277" i="17"/>
  <c r="AA277" i="17"/>
  <c r="AA175" i="17"/>
  <c r="M175" i="17"/>
  <c r="M182" i="40"/>
  <c r="AA182" i="40"/>
  <c r="M284" i="40"/>
  <c r="AA284" i="40"/>
  <c r="L119" i="28"/>
  <c r="M191" i="25"/>
  <c r="AA191" i="25"/>
  <c r="AA233" i="17"/>
  <c r="M233" i="17"/>
  <c r="Q90" i="20"/>
  <c r="V12" i="18" s="1"/>
  <c r="Q89" i="20"/>
  <c r="AA247" i="17"/>
  <c r="M247" i="17"/>
  <c r="M291" i="32"/>
  <c r="AA291" i="32"/>
  <c r="M152" i="40"/>
  <c r="AA152" i="40"/>
  <c r="M233" i="14"/>
  <c r="AA233" i="14"/>
  <c r="M240" i="30"/>
  <c r="AA240" i="30"/>
  <c r="L119" i="40"/>
  <c r="M119" i="30"/>
  <c r="M247" i="32"/>
  <c r="AA247" i="32"/>
  <c r="M307" i="30"/>
  <c r="AA307" i="30"/>
  <c r="M277" i="32"/>
  <c r="AA277" i="32"/>
  <c r="M119" i="17"/>
  <c r="X129" i="17" l="1"/>
  <c r="BN802" i="76"/>
  <c r="BN667" i="76"/>
  <c r="AG269" i="76"/>
  <c r="BN867" i="76"/>
  <c r="BN223" i="76"/>
  <c r="AG309" i="76"/>
  <c r="BN997" i="76"/>
  <c r="AG476" i="76"/>
  <c r="AG230" i="76"/>
  <c r="AG187" i="76"/>
  <c r="AG231" i="76"/>
  <c r="BN600" i="76"/>
  <c r="BN692" i="76"/>
  <c r="AG642" i="76"/>
  <c r="AG92" i="76"/>
  <c r="AG446" i="76"/>
  <c r="AG447" i="76"/>
  <c r="BN653" i="76"/>
  <c r="AG208" i="76"/>
  <c r="BN155" i="76"/>
  <c r="AG1040" i="76"/>
  <c r="AG809" i="76"/>
  <c r="AG1024" i="76"/>
  <c r="BN69" i="76"/>
  <c r="AG776" i="76"/>
  <c r="AG340" i="76"/>
  <c r="AG467" i="76"/>
  <c r="AG226" i="76"/>
  <c r="AG120" i="76"/>
  <c r="BN658" i="76"/>
  <c r="AG616" i="76"/>
  <c r="BN485" i="76"/>
  <c r="BN627" i="76"/>
  <c r="BN351" i="76"/>
  <c r="BN955" i="76"/>
  <c r="BN364" i="76"/>
  <c r="AG838" i="76"/>
  <c r="BN202" i="76"/>
  <c r="AG727" i="76"/>
  <c r="BN146" i="76"/>
  <c r="BN590" i="76"/>
  <c r="BN1067" i="76"/>
  <c r="AG543" i="76"/>
  <c r="AG606" i="76"/>
  <c r="BN479" i="76"/>
  <c r="BN834" i="76"/>
  <c r="AG891" i="76"/>
  <c r="AG1013" i="76"/>
  <c r="BN410" i="76"/>
  <c r="AG285" i="76"/>
  <c r="BN446" i="76"/>
  <c r="BN152" i="76"/>
  <c r="AG756" i="76"/>
  <c r="BN452" i="76"/>
  <c r="AG974" i="76"/>
  <c r="AG865" i="76"/>
  <c r="BN456" i="76"/>
  <c r="BN891" i="76"/>
  <c r="AG348" i="76"/>
  <c r="BN926" i="76"/>
  <c r="AG992" i="76"/>
  <c r="AG384" i="76"/>
  <c r="BN737" i="76"/>
  <c r="BN779" i="76"/>
  <c r="BN488" i="76"/>
  <c r="AG406" i="76"/>
  <c r="BN634" i="76"/>
  <c r="BN360" i="76"/>
  <c r="BN206" i="76"/>
  <c r="AG265" i="76"/>
  <c r="AG306" i="76"/>
  <c r="AG124" i="76"/>
  <c r="BN679" i="76"/>
  <c r="BN468" i="76"/>
  <c r="AG548" i="76"/>
  <c r="AG174" i="76"/>
  <c r="AG679" i="76"/>
  <c r="BN530" i="76"/>
  <c r="BN301" i="76"/>
  <c r="BN963" i="76"/>
  <c r="BN582" i="76"/>
  <c r="BN640" i="76"/>
  <c r="BN980" i="76"/>
  <c r="AG360" i="76"/>
  <c r="BN832" i="76"/>
  <c r="BN651" i="76"/>
  <c r="BN751" i="76"/>
  <c r="BN333" i="76"/>
  <c r="BN355" i="76"/>
  <c r="AG163" i="76"/>
  <c r="AG464" i="76"/>
  <c r="AG823" i="76"/>
  <c r="BN551" i="76"/>
  <c r="AG740" i="76"/>
  <c r="AG405" i="76"/>
  <c r="BN95" i="76"/>
  <c r="AG921" i="76"/>
  <c r="BN79" i="76"/>
  <c r="BN745" i="76"/>
  <c r="AG851" i="76"/>
  <c r="AG382" i="76"/>
  <c r="AG699" i="76"/>
  <c r="AG135" i="76"/>
  <c r="AG758" i="76"/>
  <c r="BN227" i="76"/>
  <c r="BN558" i="76"/>
  <c r="BN726" i="76"/>
  <c r="AG630" i="76"/>
  <c r="BN283" i="76"/>
  <c r="BN879" i="76"/>
  <c r="AG200" i="76"/>
  <c r="AG990" i="76"/>
  <c r="AG716" i="76"/>
  <c r="AG755" i="76"/>
  <c r="AG540" i="76"/>
  <c r="BN495" i="76"/>
  <c r="BN104" i="76"/>
  <c r="AG701" i="76"/>
  <c r="BN1012" i="76"/>
  <c r="AG143" i="76"/>
  <c r="AG520" i="76"/>
  <c r="AG601" i="76"/>
  <c r="AG1046" i="76"/>
  <c r="BN398" i="76"/>
  <c r="BN518" i="76"/>
  <c r="BN116" i="76"/>
  <c r="AG787" i="76"/>
  <c r="AG521" i="76"/>
  <c r="BN205" i="76"/>
  <c r="AG365" i="76"/>
  <c r="AG878" i="76"/>
  <c r="AG864" i="76"/>
  <c r="AG862" i="76"/>
  <c r="AG252" i="76"/>
  <c r="BN768" i="76"/>
  <c r="AG895" i="76"/>
  <c r="BN952" i="76"/>
  <c r="BN157" i="76"/>
  <c r="BN822" i="76"/>
  <c r="BN228" i="76"/>
  <c r="AG793" i="76"/>
  <c r="AG944" i="76"/>
  <c r="AG323" i="76"/>
  <c r="AG83" i="76"/>
  <c r="BN956" i="76"/>
  <c r="BN753" i="76"/>
  <c r="BN1050" i="76"/>
  <c r="BN82" i="76"/>
  <c r="BN444" i="76"/>
  <c r="AG223" i="76"/>
  <c r="BN514" i="76"/>
  <c r="AG1048" i="76"/>
  <c r="BN575" i="76"/>
  <c r="BN715" i="76"/>
  <c r="BN916" i="76"/>
  <c r="BN436" i="76"/>
  <c r="BN303" i="76"/>
  <c r="BN932" i="76"/>
  <c r="BN1029" i="76"/>
  <c r="BN458" i="76"/>
  <c r="AG233" i="76"/>
  <c r="BN800" i="76"/>
  <c r="BN665" i="76"/>
  <c r="BN986" i="76"/>
  <c r="BN299" i="76"/>
  <c r="AG139" i="76"/>
  <c r="AG659" i="76"/>
  <c r="BN678" i="76"/>
  <c r="BN925" i="76"/>
  <c r="BN772" i="76"/>
  <c r="AG159" i="76"/>
  <c r="BN592" i="76"/>
  <c r="AG510" i="76"/>
  <c r="BN331" i="76"/>
  <c r="AG908" i="76"/>
  <c r="AG743" i="76"/>
  <c r="AG896" i="76"/>
  <c r="BN294" i="76"/>
  <c r="AG136" i="76"/>
  <c r="BN596" i="76"/>
  <c r="AG609" i="76"/>
  <c r="BN940" i="76"/>
  <c r="BN549" i="76"/>
  <c r="AG224" i="76"/>
  <c r="BN181" i="76"/>
  <c r="BN918" i="76"/>
  <c r="AG998" i="76"/>
  <c r="BN123" i="76"/>
  <c r="AG140" i="76"/>
  <c r="BN251" i="76"/>
  <c r="AG697" i="76"/>
  <c r="AG320" i="76"/>
  <c r="AG93" i="76"/>
  <c r="AG385" i="76"/>
  <c r="AG532" i="76"/>
  <c r="AG498" i="76"/>
  <c r="AG121" i="76"/>
  <c r="BN776" i="76"/>
  <c r="BN764" i="76"/>
  <c r="AG321" i="76"/>
  <c r="AG130" i="76"/>
  <c r="BN80" i="76"/>
  <c r="AG789" i="76"/>
  <c r="AG614" i="76"/>
  <c r="BN161" i="76"/>
  <c r="BN262" i="76"/>
  <c r="AG736" i="76"/>
  <c r="AG69" i="76"/>
  <c r="BN156" i="76"/>
  <c r="BN129" i="76"/>
  <c r="AG109" i="76"/>
  <c r="AG94" i="76"/>
  <c r="BN177" i="76"/>
  <c r="BN833" i="76"/>
  <c r="AG686" i="76"/>
  <c r="AG483" i="76"/>
  <c r="AG943" i="76"/>
  <c r="BN819" i="76"/>
  <c r="BN213" i="76"/>
  <c r="AG650" i="76"/>
  <c r="BN536" i="76"/>
  <c r="AG855" i="76"/>
  <c r="BN412" i="76"/>
  <c r="AG671" i="76"/>
  <c r="AG644" i="76"/>
  <c r="BN812" i="76"/>
  <c r="AG888" i="76"/>
  <c r="BN192" i="76"/>
  <c r="AG1016" i="76"/>
  <c r="AG771" i="76"/>
  <c r="AG689" i="76"/>
  <c r="AG87" i="76"/>
  <c r="AG948" i="76"/>
  <c r="BN565" i="76"/>
  <c r="AG570" i="76"/>
  <c r="AG954" i="76"/>
  <c r="BN898" i="76"/>
  <c r="BN885" i="76"/>
  <c r="AG170" i="76"/>
  <c r="BN849" i="76"/>
  <c r="AG985" i="76"/>
  <c r="BN771" i="76"/>
  <c r="BN279" i="76"/>
  <c r="AG674" i="76"/>
  <c r="BN326" i="76"/>
  <c r="AG996" i="76"/>
  <c r="BN1024" i="76"/>
  <c r="BN90" i="76"/>
  <c r="BN501" i="76"/>
  <c r="BN567" i="76"/>
  <c r="BN782" i="76"/>
  <c r="AG729" i="76"/>
  <c r="AG1044" i="76"/>
  <c r="BN252" i="76"/>
  <c r="BN342" i="76"/>
  <c r="BN1033" i="76"/>
  <c r="AG77" i="76"/>
  <c r="BN877" i="76"/>
  <c r="BN996" i="76"/>
  <c r="BN275" i="76"/>
  <c r="AG428" i="76"/>
  <c r="AG963" i="76"/>
  <c r="BN245" i="76"/>
  <c r="BN809" i="76"/>
  <c r="AG463" i="76"/>
  <c r="AG1010" i="76"/>
  <c r="BN615" i="76"/>
  <c r="AG565" i="76"/>
  <c r="AG528" i="76"/>
  <c r="BN286" i="76"/>
  <c r="BN103" i="76"/>
  <c r="BN282" i="76"/>
  <c r="BN524" i="76"/>
  <c r="AG411" i="76"/>
  <c r="BN401" i="76"/>
  <c r="AG509" i="76"/>
  <c r="BN109" i="76"/>
  <c r="AG955" i="76"/>
  <c r="BN1040" i="76"/>
  <c r="BN695" i="76"/>
  <c r="AG418" i="76"/>
  <c r="AG648" i="76"/>
  <c r="AG715" i="76"/>
  <c r="BN611" i="76"/>
  <c r="AG533" i="76"/>
  <c r="BN598" i="76"/>
  <c r="BN890" i="76"/>
  <c r="BN423" i="76"/>
  <c r="AG1054" i="76"/>
  <c r="BN432" i="76"/>
  <c r="AG1042" i="76"/>
  <c r="BN229" i="76"/>
  <c r="BN254" i="76"/>
  <c r="AG478" i="76"/>
  <c r="BN978" i="76"/>
  <c r="AG952" i="76"/>
  <c r="AG578" i="76"/>
  <c r="BN730" i="76"/>
  <c r="AG198" i="76"/>
  <c r="AG417" i="76"/>
  <c r="BN480" i="76"/>
  <c r="BN886" i="76"/>
  <c r="BN929" i="76"/>
  <c r="BN390" i="76"/>
  <c r="BN455" i="76"/>
  <c r="BN340" i="76"/>
  <c r="BN75" i="76"/>
  <c r="AG248" i="76"/>
  <c r="BN535" i="76"/>
  <c r="AG421" i="76"/>
  <c r="BN713" i="76"/>
  <c r="BN652" i="76"/>
  <c r="AG314" i="76"/>
  <c r="AG407" i="76"/>
  <c r="BN919" i="76"/>
  <c r="BN1065" i="76"/>
  <c r="AG801" i="76"/>
  <c r="AG831" i="76"/>
  <c r="AG732" i="76"/>
  <c r="AG1060" i="76"/>
  <c r="AG192" i="76"/>
  <c r="BN309" i="76"/>
  <c r="BN570" i="76"/>
  <c r="AG680" i="76"/>
  <c r="AG640" i="76"/>
  <c r="AG408" i="76"/>
  <c r="AG775" i="76"/>
  <c r="AG960" i="76"/>
  <c r="AG764" i="76"/>
  <c r="AG280" i="76"/>
  <c r="BN397" i="76"/>
  <c r="BN132" i="76"/>
  <c r="AG652" i="76"/>
  <c r="BN739" i="76"/>
  <c r="BN505" i="76"/>
  <c r="BN273" i="76"/>
  <c r="AG177" i="76"/>
  <c r="BN1038" i="76"/>
  <c r="AG840" i="76"/>
  <c r="AG443" i="76"/>
  <c r="AG319" i="76"/>
  <c r="AG580" i="76"/>
  <c r="BN170" i="76"/>
  <c r="AG80" i="76"/>
  <c r="AG471" i="76"/>
  <c r="AG603" i="76"/>
  <c r="AG388" i="76"/>
  <c r="BN238" i="76"/>
  <c r="AG218" i="76"/>
  <c r="AG105" i="76"/>
  <c r="BN960" i="76"/>
  <c r="BN368" i="76"/>
  <c r="BN319" i="76"/>
  <c r="BN869" i="76"/>
  <c r="AG675" i="76"/>
  <c r="BN618" i="76"/>
  <c r="BN372" i="76"/>
  <c r="BN474" i="76"/>
  <c r="AG227" i="76"/>
  <c r="BN416" i="76"/>
  <c r="BN1011" i="76"/>
  <c r="BN760" i="76"/>
  <c r="BN1037" i="76"/>
  <c r="AG698" i="76"/>
  <c r="BN93" i="76"/>
  <c r="AG181" i="76"/>
  <c r="BN631" i="76"/>
  <c r="AG513" i="76"/>
  <c r="AG308" i="76"/>
  <c r="AG537" i="76"/>
  <c r="AG561" i="76"/>
  <c r="BN188" i="76"/>
  <c r="AG852" i="76"/>
  <c r="BN677" i="76"/>
  <c r="BN267" i="76"/>
  <c r="BN460" i="76"/>
  <c r="BN698" i="76"/>
  <c r="BN982" i="76"/>
  <c r="AG842" i="76"/>
  <c r="BN142" i="76"/>
  <c r="BN693" i="76"/>
  <c r="BN296" i="76"/>
  <c r="BN578" i="76"/>
  <c r="AG798" i="76"/>
  <c r="AG976" i="76"/>
  <c r="BN194" i="76"/>
  <c r="BN883" i="76"/>
  <c r="BN250" i="76"/>
  <c r="BN755" i="76"/>
  <c r="BN943" i="76"/>
  <c r="BN972" i="76"/>
  <c r="BN134" i="76"/>
  <c r="AG854" i="76"/>
  <c r="BN740" i="76"/>
  <c r="BN1026" i="76"/>
  <c r="AG149" i="76"/>
  <c r="AG402" i="76"/>
  <c r="AG592" i="76"/>
  <c r="BN361" i="76"/>
  <c r="AG986" i="76"/>
  <c r="AG749" i="76"/>
  <c r="BN493" i="76"/>
  <c r="BN421" i="76"/>
  <c r="BN154" i="76"/>
  <c r="BN900" i="76"/>
  <c r="AG1007" i="76"/>
  <c r="BN484" i="76"/>
  <c r="BN402" i="76"/>
  <c r="BN688" i="76"/>
  <c r="BN967" i="76"/>
  <c r="AG390" i="76"/>
  <c r="AG183" i="76"/>
  <c r="AG441" i="76"/>
  <c r="BN130" i="76"/>
  <c r="BN489" i="76"/>
  <c r="AG1066" i="76"/>
  <c r="BN185" i="76"/>
  <c r="AG1019" i="76"/>
  <c r="AG1028" i="76"/>
  <c r="AG132" i="76"/>
  <c r="AG951" i="76"/>
  <c r="AG581" i="76"/>
  <c r="AG779" i="76"/>
  <c r="AG693" i="76"/>
  <c r="AG610" i="76"/>
  <c r="BN841" i="76"/>
  <c r="BN187" i="76"/>
  <c r="AG589" i="76"/>
  <c r="AG535" i="76"/>
  <c r="BN871" i="76"/>
  <c r="AG829" i="76"/>
  <c r="BN274" i="76"/>
  <c r="BN256" i="76"/>
  <c r="BN516" i="76"/>
  <c r="AG74" i="76"/>
  <c r="AG583" i="76"/>
  <c r="BN648" i="76"/>
  <c r="BN295" i="76"/>
  <c r="AG914" i="76"/>
  <c r="BN979" i="76"/>
  <c r="AG825" i="76"/>
  <c r="BN358" i="76"/>
  <c r="AG158" i="76"/>
  <c r="AG546" i="76"/>
  <c r="BN236" i="76"/>
  <c r="AG1065" i="76"/>
  <c r="BN353" i="76"/>
  <c r="AG395" i="76"/>
  <c r="BN569" i="76"/>
  <c r="AG506" i="76"/>
  <c r="BN970" i="76"/>
  <c r="AG604" i="76"/>
  <c r="BN641" i="76"/>
  <c r="BN344" i="76"/>
  <c r="AG425" i="76"/>
  <c r="BN477" i="76"/>
  <c r="AG1037" i="76"/>
  <c r="AG885" i="76"/>
  <c r="AG271" i="76"/>
  <c r="BN646" i="76"/>
  <c r="AG622" i="76"/>
  <c r="BN1020" i="76"/>
  <c r="AG316" i="76"/>
  <c r="BN278" i="76"/>
  <c r="BN662" i="76"/>
  <c r="AG733" i="76"/>
  <c r="AG1050" i="76"/>
  <c r="AG303" i="76"/>
  <c r="BN136" i="76"/>
  <c r="AG350" i="76"/>
  <c r="AG482" i="76"/>
  <c r="BN302" i="76"/>
  <c r="AG725" i="76"/>
  <c r="AG901" i="76"/>
  <c r="BN666" i="76"/>
  <c r="AG655" i="76"/>
  <c r="AG544" i="76"/>
  <c r="AG364" i="76"/>
  <c r="AG751" i="76"/>
  <c r="BN694" i="76"/>
  <c r="BN407" i="76"/>
  <c r="BN1034" i="76"/>
  <c r="BN887" i="76"/>
  <c r="AG863" i="76"/>
  <c r="BN76" i="76"/>
  <c r="AG255" i="76"/>
  <c r="AG296" i="76"/>
  <c r="BN936" i="76"/>
  <c r="BN307" i="76"/>
  <c r="AG310" i="76"/>
  <c r="BN792" i="76"/>
  <c r="BN208" i="76"/>
  <c r="BN334" i="76"/>
  <c r="AG867" i="76"/>
  <c r="BN225" i="76"/>
  <c r="AG841" i="76"/>
  <c r="BN1041" i="76"/>
  <c r="BN532" i="76"/>
  <c r="BN135" i="76"/>
  <c r="BN381" i="76"/>
  <c r="AG706" i="76"/>
  <c r="AG584" i="76"/>
  <c r="BN990" i="76"/>
  <c r="BN920" i="76"/>
  <c r="BN914" i="76"/>
  <c r="BN431" i="76"/>
  <c r="AG485" i="76"/>
  <c r="BN947" i="76"/>
  <c r="BN1061" i="76"/>
  <c r="AG843" i="76"/>
  <c r="AG234" i="76"/>
  <c r="AG88" i="76"/>
  <c r="BN481" i="76"/>
  <c r="BN124" i="76"/>
  <c r="AG210" i="76"/>
  <c r="BN529" i="76"/>
  <c r="AG315" i="76"/>
  <c r="AG712" i="76"/>
  <c r="BN935" i="76"/>
  <c r="AG530" i="76"/>
  <c r="AG918" i="76"/>
  <c r="BN204" i="76"/>
  <c r="BN645" i="76"/>
  <c r="BN669" i="76"/>
  <c r="AG1067" i="76"/>
  <c r="AG286" i="76"/>
  <c r="AG881" i="76"/>
  <c r="AG394" i="76"/>
  <c r="BN1027" i="76"/>
  <c r="BN328" i="76"/>
  <c r="AG672" i="76"/>
  <c r="AG334" i="76"/>
  <c r="BN264" i="76"/>
  <c r="AG123" i="76"/>
  <c r="AG322" i="76"/>
  <c r="AG166" i="76"/>
  <c r="BN624" i="76"/>
  <c r="BN668" i="76"/>
  <c r="BN586" i="76"/>
  <c r="AG503" i="76"/>
  <c r="BN1057" i="76"/>
  <c r="AG221" i="76"/>
  <c r="AG770" i="76"/>
  <c r="BN827" i="76"/>
  <c r="BN856" i="76"/>
  <c r="AG658" i="76"/>
  <c r="BN1035" i="76"/>
  <c r="BN948" i="76"/>
  <c r="AG834" i="76"/>
  <c r="AG641" i="76"/>
  <c r="BN210" i="76"/>
  <c r="AG556" i="76"/>
  <c r="AG886" i="76"/>
  <c r="BN899" i="76"/>
  <c r="AG917" i="76"/>
  <c r="AG815" i="76"/>
  <c r="AG796" i="76"/>
  <c r="AG479" i="76"/>
  <c r="AG817" i="76"/>
  <c r="AG830" i="76"/>
  <c r="AG202" i="76"/>
  <c r="AG654" i="76"/>
  <c r="BN1031" i="76"/>
  <c r="AG260" i="76"/>
  <c r="BN878" i="76"/>
  <c r="AG624" i="76"/>
  <c r="BN656" i="76"/>
  <c r="AG90" i="76"/>
  <c r="AG807" i="76"/>
  <c r="AG568" i="76"/>
  <c r="BN99" i="76"/>
  <c r="AG975" i="76"/>
  <c r="BN300" i="76"/>
  <c r="BN521" i="76"/>
  <c r="AG566" i="76"/>
  <c r="AG305" i="76"/>
  <c r="AG451" i="76"/>
  <c r="AG389" i="76"/>
  <c r="BN680" i="76"/>
  <c r="BN911" i="76"/>
  <c r="AG456" i="76"/>
  <c r="BN234" i="76"/>
  <c r="AG668" i="76"/>
  <c r="AG572" i="76"/>
  <c r="BN506" i="76"/>
  <c r="AG495" i="76"/>
  <c r="BN868" i="76"/>
  <c r="AG237" i="76"/>
  <c r="AG184" i="76"/>
  <c r="BN989" i="76"/>
  <c r="BN720" i="76"/>
  <c r="AG897" i="76"/>
  <c r="AG761" i="76"/>
  <c r="AG167" i="76"/>
  <c r="AG236" i="76"/>
  <c r="AG915" i="76"/>
  <c r="AG430" i="76"/>
  <c r="AG98" i="76"/>
  <c r="AG868" i="76"/>
  <c r="BN126" i="76"/>
  <c r="BN537" i="76"/>
  <c r="AG346" i="76"/>
  <c r="AG979" i="76"/>
  <c r="BN553" i="76"/>
  <c r="AG676" i="76"/>
  <c r="BN442" i="76"/>
  <c r="AG409" i="76"/>
  <c r="BN88" i="76"/>
  <c r="BN277" i="76"/>
  <c r="AG1017" i="76"/>
  <c r="AG792" i="76"/>
  <c r="AG351" i="76"/>
  <c r="AG357" i="76"/>
  <c r="AG144" i="76"/>
  <c r="BN560" i="76"/>
  <c r="AG206" i="76"/>
  <c r="AG826" i="76"/>
  <c r="AG397" i="76"/>
  <c r="AG293" i="76"/>
  <c r="AG219" i="76"/>
  <c r="BN603" i="76"/>
  <c r="AG631" i="76"/>
  <c r="AG785" i="76"/>
  <c r="AG899" i="76"/>
  <c r="AG246" i="76"/>
  <c r="BN199" i="76"/>
  <c r="BN216" i="76"/>
  <c r="BN429" i="76"/>
  <c r="BN127" i="76"/>
  <c r="BN604" i="76"/>
  <c r="BN843" i="76"/>
  <c r="AG134" i="76"/>
  <c r="AG912" i="76"/>
  <c r="AG261" i="76"/>
  <c r="AG571" i="76"/>
  <c r="AG726" i="76"/>
  <c r="AG156" i="76"/>
  <c r="AG1036" i="76"/>
  <c r="AG100" i="76"/>
  <c r="AG1030" i="76"/>
  <c r="AG484" i="76"/>
  <c r="BN870" i="76"/>
  <c r="AG523" i="76"/>
  <c r="BN574" i="76"/>
  <c r="BN906" i="76"/>
  <c r="AG703" i="76"/>
  <c r="AG274" i="76"/>
  <c r="BN348" i="76"/>
  <c r="AG304" i="76"/>
  <c r="BN168" i="76"/>
  <c r="BN572" i="76"/>
  <c r="AG178" i="76"/>
  <c r="BN880" i="76"/>
  <c r="BN217" i="76"/>
  <c r="BN700" i="76"/>
  <c r="BN826" i="76"/>
  <c r="BN366" i="76"/>
  <c r="AG160" i="76"/>
  <c r="BN766" i="76"/>
  <c r="BN977" i="76"/>
  <c r="AG594" i="76"/>
  <c r="BN470" i="76"/>
  <c r="BN239" i="76"/>
  <c r="AG168" i="76"/>
  <c r="AG551" i="76"/>
  <c r="AG768" i="76"/>
  <c r="AG438" i="76"/>
  <c r="BN1004" i="76"/>
  <c r="AG331" i="76"/>
  <c r="BN957" i="76"/>
  <c r="BN748" i="76"/>
  <c r="BN71" i="76"/>
  <c r="AG201" i="76"/>
  <c r="AG617" i="76"/>
  <c r="BN244" i="76"/>
  <c r="AG108" i="76"/>
  <c r="BN297" i="76"/>
  <c r="BN440" i="76"/>
  <c r="BN984" i="76"/>
  <c r="AG151" i="76"/>
  <c r="BN387" i="76"/>
  <c r="AG465" i="76"/>
  <c r="BN465" i="76"/>
  <c r="AG557" i="76"/>
  <c r="BN246" i="76"/>
  <c r="BN450" i="76"/>
  <c r="BN1036" i="76"/>
  <c r="AG313" i="76"/>
  <c r="BN1015" i="76"/>
  <c r="BN548" i="76"/>
  <c r="BN750" i="76"/>
  <c r="BN1001" i="76"/>
  <c r="AG637" i="76"/>
  <c r="BN96" i="76"/>
  <c r="AG1011" i="76"/>
  <c r="BN704" i="76"/>
  <c r="BN962" i="76"/>
  <c r="AG858" i="76"/>
  <c r="BN945" i="76"/>
  <c r="AG251" i="76"/>
  <c r="AG919" i="76"/>
  <c r="BN788" i="76"/>
  <c r="BN1023" i="76"/>
  <c r="BN189" i="76"/>
  <c r="BN597" i="76"/>
  <c r="BN214" i="76"/>
  <c r="AG1015" i="76"/>
  <c r="AG317" i="76"/>
  <c r="BN240" i="76"/>
  <c r="AG936" i="76"/>
  <c r="AG757" i="76"/>
  <c r="AG332" i="76"/>
  <c r="BN272" i="76"/>
  <c r="BN317" i="76"/>
  <c r="AG667" i="76"/>
  <c r="BN289" i="76"/>
  <c r="AG769" i="76"/>
  <c r="AG437" i="76"/>
  <c r="AG1056" i="76"/>
  <c r="BN889" i="76"/>
  <c r="BN649" i="76"/>
  <c r="BN563" i="76"/>
  <c r="AG541" i="76"/>
  <c r="AG722" i="76"/>
  <c r="AG636" i="76"/>
  <c r="AG424" i="76"/>
  <c r="BN332" i="76"/>
  <c r="BN791" i="76"/>
  <c r="AG870" i="76"/>
  <c r="AG244" i="76"/>
  <c r="BN218" i="76"/>
  <c r="BN731" i="76"/>
  <c r="AG379" i="76"/>
  <c r="BN198" i="76"/>
  <c r="AG665" i="76"/>
  <c r="BN783" i="76"/>
  <c r="BN158" i="76"/>
  <c r="AG803" i="76"/>
  <c r="BN860" i="76"/>
  <c r="AG1052" i="76"/>
  <c r="BN247" i="76"/>
  <c r="AG920" i="76"/>
  <c r="BN268" i="76"/>
  <c r="BN160" i="76"/>
  <c r="AG700" i="76"/>
  <c r="AG516" i="76"/>
  <c r="BN639" i="76"/>
  <c r="BN373" i="76"/>
  <c r="AG403" i="76"/>
  <c r="BN854" i="76"/>
  <c r="BN220" i="76"/>
  <c r="BN944" i="76"/>
  <c r="BN138" i="76"/>
  <c r="AG415" i="76"/>
  <c r="BN153" i="76"/>
  <c r="AG827" i="76"/>
  <c r="BN315" i="76"/>
  <c r="BN510" i="76"/>
  <c r="BN1042" i="76"/>
  <c r="BN341" i="76"/>
  <c r="AG734" i="76"/>
  <c r="AG906" i="76"/>
  <c r="AG445" i="76"/>
  <c r="AG526" i="76"/>
  <c r="AG420" i="76"/>
  <c r="AG752" i="76"/>
  <c r="AG99" i="76"/>
  <c r="AG1029" i="76"/>
  <c r="BN872" i="76"/>
  <c r="AG941" i="76"/>
  <c r="AG773" i="76"/>
  <c r="AG634" i="76"/>
  <c r="BN794" i="76"/>
  <c r="BN320" i="76"/>
  <c r="BN743" i="76"/>
  <c r="AG559" i="76"/>
  <c r="BN709" i="76"/>
  <c r="AG1032" i="76"/>
  <c r="BN573" i="76"/>
  <c r="AG217" i="76"/>
  <c r="AG810" i="76"/>
  <c r="AG299" i="76"/>
  <c r="AG702" i="76"/>
  <c r="BN86" i="76"/>
  <c r="BN613" i="76"/>
  <c r="AG370" i="76"/>
  <c r="AG741" i="76"/>
  <c r="BN311" i="76"/>
  <c r="AG267" i="76"/>
  <c r="BN1030" i="76"/>
  <c r="BN174" i="76"/>
  <c r="BN805" i="76"/>
  <c r="AG615" i="76"/>
  <c r="BN629" i="76"/>
  <c r="BN780" i="76"/>
  <c r="BN77" i="76"/>
  <c r="BN875" i="76"/>
  <c r="AG211" i="76"/>
  <c r="AG1004" i="76"/>
  <c r="AG731" i="76"/>
  <c r="BN270" i="76"/>
  <c r="AG448" i="76"/>
  <c r="AG550" i="76"/>
  <c r="BN643" i="76"/>
  <c r="BN1000" i="76"/>
  <c r="BN907" i="76"/>
  <c r="AG784" i="76"/>
  <c r="AG239" i="76"/>
  <c r="BN942" i="76"/>
  <c r="AG525" i="76"/>
  <c r="AG989" i="76"/>
  <c r="BN1005" i="76"/>
  <c r="AG763" i="76"/>
  <c r="AG1039" i="76"/>
  <c r="AG859" i="76"/>
  <c r="AG681" i="76"/>
  <c r="AG691" i="76"/>
  <c r="AG811" i="76"/>
  <c r="AG512" i="76"/>
  <c r="AG753" i="76"/>
  <c r="AG1035" i="76"/>
  <c r="BN184" i="76"/>
  <c r="BN807" i="76"/>
  <c r="BN576" i="76"/>
  <c r="AG440" i="76"/>
  <c r="BN774" i="76"/>
  <c r="BN703" i="76"/>
  <c r="AG155" i="76"/>
  <c r="BN433" i="76"/>
  <c r="BN418" i="76"/>
  <c r="AG555" i="76"/>
  <c r="BN271" i="76"/>
  <c r="BN359" i="76"/>
  <c r="AG235" i="76"/>
  <c r="BN1028" i="76"/>
  <c r="AG458" i="76"/>
  <c r="BN685" i="76"/>
  <c r="AG822" i="76"/>
  <c r="AG904" i="76"/>
  <c r="BN746" i="76"/>
  <c r="AG964" i="76"/>
  <c r="AG423" i="76"/>
  <c r="BN526" i="76"/>
  <c r="BN846" i="76"/>
  <c r="AG844" i="76"/>
  <c r="AG256" i="76"/>
  <c r="AG249" i="76"/>
  <c r="BN1044" i="76"/>
  <c r="BN987" i="76"/>
  <c r="AG973" i="76"/>
  <c r="AG938" i="76"/>
  <c r="BN453" i="76"/>
  <c r="BN288" i="76"/>
  <c r="BN242" i="76"/>
  <c r="BN482" i="76"/>
  <c r="AG436" i="76"/>
  <c r="BN365" i="76"/>
  <c r="BN876" i="76"/>
  <c r="AG212" i="76"/>
  <c r="AG956" i="76"/>
  <c r="AG605" i="76"/>
  <c r="BN981" i="76"/>
  <c r="AG1008" i="76"/>
  <c r="AG666" i="76"/>
  <c r="BN818" i="76"/>
  <c r="BN1049" i="76"/>
  <c r="BN102" i="76"/>
  <c r="BN531" i="76"/>
  <c r="BN425" i="76"/>
  <c r="BN550" i="76"/>
  <c r="BN87" i="76"/>
  <c r="BN937" i="76"/>
  <c r="BN995" i="76"/>
  <c r="AG102" i="76"/>
  <c r="BN687" i="76"/>
  <c r="BN89" i="76"/>
  <c r="BN457" i="76"/>
  <c r="AG191" i="76"/>
  <c r="AG898" i="76"/>
  <c r="AG104" i="76"/>
  <c r="BN675" i="76"/>
  <c r="AG1003" i="76"/>
  <c r="AG180" i="76"/>
  <c r="BN165" i="76"/>
  <c r="BN179" i="76"/>
  <c r="AG890" i="76"/>
  <c r="AG112" i="76"/>
  <c r="AG911" i="76"/>
  <c r="AG492" i="76"/>
  <c r="BN991" i="76"/>
  <c r="AG783" i="76"/>
  <c r="AG243" i="76"/>
  <c r="AG493" i="76"/>
  <c r="AG824" i="76"/>
  <c r="AG875" i="76"/>
  <c r="BN954" i="76"/>
  <c r="AG391" i="76"/>
  <c r="AG511" i="76"/>
  <c r="AG812" i="76"/>
  <c r="AG774" i="76"/>
  <c r="AG312" i="76"/>
  <c r="BN285" i="76"/>
  <c r="AG294" i="76"/>
  <c r="AG709" i="76"/>
  <c r="AG502" i="76"/>
  <c r="BN712" i="76"/>
  <c r="BN1054" i="76"/>
  <c r="BN674" i="76"/>
  <c r="AG1026" i="76"/>
  <c r="BN924" i="76"/>
  <c r="BN298" i="76"/>
  <c r="AG278" i="76"/>
  <c r="AG507" i="76"/>
  <c r="AG401" i="76"/>
  <c r="BN620" i="76"/>
  <c r="AG723" i="76"/>
  <c r="BN557" i="76"/>
  <c r="AG494" i="76"/>
  <c r="BN676" i="76"/>
  <c r="BN610" i="76"/>
  <c r="AG934" i="76"/>
  <c r="AG814" i="76"/>
  <c r="AG457" i="76"/>
  <c r="AG169" i="76"/>
  <c r="AG669" i="76"/>
  <c r="BN913" i="76"/>
  <c r="BN145" i="76"/>
  <c r="BN293" i="76"/>
  <c r="BN941" i="76"/>
  <c r="AG393" i="76"/>
  <c r="AG910" i="76"/>
  <c r="BN716" i="76"/>
  <c r="BN589" i="76"/>
  <c r="AG72" i="76"/>
  <c r="AG336" i="76"/>
  <c r="BN858" i="76"/>
  <c r="AG984" i="76"/>
  <c r="BN861" i="76"/>
  <c r="AG126" i="76"/>
  <c r="AG422" i="76"/>
  <c r="BN469" i="76"/>
  <c r="AG730" i="76"/>
  <c r="AG892" i="76"/>
  <c r="BN462" i="76"/>
  <c r="AG645" i="76"/>
  <c r="AG501" i="76"/>
  <c r="BN321" i="76"/>
  <c r="AG656" i="76"/>
  <c r="AG338" i="76"/>
  <c r="AG175" i="76"/>
  <c r="BN500" i="76"/>
  <c r="BN219" i="76"/>
  <c r="BN769" i="76"/>
  <c r="BN545" i="76"/>
  <c r="BN253" i="76"/>
  <c r="AG786" i="76"/>
  <c r="BN793" i="76"/>
  <c r="AG639" i="76"/>
  <c r="AG514" i="76"/>
  <c r="BN797" i="76"/>
  <c r="AG894" i="76"/>
  <c r="BN196" i="76"/>
  <c r="AG499" i="76"/>
  <c r="AG78" i="76"/>
  <c r="BN487" i="76"/>
  <c r="AG799" i="76"/>
  <c r="BN472" i="76"/>
  <c r="BN933" i="76"/>
  <c r="BN706" i="76"/>
  <c r="AG772" i="76"/>
  <c r="AG300" i="76"/>
  <c r="AG1033" i="76"/>
  <c r="BN707" i="76"/>
  <c r="BN395" i="76"/>
  <c r="BN946" i="76"/>
  <c r="BN408" i="76"/>
  <c r="BN434" i="76"/>
  <c r="AG173" i="76"/>
  <c r="BN717" i="76"/>
  <c r="BN215" i="76"/>
  <c r="AG281" i="76"/>
  <c r="BN159" i="76"/>
  <c r="BN671" i="76"/>
  <c r="BN241" i="76"/>
  <c r="BN902" i="76"/>
  <c r="AG598" i="76"/>
  <c r="AG182" i="76"/>
  <c r="BN588" i="76"/>
  <c r="AG993" i="76"/>
  <c r="AG977" i="76"/>
  <c r="BN110" i="76"/>
  <c r="BN847" i="76"/>
  <c r="BN711" i="76"/>
  <c r="BN636" i="76"/>
  <c r="BN382" i="76"/>
  <c r="BN1016" i="76"/>
  <c r="AG115" i="76"/>
  <c r="BN448" i="76"/>
  <c r="AG352" i="76"/>
  <c r="AG497" i="76"/>
  <c r="BN816" i="76"/>
  <c r="AG994" i="76"/>
  <c r="AG400" i="76"/>
  <c r="BN345" i="76"/>
  <c r="BN635" i="76"/>
  <c r="BN534" i="76"/>
  <c r="BN426" i="76"/>
  <c r="AG185" i="76"/>
  <c r="BN543" i="76"/>
  <c r="BN619" i="76"/>
  <c r="BN1007" i="76"/>
  <c r="BN131" i="76"/>
  <c r="BN992" i="76"/>
  <c r="BN336" i="76"/>
  <c r="BN928" i="76"/>
  <c r="AG79" i="76"/>
  <c r="AG1051" i="76"/>
  <c r="BN683" i="76"/>
  <c r="AG708" i="76"/>
  <c r="BN781" i="76"/>
  <c r="AG127" i="76"/>
  <c r="AG531" i="76"/>
  <c r="AG988" i="76"/>
  <c r="AG529" i="76"/>
  <c r="AG257" i="76"/>
  <c r="BN467" i="76"/>
  <c r="AG662" i="76"/>
  <c r="BN654" i="76"/>
  <c r="BN427" i="76"/>
  <c r="BN400" i="76"/>
  <c r="AG301" i="76"/>
  <c r="BN1003" i="76"/>
  <c r="BN732" i="76"/>
  <c r="BN515" i="76"/>
  <c r="BN389" i="76"/>
  <c r="AG695" i="76"/>
  <c r="BN143" i="76"/>
  <c r="BN149" i="76"/>
  <c r="BN838" i="76"/>
  <c r="AG339" i="76"/>
  <c r="BN638" i="76"/>
  <c r="BN475" i="76"/>
  <c r="BN280" i="76"/>
  <c r="BN993" i="76"/>
  <c r="BN347" i="76"/>
  <c r="BN892" i="76"/>
  <c r="AG477" i="76"/>
  <c r="BN964" i="76"/>
  <c r="AG536" i="76"/>
  <c r="AG744" i="76"/>
  <c r="BN323" i="76"/>
  <c r="AG505" i="76"/>
  <c r="BN221" i="76"/>
  <c r="AG612" i="76"/>
  <c r="AG613" i="76"/>
  <c r="BN207" i="76"/>
  <c r="BN862" i="76"/>
  <c r="BN1017" i="76"/>
  <c r="BN621" i="76"/>
  <c r="AG1031" i="76"/>
  <c r="AG832" i="76"/>
  <c r="BN461" i="76"/>
  <c r="AG804" i="76"/>
  <c r="AG837" i="76"/>
  <c r="BN191" i="76"/>
  <c r="BN310" i="76"/>
  <c r="BN235" i="76"/>
  <c r="BN904" i="76"/>
  <c r="AG215" i="76"/>
  <c r="BN212" i="76"/>
  <c r="AG978" i="76"/>
  <c r="AG195" i="76"/>
  <c r="AG563" i="76"/>
  <c r="AG270" i="76"/>
  <c r="BN722" i="76"/>
  <c r="AG238" i="76"/>
  <c r="BN896" i="76"/>
  <c r="AG611" i="76"/>
  <c r="AG363" i="76"/>
  <c r="BN266" i="76"/>
  <c r="AG258" i="76"/>
  <c r="BN910" i="76"/>
  <c r="BN335" i="76"/>
  <c r="AG381" i="76"/>
  <c r="AG1045" i="76"/>
  <c r="AG860" i="76"/>
  <c r="AG765" i="76"/>
  <c r="BN609" i="76"/>
  <c r="BN222" i="76"/>
  <c r="BN697" i="76"/>
  <c r="AG515" i="76"/>
  <c r="BN821" i="76"/>
  <c r="BN504" i="76"/>
  <c r="AG491" i="76"/>
  <c r="BN951" i="76"/>
  <c r="AG781" i="76"/>
  <c r="BN1060" i="76"/>
  <c r="AG857" i="76"/>
  <c r="BN374" i="76"/>
  <c r="BN399" i="76"/>
  <c r="BN994" i="76"/>
  <c r="BN1052" i="76"/>
  <c r="AG259" i="76"/>
  <c r="AG386" i="76"/>
  <c r="BN1043" i="76"/>
  <c r="BN749" i="76"/>
  <c r="AG374" i="76"/>
  <c r="BN1059" i="76"/>
  <c r="BN672" i="76"/>
  <c r="AG714" i="76"/>
  <c r="BN144" i="76"/>
  <c r="BN859" i="76"/>
  <c r="BN789" i="76"/>
  <c r="AG877" i="76"/>
  <c r="AG152" i="76"/>
  <c r="AG207" i="76"/>
  <c r="AG684" i="76"/>
  <c r="AG880" i="76"/>
  <c r="BN226" i="76"/>
  <c r="AG254" i="76"/>
  <c r="BN1039" i="76"/>
  <c r="AG311" i="76"/>
  <c r="BN409" i="76"/>
  <c r="AG939" i="76"/>
  <c r="AG1020" i="76"/>
  <c r="BN844" i="76"/>
  <c r="BN734" i="76"/>
  <c r="BN950" i="76"/>
  <c r="AG297" i="76"/>
  <c r="BN971" i="76"/>
  <c r="BN927" i="76"/>
  <c r="AG927" i="76"/>
  <c r="AG359" i="76"/>
  <c r="BN1068" i="76"/>
  <c r="AG1049" i="76"/>
  <c r="BN276" i="76"/>
  <c r="AG1064" i="76"/>
  <c r="BN767" i="76"/>
  <c r="AG738" i="76"/>
  <c r="BN851" i="76"/>
  <c r="BN193" i="76"/>
  <c r="AG835" i="76"/>
  <c r="AG959" i="76"/>
  <c r="BN346" i="76"/>
  <c r="BN728" i="76"/>
  <c r="AG97" i="76"/>
  <c r="AG375" i="76"/>
  <c r="BN633" i="76"/>
  <c r="AG661" i="76"/>
  <c r="BN606" i="76"/>
  <c r="BN329" i="76"/>
  <c r="AG1001" i="76"/>
  <c r="BN934" i="76"/>
  <c r="BN350" i="76"/>
  <c r="BN752" i="76"/>
  <c r="BN853" i="76"/>
  <c r="AG942" i="76"/>
  <c r="AG820" i="76"/>
  <c r="BN322" i="76"/>
  <c r="AG452" i="76"/>
  <c r="BN912" i="76"/>
  <c r="BN233" i="76"/>
  <c r="BN594" i="76"/>
  <c r="AG342" i="76"/>
  <c r="BN655" i="76"/>
  <c r="BN1013" i="76"/>
  <c r="BN414" i="76"/>
  <c r="BN1047" i="76"/>
  <c r="AG496" i="76"/>
  <c r="BN763" i="76"/>
  <c r="AG586" i="76"/>
  <c r="BN182" i="76"/>
  <c r="BN599" i="76"/>
  <c r="BN923" i="76"/>
  <c r="AG262" i="76"/>
  <c r="BN842" i="76"/>
  <c r="AG268" i="76"/>
  <c r="AG377" i="76"/>
  <c r="AG968" i="76"/>
  <c r="AG372" i="76"/>
  <c r="AG345" i="76"/>
  <c r="AG534" i="76"/>
  <c r="BN106" i="76"/>
  <c r="BN1045" i="76"/>
  <c r="AG746" i="76"/>
  <c r="AG961" i="76"/>
  <c r="BN863" i="76"/>
  <c r="BN404" i="76"/>
  <c r="AG426" i="76"/>
  <c r="BN139" i="76"/>
  <c r="AG295" i="76"/>
  <c r="AG889" i="76"/>
  <c r="AG287" i="76"/>
  <c r="AG329" i="76"/>
  <c r="BN519" i="76"/>
  <c r="BN287" i="76"/>
  <c r="BN917" i="76"/>
  <c r="AG821" i="76"/>
  <c r="BN647" i="76"/>
  <c r="AG999" i="76"/>
  <c r="BN605" i="76"/>
  <c r="BN761" i="76"/>
  <c r="BN830" i="76"/>
  <c r="AG222" i="76"/>
  <c r="BN759" i="76"/>
  <c r="AG473" i="76"/>
  <c r="AG480" i="76"/>
  <c r="BN122" i="76"/>
  <c r="AG633" i="76"/>
  <c r="AG623" i="76"/>
  <c r="BN735" i="76"/>
  <c r="BN949" i="76"/>
  <c r="AG431" i="76"/>
  <c r="AG627" i="76"/>
  <c r="BN503" i="76"/>
  <c r="BN231" i="76"/>
  <c r="AG737" i="76"/>
  <c r="BN478" i="76"/>
  <c r="BN1053" i="76"/>
  <c r="AG172" i="76"/>
  <c r="AG707" i="76"/>
  <c r="BN985" i="76"/>
  <c r="BN810" i="76"/>
  <c r="BN630" i="76"/>
  <c r="BN801" i="76"/>
  <c r="AG481" i="76"/>
  <c r="BN209" i="76"/>
  <c r="AG133" i="76"/>
  <c r="AG335" i="76"/>
  <c r="BN369" i="76"/>
  <c r="AG196" i="76"/>
  <c r="BN845" i="76"/>
  <c r="BN166" i="76"/>
  <c r="BN897" i="76"/>
  <c r="AG429" i="76"/>
  <c r="BN547" i="76"/>
  <c r="BN357" i="76"/>
  <c r="BN855" i="76"/>
  <c r="BN601" i="76"/>
  <c r="BN798" i="76"/>
  <c r="AG558" i="76"/>
  <c r="BN491" i="76"/>
  <c r="BN371" i="76"/>
  <c r="AG119" i="76"/>
  <c r="AG1038" i="76"/>
  <c r="BN525" i="76"/>
  <c r="BN441" i="76"/>
  <c r="BN815" i="76"/>
  <c r="BN497" i="76"/>
  <c r="BN257" i="76"/>
  <c r="AG677" i="76"/>
  <c r="AG245" i="76"/>
  <c r="AG164" i="76"/>
  <c r="AG318" i="76"/>
  <c r="BN568" i="76"/>
  <c r="BN539" i="76"/>
  <c r="BN612" i="76"/>
  <c r="AG142" i="76"/>
  <c r="AG469" i="76"/>
  <c r="AG162" i="76"/>
  <c r="AG995" i="76"/>
  <c r="BN111" i="76"/>
  <c r="BN137" i="76"/>
  <c r="AG900" i="76"/>
  <c r="AG780" i="76"/>
  <c r="BN747" i="76"/>
  <c r="AG980" i="76"/>
  <c r="BN492" i="76"/>
  <c r="AG928" i="76"/>
  <c r="BN1063" i="76"/>
  <c r="AG819" i="76"/>
  <c r="AG220" i="76"/>
  <c r="BN349" i="76"/>
  <c r="BN375" i="76"/>
  <c r="BN464" i="76"/>
  <c r="AG337" i="76"/>
  <c r="AG454" i="76"/>
  <c r="BN999" i="76"/>
  <c r="AG341" i="76"/>
  <c r="BN292" i="76"/>
  <c r="BN248" i="76"/>
  <c r="AG754" i="76"/>
  <c r="AG933" i="76"/>
  <c r="BN312" i="76"/>
  <c r="BN224" i="76"/>
  <c r="AG171" i="76"/>
  <c r="AG1058" i="76"/>
  <c r="BN163" i="76"/>
  <c r="AG545" i="76"/>
  <c r="AG924" i="76"/>
  <c r="BN682" i="76"/>
  <c r="AG70" i="76"/>
  <c r="AG777" i="76"/>
  <c r="AG724" i="76"/>
  <c r="BN230" i="76"/>
  <c r="BN74" i="76"/>
  <c r="BN690" i="76"/>
  <c r="BN969" i="76"/>
  <c r="AG971" i="76"/>
  <c r="BN1066" i="76"/>
  <c r="BN98" i="76"/>
  <c r="AG579" i="76"/>
  <c r="BN1008" i="76"/>
  <c r="BN378" i="76"/>
  <c r="AG273" i="76"/>
  <c r="AG71" i="76"/>
  <c r="AG414" i="76"/>
  <c r="BN921" i="76"/>
  <c r="AG250" i="76"/>
  <c r="BN663" i="76"/>
  <c r="BN562" i="76"/>
  <c r="BN147" i="76"/>
  <c r="AG567" i="76"/>
  <c r="AG981" i="76"/>
  <c r="AG591" i="76"/>
  <c r="AG199" i="76"/>
  <c r="AG866" i="76"/>
  <c r="BN383" i="76"/>
  <c r="AG1055" i="76"/>
  <c r="AG869" i="76"/>
  <c r="BN128" i="76"/>
  <c r="BN930" i="76"/>
  <c r="BN352" i="76"/>
  <c r="BN290" i="76"/>
  <c r="AG569" i="76"/>
  <c r="AG747" i="76"/>
  <c r="BN561" i="76"/>
  <c r="BN742" i="76"/>
  <c r="AG117" i="76"/>
  <c r="AG564" i="76"/>
  <c r="AG298" i="76"/>
  <c r="AG1018" i="76"/>
  <c r="AG1068" i="76"/>
  <c r="BN125" i="76"/>
  <c r="BN852" i="76"/>
  <c r="AG940" i="76"/>
  <c r="AG324" i="76"/>
  <c r="AG148" i="76"/>
  <c r="AG1059" i="76"/>
  <c r="AG147" i="76"/>
  <c r="AG288" i="76"/>
  <c r="AG853" i="76"/>
  <c r="AG138" i="76"/>
  <c r="AG982" i="76"/>
  <c r="BN363" i="76"/>
  <c r="AG289" i="76"/>
  <c r="AG628" i="76"/>
  <c r="BN265" i="76"/>
  <c r="BN318" i="76"/>
  <c r="BN738" i="76"/>
  <c r="AG618" i="76"/>
  <c r="BN686" i="76"/>
  <c r="AG86" i="76"/>
  <c r="AG874" i="76"/>
  <c r="BN284" i="76"/>
  <c r="AG705" i="76"/>
  <c r="BN804" i="76"/>
  <c r="BN428" i="76"/>
  <c r="AG931" i="76"/>
  <c r="AG474" i="76"/>
  <c r="BN97" i="76"/>
  <c r="AG646" i="76"/>
  <c r="AG848" i="76"/>
  <c r="AG664" i="76"/>
  <c r="AG241" i="76"/>
  <c r="AG547" i="76"/>
  <c r="AG186" i="76"/>
  <c r="BN974" i="76"/>
  <c r="AG882" i="76"/>
  <c r="AG508" i="76"/>
  <c r="AG692" i="76"/>
  <c r="BN169" i="76"/>
  <c r="AG449" i="76"/>
  <c r="BN581" i="76"/>
  <c r="BN542" i="76"/>
  <c r="AG1057" i="76"/>
  <c r="AG704" i="76"/>
  <c r="BN463" i="76"/>
  <c r="AG242" i="76"/>
  <c r="AG643" i="76"/>
  <c r="BN509" i="76"/>
  <c r="BN642" i="76"/>
  <c r="AG433" i="76"/>
  <c r="AG958" i="76"/>
  <c r="BN723" i="76"/>
  <c r="AG965" i="76"/>
  <c r="BN559" i="76"/>
  <c r="BN499" i="76"/>
  <c r="AG380" i="76"/>
  <c r="AG791" i="76"/>
  <c r="AG290" i="76"/>
  <c r="AG1034" i="76"/>
  <c r="AG577" i="76"/>
  <c r="AG946" i="76"/>
  <c r="AG687" i="76"/>
  <c r="AG165" i="76"/>
  <c r="BN354" i="76"/>
  <c r="AG1053" i="76"/>
  <c r="BN1032" i="76"/>
  <c r="AG599" i="76"/>
  <c r="BN765" i="76"/>
  <c r="BN114" i="76"/>
  <c r="BN622" i="76"/>
  <c r="AG519" i="76"/>
  <c r="BN508" i="76"/>
  <c r="AG922" i="76"/>
  <c r="AG683" i="76"/>
  <c r="BN115" i="76"/>
  <c r="AG694" i="76"/>
  <c r="BN714" i="76"/>
  <c r="BN405" i="76"/>
  <c r="BN705" i="76"/>
  <c r="BN249" i="76"/>
  <c r="BN107" i="76"/>
  <c r="AG373" i="76"/>
  <c r="BN327" i="76"/>
  <c r="AG413" i="76"/>
  <c r="BN895" i="76"/>
  <c r="AG356" i="76"/>
  <c r="BN754" i="76"/>
  <c r="BN105" i="76"/>
  <c r="AG719" i="76"/>
  <c r="BN756" i="76"/>
  <c r="AG106" i="76"/>
  <c r="AG720" i="76"/>
  <c r="BN614" i="76"/>
  <c r="BN304" i="76"/>
  <c r="AG1002" i="76"/>
  <c r="AG552" i="76"/>
  <c r="AG75" i="76"/>
  <c r="AG790" i="76"/>
  <c r="AG277" i="76"/>
  <c r="AG131" i="76"/>
  <c r="AG203" i="76"/>
  <c r="BN922" i="76"/>
  <c r="BN528" i="76"/>
  <c r="AG876" i="76"/>
  <c r="AG600" i="76"/>
  <c r="BN796" i="76"/>
  <c r="AG247" i="76"/>
  <c r="AG461" i="76"/>
  <c r="BN1062" i="76"/>
  <c r="AG950" i="76"/>
  <c r="AG608" i="76"/>
  <c r="BN998" i="76"/>
  <c r="BN473" i="76"/>
  <c r="BN313" i="76"/>
  <c r="BN162" i="76"/>
  <c r="AG455" i="76"/>
  <c r="BN607" i="76"/>
  <c r="AG845" i="76"/>
  <c r="BN386" i="76"/>
  <c r="BN616" i="76"/>
  <c r="AG489" i="76"/>
  <c r="BN650" i="76"/>
  <c r="BN140" i="76"/>
  <c r="BN118" i="76"/>
  <c r="BN673" i="76"/>
  <c r="AG879" i="76"/>
  <c r="AG962" i="76"/>
  <c r="AG73" i="76"/>
  <c r="AG327" i="76"/>
  <c r="AG828" i="76"/>
  <c r="AG122" i="76"/>
  <c r="AG762" i="76"/>
  <c r="AG991" i="76"/>
  <c r="BN377" i="76"/>
  <c r="AG193" i="76"/>
  <c r="AG283" i="76"/>
  <c r="AG366" i="76"/>
  <c r="BN1058" i="76"/>
  <c r="AG354" i="76"/>
  <c r="AG85" i="76"/>
  <c r="BN70" i="76"/>
  <c r="BN770" i="76"/>
  <c r="BN908" i="76"/>
  <c r="AG103" i="76"/>
  <c r="BN1051" i="76"/>
  <c r="BN1014" i="76"/>
  <c r="BN555" i="76"/>
  <c r="AG682" i="76"/>
  <c r="BN527" i="76"/>
  <c r="BN84" i="76"/>
  <c r="BN176" i="76"/>
  <c r="AG527" i="76"/>
  <c r="BN724" i="76"/>
  <c r="AG1005" i="76"/>
  <c r="BN1009" i="76"/>
  <c r="AG673" i="76"/>
  <c r="BN180" i="76"/>
  <c r="AG84" i="76"/>
  <c r="AG926" i="76"/>
  <c r="BN424" i="76"/>
  <c r="AG782" i="76"/>
  <c r="AG647" i="76"/>
  <c r="BN893" i="76"/>
  <c r="BN1056" i="76"/>
  <c r="AG522" i="76"/>
  <c r="AG542" i="76"/>
  <c r="AG905" i="76"/>
  <c r="BN814" i="76"/>
  <c r="AG1047" i="76"/>
  <c r="BN623" i="76"/>
  <c r="AG137" i="76"/>
  <c r="BN718" i="76"/>
  <c r="AG416" i="76"/>
  <c r="AG1012" i="76"/>
  <c r="BN915" i="76"/>
  <c r="BN512" i="76"/>
  <c r="AG328" i="76"/>
  <c r="AG330" i="76"/>
  <c r="BN394" i="76"/>
  <c r="AG490" i="76"/>
  <c r="BN773" i="76"/>
  <c r="AG398" i="76"/>
  <c r="BN83" i="76"/>
  <c r="AG110" i="76"/>
  <c r="BN632" i="76"/>
  <c r="BN486" i="76"/>
  <c r="BN975" i="76"/>
  <c r="AG150" i="76"/>
  <c r="AG745" i="76"/>
  <c r="AG909" i="76"/>
  <c r="BN417" i="76"/>
  <c r="AG626" i="76"/>
  <c r="BN1018" i="76"/>
  <c r="AG353" i="76"/>
  <c r="AG459" i="76"/>
  <c r="AG276" i="76"/>
  <c r="AG475" i="76"/>
  <c r="BN571" i="76"/>
  <c r="AG347" i="76"/>
  <c r="BN121" i="76"/>
  <c r="BN684" i="76"/>
  <c r="AG468" i="76"/>
  <c r="BN874" i="76"/>
  <c r="AG427" i="76"/>
  <c r="AG797" i="76"/>
  <c r="AG778" i="76"/>
  <c r="BN595" i="76"/>
  <c r="BN260" i="76"/>
  <c r="AG1023" i="76"/>
  <c r="BN628" i="76"/>
  <c r="AG945" i="76"/>
  <c r="BN939" i="76"/>
  <c r="AG282" i="76"/>
  <c r="BN113" i="76"/>
  <c r="AG209" i="76"/>
  <c r="AG369" i="76"/>
  <c r="AG225" i="76"/>
  <c r="BN727" i="76"/>
  <c r="BN195" i="76"/>
  <c r="AG953" i="76"/>
  <c r="BN1010" i="76"/>
  <c r="AG690" i="76"/>
  <c r="AG383" i="76"/>
  <c r="AG562" i="76"/>
  <c r="AG1027" i="76"/>
  <c r="AG396" i="76"/>
  <c r="BN959" i="76"/>
  <c r="BN337" i="76"/>
  <c r="AG800" i="76"/>
  <c r="AG176" i="76"/>
  <c r="AG500" i="76"/>
  <c r="BN968" i="76"/>
  <c r="BN314" i="76"/>
  <c r="BN835" i="76"/>
  <c r="BN719" i="76"/>
  <c r="AG883" i="76"/>
  <c r="AG596" i="76"/>
  <c r="BN367" i="76"/>
  <c r="AG670" i="76"/>
  <c r="BN291" i="76"/>
  <c r="AG593" i="76"/>
  <c r="AG748" i="76"/>
  <c r="BN1048" i="76"/>
  <c r="BN403" i="76"/>
  <c r="BN263" i="76"/>
  <c r="AG91" i="76"/>
  <c r="AG189" i="76"/>
  <c r="AG153" i="76"/>
  <c r="BN884" i="76"/>
  <c r="AG602" i="76"/>
  <c r="BN178" i="76"/>
  <c r="BN733" i="76"/>
  <c r="AG188" i="76"/>
  <c r="BN541" i="76"/>
  <c r="BN657" i="76"/>
  <c r="BN790" i="76"/>
  <c r="BN777" i="76"/>
  <c r="BN324" i="76"/>
  <c r="BN953" i="76"/>
  <c r="BN699" i="76"/>
  <c r="BN148" i="76"/>
  <c r="BN803" i="76"/>
  <c r="AG460" i="76"/>
  <c r="BN200" i="76"/>
  <c r="AG450" i="76"/>
  <c r="BN281" i="76"/>
  <c r="AG816" i="76"/>
  <c r="AG362" i="76"/>
  <c r="AG358" i="76"/>
  <c r="AG587" i="76"/>
  <c r="BN1046" i="76"/>
  <c r="AG629" i="76"/>
  <c r="AG794" i="76"/>
  <c r="AG595" i="76"/>
  <c r="BN824" i="76"/>
  <c r="BN903" i="76"/>
  <c r="BN117" i="76"/>
  <c r="AG925" i="76"/>
  <c r="AG607" i="76"/>
  <c r="AG146" i="76"/>
  <c r="BN507" i="76"/>
  <c r="BN133" i="76"/>
  <c r="AG711" i="76"/>
  <c r="BN81" i="76"/>
  <c r="BN1025" i="76"/>
  <c r="AG585" i="76"/>
  <c r="BN517" i="76"/>
  <c r="BN758" i="76"/>
  <c r="BN343" i="76"/>
  <c r="BN1055" i="76"/>
  <c r="AG553" i="76"/>
  <c r="BN795" i="76"/>
  <c r="BN820" i="76"/>
  <c r="BN617" i="76"/>
  <c r="AG987" i="76"/>
  <c r="BN370" i="76"/>
  <c r="AG759" i="76"/>
  <c r="BN825" i="76"/>
  <c r="BN186" i="76"/>
  <c r="AG368" i="76"/>
  <c r="AG114" i="76"/>
  <c r="BN785" i="76"/>
  <c r="BN786" i="76"/>
  <c r="BN778" i="76"/>
  <c r="BN523" i="76"/>
  <c r="BN583" i="76"/>
  <c r="AG116" i="76"/>
  <c r="AG597" i="76"/>
  <c r="AG929" i="76"/>
  <c r="BN1019" i="76"/>
  <c r="BN306" i="76"/>
  <c r="AG81" i="76"/>
  <c r="AG937" i="76"/>
  <c r="AG96" i="76"/>
  <c r="AG1022" i="76"/>
  <c r="BN836" i="76"/>
  <c r="BN167" i="76"/>
  <c r="AG818" i="76"/>
  <c r="BN1064" i="76"/>
  <c r="AG275" i="76"/>
  <c r="AG619" i="76"/>
  <c r="BN689" i="76"/>
  <c r="BN848" i="76"/>
  <c r="AG795" i="76"/>
  <c r="AG549" i="76"/>
  <c r="AG884" i="76"/>
  <c r="AG632" i="76"/>
  <c r="AG419" i="76"/>
  <c r="BN72" i="76"/>
  <c r="AG82" i="76"/>
  <c r="AG721" i="76"/>
  <c r="BN813" i="76"/>
  <c r="BN173" i="76"/>
  <c r="AG240" i="76"/>
  <c r="BN91" i="76"/>
  <c r="AG1009" i="76"/>
  <c r="BN585" i="76"/>
  <c r="BN172" i="76"/>
  <c r="BN388" i="76"/>
  <c r="BN438" i="76"/>
  <c r="BN584" i="76"/>
  <c r="AG767" i="76"/>
  <c r="BN538" i="76"/>
  <c r="BN362" i="76"/>
  <c r="AG179" i="76"/>
  <c r="BN625" i="76"/>
  <c r="AG696" i="76"/>
  <c r="AG266" i="76"/>
  <c r="BN413" i="76"/>
  <c r="BN564" i="76"/>
  <c r="AG651" i="76"/>
  <c r="AG806" i="76"/>
  <c r="BN670" i="76"/>
  <c r="BN587" i="76"/>
  <c r="AG325" i="76"/>
  <c r="AG302" i="76"/>
  <c r="AG582" i="76"/>
  <c r="AG660" i="76"/>
  <c r="AG685" i="76"/>
  <c r="BN520" i="76"/>
  <c r="BN552" i="76"/>
  <c r="AG635" i="76"/>
  <c r="BN422" i="76"/>
  <c r="BN305" i="76"/>
  <c r="BN762" i="76"/>
  <c r="BN857" i="76"/>
  <c r="AG1025" i="76"/>
  <c r="AG272" i="76"/>
  <c r="AG376" i="76"/>
  <c r="AG1063" i="76"/>
  <c r="AG113" i="76"/>
  <c r="AG205" i="76"/>
  <c r="BN498" i="76"/>
  <c r="AG750" i="76"/>
  <c r="AG871" i="76"/>
  <c r="AG504" i="76"/>
  <c r="AG524" i="76"/>
  <c r="AG392" i="76"/>
  <c r="BN966" i="76"/>
  <c r="AG291" i="76"/>
  <c r="BN175" i="76"/>
  <c r="AG517" i="76"/>
  <c r="AG486" i="76"/>
  <c r="AG688" i="76"/>
  <c r="AG1043" i="76"/>
  <c r="AG355" i="76"/>
  <c r="BN490" i="76"/>
  <c r="BN269" i="76"/>
  <c r="BN602" i="76"/>
  <c r="BN447" i="76"/>
  <c r="AG292" i="76"/>
  <c r="AG576" i="76"/>
  <c r="AG145" i="76"/>
  <c r="BN811" i="76"/>
  <c r="AG1062" i="76"/>
  <c r="BN823" i="76"/>
  <c r="BN901" i="76"/>
  <c r="BN1006" i="76"/>
  <c r="BN459" i="76"/>
  <c r="AG710" i="76"/>
  <c r="BN850" i="76"/>
  <c r="BN708" i="76"/>
  <c r="BN806" i="76"/>
  <c r="BN232" i="76"/>
  <c r="BN120" i="76"/>
  <c r="AG439" i="76"/>
  <c r="BN660" i="76"/>
  <c r="AG435" i="76"/>
  <c r="AG997" i="76"/>
  <c r="AG739" i="76"/>
  <c r="BN729" i="76"/>
  <c r="BN141" i="76"/>
  <c r="BN757" i="76"/>
  <c r="BN308" i="76"/>
  <c r="AG574" i="76"/>
  <c r="AG957" i="76"/>
  <c r="BN873" i="76"/>
  <c r="AG969" i="76"/>
  <c r="BN151" i="76"/>
  <c r="BN741" i="76"/>
  <c r="AG412" i="76"/>
  <c r="AG404" i="76"/>
  <c r="AG349" i="76"/>
  <c r="AG554" i="76"/>
  <c r="BN384" i="76"/>
  <c r="AG861" i="76"/>
  <c r="BN664" i="76"/>
  <c r="BN73" i="76"/>
  <c r="AG742" i="76"/>
  <c r="BN938" i="76"/>
  <c r="AG833" i="76"/>
  <c r="AG118" i="76"/>
  <c r="BN965" i="76"/>
  <c r="AG204" i="76"/>
  <c r="AG344" i="76"/>
  <c r="AG903" i="76"/>
  <c r="AG442" i="76"/>
  <c r="AG907" i="76"/>
  <c r="BN882" i="76"/>
  <c r="BN339" i="76"/>
  <c r="BN430" i="76"/>
  <c r="AG808" i="76"/>
  <c r="AG472" i="76"/>
  <c r="BN888" i="76"/>
  <c r="BN94" i="76"/>
  <c r="BN976" i="76"/>
  <c r="BN393" i="76"/>
  <c r="AG839" i="76"/>
  <c r="BN454" i="76"/>
  <c r="AG462" i="76"/>
  <c r="AG805" i="76"/>
  <c r="BN784" i="76"/>
  <c r="BN1002" i="76"/>
  <c r="BN775" i="76"/>
  <c r="AG194" i="76"/>
  <c r="BN476" i="76"/>
  <c r="BN973" i="76"/>
  <c r="AG847" i="76"/>
  <c r="AG967" i="76"/>
  <c r="AG653" i="76"/>
  <c r="BN356" i="76"/>
  <c r="AG947" i="76"/>
  <c r="BN659" i="76"/>
  <c r="AG735" i="76"/>
  <c r="BN787" i="76"/>
  <c r="AG214" i="76"/>
  <c r="AG560" i="76"/>
  <c r="BN78" i="76"/>
  <c r="AG1006" i="76"/>
  <c r="AG229" i="76"/>
  <c r="AG850" i="76"/>
  <c r="BN608" i="76"/>
  <c r="BN466" i="76"/>
  <c r="AG434" i="76"/>
  <c r="AG125" i="76"/>
  <c r="AG856" i="76"/>
  <c r="BN840" i="76"/>
  <c r="BN415" i="76"/>
  <c r="AG444" i="76"/>
  <c r="BN808" i="76"/>
  <c r="AG760" i="76"/>
  <c r="AG279" i="76"/>
  <c r="BN931" i="76"/>
  <c r="AG575" i="76"/>
  <c r="AG466" i="76"/>
  <c r="BN829" i="76"/>
  <c r="AG649" i="76"/>
  <c r="BN556" i="76"/>
  <c r="BN544" i="76"/>
  <c r="AG387" i="76"/>
  <c r="BN702" i="76"/>
  <c r="BN449" i="76"/>
  <c r="AG1041" i="76"/>
  <c r="BN316" i="76"/>
  <c r="AG157" i="76"/>
  <c r="AG970" i="76"/>
  <c r="BN513" i="76"/>
  <c r="AG216" i="76"/>
  <c r="BN721" i="76"/>
  <c r="AG361" i="76"/>
  <c r="BN866" i="76"/>
  <c r="BN831" i="76"/>
  <c r="AG128" i="76"/>
  <c r="AG213" i="76"/>
  <c r="BN261" i="76"/>
  <c r="BN837" i="76"/>
  <c r="BN243" i="76"/>
  <c r="BN258" i="76"/>
  <c r="AG161" i="76"/>
  <c r="AG766" i="76"/>
  <c r="BN540" i="76"/>
  <c r="AG718" i="76"/>
  <c r="AG95" i="76"/>
  <c r="BN494" i="76"/>
  <c r="AG966" i="76"/>
  <c r="AG836" i="76"/>
  <c r="BN101" i="76"/>
  <c r="BN237" i="76"/>
  <c r="BN211" i="76"/>
  <c r="BN696" i="76"/>
  <c r="BN839" i="76"/>
  <c r="AG263" i="76"/>
  <c r="AG190" i="76"/>
  <c r="AG1021" i="76"/>
  <c r="BN100" i="76"/>
  <c r="AG621" i="76"/>
  <c r="BN338" i="76"/>
  <c r="AG625" i="76"/>
  <c r="AG367" i="76"/>
  <c r="AG932" i="76"/>
  <c r="BN451" i="76"/>
  <c r="BN828" i="76"/>
  <c r="BN119" i="76"/>
  <c r="BN443" i="76"/>
  <c r="BN396" i="76"/>
  <c r="AG902" i="76"/>
  <c r="AG410" i="76"/>
  <c r="AG307" i="76"/>
  <c r="BN637" i="76"/>
  <c r="BN580" i="76"/>
  <c r="BN710" i="76"/>
  <c r="BN255" i="76"/>
  <c r="BN385" i="76"/>
  <c r="BN420" i="76"/>
  <c r="AG538" i="76"/>
  <c r="AG913" i="76"/>
  <c r="BN391" i="76"/>
  <c r="AG638" i="76"/>
  <c r="AG111" i="76"/>
  <c r="BN894" i="76"/>
  <c r="AG872" i="76"/>
  <c r="BN85" i="76"/>
  <c r="AG487" i="76"/>
  <c r="BN593" i="76"/>
  <c r="AG935" i="76"/>
  <c r="BN190" i="76"/>
  <c r="AG949" i="76"/>
  <c r="AG101" i="76"/>
  <c r="BN411" i="76"/>
  <c r="BN744" i="76"/>
  <c r="AG930" i="76"/>
  <c r="BN108" i="76"/>
  <c r="BN203" i="76"/>
  <c r="BN546" i="76"/>
  <c r="AG129" i="76"/>
  <c r="AG539" i="76"/>
  <c r="BN150" i="76"/>
  <c r="AG678" i="76"/>
  <c r="BN437" i="76"/>
  <c r="AG488" i="76"/>
  <c r="AG717" i="76"/>
  <c r="AG1061" i="76"/>
  <c r="BN865" i="76"/>
  <c r="BN691" i="76"/>
  <c r="AG728" i="76"/>
  <c r="BN171" i="76"/>
  <c r="BN183" i="76"/>
  <c r="BN579" i="76"/>
  <c r="BN325" i="76"/>
  <c r="BN502" i="76"/>
  <c r="BN164" i="76"/>
  <c r="BN511" i="76"/>
  <c r="BN406" i="76"/>
  <c r="AG663" i="76"/>
  <c r="AG89" i="76"/>
  <c r="BN380" i="76"/>
  <c r="AG197" i="76"/>
  <c r="BN681" i="76"/>
  <c r="AG1014" i="76"/>
  <c r="AG470" i="76"/>
  <c r="AG893" i="76"/>
  <c r="AG228" i="76"/>
  <c r="AG846" i="76"/>
  <c r="BN577" i="76"/>
  <c r="BN988" i="76"/>
  <c r="BN392" i="76"/>
  <c r="AG713" i="76"/>
  <c r="AG371" i="76"/>
  <c r="BN471" i="76"/>
  <c r="AG232" i="76"/>
  <c r="AG620" i="76"/>
  <c r="AG887" i="76"/>
  <c r="AG657" i="76"/>
  <c r="BN661" i="76"/>
  <c r="AG141" i="76"/>
  <c r="BN496" i="76"/>
  <c r="AG1000" i="76"/>
  <c r="AG107" i="76"/>
  <c r="AG453" i="76"/>
  <c r="BN483" i="76"/>
  <c r="AG916" i="76"/>
  <c r="BN201" i="76"/>
  <c r="AG378" i="76"/>
  <c r="BN197" i="76"/>
  <c r="BN736" i="76"/>
  <c r="AG76" i="76"/>
  <c r="AG284" i="76"/>
  <c r="BN376" i="76"/>
  <c r="BN701" i="76"/>
  <c r="BN725" i="76"/>
  <c r="AG588" i="76"/>
  <c r="BN439" i="76"/>
  <c r="BN112" i="76"/>
  <c r="BN626" i="76"/>
  <c r="BN522" i="76"/>
  <c r="AG873" i="76"/>
  <c r="AG343" i="76"/>
  <c r="BN983" i="76"/>
  <c r="AG923" i="76"/>
  <c r="AG518" i="76"/>
  <c r="BN330" i="76"/>
  <c r="AG333" i="76"/>
  <c r="BN554" i="76"/>
  <c r="AG983" i="76"/>
  <c r="AG590" i="76"/>
  <c r="AG788" i="76"/>
  <c r="BN1022" i="76"/>
  <c r="BN864" i="76"/>
  <c r="BN566" i="76"/>
  <c r="AG813" i="76"/>
  <c r="AG253" i="76"/>
  <c r="BN909" i="76"/>
  <c r="BN958" i="76"/>
  <c r="BN259" i="76"/>
  <c r="BN533" i="76"/>
  <c r="AG972" i="76"/>
  <c r="AG849" i="76"/>
  <c r="BN1021" i="76"/>
  <c r="BN591" i="76"/>
  <c r="AG264" i="76"/>
  <c r="BN905" i="76"/>
  <c r="AG154" i="76"/>
  <c r="BN961" i="76"/>
  <c r="AG573" i="76"/>
  <c r="BN419" i="76"/>
  <c r="BN644" i="76"/>
  <c r="AG432" i="76"/>
  <c r="BN379" i="76"/>
  <c r="BN435" i="76"/>
  <c r="AG326" i="76"/>
  <c r="BN799" i="76"/>
  <c r="BN92" i="76"/>
  <c r="AG802" i="76"/>
  <c r="BN817" i="76"/>
  <c r="BN881" i="76"/>
  <c r="AG399" i="76"/>
  <c r="BN445" i="76"/>
  <c r="X129" i="14"/>
  <c r="Q154" i="20"/>
  <c r="Q133" i="20"/>
  <c r="R176" i="30"/>
  <c r="P146" i="20"/>
  <c r="P141" i="20"/>
  <c r="AU83" i="18"/>
  <c r="AU152" i="18"/>
  <c r="AU11" i="18"/>
  <c r="M119" i="28"/>
  <c r="Q155" i="20"/>
  <c r="M128" i="32"/>
  <c r="R178" i="25"/>
  <c r="R176" i="17"/>
  <c r="R176" i="40"/>
  <c r="BF13" i="18"/>
  <c r="Q120" i="20"/>
  <c r="O11" i="82" s="1"/>
  <c r="K9" i="86"/>
  <c r="AC12" i="65"/>
  <c r="AC23" i="65" s="1"/>
  <c r="V9" i="18"/>
  <c r="X131" i="25"/>
  <c r="R176" i="38"/>
  <c r="X129" i="89"/>
  <c r="C72" i="19"/>
  <c r="I274" i="19" s="1"/>
  <c r="R176" i="89"/>
  <c r="R176" i="28"/>
  <c r="X129" i="40"/>
  <c r="R176" i="23"/>
  <c r="AU16" i="18"/>
  <c r="AU157" i="18"/>
  <c r="AU88" i="18"/>
  <c r="F61" i="83" s="1"/>
  <c r="X129" i="30"/>
  <c r="M119" i="40"/>
  <c r="R176" i="14"/>
  <c r="M273" i="19"/>
  <c r="AA273" i="19"/>
  <c r="BC8" i="76"/>
  <c r="U55" i="76" s="1"/>
  <c r="U61" i="76" s="1"/>
  <c r="O34" i="82" l="1"/>
  <c r="O35" i="82"/>
  <c r="N26" i="82"/>
  <c r="Q153" i="20"/>
  <c r="Q132" i="20"/>
  <c r="BN29" i="76"/>
  <c r="BN37" i="76"/>
  <c r="BN35" i="76"/>
  <c r="BN31" i="76"/>
  <c r="BN42" i="76" s="1"/>
  <c r="BN36" i="76"/>
  <c r="BN30" i="76"/>
  <c r="BN33" i="76"/>
  <c r="BN34" i="76"/>
  <c r="BN32" i="76"/>
  <c r="AU12" i="18"/>
  <c r="AU153" i="18"/>
  <c r="AU84" i="18"/>
  <c r="P161" i="20"/>
  <c r="AG36" i="76"/>
  <c r="AG33" i="76"/>
  <c r="AG31" i="76"/>
  <c r="AG42" i="76" s="1"/>
  <c r="AG29" i="76"/>
  <c r="AG32" i="76"/>
  <c r="AG34" i="76"/>
  <c r="AG30" i="76"/>
  <c r="AG35" i="76"/>
  <c r="AG37" i="76"/>
  <c r="X274" i="19"/>
  <c r="D22" i="19" s="1"/>
  <c r="Q274" i="19"/>
  <c r="D24" i="19" s="1"/>
  <c r="E34" i="2" s="1"/>
  <c r="Q21" i="20"/>
  <c r="Q19" i="20"/>
  <c r="R34" i="20" l="1"/>
  <c r="AG45" i="76"/>
  <c r="AG43" i="76"/>
  <c r="BN44" i="76"/>
  <c r="BN43" i="76"/>
  <c r="J274" i="19"/>
  <c r="Y274" i="19" s="1"/>
  <c r="AG46" i="76"/>
  <c r="BN45" i="76"/>
  <c r="E32" i="2"/>
  <c r="D27" i="19"/>
  <c r="D35" i="19" s="1"/>
  <c r="O33" i="82"/>
  <c r="Q152" i="20"/>
  <c r="AG44" i="76"/>
  <c r="BN46" i="76"/>
  <c r="Q22" i="20"/>
  <c r="Q115" i="20" s="1"/>
  <c r="Q18" i="20"/>
  <c r="Q7" i="20" s="1"/>
  <c r="Q117" i="20" s="1"/>
  <c r="Q112" i="20"/>
  <c r="N41" i="82"/>
  <c r="Q114" i="20"/>
  <c r="Q128" i="20"/>
  <c r="K274" i="19" l="1"/>
  <c r="L274" i="19" s="1"/>
  <c r="Q24" i="20"/>
  <c r="Q84" i="20"/>
  <c r="V10" i="18" s="1"/>
  <c r="Q95" i="20"/>
  <c r="Q83" i="20"/>
  <c r="U62" i="76"/>
  <c r="Q118" i="20"/>
  <c r="R31" i="20"/>
  <c r="E37" i="2"/>
  <c r="E45" i="2" s="1"/>
  <c r="E89" i="2" s="1"/>
  <c r="R32" i="20"/>
  <c r="R65" i="20" s="1"/>
  <c r="R68" i="20" s="1"/>
  <c r="R176" i="32"/>
  <c r="X129" i="32"/>
  <c r="O32" i="82"/>
  <c r="Q148" i="20"/>
  <c r="Q122" i="20" l="1"/>
  <c r="O14" i="82"/>
  <c r="V20" i="18"/>
  <c r="Z274" i="19"/>
  <c r="R28" i="20"/>
  <c r="Q93" i="20"/>
  <c r="Q92" i="20"/>
  <c r="O28" i="82"/>
  <c r="M274" i="19"/>
  <c r="AA274" i="19"/>
  <c r="AU10" i="18"/>
  <c r="AU151" i="18"/>
  <c r="AU82" i="18"/>
  <c r="T12" i="65"/>
  <c r="T23" i="65" s="1"/>
  <c r="Q108" i="20"/>
  <c r="K8" i="86"/>
  <c r="V7" i="18"/>
  <c r="U53" i="76"/>
  <c r="R64" i="20"/>
  <c r="R45" i="20"/>
  <c r="W16" i="18" l="1"/>
  <c r="R67" i="20"/>
  <c r="P19" i="82"/>
  <c r="R70" i="20"/>
  <c r="R134" i="20" s="1"/>
  <c r="R87" i="20"/>
  <c r="W11" i="18" s="1"/>
  <c r="R86" i="20"/>
  <c r="W8" i="18" s="1"/>
  <c r="U58" i="76"/>
  <c r="R135" i="20"/>
  <c r="Q126" i="20"/>
  <c r="O9" i="82"/>
  <c r="AU81" i="18"/>
  <c r="AU150" i="18"/>
  <c r="AU9" i="18"/>
  <c r="R90" i="20"/>
  <c r="W12" i="18" s="1"/>
  <c r="R89" i="20"/>
  <c r="Y130" i="14" l="1"/>
  <c r="S177" i="14"/>
  <c r="S177" i="40"/>
  <c r="R154" i="20"/>
  <c r="R133" i="20"/>
  <c r="AV152" i="18"/>
  <c r="AV11" i="18"/>
  <c r="AV83" i="18"/>
  <c r="BD8" i="76"/>
  <c r="V55" i="76" s="1"/>
  <c r="V61" i="76" s="1"/>
  <c r="R120" i="20"/>
  <c r="P11" i="82" s="1"/>
  <c r="L9" i="86"/>
  <c r="W9" i="18"/>
  <c r="AD12" i="65"/>
  <c r="AD23" i="65" s="1"/>
  <c r="BG13" i="18"/>
  <c r="R155" i="20"/>
  <c r="Y132" i="25"/>
  <c r="S179" i="25"/>
  <c r="Q146" i="20"/>
  <c r="Q141" i="20"/>
  <c r="Y130" i="40"/>
  <c r="Y130" i="30"/>
  <c r="S177" i="89"/>
  <c r="AV16" i="18"/>
  <c r="AV88" i="18"/>
  <c r="G61" i="83" s="1"/>
  <c r="AV157" i="18"/>
  <c r="Y130" i="89"/>
  <c r="BO909" i="76"/>
  <c r="AH602" i="76"/>
  <c r="BO414" i="76"/>
  <c r="AH665" i="76"/>
  <c r="AH732" i="76"/>
  <c r="AH472" i="76"/>
  <c r="AH1057" i="76"/>
  <c r="BO937" i="76"/>
  <c r="AH986" i="76"/>
  <c r="BO823" i="76"/>
  <c r="AH780" i="76"/>
  <c r="BO709" i="76"/>
  <c r="AH314" i="76"/>
  <c r="BO799" i="76"/>
  <c r="AH713" i="76"/>
  <c r="BO119" i="76"/>
  <c r="AH1006" i="76"/>
  <c r="BO120" i="76"/>
  <c r="BO584" i="76"/>
  <c r="BO117" i="76"/>
  <c r="AH282" i="76"/>
  <c r="BO527" i="76"/>
  <c r="BO895" i="76"/>
  <c r="AH874" i="76"/>
  <c r="AH924" i="76"/>
  <c r="AH481" i="76"/>
  <c r="BO233" i="76"/>
  <c r="AH857" i="76"/>
  <c r="BO515" i="76"/>
  <c r="AH772" i="76"/>
  <c r="BO712" i="76"/>
  <c r="AH423" i="76"/>
  <c r="AH1032" i="76"/>
  <c r="BO317" i="76"/>
  <c r="BO168" i="76"/>
  <c r="AH495" i="76"/>
  <c r="BO204" i="76"/>
  <c r="AH885" i="76"/>
  <c r="BO740" i="76"/>
  <c r="AH280" i="76"/>
  <c r="AH1010" i="76"/>
  <c r="BO80" i="76"/>
  <c r="BO157" i="76"/>
  <c r="BO468" i="76"/>
  <c r="AH187" i="76"/>
  <c r="AH969" i="76"/>
  <c r="BO562" i="76"/>
  <c r="AH898" i="76"/>
  <c r="AH425" i="76"/>
  <c r="BO435" i="76"/>
  <c r="BO394" i="76"/>
  <c r="BO207" i="76"/>
  <c r="AH897" i="76"/>
  <c r="BO201" i="76"/>
  <c r="BO718" i="76"/>
  <c r="BO543" i="76"/>
  <c r="AH807" i="76"/>
  <c r="BO582" i="76"/>
  <c r="AH972" i="76"/>
  <c r="BO511" i="76"/>
  <c r="BO237" i="76"/>
  <c r="BO775" i="76"/>
  <c r="BO447" i="76"/>
  <c r="AH884" i="76"/>
  <c r="BO803" i="76"/>
  <c r="BO571" i="76"/>
  <c r="BO377" i="76"/>
  <c r="BO622" i="76"/>
  <c r="AH1059" i="76"/>
  <c r="BO464" i="76"/>
  <c r="BO735" i="76"/>
  <c r="AH375" i="76"/>
  <c r="BO335" i="76"/>
  <c r="AH708" i="76"/>
  <c r="BO253" i="76"/>
  <c r="AH783" i="76"/>
  <c r="BO703" i="76"/>
  <c r="AH445" i="76"/>
  <c r="BO945" i="76"/>
  <c r="AH571" i="76"/>
  <c r="BO99" i="76"/>
  <c r="AH485" i="76"/>
  <c r="AH158" i="76"/>
  <c r="AH842" i="76"/>
  <c r="BO919" i="76"/>
  <c r="BO782" i="76"/>
  <c r="AH998" i="76"/>
  <c r="AH1046" i="76"/>
  <c r="AH348" i="76"/>
  <c r="AH873" i="76"/>
  <c r="BO625" i="76"/>
  <c r="BO756" i="76"/>
  <c r="AH959" i="76"/>
  <c r="BO87" i="76"/>
  <c r="BO560" i="76"/>
  <c r="BO267" i="76"/>
  <c r="AH200" i="76"/>
  <c r="BO701" i="76"/>
  <c r="BO806" i="76"/>
  <c r="AH122" i="76"/>
  <c r="AH999" i="76"/>
  <c r="BO933" i="76"/>
  <c r="BO791" i="76"/>
  <c r="BO936" i="76"/>
  <c r="BO849" i="76"/>
  <c r="AH476" i="76"/>
  <c r="BO78" i="76"/>
  <c r="AH427" i="76"/>
  <c r="AH273" i="76"/>
  <c r="BO222" i="76"/>
  <c r="BO359" i="76"/>
  <c r="BO856" i="76"/>
  <c r="BO455" i="76"/>
  <c r="BO410" i="76"/>
  <c r="BO419" i="76"/>
  <c r="AH893" i="76"/>
  <c r="BO338" i="76"/>
  <c r="BO659" i="76"/>
  <c r="BO459" i="76"/>
  <c r="BO91" i="76"/>
  <c r="BO1046" i="76"/>
  <c r="BO595" i="76"/>
  <c r="BO908" i="76"/>
  <c r="BO705" i="76"/>
  <c r="BO265" i="76"/>
  <c r="BO312" i="76"/>
  <c r="AH172" i="76"/>
  <c r="BO853" i="76"/>
  <c r="BO821" i="76"/>
  <c r="BO654" i="76"/>
  <c r="AH78" i="76"/>
  <c r="AH774" i="76"/>
  <c r="AH458" i="76"/>
  <c r="AH634" i="76"/>
  <c r="AH317" i="76"/>
  <c r="BO574" i="76"/>
  <c r="BO911" i="76"/>
  <c r="BO529" i="76"/>
  <c r="AH604" i="76"/>
  <c r="BO250" i="76"/>
  <c r="AH680" i="76"/>
  <c r="BO275" i="76"/>
  <c r="AH498" i="76"/>
  <c r="AH864" i="76"/>
  <c r="BO360" i="76"/>
  <c r="BO867" i="76"/>
  <c r="AH263" i="76"/>
  <c r="BO628" i="76"/>
  <c r="BO568" i="76"/>
  <c r="BO671" i="76"/>
  <c r="BO332" i="76"/>
  <c r="AH829" i="76"/>
  <c r="AH787" i="76"/>
  <c r="AH590" i="76"/>
  <c r="AH1022" i="76"/>
  <c r="AH982" i="76"/>
  <c r="BO266" i="76"/>
  <c r="AH239" i="76"/>
  <c r="AH90" i="76"/>
  <c r="BO652" i="76"/>
  <c r="AH124" i="76"/>
  <c r="AH836" i="76"/>
  <c r="AH883" i="76"/>
  <c r="BO612" i="76"/>
  <c r="BO902" i="76"/>
  <c r="AH870" i="76"/>
  <c r="AH1037" i="76"/>
  <c r="BO181" i="76"/>
  <c r="AH76" i="76"/>
  <c r="BO85" i="76"/>
  <c r="BO556" i="76"/>
  <c r="AH554" i="76"/>
  <c r="BO520" i="76"/>
  <c r="BO370" i="76"/>
  <c r="BO968" i="76"/>
  <c r="BO814" i="76"/>
  <c r="AH876" i="76"/>
  <c r="AH449" i="76"/>
  <c r="AH250" i="76"/>
  <c r="AH1038" i="76"/>
  <c r="AH345" i="76"/>
  <c r="AH684" i="76"/>
  <c r="BO221" i="76"/>
  <c r="AH993" i="76"/>
  <c r="AH669" i="76"/>
  <c r="AH605" i="76"/>
  <c r="BO875" i="76"/>
  <c r="AH379" i="76"/>
  <c r="AH331" i="76"/>
  <c r="AH676" i="76"/>
  <c r="BO1057" i="76"/>
  <c r="AH544" i="76"/>
  <c r="AH441" i="76"/>
  <c r="AH218" i="76"/>
  <c r="AH533" i="76"/>
  <c r="BO536" i="76"/>
  <c r="BO303" i="76"/>
  <c r="BO551" i="76"/>
  <c r="AH120" i="76"/>
  <c r="BO837" i="76"/>
  <c r="BO835" i="76"/>
  <c r="BO561" i="76"/>
  <c r="AH301" i="76"/>
  <c r="BO268" i="76"/>
  <c r="AH482" i="76"/>
  <c r="BO549" i="76"/>
  <c r="BO958" i="76"/>
  <c r="BO422" i="76"/>
  <c r="AH106" i="76"/>
  <c r="AH452" i="76"/>
  <c r="BO954" i="76"/>
  <c r="AH305" i="76"/>
  <c r="AH952" i="76"/>
  <c r="BO779" i="76"/>
  <c r="AH575" i="76"/>
  <c r="BO337" i="76"/>
  <c r="BO248" i="76"/>
  <c r="BO816" i="76"/>
  <c r="BO158" i="76"/>
  <c r="BO662" i="76"/>
  <c r="BO156" i="76"/>
  <c r="BO591" i="76"/>
  <c r="AH89" i="76"/>
  <c r="BO839" i="76"/>
  <c r="BO973" i="76"/>
  <c r="AH145" i="76"/>
  <c r="BO72" i="76"/>
  <c r="AH450" i="76"/>
  <c r="BO684" i="76"/>
  <c r="AH366" i="76"/>
  <c r="AH922" i="76"/>
  <c r="AH853" i="76"/>
  <c r="BO999" i="76"/>
  <c r="AH627" i="76"/>
  <c r="BO606" i="76"/>
  <c r="AH860" i="76"/>
  <c r="AH531" i="76"/>
  <c r="AH639" i="76"/>
  <c r="AH824" i="76"/>
  <c r="BO418" i="76"/>
  <c r="AH752" i="76"/>
  <c r="BO788" i="76"/>
  <c r="AH1036" i="76"/>
  <c r="BO521" i="76"/>
  <c r="AH843" i="76"/>
  <c r="AH1065" i="76"/>
  <c r="BO296" i="76"/>
  <c r="AH831" i="76"/>
  <c r="BO252" i="76"/>
  <c r="BO251" i="76"/>
  <c r="BO116" i="76"/>
  <c r="AH384" i="76"/>
  <c r="AH225" i="76"/>
  <c r="AH724" i="76"/>
  <c r="BO1013" i="76"/>
  <c r="BO149" i="76"/>
  <c r="BO924" i="76"/>
  <c r="AH299" i="76"/>
  <c r="BO217" i="76"/>
  <c r="BO989" i="76"/>
  <c r="AH286" i="76"/>
  <c r="BO739" i="76"/>
  <c r="BO262" i="76"/>
  <c r="BO530" i="76"/>
  <c r="BO376" i="76"/>
  <c r="AH1049" i="76"/>
  <c r="BO656" i="76"/>
  <c r="AH125" i="76"/>
  <c r="BO241" i="76"/>
  <c r="AH521" i="76"/>
  <c r="AH577" i="76"/>
  <c r="AH451" i="76"/>
  <c r="AH538" i="76"/>
  <c r="AH760" i="76"/>
  <c r="BO670" i="76"/>
  <c r="AH782" i="76"/>
  <c r="AH579" i="76"/>
  <c r="AH714" i="76"/>
  <c r="BO242" i="76"/>
  <c r="BO470" i="76"/>
  <c r="AH350" i="76"/>
  <c r="AH955" i="76"/>
  <c r="BO651" i="76"/>
  <c r="AH392" i="76"/>
  <c r="AH262" i="76"/>
  <c r="AH868" i="76"/>
  <c r="BO301" i="76"/>
  <c r="BO195" i="76"/>
  <c r="AH79" i="76"/>
  <c r="BO274" i="76"/>
  <c r="BO983" i="76"/>
  <c r="AH413" i="76"/>
  <c r="BO934" i="76"/>
  <c r="BO537" i="76"/>
  <c r="BO679" i="76"/>
  <c r="AH284" i="76"/>
  <c r="AH487" i="76"/>
  <c r="BO544" i="76"/>
  <c r="BO384" i="76"/>
  <c r="AH759" i="76"/>
  <c r="BO314" i="76"/>
  <c r="AH600" i="76"/>
  <c r="BO663" i="76"/>
  <c r="AH534" i="76"/>
  <c r="AH612" i="76"/>
  <c r="BO913" i="76"/>
  <c r="AH211" i="76"/>
  <c r="BO442" i="76"/>
  <c r="AH364" i="76"/>
  <c r="AH105" i="76"/>
  <c r="AH855" i="76"/>
  <c r="AH740" i="76"/>
  <c r="AH216" i="76"/>
  <c r="AH352" i="76"/>
  <c r="BO514" i="76"/>
  <c r="BO122" i="76"/>
  <c r="AH224" i="76"/>
  <c r="AH258" i="76"/>
  <c r="BO952" i="76"/>
  <c r="BO865" i="76"/>
  <c r="BO175" i="76"/>
  <c r="AH188" i="76"/>
  <c r="BO673" i="76"/>
  <c r="BO747" i="76"/>
  <c r="BO767" i="76"/>
  <c r="AH501" i="76"/>
  <c r="AH415" i="76"/>
  <c r="BO199" i="76"/>
  <c r="BO516" i="76"/>
  <c r="BO771" i="76"/>
  <c r="AH285" i="76"/>
  <c r="BO322" i="76"/>
  <c r="BO702" i="76"/>
  <c r="BO402" i="76"/>
  <c r="BO987" i="76"/>
  <c r="BO439" i="76"/>
  <c r="BO316" i="76"/>
  <c r="BO785" i="76"/>
  <c r="AH1012" i="76"/>
  <c r="AH591" i="76"/>
  <c r="BO409" i="76"/>
  <c r="AH910" i="76"/>
  <c r="BO860" i="76"/>
  <c r="BO887" i="76"/>
  <c r="AH1042" i="76"/>
  <c r="AH888" i="76"/>
  <c r="BO955" i="76"/>
  <c r="AH932" i="76"/>
  <c r="BO838" i="76"/>
  <c r="BO103" i="76"/>
  <c r="BO186" i="76"/>
  <c r="AH206" i="76"/>
  <c r="AH788" i="76"/>
  <c r="BO166" i="76"/>
  <c r="AH725" i="76"/>
  <c r="BO330" i="76"/>
  <c r="AH128" i="76"/>
  <c r="AH871" i="76"/>
  <c r="BO83" i="76"/>
  <c r="BO499" i="76"/>
  <c r="BO287" i="76"/>
  <c r="BO904" i="76"/>
  <c r="BO89" i="76"/>
  <c r="AH557" i="76"/>
  <c r="AH589" i="76"/>
  <c r="AH954" i="76"/>
  <c r="AH606" i="76"/>
  <c r="BO811" i="76"/>
  <c r="AH785" i="76"/>
  <c r="AH974" i="76"/>
  <c r="AH945" i="76"/>
  <c r="AH497" i="76"/>
  <c r="BO694" i="76"/>
  <c r="BO675" i="76"/>
  <c r="AH921" i="76"/>
  <c r="AH228" i="76"/>
  <c r="AH735" i="76"/>
  <c r="AH1009" i="76"/>
  <c r="BO260" i="76"/>
  <c r="BO249" i="76"/>
  <c r="BO224" i="76"/>
  <c r="AH942" i="76"/>
  <c r="BO427" i="76"/>
  <c r="AH312" i="76"/>
  <c r="BO794" i="76"/>
  <c r="BO906" i="76"/>
  <c r="AH315" i="76"/>
  <c r="AH428" i="76"/>
  <c r="AH862" i="76"/>
  <c r="BO223" i="76"/>
  <c r="BO196" i="76"/>
  <c r="BO124" i="76"/>
  <c r="BO309" i="76"/>
  <c r="AH365" i="76"/>
  <c r="BO667" i="76"/>
  <c r="BO807" i="76"/>
  <c r="BO140" i="76"/>
  <c r="AH394" i="76"/>
  <c r="AH894" i="76"/>
  <c r="BO627" i="76"/>
  <c r="AH766" i="76"/>
  <c r="AH818" i="76"/>
  <c r="AH909" i="76"/>
  <c r="AH298" i="76"/>
  <c r="BO830" i="76"/>
  <c r="BO1007" i="76"/>
  <c r="AH512" i="76"/>
  <c r="BO216" i="76"/>
  <c r="BO135" i="76"/>
  <c r="AH561" i="76"/>
  <c r="BO279" i="76"/>
  <c r="BO446" i="76"/>
  <c r="AH96" i="76"/>
  <c r="AH904" i="76"/>
  <c r="BO505" i="76"/>
  <c r="AH113" i="76"/>
  <c r="BO1047" i="76"/>
  <c r="AH395" i="76"/>
  <c r="AH483" i="76"/>
  <c r="AH490" i="76"/>
  <c r="BO690" i="76"/>
  <c r="BO942" i="76"/>
  <c r="BO1027" i="76"/>
  <c r="AH849" i="76"/>
  <c r="BO211" i="76"/>
  <c r="AH292" i="76"/>
  <c r="AH460" i="76"/>
  <c r="AH519" i="76"/>
  <c r="BO949" i="76"/>
  <c r="AH381" i="76"/>
  <c r="AH243" i="76"/>
  <c r="AH526" i="76"/>
  <c r="AH975" i="76"/>
  <c r="AH546" i="76"/>
  <c r="AH729" i="76"/>
  <c r="BO926" i="76"/>
  <c r="BO69" i="76"/>
  <c r="AH279" i="76"/>
  <c r="AH196" i="76"/>
  <c r="BO578" i="76"/>
  <c r="BO988" i="76"/>
  <c r="BO147" i="76"/>
  <c r="BO86" i="76"/>
  <c r="AH1013" i="76"/>
  <c r="AH150" i="76"/>
  <c r="BO1015" i="76"/>
  <c r="AH233" i="76"/>
  <c r="BO808" i="76"/>
  <c r="AH806" i="76"/>
  <c r="BO424" i="76"/>
  <c r="AH241" i="76"/>
  <c r="BO599" i="76"/>
  <c r="BO672" i="76"/>
  <c r="BO557" i="76"/>
  <c r="AH267" i="76"/>
  <c r="AH430" i="76"/>
  <c r="BO136" i="76"/>
  <c r="BO109" i="76"/>
  <c r="BO444" i="76"/>
  <c r="AH396" i="76"/>
  <c r="BO426" i="76"/>
  <c r="BO1023" i="76"/>
  <c r="BO1029" i="76"/>
  <c r="AH916" i="76"/>
  <c r="AH1034" i="76"/>
  <c r="BO1044" i="76"/>
  <c r="BO1033" i="76"/>
  <c r="BO485" i="76"/>
  <c r="AH276" i="76"/>
  <c r="AH558" i="76"/>
  <c r="BO962" i="76"/>
  <c r="BO925" i="76"/>
  <c r="AH253" i="76"/>
  <c r="BO183" i="76"/>
  <c r="AH95" i="76"/>
  <c r="AH1043" i="76"/>
  <c r="AH619" i="76"/>
  <c r="BO1018" i="76"/>
  <c r="AH327" i="76"/>
  <c r="BO125" i="76"/>
  <c r="AH473" i="76"/>
  <c r="AH835" i="76"/>
  <c r="BO336" i="76"/>
  <c r="AH890" i="76"/>
  <c r="BO184" i="76"/>
  <c r="BO96" i="76"/>
  <c r="BO604" i="76"/>
  <c r="AH584" i="76"/>
  <c r="BO677" i="76"/>
  <c r="AH421" i="76"/>
  <c r="BO940" i="76"/>
  <c r="BO452" i="76"/>
  <c r="BO825" i="76"/>
  <c r="BO810" i="76"/>
  <c r="BO174" i="76"/>
  <c r="BO631" i="76"/>
  <c r="AH560" i="76"/>
  <c r="BO327" i="76"/>
  <c r="BO610" i="76"/>
  <c r="BO477" i="76"/>
  <c r="BO784" i="76"/>
  <c r="BO128" i="76"/>
  <c r="AH964" i="76"/>
  <c r="BO698" i="76"/>
  <c r="AH141" i="76"/>
  <c r="BO710" i="76"/>
  <c r="BO840" i="76"/>
  <c r="BO757" i="76"/>
  <c r="BO413" i="76"/>
  <c r="BO1025" i="76"/>
  <c r="BO1010" i="76"/>
  <c r="BO180" i="76"/>
  <c r="BO614" i="76"/>
  <c r="AH646" i="76"/>
  <c r="BO969" i="76"/>
  <c r="BO897" i="76"/>
  <c r="BO763" i="76"/>
  <c r="BO749" i="76"/>
  <c r="BO475" i="76"/>
  <c r="AH173" i="76"/>
  <c r="AH401" i="76"/>
  <c r="AH973" i="76"/>
  <c r="AH370" i="76"/>
  <c r="BO563" i="76"/>
  <c r="AH160" i="76"/>
  <c r="AH167" i="76"/>
  <c r="BO328" i="76"/>
  <c r="AH733" i="76"/>
  <c r="BO493" i="76"/>
  <c r="BO1038" i="76"/>
  <c r="AH411" i="76"/>
  <c r="BO129" i="76"/>
  <c r="BO753" i="76"/>
  <c r="BO640" i="76"/>
  <c r="BO653" i="76"/>
  <c r="AH214" i="76"/>
  <c r="AH186" i="76"/>
  <c r="AH336" i="76"/>
  <c r="BO990" i="76"/>
  <c r="BO719" i="76"/>
  <c r="AH254" i="76"/>
  <c r="AH1030" i="76"/>
  <c r="BO939" i="76"/>
  <c r="BO191" i="76"/>
  <c r="AH246" i="76"/>
  <c r="BO205" i="76"/>
  <c r="AH573" i="76"/>
  <c r="AH470" i="76"/>
  <c r="AH621" i="76"/>
  <c r="AH947" i="76"/>
  <c r="BO1006" i="76"/>
  <c r="AH240" i="76"/>
  <c r="AH587" i="76"/>
  <c r="AH778" i="76"/>
  <c r="BO770" i="76"/>
  <c r="BO405" i="76"/>
  <c r="AH628" i="76"/>
  <c r="AH933" i="76"/>
  <c r="BO1053" i="76"/>
  <c r="BO752" i="76"/>
  <c r="AH515" i="76"/>
  <c r="AH662" i="76"/>
  <c r="AH499" i="76"/>
  <c r="AH812" i="76"/>
  <c r="BO1028" i="76"/>
  <c r="AH773" i="76"/>
  <c r="AH1015" i="76"/>
  <c r="AH523" i="76"/>
  <c r="BO680" i="76"/>
  <c r="AH210" i="76"/>
  <c r="BO970" i="76"/>
  <c r="BO883" i="76"/>
  <c r="BO570" i="76"/>
  <c r="BO996" i="76"/>
  <c r="AH532" i="76"/>
  <c r="AH878" i="76"/>
  <c r="BO634" i="76"/>
  <c r="AH269" i="76"/>
  <c r="BO379" i="76"/>
  <c r="AH355" i="76"/>
  <c r="BO313" i="76"/>
  <c r="BO106" i="76"/>
  <c r="BO298" i="76"/>
  <c r="AH274" i="76"/>
  <c r="BO972" i="76"/>
  <c r="AH323" i="76"/>
  <c r="BO905" i="76"/>
  <c r="AH344" i="76"/>
  <c r="BO893" i="76"/>
  <c r="BO845" i="76"/>
  <c r="AH185" i="76"/>
  <c r="AH1029" i="76"/>
  <c r="AH88" i="76"/>
  <c r="BO695" i="76"/>
  <c r="AH865" i="76"/>
  <c r="BO449" i="76"/>
  <c r="BO403" i="76"/>
  <c r="AH324" i="76"/>
  <c r="BO789" i="76"/>
  <c r="BO818" i="76"/>
  <c r="BO506" i="76"/>
  <c r="AH471" i="76"/>
  <c r="BO355" i="76"/>
  <c r="AH802" i="76"/>
  <c r="BO471" i="76"/>
  <c r="BO396" i="76"/>
  <c r="AH850" i="76"/>
  <c r="BO660" i="76"/>
  <c r="BO538" i="76"/>
  <c r="AH607" i="76"/>
  <c r="AH209" i="76"/>
  <c r="BO176" i="76"/>
  <c r="BO754" i="76"/>
  <c r="AH705" i="76"/>
  <c r="AH70" i="76"/>
  <c r="AH133" i="76"/>
  <c r="AH342" i="76"/>
  <c r="BO399" i="76"/>
  <c r="AH695" i="76"/>
  <c r="AH1033" i="76"/>
  <c r="BO674" i="76"/>
  <c r="BO846" i="76"/>
  <c r="AH217" i="76"/>
  <c r="BO289" i="76"/>
  <c r="AH178" i="76"/>
  <c r="AH237" i="76"/>
  <c r="BO669" i="76"/>
  <c r="BO646" i="76"/>
  <c r="AH149" i="76"/>
  <c r="BO132" i="76"/>
  <c r="AH565" i="76"/>
  <c r="AH614" i="76"/>
  <c r="BO228" i="76"/>
  <c r="AH174" i="76"/>
  <c r="BO600" i="76"/>
  <c r="AH488" i="76"/>
  <c r="BO324" i="76"/>
  <c r="AH819" i="76"/>
  <c r="AH988" i="76"/>
  <c r="BO1042" i="76"/>
  <c r="AH751" i="76"/>
  <c r="AH659" i="76"/>
  <c r="BO445" i="76"/>
  <c r="AH696" i="76"/>
  <c r="AH958" i="76"/>
  <c r="AH386" i="76"/>
  <c r="BO746" i="76"/>
  <c r="BO88" i="76"/>
  <c r="AH80" i="76"/>
  <c r="BO95" i="76"/>
  <c r="BO580" i="76"/>
  <c r="BO699" i="76"/>
  <c r="AH545" i="76"/>
  <c r="BO732" i="76"/>
  <c r="BO138" i="76"/>
  <c r="BO407" i="76"/>
  <c r="AH644" i="76"/>
  <c r="BO626" i="76"/>
  <c r="BO744" i="76"/>
  <c r="AH970" i="76"/>
  <c r="AH118" i="76"/>
  <c r="AH272" i="76"/>
  <c r="BO778" i="76"/>
  <c r="BO291" i="76"/>
  <c r="BO512" i="76"/>
  <c r="BO998" i="76"/>
  <c r="BO509" i="76"/>
  <c r="AH866" i="76"/>
  <c r="AH164" i="76"/>
  <c r="AH426" i="76"/>
  <c r="AH1020" i="76"/>
  <c r="AH832" i="76"/>
  <c r="AH115" i="76"/>
  <c r="BO589" i="76"/>
  <c r="BO425" i="76"/>
  <c r="BO1000" i="76"/>
  <c r="BO247" i="76"/>
  <c r="BO297" i="76"/>
  <c r="AH357" i="76"/>
  <c r="AH834" i="76"/>
  <c r="BO76" i="76"/>
  <c r="AH951" i="76"/>
  <c r="BO372" i="76"/>
  <c r="BO254" i="76"/>
  <c r="AH1016" i="76"/>
  <c r="BO299" i="76"/>
  <c r="AH382" i="76"/>
  <c r="AH838" i="76"/>
  <c r="AH69" i="76"/>
  <c r="AH307" i="76"/>
  <c r="AH595" i="76"/>
  <c r="AH931" i="76"/>
  <c r="AH978" i="76"/>
  <c r="BO743" i="76"/>
  <c r="BO225" i="76"/>
  <c r="BO412" i="76"/>
  <c r="BO490" i="76"/>
  <c r="BO162" i="76"/>
  <c r="AH889" i="76"/>
  <c r="AH278" i="76"/>
  <c r="AH134" i="76"/>
  <c r="AH1060" i="76"/>
  <c r="BO333" i="76"/>
  <c r="AH1021" i="76"/>
  <c r="BO733" i="76"/>
  <c r="AH117" i="76"/>
  <c r="BO638" i="76"/>
  <c r="AH734" i="76"/>
  <c r="BO481" i="76"/>
  <c r="AH948" i="76"/>
  <c r="AH432" i="76"/>
  <c r="AH846" i="76"/>
  <c r="AH367" i="76"/>
  <c r="BO787" i="76"/>
  <c r="BO850" i="76"/>
  <c r="BO585" i="76"/>
  <c r="AH794" i="76"/>
  <c r="AH1023" i="76"/>
  <c r="BO1051" i="76"/>
  <c r="BO107" i="76"/>
  <c r="BO738" i="76"/>
  <c r="AH171" i="76"/>
  <c r="BO985" i="76"/>
  <c r="AH820" i="76"/>
  <c r="AH491" i="76"/>
  <c r="BO400" i="76"/>
  <c r="AH799" i="76"/>
  <c r="BO285" i="76"/>
  <c r="AH822" i="76"/>
  <c r="BO320" i="76"/>
  <c r="AH936" i="76"/>
  <c r="AH703" i="76"/>
  <c r="BO234" i="76"/>
  <c r="AH712" i="76"/>
  <c r="BO344" i="76"/>
  <c r="BO943" i="76"/>
  <c r="AH408" i="76"/>
  <c r="AH963" i="76"/>
  <c r="BO776" i="76"/>
  <c r="AH252" i="76"/>
  <c r="AH265" i="76"/>
  <c r="AH309" i="76"/>
  <c r="AH997" i="76"/>
  <c r="AH256" i="76"/>
  <c r="AH592" i="76"/>
  <c r="AH944" i="76"/>
  <c r="BO796" i="76"/>
  <c r="BO890" i="76"/>
  <c r="BO539" i="76"/>
  <c r="BO134" i="76"/>
  <c r="BO836" i="76"/>
  <c r="AH691" i="76"/>
  <c r="BO590" i="76"/>
  <c r="AH453" i="76"/>
  <c r="BO873" i="76"/>
  <c r="AH1027" i="76"/>
  <c r="AH547" i="76"/>
  <c r="BO923" i="76"/>
  <c r="BO159" i="76"/>
  <c r="BO1030" i="76"/>
  <c r="AH123" i="76"/>
  <c r="AH580" i="76"/>
  <c r="AH223" i="76"/>
  <c r="AH946" i="76"/>
  <c r="AH270" i="76"/>
  <c r="AH1003" i="76"/>
  <c r="AH654" i="76"/>
  <c r="BO340" i="76"/>
  <c r="AH755" i="76"/>
  <c r="BO281" i="76"/>
  <c r="BO713" i="76"/>
  <c r="AH666" i="76"/>
  <c r="AH567" i="76"/>
  <c r="BO367" i="76"/>
  <c r="AH242" i="76"/>
  <c r="BO863" i="76"/>
  <c r="BO382" i="76"/>
  <c r="AH550" i="76"/>
  <c r="AH792" i="76"/>
  <c r="AH675" i="76"/>
  <c r="BO745" i="76"/>
  <c r="AH1055" i="76"/>
  <c r="AH881" i="76"/>
  <c r="BO451" i="76"/>
  <c r="BO859" i="76"/>
  <c r="AH798" i="76"/>
  <c r="AH205" i="76"/>
  <c r="AH700" i="76"/>
  <c r="AH189" i="76"/>
  <c r="BO290" i="76"/>
  <c r="AH927" i="76"/>
  <c r="AH422" i="76"/>
  <c r="BO373" i="76"/>
  <c r="AH219" i="76"/>
  <c r="BO208" i="76"/>
  <c r="AH417" i="76"/>
  <c r="AH630" i="76"/>
  <c r="AH373" i="76"/>
  <c r="BO329" i="76"/>
  <c r="AH112" i="76"/>
  <c r="BO929" i="76"/>
  <c r="BO243" i="76"/>
  <c r="BO815" i="76"/>
  <c r="BO889" i="76"/>
  <c r="AH671" i="76"/>
  <c r="BO232" i="76"/>
  <c r="AH455" i="76"/>
  <c r="BO912" i="76"/>
  <c r="AH912" i="76"/>
  <c r="BO1011" i="76"/>
  <c r="BO644" i="76"/>
  <c r="AH625" i="76"/>
  <c r="AH710" i="76"/>
  <c r="AH629" i="76"/>
  <c r="AH103" i="76"/>
  <c r="BO318" i="76"/>
  <c r="AH707" i="76"/>
  <c r="BO504" i="76"/>
  <c r="BO487" i="76"/>
  <c r="BO685" i="76"/>
  <c r="BO240" i="76"/>
  <c r="AH456" i="76"/>
  <c r="BO641" i="76"/>
  <c r="BO755" i="76"/>
  <c r="AH640" i="76"/>
  <c r="AH121" i="76"/>
  <c r="BO206" i="76"/>
  <c r="AH739" i="76"/>
  <c r="AH647" i="76"/>
  <c r="BO145" i="76"/>
  <c r="AH100" i="76"/>
  <c r="BO960" i="76"/>
  <c r="AH135" i="76"/>
  <c r="BO391" i="76"/>
  <c r="BO953" i="76"/>
  <c r="BO964" i="76"/>
  <c r="BO302" i="76"/>
  <c r="AH154" i="76"/>
  <c r="BO118" i="76"/>
  <c r="AH507" i="76"/>
  <c r="BO319" i="76"/>
  <c r="BO513" i="76"/>
  <c r="AH376" i="76"/>
  <c r="AH593" i="76"/>
  <c r="BO473" i="76"/>
  <c r="BO383" i="76"/>
  <c r="BO139" i="76"/>
  <c r="BO844" i="76"/>
  <c r="BO448" i="76"/>
  <c r="BO550" i="76"/>
  <c r="AH920" i="76"/>
  <c r="AH144" i="76"/>
  <c r="AH641" i="76"/>
  <c r="AH581" i="76"/>
  <c r="BO474" i="76"/>
  <c r="AH771" i="76"/>
  <c r="AH139" i="76"/>
  <c r="BO202" i="76"/>
  <c r="AH913" i="76"/>
  <c r="BO1058" i="76"/>
  <c r="AH613" i="76"/>
  <c r="BO843" i="76"/>
  <c r="AH736" i="76"/>
  <c r="AH325" i="76"/>
  <c r="AH220" i="76"/>
  <c r="BO341" i="76"/>
  <c r="BO809" i="76"/>
  <c r="BO81" i="76"/>
  <c r="AH1064" i="76"/>
  <c r="AH551" i="76"/>
  <c r="AH93" i="76"/>
  <c r="BO533" i="76"/>
  <c r="BO164" i="76"/>
  <c r="BO1002" i="76"/>
  <c r="BO602" i="76"/>
  <c r="AH549" i="76"/>
  <c r="AH475" i="76"/>
  <c r="AH991" i="76"/>
  <c r="AH148" i="76"/>
  <c r="BO375" i="76"/>
  <c r="AH97" i="76"/>
  <c r="BO545" i="76"/>
  <c r="BO991" i="76"/>
  <c r="AH906" i="76"/>
  <c r="AH568" i="76"/>
  <c r="BO358" i="76"/>
  <c r="AH407" i="76"/>
  <c r="BO918" i="76"/>
  <c r="BO891" i="76"/>
  <c r="AH99" i="76"/>
  <c r="BO115" i="76"/>
  <c r="BO858" i="76"/>
  <c r="AH882" i="76"/>
  <c r="BO831" i="76"/>
  <c r="BO1019" i="76"/>
  <c r="AH845" i="76"/>
  <c r="AH469" i="76"/>
  <c r="BO927" i="76"/>
  <c r="AH400" i="76"/>
  <c r="AH989" i="76"/>
  <c r="BO465" i="76"/>
  <c r="AH917" i="76"/>
  <c r="BO1037" i="76"/>
  <c r="AH570" i="76"/>
  <c r="BO726" i="76"/>
  <c r="BO593" i="76"/>
  <c r="AH363" i="76"/>
  <c r="BO210" i="76"/>
  <c r="BO737" i="76"/>
  <c r="AH599" i="76"/>
  <c r="AH1001" i="76"/>
  <c r="AH693" i="76"/>
  <c r="BO141" i="76"/>
  <c r="AH257" i="76"/>
  <c r="AH985" i="76"/>
  <c r="BO566" i="76"/>
  <c r="BO540" i="76"/>
  <c r="BO1064" i="76"/>
  <c r="BO417" i="76"/>
  <c r="AH165" i="76"/>
  <c r="AH222" i="76"/>
  <c r="AH238" i="76"/>
  <c r="BO165" i="76"/>
  <c r="AH827" i="76"/>
  <c r="BO429" i="76"/>
  <c r="AH583" i="76"/>
  <c r="AH674" i="76"/>
  <c r="BO596" i="76"/>
  <c r="AH204" i="76"/>
  <c r="AH295" i="76"/>
  <c r="BO676" i="76"/>
  <c r="BO700" i="76"/>
  <c r="BO170" i="76"/>
  <c r="AH935" i="76"/>
  <c r="BO292" i="76"/>
  <c r="AH529" i="76"/>
  <c r="BO920" i="76"/>
  <c r="BO90" i="76"/>
  <c r="AH903" i="76"/>
  <c r="AH287" i="76"/>
  <c r="BO366" i="76"/>
  <c r="AH749" i="76"/>
  <c r="BO817" i="76"/>
  <c r="AH902" i="76"/>
  <c r="BO608" i="76"/>
  <c r="BO362" i="76"/>
  <c r="AH369" i="76"/>
  <c r="AH527" i="76"/>
  <c r="BO804" i="76"/>
  <c r="AH335" i="76"/>
  <c r="BO655" i="76"/>
  <c r="BO707" i="76"/>
  <c r="AH844" i="76"/>
  <c r="AH810" i="76"/>
  <c r="BO880" i="76"/>
  <c r="AH184" i="76"/>
  <c r="AH622" i="76"/>
  <c r="AH652" i="76"/>
  <c r="AH793" i="76"/>
  <c r="AH808" i="76"/>
  <c r="AH353" i="76"/>
  <c r="BO601" i="76"/>
  <c r="BO472" i="76"/>
  <c r="BO748" i="76"/>
  <c r="BO361" i="76"/>
  <c r="BO325" i="76"/>
  <c r="AH553" i="76"/>
  <c r="BO609" i="76"/>
  <c r="AH681" i="76"/>
  <c r="AH87" i="76"/>
  <c r="AH446" i="76"/>
  <c r="AH673" i="76"/>
  <c r="AH984" i="76"/>
  <c r="AH854" i="76"/>
  <c r="BO956" i="76"/>
  <c r="BO554" i="76"/>
  <c r="BO437" i="76"/>
  <c r="BO261" i="76"/>
  <c r="BO430" i="76"/>
  <c r="AH937" i="76"/>
  <c r="BO884" i="76"/>
  <c r="AH489" i="76"/>
  <c r="AH747" i="76"/>
  <c r="BO111" i="76"/>
  <c r="BO1068" i="76"/>
  <c r="BO212" i="76"/>
  <c r="AH730" i="76"/>
  <c r="AH1039" i="76"/>
  <c r="BO450" i="76"/>
  <c r="AH479" i="76"/>
  <c r="AH867" i="76"/>
  <c r="AH181" i="76"/>
  <c r="BO885" i="76"/>
  <c r="BO331" i="76"/>
  <c r="BO834" i="76"/>
  <c r="BO577" i="76"/>
  <c r="BO486" i="76"/>
  <c r="BO144" i="76"/>
  <c r="BO1036" i="76"/>
  <c r="BO342" i="76"/>
  <c r="BO729" i="76"/>
  <c r="AH869" i="76"/>
  <c r="BO576" i="76"/>
  <c r="BO438" i="76"/>
  <c r="BO605" i="76"/>
  <c r="BO272" i="76"/>
  <c r="BO961" i="76"/>
  <c r="BO100" i="76"/>
  <c r="BO173" i="76"/>
  <c r="AH358" i="76"/>
  <c r="BO70" i="76"/>
  <c r="AH289" i="76"/>
  <c r="BO478" i="76"/>
  <c r="BO697" i="76"/>
  <c r="AH511" i="76"/>
  <c r="AH235" i="76"/>
  <c r="BO214" i="76"/>
  <c r="AH389" i="76"/>
  <c r="BO194" i="76"/>
  <c r="BO877" i="76"/>
  <c r="AH406" i="76"/>
  <c r="BO137" i="76"/>
  <c r="BO484" i="76"/>
  <c r="BO847" i="76"/>
  <c r="BO546" i="76"/>
  <c r="BO1041" i="76"/>
  <c r="BO691" i="76"/>
  <c r="BO976" i="76"/>
  <c r="BO541" i="76"/>
  <c r="AH687" i="76"/>
  <c r="AH980" i="76"/>
  <c r="BO722" i="76"/>
  <c r="AH180" i="76"/>
  <c r="BO750" i="76"/>
  <c r="BO1031" i="76"/>
  <c r="BO75" i="76"/>
  <c r="AH540" i="76"/>
  <c r="BO380" i="76"/>
  <c r="AH290" i="76"/>
  <c r="BO720" i="76"/>
  <c r="AH197" i="76"/>
  <c r="AH247" i="76"/>
  <c r="BO704" i="76"/>
  <c r="AH447" i="76"/>
  <c r="AH194" i="76"/>
  <c r="AH347" i="76"/>
  <c r="AH147" i="76"/>
  <c r="BO633" i="76"/>
  <c r="AH786" i="76"/>
  <c r="AH155" i="76"/>
  <c r="AH726" i="76"/>
  <c r="BO947" i="76"/>
  <c r="BO1065" i="76"/>
  <c r="BO398" i="76"/>
  <c r="BO623" i="76"/>
  <c r="AH1011" i="76"/>
  <c r="AH405" i="76"/>
  <c r="BO824" i="76"/>
  <c r="AH339" i="76"/>
  <c r="BO423" i="76"/>
  <c r="AH856" i="76"/>
  <c r="BO801" i="76"/>
  <c r="AH610" i="76"/>
  <c r="BO420" i="76"/>
  <c r="AH957" i="76"/>
  <c r="AH562" i="76"/>
  <c r="AH552" i="76"/>
  <c r="BO357" i="76"/>
  <c r="BO347" i="76"/>
  <c r="BO288" i="76"/>
  <c r="AH636" i="76"/>
  <c r="BO264" i="76"/>
  <c r="BO900" i="76"/>
  <c r="BO177" i="76"/>
  <c r="AH1040" i="76"/>
  <c r="BO587" i="76"/>
  <c r="AH341" i="76"/>
  <c r="AH249" i="76"/>
  <c r="BO489" i="76"/>
  <c r="AH190" i="76"/>
  <c r="AH354" i="76"/>
  <c r="BO408" i="76"/>
  <c r="AH530" i="76"/>
  <c r="BO258" i="76"/>
  <c r="AH704" i="76"/>
  <c r="AH391" i="76"/>
  <c r="AH825" i="76"/>
  <c r="AH378" i="76"/>
  <c r="AH111" i="76"/>
  <c r="AH466" i="76"/>
  <c r="AH412" i="76"/>
  <c r="AH582" i="76"/>
  <c r="BO820" i="76"/>
  <c r="AH800" i="76"/>
  <c r="AH522" i="76"/>
  <c r="AH203" i="76"/>
  <c r="AH508" i="76"/>
  <c r="AH71" i="76"/>
  <c r="BO491" i="76"/>
  <c r="AH377" i="76"/>
  <c r="AH877" i="76"/>
  <c r="AH744" i="76"/>
  <c r="AH598" i="76"/>
  <c r="AH814" i="76"/>
  <c r="BO876" i="76"/>
  <c r="BO629" i="76"/>
  <c r="AH244" i="76"/>
  <c r="AH768" i="76"/>
  <c r="AH346" i="76"/>
  <c r="BO668" i="76"/>
  <c r="AH901" i="76"/>
  <c r="BO967" i="76"/>
  <c r="AH603" i="76"/>
  <c r="AH648" i="76"/>
  <c r="BO819" i="76"/>
  <c r="BO715" i="76"/>
  <c r="AH163" i="76"/>
  <c r="AH340" i="76"/>
  <c r="BO494" i="76"/>
  <c r="AH683" i="76"/>
  <c r="BO110" i="76"/>
  <c r="AH817" i="76"/>
  <c r="BO768" i="76"/>
  <c r="AH711" i="76"/>
  <c r="BO1045" i="76"/>
  <c r="AH313" i="76"/>
  <c r="AH321" i="76"/>
  <c r="AH362" i="76"/>
  <c r="AH297" i="76"/>
  <c r="BO387" i="76"/>
  <c r="AH130" i="76"/>
  <c r="BO92" i="76"/>
  <c r="AH371" i="76"/>
  <c r="BO443" i="76"/>
  <c r="AH229" i="76"/>
  <c r="AH439" i="76"/>
  <c r="AH767" i="76"/>
  <c r="AH925" i="76"/>
  <c r="BO113" i="76"/>
  <c r="BO84" i="76"/>
  <c r="AH356" i="76"/>
  <c r="BO284" i="76"/>
  <c r="BO682" i="76"/>
  <c r="BO209" i="76"/>
  <c r="BO594" i="76"/>
  <c r="BO374" i="76"/>
  <c r="BO389" i="76"/>
  <c r="AH300" i="76"/>
  <c r="BO1054" i="76"/>
  <c r="BO526" i="76"/>
  <c r="BO573" i="76"/>
  <c r="AH667" i="76"/>
  <c r="BO572" i="76"/>
  <c r="BO868" i="76"/>
  <c r="BO645" i="76"/>
  <c r="AH271" i="76"/>
  <c r="BO1026" i="76"/>
  <c r="BO397" i="76"/>
  <c r="BO615" i="76"/>
  <c r="AH789" i="76"/>
  <c r="BO822" i="76"/>
  <c r="AH548" i="76"/>
  <c r="AH231" i="76"/>
  <c r="AH861" i="76"/>
  <c r="AH1005" i="76"/>
  <c r="BO503" i="76"/>
  <c r="BO500" i="76"/>
  <c r="BO984" i="76"/>
  <c r="AH779" i="76"/>
  <c r="AH908" i="76"/>
  <c r="AH805" i="76"/>
  <c r="BO874" i="76"/>
  <c r="AH900" i="76"/>
  <c r="BO1003" i="76"/>
  <c r="BO805" i="76"/>
  <c r="BO827" i="76"/>
  <c r="BO390" i="76"/>
  <c r="BO963" i="76"/>
  <c r="BO828" i="76"/>
  <c r="BO903" i="76"/>
  <c r="BO97" i="76"/>
  <c r="BO728" i="76"/>
  <c r="AH492" i="76"/>
  <c r="BO277" i="76"/>
  <c r="AH308" i="76"/>
  <c r="AH716" i="76"/>
  <c r="AH1000" i="76"/>
  <c r="BO385" i="76"/>
  <c r="AH444" i="76"/>
  <c r="AH574" i="76"/>
  <c r="AH651" i="76"/>
  <c r="BO517" i="76"/>
  <c r="AH383" i="76"/>
  <c r="AH926" i="76"/>
  <c r="AH1002" i="76"/>
  <c r="AH664" i="76"/>
  <c r="BO1066" i="76"/>
  <c r="BO547" i="76"/>
  <c r="BO182" i="76"/>
  <c r="BO1059" i="76"/>
  <c r="BO993" i="76"/>
  <c r="BO215" i="76"/>
  <c r="AH723" i="76"/>
  <c r="BO453" i="76"/>
  <c r="BO311" i="76"/>
  <c r="AH722" i="76"/>
  <c r="BO977" i="76"/>
  <c r="AH915" i="76"/>
  <c r="AH334" i="76"/>
  <c r="AH303" i="76"/>
  <c r="BO154" i="76"/>
  <c r="AH443" i="76"/>
  <c r="AH509" i="76"/>
  <c r="AH94" i="76"/>
  <c r="BO82" i="76"/>
  <c r="AH360" i="76"/>
  <c r="BO155" i="76"/>
  <c r="AH887" i="76"/>
  <c r="BO1055" i="76"/>
  <c r="BO1008" i="76"/>
  <c r="AH804" i="76"/>
  <c r="AH1004" i="76"/>
  <c r="AH234" i="76"/>
  <c r="BO764" i="76"/>
  <c r="BO966" i="76"/>
  <c r="AH277" i="76"/>
  <c r="BO346" i="76"/>
  <c r="AH104" i="76"/>
  <c r="AH899" i="76"/>
  <c r="BO460" i="76"/>
  <c r="AH143" i="76"/>
  <c r="BO502" i="76"/>
  <c r="AH368" i="76"/>
  <c r="BO363" i="76"/>
  <c r="BO862" i="76"/>
  <c r="BO270" i="76"/>
  <c r="AH918" i="76"/>
  <c r="AH463" i="76"/>
  <c r="BO802" i="76"/>
  <c r="AH333" i="76"/>
  <c r="AH678" i="76"/>
  <c r="AH213" i="76"/>
  <c r="BO339" i="76"/>
  <c r="AH504" i="76"/>
  <c r="AH81" i="76"/>
  <c r="AH153" i="76"/>
  <c r="AH110" i="76"/>
  <c r="BO616" i="76"/>
  <c r="AH380" i="76"/>
  <c r="AH569" i="76"/>
  <c r="AH995" i="76"/>
  <c r="BO917" i="76"/>
  <c r="AH359" i="76"/>
  <c r="AH215" i="76"/>
  <c r="BO635" i="76"/>
  <c r="BO469" i="76"/>
  <c r="BO457" i="76"/>
  <c r="AH763" i="76"/>
  <c r="AH403" i="76"/>
  <c r="BO246" i="76"/>
  <c r="BO603" i="76"/>
  <c r="AH796" i="76"/>
  <c r="BO334" i="76"/>
  <c r="AH535" i="76"/>
  <c r="BO93" i="76"/>
  <c r="BO480" i="76"/>
  <c r="BO898" i="76"/>
  <c r="AH510" i="76"/>
  <c r="BO283" i="76"/>
  <c r="BO479" i="76"/>
  <c r="BO579" i="76"/>
  <c r="BO583" i="76"/>
  <c r="BO1032" i="76"/>
  <c r="BO951" i="76"/>
  <c r="AH859" i="76"/>
  <c r="AH322" i="76"/>
  <c r="BO1024" i="76"/>
  <c r="BO997" i="76"/>
  <c r="BO664" i="76"/>
  <c r="BO1009" i="76"/>
  <c r="BO630" i="76"/>
  <c r="BO219" i="76"/>
  <c r="BO71" i="76"/>
  <c r="BO416" i="76"/>
  <c r="AH758" i="76"/>
  <c r="AH638" i="76"/>
  <c r="BO795" i="76"/>
  <c r="AH86" i="76"/>
  <c r="AH563" i="76"/>
  <c r="AH615" i="76"/>
  <c r="BO624" i="76"/>
  <c r="BO524" i="76"/>
  <c r="BO881" i="76"/>
  <c r="AH620" i="76"/>
  <c r="AH410" i="76"/>
  <c r="BO466" i="76"/>
  <c r="AH179" i="76"/>
  <c r="BO507" i="76"/>
  <c r="BO724" i="76"/>
  <c r="AH719" i="76"/>
  <c r="BO428" i="76"/>
  <c r="BO369" i="76"/>
  <c r="BO1052" i="76"/>
  <c r="BO395" i="76"/>
  <c r="AH437" i="76"/>
  <c r="BO1020" i="76"/>
  <c r="BO286" i="76"/>
  <c r="AH642" i="76"/>
  <c r="BO172" i="76"/>
  <c r="BO482" i="76"/>
  <c r="AH891" i="76"/>
  <c r="BO975" i="76"/>
  <c r="AH332" i="76"/>
  <c r="BO681" i="76"/>
  <c r="BO1043" i="76"/>
  <c r="AH1054" i="76"/>
  <c r="BO343" i="76"/>
  <c r="AH75" i="76"/>
  <c r="BO855" i="76"/>
  <c r="BO892" i="76"/>
  <c r="AH494" i="76"/>
  <c r="AH424" i="76"/>
  <c r="AH98" i="76"/>
  <c r="AH1007" i="76"/>
  <c r="BO833" i="76"/>
  <c r="AH809" i="76"/>
  <c r="AH264" i="76"/>
  <c r="AH828" i="76"/>
  <c r="AH294" i="76"/>
  <c r="AH775" i="76"/>
  <c r="AH966" i="76"/>
  <c r="BO74" i="76"/>
  <c r="BO783" i="76"/>
  <c r="AH83" i="76"/>
  <c r="AH302" i="76"/>
  <c r="BO995" i="76"/>
  <c r="AH764" i="76"/>
  <c r="BO552" i="76"/>
  <c r="AH1047" i="76"/>
  <c r="BO581" i="76"/>
  <c r="BO525" i="76"/>
  <c r="AH880" i="76"/>
  <c r="AH977" i="76"/>
  <c r="BO981" i="76"/>
  <c r="BO198" i="76"/>
  <c r="BO957" i="76"/>
  <c r="AH221" i="76"/>
  <c r="BO130" i="76"/>
  <c r="BO598" i="76"/>
  <c r="BO932" i="76"/>
  <c r="BO658" i="76"/>
  <c r="AH790" i="76"/>
  <c r="AH566" i="76"/>
  <c r="AH116" i="76"/>
  <c r="BO189" i="76"/>
  <c r="AH953" i="76"/>
  <c r="AH826" i="76"/>
  <c r="BO1022" i="76"/>
  <c r="AH161" i="76"/>
  <c r="BO94" i="76"/>
  <c r="BO167" i="76"/>
  <c r="AH745" i="76"/>
  <c r="AH564" i="76"/>
  <c r="BO761" i="76"/>
  <c r="BO619" i="76"/>
  <c r="AH811" i="76"/>
  <c r="BO548" i="76"/>
  <c r="BO532" i="76"/>
  <c r="AH537" i="76"/>
  <c r="BO294" i="76"/>
  <c r="AH399" i="76"/>
  <c r="AH1056" i="76"/>
  <c r="BO686" i="76"/>
  <c r="BO888" i="76"/>
  <c r="AH976" i="76"/>
  <c r="AH101" i="76"/>
  <c r="BO938" i="76"/>
  <c r="BO857" i="76"/>
  <c r="AH950" i="76"/>
  <c r="AH677" i="76"/>
  <c r="BO621" i="76"/>
  <c r="BO102" i="76"/>
  <c r="BO244" i="76"/>
  <c r="BO1035" i="76"/>
  <c r="AH1028" i="76"/>
  <c r="BO665" i="76"/>
  <c r="AH748" i="76"/>
  <c r="AH702" i="76"/>
  <c r="AH727" i="76"/>
  <c r="AH474" i="76"/>
  <c r="AH911" i="76"/>
  <c r="AH1048" i="76"/>
  <c r="AH762" i="76"/>
  <c r="BO711" i="76"/>
  <c r="AH943" i="76"/>
  <c r="BO150" i="76"/>
  <c r="BO882" i="76"/>
  <c r="BO306" i="76"/>
  <c r="BO386" i="76"/>
  <c r="AH162" i="76"/>
  <c r="BO345" i="76"/>
  <c r="BO1005" i="76"/>
  <c r="AH815" i="76"/>
  <c r="AH698" i="76"/>
  <c r="BO592" i="76"/>
  <c r="BO143" i="76"/>
  <c r="AH528" i="76"/>
  <c r="AH679" i="76"/>
  <c r="BO708" i="76"/>
  <c r="BO852" i="76"/>
  <c r="AH875" i="76"/>
  <c r="AH316" i="76"/>
  <c r="AH717" i="76"/>
  <c r="AH459" i="76"/>
  <c r="AH195" i="76"/>
  <c r="AH572" i="76"/>
  <c r="BO190" i="76"/>
  <c r="AH461" i="76"/>
  <c r="BO769" i="76"/>
  <c r="BO914" i="76"/>
  <c r="AH588" i="76"/>
  <c r="AH949" i="76"/>
  <c r="AH1041" i="76"/>
  <c r="AH742" i="76"/>
  <c r="BO762" i="76"/>
  <c r="AH114" i="76"/>
  <c r="AH596" i="76"/>
  <c r="AH416" i="76"/>
  <c r="BO1062" i="76"/>
  <c r="BO463" i="76"/>
  <c r="AH981" i="76"/>
  <c r="BO257" i="76"/>
  <c r="AH961" i="76"/>
  <c r="AH311" i="76"/>
  <c r="BO1017" i="76"/>
  <c r="BO636" i="76"/>
  <c r="AH393" i="76"/>
  <c r="BO1049" i="76"/>
  <c r="AH448" i="76"/>
  <c r="AH803" i="76"/>
  <c r="AH617" i="76"/>
  <c r="AH1017" i="76"/>
  <c r="AH658" i="76"/>
  <c r="BO1034" i="76"/>
  <c r="AH1019" i="76"/>
  <c r="BO869" i="76"/>
  <c r="BO432" i="76"/>
  <c r="BO812" i="76"/>
  <c r="BO800" i="76"/>
  <c r="BO79" i="76"/>
  <c r="BO351" i="76"/>
  <c r="BO108" i="76"/>
  <c r="BO1014" i="76"/>
  <c r="AH477" i="76"/>
  <c r="AH409" i="76"/>
  <c r="AH686" i="76"/>
  <c r="BO388" i="76"/>
  <c r="BO798" i="76"/>
  <c r="BO160" i="76"/>
  <c r="BO282" i="76"/>
  <c r="AH795" i="76"/>
  <c r="AH746" i="76"/>
  <c r="BO649" i="76"/>
  <c r="AH77" i="76"/>
  <c r="BO496" i="76"/>
  <c r="BO255" i="76"/>
  <c r="BO415" i="76"/>
  <c r="BO308" i="76"/>
  <c r="BO564" i="76"/>
  <c r="AH585" i="76"/>
  <c r="AH690" i="76"/>
  <c r="AH84" i="76"/>
  <c r="BO304" i="76"/>
  <c r="AH848" i="76"/>
  <c r="AH971" i="76"/>
  <c r="AH429" i="76"/>
  <c r="AH586" i="76"/>
  <c r="AH374" i="76"/>
  <c r="BO280" i="76"/>
  <c r="BO717" i="76"/>
  <c r="BO620" i="76"/>
  <c r="AH938" i="76"/>
  <c r="AH741" i="76"/>
  <c r="AH541" i="76"/>
  <c r="BO766" i="76"/>
  <c r="AH236" i="76"/>
  <c r="AH672" i="76"/>
  <c r="AH1050" i="76"/>
  <c r="BO421" i="76"/>
  <c r="AH840" i="76"/>
  <c r="BO401" i="76"/>
  <c r="AH109" i="76"/>
  <c r="BO1050" i="76"/>
  <c r="BO980" i="76"/>
  <c r="AH208" i="76"/>
  <c r="AH847" i="76"/>
  <c r="AH330" i="76"/>
  <c r="BO441" i="76"/>
  <c r="BO946" i="76"/>
  <c r="AH757" i="76"/>
  <c r="BO353" i="76"/>
  <c r="AH697" i="76"/>
  <c r="BO931" i="76"/>
  <c r="BO959" i="76"/>
  <c r="BO163" i="76"/>
  <c r="AH837" i="76"/>
  <c r="BO271" i="76"/>
  <c r="AH830" i="76"/>
  <c r="AH960" i="76"/>
  <c r="AH990" i="76"/>
  <c r="AH1061" i="76"/>
  <c r="AH597" i="76"/>
  <c r="BO765" i="76"/>
  <c r="AH496" i="76"/>
  <c r="BO941" i="76"/>
  <c r="AH304" i="76"/>
  <c r="BO688" i="76"/>
  <c r="BO575" i="76"/>
  <c r="BO736" i="76"/>
  <c r="AH872" i="76"/>
  <c r="AH649" i="76"/>
  <c r="AH349" i="76"/>
  <c r="AH685" i="76"/>
  <c r="AH987" i="76"/>
  <c r="AH500" i="76"/>
  <c r="AH905" i="76"/>
  <c r="BO528" i="76"/>
  <c r="BO169" i="76"/>
  <c r="BO921" i="76"/>
  <c r="AH119" i="76"/>
  <c r="AH372" i="76"/>
  <c r="AH207" i="76"/>
  <c r="AH505" i="76"/>
  <c r="BO588" i="76"/>
  <c r="AH169" i="76"/>
  <c r="AH956" i="76"/>
  <c r="BO77" i="76"/>
  <c r="BO731" i="76"/>
  <c r="BO1004" i="76"/>
  <c r="BO553" i="76"/>
  <c r="AH503" i="76"/>
  <c r="AH655" i="76"/>
  <c r="AH183" i="76"/>
  <c r="BO238" i="76"/>
  <c r="BO611" i="76"/>
  <c r="AH650" i="76"/>
  <c r="BO436" i="76"/>
  <c r="AH823" i="76"/>
  <c r="AH226" i="76"/>
  <c r="AH983" i="76"/>
  <c r="AH82" i="76"/>
  <c r="AH138" i="76"/>
  <c r="AH765" i="76"/>
  <c r="AH555" i="76"/>
  <c r="AH770" i="76"/>
  <c r="AH170" i="76"/>
  <c r="AH92" i="76"/>
  <c r="BO151" i="76"/>
  <c r="BO555" i="76"/>
  <c r="BO842" i="76"/>
  <c r="BO293" i="76"/>
  <c r="BO826" i="76"/>
  <c r="AH1066" i="76"/>
  <c r="BO458" i="76"/>
  <c r="BO725" i="76"/>
  <c r="BO813" i="76"/>
  <c r="BO723" i="76"/>
  <c r="BO1060" i="76"/>
  <c r="AH440" i="76"/>
  <c r="AH886" i="76"/>
  <c r="AH578" i="76"/>
  <c r="AH776" i="76"/>
  <c r="AH813" i="76"/>
  <c r="BO171" i="76"/>
  <c r="AH718" i="76"/>
  <c r="AH839" i="76"/>
  <c r="AH688" i="76"/>
  <c r="AH275" i="76"/>
  <c r="BO790" i="76"/>
  <c r="AH626" i="76"/>
  <c r="AH73" i="76"/>
  <c r="BO354" i="76"/>
  <c r="AH1068" i="76"/>
  <c r="AH928" i="76"/>
  <c r="BO759" i="76"/>
  <c r="BO193" i="76"/>
  <c r="BO896" i="76"/>
  <c r="BO992" i="76"/>
  <c r="AH338" i="76"/>
  <c r="BO179" i="76"/>
  <c r="AH1035" i="76"/>
  <c r="BO315" i="76"/>
  <c r="AH637" i="76"/>
  <c r="BO127" i="76"/>
  <c r="BO878" i="76"/>
  <c r="AH706" i="76"/>
  <c r="BO648" i="76"/>
  <c r="AH852" i="76"/>
  <c r="BO535" i="76"/>
  <c r="BO326" i="76"/>
  <c r="AH609" i="76"/>
  <c r="BO104" i="76"/>
  <c r="AH756" i="76"/>
  <c r="BO683" i="76"/>
  <c r="AH261" i="76"/>
  <c r="BO982" i="76"/>
  <c r="AH601" i="76"/>
  <c r="BO689" i="76"/>
  <c r="BO637" i="76"/>
  <c r="AH361" i="76"/>
  <c r="BO569" i="76"/>
  <c r="AH518" i="76"/>
  <c r="AH907" i="76"/>
  <c r="AH91" i="76"/>
  <c r="BO559" i="76"/>
  <c r="BO519" i="76"/>
  <c r="BO687" i="76"/>
  <c r="AH293" i="76"/>
  <c r="BO187" i="76"/>
  <c r="AH159" i="76"/>
  <c r="BO133" i="76"/>
  <c r="AH784" i="76"/>
  <c r="BO203" i="76"/>
  <c r="AH168" i="76"/>
  <c r="AH743" i="76"/>
  <c r="AH682" i="76"/>
  <c r="BO307" i="76"/>
  <c r="AH728" i="76"/>
  <c r="AH486" i="76"/>
  <c r="AH962" i="76"/>
  <c r="BO492" i="76"/>
  <c r="BO851" i="76"/>
  <c r="AH656" i="76"/>
  <c r="BO1001" i="76"/>
  <c r="BO381" i="76"/>
  <c r="AH248" i="76"/>
  <c r="BO152" i="76"/>
  <c r="BO650" i="76"/>
  <c r="AH306" i="76"/>
  <c r="BO1048" i="76"/>
  <c r="BO944" i="76"/>
  <c r="BO146" i="76"/>
  <c r="AH85" i="76"/>
  <c r="AH934" i="76"/>
  <c r="AH520" i="76"/>
  <c r="AH232" i="76"/>
  <c r="AH435" i="76"/>
  <c r="AH146" i="76"/>
  <c r="BO105" i="76"/>
  <c r="AH777" i="76"/>
  <c r="BO994" i="76"/>
  <c r="AH1026" i="76"/>
  <c r="AH769" i="76"/>
  <c r="AH1067" i="76"/>
  <c r="AH402" i="76"/>
  <c r="BO161" i="76"/>
  <c r="BO692" i="76"/>
  <c r="BO1012" i="76"/>
  <c r="BO974" i="76"/>
  <c r="AH841" i="76"/>
  <c r="BO741" i="76"/>
  <c r="AH737" i="76"/>
  <c r="AH201" i="76"/>
  <c r="AH524" i="76"/>
  <c r="BO632" i="76"/>
  <c r="AH791" i="76"/>
  <c r="AH821" i="76"/>
  <c r="BO534" i="76"/>
  <c r="AH191" i="76"/>
  <c r="BO854" i="76"/>
  <c r="AH631" i="76"/>
  <c r="BO871" i="76"/>
  <c r="BO886" i="76"/>
  <c r="BO879" i="76"/>
  <c r="BO273" i="76"/>
  <c r="BO501" i="76"/>
  <c r="AH1014" i="76"/>
  <c r="BO356" i="76"/>
  <c r="BO901" i="76"/>
  <c r="AH797" i="76"/>
  <c r="BO714" i="76"/>
  <c r="AH754" i="76"/>
  <c r="BO350" i="76"/>
  <c r="BO467" i="76"/>
  <c r="AH941" i="76"/>
  <c r="BO870" i="76"/>
  <c r="AH506" i="76"/>
  <c r="AH385" i="76"/>
  <c r="AH635" i="76"/>
  <c r="AH657" i="76"/>
  <c r="AH131" i="76"/>
  <c r="BO864" i="76"/>
  <c r="AH517" i="76"/>
  <c r="AH879" i="76"/>
  <c r="AH738" i="76"/>
  <c r="BO321" i="76"/>
  <c r="BO153" i="76"/>
  <c r="AH74" i="76"/>
  <c r="AH136" i="76"/>
  <c r="BO226" i="76"/>
  <c r="BO751" i="76"/>
  <c r="BO462" i="76"/>
  <c r="BO73" i="76"/>
  <c r="AH536" i="76"/>
  <c r="AH418" i="76"/>
  <c r="BO406" i="76"/>
  <c r="AH632" i="76"/>
  <c r="AH193" i="76"/>
  <c r="AH337" i="76"/>
  <c r="BO781" i="76"/>
  <c r="AH251" i="76"/>
  <c r="BO142" i="76"/>
  <c r="BO123" i="76"/>
  <c r="AH514" i="76"/>
  <c r="AH166" i="76"/>
  <c r="AH645" i="76"/>
  <c r="AH107" i="76"/>
  <c r="BO758" i="76"/>
  <c r="BO98" i="76"/>
  <c r="AH281" i="76"/>
  <c r="AH594" i="76"/>
  <c r="AH319" i="76"/>
  <c r="BO832" i="76"/>
  <c r="AH434" i="76"/>
  <c r="AH1058" i="76"/>
  <c r="AH914" i="76"/>
  <c r="BO848" i="76"/>
  <c r="BO950" i="76"/>
  <c r="AH556" i="76"/>
  <c r="AH653" i="76"/>
  <c r="BO434" i="76"/>
  <c r="BO185" i="76"/>
  <c r="BO454" i="76"/>
  <c r="BO777" i="76"/>
  <c r="AH1053" i="76"/>
  <c r="BO1063" i="76"/>
  <c r="AH611" i="76"/>
  <c r="AH175" i="76"/>
  <c r="BO510" i="76"/>
  <c r="AH624" i="76"/>
  <c r="BO295" i="76"/>
  <c r="AH996" i="76"/>
  <c r="AH701" i="76"/>
  <c r="AH462" i="76"/>
  <c r="AH433" i="76"/>
  <c r="AH892" i="76"/>
  <c r="BO935" i="76"/>
  <c r="AH343" i="76"/>
  <c r="BO178" i="76"/>
  <c r="BO276" i="76"/>
  <c r="BO348" i="76"/>
  <c r="BO661" i="76"/>
  <c r="BO1056" i="76"/>
  <c r="AH1051" i="76"/>
  <c r="AH202" i="76"/>
  <c r="BO488" i="76"/>
  <c r="AH923" i="76"/>
  <c r="AH129" i="76"/>
  <c r="BO866" i="76"/>
  <c r="AH442" i="76"/>
  <c r="BO498" i="76"/>
  <c r="AH929" i="76"/>
  <c r="BO263" i="76"/>
  <c r="BO773" i="76"/>
  <c r="BO607" i="76"/>
  <c r="AH965" i="76"/>
  <c r="BO930" i="76"/>
  <c r="AH142" i="76"/>
  <c r="AH329" i="76"/>
  <c r="BO971" i="76"/>
  <c r="BO310" i="76"/>
  <c r="AH994" i="76"/>
  <c r="BO861" i="76"/>
  <c r="AH102" i="76"/>
  <c r="AH525" i="76"/>
  <c r="AH516" i="76"/>
  <c r="AH465" i="76"/>
  <c r="AH397" i="76"/>
  <c r="BO899" i="76"/>
  <c r="AH310" i="76"/>
  <c r="BO841" i="76"/>
  <c r="BO760" i="76"/>
  <c r="BO730" i="76"/>
  <c r="BO565" i="76"/>
  <c r="BO772" i="76"/>
  <c r="BO558" i="76"/>
  <c r="BO1067" i="76"/>
  <c r="BO483" i="76"/>
  <c r="AH468" i="76"/>
  <c r="AH259" i="76"/>
  <c r="BO239" i="76"/>
  <c r="BO245" i="76"/>
  <c r="AH1062" i="76"/>
  <c r="BO378" i="76"/>
  <c r="AH731" i="76"/>
  <c r="BO368" i="76"/>
  <c r="AH291" i="76"/>
  <c r="BO497" i="76"/>
  <c r="BO613" i="76"/>
  <c r="AH192" i="76"/>
  <c r="BO197" i="76"/>
  <c r="BO894" i="76"/>
  <c r="BO829" i="76"/>
  <c r="AH404" i="76"/>
  <c r="AH660" i="76"/>
  <c r="BO617" i="76"/>
  <c r="AH176" i="76"/>
  <c r="AH542" i="76"/>
  <c r="BO922" i="76"/>
  <c r="AH692" i="76"/>
  <c r="AH414" i="76"/>
  <c r="BO371" i="76"/>
  <c r="AH968" i="76"/>
  <c r="AH152" i="76"/>
  <c r="BO323" i="76"/>
  <c r="AH182" i="76"/>
  <c r="AH457" i="76"/>
  <c r="AH212" i="76"/>
  <c r="BO780" i="76"/>
  <c r="BO218" i="76"/>
  <c r="AH438" i="76"/>
  <c r="AH979" i="76"/>
  <c r="BO586" i="76"/>
  <c r="BO666" i="76"/>
  <c r="AH390" i="76"/>
  <c r="AH388" i="76"/>
  <c r="AH715" i="76"/>
  <c r="BO213" i="76"/>
  <c r="BO916" i="76"/>
  <c r="AH464" i="76"/>
  <c r="AH467" i="76"/>
  <c r="AH387" i="76"/>
  <c r="BO727" i="76"/>
  <c r="BO230" i="76"/>
  <c r="BO928" i="76"/>
  <c r="BO220" i="76"/>
  <c r="AH296" i="76"/>
  <c r="AH689" i="76"/>
  <c r="AH1024" i="76"/>
  <c r="BO721" i="76"/>
  <c r="AH816" i="76"/>
  <c r="BO742" i="76"/>
  <c r="AH781" i="76"/>
  <c r="AH436" i="76"/>
  <c r="BO126" i="76"/>
  <c r="AH513" i="76"/>
  <c r="AH895" i="76"/>
  <c r="BO392" i="76"/>
  <c r="AH266" i="76"/>
  <c r="AH720" i="76"/>
  <c r="AH633" i="76"/>
  <c r="BO706" i="76"/>
  <c r="BO597" i="76"/>
  <c r="BO256" i="76"/>
  <c r="AH896" i="76"/>
  <c r="BO112" i="76"/>
  <c r="BO411" i="76"/>
  <c r="AH157" i="76"/>
  <c r="AH833" i="76"/>
  <c r="AH1025" i="76"/>
  <c r="BO786" i="76"/>
  <c r="AH670" i="76"/>
  <c r="BO915" i="76"/>
  <c r="AH608" i="76"/>
  <c r="AH643" i="76"/>
  <c r="AH199" i="76"/>
  <c r="AH245" i="76"/>
  <c r="BO404" i="76"/>
  <c r="AH939" i="76"/>
  <c r="AH1031" i="76"/>
  <c r="BO1016" i="76"/>
  <c r="BO716" i="76"/>
  <c r="BO531" i="76"/>
  <c r="BO643" i="76"/>
  <c r="AH1052" i="76"/>
  <c r="AH108" i="76"/>
  <c r="AH351" i="76"/>
  <c r="BO948" i="76"/>
  <c r="AH863" i="76"/>
  <c r="AH132" i="76"/>
  <c r="BO618" i="76"/>
  <c r="BO229" i="76"/>
  <c r="BO192" i="76"/>
  <c r="BO986" i="76"/>
  <c r="AH851" i="76"/>
  <c r="BO364" i="76"/>
  <c r="AH1063" i="76"/>
  <c r="BO542" i="76"/>
  <c r="BO734" i="76"/>
  <c r="AH1008" i="76"/>
  <c r="AH668" i="76"/>
  <c r="BO1040" i="76"/>
  <c r="AH616" i="76"/>
  <c r="AH967" i="76"/>
  <c r="AH137" i="76"/>
  <c r="BO231" i="76"/>
  <c r="BO797" i="76"/>
  <c r="AH151" i="76"/>
  <c r="BO979" i="76"/>
  <c r="AH320" i="76"/>
  <c r="BO259" i="76"/>
  <c r="BO305" i="76"/>
  <c r="AH694" i="76"/>
  <c r="BO1039" i="76"/>
  <c r="BO365" i="76"/>
  <c r="AH761" i="76"/>
  <c r="AH177" i="76"/>
  <c r="BO456" i="76"/>
  <c r="BO1021" i="76"/>
  <c r="AH663" i="76"/>
  <c r="BO696" i="76"/>
  <c r="BO476" i="76"/>
  <c r="AH576" i="76"/>
  <c r="AH419" i="76"/>
  <c r="BO200" i="76"/>
  <c r="BO121" i="76"/>
  <c r="AH283" i="76"/>
  <c r="BO508" i="76"/>
  <c r="AH288" i="76"/>
  <c r="AH454" i="76"/>
  <c r="AH431" i="76"/>
  <c r="AH661" i="76"/>
  <c r="AH1045" i="76"/>
  <c r="AH127" i="76"/>
  <c r="BO793" i="76"/>
  <c r="AH493" i="76"/>
  <c r="BO433" i="76"/>
  <c r="AH420" i="76"/>
  <c r="AH919" i="76"/>
  <c r="AH156" i="76"/>
  <c r="BO300" i="76"/>
  <c r="BO1061" i="76"/>
  <c r="BO236" i="76"/>
  <c r="BO693" i="76"/>
  <c r="AH801" i="76"/>
  <c r="AH1044" i="76"/>
  <c r="AH140" i="76"/>
  <c r="BO518" i="76"/>
  <c r="AH992" i="76"/>
  <c r="BO647" i="76"/>
  <c r="AH940" i="76"/>
  <c r="AH559" i="76"/>
  <c r="BO678" i="76"/>
  <c r="BO269" i="76"/>
  <c r="AH268" i="76"/>
  <c r="AH484" i="76"/>
  <c r="BO227" i="76"/>
  <c r="BO522" i="76"/>
  <c r="AH930" i="76"/>
  <c r="BO965" i="76"/>
  <c r="BO523" i="76"/>
  <c r="AH328" i="76"/>
  <c r="BO642" i="76"/>
  <c r="AH318" i="76"/>
  <c r="BO461" i="76"/>
  <c r="AH72" i="76"/>
  <c r="BO907" i="76"/>
  <c r="BO440" i="76"/>
  <c r="AH255" i="76"/>
  <c r="AH478" i="76"/>
  <c r="AH699" i="76"/>
  <c r="BO101" i="76"/>
  <c r="BO148" i="76"/>
  <c r="BO114" i="76"/>
  <c r="AH623" i="76"/>
  <c r="BO910" i="76"/>
  <c r="BO774" i="76"/>
  <c r="AH858" i="76"/>
  <c r="BO431" i="76"/>
  <c r="BO567" i="76"/>
  <c r="AH480" i="76"/>
  <c r="AH227" i="76"/>
  <c r="BO278" i="76"/>
  <c r="AH502" i="76"/>
  <c r="AH539" i="76"/>
  <c r="AH750" i="76"/>
  <c r="AH398" i="76"/>
  <c r="BO352" i="76"/>
  <c r="BO235" i="76"/>
  <c r="AH126" i="76"/>
  <c r="BO639" i="76"/>
  <c r="BO792" i="76"/>
  <c r="AH198" i="76"/>
  <c r="AH543" i="76"/>
  <c r="AH618" i="76"/>
  <c r="BO978" i="76"/>
  <c r="AH721" i="76"/>
  <c r="AH709" i="76"/>
  <c r="AH326" i="76"/>
  <c r="BO349" i="76"/>
  <c r="BO872" i="76"/>
  <c r="AH230" i="76"/>
  <c r="BO393" i="76"/>
  <c r="BO657" i="76"/>
  <c r="AH1018" i="76"/>
  <c r="BO131" i="76"/>
  <c r="AH753" i="76"/>
  <c r="AH260" i="76"/>
  <c r="BO188" i="76"/>
  <c r="BO495" i="76"/>
  <c r="S177" i="30"/>
  <c r="D72" i="19"/>
  <c r="J275" i="19" s="1"/>
  <c r="Y130" i="17"/>
  <c r="S177" i="17"/>
  <c r="BO33" i="76" l="1"/>
  <c r="BO36" i="76"/>
  <c r="BO34" i="76"/>
  <c r="BO32" i="76"/>
  <c r="BO35" i="76"/>
  <c r="BO37" i="76"/>
  <c r="BO29" i="76"/>
  <c r="BO30" i="76"/>
  <c r="BO31" i="76"/>
  <c r="BO42" i="76" s="1"/>
  <c r="P35" i="82"/>
  <c r="R132" i="20"/>
  <c r="R153" i="20"/>
  <c r="O26" i="82"/>
  <c r="Q161" i="20"/>
  <c r="P34" i="82"/>
  <c r="Y275" i="19"/>
  <c r="E22" i="19" s="1"/>
  <c r="R275" i="19"/>
  <c r="E24" i="19" s="1"/>
  <c r="F34" i="2" s="1"/>
  <c r="R19" i="20"/>
  <c r="R21" i="20"/>
  <c r="AV12" i="18"/>
  <c r="AV84" i="18"/>
  <c r="AV153" i="18"/>
  <c r="AH37" i="76"/>
  <c r="AH35" i="76"/>
  <c r="AH32" i="76"/>
  <c r="AH30" i="76"/>
  <c r="AH31" i="76"/>
  <c r="AH42" i="76" s="1"/>
  <c r="AH33" i="76"/>
  <c r="AH29" i="76"/>
  <c r="AH36" i="76"/>
  <c r="AH34" i="76"/>
  <c r="E27" i="19" l="1"/>
  <c r="E35" i="19" s="1"/>
  <c r="S34" i="20"/>
  <c r="K275" i="19"/>
  <c r="Z275" i="19" s="1"/>
  <c r="BO44" i="76"/>
  <c r="AH44" i="76"/>
  <c r="BO46" i="76"/>
  <c r="S177" i="32"/>
  <c r="R128" i="20"/>
  <c r="P33" i="82"/>
  <c r="R152" i="20"/>
  <c r="Y130" i="32"/>
  <c r="F32" i="2"/>
  <c r="R22" i="20"/>
  <c r="R115" i="20" s="1"/>
  <c r="R112" i="20"/>
  <c r="R18" i="20"/>
  <c r="R7" i="20" s="1"/>
  <c r="R117" i="20" s="1"/>
  <c r="R114" i="20"/>
  <c r="AH46" i="76"/>
  <c r="AH43" i="76"/>
  <c r="BO45" i="76"/>
  <c r="O41" i="82"/>
  <c r="AH45" i="76"/>
  <c r="BO43" i="76"/>
  <c r="L275" i="19" l="1"/>
  <c r="AA275" i="19" s="1"/>
  <c r="S32" i="20"/>
  <c r="S65" i="20" s="1"/>
  <c r="S68" i="20" s="1"/>
  <c r="S31" i="20"/>
  <c r="F37" i="2"/>
  <c r="F45" i="2" s="1"/>
  <c r="F89" i="2" s="1"/>
  <c r="R83" i="20"/>
  <c r="R95" i="20"/>
  <c r="R84" i="20"/>
  <c r="W10" i="18" s="1"/>
  <c r="R24" i="20"/>
  <c r="R118" i="20"/>
  <c r="V62" i="76"/>
  <c r="P32" i="82"/>
  <c r="R148" i="20"/>
  <c r="W20" i="18" l="1"/>
  <c r="R122" i="20"/>
  <c r="P14" i="82"/>
  <c r="M275" i="19"/>
  <c r="AV10" i="18"/>
  <c r="AV82" i="18"/>
  <c r="AV151" i="18"/>
  <c r="R92" i="20"/>
  <c r="R93" i="20"/>
  <c r="P28" i="82"/>
  <c r="S28" i="20"/>
  <c r="W7" i="18"/>
  <c r="R108" i="20"/>
  <c r="V53" i="76"/>
  <c r="L8" i="86"/>
  <c r="U12" i="65"/>
  <c r="U23" i="65" s="1"/>
  <c r="S64" i="20"/>
  <c r="S45" i="20"/>
  <c r="S87" i="20" l="1"/>
  <c r="X11" i="18" s="1"/>
  <c r="S86" i="20"/>
  <c r="X8" i="18" s="1"/>
  <c r="AV81" i="18"/>
  <c r="AV150" i="18"/>
  <c r="AV9" i="18"/>
  <c r="R126" i="20"/>
  <c r="P9" i="82"/>
  <c r="S135" i="20"/>
  <c r="S67" i="20"/>
  <c r="X16" i="18"/>
  <c r="Q19" i="82"/>
  <c r="S70" i="20"/>
  <c r="S134" i="20" s="1"/>
  <c r="V58" i="76"/>
  <c r="S89" i="20"/>
  <c r="S90" i="20"/>
  <c r="X12" i="18" s="1"/>
  <c r="S133" i="20" l="1"/>
  <c r="S154" i="20"/>
  <c r="Z131" i="14"/>
  <c r="T178" i="40"/>
  <c r="AE12" i="65"/>
  <c r="AE23" i="65" s="1"/>
  <c r="S120" i="20"/>
  <c r="Q11" i="82" s="1"/>
  <c r="X9" i="18"/>
  <c r="BH13" i="18"/>
  <c r="M9" i="86"/>
  <c r="AW88" i="18"/>
  <c r="H61" i="83" s="1"/>
  <c r="AW16" i="18"/>
  <c r="AW157" i="18"/>
  <c r="Z131" i="30"/>
  <c r="R146" i="20"/>
  <c r="R141" i="20"/>
  <c r="AW11" i="18"/>
  <c r="AW152" i="18"/>
  <c r="AW83" i="18"/>
  <c r="BP558" i="76"/>
  <c r="BP665" i="76"/>
  <c r="AI810" i="76"/>
  <c r="AI973" i="76"/>
  <c r="BP654" i="76"/>
  <c r="BP832" i="76"/>
  <c r="BP71" i="76"/>
  <c r="BP809" i="76"/>
  <c r="AI483" i="76"/>
  <c r="AI126" i="76"/>
  <c r="AI776" i="76"/>
  <c r="BP874" i="76"/>
  <c r="AI820" i="76"/>
  <c r="BP322" i="76"/>
  <c r="BP648" i="76"/>
  <c r="AI505" i="76"/>
  <c r="BP564" i="76"/>
  <c r="BP592" i="76"/>
  <c r="BP525" i="76"/>
  <c r="BP1024" i="76"/>
  <c r="AI509" i="76"/>
  <c r="BP1054" i="76"/>
  <c r="AI704" i="76"/>
  <c r="AI406" i="76"/>
  <c r="AI622" i="76"/>
  <c r="AI882" i="76"/>
  <c r="AI647" i="76"/>
  <c r="AI270" i="76"/>
  <c r="AI134" i="76"/>
  <c r="BP324" i="76"/>
  <c r="BP570" i="76"/>
  <c r="BP413" i="76"/>
  <c r="AI150" i="76"/>
  <c r="BP694" i="76"/>
  <c r="AI364" i="76"/>
  <c r="AI843" i="76"/>
  <c r="AI345" i="76"/>
  <c r="BP338" i="76"/>
  <c r="AI897" i="76"/>
  <c r="AI653" i="76"/>
  <c r="AI424" i="76"/>
  <c r="BP927" i="76"/>
  <c r="BP183" i="76"/>
  <c r="AI85" i="76"/>
  <c r="AI995" i="76"/>
  <c r="BP953" i="76"/>
  <c r="BP667" i="76"/>
  <c r="AI709" i="76"/>
  <c r="AI626" i="76"/>
  <c r="BP84" i="76"/>
  <c r="AI252" i="76"/>
  <c r="BP122" i="76"/>
  <c r="BP597" i="76"/>
  <c r="BP760" i="76"/>
  <c r="AI697" i="76"/>
  <c r="AI474" i="76"/>
  <c r="AI75" i="76"/>
  <c r="AI215" i="76"/>
  <c r="AI574" i="76"/>
  <c r="AI313" i="76"/>
  <c r="BP801" i="76"/>
  <c r="BP144" i="76"/>
  <c r="AI935" i="76"/>
  <c r="AI551" i="76"/>
  <c r="BP232" i="76"/>
  <c r="AI309" i="76"/>
  <c r="BP297" i="76"/>
  <c r="AI705" i="76"/>
  <c r="AI947" i="76"/>
  <c r="BP96" i="76"/>
  <c r="BP942" i="76"/>
  <c r="AI871" i="76"/>
  <c r="BP537" i="76"/>
  <c r="AI366" i="76"/>
  <c r="AI870" i="76"/>
  <c r="BP933" i="76"/>
  <c r="AI885" i="76"/>
  <c r="BP657" i="76"/>
  <c r="AI319" i="76"/>
  <c r="AI1017" i="76"/>
  <c r="AI548" i="76"/>
  <c r="AI257" i="76"/>
  <c r="BP626" i="76"/>
  <c r="AI974" i="76"/>
  <c r="BP701" i="76"/>
  <c r="AI1052" i="76"/>
  <c r="AI756" i="76"/>
  <c r="BP189" i="76"/>
  <c r="AI726" i="76"/>
  <c r="BP873" i="76"/>
  <c r="BP610" i="76"/>
  <c r="BP606" i="76"/>
  <c r="BP114" i="76"/>
  <c r="AI193" i="76"/>
  <c r="AI416" i="76"/>
  <c r="AI300" i="76"/>
  <c r="BP210" i="76"/>
  <c r="AI488" i="76"/>
  <c r="BP807" i="76"/>
  <c r="AI427" i="76"/>
  <c r="AI968" i="76"/>
  <c r="BP910" i="76"/>
  <c r="BP777" i="76"/>
  <c r="BP354" i="76"/>
  <c r="AI374" i="76"/>
  <c r="AI198" i="76"/>
  <c r="AI288" i="76"/>
  <c r="AI896" i="76"/>
  <c r="BP239" i="76"/>
  <c r="BP848" i="76"/>
  <c r="AI201" i="76"/>
  <c r="BP535" i="76"/>
  <c r="AI169" i="76"/>
  <c r="AI690" i="76"/>
  <c r="AI528" i="76"/>
  <c r="AI977" i="76"/>
  <c r="BP664" i="76"/>
  <c r="BP82" i="76"/>
  <c r="BP573" i="76"/>
  <c r="AI825" i="76"/>
  <c r="BP484" i="76"/>
  <c r="AI793" i="76"/>
  <c r="BP1019" i="76"/>
  <c r="AI100" i="76"/>
  <c r="AI654" i="76"/>
  <c r="BP333" i="76"/>
  <c r="AI988" i="76"/>
  <c r="AI532" i="76"/>
  <c r="BP1010" i="76"/>
  <c r="AI233" i="76"/>
  <c r="BP427" i="76"/>
  <c r="BP952" i="76"/>
  <c r="BP1013" i="76"/>
  <c r="BP1057" i="76"/>
  <c r="AI172" i="76"/>
  <c r="BP447" i="76"/>
  <c r="BP101" i="76"/>
  <c r="AI657" i="76"/>
  <c r="AI116" i="76"/>
  <c r="BP177" i="76"/>
  <c r="AI580" i="76"/>
  <c r="BP109" i="76"/>
  <c r="AI218" i="76"/>
  <c r="AI177" i="76"/>
  <c r="BP878" i="76"/>
  <c r="BP286" i="76"/>
  <c r="BP1031" i="76"/>
  <c r="AI223" i="76"/>
  <c r="BP336" i="76"/>
  <c r="BP875" i="76"/>
  <c r="AI72" i="76"/>
  <c r="AI1026" i="76"/>
  <c r="AI677" i="76"/>
  <c r="BP587" i="76"/>
  <c r="AI675" i="76"/>
  <c r="BP477" i="76"/>
  <c r="BP536" i="76"/>
  <c r="BP793" i="76"/>
  <c r="AI1014" i="76"/>
  <c r="AI689" i="76"/>
  <c r="BP495" i="76"/>
  <c r="AI1044" i="76"/>
  <c r="BP716" i="76"/>
  <c r="AI542" i="76"/>
  <c r="AI462" i="76"/>
  <c r="AI797" i="76"/>
  <c r="BP519" i="76"/>
  <c r="AI138" i="76"/>
  <c r="AI1050" i="76"/>
  <c r="AI742" i="76"/>
  <c r="BP94" i="76"/>
  <c r="BP466" i="76"/>
  <c r="BP502" i="76"/>
  <c r="BP984" i="76"/>
  <c r="AI814" i="76"/>
  <c r="BP720" i="76"/>
  <c r="BP554" i="76"/>
  <c r="AI693" i="76"/>
  <c r="BP844" i="76"/>
  <c r="BP451" i="76"/>
  <c r="BP107" i="76"/>
  <c r="BP407" i="76"/>
  <c r="AI1029" i="76"/>
  <c r="AI733" i="76"/>
  <c r="AI916" i="76"/>
  <c r="BP627" i="76"/>
  <c r="BP439" i="76"/>
  <c r="AI451" i="76"/>
  <c r="BP422" i="76"/>
  <c r="AI864" i="76"/>
  <c r="AI571" i="76"/>
  <c r="BP119" i="76"/>
  <c r="AI720" i="76"/>
  <c r="BP193" i="76"/>
  <c r="BP957" i="76"/>
  <c r="AI155" i="76"/>
  <c r="BP1011" i="76"/>
  <c r="BP205" i="76"/>
  <c r="AI1049" i="76"/>
  <c r="AI481" i="76"/>
  <c r="BP434" i="76"/>
  <c r="BP415" i="76"/>
  <c r="BP828" i="76"/>
  <c r="BP165" i="76"/>
  <c r="BP744" i="76"/>
  <c r="AI315" i="76"/>
  <c r="AI604" i="76"/>
  <c r="BP522" i="76"/>
  <c r="AI841" i="76"/>
  <c r="BP150" i="76"/>
  <c r="BP92" i="76"/>
  <c r="BP1058" i="76"/>
  <c r="BP405" i="76"/>
  <c r="AI125" i="76"/>
  <c r="AI857" i="76"/>
  <c r="AI660" i="76"/>
  <c r="BP440" i="76"/>
  <c r="BP276" i="76"/>
  <c r="BP431" i="76"/>
  <c r="BP365" i="76"/>
  <c r="AI816" i="76"/>
  <c r="AI465" i="76"/>
  <c r="BP123" i="76"/>
  <c r="BP105" i="76"/>
  <c r="BP759" i="76"/>
  <c r="AI649" i="76"/>
  <c r="BP388" i="76"/>
  <c r="AI762" i="76"/>
  <c r="AI294" i="76"/>
  <c r="BP93" i="76"/>
  <c r="BP993" i="76"/>
  <c r="AI767" i="76"/>
  <c r="BP900" i="76"/>
  <c r="BP173" i="76"/>
  <c r="BP608" i="76"/>
  <c r="AI97" i="76"/>
  <c r="AI707" i="76"/>
  <c r="BP590" i="76"/>
  <c r="BP76" i="76"/>
  <c r="AI342" i="76"/>
  <c r="AI587" i="76"/>
  <c r="BP677" i="76"/>
  <c r="BP211" i="76"/>
  <c r="BP287" i="76"/>
  <c r="AI487" i="76"/>
  <c r="BP999" i="76"/>
  <c r="AI76" i="76"/>
  <c r="BP849" i="76"/>
  <c r="AI1010" i="76"/>
  <c r="BP643" i="76"/>
  <c r="AI293" i="76"/>
  <c r="BP294" i="76"/>
  <c r="AI466" i="76"/>
  <c r="AI121" i="76"/>
  <c r="AI269" i="76"/>
  <c r="BP913" i="76"/>
  <c r="BP435" i="76"/>
  <c r="BP263" i="76"/>
  <c r="BP271" i="76"/>
  <c r="BP1055" i="76"/>
  <c r="BP638" i="76"/>
  <c r="AI460" i="76"/>
  <c r="AI250" i="76"/>
  <c r="AI227" i="76"/>
  <c r="BP226" i="76"/>
  <c r="AI861" i="76"/>
  <c r="BP858" i="76"/>
  <c r="AI759" i="76"/>
  <c r="BP207" i="76"/>
  <c r="BP349" i="76"/>
  <c r="AI102" i="76"/>
  <c r="AI576" i="76"/>
  <c r="BP772" i="76"/>
  <c r="BP692" i="76"/>
  <c r="AI637" i="76"/>
  <c r="BP496" i="76"/>
  <c r="AI764" i="76"/>
  <c r="BP1032" i="76"/>
  <c r="BP594" i="76"/>
  <c r="BP214" i="76"/>
  <c r="BP891" i="76"/>
  <c r="AI640" i="76"/>
  <c r="BP490" i="76"/>
  <c r="AI515" i="76"/>
  <c r="AI560" i="76"/>
  <c r="AI785" i="76"/>
  <c r="AI752" i="76"/>
  <c r="AI876" i="76"/>
  <c r="AI425" i="76"/>
  <c r="AI478" i="76"/>
  <c r="BP533" i="76"/>
  <c r="AI834" i="76"/>
  <c r="AI584" i="76"/>
  <c r="AI284" i="76"/>
  <c r="BP181" i="76"/>
  <c r="BP823" i="76"/>
  <c r="BP1007" i="76"/>
  <c r="AI156" i="76"/>
  <c r="BP391" i="76"/>
  <c r="AI352" i="76"/>
  <c r="BP436" i="76"/>
  <c r="AI595" i="76"/>
  <c r="BP556" i="76"/>
  <c r="BP761" i="76"/>
  <c r="BP964" i="76"/>
  <c r="BP747" i="76"/>
  <c r="AI663" i="76"/>
  <c r="AI655" i="76"/>
  <c r="BP774" i="76"/>
  <c r="AI525" i="76"/>
  <c r="AI251" i="76"/>
  <c r="AI1068" i="76"/>
  <c r="AI911" i="76"/>
  <c r="BP334" i="76"/>
  <c r="AI229" i="76"/>
  <c r="BP817" i="76"/>
  <c r="AI103" i="76"/>
  <c r="AI217" i="76"/>
  <c r="AI243" i="76"/>
  <c r="BP663" i="76"/>
  <c r="BP359" i="76"/>
  <c r="BP331" i="76"/>
  <c r="BP346" i="76"/>
  <c r="BP279" i="76"/>
  <c r="BP1040" i="76"/>
  <c r="AI937" i="76"/>
  <c r="BP446" i="76"/>
  <c r="AI907" i="76"/>
  <c r="AI543" i="76"/>
  <c r="BP950" i="76"/>
  <c r="AI956" i="76"/>
  <c r="AI679" i="76"/>
  <c r="AI667" i="76"/>
  <c r="AI808" i="76"/>
  <c r="BP340" i="76"/>
  <c r="BP180" i="76"/>
  <c r="BP149" i="76"/>
  <c r="AI884" i="76"/>
  <c r="BP742" i="76"/>
  <c r="AI114" i="76"/>
  <c r="AI869" i="76"/>
  <c r="AI210" i="76"/>
  <c r="AI449" i="76"/>
  <c r="BP310" i="76"/>
  <c r="AI966" i="76"/>
  <c r="AI985" i="76"/>
  <c r="AI95" i="76"/>
  <c r="BP233" i="76"/>
  <c r="AI159" i="76"/>
  <c r="AI443" i="76"/>
  <c r="AI666" i="76"/>
  <c r="BP249" i="76"/>
  <c r="AI486" i="76"/>
  <c r="AI503" i="76"/>
  <c r="AI586" i="76"/>
  <c r="AI717" i="76"/>
  <c r="BP598" i="76"/>
  <c r="AI758" i="76"/>
  <c r="AI804" i="76"/>
  <c r="BP1026" i="76"/>
  <c r="BP820" i="76"/>
  <c r="BP541" i="76"/>
  <c r="BP361" i="76"/>
  <c r="BP465" i="76"/>
  <c r="BP302" i="76"/>
  <c r="AI567" i="76"/>
  <c r="BP481" i="76"/>
  <c r="AI958" i="76"/>
  <c r="BP313" i="76"/>
  <c r="BP763" i="76"/>
  <c r="BP672" i="76"/>
  <c r="BP224" i="76"/>
  <c r="AI224" i="76"/>
  <c r="AI225" i="76"/>
  <c r="AI331" i="76"/>
  <c r="BP265" i="76"/>
  <c r="BP237" i="76"/>
  <c r="BP971" i="76"/>
  <c r="BP857" i="76"/>
  <c r="BP362" i="76"/>
  <c r="BP1038" i="76"/>
  <c r="BP582" i="76"/>
  <c r="AI131" i="76"/>
  <c r="BP724" i="76"/>
  <c r="BP115" i="76"/>
  <c r="AI241" i="76"/>
  <c r="AI728" i="76"/>
  <c r="BP453" i="76"/>
  <c r="AI700" i="76"/>
  <c r="AI557" i="76"/>
  <c r="BP1021" i="76"/>
  <c r="AI464" i="76"/>
  <c r="AI905" i="76"/>
  <c r="BP306" i="76"/>
  <c r="AI809" i="76"/>
  <c r="AI796" i="76"/>
  <c r="BP547" i="76"/>
  <c r="BP443" i="76"/>
  <c r="BP288" i="76"/>
  <c r="BP272" i="76"/>
  <c r="AI749" i="76"/>
  <c r="AI991" i="76"/>
  <c r="AI629" i="76"/>
  <c r="BP134" i="76"/>
  <c r="BP299" i="76"/>
  <c r="BP846" i="76"/>
  <c r="AI933" i="76"/>
  <c r="BP810" i="76"/>
  <c r="AI381" i="76"/>
  <c r="AI954" i="76"/>
  <c r="AI600" i="76"/>
  <c r="AI639" i="76"/>
  <c r="BP370" i="76"/>
  <c r="BP222" i="76"/>
  <c r="AI969" i="76"/>
  <c r="AI929" i="76"/>
  <c r="AI848" i="76"/>
  <c r="BP215" i="76"/>
  <c r="BP90" i="76"/>
  <c r="BP162" i="76"/>
  <c r="AI818" i="76"/>
  <c r="BP867" i="76"/>
  <c r="BP200" i="76"/>
  <c r="BP381" i="76"/>
  <c r="AI950" i="76"/>
  <c r="AI530" i="76"/>
  <c r="BP644" i="76"/>
  <c r="BP990" i="76"/>
  <c r="BP670" i="76"/>
  <c r="BP414" i="76"/>
  <c r="AI343" i="76"/>
  <c r="AI541" i="76"/>
  <c r="AI664" i="76"/>
  <c r="BP700" i="76"/>
  <c r="AI970" i="76"/>
  <c r="AI519" i="76"/>
  <c r="BP250" i="76"/>
  <c r="BP126" i="76"/>
  <c r="AI260" i="76"/>
  <c r="AI129" i="76"/>
  <c r="AI852" i="76"/>
  <c r="AI236" i="76"/>
  <c r="BP872" i="76"/>
  <c r="BP433" i="76"/>
  <c r="BP915" i="76"/>
  <c r="BP613" i="76"/>
  <c r="AI1053" i="76"/>
  <c r="AI631" i="76"/>
  <c r="AI601" i="76"/>
  <c r="AI183" i="76"/>
  <c r="BP280" i="76"/>
  <c r="AI195" i="76"/>
  <c r="BP658" i="76"/>
  <c r="BP795" i="76"/>
  <c r="AI234" i="76"/>
  <c r="BP615" i="76"/>
  <c r="AI522" i="76"/>
  <c r="AI980" i="76"/>
  <c r="AI553" i="76"/>
  <c r="BP1037" i="76"/>
  <c r="BP118" i="76"/>
  <c r="AI242" i="76"/>
  <c r="AI432" i="76"/>
  <c r="BP746" i="76"/>
  <c r="BP298" i="76"/>
  <c r="BP475" i="76"/>
  <c r="AI267" i="76"/>
  <c r="BP196" i="76"/>
  <c r="AI415" i="76"/>
  <c r="BP262" i="76"/>
  <c r="AI120" i="76"/>
  <c r="AI317" i="76"/>
  <c r="BP735" i="76"/>
  <c r="AI1057" i="76"/>
  <c r="BP406" i="76"/>
  <c r="BP852" i="76"/>
  <c r="AI71" i="76"/>
  <c r="BP243" i="76"/>
  <c r="BP327" i="76"/>
  <c r="BP816" i="76"/>
  <c r="BP227" i="76"/>
  <c r="BP307" i="76"/>
  <c r="AI221" i="76"/>
  <c r="AI552" i="76"/>
  <c r="BP815" i="76"/>
  <c r="AI370" i="76"/>
  <c r="BP72" i="76"/>
  <c r="BP131" i="76"/>
  <c r="BP864" i="76"/>
  <c r="AI316" i="76"/>
  <c r="AI711" i="76"/>
  <c r="AI625" i="76"/>
  <c r="BP129" i="76"/>
  <c r="AI860" i="76"/>
  <c r="AI930" i="76"/>
  <c r="AI337" i="76"/>
  <c r="AI670" i="76"/>
  <c r="BP171" i="76"/>
  <c r="BP269" i="76"/>
  <c r="AI132" i="76"/>
  <c r="AI182" i="76"/>
  <c r="BP661" i="76"/>
  <c r="AI385" i="76"/>
  <c r="AI168" i="76"/>
  <c r="BP842" i="76"/>
  <c r="AI847" i="76"/>
  <c r="BP257" i="76"/>
  <c r="BP532" i="76"/>
  <c r="BP395" i="76"/>
  <c r="AI333" i="76"/>
  <c r="BP827" i="76"/>
  <c r="BP967" i="76"/>
  <c r="BP633" i="76"/>
  <c r="BP111" i="76"/>
  <c r="AI165" i="76"/>
  <c r="AI771" i="76"/>
  <c r="AI422" i="76"/>
  <c r="BP285" i="76"/>
  <c r="BP291" i="76"/>
  <c r="BP818" i="76"/>
  <c r="AI214" i="76"/>
  <c r="BP925" i="76"/>
  <c r="BP216" i="76"/>
  <c r="BP887" i="76"/>
  <c r="BP470" i="76"/>
  <c r="BP337" i="76"/>
  <c r="AI829" i="76"/>
  <c r="AI1046" i="76"/>
  <c r="AI874" i="76"/>
  <c r="BP880" i="76"/>
  <c r="BP636" i="76"/>
  <c r="AI802" i="76"/>
  <c r="AI296" i="76"/>
  <c r="AI398" i="76"/>
  <c r="AI266" i="76"/>
  <c r="AI594" i="76"/>
  <c r="BP921" i="76"/>
  <c r="BP345" i="76"/>
  <c r="AI334" i="76"/>
  <c r="AI354" i="76"/>
  <c r="AI844" i="76"/>
  <c r="AI123" i="76"/>
  <c r="AI178" i="76"/>
  <c r="AI975" i="76"/>
  <c r="AI612" i="76"/>
  <c r="BP455" i="76"/>
  <c r="AI387" i="76"/>
  <c r="AI529" i="76"/>
  <c r="AI256" i="76"/>
  <c r="AI240" i="76"/>
  <c r="AI849" i="76"/>
  <c r="AI853" i="76"/>
  <c r="AI280" i="76"/>
  <c r="AI235" i="76"/>
  <c r="AI603" i="76"/>
  <c r="BP1053" i="76"/>
  <c r="AI878" i="76"/>
  <c r="BP768" i="76"/>
  <c r="BP268" i="76"/>
  <c r="BP498" i="76"/>
  <c r="BP163" i="76"/>
  <c r="AI308" i="76"/>
  <c r="AI204" i="76"/>
  <c r="BP512" i="76"/>
  <c r="AI253" i="76"/>
  <c r="AI350" i="76"/>
  <c r="AI924" i="76"/>
  <c r="AI175" i="76"/>
  <c r="AI775" i="76"/>
  <c r="BP593" i="76"/>
  <c r="AI835" i="76"/>
  <c r="BP571" i="76"/>
  <c r="BP350" i="76"/>
  <c r="BP862" i="76"/>
  <c r="BP208" i="76"/>
  <c r="BP89" i="76"/>
  <c r="AI127" i="76"/>
  <c r="AI304" i="76"/>
  <c r="AI768" i="76"/>
  <c r="BP278" i="76"/>
  <c r="AI338" i="76"/>
  <c r="AI500" i="76"/>
  <c r="BP783" i="76"/>
  <c r="BP283" i="76"/>
  <c r="AI341" i="76"/>
  <c r="BP478" i="76"/>
  <c r="BP240" i="76"/>
  <c r="AI149" i="76"/>
  <c r="BP949" i="76"/>
  <c r="AI589" i="76"/>
  <c r="BP520" i="76"/>
  <c r="AI187" i="76"/>
  <c r="BP951" i="76"/>
  <c r="AI292" i="76"/>
  <c r="BP896" i="76"/>
  <c r="AI792" i="76"/>
  <c r="BP1061" i="76"/>
  <c r="AI931" i="76"/>
  <c r="AI291" i="76"/>
  <c r="AI585" i="76"/>
  <c r="AI153" i="76"/>
  <c r="AI340" i="76"/>
  <c r="AI479" i="76"/>
  <c r="AI373" i="76"/>
  <c r="AI426" i="76"/>
  <c r="AI1030" i="76"/>
  <c r="BP103" i="76"/>
  <c r="AI239" i="76"/>
  <c r="BP87" i="76"/>
  <c r="BP567" i="76"/>
  <c r="BP1005" i="76"/>
  <c r="BP1002" i="76"/>
  <c r="AI888" i="76"/>
  <c r="AI578" i="76"/>
  <c r="BP70" i="76"/>
  <c r="BP1033" i="76"/>
  <c r="BP534" i="76"/>
  <c r="BP715" i="76"/>
  <c r="BP449" i="76"/>
  <c r="AI468" i="76"/>
  <c r="BP462" i="76"/>
  <c r="AI746" i="76"/>
  <c r="AI895" i="76"/>
  <c r="AI402" i="76"/>
  <c r="AI1035" i="76"/>
  <c r="BP386" i="76"/>
  <c r="BP977" i="76"/>
  <c r="BP682" i="76"/>
  <c r="BP655" i="76"/>
  <c r="BP159" i="76"/>
  <c r="BP225" i="76"/>
  <c r="AI964" i="76"/>
  <c r="AI855" i="76"/>
  <c r="BP296" i="76"/>
  <c r="BP718" i="76"/>
  <c r="BP681" i="76"/>
  <c r="BP750" i="76"/>
  <c r="AI590" i="76"/>
  <c r="AI833" i="76"/>
  <c r="BP576" i="76"/>
  <c r="AI883" i="76"/>
  <c r="BP121" i="76"/>
  <c r="BP877" i="76"/>
  <c r="BP612" i="76"/>
  <c r="AI851" i="76"/>
  <c r="AI230" i="76"/>
  <c r="AI608" i="76"/>
  <c r="BP1063" i="76"/>
  <c r="BP238" i="76"/>
  <c r="AI572" i="76"/>
  <c r="AI86" i="76"/>
  <c r="AI203" i="76"/>
  <c r="BP609" i="76"/>
  <c r="AI507" i="76"/>
  <c r="BP88" i="76"/>
  <c r="AI173" i="76"/>
  <c r="BP124" i="76"/>
  <c r="BP837" i="76"/>
  <c r="AI375" i="76"/>
  <c r="AI212" i="76"/>
  <c r="AI555" i="76"/>
  <c r="BP1041" i="76"/>
  <c r="AI646" i="76"/>
  <c r="AI145" i="76"/>
  <c r="AI632" i="76"/>
  <c r="AI231" i="76"/>
  <c r="BP991" i="76"/>
  <c r="AI725" i="76"/>
  <c r="BP456" i="76"/>
  <c r="AI248" i="76"/>
  <c r="AI582" i="76"/>
  <c r="BP897" i="76"/>
  <c r="AI665" i="76"/>
  <c r="BP861" i="76"/>
  <c r="BP758" i="76"/>
  <c r="BP797" i="76"/>
  <c r="BP727" i="76"/>
  <c r="AI418" i="76"/>
  <c r="AI688" i="76"/>
  <c r="BP765" i="76"/>
  <c r="AI1028" i="76"/>
  <c r="BP457" i="76"/>
  <c r="AI383" i="76"/>
  <c r="AI957" i="76"/>
  <c r="BP920" i="76"/>
  <c r="BP164" i="76"/>
  <c r="AI592" i="76"/>
  <c r="BP538" i="76"/>
  <c r="AI473" i="76"/>
  <c r="BP1047" i="76"/>
  <c r="AI79" i="76"/>
  <c r="AI124" i="76"/>
  <c r="AI200" i="76"/>
  <c r="BP69" i="76"/>
  <c r="BP229" i="76"/>
  <c r="AI938" i="76"/>
  <c r="AI562" i="76"/>
  <c r="AI237" i="76"/>
  <c r="AI627" i="76"/>
  <c r="AI715" i="76"/>
  <c r="AI748" i="76"/>
  <c r="AI446" i="76"/>
  <c r="AI411" i="76"/>
  <c r="BP806" i="76"/>
  <c r="BP501" i="76"/>
  <c r="BP246" i="76"/>
  <c r="AI739" i="76"/>
  <c r="BP926" i="76"/>
  <c r="BP117" i="76"/>
  <c r="AI520" i="76"/>
  <c r="AI226" i="76"/>
  <c r="BP766" i="76"/>
  <c r="AI588" i="76"/>
  <c r="AI826" i="76"/>
  <c r="BP881" i="76"/>
  <c r="AI899" i="76"/>
  <c r="AI1005" i="76"/>
  <c r="AI877" i="76"/>
  <c r="AI540" i="76"/>
  <c r="AI984" i="76"/>
  <c r="BP737" i="76"/>
  <c r="BP473" i="76"/>
  <c r="BP745" i="76"/>
  <c r="AI794" i="76"/>
  <c r="AI545" i="76"/>
  <c r="BP893" i="76"/>
  <c r="AI160" i="76"/>
  <c r="BP426" i="76"/>
  <c r="AI862" i="76"/>
  <c r="BP767" i="76"/>
  <c r="AI286" i="76"/>
  <c r="BP303" i="76"/>
  <c r="AI458" i="76"/>
  <c r="AI1059" i="76"/>
  <c r="AI732" i="76"/>
  <c r="AI388" i="76"/>
  <c r="AI311" i="76"/>
  <c r="AI358" i="76"/>
  <c r="AI323" i="76"/>
  <c r="BP595" i="76"/>
  <c r="BP510" i="76"/>
  <c r="AI1047" i="76"/>
  <c r="AI903" i="76"/>
  <c r="BP840" i="76"/>
  <c r="BP157" i="76"/>
  <c r="BP467" i="76"/>
  <c r="BP917" i="76"/>
  <c r="AI593" i="76"/>
  <c r="AI490" i="76"/>
  <c r="AI623" i="76"/>
  <c r="BP948" i="76"/>
  <c r="AI983" i="76"/>
  <c r="BP143" i="76"/>
  <c r="AI83" i="76"/>
  <c r="BP479" i="76"/>
  <c r="AI722" i="76"/>
  <c r="BP284" i="76"/>
  <c r="AI249" i="76"/>
  <c r="BP697" i="76"/>
  <c r="AI335" i="76"/>
  <c r="BP358" i="76"/>
  <c r="AI456" i="76"/>
  <c r="BP923" i="76"/>
  <c r="BP743" i="76"/>
  <c r="BP132" i="76"/>
  <c r="AI773" i="76"/>
  <c r="BP128" i="76"/>
  <c r="AI279" i="76"/>
  <c r="BP675" i="76"/>
  <c r="AI105" i="76"/>
  <c r="AI1065" i="76"/>
  <c r="AI684" i="76"/>
  <c r="BP659" i="76"/>
  <c r="BP201" i="76"/>
  <c r="BP894" i="76"/>
  <c r="AI837" i="76"/>
  <c r="AI213" i="76"/>
  <c r="BP261" i="76"/>
  <c r="AI171" i="76"/>
  <c r="BP147" i="76"/>
  <c r="BP85" i="76"/>
  <c r="AI992" i="76"/>
  <c r="BP974" i="76"/>
  <c r="AI875" i="76"/>
  <c r="BP819" i="76"/>
  <c r="AI376" i="76"/>
  <c r="BP970" i="76"/>
  <c r="BP514" i="76"/>
  <c r="BP168" i="76"/>
  <c r="BP773" i="76"/>
  <c r="AI830" i="76"/>
  <c r="BP270" i="76"/>
  <c r="AI673" i="76"/>
  <c r="AI278" i="76"/>
  <c r="AI396" i="76"/>
  <c r="AI379" i="76"/>
  <c r="BP259" i="76"/>
  <c r="BP133" i="76"/>
  <c r="AI259" i="76"/>
  <c r="BP982" i="76"/>
  <c r="BP980" i="76"/>
  <c r="BP188" i="76"/>
  <c r="AI801" i="76"/>
  <c r="BP1016" i="76"/>
  <c r="AI176" i="76"/>
  <c r="AI701" i="76"/>
  <c r="BP901" i="76"/>
  <c r="BP559" i="76"/>
  <c r="AI82" i="76"/>
  <c r="AI672" i="76"/>
  <c r="AI1041" i="76"/>
  <c r="AI161" i="76"/>
  <c r="AI410" i="76"/>
  <c r="AI143" i="76"/>
  <c r="BP500" i="76"/>
  <c r="AI598" i="76"/>
  <c r="AI290" i="76"/>
  <c r="BP956" i="76"/>
  <c r="AI1001" i="76"/>
  <c r="BP139" i="76"/>
  <c r="AI881" i="76"/>
  <c r="BP1051" i="76"/>
  <c r="BP138" i="76"/>
  <c r="AI185" i="76"/>
  <c r="BP328" i="76"/>
  <c r="BP1029" i="76"/>
  <c r="AI894" i="76"/>
  <c r="BP987" i="76"/>
  <c r="AI577" i="76"/>
  <c r="BP958" i="76"/>
  <c r="AI498" i="76"/>
  <c r="BP945" i="76"/>
  <c r="AI713" i="76"/>
  <c r="AI892" i="76"/>
  <c r="BP79" i="76"/>
  <c r="BP374" i="76"/>
  <c r="BP202" i="76"/>
  <c r="AI336" i="76"/>
  <c r="AI299" i="76"/>
  <c r="AI480" i="76"/>
  <c r="AI821" i="76"/>
  <c r="AI399" i="76"/>
  <c r="AI244" i="76"/>
  <c r="BP206" i="76"/>
  <c r="BP770" i="76"/>
  <c r="BP656" i="76"/>
  <c r="AI645" i="76"/>
  <c r="BP1034" i="76"/>
  <c r="AI271" i="76"/>
  <c r="AI144" i="76"/>
  <c r="AI812" i="76"/>
  <c r="AI782" i="76"/>
  <c r="AI326" i="76"/>
  <c r="BP295" i="76"/>
  <c r="AI967" i="76"/>
  <c r="AI232" i="76"/>
  <c r="AI328" i="76"/>
  <c r="BP542" i="76"/>
  <c r="BP666" i="76"/>
  <c r="AI442" i="76"/>
  <c r="BP321" i="76"/>
  <c r="BP851" i="76"/>
  <c r="BP1060" i="76"/>
  <c r="BP959" i="76"/>
  <c r="AI803" i="76"/>
  <c r="AI101" i="76"/>
  <c r="BP975" i="76"/>
  <c r="BP616" i="76"/>
  <c r="BP277" i="76"/>
  <c r="AI683" i="76"/>
  <c r="AI1011" i="76"/>
  <c r="AI181" i="76"/>
  <c r="BP596" i="76"/>
  <c r="AI325" i="76"/>
  <c r="AI112" i="76"/>
  <c r="BP943" i="76"/>
  <c r="AI832" i="76"/>
  <c r="BP660" i="76"/>
  <c r="BP191" i="76"/>
  <c r="BP125" i="76"/>
  <c r="AI113" i="76"/>
  <c r="AI206" i="76"/>
  <c r="BP195" i="76"/>
  <c r="BP839" i="76"/>
  <c r="BP652" i="76"/>
  <c r="BP267" i="76"/>
  <c r="AI423" i="76"/>
  <c r="AI69" i="76"/>
  <c r="AI419" i="76"/>
  <c r="AI777" i="76"/>
  <c r="BP711" i="76"/>
  <c r="BP387" i="76"/>
  <c r="BP341" i="76"/>
  <c r="AI607" i="76"/>
  <c r="BP771" i="76"/>
  <c r="AI873" i="76"/>
  <c r="BP829" i="76"/>
  <c r="BP1004" i="76"/>
  <c r="AI403" i="76"/>
  <c r="BP834" i="76"/>
  <c r="BP796" i="76"/>
  <c r="BP444" i="76"/>
  <c r="AI301" i="76"/>
  <c r="BP185" i="76"/>
  <c r="BP108" i="76"/>
  <c r="BP385" i="76"/>
  <c r="AI827" i="76"/>
  <c r="AI696" i="76"/>
  <c r="AI591" i="76"/>
  <c r="AI842" i="76"/>
  <c r="AI939" i="76"/>
  <c r="AI261" i="76"/>
  <c r="BP497" i="76"/>
  <c r="AI618" i="76"/>
  <c r="AI431" i="76"/>
  <c r="BP411" i="76"/>
  <c r="AI1062" i="76"/>
  <c r="AI556" i="76"/>
  <c r="BP632" i="76"/>
  <c r="AI609" i="76"/>
  <c r="BP77" i="76"/>
  <c r="BP304" i="76"/>
  <c r="BP708" i="76"/>
  <c r="BP198" i="76"/>
  <c r="BP630" i="76"/>
  <c r="BP155" i="76"/>
  <c r="BP572" i="76"/>
  <c r="AI111" i="76"/>
  <c r="BP546" i="76"/>
  <c r="AI353" i="76"/>
  <c r="AI469" i="76"/>
  <c r="AI135" i="76"/>
  <c r="AI755" i="76"/>
  <c r="BP733" i="76"/>
  <c r="BP228" i="76"/>
  <c r="BP680" i="76"/>
  <c r="AI141" i="76"/>
  <c r="BP988" i="76"/>
  <c r="AI735" i="76"/>
  <c r="AI216" i="76"/>
  <c r="BP252" i="76"/>
  <c r="AI669" i="76"/>
  <c r="BP1046" i="76"/>
  <c r="AI807" i="76"/>
  <c r="BP518" i="76"/>
  <c r="BP731" i="76"/>
  <c r="AI817" i="76"/>
  <c r="AI951" i="76"/>
  <c r="AI955" i="76"/>
  <c r="BP192" i="76"/>
  <c r="AI658" i="76"/>
  <c r="BP691" i="76"/>
  <c r="BP379" i="76"/>
  <c r="AI1022" i="76"/>
  <c r="AI434" i="76"/>
  <c r="AI719" i="76"/>
  <c r="AI549" i="76"/>
  <c r="AI890" i="76"/>
  <c r="BP622" i="76"/>
  <c r="BP751" i="76"/>
  <c r="AI92" i="76"/>
  <c r="BP1050" i="76"/>
  <c r="BP1062" i="76"/>
  <c r="BP619" i="76"/>
  <c r="BP428" i="76"/>
  <c r="AI918" i="76"/>
  <c r="AI900" i="76"/>
  <c r="AI346" i="76"/>
  <c r="AI194" i="76"/>
  <c r="BP884" i="76"/>
  <c r="BP540" i="76"/>
  <c r="AI641" i="76"/>
  <c r="AI189" i="76"/>
  <c r="AI491" i="76"/>
  <c r="AI118" i="76"/>
  <c r="BP403" i="76"/>
  <c r="BP753" i="76"/>
  <c r="AI276" i="76"/>
  <c r="BP140" i="76"/>
  <c r="BP702" i="76"/>
  <c r="BP241" i="76"/>
  <c r="AI482" i="76"/>
  <c r="AI680" i="76"/>
  <c r="BP703" i="76"/>
  <c r="AI314" i="76"/>
  <c r="AI1008" i="76"/>
  <c r="BP255" i="76"/>
  <c r="BP824" i="76"/>
  <c r="AI174" i="76"/>
  <c r="AI605" i="76"/>
  <c r="BP1067" i="76"/>
  <c r="AI943" i="76"/>
  <c r="AI730" i="76"/>
  <c r="AI499" i="76"/>
  <c r="BP625" i="76"/>
  <c r="AI624" i="76"/>
  <c r="AI642" i="76"/>
  <c r="AI989" i="76"/>
  <c r="BP485" i="76"/>
  <c r="AI495" i="76"/>
  <c r="AI493" i="76"/>
  <c r="BP179" i="76"/>
  <c r="AI459" i="76"/>
  <c r="AI880" i="76"/>
  <c r="BP997" i="76"/>
  <c r="AI94" i="76"/>
  <c r="BP526" i="76"/>
  <c r="AI391" i="76"/>
  <c r="BP137" i="76"/>
  <c r="AI652" i="76"/>
  <c r="BP831" i="76"/>
  <c r="BP145" i="76"/>
  <c r="AI1003" i="76"/>
  <c r="AI1060" i="76"/>
  <c r="AI819" i="76"/>
  <c r="BP996" i="76"/>
  <c r="BP1025" i="76"/>
  <c r="BP1015" i="76"/>
  <c r="AI942" i="76"/>
  <c r="AI258" i="76"/>
  <c r="AI724" i="76"/>
  <c r="AI676" i="76"/>
  <c r="BP312" i="76"/>
  <c r="BP775" i="76"/>
  <c r="BP230" i="76"/>
  <c r="AI650" i="76"/>
  <c r="BP480" i="76"/>
  <c r="AI389" i="76"/>
  <c r="AI453" i="76"/>
  <c r="BP1044" i="76"/>
  <c r="AI452" i="76"/>
  <c r="BP148" i="76"/>
  <c r="AI136" i="76"/>
  <c r="BP351" i="76"/>
  <c r="BP645" i="76"/>
  <c r="BP602" i="76"/>
  <c r="BP355" i="76"/>
  <c r="BP955" i="76"/>
  <c r="BP377" i="76"/>
  <c r="AI404" i="76"/>
  <c r="AI823" i="76"/>
  <c r="AI510" i="76"/>
  <c r="AI289" i="76"/>
  <c r="AI703" i="76"/>
  <c r="BP452" i="76"/>
  <c r="BP662" i="76"/>
  <c r="AI940" i="76"/>
  <c r="AI191" i="76"/>
  <c r="AI979" i="76"/>
  <c r="AI784" i="76"/>
  <c r="AI990" i="76"/>
  <c r="BP678" i="76"/>
  <c r="AI863" i="76"/>
  <c r="BP323" i="76"/>
  <c r="BP348" i="76"/>
  <c r="AI506" i="76"/>
  <c r="BP203" i="76"/>
  <c r="BP555" i="76"/>
  <c r="AI208" i="76"/>
  <c r="AI981" i="76"/>
  <c r="BP548" i="76"/>
  <c r="BP1052" i="76"/>
  <c r="BP802" i="76"/>
  <c r="BP805" i="76"/>
  <c r="AI901" i="76"/>
  <c r="AI147" i="76"/>
  <c r="AI747" i="76"/>
  <c r="BP417" i="76"/>
  <c r="BP474" i="76"/>
  <c r="AI927" i="76"/>
  <c r="AI799" i="76"/>
  <c r="BP778" i="76"/>
  <c r="BP789" i="76"/>
  <c r="BP653" i="76"/>
  <c r="BP962" i="76"/>
  <c r="AI512" i="76"/>
  <c r="BP860" i="76"/>
  <c r="BP242" i="76"/>
  <c r="AI575" i="76"/>
  <c r="BP332" i="76"/>
  <c r="AI998" i="76"/>
  <c r="BP895" i="76"/>
  <c r="AI397" i="76"/>
  <c r="AI840" i="76"/>
  <c r="AI716" i="76"/>
  <c r="AI99" i="76"/>
  <c r="AI662" i="76"/>
  <c r="BP274" i="76"/>
  <c r="AI602" i="76"/>
  <c r="AI166" i="76"/>
  <c r="BP769" i="76"/>
  <c r="AI130" i="76"/>
  <c r="AI913" i="76"/>
  <c r="AI865" i="76"/>
  <c r="BP384" i="76"/>
  <c r="BP584" i="76"/>
  <c r="AI310" i="76"/>
  <c r="AI429" i="76"/>
  <c r="BP903" i="76"/>
  <c r="AI906" i="76"/>
  <c r="BP176" i="76"/>
  <c r="BP442" i="76"/>
  <c r="BP709" i="76"/>
  <c r="BP841" i="76"/>
  <c r="BP508" i="76"/>
  <c r="BP356" i="76"/>
  <c r="BP231" i="76"/>
  <c r="AI142" i="76"/>
  <c r="AI536" i="76"/>
  <c r="BP1048" i="76"/>
  <c r="AI839" i="76"/>
  <c r="AI597" i="76"/>
  <c r="BP812" i="76"/>
  <c r="BP1035" i="76"/>
  <c r="BP892" i="76"/>
  <c r="BP469" i="76"/>
  <c r="BP517" i="76"/>
  <c r="AI362" i="76"/>
  <c r="BP420" i="76"/>
  <c r="BP342" i="76"/>
  <c r="BP912" i="76"/>
  <c r="AI133" i="76"/>
  <c r="BP499" i="76"/>
  <c r="BP936" i="76"/>
  <c r="AI318" i="76"/>
  <c r="BP879" i="76"/>
  <c r="AI461" i="76"/>
  <c r="BP868" i="76"/>
  <c r="BP545" i="76"/>
  <c r="BP95" i="76"/>
  <c r="AI1009" i="76"/>
  <c r="AI476" i="76"/>
  <c r="BP928" i="76"/>
  <c r="BP790" i="76"/>
  <c r="BP624" i="76"/>
  <c r="BP194" i="76"/>
  <c r="BP713" i="76"/>
  <c r="BP940" i="76"/>
  <c r="AI1036" i="76"/>
  <c r="BP488" i="76"/>
  <c r="AI109" i="76"/>
  <c r="BP1008" i="76"/>
  <c r="BP748" i="76"/>
  <c r="BP1000" i="76"/>
  <c r="AI497" i="76"/>
  <c r="AI893" i="76"/>
  <c r="AI616" i="76"/>
  <c r="AI769" i="76"/>
  <c r="AI152" i="76"/>
  <c r="BP393" i="76"/>
  <c r="AI919" i="76"/>
  <c r="AI643" i="76"/>
  <c r="BP197" i="76"/>
  <c r="AI611" i="76"/>
  <c r="BP886" i="76"/>
  <c r="BP637" i="76"/>
  <c r="BP611" i="76"/>
  <c r="BP620" i="76"/>
  <c r="BP190" i="76"/>
  <c r="AI566" i="76"/>
  <c r="AI563" i="76"/>
  <c r="BP966" i="76"/>
  <c r="BP822" i="76"/>
  <c r="AI508" i="76"/>
  <c r="AI180" i="76"/>
  <c r="AI681" i="76"/>
  <c r="BP726" i="76"/>
  <c r="BP319" i="76"/>
  <c r="BP382" i="76"/>
  <c r="AI367" i="76"/>
  <c r="AI751" i="76"/>
  <c r="BP634" i="76"/>
  <c r="BP614" i="76"/>
  <c r="AI806" i="76"/>
  <c r="BP794" i="76"/>
  <c r="BP175" i="76"/>
  <c r="BP924" i="76"/>
  <c r="AI441" i="76"/>
  <c r="BP821" i="76"/>
  <c r="BP803" i="76"/>
  <c r="BP909" i="76"/>
  <c r="BP113" i="76"/>
  <c r="BP116" i="76"/>
  <c r="BP213" i="76"/>
  <c r="BP438" i="76"/>
  <c r="AI344" i="76"/>
  <c r="AI554" i="76"/>
  <c r="AI813" i="76"/>
  <c r="AI960" i="76"/>
  <c r="BP621" i="76"/>
  <c r="BP343" i="76"/>
  <c r="AI444" i="76"/>
  <c r="BP1045" i="76"/>
  <c r="AI856" i="76"/>
  <c r="BP170" i="76"/>
  <c r="AI1064" i="76"/>
  <c r="AI265" i="76"/>
  <c r="BP247" i="76"/>
  <c r="AI621" i="76"/>
  <c r="BP184" i="76"/>
  <c r="AI96" i="76"/>
  <c r="AI262" i="76"/>
  <c r="BP156" i="76"/>
  <c r="AI959" i="76"/>
  <c r="BP515" i="76"/>
  <c r="BP978" i="76"/>
  <c r="BP963" i="76"/>
  <c r="AI963" i="76"/>
  <c r="BP544" i="76"/>
  <c r="AI741" i="76"/>
  <c r="BP491" i="76"/>
  <c r="BP425" i="76"/>
  <c r="BP220" i="76"/>
  <c r="BP914" i="76"/>
  <c r="BP883" i="76"/>
  <c r="AI982" i="76"/>
  <c r="BP152" i="76"/>
  <c r="BP463" i="76"/>
  <c r="BP1022" i="76"/>
  <c r="BP460" i="76"/>
  <c r="BP503" i="76"/>
  <c r="AI744" i="76"/>
  <c r="AI854" i="76"/>
  <c r="AI599" i="76"/>
  <c r="AI1055" i="76"/>
  <c r="AI1023" i="76"/>
  <c r="BP845" i="76"/>
  <c r="AI167" i="76"/>
  <c r="AI394" i="76"/>
  <c r="BP402" i="76"/>
  <c r="AI521" i="76"/>
  <c r="BP275" i="76"/>
  <c r="AI445" i="76"/>
  <c r="BP104" i="76"/>
  <c r="BP552" i="76"/>
  <c r="BP504" i="76"/>
  <c r="AI778" i="76"/>
  <c r="BP120" i="76"/>
  <c r="BP339" i="76"/>
  <c r="AI369" i="76"/>
  <c r="AI909" i="76"/>
  <c r="AI78" i="76"/>
  <c r="AI518" i="76"/>
  <c r="BP74" i="76"/>
  <c r="BP889" i="76"/>
  <c r="AI470" i="76"/>
  <c r="AI1067" i="76"/>
  <c r="BP588" i="76"/>
  <c r="AI255" i="76"/>
  <c r="BP930" i="76"/>
  <c r="BP73" i="76"/>
  <c r="AI1061" i="76"/>
  <c r="BP432" i="76"/>
  <c r="BP635" i="76"/>
  <c r="AI610" i="76"/>
  <c r="BP1036" i="76"/>
  <c r="AI455" i="76"/>
  <c r="AI70" i="76"/>
  <c r="BP1006" i="76"/>
  <c r="BP83" i="76"/>
  <c r="AI1037" i="76"/>
  <c r="BP791" i="76"/>
  <c r="AI157" i="76"/>
  <c r="AI569" i="76"/>
  <c r="AI659" i="76"/>
  <c r="AI731" i="76"/>
  <c r="AI723" i="76"/>
  <c r="BP509" i="76"/>
  <c r="BP706" i="76"/>
  <c r="AI322" i="76"/>
  <c r="BP254" i="76"/>
  <c r="BP786" i="76"/>
  <c r="AI996" i="76"/>
  <c r="BP476" i="76"/>
  <c r="BP565" i="76"/>
  <c r="BP161" i="76"/>
  <c r="AI77" i="76"/>
  <c r="BP583" i="76"/>
  <c r="BP209" i="76"/>
  <c r="BP707" i="76"/>
  <c r="BP1030" i="76"/>
  <c r="BP412" i="76"/>
  <c r="BP698" i="76"/>
  <c r="AI228" i="76"/>
  <c r="AI831" i="76"/>
  <c r="BP543" i="76"/>
  <c r="AI1051" i="76"/>
  <c r="BP441" i="76"/>
  <c r="BP363" i="76"/>
  <c r="AI117" i="76"/>
  <c r="BP424" i="76"/>
  <c r="AI836" i="76"/>
  <c r="BP979" i="76"/>
  <c r="AI564" i="76"/>
  <c r="AI412" i="76"/>
  <c r="BP487" i="76"/>
  <c r="BP983" i="76"/>
  <c r="BP394" i="76"/>
  <c r="AI170" i="76"/>
  <c r="BP976" i="76"/>
  <c r="BP890" i="76"/>
  <c r="AI1038" i="76"/>
  <c r="AI1058" i="76"/>
  <c r="AI1031" i="76"/>
  <c r="AI268" i="76"/>
  <c r="AI457" i="76"/>
  <c r="BP1056" i="76"/>
  <c r="AI743" i="76"/>
  <c r="BP293" i="76"/>
  <c r="AI961" i="76"/>
  <c r="AI437" i="76"/>
  <c r="AI678" i="76"/>
  <c r="AI786" i="76"/>
  <c r="AI222" i="76"/>
  <c r="AI139" i="76"/>
  <c r="AI822" i="76"/>
  <c r="AI644" i="76"/>
  <c r="BP493" i="76"/>
  <c r="AI766" i="76"/>
  <c r="BP316" i="76"/>
  <c r="AI106" i="76"/>
  <c r="BP99" i="76"/>
  <c r="AI1006" i="76"/>
  <c r="AI74" i="76"/>
  <c r="BP219" i="76"/>
  <c r="BP513" i="76"/>
  <c r="AI546" i="76"/>
  <c r="BP187" i="76"/>
  <c r="AI1002" i="76"/>
  <c r="AI936" i="76"/>
  <c r="AI211" i="76"/>
  <c r="BP282" i="76"/>
  <c r="AI447" i="76"/>
  <c r="AI1033" i="76"/>
  <c r="AI283" i="76"/>
  <c r="AI73" i="76"/>
  <c r="BP1014" i="76"/>
  <c r="BP833" i="76"/>
  <c r="BP603" i="76"/>
  <c r="AI371" i="76"/>
  <c r="BP605" i="76"/>
  <c r="BP366" i="76"/>
  <c r="AI710" i="76"/>
  <c r="BP539" i="76"/>
  <c r="BP674" i="76"/>
  <c r="BP825" i="76"/>
  <c r="BP690" i="76"/>
  <c r="BP934" i="76"/>
  <c r="BP902" i="76"/>
  <c r="AI999" i="76"/>
  <c r="AI887" i="76"/>
  <c r="AI798" i="76"/>
  <c r="AI1045" i="76"/>
  <c r="BP389" i="76"/>
  <c r="BP985" i="76"/>
  <c r="BP986" i="76"/>
  <c r="BP947" i="76"/>
  <c r="BP646" i="76"/>
  <c r="BP454" i="76"/>
  <c r="BP869" i="76"/>
  <c r="AI811" i="76"/>
  <c r="AI463" i="76"/>
  <c r="BP668" i="76"/>
  <c r="AI347" i="76"/>
  <c r="BP1064" i="76"/>
  <c r="BP290" i="76"/>
  <c r="BP400" i="76"/>
  <c r="AI324" i="76"/>
  <c r="AI558" i="76"/>
  <c r="AI910" i="76"/>
  <c r="BP779" i="76"/>
  <c r="BP671" i="76"/>
  <c r="BP527" i="76"/>
  <c r="BP1001" i="76"/>
  <c r="BP629" i="76"/>
  <c r="BP695" i="76"/>
  <c r="BP80" i="76"/>
  <c r="AI859" i="76"/>
  <c r="AI729" i="76"/>
  <c r="AI934" i="76"/>
  <c r="BP258" i="76"/>
  <c r="AI355" i="76"/>
  <c r="AI923" i="76"/>
  <c r="BP870" i="76"/>
  <c r="AI477" i="76"/>
  <c r="AI1024" i="76"/>
  <c r="AI435" i="76"/>
  <c r="BP736" i="76"/>
  <c r="AI264" i="76"/>
  <c r="BP182" i="76"/>
  <c r="BP961" i="76"/>
  <c r="AI148" i="76"/>
  <c r="BP836" i="76"/>
  <c r="BP174" i="76"/>
  <c r="AI606" i="76"/>
  <c r="BP968" i="76"/>
  <c r="BP562" i="76"/>
  <c r="AI151" i="76"/>
  <c r="AI361" i="76"/>
  <c r="BP998" i="76"/>
  <c r="BP906" i="76"/>
  <c r="AI685" i="76"/>
  <c r="BP472" i="76"/>
  <c r="BP908" i="76"/>
  <c r="BP458" i="76"/>
  <c r="BP585" i="76"/>
  <c r="AI351" i="76"/>
  <c r="AI965" i="76"/>
  <c r="BP112" i="76"/>
  <c r="AI524" i="76"/>
  <c r="AI84" i="76"/>
  <c r="BP981" i="76"/>
  <c r="AI378" i="76"/>
  <c r="AI845" i="76"/>
  <c r="BP1042" i="76"/>
  <c r="AI312" i="76"/>
  <c r="AI544" i="76"/>
  <c r="AI763" i="76"/>
  <c r="BP461" i="76"/>
  <c r="AI920" i="76"/>
  <c r="BP253" i="76"/>
  <c r="AI1007" i="76"/>
  <c r="AI1043" i="76"/>
  <c r="BP305" i="76"/>
  <c r="AI879" i="76"/>
  <c r="AI390" i="76"/>
  <c r="AI440" i="76"/>
  <c r="AI617" i="76"/>
  <c r="AI380" i="76"/>
  <c r="BP885" i="76"/>
  <c r="AI220" i="76"/>
  <c r="BP506" i="76"/>
  <c r="AI1042" i="76"/>
  <c r="BP248" i="76"/>
  <c r="BP899" i="76"/>
  <c r="AI107" i="76"/>
  <c r="AI467" i="76"/>
  <c r="AI718" i="76"/>
  <c r="BP855" i="76"/>
  <c r="AI321" i="76"/>
  <c r="AI93" i="76"/>
  <c r="AI357" i="76"/>
  <c r="BP1027" i="76"/>
  <c r="AI922" i="76"/>
  <c r="BP740" i="76"/>
  <c r="AI87" i="76"/>
  <c r="AI485" i="76"/>
  <c r="BP676" i="76"/>
  <c r="AI158" i="76"/>
  <c r="AI184" i="76"/>
  <c r="BP756" i="76"/>
  <c r="AI750" i="76"/>
  <c r="AI281" i="76"/>
  <c r="BP169" i="76"/>
  <c r="BP995" i="76"/>
  <c r="AI190" i="76"/>
  <c r="BP755" i="76"/>
  <c r="AI523" i="76"/>
  <c r="AI740" i="76"/>
  <c r="BP91" i="76"/>
  <c r="BP430" i="76"/>
  <c r="BP780" i="76"/>
  <c r="BP245" i="76"/>
  <c r="AI360" i="76"/>
  <c r="BP960" i="76"/>
  <c r="BP808" i="76"/>
  <c r="BP853" i="76"/>
  <c r="AI496" i="76"/>
  <c r="AI944" i="76"/>
  <c r="BP561" i="76"/>
  <c r="AI815" i="76"/>
  <c r="BP673" i="76"/>
  <c r="AI706" i="76"/>
  <c r="AI417" i="76"/>
  <c r="AI753" i="76"/>
  <c r="BP642" i="76"/>
  <c r="BP153" i="76"/>
  <c r="BP938" i="76"/>
  <c r="BP110" i="76"/>
  <c r="BP929" i="76"/>
  <c r="AI186" i="76"/>
  <c r="AI787" i="76"/>
  <c r="AI866" i="76"/>
  <c r="AI795" i="76"/>
  <c r="BP311" i="76"/>
  <c r="AI568" i="76"/>
  <c r="AI978" i="76"/>
  <c r="BP784" i="76"/>
  <c r="AI531" i="76"/>
  <c r="BP550" i="76"/>
  <c r="AI1000" i="76"/>
  <c r="AI987" i="76"/>
  <c r="BP989" i="76"/>
  <c r="BP888" i="76"/>
  <c r="BP728" i="76"/>
  <c r="AI583" i="76"/>
  <c r="AI712" i="76"/>
  <c r="BP1018" i="76"/>
  <c r="AI868" i="76"/>
  <c r="AI772" i="76"/>
  <c r="AI925" i="76"/>
  <c r="AI708" i="76"/>
  <c r="BP1043" i="76"/>
  <c r="AI533" i="76"/>
  <c r="AI702" i="76"/>
  <c r="BP330" i="76"/>
  <c r="AI559" i="76"/>
  <c r="AI539" i="76"/>
  <c r="BP730" i="76"/>
  <c r="BP528" i="76"/>
  <c r="AI302" i="76"/>
  <c r="AI511" i="76"/>
  <c r="BP641" i="76"/>
  <c r="AI1015" i="76"/>
  <c r="AI921" i="76"/>
  <c r="BP459" i="76"/>
  <c r="BP1012" i="76"/>
  <c r="BP787" i="76"/>
  <c r="AI770" i="76"/>
  <c r="BP776" i="76"/>
  <c r="BP683" i="76"/>
  <c r="AI1027" i="76"/>
  <c r="BP741" i="76"/>
  <c r="AI420" i="76"/>
  <c r="BP871" i="76"/>
  <c r="BP717" i="76"/>
  <c r="BP764" i="76"/>
  <c r="BP722" i="76"/>
  <c r="BP863" i="76"/>
  <c r="AI274" i="76"/>
  <c r="BP199" i="76"/>
  <c r="BP574" i="76"/>
  <c r="BP507" i="76"/>
  <c r="BP281" i="76"/>
  <c r="BP235" i="76"/>
  <c r="AI596" i="76"/>
  <c r="BP669" i="76"/>
  <c r="BP419" i="76"/>
  <c r="AI953" i="76"/>
  <c r="BP685" i="76"/>
  <c r="BP521" i="76"/>
  <c r="BP693" i="76"/>
  <c r="AI699" i="76"/>
  <c r="AI329" i="76"/>
  <c r="BP944" i="76"/>
  <c r="BP800" i="76"/>
  <c r="AI494" i="76"/>
  <c r="AI297" i="76"/>
  <c r="BP729" i="76"/>
  <c r="AI912" i="76"/>
  <c r="AI115" i="76"/>
  <c r="AI246" i="76"/>
  <c r="AI788" i="76"/>
  <c r="BP973" i="76"/>
  <c r="AI1032" i="76"/>
  <c r="BP352" i="76"/>
  <c r="BP127" i="76"/>
  <c r="AI908" i="76"/>
  <c r="BP320" i="76"/>
  <c r="BP785" i="76"/>
  <c r="BP300" i="76"/>
  <c r="BP401" i="76"/>
  <c r="AI1040" i="76"/>
  <c r="AI695" i="76"/>
  <c r="BP158" i="76"/>
  <c r="AI994" i="76"/>
  <c r="BP130" i="76"/>
  <c r="AI287" i="76"/>
  <c r="BP719" i="76"/>
  <c r="BP705" i="76"/>
  <c r="BP607" i="76"/>
  <c r="BP725" i="76"/>
  <c r="BP353" i="76"/>
  <c r="AI393" i="76"/>
  <c r="BP686" i="76"/>
  <c r="BP172" i="76"/>
  <c r="AI81" i="76"/>
  <c r="BP97" i="76"/>
  <c r="AI163" i="76"/>
  <c r="BP1065" i="76"/>
  <c r="BP450" i="76"/>
  <c r="BP429" i="76"/>
  <c r="AI613" i="76"/>
  <c r="AI630" i="76"/>
  <c r="BP234" i="76"/>
  <c r="AI164" i="76"/>
  <c r="BP471" i="76"/>
  <c r="AI254" i="76"/>
  <c r="AI619" i="76"/>
  <c r="BP830" i="76"/>
  <c r="BP409" i="76"/>
  <c r="AI579" i="76"/>
  <c r="AI952" i="76"/>
  <c r="BP568" i="76"/>
  <c r="BP919" i="76"/>
  <c r="AI282" i="76"/>
  <c r="AI484" i="76"/>
  <c r="AI349" i="76"/>
  <c r="AI648" i="76"/>
  <c r="AI307" i="76"/>
  <c r="BP788" i="76"/>
  <c r="AI781" i="76"/>
  <c r="BP1017" i="76"/>
  <c r="BP704" i="76"/>
  <c r="AI209" i="76"/>
  <c r="AI263" i="76"/>
  <c r="BP483" i="76"/>
  <c r="AI1056" i="76"/>
  <c r="AI527" i="76"/>
  <c r="BP563" i="76"/>
  <c r="AI122" i="76"/>
  <c r="AI502" i="76"/>
  <c r="AI91" i="76"/>
  <c r="AI949" i="76"/>
  <c r="BP932" i="76"/>
  <c r="AI638" i="76"/>
  <c r="AI1004" i="76"/>
  <c r="BP397" i="76"/>
  <c r="AI800" i="76"/>
  <c r="AI687" i="76"/>
  <c r="BP325" i="76"/>
  <c r="AI917" i="76"/>
  <c r="AI154" i="76"/>
  <c r="BP367" i="76"/>
  <c r="AI948" i="76"/>
  <c r="AI386" i="76"/>
  <c r="BP106" i="76"/>
  <c r="BP749" i="76"/>
  <c r="BP557" i="76"/>
  <c r="BP223" i="76"/>
  <c r="AI501" i="76"/>
  <c r="BP739" i="76"/>
  <c r="BP551" i="76"/>
  <c r="AI634" i="76"/>
  <c r="BP464" i="76"/>
  <c r="AI472" i="76"/>
  <c r="AI199" i="76"/>
  <c r="AI886" i="76"/>
  <c r="BP1020" i="76"/>
  <c r="AI247" i="76"/>
  <c r="AI550" i="76"/>
  <c r="BP710" i="76"/>
  <c r="BP251" i="76"/>
  <c r="BP935" i="76"/>
  <c r="AI971" i="76"/>
  <c r="BP154" i="76"/>
  <c r="AI363" i="76"/>
  <c r="BP600" i="76"/>
  <c r="AI945" i="76"/>
  <c r="BP78" i="76"/>
  <c r="AI436" i="76"/>
  <c r="BP992" i="76"/>
  <c r="BP524" i="76"/>
  <c r="BP75" i="76"/>
  <c r="AI946" i="76"/>
  <c r="BP757" i="76"/>
  <c r="AI384" i="76"/>
  <c r="BP639" i="76"/>
  <c r="AI517" i="76"/>
  <c r="BP256" i="76"/>
  <c r="AI962" i="76"/>
  <c r="BP575" i="76"/>
  <c r="BP102" i="76"/>
  <c r="BP523" i="76"/>
  <c r="AI1063" i="76"/>
  <c r="BP586" i="76"/>
  <c r="BP866" i="76"/>
  <c r="AI738" i="76"/>
  <c r="BP492" i="76"/>
  <c r="BP723" i="76"/>
  <c r="BP931" i="76"/>
  <c r="AI448" i="76"/>
  <c r="AI976" i="76"/>
  <c r="AI891" i="76"/>
  <c r="AI110" i="76"/>
  <c r="AI492" i="76"/>
  <c r="BP494" i="76"/>
  <c r="BP623" i="76"/>
  <c r="AI867" i="76"/>
  <c r="AI674" i="76"/>
  <c r="AI736" i="76"/>
  <c r="BP329" i="76"/>
  <c r="BP344" i="76"/>
  <c r="AI1020" i="76"/>
  <c r="AI850" i="76"/>
  <c r="BP939" i="76"/>
  <c r="AI327" i="76"/>
  <c r="BP505" i="76"/>
  <c r="BP186" i="76"/>
  <c r="BP301" i="76"/>
  <c r="AI89" i="76"/>
  <c r="AI90" i="76"/>
  <c r="BP560" i="76"/>
  <c r="BP712" i="76"/>
  <c r="AI692" i="76"/>
  <c r="AI119" i="76"/>
  <c r="AI303" i="76"/>
  <c r="AI295" i="76"/>
  <c r="AI471" i="76"/>
  <c r="AI188" i="76"/>
  <c r="BP317" i="76"/>
  <c r="AI202" i="76"/>
  <c r="BP160" i="76"/>
  <c r="AI805" i="76"/>
  <c r="AI400" i="76"/>
  <c r="BP445" i="76"/>
  <c r="AI1012" i="76"/>
  <c r="AI972" i="76"/>
  <c r="BP371" i="76"/>
  <c r="AI757" i="76"/>
  <c r="AI104" i="76"/>
  <c r="BP566" i="76"/>
  <c r="BP699" i="76"/>
  <c r="AI932" i="76"/>
  <c r="BP511" i="76"/>
  <c r="AI438" i="76"/>
  <c r="BP965" i="76"/>
  <c r="BP781" i="76"/>
  <c r="AI858" i="76"/>
  <c r="BP1039" i="76"/>
  <c r="BP721" i="76"/>
  <c r="AI516" i="76"/>
  <c r="BP142" i="76"/>
  <c r="AI146" i="76"/>
  <c r="AI928" i="76"/>
  <c r="AI872" i="76"/>
  <c r="AI686" i="76"/>
  <c r="AI1048" i="76"/>
  <c r="AI828" i="76"/>
  <c r="AI535" i="76"/>
  <c r="BP1059" i="76"/>
  <c r="AI439" i="76"/>
  <c r="BP264" i="76"/>
  <c r="BP100" i="76"/>
  <c r="AI902" i="76"/>
  <c r="BP375" i="76"/>
  <c r="BP318" i="76"/>
  <c r="AI691" i="76"/>
  <c r="AI838" i="76"/>
  <c r="BP289" i="76"/>
  <c r="BP752" i="76"/>
  <c r="BP631" i="76"/>
  <c r="AI526" i="76"/>
  <c r="BP811" i="76"/>
  <c r="AI534" i="76"/>
  <c r="BP418" i="76"/>
  <c r="BP814" i="76"/>
  <c r="BP856" i="76"/>
  <c r="AI898" i="76"/>
  <c r="AI514" i="76"/>
  <c r="BP798" i="76"/>
  <c r="AI926" i="76"/>
  <c r="AI238" i="76"/>
  <c r="BP589" i="76"/>
  <c r="AI561" i="76"/>
  <c r="BP529" i="76"/>
  <c r="AI245" i="76"/>
  <c r="BP569" i="76"/>
  <c r="AI98" i="76"/>
  <c r="AI339" i="76"/>
  <c r="AI205" i="76"/>
  <c r="BP969" i="76"/>
  <c r="BP217" i="76"/>
  <c r="AI780" i="76"/>
  <c r="BP368" i="76"/>
  <c r="AI207" i="76"/>
  <c r="AI504" i="76"/>
  <c r="AI1039" i="76"/>
  <c r="AI734" i="76"/>
  <c r="AI298" i="76"/>
  <c r="BP628" i="76"/>
  <c r="BP236" i="76"/>
  <c r="AI941" i="76"/>
  <c r="AI513" i="76"/>
  <c r="BP813" i="76"/>
  <c r="AI140" i="76"/>
  <c r="BP531" i="76"/>
  <c r="BP922" i="76"/>
  <c r="AI433" i="76"/>
  <c r="BP714" i="76"/>
  <c r="BP687" i="76"/>
  <c r="AI765" i="76"/>
  <c r="BP421" i="76"/>
  <c r="BP762" i="76"/>
  <c r="BP167" i="76"/>
  <c r="AI179" i="76"/>
  <c r="AI368" i="76"/>
  <c r="AI779" i="76"/>
  <c r="BP876" i="76"/>
  <c r="AI197" i="76"/>
  <c r="BP437" i="76"/>
  <c r="BP141" i="76"/>
  <c r="BP448" i="76"/>
  <c r="BP859" i="76"/>
  <c r="BP738" i="76"/>
  <c r="AI80" i="76"/>
  <c r="BP972" i="76"/>
  <c r="AI401" i="76"/>
  <c r="BP136" i="76"/>
  <c r="BP309" i="76"/>
  <c r="BP516" i="76"/>
  <c r="BP376" i="76"/>
  <c r="BP835" i="76"/>
  <c r="BP911" i="76"/>
  <c r="BP335" i="76"/>
  <c r="AI986" i="76"/>
  <c r="BP146" i="76"/>
  <c r="AI277" i="76"/>
  <c r="AI219" i="76"/>
  <c r="AI365" i="76"/>
  <c r="AI1018" i="76"/>
  <c r="AI1066" i="76"/>
  <c r="BP372" i="76"/>
  <c r="AI698" i="76"/>
  <c r="BP916" i="76"/>
  <c r="AI1019" i="76"/>
  <c r="AI359" i="76"/>
  <c r="BP486" i="76"/>
  <c r="AI671" i="76"/>
  <c r="BP754" i="76"/>
  <c r="BP838" i="76"/>
  <c r="BP266" i="76"/>
  <c r="AI275" i="76"/>
  <c r="AI668" i="76"/>
  <c r="BP954" i="76"/>
  <c r="BP577" i="76"/>
  <c r="BP650" i="76"/>
  <c r="AI620" i="76"/>
  <c r="BP380" i="76"/>
  <c r="BP383" i="76"/>
  <c r="BP732" i="76"/>
  <c r="BP1023" i="76"/>
  <c r="BP549" i="76"/>
  <c r="BP799" i="76"/>
  <c r="AI761" i="76"/>
  <c r="BP408" i="76"/>
  <c r="AI760" i="76"/>
  <c r="BP941" i="76"/>
  <c r="BP580" i="76"/>
  <c r="BP404" i="76"/>
  <c r="BP357" i="76"/>
  <c r="AI413" i="76"/>
  <c r="BP364" i="76"/>
  <c r="BP1049" i="76"/>
  <c r="AI137" i="76"/>
  <c r="AI306" i="76"/>
  <c r="BP244" i="76"/>
  <c r="AI651" i="76"/>
  <c r="BP292" i="76"/>
  <c r="AI997" i="76"/>
  <c r="BP604" i="76"/>
  <c r="BP679" i="76"/>
  <c r="BP826" i="76"/>
  <c r="BP166" i="76"/>
  <c r="BP946" i="76"/>
  <c r="BP260" i="76"/>
  <c r="BP553" i="76"/>
  <c r="AI428" i="76"/>
  <c r="BP792" i="76"/>
  <c r="BP392" i="76"/>
  <c r="BP315" i="76"/>
  <c r="AI162" i="76"/>
  <c r="AI915" i="76"/>
  <c r="BP918" i="76"/>
  <c r="AI614" i="76"/>
  <c r="BP578" i="76"/>
  <c r="AI993" i="76"/>
  <c r="BP601" i="76"/>
  <c r="BP994" i="76"/>
  <c r="AI573" i="76"/>
  <c r="BP218" i="76"/>
  <c r="BP416" i="76"/>
  <c r="AI1013" i="76"/>
  <c r="BP907" i="76"/>
  <c r="AI737" i="76"/>
  <c r="BP618" i="76"/>
  <c r="AI635" i="76"/>
  <c r="AI330" i="76"/>
  <c r="AI537" i="76"/>
  <c r="BP390" i="76"/>
  <c r="BP1068" i="76"/>
  <c r="BP373" i="76"/>
  <c r="AI88" i="76"/>
  <c r="AI1034" i="76"/>
  <c r="AI538" i="76"/>
  <c r="BP360" i="76"/>
  <c r="AI108" i="76"/>
  <c r="AI450" i="76"/>
  <c r="BP688" i="76"/>
  <c r="AI727" i="76"/>
  <c r="BP1066" i="76"/>
  <c r="BP347" i="76"/>
  <c r="AI475" i="76"/>
  <c r="AI1016" i="76"/>
  <c r="AI628" i="76"/>
  <c r="AI128" i="76"/>
  <c r="BP684" i="76"/>
  <c r="BP204" i="76"/>
  <c r="AI682" i="76"/>
  <c r="BP904" i="76"/>
  <c r="AI372" i="76"/>
  <c r="BP651" i="76"/>
  <c r="BP308" i="76"/>
  <c r="AI305" i="76"/>
  <c r="BP854" i="76"/>
  <c r="BP369" i="76"/>
  <c r="BP1003" i="76"/>
  <c r="AI489" i="76"/>
  <c r="AI581" i="76"/>
  <c r="AI272" i="76"/>
  <c r="BP640" i="76"/>
  <c r="AI714" i="76"/>
  <c r="BP782" i="76"/>
  <c r="AI745" i="76"/>
  <c r="AI414" i="76"/>
  <c r="AI320" i="76"/>
  <c r="BP468" i="76"/>
  <c r="AI694" i="76"/>
  <c r="AI409" i="76"/>
  <c r="AI636" i="76"/>
  <c r="AI382" i="76"/>
  <c r="AI824" i="76"/>
  <c r="AI615" i="76"/>
  <c r="BP410" i="76"/>
  <c r="AI889" i="76"/>
  <c r="AI1054" i="76"/>
  <c r="AI774" i="76"/>
  <c r="AI454" i="76"/>
  <c r="BP326" i="76"/>
  <c r="BP1009" i="76"/>
  <c r="BP847" i="76"/>
  <c r="AI1021" i="76"/>
  <c r="BP865" i="76"/>
  <c r="BP378" i="76"/>
  <c r="BP212" i="76"/>
  <c r="AI421" i="76"/>
  <c r="BP273" i="76"/>
  <c r="BP905" i="76"/>
  <c r="AI1025" i="76"/>
  <c r="BP423" i="76"/>
  <c r="BP178" i="76"/>
  <c r="BP734" i="76"/>
  <c r="AI656" i="76"/>
  <c r="AI332" i="76"/>
  <c r="AI405" i="76"/>
  <c r="AI408" i="76"/>
  <c r="BP135" i="76"/>
  <c r="AI348" i="76"/>
  <c r="AI392" i="76"/>
  <c r="BP882" i="76"/>
  <c r="AI356" i="76"/>
  <c r="BP804" i="76"/>
  <c r="AI547" i="76"/>
  <c r="BP1028" i="76"/>
  <c r="BP314" i="76"/>
  <c r="AI273" i="76"/>
  <c r="AI754" i="76"/>
  <c r="AI721" i="76"/>
  <c r="AI285" i="76"/>
  <c r="AI377" i="76"/>
  <c r="AI914" i="76"/>
  <c r="BP482" i="76"/>
  <c r="BP398" i="76"/>
  <c r="BP843" i="76"/>
  <c r="BP396" i="76"/>
  <c r="AI904" i="76"/>
  <c r="BP591" i="76"/>
  <c r="AI791" i="76"/>
  <c r="BP399" i="76"/>
  <c r="AI633" i="76"/>
  <c r="BP850" i="76"/>
  <c r="BP647" i="76"/>
  <c r="BP81" i="76"/>
  <c r="AI783" i="76"/>
  <c r="BP151" i="76"/>
  <c r="BP696" i="76"/>
  <c r="BP98" i="76"/>
  <c r="BP649" i="76"/>
  <c r="BP579" i="76"/>
  <c r="BP489" i="76"/>
  <c r="AI407" i="76"/>
  <c r="AI565" i="76"/>
  <c r="AI196" i="76"/>
  <c r="BP221" i="76"/>
  <c r="AI661" i="76"/>
  <c r="AI395" i="76"/>
  <c r="BP898" i="76"/>
  <c r="BP86" i="76"/>
  <c r="BP581" i="76"/>
  <c r="BP599" i="76"/>
  <c r="BP617" i="76"/>
  <c r="AI192" i="76"/>
  <c r="BP689" i="76"/>
  <c r="AI790" i="76"/>
  <c r="AI789" i="76"/>
  <c r="AI570" i="76"/>
  <c r="AI846" i="76"/>
  <c r="AI430" i="76"/>
  <c r="BP530" i="76"/>
  <c r="BP937" i="76"/>
  <c r="T178" i="14"/>
  <c r="BE8" i="76"/>
  <c r="W55" i="76" s="1"/>
  <c r="W61" i="76" s="1"/>
  <c r="T178" i="17"/>
  <c r="Z133" i="25"/>
  <c r="T178" i="30"/>
  <c r="Z131" i="89"/>
  <c r="E72" i="19"/>
  <c r="K276" i="19" s="1"/>
  <c r="Z131" i="17"/>
  <c r="T178" i="89"/>
  <c r="S155" i="20"/>
  <c r="T180" i="25"/>
  <c r="Z131" i="40"/>
  <c r="S132" i="20" l="1"/>
  <c r="S153" i="20"/>
  <c r="Q34" i="82"/>
  <c r="Q35" i="82"/>
  <c r="AI36" i="76"/>
  <c r="AI34" i="76"/>
  <c r="AI35" i="76"/>
  <c r="AI31" i="76"/>
  <c r="AI42" i="76" s="1"/>
  <c r="AI37" i="76"/>
  <c r="AI29" i="76"/>
  <c r="AI32" i="76"/>
  <c r="AI33" i="76"/>
  <c r="AI30" i="76"/>
  <c r="T178" i="32"/>
  <c r="Z276" i="19"/>
  <c r="F22" i="19" s="1"/>
  <c r="S276" i="19"/>
  <c r="F24" i="19" s="1"/>
  <c r="G34" i="2" s="1"/>
  <c r="S21" i="20"/>
  <c r="S19" i="20"/>
  <c r="Z131" i="32"/>
  <c r="BP33" i="76"/>
  <c r="BP32" i="76"/>
  <c r="BP30" i="76"/>
  <c r="BP36" i="76"/>
  <c r="BP29" i="76"/>
  <c r="BP34" i="76"/>
  <c r="BP31" i="76"/>
  <c r="BP42" i="76" s="1"/>
  <c r="BP37" i="76"/>
  <c r="BP35" i="76"/>
  <c r="R161" i="20"/>
  <c r="P26" i="82"/>
  <c r="AW84" i="18"/>
  <c r="AW12" i="18"/>
  <c r="AW153" i="18"/>
  <c r="T34" i="20" l="1"/>
  <c r="L276" i="19"/>
  <c r="AA276" i="19" s="1"/>
  <c r="AI45" i="76"/>
  <c r="AI46" i="76"/>
  <c r="BP46" i="76"/>
  <c r="BP43" i="76"/>
  <c r="S128" i="20"/>
  <c r="BP45" i="76"/>
  <c r="S114" i="20"/>
  <c r="S152" i="20"/>
  <c r="Q33" i="82"/>
  <c r="AI43" i="76"/>
  <c r="S112" i="20"/>
  <c r="S18" i="20"/>
  <c r="S7" i="20" s="1"/>
  <c r="S117" i="20" s="1"/>
  <c r="S22" i="20"/>
  <c r="S115" i="20" s="1"/>
  <c r="BP44" i="76"/>
  <c r="AI44" i="76"/>
  <c r="G32" i="2"/>
  <c r="G37" i="2" s="1"/>
  <c r="P41" i="82"/>
  <c r="F27" i="19" l="1"/>
  <c r="F35" i="19" s="1"/>
  <c r="M276" i="19"/>
  <c r="S83" i="20"/>
  <c r="S84" i="20"/>
  <c r="X10" i="18" s="1"/>
  <c r="S95" i="20"/>
  <c r="S24" i="20"/>
  <c r="S118" i="20"/>
  <c r="W62" i="76"/>
  <c r="Q32" i="82"/>
  <c r="S148" i="20"/>
  <c r="T32" i="20"/>
  <c r="T65" i="20" s="1"/>
  <c r="T68" i="20" s="1"/>
  <c r="T31" i="20"/>
  <c r="G45" i="2"/>
  <c r="G89" i="2" s="1"/>
  <c r="S122" i="20" l="1"/>
  <c r="Q14" i="82"/>
  <c r="X20" i="18"/>
  <c r="Q28" i="82"/>
  <c r="T64" i="20"/>
  <c r="T45" i="20"/>
  <c r="M8" i="86"/>
  <c r="W53" i="76"/>
  <c r="X7" i="18"/>
  <c r="V12" i="65"/>
  <c r="V23" i="65" s="1"/>
  <c r="S108" i="20"/>
  <c r="T28" i="20"/>
  <c r="AW151" i="18"/>
  <c r="AW82" i="18"/>
  <c r="AW10" i="18"/>
  <c r="S92" i="20"/>
  <c r="S93" i="20"/>
  <c r="T135" i="20" l="1"/>
  <c r="Q9" i="82"/>
  <c r="S126" i="20"/>
  <c r="T90" i="20"/>
  <c r="Y12" i="18" s="1"/>
  <c r="T89" i="20"/>
  <c r="W58" i="76"/>
  <c r="AW81" i="18"/>
  <c r="AW150" i="18"/>
  <c r="AW9" i="18"/>
  <c r="Y16" i="18"/>
  <c r="R19" i="82"/>
  <c r="T67" i="20"/>
  <c r="T70" i="20"/>
  <c r="T134" i="20" s="1"/>
  <c r="T86" i="20"/>
  <c r="Y8" i="18" s="1"/>
  <c r="T87" i="20"/>
  <c r="Y11" i="18" s="1"/>
  <c r="AA132" i="30" l="1"/>
  <c r="BF8" i="76"/>
  <c r="X55" i="76" s="1"/>
  <c r="X61" i="76" s="1"/>
  <c r="AA134" i="25"/>
  <c r="AA132" i="17"/>
  <c r="S146" i="20"/>
  <c r="S141" i="20"/>
  <c r="AA132" i="14"/>
  <c r="F72" i="19"/>
  <c r="L277" i="19" s="1"/>
  <c r="T277" i="19" s="1"/>
  <c r="T120" i="20"/>
  <c r="R11" i="82" s="1"/>
  <c r="AF12" i="65"/>
  <c r="AF23" i="65" s="1"/>
  <c r="N9" i="86"/>
  <c r="Y9" i="18"/>
  <c r="BI13" i="18"/>
  <c r="T133" i="20"/>
  <c r="T154" i="20"/>
  <c r="T155" i="20"/>
  <c r="AA132" i="40"/>
  <c r="AX83" i="18"/>
  <c r="AX11" i="18"/>
  <c r="AX152" i="18"/>
  <c r="AX16" i="18"/>
  <c r="AX88" i="18"/>
  <c r="I61" i="83" s="1"/>
  <c r="AX157" i="18"/>
  <c r="AA132" i="32"/>
  <c r="AA132" i="89"/>
  <c r="BQ811" i="76"/>
  <c r="BQ487" i="76"/>
  <c r="AJ181" i="76"/>
  <c r="AJ929" i="76"/>
  <c r="AJ914" i="76"/>
  <c r="BQ863" i="76"/>
  <c r="AJ194" i="76"/>
  <c r="AJ905" i="76"/>
  <c r="AJ179" i="76"/>
  <c r="AJ457" i="76"/>
  <c r="AJ672" i="76"/>
  <c r="BQ263" i="76"/>
  <c r="BQ314" i="76"/>
  <c r="BQ1066" i="76"/>
  <c r="BQ650" i="76"/>
  <c r="BQ217" i="76"/>
  <c r="AJ471" i="76"/>
  <c r="BQ464" i="76"/>
  <c r="BQ607" i="76"/>
  <c r="AJ559" i="76"/>
  <c r="BQ1027" i="76"/>
  <c r="AJ729" i="76"/>
  <c r="AJ139" i="76"/>
  <c r="BQ73" i="76"/>
  <c r="AJ554" i="76"/>
  <c r="BQ499" i="76"/>
  <c r="AJ208" i="76"/>
  <c r="BQ625" i="76"/>
  <c r="AJ469" i="76"/>
  <c r="BQ975" i="76"/>
  <c r="AJ801" i="76"/>
  <c r="AJ323" i="76"/>
  <c r="BQ758" i="76"/>
  <c r="BQ1005" i="76"/>
  <c r="AJ387" i="76"/>
  <c r="AJ221" i="76"/>
  <c r="BQ90" i="76"/>
  <c r="AJ586" i="76"/>
  <c r="BQ533" i="76"/>
  <c r="BQ388" i="76"/>
  <c r="BQ716" i="76"/>
  <c r="BQ807" i="76"/>
  <c r="AJ364" i="76"/>
  <c r="AJ651" i="76"/>
  <c r="BQ305" i="76"/>
  <c r="AJ346" i="76"/>
  <c r="AJ594" i="76"/>
  <c r="AJ547" i="76"/>
  <c r="AJ712" i="76"/>
  <c r="AJ535" i="76"/>
  <c r="BQ930" i="76"/>
  <c r="AJ83" i="76"/>
  <c r="BQ193" i="76"/>
  <c r="AJ489" i="76"/>
  <c r="BQ1049" i="76"/>
  <c r="BQ714" i="76"/>
  <c r="AJ438" i="76"/>
  <c r="BQ992" i="76"/>
  <c r="AJ254" i="76"/>
  <c r="AJ420" i="76"/>
  <c r="BQ91" i="76"/>
  <c r="BQ968" i="76"/>
  <c r="BQ282" i="76"/>
  <c r="BQ509" i="76"/>
  <c r="AJ959" i="76"/>
  <c r="BQ488" i="76"/>
  <c r="AJ512" i="76"/>
  <c r="BQ145" i="76"/>
  <c r="AJ951" i="76"/>
  <c r="BQ839" i="76"/>
  <c r="BQ139" i="76"/>
  <c r="AJ722" i="76"/>
  <c r="AJ124" i="76"/>
  <c r="BQ682" i="76"/>
  <c r="BQ512" i="76"/>
  <c r="AJ132" i="76"/>
  <c r="AJ519" i="76"/>
  <c r="BQ224" i="76"/>
  <c r="AJ655" i="76"/>
  <c r="BQ287" i="76"/>
  <c r="BQ451" i="76"/>
  <c r="AJ977" i="76"/>
  <c r="BQ122" i="76"/>
  <c r="AJ69" i="76"/>
  <c r="BQ309" i="76"/>
  <c r="BQ785" i="76"/>
  <c r="BQ707" i="76"/>
  <c r="BQ775" i="76"/>
  <c r="BQ840" i="76"/>
  <c r="BQ746" i="76"/>
  <c r="AJ660" i="76"/>
  <c r="AJ828" i="76"/>
  <c r="AJ531" i="76"/>
  <c r="AJ659" i="76"/>
  <c r="AJ979" i="76"/>
  <c r="AJ290" i="76"/>
  <c r="BQ951" i="76"/>
  <c r="BQ237" i="76"/>
  <c r="BQ554" i="76"/>
  <c r="BQ369" i="76"/>
  <c r="BQ78" i="76"/>
  <c r="BQ174" i="76"/>
  <c r="AJ893" i="76"/>
  <c r="BQ1004" i="76"/>
  <c r="AJ572" i="76"/>
  <c r="AJ241" i="76"/>
  <c r="AJ1044" i="76"/>
  <c r="BQ489" i="76"/>
  <c r="AJ846" i="76"/>
  <c r="BQ865" i="76"/>
  <c r="BQ994" i="76"/>
  <c r="BQ335" i="76"/>
  <c r="BQ752" i="76"/>
  <c r="BQ494" i="76"/>
  <c r="AJ91" i="76"/>
  <c r="BQ729" i="76"/>
  <c r="BQ311" i="76"/>
  <c r="BQ253" i="76"/>
  <c r="BQ947" i="76"/>
  <c r="BQ979" i="76"/>
  <c r="AJ394" i="76"/>
  <c r="AJ180" i="76"/>
  <c r="BQ176" i="76"/>
  <c r="BQ355" i="76"/>
  <c r="AJ189" i="76"/>
  <c r="AJ591" i="76"/>
  <c r="BQ770" i="76"/>
  <c r="BQ85" i="76"/>
  <c r="AJ1005" i="76"/>
  <c r="BQ609" i="76"/>
  <c r="BQ949" i="76"/>
  <c r="BQ470" i="76"/>
  <c r="BQ118" i="76"/>
  <c r="BQ547" i="76"/>
  <c r="AJ667" i="76"/>
  <c r="BQ207" i="76"/>
  <c r="BQ744" i="76"/>
  <c r="AJ580" i="76"/>
  <c r="AJ885" i="76"/>
  <c r="AJ820" i="76"/>
  <c r="BQ221" i="76"/>
  <c r="BQ505" i="76"/>
  <c r="BQ998" i="76"/>
  <c r="BQ868" i="76"/>
  <c r="AJ480" i="76"/>
  <c r="BQ498" i="76"/>
  <c r="AJ876" i="76"/>
  <c r="AJ505" i="76"/>
  <c r="AJ205" i="76"/>
  <c r="AJ706" i="76"/>
  <c r="AJ1055" i="76"/>
  <c r="BQ137" i="76"/>
  <c r="BQ675" i="76"/>
  <c r="BQ163" i="76"/>
  <c r="AJ966" i="76"/>
  <c r="BQ484" i="76"/>
  <c r="AJ395" i="76"/>
  <c r="AJ295" i="76"/>
  <c r="BQ248" i="76"/>
  <c r="AJ611" i="76"/>
  <c r="AJ206" i="76"/>
  <c r="AJ292" i="76"/>
  <c r="BQ950" i="76"/>
  <c r="AJ257" i="76"/>
  <c r="BQ882" i="76"/>
  <c r="BQ360" i="76"/>
  <c r="BQ266" i="76"/>
  <c r="BQ569" i="76"/>
  <c r="BQ712" i="76"/>
  <c r="BQ223" i="76"/>
  <c r="AJ994" i="76"/>
  <c r="AJ708" i="76"/>
  <c r="AJ718" i="76"/>
  <c r="BQ1001" i="76"/>
  <c r="AJ961" i="76"/>
  <c r="AJ470" i="76"/>
  <c r="BQ113" i="76"/>
  <c r="AJ362" i="76"/>
  <c r="BQ323" i="76"/>
  <c r="AJ605" i="76"/>
  <c r="BQ155" i="76"/>
  <c r="BQ851" i="76"/>
  <c r="BQ133" i="76"/>
  <c r="AJ1059" i="76"/>
  <c r="BQ1041" i="76"/>
  <c r="AJ931" i="76"/>
  <c r="AJ398" i="76"/>
  <c r="BQ262" i="76"/>
  <c r="BQ846" i="76"/>
  <c r="AJ210" i="76"/>
  <c r="BQ1032" i="76"/>
  <c r="AJ125" i="76"/>
  <c r="BQ875" i="76"/>
  <c r="AJ1052" i="76"/>
  <c r="BQ1054" i="76"/>
  <c r="AJ450" i="76"/>
  <c r="BQ367" i="76"/>
  <c r="AJ798" i="76"/>
  <c r="BQ841" i="76"/>
  <c r="BQ270" i="76"/>
  <c r="AJ853" i="76"/>
  <c r="AJ576" i="76"/>
  <c r="BQ413" i="76"/>
  <c r="BQ531" i="76"/>
  <c r="BQ641" i="76"/>
  <c r="BQ1030" i="76"/>
  <c r="BQ203" i="76"/>
  <c r="AJ713" i="76"/>
  <c r="AJ1035" i="76"/>
  <c r="AJ848" i="76"/>
  <c r="BQ440" i="76"/>
  <c r="AJ622" i="76"/>
  <c r="BQ577" i="76"/>
  <c r="BQ97" i="76"/>
  <c r="BQ99" i="76"/>
  <c r="BQ653" i="76"/>
  <c r="BQ1029" i="76"/>
  <c r="AJ304" i="76"/>
  <c r="AJ884" i="76"/>
  <c r="AJ690" i="76"/>
  <c r="AJ570" i="76"/>
  <c r="BQ530" i="76"/>
  <c r="BQ212" i="76"/>
  <c r="BQ218" i="76"/>
  <c r="BQ146" i="76"/>
  <c r="AJ526" i="76"/>
  <c r="AJ867" i="76"/>
  <c r="BQ932" i="76"/>
  <c r="AJ115" i="76"/>
  <c r="AJ978" i="76"/>
  <c r="AJ1043" i="76"/>
  <c r="BQ454" i="76"/>
  <c r="AJ412" i="76"/>
  <c r="AJ521" i="76"/>
  <c r="BQ726" i="76"/>
  <c r="BQ709" i="76"/>
  <c r="BQ377" i="76"/>
  <c r="AJ118" i="76"/>
  <c r="AJ939" i="76"/>
  <c r="AJ645" i="76"/>
  <c r="BQ974" i="76"/>
  <c r="AJ540" i="76"/>
  <c r="BQ88" i="76"/>
  <c r="BQ520" i="76"/>
  <c r="AJ829" i="76"/>
  <c r="AJ432" i="76"/>
  <c r="BQ288" i="76"/>
  <c r="BQ340" i="76"/>
  <c r="AJ102" i="76"/>
  <c r="AJ604" i="76"/>
  <c r="AJ218" i="76"/>
  <c r="AJ319" i="76"/>
  <c r="BQ648" i="76"/>
  <c r="AJ689" i="76"/>
  <c r="BQ350" i="76"/>
  <c r="BQ801" i="76"/>
  <c r="AJ73" i="76"/>
  <c r="AJ337" i="76"/>
  <c r="AJ736" i="76"/>
  <c r="BQ382" i="76"/>
  <c r="BQ842" i="76"/>
  <c r="AJ634" i="76"/>
  <c r="AJ166" i="76"/>
  <c r="BQ692" i="76"/>
  <c r="BQ378" i="76"/>
  <c r="AJ986" i="76"/>
  <c r="AJ912" i="76"/>
  <c r="AJ568" i="76"/>
  <c r="BQ402" i="76"/>
  <c r="BQ442" i="76"/>
  <c r="BQ656" i="76"/>
  <c r="AJ992" i="76"/>
  <c r="BQ285" i="76"/>
  <c r="AJ460" i="76"/>
  <c r="BQ1057" i="76"/>
  <c r="AJ404" i="76"/>
  <c r="BQ426" i="76"/>
  <c r="AJ661" i="76"/>
  <c r="BQ152" i="76"/>
  <c r="BQ819" i="76"/>
  <c r="BQ495" i="76"/>
  <c r="AJ1015" i="76"/>
  <c r="AJ652" i="76"/>
  <c r="BQ925" i="76"/>
  <c r="AJ409" i="76"/>
  <c r="AJ686" i="76"/>
  <c r="AJ648" i="76"/>
  <c r="AJ351" i="76"/>
  <c r="BQ209" i="76"/>
  <c r="AJ662" i="76"/>
  <c r="AJ498" i="76"/>
  <c r="AJ833" i="76"/>
  <c r="AJ1053" i="76"/>
  <c r="AJ571" i="76"/>
  <c r="BQ108" i="76"/>
  <c r="AJ516" i="76"/>
  <c r="BQ587" i="76"/>
  <c r="AJ671" i="76"/>
  <c r="AJ89" i="76"/>
  <c r="AJ868" i="76"/>
  <c r="BQ1056" i="76"/>
  <c r="AJ518" i="76"/>
  <c r="AJ990" i="76"/>
  <c r="BQ666" i="76"/>
  <c r="AJ286" i="76"/>
  <c r="AJ334" i="76"/>
  <c r="AJ600" i="76"/>
  <c r="BQ431" i="76"/>
  <c r="AJ647" i="76"/>
  <c r="BQ869" i="76"/>
  <c r="AJ609" i="76"/>
  <c r="AJ891" i="76"/>
  <c r="BQ1047" i="76"/>
  <c r="BQ408" i="76"/>
  <c r="AJ972" i="76"/>
  <c r="BQ459" i="76"/>
  <c r="BQ736" i="76"/>
  <c r="AJ476" i="76"/>
  <c r="BQ943" i="76"/>
  <c r="AJ957" i="76"/>
  <c r="AJ625" i="76"/>
  <c r="AJ352" i="76"/>
  <c r="BQ466" i="76"/>
  <c r="AJ277" i="76"/>
  <c r="AJ324" i="76"/>
  <c r="AJ111" i="76"/>
  <c r="AJ317" i="76"/>
  <c r="AJ952" i="76"/>
  <c r="AJ823" i="76"/>
  <c r="BQ735" i="76"/>
  <c r="BQ799" i="76"/>
  <c r="AJ910" i="76"/>
  <c r="AJ325" i="76"/>
  <c r="AJ503" i="76"/>
  <c r="BQ398" i="76"/>
  <c r="AJ682" i="76"/>
  <c r="AJ761" i="76"/>
  <c r="BQ628" i="76"/>
  <c r="AJ1012" i="76"/>
  <c r="BQ251" i="76"/>
  <c r="AJ163" i="76"/>
  <c r="AJ921" i="76"/>
  <c r="BQ756" i="76"/>
  <c r="AJ435" i="76"/>
  <c r="AJ1006" i="76"/>
  <c r="BQ1006" i="76"/>
  <c r="BQ170" i="76"/>
  <c r="AJ1009" i="76"/>
  <c r="AJ747" i="76"/>
  <c r="AJ459" i="76"/>
  <c r="AJ735" i="76"/>
  <c r="AJ112" i="76"/>
  <c r="AJ1041" i="76"/>
  <c r="BQ917" i="76"/>
  <c r="AJ383" i="76"/>
  <c r="BQ449" i="76"/>
  <c r="AJ603" i="76"/>
  <c r="AJ711" i="76"/>
  <c r="BQ644" i="76"/>
  <c r="BQ361" i="76"/>
  <c r="BQ391" i="76"/>
  <c r="BQ608" i="76"/>
  <c r="BQ94" i="76"/>
  <c r="AJ288" i="76"/>
  <c r="BQ183" i="76"/>
  <c r="AJ305" i="76"/>
  <c r="BQ929" i="76"/>
  <c r="BQ996" i="76"/>
  <c r="AJ187" i="76"/>
  <c r="BQ535" i="76"/>
  <c r="BQ300" i="76"/>
  <c r="BQ859" i="76"/>
  <c r="AJ222" i="76"/>
  <c r="BQ956" i="76"/>
  <c r="AJ861" i="76"/>
  <c r="AJ320" i="76"/>
  <c r="BQ679" i="76"/>
  <c r="AJ779" i="76"/>
  <c r="AJ146" i="76"/>
  <c r="BQ256" i="76"/>
  <c r="AJ282" i="76"/>
  <c r="BQ574" i="76"/>
  <c r="AJ496" i="76"/>
  <c r="BQ908" i="76"/>
  <c r="AJ371" i="76"/>
  <c r="BQ161" i="76"/>
  <c r="BQ425" i="76"/>
  <c r="AJ769" i="76"/>
  <c r="AJ840" i="76"/>
  <c r="AJ258" i="76"/>
  <c r="AJ719" i="76"/>
  <c r="BQ387" i="76"/>
  <c r="BQ987" i="76"/>
  <c r="BQ743" i="76"/>
  <c r="AJ715" i="76"/>
  <c r="BQ681" i="76"/>
  <c r="BQ571" i="76"/>
  <c r="BQ532" i="76"/>
  <c r="BQ433" i="76"/>
  <c r="BQ362" i="76"/>
  <c r="BQ817" i="76"/>
  <c r="BQ294" i="76"/>
  <c r="AJ451" i="76"/>
  <c r="AJ100" i="76"/>
  <c r="AJ313" i="76"/>
  <c r="BQ1023" i="76"/>
  <c r="AJ287" i="76"/>
  <c r="BQ316" i="76"/>
  <c r="AJ506" i="76"/>
  <c r="AJ875" i="76"/>
  <c r="AJ168" i="76"/>
  <c r="AJ342" i="76"/>
  <c r="AJ406" i="76"/>
  <c r="AJ734" i="76"/>
  <c r="BQ683" i="76"/>
  <c r="BQ363" i="76"/>
  <c r="BQ789" i="76"/>
  <c r="AJ271" i="76"/>
  <c r="BQ534" i="76"/>
  <c r="AJ381" i="76"/>
  <c r="AJ841" i="76"/>
  <c r="BQ905" i="76"/>
  <c r="BQ301" i="76"/>
  <c r="AJ763" i="76"/>
  <c r="AJ367" i="76"/>
  <c r="BQ304" i="76"/>
  <c r="AJ231" i="76"/>
  <c r="AJ954" i="76"/>
  <c r="BQ627" i="76"/>
  <c r="BQ178" i="76"/>
  <c r="AJ635" i="76"/>
  <c r="BQ372" i="76"/>
  <c r="AJ898" i="76"/>
  <c r="AJ850" i="76"/>
  <c r="BQ325" i="76"/>
  <c r="BQ127" i="76"/>
  <c r="BQ989" i="76"/>
  <c r="AJ380" i="76"/>
  <c r="BQ1064" i="76"/>
  <c r="BQ890" i="76"/>
  <c r="AJ778" i="76"/>
  <c r="BQ614" i="76"/>
  <c r="AJ536" i="76"/>
  <c r="BQ452" i="76"/>
  <c r="BQ241" i="76"/>
  <c r="AJ1062" i="76"/>
  <c r="AJ326" i="76"/>
  <c r="BQ168" i="76"/>
  <c r="AJ545" i="76"/>
  <c r="AJ555" i="76"/>
  <c r="BQ1061" i="76"/>
  <c r="AJ296" i="76"/>
  <c r="AJ415" i="76"/>
  <c r="BQ299" i="76"/>
  <c r="AJ869" i="76"/>
  <c r="AJ764" i="76"/>
  <c r="BQ405" i="76"/>
  <c r="BQ336" i="76"/>
  <c r="BQ701" i="76"/>
  <c r="AJ509" i="76"/>
  <c r="AJ1048" i="76"/>
  <c r="AJ321" i="76"/>
  <c r="BQ319" i="76"/>
  <c r="BQ125" i="76"/>
  <c r="AJ585" i="76"/>
  <c r="AJ907" i="76"/>
  <c r="AJ709" i="76"/>
  <c r="BQ167" i="76"/>
  <c r="AJ702" i="76"/>
  <c r="AJ996" i="76"/>
  <c r="AJ136" i="76"/>
  <c r="BQ980" i="76"/>
  <c r="AJ341" i="76"/>
  <c r="BQ313" i="76"/>
  <c r="BQ878" i="76"/>
  <c r="BQ418" i="76"/>
  <c r="BQ808" i="76"/>
  <c r="AJ262" i="76"/>
  <c r="AJ618" i="76"/>
  <c r="BQ121" i="76"/>
  <c r="BQ763" i="76"/>
  <c r="AJ793" i="76"/>
  <c r="AJ348" i="76"/>
  <c r="AJ721" i="76"/>
  <c r="AJ1016" i="76"/>
  <c r="BQ383" i="76"/>
  <c r="AJ207" i="76"/>
  <c r="AJ202" i="76"/>
  <c r="AJ886" i="76"/>
  <c r="AJ393" i="76"/>
  <c r="BQ528" i="76"/>
  <c r="AJ87" i="76"/>
  <c r="AJ355" i="76"/>
  <c r="BQ493" i="76"/>
  <c r="BQ635" i="76"/>
  <c r="BQ621" i="76"/>
  <c r="BQ879" i="76"/>
  <c r="BQ1052" i="76"/>
  <c r="AJ989" i="76"/>
  <c r="BQ733" i="76"/>
  <c r="AJ683" i="76"/>
  <c r="AJ701" i="76"/>
  <c r="AJ1047" i="76"/>
  <c r="AJ248" i="76"/>
  <c r="AJ1030" i="76"/>
  <c r="AJ123" i="76"/>
  <c r="BQ243" i="76"/>
  <c r="BQ222" i="76"/>
  <c r="AJ443" i="76"/>
  <c r="AJ785" i="76"/>
  <c r="AJ465" i="76"/>
  <c r="BQ793" i="76"/>
  <c r="AJ193" i="76"/>
  <c r="BQ324" i="76"/>
  <c r="AJ454" i="76"/>
  <c r="BQ523" i="76"/>
  <c r="AJ148" i="76"/>
  <c r="BQ342" i="76"/>
  <c r="BQ945" i="76"/>
  <c r="AJ175" i="76"/>
  <c r="BQ823" i="76"/>
  <c r="AJ474" i="76"/>
  <c r="AJ359" i="76"/>
  <c r="BQ944" i="76"/>
  <c r="AJ268" i="76"/>
  <c r="AJ998" i="76"/>
  <c r="BQ596" i="76"/>
  <c r="BQ238" i="76"/>
  <c r="AJ852" i="76"/>
  <c r="AJ587" i="76"/>
  <c r="AJ626" i="76"/>
  <c r="BQ578" i="76"/>
  <c r="AJ781" i="76"/>
  <c r="BQ825" i="76"/>
  <c r="AJ429" i="76"/>
  <c r="AJ144" i="76"/>
  <c r="AJ340" i="76"/>
  <c r="BQ971" i="76"/>
  <c r="AJ657" i="76"/>
  <c r="AJ656" i="76"/>
  <c r="AJ537" i="76"/>
  <c r="BQ916" i="76"/>
  <c r="BQ798" i="76"/>
  <c r="AJ327" i="76"/>
  <c r="AJ154" i="76"/>
  <c r="BQ320" i="76"/>
  <c r="BQ728" i="76"/>
  <c r="AJ220" i="76"/>
  <c r="BQ400" i="76"/>
  <c r="AJ1058" i="76"/>
  <c r="BQ339" i="76"/>
  <c r="BQ794" i="76"/>
  <c r="AJ839" i="76"/>
  <c r="AJ940" i="76"/>
  <c r="AJ680" i="76"/>
  <c r="BQ632" i="76"/>
  <c r="AJ967" i="76"/>
  <c r="AJ830" i="76"/>
  <c r="AJ160" i="76"/>
  <c r="AJ646" i="76"/>
  <c r="AJ291" i="76"/>
  <c r="AJ266" i="76"/>
  <c r="AJ120" i="76"/>
  <c r="AJ933" i="76"/>
  <c r="AJ449" i="76"/>
  <c r="BQ594" i="76"/>
  <c r="AJ857" i="76"/>
  <c r="AJ72" i="76"/>
  <c r="AJ756" i="76"/>
  <c r="AJ704" i="76"/>
  <c r="BQ852" i="76"/>
  <c r="BQ430" i="76"/>
  <c r="BQ652" i="76"/>
  <c r="BQ655" i="76"/>
  <c r="BQ250" i="76"/>
  <c r="AJ487" i="76"/>
  <c r="BQ664" i="76"/>
  <c r="AJ251" i="76"/>
  <c r="AJ1000" i="76"/>
  <c r="BQ552" i="76"/>
  <c r="BQ231" i="76"/>
  <c r="BQ140" i="76"/>
  <c r="AJ812" i="76"/>
  <c r="AJ375" i="76"/>
  <c r="AJ267" i="76"/>
  <c r="AJ637" i="76"/>
  <c r="BQ1031" i="76"/>
  <c r="BQ525" i="76"/>
  <c r="AJ1031" i="76"/>
  <c r="BQ292" i="76"/>
  <c r="BQ563" i="76"/>
  <c r="BQ386" i="76"/>
  <c r="AJ780" i="76"/>
  <c r="AJ472" i="76"/>
  <c r="AJ539" i="76"/>
  <c r="AJ822" i="76"/>
  <c r="BQ936" i="76"/>
  <c r="AJ135" i="76"/>
  <c r="BQ797" i="76"/>
  <c r="AJ529" i="76"/>
  <c r="AJ717" i="76"/>
  <c r="AJ762" i="76"/>
  <c r="AJ843" i="76"/>
  <c r="AJ599" i="76"/>
  <c r="BQ272" i="76"/>
  <c r="AJ1063" i="76"/>
  <c r="BQ544" i="76"/>
  <c r="AJ543" i="76"/>
  <c r="AJ413" i="76"/>
  <c r="BQ895" i="76"/>
  <c r="BQ331" i="76"/>
  <c r="AJ928" i="76"/>
  <c r="BQ507" i="76"/>
  <c r="BQ605" i="76"/>
  <c r="AJ152" i="76"/>
  <c r="AJ549" i="76"/>
  <c r="AJ577" i="76"/>
  <c r="AJ748" i="76"/>
  <c r="BQ395" i="76"/>
  <c r="AJ103" i="76"/>
  <c r="AJ654" i="76"/>
  <c r="BQ69" i="76"/>
  <c r="AJ191" i="76"/>
  <c r="BQ399" i="76"/>
  <c r="BQ737" i="76"/>
  <c r="AJ75" i="76"/>
  <c r="AJ463" i="76"/>
  <c r="BQ880" i="76"/>
  <c r="AJ573" i="76"/>
  <c r="AJ949" i="76"/>
  <c r="AJ1007" i="76"/>
  <c r="AJ681" i="76"/>
  <c r="AJ842" i="76"/>
  <c r="AJ877" i="76"/>
  <c r="AJ937" i="76"/>
  <c r="BQ832" i="76"/>
  <c r="BQ441" i="76"/>
  <c r="BQ131" i="76"/>
  <c r="AJ158" i="76"/>
  <c r="AJ127" i="76"/>
  <c r="AJ309" i="76"/>
  <c r="BQ437" i="76"/>
  <c r="AJ815" i="76"/>
  <c r="AJ919" i="76"/>
  <c r="BQ622" i="76"/>
  <c r="BQ128" i="76"/>
  <c r="BQ827" i="76"/>
  <c r="AJ243" i="76"/>
  <c r="AJ988" i="76"/>
  <c r="AJ119" i="76"/>
  <c r="AJ369" i="76"/>
  <c r="BQ559" i="76"/>
  <c r="BQ265" i="76"/>
  <c r="BQ782" i="76"/>
  <c r="BQ960" i="76"/>
  <c r="BQ1007" i="76"/>
  <c r="AJ78" i="76"/>
  <c r="BQ467" i="76"/>
  <c r="BQ135" i="76"/>
  <c r="AJ561" i="76"/>
  <c r="BQ106" i="76"/>
  <c r="BQ899" i="76"/>
  <c r="BQ821" i="76"/>
  <c r="BQ708" i="76"/>
  <c r="AJ479" i="76"/>
  <c r="AJ95" i="76"/>
  <c r="BQ610" i="76"/>
  <c r="BQ816" i="76"/>
  <c r="AJ344" i="76"/>
  <c r="BQ236" i="76"/>
  <c r="AJ750" i="76"/>
  <c r="AJ1064" i="76"/>
  <c r="AJ880" i="76"/>
  <c r="AJ593" i="76"/>
  <c r="BQ990" i="76"/>
  <c r="AJ896" i="76"/>
  <c r="BQ776" i="76"/>
  <c r="AJ943" i="76"/>
  <c r="AJ129" i="76"/>
  <c r="AJ303" i="76"/>
  <c r="BQ1025" i="76"/>
  <c r="AJ486" i="76"/>
  <c r="BQ907" i="76"/>
  <c r="BQ389" i="76"/>
  <c r="BQ567" i="76"/>
  <c r="AJ233" i="76"/>
  <c r="AJ889" i="76"/>
  <c r="BQ972" i="76"/>
  <c r="AJ209" i="76"/>
  <c r="BQ521" i="76"/>
  <c r="BQ902" i="76"/>
  <c r="BQ503" i="76"/>
  <c r="AJ913" i="76"/>
  <c r="BQ796" i="76"/>
  <c r="BQ202" i="76"/>
  <c r="AJ851" i="76"/>
  <c r="BQ658" i="76"/>
  <c r="BQ638" i="76"/>
  <c r="BQ1013" i="76"/>
  <c r="AJ947" i="76"/>
  <c r="BQ600" i="76"/>
  <c r="BQ695" i="76"/>
  <c r="BQ982" i="76"/>
  <c r="BQ913" i="76"/>
  <c r="BQ689" i="76"/>
  <c r="AJ93" i="76"/>
  <c r="AJ314" i="76"/>
  <c r="BQ157" i="76"/>
  <c r="BQ359" i="76"/>
  <c r="AJ408" i="76"/>
  <c r="AJ685" i="76"/>
  <c r="BQ95" i="76"/>
  <c r="BQ593" i="76"/>
  <c r="AJ215" i="76"/>
  <c r="BQ939" i="76"/>
  <c r="AJ908" i="76"/>
  <c r="BQ885" i="76"/>
  <c r="AJ1038" i="76"/>
  <c r="AJ806" i="76"/>
  <c r="BQ662" i="76"/>
  <c r="AJ556" i="76"/>
  <c r="BQ773" i="76"/>
  <c r="BQ893" i="76"/>
  <c r="AJ589" i="76"/>
  <c r="AJ242" i="76"/>
  <c r="AJ808" i="76"/>
  <c r="AJ315" i="76"/>
  <c r="BQ109" i="76"/>
  <c r="BQ322" i="76"/>
  <c r="BQ260" i="76"/>
  <c r="BQ187" i="76"/>
  <c r="BQ805" i="76"/>
  <c r="BQ967" i="76"/>
  <c r="BQ809" i="76"/>
  <c r="AJ534" i="76"/>
  <c r="AJ455" i="76"/>
  <c r="AJ82" i="76"/>
  <c r="BQ115" i="76"/>
  <c r="AJ916" i="76"/>
  <c r="BQ376" i="76"/>
  <c r="BQ412" i="76"/>
  <c r="BQ351" i="76"/>
  <c r="BQ345" i="76"/>
  <c r="BQ873" i="76"/>
  <c r="AJ1021" i="76"/>
  <c r="AJ774" i="76"/>
  <c r="BQ136" i="76"/>
  <c r="AJ902" i="76"/>
  <c r="BQ483" i="76"/>
  <c r="BQ110" i="76"/>
  <c r="AJ887" i="76"/>
  <c r="AJ1051" i="76"/>
  <c r="BQ190" i="76"/>
  <c r="AJ452" i="76"/>
  <c r="AJ301" i="76"/>
  <c r="BQ894" i="76"/>
  <c r="AJ226" i="76"/>
  <c r="BQ783" i="76"/>
  <c r="AJ234" i="76"/>
  <c r="BQ446" i="76"/>
  <c r="AJ1049" i="76"/>
  <c r="BQ942" i="76"/>
  <c r="BQ71" i="76"/>
  <c r="BQ918" i="76"/>
  <c r="AJ965" i="76"/>
  <c r="BQ403" i="76"/>
  <c r="AJ1046" i="76"/>
  <c r="AJ871" i="76"/>
  <c r="AJ384" i="76"/>
  <c r="BQ508" i="76"/>
  <c r="AJ280" i="76"/>
  <c r="AJ727" i="76"/>
  <c r="AJ390" i="76"/>
  <c r="BQ988" i="76"/>
  <c r="AJ530" i="76"/>
  <c r="BQ850" i="76"/>
  <c r="BQ1003" i="76"/>
  <c r="BQ364" i="76"/>
  <c r="AJ433" i="76"/>
  <c r="BQ511" i="76"/>
  <c r="AJ436" i="76"/>
  <c r="BQ471" i="76"/>
  <c r="BQ741" i="76"/>
  <c r="AJ740" i="76"/>
  <c r="AJ606" i="76"/>
  <c r="AJ211" i="76"/>
  <c r="AJ723" i="76"/>
  <c r="BQ156" i="76"/>
  <c r="AJ1036" i="76"/>
  <c r="BQ962" i="76"/>
  <c r="BQ831" i="76"/>
  <c r="AJ817" i="76"/>
  <c r="BQ195" i="76"/>
  <c r="AJ1001" i="76"/>
  <c r="BQ479" i="76"/>
  <c r="AJ79" i="76"/>
  <c r="BQ977" i="76"/>
  <c r="AJ204" i="76"/>
  <c r="BQ269" i="76"/>
  <c r="AJ970" i="76"/>
  <c r="BQ672" i="76"/>
  <c r="AJ663" i="76"/>
  <c r="BQ211" i="76"/>
  <c r="BQ844" i="76"/>
  <c r="AJ528" i="76"/>
  <c r="AJ252" i="76"/>
  <c r="AJ791" i="76"/>
  <c r="AJ596" i="76"/>
  <c r="BQ332" i="76"/>
  <c r="BQ576" i="76"/>
  <c r="BQ119" i="76"/>
  <c r="AJ948" i="76"/>
  <c r="AJ997" i="76"/>
  <c r="AJ859" i="76"/>
  <c r="AJ101" i="76"/>
  <c r="AJ985" i="76"/>
  <c r="BQ410" i="76"/>
  <c r="BQ392" i="76"/>
  <c r="AJ80" i="76"/>
  <c r="AJ439" i="76"/>
  <c r="AJ738" i="76"/>
  <c r="BQ704" i="76"/>
  <c r="BQ685" i="76"/>
  <c r="BQ642" i="76"/>
  <c r="BQ981" i="76"/>
  <c r="BQ934" i="76"/>
  <c r="AJ228" i="76"/>
  <c r="BQ460" i="76"/>
  <c r="BQ637" i="76"/>
  <c r="AJ130" i="76"/>
  <c r="AJ389" i="76"/>
  <c r="BQ619" i="76"/>
  <c r="BQ834" i="76"/>
  <c r="BQ374" i="76"/>
  <c r="AJ684" i="76"/>
  <c r="BQ926" i="76"/>
  <c r="BQ612" i="76"/>
  <c r="BQ278" i="76"/>
  <c r="AJ771" i="76"/>
  <c r="AJ195" i="76"/>
  <c r="BQ453" i="76"/>
  <c r="BQ279" i="76"/>
  <c r="BQ1055" i="76"/>
  <c r="AJ155" i="76"/>
  <c r="BQ952" i="76"/>
  <c r="AJ705" i="76"/>
  <c r="AJ973" i="76"/>
  <c r="BQ416" i="76"/>
  <c r="AJ1056" i="76"/>
  <c r="BQ539" i="76"/>
  <c r="BQ584" i="76"/>
  <c r="AJ185" i="76"/>
  <c r="AJ975" i="76"/>
  <c r="BQ214" i="76"/>
  <c r="AJ653" i="76"/>
  <c r="BQ516" i="76"/>
  <c r="AJ788" i="76"/>
  <c r="AJ786" i="76"/>
  <c r="AJ310" i="76"/>
  <c r="AJ113" i="76"/>
  <c r="BQ124" i="76"/>
  <c r="AJ664" i="76"/>
  <c r="BQ900" i="76"/>
  <c r="AJ633" i="76"/>
  <c r="AJ932" i="76"/>
  <c r="AJ523" i="76"/>
  <c r="AJ741" i="76"/>
  <c r="BQ1050" i="76"/>
  <c r="BQ246" i="76"/>
  <c r="AJ183" i="76"/>
  <c r="BQ276" i="76"/>
  <c r="AJ392" i="76"/>
  <c r="AJ538" i="76"/>
  <c r="BQ838" i="76"/>
  <c r="AJ245" i="76"/>
  <c r="BQ560" i="76"/>
  <c r="BQ557" i="76"/>
  <c r="BQ158" i="76"/>
  <c r="AJ925" i="76"/>
  <c r="AJ467" i="76"/>
  <c r="BQ527" i="76"/>
  <c r="BQ293" i="76"/>
  <c r="BQ889" i="76"/>
  <c r="BQ909" i="76"/>
  <c r="BQ517" i="76"/>
  <c r="AJ863" i="76"/>
  <c r="AJ174" i="76"/>
  <c r="BQ630" i="76"/>
  <c r="BQ321" i="76"/>
  <c r="BQ259" i="76"/>
  <c r="AJ458" i="76"/>
  <c r="BQ456" i="76"/>
  <c r="AJ426" i="76"/>
  <c r="AJ844" i="76"/>
  <c r="AJ71" i="76"/>
  <c r="BQ370" i="76"/>
  <c r="AJ159" i="76"/>
  <c r="AJ560" i="76"/>
  <c r="AJ816" i="76"/>
  <c r="BQ536" i="76"/>
  <c r="BQ114" i="76"/>
  <c r="AJ134" i="76"/>
  <c r="AJ140" i="76"/>
  <c r="BQ673" i="76"/>
  <c r="AJ963" i="76"/>
  <c r="BQ185" i="76"/>
  <c r="AJ402" i="76"/>
  <c r="AJ958" i="76"/>
  <c r="BQ189" i="76"/>
  <c r="BQ954" i="76"/>
  <c r="BQ669" i="76"/>
  <c r="BQ983" i="76"/>
  <c r="AJ901" i="76"/>
  <c r="BQ328" i="76"/>
  <c r="BQ87" i="76"/>
  <c r="AJ749" i="76"/>
  <c r="AJ1050" i="76"/>
  <c r="AJ298" i="76"/>
  <c r="BQ1018" i="76"/>
  <c r="AJ1023" i="76"/>
  <c r="AJ1022" i="76"/>
  <c r="BQ861" i="76"/>
  <c r="BQ306" i="76"/>
  <c r="BQ286" i="76"/>
  <c r="BQ86" i="76"/>
  <c r="AJ904" i="76"/>
  <c r="BQ651" i="76"/>
  <c r="BQ941" i="76"/>
  <c r="AJ513" i="76"/>
  <c r="AJ757" i="76"/>
  <c r="BQ154" i="76"/>
  <c r="BQ429" i="76"/>
  <c r="BQ787" i="76"/>
  <c r="BQ169" i="76"/>
  <c r="BQ182" i="76"/>
  <c r="BQ513" i="76"/>
  <c r="BQ791" i="76"/>
  <c r="BQ247" i="76"/>
  <c r="BQ790" i="76"/>
  <c r="AJ927" i="76"/>
  <c r="AJ94" i="76"/>
  <c r="AJ669" i="76"/>
  <c r="BQ660" i="76"/>
  <c r="AJ143" i="76"/>
  <c r="AJ623" i="76"/>
  <c r="AJ418" i="76"/>
  <c r="AJ578" i="76"/>
  <c r="AJ240" i="76"/>
  <c r="AJ370" i="76"/>
  <c r="BQ867" i="76"/>
  <c r="AJ758" i="76"/>
  <c r="AJ284" i="76"/>
  <c r="BQ93" i="76"/>
  <c r="AJ797" i="76"/>
  <c r="BQ910" i="76"/>
  <c r="BQ338" i="76"/>
  <c r="BQ804" i="76"/>
  <c r="AJ674" i="76"/>
  <c r="BQ506" i="76"/>
  <c r="AJ566" i="76"/>
  <c r="BQ959" i="76"/>
  <c r="AJ239" i="76"/>
  <c r="BQ180" i="76"/>
  <c r="AJ1017" i="76"/>
  <c r="BQ357" i="76"/>
  <c r="AJ81" i="76"/>
  <c r="BQ1014" i="76"/>
  <c r="BQ812" i="76"/>
  <c r="BQ829" i="76"/>
  <c r="AJ665" i="76"/>
  <c r="BQ298" i="76"/>
  <c r="BQ226" i="76"/>
  <c r="BQ232" i="76"/>
  <c r="BQ204" i="76"/>
  <c r="BQ710" i="76"/>
  <c r="AJ1024" i="76"/>
  <c r="BQ940" i="76"/>
  <c r="AJ777" i="76"/>
  <c r="BQ296" i="76"/>
  <c r="AJ991" i="76"/>
  <c r="AJ742" i="76"/>
  <c r="AJ356" i="76"/>
  <c r="AJ108" i="76"/>
  <c r="AJ275" i="76"/>
  <c r="AJ98" i="76"/>
  <c r="AJ692" i="76"/>
  <c r="AJ501" i="76"/>
  <c r="BQ130" i="76"/>
  <c r="BQ1043" i="76"/>
  <c r="BQ855" i="76"/>
  <c r="BQ629" i="76"/>
  <c r="AJ437" i="76"/>
  <c r="AJ1067" i="76"/>
  <c r="BQ116" i="76"/>
  <c r="BQ420" i="76"/>
  <c r="BQ348" i="76"/>
  <c r="BQ1067" i="76"/>
  <c r="BQ572" i="76"/>
  <c r="BQ1060" i="76"/>
  <c r="AJ259" i="76"/>
  <c r="AJ732" i="76"/>
  <c r="AJ582" i="76"/>
  <c r="BQ103" i="76"/>
  <c r="AJ178" i="76"/>
  <c r="BQ327" i="76"/>
  <c r="AJ969" i="76"/>
  <c r="AJ666" i="76"/>
  <c r="AJ752" i="76"/>
  <c r="BQ123" i="76"/>
  <c r="AJ1014" i="76"/>
  <c r="AJ416" i="76"/>
  <c r="BQ570" i="76"/>
  <c r="AJ950" i="76"/>
  <c r="AJ272" i="76"/>
  <c r="AJ765" i="76"/>
  <c r="BQ781" i="76"/>
  <c r="BQ830" i="76"/>
  <c r="BQ717" i="76"/>
  <c r="AJ151" i="76"/>
  <c r="AJ1033" i="76"/>
  <c r="BQ978" i="76"/>
  <c r="BQ1008" i="76"/>
  <c r="AJ1060" i="76"/>
  <c r="BQ192" i="76"/>
  <c r="BQ1051" i="76"/>
  <c r="AJ249" i="76"/>
  <c r="AJ746" i="76"/>
  <c r="BQ768" i="76"/>
  <c r="BQ414" i="76"/>
  <c r="AJ567" i="76"/>
  <c r="BQ590" i="76"/>
  <c r="BQ984" i="76"/>
  <c r="BQ953" i="76"/>
  <c r="BQ329" i="76"/>
  <c r="BQ700" i="76"/>
  <c r="AJ126" i="76"/>
  <c r="BQ732" i="76"/>
  <c r="BQ160" i="76"/>
  <c r="BQ1020" i="76"/>
  <c r="AJ302" i="76"/>
  <c r="AJ923" i="76"/>
  <c r="AJ610" i="76"/>
  <c r="BQ343" i="76"/>
  <c r="BQ802" i="76"/>
  <c r="BQ228" i="76"/>
  <c r="AJ1011" i="76"/>
  <c r="AJ903" i="76"/>
  <c r="AJ688" i="76"/>
  <c r="AJ849" i="76"/>
  <c r="BQ72" i="76"/>
  <c r="AJ804" i="76"/>
  <c r="BQ993" i="76"/>
  <c r="BQ519" i="76"/>
  <c r="AJ897" i="76"/>
  <c r="BQ647" i="76"/>
  <c r="AJ373" i="76"/>
  <c r="AJ639" i="76"/>
  <c r="AJ515" i="76"/>
  <c r="BQ606" i="76"/>
  <c r="AJ270" i="76"/>
  <c r="BQ696" i="76"/>
  <c r="BQ676" i="76"/>
  <c r="BQ213" i="76"/>
  <c r="AJ173" i="76"/>
  <c r="AJ532" i="76"/>
  <c r="BQ684" i="76"/>
  <c r="BQ906" i="76"/>
  <c r="AJ92" i="76"/>
  <c r="AJ311" i="76"/>
  <c r="BQ964" i="76"/>
  <c r="BQ486" i="76"/>
  <c r="BQ800" i="76"/>
  <c r="AJ510" i="76"/>
  <c r="AJ278" i="76"/>
  <c r="AJ156" i="76"/>
  <c r="AJ581" i="76"/>
  <c r="BQ687" i="76"/>
  <c r="BQ524" i="76"/>
  <c r="BQ871" i="76"/>
  <c r="AJ447" i="76"/>
  <c r="BQ706" i="76"/>
  <c r="AJ109" i="76"/>
  <c r="BQ860" i="76"/>
  <c r="AJ955" i="76"/>
  <c r="BQ284" i="76"/>
  <c r="AJ200" i="76"/>
  <c r="AJ182" i="76"/>
  <c r="AJ224" i="76"/>
  <c r="BQ107" i="76"/>
  <c r="BQ597" i="76"/>
  <c r="BQ390" i="76"/>
  <c r="AJ678" i="76"/>
  <c r="AJ388" i="76"/>
  <c r="BQ615" i="76"/>
  <c r="BQ326" i="76"/>
  <c r="BQ80" i="76"/>
  <c r="AJ497" i="76"/>
  <c r="AJ473" i="76"/>
  <c r="AJ1010" i="76"/>
  <c r="AJ424" i="76"/>
  <c r="BQ568" i="76"/>
  <c r="BQ833" i="76"/>
  <c r="BQ261" i="76"/>
  <c r="AJ847" i="76"/>
  <c r="BQ665" i="76"/>
  <c r="AJ1054" i="76"/>
  <c r="AJ162" i="76"/>
  <c r="BQ100" i="76"/>
  <c r="AJ263" i="76"/>
  <c r="BQ938" i="76"/>
  <c r="AJ845" i="76"/>
  <c r="BQ543" i="76"/>
  <c r="AJ744" i="76"/>
  <c r="AJ865" i="76"/>
  <c r="AJ918" i="76"/>
  <c r="AJ336" i="76"/>
  <c r="AJ520" i="76"/>
  <c r="BQ862" i="76"/>
  <c r="BQ613" i="76"/>
  <c r="AJ217" i="76"/>
  <c r="AJ864" i="76"/>
  <c r="BQ144" i="76"/>
  <c r="BQ762" i="76"/>
  <c r="AJ569" i="76"/>
  <c r="AJ495" i="76"/>
  <c r="AJ631" i="76"/>
  <c r="AJ138" i="76"/>
  <c r="AJ976" i="76"/>
  <c r="AJ879" i="76"/>
  <c r="BQ753" i="76"/>
  <c r="BQ143" i="76"/>
  <c r="BQ149" i="76"/>
  <c r="AJ790" i="76"/>
  <c r="AJ691" i="76"/>
  <c r="BQ463" i="76"/>
  <c r="BQ473" i="76"/>
  <c r="BQ643" i="76"/>
  <c r="BQ84" i="76"/>
  <c r="BQ151" i="76"/>
  <c r="BQ640" i="76"/>
  <c r="BQ244" i="76"/>
  <c r="BQ421" i="76"/>
  <c r="AJ858" i="76"/>
  <c r="BQ409" i="76"/>
  <c r="BQ764" i="76"/>
  <c r="BQ245" i="76"/>
  <c r="AJ283" i="76"/>
  <c r="BQ254" i="76"/>
  <c r="BQ748" i="76"/>
  <c r="AJ819" i="76"/>
  <c r="AJ423" i="76"/>
  <c r="BQ697" i="76"/>
  <c r="BQ225" i="76"/>
  <c r="AJ385" i="76"/>
  <c r="AJ331" i="76"/>
  <c r="AJ76" i="76"/>
  <c r="BQ573" i="76"/>
  <c r="AJ697" i="76"/>
  <c r="BQ757" i="76"/>
  <c r="BQ184" i="76"/>
  <c r="AJ983" i="76"/>
  <c r="AJ1068" i="76"/>
  <c r="BQ553" i="76"/>
  <c r="BQ836" i="76"/>
  <c r="AJ821" i="76"/>
  <c r="BQ434" i="76"/>
  <c r="BQ586" i="76"/>
  <c r="AJ441" i="76"/>
  <c r="BQ457" i="76"/>
  <c r="AJ1025" i="76"/>
  <c r="AJ737" i="76"/>
  <c r="AJ1018" i="76"/>
  <c r="BQ814" i="76"/>
  <c r="BQ344" i="76"/>
  <c r="AJ800" i="76"/>
  <c r="AJ1032" i="76"/>
  <c r="BQ668" i="76"/>
  <c r="AJ170" i="76"/>
  <c r="AJ751" i="76"/>
  <c r="AJ289" i="76"/>
  <c r="AJ431" i="76"/>
  <c r="BQ745" i="76"/>
  <c r="BQ896" i="76"/>
  <c r="BQ636" i="76"/>
  <c r="AJ629" i="76"/>
  <c r="BQ92" i="76"/>
  <c r="BQ626" i="76"/>
  <c r="AJ926" i="76"/>
  <c r="BQ381" i="76"/>
  <c r="AJ909" i="76"/>
  <c r="AJ133" i="76"/>
  <c r="AJ620" i="76"/>
  <c r="AJ188" i="76"/>
  <c r="BQ725" i="76"/>
  <c r="AJ934" i="76"/>
  <c r="AJ1061" i="76"/>
  <c r="AJ981" i="76"/>
  <c r="BQ616" i="76"/>
  <c r="BQ595" i="76"/>
  <c r="BQ1002" i="76"/>
  <c r="BQ162" i="76"/>
  <c r="AJ834" i="76"/>
  <c r="AJ427" i="76"/>
  <c r="AJ714" i="76"/>
  <c r="AJ360" i="76"/>
  <c r="BQ148" i="76"/>
  <c r="BQ283" i="76"/>
  <c r="BQ447" i="76"/>
  <c r="AJ400" i="76"/>
  <c r="BQ924" i="76"/>
  <c r="AJ855" i="76"/>
  <c r="BQ1028" i="76"/>
  <c r="BQ550" i="76"/>
  <c r="AJ499" i="76"/>
  <c r="BQ171" i="76"/>
  <c r="BQ579" i="76"/>
  <c r="AJ414" i="76"/>
  <c r="BQ604" i="76"/>
  <c r="AJ368" i="76"/>
  <c r="BQ142" i="76"/>
  <c r="AJ517" i="76"/>
  <c r="BQ919" i="76"/>
  <c r="BQ199" i="76"/>
  <c r="BQ853" i="76"/>
  <c r="BQ472" i="76"/>
  <c r="BQ603" i="76"/>
  <c r="BQ565" i="76"/>
  <c r="BQ491" i="76"/>
  <c r="AJ616" i="76"/>
  <c r="AJ397" i="76"/>
  <c r="AJ942" i="76"/>
  <c r="AJ434" i="76"/>
  <c r="BQ711" i="76"/>
  <c r="AJ894" i="76"/>
  <c r="BQ923" i="76"/>
  <c r="AJ627" i="76"/>
  <c r="BQ718" i="76"/>
  <c r="AJ835" i="76"/>
  <c r="BQ257" i="76"/>
  <c r="BQ872" i="76"/>
  <c r="BQ857" i="76"/>
  <c r="AJ229" i="76"/>
  <c r="AJ293" i="76"/>
  <c r="BQ439" i="76"/>
  <c r="BQ1019" i="76"/>
  <c r="AJ574" i="76"/>
  <c r="BQ172" i="76"/>
  <c r="BQ1000" i="76"/>
  <c r="BQ806" i="76"/>
  <c r="AJ227" i="76"/>
  <c r="BQ186" i="76"/>
  <c r="AJ745" i="76"/>
  <c r="AJ357" i="76"/>
  <c r="AJ353" i="76"/>
  <c r="BQ215" i="76"/>
  <c r="BQ423" i="76"/>
  <c r="BQ601" i="76"/>
  <c r="BQ911" i="76"/>
  <c r="BQ289" i="76"/>
  <c r="AJ492" i="76"/>
  <c r="AJ502" i="76"/>
  <c r="AJ297" i="76"/>
  <c r="AJ795" i="76"/>
  <c r="AJ920" i="76"/>
  <c r="BQ986" i="76"/>
  <c r="AJ836" i="76"/>
  <c r="AJ167" i="76"/>
  <c r="AJ508" i="76"/>
  <c r="AJ906" i="76"/>
  <c r="BQ602" i="76"/>
  <c r="AJ641" i="76"/>
  <c r="AJ696" i="76"/>
  <c r="BQ206" i="76"/>
  <c r="BQ147" i="76"/>
  <c r="AJ899" i="76"/>
  <c r="AJ203" i="76"/>
  <c r="AJ149" i="76"/>
  <c r="BQ887" i="76"/>
  <c r="BQ1037" i="76"/>
  <c r="AJ796" i="76"/>
  <c r="AJ679" i="76"/>
  <c r="AJ759" i="76"/>
  <c r="BQ165" i="76"/>
  <c r="BQ177" i="76"/>
  <c r="BQ933" i="76"/>
  <c r="BQ874" i="76"/>
  <c r="AJ128" i="76"/>
  <c r="AJ247" i="76"/>
  <c r="BQ870" i="76"/>
  <c r="AJ597" i="76"/>
  <c r="BQ1034" i="76"/>
  <c r="BQ89" i="76"/>
  <c r="BQ761" i="76"/>
  <c r="AJ551" i="76"/>
  <c r="BQ549" i="76"/>
  <c r="BQ234" i="76"/>
  <c r="BQ674" i="76"/>
  <c r="BQ545" i="76"/>
  <c r="BQ497" i="76"/>
  <c r="AJ1028" i="76"/>
  <c r="AJ522" i="76"/>
  <c r="BQ435" i="76"/>
  <c r="AJ150" i="76"/>
  <c r="BQ589" i="76"/>
  <c r="AJ787" i="76"/>
  <c r="BQ104" i="76"/>
  <c r="AJ1008" i="76"/>
  <c r="BQ767" i="76"/>
  <c r="AJ1057" i="76"/>
  <c r="BQ677" i="76"/>
  <c r="BQ592" i="76"/>
  <c r="AJ754" i="76"/>
  <c r="AJ475" i="76"/>
  <c r="BQ380" i="76"/>
  <c r="BQ368" i="76"/>
  <c r="BQ317" i="76"/>
  <c r="AJ199" i="76"/>
  <c r="BQ353" i="76"/>
  <c r="BQ730" i="76"/>
  <c r="BQ740" i="76"/>
  <c r="BQ258" i="76"/>
  <c r="AJ644" i="76"/>
  <c r="BQ432" i="76"/>
  <c r="AJ960" i="76"/>
  <c r="AJ318" i="76"/>
  <c r="BQ548" i="76"/>
  <c r="AJ642" i="76"/>
  <c r="AJ755" i="76"/>
  <c r="BQ277" i="76"/>
  <c r="AJ176" i="76"/>
  <c r="BQ510" i="76"/>
  <c r="BQ727" i="76"/>
  <c r="AJ888" i="76"/>
  <c r="AJ256" i="76"/>
  <c r="BQ815" i="76"/>
  <c r="AJ818" i="76"/>
  <c r="BQ598" i="76"/>
  <c r="AJ584" i="76"/>
  <c r="AJ294" i="76"/>
  <c r="AJ462" i="76"/>
  <c r="AJ968" i="76"/>
  <c r="AJ345" i="76"/>
  <c r="AJ1019" i="76"/>
  <c r="AJ533" i="76"/>
  <c r="BQ275" i="76"/>
  <c r="AJ807" i="76"/>
  <c r="BQ897" i="76"/>
  <c r="BQ810" i="76"/>
  <c r="AJ825" i="76"/>
  <c r="AJ614" i="76"/>
  <c r="BQ719" i="76"/>
  <c r="AJ1002" i="76"/>
  <c r="AJ602" i="76"/>
  <c r="AJ328" i="76"/>
  <c r="AJ883" i="76"/>
  <c r="AJ720" i="76"/>
  <c r="AJ483" i="76"/>
  <c r="AJ365" i="76"/>
  <c r="AJ274" i="76"/>
  <c r="AJ731" i="76"/>
  <c r="AJ276" i="76"/>
  <c r="AJ826" i="76"/>
  <c r="AJ236" i="76"/>
  <c r="AJ693" i="76"/>
  <c r="AJ783" i="76"/>
  <c r="AJ306" i="76"/>
  <c r="BQ75" i="76"/>
  <c r="BQ780" i="76"/>
  <c r="AJ322" i="76"/>
  <c r="BQ242" i="76"/>
  <c r="BQ267" i="76"/>
  <c r="BQ164" i="76"/>
  <c r="AJ860" i="76"/>
  <c r="AJ595" i="76"/>
  <c r="BQ848" i="76"/>
  <c r="AJ192" i="76"/>
  <c r="BQ1039" i="76"/>
  <c r="AJ190" i="76"/>
  <c r="BQ175" i="76"/>
  <c r="AJ261" i="76"/>
  <c r="AJ964" i="76"/>
  <c r="BQ249" i="76"/>
  <c r="BQ354" i="76"/>
  <c r="BQ1068" i="76"/>
  <c r="AJ527" i="76"/>
  <c r="AJ811" i="76"/>
  <c r="BQ713" i="76"/>
  <c r="BQ546" i="76"/>
  <c r="AJ562" i="76"/>
  <c r="AJ670" i="76"/>
  <c r="AJ425" i="76"/>
  <c r="AJ726" i="76"/>
  <c r="BQ1009" i="76"/>
  <c r="AJ524" i="76"/>
  <c r="BQ966" i="76"/>
  <c r="BQ385" i="76"/>
  <c r="BQ837" i="76"/>
  <c r="BQ415" i="76"/>
  <c r="AJ285" i="76"/>
  <c r="AJ628" i="76"/>
  <c r="AJ504" i="76"/>
  <c r="BQ686" i="76"/>
  <c r="AJ485" i="76"/>
  <c r="AJ766" i="76"/>
  <c r="AJ461" i="76"/>
  <c r="BQ485" i="76"/>
  <c r="BQ901" i="76"/>
  <c r="BQ70" i="76"/>
  <c r="BQ200" i="76"/>
  <c r="BQ181" i="76"/>
  <c r="BQ777" i="76"/>
  <c r="AJ1034" i="76"/>
  <c r="BQ365" i="76"/>
  <c r="AJ624" i="76"/>
  <c r="BQ937" i="76"/>
  <c r="BQ765" i="76"/>
  <c r="AJ1042" i="76"/>
  <c r="BQ358" i="76"/>
  <c r="BQ1010" i="76"/>
  <c r="AJ936" i="76"/>
  <c r="BQ478" i="76"/>
  <c r="AJ407" i="76"/>
  <c r="BQ826" i="76"/>
  <c r="BQ876" i="76"/>
  <c r="AJ484" i="76"/>
  <c r="BQ458" i="76"/>
  <c r="BQ220" i="76"/>
  <c r="AJ724" i="76"/>
  <c r="BQ132" i="76"/>
  <c r="BQ915" i="76"/>
  <c r="AJ466" i="76"/>
  <c r="AJ636" i="76"/>
  <c r="AJ837" i="76"/>
  <c r="BQ112" i="76"/>
  <c r="BQ891" i="76"/>
  <c r="BQ188" i="76"/>
  <c r="AJ430" i="76"/>
  <c r="BQ631" i="76"/>
  <c r="BQ646" i="76"/>
  <c r="AJ491" i="76"/>
  <c r="AJ500" i="76"/>
  <c r="AJ557" i="76"/>
  <c r="BQ205" i="76"/>
  <c r="AJ668" i="76"/>
  <c r="BQ522" i="76"/>
  <c r="AJ493" i="76"/>
  <c r="BQ969" i="76"/>
  <c r="AJ456" i="76"/>
  <c r="AJ196" i="76"/>
  <c r="BQ102" i="76"/>
  <c r="AJ710" i="76"/>
  <c r="BQ312" i="76"/>
  <c r="AJ411" i="76"/>
  <c r="AJ131" i="76"/>
  <c r="AJ935" i="76"/>
  <c r="AJ1040" i="76"/>
  <c r="BQ255" i="76"/>
  <c r="BQ991" i="76"/>
  <c r="BQ490" i="76"/>
  <c r="BQ854" i="76"/>
  <c r="AJ488" i="76"/>
  <c r="BQ935" i="76"/>
  <c r="BQ83" i="76"/>
  <c r="AJ216" i="76"/>
  <c r="AJ468" i="76"/>
  <c r="BQ465" i="76"/>
  <c r="AJ85" i="76"/>
  <c r="AJ1039" i="76"/>
  <c r="BQ1036" i="76"/>
  <c r="AJ984" i="76"/>
  <c r="BQ98" i="76"/>
  <c r="AJ445" i="76"/>
  <c r="AJ775" i="76"/>
  <c r="AJ386" i="76"/>
  <c r="BQ542" i="76"/>
  <c r="AJ273" i="76"/>
  <c r="BQ315" i="76"/>
  <c r="BQ492" i="76"/>
  <c r="BQ153" i="76"/>
  <c r="AJ831" i="76"/>
  <c r="AJ453" i="76"/>
  <c r="BQ659" i="76"/>
  <c r="AJ338" i="76"/>
  <c r="AJ700" i="76"/>
  <c r="BQ654" i="76"/>
  <c r="AJ377" i="76"/>
  <c r="BQ722" i="76"/>
  <c r="BQ778" i="76"/>
  <c r="BQ1063" i="76"/>
  <c r="AJ481" i="76"/>
  <c r="AJ238" i="76"/>
  <c r="AJ255" i="76"/>
  <c r="BQ501" i="76"/>
  <c r="BQ973" i="76"/>
  <c r="AJ784" i="76"/>
  <c r="AJ235" i="76"/>
  <c r="BQ898" i="76"/>
  <c r="AJ615" i="76"/>
  <c r="BQ792" i="76"/>
  <c r="BQ738" i="76"/>
  <c r="BQ1059" i="76"/>
  <c r="BQ866" i="76"/>
  <c r="BQ1017" i="76"/>
  <c r="AJ953" i="76"/>
  <c r="AJ753" i="76"/>
  <c r="AJ84" i="76"/>
  <c r="BQ690" i="76"/>
  <c r="BQ698" i="76"/>
  <c r="BQ1022" i="76"/>
  <c r="BQ886" i="76"/>
  <c r="BQ769" i="76"/>
  <c r="BQ480" i="76"/>
  <c r="BQ1062" i="76"/>
  <c r="AJ403" i="76"/>
  <c r="BQ79" i="76"/>
  <c r="AJ1065" i="76"/>
  <c r="AJ739" i="76"/>
  <c r="BQ877" i="76"/>
  <c r="AJ768" i="76"/>
  <c r="AJ165" i="76"/>
  <c r="BQ280" i="76"/>
  <c r="AJ728" i="76"/>
  <c r="BQ346" i="76"/>
  <c r="BQ271" i="76"/>
  <c r="BQ957" i="76"/>
  <c r="BQ427" i="76"/>
  <c r="BQ297" i="76"/>
  <c r="AJ810" i="76"/>
  <c r="BQ739" i="76"/>
  <c r="AJ444" i="76"/>
  <c r="AJ335" i="76"/>
  <c r="BQ663" i="76"/>
  <c r="BQ318" i="76"/>
  <c r="BQ649" i="76"/>
  <c r="BQ330" i="76"/>
  <c r="BQ179" i="76"/>
  <c r="AJ316" i="76"/>
  <c r="BQ843" i="76"/>
  <c r="BQ618" i="76"/>
  <c r="AJ1066" i="76"/>
  <c r="BQ856" i="76"/>
  <c r="AJ1020" i="76"/>
  <c r="AJ687" i="76"/>
  <c r="BQ352" i="76"/>
  <c r="AJ987" i="76"/>
  <c r="AJ617" i="76"/>
  <c r="AJ347" i="76"/>
  <c r="BQ976" i="76"/>
  <c r="BQ504" i="76"/>
  <c r="BQ634" i="76"/>
  <c r="AJ142" i="76"/>
  <c r="AJ703" i="76"/>
  <c r="BQ702" i="76"/>
  <c r="BQ411" i="76"/>
  <c r="AJ782" i="76"/>
  <c r="BQ514" i="76"/>
  <c r="AJ794" i="76"/>
  <c r="AJ212" i="76"/>
  <c r="AJ792" i="76"/>
  <c r="AJ802" i="76"/>
  <c r="BQ196" i="76"/>
  <c r="BQ134" i="76"/>
  <c r="AJ114" i="76"/>
  <c r="BQ496" i="76"/>
  <c r="BQ1058" i="76"/>
  <c r="AJ223" i="76"/>
  <c r="AJ974" i="76"/>
  <c r="BQ1024" i="76"/>
  <c r="AJ421" i="76"/>
  <c r="AJ448" i="76"/>
  <c r="AJ312" i="76"/>
  <c r="AJ643" i="76"/>
  <c r="AJ873" i="76"/>
  <c r="BQ1033" i="76"/>
  <c r="BQ310" i="76"/>
  <c r="AJ300" i="76"/>
  <c r="AJ1013" i="76"/>
  <c r="AJ1004" i="76"/>
  <c r="AJ558" i="76"/>
  <c r="BQ197" i="76"/>
  <c r="AJ141" i="76"/>
  <c r="AJ588" i="76"/>
  <c r="BQ864" i="76"/>
  <c r="BQ772" i="76"/>
  <c r="BQ537" i="76"/>
  <c r="BQ922" i="76"/>
  <c r="AJ1027" i="76"/>
  <c r="BQ476" i="76"/>
  <c r="BQ1015" i="76"/>
  <c r="AJ105" i="76"/>
  <c r="BQ111" i="76"/>
  <c r="AJ640" i="76"/>
  <c r="BQ927" i="76"/>
  <c r="BQ396" i="76"/>
  <c r="AJ372" i="76"/>
  <c r="AJ760" i="76"/>
  <c r="AJ941" i="76"/>
  <c r="BQ371" i="76"/>
  <c r="AJ971" i="76"/>
  <c r="BQ450" i="76"/>
  <c r="BQ1012" i="76"/>
  <c r="AJ281" i="76"/>
  <c r="AJ264" i="76"/>
  <c r="BQ219" i="76"/>
  <c r="AJ1037" i="76"/>
  <c r="AJ265" i="76"/>
  <c r="BQ928" i="76"/>
  <c r="BQ474" i="76"/>
  <c r="BQ997" i="76"/>
  <c r="BQ252" i="76"/>
  <c r="AJ832" i="76"/>
  <c r="AJ410" i="76"/>
  <c r="AJ490" i="76"/>
  <c r="BQ920" i="76"/>
  <c r="BQ462" i="76"/>
  <c r="AJ878" i="76"/>
  <c r="BQ129" i="76"/>
  <c r="BQ670" i="76"/>
  <c r="BQ302" i="76"/>
  <c r="BQ436" i="76"/>
  <c r="AJ707" i="76"/>
  <c r="BQ502" i="76"/>
  <c r="BQ239" i="76"/>
  <c r="AJ995" i="76"/>
  <c r="BQ404" i="76"/>
  <c r="AJ246" i="76"/>
  <c r="BQ786" i="76"/>
  <c r="BQ703" i="76"/>
  <c r="BQ766" i="76"/>
  <c r="AJ541" i="76"/>
  <c r="AJ1026" i="76"/>
  <c r="BQ688" i="76"/>
  <c r="BQ788" i="76"/>
  <c r="AJ1045" i="76"/>
  <c r="BQ912" i="76"/>
  <c r="AJ419" i="76"/>
  <c r="AJ632" i="76"/>
  <c r="AJ601" i="76"/>
  <c r="BQ759" i="76"/>
  <c r="BQ564" i="76"/>
  <c r="AJ428" i="76"/>
  <c r="BQ705" i="76"/>
  <c r="BQ394" i="76"/>
  <c r="AJ650" i="76"/>
  <c r="AJ358" i="76"/>
  <c r="BQ475" i="76"/>
  <c r="BQ150" i="76"/>
  <c r="AJ565" i="76"/>
  <c r="AJ694" i="76"/>
  <c r="BQ166" i="76"/>
  <c r="AJ197" i="76"/>
  <c r="AJ872" i="76"/>
  <c r="BQ575" i="76"/>
  <c r="AJ349" i="76"/>
  <c r="BQ281" i="76"/>
  <c r="BQ561" i="76"/>
  <c r="BQ585" i="76"/>
  <c r="BQ366" i="76"/>
  <c r="BQ583" i="76"/>
  <c r="BQ914" i="76"/>
  <c r="BQ393" i="76"/>
  <c r="AJ99" i="76"/>
  <c r="AJ676" i="76"/>
  <c r="AJ890" i="76"/>
  <c r="AJ607" i="76"/>
  <c r="BQ958" i="76"/>
  <c r="AJ773" i="76"/>
  <c r="AJ446" i="76"/>
  <c r="BQ159" i="76"/>
  <c r="AJ350" i="76"/>
  <c r="BQ661" i="76"/>
  <c r="BQ126" i="76"/>
  <c r="AJ225" i="76"/>
  <c r="AJ525" i="76"/>
  <c r="BQ999" i="76"/>
  <c r="BQ407" i="76"/>
  <c r="BQ82" i="76"/>
  <c r="BQ760" i="76"/>
  <c r="AJ339" i="76"/>
  <c r="BQ784" i="76"/>
  <c r="AJ982" i="76"/>
  <c r="BQ691" i="76"/>
  <c r="AJ145" i="76"/>
  <c r="AJ464" i="76"/>
  <c r="AJ177" i="76"/>
  <c r="AJ382" i="76"/>
  <c r="AJ550" i="76"/>
  <c r="AJ477" i="76"/>
  <c r="AJ563" i="76"/>
  <c r="BQ379" i="76"/>
  <c r="AJ862" i="76"/>
  <c r="AJ214" i="76"/>
  <c r="AJ911" i="76"/>
  <c r="AJ169" i="76"/>
  <c r="BQ482" i="76"/>
  <c r="BQ445" i="76"/>
  <c r="AJ184" i="76"/>
  <c r="AJ856" i="76"/>
  <c r="BQ731" i="76"/>
  <c r="AJ237" i="76"/>
  <c r="AJ980" i="76"/>
  <c r="AJ649" i="76"/>
  <c r="AJ882" i="76"/>
  <c r="BQ591" i="76"/>
  <c r="BQ308" i="76"/>
  <c r="BQ580" i="76"/>
  <c r="BQ813" i="76"/>
  <c r="AJ104" i="76"/>
  <c r="AJ363" i="76"/>
  <c r="AJ613" i="76"/>
  <c r="AJ770" i="76"/>
  <c r="BQ995" i="76"/>
  <c r="BQ961" i="76"/>
  <c r="AJ546" i="76"/>
  <c r="AJ157" i="76"/>
  <c r="AJ621" i="76"/>
  <c r="BQ624" i="76"/>
  <c r="AJ799" i="76"/>
  <c r="BQ526" i="76"/>
  <c r="BQ1046" i="76"/>
  <c r="BQ191" i="76"/>
  <c r="BQ500" i="76"/>
  <c r="BQ948" i="76"/>
  <c r="AJ592" i="76"/>
  <c r="AJ895" i="76"/>
  <c r="BQ268" i="76"/>
  <c r="AJ930" i="76"/>
  <c r="AJ343" i="76"/>
  <c r="BQ481" i="76"/>
  <c r="BQ556" i="76"/>
  <c r="BQ76" i="76"/>
  <c r="AJ814" i="76"/>
  <c r="AJ201" i="76"/>
  <c r="BQ667" i="76"/>
  <c r="AJ307" i="76"/>
  <c r="BQ194" i="76"/>
  <c r="AJ938" i="76"/>
  <c r="BQ849" i="76"/>
  <c r="AJ219" i="76"/>
  <c r="AJ106" i="76"/>
  <c r="AJ213" i="76"/>
  <c r="AJ548" i="76"/>
  <c r="BQ397" i="76"/>
  <c r="BQ1035" i="76"/>
  <c r="BQ715" i="76"/>
  <c r="AJ789" i="76"/>
  <c r="BQ847" i="76"/>
  <c r="AJ993" i="76"/>
  <c r="BQ835" i="76"/>
  <c r="AJ838" i="76"/>
  <c r="AJ110" i="76"/>
  <c r="AJ122" i="76"/>
  <c r="AJ494" i="76"/>
  <c r="AJ866" i="76"/>
  <c r="BQ461" i="76"/>
  <c r="BQ985" i="76"/>
  <c r="BQ424" i="76"/>
  <c r="BQ845" i="76"/>
  <c r="BQ822" i="76"/>
  <c r="BQ903" i="76"/>
  <c r="BQ645" i="76"/>
  <c r="BQ540" i="76"/>
  <c r="AJ827" i="76"/>
  <c r="AJ244" i="76"/>
  <c r="AJ171" i="76"/>
  <c r="BQ881" i="76"/>
  <c r="AJ86" i="76"/>
  <c r="BQ240" i="76"/>
  <c r="BQ216" i="76"/>
  <c r="AJ553" i="76"/>
  <c r="AJ809" i="76"/>
  <c r="AJ956" i="76"/>
  <c r="BQ858" i="76"/>
  <c r="BQ828" i="76"/>
  <c r="AJ116" i="76"/>
  <c r="AJ870" i="76"/>
  <c r="AJ776" i="76"/>
  <c r="AJ805" i="76"/>
  <c r="BQ588" i="76"/>
  <c r="AJ598" i="76"/>
  <c r="BQ724" i="76"/>
  <c r="BQ448" i="76"/>
  <c r="AJ803" i="76"/>
  <c r="BQ401" i="76"/>
  <c r="BQ555" i="76"/>
  <c r="AJ308" i="76"/>
  <c r="BQ754" i="76"/>
  <c r="BQ529" i="76"/>
  <c r="AJ90" i="76"/>
  <c r="BQ749" i="76"/>
  <c r="AJ695" i="76"/>
  <c r="AJ772" i="76"/>
  <c r="AJ107" i="76"/>
  <c r="BQ671" i="76"/>
  <c r="AJ743" i="76"/>
  <c r="BQ74" i="76"/>
  <c r="BQ803" i="76"/>
  <c r="BQ469" i="76"/>
  <c r="BQ678" i="76"/>
  <c r="BQ824" i="76"/>
  <c r="BQ198" i="76"/>
  <c r="AJ442" i="76"/>
  <c r="AJ379" i="76"/>
  <c r="BQ303" i="76"/>
  <c r="AJ725" i="76"/>
  <c r="AJ354" i="76"/>
  <c r="BQ233" i="76"/>
  <c r="BQ477" i="76"/>
  <c r="BQ566" i="76"/>
  <c r="BQ680" i="76"/>
  <c r="BQ1026" i="76"/>
  <c r="AJ945" i="76"/>
  <c r="BQ438" i="76"/>
  <c r="BQ633" i="76"/>
  <c r="AJ374" i="76"/>
  <c r="AJ117" i="76"/>
  <c r="BQ455" i="76"/>
  <c r="AJ366" i="76"/>
  <c r="BQ81" i="76"/>
  <c r="AJ137" i="76"/>
  <c r="BQ965" i="76"/>
  <c r="AJ619" i="76"/>
  <c r="BQ562" i="76"/>
  <c r="BQ515" i="76"/>
  <c r="AJ1003" i="76"/>
  <c r="AJ881" i="76"/>
  <c r="AJ253" i="76"/>
  <c r="BQ774" i="76"/>
  <c r="AJ630" i="76"/>
  <c r="AJ391" i="76"/>
  <c r="AJ733" i="76"/>
  <c r="BQ551" i="76"/>
  <c r="BQ77" i="76"/>
  <c r="BQ227" i="76"/>
  <c r="BQ373" i="76"/>
  <c r="AJ147" i="76"/>
  <c r="BQ173" i="76"/>
  <c r="BQ599" i="76"/>
  <c r="AJ401" i="76"/>
  <c r="BQ723" i="76"/>
  <c r="BQ693" i="76"/>
  <c r="AJ999" i="76"/>
  <c r="BQ620" i="76"/>
  <c r="BQ1044" i="76"/>
  <c r="BQ444" i="76"/>
  <c r="BQ201" i="76"/>
  <c r="AJ590" i="76"/>
  <c r="AJ333" i="76"/>
  <c r="BQ582" i="76"/>
  <c r="AJ121" i="76"/>
  <c r="BQ333" i="76"/>
  <c r="AJ511" i="76"/>
  <c r="BQ538" i="76"/>
  <c r="AJ405" i="76"/>
  <c r="BQ1045" i="76"/>
  <c r="AJ612" i="76"/>
  <c r="BQ101" i="76"/>
  <c r="AJ417" i="76"/>
  <c r="BQ884" i="76"/>
  <c r="BQ307" i="76"/>
  <c r="AJ946" i="76"/>
  <c r="AJ361" i="76"/>
  <c r="BQ963" i="76"/>
  <c r="AJ575" i="76"/>
  <c r="AJ658" i="76"/>
  <c r="BQ138" i="76"/>
  <c r="BQ229" i="76"/>
  <c r="AJ924" i="76"/>
  <c r="AJ260" i="76"/>
  <c r="AJ1029" i="76"/>
  <c r="AJ440" i="76"/>
  <c r="BQ970" i="76"/>
  <c r="BQ742" i="76"/>
  <c r="AJ232" i="76"/>
  <c r="BQ347" i="76"/>
  <c r="AJ922" i="76"/>
  <c r="AJ813" i="76"/>
  <c r="BQ1016" i="76"/>
  <c r="AJ552" i="76"/>
  <c r="AJ542" i="76"/>
  <c r="BQ375" i="76"/>
  <c r="AJ583" i="76"/>
  <c r="BQ751" i="76"/>
  <c r="BQ273" i="76"/>
  <c r="AJ730" i="76"/>
  <c r="BQ921" i="76"/>
  <c r="AJ164" i="76"/>
  <c r="AJ892" i="76"/>
  <c r="AJ198" i="76"/>
  <c r="BQ468" i="76"/>
  <c r="AJ962" i="76"/>
  <c r="AJ944" i="76"/>
  <c r="AJ77" i="76"/>
  <c r="AJ716" i="76"/>
  <c r="BQ341" i="76"/>
  <c r="BQ750" i="76"/>
  <c r="BQ1038" i="76"/>
  <c r="BQ422" i="76"/>
  <c r="AJ638" i="76"/>
  <c r="BQ105" i="76"/>
  <c r="BQ518" i="76"/>
  <c r="AJ824" i="76"/>
  <c r="BQ694" i="76"/>
  <c r="BQ623" i="76"/>
  <c r="AJ564" i="76"/>
  <c r="BQ955" i="76"/>
  <c r="AJ230" i="76"/>
  <c r="BQ795" i="76"/>
  <c r="BQ96" i="76"/>
  <c r="AJ329" i="76"/>
  <c r="BQ699" i="76"/>
  <c r="BQ820" i="76"/>
  <c r="AJ70" i="76"/>
  <c r="AJ478" i="76"/>
  <c r="BQ946" i="76"/>
  <c r="BQ235" i="76"/>
  <c r="BQ883" i="76"/>
  <c r="BQ771" i="76"/>
  <c r="BQ208" i="76"/>
  <c r="AJ269" i="76"/>
  <c r="AJ88" i="76"/>
  <c r="BQ779" i="76"/>
  <c r="BQ892" i="76"/>
  <c r="AJ396" i="76"/>
  <c r="BQ406" i="76"/>
  <c r="AJ675" i="76"/>
  <c r="BQ141" i="76"/>
  <c r="AJ544" i="76"/>
  <c r="BQ904" i="76"/>
  <c r="BQ1065" i="76"/>
  <c r="AJ74" i="76"/>
  <c r="BQ417" i="76"/>
  <c r="AJ161" i="76"/>
  <c r="BQ1053" i="76"/>
  <c r="AJ97" i="76"/>
  <c r="BQ720" i="76"/>
  <c r="BQ755" i="76"/>
  <c r="AJ673" i="76"/>
  <c r="AJ677" i="76"/>
  <c r="BQ356" i="76"/>
  <c r="BQ541" i="76"/>
  <c r="BQ581" i="76"/>
  <c r="BQ264" i="76"/>
  <c r="AJ378" i="76"/>
  <c r="BQ611" i="76"/>
  <c r="BQ428" i="76"/>
  <c r="BQ117" i="76"/>
  <c r="AJ422" i="76"/>
  <c r="BQ1040" i="76"/>
  <c r="BQ1011" i="76"/>
  <c r="AJ332" i="76"/>
  <c r="BQ274" i="76"/>
  <c r="BQ818" i="76"/>
  <c r="BQ721" i="76"/>
  <c r="AJ96" i="76"/>
  <c r="AJ874" i="76"/>
  <c r="BQ210" i="76"/>
  <c r="BQ639" i="76"/>
  <c r="AJ399" i="76"/>
  <c r="BQ747" i="76"/>
  <c r="BQ734" i="76"/>
  <c r="AJ330" i="76"/>
  <c r="AJ698" i="76"/>
  <c r="AJ514" i="76"/>
  <c r="AJ917" i="76"/>
  <c r="BQ888" i="76"/>
  <c r="BQ290" i="76"/>
  <c r="BQ120" i="76"/>
  <c r="BQ1048" i="76"/>
  <c r="AJ482" i="76"/>
  <c r="BQ295" i="76"/>
  <c r="AJ507" i="76"/>
  <c r="BQ337" i="76"/>
  <c r="BQ443" i="76"/>
  <c r="BQ349" i="76"/>
  <c r="BQ657" i="76"/>
  <c r="AJ579" i="76"/>
  <c r="AJ279" i="76"/>
  <c r="AJ767" i="76"/>
  <c r="AJ186" i="76"/>
  <c r="BQ230" i="76"/>
  <c r="AJ153" i="76"/>
  <c r="BQ558" i="76"/>
  <c r="BQ419" i="76"/>
  <c r="AJ376" i="76"/>
  <c r="BQ334" i="76"/>
  <c r="BQ617" i="76"/>
  <c r="AJ915" i="76"/>
  <c r="BQ931" i="76"/>
  <c r="AJ699" i="76"/>
  <c r="BQ1042" i="76"/>
  <c r="AJ854" i="76"/>
  <c r="BQ384" i="76"/>
  <c r="AJ900" i="76"/>
  <c r="AJ299" i="76"/>
  <c r="AJ608" i="76"/>
  <c r="BQ291" i="76"/>
  <c r="BQ1021" i="76"/>
  <c r="AJ250" i="76"/>
  <c r="AJ172" i="76"/>
  <c r="BQ29" i="76" l="1"/>
  <c r="BQ31" i="76"/>
  <c r="BQ42" i="76" s="1"/>
  <c r="BQ34" i="76"/>
  <c r="BQ32" i="76"/>
  <c r="BQ37" i="76"/>
  <c r="BQ36" i="76"/>
  <c r="BQ33" i="76"/>
  <c r="BQ30" i="76"/>
  <c r="BQ35" i="76"/>
  <c r="AX12" i="18"/>
  <c r="AX84" i="18"/>
  <c r="AX153" i="18"/>
  <c r="AJ37" i="76"/>
  <c r="AJ29" i="76"/>
  <c r="AJ30" i="76"/>
  <c r="AJ36" i="76"/>
  <c r="AJ33" i="76"/>
  <c r="AJ32" i="76"/>
  <c r="AJ35" i="76"/>
  <c r="AJ34" i="76"/>
  <c r="AJ31" i="76"/>
  <c r="AJ42" i="76" s="1"/>
  <c r="R35" i="82"/>
  <c r="AA277" i="19"/>
  <c r="G22" i="19" s="1"/>
  <c r="G24" i="19"/>
  <c r="H34" i="2" s="1"/>
  <c r="T19" i="20"/>
  <c r="T21" i="20"/>
  <c r="Q26" i="82"/>
  <c r="S161" i="20"/>
  <c r="R34" i="82"/>
  <c r="T153" i="20"/>
  <c r="T132" i="20"/>
  <c r="M277" i="19" l="1"/>
  <c r="U34" i="20"/>
  <c r="BQ46" i="76"/>
  <c r="AJ46" i="76"/>
  <c r="BQ43" i="76"/>
  <c r="AJ44" i="76"/>
  <c r="T22" i="20"/>
  <c r="T115" i="20" s="1"/>
  <c r="T112" i="20"/>
  <c r="T18" i="20"/>
  <c r="T7" i="20" s="1"/>
  <c r="T117" i="20" s="1"/>
  <c r="BQ44" i="76"/>
  <c r="Q41" i="82"/>
  <c r="T114" i="20"/>
  <c r="AJ43" i="76"/>
  <c r="T152" i="20"/>
  <c r="R33" i="82"/>
  <c r="H32" i="2"/>
  <c r="G27" i="19"/>
  <c r="G35" i="19" s="1"/>
  <c r="T128" i="20"/>
  <c r="AJ45" i="76"/>
  <c r="BQ45" i="76"/>
  <c r="U32" i="20" l="1"/>
  <c r="U65" i="20" s="1"/>
  <c r="U68" i="20" s="1"/>
  <c r="U31" i="20"/>
  <c r="H37" i="2"/>
  <c r="T83" i="20"/>
  <c r="T95" i="20"/>
  <c r="T84" i="20"/>
  <c r="Y10" i="18" s="1"/>
  <c r="T24" i="20"/>
  <c r="X62" i="76"/>
  <c r="T118" i="20"/>
  <c r="R32" i="82"/>
  <c r="T148" i="20"/>
  <c r="H45" i="2" l="1"/>
  <c r="H89" i="2" s="1"/>
  <c r="T122" i="20"/>
  <c r="R14" i="82"/>
  <c r="Y20" i="18"/>
  <c r="R28" i="82"/>
  <c r="U45" i="20"/>
  <c r="U64" i="20"/>
  <c r="U28" i="20"/>
  <c r="N8" i="86"/>
  <c r="T108" i="20"/>
  <c r="Y7" i="18"/>
  <c r="X53" i="76"/>
  <c r="W12" i="65"/>
  <c r="W23" i="65" s="1"/>
  <c r="AX10" i="18"/>
  <c r="AX151" i="18"/>
  <c r="AX82" i="18"/>
  <c r="T92" i="20"/>
  <c r="T93" i="20"/>
  <c r="R9" i="82" l="1"/>
  <c r="T126" i="20"/>
  <c r="U135" i="20"/>
  <c r="U89" i="20"/>
  <c r="U90" i="20"/>
  <c r="Z12" i="18" s="1"/>
  <c r="Z16" i="18"/>
  <c r="U67" i="20"/>
  <c r="S19" i="82"/>
  <c r="U70" i="20"/>
  <c r="U134" i="20" s="1"/>
  <c r="U86" i="20"/>
  <c r="Z8" i="18" s="1"/>
  <c r="U87" i="20"/>
  <c r="Z11" i="18" s="1"/>
  <c r="AX9" i="18"/>
  <c r="AX150" i="18"/>
  <c r="AX81" i="18"/>
  <c r="X58" i="76"/>
  <c r="U133" i="20" l="1"/>
  <c r="U154" i="20"/>
  <c r="V134" i="20"/>
  <c r="T146" i="20"/>
  <c r="T141" i="20"/>
  <c r="AY152" i="18"/>
  <c r="AY11" i="18"/>
  <c r="AY83" i="18"/>
  <c r="U155" i="20"/>
  <c r="V135" i="20"/>
  <c r="Z9" i="18"/>
  <c r="AG12" i="65"/>
  <c r="AG23" i="65" s="1"/>
  <c r="AH23" i="65" s="1"/>
  <c r="O9" i="86"/>
  <c r="P9" i="86" s="1"/>
  <c r="BJ13" i="18"/>
  <c r="BB13" i="18" s="1"/>
  <c r="BB25" i="18" s="1"/>
  <c r="U120" i="20"/>
  <c r="S11" i="82" s="1"/>
  <c r="G72" i="19"/>
  <c r="M278" i="19" s="1"/>
  <c r="AK237" i="76"/>
  <c r="BR767" i="76"/>
  <c r="BR338" i="76"/>
  <c r="BR632" i="76"/>
  <c r="AK505" i="76"/>
  <c r="BR173" i="76"/>
  <c r="AK488" i="76"/>
  <c r="BR696" i="76"/>
  <c r="BR441" i="76"/>
  <c r="BR641" i="76"/>
  <c r="BR921" i="76"/>
  <c r="BR649" i="76"/>
  <c r="BR938" i="76"/>
  <c r="BR110" i="76"/>
  <c r="AK305" i="76"/>
  <c r="BR224" i="76"/>
  <c r="BR233" i="76"/>
  <c r="BR928" i="76"/>
  <c r="AK687" i="76"/>
  <c r="BR153" i="76"/>
  <c r="BR937" i="76"/>
  <c r="BR719" i="76"/>
  <c r="AK128" i="76"/>
  <c r="BR199" i="76"/>
  <c r="BR757" i="76"/>
  <c r="BR326" i="76"/>
  <c r="BR590" i="76"/>
  <c r="BR1014" i="76"/>
  <c r="AK140" i="76"/>
  <c r="AK771" i="76"/>
  <c r="AK530" i="76"/>
  <c r="AK685" i="76"/>
  <c r="BR827" i="76"/>
  <c r="AK812" i="76"/>
  <c r="BR945" i="76"/>
  <c r="AK869" i="76"/>
  <c r="AK719" i="76"/>
  <c r="AK317" i="76"/>
  <c r="AK166" i="76"/>
  <c r="BR841" i="76"/>
  <c r="AK667" i="76"/>
  <c r="BR139" i="76"/>
  <c r="AK194" i="76"/>
  <c r="AK147" i="76"/>
  <c r="AK1039" i="76"/>
  <c r="BR100" i="76"/>
  <c r="BR816" i="76"/>
  <c r="AK833" i="76"/>
  <c r="AK77" i="76"/>
  <c r="BR654" i="76"/>
  <c r="AK790" i="76"/>
  <c r="BR359" i="76"/>
  <c r="AK1053" i="76"/>
  <c r="BR1053" i="76"/>
  <c r="AK265" i="76"/>
  <c r="BR919" i="76"/>
  <c r="BR403" i="76"/>
  <c r="AK711" i="76"/>
  <c r="AK489" i="76"/>
  <c r="BR1045" i="76"/>
  <c r="BR419" i="76"/>
  <c r="BR824" i="76"/>
  <c r="BR688" i="76"/>
  <c r="AK831" i="76"/>
  <c r="AK754" i="76"/>
  <c r="BR872" i="76"/>
  <c r="AK1032" i="76"/>
  <c r="BR543" i="76"/>
  <c r="AK688" i="76"/>
  <c r="AK275" i="76"/>
  <c r="AK1023" i="76"/>
  <c r="BR516" i="76"/>
  <c r="AK817" i="76"/>
  <c r="BR109" i="76"/>
  <c r="BR708" i="76"/>
  <c r="AK529" i="76"/>
  <c r="AK144" i="76"/>
  <c r="BR980" i="76"/>
  <c r="BR316" i="76"/>
  <c r="AK435" i="76"/>
  <c r="BR819" i="76"/>
  <c r="BR653" i="76"/>
  <c r="BR137" i="76"/>
  <c r="BR775" i="76"/>
  <c r="BR73" i="76"/>
  <c r="AK945" i="76"/>
  <c r="AK1066" i="76"/>
  <c r="BR89" i="76"/>
  <c r="BR768" i="76"/>
  <c r="BR844" i="76"/>
  <c r="BR578" i="76"/>
  <c r="BR709" i="76"/>
  <c r="AK929" i="76"/>
  <c r="BR624" i="76"/>
  <c r="BR1036" i="76"/>
  <c r="AK360" i="76"/>
  <c r="AK370" i="76"/>
  <c r="BR106" i="76"/>
  <c r="BR989" i="76"/>
  <c r="BR846" i="76"/>
  <c r="AK699" i="76"/>
  <c r="AK649" i="76"/>
  <c r="AK624" i="76"/>
  <c r="BR421" i="76"/>
  <c r="AK134" i="76"/>
  <c r="BR655" i="76"/>
  <c r="BR869" i="76"/>
  <c r="BR174" i="76"/>
  <c r="BR694" i="76"/>
  <c r="BR526" i="76"/>
  <c r="BR657" i="76"/>
  <c r="AK892" i="76"/>
  <c r="BR401" i="76"/>
  <c r="BR784" i="76"/>
  <c r="BR1024" i="76"/>
  <c r="AK1040" i="76"/>
  <c r="AK731" i="76"/>
  <c r="BR1048" i="76"/>
  <c r="AK564" i="76"/>
  <c r="BR693" i="76"/>
  <c r="AK776" i="76"/>
  <c r="BR961" i="76"/>
  <c r="AK694" i="76"/>
  <c r="BR537" i="76"/>
  <c r="BR280" i="76"/>
  <c r="BR255" i="76"/>
  <c r="BR1009" i="76"/>
  <c r="BR277" i="76"/>
  <c r="BR986" i="76"/>
  <c r="BR162" i="76"/>
  <c r="BR643" i="76"/>
  <c r="AK510" i="76"/>
  <c r="BR123" i="76"/>
  <c r="AK623" i="76"/>
  <c r="BR527" i="76"/>
  <c r="BR410" i="76"/>
  <c r="BR190" i="76"/>
  <c r="AK209" i="76"/>
  <c r="BR737" i="76"/>
  <c r="AK291" i="76"/>
  <c r="BR879" i="76"/>
  <c r="AK898" i="76"/>
  <c r="AK187" i="76"/>
  <c r="AK286" i="76"/>
  <c r="BR974" i="76"/>
  <c r="BR113" i="76"/>
  <c r="BR752" i="76"/>
  <c r="AK712" i="76"/>
  <c r="BR356" i="76"/>
  <c r="AK419" i="76"/>
  <c r="BR439" i="76"/>
  <c r="AK113" i="76"/>
  <c r="BR552" i="76"/>
  <c r="AK404" i="76"/>
  <c r="BR541" i="76"/>
  <c r="AK358" i="76"/>
  <c r="AK199" i="76"/>
  <c r="BR978" i="76"/>
  <c r="BR483" i="76"/>
  <c r="AK415" i="76"/>
  <c r="AK531" i="76"/>
  <c r="AK354" i="76"/>
  <c r="BR886" i="76"/>
  <c r="AK499" i="76"/>
  <c r="BR954" i="76"/>
  <c r="BR128" i="76"/>
  <c r="AK734" i="76"/>
  <c r="BR360" i="76"/>
  <c r="BR264" i="76"/>
  <c r="AK279" i="76"/>
  <c r="AK478" i="76"/>
  <c r="AK121" i="76"/>
  <c r="AK308" i="76"/>
  <c r="BR500" i="76"/>
  <c r="BR366" i="76"/>
  <c r="BR396" i="76"/>
  <c r="AK444" i="76"/>
  <c r="BR465" i="76"/>
  <c r="BR686" i="76"/>
  <c r="AK584" i="76"/>
  <c r="BR147" i="76"/>
  <c r="BR924" i="76"/>
  <c r="BR245" i="76"/>
  <c r="AK109" i="76"/>
  <c r="BR717" i="76"/>
  <c r="AK797" i="76"/>
  <c r="BR259" i="76"/>
  <c r="BR934" i="76"/>
  <c r="BR942" i="76"/>
  <c r="BR638" i="76"/>
  <c r="AK877" i="76"/>
  <c r="AK704" i="76"/>
  <c r="AK123" i="76"/>
  <c r="BR614" i="76"/>
  <c r="AK779" i="76"/>
  <c r="BR408" i="76"/>
  <c r="AK604" i="76"/>
  <c r="AK931" i="76"/>
  <c r="AK180" i="76"/>
  <c r="BR992" i="76"/>
  <c r="AK915" i="76"/>
  <c r="AK592" i="76"/>
  <c r="BR312" i="76"/>
  <c r="AK289" i="76"/>
  <c r="AK240" i="76"/>
  <c r="BR832" i="76"/>
  <c r="AK277" i="76"/>
  <c r="AK651" i="76"/>
  <c r="BR965" i="76"/>
  <c r="BR318" i="76"/>
  <c r="AK981" i="76"/>
  <c r="BR86" i="76"/>
  <c r="AK344" i="76"/>
  <c r="AK603" i="76"/>
  <c r="AK951" i="76"/>
  <c r="AK391" i="76"/>
  <c r="BR877" i="76"/>
  <c r="AK353" i="76"/>
  <c r="AK969" i="76"/>
  <c r="AK233" i="76"/>
  <c r="BR617" i="76"/>
  <c r="BR892" i="76"/>
  <c r="BR884" i="76"/>
  <c r="AK743" i="76"/>
  <c r="BR76" i="76"/>
  <c r="AK773" i="76"/>
  <c r="AK264" i="76"/>
  <c r="BR618" i="76"/>
  <c r="BR542" i="76"/>
  <c r="BR777" i="76"/>
  <c r="BR897" i="76"/>
  <c r="BR165" i="76"/>
  <c r="AK368" i="76"/>
  <c r="AK331" i="76"/>
  <c r="BR390" i="76"/>
  <c r="AK746" i="76"/>
  <c r="BR180" i="76"/>
  <c r="AK816" i="76"/>
  <c r="AK684" i="76"/>
  <c r="AK280" i="76"/>
  <c r="AK314" i="76"/>
  <c r="AK815" i="76"/>
  <c r="AK1000" i="76"/>
  <c r="AK454" i="76"/>
  <c r="BR1061" i="76"/>
  <c r="BR425" i="76"/>
  <c r="BR466" i="76"/>
  <c r="AK736" i="76"/>
  <c r="BR1054" i="76"/>
  <c r="BR949" i="76"/>
  <c r="AK512" i="76"/>
  <c r="AK181" i="76"/>
  <c r="BR1044" i="76"/>
  <c r="AK643" i="76"/>
  <c r="AK960" i="76"/>
  <c r="AK92" i="76"/>
  <c r="BR926" i="76"/>
  <c r="AK933" i="76"/>
  <c r="BR925" i="76"/>
  <c r="AK221" i="76"/>
  <c r="BR424" i="76"/>
  <c r="BR501" i="76"/>
  <c r="BR1019" i="76"/>
  <c r="BR232" i="76"/>
  <c r="BR600" i="76"/>
  <c r="AK1048" i="76"/>
  <c r="AK570" i="76"/>
  <c r="AK548" i="76"/>
  <c r="AK493" i="76"/>
  <c r="BR745" i="76"/>
  <c r="AK669" i="76"/>
  <c r="BR605" i="76"/>
  <c r="AK921" i="76"/>
  <c r="AK591" i="76"/>
  <c r="AK97" i="76"/>
  <c r="BR397" i="76"/>
  <c r="AK854" i="76"/>
  <c r="BR750" i="76"/>
  <c r="AK772" i="76"/>
  <c r="BR445" i="76"/>
  <c r="BR772" i="76"/>
  <c r="AK445" i="76"/>
  <c r="AK192" i="76"/>
  <c r="AK579" i="76"/>
  <c r="AK70" i="76"/>
  <c r="BR582" i="76"/>
  <c r="BR555" i="76"/>
  <c r="BR191" i="76"/>
  <c r="BR585" i="76"/>
  <c r="BR927" i="76"/>
  <c r="BR739" i="76"/>
  <c r="AK468" i="76"/>
  <c r="AK504" i="76"/>
  <c r="BR598" i="76"/>
  <c r="BR206" i="76"/>
  <c r="AK400" i="76"/>
  <c r="BR764" i="76"/>
  <c r="BR706" i="76"/>
  <c r="BR830" i="76"/>
  <c r="BR93" i="76"/>
  <c r="BR321" i="76"/>
  <c r="BR981" i="76"/>
  <c r="AK1049" i="76"/>
  <c r="BR658" i="76"/>
  <c r="AK842" i="76"/>
  <c r="AK756" i="76"/>
  <c r="AK1030" i="76"/>
  <c r="AK778" i="76"/>
  <c r="BR679" i="76"/>
  <c r="BR1047" i="76"/>
  <c r="AK102" i="76"/>
  <c r="BR1041" i="76"/>
  <c r="AK394" i="76"/>
  <c r="AK438" i="76"/>
  <c r="AK186" i="76"/>
  <c r="BR407" i="76"/>
  <c r="AK1028" i="76"/>
  <c r="BR456" i="76"/>
  <c r="AK928" i="76"/>
  <c r="BR431" i="76"/>
  <c r="BR337" i="76"/>
  <c r="BR82" i="76"/>
  <c r="AK968" i="76"/>
  <c r="AK311" i="76"/>
  <c r="BR977" i="76"/>
  <c r="AK683" i="76"/>
  <c r="AK205" i="76"/>
  <c r="AK405" i="76"/>
  <c r="BR634" i="76"/>
  <c r="AK835" i="76"/>
  <c r="BR867" i="76"/>
  <c r="AK943" i="76"/>
  <c r="AK1062" i="76"/>
  <c r="AK798" i="76"/>
  <c r="BR349" i="76"/>
  <c r="BR334" i="76"/>
  <c r="BR779" i="76"/>
  <c r="AK417" i="76"/>
  <c r="BR671" i="76"/>
  <c r="BR556" i="76"/>
  <c r="BR958" i="76"/>
  <c r="AK281" i="76"/>
  <c r="BR843" i="76"/>
  <c r="AK386" i="76"/>
  <c r="BR181" i="76"/>
  <c r="AK807" i="76"/>
  <c r="AK759" i="76"/>
  <c r="BR604" i="76"/>
  <c r="AK385" i="76"/>
  <c r="BR597" i="76"/>
  <c r="AK249" i="76"/>
  <c r="AK239" i="76"/>
  <c r="AK560" i="76"/>
  <c r="BR374" i="76"/>
  <c r="AK93" i="76"/>
  <c r="BR437" i="76"/>
  <c r="AK251" i="76"/>
  <c r="BR324" i="76"/>
  <c r="AK555" i="76"/>
  <c r="BR161" i="76"/>
  <c r="AK352" i="76"/>
  <c r="AK337" i="76"/>
  <c r="AK1052" i="76"/>
  <c r="BR609" i="76"/>
  <c r="BR488" i="76"/>
  <c r="BR487" i="76"/>
  <c r="BR985" i="76"/>
  <c r="AK255" i="76"/>
  <c r="BR142" i="76"/>
  <c r="BR226" i="76"/>
  <c r="AK896" i="76"/>
  <c r="BR449" i="76"/>
  <c r="AK132" i="76"/>
  <c r="AK946" i="76"/>
  <c r="AK873" i="76"/>
  <c r="AK517" i="76"/>
  <c r="AK913" i="76"/>
  <c r="AK840" i="76"/>
  <c r="BR311" i="76"/>
  <c r="AK1029" i="76"/>
  <c r="AK212" i="76"/>
  <c r="AK551" i="76"/>
  <c r="AK408" i="76"/>
  <c r="AK299" i="76"/>
  <c r="BR229" i="76"/>
  <c r="AK379" i="76"/>
  <c r="BR999" i="76"/>
  <c r="AK347" i="76"/>
  <c r="BR1010" i="76"/>
  <c r="BR1034" i="76"/>
  <c r="BR553" i="76"/>
  <c r="AK1010" i="76"/>
  <c r="BR298" i="76"/>
  <c r="BR1055" i="76"/>
  <c r="BR939" i="76"/>
  <c r="BR1031" i="76"/>
  <c r="BR701" i="76"/>
  <c r="AK715" i="76"/>
  <c r="AK912" i="76"/>
  <c r="AK885" i="76"/>
  <c r="AK672" i="76"/>
  <c r="BR371" i="76"/>
  <c r="AK996" i="76"/>
  <c r="AK346" i="76"/>
  <c r="AK339" i="76"/>
  <c r="BR1035" i="76"/>
  <c r="AK165" i="76"/>
  <c r="BR740" i="76"/>
  <c r="BR375" i="76"/>
  <c r="BR455" i="76"/>
  <c r="AK563" i="76"/>
  <c r="BR196" i="76"/>
  <c r="AK837" i="76"/>
  <c r="AK787" i="76"/>
  <c r="BR668" i="76"/>
  <c r="AK849" i="76"/>
  <c r="AK1022" i="76"/>
  <c r="BR195" i="76"/>
  <c r="AK479" i="76"/>
  <c r="AK341" i="76"/>
  <c r="AK1006" i="76"/>
  <c r="BR1029" i="76"/>
  <c r="AK554" i="76"/>
  <c r="AK678" i="76"/>
  <c r="AK257" i="76"/>
  <c r="BR550" i="76"/>
  <c r="BR183" i="76"/>
  <c r="AK306" i="76"/>
  <c r="BR916" i="76"/>
  <c r="BR963" i="76"/>
  <c r="BR468" i="76"/>
  <c r="AK856" i="76"/>
  <c r="AK84" i="76"/>
  <c r="AK227" i="76"/>
  <c r="AK515" i="76"/>
  <c r="AK523" i="76"/>
  <c r="AK593" i="76"/>
  <c r="AK793" i="76"/>
  <c r="AK662" i="76"/>
  <c r="BR237" i="76"/>
  <c r="BR436" i="76"/>
  <c r="AK439" i="76"/>
  <c r="AK690" i="76"/>
  <c r="AK363" i="76"/>
  <c r="AK997" i="76"/>
  <c r="BR426" i="76"/>
  <c r="BR485" i="76"/>
  <c r="BR434" i="76"/>
  <c r="AK135" i="76"/>
  <c r="AK638" i="76"/>
  <c r="BR813" i="76"/>
  <c r="BR79" i="76"/>
  <c r="BR432" i="76"/>
  <c r="BR143" i="76"/>
  <c r="BR790" i="76"/>
  <c r="BR136" i="76"/>
  <c r="AK680" i="76"/>
  <c r="BR94" i="76"/>
  <c r="AK1044" i="76"/>
  <c r="BR219" i="76"/>
  <c r="AK155" i="76"/>
  <c r="BR835" i="76"/>
  <c r="AK781" i="76"/>
  <c r="BR631" i="76"/>
  <c r="AK518" i="76"/>
  <c r="BR111" i="76"/>
  <c r="BR83" i="76"/>
  <c r="BR815" i="76"/>
  <c r="AK641" i="76"/>
  <c r="AK858" i="76"/>
  <c r="AK758" i="76"/>
  <c r="AK234" i="76"/>
  <c r="AK1007" i="76"/>
  <c r="BR1064" i="76"/>
  <c r="BR288" i="76"/>
  <c r="BR1049" i="76"/>
  <c r="BR130" i="76"/>
  <c r="BR932" i="76"/>
  <c r="AK461" i="76"/>
  <c r="BR936" i="76"/>
  <c r="AK361" i="76"/>
  <c r="BR615" i="76"/>
  <c r="AK571" i="76"/>
  <c r="AK803" i="76"/>
  <c r="AK544" i="76"/>
  <c r="AK122" i="76"/>
  <c r="AK640" i="76"/>
  <c r="BR234" i="76"/>
  <c r="BR853" i="76"/>
  <c r="BR80" i="76"/>
  <c r="BR812" i="76"/>
  <c r="AK195" i="76"/>
  <c r="BR95" i="76"/>
  <c r="AK375" i="76"/>
  <c r="AK764" i="76"/>
  <c r="AK952" i="76"/>
  <c r="BR270" i="76"/>
  <c r="AK722" i="76"/>
  <c r="AK106" i="76"/>
  <c r="AK273" i="76"/>
  <c r="BR491" i="76"/>
  <c r="AK1017" i="76"/>
  <c r="AK589" i="76"/>
  <c r="AK509" i="76"/>
  <c r="AK708" i="76"/>
  <c r="AK161" i="76"/>
  <c r="BR393" i="76"/>
  <c r="BR365" i="76"/>
  <c r="BR748" i="76"/>
  <c r="BR557" i="76"/>
  <c r="BR272" i="76"/>
  <c r="AK222" i="76"/>
  <c r="BR118" i="76"/>
  <c r="BR771" i="76"/>
  <c r="AK541" i="76"/>
  <c r="AK365" i="76"/>
  <c r="AK200" i="76"/>
  <c r="BR704" i="76"/>
  <c r="AK701" i="76"/>
  <c r="AK432" i="76"/>
  <c r="BR968" i="76"/>
  <c r="AK590" i="76"/>
  <c r="AK550" i="76"/>
  <c r="BR274" i="76"/>
  <c r="AK575" i="76"/>
  <c r="BR903" i="76"/>
  <c r="BR561" i="76"/>
  <c r="BR352" i="76"/>
  <c r="AK636" i="76"/>
  <c r="AK818" i="76"/>
  <c r="BR818" i="76"/>
  <c r="AK198" i="76"/>
  <c r="AK1003" i="76"/>
  <c r="BR645" i="76"/>
  <c r="AK184" i="76"/>
  <c r="BR788" i="76"/>
  <c r="AK421" i="76"/>
  <c r="AK753" i="76"/>
  <c r="AK500" i="76"/>
  <c r="BR1039" i="76"/>
  <c r="AK475" i="76"/>
  <c r="BR806" i="76"/>
  <c r="AK629" i="76"/>
  <c r="AK864" i="76"/>
  <c r="AK639" i="76"/>
  <c r="AK1067" i="76"/>
  <c r="AK513" i="76"/>
  <c r="AK932" i="76"/>
  <c r="BR672" i="76"/>
  <c r="AK82" i="76"/>
  <c r="AK880" i="76"/>
  <c r="AK413" i="76"/>
  <c r="BR763" i="76"/>
  <c r="BR789" i="76"/>
  <c r="AK1041" i="76"/>
  <c r="BR209" i="76"/>
  <c r="BR146" i="76"/>
  <c r="AK206" i="76"/>
  <c r="BR951" i="76"/>
  <c r="BR758" i="76"/>
  <c r="BR307" i="76"/>
  <c r="BR514" i="76"/>
  <c r="BR640" i="76"/>
  <c r="BR156" i="76"/>
  <c r="BR733" i="76"/>
  <c r="BR531" i="76"/>
  <c r="AK813" i="76"/>
  <c r="AK794" i="76"/>
  <c r="BR804" i="76"/>
  <c r="BR567" i="76"/>
  <c r="BR571" i="76"/>
  <c r="BR314" i="76"/>
  <c r="AK407" i="76"/>
  <c r="AK631" i="76"/>
  <c r="BR140" i="76"/>
  <c r="BR253" i="76"/>
  <c r="AK330" i="76"/>
  <c r="BR227" i="76"/>
  <c r="BR580" i="76"/>
  <c r="AK1004" i="76"/>
  <c r="BR102" i="76"/>
  <c r="AK644" i="76"/>
  <c r="BR725" i="76"/>
  <c r="BR684" i="76"/>
  <c r="BR247" i="76"/>
  <c r="BR576" i="76"/>
  <c r="AK486" i="76"/>
  <c r="AK940" i="76"/>
  <c r="BR304" i="76"/>
  <c r="AK671" i="76"/>
  <c r="BR223" i="76"/>
  <c r="BR807" i="76"/>
  <c r="BR235" i="76"/>
  <c r="BR914" i="76"/>
  <c r="BR546" i="76"/>
  <c r="AK336" i="76"/>
  <c r="AK220" i="76"/>
  <c r="AK568" i="76"/>
  <c r="AK213" i="76"/>
  <c r="BR132" i="76"/>
  <c r="AK520" i="76"/>
  <c r="AK449" i="76"/>
  <c r="BR295" i="76"/>
  <c r="AK157" i="76"/>
  <c r="BR346" i="76"/>
  <c r="BR510" i="76"/>
  <c r="BR151" i="76"/>
  <c r="AK578" i="76"/>
  <c r="AK301" i="76"/>
  <c r="AK120" i="76"/>
  <c r="BR300" i="76"/>
  <c r="BR323" i="76"/>
  <c r="BR222" i="76"/>
  <c r="BR478" i="76"/>
  <c r="AK1031" i="76"/>
  <c r="BR201" i="76"/>
  <c r="AK1011" i="76"/>
  <c r="AK111" i="76"/>
  <c r="AK86" i="76"/>
  <c r="BR330" i="76"/>
  <c r="AK1019" i="76"/>
  <c r="BR171" i="76"/>
  <c r="AK423" i="76"/>
  <c r="AK1060" i="76"/>
  <c r="AK389" i="76"/>
  <c r="BR982" i="76"/>
  <c r="AK465" i="76"/>
  <c r="AK496" i="76"/>
  <c r="BR1032" i="76"/>
  <c r="BR282" i="76"/>
  <c r="BR74" i="76"/>
  <c r="AK126" i="76"/>
  <c r="AK103" i="76"/>
  <c r="AK630" i="76"/>
  <c r="AK411" i="76"/>
  <c r="BR622" i="76"/>
  <c r="AK115" i="76"/>
  <c r="AK223" i="76"/>
  <c r="AK819" i="76"/>
  <c r="AK503" i="76"/>
  <c r="AK374" i="76"/>
  <c r="BR747" i="76"/>
  <c r="AK878" i="76"/>
  <c r="AK216" i="76"/>
  <c r="AK434" i="76"/>
  <c r="AK847" i="76"/>
  <c r="AK302" i="76"/>
  <c r="BR983" i="76"/>
  <c r="BR416" i="76"/>
  <c r="BR662" i="76"/>
  <c r="BR238" i="76"/>
  <c r="BR362" i="76"/>
  <c r="AK682" i="76"/>
  <c r="AK713" i="76"/>
  <c r="BR868" i="76"/>
  <c r="BR217" i="76"/>
  <c r="BR862" i="76"/>
  <c r="AK770" i="76"/>
  <c r="BR970" i="76"/>
  <c r="AK890" i="76"/>
  <c r="AK456" i="76"/>
  <c r="BR734" i="76"/>
  <c r="BR1038" i="76"/>
  <c r="BR216" i="76"/>
  <c r="AK428" i="76"/>
  <c r="AK1013" i="76"/>
  <c r="AK196" i="76"/>
  <c r="BR258" i="76"/>
  <c r="AK188" i="76"/>
  <c r="AK879" i="76"/>
  <c r="AK732" i="76"/>
  <c r="AK538" i="76"/>
  <c r="AK1021" i="76"/>
  <c r="BR1025" i="76"/>
  <c r="AK839" i="76"/>
  <c r="AK367" i="76"/>
  <c r="BR391" i="76"/>
  <c r="AK412" i="76"/>
  <c r="AK572" i="76"/>
  <c r="AK1061" i="76"/>
  <c r="AK656" i="76"/>
  <c r="BR96" i="76"/>
  <c r="BR933" i="76"/>
  <c r="AK742" i="76"/>
  <c r="AK841" i="76"/>
  <c r="BR845" i="76"/>
  <c r="BR935" i="76"/>
  <c r="AK183" i="76"/>
  <c r="BR574" i="76"/>
  <c r="BR547" i="76"/>
  <c r="AK482" i="76"/>
  <c r="BR955" i="76"/>
  <c r="AK805" i="76"/>
  <c r="BR166" i="76"/>
  <c r="BR922" i="76"/>
  <c r="BR991" i="76"/>
  <c r="AK176" i="76"/>
  <c r="AK836" i="76"/>
  <c r="BR84" i="76"/>
  <c r="AK1014" i="76"/>
  <c r="AK418" i="76"/>
  <c r="BR392" i="76"/>
  <c r="BR521" i="76"/>
  <c r="AK75" i="76"/>
  <c r="BR1052" i="76"/>
  <c r="AK850" i="76"/>
  <c r="AK334" i="76"/>
  <c r="AK362" i="76"/>
  <c r="AK535" i="76"/>
  <c r="BR254" i="76"/>
  <c r="BR525" i="76"/>
  <c r="BR263" i="76"/>
  <c r="BR315" i="76"/>
  <c r="BR573" i="76"/>
  <c r="AK654" i="76"/>
  <c r="BR1027" i="76"/>
  <c r="BR828" i="76"/>
  <c r="AK397" i="76"/>
  <c r="BR782" i="76"/>
  <c r="AK767" i="76"/>
  <c r="BR333" i="76"/>
  <c r="BR948" i="76"/>
  <c r="BR583" i="76"/>
  <c r="AK335" i="76"/>
  <c r="AK485" i="76"/>
  <c r="AK294" i="76"/>
  <c r="AK855" i="76"/>
  <c r="BR860" i="76"/>
  <c r="AK151" i="76"/>
  <c r="BR910" i="76"/>
  <c r="AK228" i="76"/>
  <c r="BR71" i="76"/>
  <c r="AK937" i="76"/>
  <c r="BR243" i="76"/>
  <c r="AK536" i="76"/>
  <c r="AK972" i="76"/>
  <c r="AK398" i="76"/>
  <c r="BR176" i="76"/>
  <c r="AK244" i="76"/>
  <c r="AK462" i="76"/>
  <c r="AK178" i="76"/>
  <c r="AK599" i="76"/>
  <c r="AK450" i="76"/>
  <c r="AK260" i="76"/>
  <c r="BR1022" i="76"/>
  <c r="AK263" i="76"/>
  <c r="BR776" i="76"/>
  <c r="BR377" i="76"/>
  <c r="AK675" i="76"/>
  <c r="BR1033" i="76"/>
  <c r="AK697" i="76"/>
  <c r="BR962" i="76"/>
  <c r="BR532" i="76"/>
  <c r="BR865" i="76"/>
  <c r="AK401" i="76"/>
  <c r="BR462" i="76"/>
  <c r="AK142" i="76"/>
  <c r="BR722" i="76"/>
  <c r="BR826" i="76"/>
  <c r="AK274" i="76"/>
  <c r="BR549" i="76"/>
  <c r="AK942" i="76"/>
  <c r="BR586" i="76"/>
  <c r="BR261" i="76"/>
  <c r="BR1020" i="76"/>
  <c r="BR710" i="76"/>
  <c r="BR669" i="76"/>
  <c r="AK973" i="76"/>
  <c r="BR741" i="76"/>
  <c r="AK806" i="76"/>
  <c r="BR960" i="76"/>
  <c r="BR563" i="76"/>
  <c r="BR596" i="76"/>
  <c r="BR319" i="76"/>
  <c r="BR433" i="76"/>
  <c r="BR398" i="76"/>
  <c r="BR656" i="76"/>
  <c r="BR203" i="76"/>
  <c r="BR998" i="76"/>
  <c r="AK655" i="76"/>
  <c r="BR650" i="76"/>
  <c r="AK922" i="76"/>
  <c r="BR271" i="76"/>
  <c r="AK76" i="76"/>
  <c r="AK947" i="76"/>
  <c r="AK1009" i="76"/>
  <c r="BR1040" i="76"/>
  <c r="BR957" i="76"/>
  <c r="AK431" i="76"/>
  <c r="AK436" i="76"/>
  <c r="AK325" i="76"/>
  <c r="BR888" i="76"/>
  <c r="AK99" i="76"/>
  <c r="AK297" i="76"/>
  <c r="AK859" i="76"/>
  <c r="AK258" i="76"/>
  <c r="AK659" i="76"/>
  <c r="BR341" i="76"/>
  <c r="BR239" i="76"/>
  <c r="AK117" i="76"/>
  <c r="AK565" i="76"/>
  <c r="AK953" i="76"/>
  <c r="AK755" i="76"/>
  <c r="BR1000" i="76"/>
  <c r="BR636" i="76"/>
  <c r="AK217" i="76"/>
  <c r="AK373" i="76"/>
  <c r="AK437" i="76"/>
  <c r="BR941" i="76"/>
  <c r="AK633" i="76"/>
  <c r="AK970" i="76"/>
  <c r="AK455" i="76"/>
  <c r="AK1064" i="76"/>
  <c r="AK543" i="76"/>
  <c r="AK327" i="76"/>
  <c r="BR121" i="76"/>
  <c r="BR363" i="76"/>
  <c r="AK112" i="76"/>
  <c r="AK351" i="76"/>
  <c r="BR218" i="76"/>
  <c r="AK611" i="76"/>
  <c r="AK290" i="76"/>
  <c r="AK323" i="76"/>
  <c r="BR508" i="76"/>
  <c r="BR357" i="76"/>
  <c r="AK567" i="76"/>
  <c r="AK74" i="76"/>
  <c r="AK219" i="76"/>
  <c r="AK832" i="76"/>
  <c r="AK338" i="76"/>
  <c r="AK883" i="76"/>
  <c r="BR565" i="76"/>
  <c r="BR700" i="76"/>
  <c r="AK402" i="76"/>
  <c r="AK433" i="76"/>
  <c r="AK369" i="76"/>
  <c r="AK359" i="76"/>
  <c r="BR799" i="76"/>
  <c r="BR413" i="76"/>
  <c r="BR512" i="76"/>
  <c r="AK104" i="76"/>
  <c r="AK668" i="76"/>
  <c r="AK926" i="76"/>
  <c r="AK927" i="76"/>
  <c r="BR389" i="76"/>
  <c r="AK954" i="76"/>
  <c r="BR484" i="76"/>
  <c r="AK730" i="76"/>
  <c r="AK707" i="76"/>
  <c r="AK562" i="76"/>
  <c r="AK495" i="76"/>
  <c r="BR952" i="76"/>
  <c r="BR231" i="76"/>
  <c r="AK747" i="76"/>
  <c r="AK846" i="76"/>
  <c r="BR1016" i="76"/>
  <c r="BR353" i="76"/>
  <c r="BR964" i="76"/>
  <c r="BR471" i="76"/>
  <c r="AK978" i="76"/>
  <c r="BR562" i="76"/>
  <c r="AK333" i="76"/>
  <c r="BR564" i="76"/>
  <c r="BR876" i="76"/>
  <c r="BR611" i="76"/>
  <c r="AK494" i="76"/>
  <c r="BR404" i="76"/>
  <c r="BR898" i="76"/>
  <c r="AK322" i="76"/>
  <c r="BR857" i="76"/>
  <c r="AK744" i="76"/>
  <c r="AK98" i="76"/>
  <c r="AK788" i="76"/>
  <c r="BR322" i="76"/>
  <c r="AK717" i="76"/>
  <c r="AK506" i="76"/>
  <c r="BR495" i="76"/>
  <c r="BR840" i="76"/>
  <c r="BR774" i="76"/>
  <c r="AK296" i="76"/>
  <c r="BR856" i="76"/>
  <c r="BR265" i="76"/>
  <c r="AK382" i="76"/>
  <c r="BR524" i="76"/>
  <c r="AK476" i="76"/>
  <c r="BR721" i="76"/>
  <c r="BR540" i="76"/>
  <c r="AK448" i="76"/>
  <c r="AK190" i="76"/>
  <c r="BR92" i="76"/>
  <c r="BR116" i="76"/>
  <c r="AK663" i="76"/>
  <c r="BR320" i="76"/>
  <c r="BR917" i="76"/>
  <c r="AK292" i="76"/>
  <c r="BR837" i="76"/>
  <c r="AK169" i="76"/>
  <c r="AK844" i="76"/>
  <c r="AK698" i="76"/>
  <c r="AK809" i="76"/>
  <c r="BR394" i="76"/>
  <c r="AK710" i="76"/>
  <c r="BR289" i="76"/>
  <c r="BR906" i="76"/>
  <c r="BR119" i="76"/>
  <c r="BR395" i="76"/>
  <c r="AK231" i="76"/>
  <c r="BR726" i="76"/>
  <c r="AK364" i="76"/>
  <c r="AK608" i="76"/>
  <c r="BR1028" i="76"/>
  <c r="AK420" i="76"/>
  <c r="AK964" i="76"/>
  <c r="AK189" i="76"/>
  <c r="BR204" i="76"/>
  <c r="BR871" i="76"/>
  <c r="BR685" i="76"/>
  <c r="AK1047" i="76"/>
  <c r="AK609" i="76"/>
  <c r="BR947" i="76"/>
  <c r="AK154" i="76"/>
  <c r="AK502" i="76"/>
  <c r="BR268" i="76"/>
  <c r="BR278" i="76"/>
  <c r="AK459" i="76"/>
  <c r="AK164" i="76"/>
  <c r="BR422" i="76"/>
  <c r="AK553" i="76"/>
  <c r="BR705" i="76"/>
  <c r="AK403" i="76"/>
  <c r="AK811" i="76"/>
  <c r="BR911" i="76"/>
  <c r="BR753" i="76"/>
  <c r="AK582" i="76"/>
  <c r="BR838" i="76"/>
  <c r="AK774" i="76"/>
  <c r="AK748" i="76"/>
  <c r="AK393" i="76"/>
  <c r="BR608" i="76"/>
  <c r="AK521" i="76"/>
  <c r="AK241" i="76"/>
  <c r="BR560" i="76"/>
  <c r="AK975" i="76"/>
  <c r="BR667" i="76"/>
  <c r="AK131" i="76"/>
  <c r="AK909" i="76"/>
  <c r="AK949" i="76"/>
  <c r="AK230" i="76"/>
  <c r="BR588" i="76"/>
  <c r="AK1027" i="76"/>
  <c r="BR966" i="76"/>
  <c r="AK427" i="76"/>
  <c r="AK416" i="76"/>
  <c r="AK80" i="76"/>
  <c r="AK463" i="76"/>
  <c r="BR325" i="76"/>
  <c r="BR88" i="76"/>
  <c r="BR930" i="76"/>
  <c r="AK872" i="76"/>
  <c r="AK492" i="76"/>
  <c r="BR536" i="76"/>
  <c r="AK828" i="76"/>
  <c r="BR803" i="76"/>
  <c r="BR1043" i="76"/>
  <c r="BR882" i="76"/>
  <c r="BR973" i="76"/>
  <c r="BR796" i="76"/>
  <c r="BR975" i="76"/>
  <c r="AK971" i="76"/>
  <c r="BR901" i="76"/>
  <c r="BR1037" i="76"/>
  <c r="AK182" i="76"/>
  <c r="BR506" i="76"/>
  <c r="AK1046" i="76"/>
  <c r="AK158" i="76"/>
  <c r="AK326" i="76"/>
  <c r="BR943" i="76"/>
  <c r="BR770" i="76"/>
  <c r="BR303" i="76"/>
  <c r="BR385" i="76"/>
  <c r="BR993" i="76"/>
  <c r="AK561" i="76"/>
  <c r="AK319" i="76"/>
  <c r="BR883" i="76"/>
  <c r="BR1058" i="76"/>
  <c r="AK821" i="76"/>
  <c r="AK242" i="76"/>
  <c r="AK409" i="76"/>
  <c r="AK153" i="76"/>
  <c r="BR920" i="76"/>
  <c r="BR616" i="76"/>
  <c r="AK130" i="76"/>
  <c r="BR299" i="76"/>
  <c r="BR505" i="76"/>
  <c r="AK552" i="76"/>
  <c r="BR759" i="76"/>
  <c r="AK792" i="76"/>
  <c r="AK784" i="76"/>
  <c r="AK466" i="76"/>
  <c r="BR75" i="76"/>
  <c r="AK150" i="76"/>
  <c r="BR257" i="76"/>
  <c r="AK800" i="76"/>
  <c r="AK845" i="76"/>
  <c r="AK903" i="76"/>
  <c r="AK108" i="76"/>
  <c r="BR1018" i="76"/>
  <c r="AK653" i="76"/>
  <c r="BR831" i="76"/>
  <c r="AK315" i="76"/>
  <c r="BR821" i="76"/>
  <c r="BR797" i="76"/>
  <c r="AK429" i="76"/>
  <c r="AK136" i="76"/>
  <c r="AK287" i="76"/>
  <c r="BR756" i="76"/>
  <c r="BR152" i="76"/>
  <c r="BR99" i="76"/>
  <c r="AK1055" i="76"/>
  <c r="BR707" i="76"/>
  <c r="AK139" i="76"/>
  <c r="BR69" i="76"/>
  <c r="AK396" i="76"/>
  <c r="BR496" i="76"/>
  <c r="AK714" i="76"/>
  <c r="BR918" i="76"/>
  <c r="AK100" i="76"/>
  <c r="BR291" i="76"/>
  <c r="AK141" i="76"/>
  <c r="BR718" i="76"/>
  <c r="BR637" i="76"/>
  <c r="AK282" i="76"/>
  <c r="AK799" i="76"/>
  <c r="BR548" i="76"/>
  <c r="BR158" i="76"/>
  <c r="BR178" i="76"/>
  <c r="AK706" i="76"/>
  <c r="BR141" i="76"/>
  <c r="AK676" i="76"/>
  <c r="BR723" i="76"/>
  <c r="BR126" i="76"/>
  <c r="AK810" i="76"/>
  <c r="AK533" i="76"/>
  <c r="BR423" i="76"/>
  <c r="AK620" i="76"/>
  <c r="AK976" i="76"/>
  <c r="AK173" i="76"/>
  <c r="AK259" i="76"/>
  <c r="BR513" i="76"/>
  <c r="AK392" i="76"/>
  <c r="AK596" i="76"/>
  <c r="BR873" i="76"/>
  <c r="AK303" i="76"/>
  <c r="AK549" i="76"/>
  <c r="BR794" i="76"/>
  <c r="AK202" i="76"/>
  <c r="AK763" i="76"/>
  <c r="BR361" i="76"/>
  <c r="AK516" i="76"/>
  <c r="BR454" i="76"/>
  <c r="BR569" i="76"/>
  <c r="BR1004" i="76"/>
  <c r="BR388" i="76"/>
  <c r="AK944" i="76"/>
  <c r="BR476" i="76"/>
  <c r="BR810" i="76"/>
  <c r="AK424" i="76"/>
  <c r="AK185" i="76"/>
  <c r="AK822" i="76"/>
  <c r="AK910" i="76"/>
  <c r="AK83" i="76"/>
  <c r="AK90" i="76"/>
  <c r="AK739" i="76"/>
  <c r="AK906" i="76"/>
  <c r="AK950" i="76"/>
  <c r="BR412" i="76"/>
  <c r="AK355" i="76"/>
  <c r="BR648" i="76"/>
  <c r="AK469" i="76"/>
  <c r="BR881" i="76"/>
  <c r="AK984" i="76"/>
  <c r="BR148" i="76"/>
  <c r="AK674" i="76"/>
  <c r="BR899" i="76"/>
  <c r="BR956" i="76"/>
  <c r="AK295" i="76"/>
  <c r="AK332" i="76"/>
  <c r="BR822" i="76"/>
  <c r="AK172" i="76"/>
  <c r="BR820" i="76"/>
  <c r="BR477" i="76"/>
  <c r="BR591" i="76"/>
  <c r="BR450" i="76"/>
  <c r="BR778" i="76"/>
  <c r="BR1068" i="76"/>
  <c r="AK376" i="76"/>
  <c r="AK88" i="76"/>
  <c r="BR101" i="76"/>
  <c r="AK107" i="76"/>
  <c r="BR481" i="76"/>
  <c r="AK607" i="76"/>
  <c r="BR1012" i="76"/>
  <c r="AK316" i="76"/>
  <c r="AK775" i="76"/>
  <c r="BR200" i="76"/>
  <c r="BR275" i="76"/>
  <c r="AK679" i="76"/>
  <c r="AK414" i="76"/>
  <c r="BR225" i="76"/>
  <c r="BR107" i="76"/>
  <c r="BR1051" i="76"/>
  <c r="BR959" i="76"/>
  <c r="AK159" i="76"/>
  <c r="BR834" i="76"/>
  <c r="AK384" i="76"/>
  <c r="BR689" i="76"/>
  <c r="AK309" i="76"/>
  <c r="BR664" i="76"/>
  <c r="AK193" i="76"/>
  <c r="AK545" i="76"/>
  <c r="AK371" i="76"/>
  <c r="AK625" i="76"/>
  <c r="AK73" i="76"/>
  <c r="BR875" i="76"/>
  <c r="AK1005" i="76"/>
  <c r="AK959" i="76"/>
  <c r="BR811" i="76"/>
  <c r="AK621" i="76"/>
  <c r="AK693" i="76"/>
  <c r="BR286" i="76"/>
  <c r="AK919" i="76"/>
  <c r="BR251" i="76"/>
  <c r="BR625" i="76"/>
  <c r="AK895" i="76"/>
  <c r="AK860" i="76"/>
  <c r="BR568" i="76"/>
  <c r="AK738" i="76"/>
  <c r="BR400" i="76"/>
  <c r="BR367" i="76"/>
  <c r="AK824" i="76"/>
  <c r="AK588" i="76"/>
  <c r="BR602" i="76"/>
  <c r="BR855" i="76"/>
  <c r="BR695" i="76"/>
  <c r="AK321" i="76"/>
  <c r="BR97" i="76"/>
  <c r="BR1042" i="76"/>
  <c r="AK900" i="76"/>
  <c r="BR1065" i="76"/>
  <c r="BR138" i="76"/>
  <c r="AK442" i="76"/>
  <c r="BR849" i="76"/>
  <c r="AK525" i="76"/>
  <c r="BR252" i="76"/>
  <c r="AK617" i="76"/>
  <c r="BR659" i="76"/>
  <c r="BR358" i="76"/>
  <c r="AK328" i="76"/>
  <c r="AK597" i="76"/>
  <c r="BR603" i="76"/>
  <c r="AK1068" i="76"/>
  <c r="AK473" i="76"/>
  <c r="BR329" i="76"/>
  <c r="AK665" i="76"/>
  <c r="BR185" i="76"/>
  <c r="BR279" i="76"/>
  <c r="BR364" i="76"/>
  <c r="AK215" i="76"/>
  <c r="AK119" i="76"/>
  <c r="AK637" i="76"/>
  <c r="AK474" i="76"/>
  <c r="BR336" i="76"/>
  <c r="BR743" i="76"/>
  <c r="BR735" i="76"/>
  <c r="AK986" i="76"/>
  <c r="AK576" i="76"/>
  <c r="AK580" i="76"/>
  <c r="BR682" i="76"/>
  <c r="AK457" i="76"/>
  <c r="BR529" i="76"/>
  <c r="AK1065" i="76"/>
  <c r="AK745" i="76"/>
  <c r="BR570" i="76"/>
  <c r="AK908" i="76"/>
  <c r="AK769" i="76"/>
  <c r="BR489" i="76"/>
  <c r="BR518" i="76"/>
  <c r="AK1037" i="76"/>
  <c r="AK357" i="76"/>
  <c r="BR327" i="76"/>
  <c r="BR967" i="76"/>
  <c r="BR241" i="76"/>
  <c r="AK395" i="76"/>
  <c r="AK329" i="76"/>
  <c r="AK105" i="76"/>
  <c r="BR677" i="76"/>
  <c r="BR676" i="76"/>
  <c r="BR783" i="76"/>
  <c r="BR905" i="76"/>
  <c r="AK677" i="76"/>
  <c r="BR347" i="76"/>
  <c r="BR1026" i="76"/>
  <c r="BR847" i="76"/>
  <c r="AK145" i="76"/>
  <c r="BR302" i="76"/>
  <c r="AK782" i="76"/>
  <c r="AK238" i="76"/>
  <c r="BR220" i="76"/>
  <c r="AK236" i="76"/>
  <c r="BR497" i="76"/>
  <c r="BR923" i="76"/>
  <c r="AK737" i="76"/>
  <c r="AK162" i="76"/>
  <c r="BR343" i="76"/>
  <c r="BR296" i="76"/>
  <c r="BR87" i="76"/>
  <c r="BR584" i="76"/>
  <c r="AK723" i="76"/>
  <c r="BR893" i="76"/>
  <c r="BR135" i="76"/>
  <c r="AK539" i="76"/>
  <c r="AK626" i="76"/>
  <c r="AK709" i="76"/>
  <c r="AK451" i="76"/>
  <c r="AK1012" i="76"/>
  <c r="BR1057" i="76"/>
  <c r="BR440" i="76"/>
  <c r="AK876" i="76"/>
  <c r="BR122" i="76"/>
  <c r="BR607" i="76"/>
  <c r="BR473" i="76"/>
  <c r="AK378" i="76"/>
  <c r="AK340" i="76"/>
  <c r="BR675" i="76"/>
  <c r="BR698" i="76"/>
  <c r="AK727" i="76"/>
  <c r="BR444" i="76"/>
  <c r="AK1050" i="76"/>
  <c r="AK252" i="76"/>
  <c r="BR839" i="76"/>
  <c r="AK881" i="76"/>
  <c r="AK1045" i="76"/>
  <c r="AK557" i="76"/>
  <c r="BR380" i="76"/>
  <c r="BR144" i="76"/>
  <c r="AK757" i="76"/>
  <c r="BR115" i="76"/>
  <c r="BR895" i="76"/>
  <c r="AK271" i="76"/>
  <c r="AK526" i="76"/>
  <c r="BR1005" i="76"/>
  <c r="BR273" i="76"/>
  <c r="AK720" i="76"/>
  <c r="AK955" i="76"/>
  <c r="BR523" i="76"/>
  <c r="BR931" i="76"/>
  <c r="BR284" i="76"/>
  <c r="AK537" i="76"/>
  <c r="BR373" i="76"/>
  <c r="AK558" i="76"/>
  <c r="BR713" i="76"/>
  <c r="AK934" i="76"/>
  <c r="BR103" i="76"/>
  <c r="AK245" i="76"/>
  <c r="BR907" i="76"/>
  <c r="BR528" i="76"/>
  <c r="AK89" i="76"/>
  <c r="AK994" i="76"/>
  <c r="BR167" i="76"/>
  <c r="AK94" i="76"/>
  <c r="BR633" i="76"/>
  <c r="BR131" i="76"/>
  <c r="AK307" i="76"/>
  <c r="BR297" i="76"/>
  <c r="AK285" i="76"/>
  <c r="BR283" i="76"/>
  <c r="AK765" i="76"/>
  <c r="AK174" i="76"/>
  <c r="BR202" i="76"/>
  <c r="AK857" i="76"/>
  <c r="AK861" i="76"/>
  <c r="BR133" i="76"/>
  <c r="AK814" i="76"/>
  <c r="BR164" i="76"/>
  <c r="BR430" i="76"/>
  <c r="BR724" i="76"/>
  <c r="BR732" i="76"/>
  <c r="BR155" i="76"/>
  <c r="BR427" i="76"/>
  <c r="BR236" i="76"/>
  <c r="AK491" i="76"/>
  <c r="BR184" i="76"/>
  <c r="BR984" i="76"/>
  <c r="BR673" i="76"/>
  <c r="BR850" i="76"/>
  <c r="AK243" i="76"/>
  <c r="AK175" i="76"/>
  <c r="BR387" i="76"/>
  <c r="BR692" i="76"/>
  <c r="BR207" i="76"/>
  <c r="AK905" i="76"/>
  <c r="AK924" i="76"/>
  <c r="BR188" i="76"/>
  <c r="AK581" i="76"/>
  <c r="BR157" i="76"/>
  <c r="BR459" i="76"/>
  <c r="AK917" i="76"/>
  <c r="AK490" i="76"/>
  <c r="AK616" i="76"/>
  <c r="AK390" i="76"/>
  <c r="AK163" i="76"/>
  <c r="AK914" i="76"/>
  <c r="BR475" i="76"/>
  <c r="BR887" i="76"/>
  <c r="BR214" i="76"/>
  <c r="BR493" i="76"/>
  <c r="BR851" i="76"/>
  <c r="BR208" i="76"/>
  <c r="BR150" i="76"/>
  <c r="AK974" i="76"/>
  <c r="BR1017" i="76"/>
  <c r="BR646" i="76"/>
  <c r="BR848" i="76"/>
  <c r="BR592" i="76"/>
  <c r="BR172" i="76"/>
  <c r="BR896" i="76"/>
  <c r="BR613" i="76"/>
  <c r="BR647" i="76"/>
  <c r="BR629" i="76"/>
  <c r="BR651" i="76"/>
  <c r="BR900" i="76"/>
  <c r="BR269" i="76"/>
  <c r="AK534" i="76"/>
  <c r="AK750" i="76"/>
  <c r="BR544" i="76"/>
  <c r="BR798" i="76"/>
  <c r="AK618" i="76"/>
  <c r="BR683" i="76"/>
  <c r="AK735" i="76"/>
  <c r="AK648" i="76"/>
  <c r="BR212" i="76"/>
  <c r="BR248" i="76"/>
  <c r="AK979" i="76"/>
  <c r="AK801" i="76"/>
  <c r="AK507" i="76"/>
  <c r="AK760" i="76"/>
  <c r="AK627" i="76"/>
  <c r="AK948" i="76"/>
  <c r="BR452" i="76"/>
  <c r="AK632" i="76"/>
  <c r="AK149" i="76"/>
  <c r="BR246" i="76"/>
  <c r="BR627" i="76"/>
  <c r="BR193" i="76"/>
  <c r="AK838" i="76"/>
  <c r="BR249" i="76"/>
  <c r="BR169" i="76"/>
  <c r="AK262" i="76"/>
  <c r="AK210" i="76"/>
  <c r="AK399" i="76"/>
  <c r="AK882" i="76"/>
  <c r="AK612" i="76"/>
  <c r="AK477" i="76"/>
  <c r="BR179" i="76"/>
  <c r="BR780" i="76"/>
  <c r="AK920" i="76"/>
  <c r="BR1002" i="76"/>
  <c r="BR800" i="76"/>
  <c r="AK752" i="76"/>
  <c r="AK143" i="76"/>
  <c r="AK467" i="76"/>
  <c r="AK985" i="76"/>
  <c r="AK1051" i="76"/>
  <c r="BR972" i="76"/>
  <c r="BR399" i="76"/>
  <c r="AK646" i="76"/>
  <c r="BR621" i="76"/>
  <c r="BR372" i="76"/>
  <c r="BR996" i="76"/>
  <c r="BR666" i="76"/>
  <c r="AK645" i="76"/>
  <c r="AK470" i="76"/>
  <c r="BR335" i="76"/>
  <c r="AK547" i="76"/>
  <c r="BR417" i="76"/>
  <c r="BR703" i="76"/>
  <c r="AK261" i="76"/>
  <c r="BR149" i="76"/>
  <c r="BR909" i="76"/>
  <c r="BR880" i="76"/>
  <c r="AK288" i="76"/>
  <c r="BR369" i="76"/>
  <c r="BR438" i="76"/>
  <c r="BR504" i="76"/>
  <c r="AK1057" i="76"/>
  <c r="BR519" i="76"/>
  <c r="AK965" i="76"/>
  <c r="AK148" i="76"/>
  <c r="BR402" i="76"/>
  <c r="BR91" i="76"/>
  <c r="BR469" i="76"/>
  <c r="BR866" i="76"/>
  <c r="AK574" i="76"/>
  <c r="AK356" i="76"/>
  <c r="AK1038" i="76"/>
  <c r="BR1023" i="76"/>
  <c r="BR1001" i="76"/>
  <c r="BR558" i="76"/>
  <c r="AK116" i="76"/>
  <c r="AK1026" i="76"/>
  <c r="AK269" i="76"/>
  <c r="BR515" i="76"/>
  <c r="BR1046" i="76"/>
  <c r="BR474" i="76"/>
  <c r="AK235" i="76"/>
  <c r="AK628" i="76"/>
  <c r="BR384" i="76"/>
  <c r="BR904" i="76"/>
  <c r="AK658" i="76"/>
  <c r="BR198" i="76"/>
  <c r="AK938" i="76"/>
  <c r="AK225" i="76"/>
  <c r="BR997" i="76"/>
  <c r="AK987" i="76"/>
  <c r="AK453" i="76"/>
  <c r="AK1042" i="76"/>
  <c r="AK602" i="76"/>
  <c r="BR870" i="76"/>
  <c r="BR472" i="76"/>
  <c r="AK983" i="76"/>
  <c r="AK497" i="76"/>
  <c r="BR953" i="76"/>
  <c r="BR829" i="76"/>
  <c r="AK963" i="76"/>
  <c r="BR453" i="76"/>
  <c r="BR1003" i="76"/>
  <c r="BR593" i="76"/>
  <c r="AK988" i="76"/>
  <c r="AK267" i="76"/>
  <c r="BR823" i="76"/>
  <c r="BR405" i="76"/>
  <c r="BR987" i="76"/>
  <c r="AK823" i="76"/>
  <c r="BR378" i="76"/>
  <c r="AK853" i="76"/>
  <c r="BR744" i="76"/>
  <c r="AK124" i="76"/>
  <c r="AK179" i="76"/>
  <c r="AK993" i="76"/>
  <c r="AK1034" i="76"/>
  <c r="AK991" i="76"/>
  <c r="BR503" i="76"/>
  <c r="BR859" i="76"/>
  <c r="BR145" i="76"/>
  <c r="AK171" i="76"/>
  <c r="AK430" i="76"/>
  <c r="BR244" i="76"/>
  <c r="BR124" i="76"/>
  <c r="BR652" i="76"/>
  <c r="AK829" i="76"/>
  <c r="BR581" i="76"/>
  <c r="BR502" i="76"/>
  <c r="BR435" i="76"/>
  <c r="AK272" i="76"/>
  <c r="BR809" i="76"/>
  <c r="BR383" i="76"/>
  <c r="AK689" i="76"/>
  <c r="BR1066" i="76"/>
  <c r="AK695" i="76"/>
  <c r="AK673" i="76"/>
  <c r="AK232" i="76"/>
  <c r="BR680" i="76"/>
  <c r="AK789" i="76"/>
  <c r="BR691" i="76"/>
  <c r="BR670" i="76"/>
  <c r="BR411" i="76"/>
  <c r="AK481" i="76"/>
  <c r="BR458" i="76"/>
  <c r="AK826" i="76"/>
  <c r="BR545" i="76"/>
  <c r="AK894" i="76"/>
  <c r="AK1025" i="76"/>
  <c r="AK1054" i="76"/>
  <c r="AK610" i="76"/>
  <c r="AK777" i="76"/>
  <c r="BR328" i="76"/>
  <c r="BR539" i="76"/>
  <c r="AK211" i="76"/>
  <c r="BR773" i="76"/>
  <c r="BR467" i="76"/>
  <c r="AK472" i="76"/>
  <c r="AK587" i="76"/>
  <c r="AK907" i="76"/>
  <c r="BR294" i="76"/>
  <c r="BR628" i="76"/>
  <c r="AK460" i="76"/>
  <c r="AK848" i="76"/>
  <c r="BR498" i="76"/>
  <c r="AK977" i="76"/>
  <c r="BR464" i="76"/>
  <c r="AK137" i="76"/>
  <c r="BR976" i="76"/>
  <c r="AK203" i="76"/>
  <c r="AK1033" i="76"/>
  <c r="BR376" i="76"/>
  <c r="BR127" i="76"/>
  <c r="AK820" i="76"/>
  <c r="BR406" i="76"/>
  <c r="BR766" i="76"/>
  <c r="AK522" i="76"/>
  <c r="BR414" i="76"/>
  <c r="AK226" i="76"/>
  <c r="BR808" i="76"/>
  <c r="BR577" i="76"/>
  <c r="BR1011" i="76"/>
  <c r="AK601" i="76"/>
  <c r="AK614" i="76"/>
  <c r="BR833" i="76"/>
  <c r="AK204" i="76"/>
  <c r="BR342" i="76"/>
  <c r="BR117" i="76"/>
  <c r="BR751" i="76"/>
  <c r="BR81" i="76"/>
  <c r="BR461" i="76"/>
  <c r="AK862" i="76"/>
  <c r="BR786" i="76"/>
  <c r="AK114" i="76"/>
  <c r="BR792" i="76"/>
  <c r="BR891" i="76"/>
  <c r="BR267" i="76"/>
  <c r="AK1008" i="76"/>
  <c r="AK293" i="76"/>
  <c r="AK751" i="76"/>
  <c r="AK918" i="76"/>
  <c r="AK804" i="76"/>
  <c r="AK501" i="76"/>
  <c r="BR306" i="76"/>
  <c r="AK310" i="76"/>
  <c r="BR479" i="76"/>
  <c r="BR187" i="76"/>
  <c r="BR610" i="76"/>
  <c r="AK843" i="76"/>
  <c r="AK657" i="76"/>
  <c r="BR878" i="76"/>
  <c r="AK168" i="76"/>
  <c r="BR170" i="76"/>
  <c r="AK652" i="76"/>
  <c r="AK884" i="76"/>
  <c r="AK966" i="76"/>
  <c r="AK660" i="76"/>
  <c r="AK208" i="76"/>
  <c r="BR663" i="76"/>
  <c r="AK79" i="76"/>
  <c r="AK559" i="76"/>
  <c r="AK825" i="76"/>
  <c r="AK1016" i="76"/>
  <c r="BR448" i="76"/>
  <c r="AK904" i="76"/>
  <c r="BR442" i="76"/>
  <c r="BR482" i="76"/>
  <c r="BR864" i="76"/>
  <c r="AK768" i="76"/>
  <c r="AK935" i="76"/>
  <c r="AK642" i="76"/>
  <c r="BR595" i="76"/>
  <c r="BR486" i="76"/>
  <c r="BR660" i="76"/>
  <c r="AK101" i="76"/>
  <c r="AK889" i="76"/>
  <c r="AK160" i="76"/>
  <c r="AK635" i="76"/>
  <c r="BR929" i="76"/>
  <c r="AK939" i="76"/>
  <c r="BR994" i="76"/>
  <c r="AK214" i="76"/>
  <c r="BR727" i="76"/>
  <c r="BR429" i="76"/>
  <c r="BR944" i="76"/>
  <c r="BR262" i="76"/>
  <c r="AK201" i="76"/>
  <c r="AK783" i="76"/>
  <c r="BR1067" i="76"/>
  <c r="AK268" i="76"/>
  <c r="BR221" i="76"/>
  <c r="AK619" i="76"/>
  <c r="BR492" i="76"/>
  <c r="BR160" i="76"/>
  <c r="BR292" i="76"/>
  <c r="AK634" i="76"/>
  <c r="AK110" i="76"/>
  <c r="BR623" i="76"/>
  <c r="BR194" i="76"/>
  <c r="AK300" i="76"/>
  <c r="BR765" i="76"/>
  <c r="AK247" i="76"/>
  <c r="BR579" i="76"/>
  <c r="BR697" i="76"/>
  <c r="AK224" i="76"/>
  <c r="BR192" i="76"/>
  <c r="AK566" i="76"/>
  <c r="BR370" i="76"/>
  <c r="BR619" i="76"/>
  <c r="AK871" i="76"/>
  <c r="BR913" i="76"/>
  <c r="AK127" i="76"/>
  <c r="AK487" i="76"/>
  <c r="BR793" i="76"/>
  <c r="BR168" i="76"/>
  <c r="BR908" i="76"/>
  <c r="AK957" i="76"/>
  <c r="BR801" i="76"/>
  <c r="AK125" i="76"/>
  <c r="BR85" i="76"/>
  <c r="BR509" i="76"/>
  <c r="AK956" i="76"/>
  <c r="BR738" i="76"/>
  <c r="AK508" i="76"/>
  <c r="BR348" i="76"/>
  <c r="BR894" i="76"/>
  <c r="AK87" i="76"/>
  <c r="AK622" i="76"/>
  <c r="BR230" i="76"/>
  <c r="AK980" i="76"/>
  <c r="BR522" i="76"/>
  <c r="BR814" i="76"/>
  <c r="BR189" i="76"/>
  <c r="AK573" i="76"/>
  <c r="AK406" i="76"/>
  <c r="AK718" i="76"/>
  <c r="BR639" i="76"/>
  <c r="BR760" i="76"/>
  <c r="BR415" i="76"/>
  <c r="AK664" i="76"/>
  <c r="AK1058" i="76"/>
  <c r="AK686" i="76"/>
  <c r="BR785" i="76"/>
  <c r="AK440" i="76"/>
  <c r="BR120" i="76"/>
  <c r="BR240" i="76"/>
  <c r="AK703" i="76"/>
  <c r="AK1002" i="76"/>
  <c r="BR77" i="76"/>
  <c r="BR308" i="76"/>
  <c r="BR1062" i="76"/>
  <c r="AK527" i="76"/>
  <c r="BR601" i="76"/>
  <c r="AK532" i="76"/>
  <c r="BR791" i="76"/>
  <c r="BR332" i="76"/>
  <c r="AK577" i="76"/>
  <c r="AK886" i="76"/>
  <c r="BR587" i="76"/>
  <c r="BR712" i="76"/>
  <c r="BR716" i="76"/>
  <c r="BR105" i="76"/>
  <c r="AK410" i="76"/>
  <c r="BR460" i="76"/>
  <c r="BR520" i="76"/>
  <c r="AK941" i="76"/>
  <c r="BR885" i="76"/>
  <c r="BR305" i="76"/>
  <c r="BR344" i="76"/>
  <c r="AK1063" i="76"/>
  <c r="BR699" i="76"/>
  <c r="AK999" i="76"/>
  <c r="AK546" i="76"/>
  <c r="AK728" i="76"/>
  <c r="AK524" i="76"/>
  <c r="AK834" i="76"/>
  <c r="AK278" i="76"/>
  <c r="BR293" i="76"/>
  <c r="AK452" i="76"/>
  <c r="AK266" i="76"/>
  <c r="BR535" i="76"/>
  <c r="AK540" i="76"/>
  <c r="BR494" i="76"/>
  <c r="AK422" i="76"/>
  <c r="AK464" i="76"/>
  <c r="AK936" i="76"/>
  <c r="AK958" i="76"/>
  <c r="AK868" i="76"/>
  <c r="BR858" i="76"/>
  <c r="BR517" i="76"/>
  <c r="AK324" i="76"/>
  <c r="AK377" i="76"/>
  <c r="AK81" i="76"/>
  <c r="BR946" i="76"/>
  <c r="BR754" i="76"/>
  <c r="AK372" i="76"/>
  <c r="AK85" i="76"/>
  <c r="AK899" i="76"/>
  <c r="AK283" i="76"/>
  <c r="AK458" i="76"/>
  <c r="BR1013" i="76"/>
  <c r="BR852" i="76"/>
  <c r="AK146" i="76"/>
  <c r="AK218" i="76"/>
  <c r="AK254" i="76"/>
  <c r="BR795" i="76"/>
  <c r="AK700" i="76"/>
  <c r="AK569" i="76"/>
  <c r="AK902" i="76"/>
  <c r="BR256" i="76"/>
  <c r="BR575" i="76"/>
  <c r="BR761" i="76"/>
  <c r="BR612" i="76"/>
  <c r="AK313" i="76"/>
  <c r="BR90" i="76"/>
  <c r="AK613" i="76"/>
  <c r="AK345" i="76"/>
  <c r="AK863" i="76"/>
  <c r="BR825" i="76"/>
  <c r="BR530" i="76"/>
  <c r="BR290" i="76"/>
  <c r="BR661" i="76"/>
  <c r="BR310" i="76"/>
  <c r="BR769" i="76"/>
  <c r="BR969" i="76"/>
  <c r="BR354" i="76"/>
  <c r="BR730" i="76"/>
  <c r="BR215" i="76"/>
  <c r="AK133" i="76"/>
  <c r="AK138" i="76"/>
  <c r="BR213" i="76"/>
  <c r="BR1060" i="76"/>
  <c r="BR182" i="76"/>
  <c r="BR276" i="76"/>
  <c r="AK791" i="76"/>
  <c r="BR345" i="76"/>
  <c r="AK129" i="76"/>
  <c r="AK152" i="76"/>
  <c r="BR339" i="76"/>
  <c r="AK207" i="76"/>
  <c r="BR301" i="76"/>
  <c r="BR644" i="76"/>
  <c r="BR108" i="76"/>
  <c r="AK1043" i="76"/>
  <c r="BR266" i="76"/>
  <c r="AK893" i="76"/>
  <c r="BR533" i="76"/>
  <c r="AK650" i="76"/>
  <c r="BR177" i="76"/>
  <c r="BR1050" i="76"/>
  <c r="BR418" i="76"/>
  <c r="BR355" i="76"/>
  <c r="AK177" i="76"/>
  <c r="AK888" i="76"/>
  <c r="BR787" i="76"/>
  <c r="AK702" i="76"/>
  <c r="BR78" i="76"/>
  <c r="BR749" i="76"/>
  <c r="BR915" i="76"/>
  <c r="BR572" i="76"/>
  <c r="AK998" i="76"/>
  <c r="AK118" i="76"/>
  <c r="AK250" i="76"/>
  <c r="AK930" i="76"/>
  <c r="AK542" i="76"/>
  <c r="BR995" i="76"/>
  <c r="AK802" i="76"/>
  <c r="AK726" i="76"/>
  <c r="AK696" i="76"/>
  <c r="BR447" i="76"/>
  <c r="BR409" i="76"/>
  <c r="AK447" i="76"/>
  <c r="BR781" i="76"/>
  <c r="AK284" i="76"/>
  <c r="BR630" i="76"/>
  <c r="BR642" i="76"/>
  <c r="BR446" i="76"/>
  <c r="AK851" i="76"/>
  <c r="AK681" i="76"/>
  <c r="AK72" i="76"/>
  <c r="AK248" i="76"/>
  <c r="BR890" i="76"/>
  <c r="AK320" i="76"/>
  <c r="AK891" i="76"/>
  <c r="BR340" i="76"/>
  <c r="AK1059" i="76"/>
  <c r="BR979" i="76"/>
  <c r="BR714" i="76"/>
  <c r="AK69" i="76"/>
  <c r="AK514" i="76"/>
  <c r="AK446" i="76"/>
  <c r="AK766" i="76"/>
  <c r="BR836" i="76"/>
  <c r="AK749" i="76"/>
  <c r="BR559" i="76"/>
  <c r="BR681" i="76"/>
  <c r="BR470" i="76"/>
  <c r="BR538" i="76"/>
  <c r="BR1015" i="76"/>
  <c r="AK483" i="76"/>
  <c r="AK388" i="76"/>
  <c r="AK528" i="76"/>
  <c r="AK967" i="76"/>
  <c r="AK647" i="76"/>
  <c r="AK519" i="76"/>
  <c r="BR599" i="76"/>
  <c r="AK1020" i="76"/>
  <c r="BR874" i="76"/>
  <c r="BR1008" i="76"/>
  <c r="BR351" i="76"/>
  <c r="AK380" i="76"/>
  <c r="BR1030" i="76"/>
  <c r="AK729" i="76"/>
  <c r="BR678" i="76"/>
  <c r="BR281" i="76"/>
  <c r="BR720" i="76"/>
  <c r="BR551" i="76"/>
  <c r="AK343" i="76"/>
  <c r="AK995" i="76"/>
  <c r="BR480" i="76"/>
  <c r="BR70" i="76"/>
  <c r="AK796" i="76"/>
  <c r="BR755" i="76"/>
  <c r="BR742" i="76"/>
  <c r="BR566" i="76"/>
  <c r="BR715" i="76"/>
  <c r="AK982" i="76"/>
  <c r="BR129" i="76"/>
  <c r="BR702" i="76"/>
  <c r="BR1063" i="76"/>
  <c r="AK484" i="76"/>
  <c r="AK276" i="76"/>
  <c r="BR674" i="76"/>
  <c r="BR711" i="76"/>
  <c r="BR457" i="76"/>
  <c r="BR665" i="76"/>
  <c r="AK923" i="76"/>
  <c r="BR940" i="76"/>
  <c r="AK901" i="76"/>
  <c r="AK1056" i="76"/>
  <c r="AK606" i="76"/>
  <c r="AK556" i="76"/>
  <c r="AK78" i="76"/>
  <c r="AK780" i="76"/>
  <c r="AK852" i="76"/>
  <c r="AK585" i="76"/>
  <c r="BR817" i="76"/>
  <c r="AK761" i="76"/>
  <c r="BR285" i="76"/>
  <c r="AK1035" i="76"/>
  <c r="AK480" i="76"/>
  <c r="BR451" i="76"/>
  <c r="AK471" i="76"/>
  <c r="AK598" i="76"/>
  <c r="BR854" i="76"/>
  <c r="BR802" i="76"/>
  <c r="BR805" i="76"/>
  <c r="AK342" i="76"/>
  <c r="BR729" i="76"/>
  <c r="AK725" i="76"/>
  <c r="BR1059" i="76"/>
  <c r="BR381" i="76"/>
  <c r="BR114" i="76"/>
  <c r="BR507" i="76"/>
  <c r="BR736" i="76"/>
  <c r="BR443" i="76"/>
  <c r="AK349" i="76"/>
  <c r="AK256" i="76"/>
  <c r="AK897" i="76"/>
  <c r="BR988" i="76"/>
  <c r="AK785" i="76"/>
  <c r="AK661" i="76"/>
  <c r="AK586" i="76"/>
  <c r="AK733" i="76"/>
  <c r="BR428" i="76"/>
  <c r="AK583" i="76"/>
  <c r="AK366" i="76"/>
  <c r="AK866" i="76"/>
  <c r="BR379" i="76"/>
  <c r="AK246" i="76"/>
  <c r="BR134" i="76"/>
  <c r="AK615" i="76"/>
  <c r="BR112" i="76"/>
  <c r="BR242" i="76"/>
  <c r="BR104" i="76"/>
  <c r="AK229" i="76"/>
  <c r="AK170" i="76"/>
  <c r="AK865" i="76"/>
  <c r="BR72" i="76"/>
  <c r="AK692" i="76"/>
  <c r="BR861" i="76"/>
  <c r="AK786" i="76"/>
  <c r="AK1001" i="76"/>
  <c r="BR260" i="76"/>
  <c r="AK95" i="76"/>
  <c r="AK762" i="76"/>
  <c r="BR971" i="76"/>
  <c r="BR313" i="76"/>
  <c r="AK875" i="76"/>
  <c r="BR1006" i="76"/>
  <c r="AK1015" i="76"/>
  <c r="AK304" i="76"/>
  <c r="BR163" i="76"/>
  <c r="BR746" i="76"/>
  <c r="BR499" i="76"/>
  <c r="AK511" i="76"/>
  <c r="BR197" i="76"/>
  <c r="BR317" i="76"/>
  <c r="AK270" i="76"/>
  <c r="BR511" i="76"/>
  <c r="AK721" i="76"/>
  <c r="AK605" i="76"/>
  <c r="BR210" i="76"/>
  <c r="BR159" i="76"/>
  <c r="AK318" i="76"/>
  <c r="BR228" i="76"/>
  <c r="AK1036" i="76"/>
  <c r="AK443" i="76"/>
  <c r="BR842" i="76"/>
  <c r="BR1021" i="76"/>
  <c r="AK350" i="76"/>
  <c r="AK595" i="76"/>
  <c r="AK691" i="76"/>
  <c r="AK705" i="76"/>
  <c r="AK830" i="76"/>
  <c r="AK96" i="76"/>
  <c r="AK962" i="76"/>
  <c r="AK253" i="76"/>
  <c r="AK827" i="76"/>
  <c r="BR731" i="76"/>
  <c r="BR912" i="76"/>
  <c r="AK312" i="76"/>
  <c r="BR690" i="76"/>
  <c r="BR205" i="76"/>
  <c r="BR175" i="76"/>
  <c r="BR368" i="76"/>
  <c r="BR186" i="76"/>
  <c r="BR626" i="76"/>
  <c r="BR762" i="76"/>
  <c r="BR606" i="76"/>
  <c r="BR420" i="76"/>
  <c r="BR154" i="76"/>
  <c r="AK741" i="76"/>
  <c r="BR211" i="76"/>
  <c r="AK916" i="76"/>
  <c r="BR990" i="76"/>
  <c r="BR331" i="76"/>
  <c r="BR728" i="76"/>
  <c r="AK348" i="76"/>
  <c r="BR534" i="76"/>
  <c r="AK383" i="76"/>
  <c r="AK498" i="76"/>
  <c r="AK867" i="76"/>
  <c r="BR950" i="76"/>
  <c r="BR554" i="76"/>
  <c r="AK387" i="76"/>
  <c r="AK874" i="76"/>
  <c r="AK1018" i="76"/>
  <c r="AK381" i="76"/>
  <c r="AK911" i="76"/>
  <c r="AK426" i="76"/>
  <c r="BR309" i="76"/>
  <c r="AK670" i="76"/>
  <c r="BR594" i="76"/>
  <c r="AK425" i="76"/>
  <c r="AK795" i="76"/>
  <c r="BR463" i="76"/>
  <c r="AK666" i="76"/>
  <c r="AK925" i="76"/>
  <c r="AK887" i="76"/>
  <c r="AK191" i="76"/>
  <c r="BR635" i="76"/>
  <c r="AK990" i="76"/>
  <c r="AK961" i="76"/>
  <c r="AK594" i="76"/>
  <c r="BR1056" i="76"/>
  <c r="AK298" i="76"/>
  <c r="BR620" i="76"/>
  <c r="AK197" i="76"/>
  <c r="BR490" i="76"/>
  <c r="AK167" i="76"/>
  <c r="AK156" i="76"/>
  <c r="BR889" i="76"/>
  <c r="BR902" i="76"/>
  <c r="AK989" i="76"/>
  <c r="AK600" i="76"/>
  <c r="AK91" i="76"/>
  <c r="BR98" i="76"/>
  <c r="AK71" i="76"/>
  <c r="BR250" i="76"/>
  <c r="BR350" i="76"/>
  <c r="AK724" i="76"/>
  <c r="BR382" i="76"/>
  <c r="BR687" i="76"/>
  <c r="AK716" i="76"/>
  <c r="AK808" i="76"/>
  <c r="BR863" i="76"/>
  <c r="AK870" i="76"/>
  <c r="BR589" i="76"/>
  <c r="AK441" i="76"/>
  <c r="AK1024" i="76"/>
  <c r="AK740" i="76"/>
  <c r="BR1007" i="76"/>
  <c r="BR386" i="76"/>
  <c r="BR125" i="76"/>
  <c r="AK992" i="76"/>
  <c r="BR287" i="76"/>
  <c r="AY16" i="18"/>
  <c r="AY157" i="18"/>
  <c r="AY88" i="18"/>
  <c r="J61" i="83" s="1"/>
  <c r="BG8" i="76"/>
  <c r="Y55" i="76" s="1"/>
  <c r="Y61" i="76" s="1"/>
  <c r="P99" i="20"/>
  <c r="F27" i="65" l="1"/>
  <c r="F29" i="65" s="1"/>
  <c r="S34" i="82"/>
  <c r="U34" i="82" s="1"/>
  <c r="V154" i="20"/>
  <c r="AY84" i="18"/>
  <c r="AY153" i="18"/>
  <c r="AY12" i="18"/>
  <c r="U99" i="20"/>
  <c r="B80" i="12" s="1"/>
  <c r="T99" i="20"/>
  <c r="S35" i="82"/>
  <c r="U35" i="82" s="1"/>
  <c r="V155" i="20"/>
  <c r="R26" i="82"/>
  <c r="AK29" i="76"/>
  <c r="AK34" i="76"/>
  <c r="AK32" i="76"/>
  <c r="AK30" i="76"/>
  <c r="AK31" i="76"/>
  <c r="AK42" i="76" s="1"/>
  <c r="AK36" i="76"/>
  <c r="AK37" i="76"/>
  <c r="AK33" i="76"/>
  <c r="AK35" i="76"/>
  <c r="BR29" i="76"/>
  <c r="BR35" i="76"/>
  <c r="BR31" i="76"/>
  <c r="BR42" i="76" s="1"/>
  <c r="BR36" i="76"/>
  <c r="BR37" i="76"/>
  <c r="BR30" i="76"/>
  <c r="BR33" i="76"/>
  <c r="BR34" i="76"/>
  <c r="BR32" i="76"/>
  <c r="T161" i="20"/>
  <c r="U132" i="20"/>
  <c r="U153" i="20"/>
  <c r="V133" i="20"/>
  <c r="U19" i="20"/>
  <c r="U21" i="20"/>
  <c r="AK44" i="76" l="1"/>
  <c r="BR45" i="76"/>
  <c r="W126" i="20"/>
  <c r="U128" i="20"/>
  <c r="V128" i="20" s="1"/>
  <c r="V132" i="20"/>
  <c r="U152" i="20"/>
  <c r="S33" i="82"/>
  <c r="U33" i="82" s="1"/>
  <c r="V153" i="20"/>
  <c r="BR44" i="76"/>
  <c r="AK46" i="76"/>
  <c r="U22" i="20"/>
  <c r="U115" i="20" s="1"/>
  <c r="U18" i="20"/>
  <c r="U7" i="20" s="1"/>
  <c r="U117" i="20" s="1"/>
  <c r="U112" i="20"/>
  <c r="AK45" i="76"/>
  <c r="R41" i="82"/>
  <c r="G140" i="12"/>
  <c r="D33" i="28" s="1"/>
  <c r="J140" i="12"/>
  <c r="G33" i="28" s="1"/>
  <c r="I140" i="12"/>
  <c r="F33" i="28" s="1"/>
  <c r="F140" i="12"/>
  <c r="C33" i="28" s="1"/>
  <c r="H140" i="12"/>
  <c r="E33" i="28" s="1"/>
  <c r="U114" i="20"/>
  <c r="I80" i="12"/>
  <c r="J80" i="12"/>
  <c r="G80" i="12"/>
  <c r="H80" i="12"/>
  <c r="F80" i="12"/>
  <c r="BR43" i="76"/>
  <c r="BR46" i="76"/>
  <c r="AK43" i="76"/>
  <c r="F33" i="23" l="1"/>
  <c r="I100" i="12"/>
  <c r="F33" i="38" s="1"/>
  <c r="G33" i="23"/>
  <c r="J100" i="12"/>
  <c r="G33" i="38" s="1"/>
  <c r="N89" i="28"/>
  <c r="F205" i="28" s="1"/>
  <c r="N86" i="28"/>
  <c r="F184" i="28" s="1"/>
  <c r="N88" i="28"/>
  <c r="F198" i="28" s="1"/>
  <c r="N85" i="28"/>
  <c r="F177" i="28" s="1"/>
  <c r="N79" i="28"/>
  <c r="F140" i="28" s="1"/>
  <c r="N80" i="28"/>
  <c r="F147" i="28" s="1"/>
  <c r="N108" i="28"/>
  <c r="F309" i="28" s="1"/>
  <c r="N105" i="28"/>
  <c r="F293" i="28" s="1"/>
  <c r="N81" i="28"/>
  <c r="F154" i="28" s="1"/>
  <c r="N98" i="28"/>
  <c r="F249" i="28" s="1"/>
  <c r="N75" i="28"/>
  <c r="F121" i="28" s="1"/>
  <c r="N100" i="28"/>
  <c r="F263" i="28" s="1"/>
  <c r="N92" i="28"/>
  <c r="F216" i="28" s="1"/>
  <c r="N76" i="28"/>
  <c r="F130" i="28" s="1"/>
  <c r="N93" i="28"/>
  <c r="F225" i="28" s="1"/>
  <c r="N83" i="28"/>
  <c r="F168" i="28" s="1"/>
  <c r="N99" i="28"/>
  <c r="F256" i="28" s="1"/>
  <c r="N97" i="28"/>
  <c r="F242" i="28" s="1"/>
  <c r="N103" i="28"/>
  <c r="F279" i="28" s="1"/>
  <c r="N106" i="28"/>
  <c r="F300" i="28" s="1"/>
  <c r="N82" i="28"/>
  <c r="F161" i="28" s="1"/>
  <c r="N87" i="28"/>
  <c r="F191" i="28" s="1"/>
  <c r="N102" i="28"/>
  <c r="F272" i="28" s="1"/>
  <c r="N104" i="28"/>
  <c r="F286" i="28" s="1"/>
  <c r="N96" i="28"/>
  <c r="F235" i="28" s="1"/>
  <c r="D33" i="23"/>
  <c r="G100" i="12"/>
  <c r="D33" i="38" s="1"/>
  <c r="Q85" i="28"/>
  <c r="F180" i="28" s="1"/>
  <c r="Q80" i="28"/>
  <c r="F150" i="28" s="1"/>
  <c r="Q105" i="28"/>
  <c r="F296" i="28" s="1"/>
  <c r="Q92" i="28"/>
  <c r="F219" i="28" s="1"/>
  <c r="Q81" i="28"/>
  <c r="F157" i="28" s="1"/>
  <c r="Q75" i="28"/>
  <c r="F124" i="28" s="1"/>
  <c r="Q82" i="28"/>
  <c r="F164" i="28" s="1"/>
  <c r="Q88" i="28"/>
  <c r="F201" i="28" s="1"/>
  <c r="Q76" i="28"/>
  <c r="F133" i="28" s="1"/>
  <c r="Q83" i="28"/>
  <c r="F171" i="28" s="1"/>
  <c r="Q79" i="28"/>
  <c r="F143" i="28" s="1"/>
  <c r="Q100" i="28"/>
  <c r="F266" i="28" s="1"/>
  <c r="Q89" i="28"/>
  <c r="F208" i="28" s="1"/>
  <c r="Q86" i="28"/>
  <c r="F187" i="28" s="1"/>
  <c r="Q87" i="28"/>
  <c r="F194" i="28" s="1"/>
  <c r="Q103" i="28"/>
  <c r="F282" i="28" s="1"/>
  <c r="Q102" i="28"/>
  <c r="F275" i="28" s="1"/>
  <c r="Q97" i="28"/>
  <c r="F245" i="28" s="1"/>
  <c r="Q104" i="28"/>
  <c r="F289" i="28" s="1"/>
  <c r="Q106" i="28"/>
  <c r="F303" i="28" s="1"/>
  <c r="Q108" i="28"/>
  <c r="F312" i="28" s="1"/>
  <c r="Q96" i="28"/>
  <c r="F238" i="28" s="1"/>
  <c r="Q93" i="28"/>
  <c r="F228" i="28" s="1"/>
  <c r="Q98" i="28"/>
  <c r="F252" i="28" s="1"/>
  <c r="Q99" i="28"/>
  <c r="F259" i="28" s="1"/>
  <c r="E33" i="23"/>
  <c r="H100" i="12"/>
  <c r="E33" i="38" s="1"/>
  <c r="P102" i="28"/>
  <c r="F274" i="28" s="1"/>
  <c r="P87" i="28"/>
  <c r="F193" i="28" s="1"/>
  <c r="P85" i="28"/>
  <c r="F179" i="28" s="1"/>
  <c r="P86" i="28"/>
  <c r="F186" i="28" s="1"/>
  <c r="P80" i="28"/>
  <c r="F149" i="28" s="1"/>
  <c r="P88" i="28"/>
  <c r="F200" i="28" s="1"/>
  <c r="P92" i="28"/>
  <c r="F218" i="28" s="1"/>
  <c r="P93" i="28"/>
  <c r="F227" i="28" s="1"/>
  <c r="P105" i="28"/>
  <c r="F295" i="28" s="1"/>
  <c r="P75" i="28"/>
  <c r="F123" i="28" s="1"/>
  <c r="P99" i="28"/>
  <c r="F258" i="28" s="1"/>
  <c r="P82" i="28"/>
  <c r="F163" i="28" s="1"/>
  <c r="P89" i="28"/>
  <c r="F207" i="28" s="1"/>
  <c r="P81" i="28"/>
  <c r="F156" i="28" s="1"/>
  <c r="P76" i="28"/>
  <c r="F132" i="28" s="1"/>
  <c r="P104" i="28"/>
  <c r="F288" i="28" s="1"/>
  <c r="P96" i="28"/>
  <c r="F237" i="28" s="1"/>
  <c r="P97" i="28"/>
  <c r="F244" i="28" s="1"/>
  <c r="P100" i="28"/>
  <c r="F265" i="28" s="1"/>
  <c r="P83" i="28"/>
  <c r="F170" i="28" s="1"/>
  <c r="P108" i="28"/>
  <c r="F311" i="28" s="1"/>
  <c r="P106" i="28"/>
  <c r="F302" i="28" s="1"/>
  <c r="P79" i="28"/>
  <c r="F142" i="28" s="1"/>
  <c r="P98" i="28"/>
  <c r="F251" i="28" s="1"/>
  <c r="P103" i="28"/>
  <c r="F281" i="28" s="1"/>
  <c r="O104" i="28"/>
  <c r="F287" i="28" s="1"/>
  <c r="O82" i="28"/>
  <c r="F162" i="28" s="1"/>
  <c r="O88" i="28"/>
  <c r="F199" i="28" s="1"/>
  <c r="O75" i="28"/>
  <c r="F122" i="28" s="1"/>
  <c r="O79" i="28"/>
  <c r="F141" i="28" s="1"/>
  <c r="O96" i="28"/>
  <c r="F236" i="28" s="1"/>
  <c r="O76" i="28"/>
  <c r="F131" i="28" s="1"/>
  <c r="O83" i="28"/>
  <c r="F169" i="28" s="1"/>
  <c r="O98" i="28"/>
  <c r="F250" i="28" s="1"/>
  <c r="O97" i="28"/>
  <c r="F243" i="28" s="1"/>
  <c r="O99" i="28"/>
  <c r="F257" i="28" s="1"/>
  <c r="O85" i="28"/>
  <c r="F178" i="28" s="1"/>
  <c r="O108" i="28"/>
  <c r="F310" i="28" s="1"/>
  <c r="O87" i="28"/>
  <c r="F192" i="28" s="1"/>
  <c r="O89" i="28"/>
  <c r="F206" i="28" s="1"/>
  <c r="O80" i="28"/>
  <c r="F148" i="28" s="1"/>
  <c r="O103" i="28"/>
  <c r="F280" i="28" s="1"/>
  <c r="O102" i="28"/>
  <c r="F273" i="28" s="1"/>
  <c r="O105" i="28"/>
  <c r="F294" i="28" s="1"/>
  <c r="O100" i="28"/>
  <c r="F264" i="28" s="1"/>
  <c r="O93" i="28"/>
  <c r="F226" i="28" s="1"/>
  <c r="O92" i="28"/>
  <c r="F217" i="28" s="1"/>
  <c r="O86" i="28"/>
  <c r="F185" i="28" s="1"/>
  <c r="O106" i="28"/>
  <c r="F301" i="28" s="1"/>
  <c r="O81" i="28"/>
  <c r="F155" i="28" s="1"/>
  <c r="U148" i="20"/>
  <c r="S32" i="82"/>
  <c r="U32" i="82" s="1"/>
  <c r="W146" i="20"/>
  <c r="W29" i="82" s="1"/>
  <c r="V152" i="20"/>
  <c r="C33" i="23"/>
  <c r="F100" i="12"/>
  <c r="C33" i="38" s="1"/>
  <c r="M102" i="28"/>
  <c r="F271" i="28" s="1"/>
  <c r="M81" i="28"/>
  <c r="F153" i="28" s="1"/>
  <c r="M86" i="28"/>
  <c r="F183" i="28" s="1"/>
  <c r="M89" i="28"/>
  <c r="F204" i="28" s="1"/>
  <c r="M79" i="28"/>
  <c r="F139" i="28" s="1"/>
  <c r="M75" i="28"/>
  <c r="F120" i="28" s="1"/>
  <c r="M80" i="28"/>
  <c r="F146" i="28" s="1"/>
  <c r="M99" i="28"/>
  <c r="F255" i="28" s="1"/>
  <c r="M103" i="28"/>
  <c r="F278" i="28" s="1"/>
  <c r="M82" i="28"/>
  <c r="F160" i="28" s="1"/>
  <c r="M100" i="28"/>
  <c r="F262" i="28" s="1"/>
  <c r="M108" i="28"/>
  <c r="F308" i="28" s="1"/>
  <c r="M96" i="28"/>
  <c r="F234" i="28" s="1"/>
  <c r="M98" i="28"/>
  <c r="F248" i="28" s="1"/>
  <c r="M106" i="28"/>
  <c r="F299" i="28" s="1"/>
  <c r="M76" i="28"/>
  <c r="F129" i="28" s="1"/>
  <c r="X129" i="28" s="1"/>
  <c r="M97" i="28"/>
  <c r="F241" i="28" s="1"/>
  <c r="M85" i="28"/>
  <c r="F176" i="28" s="1"/>
  <c r="M92" i="28"/>
  <c r="F215" i="28" s="1"/>
  <c r="M93" i="28"/>
  <c r="F224" i="28" s="1"/>
  <c r="M88" i="28"/>
  <c r="F197" i="28" s="1"/>
  <c r="M104" i="28"/>
  <c r="F285" i="28" s="1"/>
  <c r="M83" i="28"/>
  <c r="F167" i="28" s="1"/>
  <c r="M87" i="28"/>
  <c r="F190" i="28" s="1"/>
  <c r="M105" i="28"/>
  <c r="F292" i="28" s="1"/>
  <c r="U95" i="20"/>
  <c r="U84" i="20"/>
  <c r="Z10" i="18" s="1"/>
  <c r="U83" i="20"/>
  <c r="U24" i="20"/>
  <c r="Y62" i="76"/>
  <c r="U118" i="20"/>
  <c r="S14" i="82" l="1"/>
  <c r="U122" i="20"/>
  <c r="Z20" i="18"/>
  <c r="M83" i="38"/>
  <c r="F167" i="38" s="1"/>
  <c r="M97" i="38"/>
  <c r="F241" i="38" s="1"/>
  <c r="M108" i="38"/>
  <c r="F308" i="38" s="1"/>
  <c r="M87" i="38"/>
  <c r="F190" i="38" s="1"/>
  <c r="M104" i="38"/>
  <c r="F285" i="38" s="1"/>
  <c r="M96" i="38"/>
  <c r="F234" i="38" s="1"/>
  <c r="M86" i="38"/>
  <c r="F183" i="38" s="1"/>
  <c r="M102" i="38"/>
  <c r="F271" i="38" s="1"/>
  <c r="M75" i="38"/>
  <c r="F120" i="38" s="1"/>
  <c r="M100" i="38"/>
  <c r="F262" i="38" s="1"/>
  <c r="M92" i="38"/>
  <c r="F215" i="38" s="1"/>
  <c r="M103" i="38"/>
  <c r="F278" i="38" s="1"/>
  <c r="M85" i="38"/>
  <c r="F176" i="38" s="1"/>
  <c r="M99" i="38"/>
  <c r="F255" i="38" s="1"/>
  <c r="M88" i="38"/>
  <c r="F197" i="38" s="1"/>
  <c r="M93" i="38"/>
  <c r="F224" i="38" s="1"/>
  <c r="M82" i="38"/>
  <c r="F160" i="38" s="1"/>
  <c r="M81" i="38"/>
  <c r="F153" i="38" s="1"/>
  <c r="M76" i="38"/>
  <c r="F129" i="38" s="1"/>
  <c r="X129" i="38" s="1"/>
  <c r="M105" i="38"/>
  <c r="F292" i="38" s="1"/>
  <c r="M98" i="38"/>
  <c r="F248" i="38" s="1"/>
  <c r="M89" i="38"/>
  <c r="F204" i="38" s="1"/>
  <c r="M79" i="38"/>
  <c r="F139" i="38" s="1"/>
  <c r="M106" i="38"/>
  <c r="F299" i="38" s="1"/>
  <c r="M80" i="38"/>
  <c r="F146" i="38" s="1"/>
  <c r="N85" i="23"/>
  <c r="F177" i="23" s="1"/>
  <c r="N99" i="23"/>
  <c r="F256" i="23" s="1"/>
  <c r="N80" i="23"/>
  <c r="F147" i="23" s="1"/>
  <c r="N81" i="23"/>
  <c r="F154" i="23" s="1"/>
  <c r="N100" i="23"/>
  <c r="F263" i="23" s="1"/>
  <c r="N75" i="23"/>
  <c r="F121" i="23" s="1"/>
  <c r="N89" i="23"/>
  <c r="F205" i="23" s="1"/>
  <c r="N104" i="23"/>
  <c r="F286" i="23" s="1"/>
  <c r="N97" i="23"/>
  <c r="F242" i="23" s="1"/>
  <c r="N108" i="23"/>
  <c r="F309" i="23" s="1"/>
  <c r="N76" i="23"/>
  <c r="F130" i="23" s="1"/>
  <c r="N88" i="23"/>
  <c r="F198" i="23" s="1"/>
  <c r="N106" i="23"/>
  <c r="F300" i="23" s="1"/>
  <c r="N102" i="23"/>
  <c r="F272" i="23" s="1"/>
  <c r="N83" i="23"/>
  <c r="F168" i="23" s="1"/>
  <c r="N105" i="23"/>
  <c r="F293" i="23" s="1"/>
  <c r="N96" i="23"/>
  <c r="F235" i="23" s="1"/>
  <c r="N86" i="23"/>
  <c r="F184" i="23" s="1"/>
  <c r="N92" i="23"/>
  <c r="F216" i="23" s="1"/>
  <c r="N98" i="23"/>
  <c r="F249" i="23" s="1"/>
  <c r="N79" i="23"/>
  <c r="F140" i="23" s="1"/>
  <c r="N82" i="23"/>
  <c r="F161" i="23" s="1"/>
  <c r="N87" i="23"/>
  <c r="F191" i="23" s="1"/>
  <c r="N103" i="23"/>
  <c r="F279" i="23" s="1"/>
  <c r="N93" i="23"/>
  <c r="F225" i="23" s="1"/>
  <c r="M103" i="23"/>
  <c r="F278" i="23" s="1"/>
  <c r="M83" i="23"/>
  <c r="F167" i="23" s="1"/>
  <c r="M85" i="23"/>
  <c r="F176" i="23" s="1"/>
  <c r="M88" i="23"/>
  <c r="F197" i="23" s="1"/>
  <c r="M89" i="23"/>
  <c r="F204" i="23" s="1"/>
  <c r="M102" i="23"/>
  <c r="F271" i="23" s="1"/>
  <c r="M76" i="23"/>
  <c r="F129" i="23" s="1"/>
  <c r="X129" i="23" s="1"/>
  <c r="M104" i="23"/>
  <c r="F285" i="23" s="1"/>
  <c r="M106" i="23"/>
  <c r="F299" i="23" s="1"/>
  <c r="M87" i="23"/>
  <c r="F190" i="23" s="1"/>
  <c r="M108" i="23"/>
  <c r="F308" i="23" s="1"/>
  <c r="M93" i="23"/>
  <c r="F224" i="23" s="1"/>
  <c r="M81" i="23"/>
  <c r="F153" i="23" s="1"/>
  <c r="M96" i="23"/>
  <c r="F234" i="23" s="1"/>
  <c r="M86" i="23"/>
  <c r="F183" i="23" s="1"/>
  <c r="M99" i="23"/>
  <c r="F255" i="23" s="1"/>
  <c r="M92" i="23"/>
  <c r="F215" i="23" s="1"/>
  <c r="M105" i="23"/>
  <c r="F292" i="23" s="1"/>
  <c r="M80" i="23"/>
  <c r="F146" i="23" s="1"/>
  <c r="M79" i="23"/>
  <c r="F139" i="23" s="1"/>
  <c r="M75" i="23"/>
  <c r="F120" i="23" s="1"/>
  <c r="M100" i="23"/>
  <c r="F262" i="23" s="1"/>
  <c r="M97" i="23"/>
  <c r="F241" i="23" s="1"/>
  <c r="M82" i="23"/>
  <c r="F160" i="23" s="1"/>
  <c r="M98" i="23"/>
  <c r="F248" i="23" s="1"/>
  <c r="N108" i="38"/>
  <c r="F309" i="38" s="1"/>
  <c r="N97" i="38"/>
  <c r="F242" i="38" s="1"/>
  <c r="N98" i="38"/>
  <c r="F249" i="38" s="1"/>
  <c r="N88" i="38"/>
  <c r="F198" i="38" s="1"/>
  <c r="N104" i="38"/>
  <c r="F286" i="38" s="1"/>
  <c r="N75" i="38"/>
  <c r="F121" i="38" s="1"/>
  <c r="N86" i="38"/>
  <c r="F184" i="38" s="1"/>
  <c r="N89" i="38"/>
  <c r="F205" i="38" s="1"/>
  <c r="N85" i="38"/>
  <c r="F177" i="38" s="1"/>
  <c r="N81" i="38"/>
  <c r="F154" i="38" s="1"/>
  <c r="N99" i="38"/>
  <c r="F256" i="38" s="1"/>
  <c r="N100" i="38"/>
  <c r="F263" i="38" s="1"/>
  <c r="N96" i="38"/>
  <c r="F235" i="38" s="1"/>
  <c r="N92" i="38"/>
  <c r="F216" i="38" s="1"/>
  <c r="N105" i="38"/>
  <c r="F293" i="38" s="1"/>
  <c r="N79" i="38"/>
  <c r="F140" i="38" s="1"/>
  <c r="N83" i="38"/>
  <c r="F168" i="38" s="1"/>
  <c r="N93" i="38"/>
  <c r="F225" i="38" s="1"/>
  <c r="N87" i="38"/>
  <c r="F191" i="38" s="1"/>
  <c r="N80" i="38"/>
  <c r="F147" i="38" s="1"/>
  <c r="N82" i="38"/>
  <c r="F161" i="38" s="1"/>
  <c r="N76" i="38"/>
  <c r="F130" i="38" s="1"/>
  <c r="N102" i="38"/>
  <c r="F272" i="38" s="1"/>
  <c r="N106" i="38"/>
  <c r="F300" i="38" s="1"/>
  <c r="N103" i="38"/>
  <c r="F279" i="38" s="1"/>
  <c r="P103" i="23"/>
  <c r="F281" i="23" s="1"/>
  <c r="P89" i="23"/>
  <c r="F207" i="23" s="1"/>
  <c r="P96" i="23"/>
  <c r="F237" i="23" s="1"/>
  <c r="P100" i="23"/>
  <c r="F265" i="23" s="1"/>
  <c r="P75" i="23"/>
  <c r="F123" i="23" s="1"/>
  <c r="P92" i="23"/>
  <c r="F218" i="23" s="1"/>
  <c r="P85" i="23"/>
  <c r="F179" i="23" s="1"/>
  <c r="P76" i="23"/>
  <c r="F132" i="23" s="1"/>
  <c r="P80" i="23"/>
  <c r="F149" i="23" s="1"/>
  <c r="P88" i="23"/>
  <c r="F200" i="23" s="1"/>
  <c r="P97" i="23"/>
  <c r="F244" i="23" s="1"/>
  <c r="P86" i="23"/>
  <c r="F186" i="23" s="1"/>
  <c r="P87" i="23"/>
  <c r="F193" i="23" s="1"/>
  <c r="P79" i="23"/>
  <c r="F142" i="23" s="1"/>
  <c r="P105" i="23"/>
  <c r="F295" i="23" s="1"/>
  <c r="P98" i="23"/>
  <c r="F251" i="23" s="1"/>
  <c r="P83" i="23"/>
  <c r="F170" i="23" s="1"/>
  <c r="P108" i="23"/>
  <c r="F311" i="23" s="1"/>
  <c r="P82" i="23"/>
  <c r="F163" i="23" s="1"/>
  <c r="P102" i="23"/>
  <c r="F274" i="23" s="1"/>
  <c r="P104" i="23"/>
  <c r="F288" i="23" s="1"/>
  <c r="P106" i="23"/>
  <c r="F302" i="23" s="1"/>
  <c r="P99" i="23"/>
  <c r="F258" i="23" s="1"/>
  <c r="P93" i="23"/>
  <c r="F227" i="23" s="1"/>
  <c r="P81" i="23"/>
  <c r="F156" i="23" s="1"/>
  <c r="O8" i="86"/>
  <c r="P8" i="86" s="1"/>
  <c r="P11" i="86" s="1"/>
  <c r="J7" i="12" s="1"/>
  <c r="Y53" i="76"/>
  <c r="Y58" i="76" s="1"/>
  <c r="U108" i="20"/>
  <c r="Z7" i="18"/>
  <c r="X12" i="65"/>
  <c r="X23" i="65" s="1"/>
  <c r="Y23" i="65" s="1"/>
  <c r="U93" i="20"/>
  <c r="U92" i="20"/>
  <c r="P104" i="38"/>
  <c r="F288" i="38" s="1"/>
  <c r="P93" i="38"/>
  <c r="F227" i="38" s="1"/>
  <c r="P100" i="38"/>
  <c r="F265" i="38" s="1"/>
  <c r="P87" i="38"/>
  <c r="F193" i="38" s="1"/>
  <c r="P85" i="38"/>
  <c r="F179" i="38" s="1"/>
  <c r="P88" i="38"/>
  <c r="F200" i="38" s="1"/>
  <c r="P108" i="38"/>
  <c r="F311" i="38" s="1"/>
  <c r="P105" i="38"/>
  <c r="F295" i="38" s="1"/>
  <c r="P86" i="38"/>
  <c r="F186" i="38" s="1"/>
  <c r="P79" i="38"/>
  <c r="F142" i="38" s="1"/>
  <c r="P102" i="38"/>
  <c r="F274" i="38" s="1"/>
  <c r="P89" i="38"/>
  <c r="F207" i="38" s="1"/>
  <c r="P76" i="38"/>
  <c r="F132" i="38" s="1"/>
  <c r="P106" i="38"/>
  <c r="F302" i="38" s="1"/>
  <c r="P103" i="38"/>
  <c r="F281" i="38" s="1"/>
  <c r="P98" i="38"/>
  <c r="F251" i="38" s="1"/>
  <c r="P82" i="38"/>
  <c r="F163" i="38" s="1"/>
  <c r="P92" i="38"/>
  <c r="F218" i="38" s="1"/>
  <c r="P96" i="38"/>
  <c r="F237" i="38" s="1"/>
  <c r="P80" i="38"/>
  <c r="F149" i="38" s="1"/>
  <c r="P97" i="38"/>
  <c r="F244" i="38" s="1"/>
  <c r="P83" i="38"/>
  <c r="F170" i="38" s="1"/>
  <c r="P75" i="38"/>
  <c r="F123" i="38" s="1"/>
  <c r="P81" i="38"/>
  <c r="F156" i="38" s="1"/>
  <c r="P99" i="38"/>
  <c r="F258" i="38" s="1"/>
  <c r="AY10" i="18"/>
  <c r="AY151" i="18"/>
  <c r="AY82" i="18"/>
  <c r="S28" i="82"/>
  <c r="U28" i="82" s="1"/>
  <c r="V148" i="20"/>
  <c r="O75" i="23"/>
  <c r="F122" i="23" s="1"/>
  <c r="O99" i="23"/>
  <c r="F257" i="23" s="1"/>
  <c r="O102" i="23"/>
  <c r="F273" i="23" s="1"/>
  <c r="O79" i="23"/>
  <c r="F141" i="23" s="1"/>
  <c r="O85" i="23"/>
  <c r="F178" i="23" s="1"/>
  <c r="O80" i="23"/>
  <c r="F148" i="23" s="1"/>
  <c r="O93" i="23"/>
  <c r="F226" i="23" s="1"/>
  <c r="O82" i="23"/>
  <c r="F162" i="23" s="1"/>
  <c r="O97" i="23"/>
  <c r="F243" i="23" s="1"/>
  <c r="O96" i="23"/>
  <c r="F236" i="23" s="1"/>
  <c r="O108" i="23"/>
  <c r="F310" i="23" s="1"/>
  <c r="O100" i="23"/>
  <c r="F264" i="23" s="1"/>
  <c r="O76" i="23"/>
  <c r="F131" i="23" s="1"/>
  <c r="O83" i="23"/>
  <c r="F169" i="23" s="1"/>
  <c r="O88" i="23"/>
  <c r="F199" i="23" s="1"/>
  <c r="O106" i="23"/>
  <c r="F301" i="23" s="1"/>
  <c r="O86" i="23"/>
  <c r="F185" i="23" s="1"/>
  <c r="O104" i="23"/>
  <c r="F287" i="23" s="1"/>
  <c r="O92" i="23"/>
  <c r="F217" i="23" s="1"/>
  <c r="O105" i="23"/>
  <c r="F294" i="23" s="1"/>
  <c r="O103" i="23"/>
  <c r="F280" i="23" s="1"/>
  <c r="O98" i="23"/>
  <c r="F250" i="23" s="1"/>
  <c r="O81" i="23"/>
  <c r="F155" i="23" s="1"/>
  <c r="O89" i="23"/>
  <c r="F206" i="23" s="1"/>
  <c r="O87" i="23"/>
  <c r="F192" i="23" s="1"/>
  <c r="Q100" i="23"/>
  <c r="F266" i="23" s="1"/>
  <c r="Q76" i="23"/>
  <c r="F133" i="23" s="1"/>
  <c r="Q93" i="23"/>
  <c r="F228" i="23" s="1"/>
  <c r="Q92" i="23"/>
  <c r="F219" i="23" s="1"/>
  <c r="Q87" i="23"/>
  <c r="F194" i="23" s="1"/>
  <c r="Q85" i="23"/>
  <c r="F180" i="23" s="1"/>
  <c r="Q96" i="23"/>
  <c r="F238" i="23" s="1"/>
  <c r="Q105" i="23"/>
  <c r="F296" i="23" s="1"/>
  <c r="Q97" i="23"/>
  <c r="F245" i="23" s="1"/>
  <c r="Q89" i="23"/>
  <c r="F208" i="23" s="1"/>
  <c r="Q99" i="23"/>
  <c r="F259" i="23" s="1"/>
  <c r="Q103" i="23"/>
  <c r="F282" i="23" s="1"/>
  <c r="Q75" i="23"/>
  <c r="F124" i="23" s="1"/>
  <c r="Q102" i="23"/>
  <c r="F275" i="23" s="1"/>
  <c r="Q83" i="23"/>
  <c r="F171" i="23" s="1"/>
  <c r="Q108" i="23"/>
  <c r="F312" i="23" s="1"/>
  <c r="Q98" i="23"/>
  <c r="F252" i="23" s="1"/>
  <c r="Q81" i="23"/>
  <c r="F157" i="23" s="1"/>
  <c r="Q82" i="23"/>
  <c r="F164" i="23" s="1"/>
  <c r="Q80" i="23"/>
  <c r="F150" i="23" s="1"/>
  <c r="Q104" i="23"/>
  <c r="F289" i="23" s="1"/>
  <c r="Q86" i="23"/>
  <c r="F187" i="23" s="1"/>
  <c r="Q88" i="23"/>
  <c r="F201" i="23" s="1"/>
  <c r="Q79" i="23"/>
  <c r="F143" i="23" s="1"/>
  <c r="Q106" i="23"/>
  <c r="F303" i="23" s="1"/>
  <c r="O79" i="38"/>
  <c r="F141" i="38" s="1"/>
  <c r="O86" i="38"/>
  <c r="F185" i="38" s="1"/>
  <c r="O102" i="38"/>
  <c r="F273" i="38" s="1"/>
  <c r="O99" i="38"/>
  <c r="F257" i="38" s="1"/>
  <c r="O97" i="38"/>
  <c r="F243" i="38" s="1"/>
  <c r="O85" i="38"/>
  <c r="F178" i="38" s="1"/>
  <c r="O104" i="38"/>
  <c r="F287" i="38" s="1"/>
  <c r="O87" i="38"/>
  <c r="F192" i="38" s="1"/>
  <c r="O88" i="38"/>
  <c r="F199" i="38" s="1"/>
  <c r="O81" i="38"/>
  <c r="F155" i="38" s="1"/>
  <c r="O108" i="38"/>
  <c r="F310" i="38" s="1"/>
  <c r="O75" i="38"/>
  <c r="F122" i="38" s="1"/>
  <c r="O100" i="38"/>
  <c r="F264" i="38" s="1"/>
  <c r="O83" i="38"/>
  <c r="F169" i="38" s="1"/>
  <c r="O80" i="38"/>
  <c r="F148" i="38" s="1"/>
  <c r="O76" i="38"/>
  <c r="F131" i="38" s="1"/>
  <c r="O105" i="38"/>
  <c r="F294" i="38" s="1"/>
  <c r="O96" i="38"/>
  <c r="F236" i="38" s="1"/>
  <c r="O89" i="38"/>
  <c r="F206" i="38" s="1"/>
  <c r="O98" i="38"/>
  <c r="F250" i="38" s="1"/>
  <c r="O82" i="38"/>
  <c r="F162" i="38" s="1"/>
  <c r="O93" i="38"/>
  <c r="F226" i="38" s="1"/>
  <c r="O92" i="38"/>
  <c r="F217" i="38" s="1"/>
  <c r="O106" i="38"/>
  <c r="F301" i="38" s="1"/>
  <c r="O103" i="38"/>
  <c r="F280" i="38" s="1"/>
  <c r="Q81" i="38"/>
  <c r="F157" i="38" s="1"/>
  <c r="Q86" i="38"/>
  <c r="F187" i="38" s="1"/>
  <c r="Q80" i="38"/>
  <c r="F150" i="38" s="1"/>
  <c r="Q105" i="38"/>
  <c r="F296" i="38" s="1"/>
  <c r="Q82" i="38"/>
  <c r="F164" i="38" s="1"/>
  <c r="Q106" i="38"/>
  <c r="F303" i="38" s="1"/>
  <c r="Q88" i="38"/>
  <c r="F201" i="38" s="1"/>
  <c r="Q85" i="38"/>
  <c r="F180" i="38" s="1"/>
  <c r="Q92" i="38"/>
  <c r="F219" i="38" s="1"/>
  <c r="Q99" i="38"/>
  <c r="F259" i="38" s="1"/>
  <c r="Q102" i="38"/>
  <c r="F275" i="38" s="1"/>
  <c r="Q76" i="38"/>
  <c r="F133" i="38" s="1"/>
  <c r="Q100" i="38"/>
  <c r="F266" i="38" s="1"/>
  <c r="Q103" i="38"/>
  <c r="F282" i="38" s="1"/>
  <c r="Q108" i="38"/>
  <c r="F312" i="38" s="1"/>
  <c r="Q98" i="38"/>
  <c r="F252" i="38" s="1"/>
  <c r="Q75" i="38"/>
  <c r="F124" i="38" s="1"/>
  <c r="Q83" i="38"/>
  <c r="F171" i="38" s="1"/>
  <c r="Q96" i="38"/>
  <c r="F238" i="38" s="1"/>
  <c r="Q97" i="38"/>
  <c r="F245" i="38" s="1"/>
  <c r="Q87" i="38"/>
  <c r="F194" i="38" s="1"/>
  <c r="Q104" i="38"/>
  <c r="F289" i="38" s="1"/>
  <c r="Q93" i="38"/>
  <c r="F228" i="38" s="1"/>
  <c r="Q79" i="38"/>
  <c r="F143" i="38" s="1"/>
  <c r="Q89" i="38"/>
  <c r="F208" i="38" s="1"/>
  <c r="AL875" i="76" l="1"/>
  <c r="BS411" i="76"/>
  <c r="BS707" i="76"/>
  <c r="AL932" i="76"/>
  <c r="BS386" i="76"/>
  <c r="BS448" i="76"/>
  <c r="BS625" i="76"/>
  <c r="AL188" i="76"/>
  <c r="BS954" i="76"/>
  <c r="BS120" i="76"/>
  <c r="AL782" i="76"/>
  <c r="BS722" i="76"/>
  <c r="BS456" i="76"/>
  <c r="BS354" i="76"/>
  <c r="AL980" i="76"/>
  <c r="BS442" i="76"/>
  <c r="BS628" i="76"/>
  <c r="AL497" i="76"/>
  <c r="BS1002" i="76"/>
  <c r="BS188" i="76"/>
  <c r="AL252" i="76"/>
  <c r="AL986" i="76"/>
  <c r="BS1051" i="76"/>
  <c r="AL173" i="76"/>
  <c r="AL319" i="76"/>
  <c r="AL609" i="76"/>
  <c r="AL846" i="76"/>
  <c r="AL325" i="76"/>
  <c r="AL855" i="76"/>
  <c r="BS1038" i="76"/>
  <c r="AL213" i="76"/>
  <c r="AL184" i="76"/>
  <c r="AL758" i="76"/>
  <c r="AL165" i="76"/>
  <c r="BS843" i="76"/>
  <c r="AL772" i="76"/>
  <c r="AL951" i="76"/>
  <c r="BS439" i="76"/>
  <c r="AL1066" i="76"/>
  <c r="AL128" i="76"/>
  <c r="AL87" i="76"/>
  <c r="AL145" i="76"/>
  <c r="BS71" i="76"/>
  <c r="AL579" i="76"/>
  <c r="AL422" i="76"/>
  <c r="AL162" i="76"/>
  <c r="BS1020" i="76"/>
  <c r="AL1028" i="76"/>
  <c r="BS470" i="76"/>
  <c r="AL470" i="76"/>
  <c r="AL164" i="76"/>
  <c r="AL375" i="76"/>
  <c r="BS1053" i="76"/>
  <c r="BS889" i="76"/>
  <c r="AL802" i="76"/>
  <c r="BS482" i="76"/>
  <c r="BS91" i="76"/>
  <c r="BS647" i="76"/>
  <c r="AL245" i="76"/>
  <c r="AL677" i="76"/>
  <c r="BS568" i="76"/>
  <c r="AL90" i="76"/>
  <c r="AL653" i="76"/>
  <c r="BS667" i="76"/>
  <c r="AL296" i="76"/>
  <c r="BS121" i="76"/>
  <c r="BS962" i="76"/>
  <c r="AL183" i="76"/>
  <c r="AL1060" i="76"/>
  <c r="BS758" i="76"/>
  <c r="AL952" i="76"/>
  <c r="AL856" i="76"/>
  <c r="AL255" i="76"/>
  <c r="BS658" i="76"/>
  <c r="AL280" i="76"/>
  <c r="BS396" i="76"/>
  <c r="AL892" i="76"/>
  <c r="AL833" i="76"/>
  <c r="AL670" i="76"/>
  <c r="BS494" i="76"/>
  <c r="BS515" i="76"/>
  <c r="BS659" i="76"/>
  <c r="AL809" i="76"/>
  <c r="BS622" i="76"/>
  <c r="BS609" i="76"/>
  <c r="AL1040" i="76"/>
  <c r="BS242" i="76"/>
  <c r="AL622" i="76"/>
  <c r="BS780" i="76"/>
  <c r="AL607" i="76"/>
  <c r="BS231" i="76"/>
  <c r="AL407" i="76"/>
  <c r="BS977" i="76"/>
  <c r="BS73" i="76"/>
  <c r="AL897" i="76"/>
  <c r="AL660" i="76"/>
  <c r="BS724" i="76"/>
  <c r="AL561" i="76"/>
  <c r="BS243" i="76"/>
  <c r="BS143" i="76"/>
  <c r="AL931" i="76"/>
  <c r="AL96" i="76"/>
  <c r="BS946" i="76"/>
  <c r="AL170" i="76"/>
  <c r="BS1015" i="76"/>
  <c r="AL146" i="76"/>
  <c r="AL566" i="76"/>
  <c r="AL226" i="76"/>
  <c r="BS246" i="76"/>
  <c r="BS211" i="76"/>
  <c r="AL246" i="76"/>
  <c r="BS720" i="76"/>
  <c r="BS355" i="76"/>
  <c r="AL868" i="76"/>
  <c r="AL508" i="76"/>
  <c r="AL79" i="76"/>
  <c r="BS773" i="76"/>
  <c r="AL453" i="76"/>
  <c r="AL882" i="76"/>
  <c r="AL175" i="76"/>
  <c r="AL340" i="76"/>
  <c r="AL119" i="76"/>
  <c r="BS200" i="76"/>
  <c r="BS126" i="76"/>
  <c r="BS943" i="76"/>
  <c r="AL964" i="76"/>
  <c r="AL707" i="76"/>
  <c r="AL947" i="76"/>
  <c r="BS333" i="76"/>
  <c r="BS862" i="76"/>
  <c r="BS235" i="76"/>
  <c r="AL636" i="76"/>
  <c r="AL518" i="76"/>
  <c r="AL672" i="76"/>
  <c r="BS779" i="76"/>
  <c r="AL921" i="76"/>
  <c r="BS965" i="76"/>
  <c r="BS974" i="76"/>
  <c r="BS819" i="76"/>
  <c r="BS233" i="76"/>
  <c r="BS409" i="76"/>
  <c r="AL829" i="76"/>
  <c r="BS336" i="76"/>
  <c r="AL663" i="76"/>
  <c r="AL216" i="76"/>
  <c r="BS449" i="76"/>
  <c r="AL510" i="76"/>
  <c r="BS317" i="76"/>
  <c r="AL127" i="76"/>
  <c r="BS212" i="76"/>
  <c r="BS569" i="76"/>
  <c r="AL142" i="76"/>
  <c r="AL155" i="76"/>
  <c r="AL604" i="76"/>
  <c r="AL990" i="76"/>
  <c r="BS716" i="76"/>
  <c r="BS972" i="76"/>
  <c r="AL295" i="76"/>
  <c r="AL217" i="76"/>
  <c r="BS704" i="76"/>
  <c r="AL816" i="76"/>
  <c r="AL156" i="76"/>
  <c r="AL1024" i="76"/>
  <c r="BS186" i="76"/>
  <c r="AL586" i="76"/>
  <c r="BS1008" i="76"/>
  <c r="BS266" i="76"/>
  <c r="BS535" i="76"/>
  <c r="AL957" i="76"/>
  <c r="BS170" i="76"/>
  <c r="AL1025" i="76"/>
  <c r="BS904" i="76"/>
  <c r="BS193" i="76"/>
  <c r="BS236" i="76"/>
  <c r="BS1057" i="76"/>
  <c r="AL473" i="76"/>
  <c r="BS101" i="76"/>
  <c r="BS548" i="76"/>
  <c r="BS901" i="76"/>
  <c r="BS395" i="76"/>
  <c r="AL668" i="76"/>
  <c r="BS203" i="76"/>
  <c r="BS573" i="76"/>
  <c r="BS662" i="76"/>
  <c r="BS576" i="76"/>
  <c r="AL590" i="76"/>
  <c r="BS94" i="76"/>
  <c r="BS1055" i="76"/>
  <c r="AL835" i="76"/>
  <c r="AL1048" i="76"/>
  <c r="AL592" i="76"/>
  <c r="AL209" i="76"/>
  <c r="BS109" i="76"/>
  <c r="BS641" i="76"/>
  <c r="AL250" i="76"/>
  <c r="AL587" i="76"/>
  <c r="AL737" i="76"/>
  <c r="AL182" i="76"/>
  <c r="BS955" i="76"/>
  <c r="AL306" i="76"/>
  <c r="AL499" i="76"/>
  <c r="AL387" i="76"/>
  <c r="BS305" i="76"/>
  <c r="AL1038" i="76"/>
  <c r="AL309" i="76"/>
  <c r="AL322" i="76"/>
  <c r="BS1032" i="76"/>
  <c r="AL212" i="76"/>
  <c r="BS123" i="76"/>
  <c r="AL1036" i="76"/>
  <c r="BS639" i="76"/>
  <c r="AL262" i="76"/>
  <c r="BS778" i="76"/>
  <c r="AL954" i="76"/>
  <c r="AL631" i="76"/>
  <c r="AL683" i="76"/>
  <c r="BS824" i="76"/>
  <c r="AL585" i="76"/>
  <c r="BS175" i="76"/>
  <c r="BS950" i="76"/>
  <c r="AL692" i="76"/>
  <c r="BS715" i="76"/>
  <c r="AL118" i="76"/>
  <c r="AL899" i="76"/>
  <c r="AL573" i="76"/>
  <c r="AL935" i="76"/>
  <c r="AL977" i="76"/>
  <c r="BS453" i="76"/>
  <c r="AL467" i="76"/>
  <c r="AL917" i="76"/>
  <c r="AL557" i="76"/>
  <c r="AL457" i="76"/>
  <c r="AL384" i="76"/>
  <c r="AL596" i="76"/>
  <c r="AL242" i="76"/>
  <c r="BS268" i="76"/>
  <c r="BS471" i="76"/>
  <c r="AL859" i="76"/>
  <c r="AL228" i="76"/>
  <c r="AL196" i="76"/>
  <c r="BS295" i="76"/>
  <c r="AL500" i="76"/>
  <c r="BS288" i="76"/>
  <c r="AL563" i="76"/>
  <c r="AL759" i="76"/>
  <c r="AL192" i="76"/>
  <c r="AL969" i="76"/>
  <c r="BS541" i="76"/>
  <c r="BS578" i="76"/>
  <c r="BS590" i="76"/>
  <c r="BS539" i="76"/>
  <c r="AL437" i="76"/>
  <c r="BS161" i="76"/>
  <c r="BS360" i="76"/>
  <c r="BS1062" i="76"/>
  <c r="BS689" i="76"/>
  <c r="AL336" i="76"/>
  <c r="BS709" i="76"/>
  <c r="BS452" i="76"/>
  <c r="AL822" i="76"/>
  <c r="AL70" i="76"/>
  <c r="BS419" i="76"/>
  <c r="AL757" i="76"/>
  <c r="BS930" i="76"/>
  <c r="BS128" i="76"/>
  <c r="BS589" i="76"/>
  <c r="AL320" i="76"/>
  <c r="AL460" i="76"/>
  <c r="BS368" i="76"/>
  <c r="BS874" i="76"/>
  <c r="AL266" i="76"/>
  <c r="AL168" i="76"/>
  <c r="BS627" i="76"/>
  <c r="BS427" i="76"/>
  <c r="AL88" i="76"/>
  <c r="AL799" i="76"/>
  <c r="AL104" i="76"/>
  <c r="BS656" i="76"/>
  <c r="BS247" i="76"/>
  <c r="BS968" i="76"/>
  <c r="BS634" i="76"/>
  <c r="BS190" i="76"/>
  <c r="BS441" i="76"/>
  <c r="BS213" i="76"/>
  <c r="BS1003" i="76"/>
  <c r="AL900" i="76"/>
  <c r="BS898" i="76"/>
  <c r="AL157" i="76"/>
  <c r="BS556" i="76"/>
  <c r="BS846" i="76"/>
  <c r="AL256" i="76"/>
  <c r="AL939" i="76"/>
  <c r="AL905" i="76"/>
  <c r="AL139" i="76"/>
  <c r="AL593" i="76"/>
  <c r="AL830" i="76"/>
  <c r="BS248" i="76"/>
  <c r="AL922" i="76"/>
  <c r="BS832" i="76"/>
  <c r="BS382" i="76"/>
  <c r="AL388" i="76"/>
  <c r="AL546" i="76"/>
  <c r="AL310" i="76"/>
  <c r="AL1026" i="76"/>
  <c r="AL723" i="76"/>
  <c r="BS820" i="76"/>
  <c r="AL828" i="76"/>
  <c r="AL402" i="76"/>
  <c r="AL850" i="76"/>
  <c r="BS771" i="76"/>
  <c r="AL379" i="76"/>
  <c r="AL933" i="76"/>
  <c r="BS162" i="76"/>
  <c r="BS767" i="76"/>
  <c r="BS503" i="76"/>
  <c r="BS362" i="76"/>
  <c r="AL291" i="76"/>
  <c r="AL440" i="76"/>
  <c r="BS956" i="76"/>
  <c r="BS304" i="76"/>
  <c r="BS694" i="76"/>
  <c r="AL750" i="76"/>
  <c r="BS341" i="76"/>
  <c r="BS582" i="76"/>
  <c r="BS599" i="76"/>
  <c r="BS990" i="76"/>
  <c r="AL615" i="76"/>
  <c r="AL888" i="76"/>
  <c r="BS894" i="76"/>
  <c r="AL472" i="76"/>
  <c r="AL477" i="76"/>
  <c r="BS698" i="76"/>
  <c r="AL679" i="76"/>
  <c r="BS303" i="76"/>
  <c r="AL495" i="76"/>
  <c r="BS583" i="76"/>
  <c r="BS546" i="76"/>
  <c r="BS83" i="76"/>
  <c r="BS671" i="76"/>
  <c r="AL981" i="76"/>
  <c r="BS137" i="76"/>
  <c r="BS331" i="76"/>
  <c r="BS461" i="76"/>
  <c r="AL185" i="76"/>
  <c r="BS323" i="76"/>
  <c r="BS537" i="76"/>
  <c r="BS85" i="76"/>
  <c r="AL1065" i="76"/>
  <c r="BS828" i="76"/>
  <c r="BS180" i="76"/>
  <c r="BS1013" i="76"/>
  <c r="AL94" i="76"/>
  <c r="AL543" i="76"/>
  <c r="AL551" i="76"/>
  <c r="BS995" i="76"/>
  <c r="BS760" i="76"/>
  <c r="BS660" i="76"/>
  <c r="AL203" i="76"/>
  <c r="AL267" i="76"/>
  <c r="BS399" i="76"/>
  <c r="AL163" i="76"/>
  <c r="BS115" i="76"/>
  <c r="BS570" i="76"/>
  <c r="AL193" i="76"/>
  <c r="BS794" i="76"/>
  <c r="BS616" i="76"/>
  <c r="BS422" i="76"/>
  <c r="BS564" i="76"/>
  <c r="BS239" i="76"/>
  <c r="AL536" i="76"/>
  <c r="AL732" i="76"/>
  <c r="BS151" i="76"/>
  <c r="AL629" i="76"/>
  <c r="AL461" i="76"/>
  <c r="BS668" i="76"/>
  <c r="AL249" i="76"/>
  <c r="BS555" i="76"/>
  <c r="BS884" i="76"/>
  <c r="BS483" i="76"/>
  <c r="BS1036" i="76"/>
  <c r="AL530" i="76"/>
  <c r="AL283" i="76"/>
  <c r="BS273" i="76"/>
  <c r="BS957" i="76"/>
  <c r="BS604" i="76"/>
  <c r="AL207" i="76"/>
  <c r="BS167" i="76"/>
  <c r="AL611" i="76"/>
  <c r="AL132" i="76"/>
  <c r="AL471" i="76"/>
  <c r="AL988" i="76"/>
  <c r="BS920" i="76"/>
  <c r="AL82" i="76"/>
  <c r="BS624" i="76"/>
  <c r="AL863" i="76"/>
  <c r="AL446" i="76"/>
  <c r="BS221" i="76"/>
  <c r="BS558" i="76"/>
  <c r="BS798" i="76"/>
  <c r="BS131" i="76"/>
  <c r="BS220" i="76"/>
  <c r="BS695" i="76"/>
  <c r="BS881" i="76"/>
  <c r="BS756" i="76"/>
  <c r="AL427" i="76"/>
  <c r="AL448" i="76"/>
  <c r="BS508" i="76"/>
  <c r="AL274" i="76"/>
  <c r="BS991" i="76"/>
  <c r="AL126" i="76"/>
  <c r="AL794" i="76"/>
  <c r="AL509" i="76"/>
  <c r="BS237" i="76"/>
  <c r="AL517" i="76"/>
  <c r="BS1041" i="76"/>
  <c r="AL736" i="76"/>
  <c r="AL109" i="76"/>
  <c r="BS693" i="76"/>
  <c r="BS919" i="76"/>
  <c r="AL91" i="76"/>
  <c r="BS310" i="76"/>
  <c r="BS378" i="76"/>
  <c r="AL1037" i="76"/>
  <c r="BS278" i="76"/>
  <c r="AL367" i="76"/>
  <c r="BS1031" i="76"/>
  <c r="AL712" i="76"/>
  <c r="AL705" i="76"/>
  <c r="BS712" i="76"/>
  <c r="AL965" i="76"/>
  <c r="AL588" i="76"/>
  <c r="BS495" i="76"/>
  <c r="BS346" i="76"/>
  <c r="AL385" i="76"/>
  <c r="AL731" i="76"/>
  <c r="AL1001" i="76"/>
  <c r="BS994" i="76"/>
  <c r="AL390" i="76"/>
  <c r="BS718" i="76"/>
  <c r="BS1033" i="76"/>
  <c r="BS932" i="76"/>
  <c r="BS777" i="76"/>
  <c r="AL1018" i="76"/>
  <c r="BS276" i="76"/>
  <c r="BS163" i="76"/>
  <c r="AL1020" i="76"/>
  <c r="BS575" i="76"/>
  <c r="BS738" i="76"/>
  <c r="BS342" i="76"/>
  <c r="AL987" i="76"/>
  <c r="AL498" i="76"/>
  <c r="AL865" i="76"/>
  <c r="BS742" i="76"/>
  <c r="BS572" i="76"/>
  <c r="AL372" i="76"/>
  <c r="BS814" i="76"/>
  <c r="BS864" i="76"/>
  <c r="AL848" i="76"/>
  <c r="BS829" i="76"/>
  <c r="AL752" i="76"/>
  <c r="BS157" i="76"/>
  <c r="AL881" i="76"/>
  <c r="AL580" i="76"/>
  <c r="AL159" i="76"/>
  <c r="BS513" i="76"/>
  <c r="BS1058" i="76"/>
  <c r="AL154" i="76"/>
  <c r="BS353" i="76"/>
  <c r="AL99" i="76"/>
  <c r="AL151" i="76"/>
  <c r="AL428" i="76"/>
  <c r="AL520" i="76"/>
  <c r="AL421" i="76"/>
  <c r="AL1007" i="76"/>
  <c r="BS375" i="76"/>
  <c r="BS181" i="76"/>
  <c r="BS772" i="76"/>
  <c r="BS877" i="76"/>
  <c r="BS552" i="76"/>
  <c r="BS768" i="76"/>
  <c r="BS757" i="76"/>
  <c r="AL380" i="76"/>
  <c r="AL601" i="76"/>
  <c r="BS135" i="76"/>
  <c r="AL521" i="76"/>
  <c r="AL890" i="76"/>
  <c r="AL346" i="76"/>
  <c r="AL358" i="76"/>
  <c r="AL312" i="76"/>
  <c r="AL527" i="76"/>
  <c r="AL1051" i="76"/>
  <c r="BS450" i="76"/>
  <c r="AL659" i="76"/>
  <c r="BS491" i="76"/>
  <c r="BS617" i="76"/>
  <c r="AL464" i="76"/>
  <c r="BS1023" i="76"/>
  <c r="AL959" i="76"/>
  <c r="BS799" i="76"/>
  <c r="AL206" i="76"/>
  <c r="BS750" i="76"/>
  <c r="BS110" i="76"/>
  <c r="BS852" i="76"/>
  <c r="AL916" i="76"/>
  <c r="BS134" i="76"/>
  <c r="BS551" i="76"/>
  <c r="AL177" i="76"/>
  <c r="BS858" i="76"/>
  <c r="BS348" i="76"/>
  <c r="AL559" i="76"/>
  <c r="BS467" i="76"/>
  <c r="AL1042" i="76"/>
  <c r="AL612" i="76"/>
  <c r="BS387" i="76"/>
  <c r="BS675" i="76"/>
  <c r="AL637" i="76"/>
  <c r="BS275" i="76"/>
  <c r="AL810" i="76"/>
  <c r="BS770" i="76"/>
  <c r="AL189" i="76"/>
  <c r="AL562" i="76"/>
  <c r="AL1009" i="76"/>
  <c r="BS948" i="76"/>
  <c r="AL770" i="76"/>
  <c r="BS914" i="76"/>
  <c r="AL818" i="76"/>
  <c r="BS111" i="76"/>
  <c r="BS371" i="76"/>
  <c r="AL417" i="76"/>
  <c r="AL591" i="76"/>
  <c r="BS318" i="76"/>
  <c r="BS113" i="76"/>
  <c r="BS653" i="76"/>
  <c r="BS928" i="76"/>
  <c r="BS979" i="76"/>
  <c r="BS406" i="76"/>
  <c r="AL727" i="76"/>
  <c r="BS759" i="76"/>
  <c r="AL335" i="76"/>
  <c r="BS1049" i="76"/>
  <c r="AL289" i="76"/>
  <c r="BS490" i="76"/>
  <c r="AL569" i="76"/>
  <c r="BS472" i="76"/>
  <c r="BS1065" i="76"/>
  <c r="AL364" i="76"/>
  <c r="AL682" i="76"/>
  <c r="AL339" i="76"/>
  <c r="AL199" i="76"/>
  <c r="BS420" i="76"/>
  <c r="BS344" i="76"/>
  <c r="AL148" i="76"/>
  <c r="AL895" i="76"/>
  <c r="BS857" i="76"/>
  <c r="BS478" i="76"/>
  <c r="BS324" i="76"/>
  <c r="AL945" i="76"/>
  <c r="AL866" i="76"/>
  <c r="BS463" i="76"/>
  <c r="BS309" i="76"/>
  <c r="BS313" i="76"/>
  <c r="BS711" i="76"/>
  <c r="BS447" i="76"/>
  <c r="BS795" i="76"/>
  <c r="AL686" i="76"/>
  <c r="AL635" i="76"/>
  <c r="AL820" i="76"/>
  <c r="AL823" i="76"/>
  <c r="BS996" i="76"/>
  <c r="BS214" i="76"/>
  <c r="BS1005" i="76"/>
  <c r="BS518" i="76"/>
  <c r="AL73" i="76"/>
  <c r="AL516" i="76"/>
  <c r="AL552" i="76"/>
  <c r="AL811" i="76"/>
  <c r="BS404" i="76"/>
  <c r="AL755" i="76"/>
  <c r="AL244" i="76"/>
  <c r="AL839" i="76"/>
  <c r="BS300" i="76"/>
  <c r="AL513" i="76"/>
  <c r="AL571" i="76"/>
  <c r="AL479" i="76"/>
  <c r="AL93" i="76"/>
  <c r="BS739" i="76"/>
  <c r="AL264" i="76"/>
  <c r="BS886" i="76"/>
  <c r="BS989" i="76"/>
  <c r="BS945" i="76"/>
  <c r="AL1059" i="76"/>
  <c r="BS160" i="76"/>
  <c r="BS652" i="76"/>
  <c r="BS900" i="76"/>
  <c r="BS847" i="76"/>
  <c r="AL950" i="76"/>
  <c r="BS821" i="76"/>
  <c r="AL382" i="76"/>
  <c r="AL401" i="76"/>
  <c r="AL465" i="76"/>
  <c r="BS640" i="76"/>
  <c r="AL515" i="76"/>
  <c r="AL1030" i="76"/>
  <c r="BS686" i="76"/>
  <c r="AL790" i="76"/>
  <c r="AL191" i="76"/>
  <c r="AL198" i="76"/>
  <c r="BS359" i="76"/>
  <c r="BS766" i="76"/>
  <c r="BS753" i="76"/>
  <c r="AL251" i="76"/>
  <c r="AL852" i="76"/>
  <c r="AL174" i="76"/>
  <c r="BS254" i="76"/>
  <c r="AL898" i="76"/>
  <c r="AL298" i="76"/>
  <c r="BS285" i="76"/>
  <c r="BS290" i="76"/>
  <c r="BS492" i="76"/>
  <c r="BS504" i="76"/>
  <c r="BS528" i="76"/>
  <c r="BS400" i="76"/>
  <c r="AL315" i="76"/>
  <c r="BS265" i="76"/>
  <c r="BS865" i="76"/>
  <c r="BS982" i="76"/>
  <c r="AL722" i="76"/>
  <c r="BS226" i="76"/>
  <c r="AL815" i="76"/>
  <c r="BS654" i="76"/>
  <c r="AL318" i="76"/>
  <c r="BS666" i="76"/>
  <c r="AL978" i="76"/>
  <c r="BS407" i="76"/>
  <c r="BS451" i="76"/>
  <c r="BS984" i="76"/>
  <c r="BS650" i="76"/>
  <c r="AL854" i="76"/>
  <c r="AL729" i="76"/>
  <c r="AL955" i="76"/>
  <c r="AL294" i="76"/>
  <c r="BS892" i="76"/>
  <c r="BS644" i="76"/>
  <c r="BS731" i="76"/>
  <c r="AL528" i="76"/>
  <c r="AL728" i="76"/>
  <c r="BS479" i="76"/>
  <c r="AL269" i="76"/>
  <c r="AL814" i="76"/>
  <c r="AL617" i="76"/>
  <c r="AL100" i="76"/>
  <c r="AL433" i="76"/>
  <c r="AL334" i="76"/>
  <c r="BS580" i="76"/>
  <c r="AL541" i="76"/>
  <c r="BS999" i="76"/>
  <c r="BS925" i="76"/>
  <c r="BS643" i="76"/>
  <c r="AL967" i="76"/>
  <c r="BS179" i="76"/>
  <c r="BS726" i="76"/>
  <c r="AL786" i="76"/>
  <c r="AL792" i="76"/>
  <c r="AL348" i="76"/>
  <c r="BS107" i="76"/>
  <c r="BS638" i="76"/>
  <c r="BS793" i="76"/>
  <c r="AL826" i="76"/>
  <c r="AL149" i="76"/>
  <c r="AL709" i="76"/>
  <c r="BS1068" i="76"/>
  <c r="BS796" i="76"/>
  <c r="BS413" i="76"/>
  <c r="BS525" i="76"/>
  <c r="BS725" i="76"/>
  <c r="BS790" i="76"/>
  <c r="AL205" i="76"/>
  <c r="AL180" i="76"/>
  <c r="AL1023" i="76"/>
  <c r="BS554" i="76"/>
  <c r="BS412" i="76"/>
  <c r="AL783" i="76"/>
  <c r="AL456" i="76"/>
  <c r="AL81" i="76"/>
  <c r="AL290" i="76"/>
  <c r="AL992" i="76"/>
  <c r="BS825" i="76"/>
  <c r="AL547" i="76"/>
  <c r="BS895" i="76"/>
  <c r="AL545" i="76"/>
  <c r="AL130" i="76"/>
  <c r="BS876" i="76"/>
  <c r="AL972" i="76"/>
  <c r="AL578" i="76"/>
  <c r="AL849" i="76"/>
  <c r="BS191" i="76"/>
  <c r="AL415" i="76"/>
  <c r="AL685" i="76"/>
  <c r="BS112" i="76"/>
  <c r="BS913" i="76"/>
  <c r="BS591" i="76"/>
  <c r="BS209" i="76"/>
  <c r="BS543" i="76"/>
  <c r="AL966" i="76"/>
  <c r="AL706" i="76"/>
  <c r="BS748" i="76"/>
  <c r="AL719" i="76"/>
  <c r="BS458" i="76"/>
  <c r="AL1047" i="76"/>
  <c r="AL623" i="76"/>
  <c r="AL594" i="76"/>
  <c r="AL452" i="76"/>
  <c r="AL211" i="76"/>
  <c r="AL253" i="76"/>
  <c r="AL483" i="76"/>
  <c r="AL999" i="76"/>
  <c r="BS306" i="76"/>
  <c r="AL116" i="76"/>
  <c r="AL861" i="76"/>
  <c r="AL525" i="76"/>
  <c r="AL714" i="76"/>
  <c r="AL169" i="76"/>
  <c r="BS741" i="76"/>
  <c r="AL374" i="76"/>
  <c r="BS118" i="76"/>
  <c r="BS229" i="76"/>
  <c r="AL123" i="76"/>
  <c r="AL754" i="76"/>
  <c r="AL716" i="76"/>
  <c r="BS929" i="76"/>
  <c r="BS251" i="76"/>
  <c r="BS258" i="76"/>
  <c r="BS408" i="76"/>
  <c r="AL834" i="76"/>
  <c r="BS122" i="76"/>
  <c r="AL431" i="76"/>
  <c r="BS321" i="76"/>
  <c r="BS301" i="76"/>
  <c r="BS896" i="76"/>
  <c r="BS721" i="76"/>
  <c r="BS963" i="76"/>
  <c r="BS940" i="76"/>
  <c r="BS240" i="76"/>
  <c r="AL214" i="76"/>
  <c r="BS414" i="76"/>
  <c r="AL124" i="76"/>
  <c r="BS335" i="76"/>
  <c r="BS150" i="76"/>
  <c r="BS523" i="76"/>
  <c r="BS967" i="76"/>
  <c r="BS811" i="76"/>
  <c r="BS388" i="76"/>
  <c r="AL466" i="76"/>
  <c r="BS838" i="76"/>
  <c r="AL744" i="76"/>
  <c r="AL373" i="76"/>
  <c r="AL450" i="76"/>
  <c r="AL572" i="76"/>
  <c r="AL1031" i="76"/>
  <c r="AL880" i="76"/>
  <c r="AL640" i="76"/>
  <c r="AL554" i="76"/>
  <c r="AL555" i="76"/>
  <c r="BS206" i="76"/>
  <c r="BS897" i="76"/>
  <c r="AL734" i="76"/>
  <c r="AL624" i="76"/>
  <c r="AL166" i="76"/>
  <c r="BS339" i="76"/>
  <c r="AL490" i="76"/>
  <c r="BS952" i="76"/>
  <c r="BS196" i="76"/>
  <c r="BS714" i="76"/>
  <c r="BS851" i="76"/>
  <c r="AL476" i="76"/>
  <c r="BS916" i="76"/>
  <c r="AL1015" i="76"/>
  <c r="BS294" i="76"/>
  <c r="AL976" i="76"/>
  <c r="AL568" i="76"/>
  <c r="AL419" i="76"/>
  <c r="BS538" i="76"/>
  <c r="BS755" i="76"/>
  <c r="BS168" i="76"/>
  <c r="AL628" i="76"/>
  <c r="AL801" i="76"/>
  <c r="AL857" i="76"/>
  <c r="BS87" i="76"/>
  <c r="BS849" i="76"/>
  <c r="BS822" i="76"/>
  <c r="BS496" i="76"/>
  <c r="AL492" i="76"/>
  <c r="BS837" i="76"/>
  <c r="BS565" i="76"/>
  <c r="AL973" i="76"/>
  <c r="AL75" i="76"/>
  <c r="AL503" i="76"/>
  <c r="BS253" i="76"/>
  <c r="AL222" i="76"/>
  <c r="BS434" i="76"/>
  <c r="AL299" i="76"/>
  <c r="BS431" i="76"/>
  <c r="AL92" i="76"/>
  <c r="AL704" i="76"/>
  <c r="BS277" i="76"/>
  <c r="AL831" i="76"/>
  <c r="BS787" i="76"/>
  <c r="AL610" i="76"/>
  <c r="AL876" i="76"/>
  <c r="AL230" i="76"/>
  <c r="AL362" i="76"/>
  <c r="AL341" i="76"/>
  <c r="AL121" i="76"/>
  <c r="BS594" i="76"/>
  <c r="AL458" i="76"/>
  <c r="AL938" i="76"/>
  <c r="BS743" i="76"/>
  <c r="BS685" i="76"/>
  <c r="AL115" i="76"/>
  <c r="BS1010" i="76"/>
  <c r="BS879" i="76"/>
  <c r="BS690" i="76"/>
  <c r="BS230" i="76"/>
  <c r="AL632" i="76"/>
  <c r="BS648" i="76"/>
  <c r="AL436" i="76"/>
  <c r="BS903" i="76"/>
  <c r="BS745" i="76"/>
  <c r="BS250" i="76"/>
  <c r="BS749" i="76"/>
  <c r="AL721" i="76"/>
  <c r="BS281" i="76"/>
  <c r="BS730" i="76"/>
  <c r="BS522" i="76"/>
  <c r="BS792" i="76"/>
  <c r="BS823" i="76"/>
  <c r="AL911" i="76"/>
  <c r="AL762" i="76"/>
  <c r="AL276" i="76"/>
  <c r="AL726" i="76"/>
  <c r="AL218" i="76"/>
  <c r="AL664" i="76"/>
  <c r="AL889" i="76"/>
  <c r="BS376" i="76"/>
  <c r="BS405" i="76"/>
  <c r="BS621" i="76"/>
  <c r="BS475" i="76"/>
  <c r="AL271" i="76"/>
  <c r="AL769" i="76"/>
  <c r="AL371" i="76"/>
  <c r="AL763" i="76"/>
  <c r="BS299" i="76"/>
  <c r="BS705" i="76"/>
  <c r="BS611" i="76"/>
  <c r="AL565" i="76"/>
  <c r="AL398" i="76"/>
  <c r="AL1021" i="76"/>
  <c r="AL301" i="76"/>
  <c r="AL639" i="76"/>
  <c r="AL361" i="76"/>
  <c r="AL1022" i="76"/>
  <c r="AL560" i="76"/>
  <c r="BS585" i="76"/>
  <c r="BS76" i="76"/>
  <c r="AL531" i="76"/>
  <c r="AL370" i="76"/>
  <c r="BS827" i="76"/>
  <c r="BS457" i="76"/>
  <c r="AL1016" i="76"/>
  <c r="AL558" i="76"/>
  <c r="BS385" i="76"/>
  <c r="AL1014" i="76"/>
  <c r="AL523" i="76"/>
  <c r="AL584" i="76"/>
  <c r="BS635" i="76"/>
  <c r="AL377" i="76"/>
  <c r="BS1046" i="76"/>
  <c r="AL1005" i="76"/>
  <c r="AL832" i="76"/>
  <c r="AL575" i="76"/>
  <c r="AL493" i="76"/>
  <c r="BS937" i="76"/>
  <c r="BS969" i="76"/>
  <c r="BS744" i="76"/>
  <c r="BS735" i="76"/>
  <c r="AL333" i="76"/>
  <c r="AL644" i="76"/>
  <c r="BS981" i="76"/>
  <c r="BS100" i="76"/>
  <c r="BS1050" i="76"/>
  <c r="AL867" i="76"/>
  <c r="BS72" i="76"/>
  <c r="BS566" i="76"/>
  <c r="AL998" i="76"/>
  <c r="AL85" i="76"/>
  <c r="BS189" i="76"/>
  <c r="AL768" i="76"/>
  <c r="BS498" i="76"/>
  <c r="AL963" i="76"/>
  <c r="AL143" i="76"/>
  <c r="BS459" i="76"/>
  <c r="AL1045" i="76"/>
  <c r="BS682" i="76"/>
  <c r="BS834" i="76"/>
  <c r="AL392" i="76"/>
  <c r="AL821" i="76"/>
  <c r="AL502" i="76"/>
  <c r="BS964" i="76"/>
  <c r="AL297" i="76"/>
  <c r="BS910" i="76"/>
  <c r="AL1013" i="76"/>
  <c r="AL449" i="76"/>
  <c r="AL753" i="76"/>
  <c r="BS1064" i="76"/>
  <c r="BS455" i="76"/>
  <c r="AL807" i="76"/>
  <c r="AL445" i="76"/>
  <c r="AL353" i="76"/>
  <c r="AL404" i="76"/>
  <c r="BS844" i="76"/>
  <c r="BS326" i="76"/>
  <c r="AL982" i="76"/>
  <c r="AL884" i="76"/>
  <c r="BS283" i="76"/>
  <c r="BS178" i="76"/>
  <c r="BS462" i="76"/>
  <c r="BS365" i="76"/>
  <c r="BS618" i="76"/>
  <c r="BS649" i="76"/>
  <c r="AL650" i="76"/>
  <c r="AL695" i="76"/>
  <c r="AL357" i="76"/>
  <c r="AL459" i="76"/>
  <c r="AL841" i="76"/>
  <c r="AL997" i="76"/>
  <c r="BS942" i="76"/>
  <c r="AL167" i="76"/>
  <c r="AL902" i="76"/>
  <c r="AL983" i="76"/>
  <c r="BS138" i="76"/>
  <c r="AL608" i="76"/>
  <c r="AL223" i="76"/>
  <c r="AL715" i="76"/>
  <c r="BS255" i="76"/>
  <c r="AL443" i="76"/>
  <c r="BS350" i="76"/>
  <c r="AL887" i="76"/>
  <c r="AL511" i="76"/>
  <c r="AL556" i="76"/>
  <c r="AL851" i="76"/>
  <c r="AL313" i="76"/>
  <c r="BS308" i="76"/>
  <c r="BS262" i="76"/>
  <c r="BS1011" i="76"/>
  <c r="AL991" i="76"/>
  <c r="AL261" i="76"/>
  <c r="BS848" i="76"/>
  <c r="BS373" i="76"/>
  <c r="AL105" i="76"/>
  <c r="AL919" i="76"/>
  <c r="AL424" i="76"/>
  <c r="AL800" i="76"/>
  <c r="BS608" i="76"/>
  <c r="AL717" i="76"/>
  <c r="AL970" i="76"/>
  <c r="BS776" i="76"/>
  <c r="BS933" i="76"/>
  <c r="AL86" i="76"/>
  <c r="AL1041" i="76"/>
  <c r="BS812" i="76"/>
  <c r="BS183" i="76"/>
  <c r="AL1052" i="76"/>
  <c r="BS830" i="76"/>
  <c r="BS390" i="76"/>
  <c r="AL478" i="76"/>
  <c r="BS869" i="76"/>
  <c r="AL194" i="76"/>
  <c r="BS428" i="76"/>
  <c r="BS579" i="76"/>
  <c r="BS164" i="76"/>
  <c r="AL845" i="76"/>
  <c r="AL462" i="76"/>
  <c r="BS815" i="76"/>
  <c r="AL233" i="76"/>
  <c r="BS632" i="76"/>
  <c r="AL613" i="76"/>
  <c r="AL853" i="76"/>
  <c r="BS358" i="76"/>
  <c r="BS562" i="76"/>
  <c r="BS733" i="76"/>
  <c r="AL504" i="76"/>
  <c r="AL1039" i="76"/>
  <c r="AL542" i="76"/>
  <c r="BS328" i="76"/>
  <c r="BS783" i="76"/>
  <c r="AL710" i="76"/>
  <c r="BS171" i="76"/>
  <c r="AL281" i="76"/>
  <c r="BS980" i="76"/>
  <c r="BS890" i="76"/>
  <c r="AL426" i="76"/>
  <c r="BS971" i="76"/>
  <c r="BS674" i="76"/>
  <c r="AL696" i="76"/>
  <c r="AL254" i="76"/>
  <c r="AL1058" i="76"/>
  <c r="AL160" i="76"/>
  <c r="BS127" i="76"/>
  <c r="BS987" i="76"/>
  <c r="BS372" i="76"/>
  <c r="BS887" i="76"/>
  <c r="AL526" i="76"/>
  <c r="BS489" i="76"/>
  <c r="AL625" i="76"/>
  <c r="BS361" i="76"/>
  <c r="BS505" i="76"/>
  <c r="AL403" i="76"/>
  <c r="AL494" i="76"/>
  <c r="AL953" i="76"/>
  <c r="BS176" i="76"/>
  <c r="BS1025" i="76"/>
  <c r="AL120" i="76"/>
  <c r="AL1067" i="76"/>
  <c r="BS615" i="76"/>
  <c r="BS195" i="76"/>
  <c r="BS374" i="76"/>
  <c r="BS927" i="76"/>
  <c r="AL773" i="76"/>
  <c r="AL354" i="76"/>
  <c r="BS106" i="76"/>
  <c r="AL812" i="76"/>
  <c r="AL349" i="76"/>
  <c r="BS292" i="76"/>
  <c r="BS493" i="76"/>
  <c r="BS454" i="76"/>
  <c r="AL258" i="76"/>
  <c r="BS1039" i="76"/>
  <c r="AL181" i="76"/>
  <c r="AL869" i="76"/>
  <c r="AL447" i="76"/>
  <c r="AL137" i="76"/>
  <c r="AL539" i="76"/>
  <c r="BS882" i="76"/>
  <c r="AL535" i="76"/>
  <c r="AL641" i="76"/>
  <c r="AL344" i="76"/>
  <c r="BS938" i="76"/>
  <c r="BS182" i="76"/>
  <c r="BS502" i="76"/>
  <c r="BS327" i="76"/>
  <c r="BS560" i="76"/>
  <c r="BS734" i="76"/>
  <c r="BS1029" i="76"/>
  <c r="BS978" i="76"/>
  <c r="BS154" i="76"/>
  <c r="BS287" i="76"/>
  <c r="BS620" i="76"/>
  <c r="BS159" i="76"/>
  <c r="AL1035" i="76"/>
  <c r="BS661" i="76"/>
  <c r="AL886" i="76"/>
  <c r="BS81" i="76"/>
  <c r="AL1057" i="76"/>
  <c r="AL89" i="76"/>
  <c r="BS367" i="76"/>
  <c r="AL949" i="76"/>
  <c r="AL351" i="76"/>
  <c r="AL482" i="76"/>
  <c r="AL106" i="76"/>
  <c r="AL896" i="76"/>
  <c r="AL1000" i="76"/>
  <c r="BS1024" i="76"/>
  <c r="BS69" i="76"/>
  <c r="BS885" i="76"/>
  <c r="AL985" i="76"/>
  <c r="BS899" i="76"/>
  <c r="BS1000" i="76"/>
  <c r="BS397" i="76"/>
  <c r="AL647" i="76"/>
  <c r="BS444" i="76"/>
  <c r="AL434" i="76"/>
  <c r="AL929" i="76"/>
  <c r="AL904" i="76"/>
  <c r="BS973" i="76"/>
  <c r="BS1035" i="76"/>
  <c r="BS381" i="76"/>
  <c r="BS210" i="76"/>
  <c r="BS340" i="76"/>
  <c r="AL577" i="76"/>
  <c r="BS751" i="76"/>
  <c r="BS124" i="76"/>
  <c r="BS651" i="76"/>
  <c r="BS1026" i="76"/>
  <c r="AL906" i="76"/>
  <c r="AL909" i="76"/>
  <c r="AL112" i="76"/>
  <c r="BS547" i="76"/>
  <c r="BS514" i="76"/>
  <c r="AL227" i="76"/>
  <c r="AL756" i="76"/>
  <c r="BS465" i="76"/>
  <c r="BS784" i="76"/>
  <c r="BS587" i="76"/>
  <c r="BS875" i="76"/>
  <c r="AL940" i="76"/>
  <c r="BS775" i="76"/>
  <c r="BS595" i="76"/>
  <c r="AL141" i="76"/>
  <c r="BS672" i="76"/>
  <c r="AL1053" i="76"/>
  <c r="AL918" i="76"/>
  <c r="AL136" i="76"/>
  <c r="AL1017" i="76"/>
  <c r="AL870" i="76"/>
  <c r="BS687" i="76"/>
  <c r="BS443" i="76"/>
  <c r="AL152" i="76"/>
  <c r="AL871" i="76"/>
  <c r="BS670" i="76"/>
  <c r="AL627" i="76"/>
  <c r="BS893" i="76"/>
  <c r="BS477" i="76"/>
  <c r="BS803" i="76"/>
  <c r="AL698" i="76"/>
  <c r="BS960" i="76"/>
  <c r="AL878" i="76"/>
  <c r="BS813" i="76"/>
  <c r="AL968" i="76"/>
  <c r="AL779" i="76"/>
  <c r="AL1032" i="76"/>
  <c r="BS338" i="76"/>
  <c r="AL363" i="76"/>
  <c r="BS593" i="76"/>
  <c r="BS146" i="76"/>
  <c r="BS786" i="76"/>
  <c r="AL713" i="76"/>
  <c r="BS293" i="76"/>
  <c r="AL657" i="76"/>
  <c r="AL235" i="76"/>
  <c r="BS732" i="76"/>
  <c r="AL597" i="76"/>
  <c r="BS637" i="76"/>
  <c r="BS289" i="76"/>
  <c r="BS433" i="76"/>
  <c r="AL302" i="76"/>
  <c r="AL701" i="76"/>
  <c r="BS553" i="76"/>
  <c r="BS1019" i="76"/>
  <c r="BS527" i="76"/>
  <c r="AL488" i="76"/>
  <c r="AL293" i="76"/>
  <c r="BS330" i="76"/>
  <c r="AL808" i="76"/>
  <c r="BS225" i="76"/>
  <c r="AL308" i="76"/>
  <c r="AL934" i="76"/>
  <c r="AL946" i="76"/>
  <c r="BS842" i="76"/>
  <c r="AL1033" i="76"/>
  <c r="AL914" i="76"/>
  <c r="AL908" i="76"/>
  <c r="AL202" i="76"/>
  <c r="AL553" i="76"/>
  <c r="AL117" i="76"/>
  <c r="AL538" i="76"/>
  <c r="AL864" i="76"/>
  <c r="BS936" i="76"/>
  <c r="AL239" i="76"/>
  <c r="AL743" i="76"/>
  <c r="AL360" i="76"/>
  <c r="AL948" i="76"/>
  <c r="AL369" i="76"/>
  <c r="BS93" i="76"/>
  <c r="BS480" i="76"/>
  <c r="AL616" i="76"/>
  <c r="BS596" i="76"/>
  <c r="BS424" i="76"/>
  <c r="AL248" i="76"/>
  <c r="AL626" i="76"/>
  <c r="AL879" i="76"/>
  <c r="BS1034" i="76"/>
  <c r="BS988" i="76"/>
  <c r="BS114" i="76"/>
  <c r="BS630" i="76"/>
  <c r="BS727" i="76"/>
  <c r="AL724" i="76"/>
  <c r="BS507" i="76"/>
  <c r="BS345" i="76"/>
  <c r="BS370" i="76"/>
  <c r="AL789" i="76"/>
  <c r="AL507" i="76"/>
  <c r="BS584" i="76"/>
  <c r="AL172" i="76"/>
  <c r="BS536" i="76"/>
  <c r="BS700" i="76"/>
  <c r="BS1052" i="76"/>
  <c r="AL330" i="76"/>
  <c r="AL135" i="76"/>
  <c r="BS337" i="76"/>
  <c r="BS926" i="76"/>
  <c r="BS986" i="76"/>
  <c r="AL237" i="76"/>
  <c r="AL817" i="76"/>
  <c r="AL937" i="76"/>
  <c r="BS356" i="76"/>
  <c r="BS509" i="76"/>
  <c r="BS1004" i="76"/>
  <c r="AL858" i="76"/>
  <c r="BS205" i="76"/>
  <c r="AL827" i="76"/>
  <c r="BS736" i="76"/>
  <c r="AL129" i="76"/>
  <c r="BS619" i="76"/>
  <c r="BS691" i="76"/>
  <c r="AL760" i="76"/>
  <c r="BS133" i="76"/>
  <c r="BS252" i="76"/>
  <c r="BS918" i="76"/>
  <c r="AL844" i="76"/>
  <c r="AL806" i="76"/>
  <c r="BS747" i="76"/>
  <c r="BS227" i="76"/>
  <c r="AL638" i="76"/>
  <c r="BS82" i="76"/>
  <c r="BS614" i="76"/>
  <c r="BS872" i="76"/>
  <c r="AL197" i="76"/>
  <c r="BS90" i="76"/>
  <c r="BS529" i="76"/>
  <c r="BS911" i="76"/>
  <c r="AL347" i="76"/>
  <c r="BS228" i="76"/>
  <c r="BS169" i="76"/>
  <c r="AL359" i="76"/>
  <c r="BS958" i="76"/>
  <c r="AL366" i="76"/>
  <c r="AL487" i="76"/>
  <c r="AL910" i="76"/>
  <c r="BS806" i="76"/>
  <c r="AL317" i="76"/>
  <c r="AL343" i="76"/>
  <c r="BS517" i="76"/>
  <c r="AL825" i="76"/>
  <c r="AL602" i="76"/>
  <c r="BS692" i="76"/>
  <c r="AL474" i="76"/>
  <c r="AL533" i="76"/>
  <c r="BS204" i="76"/>
  <c r="BS1040" i="76"/>
  <c r="BS970" i="76"/>
  <c r="BS818" i="76"/>
  <c r="AL996" i="76"/>
  <c r="AL97" i="76"/>
  <c r="BS752" i="76"/>
  <c r="AL687" i="76"/>
  <c r="AL406" i="76"/>
  <c r="BS677" i="76"/>
  <c r="BS1027" i="76"/>
  <c r="AL548" i="76"/>
  <c r="BS1060" i="76"/>
  <c r="BS430" i="76"/>
  <c r="BS389" i="76"/>
  <c r="BS488" i="76"/>
  <c r="AL519" i="76"/>
  <c r="AL920" i="76"/>
  <c r="AL1027" i="76"/>
  <c r="AL122" i="76"/>
  <c r="BS511" i="76"/>
  <c r="AL532" i="76"/>
  <c r="AL268" i="76"/>
  <c r="AL204" i="76"/>
  <c r="AL171" i="76"/>
  <c r="AL288" i="76"/>
  <c r="BS613" i="76"/>
  <c r="BS103" i="76"/>
  <c r="BS905" i="76"/>
  <c r="AL860" i="76"/>
  <c r="AL83" i="76"/>
  <c r="BS1018" i="76"/>
  <c r="AL975" i="76"/>
  <c r="BS774" i="76"/>
  <c r="AL327" i="76"/>
  <c r="AL697" i="76"/>
  <c r="BS935" i="76"/>
  <c r="AL423" i="76"/>
  <c r="BS951" i="76"/>
  <c r="AL764" i="76"/>
  <c r="BS468" i="76"/>
  <c r="BS985" i="76"/>
  <c r="AL1049" i="76"/>
  <c r="AL684" i="76"/>
  <c r="BS366" i="76"/>
  <c r="BS657" i="76"/>
  <c r="BS816" i="76"/>
  <c r="BS559" i="76"/>
  <c r="BS249" i="76"/>
  <c r="BS871" i="76"/>
  <c r="BS219" i="76"/>
  <c r="AL780" i="76"/>
  <c r="AL645" i="76"/>
  <c r="BS88" i="76"/>
  <c r="BS95" i="76"/>
  <c r="AL874" i="76"/>
  <c r="AL843" i="76"/>
  <c r="BS1012" i="76"/>
  <c r="AL847" i="76"/>
  <c r="AL603" i="76"/>
  <c r="AL598" i="76"/>
  <c r="BS817" i="76"/>
  <c r="AL703" i="76"/>
  <c r="BS953" i="76"/>
  <c r="AL399" i="76"/>
  <c r="BS155" i="76"/>
  <c r="AL451" i="76"/>
  <c r="BS603" i="76"/>
  <c r="AL376" i="76"/>
  <c r="AL282" i="76"/>
  <c r="BS975" i="76"/>
  <c r="BS906" i="76"/>
  <c r="BS512" i="76"/>
  <c r="BS398" i="76"/>
  <c r="BS263" i="76"/>
  <c r="BS983" i="76"/>
  <c r="BS684" i="76"/>
  <c r="AL432" i="76"/>
  <c r="BS136" i="76"/>
  <c r="AL1010" i="76"/>
  <c r="AL405" i="76"/>
  <c r="BS232" i="76"/>
  <c r="BS992" i="76"/>
  <c r="BS410" i="76"/>
  <c r="BS516" i="76"/>
  <c r="BS696" i="76"/>
  <c r="AL681" i="76"/>
  <c r="BS464" i="76"/>
  <c r="AL994" i="76"/>
  <c r="AL409" i="76"/>
  <c r="BS377" i="76"/>
  <c r="BS79" i="76"/>
  <c r="BS86" i="76"/>
  <c r="BS98" i="76"/>
  <c r="BS769" i="76"/>
  <c r="BS581" i="76"/>
  <c r="BS302" i="76"/>
  <c r="AL241" i="76"/>
  <c r="BS391" i="76"/>
  <c r="AL837" i="76"/>
  <c r="BS147" i="76"/>
  <c r="AL425" i="76"/>
  <c r="AL278" i="76"/>
  <c r="BS880" i="76"/>
  <c r="BS664" i="76"/>
  <c r="AL338" i="76"/>
  <c r="BS531" i="76"/>
  <c r="BS598" i="76"/>
  <c r="AL771" i="76"/>
  <c r="AL514" i="76"/>
  <c r="AL962" i="76"/>
  <c r="AL484" i="76"/>
  <c r="AL791" i="76"/>
  <c r="BS415" i="76"/>
  <c r="BS878" i="76"/>
  <c r="AL179" i="76"/>
  <c r="AL666" i="76"/>
  <c r="BS746" i="76"/>
  <c r="AL1056" i="76"/>
  <c r="BS642" i="76"/>
  <c r="BS761" i="76"/>
  <c r="AL1002" i="76"/>
  <c r="BS429" i="76"/>
  <c r="BS808" i="76"/>
  <c r="AL993" i="76"/>
  <c r="BS417" i="76"/>
  <c r="BS1017" i="76"/>
  <c r="BS284" i="76"/>
  <c r="AL395" i="76"/>
  <c r="AL693" i="76"/>
  <c r="BS476" i="76"/>
  <c r="AL150" i="76"/>
  <c r="AL748" i="76"/>
  <c r="AL788" i="76"/>
  <c r="BS941" i="76"/>
  <c r="BS1022" i="76"/>
  <c r="AL656" i="76"/>
  <c r="AL1011" i="76"/>
  <c r="BS763" i="76"/>
  <c r="BS853" i="76"/>
  <c r="AL257" i="76"/>
  <c r="AL352" i="76"/>
  <c r="BS764" i="76"/>
  <c r="AL368" i="76"/>
  <c r="BS264" i="76"/>
  <c r="AL134" i="76"/>
  <c r="AL667" i="76"/>
  <c r="AL69" i="76"/>
  <c r="AL805" i="76"/>
  <c r="BS426" i="76"/>
  <c r="AL304" i="76"/>
  <c r="AL350" i="76"/>
  <c r="BS836" i="76"/>
  <c r="BS765" i="76"/>
  <c r="BS383" i="76"/>
  <c r="BS683" i="76"/>
  <c r="BS497" i="76"/>
  <c r="BS148" i="76"/>
  <c r="AL80" i="76"/>
  <c r="BS92" i="76"/>
  <c r="AL942" i="76"/>
  <c r="AL630" i="76"/>
  <c r="AL161" i="76"/>
  <c r="AL840" i="76"/>
  <c r="AL797" i="76"/>
  <c r="AL711" i="76"/>
  <c r="BS762" i="76"/>
  <c r="BS870" i="76"/>
  <c r="BS524" i="76"/>
  <c r="BS437" i="76"/>
  <c r="AL583" i="76"/>
  <c r="BS172" i="76"/>
  <c r="BS636" i="76"/>
  <c r="BS679" i="76"/>
  <c r="AL923" i="76"/>
  <c r="BS673" i="76"/>
  <c r="BS710" i="76"/>
  <c r="BS425" i="76"/>
  <c r="AL284" i="76"/>
  <c r="BS626" i="76"/>
  <c r="BS351" i="76"/>
  <c r="AL540" i="76"/>
  <c r="BS801" i="76"/>
  <c r="AL1054" i="76"/>
  <c r="AL838" i="76"/>
  <c r="BS440" i="76"/>
  <c r="AL107" i="76"/>
  <c r="BS1037" i="76"/>
  <c r="AL926" i="76"/>
  <c r="AL654" i="76"/>
  <c r="AL486" i="76"/>
  <c r="AL1044" i="76"/>
  <c r="AL570" i="76"/>
  <c r="BS737" i="76"/>
  <c r="BS708" i="76"/>
  <c r="BS198" i="76"/>
  <c r="BS1043" i="76"/>
  <c r="AL907" i="76"/>
  <c r="AL1019" i="76"/>
  <c r="BS1067" i="76"/>
  <c r="BS392" i="76"/>
  <c r="BS256" i="76"/>
  <c r="AL208" i="76"/>
  <c r="AL210" i="76"/>
  <c r="BS473" i="76"/>
  <c r="AL316" i="76"/>
  <c r="AL158" i="76"/>
  <c r="BS484" i="76"/>
  <c r="BS782" i="76"/>
  <c r="BS868" i="76"/>
  <c r="BS561" i="76"/>
  <c r="AL912" i="76"/>
  <c r="AL669" i="76"/>
  <c r="AL187" i="76"/>
  <c r="AL305" i="76"/>
  <c r="AL201" i="76"/>
  <c r="AL742" i="76"/>
  <c r="AL718" i="76"/>
  <c r="AL485" i="76"/>
  <c r="BS177" i="76"/>
  <c r="BS840" i="76"/>
  <c r="BS719" i="76"/>
  <c r="AL383" i="76"/>
  <c r="AL501" i="76"/>
  <c r="AL974" i="76"/>
  <c r="BS241" i="76"/>
  <c r="AL944" i="76"/>
  <c r="AL98" i="76"/>
  <c r="AL1061" i="76"/>
  <c r="AL413" i="76"/>
  <c r="AL678" i="76"/>
  <c r="BS165" i="76"/>
  <c r="BS841" i="76"/>
  <c r="BS149" i="76"/>
  <c r="AL943" i="76"/>
  <c r="AL634" i="76"/>
  <c r="AL1003" i="76"/>
  <c r="AL522" i="76"/>
  <c r="AL787" i="76"/>
  <c r="BS379" i="76"/>
  <c r="BS194" i="76"/>
  <c r="AL661" i="76"/>
  <c r="BS908" i="76"/>
  <c r="BS384" i="76"/>
  <c r="AL1012" i="76"/>
  <c r="AL971" i="76"/>
  <c r="BS315" i="76"/>
  <c r="AL680" i="76"/>
  <c r="BS600" i="76"/>
  <c r="AL324" i="76"/>
  <c r="BS380" i="76"/>
  <c r="AL655" i="76"/>
  <c r="AL311" i="76"/>
  <c r="AL72" i="76"/>
  <c r="AL534" i="76"/>
  <c r="BS320" i="76"/>
  <c r="AL1006" i="76"/>
  <c r="BS1059" i="76"/>
  <c r="AL225" i="76"/>
  <c r="AL784" i="76"/>
  <c r="BS645" i="76"/>
  <c r="AL961" i="76"/>
  <c r="BS105" i="76"/>
  <c r="BS623" i="76"/>
  <c r="AL114" i="76"/>
  <c r="BS435" i="76"/>
  <c r="BS402" i="76"/>
  <c r="BS544" i="76"/>
  <c r="BS633" i="76"/>
  <c r="AL238" i="76"/>
  <c r="BS855" i="76"/>
  <c r="AL469" i="76"/>
  <c r="AL287" i="76"/>
  <c r="BS966" i="76"/>
  <c r="BS540" i="76"/>
  <c r="AL323" i="76"/>
  <c r="BS826" i="76"/>
  <c r="BS922" i="76"/>
  <c r="BS74" i="76"/>
  <c r="AL813" i="76"/>
  <c r="AL589" i="76"/>
  <c r="AL662" i="76"/>
  <c r="AL873" i="76"/>
  <c r="AL102" i="76"/>
  <c r="BS466" i="76"/>
  <c r="BS245" i="76"/>
  <c r="AL564" i="76"/>
  <c r="AL265" i="76"/>
  <c r="AL78" i="76"/>
  <c r="AL356" i="76"/>
  <c r="BS325" i="76"/>
  <c r="AL365" i="76"/>
  <c r="BS1006" i="76"/>
  <c r="BS859" i="76"/>
  <c r="AL429" i="76"/>
  <c r="AL475" i="76"/>
  <c r="AL71" i="76"/>
  <c r="AL224" i="76"/>
  <c r="BS279" i="76"/>
  <c r="AL397" i="76"/>
  <c r="BS501" i="76"/>
  <c r="AL229" i="76"/>
  <c r="AL785" i="76"/>
  <c r="BS699" i="76"/>
  <c r="AL430" i="76"/>
  <c r="BS800" i="76"/>
  <c r="AL243" i="76"/>
  <c r="AL378" i="76"/>
  <c r="AL215" i="76"/>
  <c r="AL775" i="76"/>
  <c r="BS723" i="76"/>
  <c r="AL326" i="76"/>
  <c r="AL420" i="76"/>
  <c r="AL730" i="76"/>
  <c r="AL76" i="76"/>
  <c r="AL767" i="76"/>
  <c r="BS217" i="76"/>
  <c r="BS807" i="76"/>
  <c r="BS352" i="76"/>
  <c r="BS631" i="76"/>
  <c r="AL885" i="76"/>
  <c r="BS334" i="76"/>
  <c r="BS605" i="76"/>
  <c r="AL651" i="76"/>
  <c r="AL286" i="76"/>
  <c r="AL435" i="76"/>
  <c r="BS224" i="76"/>
  <c r="AL995" i="76"/>
  <c r="BS187" i="76"/>
  <c r="BS184" i="76"/>
  <c r="BS291" i="76"/>
  <c r="BS563" i="76"/>
  <c r="AL803" i="76"/>
  <c r="AL746" i="76"/>
  <c r="BS153" i="76"/>
  <c r="AL930" i="76"/>
  <c r="AL777" i="76"/>
  <c r="BS144" i="76"/>
  <c r="BS506" i="76"/>
  <c r="AL418" i="76"/>
  <c r="BS432" i="76"/>
  <c r="AL240" i="76"/>
  <c r="BS125" i="76"/>
  <c r="AL345" i="76"/>
  <c r="BS474" i="76"/>
  <c r="BS602" i="76"/>
  <c r="AL747" i="76"/>
  <c r="BS510" i="76"/>
  <c r="AL798" i="76"/>
  <c r="AL275" i="76"/>
  <c r="BS678" i="76"/>
  <c r="AL741" i="76"/>
  <c r="AL901" i="76"/>
  <c r="BS418" i="76"/>
  <c r="BS791" i="76"/>
  <c r="BS663" i="76"/>
  <c r="AL272" i="76"/>
  <c r="BS1056" i="76"/>
  <c r="AL605" i="76"/>
  <c r="AL761" i="76"/>
  <c r="AL891" i="76"/>
  <c r="BS530" i="76"/>
  <c r="BS332" i="76"/>
  <c r="AL619" i="76"/>
  <c r="BS117" i="76"/>
  <c r="BS244" i="76"/>
  <c r="BS438" i="76"/>
  <c r="BS629" i="76"/>
  <c r="BS907" i="76"/>
  <c r="BS347" i="76"/>
  <c r="AL738" i="76"/>
  <c r="AL739" i="76"/>
  <c r="BS831" i="76"/>
  <c r="AL131" i="76"/>
  <c r="BS856" i="76"/>
  <c r="BS363" i="76"/>
  <c r="BS532" i="76"/>
  <c r="BS574" i="76"/>
  <c r="AL389" i="76"/>
  <c r="BS307" i="76"/>
  <c r="BS270" i="76"/>
  <c r="AL84" i="76"/>
  <c r="BS142" i="76"/>
  <c r="AL842" i="76"/>
  <c r="AL314" i="76"/>
  <c r="AL444" i="76"/>
  <c r="BS401" i="76"/>
  <c r="AL77" i="76"/>
  <c r="BS912" i="76"/>
  <c r="BS785" i="76"/>
  <c r="BS269" i="76"/>
  <c r="BS423" i="76"/>
  <c r="BS261" i="76"/>
  <c r="AL195" i="76"/>
  <c r="AL454" i="76"/>
  <c r="BS1014" i="76"/>
  <c r="AL702" i="76"/>
  <c r="AL481" i="76"/>
  <c r="BS676" i="76"/>
  <c r="BS394" i="76"/>
  <c r="BS222" i="76"/>
  <c r="AL1062" i="76"/>
  <c r="AL688" i="76"/>
  <c r="BS70" i="76"/>
  <c r="BS833" i="76"/>
  <c r="AL1050" i="76"/>
  <c r="AL582" i="76"/>
  <c r="AL412" i="76"/>
  <c r="BS487" i="76"/>
  <c r="BS526" i="76"/>
  <c r="AL796" i="76"/>
  <c r="AL925" i="76"/>
  <c r="BS499" i="76"/>
  <c r="AL606" i="76"/>
  <c r="BS446" i="76"/>
  <c r="BS612" i="76"/>
  <c r="BS77" i="76"/>
  <c r="BS944" i="76"/>
  <c r="BS577" i="76"/>
  <c r="AL1034" i="76"/>
  <c r="BS703" i="76"/>
  <c r="BS646" i="76"/>
  <c r="AL537" i="76"/>
  <c r="AL329" i="76"/>
  <c r="BS286" i="76"/>
  <c r="BS810" i="76"/>
  <c r="BS257" i="76"/>
  <c r="AL393" i="76"/>
  <c r="BS322" i="76"/>
  <c r="AL633" i="76"/>
  <c r="AL263" i="76"/>
  <c r="BS96" i="76"/>
  <c r="AL111" i="76"/>
  <c r="BS789" i="76"/>
  <c r="BS80" i="76"/>
  <c r="BS550" i="76"/>
  <c r="AL337" i="76"/>
  <c r="BS706" i="76"/>
  <c r="AL331" i="76"/>
  <c r="AL279" i="76"/>
  <c r="BS655" i="76"/>
  <c r="BS139" i="76"/>
  <c r="BS861" i="76"/>
  <c r="AL125" i="76"/>
  <c r="AL648" i="76"/>
  <c r="BS481" i="76"/>
  <c r="BS218" i="76"/>
  <c r="BS156" i="76"/>
  <c r="AL468" i="76"/>
  <c r="BS1045" i="76"/>
  <c r="BS1030" i="76"/>
  <c r="AL751" i="76"/>
  <c r="AL720" i="76"/>
  <c r="AL153" i="76"/>
  <c r="AL675" i="76"/>
  <c r="AL200" i="76"/>
  <c r="BS1061" i="76"/>
  <c r="AL140" i="76"/>
  <c r="BS781" i="76"/>
  <c r="BS976" i="76"/>
  <c r="BS607" i="76"/>
  <c r="AL1046" i="76"/>
  <c r="BS845" i="76"/>
  <c r="BS835" i="76"/>
  <c r="BS924" i="76"/>
  <c r="AL795" i="76"/>
  <c r="AL936" i="76"/>
  <c r="AL600" i="76"/>
  <c r="AL595" i="76"/>
  <c r="AL342" i="76"/>
  <c r="AL749" i="76"/>
  <c r="AL138" i="76"/>
  <c r="AL941" i="76"/>
  <c r="AL247" i="76"/>
  <c r="AL1008" i="76"/>
  <c r="AL689" i="76"/>
  <c r="AL574" i="76"/>
  <c r="AL735" i="76"/>
  <c r="AL285" i="76"/>
  <c r="BS923" i="76"/>
  <c r="BS1042" i="76"/>
  <c r="AL674" i="76"/>
  <c r="AL1055" i="76"/>
  <c r="AL463" i="76"/>
  <c r="BS116" i="76"/>
  <c r="AL74" i="76"/>
  <c r="BS586" i="76"/>
  <c r="BS84" i="76"/>
  <c r="AL411" i="76"/>
  <c r="BS571" i="76"/>
  <c r="BS393" i="76"/>
  <c r="AL690" i="76"/>
  <c r="BS311" i="76"/>
  <c r="AL186" i="76"/>
  <c r="AL512" i="76"/>
  <c r="BS259" i="76"/>
  <c r="AL694" i="76"/>
  <c r="AL489" i="76"/>
  <c r="BS533" i="76"/>
  <c r="BS207" i="76"/>
  <c r="AL927" i="76"/>
  <c r="AL1029" i="76"/>
  <c r="BS665" i="76"/>
  <c r="BS909" i="76"/>
  <c r="BS588" i="76"/>
  <c r="AL544" i="76"/>
  <c r="AL270" i="76"/>
  <c r="AL673" i="76"/>
  <c r="AL549" i="76"/>
  <c r="AL671" i="76"/>
  <c r="BS1048" i="76"/>
  <c r="AL1063" i="76"/>
  <c r="BS192" i="76"/>
  <c r="AL804" i="76"/>
  <c r="AL232" i="76"/>
  <c r="BS1001" i="76"/>
  <c r="AL979" i="76"/>
  <c r="BS202" i="76"/>
  <c r="BS296" i="76"/>
  <c r="AL442" i="76"/>
  <c r="AL332" i="76"/>
  <c r="AL396" i="76"/>
  <c r="AL872" i="76"/>
  <c r="AL292" i="76"/>
  <c r="AL883" i="76"/>
  <c r="BS669" i="76"/>
  <c r="BS521" i="76"/>
  <c r="AL819" i="76"/>
  <c r="BS140" i="76"/>
  <c r="BS272" i="76"/>
  <c r="BS485" i="76"/>
  <c r="AL408" i="76"/>
  <c r="AL928" i="76"/>
  <c r="AL960" i="76"/>
  <c r="AL877" i="76"/>
  <c r="BS1009" i="76"/>
  <c r="BS688" i="76"/>
  <c r="BS197" i="76"/>
  <c r="BS1066" i="76"/>
  <c r="BS797" i="76"/>
  <c r="BS314" i="76"/>
  <c r="BS606" i="76"/>
  <c r="AL614" i="76"/>
  <c r="AL620" i="76"/>
  <c r="AL220" i="76"/>
  <c r="AL699" i="76"/>
  <c r="BS601" i="76"/>
  <c r="BS343" i="76"/>
  <c r="BS319" i="76"/>
  <c r="BS1047" i="76"/>
  <c r="BS534" i="76"/>
  <c r="AL95" i="76"/>
  <c r="BS754" i="76"/>
  <c r="BS545" i="76"/>
  <c r="AL646" i="76"/>
  <c r="AL581" i="76"/>
  <c r="BS839" i="76"/>
  <c r="AL576" i="76"/>
  <c r="BS959" i="76"/>
  <c r="AL259" i="76"/>
  <c r="BS883" i="76"/>
  <c r="BS947" i="76"/>
  <c r="BS1016" i="76"/>
  <c r="BS888" i="76"/>
  <c r="BS860" i="76"/>
  <c r="BS216" i="76"/>
  <c r="BS132" i="76"/>
  <c r="BS788" i="76"/>
  <c r="AL234" i="76"/>
  <c r="BS740" i="76"/>
  <c r="AL386" i="76"/>
  <c r="BS445" i="76"/>
  <c r="AL391" i="76"/>
  <c r="AL113" i="76"/>
  <c r="BS89" i="76"/>
  <c r="BS199" i="76"/>
  <c r="BS729" i="76"/>
  <c r="AL642" i="76"/>
  <c r="BS592" i="76"/>
  <c r="BS873" i="76"/>
  <c r="AL455" i="76"/>
  <c r="BS274" i="76"/>
  <c r="AL221" i="76"/>
  <c r="AL147" i="76"/>
  <c r="BS681" i="76"/>
  <c r="AL862" i="76"/>
  <c r="AL765" i="76"/>
  <c r="AL903" i="76"/>
  <c r="AL178" i="76"/>
  <c r="BS130" i="76"/>
  <c r="BS542" i="76"/>
  <c r="AL505" i="76"/>
  <c r="BS78" i="76"/>
  <c r="BS145" i="76"/>
  <c r="AL745" i="76"/>
  <c r="BS917" i="76"/>
  <c r="BS282" i="76"/>
  <c r="BS597" i="76"/>
  <c r="AL649" i="76"/>
  <c r="BS1063" i="76"/>
  <c r="AL381" i="76"/>
  <c r="BS854" i="76"/>
  <c r="BS915" i="76"/>
  <c r="AL410" i="76"/>
  <c r="AL101" i="76"/>
  <c r="BS680" i="76"/>
  <c r="BS902" i="76"/>
  <c r="BS1021" i="76"/>
  <c r="BS802" i="76"/>
  <c r="AL766" i="76"/>
  <c r="BS215" i="76"/>
  <c r="BS460" i="76"/>
  <c r="AL300" i="76"/>
  <c r="BS891" i="76"/>
  <c r="BS809" i="76"/>
  <c r="BS469" i="76"/>
  <c r="AL618" i="76"/>
  <c r="AL307" i="76"/>
  <c r="AL236" i="76"/>
  <c r="AL321" i="76"/>
  <c r="AL984" i="76"/>
  <c r="BS152" i="76"/>
  <c r="AL416" i="76"/>
  <c r="AL190" i="76"/>
  <c r="BS357" i="76"/>
  <c r="BS549" i="76"/>
  <c r="AL176" i="76"/>
  <c r="AL103" i="76"/>
  <c r="BS804" i="76"/>
  <c r="AL708" i="76"/>
  <c r="BS436" i="76"/>
  <c r="AL913" i="76"/>
  <c r="AL394" i="76"/>
  <c r="BS1054" i="76"/>
  <c r="BS717" i="76"/>
  <c r="AL776" i="76"/>
  <c r="BS403" i="76"/>
  <c r="AL700" i="76"/>
  <c r="BS519" i="76"/>
  <c r="AL414" i="76"/>
  <c r="AL219" i="76"/>
  <c r="AL1004" i="76"/>
  <c r="AL778" i="76"/>
  <c r="AL529" i="76"/>
  <c r="BS129" i="76"/>
  <c r="BS610" i="76"/>
  <c r="BS713" i="76"/>
  <c r="BS993" i="76"/>
  <c r="BS701" i="76"/>
  <c r="BS280" i="76"/>
  <c r="BS104" i="76"/>
  <c r="AL110" i="76"/>
  <c r="AL924" i="76"/>
  <c r="AL108" i="76"/>
  <c r="AL599" i="76"/>
  <c r="BS500" i="76"/>
  <c r="AL989" i="76"/>
  <c r="BS805" i="76"/>
  <c r="AL133" i="76"/>
  <c r="BS520" i="76"/>
  <c r="BS267" i="76"/>
  <c r="BS866" i="76"/>
  <c r="BS297" i="76"/>
  <c r="BS97" i="76"/>
  <c r="BS99" i="76"/>
  <c r="AL567" i="76"/>
  <c r="AL836" i="76"/>
  <c r="BS567" i="76"/>
  <c r="AL439" i="76"/>
  <c r="AL438" i="76"/>
  <c r="BS949" i="76"/>
  <c r="BS961" i="76"/>
  <c r="AL524" i="76"/>
  <c r="AL665" i="76"/>
  <c r="AL496" i="76"/>
  <c r="BS174" i="76"/>
  <c r="BS697" i="76"/>
  <c r="AL303" i="76"/>
  <c r="BS102" i="76"/>
  <c r="AL144" i="76"/>
  <c r="BS486" i="76"/>
  <c r="BS141" i="76"/>
  <c r="BS557" i="76"/>
  <c r="BS173" i="76"/>
  <c r="AL740" i="76"/>
  <c r="AL733" i="76"/>
  <c r="AL893" i="76"/>
  <c r="AL652" i="76"/>
  <c r="AL658" i="76"/>
  <c r="AL491" i="76"/>
  <c r="BS329" i="76"/>
  <c r="BS158" i="76"/>
  <c r="AL231" i="76"/>
  <c r="BS998" i="76"/>
  <c r="BS238" i="76"/>
  <c r="AL550" i="76"/>
  <c r="BS939" i="76"/>
  <c r="BS867" i="76"/>
  <c r="BS312" i="76"/>
  <c r="BS921" i="76"/>
  <c r="AL480" i="76"/>
  <c r="AL273" i="76"/>
  <c r="BS728" i="76"/>
  <c r="AL355" i="76"/>
  <c r="BS863" i="76"/>
  <c r="AL328" i="76"/>
  <c r="AL643" i="76"/>
  <c r="AL956" i="76"/>
  <c r="BS997" i="76"/>
  <c r="BS850" i="76"/>
  <c r="BS364" i="76"/>
  <c r="AL676" i="76"/>
  <c r="BS1028" i="76"/>
  <c r="BS271" i="76"/>
  <c r="BS223" i="76"/>
  <c r="AL781" i="76"/>
  <c r="BS349" i="76"/>
  <c r="AL277" i="76"/>
  <c r="BS316" i="76"/>
  <c r="BS1007" i="76"/>
  <c r="AL824" i="76"/>
  <c r="BS934" i="76"/>
  <c r="BS185" i="76"/>
  <c r="BS1044" i="76"/>
  <c r="BS208" i="76"/>
  <c r="AL793" i="76"/>
  <c r="BS108" i="76"/>
  <c r="BS369" i="76"/>
  <c r="BS931" i="76"/>
  <c r="AL621" i="76"/>
  <c r="BS75" i="76"/>
  <c r="AL774" i="76"/>
  <c r="AL260" i="76"/>
  <c r="BS201" i="76"/>
  <c r="BS234" i="76"/>
  <c r="AL400" i="76"/>
  <c r="BS421" i="76"/>
  <c r="AL691" i="76"/>
  <c r="AL506" i="76"/>
  <c r="AL725" i="76"/>
  <c r="AL1064" i="76"/>
  <c r="BS702" i="76"/>
  <c r="BS166" i="76"/>
  <c r="BS260" i="76"/>
  <c r="AL958" i="76"/>
  <c r="AL441" i="76"/>
  <c r="AL1043" i="76"/>
  <c r="AL894" i="76"/>
  <c r="AL1068" i="76"/>
  <c r="BS119" i="76"/>
  <c r="BS416" i="76"/>
  <c r="BS298" i="76"/>
  <c r="AL915" i="76"/>
  <c r="S9" i="82"/>
  <c r="U126" i="20"/>
  <c r="AY81" i="18"/>
  <c r="AY9" i="18"/>
  <c r="AY150" i="18"/>
  <c r="F12" i="65"/>
  <c r="F14" i="65" s="1"/>
  <c r="BS33" i="76" l="1"/>
  <c r="BS29" i="76"/>
  <c r="BS35" i="76"/>
  <c r="BS30" i="76"/>
  <c r="BS31" i="76"/>
  <c r="BS42" i="76" s="1"/>
  <c r="BS34" i="76"/>
  <c r="BS36" i="76"/>
  <c r="BS37" i="76"/>
  <c r="BS32" i="76"/>
  <c r="AL33" i="76"/>
  <c r="AL34" i="76"/>
  <c r="AL30" i="76"/>
  <c r="AL35" i="76"/>
  <c r="AL31" i="76"/>
  <c r="AL42" i="76" s="1"/>
  <c r="AL36" i="76"/>
  <c r="AL29" i="76"/>
  <c r="AL37" i="76"/>
  <c r="AL32" i="76"/>
  <c r="U146" i="20"/>
  <c r="U141" i="20"/>
  <c r="V126" i="20"/>
  <c r="BS45" i="76" l="1"/>
  <c r="AL46" i="76"/>
  <c r="U161" i="20"/>
  <c r="V141" i="20"/>
  <c r="BS43" i="76"/>
  <c r="BS44" i="76"/>
  <c r="AL44" i="76"/>
  <c r="S26" i="82"/>
  <c r="U26" i="82" s="1"/>
  <c r="V146" i="20"/>
  <c r="AL45" i="76"/>
  <c r="BS46" i="76"/>
  <c r="AL43" i="76"/>
  <c r="Y130" i="28" l="1"/>
  <c r="S41" i="82"/>
  <c r="U41" i="82" s="1"/>
  <c r="V161" i="20"/>
  <c r="S177" i="28"/>
  <c r="S177" i="23" l="1"/>
  <c r="Y130" i="23"/>
  <c r="S177" i="38"/>
  <c r="Y130" i="38"/>
  <c r="T178" i="28" l="1"/>
  <c r="Z131" i="28"/>
  <c r="T178" i="38" l="1"/>
  <c r="Z131" i="23"/>
  <c r="T178" i="23"/>
  <c r="Z131" i="38"/>
  <c r="AA132" i="28" l="1"/>
  <c r="AA132" i="38" l="1"/>
  <c r="AA132" i="23"/>
  <c r="AY170" i="18" l="1"/>
  <c r="AY171" i="18"/>
  <c r="AY173" i="18"/>
  <c r="AY172" i="18"/>
  <c r="AX170" i="18"/>
  <c r="AY177" i="18"/>
  <c r="T88" i="85"/>
  <c r="AX171" i="18"/>
  <c r="AX173" i="18"/>
  <c r="AX172" i="18"/>
  <c r="AX177" i="18"/>
  <c r="S88" i="85"/>
  <c r="AW170" i="18"/>
  <c r="AW171" i="18"/>
  <c r="AW173" i="18"/>
  <c r="AW172" i="18"/>
  <c r="AW177" i="18"/>
  <c r="R88" i="85"/>
  <c r="AV170" i="18"/>
  <c r="AV171" i="18"/>
  <c r="AV173" i="18"/>
  <c r="AV172" i="18"/>
  <c r="AU170" i="18"/>
  <c r="AV177" i="18"/>
  <c r="Q88" i="85"/>
  <c r="AU171" i="18"/>
  <c r="AU173" i="18"/>
  <c r="AU172" i="18"/>
  <c r="T181" i="25"/>
  <c r="T179" i="89"/>
  <c r="T179" i="28"/>
  <c r="T179" i="14"/>
  <c r="T179" i="23"/>
  <c r="T179" i="38"/>
  <c r="S178" i="89"/>
  <c r="S180" i="25"/>
  <c r="T179" i="32"/>
  <c r="T179" i="40"/>
  <c r="S178" i="28"/>
  <c r="S178" i="14"/>
  <c r="T179" i="30"/>
  <c r="S178" i="38"/>
  <c r="R179" i="25"/>
  <c r="R177" i="28"/>
  <c r="R177" i="89"/>
  <c r="R177" i="14"/>
  <c r="S178" i="32"/>
  <c r="S178" i="23"/>
  <c r="S178" i="30"/>
  <c r="S178" i="40"/>
  <c r="T179" i="17"/>
  <c r="R177" i="32"/>
  <c r="R177" i="40"/>
  <c r="Q176" i="28"/>
  <c r="R177" i="30"/>
  <c r="Q176" i="89"/>
  <c r="Q176" i="32"/>
  <c r="Q176" i="14"/>
  <c r="Q176" i="23"/>
  <c r="R177" i="23"/>
  <c r="Q176" i="38"/>
  <c r="R177" i="38"/>
  <c r="S178" i="17"/>
  <c r="Q178" i="25"/>
  <c r="Q176" i="40"/>
  <c r="Q176" i="30"/>
  <c r="Q176" i="17"/>
  <c r="R177" i="17"/>
  <c r="S199" i="23"/>
  <c r="T199" i="23"/>
  <c r="S185" i="28"/>
  <c r="T185" i="28"/>
  <c r="S198" i="38"/>
  <c r="R198" i="38"/>
  <c r="T198" i="38"/>
  <c r="S198" i="28"/>
  <c r="R198" i="28"/>
  <c r="T198" i="28"/>
  <c r="T184" i="28"/>
  <c r="R184" i="28"/>
  <c r="S184" i="28"/>
  <c r="R184" i="23"/>
  <c r="T184" i="23"/>
  <c r="S184" i="23"/>
  <c r="T200" i="23"/>
  <c r="S191" i="28"/>
  <c r="R191" i="28"/>
  <c r="T191" i="28"/>
  <c r="T193" i="23"/>
  <c r="AA205" i="23"/>
  <c r="T205" i="23"/>
  <c r="T192" i="28"/>
  <c r="S192" i="28"/>
  <c r="T198" i="23"/>
  <c r="R198" i="23"/>
  <c r="S198" i="23"/>
  <c r="T191" i="38"/>
  <c r="R191" i="38"/>
  <c r="S191" i="38"/>
  <c r="T184" i="38"/>
  <c r="S184" i="38"/>
  <c r="R184" i="38"/>
  <c r="T186" i="14"/>
  <c r="R191" i="23"/>
  <c r="S191" i="23"/>
  <c r="T191" i="23"/>
  <c r="T200" i="32"/>
  <c r="T200" i="89"/>
  <c r="S199" i="30"/>
  <c r="T199" i="30"/>
  <c r="T186" i="32"/>
  <c r="T200" i="30"/>
  <c r="S185" i="23"/>
  <c r="T185" i="23"/>
  <c r="S201" i="25"/>
  <c r="T201" i="25"/>
  <c r="T186" i="23"/>
  <c r="S185" i="38"/>
  <c r="T185" i="38"/>
  <c r="T186" i="38"/>
  <c r="T200" i="17"/>
  <c r="T193" i="38"/>
  <c r="AA205" i="38"/>
  <c r="T205" i="38"/>
  <c r="T199" i="38"/>
  <c r="S199" i="38"/>
  <c r="T200" i="38"/>
  <c r="T193" i="89"/>
  <c r="T200" i="40"/>
  <c r="T186" i="40"/>
  <c r="T185" i="17"/>
  <c r="S185" i="17"/>
  <c r="T193" i="28"/>
  <c r="T185" i="30"/>
  <c r="S185" i="30"/>
  <c r="T200" i="28"/>
  <c r="S192" i="23"/>
  <c r="T192" i="23"/>
  <c r="T186" i="89"/>
  <c r="AA205" i="28"/>
  <c r="T205" i="28"/>
  <c r="T186" i="28"/>
  <c r="S199" i="17"/>
  <c r="T199" i="17"/>
  <c r="T185" i="40"/>
  <c r="S185" i="40"/>
  <c r="T185" i="14"/>
  <c r="S185" i="14"/>
  <c r="T193" i="14"/>
  <c r="T199" i="89"/>
  <c r="S199" i="89"/>
  <c r="S184" i="32"/>
  <c r="T184" i="32"/>
  <c r="R184" i="32"/>
  <c r="T198" i="32"/>
  <c r="S198" i="32"/>
  <c r="R198" i="32"/>
  <c r="R191" i="32"/>
  <c r="T191" i="32"/>
  <c r="S191" i="32"/>
  <c r="S194" i="25"/>
  <c r="T194" i="25"/>
  <c r="T200" i="14"/>
  <c r="T185" i="89"/>
  <c r="S185" i="89"/>
  <c r="T199" i="28"/>
  <c r="S199" i="28"/>
  <c r="T191" i="89"/>
  <c r="R191" i="89"/>
  <c r="S191" i="89"/>
  <c r="R193" i="25"/>
  <c r="S193" i="25"/>
  <c r="T193" i="25"/>
  <c r="S198" i="40"/>
  <c r="T198" i="40"/>
  <c r="R198" i="40"/>
  <c r="R184" i="14"/>
  <c r="T184" i="14"/>
  <c r="S184" i="14"/>
  <c r="R191" i="17"/>
  <c r="T191" i="17"/>
  <c r="S191" i="17"/>
  <c r="S184" i="40"/>
  <c r="R184" i="40"/>
  <c r="T184" i="40"/>
  <c r="S184" i="17"/>
  <c r="T184" i="17"/>
  <c r="R184" i="17"/>
  <c r="T198" i="89"/>
  <c r="S198" i="89"/>
  <c r="R198" i="89"/>
  <c r="R191" i="30"/>
  <c r="S191" i="30"/>
  <c r="T191" i="30"/>
  <c r="R184" i="89"/>
  <c r="T184" i="89"/>
  <c r="S184" i="89"/>
  <c r="T191" i="14"/>
  <c r="S191" i="14"/>
  <c r="R191" i="14"/>
  <c r="T200" i="25"/>
  <c r="S200" i="25"/>
  <c r="R200" i="25"/>
  <c r="R186" i="25"/>
  <c r="S186" i="25"/>
  <c r="T186" i="25"/>
  <c r="T184" i="30"/>
  <c r="R184" i="30"/>
  <c r="S184" i="30"/>
  <c r="T191" i="40"/>
  <c r="R191" i="40"/>
  <c r="S191" i="40"/>
  <c r="R198" i="30"/>
  <c r="S198" i="30"/>
  <c r="T198" i="30"/>
  <c r="T198" i="14"/>
  <c r="S198" i="14"/>
  <c r="R198" i="14"/>
  <c r="T198" i="17"/>
  <c r="S198" i="17"/>
  <c r="R198" i="17"/>
  <c r="T186" i="17"/>
  <c r="T192" i="40"/>
  <c r="S192" i="40"/>
  <c r="T190" i="32"/>
  <c r="Q190" i="32"/>
  <c r="S190" i="32"/>
  <c r="R190" i="32"/>
  <c r="S183" i="32"/>
  <c r="Q183" i="32"/>
  <c r="R183" i="32"/>
  <c r="Q197" i="32"/>
  <c r="S197" i="32"/>
  <c r="R197" i="32"/>
  <c r="T197" i="32"/>
  <c r="S197" i="14"/>
  <c r="Q197" i="14"/>
  <c r="R197" i="14"/>
  <c r="T197" i="14"/>
  <c r="S183" i="40"/>
  <c r="Q183" i="40"/>
  <c r="R183" i="40"/>
  <c r="S190" i="40"/>
  <c r="T190" i="40"/>
  <c r="Q190" i="40"/>
  <c r="R190" i="40"/>
  <c r="Q183" i="28"/>
  <c r="S183" i="28"/>
  <c r="R183" i="28"/>
  <c r="T197" i="28"/>
  <c r="R197" i="28"/>
  <c r="S197" i="28"/>
  <c r="Q197" i="28"/>
  <c r="Q197" i="17"/>
  <c r="R197" i="17"/>
  <c r="S197" i="17"/>
  <c r="T197" i="17"/>
  <c r="S199" i="25"/>
  <c r="T199" i="25"/>
  <c r="R199" i="25"/>
  <c r="Q199" i="25"/>
  <c r="Q183" i="30"/>
  <c r="R183" i="30"/>
  <c r="S183" i="30"/>
  <c r="R183" i="14"/>
  <c r="Q183" i="14"/>
  <c r="S183" i="14"/>
  <c r="S183" i="17"/>
  <c r="Q183" i="17"/>
  <c r="R183" i="17"/>
  <c r="R197" i="23"/>
  <c r="Q197" i="23"/>
  <c r="S197" i="23"/>
  <c r="T197" i="23"/>
  <c r="S183" i="23"/>
  <c r="Q183" i="23"/>
  <c r="R183" i="23"/>
  <c r="S183" i="38"/>
  <c r="R183" i="38"/>
  <c r="Q183" i="38"/>
  <c r="S185" i="32"/>
  <c r="T185" i="32"/>
  <c r="T193" i="17"/>
  <c r="S192" i="17"/>
  <c r="T192" i="17"/>
  <c r="T187" i="25"/>
  <c r="S187" i="25"/>
  <c r="T199" i="40"/>
  <c r="S199" i="40"/>
  <c r="S199" i="14"/>
  <c r="T199" i="14"/>
  <c r="T190" i="17"/>
  <c r="S190" i="17"/>
  <c r="R190" i="17"/>
  <c r="Q190" i="17"/>
  <c r="R190" i="23"/>
  <c r="Q190" i="23"/>
  <c r="T190" i="23"/>
  <c r="S190" i="23"/>
  <c r="T190" i="30"/>
  <c r="S190" i="30"/>
  <c r="Q190" i="30"/>
  <c r="R190" i="30"/>
  <c r="Q190" i="38"/>
  <c r="R190" i="38"/>
  <c r="S190" i="38"/>
  <c r="T190" i="38"/>
  <c r="S190" i="14"/>
  <c r="T190" i="14"/>
  <c r="R190" i="14"/>
  <c r="Q190" i="14"/>
  <c r="R190" i="28"/>
  <c r="S190" i="28"/>
  <c r="T190" i="28"/>
  <c r="Q190" i="28"/>
  <c r="R192" i="25"/>
  <c r="Q192" i="25"/>
  <c r="T192" i="25"/>
  <c r="S192" i="25"/>
  <c r="S190" i="89"/>
  <c r="T190" i="89"/>
  <c r="R190" i="89"/>
  <c r="Q190" i="89"/>
  <c r="R197" i="40"/>
  <c r="S197" i="40"/>
  <c r="T197" i="40"/>
  <c r="Q197" i="40"/>
  <c r="T197" i="38"/>
  <c r="S197" i="38"/>
  <c r="Q197" i="38"/>
  <c r="R197" i="38"/>
  <c r="Q197" i="89"/>
  <c r="S197" i="89"/>
  <c r="R197" i="89"/>
  <c r="T197" i="89"/>
  <c r="T197" i="30"/>
  <c r="Q197" i="30"/>
  <c r="S197" i="30"/>
  <c r="R197" i="30"/>
  <c r="T192" i="89"/>
  <c r="S192" i="89"/>
  <c r="T202" i="25"/>
  <c r="T192" i="32"/>
  <c r="S192" i="32"/>
  <c r="T193" i="32"/>
  <c r="T192" i="30"/>
  <c r="S192" i="30"/>
  <c r="T193" i="40"/>
  <c r="S192" i="38"/>
  <c r="T192" i="38"/>
  <c r="T199" i="32"/>
  <c r="S199" i="32"/>
  <c r="Q185" i="25"/>
  <c r="R185" i="25"/>
  <c r="S185" i="25"/>
  <c r="Q183" i="89"/>
  <c r="R183" i="89"/>
  <c r="S183" i="89"/>
  <c r="AA205" i="17"/>
  <c r="T205" i="17"/>
  <c r="T186" i="30"/>
  <c r="AA205" i="30"/>
  <c r="T205" i="30"/>
  <c r="S192" i="14"/>
  <c r="T192" i="14"/>
  <c r="S204" i="38"/>
  <c r="Z204" i="38"/>
  <c r="T188" i="25"/>
  <c r="T193" i="30"/>
  <c r="AA207" i="25"/>
  <c r="T207" i="25"/>
  <c r="Z206" i="25"/>
  <c r="S206" i="25"/>
  <c r="S204" i="23"/>
  <c r="Z204" i="23"/>
  <c r="AA205" i="14"/>
  <c r="T205" i="14"/>
  <c r="S204" i="40"/>
  <c r="Z204" i="40"/>
  <c r="Z204" i="30"/>
  <c r="S204" i="30"/>
  <c r="T195" i="25"/>
  <c r="AA205" i="32"/>
  <c r="T205" i="32"/>
  <c r="Z204" i="28"/>
  <c r="S204" i="28"/>
  <c r="AA205" i="40"/>
  <c r="T205" i="40"/>
  <c r="T205" i="89"/>
  <c r="AA205" i="89"/>
  <c r="S204" i="14"/>
  <c r="Z204" i="14"/>
  <c r="Z204" i="89"/>
  <c r="S204" i="89"/>
  <c r="Z204" i="32"/>
  <c r="S204" i="32"/>
  <c r="Z204" i="17"/>
  <c r="S204" i="17"/>
  <c r="AU177" i="18"/>
  <c r="P88" i="85"/>
  <c r="Z299" i="38"/>
  <c r="S299" i="38"/>
  <c r="S299" i="14"/>
  <c r="Z299" i="14"/>
  <c r="S299" i="40"/>
  <c r="Z299" i="40"/>
  <c r="S299" i="23"/>
  <c r="Z299" i="23"/>
  <c r="S299" i="17"/>
  <c r="Z299" i="17"/>
  <c r="T300" i="14"/>
  <c r="AA300" i="14"/>
  <c r="Z299" i="89"/>
  <c r="S299" i="89"/>
  <c r="S299" i="30"/>
  <c r="Z299" i="30"/>
  <c r="Z301" i="25"/>
  <c r="S301" i="25"/>
  <c r="AA302" i="25"/>
  <c r="T302" i="25"/>
  <c r="Z299" i="28"/>
  <c r="S299" i="28"/>
  <c r="T300" i="23"/>
  <c r="AA300" i="23"/>
  <c r="AA300" i="17"/>
  <c r="T300" i="17"/>
  <c r="T300" i="32"/>
  <c r="AA300" i="32"/>
  <c r="T300" i="40"/>
  <c r="AA300" i="40"/>
  <c r="S299" i="32"/>
  <c r="Z299" i="32"/>
  <c r="S278" i="14"/>
  <c r="Q278" i="14"/>
  <c r="R278" i="14"/>
  <c r="AA300" i="89"/>
  <c r="T300" i="89"/>
  <c r="S292" i="30"/>
  <c r="Q292" i="30"/>
  <c r="T292" i="30"/>
  <c r="R292" i="30"/>
  <c r="Q273" i="25"/>
  <c r="R273" i="25"/>
  <c r="R292" i="28"/>
  <c r="T292" i="28"/>
  <c r="S292" i="28"/>
  <c r="Q292" i="28"/>
  <c r="Q271" i="28"/>
  <c r="R271" i="28"/>
  <c r="Q271" i="23"/>
  <c r="R271" i="23"/>
  <c r="S287" i="25"/>
  <c r="R287" i="25"/>
  <c r="T287" i="25"/>
  <c r="Q287" i="25"/>
  <c r="T300" i="38"/>
  <c r="AA300" i="38"/>
  <c r="T295" i="25"/>
  <c r="S295" i="25"/>
  <c r="R295" i="25"/>
  <c r="T286" i="89"/>
  <c r="S286" i="89"/>
  <c r="R286" i="89"/>
  <c r="Q285" i="14"/>
  <c r="T285" i="14"/>
  <c r="S285" i="14"/>
  <c r="R285" i="14"/>
  <c r="T292" i="14"/>
  <c r="Q292" i="14"/>
  <c r="S292" i="14"/>
  <c r="R292" i="14"/>
  <c r="R271" i="40"/>
  <c r="Q271" i="40"/>
  <c r="Q292" i="89"/>
  <c r="S292" i="89"/>
  <c r="R292" i="89"/>
  <c r="T292" i="89"/>
  <c r="R285" i="28"/>
  <c r="S285" i="28"/>
  <c r="Q285" i="28"/>
  <c r="T285" i="28"/>
  <c r="S279" i="89"/>
  <c r="T279" i="89"/>
  <c r="R279" i="89"/>
  <c r="S294" i="30"/>
  <c r="T294" i="30"/>
  <c r="AA300" i="30"/>
  <c r="T300" i="30"/>
  <c r="R285" i="38"/>
  <c r="S285" i="38"/>
  <c r="T285" i="38"/>
  <c r="Q285" i="38"/>
  <c r="T285" i="40"/>
  <c r="R285" i="40"/>
  <c r="Q285" i="40"/>
  <c r="S285" i="40"/>
  <c r="T280" i="17"/>
  <c r="S280" i="17"/>
  <c r="R286" i="40"/>
  <c r="T286" i="40"/>
  <c r="S286" i="40"/>
  <c r="S286" i="14"/>
  <c r="T286" i="14"/>
  <c r="R286" i="14"/>
  <c r="S288" i="25"/>
  <c r="R288" i="25"/>
  <c r="T288" i="25"/>
  <c r="S280" i="38"/>
  <c r="T280" i="38"/>
  <c r="S292" i="38"/>
  <c r="T292" i="38"/>
  <c r="Q292" i="38"/>
  <c r="R292" i="38"/>
  <c r="Q271" i="32"/>
  <c r="R271" i="32"/>
  <c r="S293" i="40"/>
  <c r="R293" i="40"/>
  <c r="T293" i="40"/>
  <c r="T287" i="89"/>
  <c r="S287" i="89"/>
  <c r="R272" i="40"/>
  <c r="S272" i="40"/>
  <c r="T279" i="17"/>
  <c r="S279" i="17"/>
  <c r="R279" i="17"/>
  <c r="Q292" i="17"/>
  <c r="T292" i="17"/>
  <c r="S292" i="17"/>
  <c r="R292" i="17"/>
  <c r="R279" i="30"/>
  <c r="T279" i="30"/>
  <c r="S279" i="30"/>
  <c r="R286" i="17"/>
  <c r="T286" i="17"/>
  <c r="S286" i="17"/>
  <c r="T296" i="25"/>
  <c r="S296" i="25"/>
  <c r="R279" i="28"/>
  <c r="T279" i="28"/>
  <c r="S279" i="28"/>
  <c r="Q292" i="40"/>
  <c r="R292" i="40"/>
  <c r="S292" i="40"/>
  <c r="T292" i="40"/>
  <c r="T300" i="28"/>
  <c r="AA300" i="28"/>
  <c r="S278" i="38"/>
  <c r="Q278" i="38"/>
  <c r="R278" i="38"/>
  <c r="T288" i="30"/>
  <c r="S281" i="25"/>
  <c r="T281" i="25"/>
  <c r="R281" i="25"/>
  <c r="R285" i="30"/>
  <c r="S285" i="30"/>
  <c r="Q285" i="30"/>
  <c r="T285" i="30"/>
  <c r="R271" i="89"/>
  <c r="Q271" i="89"/>
  <c r="S278" i="30"/>
  <c r="R278" i="30"/>
  <c r="Q278" i="30"/>
  <c r="R271" i="30"/>
  <c r="Q271" i="30"/>
  <c r="S280" i="14"/>
  <c r="T280" i="14"/>
  <c r="S280" i="40"/>
  <c r="T280" i="40"/>
  <c r="S285" i="32"/>
  <c r="R285" i="32"/>
  <c r="Q285" i="32"/>
  <c r="T285" i="32"/>
  <c r="R271" i="17"/>
  <c r="Q271" i="17"/>
  <c r="S293" i="30"/>
  <c r="R293" i="30"/>
  <c r="T293" i="30"/>
  <c r="Q285" i="23"/>
  <c r="T285" i="23"/>
  <c r="S285" i="23"/>
  <c r="R285" i="23"/>
  <c r="T286" i="30"/>
  <c r="R286" i="30"/>
  <c r="S286" i="30"/>
  <c r="Q278" i="89"/>
  <c r="R278" i="89"/>
  <c r="S278" i="89"/>
  <c r="R271" i="14"/>
  <c r="Q271" i="14"/>
  <c r="S279" i="40"/>
  <c r="R279" i="40"/>
  <c r="T279" i="40"/>
  <c r="T286" i="32"/>
  <c r="S286" i="32"/>
  <c r="R286" i="32"/>
  <c r="Q278" i="23"/>
  <c r="S278" i="23"/>
  <c r="R278" i="23"/>
  <c r="T294" i="14"/>
  <c r="S294" i="14"/>
  <c r="S273" i="17"/>
  <c r="T273" i="17"/>
  <c r="T279" i="14"/>
  <c r="S279" i="14"/>
  <c r="R279" i="14"/>
  <c r="Q292" i="32"/>
  <c r="T292" i="32"/>
  <c r="R292" i="32"/>
  <c r="S292" i="32"/>
  <c r="T280" i="30"/>
  <c r="S280" i="30"/>
  <c r="T281" i="14"/>
  <c r="R272" i="14"/>
  <c r="S272" i="14"/>
  <c r="R292" i="23"/>
  <c r="T292" i="23"/>
  <c r="Q292" i="23"/>
  <c r="S292" i="23"/>
  <c r="S278" i="17"/>
  <c r="Q278" i="17"/>
  <c r="R278" i="17"/>
  <c r="R293" i="17"/>
  <c r="T293" i="17"/>
  <c r="S293" i="17"/>
  <c r="T293" i="38"/>
  <c r="S293" i="38"/>
  <c r="R293" i="38"/>
  <c r="T288" i="40"/>
  <c r="T274" i="17"/>
  <c r="S280" i="28"/>
  <c r="T280" i="28"/>
  <c r="S278" i="32"/>
  <c r="R278" i="32"/>
  <c r="Q278" i="32"/>
  <c r="T287" i="14"/>
  <c r="S287" i="14"/>
  <c r="R286" i="23"/>
  <c r="S286" i="23"/>
  <c r="T286" i="23"/>
  <c r="S272" i="32"/>
  <c r="R272" i="32"/>
  <c r="R286" i="38"/>
  <c r="T286" i="38"/>
  <c r="S286" i="38"/>
  <c r="S282" i="25"/>
  <c r="T282" i="25"/>
  <c r="S273" i="40"/>
  <c r="T273" i="40"/>
  <c r="T294" i="89"/>
  <c r="S294" i="89"/>
  <c r="T294" i="28"/>
  <c r="S294" i="28"/>
  <c r="T274" i="32"/>
  <c r="T286" i="28"/>
  <c r="S286" i="28"/>
  <c r="R286" i="28"/>
  <c r="T294" i="32"/>
  <c r="S294" i="32"/>
  <c r="R271" i="38"/>
  <c r="Q271" i="38"/>
  <c r="Q294" i="25"/>
  <c r="R294" i="25"/>
  <c r="T294" i="25"/>
  <c r="S294" i="25"/>
  <c r="S278" i="40"/>
  <c r="Q278" i="40"/>
  <c r="R278" i="40"/>
  <c r="S287" i="32"/>
  <c r="T287" i="32"/>
  <c r="R272" i="30"/>
  <c r="S272" i="30"/>
  <c r="S287" i="30"/>
  <c r="T287" i="30"/>
  <c r="R279" i="32"/>
  <c r="S279" i="32"/>
  <c r="T279" i="32"/>
  <c r="T295" i="89"/>
  <c r="S287" i="40"/>
  <c r="T287" i="40"/>
  <c r="S287" i="17"/>
  <c r="T287" i="17"/>
  <c r="S272" i="89"/>
  <c r="R272" i="89"/>
  <c r="S272" i="28"/>
  <c r="R272" i="28"/>
  <c r="Q285" i="89"/>
  <c r="S285" i="89"/>
  <c r="R285" i="89"/>
  <c r="T285" i="89"/>
  <c r="S285" i="17"/>
  <c r="Q285" i="17"/>
  <c r="R285" i="17"/>
  <c r="T285" i="17"/>
  <c r="T288" i="89"/>
  <c r="T293" i="32"/>
  <c r="R293" i="32"/>
  <c r="S293" i="32"/>
  <c r="S273" i="14"/>
  <c r="T273" i="14"/>
  <c r="T280" i="23"/>
  <c r="S280" i="23"/>
  <c r="R272" i="17"/>
  <c r="S272" i="17"/>
  <c r="T294" i="23"/>
  <c r="S294" i="23"/>
  <c r="T287" i="38"/>
  <c r="S287" i="38"/>
  <c r="T275" i="25"/>
  <c r="S275" i="25"/>
  <c r="R274" i="25"/>
  <c r="S274" i="25"/>
  <c r="T294" i="40"/>
  <c r="S294" i="40"/>
  <c r="T287" i="28"/>
  <c r="S287" i="28"/>
  <c r="S294" i="17"/>
  <c r="T294" i="17"/>
  <c r="S280" i="25"/>
  <c r="Q280" i="25"/>
  <c r="R280" i="25"/>
  <c r="S280" i="32"/>
  <c r="T280" i="32"/>
  <c r="T288" i="17"/>
  <c r="T295" i="14"/>
  <c r="R278" i="28"/>
  <c r="S278" i="28"/>
  <c r="Q278" i="28"/>
  <c r="S272" i="38"/>
  <c r="R272" i="38"/>
  <c r="T295" i="32"/>
  <c r="T281" i="40"/>
  <c r="T295" i="28"/>
  <c r="T281" i="32"/>
  <c r="T293" i="14"/>
  <c r="S293" i="14"/>
  <c r="R293" i="14"/>
  <c r="S273" i="23"/>
  <c r="T273" i="23"/>
  <c r="T281" i="30"/>
  <c r="T287" i="23"/>
  <c r="S287" i="23"/>
  <c r="T293" i="28"/>
  <c r="R293" i="28"/>
  <c r="S293" i="28"/>
  <c r="T273" i="32"/>
  <c r="S273" i="32"/>
  <c r="T281" i="89"/>
  <c r="S273" i="38"/>
  <c r="T273" i="38"/>
  <c r="T297" i="25"/>
  <c r="S289" i="25"/>
  <c r="T289" i="25"/>
  <c r="T293" i="89"/>
  <c r="S293" i="89"/>
  <c r="R293" i="89"/>
  <c r="T283" i="25"/>
  <c r="T274" i="40"/>
  <c r="T295" i="17"/>
  <c r="T288" i="28"/>
  <c r="T273" i="28"/>
  <c r="S273" i="28"/>
  <c r="T274" i="89"/>
  <c r="T281" i="17"/>
  <c r="T274" i="30"/>
  <c r="T295" i="23"/>
  <c r="T294" i="38"/>
  <c r="S294" i="38"/>
  <c r="S280" i="89"/>
  <c r="T280" i="89"/>
  <c r="S273" i="89"/>
  <c r="T273" i="89"/>
  <c r="T273" i="30"/>
  <c r="S273" i="30"/>
  <c r="S272" i="23"/>
  <c r="R272" i="23"/>
  <c r="T295" i="40"/>
  <c r="S279" i="23"/>
  <c r="R279" i="23"/>
  <c r="T279" i="23"/>
  <c r="T274" i="14"/>
  <c r="T288" i="14"/>
  <c r="T295" i="30"/>
  <c r="R279" i="38"/>
  <c r="T279" i="38"/>
  <c r="S279" i="38"/>
  <c r="S293" i="23"/>
  <c r="R293" i="23"/>
  <c r="T293" i="23"/>
  <c r="T274" i="38"/>
  <c r="T290" i="25"/>
  <c r="T276" i="25"/>
  <c r="T288" i="32"/>
  <c r="T288" i="38"/>
  <c r="T281" i="28"/>
  <c r="T274" i="28"/>
  <c r="T281" i="38"/>
  <c r="T281" i="23"/>
  <c r="T295" i="38"/>
  <c r="T288" i="23"/>
  <c r="T274" i="23"/>
  <c r="AA218" i="28"/>
  <c r="AA218" i="30"/>
  <c r="AA218" i="23"/>
  <c r="AA218" i="38"/>
  <c r="AA218" i="14"/>
  <c r="AA218" i="89"/>
  <c r="AA218" i="40"/>
  <c r="AA220" i="25"/>
  <c r="AA218" i="17"/>
  <c r="Z219" i="25"/>
  <c r="AA218" i="32"/>
  <c r="Y216" i="28"/>
  <c r="X215" i="89"/>
  <c r="X215" i="17"/>
  <c r="Y216" i="32"/>
  <c r="Y216" i="40"/>
  <c r="X215" i="32"/>
  <c r="Z217" i="17"/>
  <c r="Y216" i="14"/>
  <c r="Y216" i="89"/>
  <c r="X217" i="25"/>
  <c r="Y218" i="25"/>
  <c r="Z217" i="40"/>
  <c r="Z217" i="38"/>
  <c r="Z217" i="32"/>
  <c r="Z217" i="23"/>
  <c r="Z217" i="14"/>
  <c r="X215" i="38"/>
  <c r="Y216" i="23"/>
  <c r="Y216" i="38"/>
  <c r="X215" i="14"/>
  <c r="X215" i="40"/>
  <c r="Z217" i="28"/>
  <c r="Z217" i="89"/>
  <c r="X215" i="30"/>
  <c r="X215" i="28"/>
  <c r="X215" i="23"/>
  <c r="Y216" i="17"/>
  <c r="Y216" i="30"/>
  <c r="Z217" i="30"/>
  <c r="AA227" i="17"/>
  <c r="AA227" i="38"/>
  <c r="AA227" i="28"/>
  <c r="AA227" i="32"/>
  <c r="AA227" i="14"/>
  <c r="AA227" i="23"/>
  <c r="AA227" i="89"/>
  <c r="AA227" i="30"/>
  <c r="AA227" i="40"/>
  <c r="AA229" i="25"/>
  <c r="X224" i="89"/>
  <c r="Y225" i="14"/>
  <c r="Z226" i="40"/>
  <c r="X224" i="14"/>
  <c r="Z226" i="28"/>
  <c r="X224" i="38"/>
  <c r="X224" i="30"/>
  <c r="X224" i="40"/>
  <c r="Y225" i="32"/>
  <c r="X224" i="23"/>
  <c r="Z226" i="23"/>
  <c r="X224" i="32"/>
  <c r="Z226" i="14"/>
  <c r="Y227" i="25"/>
  <c r="Z228" i="25"/>
  <c r="Z226" i="89"/>
  <c r="Y225" i="40"/>
  <c r="Y225" i="17"/>
  <c r="Z226" i="32"/>
  <c r="Y225" i="23"/>
  <c r="X224" i="28"/>
  <c r="Y225" i="89"/>
  <c r="Z226" i="30"/>
  <c r="X224" i="17"/>
  <c r="Y225" i="38"/>
  <c r="Y225" i="30"/>
  <c r="X226" i="25"/>
  <c r="Z226" i="17"/>
  <c r="Z226" i="38"/>
  <c r="Y225" i="28"/>
  <c r="AA168" i="32"/>
  <c r="T168" i="32"/>
  <c r="Z167" i="32"/>
  <c r="S167" i="32"/>
  <c r="AA168" i="14"/>
  <c r="T168" i="14"/>
  <c r="Z167" i="23"/>
  <c r="S167" i="23"/>
  <c r="T168" i="30"/>
  <c r="AA168" i="30"/>
  <c r="S167" i="89"/>
  <c r="Z167" i="89"/>
  <c r="T168" i="38"/>
  <c r="AA168" i="38"/>
  <c r="T168" i="23"/>
  <c r="AA168" i="23"/>
  <c r="Z167" i="30"/>
  <c r="S167" i="30"/>
  <c r="T168" i="40"/>
  <c r="AA168" i="40"/>
  <c r="S169" i="25"/>
  <c r="Z169" i="25"/>
  <c r="S167" i="17"/>
  <c r="Z167" i="17"/>
  <c r="Z167" i="14"/>
  <c r="S167" i="14"/>
  <c r="T170" i="25"/>
  <c r="AA170" i="25"/>
  <c r="S167" i="40"/>
  <c r="Z167" i="40"/>
  <c r="AA168" i="28"/>
  <c r="T168" i="28"/>
  <c r="S167" i="38"/>
  <c r="Z167" i="38"/>
  <c r="S167" i="28"/>
  <c r="Z167" i="28"/>
  <c r="AA168" i="17"/>
  <c r="T168" i="17"/>
  <c r="AA168" i="89"/>
  <c r="T168" i="89"/>
  <c r="T263" i="28"/>
  <c r="AA263" i="28"/>
  <c r="S262" i="40"/>
  <c r="Z262" i="40"/>
  <c r="Z262" i="14"/>
  <c r="S262" i="14"/>
  <c r="Z262" i="30"/>
  <c r="S262" i="30"/>
  <c r="Z262" i="28"/>
  <c r="S262" i="28"/>
  <c r="Z262" i="38"/>
  <c r="S262" i="38"/>
  <c r="T263" i="38"/>
  <c r="AA263" i="38"/>
  <c r="Z264" i="25"/>
  <c r="S264" i="25"/>
  <c r="T263" i="89"/>
  <c r="AA263" i="89"/>
  <c r="AA263" i="17"/>
  <c r="T263" i="17"/>
  <c r="AA263" i="32"/>
  <c r="T263" i="32"/>
  <c r="S262" i="23"/>
  <c r="Z262" i="23"/>
  <c r="Z262" i="32"/>
  <c r="S262" i="32"/>
  <c r="T265" i="25"/>
  <c r="AA265" i="25"/>
  <c r="AA263" i="14"/>
  <c r="T263" i="14"/>
  <c r="T263" i="30"/>
  <c r="AA263" i="30"/>
  <c r="AA263" i="40"/>
  <c r="T263" i="40"/>
  <c r="T263" i="23"/>
  <c r="AA263" i="23"/>
  <c r="Z262" i="17"/>
  <c r="S262" i="17"/>
  <c r="Z262" i="89"/>
  <c r="S262" i="89"/>
  <c r="T161" i="30"/>
  <c r="S161" i="30"/>
  <c r="R161" i="30"/>
  <c r="T161" i="14"/>
  <c r="S161" i="14"/>
  <c r="R161" i="14"/>
  <c r="T160" i="30"/>
  <c r="S160" i="30"/>
  <c r="R160" i="30"/>
  <c r="Q160" i="30"/>
  <c r="S161" i="17"/>
  <c r="R161" i="17"/>
  <c r="T161" i="17"/>
  <c r="Q160" i="17"/>
  <c r="S160" i="17"/>
  <c r="R160" i="17"/>
  <c r="T160" i="17"/>
  <c r="S163" i="25"/>
  <c r="T163" i="25"/>
  <c r="R163" i="25"/>
  <c r="T160" i="40"/>
  <c r="S160" i="40"/>
  <c r="R160" i="40"/>
  <c r="Q160" i="40"/>
  <c r="R161" i="40"/>
  <c r="S161" i="40"/>
  <c r="T161" i="40"/>
  <c r="Q160" i="38"/>
  <c r="R160" i="38"/>
  <c r="T160" i="38"/>
  <c r="S160" i="38"/>
  <c r="Q162" i="25"/>
  <c r="S162" i="25"/>
  <c r="T162" i="25"/>
  <c r="R162" i="25"/>
  <c r="R160" i="28"/>
  <c r="Q160" i="28"/>
  <c r="T160" i="28"/>
  <c r="S160" i="28"/>
  <c r="T160" i="32"/>
  <c r="S160" i="32"/>
  <c r="Q160" i="32"/>
  <c r="R160" i="32"/>
  <c r="S160" i="89"/>
  <c r="R160" i="89"/>
  <c r="T160" i="89"/>
  <c r="Q160" i="89"/>
  <c r="S160" i="14"/>
  <c r="T160" i="14"/>
  <c r="Q160" i="14"/>
  <c r="R160" i="14"/>
  <c r="S160" i="23"/>
  <c r="T160" i="23"/>
  <c r="R160" i="23"/>
  <c r="Q160" i="23"/>
  <c r="R161" i="89"/>
  <c r="S161" i="89"/>
  <c r="T161" i="89"/>
  <c r="T161" i="38"/>
  <c r="S161" i="38"/>
  <c r="R161" i="38"/>
  <c r="R161" i="23"/>
  <c r="S161" i="23"/>
  <c r="T161" i="23"/>
  <c r="S161" i="32"/>
  <c r="T161" i="32"/>
  <c r="R161" i="32"/>
  <c r="T161" i="28"/>
  <c r="S161" i="28"/>
  <c r="R161" i="28"/>
  <c r="S162" i="17"/>
  <c r="T162" i="17"/>
  <c r="T162" i="40"/>
  <c r="S162" i="40"/>
  <c r="T162" i="14"/>
  <c r="S162" i="14"/>
  <c r="T163" i="28"/>
  <c r="T165" i="25"/>
  <c r="T163" i="38"/>
  <c r="S162" i="38"/>
  <c r="T162" i="38"/>
  <c r="T162" i="32"/>
  <c r="S162" i="32"/>
  <c r="T163" i="40"/>
  <c r="T163" i="17"/>
  <c r="S162" i="28"/>
  <c r="T162" i="28"/>
  <c r="T163" i="89"/>
  <c r="S162" i="30"/>
  <c r="T162" i="30"/>
  <c r="S162" i="89"/>
  <c r="T162" i="89"/>
  <c r="T163" i="14"/>
  <c r="T163" i="30"/>
  <c r="T164" i="25"/>
  <c r="S164" i="25"/>
  <c r="T163" i="32"/>
  <c r="T163" i="23"/>
  <c r="T162" i="23"/>
  <c r="S162" i="23"/>
  <c r="R248" i="30"/>
  <c r="Q248" i="30"/>
  <c r="S248" i="30"/>
  <c r="T248" i="30"/>
  <c r="R256" i="40"/>
  <c r="T256" i="40"/>
  <c r="S256" i="40"/>
  <c r="R255" i="14"/>
  <c r="S255" i="14"/>
  <c r="Q255" i="14"/>
  <c r="T255" i="14"/>
  <c r="R249" i="32"/>
  <c r="S249" i="32"/>
  <c r="T249" i="32"/>
  <c r="R256" i="14"/>
  <c r="T256" i="14"/>
  <c r="S256" i="14"/>
  <c r="T258" i="25"/>
  <c r="S258" i="25"/>
  <c r="R258" i="25"/>
  <c r="T248" i="28"/>
  <c r="S248" i="28"/>
  <c r="R248" i="28"/>
  <c r="Q248" i="28"/>
  <c r="R256" i="89"/>
  <c r="T256" i="89"/>
  <c r="S256" i="89"/>
  <c r="R249" i="17"/>
  <c r="T249" i="17"/>
  <c r="S249" i="17"/>
  <c r="R256" i="32"/>
  <c r="T256" i="32"/>
  <c r="S256" i="32"/>
  <c r="S256" i="28"/>
  <c r="T256" i="28"/>
  <c r="R256" i="28"/>
  <c r="Q248" i="38"/>
  <c r="T248" i="38"/>
  <c r="S248" i="38"/>
  <c r="R248" i="38"/>
  <c r="R248" i="40"/>
  <c r="T248" i="40"/>
  <c r="Q248" i="40"/>
  <c r="S248" i="40"/>
  <c r="S251" i="25"/>
  <c r="T251" i="25"/>
  <c r="R251" i="25"/>
  <c r="Q255" i="40"/>
  <c r="T255" i="40"/>
  <c r="S255" i="40"/>
  <c r="R255" i="40"/>
  <c r="R249" i="89"/>
  <c r="S249" i="89"/>
  <c r="T249" i="89"/>
  <c r="T256" i="30"/>
  <c r="S256" i="30"/>
  <c r="R256" i="30"/>
  <c r="S249" i="28"/>
  <c r="T249" i="28"/>
  <c r="R249" i="28"/>
  <c r="R255" i="23"/>
  <c r="S255" i="23"/>
  <c r="Q255" i="23"/>
  <c r="T255" i="23"/>
  <c r="T248" i="14"/>
  <c r="S248" i="14"/>
  <c r="R248" i="14"/>
  <c r="Q248" i="14"/>
  <c r="T248" i="17"/>
  <c r="R248" i="17"/>
  <c r="S248" i="17"/>
  <c r="Q248" i="17"/>
  <c r="Q255" i="32"/>
  <c r="R255" i="32"/>
  <c r="T255" i="32"/>
  <c r="S255" i="32"/>
  <c r="Q255" i="89"/>
  <c r="S255" i="89"/>
  <c r="R255" i="89"/>
  <c r="T255" i="89"/>
  <c r="R256" i="17"/>
  <c r="S256" i="17"/>
  <c r="T256" i="17"/>
  <c r="T255" i="17"/>
  <c r="S255" i="17"/>
  <c r="Q255" i="17"/>
  <c r="R255" i="17"/>
  <c r="Q255" i="28"/>
  <c r="S255" i="28"/>
  <c r="R255" i="28"/>
  <c r="T255" i="28"/>
  <c r="S249" i="14"/>
  <c r="R249" i="14"/>
  <c r="T249" i="14"/>
  <c r="Q257" i="25"/>
  <c r="T257" i="25"/>
  <c r="R257" i="25"/>
  <c r="S257" i="25"/>
  <c r="S255" i="38"/>
  <c r="Q255" i="38"/>
  <c r="T255" i="38"/>
  <c r="R255" i="38"/>
  <c r="S255" i="30"/>
  <c r="R255" i="30"/>
  <c r="T255" i="30"/>
  <c r="Q255" i="30"/>
  <c r="R249" i="40"/>
  <c r="T249" i="40"/>
  <c r="S249" i="40"/>
  <c r="R250" i="25"/>
  <c r="T250" i="25"/>
  <c r="Q250" i="25"/>
  <c r="S250" i="25"/>
  <c r="S249" i="38"/>
  <c r="T249" i="38"/>
  <c r="R249" i="38"/>
  <c r="T248" i="32"/>
  <c r="Q248" i="32"/>
  <c r="R248" i="32"/>
  <c r="S248" i="32"/>
  <c r="R249" i="30"/>
  <c r="T249" i="30"/>
  <c r="S249" i="30"/>
  <c r="T248" i="23"/>
  <c r="S248" i="23"/>
  <c r="R248" i="23"/>
  <c r="Q248" i="23"/>
  <c r="Q248" i="89"/>
  <c r="S248" i="89"/>
  <c r="T248" i="89"/>
  <c r="R248" i="89"/>
  <c r="S256" i="23"/>
  <c r="T256" i="23"/>
  <c r="R256" i="23"/>
  <c r="S249" i="23"/>
  <c r="T249" i="23"/>
  <c r="R249" i="23"/>
  <c r="R256" i="38"/>
  <c r="T256" i="38"/>
  <c r="S256" i="38"/>
  <c r="T251" i="40"/>
  <c r="T258" i="38"/>
  <c r="S252" i="25"/>
  <c r="T252" i="25"/>
  <c r="S257" i="23"/>
  <c r="T257" i="23"/>
  <c r="T258" i="23"/>
  <c r="T257" i="14"/>
  <c r="S257" i="14"/>
  <c r="T260" i="25"/>
  <c r="S257" i="28"/>
  <c r="T257" i="28"/>
  <c r="T250" i="17"/>
  <c r="S250" i="17"/>
  <c r="S250" i="38"/>
  <c r="T250" i="38"/>
  <c r="T258" i="40"/>
  <c r="T257" i="32"/>
  <c r="S257" i="32"/>
  <c r="S250" i="28"/>
  <c r="T250" i="28"/>
  <c r="T250" i="89"/>
  <c r="S250" i="89"/>
  <c r="S257" i="17"/>
  <c r="T257" i="17"/>
  <c r="T257" i="40"/>
  <c r="S257" i="40"/>
  <c r="T259" i="25"/>
  <c r="S259" i="25"/>
  <c r="T251" i="32"/>
  <c r="T251" i="17"/>
  <c r="T251" i="89"/>
  <c r="T258" i="17"/>
  <c r="T251" i="28"/>
  <c r="T251" i="14"/>
  <c r="S250" i="14"/>
  <c r="T250" i="14"/>
  <c r="S250" i="32"/>
  <c r="T250" i="32"/>
  <c r="T257" i="30"/>
  <c r="S257" i="30"/>
  <c r="T251" i="38"/>
  <c r="T258" i="14"/>
  <c r="T258" i="89"/>
  <c r="T257" i="89"/>
  <c r="S257" i="89"/>
  <c r="S250" i="30"/>
  <c r="T250" i="30"/>
  <c r="T253" i="25"/>
  <c r="T258" i="32"/>
  <c r="S250" i="40"/>
  <c r="T250" i="40"/>
  <c r="S257" i="38"/>
  <c r="T257" i="38"/>
  <c r="T250" i="23"/>
  <c r="S250" i="23"/>
  <c r="T251" i="30"/>
  <c r="T258" i="28"/>
  <c r="T251" i="23"/>
  <c r="T258" i="30"/>
  <c r="AA123" i="28" l="1"/>
  <c r="Z122" i="28"/>
  <c r="AA123" i="23"/>
  <c r="AA123" i="17"/>
  <c r="AA123" i="89"/>
  <c r="Y123" i="25"/>
  <c r="Z124" i="25"/>
  <c r="AA125" i="25"/>
  <c r="Z122" i="23"/>
  <c r="Y121" i="23"/>
  <c r="AA123" i="30"/>
  <c r="Z122" i="89"/>
  <c r="Y121" i="40"/>
  <c r="Z122" i="40"/>
  <c r="AA123" i="40"/>
  <c r="AA123" i="32"/>
  <c r="X120" i="17"/>
  <c r="Y121" i="17"/>
  <c r="Z122" i="17"/>
  <c r="X120" i="38"/>
  <c r="Y121" i="38"/>
  <c r="Z122" i="38"/>
  <c r="AA123" i="38"/>
  <c r="X120" i="89"/>
  <c r="Y121" i="89"/>
  <c r="X120" i="40"/>
  <c r="Z122" i="32"/>
  <c r="X120" i="23"/>
  <c r="X120" i="28"/>
  <c r="Y121" i="28"/>
  <c r="X122" i="25"/>
  <c r="X120" i="30"/>
  <c r="Y121" i="30"/>
  <c r="Z122" i="30"/>
  <c r="X120" i="14"/>
  <c r="Y121" i="14"/>
  <c r="Z122" i="14"/>
  <c r="AA123" i="14"/>
  <c r="X120" i="32"/>
  <c r="Y121" i="32"/>
  <c r="Q146" i="17"/>
  <c r="S146" i="17"/>
  <c r="R146" i="17"/>
  <c r="T146" i="17"/>
  <c r="Q146" i="38"/>
  <c r="R146" i="38"/>
  <c r="S146" i="38"/>
  <c r="T146" i="38"/>
  <c r="S146" i="40"/>
  <c r="T146" i="40"/>
  <c r="Q146" i="40"/>
  <c r="R146" i="40"/>
  <c r="Q146" i="32"/>
  <c r="S146" i="32"/>
  <c r="R146" i="32"/>
  <c r="T146" i="32"/>
  <c r="S146" i="23"/>
  <c r="R146" i="23"/>
  <c r="T146" i="23"/>
  <c r="Q146" i="23"/>
  <c r="S146" i="30"/>
  <c r="Q146" i="30"/>
  <c r="T146" i="30"/>
  <c r="R146" i="30"/>
  <c r="S146" i="89"/>
  <c r="T146" i="89"/>
  <c r="R146" i="89"/>
  <c r="Q146" i="89"/>
  <c r="Q146" i="28"/>
  <c r="T146" i="28"/>
  <c r="R146" i="28"/>
  <c r="S146" i="28"/>
  <c r="T146" i="14"/>
  <c r="S146" i="14"/>
  <c r="R146" i="14"/>
  <c r="Q146" i="14"/>
  <c r="Q148" i="25"/>
  <c r="T148" i="25"/>
  <c r="S148" i="25"/>
  <c r="R148" i="25"/>
  <c r="S147" i="17"/>
  <c r="T147" i="17"/>
  <c r="R147" i="17"/>
  <c r="T153" i="40"/>
  <c r="Q153" i="40"/>
  <c r="S153" i="40"/>
  <c r="R153" i="40"/>
  <c r="T149" i="25"/>
  <c r="S149" i="25"/>
  <c r="R149" i="25"/>
  <c r="T156" i="25"/>
  <c r="R156" i="25"/>
  <c r="S156" i="25"/>
  <c r="R154" i="30"/>
  <c r="S154" i="30"/>
  <c r="T154" i="30"/>
  <c r="T154" i="32"/>
  <c r="S154" i="32"/>
  <c r="R154" i="32"/>
  <c r="S153" i="38"/>
  <c r="T153" i="38"/>
  <c r="R153" i="38"/>
  <c r="Q153" i="38"/>
  <c r="R147" i="89"/>
  <c r="T147" i="89"/>
  <c r="S147" i="89"/>
  <c r="R153" i="89"/>
  <c r="Q153" i="89"/>
  <c r="T153" i="89"/>
  <c r="S153" i="89"/>
  <c r="S154" i="28"/>
  <c r="T154" i="28"/>
  <c r="R154" i="28"/>
  <c r="T154" i="40"/>
  <c r="R154" i="40"/>
  <c r="S154" i="40"/>
  <c r="R153" i="28"/>
  <c r="T153" i="28"/>
  <c r="S153" i="28"/>
  <c r="Q153" i="28"/>
  <c r="R153" i="32"/>
  <c r="Q153" i="32"/>
  <c r="T153" i="32"/>
  <c r="S153" i="32"/>
  <c r="S147" i="40"/>
  <c r="R147" i="40"/>
  <c r="T147" i="40"/>
  <c r="T154" i="17"/>
  <c r="R154" i="17"/>
  <c r="S154" i="17"/>
  <c r="R153" i="14"/>
  <c r="S153" i="14"/>
  <c r="T153" i="14"/>
  <c r="Q153" i="14"/>
  <c r="T154" i="14"/>
  <c r="R154" i="14"/>
  <c r="S154" i="14"/>
  <c r="S155" i="25"/>
  <c r="Q155" i="25"/>
  <c r="T155" i="25"/>
  <c r="R155" i="25"/>
  <c r="R147" i="14"/>
  <c r="S147" i="14"/>
  <c r="T147" i="14"/>
  <c r="R147" i="28"/>
  <c r="T147" i="28"/>
  <c r="S147" i="28"/>
  <c r="T153" i="23"/>
  <c r="Q153" i="23"/>
  <c r="R153" i="23"/>
  <c r="S153" i="23"/>
  <c r="S147" i="32"/>
  <c r="R147" i="32"/>
  <c r="T147" i="32"/>
  <c r="T154" i="38"/>
  <c r="S154" i="38"/>
  <c r="R154" i="38"/>
  <c r="R154" i="89"/>
  <c r="S154" i="89"/>
  <c r="T154" i="89"/>
  <c r="Q153" i="30"/>
  <c r="S153" i="30"/>
  <c r="T153" i="30"/>
  <c r="R153" i="30"/>
  <c r="S147" i="30"/>
  <c r="T147" i="30"/>
  <c r="R147" i="30"/>
  <c r="Q153" i="17"/>
  <c r="T153" i="17"/>
  <c r="R153" i="17"/>
  <c r="S153" i="17"/>
  <c r="T154" i="23"/>
  <c r="R154" i="23"/>
  <c r="S154" i="23"/>
  <c r="T147" i="23"/>
  <c r="S147" i="23"/>
  <c r="R147" i="23"/>
  <c r="R147" i="38"/>
  <c r="S147" i="38"/>
  <c r="T147" i="38"/>
  <c r="T148" i="28"/>
  <c r="S148" i="28"/>
  <c r="T149" i="38"/>
  <c r="S148" i="89"/>
  <c r="T148" i="89"/>
  <c r="S155" i="30"/>
  <c r="T155" i="30"/>
  <c r="T148" i="23"/>
  <c r="S148" i="23"/>
  <c r="T155" i="28"/>
  <c r="S155" i="28"/>
  <c r="T156" i="89"/>
  <c r="T148" i="30"/>
  <c r="S148" i="30"/>
  <c r="T157" i="25"/>
  <c r="S157" i="25"/>
  <c r="T156" i="38"/>
  <c r="S148" i="38"/>
  <c r="T148" i="38"/>
  <c r="T148" i="40"/>
  <c r="S148" i="40"/>
  <c r="T155" i="32"/>
  <c r="S155" i="32"/>
  <c r="T149" i="23"/>
  <c r="T156" i="17"/>
  <c r="T156" i="40"/>
  <c r="T156" i="30"/>
  <c r="T148" i="14"/>
  <c r="S148" i="14"/>
  <c r="S155" i="40"/>
  <c r="T155" i="40"/>
  <c r="T155" i="17"/>
  <c r="S155" i="17"/>
  <c r="S150" i="25"/>
  <c r="T150" i="25"/>
  <c r="T156" i="32"/>
  <c r="T156" i="14"/>
  <c r="T149" i="40"/>
  <c r="T148" i="17"/>
  <c r="S148" i="17"/>
  <c r="T151" i="25"/>
  <c r="T149" i="30"/>
  <c r="T149" i="28"/>
  <c r="T158" i="25"/>
  <c r="T149" i="32"/>
  <c r="S155" i="23"/>
  <c r="T155" i="23"/>
  <c r="T155" i="38"/>
  <c r="S155" i="38"/>
  <c r="T155" i="89"/>
  <c r="S155" i="89"/>
  <c r="T156" i="28"/>
  <c r="T149" i="89"/>
  <c r="S155" i="14"/>
  <c r="T155" i="14"/>
  <c r="T156" i="23"/>
  <c r="T149" i="17"/>
  <c r="T149" i="14"/>
  <c r="T148" i="32"/>
  <c r="S148" i="32"/>
  <c r="S244" i="40"/>
  <c r="S244" i="38"/>
  <c r="S244" i="89"/>
  <c r="S244" i="14"/>
  <c r="S244" i="28"/>
  <c r="S244" i="30"/>
  <c r="S246" i="25"/>
  <c r="S244" i="17"/>
  <c r="S244" i="32"/>
  <c r="S244" i="23"/>
  <c r="Q242" i="30"/>
  <c r="R243" i="32"/>
  <c r="Q242" i="40"/>
  <c r="Q242" i="32"/>
  <c r="R243" i="14"/>
  <c r="R243" i="38"/>
  <c r="R243" i="30"/>
  <c r="R243" i="40"/>
  <c r="R243" i="23"/>
  <c r="P241" i="17"/>
  <c r="R245" i="25"/>
  <c r="R243" i="17"/>
  <c r="Q242" i="28"/>
  <c r="R243" i="28"/>
  <c r="P241" i="38"/>
  <c r="Q242" i="14"/>
  <c r="Q242" i="89"/>
  <c r="Q242" i="17"/>
  <c r="P241" i="40"/>
  <c r="Q244" i="25"/>
  <c r="Q242" i="23"/>
  <c r="P241" i="23"/>
  <c r="P241" i="14"/>
  <c r="R243" i="89"/>
  <c r="P241" i="89"/>
  <c r="P241" i="30"/>
  <c r="P241" i="28"/>
  <c r="P243" i="25"/>
  <c r="P241" i="32"/>
  <c r="Q242" i="38"/>
  <c r="T245" i="14"/>
  <c r="T245" i="40"/>
  <c r="T247" i="25"/>
  <c r="T245" i="28"/>
  <c r="T245" i="30"/>
  <c r="T245" i="17"/>
  <c r="T245" i="23"/>
  <c r="T245" i="38"/>
  <c r="T245" i="32"/>
  <c r="T245" i="89"/>
  <c r="T139" i="17"/>
  <c r="S139" i="17"/>
  <c r="R139" i="17"/>
  <c r="Q139" i="17"/>
  <c r="R139" i="23"/>
  <c r="S139" i="23"/>
  <c r="T139" i="23"/>
  <c r="Q139" i="23"/>
  <c r="T139" i="38"/>
  <c r="R139" i="38"/>
  <c r="S139" i="38"/>
  <c r="Q139" i="38"/>
  <c r="R139" i="32"/>
  <c r="S139" i="32"/>
  <c r="T139" i="32"/>
  <c r="Q139" i="32"/>
  <c r="Q139" i="30"/>
  <c r="R139" i="30"/>
  <c r="T139" i="30"/>
  <c r="S139" i="30"/>
  <c r="R139" i="40"/>
  <c r="S139" i="40"/>
  <c r="Q139" i="40"/>
  <c r="T139" i="40"/>
  <c r="R139" i="28"/>
  <c r="S139" i="28"/>
  <c r="T139" i="28"/>
  <c r="Q139" i="28"/>
  <c r="S139" i="14"/>
  <c r="R139" i="14"/>
  <c r="Q139" i="14"/>
  <c r="T139" i="14"/>
  <c r="R141" i="25"/>
  <c r="S141" i="25"/>
  <c r="Q141" i="25"/>
  <c r="T141" i="25"/>
  <c r="T139" i="89"/>
  <c r="Q139" i="89"/>
  <c r="S139" i="89"/>
  <c r="R139" i="89"/>
  <c r="S140" i="17"/>
  <c r="T140" i="17"/>
  <c r="R140" i="17"/>
  <c r="T140" i="38"/>
  <c r="S140" i="38"/>
  <c r="R140" i="38"/>
  <c r="S140" i="30"/>
  <c r="T140" i="30"/>
  <c r="R140" i="30"/>
  <c r="S140" i="23"/>
  <c r="R140" i="23"/>
  <c r="T140" i="23"/>
  <c r="S140" i="40"/>
  <c r="T140" i="40"/>
  <c r="R140" i="40"/>
  <c r="R140" i="32"/>
  <c r="S140" i="32"/>
  <c r="T140" i="32"/>
  <c r="T142" i="25"/>
  <c r="S142" i="25"/>
  <c r="R142" i="25"/>
  <c r="T140" i="89"/>
  <c r="R140" i="89"/>
  <c r="S140" i="89"/>
  <c r="S140" i="28"/>
  <c r="R140" i="28"/>
  <c r="T140" i="28"/>
  <c r="T140" i="14"/>
  <c r="S140" i="14"/>
  <c r="R140" i="14"/>
  <c r="S141" i="38"/>
  <c r="T141" i="38"/>
  <c r="T141" i="40"/>
  <c r="S141" i="40"/>
  <c r="S141" i="17"/>
  <c r="T141" i="17"/>
  <c r="T141" i="89"/>
  <c r="S141" i="89"/>
  <c r="S141" i="28"/>
  <c r="T141" i="28"/>
  <c r="S141" i="23"/>
  <c r="T141" i="23"/>
  <c r="T142" i="28"/>
  <c r="T142" i="89"/>
  <c r="T143" i="25"/>
  <c r="S143" i="25"/>
  <c r="T142" i="17"/>
  <c r="T142" i="38"/>
  <c r="T142" i="32"/>
  <c r="T144" i="25"/>
  <c r="T142" i="30"/>
  <c r="T142" i="23"/>
  <c r="T141" i="32"/>
  <c r="S141" i="32"/>
  <c r="T142" i="14"/>
  <c r="T141" i="30"/>
  <c r="S141" i="30"/>
  <c r="T142" i="40"/>
  <c r="S141" i="14"/>
  <c r="T141" i="14"/>
  <c r="R235" i="17"/>
  <c r="S235" i="17"/>
  <c r="T235" i="17"/>
  <c r="T234" i="17"/>
  <c r="Q234" i="17"/>
  <c r="S234" i="17"/>
  <c r="R234" i="17"/>
  <c r="T235" i="32"/>
  <c r="S235" i="32"/>
  <c r="R235" i="32"/>
  <c r="S234" i="30"/>
  <c r="R234" i="30"/>
  <c r="Q234" i="30"/>
  <c r="T234" i="30"/>
  <c r="T235" i="38"/>
  <c r="R235" i="38"/>
  <c r="S235" i="38"/>
  <c r="S234" i="32"/>
  <c r="R234" i="32"/>
  <c r="Q234" i="32"/>
  <c r="T234" i="32"/>
  <c r="R235" i="23"/>
  <c r="S235" i="23"/>
  <c r="T235" i="23"/>
  <c r="S234" i="38"/>
  <c r="R234" i="38"/>
  <c r="T234" i="38"/>
  <c r="Q234" i="38"/>
  <c r="S234" i="40"/>
  <c r="T234" i="40"/>
  <c r="Q234" i="40"/>
  <c r="R234" i="40"/>
  <c r="S235" i="40"/>
  <c r="R235" i="40"/>
  <c r="T235" i="40"/>
  <c r="T234" i="23"/>
  <c r="Q234" i="23"/>
  <c r="S234" i="23"/>
  <c r="R234" i="23"/>
  <c r="T235" i="30"/>
  <c r="R235" i="30"/>
  <c r="S235" i="30"/>
  <c r="S234" i="89"/>
  <c r="Q234" i="89"/>
  <c r="R234" i="89"/>
  <c r="T234" i="89"/>
  <c r="S234" i="28"/>
  <c r="Q234" i="28"/>
  <c r="R234" i="28"/>
  <c r="T234" i="28"/>
  <c r="S235" i="89"/>
  <c r="R235" i="89"/>
  <c r="T235" i="89"/>
  <c r="S234" i="14"/>
  <c r="Q234" i="14"/>
  <c r="T234" i="14"/>
  <c r="R234" i="14"/>
  <c r="S237" i="25"/>
  <c r="R237" i="25"/>
  <c r="T237" i="25"/>
  <c r="Q236" i="25"/>
  <c r="T236" i="25"/>
  <c r="R236" i="25"/>
  <c r="S236" i="25"/>
  <c r="R235" i="28"/>
  <c r="T235" i="28"/>
  <c r="S235" i="28"/>
  <c r="R235" i="14"/>
  <c r="S235" i="14"/>
  <c r="T235" i="14"/>
  <c r="T237" i="30"/>
  <c r="S236" i="38"/>
  <c r="T236" i="38"/>
  <c r="T237" i="28"/>
  <c r="T236" i="30"/>
  <c r="S236" i="30"/>
  <c r="T236" i="32"/>
  <c r="S236" i="32"/>
  <c r="S236" i="17"/>
  <c r="T236" i="17"/>
  <c r="S236" i="14"/>
  <c r="T236" i="14"/>
  <c r="T237" i="14"/>
  <c r="T237" i="89"/>
  <c r="T236" i="89"/>
  <c r="S236" i="89"/>
  <c r="T238" i="25"/>
  <c r="S238" i="25"/>
  <c r="T237" i="32"/>
  <c r="T237" i="40"/>
  <c r="T239" i="25"/>
  <c r="T237" i="38"/>
  <c r="S236" i="23"/>
  <c r="T236" i="23"/>
  <c r="T237" i="23"/>
  <c r="S236" i="28"/>
  <c r="T236" i="28"/>
  <c r="T237" i="17"/>
  <c r="S236" i="40"/>
  <c r="T236" i="40"/>
  <c r="R241" i="17"/>
  <c r="T241" i="17"/>
  <c r="Q241" i="17"/>
  <c r="S241" i="17"/>
  <c r="R241" i="32"/>
  <c r="Q241" i="32"/>
  <c r="T241" i="32"/>
  <c r="S241" i="32"/>
  <c r="S241" i="23"/>
  <c r="Q241" i="23"/>
  <c r="T241" i="23"/>
  <c r="R241" i="23"/>
  <c r="S241" i="30"/>
  <c r="T241" i="30"/>
  <c r="Q241" i="30"/>
  <c r="R241" i="30"/>
  <c r="S241" i="38"/>
  <c r="Q241" i="38"/>
  <c r="T241" i="38"/>
  <c r="R241" i="38"/>
  <c r="Q241" i="40"/>
  <c r="S241" i="40"/>
  <c r="R241" i="40"/>
  <c r="T241" i="40"/>
  <c r="S241" i="89"/>
  <c r="Q241" i="89"/>
  <c r="T241" i="89"/>
  <c r="R241" i="89"/>
  <c r="T243" i="25"/>
  <c r="Q243" i="25"/>
  <c r="R243" i="25"/>
  <c r="S243" i="25"/>
  <c r="S241" i="14"/>
  <c r="R241" i="14"/>
  <c r="T241" i="14"/>
  <c r="Q241" i="14"/>
  <c r="R241" i="28"/>
  <c r="Q241" i="28"/>
  <c r="T241" i="28"/>
  <c r="S241" i="28"/>
  <c r="R242" i="14"/>
  <c r="S242" i="14"/>
  <c r="T242" i="14"/>
  <c r="T242" i="89"/>
  <c r="S242" i="89"/>
  <c r="R242" i="89"/>
  <c r="T242" i="17"/>
  <c r="R242" i="17"/>
  <c r="S242" i="17"/>
  <c r="T242" i="23"/>
  <c r="R242" i="23"/>
  <c r="S242" i="23"/>
  <c r="S242" i="40"/>
  <c r="T242" i="40"/>
  <c r="R242" i="40"/>
  <c r="S242" i="38"/>
  <c r="R242" i="38"/>
  <c r="T242" i="38"/>
  <c r="S242" i="28"/>
  <c r="T242" i="28"/>
  <c r="R242" i="28"/>
  <c r="S244" i="25"/>
  <c r="T244" i="25"/>
  <c r="R244" i="25"/>
  <c r="S242" i="30"/>
  <c r="R242" i="30"/>
  <c r="T242" i="30"/>
  <c r="T242" i="32"/>
  <c r="R242" i="32"/>
  <c r="S242" i="32"/>
  <c r="T244" i="40"/>
  <c r="T246" i="25"/>
  <c r="T243" i="14"/>
  <c r="S243" i="14"/>
  <c r="T244" i="30"/>
  <c r="T244" i="89"/>
  <c r="S243" i="17"/>
  <c r="T243" i="17"/>
  <c r="T244" i="38"/>
  <c r="T244" i="17"/>
  <c r="S243" i="23"/>
  <c r="T243" i="23"/>
  <c r="T244" i="23"/>
  <c r="S243" i="40"/>
  <c r="T243" i="40"/>
  <c r="T243" i="32"/>
  <c r="S243" i="32"/>
  <c r="S243" i="38"/>
  <c r="T243" i="38"/>
  <c r="T244" i="32"/>
  <c r="T245" i="25"/>
  <c r="S245" i="25"/>
  <c r="T243" i="89"/>
  <c r="S243" i="89"/>
  <c r="T243" i="30"/>
  <c r="S243" i="30"/>
  <c r="T244" i="28"/>
  <c r="T244" i="14"/>
  <c r="S243" i="28"/>
  <c r="T243" i="28"/>
  <c r="S290" i="25" l="1"/>
  <c r="M290" i="25"/>
  <c r="AA290" i="25"/>
  <c r="AA258" i="30"/>
  <c r="M258" i="30"/>
  <c r="S258" i="30"/>
  <c r="M170" i="14"/>
  <c r="Z170" i="14"/>
  <c r="S170" i="14"/>
  <c r="M156" i="30"/>
  <c r="AA156" i="30"/>
  <c r="S156" i="30"/>
  <c r="S302" i="14"/>
  <c r="M302" i="14"/>
  <c r="Z302" i="14"/>
  <c r="S295" i="32"/>
  <c r="M295" i="32"/>
  <c r="AA295" i="32"/>
  <c r="S274" i="23"/>
  <c r="M274" i="23"/>
  <c r="AA274" i="23"/>
  <c r="AA311" i="40"/>
  <c r="T311" i="40"/>
  <c r="M311" i="40"/>
  <c r="M251" i="38"/>
  <c r="S251" i="38"/>
  <c r="AA251" i="38"/>
  <c r="AA251" i="32"/>
  <c r="M251" i="32"/>
  <c r="S251" i="32"/>
  <c r="AA274" i="28"/>
  <c r="M274" i="28"/>
  <c r="S274" i="28"/>
  <c r="S207" i="14"/>
  <c r="M207" i="14"/>
  <c r="Z207" i="14"/>
  <c r="M265" i="89"/>
  <c r="Z265" i="89"/>
  <c r="S265" i="89"/>
  <c r="T311" i="17"/>
  <c r="AA311" i="17"/>
  <c r="M311" i="17"/>
  <c r="M200" i="28"/>
  <c r="S200" i="28"/>
  <c r="AA200" i="28"/>
  <c r="M274" i="30"/>
  <c r="AA274" i="30"/>
  <c r="S274" i="30"/>
  <c r="S186" i="89"/>
  <c r="M186" i="89"/>
  <c r="AA186" i="89"/>
  <c r="M258" i="23"/>
  <c r="AA258" i="23"/>
  <c r="S258" i="23"/>
  <c r="M149" i="17"/>
  <c r="S149" i="17"/>
  <c r="AA149" i="17"/>
  <c r="AA186" i="32"/>
  <c r="S186" i="32"/>
  <c r="M186" i="32"/>
  <c r="AA288" i="14"/>
  <c r="S288" i="14"/>
  <c r="M288" i="14"/>
  <c r="S207" i="89"/>
  <c r="M207" i="89"/>
  <c r="Z207" i="89"/>
  <c r="AA158" i="25"/>
  <c r="M158" i="25"/>
  <c r="S158" i="25"/>
  <c r="S207" i="30"/>
  <c r="M207" i="30"/>
  <c r="Z207" i="30"/>
  <c r="AA251" i="23"/>
  <c r="S251" i="23"/>
  <c r="M251" i="23"/>
  <c r="M163" i="23"/>
  <c r="S163" i="23"/>
  <c r="AA163" i="23"/>
  <c r="M302" i="89"/>
  <c r="Z302" i="89"/>
  <c r="S302" i="89"/>
  <c r="S251" i="30"/>
  <c r="AA251" i="30"/>
  <c r="M251" i="30"/>
  <c r="M156" i="32"/>
  <c r="AA156" i="32"/>
  <c r="S156" i="32"/>
  <c r="M302" i="32"/>
  <c r="S302" i="32"/>
  <c r="Z302" i="32"/>
  <c r="Z209" i="25"/>
  <c r="S209" i="25"/>
  <c r="M209" i="25"/>
  <c r="AA163" i="38"/>
  <c r="M163" i="38"/>
  <c r="S163" i="38"/>
  <c r="M170" i="30"/>
  <c r="Z170" i="30"/>
  <c r="S170" i="30"/>
  <c r="S281" i="28"/>
  <c r="M281" i="28"/>
  <c r="AA281" i="28"/>
  <c r="M181" i="25"/>
  <c r="S181" i="25"/>
  <c r="AA181" i="25"/>
  <c r="S149" i="38"/>
  <c r="M149" i="38"/>
  <c r="AA149" i="38"/>
  <c r="AA156" i="17"/>
  <c r="M156" i="17"/>
  <c r="S156" i="17"/>
  <c r="S179" i="40"/>
  <c r="AA179" i="40"/>
  <c r="M179" i="40"/>
  <c r="AA295" i="28"/>
  <c r="S295" i="28"/>
  <c r="M295" i="28"/>
  <c r="Z172" i="25"/>
  <c r="M172" i="25"/>
  <c r="S172" i="25"/>
  <c r="S179" i="17"/>
  <c r="M179" i="17"/>
  <c r="AA179" i="17"/>
  <c r="AA149" i="14"/>
  <c r="S149" i="14"/>
  <c r="M149" i="14"/>
  <c r="AA281" i="14"/>
  <c r="S281" i="14"/>
  <c r="M281" i="14"/>
  <c r="S195" i="25"/>
  <c r="AA195" i="25"/>
  <c r="M195" i="25"/>
  <c r="M265" i="23"/>
  <c r="Z265" i="23"/>
  <c r="S265" i="23"/>
  <c r="S156" i="40"/>
  <c r="AA156" i="40"/>
  <c r="M156" i="40"/>
  <c r="AA311" i="89"/>
  <c r="T311" i="89"/>
  <c r="M311" i="89"/>
  <c r="S179" i="14"/>
  <c r="AA179" i="14"/>
  <c r="M179" i="14"/>
  <c r="S151" i="25"/>
  <c r="M151" i="25"/>
  <c r="AA151" i="25"/>
  <c r="T311" i="38"/>
  <c r="AA311" i="38"/>
  <c r="M311" i="38"/>
  <c r="AA149" i="89"/>
  <c r="S149" i="89"/>
  <c r="M149" i="89"/>
  <c r="M281" i="40"/>
  <c r="S281" i="40"/>
  <c r="AA281" i="40"/>
  <c r="M302" i="28"/>
  <c r="Z302" i="28"/>
  <c r="S302" i="28"/>
  <c r="AA295" i="40"/>
  <c r="S295" i="40"/>
  <c r="M295" i="40"/>
  <c r="S265" i="17"/>
  <c r="M265" i="17"/>
  <c r="Z265" i="17"/>
  <c r="AA200" i="17"/>
  <c r="M200" i="17"/>
  <c r="S200" i="17"/>
  <c r="AA149" i="28"/>
  <c r="S149" i="28"/>
  <c r="M149" i="28"/>
  <c r="AA156" i="14"/>
  <c r="M156" i="14"/>
  <c r="S156" i="14"/>
  <c r="AA186" i="23"/>
  <c r="S186" i="23"/>
  <c r="M186" i="23"/>
  <c r="M265" i="38"/>
  <c r="Z265" i="38"/>
  <c r="S265" i="38"/>
  <c r="AA156" i="23"/>
  <c r="M156" i="23"/>
  <c r="S156" i="23"/>
  <c r="S186" i="17"/>
  <c r="AA186" i="17"/>
  <c r="M186" i="17"/>
  <c r="Z207" i="40"/>
  <c r="S207" i="40"/>
  <c r="M207" i="40"/>
  <c r="M179" i="28"/>
  <c r="AA179" i="28"/>
  <c r="S179" i="28"/>
  <c r="T311" i="23"/>
  <c r="M311" i="23"/>
  <c r="AA311" i="23"/>
  <c r="S200" i="40"/>
  <c r="M200" i="40"/>
  <c r="AA200" i="40"/>
  <c r="M311" i="28"/>
  <c r="AA311" i="28"/>
  <c r="T311" i="28"/>
  <c r="S193" i="89"/>
  <c r="M193" i="89"/>
  <c r="AA193" i="89"/>
  <c r="S295" i="23"/>
  <c r="M295" i="23"/>
  <c r="AA295" i="23"/>
  <c r="S260" i="25"/>
  <c r="AA260" i="25"/>
  <c r="M260" i="25"/>
  <c r="Z265" i="40"/>
  <c r="M265" i="40"/>
  <c r="S265" i="40"/>
  <c r="AA156" i="38"/>
  <c r="S156" i="38"/>
  <c r="M156" i="38"/>
  <c r="AA149" i="23"/>
  <c r="M149" i="23"/>
  <c r="S149" i="23"/>
  <c r="M179" i="89"/>
  <c r="AA179" i="89"/>
  <c r="S179" i="89"/>
  <c r="AA193" i="30"/>
  <c r="M193" i="30"/>
  <c r="S193" i="30"/>
  <c r="S170" i="89"/>
  <c r="Z170" i="89"/>
  <c r="M170" i="89"/>
  <c r="S163" i="89"/>
  <c r="M163" i="89"/>
  <c r="AA163" i="89"/>
  <c r="M281" i="30"/>
  <c r="S281" i="30"/>
  <c r="AA281" i="30"/>
  <c r="Z267" i="25"/>
  <c r="S267" i="25"/>
  <c r="M267" i="25"/>
  <c r="Z207" i="17"/>
  <c r="S207" i="17"/>
  <c r="M207" i="17"/>
  <c r="S200" i="38"/>
  <c r="AA200" i="38"/>
  <c r="M200" i="38"/>
  <c r="S165" i="25"/>
  <c r="AA165" i="25"/>
  <c r="M165" i="25"/>
  <c r="M193" i="14"/>
  <c r="AA193" i="14"/>
  <c r="S193" i="14"/>
  <c r="M193" i="40"/>
  <c r="S193" i="40"/>
  <c r="AA193" i="40"/>
  <c r="M274" i="38"/>
  <c r="AA274" i="38"/>
  <c r="S274" i="38"/>
  <c r="AA258" i="38"/>
  <c r="M258" i="38"/>
  <c r="S258" i="38"/>
  <c r="S258" i="89"/>
  <c r="AA258" i="89"/>
  <c r="M258" i="89"/>
  <c r="S186" i="28"/>
  <c r="AA186" i="28"/>
  <c r="M186" i="28"/>
  <c r="AA274" i="32"/>
  <c r="S274" i="32"/>
  <c r="M274" i="32"/>
  <c r="M170" i="40"/>
  <c r="S170" i="40"/>
  <c r="Z170" i="40"/>
  <c r="M156" i="89"/>
  <c r="S156" i="89"/>
  <c r="AA156" i="89"/>
  <c r="M251" i="28"/>
  <c r="S251" i="28"/>
  <c r="AA251" i="28"/>
  <c r="AA186" i="14"/>
  <c r="M186" i="14"/>
  <c r="S186" i="14"/>
  <c r="S186" i="40"/>
  <c r="AA186" i="40"/>
  <c r="M186" i="40"/>
  <c r="M149" i="32"/>
  <c r="AA149" i="32"/>
  <c r="S149" i="32"/>
  <c r="S179" i="32"/>
  <c r="M179" i="32"/>
  <c r="AA179" i="32"/>
  <c r="M258" i="14"/>
  <c r="AA258" i="14"/>
  <c r="S258" i="14"/>
  <c r="S265" i="32"/>
  <c r="M265" i="32"/>
  <c r="Z265" i="32"/>
  <c r="AA193" i="32"/>
  <c r="M193" i="32"/>
  <c r="S193" i="32"/>
  <c r="AA163" i="28"/>
  <c r="M163" i="28"/>
  <c r="S163" i="28"/>
  <c r="Z207" i="23"/>
  <c r="S207" i="23"/>
  <c r="M207" i="23"/>
  <c r="AA251" i="14"/>
  <c r="M251" i="14"/>
  <c r="S251" i="14"/>
  <c r="M288" i="89"/>
  <c r="AA288" i="89"/>
  <c r="S288" i="89"/>
  <c r="AA193" i="23"/>
  <c r="M193" i="23"/>
  <c r="S193" i="23"/>
  <c r="S265" i="30"/>
  <c r="Z265" i="30"/>
  <c r="M265" i="30"/>
  <c r="S207" i="38"/>
  <c r="Z207" i="38"/>
  <c r="M207" i="38"/>
  <c r="AA179" i="30"/>
  <c r="S179" i="30"/>
  <c r="M179" i="30"/>
  <c r="S281" i="23"/>
  <c r="M281" i="23"/>
  <c r="AA281" i="23"/>
  <c r="Z265" i="28"/>
  <c r="M265" i="28"/>
  <c r="S265" i="28"/>
  <c r="M193" i="17"/>
  <c r="AA193" i="17"/>
  <c r="S193" i="17"/>
  <c r="S193" i="38"/>
  <c r="M193" i="38"/>
  <c r="AA193" i="38"/>
  <c r="S274" i="89"/>
  <c r="M274" i="89"/>
  <c r="AA274" i="89"/>
  <c r="S302" i="23"/>
  <c r="M302" i="23"/>
  <c r="Z302" i="23"/>
  <c r="M251" i="17"/>
  <c r="S251" i="17"/>
  <c r="AA251" i="17"/>
  <c r="AA311" i="32"/>
  <c r="M311" i="32"/>
  <c r="T311" i="32"/>
  <c r="AA281" i="17"/>
  <c r="S281" i="17"/>
  <c r="M281" i="17"/>
  <c r="M302" i="38"/>
  <c r="S302" i="38"/>
  <c r="Z302" i="38"/>
  <c r="AA295" i="38"/>
  <c r="M295" i="38"/>
  <c r="S295" i="38"/>
  <c r="M186" i="38"/>
  <c r="AA186" i="38"/>
  <c r="S186" i="38"/>
  <c r="S207" i="28"/>
  <c r="Z207" i="28"/>
  <c r="M207" i="28"/>
  <c r="AA281" i="38"/>
  <c r="S281" i="38"/>
  <c r="M281" i="38"/>
  <c r="S310" i="32"/>
  <c r="Z310" i="32"/>
  <c r="S200" i="23"/>
  <c r="M200" i="23"/>
  <c r="AA200" i="23"/>
  <c r="AA288" i="17"/>
  <c r="M288" i="17"/>
  <c r="S288" i="17"/>
  <c r="S200" i="14"/>
  <c r="AA200" i="14"/>
  <c r="M200" i="14"/>
  <c r="T266" i="32"/>
  <c r="AA266" i="32"/>
  <c r="S283" i="25"/>
  <c r="M283" i="25"/>
  <c r="AA283" i="25"/>
  <c r="Z185" i="40"/>
  <c r="R185" i="40"/>
  <c r="AA148" i="32"/>
  <c r="M148" i="32"/>
  <c r="M170" i="28"/>
  <c r="Z170" i="28"/>
  <c r="S170" i="28"/>
  <c r="Z250" i="32"/>
  <c r="R250" i="32"/>
  <c r="M179" i="23"/>
  <c r="AA179" i="23"/>
  <c r="S179" i="23"/>
  <c r="S304" i="25"/>
  <c r="Z304" i="25"/>
  <c r="M304" i="25"/>
  <c r="AA288" i="28"/>
  <c r="M288" i="28"/>
  <c r="S288" i="28"/>
  <c r="AA163" i="40"/>
  <c r="M163" i="40"/>
  <c r="S163" i="40"/>
  <c r="AA141" i="23"/>
  <c r="M141" i="23"/>
  <c r="AA202" i="25"/>
  <c r="M202" i="25"/>
  <c r="S202" i="25"/>
  <c r="Z162" i="28"/>
  <c r="R162" i="28"/>
  <c r="Z192" i="38"/>
  <c r="R192" i="38"/>
  <c r="S310" i="38"/>
  <c r="Z310" i="38"/>
  <c r="S258" i="17"/>
  <c r="M258" i="17"/>
  <c r="AA258" i="17"/>
  <c r="R199" i="40"/>
  <c r="Z199" i="40"/>
  <c r="AA163" i="17"/>
  <c r="S163" i="17"/>
  <c r="M163" i="17"/>
  <c r="S288" i="40"/>
  <c r="AA288" i="40"/>
  <c r="M288" i="40"/>
  <c r="S163" i="32"/>
  <c r="M163" i="32"/>
  <c r="AA163" i="32"/>
  <c r="AA200" i="89"/>
  <c r="M200" i="89"/>
  <c r="S200" i="89"/>
  <c r="S253" i="25"/>
  <c r="AA253" i="25"/>
  <c r="M253" i="25"/>
  <c r="AA185" i="40"/>
  <c r="L185" i="40"/>
  <c r="M185" i="40"/>
  <c r="S302" i="30"/>
  <c r="M302" i="30"/>
  <c r="Z302" i="30"/>
  <c r="R282" i="25"/>
  <c r="Z282" i="25"/>
  <c r="Q191" i="38"/>
  <c r="Y191" i="38"/>
  <c r="M302" i="40"/>
  <c r="S302" i="40"/>
  <c r="Z302" i="40"/>
  <c r="R201" i="25"/>
  <c r="Z201" i="25"/>
  <c r="AA276" i="25"/>
  <c r="M276" i="25"/>
  <c r="S276" i="25"/>
  <c r="S188" i="25"/>
  <c r="AA188" i="25"/>
  <c r="M188" i="25"/>
  <c r="AA201" i="25"/>
  <c r="L201" i="25"/>
  <c r="M201" i="25"/>
  <c r="T311" i="30"/>
  <c r="AA311" i="30"/>
  <c r="M311" i="30"/>
  <c r="S149" i="40"/>
  <c r="M149" i="40"/>
  <c r="AA149" i="40"/>
  <c r="R280" i="17"/>
  <c r="Z280" i="17"/>
  <c r="S281" i="89"/>
  <c r="M281" i="89"/>
  <c r="AA281" i="89"/>
  <c r="M163" i="30"/>
  <c r="AA163" i="30"/>
  <c r="S163" i="30"/>
  <c r="AA258" i="32"/>
  <c r="S258" i="32"/>
  <c r="M258" i="32"/>
  <c r="Z257" i="38"/>
  <c r="R257" i="38"/>
  <c r="S200" i="32"/>
  <c r="AA200" i="32"/>
  <c r="M200" i="32"/>
  <c r="Z257" i="32"/>
  <c r="R257" i="32"/>
  <c r="AA193" i="28"/>
  <c r="S193" i="28"/>
  <c r="M193" i="28"/>
  <c r="Z287" i="23"/>
  <c r="R287" i="23"/>
  <c r="AA194" i="25"/>
  <c r="M194" i="25"/>
  <c r="Z310" i="89"/>
  <c r="S310" i="89"/>
  <c r="Z178" i="17"/>
  <c r="R178" i="17"/>
  <c r="S295" i="30"/>
  <c r="M295" i="30"/>
  <c r="AA295" i="30"/>
  <c r="Y161" i="28"/>
  <c r="Q161" i="28"/>
  <c r="X205" i="28"/>
  <c r="Q205" i="28"/>
  <c r="R259" i="25"/>
  <c r="Z259" i="25"/>
  <c r="AA311" i="14"/>
  <c r="T311" i="14"/>
  <c r="M311" i="14"/>
  <c r="S295" i="17"/>
  <c r="M295" i="17"/>
  <c r="AA295" i="17"/>
  <c r="M170" i="23"/>
  <c r="S170" i="23"/>
  <c r="Z170" i="23"/>
  <c r="S288" i="32"/>
  <c r="M288" i="32"/>
  <c r="AA288" i="32"/>
  <c r="AA250" i="32"/>
  <c r="L250" i="32"/>
  <c r="M250" i="32"/>
  <c r="M156" i="28"/>
  <c r="AA156" i="28"/>
  <c r="S156" i="28"/>
  <c r="M163" i="14"/>
  <c r="S163" i="14"/>
  <c r="AA163" i="14"/>
  <c r="M294" i="32"/>
  <c r="AA294" i="32"/>
  <c r="R148" i="32"/>
  <c r="L148" i="32"/>
  <c r="Z148" i="32"/>
  <c r="Z187" i="25"/>
  <c r="R187" i="25"/>
  <c r="R287" i="38"/>
  <c r="Z287" i="38"/>
  <c r="S295" i="14"/>
  <c r="AA295" i="14"/>
  <c r="M295" i="14"/>
  <c r="AA310" i="17"/>
  <c r="M310" i="17"/>
  <c r="M155" i="40"/>
  <c r="AA155" i="40"/>
  <c r="Z250" i="38"/>
  <c r="R250" i="38"/>
  <c r="M279" i="17"/>
  <c r="AA279" i="17"/>
  <c r="S297" i="25"/>
  <c r="M297" i="25"/>
  <c r="AA297" i="25"/>
  <c r="S170" i="32"/>
  <c r="Z170" i="32"/>
  <c r="M170" i="32"/>
  <c r="M200" i="30"/>
  <c r="AA200" i="30"/>
  <c r="S200" i="30"/>
  <c r="R294" i="32"/>
  <c r="L294" i="32"/>
  <c r="Z294" i="32"/>
  <c r="R199" i="28"/>
  <c r="Z199" i="28"/>
  <c r="S170" i="17"/>
  <c r="M170" i="17"/>
  <c r="Z170" i="17"/>
  <c r="AA185" i="32"/>
  <c r="M185" i="32"/>
  <c r="S288" i="30"/>
  <c r="AA288" i="30"/>
  <c r="M288" i="30"/>
  <c r="M313" i="25"/>
  <c r="T313" i="25"/>
  <c r="AA313" i="25"/>
  <c r="Q256" i="89"/>
  <c r="Y256" i="89"/>
  <c r="M265" i="14"/>
  <c r="S265" i="14"/>
  <c r="Z265" i="14"/>
  <c r="AA274" i="17"/>
  <c r="S274" i="17"/>
  <c r="M274" i="17"/>
  <c r="AA160" i="32"/>
  <c r="M160" i="32"/>
  <c r="Z185" i="32"/>
  <c r="L185" i="32"/>
  <c r="R185" i="32"/>
  <c r="AA186" i="30"/>
  <c r="M186" i="30"/>
  <c r="S186" i="30"/>
  <c r="S149" i="30"/>
  <c r="M149" i="30"/>
  <c r="AA149" i="30"/>
  <c r="R178" i="30"/>
  <c r="Z178" i="30"/>
  <c r="X308" i="32"/>
  <c r="Q308" i="32"/>
  <c r="Z257" i="40"/>
  <c r="R257" i="40"/>
  <c r="S312" i="25"/>
  <c r="Z312" i="25"/>
  <c r="Z185" i="23"/>
  <c r="R185" i="23"/>
  <c r="AA273" i="17"/>
  <c r="M273" i="17"/>
  <c r="R185" i="89"/>
  <c r="Z185" i="89"/>
  <c r="X280" i="25"/>
  <c r="P280" i="25"/>
  <c r="P248" i="28"/>
  <c r="X248" i="28"/>
  <c r="R273" i="28"/>
  <c r="Z273" i="28"/>
  <c r="Z155" i="30"/>
  <c r="R155" i="30"/>
  <c r="AA155" i="38"/>
  <c r="M155" i="38"/>
  <c r="AA162" i="14"/>
  <c r="M162" i="14"/>
  <c r="Q191" i="14"/>
  <c r="Y191" i="14"/>
  <c r="R257" i="30"/>
  <c r="Z257" i="30"/>
  <c r="AA171" i="28"/>
  <c r="T171" i="28"/>
  <c r="AA162" i="32"/>
  <c r="M162" i="32"/>
  <c r="Z257" i="89"/>
  <c r="R257" i="89"/>
  <c r="AA248" i="40"/>
  <c r="M248" i="40"/>
  <c r="S207" i="32"/>
  <c r="Z207" i="32"/>
  <c r="M207" i="32"/>
  <c r="M274" i="40"/>
  <c r="S274" i="40"/>
  <c r="AA274" i="40"/>
  <c r="Y184" i="89"/>
  <c r="Q184" i="89"/>
  <c r="AA258" i="40"/>
  <c r="S258" i="40"/>
  <c r="M258" i="40"/>
  <c r="R148" i="30"/>
  <c r="Z148" i="30"/>
  <c r="Z178" i="32"/>
  <c r="R178" i="32"/>
  <c r="R273" i="14"/>
  <c r="Z273" i="14"/>
  <c r="R287" i="89"/>
  <c r="Z287" i="89"/>
  <c r="T303" i="32"/>
  <c r="AA303" i="32"/>
  <c r="Z280" i="32"/>
  <c r="R280" i="32"/>
  <c r="R185" i="17"/>
  <c r="Z185" i="17"/>
  <c r="M251" i="40"/>
  <c r="AA251" i="40"/>
  <c r="S251" i="40"/>
  <c r="Z280" i="89"/>
  <c r="R280" i="89"/>
  <c r="M257" i="40"/>
  <c r="L257" i="40"/>
  <c r="AA257" i="40"/>
  <c r="Z273" i="30"/>
  <c r="R273" i="30"/>
  <c r="Q161" i="38"/>
  <c r="Y161" i="38"/>
  <c r="S179" i="38"/>
  <c r="AA179" i="38"/>
  <c r="M179" i="38"/>
  <c r="AA281" i="32"/>
  <c r="S281" i="32"/>
  <c r="M281" i="32"/>
  <c r="X248" i="89"/>
  <c r="P248" i="89"/>
  <c r="P285" i="32"/>
  <c r="X285" i="32"/>
  <c r="Z157" i="25"/>
  <c r="R157" i="25"/>
  <c r="X271" i="28"/>
  <c r="P271" i="28"/>
  <c r="Z257" i="14"/>
  <c r="R257" i="14"/>
  <c r="Z287" i="14"/>
  <c r="R287" i="14"/>
  <c r="M235" i="17"/>
  <c r="AA235" i="17"/>
  <c r="R178" i="28"/>
  <c r="Z178" i="28"/>
  <c r="M255" i="14"/>
  <c r="AA255" i="14"/>
  <c r="M237" i="28"/>
  <c r="AA237" i="28"/>
  <c r="X278" i="40"/>
  <c r="P278" i="40"/>
  <c r="AA271" i="38"/>
  <c r="M271" i="38"/>
  <c r="Z294" i="17"/>
  <c r="R294" i="17"/>
  <c r="M183" i="14"/>
  <c r="AA183" i="14"/>
  <c r="M185" i="89"/>
  <c r="L185" i="89"/>
  <c r="AA185" i="89"/>
  <c r="Q191" i="30"/>
  <c r="Y191" i="30"/>
  <c r="M185" i="38"/>
  <c r="AA185" i="38"/>
  <c r="AA184" i="32"/>
  <c r="M184" i="32"/>
  <c r="Y256" i="38"/>
  <c r="Q256" i="38"/>
  <c r="T303" i="17"/>
  <c r="AA303" i="17"/>
  <c r="Z185" i="28"/>
  <c r="R185" i="28"/>
  <c r="M177" i="38"/>
  <c r="AA177" i="38"/>
  <c r="AA178" i="14"/>
  <c r="M178" i="14"/>
  <c r="M271" i="28"/>
  <c r="AA271" i="28"/>
  <c r="AA257" i="89"/>
  <c r="L257" i="89"/>
  <c r="M257" i="89"/>
  <c r="M148" i="38"/>
  <c r="AA148" i="38"/>
  <c r="R169" i="17"/>
  <c r="Y169" i="17"/>
  <c r="Z184" i="38"/>
  <c r="R311" i="25"/>
  <c r="Y311" i="25"/>
  <c r="Y184" i="32"/>
  <c r="Q184" i="32"/>
  <c r="AA285" i="28"/>
  <c r="M285" i="28"/>
  <c r="X190" i="40"/>
  <c r="P190" i="40"/>
  <c r="Q200" i="25"/>
  <c r="Y200" i="25"/>
  <c r="R296" i="25"/>
  <c r="Z296" i="25"/>
  <c r="AA242" i="23"/>
  <c r="M242" i="23"/>
  <c r="Z287" i="17"/>
  <c r="R287" i="17"/>
  <c r="M191" i="38"/>
  <c r="AA191" i="38"/>
  <c r="M146" i="23"/>
  <c r="AA146" i="23"/>
  <c r="AA309" i="28"/>
  <c r="M309" i="28"/>
  <c r="M183" i="32"/>
  <c r="AA183" i="32"/>
  <c r="M259" i="25"/>
  <c r="L259" i="25"/>
  <c r="AA259" i="25"/>
  <c r="S295" i="89"/>
  <c r="AA295" i="89"/>
  <c r="M295" i="89"/>
  <c r="M257" i="23"/>
  <c r="AA257" i="23"/>
  <c r="X153" i="14"/>
  <c r="P153" i="14"/>
  <c r="M243" i="14"/>
  <c r="AA243" i="14"/>
  <c r="AA278" i="23"/>
  <c r="M278" i="23"/>
  <c r="AA280" i="38"/>
  <c r="M280" i="38"/>
  <c r="Z250" i="89"/>
  <c r="R250" i="89"/>
  <c r="M273" i="40"/>
  <c r="AA273" i="40"/>
  <c r="M287" i="32"/>
  <c r="AA287" i="32"/>
  <c r="S310" i="17"/>
  <c r="Z310" i="17"/>
  <c r="L310" i="17"/>
  <c r="AA250" i="89"/>
  <c r="L250" i="89"/>
  <c r="M250" i="89"/>
  <c r="Y161" i="40"/>
  <c r="Q161" i="40"/>
  <c r="M258" i="28"/>
  <c r="S258" i="28"/>
  <c r="AA258" i="28"/>
  <c r="Z155" i="32"/>
  <c r="R155" i="32"/>
  <c r="Z273" i="17"/>
  <c r="R273" i="17"/>
  <c r="L273" i="17"/>
  <c r="M257" i="38"/>
  <c r="L257" i="38"/>
  <c r="AA257" i="38"/>
  <c r="R192" i="23"/>
  <c r="Z192" i="23"/>
  <c r="Z280" i="30"/>
  <c r="R280" i="30"/>
  <c r="M251" i="89"/>
  <c r="AA251" i="89"/>
  <c r="S251" i="89"/>
  <c r="Z155" i="38"/>
  <c r="L155" i="38"/>
  <c r="R155" i="38"/>
  <c r="R162" i="38"/>
  <c r="Z162" i="38"/>
  <c r="X197" i="38"/>
  <c r="P197" i="38"/>
  <c r="M258" i="25"/>
  <c r="AA258" i="25"/>
  <c r="R287" i="28"/>
  <c r="Z287" i="28"/>
  <c r="AA288" i="38"/>
  <c r="S288" i="38"/>
  <c r="M288" i="38"/>
  <c r="Z162" i="32"/>
  <c r="L162" i="32"/>
  <c r="R162" i="32"/>
  <c r="M192" i="38"/>
  <c r="L192" i="38"/>
  <c r="AA192" i="38"/>
  <c r="AA155" i="30"/>
  <c r="L155" i="30"/>
  <c r="M155" i="30"/>
  <c r="AA287" i="23"/>
  <c r="L287" i="23"/>
  <c r="M287" i="23"/>
  <c r="M302" i="17"/>
  <c r="Z302" i="17"/>
  <c r="S302" i="17"/>
  <c r="Q184" i="38"/>
  <c r="Y184" i="38"/>
  <c r="Y272" i="14"/>
  <c r="Q272" i="14"/>
  <c r="Z250" i="14"/>
  <c r="R250" i="14"/>
  <c r="AA274" i="14"/>
  <c r="S274" i="14"/>
  <c r="M274" i="14"/>
  <c r="AA162" i="38"/>
  <c r="L162" i="38"/>
  <c r="M162" i="38"/>
  <c r="Q293" i="23"/>
  <c r="Y293" i="23"/>
  <c r="M141" i="28"/>
  <c r="AA141" i="28"/>
  <c r="R162" i="14"/>
  <c r="Z162" i="14"/>
  <c r="L162" i="14"/>
  <c r="AA250" i="38"/>
  <c r="L250" i="38"/>
  <c r="M250" i="38"/>
  <c r="R257" i="23"/>
  <c r="Z257" i="23"/>
  <c r="L257" i="23"/>
  <c r="AA178" i="28"/>
  <c r="L178" i="28"/>
  <c r="M178" i="28"/>
  <c r="AA293" i="38"/>
  <c r="M293" i="38"/>
  <c r="M287" i="14"/>
  <c r="L287" i="14"/>
  <c r="AA287" i="14"/>
  <c r="AA185" i="28"/>
  <c r="L185" i="28"/>
  <c r="M185" i="28"/>
  <c r="Y256" i="17"/>
  <c r="Q256" i="17"/>
  <c r="R257" i="28"/>
  <c r="Z257" i="28"/>
  <c r="X278" i="32"/>
  <c r="P278" i="32"/>
  <c r="AA140" i="28"/>
  <c r="M140" i="28"/>
  <c r="AA178" i="17"/>
  <c r="L178" i="17"/>
  <c r="M178" i="17"/>
  <c r="AA280" i="89"/>
  <c r="L280" i="89"/>
  <c r="M280" i="89"/>
  <c r="AA294" i="40"/>
  <c r="M294" i="40"/>
  <c r="R273" i="38"/>
  <c r="Z273" i="38"/>
  <c r="Z150" i="25"/>
  <c r="R150" i="25"/>
  <c r="R294" i="23"/>
  <c r="Z294" i="23"/>
  <c r="Y301" i="30"/>
  <c r="R301" i="30"/>
  <c r="Q286" i="28"/>
  <c r="Y286" i="28"/>
  <c r="AA148" i="28"/>
  <c r="M148" i="28"/>
  <c r="Z294" i="28"/>
  <c r="R294" i="28"/>
  <c r="Q147" i="40"/>
  <c r="Y147" i="40"/>
  <c r="AA249" i="32"/>
  <c r="M249" i="32"/>
  <c r="M170" i="38"/>
  <c r="S170" i="38"/>
  <c r="Z170" i="38"/>
  <c r="R199" i="23"/>
  <c r="Z199" i="23"/>
  <c r="P153" i="28"/>
  <c r="X153" i="28"/>
  <c r="AA248" i="17"/>
  <c r="M248" i="17"/>
  <c r="Y177" i="28"/>
  <c r="Q177" i="28"/>
  <c r="M294" i="28"/>
  <c r="L294" i="28"/>
  <c r="AA294" i="28"/>
  <c r="Q308" i="17"/>
  <c r="X308" i="17"/>
  <c r="M227" i="32"/>
  <c r="T227" i="32"/>
  <c r="Z185" i="38"/>
  <c r="L185" i="38"/>
  <c r="R185" i="38"/>
  <c r="X248" i="30"/>
  <c r="P248" i="30"/>
  <c r="M236" i="25"/>
  <c r="AA236" i="25"/>
  <c r="Z147" i="30"/>
  <c r="M248" i="14"/>
  <c r="AA248" i="14"/>
  <c r="AA162" i="30"/>
  <c r="M162" i="30"/>
  <c r="R250" i="28"/>
  <c r="Z250" i="28"/>
  <c r="R199" i="38"/>
  <c r="Z199" i="38"/>
  <c r="AA255" i="30"/>
  <c r="M255" i="30"/>
  <c r="AA177" i="89"/>
  <c r="M177" i="89"/>
  <c r="Y169" i="89"/>
  <c r="R169" i="89"/>
  <c r="Y154" i="28"/>
  <c r="Q154" i="28"/>
  <c r="M190" i="40"/>
  <c r="AA190" i="40"/>
  <c r="Y293" i="28"/>
  <c r="Q293" i="28"/>
  <c r="T227" i="89"/>
  <c r="M227" i="89"/>
  <c r="Z272" i="23"/>
  <c r="M199" i="40"/>
  <c r="L199" i="40"/>
  <c r="AA199" i="40"/>
  <c r="AA178" i="38"/>
  <c r="M178" i="38"/>
  <c r="Z273" i="40"/>
  <c r="L273" i="40"/>
  <c r="R273" i="40"/>
  <c r="Y191" i="17"/>
  <c r="Q191" i="17"/>
  <c r="Z310" i="30"/>
  <c r="S310" i="30"/>
  <c r="R250" i="40"/>
  <c r="Z250" i="40"/>
  <c r="M241" i="38"/>
  <c r="AA241" i="38"/>
  <c r="Z192" i="17"/>
  <c r="R192" i="17"/>
  <c r="T266" i="28"/>
  <c r="AA266" i="28"/>
  <c r="T171" i="17"/>
  <c r="AA171" i="17"/>
  <c r="Q177" i="89"/>
  <c r="Y177" i="89"/>
  <c r="Q198" i="14"/>
  <c r="Y198" i="14"/>
  <c r="M149" i="25"/>
  <c r="AA149" i="25"/>
  <c r="X292" i="38"/>
  <c r="P292" i="38"/>
  <c r="Y177" i="38"/>
  <c r="Q177" i="38"/>
  <c r="Z192" i="40"/>
  <c r="R192" i="40"/>
  <c r="Q249" i="30"/>
  <c r="Y249" i="30"/>
  <c r="Q256" i="23"/>
  <c r="Y256" i="23"/>
  <c r="M243" i="25"/>
  <c r="AA243" i="25"/>
  <c r="AA155" i="32"/>
  <c r="L155" i="32"/>
  <c r="M155" i="32"/>
  <c r="R294" i="40"/>
  <c r="L294" i="40"/>
  <c r="Z294" i="40"/>
  <c r="M180" i="25"/>
  <c r="AA180" i="25"/>
  <c r="L148" i="28"/>
  <c r="R148" i="28"/>
  <c r="Z148" i="28"/>
  <c r="AA234" i="89"/>
  <c r="M234" i="89"/>
  <c r="M296" i="25"/>
  <c r="L296" i="25"/>
  <c r="AA296" i="25"/>
  <c r="T208" i="28"/>
  <c r="AA208" i="28"/>
  <c r="T218" i="30"/>
  <c r="M218" i="30"/>
  <c r="Y301" i="28"/>
  <c r="R301" i="28"/>
  <c r="X153" i="89"/>
  <c r="P153" i="89"/>
  <c r="Y169" i="32"/>
  <c r="R169" i="32"/>
  <c r="Z192" i="28"/>
  <c r="R192" i="28"/>
  <c r="Q249" i="89"/>
  <c r="Y249" i="89"/>
  <c r="M273" i="38"/>
  <c r="L273" i="38"/>
  <c r="AA273" i="38"/>
  <c r="M162" i="89"/>
  <c r="AA162" i="89"/>
  <c r="Y264" i="30"/>
  <c r="R264" i="30"/>
  <c r="Q205" i="23"/>
  <c r="X205" i="23"/>
  <c r="AA183" i="38"/>
  <c r="M183" i="38"/>
  <c r="AA142" i="17"/>
  <c r="M142" i="17"/>
  <c r="Y154" i="17"/>
  <c r="Q154" i="17"/>
  <c r="M256" i="14"/>
  <c r="AA256" i="14"/>
  <c r="AA197" i="32"/>
  <c r="M197" i="32"/>
  <c r="Y147" i="89"/>
  <c r="Q147" i="89"/>
  <c r="AA242" i="30"/>
  <c r="M242" i="30"/>
  <c r="T218" i="14"/>
  <c r="M218" i="14"/>
  <c r="Y169" i="28"/>
  <c r="R169" i="28"/>
  <c r="Z248" i="89"/>
  <c r="P190" i="89"/>
  <c r="X190" i="89"/>
  <c r="Z141" i="28"/>
  <c r="L141" i="28"/>
  <c r="Q281" i="25"/>
  <c r="Y281" i="25"/>
  <c r="AA184" i="14"/>
  <c r="M184" i="14"/>
  <c r="AA242" i="28"/>
  <c r="M242" i="28"/>
  <c r="AA199" i="23"/>
  <c r="L199" i="23"/>
  <c r="M199" i="23"/>
  <c r="S310" i="14"/>
  <c r="Z310" i="14"/>
  <c r="Z148" i="23"/>
  <c r="R148" i="23"/>
  <c r="AA308" i="17"/>
  <c r="M308" i="17"/>
  <c r="M162" i="40"/>
  <c r="AA162" i="40"/>
  <c r="Z162" i="17"/>
  <c r="R162" i="17"/>
  <c r="Z199" i="89"/>
  <c r="R199" i="89"/>
  <c r="AA278" i="32"/>
  <c r="M278" i="32"/>
  <c r="AA312" i="25"/>
  <c r="L312" i="25"/>
  <c r="M312" i="25"/>
  <c r="Q177" i="40"/>
  <c r="Y177" i="40"/>
  <c r="Y309" i="32"/>
  <c r="R309" i="32"/>
  <c r="Z178" i="89"/>
  <c r="R178" i="89"/>
  <c r="P160" i="23"/>
  <c r="X160" i="23"/>
  <c r="AA192" i="14"/>
  <c r="M192" i="14"/>
  <c r="Q279" i="17"/>
  <c r="Y279" i="17"/>
  <c r="Y169" i="14"/>
  <c r="R169" i="14"/>
  <c r="P255" i="14"/>
  <c r="X255" i="14"/>
  <c r="R199" i="32"/>
  <c r="Z199" i="32"/>
  <c r="M286" i="28"/>
  <c r="AA286" i="28"/>
  <c r="M238" i="25"/>
  <c r="AA238" i="25"/>
  <c r="Y249" i="17"/>
  <c r="Q249" i="17"/>
  <c r="AA153" i="89"/>
  <c r="M153" i="89"/>
  <c r="P197" i="30"/>
  <c r="X197" i="30"/>
  <c r="X190" i="30"/>
  <c r="P190" i="30"/>
  <c r="Y309" i="40"/>
  <c r="R309" i="40"/>
  <c r="Q198" i="30"/>
  <c r="Y198" i="30"/>
  <c r="M280" i="25"/>
  <c r="AA280" i="25"/>
  <c r="Z255" i="30"/>
  <c r="L255" i="30"/>
  <c r="Z191" i="38"/>
  <c r="K191" i="38"/>
  <c r="L191" i="38"/>
  <c r="Z242" i="23"/>
  <c r="L242" i="23"/>
  <c r="AA273" i="30"/>
  <c r="L273" i="30"/>
  <c r="M273" i="30"/>
  <c r="AA289" i="25"/>
  <c r="M289" i="25"/>
  <c r="R178" i="23"/>
  <c r="Z178" i="23"/>
  <c r="AA155" i="17"/>
  <c r="M155" i="17"/>
  <c r="M287" i="30"/>
  <c r="AA287" i="30"/>
  <c r="P255" i="30"/>
  <c r="X255" i="30"/>
  <c r="Q149" i="25"/>
  <c r="Y149" i="25"/>
  <c r="Z292" i="32"/>
  <c r="Y249" i="23"/>
  <c r="Q249" i="23"/>
  <c r="M244" i="32"/>
  <c r="AA244" i="32"/>
  <c r="AA154" i="17"/>
  <c r="M154" i="17"/>
  <c r="L183" i="38"/>
  <c r="Z183" i="38"/>
  <c r="Z199" i="17"/>
  <c r="R199" i="17"/>
  <c r="Q184" i="17"/>
  <c r="Y184" i="17"/>
  <c r="Q263" i="23"/>
  <c r="X263" i="23"/>
  <c r="AA286" i="14"/>
  <c r="M286" i="14"/>
  <c r="Y198" i="40"/>
  <c r="Q198" i="40"/>
  <c r="M236" i="89"/>
  <c r="AA236" i="89"/>
  <c r="AA185" i="23"/>
  <c r="L185" i="23"/>
  <c r="M185" i="23"/>
  <c r="M142" i="28"/>
  <c r="AA142" i="28"/>
  <c r="AA234" i="32"/>
  <c r="M234" i="32"/>
  <c r="S288" i="23"/>
  <c r="AA288" i="23"/>
  <c r="M288" i="23"/>
  <c r="M190" i="89"/>
  <c r="AA190" i="89"/>
  <c r="R287" i="32"/>
  <c r="Z287" i="32"/>
  <c r="L287" i="32"/>
  <c r="M280" i="30"/>
  <c r="L280" i="30"/>
  <c r="AA280" i="30"/>
  <c r="P262" i="28"/>
  <c r="W262" i="28"/>
  <c r="M244" i="30"/>
  <c r="AA244" i="30"/>
  <c r="AA187" i="25"/>
  <c r="L187" i="25"/>
  <c r="M187" i="25"/>
  <c r="AA310" i="25"/>
  <c r="M310" i="25"/>
  <c r="Z294" i="14"/>
  <c r="R294" i="14"/>
  <c r="M256" i="89"/>
  <c r="AA256" i="89"/>
  <c r="M177" i="28"/>
  <c r="AA177" i="28"/>
  <c r="R162" i="40"/>
  <c r="Z162" i="40"/>
  <c r="L162" i="40"/>
  <c r="Z162" i="30"/>
  <c r="L162" i="30"/>
  <c r="R162" i="30"/>
  <c r="M294" i="23"/>
  <c r="L294" i="23"/>
  <c r="AA294" i="23"/>
  <c r="T266" i="40"/>
  <c r="AA266" i="40"/>
  <c r="L235" i="17"/>
  <c r="Z235" i="17"/>
  <c r="Q184" i="23"/>
  <c r="Y184" i="23"/>
  <c r="Z177" i="28"/>
  <c r="K177" i="28"/>
  <c r="L177" i="28"/>
  <c r="R148" i="38"/>
  <c r="L148" i="38"/>
  <c r="Z148" i="38"/>
  <c r="M191" i="17"/>
  <c r="AA191" i="17"/>
  <c r="M278" i="30"/>
  <c r="AA278" i="30"/>
  <c r="Y177" i="32"/>
  <c r="Q177" i="32"/>
  <c r="M242" i="89"/>
  <c r="AA242" i="89"/>
  <c r="AA171" i="23"/>
  <c r="T171" i="23"/>
  <c r="M310" i="89"/>
  <c r="L310" i="89"/>
  <c r="AA310" i="89"/>
  <c r="AA280" i="17"/>
  <c r="L280" i="17"/>
  <c r="M280" i="17"/>
  <c r="Y147" i="30"/>
  <c r="Q147" i="30"/>
  <c r="M250" i="28"/>
  <c r="L250" i="28"/>
  <c r="AA250" i="28"/>
  <c r="Z161" i="28"/>
  <c r="Z194" i="25"/>
  <c r="R194" i="25"/>
  <c r="L194" i="25"/>
  <c r="AA273" i="14"/>
  <c r="L273" i="14"/>
  <c r="M273" i="14"/>
  <c r="L178" i="38"/>
  <c r="Z178" i="38"/>
  <c r="R178" i="38"/>
  <c r="AA273" i="28"/>
  <c r="L273" i="28"/>
  <c r="M273" i="28"/>
  <c r="R155" i="28"/>
  <c r="Z155" i="28"/>
  <c r="R155" i="89"/>
  <c r="Z155" i="89"/>
  <c r="R192" i="32"/>
  <c r="Z192" i="32"/>
  <c r="AA250" i="40"/>
  <c r="L250" i="40"/>
  <c r="M250" i="40"/>
  <c r="AA184" i="38"/>
  <c r="K184" i="38"/>
  <c r="L184" i="38"/>
  <c r="M184" i="38"/>
  <c r="R178" i="14"/>
  <c r="L178" i="14"/>
  <c r="Z178" i="14"/>
  <c r="M250" i="14"/>
  <c r="L250" i="14"/>
  <c r="AA250" i="14"/>
  <c r="Q154" i="32"/>
  <c r="Y154" i="32"/>
  <c r="M150" i="25"/>
  <c r="L150" i="25"/>
  <c r="AA150" i="25"/>
  <c r="M287" i="28"/>
  <c r="L287" i="28"/>
  <c r="AA287" i="28"/>
  <c r="M192" i="17"/>
  <c r="L192" i="17"/>
  <c r="AA192" i="17"/>
  <c r="M199" i="28"/>
  <c r="L199" i="28"/>
  <c r="AA199" i="28"/>
  <c r="AA248" i="23"/>
  <c r="M248" i="23"/>
  <c r="Z185" i="14"/>
  <c r="R185" i="14"/>
  <c r="W299" i="32"/>
  <c r="P299" i="32"/>
  <c r="M157" i="25"/>
  <c r="L157" i="25"/>
  <c r="AA157" i="25"/>
  <c r="M198" i="30"/>
  <c r="AA198" i="30"/>
  <c r="M184" i="89"/>
  <c r="AA184" i="89"/>
  <c r="AA161" i="14"/>
  <c r="M161" i="14"/>
  <c r="AA294" i="17"/>
  <c r="L294" i="17"/>
  <c r="M294" i="17"/>
  <c r="M147" i="30"/>
  <c r="K147" i="30"/>
  <c r="L147" i="30"/>
  <c r="AA147" i="30"/>
  <c r="X197" i="14"/>
  <c r="P197" i="14"/>
  <c r="M285" i="32"/>
  <c r="AA285" i="32"/>
  <c r="Z241" i="28"/>
  <c r="Y264" i="17"/>
  <c r="R264" i="17"/>
  <c r="P255" i="38"/>
  <c r="X255" i="38"/>
  <c r="X285" i="30"/>
  <c r="P285" i="30"/>
  <c r="Q279" i="30"/>
  <c r="Y279" i="30"/>
  <c r="Y147" i="14"/>
  <c r="Q147" i="14"/>
  <c r="M161" i="38"/>
  <c r="AA161" i="38"/>
  <c r="L241" i="38"/>
  <c r="Z241" i="38"/>
  <c r="R294" i="89"/>
  <c r="Z294" i="89"/>
  <c r="AA293" i="89"/>
  <c r="M293" i="89"/>
  <c r="AA208" i="32"/>
  <c r="T208" i="32"/>
  <c r="M148" i="14"/>
  <c r="AA148" i="14"/>
  <c r="T171" i="14"/>
  <c r="AA171" i="14"/>
  <c r="Y266" i="25"/>
  <c r="R266" i="25"/>
  <c r="P285" i="23"/>
  <c r="X285" i="23"/>
  <c r="AA248" i="89"/>
  <c r="L248" i="89"/>
  <c r="M248" i="89"/>
  <c r="Y264" i="40"/>
  <c r="R264" i="40"/>
  <c r="AA235" i="89"/>
  <c r="M235" i="89"/>
  <c r="Z256" i="14"/>
  <c r="L256" i="14"/>
  <c r="P262" i="89"/>
  <c r="W262" i="89"/>
  <c r="X205" i="89"/>
  <c r="Q205" i="89"/>
  <c r="L198" i="30"/>
  <c r="K198" i="30"/>
  <c r="Z198" i="30"/>
  <c r="M309" i="38"/>
  <c r="AA309" i="38"/>
  <c r="M162" i="17"/>
  <c r="L162" i="17"/>
  <c r="AA162" i="17"/>
  <c r="X153" i="30"/>
  <c r="P153" i="30"/>
  <c r="M177" i="32"/>
  <c r="AA177" i="32"/>
  <c r="AA243" i="23"/>
  <c r="M243" i="23"/>
  <c r="AA192" i="32"/>
  <c r="L192" i="32"/>
  <c r="M192" i="32"/>
  <c r="P278" i="38"/>
  <c r="X278" i="38"/>
  <c r="M292" i="32"/>
  <c r="L292" i="32"/>
  <c r="AA292" i="32"/>
  <c r="M235" i="32"/>
  <c r="AA235" i="32"/>
  <c r="Q198" i="28"/>
  <c r="Y198" i="28"/>
  <c r="R148" i="17"/>
  <c r="Z148" i="17"/>
  <c r="AA186" i="25"/>
  <c r="M186" i="25"/>
  <c r="Y279" i="89"/>
  <c r="Q279" i="89"/>
  <c r="AA234" i="23"/>
  <c r="M234" i="23"/>
  <c r="AA241" i="32"/>
  <c r="M241" i="32"/>
  <c r="R199" i="14"/>
  <c r="Z199" i="14"/>
  <c r="R280" i="40"/>
  <c r="Z280" i="40"/>
  <c r="AA140" i="89"/>
  <c r="M140" i="89"/>
  <c r="R309" i="89"/>
  <c r="Y309" i="89"/>
  <c r="M146" i="14"/>
  <c r="AA146" i="14"/>
  <c r="M294" i="38"/>
  <c r="AA294" i="38"/>
  <c r="R273" i="89"/>
  <c r="Z273" i="89"/>
  <c r="L192" i="14"/>
  <c r="R192" i="14"/>
  <c r="Z192" i="14"/>
  <c r="Q279" i="14"/>
  <c r="Y279" i="14"/>
  <c r="M310" i="32"/>
  <c r="L310" i="32"/>
  <c r="AA310" i="32"/>
  <c r="X190" i="17"/>
  <c r="P190" i="17"/>
  <c r="AA178" i="30"/>
  <c r="L178" i="30"/>
  <c r="M178" i="30"/>
  <c r="L271" i="38"/>
  <c r="Z271" i="38"/>
  <c r="AA257" i="32"/>
  <c r="L257" i="32"/>
  <c r="M257" i="32"/>
  <c r="R280" i="14"/>
  <c r="Z280" i="14"/>
  <c r="AA185" i="14"/>
  <c r="L185" i="14"/>
  <c r="M185" i="14"/>
  <c r="Y249" i="32"/>
  <c r="Q249" i="32"/>
  <c r="AA250" i="17"/>
  <c r="M250" i="17"/>
  <c r="X197" i="17"/>
  <c r="P197" i="17"/>
  <c r="L161" i="38"/>
  <c r="K161" i="38"/>
  <c r="Z161" i="38"/>
  <c r="Z183" i="32"/>
  <c r="L183" i="32"/>
  <c r="Z275" i="25"/>
  <c r="R275" i="25"/>
  <c r="Y177" i="14"/>
  <c r="Q177" i="14"/>
  <c r="S226" i="38"/>
  <c r="Z243" i="40"/>
  <c r="AA192" i="28"/>
  <c r="L192" i="28"/>
  <c r="M192" i="28"/>
  <c r="M198" i="14"/>
  <c r="AA198" i="14"/>
  <c r="AA310" i="14"/>
  <c r="L310" i="14"/>
  <c r="M310" i="14"/>
  <c r="AA310" i="38"/>
  <c r="L310" i="38"/>
  <c r="M310" i="38"/>
  <c r="X285" i="14"/>
  <c r="P285" i="14"/>
  <c r="AA279" i="32"/>
  <c r="M279" i="32"/>
  <c r="Z287" i="40"/>
  <c r="R287" i="40"/>
  <c r="Y206" i="38"/>
  <c r="R206" i="38"/>
  <c r="M141" i="30"/>
  <c r="AA141" i="30"/>
  <c r="X292" i="40"/>
  <c r="P292" i="40"/>
  <c r="AA191" i="14"/>
  <c r="M191" i="14"/>
  <c r="Z191" i="17"/>
  <c r="K191" i="17"/>
  <c r="L191" i="17"/>
  <c r="M199" i="17"/>
  <c r="L199" i="17"/>
  <c r="AA199" i="17"/>
  <c r="X160" i="89"/>
  <c r="P160" i="89"/>
  <c r="M235" i="38"/>
  <c r="AA235" i="38"/>
  <c r="Y177" i="30"/>
  <c r="Q177" i="30"/>
  <c r="M244" i="25"/>
  <c r="AA244" i="25"/>
  <c r="T173" i="25"/>
  <c r="AA173" i="25"/>
  <c r="R206" i="32"/>
  <c r="Y206" i="32"/>
  <c r="L279" i="17"/>
  <c r="K279" i="17"/>
  <c r="Z279" i="17"/>
  <c r="M244" i="28"/>
  <c r="AA244" i="28"/>
  <c r="Q168" i="40"/>
  <c r="X168" i="40"/>
  <c r="AA162" i="23"/>
  <c r="M162" i="23"/>
  <c r="Y255" i="28"/>
  <c r="L140" i="89"/>
  <c r="Z140" i="89"/>
  <c r="Z184" i="32"/>
  <c r="K184" i="32"/>
  <c r="L184" i="32"/>
  <c r="R289" i="25"/>
  <c r="Z289" i="25"/>
  <c r="L289" i="25"/>
  <c r="Z148" i="40"/>
  <c r="R148" i="40"/>
  <c r="L155" i="17"/>
  <c r="Z155" i="17"/>
  <c r="R155" i="17"/>
  <c r="M279" i="40"/>
  <c r="AA279" i="40"/>
  <c r="AA147" i="23"/>
  <c r="M147" i="23"/>
  <c r="Z309" i="89"/>
  <c r="M311" i="25"/>
  <c r="AA311" i="25"/>
  <c r="Q279" i="28"/>
  <c r="Y279" i="28"/>
  <c r="X248" i="14"/>
  <c r="P248" i="14"/>
  <c r="AA303" i="14"/>
  <c r="T303" i="14"/>
  <c r="R287" i="30"/>
  <c r="Z287" i="30"/>
  <c r="L287" i="30"/>
  <c r="M310" i="28"/>
  <c r="AA310" i="28"/>
  <c r="Y154" i="30"/>
  <c r="Q154" i="30"/>
  <c r="AA255" i="28"/>
  <c r="M255" i="28"/>
  <c r="Y264" i="23"/>
  <c r="R264" i="23"/>
  <c r="T208" i="30"/>
  <c r="AA208" i="30"/>
  <c r="P255" i="89"/>
  <c r="X255" i="89"/>
  <c r="T303" i="23"/>
  <c r="AA303" i="23"/>
  <c r="R264" i="38"/>
  <c r="Y264" i="38"/>
  <c r="AA156" i="25"/>
  <c r="M156" i="25"/>
  <c r="M293" i="32"/>
  <c r="AA293" i="32"/>
  <c r="R280" i="28"/>
  <c r="Z280" i="28"/>
  <c r="X168" i="89"/>
  <c r="Q168" i="89"/>
  <c r="R301" i="38"/>
  <c r="Y301" i="38"/>
  <c r="AA198" i="38"/>
  <c r="M198" i="38"/>
  <c r="Z198" i="23"/>
  <c r="M234" i="28"/>
  <c r="AA234" i="28"/>
  <c r="M235" i="40"/>
  <c r="AA235" i="40"/>
  <c r="L147" i="23"/>
  <c r="Z147" i="23"/>
  <c r="AA309" i="89"/>
  <c r="K309" i="89"/>
  <c r="L309" i="89"/>
  <c r="M309" i="89"/>
  <c r="X285" i="28"/>
  <c r="P285" i="28"/>
  <c r="Z245" i="25"/>
  <c r="AA155" i="23"/>
  <c r="M155" i="23"/>
  <c r="AA171" i="40"/>
  <c r="T171" i="40"/>
  <c r="AA309" i="14"/>
  <c r="M309" i="14"/>
  <c r="Q154" i="89"/>
  <c r="Y154" i="89"/>
  <c r="Q147" i="17"/>
  <c r="Y147" i="17"/>
  <c r="M183" i="30"/>
  <c r="AA183" i="30"/>
  <c r="AA208" i="89"/>
  <c r="T208" i="89"/>
  <c r="K235" i="17"/>
  <c r="Y235" i="17"/>
  <c r="M236" i="23"/>
  <c r="AA236" i="23"/>
  <c r="P255" i="32"/>
  <c r="X255" i="32"/>
  <c r="Y193" i="25"/>
  <c r="Q193" i="25"/>
  <c r="Z153" i="38"/>
  <c r="AA147" i="14"/>
  <c r="M147" i="14"/>
  <c r="M257" i="17"/>
  <c r="AA257" i="17"/>
  <c r="Z309" i="32"/>
  <c r="Q154" i="23"/>
  <c r="Y154" i="23"/>
  <c r="Q256" i="32"/>
  <c r="Y256" i="32"/>
  <c r="L155" i="23"/>
  <c r="R155" i="23"/>
  <c r="Z155" i="23"/>
  <c r="X160" i="17"/>
  <c r="P160" i="17"/>
  <c r="Y286" i="40"/>
  <c r="Q286" i="40"/>
  <c r="X168" i="32"/>
  <c r="Q168" i="32"/>
  <c r="X300" i="32"/>
  <c r="Q300" i="32"/>
  <c r="M185" i="17"/>
  <c r="L185" i="17"/>
  <c r="AA185" i="17"/>
  <c r="M288" i="25"/>
  <c r="AA288" i="25"/>
  <c r="R164" i="25"/>
  <c r="Z164" i="25"/>
  <c r="M178" i="89"/>
  <c r="L178" i="89"/>
  <c r="AA178" i="89"/>
  <c r="Q293" i="14"/>
  <c r="Y293" i="14"/>
  <c r="Y286" i="17"/>
  <c r="Q286" i="17"/>
  <c r="Y177" i="23"/>
  <c r="Q177" i="23"/>
  <c r="X300" i="14"/>
  <c r="Q300" i="14"/>
  <c r="Y235" i="89"/>
  <c r="AA255" i="40"/>
  <c r="M255" i="40"/>
  <c r="Z250" i="30"/>
  <c r="R250" i="30"/>
  <c r="Z249" i="32"/>
  <c r="K249" i="32"/>
  <c r="L249" i="32"/>
  <c r="R264" i="14"/>
  <c r="Y264" i="14"/>
  <c r="Q156" i="25"/>
  <c r="Y156" i="25"/>
  <c r="X160" i="40"/>
  <c r="P160" i="40"/>
  <c r="Y198" i="23"/>
  <c r="Q198" i="23"/>
  <c r="Q256" i="14"/>
  <c r="K256" i="14"/>
  <c r="Y256" i="14"/>
  <c r="X183" i="89"/>
  <c r="P183" i="89"/>
  <c r="Q286" i="32"/>
  <c r="Y286" i="32"/>
  <c r="L258" i="25"/>
  <c r="Z258" i="25"/>
  <c r="M183" i="28"/>
  <c r="AA183" i="28"/>
  <c r="Y285" i="32"/>
  <c r="Y287" i="25"/>
  <c r="M160" i="17"/>
  <c r="AA160" i="17"/>
  <c r="AA154" i="38"/>
  <c r="M154" i="38"/>
  <c r="T218" i="38"/>
  <c r="M218" i="38"/>
  <c r="X197" i="40"/>
  <c r="P197" i="40"/>
  <c r="R148" i="89"/>
  <c r="Z148" i="89"/>
  <c r="Y161" i="14"/>
  <c r="Q161" i="14"/>
  <c r="AA266" i="30"/>
  <c r="T266" i="30"/>
  <c r="M309" i="30"/>
  <c r="AA309" i="30"/>
  <c r="Z248" i="32"/>
  <c r="Q168" i="28"/>
  <c r="X168" i="28"/>
  <c r="Z243" i="32"/>
  <c r="Z286" i="23"/>
  <c r="Y286" i="14"/>
  <c r="Q286" i="14"/>
  <c r="M293" i="30"/>
  <c r="AA293" i="30"/>
  <c r="Y206" i="14"/>
  <c r="R206" i="14"/>
  <c r="L234" i="23"/>
  <c r="Z234" i="23"/>
  <c r="Z272" i="89"/>
  <c r="AA257" i="25"/>
  <c r="M257" i="25"/>
  <c r="M243" i="30"/>
  <c r="AA243" i="30"/>
  <c r="Z184" i="14"/>
  <c r="L184" i="14"/>
  <c r="L294" i="38"/>
  <c r="R294" i="38"/>
  <c r="Z294" i="38"/>
  <c r="Y234" i="89"/>
  <c r="Q161" i="17"/>
  <c r="Y161" i="17"/>
  <c r="P285" i="40"/>
  <c r="X285" i="40"/>
  <c r="X205" i="32"/>
  <c r="Q205" i="32"/>
  <c r="Z141" i="23"/>
  <c r="L141" i="23"/>
  <c r="L257" i="25"/>
  <c r="Z257" i="25"/>
  <c r="Z278" i="23"/>
  <c r="L278" i="23"/>
  <c r="Z271" i="28"/>
  <c r="L271" i="28"/>
  <c r="Z309" i="30"/>
  <c r="L309" i="30"/>
  <c r="Y236" i="25"/>
  <c r="T303" i="28"/>
  <c r="AA303" i="28"/>
  <c r="M147" i="28"/>
  <c r="AA147" i="28"/>
  <c r="T227" i="38"/>
  <c r="M227" i="38"/>
  <c r="X183" i="30"/>
  <c r="P183" i="30"/>
  <c r="L293" i="89"/>
  <c r="Z293" i="89"/>
  <c r="L309" i="14"/>
  <c r="Z309" i="14"/>
  <c r="AA191" i="28"/>
  <c r="M191" i="28"/>
  <c r="M234" i="30"/>
  <c r="AA234" i="30"/>
  <c r="Z237" i="25"/>
  <c r="M308" i="38"/>
  <c r="AA308" i="38"/>
  <c r="Y197" i="14"/>
  <c r="X146" i="30"/>
  <c r="Y272" i="32"/>
  <c r="Q272" i="32"/>
  <c r="Z141" i="40"/>
  <c r="L147" i="14"/>
  <c r="K147" i="14"/>
  <c r="Z147" i="14"/>
  <c r="AA241" i="30"/>
  <c r="M241" i="30"/>
  <c r="X292" i="28"/>
  <c r="P292" i="28"/>
  <c r="L156" i="25"/>
  <c r="K156" i="25"/>
  <c r="Z156" i="25"/>
  <c r="AA292" i="40"/>
  <c r="M292" i="40"/>
  <c r="AA185" i="30"/>
  <c r="M185" i="30"/>
  <c r="P255" i="40"/>
  <c r="X255" i="40"/>
  <c r="L242" i="28"/>
  <c r="Z242" i="28"/>
  <c r="M294" i="14"/>
  <c r="L294" i="14"/>
  <c r="AA294" i="14"/>
  <c r="P183" i="28"/>
  <c r="X183" i="28"/>
  <c r="Z286" i="89"/>
  <c r="AA274" i="25"/>
  <c r="M274" i="25"/>
  <c r="Z191" i="89"/>
  <c r="Z191" i="23"/>
  <c r="Z244" i="25"/>
  <c r="L244" i="25"/>
  <c r="Q310" i="25"/>
  <c r="X310" i="25"/>
  <c r="Z154" i="89"/>
  <c r="M244" i="89"/>
  <c r="AA244" i="89"/>
  <c r="Y292" i="17"/>
  <c r="AA237" i="30"/>
  <c r="M237" i="30"/>
  <c r="Y183" i="17"/>
  <c r="L310" i="28"/>
  <c r="S310" i="28"/>
  <c r="Z310" i="28"/>
  <c r="AA310" i="40"/>
  <c r="M310" i="40"/>
  <c r="AA287" i="89"/>
  <c r="L287" i="89"/>
  <c r="M287" i="89"/>
  <c r="M140" i="38"/>
  <c r="AA140" i="38"/>
  <c r="Y271" i="38"/>
  <c r="K271" i="38"/>
  <c r="Y147" i="28"/>
  <c r="Q147" i="28"/>
  <c r="AA242" i="38"/>
  <c r="M242" i="38"/>
  <c r="R280" i="23"/>
  <c r="Z280" i="23"/>
  <c r="L155" i="40"/>
  <c r="Z155" i="40"/>
  <c r="R155" i="40"/>
  <c r="L285" i="32"/>
  <c r="J285" i="32"/>
  <c r="K285" i="32"/>
  <c r="Z285" i="32"/>
  <c r="M243" i="40"/>
  <c r="L243" i="40"/>
  <c r="AA243" i="40"/>
  <c r="Y198" i="38"/>
  <c r="Q198" i="38"/>
  <c r="Z146" i="23"/>
  <c r="L146" i="23"/>
  <c r="X153" i="40"/>
  <c r="P153" i="40"/>
  <c r="M271" i="89"/>
  <c r="AA271" i="89"/>
  <c r="X168" i="17"/>
  <c r="Q168" i="17"/>
  <c r="X183" i="32"/>
  <c r="P183" i="32"/>
  <c r="M235" i="14"/>
  <c r="AA235" i="14"/>
  <c r="AA309" i="32"/>
  <c r="K309" i="32"/>
  <c r="L309" i="32"/>
  <c r="M309" i="32"/>
  <c r="M249" i="28"/>
  <c r="AA249" i="28"/>
  <c r="Y255" i="30"/>
  <c r="J255" i="30"/>
  <c r="K255" i="30"/>
  <c r="M148" i="30"/>
  <c r="L148" i="30"/>
  <c r="AA148" i="30"/>
  <c r="M272" i="17"/>
  <c r="AA272" i="17"/>
  <c r="AA146" i="32"/>
  <c r="M146" i="32"/>
  <c r="Y249" i="40"/>
  <c r="Q249" i="40"/>
  <c r="AA287" i="38"/>
  <c r="L287" i="38"/>
  <c r="M287" i="38"/>
  <c r="AA192" i="40"/>
  <c r="L192" i="40"/>
  <c r="M192" i="40"/>
  <c r="M241" i="28"/>
  <c r="L241" i="28"/>
  <c r="AA241" i="28"/>
  <c r="M280" i="14"/>
  <c r="L280" i="14"/>
  <c r="AA280" i="14"/>
  <c r="M192" i="23"/>
  <c r="L192" i="23"/>
  <c r="AA192" i="23"/>
  <c r="M199" i="32"/>
  <c r="L199" i="32"/>
  <c r="AA199" i="32"/>
  <c r="M272" i="23"/>
  <c r="L272" i="23"/>
  <c r="AA272" i="23"/>
  <c r="P285" i="89"/>
  <c r="X285" i="89"/>
  <c r="AA275" i="25"/>
  <c r="L275" i="25"/>
  <c r="M275" i="25"/>
  <c r="Z148" i="14"/>
  <c r="R148" i="14"/>
  <c r="L148" i="14"/>
  <c r="Y272" i="40"/>
  <c r="Q272" i="40"/>
  <c r="Z185" i="30"/>
  <c r="L185" i="30"/>
  <c r="R185" i="30"/>
  <c r="AA280" i="23"/>
  <c r="L280" i="23"/>
  <c r="M280" i="23"/>
  <c r="S310" i="40"/>
  <c r="Z310" i="40"/>
  <c r="L310" i="40"/>
  <c r="AA249" i="23"/>
  <c r="M249" i="23"/>
  <c r="L255" i="14"/>
  <c r="Z255" i="14"/>
  <c r="X308" i="28"/>
  <c r="Q308" i="28"/>
  <c r="Z146" i="32"/>
  <c r="L146" i="32"/>
  <c r="Z146" i="30"/>
  <c r="Y293" i="32"/>
  <c r="Q293" i="32"/>
  <c r="AA162" i="28"/>
  <c r="L162" i="28"/>
  <c r="M162" i="28"/>
  <c r="L162" i="23"/>
  <c r="Z162" i="23"/>
  <c r="R162" i="23"/>
  <c r="AA178" i="32"/>
  <c r="L178" i="32"/>
  <c r="M178" i="32"/>
  <c r="T268" i="25"/>
  <c r="AA268" i="25"/>
  <c r="AA257" i="14"/>
  <c r="L257" i="14"/>
  <c r="M257" i="14"/>
  <c r="M287" i="17"/>
  <c r="L287" i="17"/>
  <c r="AA287" i="17"/>
  <c r="M280" i="40"/>
  <c r="L280" i="40"/>
  <c r="AA280" i="40"/>
  <c r="L248" i="14"/>
  <c r="Z248" i="14"/>
  <c r="AA272" i="89"/>
  <c r="L272" i="89"/>
  <c r="M272" i="89"/>
  <c r="Q308" i="38"/>
  <c r="X308" i="38"/>
  <c r="Q263" i="30"/>
  <c r="X263" i="30"/>
  <c r="Y206" i="40"/>
  <c r="R206" i="40"/>
  <c r="AA183" i="89"/>
  <c r="M183" i="89"/>
  <c r="AA255" i="89"/>
  <c r="M255" i="89"/>
  <c r="M146" i="30"/>
  <c r="L146" i="30"/>
  <c r="AA146" i="30"/>
  <c r="AA293" i="28"/>
  <c r="M293" i="28"/>
  <c r="AA208" i="40"/>
  <c r="T208" i="40"/>
  <c r="AA199" i="14"/>
  <c r="L199" i="14"/>
  <c r="M199" i="14"/>
  <c r="S310" i="23"/>
  <c r="Z310" i="23"/>
  <c r="M154" i="23"/>
  <c r="AA154" i="23"/>
  <c r="M142" i="32"/>
  <c r="AA142" i="32"/>
  <c r="Y161" i="89"/>
  <c r="Q161" i="89"/>
  <c r="P271" i="38"/>
  <c r="X271" i="38"/>
  <c r="J271" i="38"/>
  <c r="X263" i="38"/>
  <c r="Q263" i="38"/>
  <c r="M148" i="23"/>
  <c r="L148" i="23"/>
  <c r="AA148" i="23"/>
  <c r="X257" i="25"/>
  <c r="P257" i="25"/>
  <c r="R280" i="38"/>
  <c r="Z280" i="38"/>
  <c r="L280" i="38"/>
  <c r="Z197" i="32"/>
  <c r="L197" i="32"/>
  <c r="L235" i="38"/>
  <c r="Z235" i="38"/>
  <c r="AA197" i="30"/>
  <c r="M197" i="30"/>
  <c r="Q154" i="38"/>
  <c r="Y154" i="38"/>
  <c r="P301" i="25"/>
  <c r="W301" i="25"/>
  <c r="R301" i="89"/>
  <c r="Y301" i="89"/>
  <c r="Z293" i="23"/>
  <c r="AA295" i="25"/>
  <c r="M295" i="25"/>
  <c r="M271" i="40"/>
  <c r="AA271" i="40"/>
  <c r="Q295" i="25"/>
  <c r="Y295" i="25"/>
  <c r="Z191" i="14"/>
  <c r="K191" i="14"/>
  <c r="L191" i="14"/>
  <c r="AA282" i="25"/>
  <c r="L282" i="25"/>
  <c r="M282" i="25"/>
  <c r="Q308" i="89"/>
  <c r="X308" i="89"/>
  <c r="K258" i="25"/>
  <c r="Q258" i="25"/>
  <c r="Y258" i="25"/>
  <c r="M148" i="17"/>
  <c r="L148" i="17"/>
  <c r="AA148" i="17"/>
  <c r="Z155" i="25"/>
  <c r="X183" i="38"/>
  <c r="P183" i="38"/>
  <c r="L234" i="89"/>
  <c r="K234" i="89"/>
  <c r="Z234" i="89"/>
  <c r="P262" i="23"/>
  <c r="W262" i="23"/>
  <c r="X263" i="89"/>
  <c r="Q263" i="89"/>
  <c r="M154" i="40"/>
  <c r="AA154" i="40"/>
  <c r="Y163" i="25"/>
  <c r="Q163" i="25"/>
  <c r="AA190" i="23"/>
  <c r="M190" i="23"/>
  <c r="X292" i="14"/>
  <c r="P292" i="14"/>
  <c r="X278" i="89"/>
  <c r="P278" i="89"/>
  <c r="Y278" i="28"/>
  <c r="Z160" i="23"/>
  <c r="Q286" i="23"/>
  <c r="Y286" i="23"/>
  <c r="AA160" i="38"/>
  <c r="M160" i="38"/>
  <c r="AA287" i="40"/>
  <c r="L287" i="40"/>
  <c r="M287" i="40"/>
  <c r="K272" i="89"/>
  <c r="Q272" i="89"/>
  <c r="Y272" i="89"/>
  <c r="AA146" i="38"/>
  <c r="M146" i="38"/>
  <c r="L177" i="38"/>
  <c r="K177" i="38"/>
  <c r="Z177" i="38"/>
  <c r="Q265" i="25"/>
  <c r="X265" i="25"/>
  <c r="Z272" i="17"/>
  <c r="L272" i="17"/>
  <c r="K309" i="30"/>
  <c r="Y309" i="30"/>
  <c r="R309" i="30"/>
  <c r="X205" i="40"/>
  <c r="Q205" i="40"/>
  <c r="Z250" i="23"/>
  <c r="R250" i="23"/>
  <c r="Y198" i="89"/>
  <c r="Q198" i="89"/>
  <c r="AA198" i="40"/>
  <c r="M198" i="40"/>
  <c r="Y186" i="25"/>
  <c r="Q186" i="25"/>
  <c r="L235" i="40"/>
  <c r="Z235" i="40"/>
  <c r="X271" i="23"/>
  <c r="P271" i="23"/>
  <c r="Z249" i="23"/>
  <c r="K249" i="23"/>
  <c r="L249" i="23"/>
  <c r="Z197" i="14"/>
  <c r="P285" i="38"/>
  <c r="X285" i="38"/>
  <c r="Q198" i="17"/>
  <c r="Y198" i="17"/>
  <c r="AA141" i="40"/>
  <c r="L141" i="40"/>
  <c r="M141" i="40"/>
  <c r="Z308" i="38"/>
  <c r="L308" i="38"/>
  <c r="AA155" i="89"/>
  <c r="L155" i="89"/>
  <c r="M155" i="89"/>
  <c r="AA164" i="25"/>
  <c r="L164" i="25"/>
  <c r="M164" i="25"/>
  <c r="AA161" i="23"/>
  <c r="M161" i="23"/>
  <c r="Z286" i="28"/>
  <c r="K286" i="28"/>
  <c r="L286" i="28"/>
  <c r="R252" i="25"/>
  <c r="Z252" i="25"/>
  <c r="AA197" i="89"/>
  <c r="M197" i="89"/>
  <c r="Z161" i="14"/>
  <c r="K161" i="14"/>
  <c r="L161" i="14"/>
  <c r="AA280" i="28"/>
  <c r="L280" i="28"/>
  <c r="M280" i="28"/>
  <c r="T208" i="38"/>
  <c r="AA208" i="38"/>
  <c r="Y183" i="30"/>
  <c r="Z242" i="17"/>
  <c r="Y241" i="30"/>
  <c r="AA237" i="23"/>
  <c r="M237" i="23"/>
  <c r="M198" i="32"/>
  <c r="AA198" i="32"/>
  <c r="L286" i="14"/>
  <c r="K286" i="14"/>
  <c r="Z286" i="14"/>
  <c r="Z309" i="28"/>
  <c r="L309" i="28"/>
  <c r="AA155" i="28"/>
  <c r="L155" i="28"/>
  <c r="M155" i="28"/>
  <c r="AA249" i="30"/>
  <c r="M249" i="30"/>
  <c r="M294" i="89"/>
  <c r="L294" i="89"/>
  <c r="AA294" i="89"/>
  <c r="M155" i="14"/>
  <c r="AA155" i="14"/>
  <c r="P292" i="17"/>
  <c r="X292" i="17"/>
  <c r="AA280" i="32"/>
  <c r="L280" i="32"/>
  <c r="M280" i="32"/>
  <c r="M161" i="28"/>
  <c r="K161" i="28"/>
  <c r="L161" i="28"/>
  <c r="AA161" i="28"/>
  <c r="M257" i="28"/>
  <c r="L257" i="28"/>
  <c r="AA257" i="28"/>
  <c r="Z180" i="25"/>
  <c r="R180" i="25"/>
  <c r="L180" i="25"/>
  <c r="T218" i="17"/>
  <c r="M218" i="17"/>
  <c r="M184" i="40"/>
  <c r="AA184" i="40"/>
  <c r="AA255" i="23"/>
  <c r="M255" i="23"/>
  <c r="Y286" i="30"/>
  <c r="Q286" i="30"/>
  <c r="AA177" i="23"/>
  <c r="M177" i="23"/>
  <c r="Z273" i="23"/>
  <c r="R273" i="23"/>
  <c r="M248" i="30"/>
  <c r="AA248" i="30"/>
  <c r="X160" i="30"/>
  <c r="P160" i="30"/>
  <c r="AA236" i="32"/>
  <c r="M236" i="32"/>
  <c r="Y279" i="38"/>
  <c r="Q279" i="38"/>
  <c r="Y293" i="40"/>
  <c r="Q293" i="40"/>
  <c r="P299" i="23"/>
  <c r="W299" i="23"/>
  <c r="P271" i="40"/>
  <c r="X271" i="40"/>
  <c r="R250" i="17"/>
  <c r="Z250" i="17"/>
  <c r="L250" i="17"/>
  <c r="X271" i="30"/>
  <c r="P271" i="30"/>
  <c r="X190" i="23"/>
  <c r="P190" i="23"/>
  <c r="T171" i="30"/>
  <c r="AA171" i="30"/>
  <c r="AA197" i="40"/>
  <c r="M197" i="40"/>
  <c r="AA153" i="38"/>
  <c r="L153" i="38"/>
  <c r="M153" i="38"/>
  <c r="R199" i="30"/>
  <c r="Z199" i="30"/>
  <c r="M190" i="32"/>
  <c r="AA190" i="32"/>
  <c r="AA241" i="23"/>
  <c r="M241" i="23"/>
  <c r="M293" i="14"/>
  <c r="AA293" i="14"/>
  <c r="AA248" i="32"/>
  <c r="L248" i="32"/>
  <c r="M248" i="32"/>
  <c r="Y191" i="32"/>
  <c r="Q191" i="32"/>
  <c r="M198" i="23"/>
  <c r="K198" i="23"/>
  <c r="L198" i="23"/>
  <c r="AA198" i="23"/>
  <c r="M286" i="23"/>
  <c r="K286" i="23"/>
  <c r="L286" i="23"/>
  <c r="AA286" i="23"/>
  <c r="Y183" i="32"/>
  <c r="J183" i="32"/>
  <c r="K183" i="32"/>
  <c r="M148" i="40"/>
  <c r="L148" i="40"/>
  <c r="AA148" i="40"/>
  <c r="AA163" i="25"/>
  <c r="M163" i="25"/>
  <c r="R273" i="32"/>
  <c r="Z273" i="32"/>
  <c r="Z160" i="32"/>
  <c r="L160" i="32"/>
  <c r="M242" i="17"/>
  <c r="L242" i="17"/>
  <c r="AA242" i="17"/>
  <c r="L293" i="32"/>
  <c r="K293" i="32"/>
  <c r="Z293" i="32"/>
  <c r="AA190" i="17"/>
  <c r="M190" i="17"/>
  <c r="X197" i="89"/>
  <c r="P197" i="89"/>
  <c r="M262" i="89"/>
  <c r="Q272" i="30"/>
  <c r="Y272" i="30"/>
  <c r="Y184" i="14"/>
  <c r="Q184" i="14"/>
  <c r="K184" i="14"/>
  <c r="M229" i="25"/>
  <c r="T229" i="25"/>
  <c r="R208" i="25"/>
  <c r="Y208" i="25"/>
  <c r="Z197" i="89"/>
  <c r="L197" i="89"/>
  <c r="X308" i="30"/>
  <c r="Q308" i="30"/>
  <c r="X271" i="89"/>
  <c r="P271" i="89"/>
  <c r="Q300" i="23"/>
  <c r="X300" i="23"/>
  <c r="M140" i="32"/>
  <c r="AA140" i="32"/>
  <c r="AA244" i="23"/>
  <c r="M244" i="23"/>
  <c r="Q191" i="28"/>
  <c r="Y191" i="28"/>
  <c r="K272" i="17"/>
  <c r="Q272" i="17"/>
  <c r="Y272" i="17"/>
  <c r="M286" i="89"/>
  <c r="L286" i="89"/>
  <c r="AA286" i="89"/>
  <c r="AA147" i="89"/>
  <c r="M147" i="89"/>
  <c r="Z236" i="25"/>
  <c r="K236" i="25"/>
  <c r="L236" i="25"/>
  <c r="P299" i="30"/>
  <c r="W299" i="30"/>
  <c r="AA197" i="14"/>
  <c r="J197" i="14"/>
  <c r="K197" i="14"/>
  <c r="L197" i="14"/>
  <c r="M197" i="14"/>
  <c r="Y191" i="89"/>
  <c r="Q191" i="89"/>
  <c r="Z200" i="25"/>
  <c r="K309" i="28"/>
  <c r="Y309" i="28"/>
  <c r="R309" i="28"/>
  <c r="Z177" i="23"/>
  <c r="K177" i="23"/>
  <c r="L177" i="23"/>
  <c r="Z197" i="17"/>
  <c r="X248" i="38"/>
  <c r="P248" i="38"/>
  <c r="Z198" i="40"/>
  <c r="K198" i="40"/>
  <c r="L198" i="40"/>
  <c r="AA142" i="89"/>
  <c r="M142" i="89"/>
  <c r="Q286" i="89"/>
  <c r="Y286" i="89"/>
  <c r="K286" i="89"/>
  <c r="X207" i="25"/>
  <c r="Q207" i="25"/>
  <c r="Y161" i="23"/>
  <c r="Q161" i="23"/>
  <c r="L265" i="23"/>
  <c r="AA160" i="23"/>
  <c r="L160" i="23"/>
  <c r="M160" i="23"/>
  <c r="Q286" i="38"/>
  <c r="Y286" i="38"/>
  <c r="L271" i="89"/>
  <c r="Z271" i="89"/>
  <c r="L293" i="14"/>
  <c r="K293" i="14"/>
  <c r="Z293" i="14"/>
  <c r="P255" i="23"/>
  <c r="X255" i="23"/>
  <c r="AA143" i="25"/>
  <c r="M143" i="25"/>
  <c r="AA146" i="40"/>
  <c r="M146" i="40"/>
  <c r="P250" i="25"/>
  <c r="X250" i="25"/>
  <c r="Z155" i="14"/>
  <c r="R155" i="14"/>
  <c r="L155" i="14"/>
  <c r="AA237" i="40"/>
  <c r="M237" i="40"/>
  <c r="AA161" i="89"/>
  <c r="M161" i="89"/>
  <c r="M144" i="25"/>
  <c r="AA144" i="25"/>
  <c r="M243" i="32"/>
  <c r="L243" i="32"/>
  <c r="AA243" i="32"/>
  <c r="M142" i="25"/>
  <c r="AA142" i="25"/>
  <c r="Q184" i="40"/>
  <c r="Y184" i="40"/>
  <c r="Y241" i="89"/>
  <c r="X287" i="25"/>
  <c r="P287" i="25"/>
  <c r="M140" i="14"/>
  <c r="AA140" i="14"/>
  <c r="Z183" i="17"/>
  <c r="Z161" i="89"/>
  <c r="K161" i="89"/>
  <c r="L161" i="89"/>
  <c r="L183" i="30"/>
  <c r="J183" i="30"/>
  <c r="K183" i="30"/>
  <c r="Z183" i="30"/>
  <c r="Y292" i="40"/>
  <c r="Z154" i="14"/>
  <c r="M197" i="17"/>
  <c r="L197" i="17"/>
  <c r="AA197" i="17"/>
  <c r="Q177" i="17"/>
  <c r="Y177" i="17"/>
  <c r="Y309" i="14"/>
  <c r="K309" i="14"/>
  <c r="R309" i="14"/>
  <c r="L256" i="89"/>
  <c r="K256" i="89"/>
  <c r="Z256" i="89"/>
  <c r="Z255" i="23"/>
  <c r="L255" i="23"/>
  <c r="Z295" i="25"/>
  <c r="K295" i="25"/>
  <c r="L295" i="25"/>
  <c r="P185" i="25"/>
  <c r="X185" i="25"/>
  <c r="Z147" i="40"/>
  <c r="M200" i="25"/>
  <c r="K200" i="25"/>
  <c r="L200" i="25"/>
  <c r="AA200" i="25"/>
  <c r="M250" i="23"/>
  <c r="L250" i="23"/>
  <c r="AA250" i="23"/>
  <c r="L146" i="40"/>
  <c r="Z146" i="40"/>
  <c r="Q279" i="23"/>
  <c r="Y279" i="23"/>
  <c r="M252" i="25"/>
  <c r="L252" i="25"/>
  <c r="AA252" i="25"/>
  <c r="M237" i="25"/>
  <c r="L237" i="25"/>
  <c r="AA237" i="25"/>
  <c r="AA256" i="28"/>
  <c r="M256" i="28"/>
  <c r="Q179" i="25"/>
  <c r="Y179" i="25"/>
  <c r="L248" i="30"/>
  <c r="Z248" i="30"/>
  <c r="Y255" i="40"/>
  <c r="Q147" i="38"/>
  <c r="Y147" i="38"/>
  <c r="M155" i="25"/>
  <c r="L155" i="25"/>
  <c r="AA155" i="25"/>
  <c r="Y272" i="23"/>
  <c r="K272" i="23"/>
  <c r="Q272" i="23"/>
  <c r="Z285" i="17"/>
  <c r="X155" i="25"/>
  <c r="P155" i="25"/>
  <c r="Z241" i="89"/>
  <c r="Y309" i="38"/>
  <c r="R309" i="38"/>
  <c r="L235" i="89"/>
  <c r="K235" i="89"/>
  <c r="Z235" i="89"/>
  <c r="L234" i="32"/>
  <c r="Z234" i="32"/>
  <c r="X170" i="25"/>
  <c r="Q170" i="25"/>
  <c r="R294" i="30"/>
  <c r="Z294" i="30"/>
  <c r="P183" i="17"/>
  <c r="X183" i="17"/>
  <c r="Z154" i="23"/>
  <c r="K154" i="23"/>
  <c r="L154" i="23"/>
  <c r="X255" i="28"/>
  <c r="P255" i="28"/>
  <c r="AA266" i="38"/>
  <c r="T266" i="38"/>
  <c r="X300" i="40"/>
  <c r="Q300" i="40"/>
  <c r="X160" i="32"/>
  <c r="P160" i="32"/>
  <c r="M256" i="38"/>
  <c r="AA256" i="38"/>
  <c r="P299" i="89"/>
  <c r="W299" i="89"/>
  <c r="Y185" i="25"/>
  <c r="AA191" i="89"/>
  <c r="K191" i="89"/>
  <c r="L191" i="89"/>
  <c r="M191" i="89"/>
  <c r="Y241" i="32"/>
  <c r="Z192" i="89"/>
  <c r="R192" i="89"/>
  <c r="X160" i="14"/>
  <c r="P160" i="14"/>
  <c r="M242" i="14"/>
  <c r="AA242" i="14"/>
  <c r="Q198" i="32"/>
  <c r="Y198" i="32"/>
  <c r="Z141" i="14"/>
  <c r="M244" i="14"/>
  <c r="AA244" i="14"/>
  <c r="Y309" i="17"/>
  <c r="R309" i="17"/>
  <c r="Z286" i="40"/>
  <c r="M237" i="14"/>
  <c r="AA237" i="14"/>
  <c r="M227" i="23"/>
  <c r="T227" i="23"/>
  <c r="Q205" i="17"/>
  <c r="X205" i="17"/>
  <c r="Y293" i="17"/>
  <c r="Q293" i="17"/>
  <c r="Y271" i="89"/>
  <c r="J271" i="89"/>
  <c r="K271" i="89"/>
  <c r="P299" i="28"/>
  <c r="W299" i="28"/>
  <c r="P248" i="40"/>
  <c r="X248" i="40"/>
  <c r="L242" i="30"/>
  <c r="Z242" i="30"/>
  <c r="AA248" i="38"/>
  <c r="M248" i="38"/>
  <c r="AA308" i="23"/>
  <c r="M308" i="23"/>
  <c r="M227" i="30"/>
  <c r="T227" i="30"/>
  <c r="M236" i="38"/>
  <c r="AA236" i="38"/>
  <c r="Q154" i="14"/>
  <c r="Y154" i="14"/>
  <c r="AA244" i="38"/>
  <c r="M244" i="38"/>
  <c r="M236" i="17"/>
  <c r="AA236" i="17"/>
  <c r="L190" i="40"/>
  <c r="Z190" i="40"/>
  <c r="AA266" i="14"/>
  <c r="T266" i="14"/>
  <c r="Z280" i="25"/>
  <c r="L280" i="25"/>
  <c r="M309" i="17"/>
  <c r="AA309" i="17"/>
  <c r="Z271" i="23"/>
  <c r="R301" i="14"/>
  <c r="Y301" i="14"/>
  <c r="X162" i="25"/>
  <c r="P162" i="25"/>
  <c r="M272" i="32"/>
  <c r="AA272" i="32"/>
  <c r="AA161" i="32"/>
  <c r="M161" i="32"/>
  <c r="Q191" i="23"/>
  <c r="Y191" i="23"/>
  <c r="X160" i="38"/>
  <c r="P160" i="38"/>
  <c r="P278" i="14"/>
  <c r="X278" i="14"/>
  <c r="Q279" i="40"/>
  <c r="Y279" i="40"/>
  <c r="L142" i="25"/>
  <c r="Z142" i="25"/>
  <c r="Z285" i="28"/>
  <c r="L285" i="28"/>
  <c r="M299" i="28"/>
  <c r="Z234" i="40"/>
  <c r="P299" i="40"/>
  <c r="W299" i="40"/>
  <c r="P255" i="17"/>
  <c r="X255" i="17"/>
  <c r="AA273" i="89"/>
  <c r="L273" i="89"/>
  <c r="M273" i="89"/>
  <c r="K293" i="89"/>
  <c r="Q293" i="89"/>
  <c r="Y293" i="89"/>
  <c r="M235" i="28"/>
  <c r="AA235" i="28"/>
  <c r="Y160" i="14"/>
  <c r="Z162" i="89"/>
  <c r="L162" i="89"/>
  <c r="R162" i="89"/>
  <c r="M286" i="40"/>
  <c r="K286" i="40"/>
  <c r="L286" i="40"/>
  <c r="AA286" i="40"/>
  <c r="Z184" i="89"/>
  <c r="K184" i="89"/>
  <c r="L184" i="89"/>
  <c r="M227" i="14"/>
  <c r="T227" i="14"/>
  <c r="M178" i="23"/>
  <c r="L178" i="23"/>
  <c r="AA178" i="23"/>
  <c r="Q147" i="23"/>
  <c r="Y147" i="23"/>
  <c r="K147" i="23"/>
  <c r="K190" i="40"/>
  <c r="J190" i="40"/>
  <c r="Y190" i="40"/>
  <c r="P285" i="17"/>
  <c r="X285" i="17"/>
  <c r="M244" i="17"/>
  <c r="AA244" i="17"/>
  <c r="P183" i="23"/>
  <c r="X183" i="23"/>
  <c r="Z308" i="30"/>
  <c r="Z271" i="14"/>
  <c r="L198" i="32"/>
  <c r="K198" i="32"/>
  <c r="Z198" i="32"/>
  <c r="P153" i="23"/>
  <c r="X153" i="23"/>
  <c r="X197" i="23"/>
  <c r="P197" i="23"/>
  <c r="Y146" i="38"/>
  <c r="M309" i="40"/>
  <c r="AA309" i="40"/>
  <c r="L257" i="17"/>
  <c r="R257" i="17"/>
  <c r="Z257" i="17"/>
  <c r="M184" i="17"/>
  <c r="AA184" i="17"/>
  <c r="P271" i="14"/>
  <c r="X271" i="14"/>
  <c r="Y161" i="32"/>
  <c r="Q161" i="32"/>
  <c r="K280" i="25"/>
  <c r="J280" i="25"/>
  <c r="Y280" i="25"/>
  <c r="L243" i="23"/>
  <c r="Z243" i="23"/>
  <c r="Y293" i="38"/>
  <c r="Q293" i="38"/>
  <c r="AA177" i="40"/>
  <c r="M177" i="40"/>
  <c r="Y140" i="89"/>
  <c r="K140" i="89"/>
  <c r="AA191" i="32"/>
  <c r="M191" i="32"/>
  <c r="X192" i="25"/>
  <c r="P192" i="25"/>
  <c r="M218" i="89"/>
  <c r="T218" i="89"/>
  <c r="AA142" i="38"/>
  <c r="M142" i="38"/>
  <c r="Z241" i="40"/>
  <c r="Y257" i="25"/>
  <c r="J257" i="25"/>
  <c r="K257" i="25"/>
  <c r="T201" i="38"/>
  <c r="P278" i="23"/>
  <c r="X278" i="23"/>
  <c r="Y171" i="25"/>
  <c r="R171" i="25"/>
  <c r="Y183" i="38"/>
  <c r="J183" i="38"/>
  <c r="K183" i="38"/>
  <c r="M154" i="28"/>
  <c r="AA154" i="28"/>
  <c r="X263" i="14"/>
  <c r="Q263" i="14"/>
  <c r="M184" i="23"/>
  <c r="AA184" i="23"/>
  <c r="Z154" i="40"/>
  <c r="L154" i="40"/>
  <c r="Y272" i="38"/>
  <c r="Q272" i="38"/>
  <c r="L146" i="14"/>
  <c r="Z146" i="14"/>
  <c r="M308" i="40"/>
  <c r="AA308" i="40"/>
  <c r="M227" i="40"/>
  <c r="T227" i="40"/>
  <c r="Y279" i="32"/>
  <c r="Q279" i="32"/>
  <c r="R216" i="30"/>
  <c r="Z272" i="14"/>
  <c r="T208" i="23"/>
  <c r="AA208" i="23"/>
  <c r="Z146" i="38"/>
  <c r="K146" i="38"/>
  <c r="L146" i="38"/>
  <c r="AA279" i="28"/>
  <c r="M279" i="28"/>
  <c r="AA279" i="23"/>
  <c r="M279" i="23"/>
  <c r="M146" i="28"/>
  <c r="AA146" i="28"/>
  <c r="Y161" i="30"/>
  <c r="Q161" i="30"/>
  <c r="AA272" i="38"/>
  <c r="M272" i="38"/>
  <c r="Z234" i="28"/>
  <c r="L234" i="28"/>
  <c r="L149" i="25"/>
  <c r="K149" i="25"/>
  <c r="Z149" i="25"/>
  <c r="P271" i="17"/>
  <c r="X271" i="17"/>
  <c r="Q263" i="32"/>
  <c r="X263" i="32"/>
  <c r="K255" i="14"/>
  <c r="J255" i="14"/>
  <c r="Y255" i="14"/>
  <c r="AA273" i="23"/>
  <c r="L273" i="23"/>
  <c r="M273" i="23"/>
  <c r="X248" i="23"/>
  <c r="P248" i="23"/>
  <c r="Q191" i="40"/>
  <c r="Y191" i="40"/>
  <c r="K155" i="25"/>
  <c r="J155" i="25"/>
  <c r="Y155" i="25"/>
  <c r="P248" i="32"/>
  <c r="X248" i="32"/>
  <c r="Z241" i="14"/>
  <c r="Y234" i="30"/>
  <c r="M192" i="30"/>
  <c r="AA192" i="30"/>
  <c r="L249" i="30"/>
  <c r="K249" i="30"/>
  <c r="Z249" i="30"/>
  <c r="L177" i="40"/>
  <c r="K177" i="40"/>
  <c r="Z177" i="40"/>
  <c r="Z309" i="40"/>
  <c r="K309" i="40"/>
  <c r="L309" i="40"/>
  <c r="T208" i="14"/>
  <c r="AA208" i="14"/>
  <c r="P248" i="17"/>
  <c r="X248" i="17"/>
  <c r="M183" i="17"/>
  <c r="J183" i="17"/>
  <c r="K183" i="17"/>
  <c r="L183" i="17"/>
  <c r="AA183" i="17"/>
  <c r="L279" i="28"/>
  <c r="K279" i="28"/>
  <c r="Z279" i="28"/>
  <c r="Z248" i="17"/>
  <c r="L248" i="17"/>
  <c r="AA303" i="89"/>
  <c r="T303" i="89"/>
  <c r="Z236" i="17"/>
  <c r="L236" i="17"/>
  <c r="R61" i="83"/>
  <c r="T296" i="40"/>
  <c r="L163" i="25"/>
  <c r="K163" i="25"/>
  <c r="Z163" i="25"/>
  <c r="X302" i="25"/>
  <c r="Q302" i="25"/>
  <c r="K197" i="89"/>
  <c r="J197" i="89"/>
  <c r="Y197" i="89"/>
  <c r="AA198" i="28"/>
  <c r="M198" i="28"/>
  <c r="L279" i="23"/>
  <c r="K279" i="23"/>
  <c r="Z279" i="23"/>
  <c r="M190" i="38"/>
  <c r="AA190" i="38"/>
  <c r="Y184" i="30"/>
  <c r="Q184" i="30"/>
  <c r="Y271" i="14"/>
  <c r="Q154" i="40"/>
  <c r="Y154" i="40"/>
  <c r="K154" i="40"/>
  <c r="Y271" i="28"/>
  <c r="J271" i="28"/>
  <c r="K271" i="28"/>
  <c r="T218" i="28"/>
  <c r="M218" i="28"/>
  <c r="AA237" i="38"/>
  <c r="M237" i="38"/>
  <c r="M271" i="23"/>
  <c r="L271" i="23"/>
  <c r="AA271" i="23"/>
  <c r="J140" i="89"/>
  <c r="Z179" i="25"/>
  <c r="Y285" i="28"/>
  <c r="J285" i="28"/>
  <c r="K285" i="28"/>
  <c r="Z177" i="30"/>
  <c r="AA193" i="25"/>
  <c r="M193" i="25"/>
  <c r="L292" i="40"/>
  <c r="J292" i="40"/>
  <c r="K292" i="40"/>
  <c r="Z292" i="40"/>
  <c r="AA285" i="14"/>
  <c r="M285" i="14"/>
  <c r="Y308" i="89"/>
  <c r="M147" i="40"/>
  <c r="K147" i="40"/>
  <c r="L147" i="40"/>
  <c r="AA147" i="40"/>
  <c r="X241" i="28"/>
  <c r="Q147" i="32"/>
  <c r="Y147" i="32"/>
  <c r="L293" i="38"/>
  <c r="K293" i="38"/>
  <c r="Z293" i="38"/>
  <c r="X146" i="23"/>
  <c r="X234" i="23"/>
  <c r="M279" i="14"/>
  <c r="AA279" i="14"/>
  <c r="T218" i="40"/>
  <c r="M218" i="40"/>
  <c r="Y292" i="23"/>
  <c r="Z308" i="23"/>
  <c r="L308" i="23"/>
  <c r="H67" i="83"/>
  <c r="Y242" i="28"/>
  <c r="K242" i="28"/>
  <c r="AA236" i="40"/>
  <c r="M236" i="40"/>
  <c r="Y251" i="25"/>
  <c r="Q251" i="25"/>
  <c r="AA271" i="32"/>
  <c r="M271" i="32"/>
  <c r="L183" i="14"/>
  <c r="Z183" i="14"/>
  <c r="Z255" i="17"/>
  <c r="L184" i="17"/>
  <c r="K184" i="17"/>
  <c r="Z184" i="17"/>
  <c r="Y285" i="38"/>
  <c r="AA248" i="28"/>
  <c r="M248" i="28"/>
  <c r="AY114" i="18"/>
  <c r="Z255" i="38"/>
  <c r="Y160" i="89"/>
  <c r="AA198" i="17"/>
  <c r="M198" i="17"/>
  <c r="Z183" i="89"/>
  <c r="L183" i="89"/>
  <c r="AV20" i="18"/>
  <c r="Y237" i="25"/>
  <c r="K237" i="25"/>
  <c r="Y308" i="17"/>
  <c r="M256" i="30"/>
  <c r="AA256" i="30"/>
  <c r="R169" i="30"/>
  <c r="Y169" i="30"/>
  <c r="M154" i="30"/>
  <c r="AA154" i="30"/>
  <c r="Z279" i="32"/>
  <c r="K279" i="32"/>
  <c r="L279" i="32"/>
  <c r="K292" i="32"/>
  <c r="Y292" i="32"/>
  <c r="M234" i="40"/>
  <c r="L234" i="40"/>
  <c r="AA234" i="40"/>
  <c r="M286" i="38"/>
  <c r="AA286" i="38"/>
  <c r="Z160" i="30"/>
  <c r="AA199" i="38"/>
  <c r="L199" i="38"/>
  <c r="M199" i="38"/>
  <c r="M184" i="30"/>
  <c r="AA184" i="30"/>
  <c r="Y256" i="30"/>
  <c r="Q256" i="30"/>
  <c r="AA178" i="40"/>
  <c r="M178" i="40"/>
  <c r="Z154" i="38"/>
  <c r="K154" i="38"/>
  <c r="L154" i="38"/>
  <c r="X236" i="25"/>
  <c r="J236" i="25"/>
  <c r="Y146" i="40"/>
  <c r="K146" i="40"/>
  <c r="K248" i="30"/>
  <c r="J248" i="30"/>
  <c r="Y248" i="30"/>
  <c r="Q274" i="25"/>
  <c r="Y274" i="25"/>
  <c r="Y190" i="38"/>
  <c r="Y248" i="38"/>
  <c r="Z190" i="30"/>
  <c r="Q300" i="89"/>
  <c r="X300" i="89"/>
  <c r="Z148" i="25"/>
  <c r="Q272" i="28"/>
  <c r="Y272" i="28"/>
  <c r="AA199" i="30"/>
  <c r="L199" i="30"/>
  <c r="M199" i="30"/>
  <c r="K192" i="38"/>
  <c r="X300" i="38"/>
  <c r="Q300" i="38"/>
  <c r="M278" i="89"/>
  <c r="AA278" i="89"/>
  <c r="AA242" i="40"/>
  <c r="M242" i="40"/>
  <c r="M241" i="40"/>
  <c r="L241" i="40"/>
  <c r="AA241" i="40"/>
  <c r="Z256" i="23"/>
  <c r="L255" i="89"/>
  <c r="Z255" i="89"/>
  <c r="L190" i="17"/>
  <c r="Z190" i="17"/>
  <c r="Y206" i="17"/>
  <c r="R206" i="17"/>
  <c r="W299" i="38"/>
  <c r="P299" i="38"/>
  <c r="K197" i="32"/>
  <c r="Y197" i="32"/>
  <c r="Y160" i="30"/>
  <c r="AA208" i="17"/>
  <c r="T208" i="17"/>
  <c r="M309" i="23"/>
  <c r="AA309" i="23"/>
  <c r="P153" i="38"/>
  <c r="X153" i="38"/>
  <c r="L236" i="23"/>
  <c r="Z236" i="23"/>
  <c r="Z249" i="17"/>
  <c r="Z151" i="18"/>
  <c r="L286" i="38"/>
  <c r="K286" i="38"/>
  <c r="Z286" i="38"/>
  <c r="C17" i="28"/>
  <c r="P190" i="38"/>
  <c r="X190" i="38"/>
  <c r="Y308" i="23"/>
  <c r="K308" i="23"/>
  <c r="R301" i="40"/>
  <c r="Y301" i="40"/>
  <c r="Y308" i="40"/>
  <c r="Y183" i="28"/>
  <c r="Q256" i="40"/>
  <c r="Y256" i="40"/>
  <c r="X308" i="14"/>
  <c r="Q308" i="14"/>
  <c r="Y153" i="17"/>
  <c r="L301" i="40"/>
  <c r="M301" i="40"/>
  <c r="K294" i="32"/>
  <c r="Y292" i="30"/>
  <c r="AA256" i="23"/>
  <c r="K256" i="23"/>
  <c r="L256" i="23"/>
  <c r="M256" i="23"/>
  <c r="AA286" i="30"/>
  <c r="M286" i="30"/>
  <c r="L160" i="17"/>
  <c r="Z160" i="17"/>
  <c r="X241" i="40"/>
  <c r="Y142" i="25"/>
  <c r="K142" i="25"/>
  <c r="Z192" i="25"/>
  <c r="Y183" i="14"/>
  <c r="K183" i="14"/>
  <c r="Y255" i="89"/>
  <c r="J255" i="89"/>
  <c r="K255" i="89"/>
  <c r="Z147" i="17"/>
  <c r="Z249" i="14"/>
  <c r="L147" i="89"/>
  <c r="K147" i="89"/>
  <c r="Z147" i="89"/>
  <c r="AA197" i="23"/>
  <c r="M197" i="23"/>
  <c r="M250" i="25"/>
  <c r="AA250" i="25"/>
  <c r="Z271" i="30"/>
  <c r="Q249" i="14"/>
  <c r="Y249" i="14"/>
  <c r="AA256" i="32"/>
  <c r="M256" i="32"/>
  <c r="AA153" i="40"/>
  <c r="M153" i="40"/>
  <c r="M272" i="30"/>
  <c r="AA272" i="30"/>
  <c r="M243" i="38"/>
  <c r="AA243" i="38"/>
  <c r="AA285" i="17"/>
  <c r="L285" i="17"/>
  <c r="M285" i="17"/>
  <c r="X148" i="25"/>
  <c r="D79" i="89"/>
  <c r="Y160" i="28"/>
  <c r="Z309" i="23"/>
  <c r="L309" i="23"/>
  <c r="Z251" i="25"/>
  <c r="M208" i="28"/>
  <c r="M236" i="30"/>
  <c r="AA236" i="30"/>
  <c r="W262" i="38"/>
  <c r="P262" i="38"/>
  <c r="Y285" i="89"/>
  <c r="Z278" i="40"/>
  <c r="Y278" i="89"/>
  <c r="K199" i="28"/>
  <c r="G15" i="23"/>
  <c r="L249" i="28"/>
  <c r="Z249" i="28"/>
  <c r="M160" i="14"/>
  <c r="AA160" i="14"/>
  <c r="Y190" i="23"/>
  <c r="Z184" i="30"/>
  <c r="K184" i="30"/>
  <c r="L184" i="30"/>
  <c r="Z236" i="28"/>
  <c r="R169" i="23"/>
  <c r="Y169" i="23"/>
  <c r="Z197" i="38"/>
  <c r="Y140" i="14"/>
  <c r="Z286" i="30"/>
  <c r="K286" i="30"/>
  <c r="L286" i="30"/>
  <c r="K250" i="40"/>
  <c r="Z235" i="30"/>
  <c r="Y197" i="30"/>
  <c r="M237" i="17"/>
  <c r="AA237" i="17"/>
  <c r="Z292" i="38"/>
  <c r="Z140" i="23"/>
  <c r="Z286" i="17"/>
  <c r="Z160" i="28"/>
  <c r="AA303" i="38"/>
  <c r="T303" i="38"/>
  <c r="Z160" i="40"/>
  <c r="W262" i="32"/>
  <c r="P262" i="32"/>
  <c r="Z243" i="17"/>
  <c r="L193" i="89"/>
  <c r="Z292" i="17"/>
  <c r="P190" i="32"/>
  <c r="X190" i="32"/>
  <c r="AA146" i="17"/>
  <c r="M146" i="17"/>
  <c r="AA293" i="23"/>
  <c r="K293" i="23"/>
  <c r="L293" i="23"/>
  <c r="M293" i="23"/>
  <c r="Z191" i="28"/>
  <c r="K191" i="28"/>
  <c r="L191" i="28"/>
  <c r="Z193" i="25"/>
  <c r="K193" i="25"/>
  <c r="L193" i="25"/>
  <c r="M273" i="25"/>
  <c r="AA273" i="25"/>
  <c r="M192" i="89"/>
  <c r="L192" i="89"/>
  <c r="AA192" i="89"/>
  <c r="M245" i="25"/>
  <c r="L245" i="25"/>
  <c r="AA245" i="25"/>
  <c r="M191" i="23"/>
  <c r="K191" i="23"/>
  <c r="L191" i="23"/>
  <c r="AA191" i="23"/>
  <c r="R178" i="40"/>
  <c r="Z178" i="40"/>
  <c r="L178" i="40"/>
  <c r="X153" i="32"/>
  <c r="P153" i="32"/>
  <c r="F100" i="23"/>
  <c r="AA271" i="14"/>
  <c r="J271" i="14"/>
  <c r="K271" i="14"/>
  <c r="L271" i="14"/>
  <c r="M271" i="14"/>
  <c r="AA285" i="38"/>
  <c r="M285" i="38"/>
  <c r="L198" i="38"/>
  <c r="K198" i="38"/>
  <c r="Z198" i="38"/>
  <c r="Z241" i="32"/>
  <c r="K241" i="32"/>
  <c r="L241" i="32"/>
  <c r="AA272" i="14"/>
  <c r="K272" i="14"/>
  <c r="L272" i="14"/>
  <c r="M272" i="14"/>
  <c r="Z198" i="14"/>
  <c r="K198" i="14"/>
  <c r="L198" i="14"/>
  <c r="Q256" i="28"/>
  <c r="Y256" i="28"/>
  <c r="M236" i="14"/>
  <c r="AA236" i="14"/>
  <c r="P190" i="28"/>
  <c r="X190" i="28"/>
  <c r="P292" i="32"/>
  <c r="X292" i="32"/>
  <c r="J292" i="32"/>
  <c r="Z293" i="40"/>
  <c r="Z256" i="30"/>
  <c r="K256" i="30"/>
  <c r="L256" i="30"/>
  <c r="Q205" i="30"/>
  <c r="X205" i="30"/>
  <c r="X243" i="25"/>
  <c r="Y160" i="23"/>
  <c r="J160" i="23"/>
  <c r="K160" i="23"/>
  <c r="Z288" i="25"/>
  <c r="L288" i="25"/>
  <c r="AA279" i="38"/>
  <c r="M279" i="38"/>
  <c r="L241" i="30"/>
  <c r="K241" i="30"/>
  <c r="Z241" i="30"/>
  <c r="K197" i="17"/>
  <c r="J197" i="17"/>
  <c r="Y197" i="17"/>
  <c r="AA235" i="30"/>
  <c r="L235" i="30"/>
  <c r="M235" i="30"/>
  <c r="AA293" i="17"/>
  <c r="M293" i="17"/>
  <c r="P294" i="25"/>
  <c r="X294" i="25"/>
  <c r="Y292" i="38"/>
  <c r="Z309" i="38"/>
  <c r="K309" i="38"/>
  <c r="L309" i="38"/>
  <c r="AA197" i="38"/>
  <c r="L197" i="38"/>
  <c r="M197" i="38"/>
  <c r="M218" i="32"/>
  <c r="T218" i="32"/>
  <c r="M191" i="30"/>
  <c r="AA191" i="30"/>
  <c r="P273" i="25"/>
  <c r="X273" i="25"/>
  <c r="K257" i="23"/>
  <c r="K255" i="23"/>
  <c r="J255" i="23"/>
  <c r="Y255" i="23"/>
  <c r="R264" i="28"/>
  <c r="Y264" i="28"/>
  <c r="Y169" i="40"/>
  <c r="R169" i="40"/>
  <c r="M257" i="30"/>
  <c r="L257" i="30"/>
  <c r="AA257" i="30"/>
  <c r="M199" i="89"/>
  <c r="L199" i="89"/>
  <c r="AA199" i="89"/>
  <c r="Y248" i="89"/>
  <c r="J248" i="89"/>
  <c r="K248" i="89"/>
  <c r="M310" i="23"/>
  <c r="L310" i="23"/>
  <c r="AA310" i="23"/>
  <c r="L161" i="23"/>
  <c r="K161" i="23"/>
  <c r="Z161" i="23"/>
  <c r="AA294" i="25"/>
  <c r="M294" i="25"/>
  <c r="Z191" i="32"/>
  <c r="K191" i="32"/>
  <c r="L191" i="32"/>
  <c r="Z177" i="14"/>
  <c r="L192" i="30"/>
  <c r="R192" i="30"/>
  <c r="Z192" i="30"/>
  <c r="Z184" i="40"/>
  <c r="K184" i="40"/>
  <c r="L184" i="40"/>
  <c r="Z285" i="23"/>
  <c r="M141" i="14"/>
  <c r="L141" i="14"/>
  <c r="AA141" i="14"/>
  <c r="Z285" i="14"/>
  <c r="L285" i="14"/>
  <c r="L197" i="40"/>
  <c r="Z197" i="40"/>
  <c r="P153" i="17"/>
  <c r="X153" i="17"/>
  <c r="Z149" i="18"/>
  <c r="Z153" i="40"/>
  <c r="L153" i="40"/>
  <c r="K288" i="25"/>
  <c r="Y288" i="25"/>
  <c r="Q288" i="25"/>
  <c r="AA141" i="38"/>
  <c r="M141" i="38"/>
  <c r="L311" i="25"/>
  <c r="K311" i="25"/>
  <c r="Z311" i="25"/>
  <c r="Z272" i="32"/>
  <c r="K272" i="32"/>
  <c r="L272" i="32"/>
  <c r="L190" i="38"/>
  <c r="J190" i="38"/>
  <c r="K190" i="38"/>
  <c r="Z190" i="38"/>
  <c r="Z243" i="89"/>
  <c r="AA234" i="17"/>
  <c r="M234" i="17"/>
  <c r="Y140" i="23"/>
  <c r="Y255" i="38"/>
  <c r="G17" i="32"/>
  <c r="Y250" i="25"/>
  <c r="F24" i="40"/>
  <c r="Z161" i="17"/>
  <c r="Z293" i="17"/>
  <c r="K293" i="17"/>
  <c r="L293" i="17"/>
  <c r="P299" i="17"/>
  <c r="W299" i="17"/>
  <c r="K241" i="28"/>
  <c r="J241" i="28"/>
  <c r="Y241" i="28"/>
  <c r="K234" i="28"/>
  <c r="Y234" i="28"/>
  <c r="K234" i="23"/>
  <c r="J234" i="23"/>
  <c r="Y234" i="23"/>
  <c r="Z248" i="28"/>
  <c r="L248" i="28"/>
  <c r="Q224" i="38"/>
  <c r="M141" i="17"/>
  <c r="AA141" i="17"/>
  <c r="X234" i="89"/>
  <c r="J234" i="89"/>
  <c r="G89" i="40"/>
  <c r="M208" i="40"/>
  <c r="C17" i="23"/>
  <c r="Z272" i="30"/>
  <c r="K272" i="30"/>
  <c r="L272" i="30"/>
  <c r="Z308" i="40"/>
  <c r="K308" i="40"/>
  <c r="L308" i="40"/>
  <c r="Q215" i="28"/>
  <c r="Z308" i="28"/>
  <c r="Z242" i="32"/>
  <c r="Z249" i="89"/>
  <c r="AA142" i="23"/>
  <c r="M142" i="23"/>
  <c r="Y278" i="23"/>
  <c r="J278" i="23"/>
  <c r="K278" i="23"/>
  <c r="P199" i="25"/>
  <c r="X199" i="25"/>
  <c r="L146" i="28"/>
  <c r="Z146" i="28"/>
  <c r="Y310" i="25"/>
  <c r="Q249" i="28"/>
  <c r="K249" i="28"/>
  <c r="Y249" i="28"/>
  <c r="AA303" i="40"/>
  <c r="T303" i="40"/>
  <c r="AA160" i="89"/>
  <c r="M160" i="89"/>
  <c r="X300" i="30"/>
  <c r="Q300" i="30"/>
  <c r="AA235" i="23"/>
  <c r="M235" i="23"/>
  <c r="K308" i="38"/>
  <c r="J308" i="38"/>
  <c r="Y308" i="38"/>
  <c r="P183" i="14"/>
  <c r="X183" i="14"/>
  <c r="J183" i="14"/>
  <c r="Y160" i="17"/>
  <c r="J160" i="17"/>
  <c r="K160" i="17"/>
  <c r="M190" i="30"/>
  <c r="L190" i="30"/>
  <c r="AA190" i="30"/>
  <c r="Y285" i="14"/>
  <c r="J285" i="14"/>
  <c r="K285" i="14"/>
  <c r="P206" i="25"/>
  <c r="Z272" i="28"/>
  <c r="M141" i="32"/>
  <c r="AA141" i="32"/>
  <c r="Z272" i="40"/>
  <c r="M220" i="25"/>
  <c r="T220" i="25"/>
  <c r="Z242" i="14"/>
  <c r="L242" i="14"/>
  <c r="K241" i="40"/>
  <c r="J241" i="40"/>
  <c r="Y241" i="40"/>
  <c r="K271" i="23"/>
  <c r="J271" i="23"/>
  <c r="Y271" i="23"/>
  <c r="Y148" i="25"/>
  <c r="Y136" i="18"/>
  <c r="M154" i="89"/>
  <c r="K154" i="89"/>
  <c r="L154" i="89"/>
  <c r="AA154" i="89"/>
  <c r="Q263" i="17"/>
  <c r="X263" i="17"/>
  <c r="AA249" i="17"/>
  <c r="K249" i="17"/>
  <c r="L249" i="17"/>
  <c r="M249" i="17"/>
  <c r="Z255" i="28"/>
  <c r="J255" i="28"/>
  <c r="K255" i="28"/>
  <c r="L255" i="28"/>
  <c r="Y140" i="40"/>
  <c r="Z308" i="14"/>
  <c r="Y153" i="30"/>
  <c r="Z112" i="18"/>
  <c r="AA141" i="89"/>
  <c r="M141" i="89"/>
  <c r="Z292" i="30"/>
  <c r="F15" i="23"/>
  <c r="M129" i="23"/>
  <c r="Z271" i="40"/>
  <c r="L271" i="40"/>
  <c r="T171" i="32"/>
  <c r="AA171" i="32"/>
  <c r="S217" i="89"/>
  <c r="P292" i="30"/>
  <c r="X292" i="30"/>
  <c r="L302" i="89"/>
  <c r="AA192" i="25"/>
  <c r="L192" i="25"/>
  <c r="M192" i="25"/>
  <c r="F17" i="40"/>
  <c r="Z279" i="30"/>
  <c r="Y285" i="23"/>
  <c r="Y248" i="17"/>
  <c r="J248" i="17"/>
  <c r="K248" i="17"/>
  <c r="Z154" i="17"/>
  <c r="K154" i="17"/>
  <c r="L154" i="17"/>
  <c r="Y184" i="28"/>
  <c r="Q184" i="28"/>
  <c r="Q168" i="38"/>
  <c r="X168" i="38"/>
  <c r="K248" i="14"/>
  <c r="J248" i="14"/>
  <c r="Y248" i="14"/>
  <c r="Z285" i="40"/>
  <c r="L243" i="38"/>
  <c r="Z243" i="38"/>
  <c r="D96" i="89"/>
  <c r="J235" i="89"/>
  <c r="K285" i="17"/>
  <c r="J285" i="17"/>
  <c r="Y285" i="17"/>
  <c r="K309" i="23"/>
  <c r="R309" i="23"/>
  <c r="Y309" i="23"/>
  <c r="Z186" i="25"/>
  <c r="K186" i="25"/>
  <c r="L186" i="25"/>
  <c r="Z161" i="32"/>
  <c r="K161" i="32"/>
  <c r="L161" i="32"/>
  <c r="M139" i="32"/>
  <c r="R169" i="38"/>
  <c r="Y169" i="38"/>
  <c r="Z147" i="38"/>
  <c r="R206" i="30"/>
  <c r="Y206" i="30"/>
  <c r="F80" i="17"/>
  <c r="L149" i="17"/>
  <c r="M176" i="89"/>
  <c r="L255" i="40"/>
  <c r="J255" i="40"/>
  <c r="K255" i="40"/>
  <c r="Z255" i="40"/>
  <c r="Z146" i="89"/>
  <c r="D15" i="40"/>
  <c r="Y308" i="30"/>
  <c r="Z271" i="17"/>
  <c r="M148" i="89"/>
  <c r="L148" i="89"/>
  <c r="AA148" i="89"/>
  <c r="X292" i="89"/>
  <c r="P292" i="89"/>
  <c r="X241" i="23"/>
  <c r="Z160" i="14"/>
  <c r="J160" i="14"/>
  <c r="K160" i="14"/>
  <c r="L160" i="14"/>
  <c r="V152" i="18"/>
  <c r="E15" i="89"/>
  <c r="AA273" i="32"/>
  <c r="L273" i="32"/>
  <c r="M273" i="32"/>
  <c r="M176" i="30"/>
  <c r="Z248" i="38"/>
  <c r="J248" i="38"/>
  <c r="K248" i="38"/>
  <c r="L248" i="38"/>
  <c r="M147" i="17"/>
  <c r="K147" i="17"/>
  <c r="L147" i="17"/>
  <c r="AA147" i="17"/>
  <c r="Z285" i="89"/>
  <c r="Z191" i="40"/>
  <c r="Y146" i="14"/>
  <c r="K146" i="14"/>
  <c r="AA292" i="38"/>
  <c r="J292" i="38"/>
  <c r="K292" i="38"/>
  <c r="L292" i="38"/>
  <c r="M292" i="38"/>
  <c r="M140" i="23"/>
  <c r="K140" i="23"/>
  <c r="L140" i="23"/>
  <c r="AA140" i="23"/>
  <c r="X241" i="14"/>
  <c r="Z234" i="30"/>
  <c r="K234" i="30"/>
  <c r="L234" i="30"/>
  <c r="S226" i="28"/>
  <c r="M132" i="25"/>
  <c r="Y248" i="40"/>
  <c r="M255" i="38"/>
  <c r="J255" i="38"/>
  <c r="K255" i="38"/>
  <c r="L255" i="38"/>
  <c r="AA255" i="38"/>
  <c r="P262" i="40"/>
  <c r="W262" i="40"/>
  <c r="M285" i="30"/>
  <c r="AA285" i="30"/>
  <c r="Y183" i="89"/>
  <c r="J183" i="89"/>
  <c r="K183" i="89"/>
  <c r="AA161" i="30"/>
  <c r="M161" i="30"/>
  <c r="Z141" i="30"/>
  <c r="L141" i="30"/>
  <c r="Q168" i="23"/>
  <c r="X168" i="23"/>
  <c r="L236" i="89"/>
  <c r="Z236" i="89"/>
  <c r="M227" i="28"/>
  <c r="T227" i="28"/>
  <c r="Z236" i="38"/>
  <c r="L236" i="38"/>
  <c r="Z287" i="25"/>
  <c r="M272" i="28"/>
  <c r="K272" i="28"/>
  <c r="L272" i="28"/>
  <c r="AA272" i="28"/>
  <c r="K241" i="38"/>
  <c r="Y241" i="38"/>
  <c r="Q308" i="23"/>
  <c r="X308" i="23"/>
  <c r="J308" i="23"/>
  <c r="T303" i="30"/>
  <c r="AA303" i="30"/>
  <c r="AA160" i="40"/>
  <c r="L160" i="40"/>
  <c r="M160" i="40"/>
  <c r="Y249" i="38"/>
  <c r="Q249" i="38"/>
  <c r="K146" i="23"/>
  <c r="J146" i="23"/>
  <c r="Y146" i="23"/>
  <c r="M285" i="23"/>
  <c r="J285" i="23"/>
  <c r="K285" i="23"/>
  <c r="L285" i="23"/>
  <c r="AA285" i="23"/>
  <c r="M205" i="17"/>
  <c r="T171" i="89"/>
  <c r="AA171" i="89"/>
  <c r="AA293" i="40"/>
  <c r="K293" i="40"/>
  <c r="L293" i="40"/>
  <c r="M293" i="40"/>
  <c r="AA246" i="25"/>
  <c r="M246" i="25"/>
  <c r="AA177" i="14"/>
  <c r="K177" i="14"/>
  <c r="L177" i="14"/>
  <c r="M177" i="14"/>
  <c r="Z161" i="30"/>
  <c r="K161" i="30"/>
  <c r="L161" i="30"/>
  <c r="L183" i="28"/>
  <c r="J183" i="28"/>
  <c r="K183" i="28"/>
  <c r="Z183" i="28"/>
  <c r="D17" i="40"/>
  <c r="Z272" i="38"/>
  <c r="K272" i="38"/>
  <c r="L272" i="38"/>
  <c r="Z141" i="38"/>
  <c r="L141" i="38"/>
  <c r="M154" i="14"/>
  <c r="K154" i="14"/>
  <c r="L154" i="14"/>
  <c r="AA154" i="14"/>
  <c r="AW102" i="18"/>
  <c r="M249" i="89"/>
  <c r="K249" i="89"/>
  <c r="L249" i="89"/>
  <c r="AA249" i="89"/>
  <c r="Y241" i="14"/>
  <c r="X160" i="28"/>
  <c r="P160" i="28"/>
  <c r="X168" i="14"/>
  <c r="Q168" i="14"/>
  <c r="Y248" i="28"/>
  <c r="J248" i="28"/>
  <c r="K248" i="28"/>
  <c r="M278" i="28"/>
  <c r="AA278" i="28"/>
  <c r="L294" i="25"/>
  <c r="Z294" i="25"/>
  <c r="M218" i="23"/>
  <c r="T218" i="23"/>
  <c r="Z278" i="89"/>
  <c r="J278" i="89"/>
  <c r="K278" i="89"/>
  <c r="L278" i="89"/>
  <c r="Z190" i="32"/>
  <c r="L190" i="32"/>
  <c r="Y308" i="14"/>
  <c r="L310" i="25"/>
  <c r="J310" i="25"/>
  <c r="K310" i="25"/>
  <c r="Z310" i="25"/>
  <c r="P278" i="17"/>
  <c r="X278" i="17"/>
  <c r="Z236" i="14"/>
  <c r="L236" i="14"/>
  <c r="AA160" i="28"/>
  <c r="J160" i="28"/>
  <c r="K160" i="28"/>
  <c r="L160" i="28"/>
  <c r="M160" i="28"/>
  <c r="Y242" i="14"/>
  <c r="K242" i="14"/>
  <c r="M142" i="14"/>
  <c r="AA142" i="14"/>
  <c r="P278" i="28"/>
  <c r="X278" i="28"/>
  <c r="P299" i="14"/>
  <c r="W299" i="14"/>
  <c r="P197" i="28"/>
  <c r="X197" i="28"/>
  <c r="L279" i="14"/>
  <c r="K279" i="14"/>
  <c r="Z279" i="14"/>
  <c r="X278" i="30"/>
  <c r="P278" i="30"/>
  <c r="M239" i="25"/>
  <c r="AA239" i="25"/>
  <c r="AU126" i="18"/>
  <c r="Z250" i="25"/>
  <c r="J250" i="25"/>
  <c r="K250" i="25"/>
  <c r="L250" i="25"/>
  <c r="Z256" i="32"/>
  <c r="K256" i="32"/>
  <c r="L256" i="32"/>
  <c r="R225" i="14"/>
  <c r="Z154" i="32"/>
  <c r="Y160" i="40"/>
  <c r="J160" i="40"/>
  <c r="K160" i="40"/>
  <c r="AA266" i="89"/>
  <c r="T266" i="89"/>
  <c r="AA160" i="30"/>
  <c r="J160" i="30"/>
  <c r="K160" i="30"/>
  <c r="L160" i="30"/>
  <c r="M160" i="30"/>
  <c r="L190" i="89"/>
  <c r="Z190" i="89"/>
  <c r="Q308" i="40"/>
  <c r="X308" i="40"/>
  <c r="J308" i="40"/>
  <c r="L243" i="14"/>
  <c r="Z243" i="14"/>
  <c r="M162" i="25"/>
  <c r="AA162" i="25"/>
  <c r="AA272" i="40"/>
  <c r="K272" i="40"/>
  <c r="L272" i="40"/>
  <c r="M272" i="40"/>
  <c r="L160" i="38"/>
  <c r="Z160" i="38"/>
  <c r="Z153" i="30"/>
  <c r="Z236" i="32"/>
  <c r="L236" i="32"/>
  <c r="F87" i="23"/>
  <c r="L193" i="23"/>
  <c r="K244" i="25"/>
  <c r="Y244" i="25"/>
  <c r="R264" i="89"/>
  <c r="Y264" i="89"/>
  <c r="W262" i="30"/>
  <c r="P262" i="30"/>
  <c r="J76" i="85"/>
  <c r="Y301" i="32"/>
  <c r="R301" i="32"/>
  <c r="Y197" i="28"/>
  <c r="G17" i="23"/>
  <c r="X24" i="18"/>
  <c r="Y292" i="89"/>
  <c r="F15" i="38"/>
  <c r="T275" i="40"/>
  <c r="L235" i="28"/>
  <c r="Z235" i="28"/>
  <c r="L190" i="23"/>
  <c r="J190" i="23"/>
  <c r="K190" i="23"/>
  <c r="Z190" i="23"/>
  <c r="AA286" i="17"/>
  <c r="K286" i="17"/>
  <c r="L286" i="17"/>
  <c r="M286" i="17"/>
  <c r="L243" i="25"/>
  <c r="Z243" i="25"/>
  <c r="AA278" i="40"/>
  <c r="L278" i="40"/>
  <c r="M278" i="40"/>
  <c r="C61" i="14"/>
  <c r="M234" i="38"/>
  <c r="AA234" i="38"/>
  <c r="M168" i="89"/>
  <c r="K153" i="40"/>
  <c r="J153" i="40"/>
  <c r="Y153" i="40"/>
  <c r="Z279" i="89"/>
  <c r="X234" i="17"/>
  <c r="Z141" i="32"/>
  <c r="L141" i="32"/>
  <c r="J191" i="32"/>
  <c r="L169" i="38"/>
  <c r="M169" i="38"/>
  <c r="AA147" i="38"/>
  <c r="K147" i="38"/>
  <c r="L147" i="38"/>
  <c r="M147" i="38"/>
  <c r="K234" i="32"/>
  <c r="Y234" i="32"/>
  <c r="J234" i="28"/>
  <c r="X234" i="28"/>
  <c r="Y235" i="14"/>
  <c r="E15" i="40"/>
  <c r="Y285" i="30"/>
  <c r="M292" i="30"/>
  <c r="J292" i="30"/>
  <c r="K292" i="30"/>
  <c r="L292" i="30"/>
  <c r="AA292" i="30"/>
  <c r="Z153" i="17"/>
  <c r="M263" i="14"/>
  <c r="X146" i="28"/>
  <c r="AA285" i="89"/>
  <c r="J285" i="89"/>
  <c r="K285" i="89"/>
  <c r="L285" i="89"/>
  <c r="M285" i="89"/>
  <c r="M176" i="32"/>
  <c r="AA249" i="14"/>
  <c r="K249" i="14"/>
  <c r="L249" i="14"/>
  <c r="M249" i="14"/>
  <c r="AA191" i="40"/>
  <c r="K191" i="40"/>
  <c r="L191" i="40"/>
  <c r="M191" i="40"/>
  <c r="X234" i="38"/>
  <c r="M122" i="38"/>
  <c r="Q293" i="30"/>
  <c r="Y293" i="30"/>
  <c r="Z199" i="25"/>
  <c r="X234" i="30"/>
  <c r="J234" i="30"/>
  <c r="Y190" i="28"/>
  <c r="Z281" i="25"/>
  <c r="L198" i="17"/>
  <c r="K198" i="17"/>
  <c r="Z198" i="17"/>
  <c r="Y190" i="30"/>
  <c r="J190" i="30"/>
  <c r="K190" i="30"/>
  <c r="M226" i="25"/>
  <c r="Y271" i="17"/>
  <c r="Z286" i="32"/>
  <c r="T194" i="40"/>
  <c r="M215" i="32"/>
  <c r="AA148" i="25"/>
  <c r="J148" i="25"/>
  <c r="K148" i="25"/>
  <c r="L148" i="25"/>
  <c r="M148" i="25"/>
  <c r="AG28" i="65"/>
  <c r="M142" i="30"/>
  <c r="AA142" i="30"/>
  <c r="AA279" i="30"/>
  <c r="K279" i="30"/>
  <c r="L279" i="30"/>
  <c r="M279" i="30"/>
  <c r="X137" i="18"/>
  <c r="M271" i="17"/>
  <c r="J271" i="17"/>
  <c r="K271" i="17"/>
  <c r="L271" i="17"/>
  <c r="AA271" i="17"/>
  <c r="X190" i="14"/>
  <c r="P190" i="14"/>
  <c r="Z235" i="23"/>
  <c r="L235" i="23"/>
  <c r="W264" i="25"/>
  <c r="P264" i="25"/>
  <c r="K235" i="28"/>
  <c r="Y235" i="28"/>
  <c r="L129" i="23"/>
  <c r="E15" i="23"/>
  <c r="C61" i="38"/>
  <c r="X263" i="40"/>
  <c r="Q263" i="40"/>
  <c r="L278" i="30"/>
  <c r="Z278" i="30"/>
  <c r="M256" i="17"/>
  <c r="AA256" i="17"/>
  <c r="T227" i="17"/>
  <c r="M227" i="17"/>
  <c r="M140" i="40"/>
  <c r="AA140" i="40"/>
  <c r="K235" i="38"/>
  <c r="Y235" i="38"/>
  <c r="T76" i="85"/>
  <c r="Z153" i="23"/>
  <c r="F106" i="40"/>
  <c r="L302" i="40"/>
  <c r="E16" i="28"/>
  <c r="X234" i="40"/>
  <c r="M300" i="14"/>
  <c r="F87" i="40"/>
  <c r="L193" i="40"/>
  <c r="AV30" i="18"/>
  <c r="Z184" i="28"/>
  <c r="Z153" i="32"/>
  <c r="D63" i="25"/>
  <c r="L234" i="17"/>
  <c r="Z234" i="17"/>
  <c r="AA249" i="40"/>
  <c r="M249" i="40"/>
  <c r="L177" i="89"/>
  <c r="K177" i="89"/>
  <c r="Z177" i="89"/>
  <c r="L235" i="14"/>
  <c r="K235" i="14"/>
  <c r="Z235" i="14"/>
  <c r="F79" i="30"/>
  <c r="L142" i="30"/>
  <c r="Y234" i="38"/>
  <c r="L215" i="32"/>
  <c r="F24" i="38"/>
  <c r="E105" i="32"/>
  <c r="P204" i="17"/>
  <c r="K160" i="32"/>
  <c r="J160" i="32"/>
  <c r="Y160" i="32"/>
  <c r="M285" i="40"/>
  <c r="L285" i="40"/>
  <c r="AA285" i="40"/>
  <c r="J197" i="32"/>
  <c r="X197" i="32"/>
  <c r="P197" i="32"/>
  <c r="L169" i="32"/>
  <c r="M169" i="32"/>
  <c r="J241" i="32"/>
  <c r="X241" i="32"/>
  <c r="D16" i="89"/>
  <c r="Z278" i="38"/>
  <c r="L274" i="25"/>
  <c r="K274" i="25"/>
  <c r="Z274" i="25"/>
  <c r="K235" i="23"/>
  <c r="Y235" i="23"/>
  <c r="X234" i="14"/>
  <c r="AA177" i="30"/>
  <c r="K177" i="30"/>
  <c r="L177" i="30"/>
  <c r="M177" i="30"/>
  <c r="Z241" i="23"/>
  <c r="L241" i="23"/>
  <c r="E81" i="32"/>
  <c r="K155" i="32"/>
  <c r="Z185" i="25"/>
  <c r="L249" i="40"/>
  <c r="K249" i="40"/>
  <c r="Z249" i="40"/>
  <c r="K153" i="38"/>
  <c r="J153" i="38"/>
  <c r="Y153" i="38"/>
  <c r="M310" i="30"/>
  <c r="L310" i="30"/>
  <c r="AA310" i="30"/>
  <c r="AA244" i="40"/>
  <c r="M244" i="40"/>
  <c r="M286" i="32"/>
  <c r="K286" i="32"/>
  <c r="L286" i="32"/>
  <c r="AA286" i="32"/>
  <c r="Z140" i="32"/>
  <c r="L140" i="32"/>
  <c r="M183" i="23"/>
  <c r="AA183" i="23"/>
  <c r="AE25" i="65"/>
  <c r="K160" i="38"/>
  <c r="J160" i="38"/>
  <c r="Y160" i="38"/>
  <c r="AA242" i="32"/>
  <c r="L242" i="32"/>
  <c r="M242" i="32"/>
  <c r="L191" i="30"/>
  <c r="K191" i="30"/>
  <c r="Z191" i="30"/>
  <c r="Z140" i="14"/>
  <c r="K140" i="14"/>
  <c r="L140" i="14"/>
  <c r="Z147" i="32"/>
  <c r="R264" i="32"/>
  <c r="Y264" i="32"/>
  <c r="Y153" i="89"/>
  <c r="AW113" i="18"/>
  <c r="AA210" i="25"/>
  <c r="T210" i="25"/>
  <c r="AA278" i="14"/>
  <c r="M278" i="14"/>
  <c r="Z278" i="28"/>
  <c r="J278" i="28"/>
  <c r="K278" i="28"/>
  <c r="L278" i="28"/>
  <c r="L242" i="89"/>
  <c r="Z242" i="89"/>
  <c r="Y234" i="14"/>
  <c r="W262" i="17"/>
  <c r="P262" i="17"/>
  <c r="Q205" i="38"/>
  <c r="X205" i="38"/>
  <c r="M241" i="17"/>
  <c r="AA241" i="17"/>
  <c r="Z183" i="23"/>
  <c r="L183" i="23"/>
  <c r="F15" i="40"/>
  <c r="X300" i="28"/>
  <c r="Q300" i="28"/>
  <c r="I88" i="85"/>
  <c r="Z279" i="38"/>
  <c r="K279" i="38"/>
  <c r="L279" i="38"/>
  <c r="M153" i="32"/>
  <c r="L153" i="32"/>
  <c r="AA153" i="32"/>
  <c r="M167" i="40"/>
  <c r="M302" i="25"/>
  <c r="Z243" i="28"/>
  <c r="L226" i="38"/>
  <c r="M226" i="38"/>
  <c r="Z308" i="17"/>
  <c r="J308" i="17"/>
  <c r="K308" i="17"/>
  <c r="L308" i="17"/>
  <c r="M132" i="40"/>
  <c r="R301" i="17"/>
  <c r="Y301" i="17"/>
  <c r="G87" i="40"/>
  <c r="M194" i="40"/>
  <c r="D59" i="23"/>
  <c r="K140" i="32"/>
  <c r="Y140" i="32"/>
  <c r="Z249" i="38"/>
  <c r="J146" i="14"/>
  <c r="X146" i="14"/>
  <c r="X168" i="30"/>
  <c r="Q168" i="30"/>
  <c r="Y241" i="17"/>
  <c r="Y278" i="14"/>
  <c r="W126" i="18"/>
  <c r="C15" i="89"/>
  <c r="Z279" i="40"/>
  <c r="K279" i="40"/>
  <c r="L279" i="40"/>
  <c r="K162" i="14"/>
  <c r="X112" i="18"/>
  <c r="U26" i="65"/>
  <c r="Y80" i="18"/>
  <c r="W151" i="18"/>
  <c r="Z143" i="25"/>
  <c r="L143" i="25"/>
  <c r="L248" i="40"/>
  <c r="J248" i="40"/>
  <c r="K248" i="40"/>
  <c r="Z248" i="40"/>
  <c r="AA250" i="30"/>
  <c r="L250" i="30"/>
  <c r="M250" i="30"/>
  <c r="K197" i="40"/>
  <c r="J197" i="40"/>
  <c r="Y197" i="40"/>
  <c r="Y190" i="32"/>
  <c r="J190" i="32"/>
  <c r="K190" i="32"/>
  <c r="AA294" i="30"/>
  <c r="L294" i="30"/>
  <c r="M294" i="30"/>
  <c r="D17" i="30"/>
  <c r="Z190" i="14"/>
  <c r="L147" i="28"/>
  <c r="K147" i="28"/>
  <c r="Z147" i="28"/>
  <c r="M190" i="28"/>
  <c r="AA190" i="28"/>
  <c r="D99" i="25"/>
  <c r="J244" i="25"/>
  <c r="Z242" i="40"/>
  <c r="L242" i="40"/>
  <c r="T266" i="17"/>
  <c r="AA266" i="17"/>
  <c r="M153" i="14"/>
  <c r="AA153" i="14"/>
  <c r="L238" i="25"/>
  <c r="Z238" i="25"/>
  <c r="AV91" i="18"/>
  <c r="F61" i="17"/>
  <c r="M243" i="17"/>
  <c r="L243" i="17"/>
  <c r="AA243" i="17"/>
  <c r="F87" i="89"/>
  <c r="F106" i="89"/>
  <c r="Z292" i="28"/>
  <c r="J146" i="38"/>
  <c r="X146" i="38"/>
  <c r="S217" i="23"/>
  <c r="D15" i="17"/>
  <c r="X154" i="18"/>
  <c r="L293" i="28"/>
  <c r="K293" i="28"/>
  <c r="Z293" i="28"/>
  <c r="Y292" i="28"/>
  <c r="X146" i="40"/>
  <c r="J146" i="40"/>
  <c r="T296" i="32"/>
  <c r="M216" i="38"/>
  <c r="Z309" i="17"/>
  <c r="K309" i="17"/>
  <c r="L309" i="17"/>
  <c r="Y140" i="28"/>
  <c r="Z308" i="32"/>
  <c r="M263" i="89"/>
  <c r="Z292" i="23"/>
  <c r="K215" i="32"/>
  <c r="Z278" i="17"/>
  <c r="Z255" i="32"/>
  <c r="M185" i="25"/>
  <c r="J185" i="25"/>
  <c r="K185" i="25"/>
  <c r="L185" i="25"/>
  <c r="AA185" i="25"/>
  <c r="Y146" i="17"/>
  <c r="AA140" i="17"/>
  <c r="M140" i="17"/>
  <c r="Y255" i="32"/>
  <c r="M143" i="32"/>
  <c r="AA147" i="32"/>
  <c r="K147" i="32"/>
  <c r="L147" i="32"/>
  <c r="M147" i="32"/>
  <c r="W121" i="18"/>
  <c r="M238" i="28"/>
  <c r="T252" i="30"/>
  <c r="Y278" i="38"/>
  <c r="I160" i="40"/>
  <c r="W137" i="18"/>
  <c r="C82" i="40"/>
  <c r="F17" i="89"/>
  <c r="M206" i="25"/>
  <c r="R216" i="17"/>
  <c r="Y29" i="65"/>
  <c r="Q224" i="30"/>
  <c r="K185" i="14"/>
  <c r="F97" i="30"/>
  <c r="L244" i="30"/>
  <c r="M255" i="17"/>
  <c r="L255" i="17"/>
  <c r="AA255" i="17"/>
  <c r="F82" i="40"/>
  <c r="L163" i="40"/>
  <c r="M130" i="40"/>
  <c r="E87" i="38"/>
  <c r="L154" i="28"/>
  <c r="K154" i="28"/>
  <c r="Z154" i="28"/>
  <c r="M301" i="25"/>
  <c r="Y190" i="14"/>
  <c r="F89" i="23"/>
  <c r="L207" i="23"/>
  <c r="Z154" i="30"/>
  <c r="K154" i="30"/>
  <c r="L154" i="30"/>
  <c r="G92" i="17"/>
  <c r="M219" i="17"/>
  <c r="E103" i="32"/>
  <c r="K280" i="32"/>
  <c r="Y278" i="30"/>
  <c r="J278" i="30"/>
  <c r="K278" i="30"/>
  <c r="C17" i="25"/>
  <c r="Q131" i="25"/>
  <c r="L197" i="23"/>
  <c r="Z197" i="23"/>
  <c r="AV31" i="18"/>
  <c r="Z256" i="17"/>
  <c r="K256" i="17"/>
  <c r="L256" i="17"/>
  <c r="W124" i="18"/>
  <c r="P292" i="23"/>
  <c r="X292" i="23"/>
  <c r="Y153" i="28"/>
  <c r="X183" i="40"/>
  <c r="P183" i="40"/>
  <c r="E24" i="40"/>
  <c r="Y271" i="40"/>
  <c r="J271" i="40"/>
  <c r="K271" i="40"/>
  <c r="X241" i="89"/>
  <c r="F102" i="30"/>
  <c r="L274" i="30"/>
  <c r="Y271" i="30"/>
  <c r="E98" i="40"/>
  <c r="X151" i="18"/>
  <c r="F100" i="32"/>
  <c r="L265" i="32"/>
  <c r="S226" i="23"/>
  <c r="Z234" i="14"/>
  <c r="X29" i="65"/>
  <c r="G89" i="28"/>
  <c r="G96" i="28"/>
  <c r="M262" i="23"/>
  <c r="Z256" i="28"/>
  <c r="K256" i="28"/>
  <c r="L256" i="28"/>
  <c r="P204" i="89"/>
  <c r="W204" i="17"/>
  <c r="C59" i="17"/>
  <c r="M176" i="38"/>
  <c r="Y241" i="23"/>
  <c r="J241" i="23"/>
  <c r="K241" i="23"/>
  <c r="AA292" i="17"/>
  <c r="J292" i="17"/>
  <c r="K292" i="17"/>
  <c r="L292" i="17"/>
  <c r="M292" i="17"/>
  <c r="L206" i="38"/>
  <c r="M206" i="38"/>
  <c r="E81" i="40"/>
  <c r="K155" i="40"/>
  <c r="Y140" i="30"/>
  <c r="AA153" i="30"/>
  <c r="J153" i="30"/>
  <c r="K153" i="30"/>
  <c r="L153" i="30"/>
  <c r="M153" i="30"/>
  <c r="D15" i="23"/>
  <c r="K129" i="23"/>
  <c r="G79" i="30"/>
  <c r="M143" i="30"/>
  <c r="C15" i="14"/>
  <c r="AW116" i="18"/>
  <c r="D87" i="89"/>
  <c r="J191" i="89"/>
  <c r="T157" i="89"/>
  <c r="P167" i="23"/>
  <c r="Y234" i="17"/>
  <c r="J234" i="17"/>
  <c r="K234" i="17"/>
  <c r="F59" i="28"/>
  <c r="AD15" i="65"/>
  <c r="AD26" i="65"/>
  <c r="AA305" i="25"/>
  <c r="T305" i="25"/>
  <c r="AA153" i="17"/>
  <c r="J153" i="17"/>
  <c r="K153" i="17"/>
  <c r="L153" i="17"/>
  <c r="M153" i="17"/>
  <c r="L234" i="38"/>
  <c r="J234" i="38"/>
  <c r="K234" i="38"/>
  <c r="Z234" i="38"/>
  <c r="L264" i="38"/>
  <c r="M264" i="38"/>
  <c r="F87" i="17"/>
  <c r="L193" i="17"/>
  <c r="G93" i="17"/>
  <c r="M228" i="17"/>
  <c r="E15" i="30"/>
  <c r="M121" i="38"/>
  <c r="Z177" i="17"/>
  <c r="AY93" i="18"/>
  <c r="Z292" i="14"/>
  <c r="M243" i="28"/>
  <c r="L243" i="28"/>
  <c r="AA243" i="28"/>
  <c r="Y158" i="18"/>
  <c r="J293" i="23"/>
  <c r="L236" i="30"/>
  <c r="Z236" i="30"/>
  <c r="M142" i="40"/>
  <c r="AA142" i="40"/>
  <c r="X26" i="65"/>
  <c r="W122" i="18"/>
  <c r="F38" i="40"/>
  <c r="Y206" i="28"/>
  <c r="R206" i="28"/>
  <c r="D98" i="30"/>
  <c r="J249" i="30"/>
  <c r="AA281" i="25"/>
  <c r="K281" i="25"/>
  <c r="L281" i="25"/>
  <c r="M281" i="25"/>
  <c r="X241" i="38"/>
  <c r="J241" i="38"/>
  <c r="AA256" i="40"/>
  <c r="M256" i="40"/>
  <c r="Y308" i="32"/>
  <c r="AA266" i="23"/>
  <c r="T266" i="23"/>
  <c r="Z160" i="89"/>
  <c r="J160" i="89"/>
  <c r="K160" i="89"/>
  <c r="L160" i="89"/>
  <c r="M279" i="89"/>
  <c r="K279" i="89"/>
  <c r="L279" i="89"/>
  <c r="AA279" i="89"/>
  <c r="AA308" i="89"/>
  <c r="M308" i="89"/>
  <c r="AA161" i="40"/>
  <c r="M161" i="40"/>
  <c r="D108" i="89"/>
  <c r="J309" i="89"/>
  <c r="L153" i="89"/>
  <c r="J153" i="89"/>
  <c r="K153" i="89"/>
  <c r="Z153" i="89"/>
  <c r="L236" i="40"/>
  <c r="Z236" i="40"/>
  <c r="T275" i="14"/>
  <c r="Z243" i="30"/>
  <c r="L243" i="30"/>
  <c r="M190" i="14"/>
  <c r="J190" i="14"/>
  <c r="K190" i="14"/>
  <c r="L190" i="14"/>
  <c r="AA190" i="14"/>
  <c r="I255" i="30"/>
  <c r="Q300" i="17"/>
  <c r="X300" i="17"/>
  <c r="Z140" i="28"/>
  <c r="K140" i="28"/>
  <c r="L140" i="28"/>
  <c r="Y301" i="23"/>
  <c r="R301" i="23"/>
  <c r="P167" i="30"/>
  <c r="Y242" i="40"/>
  <c r="K242" i="40"/>
  <c r="E103" i="40"/>
  <c r="K280" i="40"/>
  <c r="C17" i="89"/>
  <c r="W23" i="18"/>
  <c r="K185" i="89"/>
  <c r="AA179" i="25"/>
  <c r="K179" i="25"/>
  <c r="L179" i="25"/>
  <c r="M179" i="25"/>
  <c r="G79" i="32"/>
  <c r="W262" i="14"/>
  <c r="P262" i="14"/>
  <c r="F108" i="40"/>
  <c r="L311" i="40"/>
  <c r="Y206" i="89"/>
  <c r="R206" i="89"/>
  <c r="M198" i="89"/>
  <c r="AA198" i="89"/>
  <c r="F16" i="30"/>
  <c r="M184" i="28"/>
  <c r="K184" i="28"/>
  <c r="L184" i="28"/>
  <c r="AA184" i="28"/>
  <c r="C18" i="25"/>
  <c r="AV113" i="18"/>
  <c r="M292" i="23"/>
  <c r="J292" i="23"/>
  <c r="K292" i="23"/>
  <c r="L292" i="23"/>
  <c r="AA292" i="23"/>
  <c r="M249" i="38"/>
  <c r="K249" i="38"/>
  <c r="L249" i="38"/>
  <c r="AA249" i="38"/>
  <c r="E86" i="89"/>
  <c r="J67" i="83"/>
  <c r="K178" i="23"/>
  <c r="S217" i="28"/>
  <c r="T187" i="17"/>
  <c r="W52" i="18"/>
  <c r="W56" i="18"/>
  <c r="Z183" i="40"/>
  <c r="K185" i="23"/>
  <c r="Y140" i="18"/>
  <c r="M130" i="38"/>
  <c r="G16" i="28"/>
  <c r="F102" i="17"/>
  <c r="L274" i="17"/>
  <c r="G83" i="14"/>
  <c r="M171" i="14"/>
  <c r="AX93" i="18"/>
  <c r="Y235" i="32"/>
  <c r="AV92" i="18"/>
  <c r="Z285" i="38"/>
  <c r="J285" i="38"/>
  <c r="K285" i="38"/>
  <c r="L285" i="38"/>
  <c r="L197" i="30"/>
  <c r="J197" i="30"/>
  <c r="K197" i="30"/>
  <c r="Z197" i="30"/>
  <c r="M177" i="17"/>
  <c r="K177" i="17"/>
  <c r="L177" i="17"/>
  <c r="AA177" i="17"/>
  <c r="G59" i="28"/>
  <c r="M161" i="17"/>
  <c r="K161" i="17"/>
  <c r="L161" i="17"/>
  <c r="AA161" i="17"/>
  <c r="M131" i="28"/>
  <c r="M225" i="32"/>
  <c r="X271" i="32"/>
  <c r="P271" i="32"/>
  <c r="M234" i="14"/>
  <c r="J234" i="14"/>
  <c r="K234" i="14"/>
  <c r="L234" i="14"/>
  <c r="AA234" i="14"/>
  <c r="M123" i="17"/>
  <c r="P176" i="14"/>
  <c r="F41" i="40"/>
  <c r="Y139" i="18"/>
  <c r="M262" i="40"/>
  <c r="F104" i="28"/>
  <c r="L288" i="28"/>
  <c r="C102" i="40"/>
  <c r="I271" i="40"/>
  <c r="C99" i="38"/>
  <c r="I255" i="38"/>
  <c r="K235" i="30"/>
  <c r="Y235" i="30"/>
  <c r="Y273" i="25"/>
  <c r="Z66" i="18"/>
  <c r="X146" i="32"/>
  <c r="E85" i="23"/>
  <c r="E99" i="23"/>
  <c r="E86" i="23"/>
  <c r="C15" i="40"/>
  <c r="E100" i="25"/>
  <c r="K252" i="25"/>
  <c r="G79" i="40"/>
  <c r="M143" i="40"/>
  <c r="J82" i="85"/>
  <c r="F103" i="40"/>
  <c r="L281" i="40"/>
  <c r="Q129" i="14"/>
  <c r="D61" i="14"/>
  <c r="D103" i="17"/>
  <c r="J279" i="17"/>
  <c r="T259" i="23"/>
  <c r="F76" i="85"/>
  <c r="C99" i="40"/>
  <c r="I255" i="40"/>
  <c r="T282" i="89"/>
  <c r="F24" i="89"/>
  <c r="Y248" i="23"/>
  <c r="W140" i="18"/>
  <c r="Z241" i="17"/>
  <c r="K241" i="17"/>
  <c r="L241" i="17"/>
  <c r="AA278" i="38"/>
  <c r="J278" i="38"/>
  <c r="K278" i="38"/>
  <c r="L278" i="38"/>
  <c r="M278" i="38"/>
  <c r="J279" i="14"/>
  <c r="Y271" i="32"/>
  <c r="K234" i="40"/>
  <c r="J234" i="40"/>
  <c r="Y234" i="40"/>
  <c r="M133" i="25"/>
  <c r="Z135" i="18"/>
  <c r="M224" i="32"/>
  <c r="T180" i="17"/>
  <c r="X94" i="18"/>
  <c r="D80" i="89"/>
  <c r="J147" i="89"/>
  <c r="AA287" i="25"/>
  <c r="J287" i="25"/>
  <c r="K287" i="25"/>
  <c r="L287" i="25"/>
  <c r="M287" i="25"/>
  <c r="C15" i="38"/>
  <c r="M204" i="38"/>
  <c r="D81" i="30"/>
  <c r="J154" i="30"/>
  <c r="G93" i="89"/>
  <c r="M228" i="89"/>
  <c r="G75" i="40"/>
  <c r="M124" i="40"/>
  <c r="M224" i="23"/>
  <c r="G83" i="89"/>
  <c r="M171" i="89"/>
  <c r="F98" i="28"/>
  <c r="L251" i="28"/>
  <c r="C15" i="28"/>
  <c r="F86" i="40"/>
  <c r="L186" i="40"/>
  <c r="K243" i="25"/>
  <c r="J243" i="25"/>
  <c r="Y243" i="25"/>
  <c r="Y146" i="28"/>
  <c r="J146" i="28"/>
  <c r="K146" i="28"/>
  <c r="M153" i="23"/>
  <c r="L153" i="23"/>
  <c r="AA153" i="23"/>
  <c r="C15" i="32"/>
  <c r="L256" i="38"/>
  <c r="K256" i="38"/>
  <c r="Z256" i="38"/>
  <c r="D103" i="14"/>
  <c r="AW19" i="18"/>
  <c r="AA292" i="28"/>
  <c r="J292" i="28"/>
  <c r="K292" i="28"/>
  <c r="L292" i="28"/>
  <c r="M292" i="28"/>
  <c r="D85" i="28"/>
  <c r="J177" i="28"/>
  <c r="M236" i="28"/>
  <c r="L236" i="28"/>
  <c r="AA236" i="28"/>
  <c r="Z56" i="18"/>
  <c r="G96" i="14"/>
  <c r="M238" i="14"/>
  <c r="L285" i="30"/>
  <c r="J285" i="30"/>
  <c r="K285" i="30"/>
  <c r="Z285" i="30"/>
  <c r="J215" i="32"/>
  <c r="Q215" i="32"/>
  <c r="D82" i="38"/>
  <c r="J161" i="38"/>
  <c r="L184" i="23"/>
  <c r="K184" i="23"/>
  <c r="Z184" i="23"/>
  <c r="L146" i="17"/>
  <c r="K146" i="17"/>
  <c r="Z146" i="17"/>
  <c r="L140" i="40"/>
  <c r="K140" i="40"/>
  <c r="Z140" i="40"/>
  <c r="Y153" i="23"/>
  <c r="J153" i="23"/>
  <c r="K153" i="23"/>
  <c r="D87" i="32"/>
  <c r="V149" i="18"/>
  <c r="G93" i="30"/>
  <c r="M228" i="30"/>
  <c r="R303" i="25"/>
  <c r="Y303" i="25"/>
  <c r="M237" i="89"/>
  <c r="AA237" i="89"/>
  <c r="L121" i="38"/>
  <c r="T157" i="14"/>
  <c r="F93" i="30"/>
  <c r="L227" i="30"/>
  <c r="E88" i="28"/>
  <c r="AA308" i="30"/>
  <c r="J308" i="30"/>
  <c r="K308" i="30"/>
  <c r="L308" i="30"/>
  <c r="M308" i="30"/>
  <c r="D82" i="25"/>
  <c r="J149" i="25"/>
  <c r="S217" i="17"/>
  <c r="E15" i="28"/>
  <c r="M132" i="17"/>
  <c r="S217" i="38"/>
  <c r="G97" i="40"/>
  <c r="M245" i="40"/>
  <c r="C82" i="14"/>
  <c r="I160" i="14"/>
  <c r="E99" i="32"/>
  <c r="K257" i="32"/>
  <c r="L226" i="23"/>
  <c r="M226" i="23"/>
  <c r="Z248" i="23"/>
  <c r="J248" i="23"/>
  <c r="K248" i="23"/>
  <c r="L248" i="23"/>
  <c r="M154" i="32"/>
  <c r="K154" i="32"/>
  <c r="L154" i="32"/>
  <c r="AA154" i="32"/>
  <c r="D105" i="23"/>
  <c r="E59" i="38"/>
  <c r="G16" i="40"/>
  <c r="M300" i="38"/>
  <c r="L278" i="14"/>
  <c r="J278" i="14"/>
  <c r="K278" i="14"/>
  <c r="Z278" i="14"/>
  <c r="Z162" i="25"/>
  <c r="L162" i="25"/>
  <c r="S217" i="30"/>
  <c r="T171" i="38"/>
  <c r="AA171" i="38"/>
  <c r="M251" i="25"/>
  <c r="K251" i="25"/>
  <c r="L251" i="25"/>
  <c r="AA251" i="25"/>
  <c r="Y242" i="89"/>
  <c r="K242" i="89"/>
  <c r="T194" i="89"/>
  <c r="Y242" i="17"/>
  <c r="K242" i="17"/>
  <c r="M130" i="32"/>
  <c r="T275" i="38"/>
  <c r="R225" i="23"/>
  <c r="X241" i="30"/>
  <c r="J241" i="30"/>
  <c r="D104" i="38"/>
  <c r="J286" i="38"/>
  <c r="AA140" i="30"/>
  <c r="M140" i="30"/>
  <c r="M146" i="89"/>
  <c r="L146" i="89"/>
  <c r="AA146" i="89"/>
  <c r="Y31" i="65"/>
  <c r="W53" i="18"/>
  <c r="AV104" i="18"/>
  <c r="Y153" i="32"/>
  <c r="J153" i="32"/>
  <c r="K153" i="32"/>
  <c r="Z140" i="17"/>
  <c r="L140" i="17"/>
  <c r="L190" i="28"/>
  <c r="J190" i="28"/>
  <c r="K190" i="28"/>
  <c r="Z190" i="28"/>
  <c r="P204" i="32"/>
  <c r="D108" i="23"/>
  <c r="J309" i="23"/>
  <c r="Y140" i="38"/>
  <c r="L198" i="89"/>
  <c r="K198" i="89"/>
  <c r="Z198" i="89"/>
  <c r="K250" i="14"/>
  <c r="AU30" i="18"/>
  <c r="X18" i="65"/>
  <c r="Z121" i="18"/>
  <c r="Y292" i="14"/>
  <c r="AU104" i="18"/>
  <c r="M122" i="40"/>
  <c r="E104" i="25"/>
  <c r="K275" i="25"/>
  <c r="T194" i="32"/>
  <c r="AX123" i="18"/>
  <c r="C96" i="14"/>
  <c r="I234" i="14"/>
  <c r="F80" i="28"/>
  <c r="L149" i="28"/>
  <c r="G106" i="23"/>
  <c r="M303" i="23"/>
  <c r="M139" i="28"/>
  <c r="E88" i="32"/>
  <c r="K199" i="32"/>
  <c r="F60" i="40"/>
  <c r="G15" i="17"/>
  <c r="C26" i="25"/>
  <c r="T150" i="14"/>
  <c r="E60" i="40"/>
  <c r="E86" i="32"/>
  <c r="K185" i="32"/>
  <c r="F15" i="14"/>
  <c r="Z141" i="89"/>
  <c r="L141" i="89"/>
  <c r="M221" i="25"/>
  <c r="X146" i="17"/>
  <c r="J146" i="17"/>
  <c r="AE14" i="65"/>
  <c r="E39" i="17"/>
  <c r="X39" i="18"/>
  <c r="M178" i="25"/>
  <c r="M204" i="30"/>
  <c r="F59" i="32"/>
  <c r="F86" i="14"/>
  <c r="L186" i="14"/>
  <c r="M123" i="40"/>
  <c r="G94" i="25"/>
  <c r="C96" i="28"/>
  <c r="I234" i="28"/>
  <c r="AD29" i="65"/>
  <c r="X146" i="89"/>
  <c r="C16" i="30"/>
  <c r="AE20" i="65"/>
  <c r="AE31" i="65"/>
  <c r="F88" i="17"/>
  <c r="L200" i="17"/>
  <c r="AX19" i="18"/>
  <c r="AA255" i="32"/>
  <c r="J255" i="32"/>
  <c r="K255" i="32"/>
  <c r="L255" i="32"/>
  <c r="M255" i="32"/>
  <c r="C16" i="17"/>
  <c r="L204" i="38"/>
  <c r="W37" i="18"/>
  <c r="M132" i="23"/>
  <c r="G93" i="32"/>
  <c r="M228" i="32"/>
  <c r="C88" i="14"/>
  <c r="I197" i="14"/>
  <c r="E17" i="40"/>
  <c r="E80" i="28"/>
  <c r="K148" i="28"/>
  <c r="P204" i="14"/>
  <c r="Z197" i="28"/>
  <c r="I285" i="89"/>
  <c r="F104" i="25"/>
  <c r="L276" i="25"/>
  <c r="G17" i="28"/>
  <c r="C29" i="65"/>
  <c r="X54" i="18"/>
  <c r="AY115" i="18"/>
  <c r="F82" i="28"/>
  <c r="L163" i="28"/>
  <c r="Y308" i="28"/>
  <c r="D102" i="30"/>
  <c r="J272" i="30"/>
  <c r="G92" i="38"/>
  <c r="M219" i="38"/>
  <c r="G108" i="28"/>
  <c r="M312" i="28"/>
  <c r="Y294" i="25"/>
  <c r="J294" i="25"/>
  <c r="K294" i="25"/>
  <c r="K197" i="38"/>
  <c r="J197" i="38"/>
  <c r="Y197" i="38"/>
  <c r="M132" i="30"/>
  <c r="L293" i="30"/>
  <c r="D105" i="30"/>
  <c r="J293" i="30"/>
  <c r="K293" i="30"/>
  <c r="Z293" i="30"/>
  <c r="J184" i="40"/>
  <c r="Z198" i="28"/>
  <c r="K198" i="28"/>
  <c r="L198" i="28"/>
  <c r="T150" i="38"/>
  <c r="Y146" i="89"/>
  <c r="J146" i="89"/>
  <c r="K146" i="89"/>
  <c r="D37" i="14"/>
  <c r="U13" i="65"/>
  <c r="U24" i="65"/>
  <c r="K278" i="40"/>
  <c r="J278" i="40"/>
  <c r="Y278" i="40"/>
  <c r="X84" i="18"/>
  <c r="Q224" i="14"/>
  <c r="S131" i="40"/>
  <c r="F61" i="40"/>
  <c r="V150" i="18"/>
  <c r="E102" i="30"/>
  <c r="K273" i="30"/>
  <c r="AY22" i="18"/>
  <c r="M241" i="14"/>
  <c r="J241" i="14"/>
  <c r="K241" i="14"/>
  <c r="L241" i="14"/>
  <c r="AA241" i="14"/>
  <c r="D86" i="17"/>
  <c r="J184" i="17"/>
  <c r="Y70" i="18"/>
  <c r="F97" i="14"/>
  <c r="L244" i="14"/>
  <c r="Z176" i="28"/>
  <c r="G16" i="23"/>
  <c r="S76" i="85"/>
  <c r="L131" i="40"/>
  <c r="M131" i="40"/>
  <c r="L264" i="28"/>
  <c r="M264" i="28"/>
  <c r="F16" i="38"/>
  <c r="AA243" i="89"/>
  <c r="L243" i="89"/>
  <c r="M243" i="89"/>
  <c r="K192" i="25"/>
  <c r="J192" i="25"/>
  <c r="Y192" i="25"/>
  <c r="M225" i="14"/>
  <c r="K190" i="17"/>
  <c r="J190" i="17"/>
  <c r="Y190" i="17"/>
  <c r="W66" i="18"/>
  <c r="Y190" i="89"/>
  <c r="J190" i="89"/>
  <c r="K190" i="89"/>
  <c r="G75" i="17"/>
  <c r="M124" i="17"/>
  <c r="G85" i="89"/>
  <c r="M180" i="89"/>
  <c r="T180" i="89"/>
  <c r="Z242" i="38"/>
  <c r="L242" i="38"/>
  <c r="Z308" i="89"/>
  <c r="J308" i="89"/>
  <c r="K308" i="89"/>
  <c r="L308" i="89"/>
  <c r="C97" i="23"/>
  <c r="I241" i="23"/>
  <c r="X79" i="18"/>
  <c r="AW160" i="18"/>
  <c r="E17" i="32"/>
  <c r="Y162" i="25"/>
  <c r="J162" i="25"/>
  <c r="K162" i="25"/>
  <c r="M176" i="17"/>
  <c r="T252" i="38"/>
  <c r="AA237" i="32"/>
  <c r="M237" i="32"/>
  <c r="T252" i="40"/>
  <c r="E102" i="89"/>
  <c r="K273" i="89"/>
  <c r="F89" i="25"/>
  <c r="L195" i="25"/>
  <c r="G104" i="25"/>
  <c r="M277" i="25"/>
  <c r="T277" i="25"/>
  <c r="L169" i="89"/>
  <c r="M169" i="89"/>
  <c r="G41" i="32"/>
  <c r="Z125" i="18"/>
  <c r="AA183" i="40"/>
  <c r="L183" i="40"/>
  <c r="M183" i="40"/>
  <c r="E79" i="38"/>
  <c r="K141" i="38"/>
  <c r="AW20" i="18"/>
  <c r="G17" i="40"/>
  <c r="Q224" i="17"/>
  <c r="D42" i="23"/>
  <c r="D39" i="23"/>
  <c r="M122" i="28"/>
  <c r="L235" i="32"/>
  <c r="K235" i="32"/>
  <c r="Z235" i="32"/>
  <c r="W42" i="18"/>
  <c r="M215" i="14"/>
  <c r="L256" i="40"/>
  <c r="K256" i="40"/>
  <c r="Z256" i="40"/>
  <c r="G97" i="38"/>
  <c r="M245" i="38"/>
  <c r="D105" i="14"/>
  <c r="J293" i="14"/>
  <c r="AE26" i="65"/>
  <c r="Z271" i="32"/>
  <c r="J271" i="32"/>
  <c r="K271" i="32"/>
  <c r="L271" i="32"/>
  <c r="D98" i="23"/>
  <c r="J249" i="23"/>
  <c r="D87" i="28"/>
  <c r="J191" i="28"/>
  <c r="P204" i="30"/>
  <c r="T252" i="32"/>
  <c r="M176" i="28"/>
  <c r="L176" i="28"/>
  <c r="AA176" i="28"/>
  <c r="AY123" i="18"/>
  <c r="D105" i="17"/>
  <c r="J293" i="17"/>
  <c r="Y183" i="40"/>
  <c r="J183" i="40"/>
  <c r="K183" i="40"/>
  <c r="K242" i="23"/>
  <c r="Y242" i="23"/>
  <c r="F96" i="40"/>
  <c r="L237" i="40"/>
  <c r="F88" i="23"/>
  <c r="L200" i="23"/>
  <c r="E42" i="17"/>
  <c r="X42" i="18"/>
  <c r="Y255" i="17"/>
  <c r="J255" i="17"/>
  <c r="K255" i="17"/>
  <c r="E86" i="14"/>
  <c r="E82" i="14"/>
  <c r="E98" i="14"/>
  <c r="K242" i="30"/>
  <c r="Y242" i="30"/>
  <c r="L140" i="38"/>
  <c r="K140" i="38"/>
  <c r="Z140" i="38"/>
  <c r="M121" i="28"/>
  <c r="C105" i="28"/>
  <c r="I292" i="28"/>
  <c r="M215" i="28"/>
  <c r="D16" i="23"/>
  <c r="M131" i="23"/>
  <c r="D87" i="25"/>
  <c r="J179" i="25"/>
  <c r="L226" i="28"/>
  <c r="M226" i="28"/>
  <c r="Y206" i="23"/>
  <c r="R206" i="23"/>
  <c r="D40" i="32"/>
  <c r="G37" i="32"/>
  <c r="Y123" i="18"/>
  <c r="W70" i="18"/>
  <c r="AD24" i="65"/>
  <c r="E88" i="17"/>
  <c r="K199" i="17"/>
  <c r="D87" i="23"/>
  <c r="J191" i="23"/>
  <c r="AU22" i="18"/>
  <c r="Z65" i="18"/>
  <c r="Y125" i="18"/>
  <c r="W25" i="65"/>
  <c r="X37" i="18"/>
  <c r="D86" i="40"/>
  <c r="G79" i="14"/>
  <c r="M143" i="14"/>
  <c r="AV101" i="18"/>
  <c r="AA178" i="25"/>
  <c r="G61" i="25"/>
  <c r="AV161" i="18"/>
  <c r="Y183" i="23"/>
  <c r="J183" i="23"/>
  <c r="K183" i="23"/>
  <c r="D103" i="32"/>
  <c r="J279" i="32"/>
  <c r="M123" i="23"/>
  <c r="X19" i="65"/>
  <c r="X30" i="65"/>
  <c r="G98" i="25"/>
  <c r="M240" i="25"/>
  <c r="D85" i="23"/>
  <c r="J177" i="23"/>
  <c r="E98" i="32"/>
  <c r="K250" i="32"/>
  <c r="AG17" i="65"/>
  <c r="E61" i="14"/>
  <c r="M139" i="38"/>
  <c r="L169" i="14"/>
  <c r="M169" i="14"/>
  <c r="L206" i="17"/>
  <c r="M206" i="17"/>
  <c r="X135" i="18"/>
  <c r="C81" i="23"/>
  <c r="I153" i="23"/>
  <c r="C96" i="23"/>
  <c r="I234" i="23"/>
  <c r="F16" i="17"/>
  <c r="R225" i="28"/>
  <c r="D17" i="23"/>
  <c r="R216" i="32"/>
  <c r="L264" i="23"/>
  <c r="M264" i="23"/>
  <c r="Z137" i="18"/>
  <c r="AU125" i="18"/>
  <c r="M197" i="28"/>
  <c r="J197" i="28"/>
  <c r="K197" i="28"/>
  <c r="L197" i="28"/>
  <c r="AA197" i="28"/>
  <c r="G108" i="25"/>
  <c r="M305" i="25"/>
  <c r="D99" i="14"/>
  <c r="J256" i="14"/>
  <c r="F89" i="30"/>
  <c r="L207" i="30"/>
  <c r="D96" i="30"/>
  <c r="J235" i="30"/>
  <c r="M216" i="30"/>
  <c r="D81" i="28"/>
  <c r="J154" i="28"/>
  <c r="F87" i="32"/>
  <c r="L193" i="32"/>
  <c r="C105" i="40"/>
  <c r="I292" i="40"/>
  <c r="D59" i="28"/>
  <c r="P204" i="28"/>
  <c r="C104" i="89"/>
  <c r="Z139" i="18"/>
  <c r="G17" i="38"/>
  <c r="E88" i="89"/>
  <c r="K199" i="89"/>
  <c r="U31" i="65"/>
  <c r="X176" i="28"/>
  <c r="W94" i="18"/>
  <c r="F17" i="17"/>
  <c r="I197" i="30"/>
  <c r="Y135" i="18"/>
  <c r="C61" i="30"/>
  <c r="T180" i="40"/>
  <c r="V123" i="18"/>
  <c r="Y285" i="40"/>
  <c r="J285" i="40"/>
  <c r="K285" i="40"/>
  <c r="I287" i="25"/>
  <c r="G96" i="38"/>
  <c r="M238" i="38"/>
  <c r="AY32" i="18"/>
  <c r="AD20" i="65"/>
  <c r="AD31" i="65"/>
  <c r="Y278" i="32"/>
  <c r="M139" i="40"/>
  <c r="E15" i="17"/>
  <c r="Z141" i="17"/>
  <c r="L141" i="17"/>
  <c r="T150" i="89"/>
  <c r="L169" i="23"/>
  <c r="M169" i="23"/>
  <c r="D80" i="23"/>
  <c r="J147" i="23"/>
  <c r="F99" i="38"/>
  <c r="L258" i="38"/>
  <c r="D99" i="38"/>
  <c r="J256" i="38"/>
  <c r="G88" i="85"/>
  <c r="L122" i="40"/>
  <c r="S122" i="40"/>
  <c r="D98" i="14"/>
  <c r="J249" i="14"/>
  <c r="F96" i="38"/>
  <c r="L237" i="38"/>
  <c r="F108" i="89"/>
  <c r="L311" i="89"/>
  <c r="E104" i="28"/>
  <c r="K287" i="28"/>
  <c r="E96" i="28"/>
  <c r="K236" i="28"/>
  <c r="F106" i="23"/>
  <c r="L302" i="23"/>
  <c r="M121" i="89"/>
  <c r="D81" i="25"/>
  <c r="J142" i="25"/>
  <c r="T261" i="25"/>
  <c r="E82" i="32"/>
  <c r="K162" i="32"/>
  <c r="C15" i="30"/>
  <c r="G82" i="85"/>
  <c r="E82" i="38"/>
  <c r="K162" i="38"/>
  <c r="K176" i="28"/>
  <c r="C98" i="38"/>
  <c r="I248" i="38"/>
  <c r="U28" i="65"/>
  <c r="V121" i="18"/>
  <c r="C104" i="38"/>
  <c r="I285" i="38"/>
  <c r="Z81" i="18"/>
  <c r="AY163" i="18"/>
  <c r="L178" i="25"/>
  <c r="D24" i="14"/>
  <c r="Y42" i="18"/>
  <c r="F22" i="40"/>
  <c r="P167" i="14"/>
  <c r="C40" i="89"/>
  <c r="M224" i="40"/>
  <c r="E80" i="23"/>
  <c r="K148" i="23"/>
  <c r="D59" i="30"/>
  <c r="Q129" i="30"/>
  <c r="D61" i="30"/>
  <c r="AY29" i="18"/>
  <c r="F82" i="14"/>
  <c r="L163" i="14"/>
  <c r="G96" i="40"/>
  <c r="M238" i="40"/>
  <c r="G81" i="89"/>
  <c r="M157" i="89"/>
  <c r="Y197" i="23"/>
  <c r="J197" i="23"/>
  <c r="K197" i="23"/>
  <c r="Y248" i="32"/>
  <c r="C98" i="32"/>
  <c r="I248" i="32"/>
  <c r="J248" i="32"/>
  <c r="K248" i="32"/>
  <c r="F105" i="38"/>
  <c r="L295" i="38"/>
  <c r="K146" i="30"/>
  <c r="J146" i="30"/>
  <c r="Y146" i="30"/>
  <c r="AU161" i="18"/>
  <c r="D110" i="25"/>
  <c r="J311" i="25"/>
  <c r="AA176" i="32"/>
  <c r="G59" i="32"/>
  <c r="Y124" i="18"/>
  <c r="AY160" i="18"/>
  <c r="D81" i="38"/>
  <c r="J154" i="38"/>
  <c r="M205" i="32"/>
  <c r="F105" i="25"/>
  <c r="L283" i="25"/>
  <c r="J241" i="17"/>
  <c r="X241" i="17"/>
  <c r="C88" i="38"/>
  <c r="I197" i="38"/>
  <c r="E61" i="38"/>
  <c r="P167" i="32"/>
  <c r="Q224" i="23"/>
  <c r="F81" i="25"/>
  <c r="L144" i="25"/>
  <c r="Y138" i="18"/>
  <c r="M124" i="25"/>
  <c r="Z161" i="40"/>
  <c r="K161" i="40"/>
  <c r="L161" i="40"/>
  <c r="D98" i="25"/>
  <c r="J237" i="25"/>
  <c r="M168" i="14"/>
  <c r="G108" i="23"/>
  <c r="M312" i="23"/>
  <c r="Y146" i="32"/>
  <c r="J146" i="32"/>
  <c r="K146" i="32"/>
  <c r="E42" i="89"/>
  <c r="E39" i="89"/>
  <c r="F98" i="38"/>
  <c r="L251" i="38"/>
  <c r="F24" i="32"/>
  <c r="Z278" i="32"/>
  <c r="J278" i="32"/>
  <c r="K278" i="32"/>
  <c r="L278" i="32"/>
  <c r="Z140" i="30"/>
  <c r="K140" i="30"/>
  <c r="L140" i="30"/>
  <c r="S226" i="32"/>
  <c r="T164" i="38"/>
  <c r="E102" i="38"/>
  <c r="K273" i="38"/>
  <c r="C15" i="23"/>
  <c r="J129" i="23"/>
  <c r="R225" i="38"/>
  <c r="F17" i="14"/>
  <c r="D15" i="89"/>
  <c r="F93" i="40"/>
  <c r="L227" i="40"/>
  <c r="M224" i="89"/>
  <c r="M176" i="23"/>
  <c r="AV124" i="18"/>
  <c r="G96" i="89"/>
  <c r="M238" i="89"/>
  <c r="M123" i="25"/>
  <c r="F100" i="25"/>
  <c r="L253" i="25"/>
  <c r="C86" i="28"/>
  <c r="I183" i="28"/>
  <c r="H76" i="85"/>
  <c r="L122" i="89"/>
  <c r="M122" i="89"/>
  <c r="R225" i="32"/>
  <c r="F15" i="17"/>
  <c r="K129" i="17"/>
  <c r="L129" i="17"/>
  <c r="M129" i="17"/>
  <c r="F108" i="23"/>
  <c r="L311" i="23"/>
  <c r="E17" i="17"/>
  <c r="AY113" i="18"/>
  <c r="E103" i="38"/>
  <c r="K280" i="38"/>
  <c r="AG25" i="65"/>
  <c r="AY91" i="18"/>
  <c r="Y235" i="40"/>
  <c r="K235" i="40"/>
  <c r="X234" i="32"/>
  <c r="J234" i="32"/>
  <c r="X149" i="18"/>
  <c r="M241" i="89"/>
  <c r="J241" i="89"/>
  <c r="K241" i="89"/>
  <c r="L241" i="89"/>
  <c r="AA241" i="89"/>
  <c r="E61" i="23"/>
  <c r="Y242" i="38"/>
  <c r="K242" i="38"/>
  <c r="S131" i="32"/>
  <c r="F61" i="32"/>
  <c r="Z273" i="25"/>
  <c r="J273" i="25"/>
  <c r="K273" i="25"/>
  <c r="L273" i="25"/>
  <c r="D100" i="25"/>
  <c r="J251" i="25"/>
  <c r="W204" i="89"/>
  <c r="C59" i="89"/>
  <c r="W153" i="18"/>
  <c r="X205" i="14"/>
  <c r="Q205" i="14"/>
  <c r="E85" i="14"/>
  <c r="K178" i="14"/>
  <c r="X176" i="14"/>
  <c r="D59" i="14"/>
  <c r="C105" i="38"/>
  <c r="I292" i="38"/>
  <c r="D15" i="32"/>
  <c r="F104" i="40"/>
  <c r="L288" i="40"/>
  <c r="AA292" i="14"/>
  <c r="J292" i="14"/>
  <c r="K292" i="14"/>
  <c r="L292" i="14"/>
  <c r="M292" i="14"/>
  <c r="G16" i="14"/>
  <c r="X20" i="65"/>
  <c r="X31" i="65"/>
  <c r="C96" i="40"/>
  <c r="I234" i="40"/>
  <c r="F16" i="23"/>
  <c r="M300" i="17"/>
  <c r="K263" i="38"/>
  <c r="L263" i="38"/>
  <c r="M263" i="38"/>
  <c r="E99" i="28"/>
  <c r="K257" i="28"/>
  <c r="M308" i="14"/>
  <c r="J308" i="14"/>
  <c r="K308" i="14"/>
  <c r="L308" i="14"/>
  <c r="AA308" i="14"/>
  <c r="K242" i="32"/>
  <c r="D97" i="32"/>
  <c r="J242" i="32"/>
  <c r="Y242" i="32"/>
  <c r="F108" i="28"/>
  <c r="L311" i="28"/>
  <c r="E96" i="14"/>
  <c r="K236" i="14"/>
  <c r="E96" i="23"/>
  <c r="K236" i="23"/>
  <c r="G106" i="40"/>
  <c r="M303" i="40"/>
  <c r="J176" i="28"/>
  <c r="Y176" i="28"/>
  <c r="E59" i="28"/>
  <c r="E87" i="32"/>
  <c r="K192" i="32"/>
  <c r="G15" i="32"/>
  <c r="F80" i="38"/>
  <c r="L149" i="38"/>
  <c r="F108" i="38"/>
  <c r="L311" i="38"/>
  <c r="J129" i="40"/>
  <c r="K129" i="40"/>
  <c r="L129" i="40"/>
  <c r="M129" i="40"/>
  <c r="G15" i="40"/>
  <c r="E106" i="25"/>
  <c r="K289" i="25"/>
  <c r="G83" i="17"/>
  <c r="M171" i="17"/>
  <c r="Z68" i="18"/>
  <c r="AY124" i="18"/>
  <c r="G37" i="40"/>
  <c r="Q129" i="28"/>
  <c r="D61" i="28"/>
  <c r="E98" i="17"/>
  <c r="K250" i="17"/>
  <c r="E40" i="40"/>
  <c r="X138" i="18"/>
  <c r="C24" i="28"/>
  <c r="S217" i="32"/>
  <c r="D24" i="17"/>
  <c r="F89" i="14"/>
  <c r="L207" i="14"/>
  <c r="T189" i="25"/>
  <c r="AW104" i="18"/>
  <c r="X121" i="18"/>
  <c r="F79" i="32"/>
  <c r="L142" i="32"/>
  <c r="Z176" i="14"/>
  <c r="F59" i="14"/>
  <c r="M168" i="38"/>
  <c r="F87" i="28"/>
  <c r="L193" i="28"/>
  <c r="F104" i="14"/>
  <c r="L288" i="14"/>
  <c r="E104" i="89"/>
  <c r="K287" i="89"/>
  <c r="R216" i="14"/>
  <c r="T187" i="89"/>
  <c r="AV114" i="18"/>
  <c r="C17" i="40"/>
  <c r="F80" i="89"/>
  <c r="L149" i="89"/>
  <c r="Y65" i="18"/>
  <c r="F81" i="89"/>
  <c r="L156" i="89"/>
  <c r="C81" i="89"/>
  <c r="I153" i="89"/>
  <c r="D24" i="38"/>
  <c r="S226" i="40"/>
  <c r="D80" i="28"/>
  <c r="J147" i="28"/>
  <c r="Q263" i="28"/>
  <c r="X263" i="28"/>
  <c r="B14" i="65"/>
  <c r="V24" i="18"/>
  <c r="L122" i="38"/>
  <c r="F90" i="25"/>
  <c r="L202" i="25"/>
  <c r="Z177" i="32"/>
  <c r="K177" i="32"/>
  <c r="L177" i="32"/>
  <c r="Q217" i="25"/>
  <c r="P204" i="38"/>
  <c r="C102" i="17"/>
  <c r="I271" i="17"/>
  <c r="Q120" i="17"/>
  <c r="D60" i="17"/>
  <c r="G89" i="14"/>
  <c r="M208" i="14"/>
  <c r="E63" i="25"/>
  <c r="Y153" i="14"/>
  <c r="V158" i="18"/>
  <c r="E59" i="40"/>
  <c r="M176" i="40"/>
  <c r="G79" i="28"/>
  <c r="M143" i="28"/>
  <c r="C16" i="23"/>
  <c r="D105" i="38"/>
  <c r="J293" i="38"/>
  <c r="M219" i="25"/>
  <c r="G40" i="32"/>
  <c r="Z124" i="18"/>
  <c r="E17" i="25"/>
  <c r="AA278" i="17"/>
  <c r="L278" i="17"/>
  <c r="M278" i="17"/>
  <c r="AW36" i="18"/>
  <c r="M168" i="28"/>
  <c r="G102" i="38"/>
  <c r="M275" i="38"/>
  <c r="F105" i="28"/>
  <c r="L295" i="28"/>
  <c r="T18" i="65"/>
  <c r="T29" i="65"/>
  <c r="C87" i="38"/>
  <c r="I190" i="38"/>
  <c r="AF30" i="65"/>
  <c r="W144" i="18"/>
  <c r="F83" i="14"/>
  <c r="L170" i="14"/>
  <c r="E83" i="23"/>
  <c r="K169" i="23"/>
  <c r="D44" i="25"/>
  <c r="C98" i="14"/>
  <c r="I248" i="14"/>
  <c r="E26" i="25"/>
  <c r="AV94" i="18"/>
  <c r="M121" i="30"/>
  <c r="F103" i="17"/>
  <c r="L281" i="17"/>
  <c r="W29" i="65"/>
  <c r="Z79" i="18"/>
  <c r="F96" i="30"/>
  <c r="L237" i="30"/>
  <c r="D42" i="32"/>
  <c r="F40" i="40"/>
  <c r="G88" i="17"/>
  <c r="M201" i="17"/>
  <c r="T201" i="17"/>
  <c r="F89" i="89"/>
  <c r="L207" i="89"/>
  <c r="F92" i="14"/>
  <c r="L218" i="14"/>
  <c r="AW126" i="18"/>
  <c r="D102" i="38"/>
  <c r="J272" i="38"/>
  <c r="T254" i="25"/>
  <c r="V14" i="65"/>
  <c r="V25" i="65"/>
  <c r="M225" i="30"/>
  <c r="Y109" i="18"/>
  <c r="AX32" i="18"/>
  <c r="Q129" i="40"/>
  <c r="D61" i="40"/>
  <c r="G16" i="89"/>
  <c r="I185" i="25"/>
  <c r="C98" i="40"/>
  <c r="I248" i="40"/>
  <c r="AG29" i="65"/>
  <c r="T157" i="23"/>
  <c r="T150" i="17"/>
  <c r="AF13" i="65"/>
  <c r="AF24" i="65"/>
  <c r="K300" i="38"/>
  <c r="L300" i="38"/>
  <c r="C102" i="14"/>
  <c r="I271" i="14"/>
  <c r="T187" i="23"/>
  <c r="L226" i="32"/>
  <c r="M226" i="32"/>
  <c r="D82" i="23"/>
  <c r="J161" i="23"/>
  <c r="D37" i="32"/>
  <c r="U18" i="65"/>
  <c r="U29" i="65"/>
  <c r="E15" i="32"/>
  <c r="Z41" i="18"/>
  <c r="T275" i="28"/>
  <c r="M218" i="25"/>
  <c r="AY31" i="18"/>
  <c r="X110" i="18"/>
  <c r="AW30" i="18"/>
  <c r="Z292" i="89"/>
  <c r="Y93" i="18"/>
  <c r="D101" i="25"/>
  <c r="J258" i="25"/>
  <c r="G106" i="32"/>
  <c r="M303" i="32"/>
  <c r="E102" i="17"/>
  <c r="K273" i="17"/>
  <c r="E102" i="32"/>
  <c r="K273" i="32"/>
  <c r="M215" i="23"/>
  <c r="T150" i="40"/>
  <c r="E96" i="38"/>
  <c r="K236" i="38"/>
  <c r="AY116" i="18"/>
  <c r="W16" i="65"/>
  <c r="W27" i="65"/>
  <c r="C98" i="89"/>
  <c r="I248" i="89"/>
  <c r="E79" i="32"/>
  <c r="K141" i="32"/>
  <c r="G38" i="32"/>
  <c r="Z122" i="18"/>
  <c r="F87" i="25"/>
  <c r="L181" i="25"/>
  <c r="G91" i="25"/>
  <c r="M210" i="25"/>
  <c r="J129" i="17"/>
  <c r="C15" i="17"/>
  <c r="C87" i="23"/>
  <c r="I190" i="23"/>
  <c r="D85" i="30"/>
  <c r="J177" i="30"/>
  <c r="K300" i="14"/>
  <c r="L300" i="14"/>
  <c r="G106" i="38"/>
  <c r="M303" i="38"/>
  <c r="Z94" i="18"/>
  <c r="E40" i="23"/>
  <c r="M122" i="17"/>
  <c r="D88" i="17"/>
  <c r="J198" i="17"/>
  <c r="T150" i="32"/>
  <c r="F105" i="14"/>
  <c r="L295" i="14"/>
  <c r="T132" i="30"/>
  <c r="G61" i="30"/>
  <c r="C88" i="25"/>
  <c r="C106" i="25"/>
  <c r="T259" i="89"/>
  <c r="AW31" i="18"/>
  <c r="D86" i="89"/>
  <c r="J184" i="89"/>
  <c r="T194" i="38"/>
  <c r="G80" i="40"/>
  <c r="M150" i="40"/>
  <c r="G108" i="17"/>
  <c r="M312" i="17"/>
  <c r="D98" i="40"/>
  <c r="J249" i="40"/>
  <c r="AX124" i="18"/>
  <c r="V56" i="18"/>
  <c r="M217" i="25"/>
  <c r="AF25" i="65"/>
  <c r="D89" i="25"/>
  <c r="J193" i="25"/>
  <c r="M132" i="28"/>
  <c r="T166" i="25"/>
  <c r="E108" i="30"/>
  <c r="K310" i="30"/>
  <c r="P176" i="38"/>
  <c r="M216" i="14"/>
  <c r="F42" i="40"/>
  <c r="M139" i="23"/>
  <c r="G85" i="25"/>
  <c r="M173" i="25"/>
  <c r="W149" i="18"/>
  <c r="U20" i="65"/>
  <c r="M123" i="28"/>
  <c r="E89" i="38"/>
  <c r="K206" i="38"/>
  <c r="L123" i="25"/>
  <c r="T132" i="40"/>
  <c r="G61" i="40"/>
  <c r="E82" i="25"/>
  <c r="K150" i="25"/>
  <c r="D17" i="25"/>
  <c r="T164" i="23"/>
  <c r="U15" i="65"/>
  <c r="W51" i="18"/>
  <c r="L303" i="25"/>
  <c r="M303" i="25"/>
  <c r="F99" i="17"/>
  <c r="L258" i="17"/>
  <c r="D103" i="40"/>
  <c r="J279" i="40"/>
  <c r="S122" i="89"/>
  <c r="F60" i="89"/>
  <c r="AU160" i="18"/>
  <c r="D98" i="32"/>
  <c r="J249" i="32"/>
  <c r="D87" i="38"/>
  <c r="J191" i="38"/>
  <c r="T282" i="14"/>
  <c r="M224" i="17"/>
  <c r="T275" i="32"/>
  <c r="AW21" i="18"/>
  <c r="AX103" i="18"/>
  <c r="L131" i="23"/>
  <c r="F89" i="28"/>
  <c r="L207" i="28"/>
  <c r="Y121" i="18"/>
  <c r="W18" i="65"/>
  <c r="F37" i="32"/>
  <c r="F40" i="32"/>
  <c r="AD13" i="65"/>
  <c r="W25" i="18"/>
  <c r="C104" i="25"/>
  <c r="I273" i="25"/>
  <c r="AW125" i="18"/>
  <c r="F24" i="23"/>
  <c r="E14" i="65"/>
  <c r="U17" i="65"/>
  <c r="W204" i="28"/>
  <c r="C59" i="28"/>
  <c r="C104" i="32"/>
  <c r="I285" i="32"/>
  <c r="G81" i="25"/>
  <c r="M145" i="25"/>
  <c r="E85" i="40"/>
  <c r="K178" i="40"/>
  <c r="C103" i="23"/>
  <c r="I278" i="23"/>
  <c r="G84" i="25"/>
  <c r="M166" i="25"/>
  <c r="D85" i="38"/>
  <c r="J177" i="38"/>
  <c r="F102" i="25"/>
  <c r="L267" i="25"/>
  <c r="D99" i="28"/>
  <c r="J256" i="28"/>
  <c r="F89" i="32"/>
  <c r="L207" i="32"/>
  <c r="E104" i="32"/>
  <c r="K287" i="32"/>
  <c r="AW98" i="18"/>
  <c r="AY125" i="18"/>
  <c r="X15" i="65"/>
  <c r="V53" i="18"/>
  <c r="R218" i="25"/>
  <c r="G22" i="32"/>
  <c r="T275" i="30"/>
  <c r="L217" i="17"/>
  <c r="M217" i="17"/>
  <c r="L301" i="30"/>
  <c r="M301" i="30"/>
  <c r="D82" i="14"/>
  <c r="J161" i="14"/>
  <c r="T282" i="17"/>
  <c r="T296" i="17"/>
  <c r="C81" i="17"/>
  <c r="I153" i="17"/>
  <c r="T187" i="40"/>
  <c r="G92" i="28"/>
  <c r="M219" i="28"/>
  <c r="E61" i="25"/>
  <c r="D16" i="40"/>
  <c r="F80" i="30"/>
  <c r="L149" i="30"/>
  <c r="G92" i="14"/>
  <c r="M219" i="14"/>
  <c r="C99" i="25"/>
  <c r="I243" i="25"/>
  <c r="E75" i="40"/>
  <c r="K122" i="40"/>
  <c r="F100" i="28"/>
  <c r="L265" i="28"/>
  <c r="Z152" i="18"/>
  <c r="W28" i="65"/>
  <c r="D15" i="14"/>
  <c r="Z123" i="18"/>
  <c r="AG18" i="65"/>
  <c r="E15" i="14"/>
  <c r="AY161" i="18"/>
  <c r="M168" i="23"/>
  <c r="F81" i="32"/>
  <c r="L156" i="32"/>
  <c r="M300" i="23"/>
  <c r="F39" i="30"/>
  <c r="T164" i="28"/>
  <c r="X158" i="18"/>
  <c r="C41" i="32"/>
  <c r="V125" i="18"/>
  <c r="E80" i="38"/>
  <c r="K148" i="38"/>
  <c r="G100" i="17"/>
  <c r="M266" i="17"/>
  <c r="E87" i="89"/>
  <c r="K192" i="89"/>
  <c r="E79" i="14"/>
  <c r="K141" i="14"/>
  <c r="T289" i="32"/>
  <c r="F93" i="17"/>
  <c r="L227" i="17"/>
  <c r="AX29" i="18"/>
  <c r="W67" i="18"/>
  <c r="AV126" i="18"/>
  <c r="AX115" i="18"/>
  <c r="Y137" i="18"/>
  <c r="F39" i="40"/>
  <c r="AF19" i="65"/>
  <c r="F79" i="23"/>
  <c r="L142" i="23"/>
  <c r="D81" i="23"/>
  <c r="J154" i="23"/>
  <c r="C63" i="25"/>
  <c r="E105" i="30"/>
  <c r="K294" i="30"/>
  <c r="Z80" i="18"/>
  <c r="C88" i="30"/>
  <c r="C99" i="30"/>
  <c r="F100" i="40"/>
  <c r="L265" i="40"/>
  <c r="P176" i="30"/>
  <c r="X176" i="30"/>
  <c r="D88" i="28"/>
  <c r="J198" i="28"/>
  <c r="K121" i="38"/>
  <c r="Y28" i="65"/>
  <c r="E16" i="30"/>
  <c r="W204" i="32"/>
  <c r="C59" i="32"/>
  <c r="S226" i="14"/>
  <c r="T180" i="23"/>
  <c r="G76" i="38"/>
  <c r="M133" i="38"/>
  <c r="D102" i="28"/>
  <c r="J272" i="28"/>
  <c r="W136" i="18"/>
  <c r="D16" i="38"/>
  <c r="Y28" i="18"/>
  <c r="AX116" i="18"/>
  <c r="E81" i="14"/>
  <c r="K155" i="14"/>
  <c r="E86" i="28"/>
  <c r="K185" i="28"/>
  <c r="R130" i="23"/>
  <c r="K168" i="38"/>
  <c r="L168" i="38"/>
  <c r="F89" i="40"/>
  <c r="L207" i="40"/>
  <c r="C103" i="38"/>
  <c r="I278" i="38"/>
  <c r="F92" i="38"/>
  <c r="L218" i="38"/>
  <c r="G100" i="28"/>
  <c r="M266" i="28"/>
  <c r="F100" i="14"/>
  <c r="L265" i="14"/>
  <c r="Z150" i="18"/>
  <c r="L264" i="30"/>
  <c r="M264" i="30"/>
  <c r="C99" i="28"/>
  <c r="I255" i="28"/>
  <c r="D24" i="30"/>
  <c r="G40" i="40"/>
  <c r="Z138" i="18"/>
  <c r="E99" i="14"/>
  <c r="K257" i="14"/>
  <c r="L206" i="32"/>
  <c r="M206" i="32"/>
  <c r="R227" i="25"/>
  <c r="G100" i="40"/>
  <c r="M266" i="40"/>
  <c r="F104" i="89"/>
  <c r="L288" i="89"/>
  <c r="Y176" i="38"/>
  <c r="Y30" i="65"/>
  <c r="E17" i="89"/>
  <c r="D99" i="40"/>
  <c r="J256" i="40"/>
  <c r="V138" i="18"/>
  <c r="C98" i="25"/>
  <c r="I236" i="25"/>
  <c r="G102" i="14"/>
  <c r="M275" i="14"/>
  <c r="G85" i="23"/>
  <c r="M180" i="23"/>
  <c r="E83" i="89"/>
  <c r="K169" i="89"/>
  <c r="G39" i="38"/>
  <c r="F98" i="14"/>
  <c r="L251" i="14"/>
  <c r="F42" i="17"/>
  <c r="F85" i="17"/>
  <c r="L179" i="17"/>
  <c r="Z24" i="18"/>
  <c r="C37" i="32"/>
  <c r="G41" i="40"/>
  <c r="R216" i="38"/>
  <c r="F93" i="14"/>
  <c r="L227" i="14"/>
  <c r="D104" i="32"/>
  <c r="J286" i="32"/>
  <c r="F83" i="25"/>
  <c r="L158" i="25"/>
  <c r="D102" i="89"/>
  <c r="J272" i="89"/>
  <c r="L266" i="25"/>
  <c r="M266" i="25"/>
  <c r="AU20" i="18"/>
  <c r="G79" i="23"/>
  <c r="M143" i="23"/>
  <c r="G40" i="89"/>
  <c r="G37" i="89"/>
  <c r="M132" i="14"/>
  <c r="F61" i="89"/>
  <c r="D39" i="14"/>
  <c r="C86" i="38"/>
  <c r="I183" i="38"/>
  <c r="F99" i="25"/>
  <c r="L246" i="25"/>
  <c r="C97" i="28"/>
  <c r="I241" i="28"/>
  <c r="F19" i="25"/>
  <c r="C102" i="89"/>
  <c r="I271" i="89"/>
  <c r="G59" i="14"/>
  <c r="F67" i="83"/>
  <c r="W154" i="18"/>
  <c r="V82" i="18"/>
  <c r="M131" i="17"/>
  <c r="C98" i="23"/>
  <c r="I248" i="23"/>
  <c r="P61" i="83"/>
  <c r="D15" i="28"/>
  <c r="G85" i="17"/>
  <c r="M180" i="17"/>
  <c r="AX30" i="18"/>
  <c r="E86" i="30"/>
  <c r="K185" i="30"/>
  <c r="W138" i="18"/>
  <c r="D17" i="38"/>
  <c r="W81" i="18"/>
  <c r="AV163" i="18"/>
  <c r="C99" i="14"/>
  <c r="I255" i="14"/>
  <c r="AH31" i="65"/>
  <c r="F79" i="38"/>
  <c r="L142" i="38"/>
  <c r="R225" i="89"/>
  <c r="AH30" i="65"/>
  <c r="D96" i="28"/>
  <c r="J235" i="28"/>
  <c r="X17" i="65"/>
  <c r="X28" i="65"/>
  <c r="AH29" i="65"/>
  <c r="L217" i="23"/>
  <c r="M217" i="23"/>
  <c r="E97" i="14"/>
  <c r="K243" i="14"/>
  <c r="AA308" i="32"/>
  <c r="J308" i="32"/>
  <c r="K308" i="32"/>
  <c r="L308" i="32"/>
  <c r="M308" i="32"/>
  <c r="Y152" i="18"/>
  <c r="E87" i="30"/>
  <c r="K192" i="30"/>
  <c r="AW92" i="18"/>
  <c r="D17" i="17"/>
  <c r="F84" i="25"/>
  <c r="L165" i="25"/>
  <c r="G18" i="25"/>
  <c r="D24" i="28"/>
  <c r="M168" i="30"/>
  <c r="G89" i="30"/>
  <c r="M208" i="30"/>
  <c r="F85" i="23"/>
  <c r="L179" i="23"/>
  <c r="W130" i="18"/>
  <c r="F42" i="23"/>
  <c r="Y56" i="18"/>
  <c r="D42" i="14"/>
  <c r="W28" i="18"/>
  <c r="AW161" i="18"/>
  <c r="G15" i="89"/>
  <c r="D105" i="28"/>
  <c r="J293" i="28"/>
  <c r="G76" i="30"/>
  <c r="M133" i="30"/>
  <c r="T252" i="28"/>
  <c r="AV36" i="18"/>
  <c r="G67" i="83"/>
  <c r="V135" i="18"/>
  <c r="L204" i="14"/>
  <c r="M204" i="14"/>
  <c r="F82" i="85"/>
  <c r="D102" i="23"/>
  <c r="J272" i="23"/>
  <c r="F97" i="38"/>
  <c r="L244" i="38"/>
  <c r="D38" i="30"/>
  <c r="W108" i="18"/>
  <c r="G108" i="14"/>
  <c r="M312" i="14"/>
  <c r="K278" i="17"/>
  <c r="J278" i="17"/>
  <c r="Y278" i="17"/>
  <c r="C84" i="25"/>
  <c r="I162" i="25"/>
  <c r="F25" i="40"/>
  <c r="Y144" i="18"/>
  <c r="F17" i="23"/>
  <c r="D85" i="89"/>
  <c r="J177" i="89"/>
  <c r="V70" i="18"/>
  <c r="F102" i="40"/>
  <c r="L274" i="40"/>
  <c r="V151" i="18"/>
  <c r="F42" i="30"/>
  <c r="Y112" i="18"/>
  <c r="F108" i="17"/>
  <c r="L311" i="17"/>
  <c r="M139" i="89"/>
  <c r="AA176" i="40"/>
  <c r="G59" i="40"/>
  <c r="T291" i="25"/>
  <c r="D41" i="25"/>
  <c r="AD16" i="65"/>
  <c r="AD27" i="65"/>
  <c r="W135" i="18"/>
  <c r="M308" i="28"/>
  <c r="C108" i="28"/>
  <c r="I308" i="28"/>
  <c r="J308" i="28"/>
  <c r="K308" i="28"/>
  <c r="L308" i="28"/>
  <c r="AA308" i="28"/>
  <c r="AE15" i="65"/>
  <c r="X53" i="18"/>
  <c r="AW94" i="18"/>
  <c r="F85" i="38"/>
  <c r="L179" i="38"/>
  <c r="S217" i="40"/>
  <c r="E29" i="65"/>
  <c r="E88" i="25"/>
  <c r="K187" i="25"/>
  <c r="D41" i="89"/>
  <c r="D38" i="32"/>
  <c r="E108" i="28"/>
  <c r="K310" i="28"/>
  <c r="C17" i="30"/>
  <c r="E83" i="38"/>
  <c r="K169" i="38"/>
  <c r="F102" i="38"/>
  <c r="L274" i="38"/>
  <c r="G25" i="89"/>
  <c r="Z158" i="18"/>
  <c r="L169" i="17"/>
  <c r="M169" i="17"/>
  <c r="G79" i="17"/>
  <c r="M143" i="17"/>
  <c r="D25" i="89"/>
  <c r="W158" i="18"/>
  <c r="G16" i="38"/>
  <c r="D15" i="38"/>
  <c r="X98" i="18"/>
  <c r="F103" i="30"/>
  <c r="L281" i="30"/>
  <c r="G99" i="30"/>
  <c r="M259" i="30"/>
  <c r="T259" i="30"/>
  <c r="F92" i="30"/>
  <c r="L218" i="30"/>
  <c r="C89" i="25"/>
  <c r="I192" i="25"/>
  <c r="E79" i="28"/>
  <c r="K141" i="28"/>
  <c r="X96" i="18"/>
  <c r="E104" i="17"/>
  <c r="K287" i="17"/>
  <c r="E37" i="38"/>
  <c r="V17" i="65"/>
  <c r="V28" i="65"/>
  <c r="L217" i="30"/>
  <c r="M217" i="30"/>
  <c r="F16" i="32"/>
  <c r="F25" i="89"/>
  <c r="E102" i="28"/>
  <c r="K273" i="28"/>
  <c r="AG14" i="65"/>
  <c r="G39" i="17"/>
  <c r="Z39" i="18"/>
  <c r="K168" i="28"/>
  <c r="L168" i="28"/>
  <c r="Y178" i="25"/>
  <c r="F24" i="14"/>
  <c r="T180" i="32"/>
  <c r="F86" i="38"/>
  <c r="L186" i="38"/>
  <c r="V52" i="18"/>
  <c r="C19" i="25"/>
  <c r="V42" i="18"/>
  <c r="C38" i="32"/>
  <c r="V122" i="18"/>
  <c r="E86" i="17"/>
  <c r="K185" i="17"/>
  <c r="T61" i="83"/>
  <c r="T296" i="23"/>
  <c r="V66" i="18"/>
  <c r="C17" i="38"/>
  <c r="D42" i="40"/>
  <c r="T282" i="32"/>
  <c r="S122" i="32"/>
  <c r="F60" i="32"/>
  <c r="E16" i="40"/>
  <c r="G96" i="30"/>
  <c r="M238" i="30"/>
  <c r="C86" i="14"/>
  <c r="I183" i="14"/>
  <c r="X176" i="23"/>
  <c r="C108" i="89"/>
  <c r="I308" i="89"/>
  <c r="D96" i="32"/>
  <c r="J235" i="32"/>
  <c r="E81" i="30"/>
  <c r="K155" i="30"/>
  <c r="L122" i="32"/>
  <c r="M122" i="32"/>
  <c r="K300" i="89"/>
  <c r="L300" i="89"/>
  <c r="M300" i="89"/>
  <c r="G17" i="30"/>
  <c r="F59" i="40"/>
  <c r="F17" i="30"/>
  <c r="J224" i="23"/>
  <c r="K224" i="23"/>
  <c r="L224" i="23"/>
  <c r="V126" i="18"/>
  <c r="D86" i="28"/>
  <c r="J184" i="28"/>
  <c r="E102" i="40"/>
  <c r="K273" i="40"/>
  <c r="Y26" i="18"/>
  <c r="AX92" i="18"/>
  <c r="D38" i="40"/>
  <c r="D86" i="23"/>
  <c r="J184" i="23"/>
  <c r="L206" i="40"/>
  <c r="M206" i="40"/>
  <c r="T296" i="30"/>
  <c r="M207" i="25"/>
  <c r="X102" i="18"/>
  <c r="AW26" i="18"/>
  <c r="E15" i="38"/>
  <c r="T157" i="17"/>
  <c r="X81" i="18"/>
  <c r="AW163" i="18"/>
  <c r="AX167" i="18"/>
  <c r="E42" i="32"/>
  <c r="X126" i="18"/>
  <c r="AU163" i="18"/>
  <c r="G106" i="25"/>
  <c r="M291" i="25"/>
  <c r="D87" i="17"/>
  <c r="J191" i="17"/>
  <c r="AW29" i="18"/>
  <c r="M167" i="30"/>
  <c r="E38" i="28"/>
  <c r="E98" i="25"/>
  <c r="K238" i="25"/>
  <c r="C16" i="38"/>
  <c r="F88" i="38"/>
  <c r="L200" i="38"/>
  <c r="D96" i="17"/>
  <c r="J235" i="17"/>
  <c r="D99" i="30"/>
  <c r="J256" i="30"/>
  <c r="C82" i="30"/>
  <c r="I160" i="30"/>
  <c r="M123" i="89"/>
  <c r="G85" i="40"/>
  <c r="M180" i="40"/>
  <c r="L167" i="14"/>
  <c r="M167" i="14"/>
  <c r="D88" i="25"/>
  <c r="J186" i="25"/>
  <c r="F103" i="28"/>
  <c r="L281" i="28"/>
  <c r="D98" i="28"/>
  <c r="J249" i="28"/>
  <c r="V38" i="18"/>
  <c r="T289" i="40"/>
  <c r="M132" i="89"/>
  <c r="E79" i="17"/>
  <c r="K141" i="17"/>
  <c r="F80" i="23"/>
  <c r="L149" i="23"/>
  <c r="G81" i="30"/>
  <c r="M157" i="30"/>
  <c r="T157" i="30"/>
  <c r="L226" i="14"/>
  <c r="M226" i="14"/>
  <c r="M205" i="23"/>
  <c r="G108" i="30"/>
  <c r="M312" i="30"/>
  <c r="C16" i="32"/>
  <c r="M299" i="30"/>
  <c r="M292" i="89"/>
  <c r="J292" i="89"/>
  <c r="K292" i="89"/>
  <c r="L292" i="89"/>
  <c r="AA292" i="89"/>
  <c r="AA199" i="25"/>
  <c r="L199" i="25"/>
  <c r="M199" i="25"/>
  <c r="K205" i="17"/>
  <c r="L205" i="17"/>
  <c r="E99" i="89"/>
  <c r="K257" i="89"/>
  <c r="M215" i="17"/>
  <c r="F96" i="32"/>
  <c r="L237" i="32"/>
  <c r="F107" i="25"/>
  <c r="L297" i="25"/>
  <c r="F100" i="17"/>
  <c r="L265" i="17"/>
  <c r="M216" i="23"/>
  <c r="E60" i="14"/>
  <c r="E24" i="14"/>
  <c r="G101" i="25"/>
  <c r="M261" i="25"/>
  <c r="D24" i="89"/>
  <c r="C16" i="14"/>
  <c r="D97" i="89"/>
  <c r="J242" i="89"/>
  <c r="Z23" i="18"/>
  <c r="M141" i="25"/>
  <c r="L215" i="14"/>
  <c r="F82" i="32"/>
  <c r="L163" i="32"/>
  <c r="C42" i="17"/>
  <c r="E85" i="38"/>
  <c r="K178" i="38"/>
  <c r="D104" i="28"/>
  <c r="J286" i="28"/>
  <c r="C40" i="40"/>
  <c r="C16" i="28"/>
  <c r="P167" i="89"/>
  <c r="T194" i="17"/>
  <c r="Z176" i="32"/>
  <c r="L176" i="32"/>
  <c r="D41" i="38"/>
  <c r="W83" i="18"/>
  <c r="AV162" i="18"/>
  <c r="W98" i="18"/>
  <c r="G19" i="25"/>
  <c r="T201" i="14"/>
  <c r="D88" i="89"/>
  <c r="J198" i="89"/>
  <c r="E88" i="38"/>
  <c r="K199" i="38"/>
  <c r="Q224" i="28"/>
  <c r="M262" i="32"/>
  <c r="G105" i="23"/>
  <c r="M296" i="23"/>
  <c r="X153" i="18"/>
  <c r="L176" i="40"/>
  <c r="Z176" i="40"/>
  <c r="Q215" i="30"/>
  <c r="D37" i="89"/>
  <c r="E99" i="38"/>
  <c r="K257" i="38"/>
  <c r="F102" i="14"/>
  <c r="L274" i="14"/>
  <c r="F44" i="25"/>
  <c r="F37" i="40"/>
  <c r="W19" i="65"/>
  <c r="W30" i="65"/>
  <c r="C24" i="23"/>
  <c r="Q129" i="32"/>
  <c r="D61" i="32"/>
  <c r="D42" i="28"/>
  <c r="D87" i="14"/>
  <c r="J191" i="14"/>
  <c r="Z126" i="18"/>
  <c r="E24" i="38"/>
  <c r="D97" i="38"/>
  <c r="J242" i="38"/>
  <c r="E87" i="14"/>
  <c r="K192" i="14"/>
  <c r="C82" i="89"/>
  <c r="I160" i="89"/>
  <c r="G42" i="25"/>
  <c r="G16" i="32"/>
  <c r="E41" i="89"/>
  <c r="D14" i="65"/>
  <c r="C103" i="40"/>
  <c r="I278" i="40"/>
  <c r="D81" i="40"/>
  <c r="J154" i="40"/>
  <c r="E108" i="38"/>
  <c r="K310" i="38"/>
  <c r="G24" i="17"/>
  <c r="D5" i="32"/>
  <c r="V67" i="18"/>
  <c r="T282" i="23"/>
  <c r="G26" i="25"/>
  <c r="L121" i="30"/>
  <c r="AG24" i="65"/>
  <c r="G38" i="40"/>
  <c r="Z136" i="18"/>
  <c r="M125" i="25"/>
  <c r="G100" i="89"/>
  <c r="M266" i="89"/>
  <c r="G93" i="40"/>
  <c r="M228" i="40"/>
  <c r="G85" i="32"/>
  <c r="M180" i="32"/>
  <c r="E103" i="23"/>
  <c r="K280" i="23"/>
  <c r="E87" i="25"/>
  <c r="K180" i="25"/>
  <c r="Y94" i="18"/>
  <c r="T259" i="32"/>
  <c r="R132" i="25"/>
  <c r="T157" i="32"/>
  <c r="E81" i="38"/>
  <c r="K155" i="38"/>
  <c r="Z153" i="18"/>
  <c r="C24" i="38"/>
  <c r="E105" i="38"/>
  <c r="K294" i="38"/>
  <c r="M170" i="25"/>
  <c r="X67" i="18"/>
  <c r="C97" i="40"/>
  <c r="I241" i="40"/>
  <c r="F103" i="23"/>
  <c r="L281" i="23"/>
  <c r="R121" i="40"/>
  <c r="D85" i="17"/>
  <c r="J177" i="17"/>
  <c r="F95" i="25"/>
  <c r="L229" i="25"/>
  <c r="F92" i="40"/>
  <c r="L218" i="40"/>
  <c r="D97" i="40"/>
  <c r="J242" i="40"/>
  <c r="AE24" i="65"/>
  <c r="E101" i="25"/>
  <c r="K259" i="25"/>
  <c r="G98" i="30"/>
  <c r="M252" i="30"/>
  <c r="X107" i="18"/>
  <c r="M300" i="28"/>
  <c r="E79" i="89"/>
  <c r="K141" i="89"/>
  <c r="Z70" i="18"/>
  <c r="AW115" i="18"/>
  <c r="Y52" i="18"/>
  <c r="D37" i="23"/>
  <c r="K176" i="40"/>
  <c r="J176" i="40"/>
  <c r="Y176" i="40"/>
  <c r="D99" i="89"/>
  <c r="J256" i="89"/>
  <c r="F38" i="28"/>
  <c r="D84" i="25"/>
  <c r="J163" i="25"/>
  <c r="E87" i="40"/>
  <c r="K192" i="40"/>
  <c r="G81" i="17"/>
  <c r="M157" i="17"/>
  <c r="R225" i="40"/>
  <c r="F105" i="32"/>
  <c r="L295" i="32"/>
  <c r="E16" i="89"/>
  <c r="Y140" i="17"/>
  <c r="K140" i="17"/>
  <c r="T289" i="89"/>
  <c r="Y81" i="18"/>
  <c r="AX163" i="18"/>
  <c r="G76" i="14"/>
  <c r="M133" i="14"/>
  <c r="E60" i="89"/>
  <c r="E24" i="89"/>
  <c r="G79" i="38"/>
  <c r="M143" i="38"/>
  <c r="F102" i="32"/>
  <c r="L274" i="32"/>
  <c r="G110" i="25"/>
  <c r="M314" i="25"/>
  <c r="G87" i="89"/>
  <c r="M194" i="89"/>
  <c r="E16" i="38"/>
  <c r="AW124" i="18"/>
  <c r="F40" i="17"/>
  <c r="Y40" i="18"/>
  <c r="AX114" i="18"/>
  <c r="W123" i="18"/>
  <c r="D39" i="32"/>
  <c r="AD18" i="65"/>
  <c r="C102" i="32"/>
  <c r="I271" i="32"/>
  <c r="D16" i="14"/>
  <c r="F83" i="32"/>
  <c r="L170" i="32"/>
  <c r="D108" i="38"/>
  <c r="J309" i="38"/>
  <c r="J204" i="38"/>
  <c r="K204" i="38"/>
  <c r="E89" i="25"/>
  <c r="K194" i="25"/>
  <c r="E82" i="28"/>
  <c r="K162" i="28"/>
  <c r="E104" i="40"/>
  <c r="K287" i="40"/>
  <c r="G106" i="28"/>
  <c r="M303" i="28"/>
  <c r="F97" i="32"/>
  <c r="L244" i="32"/>
  <c r="S217" i="14"/>
  <c r="F17" i="32"/>
  <c r="F89" i="17"/>
  <c r="L207" i="17"/>
  <c r="F103" i="89"/>
  <c r="L281" i="89"/>
  <c r="G93" i="14"/>
  <c r="M228" i="14"/>
  <c r="F80" i="14"/>
  <c r="L149" i="14"/>
  <c r="F82" i="23"/>
  <c r="L163" i="23"/>
  <c r="T194" i="28"/>
  <c r="F17" i="25"/>
  <c r="Y38" i="18"/>
  <c r="D79" i="40"/>
  <c r="J140" i="40"/>
  <c r="M225" i="40"/>
  <c r="C24" i="14"/>
  <c r="E25" i="40"/>
  <c r="X144" i="18"/>
  <c r="C82" i="28"/>
  <c r="I160" i="28"/>
  <c r="F41" i="32"/>
  <c r="M204" i="17"/>
  <c r="E83" i="32"/>
  <c r="K169" i="32"/>
  <c r="C98" i="17"/>
  <c r="I248" i="17"/>
  <c r="AE17" i="65"/>
  <c r="AE28" i="65"/>
  <c r="C88" i="89"/>
  <c r="I197" i="89"/>
  <c r="L171" i="25"/>
  <c r="M171" i="25"/>
  <c r="C42" i="30"/>
  <c r="V112" i="18"/>
  <c r="AX20" i="18"/>
  <c r="F83" i="89"/>
  <c r="L170" i="89"/>
  <c r="D25" i="40"/>
  <c r="G39" i="25"/>
  <c r="X16" i="65"/>
  <c r="X27" i="65"/>
  <c r="W112" i="18"/>
  <c r="F38" i="89"/>
  <c r="Y150" i="18"/>
  <c r="G37" i="38"/>
  <c r="F16" i="40"/>
  <c r="W204" i="38"/>
  <c r="C59" i="38"/>
  <c r="F39" i="25"/>
  <c r="D82" i="89"/>
  <c r="J161" i="89"/>
  <c r="E83" i="25"/>
  <c r="K157" i="25"/>
  <c r="D85" i="40"/>
  <c r="J177" i="40"/>
  <c r="D15" i="30"/>
  <c r="C97" i="14"/>
  <c r="I241" i="14"/>
  <c r="D81" i="89"/>
  <c r="J154" i="89"/>
  <c r="R130" i="30"/>
  <c r="E61" i="30"/>
  <c r="G92" i="32"/>
  <c r="M219" i="32"/>
  <c r="E105" i="40"/>
  <c r="K294" i="40"/>
  <c r="E86" i="38"/>
  <c r="K185" i="38"/>
  <c r="Q129" i="17"/>
  <c r="D61" i="17"/>
  <c r="F105" i="23"/>
  <c r="L295" i="23"/>
  <c r="L217" i="40"/>
  <c r="M217" i="40"/>
  <c r="D19" i="32"/>
  <c r="X176" i="89"/>
  <c r="D59" i="89"/>
  <c r="L215" i="38"/>
  <c r="M215" i="38"/>
  <c r="C17" i="17"/>
  <c r="E103" i="89"/>
  <c r="K280" i="89"/>
  <c r="L121" i="14"/>
  <c r="M121" i="14"/>
  <c r="E105" i="23"/>
  <c r="K294" i="23"/>
  <c r="Q129" i="89"/>
  <c r="D61" i="89"/>
  <c r="E102" i="23"/>
  <c r="K273" i="23"/>
  <c r="C96" i="17"/>
  <c r="I234" i="17"/>
  <c r="G41" i="17"/>
  <c r="F98" i="32"/>
  <c r="L251" i="32"/>
  <c r="E19" i="25"/>
  <c r="Z144" i="18"/>
  <c r="G76" i="23"/>
  <c r="M133" i="23"/>
  <c r="G104" i="14"/>
  <c r="M289" i="14"/>
  <c r="T289" i="14"/>
  <c r="D83" i="25"/>
  <c r="J156" i="25"/>
  <c r="S131" i="17"/>
  <c r="L131" i="17"/>
  <c r="Y25" i="18"/>
  <c r="AX94" i="18"/>
  <c r="P146" i="17"/>
  <c r="C60" i="17"/>
  <c r="C24" i="17"/>
  <c r="Z153" i="28"/>
  <c r="AW167" i="18"/>
  <c r="H88" i="85"/>
  <c r="G42" i="30"/>
  <c r="G83" i="38"/>
  <c r="M171" i="38"/>
  <c r="S226" i="89"/>
  <c r="S226" i="30"/>
  <c r="F83" i="30"/>
  <c r="L170" i="30"/>
  <c r="F85" i="14"/>
  <c r="L179" i="14"/>
  <c r="C105" i="25"/>
  <c r="I280" i="25"/>
  <c r="D82" i="17"/>
  <c r="J161" i="17"/>
  <c r="R121" i="89"/>
  <c r="G80" i="14"/>
  <c r="M150" i="14"/>
  <c r="E80" i="14"/>
  <c r="K148" i="14"/>
  <c r="E100" i="17"/>
  <c r="K264" i="17"/>
  <c r="L264" i="17"/>
  <c r="M264" i="17"/>
  <c r="T284" i="25"/>
  <c r="E105" i="89"/>
  <c r="K294" i="89"/>
  <c r="E81" i="17"/>
  <c r="K155" i="17"/>
  <c r="C108" i="40"/>
  <c r="I308" i="40"/>
  <c r="AY162" i="18"/>
  <c r="S219" i="25"/>
  <c r="L219" i="25"/>
  <c r="G75" i="38"/>
  <c r="M124" i="38"/>
  <c r="Z37" i="18"/>
  <c r="E38" i="89"/>
  <c r="X150" i="18"/>
  <c r="D25" i="32"/>
  <c r="E39" i="23"/>
  <c r="T182" i="25"/>
  <c r="Z55" i="18"/>
  <c r="AY103" i="18"/>
  <c r="D38" i="38"/>
  <c r="W80" i="18"/>
  <c r="C100" i="25"/>
  <c r="I250" i="25"/>
  <c r="C42" i="14"/>
  <c r="V28" i="18"/>
  <c r="F82" i="30"/>
  <c r="L163" i="30"/>
  <c r="M121" i="23"/>
  <c r="D99" i="17"/>
  <c r="J256" i="17"/>
  <c r="D39" i="89"/>
  <c r="D42" i="89"/>
  <c r="M205" i="89"/>
  <c r="D90" i="25"/>
  <c r="J200" i="25"/>
  <c r="D106" i="89"/>
  <c r="J300" i="89"/>
  <c r="F15" i="28"/>
  <c r="D86" i="14"/>
  <c r="J184" i="14"/>
  <c r="V137" i="18"/>
  <c r="T201" i="32"/>
  <c r="V79" i="18"/>
  <c r="G97" i="32"/>
  <c r="M245" i="32"/>
  <c r="S82" i="85"/>
  <c r="P167" i="40"/>
  <c r="D22" i="40"/>
  <c r="D41" i="40"/>
  <c r="W139" i="18"/>
  <c r="C25" i="89"/>
  <c r="M224" i="28"/>
  <c r="T194" i="30"/>
  <c r="L169" i="40"/>
  <c r="M169" i="40"/>
  <c r="Z93" i="18"/>
  <c r="AY19" i="18"/>
  <c r="D39" i="38"/>
  <c r="AD17" i="65"/>
  <c r="AD28" i="65"/>
  <c r="L301" i="23"/>
  <c r="M301" i="23"/>
  <c r="E103" i="28"/>
  <c r="K280" i="28"/>
  <c r="K225" i="14"/>
  <c r="L225" i="14"/>
  <c r="C22" i="32"/>
  <c r="D108" i="28"/>
  <c r="J309" i="28"/>
  <c r="E85" i="25"/>
  <c r="K171" i="25"/>
  <c r="F83" i="28"/>
  <c r="L170" i="28"/>
  <c r="Y149" i="18"/>
  <c r="L264" i="89"/>
  <c r="M264" i="89"/>
  <c r="E97" i="38"/>
  <c r="K243" i="38"/>
  <c r="W79" i="18"/>
  <c r="AV160" i="18"/>
  <c r="E107" i="25"/>
  <c r="K296" i="25"/>
  <c r="M262" i="14"/>
  <c r="D82" i="30"/>
  <c r="J161" i="30"/>
  <c r="X83" i="18"/>
  <c r="AW162" i="18"/>
  <c r="G99" i="23"/>
  <c r="M259" i="23"/>
  <c r="E97" i="89"/>
  <c r="K243" i="89"/>
  <c r="E25" i="28"/>
  <c r="M300" i="30"/>
  <c r="C40" i="32"/>
  <c r="V124" i="18"/>
  <c r="F17" i="28"/>
  <c r="L225" i="30"/>
  <c r="C37" i="89"/>
  <c r="T20" i="65"/>
  <c r="T31" i="65"/>
  <c r="W40" i="18"/>
  <c r="G80" i="89"/>
  <c r="M150" i="89"/>
  <c r="T150" i="28"/>
  <c r="E82" i="17"/>
  <c r="K162" i="17"/>
  <c r="S226" i="17"/>
  <c r="Z51" i="18"/>
  <c r="AY101" i="18"/>
  <c r="L133" i="25"/>
  <c r="F39" i="32"/>
  <c r="AF18" i="65"/>
  <c r="AF29" i="65"/>
  <c r="E24" i="30"/>
  <c r="D40" i="30"/>
  <c r="W110" i="18"/>
  <c r="L131" i="32"/>
  <c r="M131" i="32"/>
  <c r="F15" i="32"/>
  <c r="J129" i="32"/>
  <c r="K129" i="32"/>
  <c r="L129" i="32"/>
  <c r="M129" i="32"/>
  <c r="F81" i="30"/>
  <c r="L156" i="30"/>
  <c r="C107" i="25"/>
  <c r="I294" i="25"/>
  <c r="D83" i="38"/>
  <c r="J168" i="38"/>
  <c r="W41" i="18"/>
  <c r="AV115" i="18"/>
  <c r="F106" i="14"/>
  <c r="L302" i="14"/>
  <c r="C17" i="32"/>
  <c r="M139" i="14"/>
  <c r="L122" i="17"/>
  <c r="L301" i="89"/>
  <c r="M301" i="89"/>
  <c r="G100" i="23"/>
  <c r="M266" i="23"/>
  <c r="E87" i="23"/>
  <c r="K192" i="23"/>
  <c r="G42" i="38"/>
  <c r="Z84" i="18"/>
  <c r="X25" i="18"/>
  <c r="E39" i="14"/>
  <c r="AE13" i="65"/>
  <c r="D17" i="89"/>
  <c r="P169" i="25"/>
  <c r="Y176" i="89"/>
  <c r="E59" i="89"/>
  <c r="L206" i="28"/>
  <c r="M206" i="28"/>
  <c r="D105" i="32"/>
  <c r="J293" i="32"/>
  <c r="M120" i="40"/>
  <c r="G14" i="40"/>
  <c r="G13" i="40"/>
  <c r="G5" i="40"/>
  <c r="G88" i="38"/>
  <c r="M201" i="38"/>
  <c r="M132" i="32"/>
  <c r="S228" i="25"/>
  <c r="D59" i="32"/>
  <c r="F92" i="32"/>
  <c r="L218" i="32"/>
  <c r="D96" i="40"/>
  <c r="J235" i="40"/>
  <c r="R216" i="28"/>
  <c r="L262" i="40"/>
  <c r="L206" i="89"/>
  <c r="M206" i="89"/>
  <c r="Q224" i="40"/>
  <c r="G100" i="30"/>
  <c r="M266" i="30"/>
  <c r="D41" i="30"/>
  <c r="W111" i="18"/>
  <c r="L153" i="14"/>
  <c r="C81" i="14"/>
  <c r="I153" i="14"/>
  <c r="J153" i="14"/>
  <c r="K153" i="14"/>
  <c r="Z153" i="14"/>
  <c r="M216" i="40"/>
  <c r="AU92" i="18"/>
  <c r="Y199" i="25"/>
  <c r="C90" i="25"/>
  <c r="I199" i="25"/>
  <c r="J199" i="25"/>
  <c r="K199" i="25"/>
  <c r="G75" i="32"/>
  <c r="M124" i="32"/>
  <c r="AX36" i="18"/>
  <c r="I67" i="83"/>
  <c r="AV29" i="18"/>
  <c r="C25" i="40"/>
  <c r="V144" i="18"/>
  <c r="E88" i="30"/>
  <c r="K199" i="30"/>
  <c r="L122" i="14"/>
  <c r="M122" i="14"/>
  <c r="K263" i="23"/>
  <c r="L263" i="23"/>
  <c r="M263" i="23"/>
  <c r="C105" i="32"/>
  <c r="I292" i="32"/>
  <c r="G19" i="17"/>
  <c r="G42" i="17"/>
  <c r="Z42" i="18"/>
  <c r="G42" i="40"/>
  <c r="Z140" i="18"/>
  <c r="T164" i="17"/>
  <c r="C87" i="28"/>
  <c r="I190" i="28"/>
  <c r="F97" i="23"/>
  <c r="L244" i="23"/>
  <c r="D98" i="89"/>
  <c r="J249" i="89"/>
  <c r="E80" i="32"/>
  <c r="K148" i="32"/>
  <c r="T282" i="30"/>
  <c r="D17" i="32"/>
  <c r="D13" i="32"/>
  <c r="E99" i="30"/>
  <c r="K257" i="30"/>
  <c r="C27" i="65"/>
  <c r="G105" i="14"/>
  <c r="M296" i="14"/>
  <c r="T296" i="14"/>
  <c r="C105" i="23"/>
  <c r="I292" i="23"/>
  <c r="D88" i="40"/>
  <c r="J198" i="40"/>
  <c r="M263" i="40"/>
  <c r="X123" i="18"/>
  <c r="C78" i="25"/>
  <c r="I131" i="25"/>
  <c r="J131" i="25"/>
  <c r="K131" i="25"/>
  <c r="L131" i="25"/>
  <c r="M131" i="25"/>
  <c r="G17" i="25"/>
  <c r="F92" i="17"/>
  <c r="L218" i="17"/>
  <c r="R130" i="32"/>
  <c r="E61" i="32"/>
  <c r="E96" i="17"/>
  <c r="K236" i="17"/>
  <c r="P176" i="89"/>
  <c r="C61" i="89"/>
  <c r="AU29" i="18"/>
  <c r="G75" i="28"/>
  <c r="M124" i="28"/>
  <c r="F86" i="17"/>
  <c r="L186" i="17"/>
  <c r="P204" i="40"/>
  <c r="Q215" i="23"/>
  <c r="D38" i="23"/>
  <c r="T123" i="23"/>
  <c r="G60" i="23"/>
  <c r="G24" i="23"/>
  <c r="F99" i="32"/>
  <c r="L258" i="32"/>
  <c r="Y151" i="18"/>
  <c r="F16" i="28"/>
  <c r="D29" i="65"/>
  <c r="G103" i="89"/>
  <c r="M282" i="89"/>
  <c r="M265" i="25"/>
  <c r="E86" i="40"/>
  <c r="K185" i="40"/>
  <c r="C38" i="40"/>
  <c r="V136" i="18"/>
  <c r="M299" i="38"/>
  <c r="M123" i="14"/>
  <c r="C97" i="17"/>
  <c r="I241" i="17"/>
  <c r="C42" i="23"/>
  <c r="G97" i="30"/>
  <c r="M245" i="30"/>
  <c r="AF14" i="65"/>
  <c r="F39" i="17"/>
  <c r="Y39" i="18"/>
  <c r="T132" i="17"/>
  <c r="G61" i="17"/>
  <c r="M167" i="17"/>
  <c r="E40" i="14"/>
  <c r="X26" i="18"/>
  <c r="E38" i="14"/>
  <c r="M123" i="30"/>
  <c r="G98" i="40"/>
  <c r="M252" i="40"/>
  <c r="T196" i="25"/>
  <c r="W204" i="14"/>
  <c r="C59" i="14"/>
  <c r="K123" i="25"/>
  <c r="X176" i="17"/>
  <c r="D59" i="17"/>
  <c r="Q215" i="14"/>
  <c r="G82" i="23"/>
  <c r="M164" i="23"/>
  <c r="M123" i="38"/>
  <c r="X176" i="40"/>
  <c r="D59" i="40"/>
  <c r="M168" i="32"/>
  <c r="C101" i="25"/>
  <c r="I257" i="25"/>
  <c r="F103" i="14"/>
  <c r="L281" i="14"/>
  <c r="E83" i="17"/>
  <c r="K169" i="17"/>
  <c r="C88" i="17"/>
  <c r="I197" i="17"/>
  <c r="E103" i="30"/>
  <c r="K280" i="30"/>
  <c r="F79" i="17"/>
  <c r="L142" i="17"/>
  <c r="D16" i="32"/>
  <c r="D14" i="32"/>
  <c r="E108" i="40"/>
  <c r="K310" i="40"/>
  <c r="E23" i="28"/>
  <c r="E22" i="28"/>
  <c r="E41" i="28"/>
  <c r="X97" i="18"/>
  <c r="D105" i="25"/>
  <c r="J281" i="25"/>
  <c r="G97" i="23"/>
  <c r="M245" i="23"/>
  <c r="AY92" i="18"/>
  <c r="G76" i="40"/>
  <c r="M133" i="40"/>
  <c r="D104" i="30"/>
  <c r="J286" i="30"/>
  <c r="K121" i="14"/>
  <c r="R121" i="14"/>
  <c r="G83" i="23"/>
  <c r="M171" i="23"/>
  <c r="E98" i="38"/>
  <c r="K250" i="38"/>
  <c r="AA153" i="28"/>
  <c r="C81" i="28"/>
  <c r="I153" i="28"/>
  <c r="J153" i="28"/>
  <c r="K153" i="28"/>
  <c r="L153" i="28"/>
  <c r="M153" i="28"/>
  <c r="D79" i="28"/>
  <c r="J140" i="28"/>
  <c r="E44" i="25"/>
  <c r="X70" i="18"/>
  <c r="F14" i="32"/>
  <c r="F13" i="32"/>
  <c r="F5" i="32"/>
  <c r="F106" i="38"/>
  <c r="L302" i="38"/>
  <c r="D103" i="23"/>
  <c r="J279" i="23"/>
  <c r="K178" i="25"/>
  <c r="Z178" i="25"/>
  <c r="F61" i="25"/>
  <c r="E42" i="38"/>
  <c r="E39" i="38"/>
  <c r="R130" i="14"/>
  <c r="D97" i="14"/>
  <c r="J242" i="14"/>
  <c r="G105" i="17"/>
  <c r="M296" i="17"/>
  <c r="E18" i="25"/>
  <c r="T296" i="28"/>
  <c r="W14" i="65"/>
  <c r="E89" i="40"/>
  <c r="K206" i="40"/>
  <c r="G40" i="38"/>
  <c r="Z82" i="18"/>
  <c r="G96" i="23"/>
  <c r="M238" i="23"/>
  <c r="G82" i="28"/>
  <c r="M164" i="28"/>
  <c r="J178" i="25"/>
  <c r="P178" i="25"/>
  <c r="G83" i="30"/>
  <c r="M171" i="30"/>
  <c r="M176" i="14"/>
  <c r="K176" i="14"/>
  <c r="L176" i="14"/>
  <c r="AA176" i="14"/>
  <c r="C96" i="30"/>
  <c r="I234" i="30"/>
  <c r="G102" i="40"/>
  <c r="M275" i="40"/>
  <c r="F108" i="25"/>
  <c r="L304" i="25"/>
  <c r="D42" i="38"/>
  <c r="W84" i="18"/>
  <c r="V107" i="18"/>
  <c r="AU108" i="18"/>
  <c r="C105" i="89"/>
  <c r="I292" i="89"/>
  <c r="G42" i="23"/>
  <c r="E84" i="25"/>
  <c r="K164" i="25"/>
  <c r="G76" i="32"/>
  <c r="M133" i="32"/>
  <c r="M204" i="40"/>
  <c r="D79" i="14"/>
  <c r="J140" i="14"/>
  <c r="E16" i="23"/>
  <c r="F92" i="23"/>
  <c r="L218" i="23"/>
  <c r="E39" i="32"/>
  <c r="AE18" i="65"/>
  <c r="AE29" i="65"/>
  <c r="Y176" i="30"/>
  <c r="E59" i="30"/>
  <c r="F98" i="30"/>
  <c r="L251" i="30"/>
  <c r="AG27" i="65"/>
  <c r="L299" i="38"/>
  <c r="F87" i="14"/>
  <c r="L193" i="14"/>
  <c r="C102" i="28"/>
  <c r="I271" i="28"/>
  <c r="L206" i="25"/>
  <c r="D107" i="25"/>
  <c r="J295" i="25"/>
  <c r="G97" i="89"/>
  <c r="M245" i="89"/>
  <c r="E37" i="17"/>
  <c r="AU31" i="18"/>
  <c r="E40" i="30"/>
  <c r="E37" i="30"/>
  <c r="D26" i="25"/>
  <c r="E105" i="28"/>
  <c r="K294" i="28"/>
  <c r="AU114" i="18"/>
  <c r="E93" i="32"/>
  <c r="K226" i="32"/>
  <c r="L130" i="40"/>
  <c r="Y108" i="18"/>
  <c r="M224" i="30"/>
  <c r="L206" i="14"/>
  <c r="M206" i="14"/>
  <c r="Y110" i="18"/>
  <c r="D82" i="28"/>
  <c r="J161" i="28"/>
  <c r="Q129" i="38"/>
  <c r="D61" i="38"/>
  <c r="AA176" i="23"/>
  <c r="G59" i="23"/>
  <c r="F40" i="89"/>
  <c r="Q82" i="85"/>
  <c r="E82" i="23"/>
  <c r="K162" i="23"/>
  <c r="D80" i="38"/>
  <c r="J147" i="38"/>
  <c r="D79" i="23"/>
  <c r="J140" i="23"/>
  <c r="T259" i="40"/>
  <c r="G86" i="23"/>
  <c r="M187" i="23"/>
  <c r="X69" i="18"/>
  <c r="Z111" i="18"/>
  <c r="F99" i="89"/>
  <c r="L258" i="89"/>
  <c r="J129" i="38"/>
  <c r="K129" i="38"/>
  <c r="L129" i="38"/>
  <c r="M129" i="38"/>
  <c r="G15" i="38"/>
  <c r="P146" i="38"/>
  <c r="C60" i="38"/>
  <c r="T194" i="23"/>
  <c r="D108" i="14"/>
  <c r="J309" i="14"/>
  <c r="AH24" i="65"/>
  <c r="C87" i="32"/>
  <c r="I190" i="32"/>
  <c r="T132" i="89"/>
  <c r="G61" i="89"/>
  <c r="F104" i="30"/>
  <c r="L288" i="30"/>
  <c r="D103" i="38"/>
  <c r="J279" i="38"/>
  <c r="F106" i="30"/>
  <c r="L302" i="30"/>
  <c r="G100" i="14"/>
  <c r="M266" i="14"/>
  <c r="X176" i="32"/>
  <c r="AY36" i="18"/>
  <c r="E75" i="32"/>
  <c r="K122" i="32"/>
  <c r="C22" i="40"/>
  <c r="C41" i="40"/>
  <c r="V139" i="18"/>
  <c r="AX120" i="18"/>
  <c r="L204" i="30"/>
  <c r="AY126" i="18"/>
  <c r="E103" i="14"/>
  <c r="K280" i="14"/>
  <c r="E97" i="40"/>
  <c r="K243" i="40"/>
  <c r="F76" i="40"/>
  <c r="L132" i="40"/>
  <c r="G17" i="89"/>
  <c r="G40" i="17"/>
  <c r="Z40" i="18"/>
  <c r="L176" i="23"/>
  <c r="Z116" i="18"/>
  <c r="D80" i="32"/>
  <c r="J147" i="32"/>
  <c r="T289" i="17"/>
  <c r="E85" i="28"/>
  <c r="K178" i="28"/>
  <c r="F99" i="14"/>
  <c r="L258" i="14"/>
  <c r="C24" i="32"/>
  <c r="T159" i="25"/>
  <c r="E108" i="25"/>
  <c r="K303" i="25"/>
  <c r="T180" i="38"/>
  <c r="Q120" i="14"/>
  <c r="D60" i="14"/>
  <c r="D86" i="32"/>
  <c r="J184" i="32"/>
  <c r="E104" i="14"/>
  <c r="K287" i="14"/>
  <c r="D87" i="40"/>
  <c r="J191" i="40"/>
  <c r="D41" i="17"/>
  <c r="L131" i="30"/>
  <c r="M131" i="30"/>
  <c r="M168" i="17"/>
  <c r="C37" i="30"/>
  <c r="G108" i="40"/>
  <c r="M312" i="40"/>
  <c r="E108" i="32"/>
  <c r="K310" i="32"/>
  <c r="C38" i="17"/>
  <c r="D104" i="14"/>
  <c r="J286" i="14"/>
  <c r="M205" i="40"/>
  <c r="Y55" i="18"/>
  <c r="D38" i="28"/>
  <c r="D104" i="40"/>
  <c r="J286" i="40"/>
  <c r="K225" i="30"/>
  <c r="R225" i="30"/>
  <c r="C99" i="32"/>
  <c r="I255" i="32"/>
  <c r="AX126" i="18"/>
  <c r="E59" i="17"/>
  <c r="AY104" i="18"/>
  <c r="L215" i="23"/>
  <c r="T289" i="28"/>
  <c r="C16" i="89"/>
  <c r="M130" i="89"/>
  <c r="K263" i="40"/>
  <c r="L263" i="40"/>
  <c r="D103" i="30"/>
  <c r="J279" i="30"/>
  <c r="Z107" i="18"/>
  <c r="K207" i="25"/>
  <c r="L207" i="25"/>
  <c r="C104" i="28"/>
  <c r="I285" i="28"/>
  <c r="T150" i="23"/>
  <c r="V84" i="18"/>
  <c r="E93" i="23"/>
  <c r="K226" i="23"/>
  <c r="T289" i="38"/>
  <c r="G87" i="30"/>
  <c r="M194" i="30"/>
  <c r="Y88" i="18"/>
  <c r="C59" i="23"/>
  <c r="F81" i="23"/>
  <c r="L156" i="23"/>
  <c r="D102" i="17"/>
  <c r="J272" i="17"/>
  <c r="C97" i="38"/>
  <c r="I241" i="38"/>
  <c r="C108" i="30"/>
  <c r="I308" i="30"/>
  <c r="C76" i="32"/>
  <c r="I129" i="32"/>
  <c r="F38" i="30"/>
  <c r="S131" i="89"/>
  <c r="AU98" i="18"/>
  <c r="G15" i="30"/>
  <c r="C87" i="14"/>
  <c r="I190" i="14"/>
  <c r="F88" i="85"/>
  <c r="F105" i="17"/>
  <c r="L295" i="17"/>
  <c r="E103" i="17"/>
  <c r="K280" i="17"/>
  <c r="G38" i="17"/>
  <c r="Z38" i="18"/>
  <c r="C76" i="40"/>
  <c r="I129" i="40"/>
  <c r="AV22" i="18"/>
  <c r="P146" i="23"/>
  <c r="C60" i="23"/>
  <c r="D17" i="14"/>
  <c r="G89" i="38"/>
  <c r="M208" i="38"/>
  <c r="C16" i="40"/>
  <c r="F110" i="25"/>
  <c r="L313" i="25"/>
  <c r="M216" i="17"/>
  <c r="F76" i="89"/>
  <c r="L132" i="89"/>
  <c r="D40" i="40"/>
  <c r="E87" i="17"/>
  <c r="K192" i="17"/>
  <c r="M216" i="32"/>
  <c r="C86" i="89"/>
  <c r="I183" i="89"/>
  <c r="AU91" i="18"/>
  <c r="P167" i="17"/>
  <c r="L216" i="40"/>
  <c r="F80" i="32"/>
  <c r="L149" i="32"/>
  <c r="F91" i="25"/>
  <c r="L209" i="25"/>
  <c r="T164" i="32"/>
  <c r="V40" i="18"/>
  <c r="V60" i="18"/>
  <c r="E108" i="17"/>
  <c r="K310" i="17"/>
  <c r="W204" i="40"/>
  <c r="C59" i="40"/>
  <c r="X152" i="18"/>
  <c r="F39" i="89"/>
  <c r="AF20" i="65"/>
  <c r="AF31" i="65"/>
  <c r="M168" i="40"/>
  <c r="C81" i="30"/>
  <c r="I153" i="30"/>
  <c r="G41" i="30"/>
  <c r="T180" i="28"/>
  <c r="D75" i="14"/>
  <c r="J121" i="14"/>
  <c r="E24" i="32"/>
  <c r="D85" i="14"/>
  <c r="J177" i="14"/>
  <c r="K225" i="32"/>
  <c r="L225" i="32"/>
  <c r="T164" i="30"/>
  <c r="C102" i="38"/>
  <c r="I271" i="38"/>
  <c r="G5" i="17"/>
  <c r="G37" i="17"/>
  <c r="X14" i="65"/>
  <c r="X25" i="65"/>
  <c r="P176" i="23"/>
  <c r="C61" i="23"/>
  <c r="R82" i="85"/>
  <c r="V16" i="65"/>
  <c r="V27" i="65"/>
  <c r="E85" i="89"/>
  <c r="K178" i="89"/>
  <c r="G16" i="17"/>
  <c r="E80" i="30"/>
  <c r="K148" i="30"/>
  <c r="E25" i="89"/>
  <c r="E22" i="89"/>
  <c r="C42" i="89"/>
  <c r="V154" i="18"/>
  <c r="F96" i="89"/>
  <c r="L237" i="89"/>
  <c r="F104" i="23"/>
  <c r="L288" i="23"/>
  <c r="F60" i="30"/>
  <c r="F24" i="30"/>
  <c r="E98" i="28"/>
  <c r="K250" i="28"/>
  <c r="F108" i="32"/>
  <c r="L311" i="32"/>
  <c r="E92" i="89"/>
  <c r="K217" i="89"/>
  <c r="L217" i="89"/>
  <c r="M217" i="89"/>
  <c r="F81" i="38"/>
  <c r="L156" i="38"/>
  <c r="F42" i="89"/>
  <c r="Y154" i="18"/>
  <c r="E61" i="89"/>
  <c r="G82" i="30"/>
  <c r="M164" i="30"/>
  <c r="E40" i="28"/>
  <c r="R130" i="38"/>
  <c r="L169" i="30"/>
  <c r="M169" i="30"/>
  <c r="G37" i="23"/>
  <c r="E43" i="25"/>
  <c r="L224" i="89"/>
  <c r="F102" i="28"/>
  <c r="L274" i="28"/>
  <c r="L217" i="38"/>
  <c r="M217" i="38"/>
  <c r="E97" i="28"/>
  <c r="K243" i="28"/>
  <c r="F106" i="32"/>
  <c r="L302" i="32"/>
  <c r="AY108" i="18"/>
  <c r="G88" i="14"/>
  <c r="M201" i="14"/>
  <c r="K302" i="25"/>
  <c r="L302" i="25"/>
  <c r="D42" i="17"/>
  <c r="G24" i="40"/>
  <c r="G105" i="38"/>
  <c r="M296" i="38"/>
  <c r="T296" i="38"/>
  <c r="F97" i="40"/>
  <c r="L244" i="40"/>
  <c r="G88" i="32"/>
  <c r="M201" i="32"/>
  <c r="G37" i="14"/>
  <c r="X13" i="65"/>
  <c r="X24" i="65"/>
  <c r="L217" i="14"/>
  <c r="M217" i="14"/>
  <c r="C96" i="89"/>
  <c r="I234" i="89"/>
  <c r="D105" i="89"/>
  <c r="J293" i="89"/>
  <c r="K130" i="40"/>
  <c r="C44" i="25"/>
  <c r="E61" i="28"/>
  <c r="G24" i="32"/>
  <c r="G98" i="32"/>
  <c r="M252" i="32"/>
  <c r="Q76" i="85"/>
  <c r="E42" i="30"/>
  <c r="M299" i="14"/>
  <c r="E92" i="23"/>
  <c r="K217" i="23"/>
  <c r="E81" i="25"/>
  <c r="K143" i="25"/>
  <c r="L226" i="25"/>
  <c r="E96" i="30"/>
  <c r="K236" i="30"/>
  <c r="F105" i="40"/>
  <c r="L295" i="40"/>
  <c r="G39" i="28"/>
  <c r="Z95" i="18"/>
  <c r="L215" i="28"/>
  <c r="K300" i="30"/>
  <c r="L300" i="30"/>
  <c r="Y176" i="17"/>
  <c r="E16" i="14"/>
  <c r="D79" i="32"/>
  <c r="J140" i="32"/>
  <c r="D104" i="25"/>
  <c r="J274" i="25"/>
  <c r="C14" i="89"/>
  <c r="C13" i="89"/>
  <c r="C5" i="89"/>
  <c r="Y53" i="18"/>
  <c r="AX104" i="18"/>
  <c r="D103" i="89"/>
  <c r="J279" i="89"/>
  <c r="C110" i="25"/>
  <c r="I310" i="25"/>
  <c r="F88" i="32"/>
  <c r="L200" i="32"/>
  <c r="AV102" i="18"/>
  <c r="K130" i="32"/>
  <c r="L130" i="32"/>
  <c r="T187" i="38"/>
  <c r="Q215" i="38"/>
  <c r="D40" i="23"/>
  <c r="W54" i="18"/>
  <c r="C17" i="14"/>
  <c r="C86" i="23"/>
  <c r="I183" i="23"/>
  <c r="F93" i="89"/>
  <c r="L227" i="89"/>
  <c r="Z176" i="23"/>
  <c r="F59" i="23"/>
  <c r="M139" i="30"/>
  <c r="C24" i="30"/>
  <c r="F88" i="40"/>
  <c r="L200" i="40"/>
  <c r="G102" i="28"/>
  <c r="M275" i="28"/>
  <c r="F79" i="40"/>
  <c r="L142" i="40"/>
  <c r="G98" i="17"/>
  <c r="M252" i="17"/>
  <c r="T252" i="17"/>
  <c r="F99" i="40"/>
  <c r="L258" i="40"/>
  <c r="L301" i="28"/>
  <c r="M301" i="28"/>
  <c r="E104" i="30"/>
  <c r="K287" i="30"/>
  <c r="E17" i="23"/>
  <c r="T252" i="23"/>
  <c r="F79" i="28"/>
  <c r="L142" i="28"/>
  <c r="G86" i="32"/>
  <c r="M187" i="32"/>
  <c r="T187" i="32"/>
  <c r="T259" i="14"/>
  <c r="Q226" i="25"/>
  <c r="S131" i="23"/>
  <c r="F61" i="23"/>
  <c r="G88" i="89"/>
  <c r="M201" i="89"/>
  <c r="T201" i="89"/>
  <c r="D22" i="89"/>
  <c r="D38" i="89"/>
  <c r="W150" i="18"/>
  <c r="G97" i="14"/>
  <c r="M245" i="14"/>
  <c r="E25" i="14"/>
  <c r="X32" i="18"/>
  <c r="M204" i="23"/>
  <c r="C104" i="30"/>
  <c r="I285" i="30"/>
  <c r="C40" i="25"/>
  <c r="L299" i="17"/>
  <c r="M299" i="17"/>
  <c r="F22" i="89"/>
  <c r="F41" i="89"/>
  <c r="Y153" i="18"/>
  <c r="G104" i="30"/>
  <c r="M289" i="30"/>
  <c r="T289" i="30"/>
  <c r="C87" i="30"/>
  <c r="I190" i="30"/>
  <c r="J176" i="14"/>
  <c r="Y176" i="14"/>
  <c r="E59" i="14"/>
  <c r="T259" i="38"/>
  <c r="V13" i="65"/>
  <c r="V24" i="65"/>
  <c r="D106" i="38"/>
  <c r="J300" i="38"/>
  <c r="F39" i="23"/>
  <c r="AF15" i="65"/>
  <c r="AF26" i="65"/>
  <c r="F83" i="17"/>
  <c r="L170" i="17"/>
  <c r="F88" i="30"/>
  <c r="L200" i="30"/>
  <c r="G89" i="17"/>
  <c r="M208" i="17"/>
  <c r="G22" i="40"/>
  <c r="G25" i="40"/>
  <c r="M122" i="30"/>
  <c r="L131" i="89"/>
  <c r="M131" i="89"/>
  <c r="P146" i="30"/>
  <c r="C60" i="30"/>
  <c r="F99" i="30"/>
  <c r="L258" i="30"/>
  <c r="C92" i="32"/>
  <c r="I215" i="32"/>
  <c r="C103" i="17"/>
  <c r="I278" i="17"/>
  <c r="G87" i="14"/>
  <c r="M194" i="14"/>
  <c r="T194" i="14"/>
  <c r="D19" i="25"/>
  <c r="E108" i="89"/>
  <c r="K310" i="89"/>
  <c r="V20" i="65"/>
  <c r="V31" i="65"/>
  <c r="U16" i="65"/>
  <c r="U27" i="65"/>
  <c r="F19" i="40"/>
  <c r="K216" i="38"/>
  <c r="L216" i="38"/>
  <c r="M224" i="14"/>
  <c r="G83" i="40"/>
  <c r="M171" i="40"/>
  <c r="Q215" i="89"/>
  <c r="G106" i="89"/>
  <c r="M303" i="89"/>
  <c r="C86" i="17"/>
  <c r="I183" i="17"/>
  <c r="F18" i="25"/>
  <c r="D80" i="40"/>
  <c r="J147" i="40"/>
  <c r="L225" i="17"/>
  <c r="M225" i="17"/>
  <c r="M120" i="38"/>
  <c r="G14" i="38"/>
  <c r="G13" i="38"/>
  <c r="G5" i="38"/>
  <c r="G89" i="25"/>
  <c r="M196" i="25"/>
  <c r="C93" i="23"/>
  <c r="I224" i="23"/>
  <c r="F16" i="89"/>
  <c r="R121" i="38"/>
  <c r="E60" i="38"/>
  <c r="M129" i="89"/>
  <c r="C76" i="89"/>
  <c r="I129" i="89"/>
  <c r="J129" i="89"/>
  <c r="K129" i="89"/>
  <c r="L129" i="89"/>
  <c r="F15" i="89"/>
  <c r="F92" i="28"/>
  <c r="L218" i="28"/>
  <c r="D38" i="17"/>
  <c r="W38" i="18"/>
  <c r="Q224" i="89"/>
  <c r="F82" i="38"/>
  <c r="L163" i="38"/>
  <c r="C88" i="40"/>
  <c r="I197" i="40"/>
  <c r="E17" i="30"/>
  <c r="C96" i="32"/>
  <c r="I234" i="32"/>
  <c r="G39" i="40"/>
  <c r="AG19" i="65"/>
  <c r="AG30" i="65"/>
  <c r="K263" i="30"/>
  <c r="L263" i="30"/>
  <c r="M263" i="30"/>
  <c r="G75" i="14"/>
  <c r="M124" i="14"/>
  <c r="AU19" i="18"/>
  <c r="F19" i="89"/>
  <c r="AX21" i="18"/>
  <c r="G38" i="28"/>
  <c r="M123" i="32"/>
  <c r="G38" i="30"/>
  <c r="Z108" i="18"/>
  <c r="E93" i="38"/>
  <c r="K226" i="38"/>
  <c r="F37" i="17"/>
  <c r="Y37" i="18"/>
  <c r="AX113" i="18"/>
  <c r="C99" i="23"/>
  <c r="I255" i="23"/>
  <c r="G93" i="23"/>
  <c r="M228" i="23"/>
  <c r="E61" i="17"/>
  <c r="K121" i="30"/>
  <c r="AX160" i="18"/>
  <c r="E80" i="17"/>
  <c r="K148" i="17"/>
  <c r="J224" i="89"/>
  <c r="K224" i="89"/>
  <c r="C82" i="38"/>
  <c r="I160" i="38"/>
  <c r="E89" i="32"/>
  <c r="K206" i="32"/>
  <c r="E76" i="23"/>
  <c r="K131" i="23"/>
  <c r="X124" i="18"/>
  <c r="V23" i="18"/>
  <c r="E23" i="89"/>
  <c r="M131" i="14"/>
  <c r="G105" i="30"/>
  <c r="M296" i="30"/>
  <c r="S122" i="30"/>
  <c r="L122" i="30"/>
  <c r="G17" i="17"/>
  <c r="M120" i="17"/>
  <c r="G14" i="17"/>
  <c r="G13" i="17"/>
  <c r="K263" i="14"/>
  <c r="L263" i="14"/>
  <c r="F60" i="23"/>
  <c r="G106" i="17"/>
  <c r="M303" i="17"/>
  <c r="T282" i="38"/>
  <c r="W13" i="65"/>
  <c r="W24" i="65"/>
  <c r="L176" i="17"/>
  <c r="AA176" i="17"/>
  <c r="G59" i="17"/>
  <c r="AY130" i="18"/>
  <c r="T82" i="85"/>
  <c r="E110" i="25"/>
  <c r="K312" i="25"/>
  <c r="E59" i="23"/>
  <c r="T157" i="28"/>
  <c r="D40" i="28"/>
  <c r="W96" i="18"/>
  <c r="P204" i="23"/>
  <c r="W204" i="23"/>
  <c r="T201" i="28"/>
  <c r="F99" i="23"/>
  <c r="L258" i="23"/>
  <c r="F82" i="25"/>
  <c r="L151" i="25"/>
  <c r="C86" i="30"/>
  <c r="I183" i="30"/>
  <c r="M132" i="38"/>
  <c r="J167" i="14"/>
  <c r="K167" i="14"/>
  <c r="L301" i="25"/>
  <c r="G87" i="28"/>
  <c r="M194" i="28"/>
  <c r="C103" i="89"/>
  <c r="I278" i="89"/>
  <c r="M271" i="30"/>
  <c r="J271" i="30"/>
  <c r="K271" i="30"/>
  <c r="L271" i="30"/>
  <c r="AA271" i="30"/>
  <c r="M205" i="28"/>
  <c r="G38" i="89"/>
  <c r="G22" i="89"/>
  <c r="G41" i="89"/>
  <c r="F86" i="28"/>
  <c r="L186" i="28"/>
  <c r="C37" i="40"/>
  <c r="T19" i="65"/>
  <c r="T30" i="65"/>
  <c r="M139" i="17"/>
  <c r="L224" i="38"/>
  <c r="M224" i="38"/>
  <c r="C87" i="89"/>
  <c r="I190" i="89"/>
  <c r="K216" i="14"/>
  <c r="L216" i="14"/>
  <c r="W206" i="25"/>
  <c r="C61" i="25"/>
  <c r="C92" i="14"/>
  <c r="I215" i="14"/>
  <c r="J215" i="14"/>
  <c r="K215" i="14"/>
  <c r="F88" i="89"/>
  <c r="L200" i="89"/>
  <c r="E92" i="30"/>
  <c r="K217" i="30"/>
  <c r="C104" i="14"/>
  <c r="I285" i="14"/>
  <c r="E27" i="65"/>
  <c r="K216" i="30"/>
  <c r="L216" i="30"/>
  <c r="E24" i="25"/>
  <c r="E40" i="25"/>
  <c r="X66" i="18"/>
  <c r="E99" i="40"/>
  <c r="K257" i="40"/>
  <c r="D79" i="17"/>
  <c r="J140" i="17"/>
  <c r="G92" i="89"/>
  <c r="M219" i="89"/>
  <c r="AU123" i="18"/>
  <c r="X136" i="18"/>
  <c r="L299" i="30"/>
  <c r="Z60" i="18"/>
  <c r="K218" i="25"/>
  <c r="L218" i="25"/>
  <c r="F88" i="14"/>
  <c r="L200" i="14"/>
  <c r="D108" i="17"/>
  <c r="J309" i="17"/>
  <c r="Z176" i="30"/>
  <c r="F59" i="30"/>
  <c r="G40" i="25"/>
  <c r="F99" i="28"/>
  <c r="L258" i="28"/>
  <c r="P167" i="28"/>
  <c r="C81" i="40"/>
  <c r="I153" i="40"/>
  <c r="V81" i="18"/>
  <c r="E38" i="32"/>
  <c r="X122" i="18"/>
  <c r="L131" i="28"/>
  <c r="Y84" i="18"/>
  <c r="D102" i="14"/>
  <c r="J272" i="14"/>
  <c r="L120" i="40"/>
  <c r="F14" i="40"/>
  <c r="F13" i="40"/>
  <c r="F5" i="40"/>
  <c r="S131" i="38"/>
  <c r="F61" i="38"/>
  <c r="AX125" i="18"/>
  <c r="C83" i="25"/>
  <c r="I155" i="25"/>
  <c r="E85" i="32"/>
  <c r="K178" i="32"/>
  <c r="L206" i="23"/>
  <c r="M206" i="23"/>
  <c r="E38" i="17"/>
  <c r="X38" i="18"/>
  <c r="S122" i="14"/>
  <c r="F60" i="14"/>
  <c r="F42" i="14"/>
  <c r="F39" i="14"/>
  <c r="T132" i="14"/>
  <c r="G61" i="14"/>
  <c r="K263" i="89"/>
  <c r="L263" i="89"/>
  <c r="E22" i="17"/>
  <c r="E41" i="17"/>
  <c r="X41" i="18"/>
  <c r="G40" i="14"/>
  <c r="Z26" i="18"/>
  <c r="J176" i="30"/>
  <c r="K176" i="30"/>
  <c r="L176" i="30"/>
  <c r="AA176" i="30"/>
  <c r="G59" i="30"/>
  <c r="F38" i="23"/>
  <c r="F41" i="23"/>
  <c r="E87" i="28"/>
  <c r="K192" i="28"/>
  <c r="T282" i="28"/>
  <c r="K205" i="28"/>
  <c r="L205" i="28"/>
  <c r="F85" i="40"/>
  <c r="L179" i="40"/>
  <c r="F38" i="38"/>
  <c r="E42" i="28"/>
  <c r="E17" i="28"/>
  <c r="J262" i="40"/>
  <c r="K262" i="40"/>
  <c r="D19" i="14"/>
  <c r="F83" i="38"/>
  <c r="L170" i="38"/>
  <c r="F100" i="30"/>
  <c r="L265" i="30"/>
  <c r="G76" i="28"/>
  <c r="M133" i="28"/>
  <c r="AX31" i="18"/>
  <c r="D102" i="32"/>
  <c r="J272" i="32"/>
  <c r="T123" i="38"/>
  <c r="G60" i="38"/>
  <c r="G24" i="38"/>
  <c r="F93" i="32"/>
  <c r="L227" i="32"/>
  <c r="D93" i="32"/>
  <c r="J225" i="32"/>
  <c r="G81" i="14"/>
  <c r="M157" i="14"/>
  <c r="G106" i="14"/>
  <c r="M303" i="14"/>
  <c r="G42" i="28"/>
  <c r="Z98" i="18"/>
  <c r="E97" i="23"/>
  <c r="K243" i="23"/>
  <c r="F104" i="17"/>
  <c r="L288" i="17"/>
  <c r="R121" i="28"/>
  <c r="E60" i="28"/>
  <c r="E24" i="28"/>
  <c r="W17" i="65"/>
  <c r="Y79" i="18"/>
  <c r="W15" i="65"/>
  <c r="W26" i="65"/>
  <c r="T17" i="65"/>
  <c r="T28" i="65"/>
  <c r="C41" i="17"/>
  <c r="V41" i="18"/>
  <c r="AU115" i="18"/>
  <c r="C37" i="38"/>
  <c r="C40" i="38"/>
  <c r="G98" i="23"/>
  <c r="M252" i="23"/>
  <c r="C25" i="32"/>
  <c r="V130" i="18"/>
  <c r="D41" i="28"/>
  <c r="W97" i="18"/>
  <c r="AV21" i="18"/>
  <c r="G75" i="89"/>
  <c r="M124" i="89"/>
  <c r="L176" i="38"/>
  <c r="AA176" i="38"/>
  <c r="G59" i="38"/>
  <c r="E100" i="30"/>
  <c r="K264" i="30"/>
  <c r="G100" i="38"/>
  <c r="M266" i="38"/>
  <c r="E82" i="30"/>
  <c r="K162" i="30"/>
  <c r="D98" i="17"/>
  <c r="J249" i="17"/>
  <c r="G99" i="40"/>
  <c r="M259" i="40"/>
  <c r="C42" i="28"/>
  <c r="V98" i="18"/>
  <c r="D40" i="25"/>
  <c r="P176" i="32"/>
  <c r="C61" i="32"/>
  <c r="G88" i="23"/>
  <c r="M201" i="23"/>
  <c r="T201" i="23"/>
  <c r="L262" i="89"/>
  <c r="T132" i="23"/>
  <c r="G61" i="23"/>
  <c r="G102" i="32"/>
  <c r="M275" i="32"/>
  <c r="AW114" i="18"/>
  <c r="D91" i="25"/>
  <c r="J207" i="25"/>
  <c r="G103" i="14"/>
  <c r="M282" i="14"/>
  <c r="G37" i="28"/>
  <c r="G38" i="38"/>
  <c r="G16" i="30"/>
  <c r="E37" i="40"/>
  <c r="V19" i="65"/>
  <c r="V30" i="65"/>
  <c r="F80" i="40"/>
  <c r="L149" i="40"/>
  <c r="G80" i="17"/>
  <c r="M150" i="17"/>
  <c r="D23" i="32"/>
  <c r="D22" i="32"/>
  <c r="D41" i="32"/>
  <c r="W125" i="18"/>
  <c r="Q120" i="38"/>
  <c r="D60" i="38"/>
  <c r="L206" i="30"/>
  <c r="M206" i="30"/>
  <c r="W24" i="18"/>
  <c r="D76" i="32"/>
  <c r="J130" i="32"/>
  <c r="L176" i="89"/>
  <c r="AA176" i="89"/>
  <c r="G59" i="89"/>
  <c r="E25" i="32"/>
  <c r="X130" i="18"/>
  <c r="D23" i="89"/>
  <c r="F37" i="89"/>
  <c r="W20" i="65"/>
  <c r="W31" i="65"/>
  <c r="J176" i="38"/>
  <c r="K176" i="38"/>
  <c r="Z176" i="38"/>
  <c r="F59" i="38"/>
  <c r="D16" i="30"/>
  <c r="K168" i="23"/>
  <c r="L168" i="23"/>
  <c r="G23" i="40"/>
  <c r="E17" i="14"/>
  <c r="R130" i="28"/>
  <c r="T201" i="30"/>
  <c r="D93" i="14"/>
  <c r="J225" i="14"/>
  <c r="G102" i="23"/>
  <c r="M275" i="23"/>
  <c r="T275" i="23"/>
  <c r="AY26" i="18"/>
  <c r="C38" i="14"/>
  <c r="G86" i="17"/>
  <c r="M187" i="17"/>
  <c r="E16" i="17"/>
  <c r="G22" i="17"/>
  <c r="F100" i="89"/>
  <c r="L265" i="89"/>
  <c r="D85" i="32"/>
  <c r="J177" i="32"/>
  <c r="F41" i="14"/>
  <c r="Y27" i="18"/>
  <c r="D106" i="30"/>
  <c r="J300" i="30"/>
  <c r="F17" i="38"/>
  <c r="D22" i="30"/>
  <c r="C14" i="40"/>
  <c r="C13" i="40"/>
  <c r="C5" i="40"/>
  <c r="E92" i="17"/>
  <c r="K217" i="17"/>
  <c r="F40" i="14"/>
  <c r="C86" i="40"/>
  <c r="I183" i="40"/>
  <c r="G42" i="89"/>
  <c r="Z154" i="18"/>
  <c r="G17" i="14"/>
  <c r="F97" i="17"/>
  <c r="L244" i="17"/>
  <c r="E14" i="30"/>
  <c r="E13" i="30"/>
  <c r="E5" i="30"/>
  <c r="C43" i="25"/>
  <c r="V69" i="18"/>
  <c r="F19" i="17"/>
  <c r="C97" i="89"/>
  <c r="I241" i="89"/>
  <c r="T252" i="89"/>
  <c r="F100" i="38"/>
  <c r="L265" i="38"/>
  <c r="G103" i="32"/>
  <c r="M282" i="32"/>
  <c r="C89" i="38"/>
  <c r="I204" i="38"/>
  <c r="D100" i="30"/>
  <c r="J263" i="30"/>
  <c r="AU26" i="18"/>
  <c r="F105" i="89"/>
  <c r="L295" i="89"/>
  <c r="G81" i="38"/>
  <c r="M157" i="38"/>
  <c r="T157" i="38"/>
  <c r="Z53" i="18"/>
  <c r="G19" i="30"/>
  <c r="G39" i="30"/>
  <c r="Z109" i="18"/>
  <c r="D14" i="23"/>
  <c r="D13" i="23"/>
  <c r="D5" i="23"/>
  <c r="G77" i="25"/>
  <c r="M126" i="25"/>
  <c r="G19" i="40"/>
  <c r="T123" i="17"/>
  <c r="G60" i="17"/>
  <c r="AX108" i="18"/>
  <c r="I82" i="85"/>
  <c r="F16" i="14"/>
  <c r="C108" i="38"/>
  <c r="I308" i="38"/>
  <c r="D87" i="30"/>
  <c r="J191" i="30"/>
  <c r="D18" i="25"/>
  <c r="T187" i="14"/>
  <c r="Q129" i="23"/>
  <c r="D61" i="23"/>
  <c r="R225" i="17"/>
  <c r="K225" i="17"/>
  <c r="Q120" i="32"/>
  <c r="D60" i="32"/>
  <c r="D24" i="32"/>
  <c r="J204" i="89"/>
  <c r="K204" i="89"/>
  <c r="L204" i="89"/>
  <c r="M204" i="89"/>
  <c r="C104" i="17"/>
  <c r="I285" i="17"/>
  <c r="F81" i="17"/>
  <c r="L156" i="17"/>
  <c r="C38" i="89"/>
  <c r="G23" i="32"/>
  <c r="G25" i="32"/>
  <c r="Z130" i="18"/>
  <c r="E78" i="25"/>
  <c r="K133" i="25"/>
  <c r="S133" i="25"/>
  <c r="F63" i="25"/>
  <c r="R216" i="40"/>
  <c r="K216" i="40"/>
  <c r="E88" i="23"/>
  <c r="K199" i="23"/>
  <c r="F81" i="40"/>
  <c r="L156" i="40"/>
  <c r="G42" i="14"/>
  <c r="Z28" i="18"/>
  <c r="E95" i="25"/>
  <c r="K228" i="25"/>
  <c r="L228" i="25"/>
  <c r="M228" i="25"/>
  <c r="D40" i="17"/>
  <c r="D96" i="38"/>
  <c r="J235" i="38"/>
  <c r="F23" i="40"/>
  <c r="K121" i="32"/>
  <c r="L121" i="32"/>
  <c r="M121" i="32"/>
  <c r="G81" i="23"/>
  <c r="M157" i="23"/>
  <c r="F38" i="17"/>
  <c r="E83" i="40"/>
  <c r="K169" i="40"/>
  <c r="M215" i="40"/>
  <c r="E100" i="89"/>
  <c r="K264" i="89"/>
  <c r="C82" i="17"/>
  <c r="I160" i="17"/>
  <c r="F42" i="32"/>
  <c r="Y126" i="18"/>
  <c r="G24" i="30"/>
  <c r="F40" i="25"/>
  <c r="Y66" i="18"/>
  <c r="D81" i="17"/>
  <c r="J154" i="17"/>
  <c r="F104" i="32"/>
  <c r="L288" i="32"/>
  <c r="W204" i="30"/>
  <c r="C59" i="30"/>
  <c r="G97" i="17"/>
  <c r="M245" i="17"/>
  <c r="Q224" i="32"/>
  <c r="F97" i="28"/>
  <c r="L244" i="28"/>
  <c r="F85" i="30"/>
  <c r="L179" i="30"/>
  <c r="T187" i="30"/>
  <c r="AG16" i="65"/>
  <c r="Z67" i="18"/>
  <c r="AY98" i="18"/>
  <c r="D39" i="40"/>
  <c r="AD19" i="65"/>
  <c r="AD30" i="65"/>
  <c r="C103" i="14"/>
  <c r="I278" i="14"/>
  <c r="F60" i="28"/>
  <c r="F24" i="28"/>
  <c r="G38" i="14"/>
  <c r="E96" i="89"/>
  <c r="K236" i="89"/>
  <c r="G75" i="23"/>
  <c r="M124" i="23"/>
  <c r="C24" i="40"/>
  <c r="C102" i="23"/>
  <c r="I271" i="23"/>
  <c r="E96" i="32"/>
  <c r="K236" i="32"/>
  <c r="C103" i="32"/>
  <c r="I278" i="32"/>
  <c r="E97" i="30"/>
  <c r="K243" i="30"/>
  <c r="K130" i="38"/>
  <c r="L130" i="38"/>
  <c r="C86" i="32"/>
  <c r="I183" i="32"/>
  <c r="L264" i="25"/>
  <c r="M264" i="25"/>
  <c r="C39" i="28"/>
  <c r="V95" i="18"/>
  <c r="K121" i="28"/>
  <c r="L121" i="28"/>
  <c r="G79" i="89"/>
  <c r="M143" i="89"/>
  <c r="G87" i="23"/>
  <c r="M194" i="23"/>
  <c r="E81" i="28"/>
  <c r="K155" i="28"/>
  <c r="D86" i="30"/>
  <c r="J184" i="30"/>
  <c r="C82" i="23"/>
  <c r="I160" i="23"/>
  <c r="F15" i="30"/>
  <c r="J129" i="30"/>
  <c r="K129" i="30"/>
  <c r="L129" i="30"/>
  <c r="M129" i="30"/>
  <c r="J176" i="17"/>
  <c r="K176" i="17"/>
  <c r="Z176" i="17"/>
  <c r="F59" i="17"/>
  <c r="AV93" i="18"/>
  <c r="T132" i="28"/>
  <c r="G61" i="28"/>
  <c r="C76" i="23"/>
  <c r="I129" i="23"/>
  <c r="C80" i="38"/>
  <c r="I146" i="38"/>
  <c r="C103" i="28"/>
  <c r="I278" i="28"/>
  <c r="M130" i="17"/>
  <c r="F98" i="23"/>
  <c r="L251" i="23"/>
  <c r="E108" i="23"/>
  <c r="K310" i="23"/>
  <c r="G104" i="89"/>
  <c r="M289" i="89"/>
  <c r="D19" i="38"/>
  <c r="F37" i="28"/>
  <c r="S131" i="30"/>
  <c r="F61" i="30"/>
  <c r="G25" i="30"/>
  <c r="G22" i="30"/>
  <c r="F85" i="32"/>
  <c r="L179" i="32"/>
  <c r="F19" i="30"/>
  <c r="K225" i="40"/>
  <c r="L225" i="40"/>
  <c r="E85" i="17"/>
  <c r="K178" i="17"/>
  <c r="E98" i="30"/>
  <c r="K250" i="30"/>
  <c r="C103" i="30"/>
  <c r="I278" i="30"/>
  <c r="K176" i="32"/>
  <c r="P146" i="32"/>
  <c r="C60" i="32"/>
  <c r="L262" i="32"/>
  <c r="Y116" i="18"/>
  <c r="K168" i="32"/>
  <c r="L168" i="32"/>
  <c r="G87" i="17"/>
  <c r="M194" i="17"/>
  <c r="D83" i="17"/>
  <c r="J168" i="17"/>
  <c r="K168" i="17"/>
  <c r="L168" i="17"/>
  <c r="G98" i="14"/>
  <c r="M252" i="14"/>
  <c r="T252" i="14"/>
  <c r="L262" i="30"/>
  <c r="M262" i="30"/>
  <c r="C22" i="17"/>
  <c r="E41" i="25"/>
  <c r="AE16" i="65"/>
  <c r="AE27" i="65"/>
  <c r="L226" i="17"/>
  <c r="M226" i="17"/>
  <c r="G100" i="32"/>
  <c r="M266" i="32"/>
  <c r="E104" i="23"/>
  <c r="K287" i="23"/>
  <c r="D24" i="40"/>
  <c r="E39" i="25"/>
  <c r="X65" i="18"/>
  <c r="AW123" i="18"/>
  <c r="D99" i="23"/>
  <c r="J256" i="23"/>
  <c r="F83" i="40"/>
  <c r="L170" i="40"/>
  <c r="J215" i="23"/>
  <c r="K215" i="23"/>
  <c r="E106" i="40"/>
  <c r="K301" i="40"/>
  <c r="V111" i="18"/>
  <c r="J299" i="17"/>
  <c r="K299" i="17"/>
  <c r="M122" i="25"/>
  <c r="G16" i="25"/>
  <c r="G15" i="25"/>
  <c r="G5" i="25"/>
  <c r="G82" i="25"/>
  <c r="M152" i="25"/>
  <c r="T152" i="25"/>
  <c r="D19" i="89"/>
  <c r="G23" i="89"/>
  <c r="G37" i="30"/>
  <c r="E38" i="30"/>
  <c r="X108" i="18"/>
  <c r="M134" i="25"/>
  <c r="D37" i="38"/>
  <c r="K205" i="38"/>
  <c r="L205" i="38"/>
  <c r="M205" i="38"/>
  <c r="C42" i="38"/>
  <c r="G104" i="38"/>
  <c r="M289" i="38"/>
  <c r="Y67" i="18"/>
  <c r="F25" i="38"/>
  <c r="C76" i="38"/>
  <c r="I129" i="38"/>
  <c r="E41" i="38"/>
  <c r="F42" i="38"/>
  <c r="D82" i="40"/>
  <c r="J161" i="40"/>
  <c r="E81" i="23"/>
  <c r="K155" i="23"/>
  <c r="D81" i="32"/>
  <c r="J154" i="32"/>
  <c r="E99" i="25"/>
  <c r="K245" i="25"/>
  <c r="AX22" i="18"/>
  <c r="F96" i="17"/>
  <c r="L237" i="17"/>
  <c r="V54" i="18"/>
  <c r="AU102" i="18"/>
  <c r="F86" i="30"/>
  <c r="L186" i="30"/>
  <c r="AU124" i="18"/>
  <c r="E37" i="89"/>
  <c r="E40" i="89"/>
  <c r="G98" i="38"/>
  <c r="M252" i="38"/>
  <c r="D108" i="40"/>
  <c r="J309" i="40"/>
  <c r="M130" i="30"/>
  <c r="V88" i="18"/>
  <c r="AU167" i="18"/>
  <c r="F83" i="23"/>
  <c r="L170" i="23"/>
  <c r="K132" i="25"/>
  <c r="L132" i="25"/>
  <c r="M167" i="28"/>
  <c r="D19" i="28"/>
  <c r="D39" i="28"/>
  <c r="W95" i="18"/>
  <c r="R76" i="85"/>
  <c r="E80" i="40"/>
  <c r="K148" i="40"/>
  <c r="AW101" i="18"/>
  <c r="D40" i="89"/>
  <c r="W152" i="18"/>
  <c r="D25" i="30"/>
  <c r="W116" i="18"/>
  <c r="Z74" i="18"/>
  <c r="D75" i="38"/>
  <c r="J121" i="38"/>
  <c r="L122" i="25"/>
  <c r="F16" i="25"/>
  <c r="F15" i="25"/>
  <c r="F5" i="25"/>
  <c r="F42" i="25"/>
  <c r="Y68" i="18"/>
  <c r="P146" i="28"/>
  <c r="C60" i="28"/>
  <c r="D22" i="17"/>
  <c r="K216" i="32"/>
  <c r="L216" i="32"/>
  <c r="J176" i="89"/>
  <c r="K176" i="89"/>
  <c r="Z176" i="89"/>
  <c r="F59" i="89"/>
  <c r="G108" i="89"/>
  <c r="M312" i="89"/>
  <c r="Y51" i="18"/>
  <c r="AX101" i="18"/>
  <c r="H82" i="85"/>
  <c r="AV125" i="18"/>
  <c r="D21" i="25"/>
  <c r="E39" i="30"/>
  <c r="X109" i="18"/>
  <c r="AW32" i="18"/>
  <c r="P176" i="40"/>
  <c r="C61" i="40"/>
  <c r="AU162" i="18"/>
  <c r="C40" i="17"/>
  <c r="P146" i="14"/>
  <c r="C60" i="14"/>
  <c r="J167" i="17"/>
  <c r="K167" i="17"/>
  <c r="L167" i="17"/>
  <c r="G39" i="23"/>
  <c r="AG15" i="65"/>
  <c r="AG26" i="65"/>
  <c r="C102" i="30"/>
  <c r="I271" i="30"/>
  <c r="F81" i="28"/>
  <c r="L156" i="28"/>
  <c r="D83" i="40"/>
  <c r="J168" i="40"/>
  <c r="K168" i="40"/>
  <c r="L168" i="40"/>
  <c r="E38" i="40"/>
  <c r="D103" i="28"/>
  <c r="J279" i="28"/>
  <c r="F75" i="40"/>
  <c r="L123" i="40"/>
  <c r="T123" i="40"/>
  <c r="G60" i="40"/>
  <c r="E23" i="32"/>
  <c r="E22" i="32"/>
  <c r="E41" i="32"/>
  <c r="X125" i="18"/>
  <c r="F75" i="38"/>
  <c r="L123" i="38"/>
  <c r="G25" i="23"/>
  <c r="R216" i="23"/>
  <c r="G87" i="38"/>
  <c r="M194" i="38"/>
  <c r="R130" i="40"/>
  <c r="E61" i="40"/>
  <c r="AC19" i="65"/>
  <c r="AC30" i="65"/>
  <c r="C14" i="38"/>
  <c r="C13" i="38"/>
  <c r="C5" i="38"/>
  <c r="E37" i="14"/>
  <c r="X23" i="18"/>
  <c r="AW91" i="18"/>
  <c r="E83" i="30"/>
  <c r="K169" i="30"/>
  <c r="G93" i="28"/>
  <c r="M228" i="28"/>
  <c r="M130" i="23"/>
  <c r="R216" i="89"/>
  <c r="Q215" i="40"/>
  <c r="L264" i="40"/>
  <c r="M264" i="40"/>
  <c r="D98" i="38"/>
  <c r="J249" i="38"/>
  <c r="G41" i="14"/>
  <c r="Z27" i="18"/>
  <c r="G44" i="25"/>
  <c r="G41" i="25"/>
  <c r="T123" i="14"/>
  <c r="G60" i="14"/>
  <c r="G24" i="14"/>
  <c r="V51" i="18"/>
  <c r="AU101" i="18"/>
  <c r="R130" i="17"/>
  <c r="F23" i="89"/>
  <c r="J299" i="38"/>
  <c r="K299" i="38"/>
  <c r="D42" i="30"/>
  <c r="C108" i="23"/>
  <c r="I308" i="23"/>
  <c r="J204" i="14"/>
  <c r="K204" i="14"/>
  <c r="C85" i="40"/>
  <c r="I176" i="40"/>
  <c r="C104" i="40"/>
  <c r="I285" i="40"/>
  <c r="E81" i="89"/>
  <c r="K155" i="89"/>
  <c r="E89" i="17"/>
  <c r="K206" i="17"/>
  <c r="L169" i="28"/>
  <c r="M169" i="28"/>
  <c r="J215" i="38"/>
  <c r="K215" i="38"/>
  <c r="S122" i="23"/>
  <c r="L301" i="14"/>
  <c r="M301" i="14"/>
  <c r="AU32" i="18"/>
  <c r="D106" i="14"/>
  <c r="J300" i="14"/>
  <c r="C39" i="40"/>
  <c r="J88" i="85"/>
  <c r="L167" i="40"/>
  <c r="E75" i="14"/>
  <c r="K122" i="14"/>
  <c r="F86" i="89"/>
  <c r="L186" i="89"/>
  <c r="D12" i="65"/>
  <c r="C40" i="23"/>
  <c r="J262" i="30"/>
  <c r="K262" i="30"/>
  <c r="E19" i="30"/>
  <c r="J264" i="25"/>
  <c r="K264" i="25"/>
  <c r="K205" i="40"/>
  <c r="L205" i="40"/>
  <c r="C108" i="14"/>
  <c r="I308" i="14"/>
  <c r="S122" i="28"/>
  <c r="L122" i="28"/>
  <c r="T125" i="25"/>
  <c r="G62" i="25"/>
  <c r="T150" i="30"/>
  <c r="M167" i="38"/>
  <c r="M263" i="32"/>
  <c r="G100" i="25"/>
  <c r="M254" i="25"/>
  <c r="K130" i="17"/>
  <c r="L130" i="17"/>
  <c r="T164" i="40"/>
  <c r="M262" i="28"/>
  <c r="C89" i="89"/>
  <c r="I204" i="89"/>
  <c r="D100" i="40"/>
  <c r="J263" i="40"/>
  <c r="AV167" i="18"/>
  <c r="AX102" i="18"/>
  <c r="F103" i="38"/>
  <c r="L281" i="38"/>
  <c r="G99" i="25"/>
  <c r="M247" i="25"/>
  <c r="J262" i="32"/>
  <c r="K262" i="32"/>
  <c r="D96" i="14"/>
  <c r="J235" i="14"/>
  <c r="D102" i="40"/>
  <c r="J272" i="40"/>
  <c r="F40" i="28"/>
  <c r="Y96" i="18"/>
  <c r="D92" i="40"/>
  <c r="J216" i="40"/>
  <c r="AH28" i="65"/>
  <c r="AW103" i="18"/>
  <c r="F106" i="28"/>
  <c r="L302" i="28"/>
  <c r="D43" i="25"/>
  <c r="W69" i="18"/>
  <c r="R123" i="25"/>
  <c r="E62" i="25"/>
  <c r="L301" i="32"/>
  <c r="M301" i="32"/>
  <c r="F14" i="89"/>
  <c r="F13" i="89"/>
  <c r="F5" i="89"/>
  <c r="L262" i="14"/>
  <c r="E83" i="14"/>
  <c r="K169" i="14"/>
  <c r="G27" i="25"/>
  <c r="C76" i="30"/>
  <c r="I129" i="30"/>
  <c r="D76" i="40"/>
  <c r="J130" i="40"/>
  <c r="M167" i="32"/>
  <c r="C106" i="17"/>
  <c r="I299" i="17"/>
  <c r="D27" i="65"/>
  <c r="Y107" i="18"/>
  <c r="E76" i="89"/>
  <c r="K131" i="89"/>
  <c r="L131" i="14"/>
  <c r="V80" i="18"/>
  <c r="K300" i="28"/>
  <c r="L300" i="28"/>
  <c r="C38" i="38"/>
  <c r="D97" i="28"/>
  <c r="J242" i="28"/>
  <c r="F25" i="30"/>
  <c r="G83" i="25"/>
  <c r="M159" i="25"/>
  <c r="R130" i="89"/>
  <c r="G87" i="32"/>
  <c r="M194" i="32"/>
  <c r="G41" i="23"/>
  <c r="L204" i="40"/>
  <c r="G39" i="32"/>
  <c r="G42" i="32"/>
  <c r="J129" i="14"/>
  <c r="K129" i="14"/>
  <c r="L129" i="14"/>
  <c r="M129" i="14"/>
  <c r="G15" i="14"/>
  <c r="G99" i="32"/>
  <c r="M259" i="32"/>
  <c r="G86" i="30"/>
  <c r="M187" i="30"/>
  <c r="G22" i="14"/>
  <c r="W27" i="18"/>
  <c r="G86" i="38"/>
  <c r="M187" i="38"/>
  <c r="T289" i="23"/>
  <c r="F87" i="30"/>
  <c r="L193" i="30"/>
  <c r="C105" i="30"/>
  <c r="I292" i="30"/>
  <c r="C108" i="17"/>
  <c r="I308" i="17"/>
  <c r="V26" i="18"/>
  <c r="L167" i="30"/>
  <c r="L217" i="28"/>
  <c r="M217" i="28"/>
  <c r="E22" i="30"/>
  <c r="E41" i="30"/>
  <c r="X111" i="18"/>
  <c r="E82" i="89"/>
  <c r="K162" i="89"/>
  <c r="G82" i="32"/>
  <c r="M164" i="32"/>
  <c r="K300" i="23"/>
  <c r="L300" i="23"/>
  <c r="E22" i="40"/>
  <c r="E41" i="40"/>
  <c r="X139" i="18"/>
  <c r="E102" i="14"/>
  <c r="K273" i="14"/>
  <c r="AG13" i="65"/>
  <c r="E92" i="28"/>
  <c r="K217" i="28"/>
  <c r="D92" i="32"/>
  <c r="J216" i="32"/>
  <c r="E16" i="32"/>
  <c r="L120" i="32"/>
  <c r="M120" i="32"/>
  <c r="G14" i="32"/>
  <c r="G13" i="32"/>
  <c r="G5" i="32"/>
  <c r="Q120" i="28"/>
  <c r="D60" i="28"/>
  <c r="F98" i="89"/>
  <c r="L251" i="89"/>
  <c r="L224" i="30"/>
  <c r="AY20" i="18"/>
  <c r="D22" i="38"/>
  <c r="D89" i="38"/>
  <c r="J205" i="38"/>
  <c r="F86" i="32"/>
  <c r="L186" i="32"/>
  <c r="E108" i="14"/>
  <c r="K310" i="14"/>
  <c r="K205" i="89"/>
  <c r="L205" i="89"/>
  <c r="L226" i="30"/>
  <c r="M226" i="30"/>
  <c r="AU116" i="18"/>
  <c r="T203" i="25"/>
  <c r="E89" i="14"/>
  <c r="K206" i="14"/>
  <c r="G19" i="23"/>
  <c r="F81" i="14"/>
  <c r="L156" i="14"/>
  <c r="F37" i="38"/>
  <c r="S131" i="28"/>
  <c r="F61" i="28"/>
  <c r="G98" i="28"/>
  <c r="M252" i="28"/>
  <c r="D79" i="30"/>
  <c r="J140" i="30"/>
  <c r="M262" i="17"/>
  <c r="D22" i="28"/>
  <c r="C97" i="32"/>
  <c r="I241" i="32"/>
  <c r="D83" i="23"/>
  <c r="J168" i="23"/>
  <c r="M120" i="14"/>
  <c r="G14" i="14"/>
  <c r="G13" i="14"/>
  <c r="G5" i="14"/>
  <c r="J176" i="32"/>
  <c r="Y176" i="32"/>
  <c r="E59" i="32"/>
  <c r="K168" i="30"/>
  <c r="L168" i="30"/>
  <c r="F41" i="25"/>
  <c r="AF16" i="65"/>
  <c r="AF27" i="65"/>
  <c r="J262" i="89"/>
  <c r="K262" i="89"/>
  <c r="Q122" i="25"/>
  <c r="D62" i="25"/>
  <c r="D97" i="30"/>
  <c r="J242" i="30"/>
  <c r="M204" i="32"/>
  <c r="K130" i="23"/>
  <c r="L130" i="23"/>
  <c r="D83" i="32"/>
  <c r="J168" i="32"/>
  <c r="D24" i="25"/>
  <c r="E90" i="25"/>
  <c r="K201" i="25"/>
  <c r="D42" i="25"/>
  <c r="W68" i="18"/>
  <c r="F106" i="17"/>
  <c r="L302" i="17"/>
  <c r="T298" i="25"/>
  <c r="Y60" i="18"/>
  <c r="C100" i="32"/>
  <c r="I262" i="32"/>
  <c r="E106" i="14"/>
  <c r="K301" i="14"/>
  <c r="Q120" i="89"/>
  <c r="D60" i="89"/>
  <c r="C82" i="32"/>
  <c r="I160" i="32"/>
  <c r="G92" i="40"/>
  <c r="M219" i="40"/>
  <c r="C24" i="25"/>
  <c r="G19" i="28"/>
  <c r="T282" i="40"/>
  <c r="C105" i="17"/>
  <c r="I292" i="17"/>
  <c r="D83" i="28"/>
  <c r="J168" i="28"/>
  <c r="E19" i="89"/>
  <c r="B12" i="65"/>
  <c r="D19" i="23"/>
  <c r="F87" i="38"/>
  <c r="L193" i="38"/>
  <c r="Q120" i="40"/>
  <c r="D60" i="40"/>
  <c r="Q120" i="30"/>
  <c r="D60" i="30"/>
  <c r="G87" i="25"/>
  <c r="M182" i="25"/>
  <c r="G41" i="38"/>
  <c r="Z83" i="18"/>
  <c r="D16" i="28"/>
  <c r="AW120" i="18"/>
  <c r="AC18" i="65"/>
  <c r="AC29" i="65"/>
  <c r="G23" i="30"/>
  <c r="L124" i="25"/>
  <c r="L262" i="23"/>
  <c r="G22" i="38"/>
  <c r="E76" i="28"/>
  <c r="K131" i="28"/>
  <c r="I76" i="85"/>
  <c r="F75" i="23"/>
  <c r="L123" i="23"/>
  <c r="J167" i="40"/>
  <c r="K167" i="40"/>
  <c r="J226" i="25"/>
  <c r="K226" i="25"/>
  <c r="D75" i="28"/>
  <c r="J121" i="28"/>
  <c r="P167" i="38"/>
  <c r="E23" i="40"/>
  <c r="G103" i="40"/>
  <c r="M282" i="40"/>
  <c r="G24" i="89"/>
  <c r="Y98" i="18"/>
  <c r="C19" i="28"/>
  <c r="D23" i="30"/>
  <c r="C95" i="25"/>
  <c r="I226" i="25"/>
  <c r="F75" i="32"/>
  <c r="L123" i="32"/>
  <c r="T123" i="32"/>
  <c r="G60" i="32"/>
  <c r="E89" i="23"/>
  <c r="K206" i="23"/>
  <c r="F89" i="38"/>
  <c r="L207" i="38"/>
  <c r="G83" i="32"/>
  <c r="M171" i="32"/>
  <c r="AW108" i="18"/>
  <c r="M225" i="28"/>
  <c r="D92" i="30"/>
  <c r="J216" i="30"/>
  <c r="J299" i="23"/>
  <c r="K299" i="23"/>
  <c r="L299" i="23"/>
  <c r="M299" i="23"/>
  <c r="G25" i="28"/>
  <c r="Z102" i="18"/>
  <c r="T134" i="25"/>
  <c r="G63" i="25"/>
  <c r="G76" i="89"/>
  <c r="M133" i="89"/>
  <c r="AV32" i="18"/>
  <c r="G25" i="14"/>
  <c r="Z32" i="18"/>
  <c r="K215" i="17"/>
  <c r="L215" i="17"/>
  <c r="G105" i="32"/>
  <c r="M296" i="32"/>
  <c r="E98" i="89"/>
  <c r="K250" i="89"/>
  <c r="T123" i="28"/>
  <c r="G60" i="28"/>
  <c r="G24" i="28"/>
  <c r="L217" i="32"/>
  <c r="M217" i="32"/>
  <c r="C25" i="23"/>
  <c r="D108" i="25"/>
  <c r="J302" i="25"/>
  <c r="E25" i="30"/>
  <c r="X116" i="18"/>
  <c r="P76" i="85"/>
  <c r="E40" i="17"/>
  <c r="X40" i="18"/>
  <c r="D104" i="23"/>
  <c r="J286" i="23"/>
  <c r="F76" i="30"/>
  <c r="L132" i="30"/>
  <c r="G89" i="89"/>
  <c r="M208" i="89"/>
  <c r="D16" i="17"/>
  <c r="F86" i="23"/>
  <c r="L186" i="23"/>
  <c r="G86" i="14"/>
  <c r="M187" i="14"/>
  <c r="F26" i="25"/>
  <c r="C88" i="23"/>
  <c r="I197" i="23"/>
  <c r="C81" i="38"/>
  <c r="I153" i="38"/>
  <c r="G80" i="38"/>
  <c r="M150" i="38"/>
  <c r="Z139" i="40"/>
  <c r="F58" i="40"/>
  <c r="F63" i="40"/>
  <c r="F71" i="40"/>
  <c r="F98" i="40"/>
  <c r="L251" i="40"/>
  <c r="Y176" i="23"/>
  <c r="J176" i="23"/>
  <c r="K176" i="23"/>
  <c r="D89" i="17"/>
  <c r="J205" i="17"/>
  <c r="E93" i="14"/>
  <c r="K226" i="14"/>
  <c r="K130" i="28"/>
  <c r="L130" i="28"/>
  <c r="M130" i="28"/>
  <c r="E79" i="23"/>
  <c r="K141" i="23"/>
  <c r="K121" i="40"/>
  <c r="L121" i="40"/>
  <c r="M121" i="40"/>
  <c r="G102" i="25"/>
  <c r="M268" i="25"/>
  <c r="S61" i="83"/>
  <c r="G86" i="89"/>
  <c r="M187" i="89"/>
  <c r="E39" i="28"/>
  <c r="X95" i="18"/>
  <c r="AW22" i="18"/>
  <c r="C106" i="40"/>
  <c r="I299" i="40"/>
  <c r="J299" i="40"/>
  <c r="K299" i="40"/>
  <c r="L299" i="40"/>
  <c r="M299" i="40"/>
  <c r="E80" i="89"/>
  <c r="K148" i="89"/>
  <c r="F76" i="23"/>
  <c r="L132" i="23"/>
  <c r="F19" i="14"/>
  <c r="D38" i="14"/>
  <c r="D22" i="14"/>
  <c r="D41" i="14"/>
  <c r="D93" i="40"/>
  <c r="J225" i="40"/>
  <c r="D80" i="14"/>
  <c r="J147" i="14"/>
  <c r="C40" i="28"/>
  <c r="V96" i="18"/>
  <c r="Q120" i="23"/>
  <c r="D60" i="23"/>
  <c r="D24" i="23"/>
  <c r="G88" i="40"/>
  <c r="M201" i="40"/>
  <c r="T201" i="40"/>
  <c r="J224" i="38"/>
  <c r="K224" i="38"/>
  <c r="G80" i="32"/>
  <c r="M150" i="32"/>
  <c r="D80" i="30"/>
  <c r="J147" i="30"/>
  <c r="D79" i="38"/>
  <c r="J140" i="38"/>
  <c r="D100" i="14"/>
  <c r="J263" i="14"/>
  <c r="F76" i="14"/>
  <c r="L132" i="14"/>
  <c r="C91" i="25"/>
  <c r="I206" i="25"/>
  <c r="J206" i="25"/>
  <c r="K206" i="25"/>
  <c r="E99" i="17"/>
  <c r="K257" i="17"/>
  <c r="E106" i="28"/>
  <c r="K301" i="28"/>
  <c r="E92" i="38"/>
  <c r="K217" i="38"/>
  <c r="D23" i="40"/>
  <c r="J224" i="32"/>
  <c r="K224" i="32"/>
  <c r="L224" i="32"/>
  <c r="C19" i="89"/>
  <c r="C39" i="89"/>
  <c r="AC20" i="65"/>
  <c r="AC31" i="65"/>
  <c r="S131" i="14"/>
  <c r="F61" i="14"/>
  <c r="K216" i="28"/>
  <c r="L216" i="28"/>
  <c r="M216" i="28"/>
  <c r="P146" i="89"/>
  <c r="C60" i="89"/>
  <c r="C24" i="89"/>
  <c r="G106" i="30"/>
  <c r="M303" i="30"/>
  <c r="F25" i="17"/>
  <c r="Y46" i="18"/>
  <c r="C89" i="14"/>
  <c r="I204" i="14"/>
  <c r="C82" i="25"/>
  <c r="I148" i="25"/>
  <c r="P148" i="25"/>
  <c r="C62" i="25"/>
  <c r="E106" i="30"/>
  <c r="K301" i="30"/>
  <c r="C87" i="40"/>
  <c r="I190" i="40"/>
  <c r="G22" i="23"/>
  <c r="G38" i="23"/>
  <c r="Z52" i="18"/>
  <c r="K263" i="32"/>
  <c r="L263" i="32"/>
  <c r="F75" i="17"/>
  <c r="L123" i="17"/>
  <c r="F78" i="25"/>
  <c r="L134" i="25"/>
  <c r="E42" i="14"/>
  <c r="X28" i="18"/>
  <c r="AC13" i="65"/>
  <c r="AC24" i="65"/>
  <c r="E102" i="25"/>
  <c r="K266" i="25"/>
  <c r="C105" i="14"/>
  <c r="I292" i="14"/>
  <c r="E88" i="14"/>
  <c r="K199" i="14"/>
  <c r="R121" i="17"/>
  <c r="E60" i="17"/>
  <c r="E24" i="17"/>
  <c r="C25" i="14"/>
  <c r="V32" i="18"/>
  <c r="K205" i="30"/>
  <c r="L205" i="30"/>
  <c r="M205" i="30"/>
  <c r="J301" i="25"/>
  <c r="K301" i="25"/>
  <c r="G23" i="23"/>
  <c r="F101" i="25"/>
  <c r="L260" i="25"/>
  <c r="C23" i="40"/>
  <c r="C40" i="30"/>
  <c r="V110" i="18"/>
  <c r="C100" i="40"/>
  <c r="I262" i="40"/>
  <c r="E23" i="30"/>
  <c r="G83" i="28"/>
  <c r="M171" i="28"/>
  <c r="F25" i="32"/>
  <c r="Y130" i="18"/>
  <c r="C85" i="23"/>
  <c r="I176" i="23"/>
  <c r="G82" i="38"/>
  <c r="M164" i="38"/>
  <c r="G23" i="14"/>
  <c r="D100" i="89"/>
  <c r="J263" i="89"/>
  <c r="E19" i="17"/>
  <c r="G103" i="30"/>
  <c r="M282" i="30"/>
  <c r="L215" i="89"/>
  <c r="M215" i="89"/>
  <c r="E91" i="25"/>
  <c r="K208" i="25"/>
  <c r="L208" i="25"/>
  <c r="M208" i="25"/>
  <c r="K216" i="17"/>
  <c r="L216" i="17"/>
  <c r="E14" i="89"/>
  <c r="E13" i="89"/>
  <c r="E5" i="89"/>
  <c r="W39" i="18"/>
  <c r="AV116" i="18"/>
  <c r="D92" i="28"/>
  <c r="J216" i="28"/>
  <c r="C94" i="25"/>
  <c r="I217" i="25"/>
  <c r="J217" i="25"/>
  <c r="K217" i="25"/>
  <c r="L217" i="25"/>
  <c r="E92" i="14"/>
  <c r="K217" i="14"/>
  <c r="C87" i="17"/>
  <c r="I190" i="17"/>
  <c r="G21" i="25"/>
  <c r="E17" i="38"/>
  <c r="C99" i="17"/>
  <c r="I255" i="17"/>
  <c r="AV103" i="18"/>
  <c r="L299" i="89"/>
  <c r="M299" i="89"/>
  <c r="G39" i="89"/>
  <c r="AG20" i="65"/>
  <c r="AG31" i="65"/>
  <c r="C85" i="32"/>
  <c r="I176" i="32"/>
  <c r="F21" i="25"/>
  <c r="V18" i="65"/>
  <c r="V29" i="65"/>
  <c r="C19" i="30"/>
  <c r="C39" i="30"/>
  <c r="V109" i="18"/>
  <c r="D77" i="25"/>
  <c r="J123" i="25"/>
  <c r="F79" i="89"/>
  <c r="L142" i="89"/>
  <c r="T259" i="28"/>
  <c r="E106" i="23"/>
  <c r="K301" i="23"/>
  <c r="E92" i="40"/>
  <c r="K217" i="40"/>
  <c r="D97" i="17"/>
  <c r="J242" i="17"/>
  <c r="G103" i="38"/>
  <c r="M282" i="38"/>
  <c r="D17" i="28"/>
  <c r="L131" i="38"/>
  <c r="M131" i="38"/>
  <c r="J215" i="89"/>
  <c r="K215" i="89"/>
  <c r="V55" i="18"/>
  <c r="AU103" i="18"/>
  <c r="L226" i="40"/>
  <c r="M226" i="40"/>
  <c r="K300" i="17"/>
  <c r="L300" i="17"/>
  <c r="K168" i="14"/>
  <c r="L168" i="14"/>
  <c r="M167" i="23"/>
  <c r="D108" i="30"/>
  <c r="J309" i="30"/>
  <c r="G82" i="17"/>
  <c r="M164" i="17"/>
  <c r="G39" i="14"/>
  <c r="Z25" i="18"/>
  <c r="AY94" i="18"/>
  <c r="D81" i="14"/>
  <c r="J154" i="14"/>
  <c r="D100" i="23"/>
  <c r="J263" i="23"/>
  <c r="G88" i="28"/>
  <c r="M201" i="28"/>
  <c r="K205" i="23"/>
  <c r="L205" i="23"/>
  <c r="M263" i="17"/>
  <c r="C80" i="14"/>
  <c r="I146" i="14"/>
  <c r="E92" i="32"/>
  <c r="K217" i="32"/>
  <c r="C81" i="32"/>
  <c r="I153" i="32"/>
  <c r="F98" i="17"/>
  <c r="L251" i="17"/>
  <c r="D41" i="23"/>
  <c r="W55" i="18"/>
  <c r="K120" i="89"/>
  <c r="L120" i="89"/>
  <c r="M120" i="89"/>
  <c r="G14" i="89"/>
  <c r="G13" i="89"/>
  <c r="G5" i="89"/>
  <c r="C25" i="38"/>
  <c r="C92" i="89"/>
  <c r="I215" i="89"/>
  <c r="D86" i="38"/>
  <c r="J184" i="38"/>
  <c r="C108" i="25"/>
  <c r="I301" i="25"/>
  <c r="D78" i="25"/>
  <c r="J132" i="25"/>
  <c r="F37" i="23"/>
  <c r="G90" i="25"/>
  <c r="M203" i="25"/>
  <c r="G98" i="89"/>
  <c r="M252" i="89"/>
  <c r="E106" i="32"/>
  <c r="K301" i="32"/>
  <c r="G108" i="32"/>
  <c r="M312" i="32"/>
  <c r="F93" i="38"/>
  <c r="L227" i="38"/>
  <c r="J215" i="28"/>
  <c r="K215" i="28"/>
  <c r="L301" i="38"/>
  <c r="M301" i="38"/>
  <c r="E21" i="25"/>
  <c r="S124" i="25"/>
  <c r="F62" i="25"/>
  <c r="D22" i="23"/>
  <c r="D19" i="30"/>
  <c r="D39" i="30"/>
  <c r="W109" i="18"/>
  <c r="G19" i="32"/>
  <c r="C42" i="40"/>
  <c r="V140" i="18"/>
  <c r="R121" i="32"/>
  <c r="E60" i="32"/>
  <c r="G108" i="38"/>
  <c r="M312" i="38"/>
  <c r="F23" i="17"/>
  <c r="F22" i="17"/>
  <c r="F41" i="17"/>
  <c r="Y41" i="18"/>
  <c r="V37" i="18"/>
  <c r="AU113" i="18"/>
  <c r="V65" i="18"/>
  <c r="C19" i="40"/>
  <c r="F40" i="30"/>
  <c r="F14" i="30"/>
  <c r="F13" i="30"/>
  <c r="F5" i="30"/>
  <c r="F37" i="30"/>
  <c r="F96" i="28"/>
  <c r="L237" i="28"/>
  <c r="F24" i="25"/>
  <c r="F43" i="25"/>
  <c r="Y69" i="18"/>
  <c r="E22" i="38"/>
  <c r="E38" i="38"/>
  <c r="X80" i="18"/>
  <c r="E60" i="23"/>
  <c r="E24" i="23"/>
  <c r="D106" i="25"/>
  <c r="J288" i="25"/>
  <c r="D93" i="17"/>
  <c r="J225" i="17"/>
  <c r="C87" i="25"/>
  <c r="I178" i="25"/>
  <c r="X178" i="25"/>
  <c r="D61" i="25"/>
  <c r="L169" i="25"/>
  <c r="M169" i="25"/>
  <c r="G88" i="25"/>
  <c r="M189" i="25"/>
  <c r="C108" i="32"/>
  <c r="I308" i="32"/>
  <c r="E100" i="28"/>
  <c r="K264" i="28"/>
  <c r="C97" i="30"/>
  <c r="I241" i="30"/>
  <c r="T275" i="17"/>
  <c r="D104" i="89"/>
  <c r="J286" i="89"/>
  <c r="F82" i="17"/>
  <c r="L163" i="17"/>
  <c r="C19" i="14"/>
  <c r="C39" i="14"/>
  <c r="V25" i="18"/>
  <c r="AU94" i="18"/>
  <c r="E94" i="25"/>
  <c r="K219" i="25"/>
  <c r="E85" i="30"/>
  <c r="K178" i="30"/>
  <c r="J120" i="89"/>
  <c r="D14" i="89"/>
  <c r="D13" i="89"/>
  <c r="D5" i="89"/>
  <c r="M263" i="28"/>
  <c r="V97" i="18"/>
  <c r="AU21" i="18"/>
  <c r="F108" i="30"/>
  <c r="L311" i="30"/>
  <c r="G95" i="25"/>
  <c r="M230" i="25"/>
  <c r="E37" i="28"/>
  <c r="X93" i="18"/>
  <c r="E88" i="40"/>
  <c r="K199" i="40"/>
  <c r="C93" i="89"/>
  <c r="I224" i="89"/>
  <c r="E98" i="23"/>
  <c r="K250" i="23"/>
  <c r="C92" i="40"/>
  <c r="I215" i="40"/>
  <c r="J215" i="40"/>
  <c r="K215" i="40"/>
  <c r="L215" i="40"/>
  <c r="L301" i="17"/>
  <c r="M301" i="17"/>
  <c r="F85" i="28"/>
  <c r="L179" i="28"/>
  <c r="F75" i="14"/>
  <c r="L123" i="14"/>
  <c r="G40" i="23"/>
  <c r="Z54" i="18"/>
  <c r="AY102" i="18"/>
  <c r="C85" i="89"/>
  <c r="I176" i="89"/>
  <c r="C99" i="89"/>
  <c r="I255" i="89"/>
  <c r="E89" i="30"/>
  <c r="K206" i="30"/>
  <c r="E76" i="32"/>
  <c r="K131" i="32"/>
  <c r="F108" i="14"/>
  <c r="L311" i="14"/>
  <c r="G25" i="25"/>
  <c r="G24" i="25"/>
  <c r="G43" i="25"/>
  <c r="Z69" i="18"/>
  <c r="F76" i="28"/>
  <c r="L132" i="28"/>
  <c r="C80" i="23"/>
  <c r="I146" i="23"/>
  <c r="C96" i="38"/>
  <c r="I234" i="38"/>
  <c r="E93" i="28"/>
  <c r="K226" i="28"/>
  <c r="F37" i="14"/>
  <c r="Y23" i="18"/>
  <c r="AX91" i="18"/>
  <c r="L264" i="32"/>
  <c r="M264" i="32"/>
  <c r="D99" i="32"/>
  <c r="J256" i="32"/>
  <c r="C22" i="89"/>
  <c r="C41" i="89"/>
  <c r="V153" i="18"/>
  <c r="D88" i="14"/>
  <c r="J198" i="14"/>
  <c r="C41" i="30"/>
  <c r="E40" i="32"/>
  <c r="E37" i="32"/>
  <c r="G89" i="23"/>
  <c r="M208" i="23"/>
  <c r="C98" i="30"/>
  <c r="I248" i="30"/>
  <c r="E75" i="38"/>
  <c r="K122" i="38"/>
  <c r="S122" i="38"/>
  <c r="F60" i="38"/>
  <c r="D93" i="89"/>
  <c r="J225" i="89"/>
  <c r="K225" i="89"/>
  <c r="L225" i="89"/>
  <c r="M225" i="89"/>
  <c r="G81" i="40"/>
  <c r="M157" i="40"/>
  <c r="T157" i="40"/>
  <c r="J224" i="14"/>
  <c r="K224" i="14"/>
  <c r="L224" i="14"/>
  <c r="C85" i="17"/>
  <c r="I176" i="17"/>
  <c r="P176" i="17"/>
  <c r="C61" i="17"/>
  <c r="K130" i="30"/>
  <c r="L130" i="30"/>
  <c r="E76" i="17"/>
  <c r="K131" i="17"/>
  <c r="D76" i="28"/>
  <c r="J130" i="28"/>
  <c r="D95" i="25"/>
  <c r="J227" i="25"/>
  <c r="K227" i="25"/>
  <c r="L227" i="25"/>
  <c r="M227" i="25"/>
  <c r="D37" i="17"/>
  <c r="U14" i="65"/>
  <c r="U25" i="65"/>
  <c r="T132" i="32"/>
  <c r="G61" i="32"/>
  <c r="C23" i="38"/>
  <c r="C22" i="38"/>
  <c r="C41" i="38"/>
  <c r="V83" i="18"/>
  <c r="E97" i="32"/>
  <c r="K243" i="32"/>
  <c r="C80" i="28"/>
  <c r="I146" i="28"/>
  <c r="G78" i="25"/>
  <c r="M135" i="25"/>
  <c r="C93" i="17"/>
  <c r="I224" i="17"/>
  <c r="J224" i="17"/>
  <c r="K224" i="17"/>
  <c r="L224" i="17"/>
  <c r="C80" i="89"/>
  <c r="I146" i="89"/>
  <c r="J167" i="28"/>
  <c r="K167" i="28"/>
  <c r="L167" i="28"/>
  <c r="E93" i="89"/>
  <c r="K226" i="89"/>
  <c r="L226" i="89"/>
  <c r="M226" i="89"/>
  <c r="F102" i="89"/>
  <c r="L274" i="89"/>
  <c r="F22" i="23"/>
  <c r="F23" i="23"/>
  <c r="F25" i="23"/>
  <c r="D25" i="17"/>
  <c r="W46" i="18"/>
  <c r="AV120" i="18"/>
  <c r="C25" i="28"/>
  <c r="V102" i="18"/>
  <c r="D14" i="30"/>
  <c r="D13" i="30"/>
  <c r="D5" i="30"/>
  <c r="D37" i="30"/>
  <c r="W107" i="18"/>
  <c r="G80" i="23"/>
  <c r="M150" i="23"/>
  <c r="G85" i="14"/>
  <c r="M180" i="14"/>
  <c r="T180" i="14"/>
  <c r="D92" i="38"/>
  <c r="J216" i="38"/>
  <c r="G19" i="38"/>
  <c r="K225" i="23"/>
  <c r="L225" i="23"/>
  <c r="M225" i="23"/>
  <c r="B27" i="65"/>
  <c r="B29" i="65"/>
  <c r="G81" i="28"/>
  <c r="M157" i="28"/>
  <c r="D37" i="28"/>
  <c r="W93" i="18"/>
  <c r="AV19" i="18"/>
  <c r="X51" i="18"/>
  <c r="C23" i="14"/>
  <c r="C22" i="14"/>
  <c r="C41" i="14"/>
  <c r="V27" i="18"/>
  <c r="AU93" i="18"/>
  <c r="Q215" i="17"/>
  <c r="C92" i="17"/>
  <c r="I215" i="17"/>
  <c r="J215" i="17"/>
  <c r="D92" i="23"/>
  <c r="J216" i="23"/>
  <c r="K216" i="23"/>
  <c r="L216" i="23"/>
  <c r="C41" i="28"/>
  <c r="F23" i="38"/>
  <c r="F22" i="38"/>
  <c r="F41" i="38"/>
  <c r="Y83" i="18"/>
  <c r="AX162" i="18"/>
  <c r="E19" i="23"/>
  <c r="E42" i="23"/>
  <c r="X56" i="18"/>
  <c r="D88" i="38"/>
  <c r="J198" i="38"/>
  <c r="G76" i="17"/>
  <c r="M133" i="17"/>
  <c r="C88" i="28"/>
  <c r="I197" i="28"/>
  <c r="D89" i="28"/>
  <c r="J205" i="28"/>
  <c r="D106" i="23"/>
  <c r="J300" i="23"/>
  <c r="R121" i="23"/>
  <c r="E100" i="38"/>
  <c r="K264" i="38"/>
  <c r="G85" i="28"/>
  <c r="M180" i="28"/>
  <c r="G96" i="32"/>
  <c r="M238" i="32"/>
  <c r="D19" i="40"/>
  <c r="C76" i="17"/>
  <c r="I129" i="17"/>
  <c r="M167" i="89"/>
  <c r="G104" i="17"/>
  <c r="M289" i="17"/>
  <c r="D39" i="25"/>
  <c r="W65" i="18"/>
  <c r="AV123" i="18"/>
  <c r="C98" i="28"/>
  <c r="I248" i="28"/>
  <c r="E93" i="17"/>
  <c r="K226" i="17"/>
  <c r="D92" i="14"/>
  <c r="J216" i="14"/>
  <c r="L215" i="30"/>
  <c r="M215" i="30"/>
  <c r="D75" i="17"/>
  <c r="J121" i="17"/>
  <c r="K121" i="17"/>
  <c r="L121" i="17"/>
  <c r="M121" i="17"/>
  <c r="F19" i="32"/>
  <c r="D89" i="89"/>
  <c r="J205" i="89"/>
  <c r="E93" i="30"/>
  <c r="K226" i="30"/>
  <c r="E105" i="17"/>
  <c r="K294" i="17"/>
  <c r="C85" i="30"/>
  <c r="I176" i="30"/>
  <c r="G103" i="23"/>
  <c r="M282" i="23"/>
  <c r="F40" i="38"/>
  <c r="Y82" i="18"/>
  <c r="AX161" i="18"/>
  <c r="K121" i="89"/>
  <c r="L121" i="89"/>
  <c r="J204" i="23"/>
  <c r="K204" i="23"/>
  <c r="L204" i="23"/>
  <c r="E38" i="23"/>
  <c r="X52" i="18"/>
  <c r="F79" i="14"/>
  <c r="L142" i="14"/>
  <c r="E100" i="23"/>
  <c r="K264" i="23"/>
  <c r="E100" i="32"/>
  <c r="K264" i="32"/>
  <c r="G19" i="89"/>
  <c r="J224" i="28"/>
  <c r="K224" i="28"/>
  <c r="L224" i="28"/>
  <c r="F22" i="28"/>
  <c r="F41" i="28"/>
  <c r="Y97" i="18"/>
  <c r="C92" i="23"/>
  <c r="I215" i="23"/>
  <c r="G96" i="17"/>
  <c r="M238" i="17"/>
  <c r="G105" i="25"/>
  <c r="M284" i="25"/>
  <c r="C85" i="14"/>
  <c r="I176" i="14"/>
  <c r="D83" i="30"/>
  <c r="J168" i="30"/>
  <c r="C100" i="89"/>
  <c r="I262" i="89"/>
  <c r="D80" i="17"/>
  <c r="J147" i="17"/>
  <c r="D108" i="32"/>
  <c r="J309" i="32"/>
  <c r="F96" i="23"/>
  <c r="L237" i="23"/>
  <c r="D76" i="23"/>
  <c r="J130" i="23"/>
  <c r="E89" i="89"/>
  <c r="K206" i="89"/>
  <c r="D88" i="23"/>
  <c r="J198" i="23"/>
  <c r="D27" i="25"/>
  <c r="W74" i="18"/>
  <c r="AV130" i="18"/>
  <c r="C23" i="89"/>
  <c r="E23" i="38"/>
  <c r="E25" i="38"/>
  <c r="X88" i="18"/>
  <c r="D96" i="23"/>
  <c r="J235" i="23"/>
  <c r="C80" i="32"/>
  <c r="I146" i="32"/>
  <c r="C76" i="28"/>
  <c r="I129" i="28"/>
  <c r="J129" i="28"/>
  <c r="K129" i="28"/>
  <c r="L129" i="28"/>
  <c r="M129" i="28"/>
  <c r="G15" i="28"/>
  <c r="F42" i="28"/>
  <c r="C23" i="17"/>
  <c r="C25" i="17"/>
  <c r="V46" i="18"/>
  <c r="AU120" i="18"/>
  <c r="G104" i="28"/>
  <c r="M289" i="28"/>
  <c r="G19" i="14"/>
  <c r="E19" i="14"/>
  <c r="C42" i="25"/>
  <c r="V68" i="18"/>
  <c r="E97" i="17"/>
  <c r="K243" i="17"/>
  <c r="E23" i="14"/>
  <c r="E22" i="14"/>
  <c r="E41" i="14"/>
  <c r="X27" i="18"/>
  <c r="AW93" i="18"/>
  <c r="E106" i="17"/>
  <c r="K301" i="17"/>
  <c r="C37" i="28"/>
  <c r="V93" i="18"/>
  <c r="E14" i="17"/>
  <c r="E13" i="17"/>
  <c r="E5" i="17"/>
  <c r="D75" i="89"/>
  <c r="J121" i="89"/>
  <c r="J167" i="38"/>
  <c r="K167" i="38"/>
  <c r="L167" i="38"/>
  <c r="F105" i="30"/>
  <c r="L295" i="30"/>
  <c r="J204" i="40"/>
  <c r="K204" i="40"/>
  <c r="G99" i="28"/>
  <c r="M259" i="28"/>
  <c r="J120" i="32"/>
  <c r="K120" i="32"/>
  <c r="E14" i="32"/>
  <c r="E13" i="32"/>
  <c r="E5" i="32"/>
  <c r="C14" i="23"/>
  <c r="C13" i="23"/>
  <c r="C5" i="23"/>
  <c r="C37" i="23"/>
  <c r="T15" i="65"/>
  <c r="T26" i="65"/>
  <c r="Y26" i="65"/>
  <c r="D16" i="25"/>
  <c r="D15" i="25"/>
  <c r="D5" i="25"/>
  <c r="G82" i="14"/>
  <c r="M164" i="14"/>
  <c r="T164" i="14"/>
  <c r="E75" i="89"/>
  <c r="K122" i="89"/>
  <c r="G102" i="89"/>
  <c r="M275" i="89"/>
  <c r="T275" i="89"/>
  <c r="D89" i="23"/>
  <c r="J205" i="23"/>
  <c r="J224" i="30"/>
  <c r="K224" i="30"/>
  <c r="C25" i="30"/>
  <c r="V116" i="18"/>
  <c r="AU36" i="18"/>
  <c r="F14" i="23"/>
  <c r="F13" i="23"/>
  <c r="F5" i="23"/>
  <c r="F40" i="23"/>
  <c r="Y54" i="18"/>
  <c r="C75" i="89"/>
  <c r="I120" i="89"/>
  <c r="L204" i="28"/>
  <c r="M204" i="28"/>
  <c r="C14" i="28"/>
  <c r="C13" i="28"/>
  <c r="C5" i="28"/>
  <c r="T13" i="65"/>
  <c r="T24" i="65"/>
  <c r="Y24" i="65"/>
  <c r="C12" i="65"/>
  <c r="C14" i="65"/>
  <c r="C39" i="32"/>
  <c r="C19" i="32"/>
  <c r="C42" i="32"/>
  <c r="C89" i="23"/>
  <c r="I204" i="23"/>
  <c r="C37" i="14"/>
  <c r="C14" i="14"/>
  <c r="C13" i="14"/>
  <c r="C5" i="14"/>
  <c r="C40" i="14"/>
  <c r="D102" i="25"/>
  <c r="J265" i="25"/>
  <c r="K265" i="25"/>
  <c r="L265" i="25"/>
  <c r="D25" i="25"/>
  <c r="J299" i="14"/>
  <c r="K299" i="14"/>
  <c r="L299" i="14"/>
  <c r="G25" i="38"/>
  <c r="Z88" i="18"/>
  <c r="AY167" i="18"/>
  <c r="E19" i="28"/>
  <c r="G23" i="38"/>
  <c r="E100" i="40"/>
  <c r="K264" i="40"/>
  <c r="F19" i="23"/>
  <c r="D76" i="17"/>
  <c r="J130" i="17"/>
  <c r="E89" i="28"/>
  <c r="K206" i="28"/>
  <c r="D93" i="30"/>
  <c r="J225" i="30"/>
  <c r="M216" i="89"/>
  <c r="C88" i="32"/>
  <c r="I197" i="32"/>
  <c r="M262" i="38"/>
  <c r="AY30" i="18"/>
  <c r="G89" i="32"/>
  <c r="M208" i="32"/>
  <c r="E82" i="40"/>
  <c r="K162" i="40"/>
  <c r="D23" i="23"/>
  <c r="D25" i="23"/>
  <c r="W60" i="18"/>
  <c r="AV108" i="18"/>
  <c r="M300" i="32"/>
  <c r="G92" i="23"/>
  <c r="M219" i="23"/>
  <c r="F93" i="23"/>
  <c r="L227" i="23"/>
  <c r="K130" i="89"/>
  <c r="L130" i="89"/>
  <c r="D83" i="89"/>
  <c r="J168" i="89"/>
  <c r="K168" i="89"/>
  <c r="L168" i="89"/>
  <c r="G88" i="30"/>
  <c r="M201" i="30"/>
  <c r="F88" i="25"/>
  <c r="L188" i="25"/>
  <c r="K120" i="17"/>
  <c r="L120" i="17"/>
  <c r="F14" i="17"/>
  <c r="F13" i="17"/>
  <c r="F5" i="17"/>
  <c r="G102" i="30"/>
  <c r="M275" i="30"/>
  <c r="G105" i="89"/>
  <c r="M296" i="89"/>
  <c r="T296" i="89"/>
  <c r="D89" i="14"/>
  <c r="J205" i="14"/>
  <c r="K205" i="14"/>
  <c r="L205" i="14"/>
  <c r="M205" i="14"/>
  <c r="F92" i="89"/>
  <c r="L218" i="89"/>
  <c r="E14" i="23"/>
  <c r="E13" i="23"/>
  <c r="E5" i="23"/>
  <c r="E37" i="23"/>
  <c r="V15" i="65"/>
  <c r="V26" i="65"/>
  <c r="F22" i="30"/>
  <c r="F41" i="30"/>
  <c r="Y111" i="18"/>
  <c r="C106" i="38"/>
  <c r="I299" i="38"/>
  <c r="J122" i="25"/>
  <c r="K122" i="25"/>
  <c r="E16" i="25"/>
  <c r="E15" i="25"/>
  <c r="E5" i="25"/>
  <c r="E42" i="25"/>
  <c r="X68" i="18"/>
  <c r="L262" i="38"/>
  <c r="G104" i="40"/>
  <c r="M289" i="40"/>
  <c r="C92" i="38"/>
  <c r="I215" i="38"/>
  <c r="E75" i="28"/>
  <c r="K122" i="28"/>
  <c r="K225" i="38"/>
  <c r="L225" i="38"/>
  <c r="M225" i="38"/>
  <c r="D94" i="25"/>
  <c r="J218" i="25"/>
  <c r="D89" i="32"/>
  <c r="J205" i="32"/>
  <c r="K205" i="32"/>
  <c r="L205" i="32"/>
  <c r="P176" i="28"/>
  <c r="C61" i="28"/>
  <c r="G103" i="28"/>
  <c r="M282" i="28"/>
  <c r="G80" i="30"/>
  <c r="M150" i="30"/>
  <c r="D75" i="30"/>
  <c r="J121" i="30"/>
  <c r="R121" i="30"/>
  <c r="E60" i="30"/>
  <c r="F82" i="89"/>
  <c r="L163" i="89"/>
  <c r="G80" i="28"/>
  <c r="M150" i="28"/>
  <c r="D23" i="28"/>
  <c r="D25" i="28"/>
  <c r="W102" i="18"/>
  <c r="AV26" i="18"/>
  <c r="Q61" i="83"/>
  <c r="E14" i="38"/>
  <c r="E13" i="38"/>
  <c r="E5" i="38"/>
  <c r="E40" i="38"/>
  <c r="X82" i="18"/>
  <c r="D19" i="17"/>
  <c r="D39" i="17"/>
  <c r="AD14" i="65"/>
  <c r="AD25" i="65"/>
  <c r="D82" i="32"/>
  <c r="J161" i="32"/>
  <c r="C100" i="28"/>
  <c r="I262" i="28"/>
  <c r="J262" i="28"/>
  <c r="K262" i="28"/>
  <c r="L262" i="28"/>
  <c r="D23" i="38"/>
  <c r="D25" i="38"/>
  <c r="W88" i="18"/>
  <c r="D23" i="14"/>
  <c r="D25" i="14"/>
  <c r="W32" i="18"/>
  <c r="AV98" i="18"/>
  <c r="G76" i="85"/>
  <c r="E105" i="25"/>
  <c r="K282" i="25"/>
  <c r="Z139" i="23"/>
  <c r="F58" i="23"/>
  <c r="F63" i="23"/>
  <c r="F71" i="23"/>
  <c r="F102" i="23"/>
  <c r="L274" i="23"/>
  <c r="C19" i="38"/>
  <c r="C39" i="38"/>
  <c r="AC17" i="65"/>
  <c r="AC28" i="65"/>
  <c r="E22" i="23"/>
  <c r="E41" i="23"/>
  <c r="X55" i="18"/>
  <c r="C80" i="17"/>
  <c r="I146" i="17"/>
  <c r="F93" i="28"/>
  <c r="L227" i="28"/>
  <c r="C23" i="30"/>
  <c r="C22" i="30"/>
  <c r="C38" i="30"/>
  <c r="V108" i="18"/>
  <c r="E63" i="23"/>
  <c r="E71" i="23"/>
  <c r="E75" i="23"/>
  <c r="K122" i="23"/>
  <c r="L122" i="23"/>
  <c r="M122" i="23"/>
  <c r="D100" i="38"/>
  <c r="J263" i="38"/>
  <c r="G99" i="17"/>
  <c r="M259" i="17"/>
  <c r="T259" i="17"/>
  <c r="D75" i="40"/>
  <c r="J121" i="40"/>
  <c r="L120" i="14"/>
  <c r="F14" i="14"/>
  <c r="F13" i="14"/>
  <c r="F5" i="14"/>
  <c r="F19" i="38"/>
  <c r="F39" i="38"/>
  <c r="AF17" i="65"/>
  <c r="AF28" i="65"/>
  <c r="D88" i="32"/>
  <c r="J198" i="32"/>
  <c r="L264" i="14"/>
  <c r="M264" i="14"/>
  <c r="C106" i="32"/>
  <c r="I299" i="32"/>
  <c r="J299" i="32"/>
  <c r="K299" i="32"/>
  <c r="L299" i="32"/>
  <c r="M299" i="32"/>
  <c r="G99" i="38"/>
  <c r="M259" i="38"/>
  <c r="C85" i="38"/>
  <c r="I176" i="38"/>
  <c r="X176" i="38"/>
  <c r="D59" i="38"/>
  <c r="L167" i="32"/>
  <c r="C19" i="23"/>
  <c r="C39" i="23"/>
  <c r="AC15" i="65"/>
  <c r="AC26" i="65"/>
  <c r="AH26" i="65"/>
  <c r="S122" i="17"/>
  <c r="F60" i="17"/>
  <c r="F24" i="17"/>
  <c r="F23" i="28"/>
  <c r="F25" i="28"/>
  <c r="Y102" i="18"/>
  <c r="AX26" i="18"/>
  <c r="F103" i="32"/>
  <c r="L281" i="32"/>
  <c r="E104" i="38"/>
  <c r="K287" i="38"/>
  <c r="F77" i="25"/>
  <c r="L125" i="25"/>
  <c r="X141" i="25"/>
  <c r="D60" i="25"/>
  <c r="D65" i="25"/>
  <c r="D73" i="25"/>
  <c r="D85" i="25"/>
  <c r="J170" i="25"/>
  <c r="K170" i="25"/>
  <c r="L170" i="25"/>
  <c r="F88" i="28"/>
  <c r="L200" i="28"/>
  <c r="E76" i="40"/>
  <c r="K131" i="40"/>
  <c r="C89" i="30"/>
  <c r="I204" i="30"/>
  <c r="J204" i="30"/>
  <c r="K204" i="30"/>
  <c r="E76" i="14"/>
  <c r="K131" i="14"/>
  <c r="E105" i="14"/>
  <c r="K294" i="14"/>
  <c r="D14" i="38"/>
  <c r="D13" i="38"/>
  <c r="D5" i="38"/>
  <c r="D40" i="38"/>
  <c r="W82" i="18"/>
  <c r="C106" i="30"/>
  <c r="I299" i="30"/>
  <c r="J299" i="30"/>
  <c r="K299" i="30"/>
  <c r="F23" i="30"/>
  <c r="F63" i="32"/>
  <c r="F71" i="32"/>
  <c r="F76" i="32"/>
  <c r="L132" i="32"/>
  <c r="Y139" i="89"/>
  <c r="E58" i="89"/>
  <c r="E63" i="89"/>
  <c r="E71" i="89"/>
  <c r="E106" i="89"/>
  <c r="K301" i="89"/>
  <c r="C89" i="17"/>
  <c r="I204" i="17"/>
  <c r="J204" i="17"/>
  <c r="K204" i="17"/>
  <c r="L204" i="17"/>
  <c r="G104" i="32"/>
  <c r="M289" i="32"/>
  <c r="D23" i="17"/>
  <c r="D76" i="89"/>
  <c r="J130" i="89"/>
  <c r="D100" i="32"/>
  <c r="J263" i="32"/>
  <c r="D104" i="17"/>
  <c r="J286" i="17"/>
  <c r="C76" i="14"/>
  <c r="I129" i="14"/>
  <c r="C93" i="40"/>
  <c r="I224" i="40"/>
  <c r="J224" i="40"/>
  <c r="K224" i="40"/>
  <c r="L224" i="40"/>
  <c r="E19" i="32"/>
  <c r="Y139" i="32"/>
  <c r="E58" i="32"/>
  <c r="E63" i="32"/>
  <c r="E71" i="32"/>
  <c r="D93" i="23"/>
  <c r="J225" i="23"/>
  <c r="E75" i="30"/>
  <c r="K122" i="30"/>
  <c r="D97" i="23"/>
  <c r="J242" i="23"/>
  <c r="C27" i="25"/>
  <c r="V74" i="18"/>
  <c r="AU130" i="18"/>
  <c r="P82" i="85"/>
  <c r="F97" i="89"/>
  <c r="L244" i="89"/>
  <c r="D40" i="14"/>
  <c r="W26" i="18"/>
  <c r="K139" i="23"/>
  <c r="L139" i="23"/>
  <c r="AA139" i="23"/>
  <c r="G58" i="23"/>
  <c r="G63" i="23"/>
  <c r="G71" i="23"/>
  <c r="G104" i="23"/>
  <c r="M289" i="23"/>
  <c r="D106" i="40"/>
  <c r="J300" i="40"/>
  <c r="K300" i="40"/>
  <c r="L300" i="40"/>
  <c r="M300" i="40"/>
  <c r="F76" i="38"/>
  <c r="L132" i="38"/>
  <c r="T132" i="38"/>
  <c r="G61" i="38"/>
  <c r="C23" i="28"/>
  <c r="C22" i="28"/>
  <c r="C38" i="28"/>
  <c r="V94" i="18"/>
  <c r="Z139" i="38"/>
  <c r="F58" i="38"/>
  <c r="F63" i="38"/>
  <c r="F71" i="38"/>
  <c r="F104" i="38"/>
  <c r="L288" i="38"/>
  <c r="C14" i="30"/>
  <c r="C13" i="30"/>
  <c r="C5" i="30"/>
  <c r="J167" i="30"/>
  <c r="K167" i="30"/>
  <c r="C93" i="14"/>
  <c r="I224" i="14"/>
  <c r="G105" i="28"/>
  <c r="M296" i="28"/>
  <c r="K120" i="40"/>
  <c r="E14" i="40"/>
  <c r="E13" i="40"/>
  <c r="E5" i="40"/>
  <c r="F85" i="25"/>
  <c r="L172" i="25"/>
  <c r="D63" i="23"/>
  <c r="D71" i="23"/>
  <c r="D75" i="23"/>
  <c r="J121" i="23"/>
  <c r="K121" i="23"/>
  <c r="L121" i="23"/>
  <c r="F14" i="28"/>
  <c r="F13" i="28"/>
  <c r="F5" i="28"/>
  <c r="D76" i="14"/>
  <c r="J130" i="14"/>
  <c r="K130" i="14"/>
  <c r="L130" i="14"/>
  <c r="M130" i="14"/>
  <c r="E76" i="30"/>
  <c r="K131" i="30"/>
  <c r="D106" i="28"/>
  <c r="J300" i="28"/>
  <c r="J299" i="28"/>
  <c r="K299" i="28"/>
  <c r="L299" i="28"/>
  <c r="X139" i="89"/>
  <c r="D58" i="89"/>
  <c r="D63" i="89"/>
  <c r="D71" i="89"/>
  <c r="D92" i="89"/>
  <c r="J216" i="89"/>
  <c r="K216" i="89"/>
  <c r="L216" i="89"/>
  <c r="K120" i="14"/>
  <c r="E14" i="14"/>
  <c r="E13" i="14"/>
  <c r="E5" i="14"/>
  <c r="E42" i="40"/>
  <c r="X140" i="18"/>
  <c r="E25" i="25"/>
  <c r="E27" i="25"/>
  <c r="X74" i="18"/>
  <c r="AW130" i="18"/>
  <c r="D92" i="17"/>
  <c r="J216" i="17"/>
  <c r="Y139" i="30"/>
  <c r="E58" i="30"/>
  <c r="E63" i="30"/>
  <c r="E71" i="30"/>
  <c r="E79" i="30"/>
  <c r="K141" i="30"/>
  <c r="L120" i="28"/>
  <c r="M120" i="28"/>
  <c r="G14" i="28"/>
  <c r="G13" i="28"/>
  <c r="G5" i="28"/>
  <c r="G40" i="28"/>
  <c r="Z96" i="18"/>
  <c r="F106" i="25"/>
  <c r="L290" i="25"/>
  <c r="C104" i="23"/>
  <c r="I285" i="23"/>
  <c r="J120" i="30"/>
  <c r="K120" i="30"/>
  <c r="L120" i="30"/>
  <c r="M120" i="30"/>
  <c r="G14" i="30"/>
  <c r="G13" i="30"/>
  <c r="G5" i="30"/>
  <c r="G40" i="30"/>
  <c r="Z110" i="18"/>
  <c r="J139" i="23"/>
  <c r="Y139" i="23"/>
  <c r="E58" i="23"/>
  <c r="E23" i="23"/>
  <c r="E25" i="23"/>
  <c r="X60" i="18"/>
  <c r="Z139" i="17"/>
  <c r="F58" i="17"/>
  <c r="F63" i="17"/>
  <c r="F71" i="17"/>
  <c r="F76" i="17"/>
  <c r="L132" i="17"/>
  <c r="D93" i="28"/>
  <c r="J225" i="28"/>
  <c r="K225" i="28"/>
  <c r="L225" i="28"/>
  <c r="V39" i="18"/>
  <c r="F98" i="25"/>
  <c r="L239" i="25"/>
  <c r="Z139" i="32"/>
  <c r="F58" i="32"/>
  <c r="F23" i="32"/>
  <c r="F22" i="32"/>
  <c r="F38" i="32"/>
  <c r="Y122" i="18"/>
  <c r="G85" i="30"/>
  <c r="M180" i="30"/>
  <c r="T180" i="30"/>
  <c r="C75" i="38"/>
  <c r="I120" i="38"/>
  <c r="J120" i="38"/>
  <c r="K120" i="38"/>
  <c r="L120" i="38"/>
  <c r="F14" i="38"/>
  <c r="F13" i="38"/>
  <c r="F5" i="38"/>
  <c r="C21" i="25"/>
  <c r="C41" i="25"/>
  <c r="AC16" i="65"/>
  <c r="AC27" i="65"/>
  <c r="AH27" i="65"/>
  <c r="J262" i="17"/>
  <c r="K262" i="17"/>
  <c r="L262" i="17"/>
  <c r="F63" i="14"/>
  <c r="F71" i="14"/>
  <c r="F96" i="14"/>
  <c r="L237" i="14"/>
  <c r="D106" i="32"/>
  <c r="J300" i="32"/>
  <c r="K300" i="32"/>
  <c r="L300" i="32"/>
  <c r="J169" i="25"/>
  <c r="K169" i="25"/>
  <c r="D105" i="40"/>
  <c r="J293" i="40"/>
  <c r="C19" i="17"/>
  <c r="C39" i="17"/>
  <c r="AC14" i="65"/>
  <c r="AC25" i="65"/>
  <c r="AH25" i="65"/>
  <c r="G102" i="17"/>
  <c r="M275" i="17"/>
  <c r="F25" i="25"/>
  <c r="F27" i="25"/>
  <c r="Y74" i="18"/>
  <c r="AX130" i="18"/>
  <c r="E96" i="40"/>
  <c r="K236" i="40"/>
  <c r="G82" i="40"/>
  <c r="M164" i="40"/>
  <c r="E19" i="40"/>
  <c r="E39" i="40"/>
  <c r="AE19" i="65"/>
  <c r="AE30" i="65"/>
  <c r="G86" i="28"/>
  <c r="M187" i="28"/>
  <c r="T187" i="28"/>
  <c r="D88" i="30"/>
  <c r="J198" i="30"/>
  <c r="Y139" i="14"/>
  <c r="E58" i="14"/>
  <c r="E63" i="14"/>
  <c r="E71" i="14"/>
  <c r="E100" i="14"/>
  <c r="K264" i="14"/>
  <c r="F60" i="25"/>
  <c r="F65" i="25"/>
  <c r="F73" i="25"/>
  <c r="F94" i="25"/>
  <c r="L220" i="25"/>
  <c r="C38" i="23"/>
  <c r="C22" i="23"/>
  <c r="C41" i="23"/>
  <c r="C93" i="38"/>
  <c r="I224" i="38"/>
  <c r="E76" i="38"/>
  <c r="K131" i="38"/>
  <c r="F19" i="28"/>
  <c r="F39" i="28"/>
  <c r="Y95" i="18"/>
  <c r="X139" i="28"/>
  <c r="D58" i="28"/>
  <c r="D63" i="28"/>
  <c r="D71" i="28"/>
  <c r="D100" i="28"/>
  <c r="J263" i="28"/>
  <c r="K263" i="28"/>
  <c r="L263" i="28"/>
  <c r="AA141" i="25"/>
  <c r="G60" i="25"/>
  <c r="G65" i="25"/>
  <c r="G73" i="25"/>
  <c r="G107" i="25"/>
  <c r="M298" i="25"/>
  <c r="E93" i="40"/>
  <c r="K226" i="40"/>
  <c r="D106" i="17"/>
  <c r="J300" i="17"/>
  <c r="X139" i="14"/>
  <c r="D58" i="14"/>
  <c r="D63" i="14"/>
  <c r="D71" i="14"/>
  <c r="D83" i="14"/>
  <c r="J168" i="14"/>
  <c r="D93" i="38"/>
  <c r="J225" i="38"/>
  <c r="G85" i="38"/>
  <c r="M180" i="38"/>
  <c r="G105" i="40"/>
  <c r="M296" i="40"/>
  <c r="Z139" i="30"/>
  <c r="F58" i="30"/>
  <c r="F63" i="30"/>
  <c r="F71" i="30"/>
  <c r="F75" i="30"/>
  <c r="L123" i="30"/>
  <c r="T123" i="30"/>
  <c r="G60" i="30"/>
  <c r="C75" i="23"/>
  <c r="I120" i="23"/>
  <c r="J120" i="23"/>
  <c r="K120" i="23"/>
  <c r="L120" i="23"/>
  <c r="M120" i="23"/>
  <c r="G14" i="23"/>
  <c r="G13" i="23"/>
  <c r="G5" i="23"/>
  <c r="K139" i="38"/>
  <c r="L139" i="38"/>
  <c r="AA139" i="38"/>
  <c r="G58" i="38"/>
  <c r="G63" i="38"/>
  <c r="G71" i="38"/>
  <c r="G93" i="38"/>
  <c r="M228" i="38"/>
  <c r="C25" i="25"/>
  <c r="F22" i="14"/>
  <c r="F38" i="14"/>
  <c r="Y24" i="18"/>
  <c r="K139" i="40"/>
  <c r="L139" i="40"/>
  <c r="AA139" i="40"/>
  <c r="G58" i="40"/>
  <c r="G63" i="40"/>
  <c r="G71" i="40"/>
  <c r="G86" i="40"/>
  <c r="M187" i="40"/>
  <c r="C106" i="28"/>
  <c r="I299" i="28"/>
  <c r="G63" i="28"/>
  <c r="G71" i="28"/>
  <c r="G97" i="28"/>
  <c r="M245" i="28"/>
  <c r="L139" i="14"/>
  <c r="AA139" i="14"/>
  <c r="G58" i="14"/>
  <c r="G63" i="14"/>
  <c r="G71" i="14"/>
  <c r="G99" i="14"/>
  <c r="M259" i="14"/>
  <c r="P146" i="40"/>
  <c r="C60" i="40"/>
  <c r="C93" i="28"/>
  <c r="I224" i="28"/>
  <c r="C75" i="32"/>
  <c r="I120" i="32"/>
  <c r="C14" i="32"/>
  <c r="C13" i="32"/>
  <c r="C5" i="32"/>
  <c r="C23" i="32"/>
  <c r="X139" i="38"/>
  <c r="D58" i="38"/>
  <c r="D63" i="38"/>
  <c r="D71" i="38"/>
  <c r="D76" i="38"/>
  <c r="J130" i="38"/>
  <c r="G82" i="89"/>
  <c r="M164" i="89"/>
  <c r="T164" i="89"/>
  <c r="E58" i="28"/>
  <c r="E63" i="28"/>
  <c r="E71" i="28"/>
  <c r="E83" i="28"/>
  <c r="K169" i="28"/>
  <c r="C93" i="32"/>
  <c r="I224" i="32"/>
  <c r="C100" i="38"/>
  <c r="I262" i="38"/>
  <c r="J262" i="38"/>
  <c r="K262" i="38"/>
  <c r="E63" i="17"/>
  <c r="E71" i="17"/>
  <c r="E75" i="17"/>
  <c r="K122" i="17"/>
  <c r="C85" i="28"/>
  <c r="I176" i="28"/>
  <c r="C75" i="14"/>
  <c r="I120" i="14"/>
  <c r="J120" i="14"/>
  <c r="D14" i="14"/>
  <c r="D13" i="14"/>
  <c r="D5" i="14"/>
  <c r="L139" i="89"/>
  <c r="AA139" i="89"/>
  <c r="G58" i="89"/>
  <c r="G63" i="89"/>
  <c r="G71" i="89"/>
  <c r="G99" i="89"/>
  <c r="M259" i="89"/>
  <c r="J167" i="23"/>
  <c r="K167" i="23"/>
  <c r="L167" i="23"/>
  <c r="C106" i="89"/>
  <c r="I299" i="89"/>
  <c r="J299" i="89"/>
  <c r="K299" i="89"/>
  <c r="C14" i="17"/>
  <c r="C13" i="17"/>
  <c r="C5" i="17"/>
  <c r="C37" i="17"/>
  <c r="T14" i="65"/>
  <c r="T25" i="65"/>
  <c r="Y25" i="65"/>
  <c r="L139" i="28"/>
  <c r="AA139" i="28"/>
  <c r="G58" i="28"/>
  <c r="G23" i="28"/>
  <c r="G22" i="28"/>
  <c r="G41" i="28"/>
  <c r="Z97" i="18"/>
  <c r="AY21" i="18"/>
  <c r="C23" i="23"/>
  <c r="J204" i="32"/>
  <c r="K204" i="32"/>
  <c r="L204" i="32"/>
  <c r="C75" i="40"/>
  <c r="I120" i="40"/>
  <c r="J120" i="40"/>
  <c r="D14" i="40"/>
  <c r="D13" i="40"/>
  <c r="D5" i="40"/>
  <c r="D37" i="40"/>
  <c r="U19" i="65"/>
  <c r="U30" i="65"/>
  <c r="L141" i="25"/>
  <c r="K141" i="25"/>
  <c r="Z141" i="25"/>
  <c r="C80" i="40"/>
  <c r="I146" i="40"/>
  <c r="C39" i="25"/>
  <c r="T16" i="65"/>
  <c r="T27" i="65"/>
  <c r="Y27" i="65"/>
  <c r="E12" i="65"/>
  <c r="K120" i="28"/>
  <c r="E14" i="28"/>
  <c r="E13" i="28"/>
  <c r="E5" i="28"/>
  <c r="D76" i="30"/>
  <c r="J130" i="30"/>
  <c r="C92" i="28"/>
  <c r="I215" i="28"/>
  <c r="E106" i="38"/>
  <c r="K301" i="38"/>
  <c r="X139" i="40"/>
  <c r="D58" i="40"/>
  <c r="D63" i="40"/>
  <c r="D71" i="40"/>
  <c r="D89" i="40"/>
  <c r="J205" i="40"/>
  <c r="E19" i="38"/>
  <c r="C79" i="38"/>
  <c r="I139" i="38"/>
  <c r="J139" i="38"/>
  <c r="Y139" i="38"/>
  <c r="E58" i="38"/>
  <c r="E63" i="38"/>
  <c r="E71" i="38"/>
  <c r="C89" i="40"/>
  <c r="I204" i="40"/>
  <c r="Y139" i="17"/>
  <c r="E58" i="17"/>
  <c r="E23" i="17"/>
  <c r="E25" i="17"/>
  <c r="X46" i="18"/>
  <c r="G92" i="30"/>
  <c r="M219" i="30"/>
  <c r="J139" i="30"/>
  <c r="K139" i="30"/>
  <c r="L139" i="30"/>
  <c r="AA139" i="30"/>
  <c r="G58" i="30"/>
  <c r="G63" i="30"/>
  <c r="G71" i="30"/>
  <c r="G75" i="30"/>
  <c r="M124" i="30"/>
  <c r="C81" i="25"/>
  <c r="I141" i="25"/>
  <c r="J141" i="25"/>
  <c r="Y141" i="25"/>
  <c r="E60" i="25"/>
  <c r="E65" i="25"/>
  <c r="E73" i="25"/>
  <c r="E77" i="25"/>
  <c r="K124" i="25"/>
  <c r="C89" i="32"/>
  <c r="I204" i="32"/>
  <c r="C79" i="23"/>
  <c r="I139" i="23"/>
  <c r="X139" i="23"/>
  <c r="D58" i="23"/>
  <c r="F85" i="89"/>
  <c r="L179" i="89"/>
  <c r="G23" i="17"/>
  <c r="G25" i="17"/>
  <c r="Z46" i="18"/>
  <c r="AY120" i="18"/>
  <c r="J167" i="32"/>
  <c r="K167" i="32"/>
  <c r="J120" i="17"/>
  <c r="D14" i="17"/>
  <c r="D13" i="17"/>
  <c r="D5" i="17"/>
  <c r="C100" i="23"/>
  <c r="I262" i="23"/>
  <c r="J262" i="23"/>
  <c r="K262" i="23"/>
  <c r="J139" i="17"/>
  <c r="K139" i="17"/>
  <c r="L139" i="17"/>
  <c r="AA139" i="17"/>
  <c r="G58" i="17"/>
  <c r="G63" i="17"/>
  <c r="G71" i="17"/>
  <c r="G103" i="17"/>
  <c r="M282" i="17"/>
  <c r="Y139" i="28"/>
  <c r="J139" i="32"/>
  <c r="K139" i="32"/>
  <c r="L139" i="32"/>
  <c r="AA139" i="32"/>
  <c r="G58" i="32"/>
  <c r="G63" i="32"/>
  <c r="G71" i="32"/>
  <c r="G81" i="32"/>
  <c r="M157" i="32"/>
  <c r="C79" i="17"/>
  <c r="I139" i="17"/>
  <c r="X139" i="17"/>
  <c r="D58" i="17"/>
  <c r="D63" i="17"/>
  <c r="D71" i="17"/>
  <c r="D100" i="17"/>
  <c r="J263" i="17"/>
  <c r="K263" i="17"/>
  <c r="L263" i="17"/>
  <c r="C102" i="25"/>
  <c r="I264" i="25"/>
  <c r="C79" i="32"/>
  <c r="I139" i="32"/>
  <c r="X139" i="32"/>
  <c r="D58" i="32"/>
  <c r="D63" i="32"/>
  <c r="D71" i="32"/>
  <c r="D75" i="32"/>
  <c r="J121" i="32"/>
  <c r="C106" i="14"/>
  <c r="I299" i="14"/>
  <c r="C100" i="14"/>
  <c r="I262" i="14"/>
  <c r="J262" i="14"/>
  <c r="K262" i="14"/>
  <c r="C79" i="14"/>
  <c r="I139" i="14"/>
  <c r="J139" i="14"/>
  <c r="K139" i="14"/>
  <c r="Z139" i="14"/>
  <c r="F58" i="14"/>
  <c r="F23" i="14"/>
  <c r="F25" i="14"/>
  <c r="Y32" i="18"/>
  <c r="AX98" i="18"/>
  <c r="J139" i="28"/>
  <c r="K139" i="28"/>
  <c r="Z139" i="28"/>
  <c r="F58" i="28"/>
  <c r="F63" i="28"/>
  <c r="F71" i="28"/>
  <c r="F75" i="28"/>
  <c r="L123" i="28"/>
  <c r="J139" i="40"/>
  <c r="Y139" i="40"/>
  <c r="E58" i="40"/>
  <c r="E63" i="40"/>
  <c r="E71" i="40"/>
  <c r="E79" i="40"/>
  <c r="K141" i="40"/>
  <c r="C89" i="28"/>
  <c r="I204" i="28"/>
  <c r="J204" i="28"/>
  <c r="K204" i="28"/>
  <c r="C92" i="30"/>
  <c r="I215" i="30"/>
  <c r="J215" i="30"/>
  <c r="K215" i="30"/>
  <c r="C83" i="40"/>
  <c r="I167" i="40"/>
  <c r="W167" i="40"/>
  <c r="C58" i="40"/>
  <c r="C63" i="40"/>
  <c r="C71" i="40"/>
  <c r="C79" i="40"/>
  <c r="I139" i="40"/>
  <c r="J167" i="89"/>
  <c r="K167" i="89"/>
  <c r="L167" i="89"/>
  <c r="C75" i="28"/>
  <c r="I120" i="28"/>
  <c r="J120" i="28"/>
  <c r="D14" i="28"/>
  <c r="D13" i="28"/>
  <c r="D5" i="28"/>
  <c r="C100" i="30"/>
  <c r="I262" i="30"/>
  <c r="C80" i="30"/>
  <c r="I146" i="30"/>
  <c r="C93" i="30"/>
  <c r="I224" i="30"/>
  <c r="C79" i="89"/>
  <c r="I139" i="89"/>
  <c r="J139" i="89"/>
  <c r="K139" i="89"/>
  <c r="Z139" i="89"/>
  <c r="F58" i="89"/>
  <c r="F63" i="89"/>
  <c r="F71" i="89"/>
  <c r="F75" i="89"/>
  <c r="L123" i="89"/>
  <c r="T123" i="89"/>
  <c r="G60" i="89"/>
  <c r="W167" i="38"/>
  <c r="C58" i="38"/>
  <c r="C63" i="38"/>
  <c r="C71" i="38"/>
  <c r="C83" i="38"/>
  <c r="I167" i="38"/>
  <c r="C100" i="17"/>
  <c r="I262" i="17"/>
  <c r="C83" i="17"/>
  <c r="I167" i="17"/>
  <c r="W167" i="17"/>
  <c r="C58" i="17"/>
  <c r="C63" i="17"/>
  <c r="C71" i="17"/>
  <c r="C75" i="17"/>
  <c r="I120" i="17"/>
  <c r="C83" i="28"/>
  <c r="I167" i="28"/>
  <c r="W167" i="28"/>
  <c r="C58" i="28"/>
  <c r="C63" i="28"/>
  <c r="C71" i="28"/>
  <c r="C79" i="28"/>
  <c r="I139" i="28"/>
  <c r="C85" i="25"/>
  <c r="I169" i="25"/>
  <c r="W169" i="25"/>
  <c r="C60" i="25"/>
  <c r="C65" i="25"/>
  <c r="C73" i="25"/>
  <c r="C77" i="25"/>
  <c r="I122" i="25"/>
  <c r="C16" i="25"/>
  <c r="C15" i="25"/>
  <c r="C5" i="25"/>
  <c r="W167" i="32"/>
  <c r="C58" i="32"/>
  <c r="C63" i="32"/>
  <c r="C71" i="32"/>
  <c r="C83" i="32"/>
  <c r="I167" i="32"/>
  <c r="X139" i="30"/>
  <c r="D58" i="30"/>
  <c r="D63" i="30"/>
  <c r="D71" i="30"/>
  <c r="D89" i="30"/>
  <c r="J205" i="30"/>
  <c r="C79" i="30"/>
  <c r="I139" i="30"/>
  <c r="C83" i="23"/>
  <c r="I167" i="23"/>
  <c r="W167" i="23"/>
  <c r="C58" i="23"/>
  <c r="C63" i="23"/>
  <c r="C71" i="23"/>
  <c r="C106" i="23"/>
  <c r="I299" i="23"/>
  <c r="C83" i="30"/>
  <c r="I167" i="30"/>
  <c r="W167" i="30"/>
  <c r="C58" i="30"/>
  <c r="C63" i="30"/>
  <c r="C71" i="30"/>
  <c r="C75" i="30"/>
  <c r="I120" i="30"/>
  <c r="C63" i="14"/>
  <c r="C71" i="14"/>
  <c r="C83" i="14"/>
  <c r="I167" i="14"/>
  <c r="W167" i="14"/>
  <c r="C58" i="14"/>
  <c r="C63" i="89"/>
  <c r="C71" i="89"/>
  <c r="C83" i="89"/>
  <c r="I167" i="89"/>
  <c r="W167" i="89"/>
  <c r="C58" i="8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Francois Painchaud</author>
    <author>Ilona Mostipan</author>
  </authors>
  <commentList>
    <comment ref="D9" authorId="0" shapeId="0" xr:uid="{00000000-0006-0000-0100-000001000000}">
      <text>
        <r>
          <rPr>
            <b/>
            <sz val="12"/>
            <color indexed="81"/>
            <rFont val="Tahoma"/>
            <family val="2"/>
          </rPr>
          <t>If definition is not available in drop-down menu, please select 'other' and enter your definition in adjacent yellow cell (to the right).</t>
        </r>
      </text>
    </comment>
    <comment ref="B10" authorId="1" shapeId="0" xr:uid="{00000000-0006-0000-0100-000002000000}">
      <text>
        <r>
          <rPr>
            <sz val="12"/>
            <color indexed="81"/>
            <rFont val="Tahoma"/>
            <family val="2"/>
          </rPr>
          <t>If public sector coverage used in the framework includes public guarantees, select "Yes" and provide a description of the guarantees below.</t>
        </r>
      </text>
    </comment>
    <comment ref="B14" authorId="0" shapeId="0" xr:uid="{00000000-0006-0000-0100-000003000000}">
      <text>
        <r>
          <rPr>
            <sz val="12"/>
            <color indexed="81"/>
            <rFont val="Tahoma"/>
            <family val="2"/>
          </rPr>
          <t xml:space="preserve">The standard DSA is always presented on a </t>
        </r>
        <r>
          <rPr>
            <u/>
            <sz val="12"/>
            <color indexed="81"/>
            <rFont val="Tahoma"/>
            <family val="2"/>
          </rPr>
          <t>gross basis</t>
        </r>
        <r>
          <rPr>
            <sz val="12"/>
            <color indexed="81"/>
            <rFont val="Tahoma"/>
            <family val="2"/>
          </rPr>
          <t xml:space="preserve">. When the DSA is done for gross debt, the earnings on assets should be included in revenues, i.e., the fiscal projections for primary balance exclude interest payments from total expenditure, but include return on assets in total revenue.
If users select the use of complementary analysis for </t>
        </r>
        <r>
          <rPr>
            <u/>
            <sz val="12"/>
            <color indexed="81"/>
            <rFont val="Tahoma"/>
            <family val="2"/>
          </rPr>
          <t>net debt</t>
        </r>
        <r>
          <rPr>
            <sz val="12"/>
            <color indexed="81"/>
            <rFont val="Tahoma"/>
            <family val="2"/>
          </rPr>
          <t xml:space="preserve"> on this sheet, the DSA presents the evolution of net debt in: (i) the basic DSA table in “Output - Basic1,” and (ii) the basic DSA debt-to-GDP graph in “Output - Basic2”. However, the rest of the DSA remains unchanged and presents the results in terms of gross debt (stress tests and the risk assessment will be conducted based on gross debt).   
Users may opt to present the basic DSA and the stress tests on a net basis in addition to the standard presentation on a gross basis (which may include the evolution of net debt as discussed in the paragraph above). To implement this, users should prepare a second template populated with net debt instead of gross debt in "Input 3 - Debt and Banking".  In this case, however, revenues should exclude interest earnings, i.e., the fiscal projections for primary balance exclude interest payments from total expenditure, and excludes return on assets from total revenue.</t>
        </r>
        <r>
          <rPr>
            <sz val="9"/>
            <color indexed="81"/>
            <rFont val="Tahoma"/>
            <family val="2"/>
          </rPr>
          <t xml:space="preserve">
</t>
        </r>
      </text>
    </comment>
    <comment ref="B15" authorId="1" shapeId="0" xr:uid="{00000000-0006-0000-0100-000004000000}">
      <text>
        <r>
          <rPr>
            <sz val="12"/>
            <color indexed="81"/>
            <rFont val="Tahoma"/>
            <family val="2"/>
          </rPr>
          <t>The standard DSA is always presented on a basis of debt to GDP. If the output gap is expected to remain sizeable at the end of the projection period—for example, for countries undertaking multi-year fiscal adjustments—users may wish to use complementary analysis for debt to potential GDP to show an underlying debt path.
If users select the use of complementary analysis for debt to potential GDP, the DSA presents the evolution of debt to potential GDP in: (i) the basic DSA table in "Output - Basic1", and (ii) the basic DSA debt-to-GDP graph in "Output - Basic2". However, the rest of the DSA remains unchanged and presents the results in terms of debt to actual GDP.     
Users may opt to present the basic DSA and the stress tests on a potential GDP basis in addition to the standard presentation. To implement this, users should prepare a second template populated with potential GDP instead of GDP in "Input 2 - Data".</t>
        </r>
      </text>
    </comment>
    <comment ref="A19" authorId="1" shapeId="0" xr:uid="{00000000-0006-0000-0100-000005000000}">
      <text>
        <r>
          <rPr>
            <sz val="11"/>
            <color indexed="81"/>
            <rFont val="Tahoma"/>
            <family val="2"/>
          </rPr>
          <t>Used for the real exchange rate shock in "Input 5 - Scenario Design."</t>
        </r>
      </text>
    </comment>
    <comment ref="A21" authorId="1" shapeId="0" xr:uid="{00000000-0006-0000-0100-000006000000}">
      <text>
        <r>
          <rPr>
            <sz val="11"/>
            <color indexed="81"/>
            <rFont val="Tahoma"/>
            <family val="2"/>
          </rPr>
          <t>If the country is not rated, please leave this section blank. This is for information only, and presented in "Output - Basic1".</t>
        </r>
      </text>
    </comment>
    <comment ref="A31" authorId="1" shapeId="0" xr:uid="{00000000-0006-0000-0100-000007000000}">
      <text>
        <r>
          <rPr>
            <sz val="11"/>
            <color indexed="81"/>
            <rFont val="Tahoma"/>
            <family val="2"/>
          </rPr>
          <t>Presented for information only, in "Output - Basic1".</t>
        </r>
      </text>
    </comment>
    <comment ref="A36" authorId="1" shapeId="0" xr:uid="{00000000-0006-0000-0100-000008000000}">
      <text>
        <r>
          <rPr>
            <sz val="11"/>
            <color indexed="81"/>
            <rFont val="Tahoma"/>
            <family val="2"/>
          </rPr>
          <t>Used in the Debt Profile Vulnerabilities Module for Higher Scrutiny countries. Presented in "Output - Heat Map".</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Haitham Jendoubi</author>
    <author>Francois Painchaud</author>
  </authors>
  <commentList>
    <comment ref="A58" authorId="0" shapeId="0" xr:uid="{00000000-0006-0000-1200-000001000000}">
      <text>
        <r>
          <rPr>
            <sz val="9"/>
            <color indexed="81"/>
            <rFont val="Tahoma"/>
            <family val="2"/>
          </rPr>
          <t>Includes sum of interest payments on new LC debt in year of issuance in baseline scenario to compensate for omission of these interest payments in the current sheet.</t>
        </r>
      </text>
    </comment>
    <comment ref="A59" authorId="0" shapeId="0" xr:uid="{00000000-0006-0000-1200-000002000000}">
      <text>
        <r>
          <rPr>
            <sz val="9"/>
            <color indexed="81"/>
            <rFont val="Tahoma"/>
            <family val="2"/>
          </rPr>
          <t>Includes sum of interest payments on new FC debt in year of issuance in baseline scenario to compensate for omission of these interest payments in the current sheet.</t>
        </r>
      </text>
    </comment>
    <comment ref="V119" authorId="0" shapeId="0" xr:uid="{00000000-0006-0000-1200-00000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20" authorId="1" shapeId="0" xr:uid="{00000000-0006-0000-1200-00000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21" authorId="1" shapeId="0" xr:uid="{00000000-0006-0000-1200-00000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22" authorId="1" shapeId="0" xr:uid="{00000000-0006-0000-1200-00000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23" authorId="1" shapeId="0" xr:uid="{00000000-0006-0000-1200-00000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24" authorId="1" shapeId="0" xr:uid="{00000000-0006-0000-1200-00000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28" authorId="0" shapeId="0" xr:uid="{00000000-0006-0000-1200-00000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29" authorId="1" shapeId="0" xr:uid="{00000000-0006-0000-1200-00000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30" authorId="1" shapeId="0" xr:uid="{00000000-0006-0000-1200-00000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31" authorId="1" shapeId="0" xr:uid="{00000000-0006-0000-1200-00000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32" authorId="1" shapeId="0" xr:uid="{00000000-0006-0000-1200-00000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33" authorId="1" shapeId="0" xr:uid="{00000000-0006-0000-1200-00000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38" authorId="0" shapeId="0" xr:uid="{00000000-0006-0000-1200-00000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39" authorId="1" shapeId="0" xr:uid="{00000000-0006-0000-1200-00001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40" authorId="1" shapeId="0" xr:uid="{00000000-0006-0000-1200-00001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41" authorId="1" shapeId="0" xr:uid="{00000000-0006-0000-1200-00001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42" authorId="1" shapeId="0" xr:uid="{00000000-0006-0000-1200-00001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43" authorId="1" shapeId="0" xr:uid="{00000000-0006-0000-1200-00001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45" authorId="0" shapeId="0" xr:uid="{00000000-0006-0000-1200-00001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46" authorId="1" shapeId="0" xr:uid="{00000000-0006-0000-1200-00001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47" authorId="1" shapeId="0" xr:uid="{00000000-0006-0000-1200-00001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48" authorId="1" shapeId="0" xr:uid="{00000000-0006-0000-1200-00001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49" authorId="1" shapeId="0" xr:uid="{00000000-0006-0000-1200-00001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50" authorId="1" shapeId="0" xr:uid="{00000000-0006-0000-1200-00001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52" authorId="0" shapeId="0" xr:uid="{00000000-0006-0000-1200-00001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53" authorId="1" shapeId="0" xr:uid="{00000000-0006-0000-1200-00001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54" authorId="1" shapeId="0" xr:uid="{00000000-0006-0000-1200-00001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55" authorId="1" shapeId="0" xr:uid="{00000000-0006-0000-1200-00001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56" authorId="1" shapeId="0" xr:uid="{00000000-0006-0000-1200-00001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57" authorId="1" shapeId="0" xr:uid="{00000000-0006-0000-1200-00002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59" authorId="0" shapeId="0" xr:uid="{00000000-0006-0000-1200-00002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60" authorId="1" shapeId="0" xr:uid="{00000000-0006-0000-1200-00002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61" authorId="1" shapeId="0" xr:uid="{00000000-0006-0000-1200-00002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62" authorId="1" shapeId="0" xr:uid="{00000000-0006-0000-1200-00002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63" authorId="1" shapeId="0" xr:uid="{00000000-0006-0000-1200-00002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64" authorId="1" shapeId="0" xr:uid="{00000000-0006-0000-1200-00002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75" authorId="0" shapeId="0" xr:uid="{00000000-0006-0000-1200-00002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76" authorId="1" shapeId="0" xr:uid="{00000000-0006-0000-1200-00002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77" authorId="1" shapeId="0" xr:uid="{00000000-0006-0000-1200-00002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78" authorId="1" shapeId="0" xr:uid="{00000000-0006-0000-1200-00002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79" authorId="1" shapeId="0" xr:uid="{00000000-0006-0000-1200-00002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80" authorId="1" shapeId="0" xr:uid="{00000000-0006-0000-1200-00002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82" authorId="0" shapeId="0" xr:uid="{00000000-0006-0000-1200-00002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83" authorId="1" shapeId="0" xr:uid="{00000000-0006-0000-1200-00002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84" authorId="1" shapeId="0" xr:uid="{00000000-0006-0000-1200-00002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85" authorId="1" shapeId="0" xr:uid="{00000000-0006-0000-1200-00003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86" authorId="1" shapeId="0" xr:uid="{00000000-0006-0000-1200-00003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87" authorId="1" shapeId="0" xr:uid="{00000000-0006-0000-1200-00003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89" authorId="0" shapeId="0" xr:uid="{00000000-0006-0000-1200-00003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90" authorId="1" shapeId="0" xr:uid="{00000000-0006-0000-1200-00003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91" authorId="1" shapeId="0" xr:uid="{00000000-0006-0000-1200-00003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92" authorId="1" shapeId="0" xr:uid="{00000000-0006-0000-1200-00003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93" authorId="1" shapeId="0" xr:uid="{00000000-0006-0000-1200-00003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94" authorId="1" shapeId="0" xr:uid="{00000000-0006-0000-1200-00003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96" authorId="0" shapeId="0" xr:uid="{00000000-0006-0000-1200-00003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97" authorId="1" shapeId="0" xr:uid="{00000000-0006-0000-1200-00003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98" authorId="1" shapeId="0" xr:uid="{00000000-0006-0000-1200-00003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99" authorId="1" shapeId="0" xr:uid="{00000000-0006-0000-1200-00003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00" authorId="1" shapeId="0" xr:uid="{00000000-0006-0000-1200-00003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01" authorId="1" shapeId="0" xr:uid="{00000000-0006-0000-1200-00003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14" authorId="0" shapeId="0" xr:uid="{00000000-0006-0000-1200-00003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15" authorId="1" shapeId="0" xr:uid="{00000000-0006-0000-1200-00004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16" authorId="1" shapeId="0" xr:uid="{00000000-0006-0000-1200-00004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17" authorId="1" shapeId="0" xr:uid="{00000000-0006-0000-1200-00004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18" authorId="1" shapeId="0" xr:uid="{00000000-0006-0000-1200-00004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19" authorId="1" shapeId="0" xr:uid="{00000000-0006-0000-1200-00004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23" authorId="0" shapeId="0" xr:uid="{00000000-0006-0000-1200-00004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24" authorId="1" shapeId="0" xr:uid="{00000000-0006-0000-1200-00004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25" authorId="1" shapeId="0" xr:uid="{00000000-0006-0000-1200-00004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26" authorId="1" shapeId="0" xr:uid="{00000000-0006-0000-1200-00004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27" authorId="1" shapeId="0" xr:uid="{00000000-0006-0000-1200-00004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28" authorId="1" shapeId="0" xr:uid="{00000000-0006-0000-1200-00004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33" authorId="0" shapeId="0" xr:uid="{00000000-0006-0000-1200-00004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34" authorId="1" shapeId="0" xr:uid="{00000000-0006-0000-1200-00004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35" authorId="1" shapeId="0" xr:uid="{00000000-0006-0000-1200-00004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36" authorId="1" shapeId="0" xr:uid="{00000000-0006-0000-1200-00004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37" authorId="1" shapeId="0" xr:uid="{00000000-0006-0000-1200-00004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38" authorId="1" shapeId="0" xr:uid="{00000000-0006-0000-1200-00005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40" authorId="0" shapeId="0" xr:uid="{00000000-0006-0000-1200-00005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41" authorId="1" shapeId="0" xr:uid="{00000000-0006-0000-1200-00005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42" authorId="1" shapeId="0" xr:uid="{00000000-0006-0000-1200-00005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43" authorId="1" shapeId="0" xr:uid="{00000000-0006-0000-1200-00005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44" authorId="1" shapeId="0" xr:uid="{00000000-0006-0000-1200-00005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45" authorId="1" shapeId="0" xr:uid="{00000000-0006-0000-1200-00005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47" authorId="0" shapeId="0" xr:uid="{00000000-0006-0000-1200-00005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48" authorId="1" shapeId="0" xr:uid="{00000000-0006-0000-1200-00005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49" authorId="1" shapeId="0" xr:uid="{00000000-0006-0000-1200-00005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50" authorId="1" shapeId="0" xr:uid="{00000000-0006-0000-1200-00005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51" authorId="1" shapeId="0" xr:uid="{00000000-0006-0000-1200-00005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52" authorId="1" shapeId="0" xr:uid="{00000000-0006-0000-1200-00005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54" authorId="0" shapeId="0" xr:uid="{00000000-0006-0000-1200-00005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55" authorId="1" shapeId="0" xr:uid="{00000000-0006-0000-1200-00005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56" authorId="1" shapeId="0" xr:uid="{00000000-0006-0000-1200-00005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57" authorId="1" shapeId="0" xr:uid="{00000000-0006-0000-1200-00006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58" authorId="1" shapeId="0" xr:uid="{00000000-0006-0000-1200-00006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59" authorId="1" shapeId="0" xr:uid="{00000000-0006-0000-1200-00006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70" authorId="0" shapeId="0" xr:uid="{00000000-0006-0000-1200-00006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71" authorId="1" shapeId="0" xr:uid="{00000000-0006-0000-1200-00006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72" authorId="1" shapeId="0" xr:uid="{00000000-0006-0000-1200-00006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73" authorId="1" shapeId="0" xr:uid="{00000000-0006-0000-1200-00006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74" authorId="1" shapeId="0" xr:uid="{00000000-0006-0000-1200-00006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75" authorId="1" shapeId="0" xr:uid="{00000000-0006-0000-1200-00006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77" authorId="0" shapeId="0" xr:uid="{00000000-0006-0000-1200-00006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78" authorId="1" shapeId="0" xr:uid="{00000000-0006-0000-1200-00006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79" authorId="1" shapeId="0" xr:uid="{00000000-0006-0000-1200-00006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80" authorId="1" shapeId="0" xr:uid="{00000000-0006-0000-1200-00006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81" authorId="1" shapeId="0" xr:uid="{00000000-0006-0000-1200-00006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82" authorId="1" shapeId="0" xr:uid="{00000000-0006-0000-1200-00006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84" authorId="0" shapeId="0" xr:uid="{00000000-0006-0000-1200-00006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85" authorId="1" shapeId="0" xr:uid="{00000000-0006-0000-1200-00007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86" authorId="1" shapeId="0" xr:uid="{00000000-0006-0000-1200-00007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87" authorId="1" shapeId="0" xr:uid="{00000000-0006-0000-1200-00007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88" authorId="1" shapeId="0" xr:uid="{00000000-0006-0000-1200-00007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89" authorId="1" shapeId="0" xr:uid="{00000000-0006-0000-1200-00007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91" authorId="0" shapeId="0" xr:uid="{00000000-0006-0000-1200-00007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92" authorId="1" shapeId="0" xr:uid="{00000000-0006-0000-1200-00007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93" authorId="1" shapeId="0" xr:uid="{00000000-0006-0000-1200-00007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94" authorId="1" shapeId="0" xr:uid="{00000000-0006-0000-1200-00007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95" authorId="1" shapeId="0" xr:uid="{00000000-0006-0000-1200-00007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96" authorId="1" shapeId="0" xr:uid="{00000000-0006-0000-1200-00007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307" authorId="1" shapeId="0" xr:uid="{00000000-0006-0000-1200-00007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308" authorId="1" shapeId="0" xr:uid="{00000000-0006-0000-1200-00007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309" authorId="1" shapeId="0" xr:uid="{00000000-0006-0000-1200-00007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310" authorId="1" shapeId="0" xr:uid="{00000000-0006-0000-1200-00007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311" authorId="1" shapeId="0" xr:uid="{00000000-0006-0000-1200-00007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312" authorId="1" shapeId="0" xr:uid="{00000000-0006-0000-1200-00008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Haitham Jendoubi</author>
    <author>Francois Painchaud</author>
  </authors>
  <commentList>
    <comment ref="A58" authorId="0" shapeId="0" xr:uid="{00000000-0006-0000-1300-000001000000}">
      <text>
        <r>
          <rPr>
            <sz val="9"/>
            <color indexed="81"/>
            <rFont val="Tahoma"/>
            <family val="2"/>
          </rPr>
          <t>Includes sum of interest payments on new LC debt in year of issuance in baseline scenario to compensate for omission of these interest payments in the current sheet.</t>
        </r>
      </text>
    </comment>
    <comment ref="A59" authorId="0" shapeId="0" xr:uid="{00000000-0006-0000-1300-000002000000}">
      <text>
        <r>
          <rPr>
            <sz val="9"/>
            <color indexed="81"/>
            <rFont val="Tahoma"/>
            <family val="2"/>
          </rPr>
          <t>Includes sum of interest payments on new FC debt in year of issuance in baseline scenario to compensate for omission of these interest payments in the current sheet.</t>
        </r>
      </text>
    </comment>
    <comment ref="V119" authorId="0" shapeId="0" xr:uid="{00000000-0006-0000-1300-00000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20" authorId="1" shapeId="0" xr:uid="{00000000-0006-0000-1300-00000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21" authorId="1" shapeId="0" xr:uid="{00000000-0006-0000-1300-00000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22" authorId="1" shapeId="0" xr:uid="{00000000-0006-0000-1300-00000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23" authorId="1" shapeId="0" xr:uid="{00000000-0006-0000-1300-00000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24" authorId="1" shapeId="0" xr:uid="{00000000-0006-0000-1300-00000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28" authorId="1" shapeId="0" xr:uid="{00000000-0006-0000-1300-00000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29" authorId="1" shapeId="0" xr:uid="{00000000-0006-0000-1300-00000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30" authorId="1" shapeId="0" xr:uid="{00000000-0006-0000-1300-00000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31" authorId="1" shapeId="0" xr:uid="{00000000-0006-0000-1300-00000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32" authorId="1" shapeId="0" xr:uid="{00000000-0006-0000-1300-00000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33" authorId="1" shapeId="0" xr:uid="{00000000-0006-0000-1300-00000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38" authorId="1" shapeId="0" xr:uid="{00000000-0006-0000-1300-00000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39" authorId="1" shapeId="0" xr:uid="{00000000-0006-0000-1300-00001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40" authorId="1" shapeId="0" xr:uid="{00000000-0006-0000-1300-00001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41" authorId="1" shapeId="0" xr:uid="{00000000-0006-0000-1300-00001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42" authorId="1" shapeId="0" xr:uid="{00000000-0006-0000-1300-00001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43" authorId="1" shapeId="0" xr:uid="{00000000-0006-0000-1300-00001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45" authorId="1" shapeId="0" xr:uid="{00000000-0006-0000-1300-00001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46" authorId="1" shapeId="0" xr:uid="{00000000-0006-0000-1300-00001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47" authorId="1" shapeId="0" xr:uid="{00000000-0006-0000-1300-00001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48" authorId="1" shapeId="0" xr:uid="{00000000-0006-0000-1300-00001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49" authorId="1" shapeId="0" xr:uid="{00000000-0006-0000-1300-00001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50" authorId="1" shapeId="0" xr:uid="{00000000-0006-0000-1300-00001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52" authorId="1" shapeId="0" xr:uid="{00000000-0006-0000-1300-00001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53" authorId="1" shapeId="0" xr:uid="{00000000-0006-0000-1300-00001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54" authorId="1" shapeId="0" xr:uid="{00000000-0006-0000-1300-00001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55" authorId="1" shapeId="0" xr:uid="{00000000-0006-0000-1300-00001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56" authorId="1" shapeId="0" xr:uid="{00000000-0006-0000-1300-00001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57" authorId="1" shapeId="0" xr:uid="{00000000-0006-0000-1300-00002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59" authorId="1" shapeId="0" xr:uid="{00000000-0006-0000-1300-00002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60" authorId="1" shapeId="0" xr:uid="{00000000-0006-0000-1300-00002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61" authorId="1" shapeId="0" xr:uid="{00000000-0006-0000-1300-00002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62" authorId="1" shapeId="0" xr:uid="{00000000-0006-0000-1300-00002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63" authorId="1" shapeId="0" xr:uid="{00000000-0006-0000-1300-00002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64" authorId="1" shapeId="0" xr:uid="{00000000-0006-0000-1300-00002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75" authorId="1" shapeId="0" xr:uid="{00000000-0006-0000-1300-00002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76" authorId="1" shapeId="0" xr:uid="{00000000-0006-0000-1300-00002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77" authorId="1" shapeId="0" xr:uid="{00000000-0006-0000-1300-00002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78" authorId="1" shapeId="0" xr:uid="{00000000-0006-0000-1300-00002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79" authorId="1" shapeId="0" xr:uid="{00000000-0006-0000-1300-00002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80" authorId="1" shapeId="0" xr:uid="{00000000-0006-0000-1300-00002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82" authorId="1" shapeId="0" xr:uid="{00000000-0006-0000-1300-00002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83" authorId="1" shapeId="0" xr:uid="{00000000-0006-0000-1300-00002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84" authorId="1" shapeId="0" xr:uid="{00000000-0006-0000-1300-00002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85" authorId="1" shapeId="0" xr:uid="{00000000-0006-0000-1300-00003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86" authorId="1" shapeId="0" xr:uid="{00000000-0006-0000-1300-00003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87" authorId="1" shapeId="0" xr:uid="{00000000-0006-0000-1300-00003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89" authorId="1" shapeId="0" xr:uid="{00000000-0006-0000-1300-00003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90" authorId="1" shapeId="0" xr:uid="{00000000-0006-0000-1300-00003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91" authorId="1" shapeId="0" xr:uid="{00000000-0006-0000-1300-00003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92" authorId="1" shapeId="0" xr:uid="{00000000-0006-0000-1300-00003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93" authorId="1" shapeId="0" xr:uid="{00000000-0006-0000-1300-00003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94" authorId="1" shapeId="0" xr:uid="{00000000-0006-0000-1300-00003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96" authorId="1" shapeId="0" xr:uid="{00000000-0006-0000-1300-00003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97" authorId="1" shapeId="0" xr:uid="{00000000-0006-0000-1300-00003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98" authorId="1" shapeId="0" xr:uid="{00000000-0006-0000-1300-00003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99" authorId="1" shapeId="0" xr:uid="{00000000-0006-0000-1300-00003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00" authorId="1" shapeId="0" xr:uid="{00000000-0006-0000-1300-00003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01" authorId="1" shapeId="0" xr:uid="{00000000-0006-0000-1300-00003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14" authorId="1" shapeId="0" xr:uid="{00000000-0006-0000-1300-00003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15" authorId="1" shapeId="0" xr:uid="{00000000-0006-0000-1300-00004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16" authorId="1" shapeId="0" xr:uid="{00000000-0006-0000-1300-00004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17" authorId="1" shapeId="0" xr:uid="{00000000-0006-0000-1300-00004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18" authorId="1" shapeId="0" xr:uid="{00000000-0006-0000-1300-00004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19" authorId="1" shapeId="0" xr:uid="{00000000-0006-0000-1300-00004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23" authorId="1" shapeId="0" xr:uid="{00000000-0006-0000-1300-00004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24" authorId="1" shapeId="0" xr:uid="{00000000-0006-0000-1300-00004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25" authorId="1" shapeId="0" xr:uid="{00000000-0006-0000-1300-00004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26" authorId="1" shapeId="0" xr:uid="{00000000-0006-0000-1300-00004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27" authorId="1" shapeId="0" xr:uid="{00000000-0006-0000-1300-00004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28" authorId="1" shapeId="0" xr:uid="{00000000-0006-0000-1300-00004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33" authorId="1" shapeId="0" xr:uid="{00000000-0006-0000-1300-00004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34" authorId="1" shapeId="0" xr:uid="{00000000-0006-0000-1300-00004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35" authorId="1" shapeId="0" xr:uid="{00000000-0006-0000-1300-00004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36" authorId="1" shapeId="0" xr:uid="{00000000-0006-0000-1300-00004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37" authorId="1" shapeId="0" xr:uid="{00000000-0006-0000-1300-00004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38" authorId="1" shapeId="0" xr:uid="{00000000-0006-0000-1300-00005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40" authorId="1" shapeId="0" xr:uid="{00000000-0006-0000-1300-00005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41" authorId="1" shapeId="0" xr:uid="{00000000-0006-0000-1300-00005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42" authorId="1" shapeId="0" xr:uid="{00000000-0006-0000-1300-00005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43" authorId="1" shapeId="0" xr:uid="{00000000-0006-0000-1300-00005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44" authorId="1" shapeId="0" xr:uid="{00000000-0006-0000-1300-00005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45" authorId="1" shapeId="0" xr:uid="{00000000-0006-0000-1300-00005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47" authorId="1" shapeId="0" xr:uid="{00000000-0006-0000-1300-00005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48" authorId="1" shapeId="0" xr:uid="{00000000-0006-0000-1300-00005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49" authorId="1" shapeId="0" xr:uid="{00000000-0006-0000-1300-00005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50" authorId="1" shapeId="0" xr:uid="{00000000-0006-0000-1300-00005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51" authorId="1" shapeId="0" xr:uid="{00000000-0006-0000-1300-00005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52" authorId="1" shapeId="0" xr:uid="{00000000-0006-0000-1300-00005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54" authorId="1" shapeId="0" xr:uid="{00000000-0006-0000-1300-00005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55" authorId="1" shapeId="0" xr:uid="{00000000-0006-0000-1300-00005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56" authorId="1" shapeId="0" xr:uid="{00000000-0006-0000-1300-00005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57" authorId="1" shapeId="0" xr:uid="{00000000-0006-0000-1300-00006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58" authorId="1" shapeId="0" xr:uid="{00000000-0006-0000-1300-00006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59" authorId="1" shapeId="0" xr:uid="{00000000-0006-0000-1300-00006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70" authorId="1" shapeId="0" xr:uid="{00000000-0006-0000-1300-00006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71" authorId="1" shapeId="0" xr:uid="{00000000-0006-0000-1300-00006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72" authorId="1" shapeId="0" xr:uid="{00000000-0006-0000-1300-00006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73" authorId="1" shapeId="0" xr:uid="{00000000-0006-0000-1300-00006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74" authorId="1" shapeId="0" xr:uid="{00000000-0006-0000-1300-00006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75" authorId="1" shapeId="0" xr:uid="{00000000-0006-0000-1300-00006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77" authorId="1" shapeId="0" xr:uid="{00000000-0006-0000-1300-00006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78" authorId="1" shapeId="0" xr:uid="{00000000-0006-0000-1300-00006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79" authorId="1" shapeId="0" xr:uid="{00000000-0006-0000-1300-00006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80" authorId="1" shapeId="0" xr:uid="{00000000-0006-0000-1300-00006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81" authorId="1" shapeId="0" xr:uid="{00000000-0006-0000-1300-00006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82" authorId="1" shapeId="0" xr:uid="{00000000-0006-0000-1300-00006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84" authorId="1" shapeId="0" xr:uid="{00000000-0006-0000-1300-00006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85" authorId="1" shapeId="0" xr:uid="{00000000-0006-0000-1300-00007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86" authorId="1" shapeId="0" xr:uid="{00000000-0006-0000-1300-00007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87" authorId="1" shapeId="0" xr:uid="{00000000-0006-0000-1300-00007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88" authorId="1" shapeId="0" xr:uid="{00000000-0006-0000-1300-00007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89" authorId="1" shapeId="0" xr:uid="{00000000-0006-0000-1300-00007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91" authorId="1" shapeId="0" xr:uid="{00000000-0006-0000-1300-00007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92" authorId="1" shapeId="0" xr:uid="{00000000-0006-0000-1300-00007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93" authorId="1" shapeId="0" xr:uid="{00000000-0006-0000-1300-00007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94" authorId="1" shapeId="0" xr:uid="{00000000-0006-0000-1300-00007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95" authorId="1" shapeId="0" xr:uid="{00000000-0006-0000-1300-00007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96" authorId="1" shapeId="0" xr:uid="{00000000-0006-0000-1300-00007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307" authorId="1" shapeId="0" xr:uid="{00000000-0006-0000-1300-00007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308" authorId="1" shapeId="0" xr:uid="{00000000-0006-0000-1300-00007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309" authorId="1" shapeId="0" xr:uid="{00000000-0006-0000-1300-00007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310" authorId="1" shapeId="0" xr:uid="{00000000-0006-0000-1300-00007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311" authorId="1" shapeId="0" xr:uid="{00000000-0006-0000-1300-00007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312" authorId="1" shapeId="0" xr:uid="{00000000-0006-0000-1300-00008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Haitham Jendoubi</author>
    <author>Francois Painchaud</author>
  </authors>
  <commentList>
    <comment ref="A58" authorId="0" shapeId="0" xr:uid="{00000000-0006-0000-1400-000001000000}">
      <text>
        <r>
          <rPr>
            <sz val="9"/>
            <color indexed="81"/>
            <rFont val="Tahoma"/>
            <family val="2"/>
          </rPr>
          <t>Includes sum of interest payments on new LC debt in year of issuance in baseline scenario to compensate for omission of these interest payments in the current sheet.</t>
        </r>
      </text>
    </comment>
    <comment ref="A59" authorId="0" shapeId="0" xr:uid="{00000000-0006-0000-1400-000002000000}">
      <text>
        <r>
          <rPr>
            <sz val="9"/>
            <color indexed="81"/>
            <rFont val="Tahoma"/>
            <family val="2"/>
          </rPr>
          <t>Includes sum of interest payments on new FC debt in year of issuance in baseline scenario to compensate for omission of these interest payments in the current sheet.</t>
        </r>
      </text>
    </comment>
    <comment ref="V119" authorId="0" shapeId="0" xr:uid="{00000000-0006-0000-1400-00000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20" authorId="1" shapeId="0" xr:uid="{00000000-0006-0000-1400-00000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21" authorId="1" shapeId="0" xr:uid="{00000000-0006-0000-1400-00000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22" authorId="1" shapeId="0" xr:uid="{00000000-0006-0000-1400-00000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23" authorId="1" shapeId="0" xr:uid="{00000000-0006-0000-1400-00000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24" authorId="1" shapeId="0" xr:uid="{00000000-0006-0000-1400-00000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28" authorId="0" shapeId="0" xr:uid="{00000000-0006-0000-1400-00000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29" authorId="1" shapeId="0" xr:uid="{00000000-0006-0000-1400-00000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30" authorId="1" shapeId="0" xr:uid="{00000000-0006-0000-1400-00000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31" authorId="1" shapeId="0" xr:uid="{00000000-0006-0000-1400-00000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32" authorId="1" shapeId="0" xr:uid="{00000000-0006-0000-1400-00000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33" authorId="1" shapeId="0" xr:uid="{00000000-0006-0000-1400-00000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38" authorId="0" shapeId="0" xr:uid="{00000000-0006-0000-1400-00000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39" authorId="1" shapeId="0" xr:uid="{00000000-0006-0000-1400-00001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40" authorId="1" shapeId="0" xr:uid="{00000000-0006-0000-1400-00001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41" authorId="1" shapeId="0" xr:uid="{00000000-0006-0000-1400-00001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42" authorId="1" shapeId="0" xr:uid="{00000000-0006-0000-1400-00001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43" authorId="1" shapeId="0" xr:uid="{00000000-0006-0000-1400-00001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45" authorId="0" shapeId="0" xr:uid="{00000000-0006-0000-1400-00001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46" authorId="1" shapeId="0" xr:uid="{00000000-0006-0000-1400-00001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47" authorId="1" shapeId="0" xr:uid="{00000000-0006-0000-1400-00001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48" authorId="1" shapeId="0" xr:uid="{00000000-0006-0000-1400-00001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49" authorId="1" shapeId="0" xr:uid="{00000000-0006-0000-1400-00001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50" authorId="1" shapeId="0" xr:uid="{00000000-0006-0000-1400-00001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52" authorId="0" shapeId="0" xr:uid="{00000000-0006-0000-1400-00001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53" authorId="1" shapeId="0" xr:uid="{00000000-0006-0000-1400-00001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54" authorId="1" shapeId="0" xr:uid="{00000000-0006-0000-1400-00001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55" authorId="1" shapeId="0" xr:uid="{00000000-0006-0000-1400-00001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56" authorId="1" shapeId="0" xr:uid="{00000000-0006-0000-1400-00001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57" authorId="1" shapeId="0" xr:uid="{00000000-0006-0000-1400-00002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59" authorId="0" shapeId="0" xr:uid="{00000000-0006-0000-1400-00002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60" authorId="1" shapeId="0" xr:uid="{00000000-0006-0000-1400-00002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61" authorId="1" shapeId="0" xr:uid="{00000000-0006-0000-1400-00002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62" authorId="1" shapeId="0" xr:uid="{00000000-0006-0000-1400-00002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63" authorId="1" shapeId="0" xr:uid="{00000000-0006-0000-1400-00002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64" authorId="1" shapeId="0" xr:uid="{00000000-0006-0000-1400-00002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75" authorId="0" shapeId="0" xr:uid="{00000000-0006-0000-1400-00002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76" authorId="1" shapeId="0" xr:uid="{00000000-0006-0000-1400-00002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77" authorId="1" shapeId="0" xr:uid="{00000000-0006-0000-1400-00002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78" authorId="1" shapeId="0" xr:uid="{00000000-0006-0000-1400-00002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79" authorId="1" shapeId="0" xr:uid="{00000000-0006-0000-1400-00002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80" authorId="1" shapeId="0" xr:uid="{00000000-0006-0000-1400-00002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82" authorId="0" shapeId="0" xr:uid="{00000000-0006-0000-1400-00002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83" authorId="1" shapeId="0" xr:uid="{00000000-0006-0000-1400-00002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84" authorId="1" shapeId="0" xr:uid="{00000000-0006-0000-1400-00002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85" authorId="1" shapeId="0" xr:uid="{00000000-0006-0000-1400-00003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86" authorId="1" shapeId="0" xr:uid="{00000000-0006-0000-1400-00003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87" authorId="1" shapeId="0" xr:uid="{00000000-0006-0000-1400-00003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89" authorId="0" shapeId="0" xr:uid="{00000000-0006-0000-1400-00003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90" authorId="1" shapeId="0" xr:uid="{00000000-0006-0000-1400-00003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91" authorId="1" shapeId="0" xr:uid="{00000000-0006-0000-1400-00003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92" authorId="1" shapeId="0" xr:uid="{00000000-0006-0000-1400-00003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93" authorId="1" shapeId="0" xr:uid="{00000000-0006-0000-1400-00003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94" authorId="1" shapeId="0" xr:uid="{00000000-0006-0000-1400-00003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96" authorId="0" shapeId="0" xr:uid="{00000000-0006-0000-1400-00003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97" authorId="1" shapeId="0" xr:uid="{00000000-0006-0000-1400-00003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98" authorId="1" shapeId="0" xr:uid="{00000000-0006-0000-1400-00003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99" authorId="1" shapeId="0" xr:uid="{00000000-0006-0000-1400-00003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00" authorId="1" shapeId="0" xr:uid="{00000000-0006-0000-1400-00003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01" authorId="1" shapeId="0" xr:uid="{00000000-0006-0000-1400-00003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14" authorId="0" shapeId="0" xr:uid="{00000000-0006-0000-1400-00003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15" authorId="1" shapeId="0" xr:uid="{00000000-0006-0000-1400-00004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16" authorId="1" shapeId="0" xr:uid="{00000000-0006-0000-1400-00004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17" authorId="1" shapeId="0" xr:uid="{00000000-0006-0000-1400-00004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18" authorId="1" shapeId="0" xr:uid="{00000000-0006-0000-1400-00004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19" authorId="1" shapeId="0" xr:uid="{00000000-0006-0000-1400-00004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23" authorId="0" shapeId="0" xr:uid="{00000000-0006-0000-1400-00004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24" authorId="1" shapeId="0" xr:uid="{00000000-0006-0000-1400-00004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25" authorId="1" shapeId="0" xr:uid="{00000000-0006-0000-1400-00004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26" authorId="1" shapeId="0" xr:uid="{00000000-0006-0000-1400-00004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27" authorId="1" shapeId="0" xr:uid="{00000000-0006-0000-1400-00004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28" authorId="1" shapeId="0" xr:uid="{00000000-0006-0000-1400-00004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33" authorId="0" shapeId="0" xr:uid="{00000000-0006-0000-1400-00004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34" authorId="1" shapeId="0" xr:uid="{00000000-0006-0000-1400-00004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35" authorId="1" shapeId="0" xr:uid="{00000000-0006-0000-1400-00004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36" authorId="1" shapeId="0" xr:uid="{00000000-0006-0000-1400-00004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37" authorId="1" shapeId="0" xr:uid="{00000000-0006-0000-1400-00004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38" authorId="1" shapeId="0" xr:uid="{00000000-0006-0000-1400-00005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40" authorId="0" shapeId="0" xr:uid="{00000000-0006-0000-1400-00005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41" authorId="1" shapeId="0" xr:uid="{00000000-0006-0000-1400-00005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42" authorId="1" shapeId="0" xr:uid="{00000000-0006-0000-1400-00005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43" authorId="1" shapeId="0" xr:uid="{00000000-0006-0000-1400-00005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44" authorId="1" shapeId="0" xr:uid="{00000000-0006-0000-1400-00005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45" authorId="1" shapeId="0" xr:uid="{00000000-0006-0000-1400-00005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47" authorId="0" shapeId="0" xr:uid="{00000000-0006-0000-1400-00005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48" authorId="1" shapeId="0" xr:uid="{00000000-0006-0000-1400-00005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49" authorId="1" shapeId="0" xr:uid="{00000000-0006-0000-1400-00005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50" authorId="1" shapeId="0" xr:uid="{00000000-0006-0000-1400-00005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51" authorId="1" shapeId="0" xr:uid="{00000000-0006-0000-1400-00005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52" authorId="1" shapeId="0" xr:uid="{00000000-0006-0000-1400-00005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54" authorId="0" shapeId="0" xr:uid="{00000000-0006-0000-1400-00005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55" authorId="1" shapeId="0" xr:uid="{00000000-0006-0000-1400-00005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56" authorId="1" shapeId="0" xr:uid="{00000000-0006-0000-1400-00005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57" authorId="1" shapeId="0" xr:uid="{00000000-0006-0000-1400-00006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58" authorId="1" shapeId="0" xr:uid="{00000000-0006-0000-1400-00006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59" authorId="1" shapeId="0" xr:uid="{00000000-0006-0000-1400-00006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70" authorId="0" shapeId="0" xr:uid="{00000000-0006-0000-1400-00006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71" authorId="1" shapeId="0" xr:uid="{00000000-0006-0000-1400-00006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72" authorId="1" shapeId="0" xr:uid="{00000000-0006-0000-1400-00006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73" authorId="1" shapeId="0" xr:uid="{00000000-0006-0000-1400-00006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74" authorId="1" shapeId="0" xr:uid="{00000000-0006-0000-1400-00006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75" authorId="1" shapeId="0" xr:uid="{00000000-0006-0000-1400-00006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77" authorId="0" shapeId="0" xr:uid="{00000000-0006-0000-1400-00006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78" authorId="1" shapeId="0" xr:uid="{00000000-0006-0000-1400-00006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79" authorId="1" shapeId="0" xr:uid="{00000000-0006-0000-1400-00006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80" authorId="1" shapeId="0" xr:uid="{00000000-0006-0000-1400-00006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81" authorId="1" shapeId="0" xr:uid="{00000000-0006-0000-1400-00006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82" authorId="1" shapeId="0" xr:uid="{00000000-0006-0000-1400-00006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84" authorId="0" shapeId="0" xr:uid="{00000000-0006-0000-1400-00006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85" authorId="1" shapeId="0" xr:uid="{00000000-0006-0000-1400-00007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86" authorId="1" shapeId="0" xr:uid="{00000000-0006-0000-1400-00007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87" authorId="1" shapeId="0" xr:uid="{00000000-0006-0000-1400-00007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88" authorId="1" shapeId="0" xr:uid="{00000000-0006-0000-1400-00007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89" authorId="1" shapeId="0" xr:uid="{00000000-0006-0000-1400-00007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91" authorId="0" shapeId="0" xr:uid="{00000000-0006-0000-1400-00007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92" authorId="1" shapeId="0" xr:uid="{00000000-0006-0000-1400-00007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93" authorId="1" shapeId="0" xr:uid="{00000000-0006-0000-1400-00007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94" authorId="1" shapeId="0" xr:uid="{00000000-0006-0000-1400-00007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95" authorId="1" shapeId="0" xr:uid="{00000000-0006-0000-1400-00007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96" authorId="1" shapeId="0" xr:uid="{00000000-0006-0000-1400-00007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307" authorId="1" shapeId="0" xr:uid="{00000000-0006-0000-1400-00007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308" authorId="1" shapeId="0" xr:uid="{00000000-0006-0000-1400-00007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309" authorId="1" shapeId="0" xr:uid="{00000000-0006-0000-1400-00007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310" authorId="1" shapeId="0" xr:uid="{00000000-0006-0000-1400-00007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311" authorId="1" shapeId="0" xr:uid="{00000000-0006-0000-1400-00007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312" authorId="1" shapeId="0" xr:uid="{00000000-0006-0000-1400-00008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Haitham Jendoubi</author>
    <author>Francois Painchaud</author>
  </authors>
  <commentList>
    <comment ref="A60" authorId="0" shapeId="0" xr:uid="{00000000-0006-0000-1500-000001000000}">
      <text>
        <r>
          <rPr>
            <sz val="9"/>
            <color indexed="81"/>
            <rFont val="Tahoma"/>
            <family val="2"/>
          </rPr>
          <t>Includes sum of interest payments on new LC debt in year of issuance in baseline scenario to compensate for omission of these interest payments in the current sheet.</t>
        </r>
      </text>
    </comment>
    <comment ref="A61" authorId="0" shapeId="0" xr:uid="{00000000-0006-0000-1500-000002000000}">
      <text>
        <r>
          <rPr>
            <sz val="9"/>
            <color indexed="81"/>
            <rFont val="Tahoma"/>
            <family val="2"/>
          </rPr>
          <t>Includes sum of interest payments on new FC debt in year of issuance in baseline scenario to compensate for omission of these interest payments in the current sheet.</t>
        </r>
      </text>
    </comment>
    <comment ref="V121" authorId="0" shapeId="0" xr:uid="{00000000-0006-0000-1500-00000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22" authorId="1" shapeId="0" xr:uid="{00000000-0006-0000-1500-00000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23" authorId="1" shapeId="0" xr:uid="{00000000-0006-0000-1500-00000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24" authorId="1" shapeId="0" xr:uid="{00000000-0006-0000-1500-00000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25" authorId="1" shapeId="0" xr:uid="{00000000-0006-0000-1500-00000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26" authorId="1" shapeId="0" xr:uid="{00000000-0006-0000-1500-00000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30" authorId="0" shapeId="0" xr:uid="{00000000-0006-0000-1500-00000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31" authorId="1" shapeId="0" xr:uid="{00000000-0006-0000-1500-00000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32" authorId="1" shapeId="0" xr:uid="{00000000-0006-0000-1500-00000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33" authorId="1" shapeId="0" xr:uid="{00000000-0006-0000-1500-00000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34" authorId="1" shapeId="0" xr:uid="{00000000-0006-0000-1500-00000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35" authorId="1" shapeId="0" xr:uid="{00000000-0006-0000-1500-00000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40" authorId="0" shapeId="0" xr:uid="{00000000-0006-0000-1500-00000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41" authorId="1" shapeId="0" xr:uid="{00000000-0006-0000-1500-00001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42" authorId="1" shapeId="0" xr:uid="{00000000-0006-0000-1500-00001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43" authorId="1" shapeId="0" xr:uid="{00000000-0006-0000-1500-00001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44" authorId="1" shapeId="0" xr:uid="{00000000-0006-0000-1500-00001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45" authorId="1" shapeId="0" xr:uid="{00000000-0006-0000-1500-00001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47" authorId="0" shapeId="0" xr:uid="{00000000-0006-0000-1500-00001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48" authorId="1" shapeId="0" xr:uid="{00000000-0006-0000-1500-00001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49" authorId="1" shapeId="0" xr:uid="{00000000-0006-0000-1500-00001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50" authorId="1" shapeId="0" xr:uid="{00000000-0006-0000-1500-00001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51" authorId="1" shapeId="0" xr:uid="{00000000-0006-0000-1500-00001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52" authorId="1" shapeId="0" xr:uid="{00000000-0006-0000-1500-00001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54" authorId="0" shapeId="0" xr:uid="{00000000-0006-0000-1500-00001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55" authorId="1" shapeId="0" xr:uid="{00000000-0006-0000-1500-00001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56" authorId="1" shapeId="0" xr:uid="{00000000-0006-0000-1500-00001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57" authorId="1" shapeId="0" xr:uid="{00000000-0006-0000-1500-00001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58" authorId="1" shapeId="0" xr:uid="{00000000-0006-0000-1500-00001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59" authorId="1" shapeId="0" xr:uid="{00000000-0006-0000-1500-00002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61" authorId="0" shapeId="0" xr:uid="{00000000-0006-0000-1500-00002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62" authorId="1" shapeId="0" xr:uid="{00000000-0006-0000-1500-00002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63" authorId="1" shapeId="0" xr:uid="{00000000-0006-0000-1500-00002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64" authorId="1" shapeId="0" xr:uid="{00000000-0006-0000-1500-00002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65" authorId="1" shapeId="0" xr:uid="{00000000-0006-0000-1500-00002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66" authorId="1" shapeId="0" xr:uid="{00000000-0006-0000-1500-00002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77" authorId="0" shapeId="0" xr:uid="{00000000-0006-0000-1500-00002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78" authorId="1" shapeId="0" xr:uid="{00000000-0006-0000-1500-00002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79" authorId="1" shapeId="0" xr:uid="{00000000-0006-0000-1500-00002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80" authorId="1" shapeId="0" xr:uid="{00000000-0006-0000-1500-00002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81" authorId="1" shapeId="0" xr:uid="{00000000-0006-0000-1500-00002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82" authorId="1" shapeId="0" xr:uid="{00000000-0006-0000-1500-00002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84" authorId="0" shapeId="0" xr:uid="{00000000-0006-0000-1500-00002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85" authorId="1" shapeId="0" xr:uid="{00000000-0006-0000-1500-00002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86" authorId="1" shapeId="0" xr:uid="{00000000-0006-0000-1500-00002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87" authorId="1" shapeId="0" xr:uid="{00000000-0006-0000-1500-00003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88" authorId="1" shapeId="0" xr:uid="{00000000-0006-0000-1500-00003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89" authorId="1" shapeId="0" xr:uid="{00000000-0006-0000-1500-00003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91" authorId="0" shapeId="0" xr:uid="{00000000-0006-0000-1500-00003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92" authorId="1" shapeId="0" xr:uid="{00000000-0006-0000-1500-00003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93" authorId="1" shapeId="0" xr:uid="{00000000-0006-0000-1500-00003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94" authorId="1" shapeId="0" xr:uid="{00000000-0006-0000-1500-00003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95" authorId="1" shapeId="0" xr:uid="{00000000-0006-0000-1500-00003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96" authorId="1" shapeId="0" xr:uid="{00000000-0006-0000-1500-00003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98" authorId="0" shapeId="0" xr:uid="{00000000-0006-0000-1500-00003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99" authorId="1" shapeId="0" xr:uid="{00000000-0006-0000-1500-00003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00" authorId="1" shapeId="0" xr:uid="{00000000-0006-0000-1500-00003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01" authorId="1" shapeId="0" xr:uid="{00000000-0006-0000-1500-00003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02" authorId="1" shapeId="0" xr:uid="{00000000-0006-0000-1500-00003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03" authorId="1" shapeId="0" xr:uid="{00000000-0006-0000-1500-00003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16" authorId="0" shapeId="0" xr:uid="{00000000-0006-0000-1500-00003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17" authorId="1" shapeId="0" xr:uid="{00000000-0006-0000-1500-00004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18" authorId="1" shapeId="0" xr:uid="{00000000-0006-0000-1500-00004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19" authorId="1" shapeId="0" xr:uid="{00000000-0006-0000-1500-00004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20" authorId="1" shapeId="0" xr:uid="{00000000-0006-0000-1500-00004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21" authorId="1" shapeId="0" xr:uid="{00000000-0006-0000-1500-00004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25" authorId="0" shapeId="0" xr:uid="{00000000-0006-0000-1500-00004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26" authorId="1" shapeId="0" xr:uid="{00000000-0006-0000-1500-00004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27" authorId="1" shapeId="0" xr:uid="{00000000-0006-0000-1500-00004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28" authorId="1" shapeId="0" xr:uid="{00000000-0006-0000-1500-00004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29" authorId="1" shapeId="0" xr:uid="{00000000-0006-0000-1500-00004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30" authorId="1" shapeId="0" xr:uid="{00000000-0006-0000-1500-00004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35" authorId="0" shapeId="0" xr:uid="{00000000-0006-0000-1500-00004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36" authorId="1" shapeId="0" xr:uid="{00000000-0006-0000-1500-00004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37" authorId="1" shapeId="0" xr:uid="{00000000-0006-0000-1500-00004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38" authorId="1" shapeId="0" xr:uid="{00000000-0006-0000-1500-00004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39" authorId="1" shapeId="0" xr:uid="{00000000-0006-0000-1500-00004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40" authorId="1" shapeId="0" xr:uid="{00000000-0006-0000-1500-00005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42" authorId="0" shapeId="0" xr:uid="{00000000-0006-0000-1500-00005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43" authorId="1" shapeId="0" xr:uid="{00000000-0006-0000-1500-00005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44" authorId="1" shapeId="0" xr:uid="{00000000-0006-0000-1500-00005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45" authorId="1" shapeId="0" xr:uid="{00000000-0006-0000-1500-00005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46" authorId="1" shapeId="0" xr:uid="{00000000-0006-0000-1500-00005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47" authorId="1" shapeId="0" xr:uid="{00000000-0006-0000-1500-00005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49" authorId="0" shapeId="0" xr:uid="{00000000-0006-0000-1500-00005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50" authorId="1" shapeId="0" xr:uid="{00000000-0006-0000-1500-00005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51" authorId="1" shapeId="0" xr:uid="{00000000-0006-0000-1500-00005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52" authorId="1" shapeId="0" xr:uid="{00000000-0006-0000-1500-00005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53" authorId="1" shapeId="0" xr:uid="{00000000-0006-0000-1500-00005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54" authorId="1" shapeId="0" xr:uid="{00000000-0006-0000-1500-00005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56" authorId="0" shapeId="0" xr:uid="{00000000-0006-0000-1500-00005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57" authorId="1" shapeId="0" xr:uid="{00000000-0006-0000-1500-00005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58" authorId="1" shapeId="0" xr:uid="{00000000-0006-0000-1500-00005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59" authorId="1" shapeId="0" xr:uid="{00000000-0006-0000-1500-00006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60" authorId="1" shapeId="0" xr:uid="{00000000-0006-0000-1500-00006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61" authorId="1" shapeId="0" xr:uid="{00000000-0006-0000-1500-00006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72" authorId="0" shapeId="0" xr:uid="{00000000-0006-0000-1500-00006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73" authorId="1" shapeId="0" xr:uid="{00000000-0006-0000-1500-00006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74" authorId="1" shapeId="0" xr:uid="{00000000-0006-0000-1500-00006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75" authorId="1" shapeId="0" xr:uid="{00000000-0006-0000-1500-00006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76" authorId="1" shapeId="0" xr:uid="{00000000-0006-0000-1500-00006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77" authorId="1" shapeId="0" xr:uid="{00000000-0006-0000-1500-00006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79" authorId="0" shapeId="0" xr:uid="{00000000-0006-0000-1500-00006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80" authorId="1" shapeId="0" xr:uid="{00000000-0006-0000-1500-00006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81" authorId="1" shapeId="0" xr:uid="{00000000-0006-0000-1500-00006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82" authorId="1" shapeId="0" xr:uid="{00000000-0006-0000-1500-00006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83" authorId="1" shapeId="0" xr:uid="{00000000-0006-0000-1500-00006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84" authorId="1" shapeId="0" xr:uid="{00000000-0006-0000-1500-00006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86" authorId="0" shapeId="0" xr:uid="{00000000-0006-0000-1500-00006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87" authorId="1" shapeId="0" xr:uid="{00000000-0006-0000-1500-00007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88" authorId="1" shapeId="0" xr:uid="{00000000-0006-0000-1500-00007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89" authorId="1" shapeId="0" xr:uid="{00000000-0006-0000-1500-00007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90" authorId="1" shapeId="0" xr:uid="{00000000-0006-0000-1500-00007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91" authorId="1" shapeId="0" xr:uid="{00000000-0006-0000-1500-00007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93" authorId="0" shapeId="0" xr:uid="{00000000-0006-0000-1500-00007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94" authorId="1" shapeId="0" xr:uid="{00000000-0006-0000-1500-00007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95" authorId="1" shapeId="0" xr:uid="{00000000-0006-0000-1500-00007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96" authorId="1" shapeId="0" xr:uid="{00000000-0006-0000-1500-00007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97" authorId="1" shapeId="0" xr:uid="{00000000-0006-0000-1500-00007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98" authorId="1" shapeId="0" xr:uid="{00000000-0006-0000-1500-00007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309" authorId="1" shapeId="0" xr:uid="{00000000-0006-0000-1500-00007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310" authorId="1" shapeId="0" xr:uid="{00000000-0006-0000-1500-00007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311" authorId="1" shapeId="0" xr:uid="{00000000-0006-0000-1500-00007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312" authorId="1" shapeId="0" xr:uid="{00000000-0006-0000-1500-00007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313" authorId="1" shapeId="0" xr:uid="{00000000-0006-0000-1500-00007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314" authorId="1" shapeId="0" xr:uid="{00000000-0006-0000-1500-00008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Haitham Jendoubi</author>
    <author>Francois Painchaud</author>
  </authors>
  <commentList>
    <comment ref="A58" authorId="0" shapeId="0" xr:uid="{00000000-0006-0000-1600-000001000000}">
      <text>
        <r>
          <rPr>
            <sz val="9"/>
            <color indexed="81"/>
            <rFont val="Tahoma"/>
            <family val="2"/>
          </rPr>
          <t>Includes sum of interest payments on new LC debt in year of issuance in baseline scenario to compensate for omission of these interest payments in the current sheet.</t>
        </r>
      </text>
    </comment>
    <comment ref="A59" authorId="0" shapeId="0" xr:uid="{00000000-0006-0000-1600-000002000000}">
      <text>
        <r>
          <rPr>
            <sz val="9"/>
            <color indexed="81"/>
            <rFont val="Tahoma"/>
            <family val="2"/>
          </rPr>
          <t>Includes sum of interest payments on new FC debt in year of issuance in baseline scenario to compensate for omission of these interest payments in the current sheet.</t>
        </r>
      </text>
    </comment>
    <comment ref="V119" authorId="0" shapeId="0" xr:uid="{00000000-0006-0000-1600-00000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20" authorId="1" shapeId="0" xr:uid="{00000000-0006-0000-1600-00000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21" authorId="1" shapeId="0" xr:uid="{00000000-0006-0000-1600-00000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22" authorId="1" shapeId="0" xr:uid="{00000000-0006-0000-1600-00000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23" authorId="1" shapeId="0" xr:uid="{00000000-0006-0000-1600-00000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24" authorId="1" shapeId="0" xr:uid="{00000000-0006-0000-1600-00000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28" authorId="0" shapeId="0" xr:uid="{00000000-0006-0000-1600-00000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29" authorId="1" shapeId="0" xr:uid="{00000000-0006-0000-1600-00000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30" authorId="1" shapeId="0" xr:uid="{00000000-0006-0000-1600-00000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31" authorId="1" shapeId="0" xr:uid="{00000000-0006-0000-1600-00000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32" authorId="1" shapeId="0" xr:uid="{00000000-0006-0000-1600-00000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33" authorId="1" shapeId="0" xr:uid="{00000000-0006-0000-1600-00000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38" authorId="0" shapeId="0" xr:uid="{00000000-0006-0000-1600-00000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39" authorId="1" shapeId="0" xr:uid="{00000000-0006-0000-1600-00001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40" authorId="1" shapeId="0" xr:uid="{00000000-0006-0000-1600-00001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41" authorId="1" shapeId="0" xr:uid="{00000000-0006-0000-1600-00001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42" authorId="1" shapeId="0" xr:uid="{00000000-0006-0000-1600-00001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43" authorId="1" shapeId="0" xr:uid="{00000000-0006-0000-1600-00001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45" authorId="0" shapeId="0" xr:uid="{00000000-0006-0000-1600-00001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46" authorId="1" shapeId="0" xr:uid="{00000000-0006-0000-1600-00001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47" authorId="1" shapeId="0" xr:uid="{00000000-0006-0000-1600-00001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48" authorId="1" shapeId="0" xr:uid="{00000000-0006-0000-1600-00001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49" authorId="1" shapeId="0" xr:uid="{00000000-0006-0000-1600-00001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50" authorId="1" shapeId="0" xr:uid="{00000000-0006-0000-1600-00001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52" authorId="0" shapeId="0" xr:uid="{00000000-0006-0000-1600-00001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53" authorId="1" shapeId="0" xr:uid="{00000000-0006-0000-1600-00001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54" authorId="1" shapeId="0" xr:uid="{00000000-0006-0000-1600-00001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55" authorId="1" shapeId="0" xr:uid="{00000000-0006-0000-1600-00001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56" authorId="1" shapeId="0" xr:uid="{00000000-0006-0000-1600-00001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57" authorId="1" shapeId="0" xr:uid="{00000000-0006-0000-1600-00002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59" authorId="0" shapeId="0" xr:uid="{00000000-0006-0000-1600-00002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60" authorId="1" shapeId="0" xr:uid="{00000000-0006-0000-1600-00002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61" authorId="1" shapeId="0" xr:uid="{00000000-0006-0000-1600-00002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62" authorId="1" shapeId="0" xr:uid="{00000000-0006-0000-1600-00002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63" authorId="1" shapeId="0" xr:uid="{00000000-0006-0000-1600-00002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64" authorId="1" shapeId="0" xr:uid="{00000000-0006-0000-1600-00002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75" authorId="0" shapeId="0" xr:uid="{00000000-0006-0000-1600-00002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76" authorId="1" shapeId="0" xr:uid="{00000000-0006-0000-1600-00002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77" authorId="1" shapeId="0" xr:uid="{00000000-0006-0000-1600-00002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78" authorId="1" shapeId="0" xr:uid="{00000000-0006-0000-1600-00002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79" authorId="1" shapeId="0" xr:uid="{00000000-0006-0000-1600-00002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80" authorId="1" shapeId="0" xr:uid="{00000000-0006-0000-1600-00002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82" authorId="0" shapeId="0" xr:uid="{00000000-0006-0000-1600-00002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83" authorId="1" shapeId="0" xr:uid="{00000000-0006-0000-1600-00002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84" authorId="1" shapeId="0" xr:uid="{00000000-0006-0000-1600-00002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85" authorId="1" shapeId="0" xr:uid="{00000000-0006-0000-1600-00003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86" authorId="1" shapeId="0" xr:uid="{00000000-0006-0000-1600-00003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87" authorId="1" shapeId="0" xr:uid="{00000000-0006-0000-1600-00003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89" authorId="0" shapeId="0" xr:uid="{00000000-0006-0000-1600-00003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90" authorId="1" shapeId="0" xr:uid="{00000000-0006-0000-1600-00003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91" authorId="1" shapeId="0" xr:uid="{00000000-0006-0000-1600-00003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92" authorId="1" shapeId="0" xr:uid="{00000000-0006-0000-1600-00003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93" authorId="1" shapeId="0" xr:uid="{00000000-0006-0000-1600-00003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94" authorId="1" shapeId="0" xr:uid="{00000000-0006-0000-1600-00003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96" authorId="0" shapeId="0" xr:uid="{00000000-0006-0000-1600-00003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97" authorId="1" shapeId="0" xr:uid="{00000000-0006-0000-1600-00003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98" authorId="1" shapeId="0" xr:uid="{00000000-0006-0000-1600-00003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99" authorId="1" shapeId="0" xr:uid="{00000000-0006-0000-1600-00003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00" authorId="1" shapeId="0" xr:uid="{00000000-0006-0000-1600-00003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01" authorId="1" shapeId="0" xr:uid="{00000000-0006-0000-1600-00003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14" authorId="0" shapeId="0" xr:uid="{00000000-0006-0000-1600-00003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15" authorId="1" shapeId="0" xr:uid="{00000000-0006-0000-1600-00004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16" authorId="1" shapeId="0" xr:uid="{00000000-0006-0000-1600-00004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17" authorId="1" shapeId="0" xr:uid="{00000000-0006-0000-1600-00004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18" authorId="1" shapeId="0" xr:uid="{00000000-0006-0000-1600-00004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19" authorId="1" shapeId="0" xr:uid="{00000000-0006-0000-1600-00004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23" authorId="0" shapeId="0" xr:uid="{00000000-0006-0000-1600-00004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24" authorId="1" shapeId="0" xr:uid="{00000000-0006-0000-1600-00004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25" authorId="1" shapeId="0" xr:uid="{00000000-0006-0000-1600-00004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26" authorId="1" shapeId="0" xr:uid="{00000000-0006-0000-1600-00004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27" authorId="1" shapeId="0" xr:uid="{00000000-0006-0000-1600-00004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28" authorId="1" shapeId="0" xr:uid="{00000000-0006-0000-1600-00004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33" authorId="0" shapeId="0" xr:uid="{00000000-0006-0000-1600-00004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34" authorId="1" shapeId="0" xr:uid="{00000000-0006-0000-1600-00004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35" authorId="1" shapeId="0" xr:uid="{00000000-0006-0000-1600-00004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36" authorId="1" shapeId="0" xr:uid="{00000000-0006-0000-1600-00004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37" authorId="1" shapeId="0" xr:uid="{00000000-0006-0000-1600-00004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38" authorId="1" shapeId="0" xr:uid="{00000000-0006-0000-1600-00005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40" authorId="0" shapeId="0" xr:uid="{00000000-0006-0000-1600-00005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41" authorId="1" shapeId="0" xr:uid="{00000000-0006-0000-1600-00005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42" authorId="1" shapeId="0" xr:uid="{00000000-0006-0000-1600-00005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43" authorId="1" shapeId="0" xr:uid="{00000000-0006-0000-1600-00005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44" authorId="1" shapeId="0" xr:uid="{00000000-0006-0000-1600-00005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45" authorId="1" shapeId="0" xr:uid="{00000000-0006-0000-1600-00005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47" authorId="0" shapeId="0" xr:uid="{00000000-0006-0000-1600-00005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48" authorId="1" shapeId="0" xr:uid="{00000000-0006-0000-1600-00005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49" authorId="1" shapeId="0" xr:uid="{00000000-0006-0000-1600-00005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50" authorId="1" shapeId="0" xr:uid="{00000000-0006-0000-1600-00005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51" authorId="1" shapeId="0" xr:uid="{00000000-0006-0000-1600-00005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52" authorId="1" shapeId="0" xr:uid="{00000000-0006-0000-1600-00005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54" authorId="0" shapeId="0" xr:uid="{00000000-0006-0000-1600-00005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55" authorId="1" shapeId="0" xr:uid="{00000000-0006-0000-1600-00005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56" authorId="1" shapeId="0" xr:uid="{00000000-0006-0000-1600-00005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57" authorId="1" shapeId="0" xr:uid="{00000000-0006-0000-1600-00006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58" authorId="1" shapeId="0" xr:uid="{00000000-0006-0000-1600-00006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59" authorId="1" shapeId="0" xr:uid="{00000000-0006-0000-1600-00006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70" authorId="0" shapeId="0" xr:uid="{00000000-0006-0000-1600-00006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71" authorId="1" shapeId="0" xr:uid="{00000000-0006-0000-1600-00006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72" authorId="1" shapeId="0" xr:uid="{00000000-0006-0000-1600-00006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73" authorId="1" shapeId="0" xr:uid="{00000000-0006-0000-1600-00006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74" authorId="1" shapeId="0" xr:uid="{00000000-0006-0000-1600-00006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75" authorId="1" shapeId="0" xr:uid="{00000000-0006-0000-1600-00006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77" authorId="0" shapeId="0" xr:uid="{00000000-0006-0000-1600-00006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78" authorId="1" shapeId="0" xr:uid="{00000000-0006-0000-1600-00006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79" authorId="1" shapeId="0" xr:uid="{00000000-0006-0000-1600-00006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80" authorId="1" shapeId="0" xr:uid="{00000000-0006-0000-1600-00006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81" authorId="1" shapeId="0" xr:uid="{00000000-0006-0000-1600-00006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82" authorId="1" shapeId="0" xr:uid="{00000000-0006-0000-1600-00006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84" authorId="0" shapeId="0" xr:uid="{00000000-0006-0000-1600-00006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85" authorId="1" shapeId="0" xr:uid="{00000000-0006-0000-1600-00007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86" authorId="1" shapeId="0" xr:uid="{00000000-0006-0000-1600-00007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87" authorId="1" shapeId="0" xr:uid="{00000000-0006-0000-1600-00007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88" authorId="1" shapeId="0" xr:uid="{00000000-0006-0000-1600-00007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89" authorId="1" shapeId="0" xr:uid="{00000000-0006-0000-1600-00007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91" authorId="0" shapeId="0" xr:uid="{00000000-0006-0000-1600-00007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92" authorId="1" shapeId="0" xr:uid="{00000000-0006-0000-1600-00007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93" authorId="1" shapeId="0" xr:uid="{00000000-0006-0000-1600-00007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94" authorId="1" shapeId="0" xr:uid="{00000000-0006-0000-1600-00007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95" authorId="1" shapeId="0" xr:uid="{00000000-0006-0000-1600-00007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96" authorId="1" shapeId="0" xr:uid="{00000000-0006-0000-1600-00007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307" authorId="1" shapeId="0" xr:uid="{00000000-0006-0000-1600-00007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308" authorId="1" shapeId="0" xr:uid="{00000000-0006-0000-1600-00007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309" authorId="1" shapeId="0" xr:uid="{00000000-0006-0000-1600-00007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310" authorId="1" shapeId="0" xr:uid="{00000000-0006-0000-1600-00007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311" authorId="1" shapeId="0" xr:uid="{00000000-0006-0000-1600-00007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312" authorId="1" shapeId="0" xr:uid="{00000000-0006-0000-1600-00008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Haitham Jendoubi</author>
    <author>Francois Painchaud</author>
  </authors>
  <commentList>
    <comment ref="A58" authorId="0" shapeId="0" xr:uid="{00000000-0006-0000-1700-000001000000}">
      <text>
        <r>
          <rPr>
            <sz val="9"/>
            <color indexed="81"/>
            <rFont val="Tahoma"/>
            <family val="2"/>
          </rPr>
          <t>Includes sum of interest payments on new LC debt in year of issuance in baseline scenario to compensate for omission of these interest payments in the current sheet.</t>
        </r>
      </text>
    </comment>
    <comment ref="A59" authorId="0" shapeId="0" xr:uid="{00000000-0006-0000-1700-000002000000}">
      <text>
        <r>
          <rPr>
            <sz val="9"/>
            <color indexed="81"/>
            <rFont val="Tahoma"/>
            <family val="2"/>
          </rPr>
          <t>Includes sum of interest payments on new FC debt in year of issuance in baseline scenario to compensate for omission of these interest payments in the current sheet.</t>
        </r>
      </text>
    </comment>
    <comment ref="V119" authorId="0" shapeId="0" xr:uid="{00000000-0006-0000-1700-00000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20" authorId="1" shapeId="0" xr:uid="{00000000-0006-0000-1700-00000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21" authorId="1" shapeId="0" xr:uid="{00000000-0006-0000-1700-00000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22" authorId="1" shapeId="0" xr:uid="{00000000-0006-0000-1700-00000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23" authorId="1" shapeId="0" xr:uid="{00000000-0006-0000-1700-00000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24" authorId="1" shapeId="0" xr:uid="{00000000-0006-0000-1700-00000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28" authorId="0" shapeId="0" xr:uid="{00000000-0006-0000-1700-00000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29" authorId="1" shapeId="0" xr:uid="{00000000-0006-0000-1700-00000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30" authorId="1" shapeId="0" xr:uid="{00000000-0006-0000-1700-00000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31" authorId="1" shapeId="0" xr:uid="{00000000-0006-0000-1700-00000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32" authorId="1" shapeId="0" xr:uid="{00000000-0006-0000-1700-00000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33" authorId="1" shapeId="0" xr:uid="{00000000-0006-0000-1700-00000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38" authorId="0" shapeId="0" xr:uid="{00000000-0006-0000-1700-00000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39" authorId="1" shapeId="0" xr:uid="{00000000-0006-0000-1700-00001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40" authorId="1" shapeId="0" xr:uid="{00000000-0006-0000-1700-00001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41" authorId="1" shapeId="0" xr:uid="{00000000-0006-0000-1700-00001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42" authorId="1" shapeId="0" xr:uid="{00000000-0006-0000-1700-00001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43" authorId="1" shapeId="0" xr:uid="{00000000-0006-0000-1700-00001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45" authorId="0" shapeId="0" xr:uid="{00000000-0006-0000-1700-00001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46" authorId="1" shapeId="0" xr:uid="{00000000-0006-0000-1700-00001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47" authorId="1" shapeId="0" xr:uid="{00000000-0006-0000-1700-00001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48" authorId="1" shapeId="0" xr:uid="{00000000-0006-0000-1700-00001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49" authorId="1" shapeId="0" xr:uid="{00000000-0006-0000-1700-00001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50" authorId="1" shapeId="0" xr:uid="{00000000-0006-0000-1700-00001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52" authorId="0" shapeId="0" xr:uid="{00000000-0006-0000-1700-00001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53" authorId="1" shapeId="0" xr:uid="{00000000-0006-0000-1700-00001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54" authorId="1" shapeId="0" xr:uid="{00000000-0006-0000-1700-00001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55" authorId="1" shapeId="0" xr:uid="{00000000-0006-0000-1700-00001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56" authorId="1" shapeId="0" xr:uid="{00000000-0006-0000-1700-00001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57" authorId="1" shapeId="0" xr:uid="{00000000-0006-0000-1700-00002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59" authorId="0" shapeId="0" xr:uid="{00000000-0006-0000-1700-00002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60" authorId="1" shapeId="0" xr:uid="{00000000-0006-0000-1700-00002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61" authorId="1" shapeId="0" xr:uid="{00000000-0006-0000-1700-00002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62" authorId="1" shapeId="0" xr:uid="{00000000-0006-0000-1700-00002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63" authorId="1" shapeId="0" xr:uid="{00000000-0006-0000-1700-00002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64" authorId="1" shapeId="0" xr:uid="{00000000-0006-0000-1700-00002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75" authorId="0" shapeId="0" xr:uid="{00000000-0006-0000-1700-00002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76" authorId="1" shapeId="0" xr:uid="{00000000-0006-0000-1700-00002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77" authorId="1" shapeId="0" xr:uid="{00000000-0006-0000-1700-00002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78" authorId="1" shapeId="0" xr:uid="{00000000-0006-0000-1700-00002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79" authorId="1" shapeId="0" xr:uid="{00000000-0006-0000-1700-00002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80" authorId="1" shapeId="0" xr:uid="{00000000-0006-0000-1700-00002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82" authorId="0" shapeId="0" xr:uid="{00000000-0006-0000-1700-00002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83" authorId="1" shapeId="0" xr:uid="{00000000-0006-0000-1700-00002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84" authorId="1" shapeId="0" xr:uid="{00000000-0006-0000-1700-00002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85" authorId="1" shapeId="0" xr:uid="{00000000-0006-0000-1700-00003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86" authorId="1" shapeId="0" xr:uid="{00000000-0006-0000-1700-00003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87" authorId="1" shapeId="0" xr:uid="{00000000-0006-0000-1700-00003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89" authorId="0" shapeId="0" xr:uid="{00000000-0006-0000-1700-00003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90" authorId="1" shapeId="0" xr:uid="{00000000-0006-0000-1700-00003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91" authorId="1" shapeId="0" xr:uid="{00000000-0006-0000-1700-00003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92" authorId="1" shapeId="0" xr:uid="{00000000-0006-0000-1700-00003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93" authorId="1" shapeId="0" xr:uid="{00000000-0006-0000-1700-00003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94" authorId="1" shapeId="0" xr:uid="{00000000-0006-0000-1700-00003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96" authorId="0" shapeId="0" xr:uid="{00000000-0006-0000-1700-00003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97" authorId="1" shapeId="0" xr:uid="{00000000-0006-0000-1700-00003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98" authorId="1" shapeId="0" xr:uid="{00000000-0006-0000-1700-00003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99" authorId="1" shapeId="0" xr:uid="{00000000-0006-0000-1700-00003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00" authorId="1" shapeId="0" xr:uid="{00000000-0006-0000-1700-00003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01" authorId="1" shapeId="0" xr:uid="{00000000-0006-0000-1700-00003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14" authorId="0" shapeId="0" xr:uid="{00000000-0006-0000-1700-00003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15" authorId="1" shapeId="0" xr:uid="{00000000-0006-0000-1700-00004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16" authorId="1" shapeId="0" xr:uid="{00000000-0006-0000-1700-00004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17" authorId="1" shapeId="0" xr:uid="{00000000-0006-0000-1700-00004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18" authorId="1" shapeId="0" xr:uid="{00000000-0006-0000-1700-00004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19" authorId="1" shapeId="0" xr:uid="{00000000-0006-0000-1700-00004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23" authorId="0" shapeId="0" xr:uid="{00000000-0006-0000-1700-00004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24" authorId="1" shapeId="0" xr:uid="{00000000-0006-0000-1700-00004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25" authorId="1" shapeId="0" xr:uid="{00000000-0006-0000-1700-00004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26" authorId="1" shapeId="0" xr:uid="{00000000-0006-0000-1700-00004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27" authorId="1" shapeId="0" xr:uid="{00000000-0006-0000-1700-00004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28" authorId="1" shapeId="0" xr:uid="{00000000-0006-0000-1700-00004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33" authorId="0" shapeId="0" xr:uid="{00000000-0006-0000-1700-00004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34" authorId="1" shapeId="0" xr:uid="{00000000-0006-0000-1700-00004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35" authorId="1" shapeId="0" xr:uid="{00000000-0006-0000-1700-00004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36" authorId="1" shapeId="0" xr:uid="{00000000-0006-0000-1700-00004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37" authorId="1" shapeId="0" xr:uid="{00000000-0006-0000-1700-00004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38" authorId="1" shapeId="0" xr:uid="{00000000-0006-0000-1700-00005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40" authorId="0" shapeId="0" xr:uid="{00000000-0006-0000-1700-00005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41" authorId="1" shapeId="0" xr:uid="{00000000-0006-0000-1700-00005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42" authorId="1" shapeId="0" xr:uid="{00000000-0006-0000-1700-00005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43" authorId="1" shapeId="0" xr:uid="{00000000-0006-0000-1700-00005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44" authorId="1" shapeId="0" xr:uid="{00000000-0006-0000-1700-00005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45" authorId="1" shapeId="0" xr:uid="{00000000-0006-0000-1700-00005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47" authorId="0" shapeId="0" xr:uid="{00000000-0006-0000-1700-00005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48" authorId="1" shapeId="0" xr:uid="{00000000-0006-0000-1700-00005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49" authorId="1" shapeId="0" xr:uid="{00000000-0006-0000-1700-00005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50" authorId="1" shapeId="0" xr:uid="{00000000-0006-0000-1700-00005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51" authorId="1" shapeId="0" xr:uid="{00000000-0006-0000-1700-00005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52" authorId="1" shapeId="0" xr:uid="{00000000-0006-0000-1700-00005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54" authorId="0" shapeId="0" xr:uid="{00000000-0006-0000-1700-00005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55" authorId="1" shapeId="0" xr:uid="{00000000-0006-0000-1700-00005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56" authorId="1" shapeId="0" xr:uid="{00000000-0006-0000-1700-00005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57" authorId="1" shapeId="0" xr:uid="{00000000-0006-0000-1700-00006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58" authorId="1" shapeId="0" xr:uid="{00000000-0006-0000-1700-00006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59" authorId="1" shapeId="0" xr:uid="{00000000-0006-0000-1700-00006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70" authorId="0" shapeId="0" xr:uid="{00000000-0006-0000-1700-00006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71" authorId="1" shapeId="0" xr:uid="{00000000-0006-0000-1700-00006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72" authorId="1" shapeId="0" xr:uid="{00000000-0006-0000-1700-00006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73" authorId="1" shapeId="0" xr:uid="{00000000-0006-0000-1700-00006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74" authorId="1" shapeId="0" xr:uid="{00000000-0006-0000-1700-00006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75" authorId="1" shapeId="0" xr:uid="{00000000-0006-0000-1700-00006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77" authorId="0" shapeId="0" xr:uid="{00000000-0006-0000-1700-00006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78" authorId="1" shapeId="0" xr:uid="{00000000-0006-0000-1700-00006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79" authorId="1" shapeId="0" xr:uid="{00000000-0006-0000-1700-00006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80" authorId="1" shapeId="0" xr:uid="{00000000-0006-0000-1700-00006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81" authorId="1" shapeId="0" xr:uid="{00000000-0006-0000-1700-00006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82" authorId="1" shapeId="0" xr:uid="{00000000-0006-0000-1700-00006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84" authorId="0" shapeId="0" xr:uid="{00000000-0006-0000-1700-00006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85" authorId="1" shapeId="0" xr:uid="{00000000-0006-0000-1700-00007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86" authorId="1" shapeId="0" xr:uid="{00000000-0006-0000-1700-00007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87" authorId="1" shapeId="0" xr:uid="{00000000-0006-0000-1700-00007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88" authorId="1" shapeId="0" xr:uid="{00000000-0006-0000-1700-00007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89" authorId="1" shapeId="0" xr:uid="{00000000-0006-0000-1700-00007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91" authorId="0" shapeId="0" xr:uid="{00000000-0006-0000-1700-00007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92" authorId="1" shapeId="0" xr:uid="{00000000-0006-0000-1700-00007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93" authorId="1" shapeId="0" xr:uid="{00000000-0006-0000-1700-00007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94" authorId="1" shapeId="0" xr:uid="{00000000-0006-0000-1700-00007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95" authorId="1" shapeId="0" xr:uid="{00000000-0006-0000-1700-00007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96" authorId="1" shapeId="0" xr:uid="{00000000-0006-0000-1700-00007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307" authorId="1" shapeId="0" xr:uid="{00000000-0006-0000-1700-00007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308" authorId="1" shapeId="0" xr:uid="{00000000-0006-0000-1700-00007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309" authorId="1" shapeId="0" xr:uid="{00000000-0006-0000-1700-00007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310" authorId="1" shapeId="0" xr:uid="{00000000-0006-0000-1700-00007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311" authorId="1" shapeId="0" xr:uid="{00000000-0006-0000-1700-00007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312" authorId="1" shapeId="0" xr:uid="{00000000-0006-0000-1700-00008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Haitham Jendoubi</author>
    <author>Francois Painchaud</author>
  </authors>
  <commentList>
    <comment ref="A58" authorId="0" shapeId="0" xr:uid="{00000000-0006-0000-1800-000001000000}">
      <text>
        <r>
          <rPr>
            <sz val="9"/>
            <color indexed="81"/>
            <rFont val="Tahoma"/>
            <family val="2"/>
          </rPr>
          <t>Includes sum of interest payments on new LC debt in year of issuance in baseline scenario to compensate for omission of these interest payments in the current sheet.</t>
        </r>
      </text>
    </comment>
    <comment ref="A59" authorId="0" shapeId="0" xr:uid="{00000000-0006-0000-1800-000002000000}">
      <text>
        <r>
          <rPr>
            <sz val="9"/>
            <color indexed="81"/>
            <rFont val="Tahoma"/>
            <family val="2"/>
          </rPr>
          <t>Includes sum of interest payments on new FC debt in year of issuance in baseline scenario to compensate for omission of these interest payments in the current sheet.</t>
        </r>
      </text>
    </comment>
    <comment ref="V119" authorId="0" shapeId="0" xr:uid="{00000000-0006-0000-1800-00000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20" authorId="1" shapeId="0" xr:uid="{00000000-0006-0000-1800-00000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21" authorId="1" shapeId="0" xr:uid="{00000000-0006-0000-1800-00000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22" authorId="1" shapeId="0" xr:uid="{00000000-0006-0000-1800-00000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23" authorId="1" shapeId="0" xr:uid="{00000000-0006-0000-1800-00000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24" authorId="1" shapeId="0" xr:uid="{00000000-0006-0000-1800-00000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28" authorId="0" shapeId="0" xr:uid="{00000000-0006-0000-1800-00000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29" authorId="1" shapeId="0" xr:uid="{00000000-0006-0000-1800-00000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30" authorId="1" shapeId="0" xr:uid="{00000000-0006-0000-1800-00000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31" authorId="1" shapeId="0" xr:uid="{00000000-0006-0000-1800-00000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32" authorId="1" shapeId="0" xr:uid="{00000000-0006-0000-1800-00000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33" authorId="1" shapeId="0" xr:uid="{00000000-0006-0000-1800-00000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38" authorId="0" shapeId="0" xr:uid="{00000000-0006-0000-1800-00000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39" authorId="1" shapeId="0" xr:uid="{00000000-0006-0000-1800-00001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40" authorId="1" shapeId="0" xr:uid="{00000000-0006-0000-1800-00001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41" authorId="1" shapeId="0" xr:uid="{00000000-0006-0000-1800-00001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42" authorId="1" shapeId="0" xr:uid="{00000000-0006-0000-1800-00001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43" authorId="1" shapeId="0" xr:uid="{00000000-0006-0000-1800-00001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45" authorId="0" shapeId="0" xr:uid="{00000000-0006-0000-1800-00001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46" authorId="1" shapeId="0" xr:uid="{00000000-0006-0000-1800-00001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47" authorId="1" shapeId="0" xr:uid="{00000000-0006-0000-1800-00001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48" authorId="1" shapeId="0" xr:uid="{00000000-0006-0000-1800-00001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49" authorId="1" shapeId="0" xr:uid="{00000000-0006-0000-1800-00001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50" authorId="1" shapeId="0" xr:uid="{00000000-0006-0000-1800-00001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52" authorId="0" shapeId="0" xr:uid="{00000000-0006-0000-1800-00001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53" authorId="1" shapeId="0" xr:uid="{00000000-0006-0000-1800-00001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54" authorId="1" shapeId="0" xr:uid="{00000000-0006-0000-1800-00001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55" authorId="1" shapeId="0" xr:uid="{00000000-0006-0000-1800-00001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56" authorId="1" shapeId="0" xr:uid="{00000000-0006-0000-1800-00001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57" authorId="1" shapeId="0" xr:uid="{00000000-0006-0000-1800-00002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59" authorId="0" shapeId="0" xr:uid="{00000000-0006-0000-1800-00002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60" authorId="1" shapeId="0" xr:uid="{00000000-0006-0000-1800-00002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61" authorId="1" shapeId="0" xr:uid="{00000000-0006-0000-1800-00002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62" authorId="1" shapeId="0" xr:uid="{00000000-0006-0000-1800-00002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63" authorId="1" shapeId="0" xr:uid="{00000000-0006-0000-1800-00002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64" authorId="1" shapeId="0" xr:uid="{00000000-0006-0000-1800-00002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75" authorId="0" shapeId="0" xr:uid="{00000000-0006-0000-1800-00002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76" authorId="1" shapeId="0" xr:uid="{00000000-0006-0000-1800-00002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77" authorId="1" shapeId="0" xr:uid="{00000000-0006-0000-1800-00002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78" authorId="1" shapeId="0" xr:uid="{00000000-0006-0000-1800-00002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79" authorId="1" shapeId="0" xr:uid="{00000000-0006-0000-1800-00002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80" authorId="1" shapeId="0" xr:uid="{00000000-0006-0000-1800-00002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82" authorId="0" shapeId="0" xr:uid="{00000000-0006-0000-1800-00002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83" authorId="1" shapeId="0" xr:uid="{00000000-0006-0000-1800-00002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84" authorId="1" shapeId="0" xr:uid="{00000000-0006-0000-1800-00002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85" authorId="1" shapeId="0" xr:uid="{00000000-0006-0000-1800-00003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86" authorId="1" shapeId="0" xr:uid="{00000000-0006-0000-1800-00003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87" authorId="1" shapeId="0" xr:uid="{00000000-0006-0000-1800-00003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89" authorId="0" shapeId="0" xr:uid="{00000000-0006-0000-1800-00003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90" authorId="1" shapeId="0" xr:uid="{00000000-0006-0000-1800-00003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91" authorId="1" shapeId="0" xr:uid="{00000000-0006-0000-1800-00003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92" authorId="1" shapeId="0" xr:uid="{00000000-0006-0000-1800-00003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93" authorId="1" shapeId="0" xr:uid="{00000000-0006-0000-1800-00003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94" authorId="1" shapeId="0" xr:uid="{00000000-0006-0000-1800-00003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96" authorId="0" shapeId="0" xr:uid="{00000000-0006-0000-1800-00003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97" authorId="1" shapeId="0" xr:uid="{00000000-0006-0000-1800-00003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98" authorId="1" shapeId="0" xr:uid="{00000000-0006-0000-1800-00003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99" authorId="1" shapeId="0" xr:uid="{00000000-0006-0000-1800-00003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00" authorId="1" shapeId="0" xr:uid="{00000000-0006-0000-1800-00003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01" authorId="1" shapeId="0" xr:uid="{00000000-0006-0000-1800-00003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14" authorId="0" shapeId="0" xr:uid="{00000000-0006-0000-1800-00003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15" authorId="1" shapeId="0" xr:uid="{00000000-0006-0000-1800-00004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16" authorId="1" shapeId="0" xr:uid="{00000000-0006-0000-1800-00004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17" authorId="1" shapeId="0" xr:uid="{00000000-0006-0000-1800-00004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18" authorId="1" shapeId="0" xr:uid="{00000000-0006-0000-1800-00004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19" authorId="1" shapeId="0" xr:uid="{00000000-0006-0000-1800-00004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23" authorId="0" shapeId="0" xr:uid="{00000000-0006-0000-1800-00004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24" authorId="1" shapeId="0" xr:uid="{00000000-0006-0000-1800-00004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25" authorId="1" shapeId="0" xr:uid="{00000000-0006-0000-1800-00004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26" authorId="1" shapeId="0" xr:uid="{00000000-0006-0000-1800-00004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27" authorId="1" shapeId="0" xr:uid="{00000000-0006-0000-1800-00004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28" authorId="1" shapeId="0" xr:uid="{00000000-0006-0000-1800-00004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33" authorId="0" shapeId="0" xr:uid="{00000000-0006-0000-1800-00004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34" authorId="1" shapeId="0" xr:uid="{00000000-0006-0000-1800-00004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35" authorId="1" shapeId="0" xr:uid="{00000000-0006-0000-1800-00004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36" authorId="1" shapeId="0" xr:uid="{00000000-0006-0000-1800-00004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37" authorId="1" shapeId="0" xr:uid="{00000000-0006-0000-1800-00004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38" authorId="1" shapeId="0" xr:uid="{00000000-0006-0000-1800-00005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40" authorId="0" shapeId="0" xr:uid="{00000000-0006-0000-1800-00005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41" authorId="1" shapeId="0" xr:uid="{00000000-0006-0000-1800-00005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42" authorId="1" shapeId="0" xr:uid="{00000000-0006-0000-1800-00005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43" authorId="1" shapeId="0" xr:uid="{00000000-0006-0000-1800-00005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44" authorId="1" shapeId="0" xr:uid="{00000000-0006-0000-1800-00005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45" authorId="1" shapeId="0" xr:uid="{00000000-0006-0000-1800-00005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47" authorId="0" shapeId="0" xr:uid="{00000000-0006-0000-1800-00005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48" authorId="1" shapeId="0" xr:uid="{00000000-0006-0000-1800-00005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49" authorId="1" shapeId="0" xr:uid="{00000000-0006-0000-1800-00005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50" authorId="1" shapeId="0" xr:uid="{00000000-0006-0000-1800-00005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51" authorId="1" shapeId="0" xr:uid="{00000000-0006-0000-1800-00005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52" authorId="1" shapeId="0" xr:uid="{00000000-0006-0000-1800-00005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54" authorId="0" shapeId="0" xr:uid="{00000000-0006-0000-1800-00005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55" authorId="1" shapeId="0" xr:uid="{00000000-0006-0000-1800-00005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56" authorId="1" shapeId="0" xr:uid="{00000000-0006-0000-1800-00005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57" authorId="1" shapeId="0" xr:uid="{00000000-0006-0000-1800-00006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58" authorId="1" shapeId="0" xr:uid="{00000000-0006-0000-1800-00006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59" authorId="1" shapeId="0" xr:uid="{00000000-0006-0000-1800-00006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70" authorId="0" shapeId="0" xr:uid="{00000000-0006-0000-1800-00006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71" authorId="1" shapeId="0" xr:uid="{00000000-0006-0000-1800-00006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72" authorId="1" shapeId="0" xr:uid="{00000000-0006-0000-1800-00006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73" authorId="1" shapeId="0" xr:uid="{00000000-0006-0000-1800-00006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74" authorId="1" shapeId="0" xr:uid="{00000000-0006-0000-1800-00006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75" authorId="1" shapeId="0" xr:uid="{00000000-0006-0000-1800-00006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77" authorId="0" shapeId="0" xr:uid="{00000000-0006-0000-1800-00006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78" authorId="1" shapeId="0" xr:uid="{00000000-0006-0000-1800-00006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79" authorId="1" shapeId="0" xr:uid="{00000000-0006-0000-1800-00006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80" authorId="1" shapeId="0" xr:uid="{00000000-0006-0000-1800-00006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81" authorId="1" shapeId="0" xr:uid="{00000000-0006-0000-1800-00006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82" authorId="1" shapeId="0" xr:uid="{00000000-0006-0000-1800-00006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84" authorId="0" shapeId="0" xr:uid="{00000000-0006-0000-1800-00006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85" authorId="1" shapeId="0" xr:uid="{00000000-0006-0000-1800-00007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86" authorId="1" shapeId="0" xr:uid="{00000000-0006-0000-1800-00007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87" authorId="1" shapeId="0" xr:uid="{00000000-0006-0000-1800-00007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88" authorId="1" shapeId="0" xr:uid="{00000000-0006-0000-1800-00007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89" authorId="1" shapeId="0" xr:uid="{00000000-0006-0000-1800-00007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91" authorId="0" shapeId="0" xr:uid="{00000000-0006-0000-1800-00007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92" authorId="1" shapeId="0" xr:uid="{00000000-0006-0000-1800-00007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93" authorId="1" shapeId="0" xr:uid="{00000000-0006-0000-1800-00007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94" authorId="1" shapeId="0" xr:uid="{00000000-0006-0000-1800-00007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95" authorId="1" shapeId="0" xr:uid="{00000000-0006-0000-1800-00007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96" authorId="1" shapeId="0" xr:uid="{00000000-0006-0000-1800-00007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307" authorId="1" shapeId="0" xr:uid="{00000000-0006-0000-1800-00007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308" authorId="1" shapeId="0" xr:uid="{00000000-0006-0000-1800-00007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309" authorId="1" shapeId="0" xr:uid="{00000000-0006-0000-1800-00007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310" authorId="1" shapeId="0" xr:uid="{00000000-0006-0000-1800-00007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311" authorId="1" shapeId="0" xr:uid="{00000000-0006-0000-1800-00007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312" authorId="1" shapeId="0" xr:uid="{00000000-0006-0000-1800-00008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Haitham Jendoubi</author>
    <author>Francois Painchaud</author>
  </authors>
  <commentList>
    <comment ref="A58" authorId="0" shapeId="0" xr:uid="{00000000-0006-0000-1900-000001000000}">
      <text>
        <r>
          <rPr>
            <sz val="9"/>
            <color indexed="81"/>
            <rFont val="Tahoma"/>
            <family val="2"/>
          </rPr>
          <t>Includes sum of interest payments on new LC debt in year of issuance in baseline scenario to compensate for omission of these interest payments in the current sheet.</t>
        </r>
      </text>
    </comment>
    <comment ref="A59" authorId="0" shapeId="0" xr:uid="{00000000-0006-0000-1900-000002000000}">
      <text>
        <r>
          <rPr>
            <sz val="9"/>
            <color indexed="81"/>
            <rFont val="Tahoma"/>
            <family val="2"/>
          </rPr>
          <t>Includes sum of interest payments on new FC debt in year of issuance in baseline scenario to compensate for omission of these interest payments in the current sheet.</t>
        </r>
      </text>
    </comment>
    <comment ref="V119" authorId="0" shapeId="0" xr:uid="{00000000-0006-0000-1900-00000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20" authorId="1" shapeId="0" xr:uid="{00000000-0006-0000-1900-00000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21" authorId="1" shapeId="0" xr:uid="{00000000-0006-0000-1900-00000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22" authorId="1" shapeId="0" xr:uid="{00000000-0006-0000-1900-00000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23" authorId="1" shapeId="0" xr:uid="{00000000-0006-0000-1900-00000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24" authorId="1" shapeId="0" xr:uid="{00000000-0006-0000-1900-00000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28" authorId="0" shapeId="0" xr:uid="{00000000-0006-0000-1900-00000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29" authorId="1" shapeId="0" xr:uid="{00000000-0006-0000-1900-00000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30" authorId="1" shapeId="0" xr:uid="{00000000-0006-0000-1900-00000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31" authorId="1" shapeId="0" xr:uid="{00000000-0006-0000-1900-00000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32" authorId="1" shapeId="0" xr:uid="{00000000-0006-0000-1900-00000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33" authorId="1" shapeId="0" xr:uid="{00000000-0006-0000-1900-00000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38" authorId="0" shapeId="0" xr:uid="{00000000-0006-0000-1900-00000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39" authorId="1" shapeId="0" xr:uid="{00000000-0006-0000-1900-00001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40" authorId="1" shapeId="0" xr:uid="{00000000-0006-0000-1900-00001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41" authorId="1" shapeId="0" xr:uid="{00000000-0006-0000-1900-00001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42" authorId="1" shapeId="0" xr:uid="{00000000-0006-0000-1900-00001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43" authorId="1" shapeId="0" xr:uid="{00000000-0006-0000-1900-00001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45" authorId="0" shapeId="0" xr:uid="{00000000-0006-0000-1900-00001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46" authorId="1" shapeId="0" xr:uid="{00000000-0006-0000-1900-00001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47" authorId="1" shapeId="0" xr:uid="{00000000-0006-0000-1900-00001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48" authorId="1" shapeId="0" xr:uid="{00000000-0006-0000-1900-00001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49" authorId="1" shapeId="0" xr:uid="{00000000-0006-0000-1900-00001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50" authorId="1" shapeId="0" xr:uid="{00000000-0006-0000-1900-00001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52" authorId="0" shapeId="0" xr:uid="{00000000-0006-0000-1900-00001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53" authorId="1" shapeId="0" xr:uid="{00000000-0006-0000-1900-00001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54" authorId="1" shapeId="0" xr:uid="{00000000-0006-0000-1900-00001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55" authorId="1" shapeId="0" xr:uid="{00000000-0006-0000-1900-00001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56" authorId="1" shapeId="0" xr:uid="{00000000-0006-0000-1900-00001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57" authorId="1" shapeId="0" xr:uid="{00000000-0006-0000-1900-00002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59" authorId="0" shapeId="0" xr:uid="{00000000-0006-0000-1900-00002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60" authorId="1" shapeId="0" xr:uid="{00000000-0006-0000-1900-00002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61" authorId="1" shapeId="0" xr:uid="{00000000-0006-0000-1900-00002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62" authorId="1" shapeId="0" xr:uid="{00000000-0006-0000-1900-00002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63" authorId="1" shapeId="0" xr:uid="{00000000-0006-0000-1900-00002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64" authorId="1" shapeId="0" xr:uid="{00000000-0006-0000-1900-00002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75" authorId="0" shapeId="0" xr:uid="{00000000-0006-0000-1900-00002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76" authorId="1" shapeId="0" xr:uid="{00000000-0006-0000-1900-00002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77" authorId="1" shapeId="0" xr:uid="{00000000-0006-0000-1900-00002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78" authorId="1" shapeId="0" xr:uid="{00000000-0006-0000-1900-00002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79" authorId="1" shapeId="0" xr:uid="{00000000-0006-0000-1900-00002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80" authorId="1" shapeId="0" xr:uid="{00000000-0006-0000-1900-00002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82" authorId="0" shapeId="0" xr:uid="{00000000-0006-0000-1900-00002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83" authorId="1" shapeId="0" xr:uid="{00000000-0006-0000-1900-00002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84" authorId="1" shapeId="0" xr:uid="{00000000-0006-0000-1900-00002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85" authorId="1" shapeId="0" xr:uid="{00000000-0006-0000-1900-00003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86" authorId="1" shapeId="0" xr:uid="{00000000-0006-0000-1900-00003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87" authorId="1" shapeId="0" xr:uid="{00000000-0006-0000-1900-00003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89" authorId="0" shapeId="0" xr:uid="{00000000-0006-0000-1900-00003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90" authorId="1" shapeId="0" xr:uid="{00000000-0006-0000-1900-00003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91" authorId="1" shapeId="0" xr:uid="{00000000-0006-0000-1900-00003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92" authorId="1" shapeId="0" xr:uid="{00000000-0006-0000-1900-00003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93" authorId="1" shapeId="0" xr:uid="{00000000-0006-0000-1900-00003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94" authorId="1" shapeId="0" xr:uid="{00000000-0006-0000-1900-00003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96" authorId="0" shapeId="0" xr:uid="{00000000-0006-0000-1900-00003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97" authorId="1" shapeId="0" xr:uid="{00000000-0006-0000-1900-00003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98" authorId="1" shapeId="0" xr:uid="{00000000-0006-0000-1900-00003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99" authorId="1" shapeId="0" xr:uid="{00000000-0006-0000-1900-00003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00" authorId="1" shapeId="0" xr:uid="{00000000-0006-0000-1900-00003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01" authorId="1" shapeId="0" xr:uid="{00000000-0006-0000-1900-00003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14" authorId="0" shapeId="0" xr:uid="{00000000-0006-0000-1900-00003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15" authorId="1" shapeId="0" xr:uid="{00000000-0006-0000-1900-00004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16" authorId="1" shapeId="0" xr:uid="{00000000-0006-0000-1900-00004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17" authorId="1" shapeId="0" xr:uid="{00000000-0006-0000-1900-00004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18" authorId="1" shapeId="0" xr:uid="{00000000-0006-0000-1900-00004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19" authorId="1" shapeId="0" xr:uid="{00000000-0006-0000-1900-00004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23" authorId="0" shapeId="0" xr:uid="{00000000-0006-0000-1900-00004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24" authorId="1" shapeId="0" xr:uid="{00000000-0006-0000-1900-00004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25" authorId="1" shapeId="0" xr:uid="{00000000-0006-0000-1900-00004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26" authorId="1" shapeId="0" xr:uid="{00000000-0006-0000-1900-00004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27" authorId="1" shapeId="0" xr:uid="{00000000-0006-0000-1900-00004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28" authorId="1" shapeId="0" xr:uid="{00000000-0006-0000-1900-00004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33" authorId="0" shapeId="0" xr:uid="{00000000-0006-0000-1900-00004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34" authorId="1" shapeId="0" xr:uid="{00000000-0006-0000-1900-00004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35" authorId="1" shapeId="0" xr:uid="{00000000-0006-0000-1900-00004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36" authorId="1" shapeId="0" xr:uid="{00000000-0006-0000-1900-00004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37" authorId="1" shapeId="0" xr:uid="{00000000-0006-0000-1900-00004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38" authorId="1" shapeId="0" xr:uid="{00000000-0006-0000-1900-00005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40" authorId="0" shapeId="0" xr:uid="{00000000-0006-0000-1900-00005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41" authorId="1" shapeId="0" xr:uid="{00000000-0006-0000-1900-00005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42" authorId="1" shapeId="0" xr:uid="{00000000-0006-0000-1900-00005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43" authorId="1" shapeId="0" xr:uid="{00000000-0006-0000-1900-00005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44" authorId="1" shapeId="0" xr:uid="{00000000-0006-0000-1900-00005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45" authorId="1" shapeId="0" xr:uid="{00000000-0006-0000-1900-00005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47" authorId="0" shapeId="0" xr:uid="{00000000-0006-0000-1900-00005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48" authorId="1" shapeId="0" xr:uid="{00000000-0006-0000-1900-00005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49" authorId="1" shapeId="0" xr:uid="{00000000-0006-0000-1900-00005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50" authorId="1" shapeId="0" xr:uid="{00000000-0006-0000-1900-00005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51" authorId="1" shapeId="0" xr:uid="{00000000-0006-0000-1900-00005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52" authorId="1" shapeId="0" xr:uid="{00000000-0006-0000-1900-00005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54" authorId="0" shapeId="0" xr:uid="{00000000-0006-0000-1900-00005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55" authorId="1" shapeId="0" xr:uid="{00000000-0006-0000-1900-00005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56" authorId="1" shapeId="0" xr:uid="{00000000-0006-0000-1900-00005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57" authorId="1" shapeId="0" xr:uid="{00000000-0006-0000-1900-00006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58" authorId="1" shapeId="0" xr:uid="{00000000-0006-0000-1900-00006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59" authorId="1" shapeId="0" xr:uid="{00000000-0006-0000-1900-00006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70" authorId="0" shapeId="0" xr:uid="{00000000-0006-0000-1900-00006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71" authorId="1" shapeId="0" xr:uid="{00000000-0006-0000-1900-00006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72" authorId="1" shapeId="0" xr:uid="{00000000-0006-0000-1900-00006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73" authorId="1" shapeId="0" xr:uid="{00000000-0006-0000-1900-00006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74" authorId="1" shapeId="0" xr:uid="{00000000-0006-0000-1900-00006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75" authorId="1" shapeId="0" xr:uid="{00000000-0006-0000-1900-00006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77" authorId="0" shapeId="0" xr:uid="{00000000-0006-0000-1900-00006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78" authorId="1" shapeId="0" xr:uid="{00000000-0006-0000-1900-00006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79" authorId="1" shapeId="0" xr:uid="{00000000-0006-0000-1900-00006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80" authorId="1" shapeId="0" xr:uid="{00000000-0006-0000-1900-00006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81" authorId="1" shapeId="0" xr:uid="{00000000-0006-0000-1900-00006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82" authorId="1" shapeId="0" xr:uid="{00000000-0006-0000-1900-00006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84" authorId="0" shapeId="0" xr:uid="{00000000-0006-0000-1900-00006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85" authorId="1" shapeId="0" xr:uid="{00000000-0006-0000-1900-00007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86" authorId="1" shapeId="0" xr:uid="{00000000-0006-0000-1900-00007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87" authorId="1" shapeId="0" xr:uid="{00000000-0006-0000-1900-00007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88" authorId="1" shapeId="0" xr:uid="{00000000-0006-0000-1900-00007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89" authorId="1" shapeId="0" xr:uid="{00000000-0006-0000-1900-00007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91" authorId="0" shapeId="0" xr:uid="{00000000-0006-0000-1900-00007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92" authorId="1" shapeId="0" xr:uid="{00000000-0006-0000-1900-00007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93" authorId="1" shapeId="0" xr:uid="{00000000-0006-0000-1900-00007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94" authorId="1" shapeId="0" xr:uid="{00000000-0006-0000-1900-00007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95" authorId="1" shapeId="0" xr:uid="{00000000-0006-0000-1900-00007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96" authorId="1" shapeId="0" xr:uid="{00000000-0006-0000-1900-00007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307" authorId="1" shapeId="0" xr:uid="{00000000-0006-0000-1900-00007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308" authorId="1" shapeId="0" xr:uid="{00000000-0006-0000-1900-00007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309" authorId="1" shapeId="0" xr:uid="{00000000-0006-0000-1900-00007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310" authorId="1" shapeId="0" xr:uid="{00000000-0006-0000-1900-00007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311" authorId="1" shapeId="0" xr:uid="{00000000-0006-0000-1900-00007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312" authorId="1" shapeId="0" xr:uid="{00000000-0006-0000-1900-00008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Haitham Jendoubi</author>
    <author>Francois Painchaud</author>
  </authors>
  <commentList>
    <comment ref="A58" authorId="0" shapeId="0" xr:uid="{00000000-0006-0000-1A00-000001000000}">
      <text>
        <r>
          <rPr>
            <sz val="9"/>
            <color indexed="81"/>
            <rFont val="Tahoma"/>
            <family val="2"/>
          </rPr>
          <t>Includes sum of interest payments on new LC debt in year of issuance in baseline scenario to compensate for omission of these interest payments in the current sheet.</t>
        </r>
      </text>
    </comment>
    <comment ref="A59" authorId="0" shapeId="0" xr:uid="{00000000-0006-0000-1A00-000002000000}">
      <text>
        <r>
          <rPr>
            <sz val="9"/>
            <color indexed="81"/>
            <rFont val="Tahoma"/>
            <family val="2"/>
          </rPr>
          <t>Includes sum of interest payments on new FC debt in year of issuance in baseline scenario to compensate for omission of these interest payments in the current sheet.</t>
        </r>
      </text>
    </comment>
    <comment ref="V119" authorId="0" shapeId="0" xr:uid="{00000000-0006-0000-1A00-00000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20" authorId="1" shapeId="0" xr:uid="{00000000-0006-0000-1A00-00000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21" authorId="1" shapeId="0" xr:uid="{00000000-0006-0000-1A00-00000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22" authorId="1" shapeId="0" xr:uid="{00000000-0006-0000-1A00-00000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23" authorId="1" shapeId="0" xr:uid="{00000000-0006-0000-1A00-00000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24" authorId="1" shapeId="0" xr:uid="{00000000-0006-0000-1A00-00000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28" authorId="0" shapeId="0" xr:uid="{00000000-0006-0000-1A00-00000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29" authorId="1" shapeId="0" xr:uid="{00000000-0006-0000-1A00-00000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30" authorId="1" shapeId="0" xr:uid="{00000000-0006-0000-1A00-00000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31" authorId="1" shapeId="0" xr:uid="{00000000-0006-0000-1A00-00000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32" authorId="1" shapeId="0" xr:uid="{00000000-0006-0000-1A00-00000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33" authorId="1" shapeId="0" xr:uid="{00000000-0006-0000-1A00-00000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38" authorId="0" shapeId="0" xr:uid="{00000000-0006-0000-1A00-00000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39" authorId="1" shapeId="0" xr:uid="{00000000-0006-0000-1A00-00001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40" authorId="1" shapeId="0" xr:uid="{00000000-0006-0000-1A00-00001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41" authorId="1" shapeId="0" xr:uid="{00000000-0006-0000-1A00-00001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42" authorId="1" shapeId="0" xr:uid="{00000000-0006-0000-1A00-00001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43" authorId="1" shapeId="0" xr:uid="{00000000-0006-0000-1A00-00001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45" authorId="0" shapeId="0" xr:uid="{00000000-0006-0000-1A00-00001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46" authorId="1" shapeId="0" xr:uid="{00000000-0006-0000-1A00-00001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47" authorId="1" shapeId="0" xr:uid="{00000000-0006-0000-1A00-00001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48" authorId="1" shapeId="0" xr:uid="{00000000-0006-0000-1A00-00001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49" authorId="1" shapeId="0" xr:uid="{00000000-0006-0000-1A00-00001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50" authorId="1" shapeId="0" xr:uid="{00000000-0006-0000-1A00-00001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52" authorId="0" shapeId="0" xr:uid="{00000000-0006-0000-1A00-00001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53" authorId="1" shapeId="0" xr:uid="{00000000-0006-0000-1A00-00001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54" authorId="1" shapeId="0" xr:uid="{00000000-0006-0000-1A00-00001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55" authorId="1" shapeId="0" xr:uid="{00000000-0006-0000-1A00-00001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56" authorId="1" shapeId="0" xr:uid="{00000000-0006-0000-1A00-00001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57" authorId="1" shapeId="0" xr:uid="{00000000-0006-0000-1A00-00002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59" authorId="0" shapeId="0" xr:uid="{00000000-0006-0000-1A00-00002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60" authorId="1" shapeId="0" xr:uid="{00000000-0006-0000-1A00-00002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61" authorId="1" shapeId="0" xr:uid="{00000000-0006-0000-1A00-00002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62" authorId="1" shapeId="0" xr:uid="{00000000-0006-0000-1A00-00002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63" authorId="1" shapeId="0" xr:uid="{00000000-0006-0000-1A00-00002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64" authorId="1" shapeId="0" xr:uid="{00000000-0006-0000-1A00-00002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75" authorId="0" shapeId="0" xr:uid="{00000000-0006-0000-1A00-00002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76" authorId="1" shapeId="0" xr:uid="{00000000-0006-0000-1A00-00002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77" authorId="1" shapeId="0" xr:uid="{00000000-0006-0000-1A00-00002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78" authorId="1" shapeId="0" xr:uid="{00000000-0006-0000-1A00-00002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79" authorId="1" shapeId="0" xr:uid="{00000000-0006-0000-1A00-00002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80" authorId="1" shapeId="0" xr:uid="{00000000-0006-0000-1A00-00002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82" authorId="0" shapeId="0" xr:uid="{00000000-0006-0000-1A00-00002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83" authorId="1" shapeId="0" xr:uid="{00000000-0006-0000-1A00-00002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84" authorId="1" shapeId="0" xr:uid="{00000000-0006-0000-1A00-00002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85" authorId="1" shapeId="0" xr:uid="{00000000-0006-0000-1A00-00003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86" authorId="1" shapeId="0" xr:uid="{00000000-0006-0000-1A00-00003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87" authorId="1" shapeId="0" xr:uid="{00000000-0006-0000-1A00-00003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89" authorId="0" shapeId="0" xr:uid="{00000000-0006-0000-1A00-00003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90" authorId="1" shapeId="0" xr:uid="{00000000-0006-0000-1A00-00003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91" authorId="1" shapeId="0" xr:uid="{00000000-0006-0000-1A00-00003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92" authorId="1" shapeId="0" xr:uid="{00000000-0006-0000-1A00-00003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93" authorId="1" shapeId="0" xr:uid="{00000000-0006-0000-1A00-00003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94" authorId="1" shapeId="0" xr:uid="{00000000-0006-0000-1A00-00003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96" authorId="0" shapeId="0" xr:uid="{00000000-0006-0000-1A00-00003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97" authorId="1" shapeId="0" xr:uid="{00000000-0006-0000-1A00-00003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98" authorId="1" shapeId="0" xr:uid="{00000000-0006-0000-1A00-00003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99" authorId="1" shapeId="0" xr:uid="{00000000-0006-0000-1A00-00003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00" authorId="1" shapeId="0" xr:uid="{00000000-0006-0000-1A00-00003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01" authorId="1" shapeId="0" xr:uid="{00000000-0006-0000-1A00-00003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14" authorId="0" shapeId="0" xr:uid="{00000000-0006-0000-1A00-00003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15" authorId="1" shapeId="0" xr:uid="{00000000-0006-0000-1A00-00004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16" authorId="1" shapeId="0" xr:uid="{00000000-0006-0000-1A00-00004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17" authorId="1" shapeId="0" xr:uid="{00000000-0006-0000-1A00-00004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18" authorId="1" shapeId="0" xr:uid="{00000000-0006-0000-1A00-00004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19" authorId="1" shapeId="0" xr:uid="{00000000-0006-0000-1A00-00004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23" authorId="0" shapeId="0" xr:uid="{00000000-0006-0000-1A00-00004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24" authorId="1" shapeId="0" xr:uid="{00000000-0006-0000-1A00-00004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25" authorId="1" shapeId="0" xr:uid="{00000000-0006-0000-1A00-00004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26" authorId="1" shapeId="0" xr:uid="{00000000-0006-0000-1A00-00004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27" authorId="1" shapeId="0" xr:uid="{00000000-0006-0000-1A00-00004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28" authorId="1" shapeId="0" xr:uid="{00000000-0006-0000-1A00-00004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33" authorId="0" shapeId="0" xr:uid="{00000000-0006-0000-1A00-00004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34" authorId="1" shapeId="0" xr:uid="{00000000-0006-0000-1A00-00004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35" authorId="1" shapeId="0" xr:uid="{00000000-0006-0000-1A00-00004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36" authorId="1" shapeId="0" xr:uid="{00000000-0006-0000-1A00-00004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37" authorId="1" shapeId="0" xr:uid="{00000000-0006-0000-1A00-00004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38" authorId="1" shapeId="0" xr:uid="{00000000-0006-0000-1A00-00005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40" authorId="0" shapeId="0" xr:uid="{00000000-0006-0000-1A00-00005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41" authorId="1" shapeId="0" xr:uid="{00000000-0006-0000-1A00-00005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42" authorId="1" shapeId="0" xr:uid="{00000000-0006-0000-1A00-00005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43" authorId="1" shapeId="0" xr:uid="{00000000-0006-0000-1A00-00005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44" authorId="1" shapeId="0" xr:uid="{00000000-0006-0000-1A00-00005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45" authorId="1" shapeId="0" xr:uid="{00000000-0006-0000-1A00-00005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47" authorId="0" shapeId="0" xr:uid="{00000000-0006-0000-1A00-00005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48" authorId="1" shapeId="0" xr:uid="{00000000-0006-0000-1A00-00005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49" authorId="1" shapeId="0" xr:uid="{00000000-0006-0000-1A00-00005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50" authorId="1" shapeId="0" xr:uid="{00000000-0006-0000-1A00-00005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51" authorId="1" shapeId="0" xr:uid="{00000000-0006-0000-1A00-00005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52" authorId="1" shapeId="0" xr:uid="{00000000-0006-0000-1A00-00005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54" authorId="0" shapeId="0" xr:uid="{00000000-0006-0000-1A00-00005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55" authorId="1" shapeId="0" xr:uid="{00000000-0006-0000-1A00-00005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56" authorId="1" shapeId="0" xr:uid="{00000000-0006-0000-1A00-00005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57" authorId="1" shapeId="0" xr:uid="{00000000-0006-0000-1A00-00006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58" authorId="1" shapeId="0" xr:uid="{00000000-0006-0000-1A00-00006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59" authorId="1" shapeId="0" xr:uid="{00000000-0006-0000-1A00-00006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70" authorId="0" shapeId="0" xr:uid="{00000000-0006-0000-1A00-00006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71" authorId="1" shapeId="0" xr:uid="{00000000-0006-0000-1A00-00006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72" authorId="1" shapeId="0" xr:uid="{00000000-0006-0000-1A00-00006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73" authorId="1" shapeId="0" xr:uid="{00000000-0006-0000-1A00-00006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74" authorId="1" shapeId="0" xr:uid="{00000000-0006-0000-1A00-00006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75" authorId="1" shapeId="0" xr:uid="{00000000-0006-0000-1A00-00006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77" authorId="0" shapeId="0" xr:uid="{00000000-0006-0000-1A00-00006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78" authorId="1" shapeId="0" xr:uid="{00000000-0006-0000-1A00-00006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79" authorId="1" shapeId="0" xr:uid="{00000000-0006-0000-1A00-00006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80" authorId="1" shapeId="0" xr:uid="{00000000-0006-0000-1A00-00006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81" authorId="1" shapeId="0" xr:uid="{00000000-0006-0000-1A00-00006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82" authorId="1" shapeId="0" xr:uid="{00000000-0006-0000-1A00-00006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84" authorId="0" shapeId="0" xr:uid="{00000000-0006-0000-1A00-00006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85" authorId="1" shapeId="0" xr:uid="{00000000-0006-0000-1A00-00007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86" authorId="1" shapeId="0" xr:uid="{00000000-0006-0000-1A00-00007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87" authorId="1" shapeId="0" xr:uid="{00000000-0006-0000-1A00-00007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88" authorId="1" shapeId="0" xr:uid="{00000000-0006-0000-1A00-00007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89" authorId="1" shapeId="0" xr:uid="{00000000-0006-0000-1A00-00007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91" authorId="0" shapeId="0" xr:uid="{00000000-0006-0000-1A00-00007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92" authorId="1" shapeId="0" xr:uid="{00000000-0006-0000-1A00-00007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93" authorId="1" shapeId="0" xr:uid="{00000000-0006-0000-1A00-00007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94" authorId="1" shapeId="0" xr:uid="{00000000-0006-0000-1A00-00007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95" authorId="1" shapeId="0" xr:uid="{00000000-0006-0000-1A00-00007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96" authorId="1" shapeId="0" xr:uid="{00000000-0006-0000-1A00-00007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307" authorId="1" shapeId="0" xr:uid="{00000000-0006-0000-1A00-00007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308" authorId="1" shapeId="0" xr:uid="{00000000-0006-0000-1A00-00007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309" authorId="1" shapeId="0" xr:uid="{00000000-0006-0000-1A00-00007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310" authorId="1" shapeId="0" xr:uid="{00000000-0006-0000-1A00-00007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311" authorId="1" shapeId="0" xr:uid="{00000000-0006-0000-1A00-00007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312" authorId="1" shapeId="0" xr:uid="{00000000-0006-0000-1A00-00008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Haitham Jendoubi</author>
    <author>Francois Painchaud</author>
  </authors>
  <commentList>
    <comment ref="A58" authorId="0" shapeId="0" xr:uid="{00000000-0006-0000-1B00-000001000000}">
      <text>
        <r>
          <rPr>
            <sz val="9"/>
            <color indexed="81"/>
            <rFont val="Tahoma"/>
            <family val="2"/>
          </rPr>
          <t>Includes sum of interest payments on new LC debt in year of issuance in baseline scenario to compensate for omission of these interest payments in the current sheet.</t>
        </r>
      </text>
    </comment>
    <comment ref="A59" authorId="0" shapeId="0" xr:uid="{00000000-0006-0000-1B00-000002000000}">
      <text>
        <r>
          <rPr>
            <sz val="9"/>
            <color indexed="81"/>
            <rFont val="Tahoma"/>
            <family val="2"/>
          </rPr>
          <t>Includes sum of interest payments on new FC debt in year of issuance in baseline scenario to compensate for omission of these interest payments in the current sheet.</t>
        </r>
      </text>
    </comment>
    <comment ref="V119" authorId="0" shapeId="0" xr:uid="{00000000-0006-0000-1B00-00000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20" authorId="1" shapeId="0" xr:uid="{00000000-0006-0000-1B00-00000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21" authorId="1" shapeId="0" xr:uid="{00000000-0006-0000-1B00-00000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22" authorId="1" shapeId="0" xr:uid="{00000000-0006-0000-1B00-00000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23" authorId="1" shapeId="0" xr:uid="{00000000-0006-0000-1B00-00000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24" authorId="1" shapeId="0" xr:uid="{00000000-0006-0000-1B00-00000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28" authorId="0" shapeId="0" xr:uid="{00000000-0006-0000-1B00-00000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29" authorId="1" shapeId="0" xr:uid="{00000000-0006-0000-1B00-00000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30" authorId="1" shapeId="0" xr:uid="{00000000-0006-0000-1B00-00000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31" authorId="1" shapeId="0" xr:uid="{00000000-0006-0000-1B00-00000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32" authorId="1" shapeId="0" xr:uid="{00000000-0006-0000-1B00-00000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33" authorId="1" shapeId="0" xr:uid="{00000000-0006-0000-1B00-00000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38" authorId="0" shapeId="0" xr:uid="{00000000-0006-0000-1B00-00000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39" authorId="1" shapeId="0" xr:uid="{00000000-0006-0000-1B00-00001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40" authorId="1" shapeId="0" xr:uid="{00000000-0006-0000-1B00-00001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41" authorId="1" shapeId="0" xr:uid="{00000000-0006-0000-1B00-00001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42" authorId="1" shapeId="0" xr:uid="{00000000-0006-0000-1B00-00001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43" authorId="1" shapeId="0" xr:uid="{00000000-0006-0000-1B00-00001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45" authorId="0" shapeId="0" xr:uid="{00000000-0006-0000-1B00-00001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46" authorId="1" shapeId="0" xr:uid="{00000000-0006-0000-1B00-00001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47" authorId="1" shapeId="0" xr:uid="{00000000-0006-0000-1B00-00001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48" authorId="1" shapeId="0" xr:uid="{00000000-0006-0000-1B00-00001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49" authorId="1" shapeId="0" xr:uid="{00000000-0006-0000-1B00-00001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50" authorId="1" shapeId="0" xr:uid="{00000000-0006-0000-1B00-00001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52" authorId="0" shapeId="0" xr:uid="{00000000-0006-0000-1B00-00001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53" authorId="1" shapeId="0" xr:uid="{00000000-0006-0000-1B00-00001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54" authorId="1" shapeId="0" xr:uid="{00000000-0006-0000-1B00-00001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55" authorId="1" shapeId="0" xr:uid="{00000000-0006-0000-1B00-00001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56" authorId="1" shapeId="0" xr:uid="{00000000-0006-0000-1B00-00001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57" authorId="1" shapeId="0" xr:uid="{00000000-0006-0000-1B00-00002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59" authorId="0" shapeId="0" xr:uid="{00000000-0006-0000-1B00-00002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60" authorId="1" shapeId="0" xr:uid="{00000000-0006-0000-1B00-00002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61" authorId="1" shapeId="0" xr:uid="{00000000-0006-0000-1B00-00002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62" authorId="1" shapeId="0" xr:uid="{00000000-0006-0000-1B00-00002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63" authorId="1" shapeId="0" xr:uid="{00000000-0006-0000-1B00-00002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64" authorId="1" shapeId="0" xr:uid="{00000000-0006-0000-1B00-00002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75" authorId="0" shapeId="0" xr:uid="{00000000-0006-0000-1B00-00002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76" authorId="1" shapeId="0" xr:uid="{00000000-0006-0000-1B00-00002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77" authorId="1" shapeId="0" xr:uid="{00000000-0006-0000-1B00-00002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78" authorId="1" shapeId="0" xr:uid="{00000000-0006-0000-1B00-00002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79" authorId="1" shapeId="0" xr:uid="{00000000-0006-0000-1B00-00002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80" authorId="1" shapeId="0" xr:uid="{00000000-0006-0000-1B00-00002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82" authorId="0" shapeId="0" xr:uid="{00000000-0006-0000-1B00-00002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83" authorId="1" shapeId="0" xr:uid="{00000000-0006-0000-1B00-00002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84" authorId="1" shapeId="0" xr:uid="{00000000-0006-0000-1B00-00002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85" authorId="1" shapeId="0" xr:uid="{00000000-0006-0000-1B00-00003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86" authorId="1" shapeId="0" xr:uid="{00000000-0006-0000-1B00-00003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87" authorId="1" shapeId="0" xr:uid="{00000000-0006-0000-1B00-00003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89" authorId="0" shapeId="0" xr:uid="{00000000-0006-0000-1B00-00003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90" authorId="1" shapeId="0" xr:uid="{00000000-0006-0000-1B00-00003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91" authorId="1" shapeId="0" xr:uid="{00000000-0006-0000-1B00-00003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92" authorId="1" shapeId="0" xr:uid="{00000000-0006-0000-1B00-00003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193" authorId="1" shapeId="0" xr:uid="{00000000-0006-0000-1B00-00003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194" authorId="1" shapeId="0" xr:uid="{00000000-0006-0000-1B00-00003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196" authorId="0" shapeId="0" xr:uid="{00000000-0006-0000-1B00-00003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197" authorId="1" shapeId="0" xr:uid="{00000000-0006-0000-1B00-00003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198" authorId="1" shapeId="0" xr:uid="{00000000-0006-0000-1B00-00003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199" authorId="1" shapeId="0" xr:uid="{00000000-0006-0000-1B00-00003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00" authorId="1" shapeId="0" xr:uid="{00000000-0006-0000-1B00-00003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01" authorId="1" shapeId="0" xr:uid="{00000000-0006-0000-1B00-00003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14" authorId="0" shapeId="0" xr:uid="{00000000-0006-0000-1B00-00003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15" authorId="1" shapeId="0" xr:uid="{00000000-0006-0000-1B00-00004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16" authorId="1" shapeId="0" xr:uid="{00000000-0006-0000-1B00-00004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17" authorId="1" shapeId="0" xr:uid="{00000000-0006-0000-1B00-00004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18" authorId="1" shapeId="0" xr:uid="{00000000-0006-0000-1B00-00004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19" authorId="1" shapeId="0" xr:uid="{00000000-0006-0000-1B00-00004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23" authorId="0" shapeId="0" xr:uid="{00000000-0006-0000-1B00-00004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24" authorId="1" shapeId="0" xr:uid="{00000000-0006-0000-1B00-00004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25" authorId="1" shapeId="0" xr:uid="{00000000-0006-0000-1B00-00004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26" authorId="1" shapeId="0" xr:uid="{00000000-0006-0000-1B00-00004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27" authorId="1" shapeId="0" xr:uid="{00000000-0006-0000-1B00-00004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28" authorId="1" shapeId="0" xr:uid="{00000000-0006-0000-1B00-00004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33" authorId="0" shapeId="0" xr:uid="{00000000-0006-0000-1B00-00004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34" authorId="1" shapeId="0" xr:uid="{00000000-0006-0000-1B00-00004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35" authorId="1" shapeId="0" xr:uid="{00000000-0006-0000-1B00-00004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36" authorId="1" shapeId="0" xr:uid="{00000000-0006-0000-1B00-00004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37" authorId="1" shapeId="0" xr:uid="{00000000-0006-0000-1B00-00004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38" authorId="1" shapeId="0" xr:uid="{00000000-0006-0000-1B00-00005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40" authorId="0" shapeId="0" xr:uid="{00000000-0006-0000-1B00-00005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41" authorId="1" shapeId="0" xr:uid="{00000000-0006-0000-1B00-00005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42" authorId="1" shapeId="0" xr:uid="{00000000-0006-0000-1B00-00005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43" authorId="1" shapeId="0" xr:uid="{00000000-0006-0000-1B00-00005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44" authorId="1" shapeId="0" xr:uid="{00000000-0006-0000-1B00-00005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45" authorId="1" shapeId="0" xr:uid="{00000000-0006-0000-1B00-00005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47" authorId="0" shapeId="0" xr:uid="{00000000-0006-0000-1B00-00005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48" authorId="1" shapeId="0" xr:uid="{00000000-0006-0000-1B00-00005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49" authorId="1" shapeId="0" xr:uid="{00000000-0006-0000-1B00-00005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50" authorId="1" shapeId="0" xr:uid="{00000000-0006-0000-1B00-00005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51" authorId="1" shapeId="0" xr:uid="{00000000-0006-0000-1B00-00005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52" authorId="1" shapeId="0" xr:uid="{00000000-0006-0000-1B00-00005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54" authorId="0" shapeId="0" xr:uid="{00000000-0006-0000-1B00-00005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55" authorId="1" shapeId="0" xr:uid="{00000000-0006-0000-1B00-00005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56" authorId="1" shapeId="0" xr:uid="{00000000-0006-0000-1B00-00005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57" authorId="1" shapeId="0" xr:uid="{00000000-0006-0000-1B00-00006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58" authorId="1" shapeId="0" xr:uid="{00000000-0006-0000-1B00-00006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59" authorId="1" shapeId="0" xr:uid="{00000000-0006-0000-1B00-00006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70" authorId="0" shapeId="0" xr:uid="{00000000-0006-0000-1B00-00006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71" authorId="1" shapeId="0" xr:uid="{00000000-0006-0000-1B00-00006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72" authorId="1" shapeId="0" xr:uid="{00000000-0006-0000-1B00-00006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73" authorId="1" shapeId="0" xr:uid="{00000000-0006-0000-1B00-00006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74" authorId="1" shapeId="0" xr:uid="{00000000-0006-0000-1B00-00006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75" authorId="1" shapeId="0" xr:uid="{00000000-0006-0000-1B00-00006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77" authorId="0" shapeId="0" xr:uid="{00000000-0006-0000-1B00-00006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78" authorId="1" shapeId="0" xr:uid="{00000000-0006-0000-1B00-00006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79" authorId="1" shapeId="0" xr:uid="{00000000-0006-0000-1B00-00006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80" authorId="1" shapeId="0" xr:uid="{00000000-0006-0000-1B00-00006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81" authorId="1" shapeId="0" xr:uid="{00000000-0006-0000-1B00-00006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82" authorId="1" shapeId="0" xr:uid="{00000000-0006-0000-1B00-00006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84" authorId="0" shapeId="0" xr:uid="{00000000-0006-0000-1B00-00006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85" authorId="1" shapeId="0" xr:uid="{00000000-0006-0000-1B00-00007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86" authorId="1" shapeId="0" xr:uid="{00000000-0006-0000-1B00-000071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87" authorId="1" shapeId="0" xr:uid="{00000000-0006-0000-1B00-000072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88" authorId="1" shapeId="0" xr:uid="{00000000-0006-0000-1B00-000073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89" authorId="1" shapeId="0" xr:uid="{00000000-0006-0000-1B00-000074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291" authorId="0" shapeId="0" xr:uid="{00000000-0006-0000-1B00-000075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292" authorId="1" shapeId="0" xr:uid="{00000000-0006-0000-1B00-000076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293" authorId="1" shapeId="0" xr:uid="{00000000-0006-0000-1B00-000077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294" authorId="1" shapeId="0" xr:uid="{00000000-0006-0000-1B00-000078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295" authorId="1" shapeId="0" xr:uid="{00000000-0006-0000-1B00-000079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296" authorId="1" shapeId="0" xr:uid="{00000000-0006-0000-1B00-00007A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V307" authorId="1" shapeId="0" xr:uid="{00000000-0006-0000-1B00-00007B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W308" authorId="1" shapeId="0" xr:uid="{00000000-0006-0000-1B00-00007C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X309" authorId="1" shapeId="0" xr:uid="{00000000-0006-0000-1B00-00007D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Y310" authorId="1" shapeId="0" xr:uid="{00000000-0006-0000-1B00-00007E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Z311" authorId="1" shapeId="0" xr:uid="{00000000-0006-0000-1B00-00007F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 ref="AA312" authorId="1" shapeId="0" xr:uid="{00000000-0006-0000-1B00-000080000000}">
      <text>
        <r>
          <rPr>
            <sz val="12"/>
            <color indexed="81"/>
            <rFont val="Tahoma"/>
            <family val="2"/>
          </rPr>
          <t>In order for the financing gap to be closed automatically in shock scenarios, interest payments in the year of disbursements have to be zero (not to change the financing gap a create a circular reference). To minimize the impact of this simplifying assumption onthe debt level and the debt service, the interest payments (t) on new disbursements (t) from the baseline scenario are added to the shock scenarios i.e. only the interest payments (t) from the marginal financing  (resulting from the shock) are not taken into account.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Haitham Jendoubi</author>
    <author>sbakhache</author>
  </authors>
  <commentList>
    <comment ref="Q18" authorId="0" shapeId="0" xr:uid="{00000000-0006-0000-0200-000001000000}">
      <text>
        <r>
          <rPr>
            <sz val="9"/>
            <color indexed="81"/>
            <rFont val="Tahoma"/>
            <family val="2"/>
          </rPr>
          <t>Projected total public sector expenditures are equal to (a) projected non-interest expenditures, provided by the user in cells Q19-V19 below, and (b) projected interest expenditures, which are computed within the template.</t>
        </r>
      </text>
    </comment>
    <comment ref="Q20" authorId="0" shapeId="0" xr:uid="{00000000-0006-0000-0200-000002000000}">
      <text>
        <r>
          <rPr>
            <sz val="9"/>
            <color indexed="81"/>
            <rFont val="Tahoma"/>
            <family val="2"/>
          </rPr>
          <t>Projected interest payments are computed within the template.</t>
        </r>
      </text>
    </comment>
    <comment ref="Q21" authorId="0" shapeId="0" xr:uid="{00000000-0006-0000-0200-000003000000}">
      <text>
        <r>
          <rPr>
            <sz val="9"/>
            <color indexed="81"/>
            <rFont val="Tahoma"/>
            <family val="2"/>
          </rPr>
          <t>Projected interest payments are computed within the template.</t>
        </r>
      </text>
    </comment>
    <comment ref="Q22" authorId="0" shapeId="0" xr:uid="{00000000-0006-0000-0200-000004000000}">
      <text>
        <r>
          <rPr>
            <sz val="9"/>
            <color indexed="81"/>
            <rFont val="Tahoma"/>
            <family val="2"/>
          </rPr>
          <t>Projected interest payments are computed within the template.</t>
        </r>
      </text>
    </comment>
    <comment ref="Q23" authorId="0" shapeId="0" xr:uid="{00000000-0006-0000-0200-000005000000}">
      <text>
        <r>
          <rPr>
            <sz val="9"/>
            <color indexed="81"/>
            <rFont val="Tahoma"/>
            <family val="2"/>
          </rPr>
          <t>Projected principal payments are computed within the template.</t>
        </r>
      </text>
    </comment>
    <comment ref="Q24" authorId="1" shapeId="0" xr:uid="{00000000-0006-0000-0200-000006000000}">
      <text>
        <r>
          <rPr>
            <sz val="9"/>
            <color indexed="81"/>
            <rFont val="Tahoma"/>
            <family val="2"/>
          </rPr>
          <t>Projected total debt service equals the sum of projected interest expenditures and projected principal payments, both of which are computed within the template.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Ilona Mostipan</author>
    <author>Haitham Jendoubi</author>
    <author>Francois Painchaud</author>
  </authors>
  <commentList>
    <comment ref="A6" authorId="0" shapeId="0" xr:uid="{00000000-0006-0000-0300-000001000000}">
      <text>
        <r>
          <rPr>
            <sz val="9"/>
            <color indexed="81"/>
            <rFont val="Tahoma"/>
            <family val="2"/>
          </rPr>
          <t>This amount is computed automatically as the sum of local currency and foreign currency guarantees entered below.</t>
        </r>
      </text>
    </comment>
    <comment ref="A8" authorId="0" shapeId="0" xr:uid="{00000000-0006-0000-0300-000002000000}">
      <text>
        <r>
          <rPr>
            <sz val="9"/>
            <color indexed="81"/>
            <rFont val="Tahoma"/>
            <family val="2"/>
          </rPr>
          <t>Maturity of one year or less, based on disbursed debt at original maturity.</t>
        </r>
      </text>
    </comment>
    <comment ref="A9" authorId="0" shapeId="0" xr:uid="{00000000-0006-0000-0300-000003000000}">
      <text>
        <r>
          <rPr>
            <sz val="9"/>
            <color indexed="81"/>
            <rFont val="Tahoma"/>
            <family val="2"/>
          </rPr>
          <t xml:space="preserve">Maturity of more than one year.
</t>
        </r>
      </text>
    </comment>
    <comment ref="A12" authorId="1" shapeId="0" xr:uid="{00000000-0006-0000-0300-000004000000}">
      <text>
        <r>
          <rPr>
            <sz val="9"/>
            <color indexed="81"/>
            <rFont val="Tahoma"/>
            <family val="2"/>
          </rPr>
          <t>Historical guarantees on local currency debt. The amount of long-term debt denominated in local currency above should include guarantees. The amount of guarantees entered for the last historical year or first year of projection is carried over to all subsequent projection years.</t>
        </r>
      </text>
    </comment>
    <comment ref="O12" authorId="1" shapeId="0" xr:uid="{00000000-0006-0000-0300-000005000000}">
      <text>
        <r>
          <rPr>
            <sz val="9"/>
            <color indexed="81"/>
            <rFont val="Tahoma"/>
            <family val="2"/>
          </rPr>
          <t>Users may input an estimate of publicly-guaranteed local-currency debt in the first year of projection, if available. Otherwise, the previous year's amount is carried over to all subsequent projection years.</t>
        </r>
      </text>
    </comment>
    <comment ref="A14" authorId="1" shapeId="0" xr:uid="{00000000-0006-0000-0300-000006000000}">
      <text>
        <r>
          <rPr>
            <sz val="9"/>
            <color indexed="81"/>
            <rFont val="Tahoma"/>
            <family val="2"/>
          </rPr>
          <t>Historical guarantees on foreign currency debt. The amount of long-term debt denominated in foreign currency above should include guarantees. The amount of guarantees entered for the last historical year or first year of projection is carried over to all subsequent projection years.</t>
        </r>
      </text>
    </comment>
    <comment ref="O14" authorId="1" shapeId="0" xr:uid="{00000000-0006-0000-0300-000007000000}">
      <text>
        <r>
          <rPr>
            <sz val="9"/>
            <color indexed="81"/>
            <rFont val="Tahoma"/>
            <family val="2"/>
          </rPr>
          <t>Users may input an estimate of publicly-guaranteed foreign-currency debt in the first year of projection, if available. Otherwise, the previous year's amount is carried over to all subsequent projection years.</t>
        </r>
      </text>
    </comment>
    <comment ref="A16" authorId="0" shapeId="0" xr:uid="{00000000-0006-0000-0300-000008000000}">
      <text>
        <r>
          <rPr>
            <sz val="9"/>
            <color indexed="81"/>
            <rFont val="Tahoma"/>
            <family val="2"/>
          </rPr>
          <t>Based on residency criterion.</t>
        </r>
      </text>
    </comment>
    <comment ref="A17" authorId="0" shapeId="0" xr:uid="{00000000-0006-0000-0300-000009000000}">
      <text>
        <r>
          <rPr>
            <sz val="9"/>
            <color indexed="81"/>
            <rFont val="Tahoma"/>
            <family val="2"/>
          </rPr>
          <t>Based on residency criterion.</t>
        </r>
      </text>
    </comment>
    <comment ref="A20" authorId="0" shapeId="0" xr:uid="{00000000-0006-0000-0300-00000A000000}">
      <text>
        <r>
          <rPr>
            <sz val="9"/>
            <color indexed="81"/>
            <rFont val="Tahoma"/>
            <family val="2"/>
          </rPr>
          <t>Users are encouraged to cross-check this measure of financial system assets against information from the central bank and select the measure that most accurately reflects the size of banking system assets that could potentially give rise to contingent liabilities.</t>
        </r>
      </text>
    </comment>
    <comment ref="B20" authorId="0" shapeId="0" xr:uid="{00000000-0006-0000-0300-00000B000000}">
      <text>
        <r>
          <rPr>
            <sz val="10"/>
            <color indexed="81"/>
            <rFont val="Tahoma"/>
            <family val="2"/>
          </rPr>
          <t>Users may use the GDP line below to compute the indicator in percent of GDP.</t>
        </r>
      </text>
    </comment>
    <comment ref="A22" authorId="2" shapeId="0" xr:uid="{00000000-0006-0000-0300-00000C000000}">
      <text>
        <r>
          <rPr>
            <sz val="9"/>
            <color indexed="81"/>
            <rFont val="Tahoma"/>
            <family val="2"/>
          </rPr>
          <t>For private credit, the data should preferably come from the Other Depository Corporations IFS survey, which covers all resident financial corporations (except the central bank), under claims on private sector (line 22D). Users may also wish to look at the Depository Corporations survey (national residency), under claims on other sectors (line 32S).</t>
        </r>
      </text>
    </comment>
    <comment ref="B22" authorId="0" shapeId="0" xr:uid="{00000000-0006-0000-0300-00000D000000}">
      <text>
        <r>
          <rPr>
            <sz val="10"/>
            <color indexed="81"/>
            <rFont val="Tahoma"/>
            <family val="2"/>
          </rPr>
          <t>Users may use the GDP line below to compute the indicator in percent of GDP.</t>
        </r>
      </text>
    </comment>
    <comment ref="A23" authorId="2" shapeId="0" xr:uid="{00000000-0006-0000-0300-00000E000000}">
      <text>
        <r>
          <rPr>
            <sz val="9"/>
            <color indexed="81"/>
            <rFont val="Tahoma"/>
            <family val="2"/>
          </rPr>
          <t xml:space="preserve">For gross foreign assets, the data should preferably come from the Other Depository Corporations IFS survey, which covers all resident financial corporations (except the central bank), under claims on nonresidents (line 21). </t>
        </r>
      </text>
    </comment>
    <comment ref="B23" authorId="0" shapeId="0" xr:uid="{00000000-0006-0000-0300-00000F000000}">
      <text>
        <r>
          <rPr>
            <sz val="10"/>
            <color indexed="81"/>
            <rFont val="Tahoma"/>
            <family val="2"/>
          </rPr>
          <t>Users may use the GDP line below to compute the indicator in percent of GDP.</t>
        </r>
      </text>
    </comment>
    <comment ref="A25" authorId="0" shapeId="0" xr:uid="{00000000-0006-0000-0300-000010000000}">
      <text>
        <r>
          <rPr>
            <sz val="9"/>
            <color indexed="81"/>
            <rFont val="Tahoma"/>
            <family val="2"/>
          </rPr>
          <t xml:space="preserve">Available from Bankscope, Universal Bank Model aggregation: it is the ratio of Gross Loans (line 75, in the Loans/Assets section of the balance sheet) to Total Customer Deposits (line 113, in the Interest-Bearing Liabilities/Liabilities section of the balance sheet). Also available from countries' Financial Soundness Indicators reports. Please enter in </t>
        </r>
        <r>
          <rPr>
            <u/>
            <sz val="9"/>
            <color indexed="81"/>
            <rFont val="Tahoma"/>
            <family val="2"/>
          </rPr>
          <t>percentage</t>
        </r>
        <r>
          <rPr>
            <sz val="9"/>
            <color indexed="81"/>
            <rFont val="Tahoma"/>
            <family val="2"/>
          </rPr>
          <t xml:space="preserve"> terms.</t>
        </r>
      </text>
    </comment>
    <comment ref="N25" authorId="1" shapeId="0" xr:uid="{00000000-0006-0000-0300-000011000000}">
      <text>
        <r>
          <rPr>
            <sz val="9"/>
            <color indexed="81"/>
            <rFont val="Tahoma"/>
            <family val="2"/>
          </rPr>
          <t xml:space="preserve">Please ensure this value is expressed as a percent. E.g., please enter 162%, </t>
        </r>
        <r>
          <rPr>
            <u/>
            <sz val="9"/>
            <color indexed="81"/>
            <rFont val="Tahoma"/>
            <family val="2"/>
          </rPr>
          <t>not</t>
        </r>
        <r>
          <rPr>
            <sz val="9"/>
            <color indexed="81"/>
            <rFont val="Tahoma"/>
            <family val="2"/>
          </rPr>
          <t xml:space="preserve"> 1.62.</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Ilona Mostipan</author>
    <author>Francois Painchaud</author>
  </authors>
  <commentList>
    <comment ref="C24" authorId="0" shapeId="0" xr:uid="{00000000-0006-0000-0400-000001000000}">
      <text>
        <r>
          <rPr>
            <sz val="12"/>
            <color indexed="81"/>
            <rFont val="Tahoma"/>
            <family val="2"/>
          </rPr>
          <t>For the first year of projection only, please include scheduled interest payment on existing ST debt.</t>
        </r>
      </text>
    </comment>
    <comment ref="C25" authorId="0" shapeId="0" xr:uid="{00000000-0006-0000-0400-000002000000}">
      <text>
        <r>
          <rPr>
            <sz val="12"/>
            <color indexed="81"/>
            <rFont val="Tahoma"/>
            <family val="2"/>
          </rPr>
          <t>For the first year of projection only, please include scheduled interest payment on existing ST debt.</t>
        </r>
        <r>
          <rPr>
            <sz val="9"/>
            <color indexed="81"/>
            <rFont val="Tahoma"/>
            <family val="2"/>
          </rPr>
          <t xml:space="preserve">
</t>
        </r>
      </text>
    </comment>
    <comment ref="C27" authorId="0" shapeId="0" xr:uid="{00000000-0006-0000-0400-000003000000}">
      <text>
        <r>
          <rPr>
            <sz val="12"/>
            <color indexed="81"/>
            <rFont val="Tahoma"/>
            <family val="2"/>
          </rPr>
          <t>For the first year of projection only, please include scheduled principal payment on existing ST debt.</t>
        </r>
      </text>
    </comment>
    <comment ref="C28" authorId="0" shapeId="0" xr:uid="{00000000-0006-0000-0400-000004000000}">
      <text>
        <r>
          <rPr>
            <sz val="12"/>
            <color indexed="81"/>
            <rFont val="Tahoma"/>
            <family val="2"/>
          </rPr>
          <t>For the first year of projection only, please include scheduled principal payment on existing ST debt.</t>
        </r>
        <r>
          <rPr>
            <sz val="9"/>
            <color indexed="81"/>
            <rFont val="Tahoma"/>
            <family val="2"/>
          </rPr>
          <t xml:space="preserve">
</t>
        </r>
      </text>
    </comment>
    <comment ref="C32" authorId="1" shapeId="0" xr:uid="{00000000-0006-0000-0400-000005000000}">
      <text>
        <r>
          <rPr>
            <sz val="12"/>
            <color indexed="81"/>
            <rFont val="Tahoma"/>
            <family val="2"/>
          </rPr>
          <t xml:space="preserve">If the "first year of projection" is an estimate rather than a projection, users may populate this cell with estimated data.  </t>
        </r>
      </text>
    </comment>
    <comment ref="C33" authorId="1" shapeId="0" xr:uid="{00000000-0006-0000-0400-000006000000}">
      <text>
        <r>
          <rPr>
            <sz val="12"/>
            <color indexed="81"/>
            <rFont val="Tahoma"/>
            <family val="2"/>
          </rPr>
          <t xml:space="preserve">If the "first year of projection" is an estimate rather than a projection, users may populate this cell with estimated data.  </t>
        </r>
      </text>
    </comment>
    <comment ref="C34" authorId="1" shapeId="0" xr:uid="{00000000-0006-0000-0400-000007000000}">
      <text>
        <r>
          <rPr>
            <sz val="12"/>
            <color indexed="81"/>
            <rFont val="Tahoma"/>
            <family val="2"/>
          </rPr>
          <t xml:space="preserve">If the "first year of projection" is an estimate rather than a projection, users may populate this cell with estimated data.  
</t>
        </r>
      </text>
    </comment>
    <comment ref="C35" authorId="1" shapeId="0" xr:uid="{00000000-0006-0000-0400-000008000000}">
      <text>
        <r>
          <rPr>
            <sz val="12"/>
            <color indexed="81"/>
            <rFont val="Tahoma"/>
            <family val="2"/>
          </rPr>
          <t xml:space="preserve">If the "first year of projection" is an estimate rather than a projection, users may populate this cell with estimated data.
</t>
        </r>
      </text>
    </comment>
    <comment ref="J50" authorId="1" shapeId="0" xr:uid="{00000000-0006-0000-0400-000009000000}">
      <text>
        <r>
          <rPr>
            <sz val="12"/>
            <color indexed="81"/>
            <rFont val="Tahoma"/>
            <family val="2"/>
          </rPr>
          <t>Payments can be semi-annual or annual. Use drop-down menu to select.</t>
        </r>
      </text>
    </comment>
    <comment ref="K50" authorId="1" shapeId="0" xr:uid="{00000000-0006-0000-0400-00000A000000}">
      <text>
        <r>
          <rPr>
            <sz val="12"/>
            <color indexed="81"/>
            <rFont val="Tahoma"/>
            <family val="2"/>
          </rPr>
          <t>Applies only to amortization payments.</t>
        </r>
      </text>
    </comment>
    <comment ref="A54" authorId="0" shapeId="0" xr:uid="{00000000-0006-0000-0400-00000B000000}">
      <text>
        <r>
          <rPr>
            <sz val="12"/>
            <color indexed="81"/>
            <rFont val="Tahoma"/>
            <family val="2"/>
          </rPr>
          <t>Domestic and external debt based on residency criterion.</t>
        </r>
      </text>
    </comment>
    <comment ref="A55" authorId="0" shapeId="0" xr:uid="{00000000-0006-0000-0400-00000C000000}">
      <text>
        <r>
          <rPr>
            <sz val="12"/>
            <color indexed="81"/>
            <rFont val="Tahoma"/>
            <family val="2"/>
          </rPr>
          <t>Maturity of one year or less, based on original maturity.</t>
        </r>
      </text>
    </comment>
    <comment ref="K56" authorId="1" shapeId="0" xr:uid="{00000000-0006-0000-0400-00000D000000}">
      <text>
        <r>
          <rPr>
            <sz val="10"/>
            <color indexed="81"/>
            <rFont val="Tahoma"/>
            <family val="2"/>
          </rPr>
          <t>0.5 &lt;= grace &lt;= maturity</t>
        </r>
        <r>
          <rPr>
            <sz val="9"/>
            <color indexed="81"/>
            <rFont val="Tahoma"/>
            <family val="2"/>
          </rPr>
          <t xml:space="preserve">
Use grace = maturity for a bullet bond.</t>
        </r>
      </text>
    </comment>
    <comment ref="K57" authorId="1" shapeId="0" xr:uid="{00000000-0006-0000-0400-00000E000000}">
      <text>
        <r>
          <rPr>
            <sz val="10"/>
            <color indexed="81"/>
            <rFont val="Tahoma"/>
            <family val="2"/>
          </rPr>
          <t>0.5 &lt;= grace &lt;= maturity</t>
        </r>
        <r>
          <rPr>
            <sz val="9"/>
            <color indexed="81"/>
            <rFont val="Tahoma"/>
            <family val="2"/>
          </rPr>
          <t xml:space="preserve">
Use grace = maturity for a bullet bond.</t>
        </r>
      </text>
    </comment>
    <comment ref="A58" authorId="0" shapeId="0" xr:uid="{00000000-0006-0000-0400-00000F000000}">
      <text>
        <r>
          <rPr>
            <sz val="12"/>
            <color indexed="81"/>
            <rFont val="Tahoma"/>
            <family val="2"/>
          </rPr>
          <t>Maturity of more than one year.</t>
        </r>
      </text>
    </comment>
    <comment ref="K60" authorId="1" shapeId="0" xr:uid="{00000000-0006-0000-0400-000010000000}">
      <text>
        <r>
          <rPr>
            <sz val="10"/>
            <color indexed="81"/>
            <rFont val="Tahoma"/>
            <family val="2"/>
          </rPr>
          <t>0.5 &lt;= grace &lt;= maturity</t>
        </r>
        <r>
          <rPr>
            <sz val="9"/>
            <color indexed="81"/>
            <rFont val="Tahoma"/>
            <family val="2"/>
          </rPr>
          <t xml:space="preserve">
Use grace = maturity for a bullet bond.</t>
        </r>
      </text>
    </comment>
    <comment ref="K61" authorId="1" shapeId="0" xr:uid="{00000000-0006-0000-0400-000011000000}">
      <text>
        <r>
          <rPr>
            <sz val="10"/>
            <color indexed="81"/>
            <rFont val="Tahoma"/>
            <family val="2"/>
          </rPr>
          <t>0.5 &lt;= grace &lt;= maturity</t>
        </r>
        <r>
          <rPr>
            <sz val="9"/>
            <color indexed="81"/>
            <rFont val="Tahoma"/>
            <family val="2"/>
          </rPr>
          <t xml:space="preserve">
Use grace = maturity for a bullet bond.</t>
        </r>
      </text>
    </comment>
    <comment ref="K62" authorId="1" shapeId="0" xr:uid="{00000000-0006-0000-0400-000012000000}">
      <text>
        <r>
          <rPr>
            <sz val="10"/>
            <color indexed="81"/>
            <rFont val="Tahoma"/>
            <family val="2"/>
          </rPr>
          <t>0.5 &lt;= grace &lt;= maturity</t>
        </r>
        <r>
          <rPr>
            <sz val="9"/>
            <color indexed="81"/>
            <rFont val="Tahoma"/>
            <family val="2"/>
          </rPr>
          <t xml:space="preserve">
Use grace = maturity for a bullet bond.</t>
        </r>
      </text>
    </comment>
    <comment ref="K63" authorId="1" shapeId="0" xr:uid="{00000000-0006-0000-0400-000013000000}">
      <text>
        <r>
          <rPr>
            <sz val="10"/>
            <color indexed="81"/>
            <rFont val="Tahoma"/>
            <family val="2"/>
          </rPr>
          <t>0.5 &lt;= grace &lt;= maturity</t>
        </r>
        <r>
          <rPr>
            <sz val="9"/>
            <color indexed="81"/>
            <rFont val="Tahoma"/>
            <family val="2"/>
          </rPr>
          <t xml:space="preserve">
Use grace = maturity for a bullet bond.</t>
        </r>
      </text>
    </comment>
    <comment ref="A64" authorId="1" shapeId="0" xr:uid="{00000000-0006-0000-0400-000014000000}">
      <text>
        <r>
          <rPr>
            <sz val="12"/>
            <color indexed="81"/>
            <rFont val="Tahoma"/>
            <family val="2"/>
          </rPr>
          <t>This line should be used only for ZERO-COUPON BONDS.
For simplicity, users should enter the amount of financing required, as they would do for other types of bonds; the full amount to be repaid at maturity is calculated as the amount of financing required plus compounded implicit interest payments.</t>
        </r>
      </text>
    </comment>
    <comment ref="K64" authorId="1" shapeId="0" xr:uid="{00000000-0006-0000-0400-000015000000}">
      <text>
        <r>
          <rPr>
            <sz val="12"/>
            <color indexed="81"/>
            <rFont val="Tahoma"/>
            <family val="2"/>
          </rPr>
          <t>grace = maturity</t>
        </r>
      </text>
    </comment>
    <comment ref="K66" authorId="1" shapeId="0" xr:uid="{00000000-0006-0000-0400-000016000000}">
      <text>
        <r>
          <rPr>
            <sz val="10"/>
            <color indexed="81"/>
            <rFont val="Tahoma"/>
            <family val="2"/>
          </rPr>
          <t>0.5 &lt;= grace &lt;= maturity</t>
        </r>
        <r>
          <rPr>
            <sz val="9"/>
            <color indexed="81"/>
            <rFont val="Tahoma"/>
            <family val="2"/>
          </rPr>
          <t xml:space="preserve">
Use grace = maturity for a bullet bond.</t>
        </r>
      </text>
    </comment>
    <comment ref="K67" authorId="1" shapeId="0" xr:uid="{00000000-0006-0000-0400-000017000000}">
      <text>
        <r>
          <rPr>
            <sz val="10"/>
            <color indexed="81"/>
            <rFont val="Tahoma"/>
            <family val="2"/>
          </rPr>
          <t>0.5 &lt;= grace &lt;= maturity</t>
        </r>
        <r>
          <rPr>
            <sz val="9"/>
            <color indexed="81"/>
            <rFont val="Tahoma"/>
            <family val="2"/>
          </rPr>
          <t xml:space="preserve">
Use grace = maturity for a bullet bond.</t>
        </r>
      </text>
    </comment>
    <comment ref="K68" authorId="1" shapeId="0" xr:uid="{00000000-0006-0000-0400-000018000000}">
      <text>
        <r>
          <rPr>
            <sz val="10"/>
            <color indexed="81"/>
            <rFont val="Tahoma"/>
            <family val="2"/>
          </rPr>
          <t>0.5 &lt;= grace &lt;= maturity</t>
        </r>
        <r>
          <rPr>
            <sz val="9"/>
            <color indexed="81"/>
            <rFont val="Tahoma"/>
            <family val="2"/>
          </rPr>
          <t xml:space="preserve">
Use grace = maturity for a bullet bond.</t>
        </r>
      </text>
    </comment>
    <comment ref="K69" authorId="1" shapeId="0" xr:uid="{00000000-0006-0000-0400-000019000000}">
      <text>
        <r>
          <rPr>
            <sz val="10"/>
            <color indexed="81"/>
            <rFont val="Tahoma"/>
            <family val="2"/>
          </rPr>
          <t>0.5 &lt;= grace &lt;= maturity</t>
        </r>
        <r>
          <rPr>
            <sz val="9"/>
            <color indexed="81"/>
            <rFont val="Tahoma"/>
            <family val="2"/>
          </rPr>
          <t xml:space="preserve">
Use grace = maturity for a bullet bond.</t>
        </r>
      </text>
    </comment>
    <comment ref="A70" authorId="1" shapeId="0" xr:uid="{00000000-0006-0000-0400-00001A000000}">
      <text>
        <r>
          <rPr>
            <sz val="12"/>
            <color indexed="81"/>
            <rFont val="Tahoma"/>
            <family val="2"/>
          </rPr>
          <t>This line should be used only for ZERO-COUPON BONDS.
For simplicity, users should enter the amount of financing required, as they would do for other types of bonds; the full amount to be repaid at maturity is calculated as the amount of financing required plus compounded implicit interest payments.</t>
        </r>
      </text>
    </comment>
    <comment ref="K70" authorId="1" shapeId="0" xr:uid="{00000000-0006-0000-0400-00001B000000}">
      <text>
        <r>
          <rPr>
            <sz val="12"/>
            <color indexed="81"/>
            <rFont val="Tahoma"/>
            <family val="2"/>
          </rPr>
          <t>grace = maturity</t>
        </r>
        <r>
          <rPr>
            <sz val="9"/>
            <color indexed="81"/>
            <rFont val="Tahoma"/>
            <family val="2"/>
          </rPr>
          <t xml:space="preserve">
</t>
        </r>
      </text>
    </comment>
    <comment ref="A71" authorId="0" shapeId="0" xr:uid="{00000000-0006-0000-0400-00001C000000}">
      <text>
        <r>
          <rPr>
            <sz val="12"/>
            <color indexed="81"/>
            <rFont val="Tahoma"/>
            <family val="2"/>
          </rPr>
          <t>Domestic and external debt based on residency criterion.</t>
        </r>
      </text>
    </comment>
    <comment ref="A72" authorId="0" shapeId="0" xr:uid="{00000000-0006-0000-0400-00001D000000}">
      <text>
        <r>
          <rPr>
            <sz val="12"/>
            <color indexed="81"/>
            <rFont val="Tahoma"/>
            <family val="2"/>
          </rPr>
          <t>Maturity of one year or less, based on original maturity.</t>
        </r>
      </text>
    </comment>
    <comment ref="K73" authorId="1" shapeId="0" xr:uid="{00000000-0006-0000-0400-00001E000000}">
      <text>
        <r>
          <rPr>
            <sz val="10"/>
            <color indexed="81"/>
            <rFont val="Tahoma"/>
            <family val="2"/>
          </rPr>
          <t>0.5 &lt;= grace &lt;= maturity</t>
        </r>
        <r>
          <rPr>
            <sz val="9"/>
            <color indexed="81"/>
            <rFont val="Tahoma"/>
            <family val="2"/>
          </rPr>
          <t xml:space="preserve">
Use grace = maturity for a bullet bond.</t>
        </r>
      </text>
    </comment>
    <comment ref="K74" authorId="1" shapeId="0" xr:uid="{00000000-0006-0000-0400-00001F000000}">
      <text>
        <r>
          <rPr>
            <sz val="10"/>
            <color indexed="81"/>
            <rFont val="Tahoma"/>
            <family val="2"/>
          </rPr>
          <t>0.5 &lt;= grace &lt;= maturity</t>
        </r>
        <r>
          <rPr>
            <sz val="9"/>
            <color indexed="81"/>
            <rFont val="Tahoma"/>
            <family val="2"/>
          </rPr>
          <t xml:space="preserve">
Use grace = maturity for a bullet bond.</t>
        </r>
      </text>
    </comment>
    <comment ref="A75" authorId="0" shapeId="0" xr:uid="{00000000-0006-0000-0400-000020000000}">
      <text>
        <r>
          <rPr>
            <sz val="12"/>
            <color indexed="81"/>
            <rFont val="Tahoma"/>
            <family val="2"/>
          </rPr>
          <t>Maturity of more than one year.</t>
        </r>
      </text>
    </comment>
    <comment ref="K77" authorId="1" shapeId="0" xr:uid="{00000000-0006-0000-0400-000021000000}">
      <text>
        <r>
          <rPr>
            <sz val="10"/>
            <color indexed="81"/>
            <rFont val="Tahoma"/>
            <family val="2"/>
          </rPr>
          <t>0.5 &lt;= grace &lt;= maturity</t>
        </r>
        <r>
          <rPr>
            <sz val="9"/>
            <color indexed="81"/>
            <rFont val="Tahoma"/>
            <family val="2"/>
          </rPr>
          <t xml:space="preserve">
Use grace = maturity for a bullet bond.</t>
        </r>
      </text>
    </comment>
    <comment ref="K78" authorId="1" shapeId="0" xr:uid="{00000000-0006-0000-0400-000022000000}">
      <text>
        <r>
          <rPr>
            <sz val="10"/>
            <color indexed="81"/>
            <rFont val="Tahoma"/>
            <family val="2"/>
          </rPr>
          <t>0.5 &lt;= grace &lt;= maturity</t>
        </r>
        <r>
          <rPr>
            <sz val="9"/>
            <color indexed="81"/>
            <rFont val="Tahoma"/>
            <family val="2"/>
          </rPr>
          <t xml:space="preserve">
Use grace = maturity for a bullet bond.</t>
        </r>
      </text>
    </comment>
    <comment ref="K79" authorId="1" shapeId="0" xr:uid="{00000000-0006-0000-0400-000023000000}">
      <text>
        <r>
          <rPr>
            <sz val="10"/>
            <color indexed="81"/>
            <rFont val="Tahoma"/>
            <family val="2"/>
          </rPr>
          <t>0.5 &lt;= grace &lt;= maturity</t>
        </r>
        <r>
          <rPr>
            <sz val="9"/>
            <color indexed="81"/>
            <rFont val="Tahoma"/>
            <family val="2"/>
          </rPr>
          <t xml:space="preserve">
Use grace = maturity for a bullet bond.</t>
        </r>
      </text>
    </comment>
    <comment ref="K80" authorId="1" shapeId="0" xr:uid="{00000000-0006-0000-0400-000024000000}">
      <text>
        <r>
          <rPr>
            <sz val="10"/>
            <color indexed="81"/>
            <rFont val="Tahoma"/>
            <family val="2"/>
          </rPr>
          <t>0.5 &lt;= grace &lt;= maturity</t>
        </r>
        <r>
          <rPr>
            <sz val="9"/>
            <color indexed="81"/>
            <rFont val="Tahoma"/>
            <family val="2"/>
          </rPr>
          <t xml:space="preserve">
Use grace = maturity for a bullet bond.</t>
        </r>
      </text>
    </comment>
    <comment ref="A81" authorId="1" shapeId="0" xr:uid="{00000000-0006-0000-0400-000025000000}">
      <text>
        <r>
          <rPr>
            <sz val="12"/>
            <color indexed="81"/>
            <rFont val="Tahoma"/>
            <family val="2"/>
          </rPr>
          <t>This line should be used only for ZERO-COUPON BONDS.
For simplicity, users should enter the amount of financing required, as they would do for other types of bonds; the full amount to be repaid at maturity is calculated as the amount of financing required plus compounded implicit interest payments.</t>
        </r>
      </text>
    </comment>
    <comment ref="K81" authorId="1" shapeId="0" xr:uid="{00000000-0006-0000-0400-000026000000}">
      <text>
        <r>
          <rPr>
            <sz val="12"/>
            <color indexed="81"/>
            <rFont val="Tahoma"/>
            <family val="2"/>
          </rPr>
          <t>grace = maturity</t>
        </r>
        <r>
          <rPr>
            <sz val="9"/>
            <color indexed="81"/>
            <rFont val="Tahoma"/>
            <family val="2"/>
          </rPr>
          <t xml:space="preserve">
</t>
        </r>
      </text>
    </comment>
    <comment ref="K83" authorId="1" shapeId="0" xr:uid="{00000000-0006-0000-0400-000027000000}">
      <text>
        <r>
          <rPr>
            <sz val="10"/>
            <color indexed="81"/>
            <rFont val="Tahoma"/>
            <family val="2"/>
          </rPr>
          <t>0.5 &lt;= grace &lt;= maturity</t>
        </r>
        <r>
          <rPr>
            <sz val="9"/>
            <color indexed="81"/>
            <rFont val="Tahoma"/>
            <family val="2"/>
          </rPr>
          <t xml:space="preserve">
Use grace = maturity for a bullet bond.</t>
        </r>
      </text>
    </comment>
    <comment ref="K84" authorId="1" shapeId="0" xr:uid="{00000000-0006-0000-0400-000028000000}">
      <text>
        <r>
          <rPr>
            <sz val="10"/>
            <color indexed="81"/>
            <rFont val="Tahoma"/>
            <family val="2"/>
          </rPr>
          <t>0.5 &lt;= grace &lt;= maturity</t>
        </r>
        <r>
          <rPr>
            <sz val="9"/>
            <color indexed="81"/>
            <rFont val="Tahoma"/>
            <family val="2"/>
          </rPr>
          <t xml:space="preserve">
Use grace = maturity for a bullet bond.</t>
        </r>
      </text>
    </comment>
    <comment ref="K85" authorId="1" shapeId="0" xr:uid="{00000000-0006-0000-0400-000029000000}">
      <text>
        <r>
          <rPr>
            <sz val="10"/>
            <color indexed="81"/>
            <rFont val="Tahoma"/>
            <family val="2"/>
          </rPr>
          <t>0.5 &lt;= grace &lt;= maturity</t>
        </r>
        <r>
          <rPr>
            <sz val="9"/>
            <color indexed="81"/>
            <rFont val="Tahoma"/>
            <family val="2"/>
          </rPr>
          <t xml:space="preserve">
Use grace = maturity for a bullet bond.</t>
        </r>
      </text>
    </comment>
    <comment ref="K86" authorId="1" shapeId="0" xr:uid="{00000000-0006-0000-0400-00002A000000}">
      <text>
        <r>
          <rPr>
            <sz val="10"/>
            <color indexed="81"/>
            <rFont val="Tahoma"/>
            <family val="2"/>
          </rPr>
          <t>0.5 &lt;= grace &lt;= maturity</t>
        </r>
        <r>
          <rPr>
            <sz val="9"/>
            <color indexed="81"/>
            <rFont val="Tahoma"/>
            <family val="2"/>
          </rPr>
          <t xml:space="preserve">
Use grace = maturity for a bullet bond.</t>
        </r>
      </text>
    </comment>
    <comment ref="A87" authorId="1" shapeId="0" xr:uid="{00000000-0006-0000-0400-00002B000000}">
      <text>
        <r>
          <rPr>
            <sz val="12"/>
            <color indexed="81"/>
            <rFont val="Tahoma"/>
            <family val="2"/>
          </rPr>
          <t>This line should be used only for ZERO-COUPON BONDS.
For simplicity, users should enter the amount of financing required, as they would do for other types of bonds; the full amount to be repaid at maturity is calculated as the amount of financing required plus compounded implicit interest payments.</t>
        </r>
      </text>
    </comment>
    <comment ref="K87" authorId="1" shapeId="0" xr:uid="{00000000-0006-0000-0400-00002C000000}">
      <text>
        <r>
          <rPr>
            <sz val="12"/>
            <color indexed="81"/>
            <rFont val="Tahoma"/>
            <family val="2"/>
          </rPr>
          <t>grace = maturity</t>
        </r>
        <r>
          <rPr>
            <sz val="9"/>
            <color indexed="81"/>
            <rFont val="Tahoma"/>
            <family val="2"/>
          </rPr>
          <t xml:space="preserve">
</t>
        </r>
      </text>
    </comment>
    <comment ref="A89" authorId="1" shapeId="0" xr:uid="{00000000-0006-0000-0400-00002D000000}">
      <text>
        <r>
          <rPr>
            <sz val="12"/>
            <color indexed="81"/>
            <rFont val="Tahoma"/>
            <family val="2"/>
          </rPr>
          <t>Please minimize the use of domestic residual financing.
This residual is the difference between financing needs and new debt issued, automatically filled as a short-term domestic instrument. This type of domestic financing ensures that the financing gap is closed (no interest or amortization payments in the year of disbursement).
Because this residual too represents debt issuance, it should not be allowed to become negative; please use row 42 or 43 to represent any accumulation of deposits arising from debt issuance in excess of projected financing needs.</t>
        </r>
      </text>
    </comment>
    <comment ref="C89" authorId="1" shapeId="0" xr:uid="{00000000-0006-0000-0400-00002E000000}">
      <text>
        <r>
          <rPr>
            <sz val="12"/>
            <color indexed="81"/>
            <rFont val="Tahoma"/>
            <family val="2"/>
          </rPr>
          <t>This type of domestic financing ensures that the financing gap is closed (no interest or amortization payments in the year of disbursement).</t>
        </r>
      </text>
    </comment>
    <comment ref="D89" authorId="1" shapeId="0" xr:uid="{00000000-0006-0000-0400-00002F000000}">
      <text>
        <r>
          <rPr>
            <sz val="12"/>
            <color indexed="81"/>
            <rFont val="Tahoma"/>
            <family val="2"/>
          </rPr>
          <t>This type of domestic financing ensures that the financing gap is closed (no interest or amortization payments in the year of disbursement).</t>
        </r>
      </text>
    </comment>
    <comment ref="E89" authorId="1" shapeId="0" xr:uid="{00000000-0006-0000-0400-000030000000}">
      <text>
        <r>
          <rPr>
            <sz val="12"/>
            <color indexed="81"/>
            <rFont val="Tahoma"/>
            <family val="2"/>
          </rPr>
          <t>This type of domestic financing ensures that the financing gap is closed (no interest or amortization payments in the year of disbursement).</t>
        </r>
      </text>
    </comment>
    <comment ref="F89" authorId="1" shapeId="0" xr:uid="{00000000-0006-0000-0400-000031000000}">
      <text>
        <r>
          <rPr>
            <sz val="12"/>
            <color indexed="81"/>
            <rFont val="Tahoma"/>
            <family val="2"/>
          </rPr>
          <t>This type of domestic financing ensures that the financing gap is closed (no interest or amortization payments in the year of disbursement).</t>
        </r>
      </text>
    </comment>
    <comment ref="G89" authorId="1" shapeId="0" xr:uid="{00000000-0006-0000-0400-000032000000}">
      <text>
        <r>
          <rPr>
            <sz val="12"/>
            <color indexed="81"/>
            <rFont val="Tahoma"/>
            <family val="2"/>
          </rPr>
          <t>This type of domestic financing ensures that the financing gap is closed (no interest or amortization payments in the year of disbursement).</t>
        </r>
      </text>
    </comment>
    <comment ref="H89" authorId="1" shapeId="0" xr:uid="{00000000-0006-0000-0400-000033000000}">
      <text>
        <r>
          <rPr>
            <sz val="12"/>
            <color indexed="81"/>
            <rFont val="Tahoma"/>
            <family val="2"/>
          </rPr>
          <t>This type of domestic financing ensures that the financing gap is closed (no interest or amortization payments in the year of disbursement).</t>
        </r>
      </text>
    </comment>
    <comment ref="K89" authorId="1" shapeId="0" xr:uid="{00000000-0006-0000-0400-000034000000}">
      <text>
        <r>
          <rPr>
            <sz val="12"/>
            <color indexed="81"/>
            <rFont val="Tahoma"/>
            <family val="2"/>
          </rPr>
          <t>This type of domestic financing ensures that the financing gap is closed (no interest or amortization payments in the year of disbursement).</t>
        </r>
      </text>
    </comment>
    <comment ref="L89" authorId="1" shapeId="0" xr:uid="{00000000-0006-0000-0400-000035000000}">
      <text>
        <r>
          <rPr>
            <sz val="12"/>
            <color indexed="81"/>
            <rFont val="Tahoma"/>
            <family val="2"/>
          </rPr>
          <t>This type of domestic financing ensures that the financing gap is closed (no interest or amortization payments in the year of disbursement).</t>
        </r>
      </text>
    </comment>
    <comment ref="M89" authorId="1" shapeId="0" xr:uid="{00000000-0006-0000-0400-000036000000}">
      <text>
        <r>
          <rPr>
            <sz val="12"/>
            <color indexed="81"/>
            <rFont val="Tahoma"/>
            <family val="2"/>
          </rPr>
          <t>This type of domestic financing ensures that the financing gap is closed (no interest or amortization payments in the year of disbursement).</t>
        </r>
      </text>
    </comment>
    <comment ref="N89" authorId="1" shapeId="0" xr:uid="{00000000-0006-0000-0400-000037000000}">
      <text>
        <r>
          <rPr>
            <sz val="12"/>
            <color indexed="81"/>
            <rFont val="Tahoma"/>
            <family val="2"/>
          </rPr>
          <t>This type of domestic financing ensures that the financing gap is closed (no interest or amortization payments in the year of disbursement).</t>
        </r>
      </text>
    </comment>
    <comment ref="O89" authorId="1" shapeId="0" xr:uid="{00000000-0006-0000-0400-000038000000}">
      <text>
        <r>
          <rPr>
            <sz val="12"/>
            <color indexed="81"/>
            <rFont val="Tahoma"/>
            <family val="2"/>
          </rPr>
          <t>This type of domestic financing ensures that the financing gap is closed (no interest or amortization payments in the year of disbursement).</t>
        </r>
      </text>
    </comment>
    <comment ref="P89" authorId="1" shapeId="0" xr:uid="{00000000-0006-0000-0400-000039000000}">
      <text>
        <r>
          <rPr>
            <sz val="12"/>
            <color indexed="81"/>
            <rFont val="Tahoma"/>
            <family val="2"/>
          </rPr>
          <t>This type of domestic financing ensures that the financing gap is closed (no interest or amortization payments in the year of disbursement).</t>
        </r>
      </text>
    </comment>
    <comment ref="Q89" authorId="1" shapeId="0" xr:uid="{00000000-0006-0000-0400-00003A000000}">
      <text>
        <r>
          <rPr>
            <sz val="12"/>
            <color indexed="81"/>
            <rFont val="Tahoma"/>
            <family val="2"/>
          </rPr>
          <t>This type of domestic financing ensures that the financing gap is closed (no interest or amortization payments in the year of disbursement).</t>
        </r>
      </text>
    </comment>
    <comment ref="R89" authorId="1" shapeId="0" xr:uid="{00000000-0006-0000-0400-00003B000000}">
      <text>
        <r>
          <rPr>
            <sz val="12"/>
            <color indexed="81"/>
            <rFont val="Tahoma"/>
            <family val="2"/>
          </rPr>
          <t>This type of domestic financing ensures that the financing gap is closed (no interest or amortization payments in the year of disbursement).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Ilona Mostipan</author>
    <author>Francois Painchaud</author>
  </authors>
  <commentList>
    <comment ref="A8" authorId="0" shapeId="0" xr:uid="{00000000-0006-0000-0500-000001000000}">
      <text>
        <r>
          <rPr>
            <sz val="11"/>
            <color indexed="81"/>
            <rFont val="Tahoma"/>
            <family val="2"/>
          </rPr>
          <t>Change classification if a different scrutiny level is agreed upon. See paragraphs 8-10 of the Guidance Note.</t>
        </r>
      </text>
    </comment>
    <comment ref="D25" authorId="0" shapeId="0" xr:uid="{00000000-0006-0000-0500-000002000000}">
      <text>
        <r>
          <rPr>
            <sz val="11"/>
            <color indexed="81"/>
            <rFont val="Tahoma"/>
            <family val="2"/>
          </rPr>
          <t>Customized scenarios should be used (i) to capture the impact of contingent liabilities shocks other than those associated with the financial sector and (ii) if the proposed stress tests do not capture adequately country-specific risks. See the Guidance Note for further details on circumstances under which customized scenarios are required.</t>
        </r>
      </text>
    </comment>
    <comment ref="T25" authorId="0" shapeId="0" xr:uid="{00000000-0006-0000-0500-000003000000}">
      <text>
        <r>
          <rPr>
            <sz val="11"/>
            <color indexed="81"/>
            <rFont val="Tahoma"/>
            <family val="2"/>
          </rPr>
          <t>'Natural Disaster Shock', 'Spillover Scenario', 'Oil Shock', etc.</t>
        </r>
        <r>
          <rPr>
            <sz val="9"/>
            <color indexed="81"/>
            <rFont val="Tahoma"/>
            <family val="2"/>
          </rPr>
          <t xml:space="preserve">
</t>
        </r>
      </text>
    </comment>
    <comment ref="D27" authorId="0" shapeId="0" xr:uid="{00000000-0006-0000-0500-000004000000}">
      <text>
        <r>
          <rPr>
            <sz val="11"/>
            <color indexed="81"/>
            <rFont val="Tahoma"/>
            <family val="2"/>
          </rPr>
          <t>Customized scenarios should be used (i) to capture the impact of contingent liabilities shocks other than those associated with the financial sector and (ii) if the proposed stress tests do not capture adequately country-specific risks. See the Guidance Note for further details on circumstances under which customized scenarios are required.</t>
        </r>
      </text>
    </comment>
    <comment ref="T27" authorId="0" shapeId="0" xr:uid="{00000000-0006-0000-0500-000005000000}">
      <text>
        <r>
          <rPr>
            <sz val="11"/>
            <color indexed="81"/>
            <rFont val="Tahoma"/>
            <family val="2"/>
          </rPr>
          <t>'Natural Disaster Shock', 'Spillover Scenario', 'Oil Shock', etc.</t>
        </r>
      </text>
    </comment>
    <comment ref="D43" authorId="0" shapeId="0" xr:uid="{00000000-0006-0000-0500-000006000000}">
      <text>
        <r>
          <rPr>
            <sz val="12"/>
            <color indexed="81"/>
            <rFont val="Tahoma"/>
            <family val="2"/>
          </rPr>
          <t>A growth path that differs from the baseline could be used to capture feedback to growth from primary balance shock, if applicable.</t>
        </r>
      </text>
    </comment>
    <comment ref="A45" authorId="1" shapeId="0" xr:uid="{00000000-0006-0000-0500-000007000000}">
      <text>
        <r>
          <rPr>
            <sz val="12"/>
            <color indexed="81"/>
            <rFont val="Tahoma"/>
            <family val="2"/>
          </rPr>
          <t>This parameter should be set between 0 and 1.
When the parameter is set at zero, the non-interest revenue-to-GDP ratio is assumed to be the same as in the baseline, thus changes in the primary balance reflect changes in non-interest expenditures.
Changing this parameter implies changing the composition of the source of adjustment.  For example, if this parameter is set to 1, all the adjustment will come from revenues.</t>
        </r>
      </text>
    </comment>
    <comment ref="A50" authorId="1" shapeId="0" xr:uid="{00000000-0006-0000-0500-000008000000}">
      <text>
        <r>
          <rPr>
            <sz val="12"/>
            <color indexed="81"/>
            <rFont val="Tahoma"/>
            <family val="2"/>
          </rPr>
          <t>For every 1 percent of GDP deterioration in primary balance, interest rate increases by 25 bps.</t>
        </r>
      </text>
    </comment>
    <comment ref="A53" authorId="0" shapeId="0" xr:uid="{00000000-0006-0000-0500-000009000000}">
      <text>
        <r>
          <rPr>
            <sz val="12"/>
            <color indexed="81"/>
            <rFont val="Tahoma"/>
            <family val="2"/>
          </rPr>
          <t xml:space="preserve">Share of planned fiscal consolidation </t>
        </r>
        <r>
          <rPr>
            <u/>
            <sz val="12"/>
            <color indexed="81"/>
            <rFont val="Tahoma"/>
            <family val="2"/>
          </rPr>
          <t>not</t>
        </r>
        <r>
          <rPr>
            <sz val="12"/>
            <color indexed="81"/>
            <rFont val="Tahoma"/>
            <family val="2"/>
          </rPr>
          <t xml:space="preserve"> implemented.</t>
        </r>
      </text>
    </comment>
    <comment ref="A54" authorId="0" shapeId="0" xr:uid="{00000000-0006-0000-0500-00000A000000}">
      <text>
        <r>
          <rPr>
            <sz val="12"/>
            <color indexed="81"/>
            <rFont val="Tahoma"/>
            <family val="2"/>
          </rPr>
          <t>In percent of GDP.</t>
        </r>
      </text>
    </comment>
    <comment ref="A60" authorId="0" shapeId="0" xr:uid="{00000000-0006-0000-0500-00000B000000}">
      <text>
        <r>
          <rPr>
            <sz val="12"/>
            <color indexed="81"/>
            <rFont val="Tahoma"/>
            <family val="2"/>
          </rPr>
          <t>In percent of GDP.</t>
        </r>
      </text>
    </comment>
    <comment ref="A63" authorId="0" shapeId="0" xr:uid="{00000000-0006-0000-0500-00000C000000}">
      <text>
        <r>
          <rPr>
            <sz val="12"/>
            <color indexed="81"/>
            <rFont val="Tahoma"/>
            <family val="2"/>
          </rPr>
          <t>Number of standard deviations of real GDP growth shock.</t>
        </r>
      </text>
    </comment>
    <comment ref="A64" authorId="1" shapeId="0" xr:uid="{00000000-0006-0000-0500-00000D000000}">
      <text>
        <r>
          <rPr>
            <sz val="12"/>
            <color indexed="81"/>
            <rFont val="Tahoma"/>
            <family val="2"/>
          </rPr>
          <t>For every 1 percentage point decline in growth, inflation declines by 25 bps.</t>
        </r>
      </text>
    </comment>
    <comment ref="A65" authorId="1" shapeId="0" xr:uid="{00000000-0006-0000-0500-00000E000000}">
      <text>
        <r>
          <rPr>
            <sz val="12"/>
            <color indexed="81"/>
            <rFont val="Tahoma"/>
            <family val="2"/>
          </rPr>
          <t>Non-interest revenue-to-GDP is assumed to be the same as in the baseline.</t>
        </r>
      </text>
    </comment>
    <comment ref="A66" authorId="1" shapeId="0" xr:uid="{00000000-0006-0000-0500-00000F000000}">
      <text>
        <r>
          <rPr>
            <sz val="12"/>
            <color indexed="81"/>
            <rFont val="Tahoma"/>
            <family val="2"/>
          </rPr>
          <t>Level of non-interest expenditures is the same as in the baseline.</t>
        </r>
      </text>
    </comment>
    <comment ref="A70" authorId="1" shapeId="0" xr:uid="{00000000-0006-0000-0500-000010000000}">
      <text>
        <r>
          <rPr>
            <sz val="12"/>
            <color indexed="81"/>
            <rFont val="Tahoma"/>
            <family val="2"/>
          </rPr>
          <t>For every 1 percent of GDP deterioration in primary balance, interest rate increases by 25 bps.</t>
        </r>
      </text>
    </comment>
    <comment ref="D73" authorId="0" shapeId="0" xr:uid="{00000000-0006-0000-0500-000011000000}">
      <text>
        <r>
          <rPr>
            <sz val="12"/>
            <color indexed="81"/>
            <rFont val="Tahoma"/>
            <family val="2"/>
          </rPr>
          <t>A growth path that differs from the baseline could be used to capture feedback to growth from interest rate shock, if applicable.</t>
        </r>
      </text>
    </comment>
    <comment ref="A80" authorId="1" shapeId="0" xr:uid="{00000000-0006-0000-0500-000012000000}">
      <text>
        <r>
          <rPr>
            <sz val="12"/>
            <color indexed="81"/>
            <rFont val="Tahoma"/>
            <family val="2"/>
          </rPr>
          <t>Interest rate increases by difference between average real interest rate level over projection and maximum real historical level, or by 200 bps, whichever is larger.</t>
        </r>
      </text>
    </comment>
    <comment ref="A84" authorId="0" shapeId="0" xr:uid="{00000000-0006-0000-0500-000013000000}">
      <text>
        <r>
          <rPr>
            <sz val="12"/>
            <color indexed="81"/>
            <rFont val="Tahoma"/>
            <family val="2"/>
          </rPr>
          <t>Exchange rate shock pass-through elasticity of 0.25 for EMs and 0.03 for AEs.</t>
        </r>
      </text>
    </comment>
    <comment ref="A103" authorId="0" shapeId="0" xr:uid="{00000000-0006-0000-0500-000014000000}">
      <text>
        <r>
          <rPr>
            <sz val="12"/>
            <color indexed="81"/>
            <rFont val="Tahoma"/>
            <family val="2"/>
          </rPr>
          <t>Number of standard deviations of real GDP growth shock.</t>
        </r>
      </text>
    </comment>
    <comment ref="A104" authorId="1" shapeId="0" xr:uid="{00000000-0006-0000-0500-000015000000}">
      <text>
        <r>
          <rPr>
            <sz val="12"/>
            <color indexed="81"/>
            <rFont val="Tahoma"/>
            <family val="2"/>
          </rPr>
          <t>Inflation declines by 25 bps with every 1 percentage point decline in growth.</t>
        </r>
      </text>
    </comment>
    <comment ref="A105" authorId="1" shapeId="0" xr:uid="{00000000-0006-0000-0500-000016000000}">
      <text>
        <r>
          <rPr>
            <sz val="12"/>
            <color indexed="81"/>
            <rFont val="Tahoma"/>
            <family val="2"/>
          </rPr>
          <t>Revenue-to-GDP is assumed to be the same as in the baseline.</t>
        </r>
      </text>
    </comment>
    <comment ref="A106" authorId="1" shapeId="0" xr:uid="{00000000-0006-0000-0500-000017000000}">
      <text>
        <r>
          <rPr>
            <sz val="12"/>
            <color indexed="81"/>
            <rFont val="Tahoma"/>
            <family val="2"/>
          </rPr>
          <t>Non-interest expenditure shock is equivalent to 10% of the size of the banking sector.</t>
        </r>
      </text>
    </comment>
    <comment ref="A110" authorId="1" shapeId="0" xr:uid="{00000000-0006-0000-0500-000018000000}">
      <text>
        <r>
          <rPr>
            <sz val="12"/>
            <color indexed="81"/>
            <rFont val="Tahoma"/>
            <family val="2"/>
          </rPr>
          <t>Interest rate increases by 25 bps for every 1 percent of GDP deterioration in primary balance.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Francois Painchaud</author>
  </authors>
  <commentList>
    <comment ref="A40" authorId="0" shapeId="0" xr:uid="{00000000-0006-0000-0600-000001000000}">
      <text>
        <r>
          <rPr>
            <sz val="12"/>
            <color indexed="81"/>
            <rFont val="Tahoma"/>
            <family val="2"/>
          </rPr>
          <t>Shocks can be turned off to analyze the source of uncertainty.</t>
        </r>
        <r>
          <rPr>
            <sz val="9"/>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Ilona Mostipan</author>
    <author>Francois Painchaud</author>
    <author>Jevgēnija Jalovecka</author>
    <author>Haitham Jendoubi</author>
  </authors>
  <commentList>
    <comment ref="A37" authorId="0" shapeId="0" xr:uid="{00000000-0006-0000-0D00-000001000000}">
      <text>
        <r>
          <rPr>
            <sz val="9"/>
            <color indexed="81"/>
            <rFont val="Tahoma"/>
            <family val="2"/>
          </rPr>
          <t>Domestic and external debt based on residency criterion.</t>
        </r>
      </text>
    </comment>
    <comment ref="I37" authorId="1" shapeId="0" xr:uid="{00000000-0006-0000-0D00-000002000000}">
      <text>
        <r>
          <rPr>
            <sz val="9"/>
            <color indexed="81"/>
            <rFont val="Tahoma"/>
            <family val="2"/>
          </rPr>
          <t>Payments can be semi-annual or annual. Use drop-down menu to select.</t>
        </r>
      </text>
    </comment>
    <comment ref="A38" authorId="0" shapeId="0" xr:uid="{00000000-0006-0000-0D00-000003000000}">
      <text>
        <r>
          <rPr>
            <sz val="9"/>
            <color indexed="81"/>
            <rFont val="Tahoma"/>
            <family val="2"/>
          </rPr>
          <t>Maturity one year or less, based on original maturity.</t>
        </r>
      </text>
    </comment>
    <comment ref="J39" authorId="1" shapeId="0" xr:uid="{00000000-0006-0000-0D00-000004000000}">
      <text>
        <r>
          <rPr>
            <sz val="9"/>
            <color indexed="81"/>
            <rFont val="Tahoma"/>
            <family val="2"/>
          </rPr>
          <t xml:space="preserve">0 &lt; grace &lt; maturity
</t>
        </r>
      </text>
    </comment>
    <comment ref="J40" authorId="1" shapeId="0" xr:uid="{00000000-0006-0000-0D00-000005000000}">
      <text>
        <r>
          <rPr>
            <sz val="9"/>
            <color indexed="81"/>
            <rFont val="Tahoma"/>
            <family val="2"/>
          </rPr>
          <t xml:space="preserve">0 &lt; grace &lt; maturity
</t>
        </r>
      </text>
    </comment>
    <comment ref="A41" authorId="0" shapeId="0" xr:uid="{00000000-0006-0000-0D00-000006000000}">
      <text>
        <r>
          <rPr>
            <sz val="9"/>
            <color indexed="81"/>
            <rFont val="Tahoma"/>
            <family val="2"/>
          </rPr>
          <t>Maturity of more than one year.</t>
        </r>
      </text>
    </comment>
    <comment ref="J43" authorId="1" shapeId="0" xr:uid="{00000000-0006-0000-0D00-000007000000}">
      <text>
        <r>
          <rPr>
            <sz val="9"/>
            <color indexed="81"/>
            <rFont val="Tahoma"/>
            <family val="2"/>
          </rPr>
          <t xml:space="preserve">0 &lt; grace &lt; maturity
</t>
        </r>
      </text>
    </comment>
    <comment ref="J44" authorId="1" shapeId="0" xr:uid="{00000000-0006-0000-0D00-000008000000}">
      <text>
        <r>
          <rPr>
            <sz val="9"/>
            <color indexed="81"/>
            <rFont val="Tahoma"/>
            <family val="2"/>
          </rPr>
          <t xml:space="preserve">0 &lt; grace &lt; maturity
</t>
        </r>
      </text>
    </comment>
    <comment ref="J45" authorId="1" shapeId="0" xr:uid="{00000000-0006-0000-0D00-000009000000}">
      <text>
        <r>
          <rPr>
            <sz val="9"/>
            <color indexed="81"/>
            <rFont val="Tahoma"/>
            <family val="2"/>
          </rPr>
          <t xml:space="preserve">0 &lt; grace &lt; maturity
</t>
        </r>
      </text>
    </comment>
    <comment ref="J46" authorId="1" shapeId="0" xr:uid="{00000000-0006-0000-0D00-00000A000000}">
      <text>
        <r>
          <rPr>
            <sz val="9"/>
            <color indexed="81"/>
            <rFont val="Tahoma"/>
            <family val="2"/>
          </rPr>
          <t xml:space="preserve">0 &lt; grace &lt; maturity
</t>
        </r>
      </text>
    </comment>
    <comment ref="J47" authorId="1" shapeId="0" xr:uid="{00000000-0006-0000-0D00-00000B000000}">
      <text>
        <r>
          <rPr>
            <sz val="9"/>
            <color indexed="81"/>
            <rFont val="Tahoma"/>
            <family val="2"/>
          </rPr>
          <t xml:space="preserve">0 &lt; grace &lt; maturity
</t>
        </r>
      </text>
    </comment>
    <comment ref="J49" authorId="1" shapeId="0" xr:uid="{00000000-0006-0000-0D00-00000C000000}">
      <text>
        <r>
          <rPr>
            <sz val="9"/>
            <color indexed="81"/>
            <rFont val="Tahoma"/>
            <family val="2"/>
          </rPr>
          <t xml:space="preserve">0 &lt; grace &lt; maturity
</t>
        </r>
      </text>
    </comment>
    <comment ref="J50" authorId="1" shapeId="0" xr:uid="{00000000-0006-0000-0D00-00000D000000}">
      <text>
        <r>
          <rPr>
            <sz val="9"/>
            <color indexed="81"/>
            <rFont val="Tahoma"/>
            <family val="2"/>
          </rPr>
          <t xml:space="preserve">0 &lt; grace &lt; maturity
</t>
        </r>
      </text>
    </comment>
    <comment ref="J51" authorId="1" shapeId="0" xr:uid="{00000000-0006-0000-0D00-00000E000000}">
      <text>
        <r>
          <rPr>
            <sz val="9"/>
            <color indexed="81"/>
            <rFont val="Tahoma"/>
            <family val="2"/>
          </rPr>
          <t xml:space="preserve">0 &lt; grace &lt; maturity
</t>
        </r>
      </text>
    </comment>
    <comment ref="J52" authorId="1" shapeId="0" xr:uid="{00000000-0006-0000-0D00-00000F000000}">
      <text>
        <r>
          <rPr>
            <sz val="9"/>
            <color indexed="81"/>
            <rFont val="Tahoma"/>
            <family val="2"/>
          </rPr>
          <t xml:space="preserve">0 &lt; grace &lt; maturity
</t>
        </r>
      </text>
    </comment>
    <comment ref="J53" authorId="1" shapeId="0" xr:uid="{00000000-0006-0000-0D00-000010000000}">
      <text>
        <r>
          <rPr>
            <sz val="9"/>
            <color indexed="81"/>
            <rFont val="Tahoma"/>
            <family val="2"/>
          </rPr>
          <t xml:space="preserve">0 &lt; grace &lt; maturity
</t>
        </r>
      </text>
    </comment>
    <comment ref="A54" authorId="0" shapeId="0" xr:uid="{00000000-0006-0000-0D00-000011000000}">
      <text>
        <r>
          <rPr>
            <sz val="9"/>
            <color indexed="81"/>
            <rFont val="Tahoma"/>
            <family val="2"/>
          </rPr>
          <t>Domestic and external debt based on residency criterion.</t>
        </r>
      </text>
    </comment>
    <comment ref="A55" authorId="0" shapeId="0" xr:uid="{00000000-0006-0000-0D00-000012000000}">
      <text>
        <r>
          <rPr>
            <sz val="9"/>
            <color indexed="81"/>
            <rFont val="Tahoma"/>
            <family val="2"/>
          </rPr>
          <t>Maturity one year or less, based on original maturity.</t>
        </r>
      </text>
    </comment>
    <comment ref="J56" authorId="1" shapeId="0" xr:uid="{00000000-0006-0000-0D00-000013000000}">
      <text>
        <r>
          <rPr>
            <sz val="9"/>
            <color indexed="81"/>
            <rFont val="Tahoma"/>
            <family val="2"/>
          </rPr>
          <t xml:space="preserve">0 &lt; grace &lt; maturity
</t>
        </r>
      </text>
    </comment>
    <comment ref="J57" authorId="1" shapeId="0" xr:uid="{00000000-0006-0000-0D00-000014000000}">
      <text>
        <r>
          <rPr>
            <sz val="9"/>
            <color indexed="81"/>
            <rFont val="Tahoma"/>
            <family val="2"/>
          </rPr>
          <t xml:space="preserve">0 &lt; grace &lt; maturity
</t>
        </r>
      </text>
    </comment>
    <comment ref="A58" authorId="0" shapeId="0" xr:uid="{00000000-0006-0000-0D00-000015000000}">
      <text>
        <r>
          <rPr>
            <sz val="9"/>
            <color indexed="81"/>
            <rFont val="Tahoma"/>
            <family val="2"/>
          </rPr>
          <t>Maturity of more than one year.</t>
        </r>
      </text>
    </comment>
    <comment ref="J60" authorId="1" shapeId="0" xr:uid="{00000000-0006-0000-0D00-000016000000}">
      <text>
        <r>
          <rPr>
            <sz val="9"/>
            <color indexed="81"/>
            <rFont val="Tahoma"/>
            <family val="2"/>
          </rPr>
          <t xml:space="preserve">0 &lt; grace &lt; maturity
</t>
        </r>
      </text>
    </comment>
    <comment ref="J61" authorId="1" shapeId="0" xr:uid="{00000000-0006-0000-0D00-000017000000}">
      <text>
        <r>
          <rPr>
            <sz val="9"/>
            <color indexed="81"/>
            <rFont val="Tahoma"/>
            <family val="2"/>
          </rPr>
          <t xml:space="preserve">0 &lt; grace &lt; maturity
</t>
        </r>
      </text>
    </comment>
    <comment ref="J62" authorId="1" shapeId="0" xr:uid="{00000000-0006-0000-0D00-000018000000}">
      <text>
        <r>
          <rPr>
            <sz val="9"/>
            <color indexed="81"/>
            <rFont val="Tahoma"/>
            <family val="2"/>
          </rPr>
          <t xml:space="preserve">0 &lt; grace &lt; maturity
</t>
        </r>
      </text>
    </comment>
    <comment ref="J63" authorId="1" shapeId="0" xr:uid="{00000000-0006-0000-0D00-000019000000}">
      <text>
        <r>
          <rPr>
            <sz val="9"/>
            <color indexed="81"/>
            <rFont val="Tahoma"/>
            <family val="2"/>
          </rPr>
          <t xml:space="preserve">0 &lt; grace &lt; maturity
</t>
        </r>
      </text>
    </comment>
    <comment ref="J64" authorId="1" shapeId="0" xr:uid="{00000000-0006-0000-0D00-00001A000000}">
      <text>
        <r>
          <rPr>
            <sz val="9"/>
            <color indexed="81"/>
            <rFont val="Tahoma"/>
            <family val="2"/>
          </rPr>
          <t xml:space="preserve">0 &lt; grace &lt; maturity
</t>
        </r>
      </text>
    </comment>
    <comment ref="J66" authorId="1" shapeId="0" xr:uid="{00000000-0006-0000-0D00-00001B000000}">
      <text>
        <r>
          <rPr>
            <sz val="9"/>
            <color indexed="81"/>
            <rFont val="Tahoma"/>
            <family val="2"/>
          </rPr>
          <t xml:space="preserve">0 &lt; grace &lt; maturity
</t>
        </r>
      </text>
    </comment>
    <comment ref="J67" authorId="1" shapeId="0" xr:uid="{00000000-0006-0000-0D00-00001C000000}">
      <text>
        <r>
          <rPr>
            <sz val="9"/>
            <color indexed="81"/>
            <rFont val="Tahoma"/>
            <family val="2"/>
          </rPr>
          <t xml:space="preserve">0 &lt; grace &lt; maturity
</t>
        </r>
      </text>
    </comment>
    <comment ref="J68" authorId="1" shapeId="0" xr:uid="{00000000-0006-0000-0D00-00001D000000}">
      <text>
        <r>
          <rPr>
            <sz val="9"/>
            <color indexed="81"/>
            <rFont val="Tahoma"/>
            <family val="2"/>
          </rPr>
          <t xml:space="preserve">0 &lt; grace &lt; maturity
</t>
        </r>
      </text>
    </comment>
    <comment ref="J69" authorId="1" shapeId="0" xr:uid="{00000000-0006-0000-0D00-00001E000000}">
      <text>
        <r>
          <rPr>
            <sz val="9"/>
            <color indexed="81"/>
            <rFont val="Tahoma"/>
            <family val="2"/>
          </rPr>
          <t xml:space="preserve">0 &lt; grace &lt; maturity
</t>
        </r>
      </text>
    </comment>
    <comment ref="J70" authorId="1" shapeId="0" xr:uid="{00000000-0006-0000-0D00-00001F000000}">
      <text>
        <r>
          <rPr>
            <sz val="9"/>
            <color indexed="81"/>
            <rFont val="Tahoma"/>
            <family val="2"/>
          </rPr>
          <t xml:space="preserve">0 &lt; grace &lt; maturity
</t>
        </r>
      </text>
    </comment>
    <comment ref="T199" authorId="2" shapeId="0" xr:uid="{00000000-0006-0000-0D00-000020000000}">
      <text>
        <r>
          <rPr>
            <b/>
            <sz val="10"/>
            <color indexed="81"/>
            <rFont val="Tahoma"/>
            <family val="2"/>
          </rPr>
          <t>Jevgēnija Jalovecka:</t>
        </r>
        <r>
          <rPr>
            <sz val="10"/>
            <color indexed="81"/>
            <rFont val="Tahoma"/>
            <family val="2"/>
          </rPr>
          <t xml:space="preserve">
No šiem cipariem secinu, ka modelis paredz pakāpenisku vērtspapīru dzēšanu, sadalot dzēšamo apjomu pa gadiem vienādās daļās - tas neatbilst patiesībai, jo vērtspapīri tiek dzēsti vienā summā perioda beigās. No šīm šūnām tiek ņemta informācija tālāk uz procentu izdevumu aprēķinu (iekrāsotais apgabals pa labi). Ja dzēšanas profils ir nekorekts, arī procentu izdevumu aprēķins pa gadiem ir nekorekts! Ja šie procentu izdevumi tālāk tiek izmantoti budžeta bilanču modelēšanā, tad arī tajā blokā aprēķins ir nekorekts...</t>
        </r>
      </text>
    </comment>
    <comment ref="V282" authorId="3" shapeId="0" xr:uid="{00000000-0006-0000-0D00-000021000000}">
      <text>
        <r>
          <rPr>
            <sz val="9"/>
            <color indexed="81"/>
            <rFont val="Tahoma"/>
            <family val="2"/>
          </rPr>
          <t>These sums are used in the computation of interest on new debt in the shock scenario sheets to compensate for setting interest in the year of issuance to zero.</t>
        </r>
      </text>
    </comment>
    <comment ref="V283" authorId="3" shapeId="0" xr:uid="{00000000-0006-0000-0D00-000022000000}">
      <text>
        <r>
          <rPr>
            <sz val="9"/>
            <color indexed="81"/>
            <rFont val="Tahoma"/>
            <family val="2"/>
          </rPr>
          <t>These sums are used in the computation of interest on new debt in the shock scenario sheets to compensate for setting interest in the year of issuance to zero.</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Ilona Mostipan</author>
  </authors>
  <commentList>
    <comment ref="B66" authorId="0" shapeId="0" xr:uid="{00000000-0006-0000-0E00-000001000000}">
      <text>
        <r>
          <rPr>
            <sz val="11"/>
            <color indexed="81"/>
            <rFont val="Tahoma"/>
            <family val="2"/>
          </rPr>
          <t>Set to zero if there is no FX debt.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Ilona Mostipan</author>
  </authors>
  <commentList>
    <comment ref="BA21" authorId="0" shapeId="0" xr:uid="{00000000-0006-0000-1000-000001000000}">
      <text>
        <r>
          <rPr>
            <b/>
            <sz val="11"/>
            <color indexed="81"/>
            <rFont val="Tahoma"/>
            <family val="2"/>
          </rPr>
          <t>Only contingent liabilities and customized scenarios have actual triggers.</t>
        </r>
        <r>
          <rPr>
            <sz val="9"/>
            <color indexed="81"/>
            <rFont val="Tahoma"/>
            <family val="2"/>
          </rPr>
          <t xml:space="preserve">
</t>
        </r>
      </text>
    </comment>
  </commentList>
</comments>
</file>

<file path=xl/sharedStrings.xml><?xml version="1.0" encoding="utf-8"?>
<sst xmlns="http://schemas.openxmlformats.org/spreadsheetml/2006/main" count="4878" uniqueCount="2551">
  <si>
    <t>Denominated in local currency</t>
  </si>
  <si>
    <t>Denominated in foreign currency</t>
  </si>
  <si>
    <t>Public sector non-interest expenditures</t>
  </si>
  <si>
    <t>Public sector revenues and grants</t>
  </si>
  <si>
    <t>Gross financing requirements</t>
  </si>
  <si>
    <t>Recognition of implicit contingent liability</t>
  </si>
  <si>
    <t>Change in Domestic Arrears</t>
  </si>
  <si>
    <t>Change in External Arrears</t>
  </si>
  <si>
    <t>Debt relief</t>
  </si>
  <si>
    <t>GDP at constant prices (level) in LCU</t>
  </si>
  <si>
    <t>Nominal GDP in LCU</t>
  </si>
  <si>
    <t>Nominal Exchange Rate -- average (LCU/USD)</t>
  </si>
  <si>
    <t>Nominal Exchange Rate -- end of period (LCU/USD)</t>
  </si>
  <si>
    <t>Short-term debt 2/</t>
  </si>
  <si>
    <t>Long-term debt 3/</t>
  </si>
  <si>
    <t>3/ Maturity of more than one year.</t>
  </si>
  <si>
    <t>First Year of projection</t>
  </si>
  <si>
    <t>1/ Domestic and external debt based on residency criterion.</t>
  </si>
  <si>
    <t>Type 1</t>
  </si>
  <si>
    <t>Type 2</t>
  </si>
  <si>
    <t>Type 3</t>
  </si>
  <si>
    <t>Type 4</t>
  </si>
  <si>
    <t>Type 5</t>
  </si>
  <si>
    <t>Type 6</t>
  </si>
  <si>
    <t>Type 7</t>
  </si>
  <si>
    <t>Type 8</t>
  </si>
  <si>
    <t>Type 9</t>
  </si>
  <si>
    <t>Type 10</t>
  </si>
  <si>
    <t>Type 11</t>
  </si>
  <si>
    <t>Type 12</t>
  </si>
  <si>
    <t>Type 13</t>
  </si>
  <si>
    <t>Type 14</t>
  </si>
  <si>
    <t>Type 15</t>
  </si>
  <si>
    <t>Type 16</t>
  </si>
  <si>
    <t>Type 17</t>
  </si>
  <si>
    <t>Type 18</t>
  </si>
  <si>
    <t>Type 19</t>
  </si>
  <si>
    <t>Type 20</t>
  </si>
  <si>
    <t>Grace period</t>
  </si>
  <si>
    <t>Maturity</t>
  </si>
  <si>
    <t>Stock of debt</t>
  </si>
  <si>
    <t>Interest</t>
  </si>
  <si>
    <t>Interest Payments</t>
  </si>
  <si>
    <t>Grace</t>
  </si>
  <si>
    <t>Terms and Conditions</t>
  </si>
  <si>
    <t>Year of Issuance</t>
  </si>
  <si>
    <t>Principal Payments</t>
  </si>
  <si>
    <r>
      <t xml:space="preserve">Interest expenditures on </t>
    </r>
    <r>
      <rPr>
        <b/>
        <sz val="11"/>
        <color theme="1"/>
        <rFont val="Calibri"/>
        <family val="2"/>
        <scheme val="minor"/>
      </rPr>
      <t xml:space="preserve">NEW </t>
    </r>
    <r>
      <rPr>
        <sz val="11"/>
        <color theme="1"/>
        <rFont val="Calibri"/>
        <family val="2"/>
        <scheme val="minor"/>
      </rPr>
      <t>debt denominated in local currency</t>
    </r>
  </si>
  <si>
    <r>
      <t xml:space="preserve">Interest expenditures on </t>
    </r>
    <r>
      <rPr>
        <b/>
        <sz val="11"/>
        <color theme="1"/>
        <rFont val="Calibri"/>
        <family val="2"/>
        <scheme val="minor"/>
      </rPr>
      <t>NEW</t>
    </r>
    <r>
      <rPr>
        <sz val="11"/>
        <color theme="1"/>
        <rFont val="Calibri"/>
        <family val="2"/>
        <scheme val="minor"/>
      </rPr>
      <t xml:space="preserve"> debt denominated in foreign currency</t>
    </r>
  </si>
  <si>
    <r>
      <t xml:space="preserve">Principal payments on </t>
    </r>
    <r>
      <rPr>
        <b/>
        <sz val="11"/>
        <color theme="1"/>
        <rFont val="Calibri"/>
        <family val="2"/>
        <scheme val="minor"/>
      </rPr>
      <t xml:space="preserve">NEW </t>
    </r>
    <r>
      <rPr>
        <sz val="11"/>
        <color theme="1"/>
        <rFont val="Calibri"/>
        <family val="2"/>
        <scheme val="minor"/>
      </rPr>
      <t>debt denominated in local currency</t>
    </r>
  </si>
  <si>
    <r>
      <t xml:space="preserve">Principal payments on </t>
    </r>
    <r>
      <rPr>
        <b/>
        <sz val="11"/>
        <color theme="1"/>
        <rFont val="Calibri"/>
        <family val="2"/>
        <scheme val="minor"/>
      </rPr>
      <t>NEW</t>
    </r>
    <r>
      <rPr>
        <sz val="11"/>
        <color theme="1"/>
        <rFont val="Calibri"/>
        <family val="2"/>
        <scheme val="minor"/>
      </rPr>
      <t xml:space="preserve"> debt denominated in foreign currency</t>
    </r>
  </si>
  <si>
    <t>Calculations in LCU</t>
  </si>
  <si>
    <t>Calculations in USD</t>
  </si>
  <si>
    <t>Domestic Residual Financing (annual payments, no interest or amortization in current year)</t>
  </si>
  <si>
    <t>Identified debt-creating flows (4+7+12)</t>
  </si>
  <si>
    <t>Primary deficit</t>
  </si>
  <si>
    <t>Primary (noninterest) expenditure</t>
  </si>
  <si>
    <t>Contribution from interest rate/growth differential 3/</t>
  </si>
  <si>
    <t>Privatization receipts (negative)</t>
  </si>
  <si>
    <t>Recognition of implicit or contingent liabilities</t>
  </si>
  <si>
    <t>o/w short-term debt at original maturity</t>
  </si>
  <si>
    <t>Denominator = 1+g+p+gp</t>
  </si>
  <si>
    <t>Total Public Debt</t>
  </si>
  <si>
    <t>o/w foreign-currency debt</t>
  </si>
  <si>
    <t>Historical</t>
  </si>
  <si>
    <r>
      <t xml:space="preserve">Interest expenditures on </t>
    </r>
    <r>
      <rPr>
        <b/>
        <sz val="11"/>
        <color theme="1"/>
        <rFont val="Calibri"/>
        <family val="2"/>
        <scheme val="minor"/>
      </rPr>
      <t>OLD</t>
    </r>
    <r>
      <rPr>
        <sz val="11"/>
        <color theme="1"/>
        <rFont val="Calibri"/>
        <family val="2"/>
        <scheme val="minor"/>
      </rPr>
      <t xml:space="preserve"> debt denominated in foreign currency</t>
    </r>
  </si>
  <si>
    <r>
      <t xml:space="preserve">Interest expenditures on </t>
    </r>
    <r>
      <rPr>
        <b/>
        <sz val="11"/>
        <color theme="1"/>
        <rFont val="Calibri"/>
        <family val="2"/>
        <scheme val="minor"/>
      </rPr>
      <t>OLD</t>
    </r>
    <r>
      <rPr>
        <sz val="11"/>
        <color theme="1"/>
        <rFont val="Calibri"/>
        <family val="2"/>
        <scheme val="minor"/>
      </rPr>
      <t xml:space="preserve"> debt denominated in local currency</t>
    </r>
  </si>
  <si>
    <r>
      <t xml:space="preserve">Principal payments on </t>
    </r>
    <r>
      <rPr>
        <b/>
        <sz val="11"/>
        <color theme="1"/>
        <rFont val="Calibri"/>
        <family val="2"/>
        <scheme val="minor"/>
      </rPr>
      <t>OLD</t>
    </r>
    <r>
      <rPr>
        <sz val="11"/>
        <color theme="1"/>
        <rFont val="Calibri"/>
        <family val="2"/>
        <scheme val="minor"/>
      </rPr>
      <t xml:space="preserve"> debt denominated in local currency</t>
    </r>
  </si>
  <si>
    <r>
      <t xml:space="preserve">Principal payments on </t>
    </r>
    <r>
      <rPr>
        <b/>
        <sz val="11"/>
        <color theme="1"/>
        <rFont val="Calibri"/>
        <family val="2"/>
        <scheme val="minor"/>
      </rPr>
      <t>OLD</t>
    </r>
    <r>
      <rPr>
        <sz val="11"/>
        <color theme="1"/>
        <rFont val="Calibri"/>
        <family val="2"/>
        <scheme val="minor"/>
      </rPr>
      <t xml:space="preserve"> debt denominated in foreign currency</t>
    </r>
  </si>
  <si>
    <t xml:space="preserve">Public sector non-interest expenditures </t>
  </si>
  <si>
    <t>Old Debt</t>
  </si>
  <si>
    <t>New Debt</t>
  </si>
  <si>
    <t>o/w domestic-currency debt</t>
  </si>
  <si>
    <t>o/w MLT debt</t>
  </si>
  <si>
    <t>Gross Financing Needs</t>
  </si>
  <si>
    <t>Amortization Payments</t>
  </si>
  <si>
    <t>Baseline</t>
  </si>
  <si>
    <t>Real GDP growth</t>
  </si>
  <si>
    <t>Inflation</t>
  </si>
  <si>
    <t>Revenue-to-GDP ratio</t>
  </si>
  <si>
    <t>Non-interest expenditure-to-GDP ratio</t>
  </si>
  <si>
    <t>Primary Balance</t>
  </si>
  <si>
    <t>Real GDP growth shock</t>
  </si>
  <si>
    <t>Interest Rate Shock</t>
  </si>
  <si>
    <t>Exchange Rate Shock</t>
  </si>
  <si>
    <t>Interest payments on OLD debt denominated in foreign currency are subject to exchange rate shocks.</t>
  </si>
  <si>
    <t>Amortization payments on OLD debt denominated in foreign currency are subject to exchange rate shocks.</t>
  </si>
  <si>
    <t>Interest payments on OLD debt denominated in LCU are assumed to be independent of market conditions</t>
  </si>
  <si>
    <t>Amortization payments on OLD debt denominated in LCU are assumed to be independent of market conditions</t>
  </si>
  <si>
    <t>Interest rate shock, basis points, compared to baseline</t>
  </si>
  <si>
    <t>Change in external arrears are subject to exchange rate shocks.</t>
  </si>
  <si>
    <t>Debt relief is assumed to be from external creditors and is thus subject to exchange rate shocks.</t>
  </si>
  <si>
    <t>Nominal GDP growth</t>
  </si>
  <si>
    <t>BASELINE -- BASELINE -- BASELINE -- BASELINE</t>
  </si>
  <si>
    <t>INTEREST PAYMENTS ON NEW ISSUANCE OF LCU DEBT (t)</t>
  </si>
  <si>
    <t>INTEREST PAYMENTS ON NEW ISSUANCE OF FOREIGN DEBT (t)</t>
  </si>
  <si>
    <t>Total public debt-to-GDP</t>
  </si>
  <si>
    <t>Total public debt-to-Revenue</t>
  </si>
  <si>
    <t>Gross financing needs-to-GDP</t>
  </si>
  <si>
    <t>Gross financing needs-to-revenue</t>
  </si>
  <si>
    <t>Debt service-to-GDP</t>
  </si>
  <si>
    <t>Debt service-to-Revenue</t>
  </si>
  <si>
    <t>Debt service</t>
  </si>
  <si>
    <t>Fiscal Needs in LCU Automatically filled by issuing debt
 (same profile as in the baseline scenario)</t>
  </si>
  <si>
    <t>BASELINE</t>
  </si>
  <si>
    <t>Nominal Debt-to-GDP</t>
  </si>
  <si>
    <t>Primary Balance Shock</t>
  </si>
  <si>
    <t>Real GDP Growth Shock</t>
  </si>
  <si>
    <t>Historical average</t>
  </si>
  <si>
    <t>St.dev.</t>
  </si>
  <si>
    <t>Max.</t>
  </si>
  <si>
    <t>Min.</t>
  </si>
  <si>
    <t>Nominal exchange rate depreciation</t>
  </si>
  <si>
    <t>Privatization receipts-to-GDP</t>
  </si>
  <si>
    <t>Recognition of implicit contingent liabilities-to-GDP</t>
  </si>
  <si>
    <t>Automatic debt dynamics 2/ (8+11)</t>
  </si>
  <si>
    <t>Average nominal interest rate, r</t>
  </si>
  <si>
    <t>Real Exchange Rate Shock</t>
  </si>
  <si>
    <t>Shock Assumptions</t>
  </si>
  <si>
    <t>Primary balance shock</t>
  </si>
  <si>
    <t>Size of primary balance shock</t>
  </si>
  <si>
    <t>Impact on revenue</t>
  </si>
  <si>
    <t>Size of real GDP growth shock</t>
  </si>
  <si>
    <t>Contingent Liability shock</t>
  </si>
  <si>
    <t>Coefficient of variation</t>
  </si>
  <si>
    <t>Residual</t>
  </si>
  <si>
    <t xml:space="preserve">Real interest rate </t>
  </si>
  <si>
    <t>Exchange rate</t>
  </si>
  <si>
    <t>Combined shock</t>
  </si>
  <si>
    <t>Baseline Scenario</t>
  </si>
  <si>
    <t>Moody's</t>
  </si>
  <si>
    <t>S&amp;Ps</t>
  </si>
  <si>
    <t>Fitch</t>
  </si>
  <si>
    <t>Debt Profile Vulnerabilities</t>
  </si>
  <si>
    <t>Portugal</t>
  </si>
  <si>
    <t>t</t>
  </si>
  <si>
    <t>t+1</t>
  </si>
  <si>
    <t>t+2</t>
  </si>
  <si>
    <t>t+3</t>
  </si>
  <si>
    <t>t+4</t>
  </si>
  <si>
    <t>Other debt-creating flows</t>
  </si>
  <si>
    <t>Additional Stress Tests</t>
  </si>
  <si>
    <t>Change in domestic deflator in USD</t>
  </si>
  <si>
    <t>Domestic Deflator -- USD</t>
  </si>
  <si>
    <t>Domestic Deflator -- local currency</t>
  </si>
  <si>
    <t>Real interest rate</t>
  </si>
  <si>
    <t>Real GDP growth rate</t>
  </si>
  <si>
    <t>Primary balance</t>
  </si>
  <si>
    <t>Historical Scenario</t>
  </si>
  <si>
    <t>Combination Shock</t>
  </si>
  <si>
    <t>Contingent Liability Shock</t>
  </si>
  <si>
    <t>First year of projection</t>
  </si>
  <si>
    <t>In percent of GDP</t>
  </si>
  <si>
    <t>In basis points</t>
  </si>
  <si>
    <t>In percent of total Public Debt</t>
  </si>
  <si>
    <t>Country specific threshold not exceeded under shock or baseline</t>
  </si>
  <si>
    <t>Country specific threshold exceeded under shock but not baseline</t>
  </si>
  <si>
    <t>Country specific threshold exceeded under baseline</t>
  </si>
  <si>
    <t>Not applicable / data not available</t>
  </si>
  <si>
    <t>Debt profile vulnerability</t>
  </si>
  <si>
    <t>Growth</t>
  </si>
  <si>
    <t>Sensitivity of debt level to macro/fiscal shocks</t>
  </si>
  <si>
    <t>Combined Shock</t>
  </si>
  <si>
    <t xml:space="preserve">Primary balance </t>
  </si>
  <si>
    <t>Green (1)</t>
  </si>
  <si>
    <t>Yellow (2)</t>
  </si>
  <si>
    <t>Red (3)</t>
  </si>
  <si>
    <t>White (0)</t>
  </si>
  <si>
    <t>Units</t>
  </si>
  <si>
    <t>Country</t>
  </si>
  <si>
    <t>Albania</t>
  </si>
  <si>
    <t>Algeria</t>
  </si>
  <si>
    <t>Angola</t>
  </si>
  <si>
    <t>Antigua and Barbuda</t>
  </si>
  <si>
    <t>Argentina</t>
  </si>
  <si>
    <t>Armenia</t>
  </si>
  <si>
    <t>Australia</t>
  </si>
  <si>
    <t>Austria</t>
  </si>
  <si>
    <t>Azerbaijan</t>
  </si>
  <si>
    <t>Bahamas, The</t>
  </si>
  <si>
    <t>Bahrain</t>
  </si>
  <si>
    <t>Barbados</t>
  </si>
  <si>
    <t>Belarus</t>
  </si>
  <si>
    <t>Belgium</t>
  </si>
  <si>
    <t>Belize</t>
  </si>
  <si>
    <t>Bosnia and Herzegovina</t>
  </si>
  <si>
    <t>Botswana</t>
  </si>
  <si>
    <t>Brazil</t>
  </si>
  <si>
    <t>Brunei Darussalam</t>
  </si>
  <si>
    <t>Bulgaria</t>
  </si>
  <si>
    <t>Canada</t>
  </si>
  <si>
    <t>Chile</t>
  </si>
  <si>
    <t>China</t>
  </si>
  <si>
    <t>Colombia</t>
  </si>
  <si>
    <t>Costa Rica</t>
  </si>
  <si>
    <t>Croatia</t>
  </si>
  <si>
    <t>Cyprus</t>
  </si>
  <si>
    <t>Czech Republic</t>
  </si>
  <si>
    <t>Denmark</t>
  </si>
  <si>
    <t>Dominican Republic</t>
  </si>
  <si>
    <t>Ecuador</t>
  </si>
  <si>
    <t>Egypt</t>
  </si>
  <si>
    <t>El Salvador</t>
  </si>
  <si>
    <t>Equatorial Guinea</t>
  </si>
  <si>
    <t>Estonia</t>
  </si>
  <si>
    <t>Fiji</t>
  </si>
  <si>
    <t>Finland</t>
  </si>
  <si>
    <t>France</t>
  </si>
  <si>
    <t>Gabon</t>
  </si>
  <si>
    <t>Germany</t>
  </si>
  <si>
    <t>Greece</t>
  </si>
  <si>
    <t>Guatemala</t>
  </si>
  <si>
    <t>Hong Kong SAR</t>
  </si>
  <si>
    <t>Hungary</t>
  </si>
  <si>
    <t>Iceland</t>
  </si>
  <si>
    <t>India</t>
  </si>
  <si>
    <t>Indonesia</t>
  </si>
  <si>
    <t>Iran, Islamic Republic of</t>
  </si>
  <si>
    <t>Iraq</t>
  </si>
  <si>
    <t>Ireland</t>
  </si>
  <si>
    <t>Israel</t>
  </si>
  <si>
    <t>Italy</t>
  </si>
  <si>
    <t>Jamaica</t>
  </si>
  <si>
    <t>Japan</t>
  </si>
  <si>
    <t>Jordan</t>
  </si>
  <si>
    <t>Kazakhstan</t>
  </si>
  <si>
    <t>Korea</t>
  </si>
  <si>
    <t>Kosovo</t>
  </si>
  <si>
    <t>Kuwait</t>
  </si>
  <si>
    <t>Latvia</t>
  </si>
  <si>
    <t>Lebanon</t>
  </si>
  <si>
    <t>Libya</t>
  </si>
  <si>
    <t>Lithuania</t>
  </si>
  <si>
    <t>Luxembourg</t>
  </si>
  <si>
    <t>Macedonia, Former Yugoslav Republic of</t>
  </si>
  <si>
    <t>Malaysia</t>
  </si>
  <si>
    <t>Malta</t>
  </si>
  <si>
    <t>Mauritius</t>
  </si>
  <si>
    <t>Mexico</t>
  </si>
  <si>
    <t>Montenegro, Rep. of</t>
  </si>
  <si>
    <t>Morocco</t>
  </si>
  <si>
    <t>Namibia</t>
  </si>
  <si>
    <t>Netherlands</t>
  </si>
  <si>
    <t>New Zealand</t>
  </si>
  <si>
    <t>Norway</t>
  </si>
  <si>
    <t>Oman</t>
  </si>
  <si>
    <t>Pakistan</t>
  </si>
  <si>
    <t>Panama</t>
  </si>
  <si>
    <t>Paraguay</t>
  </si>
  <si>
    <t>Peru</t>
  </si>
  <si>
    <t>Philippines</t>
  </si>
  <si>
    <t>Poland</t>
  </si>
  <si>
    <t>Qatar</t>
  </si>
  <si>
    <t>Romania</t>
  </si>
  <si>
    <t>Russia</t>
  </si>
  <si>
    <t>Saudi Arabia</t>
  </si>
  <si>
    <t>Serbia</t>
  </si>
  <si>
    <t>Seychelles</t>
  </si>
  <si>
    <t>Singapore</t>
  </si>
  <si>
    <t>Slovak Republic</t>
  </si>
  <si>
    <t>Slovenia</t>
  </si>
  <si>
    <t>South Africa</t>
  </si>
  <si>
    <t>Spain</t>
  </si>
  <si>
    <t>Sri Lanka</t>
  </si>
  <si>
    <t>St. Kitts and Nevis</t>
  </si>
  <si>
    <t>Suriname</t>
  </si>
  <si>
    <t>Swaziland</t>
  </si>
  <si>
    <t>Sweden</t>
  </si>
  <si>
    <t>Switzerland</t>
  </si>
  <si>
    <t>Syrian Arab Republic</t>
  </si>
  <si>
    <t>Taiwan Province of China</t>
  </si>
  <si>
    <t>Thailand</t>
  </si>
  <si>
    <t>Trinidad and Tobago</t>
  </si>
  <si>
    <t>Tunisia</t>
  </si>
  <si>
    <t>Turkey</t>
  </si>
  <si>
    <t>Turkmenistan</t>
  </si>
  <si>
    <t>Ukraine</t>
  </si>
  <si>
    <t>United Arab Emirates</t>
  </si>
  <si>
    <t>United Kingdom</t>
  </si>
  <si>
    <t>United States</t>
  </si>
  <si>
    <t>Uruguay</t>
  </si>
  <si>
    <t>Venezuela</t>
  </si>
  <si>
    <t>Scale</t>
  </si>
  <si>
    <t>National Currency</t>
  </si>
  <si>
    <t>Code</t>
  </si>
  <si>
    <t>Select country</t>
  </si>
  <si>
    <t>Percent</t>
  </si>
  <si>
    <t>EMBI Global spreads or Spread over US bonds for AEs</t>
  </si>
  <si>
    <t>External Financing Requirement</t>
  </si>
  <si>
    <t>Public Debt in Foreign Currency</t>
  </si>
  <si>
    <t>Data</t>
  </si>
  <si>
    <t>Override</t>
  </si>
  <si>
    <t>Final</t>
  </si>
  <si>
    <t>Min</t>
  </si>
  <si>
    <t>Max</t>
  </si>
  <si>
    <t>Contingent Liabilities</t>
  </si>
  <si>
    <t>Gross Financing Need-to-GDP</t>
  </si>
  <si>
    <t>Constant Primary Balance</t>
  </si>
  <si>
    <t>Underlying Assumptions</t>
  </si>
  <si>
    <t>Real Interest Rate Shock</t>
  </si>
  <si>
    <t>Final shock on graph</t>
  </si>
  <si>
    <t>Contingent</t>
  </si>
  <si>
    <t>FX</t>
  </si>
  <si>
    <t>Short-term</t>
  </si>
  <si>
    <t>Effective interest rate</t>
  </si>
  <si>
    <t>Values</t>
  </si>
  <si>
    <t>first year of projection</t>
  </si>
  <si>
    <t>Debt in % of GDP</t>
  </si>
  <si>
    <t>Exchange rate shock</t>
  </si>
  <si>
    <t>Interest rate shock</t>
  </si>
  <si>
    <t>Gross Financing Need in % of GDP</t>
  </si>
  <si>
    <t>Breach?</t>
  </si>
  <si>
    <t>Contingent liabilities shock</t>
  </si>
  <si>
    <t>Private sector credit</t>
  </si>
  <si>
    <t>Loan to deposit</t>
  </si>
  <si>
    <t>Benchmark</t>
  </si>
  <si>
    <t>Shock Description</t>
  </si>
  <si>
    <r>
      <t xml:space="preserve">Interest expenditures on </t>
    </r>
    <r>
      <rPr>
        <b/>
        <sz val="12"/>
        <color theme="1"/>
        <rFont val="Calibri"/>
        <family val="2"/>
        <scheme val="minor"/>
      </rPr>
      <t xml:space="preserve">NEW </t>
    </r>
    <r>
      <rPr>
        <sz val="12"/>
        <color theme="1"/>
        <rFont val="Calibri"/>
        <family val="2"/>
        <scheme val="minor"/>
      </rPr>
      <t>debt denominated in local currency</t>
    </r>
  </si>
  <si>
    <r>
      <t xml:space="preserve">Interest expenditures on </t>
    </r>
    <r>
      <rPr>
        <b/>
        <sz val="12"/>
        <color theme="1"/>
        <rFont val="Calibri"/>
        <family val="2"/>
        <scheme val="minor"/>
      </rPr>
      <t>NEW</t>
    </r>
    <r>
      <rPr>
        <sz val="12"/>
        <color theme="1"/>
        <rFont val="Calibri"/>
        <family val="2"/>
        <scheme val="minor"/>
      </rPr>
      <t xml:space="preserve"> debt denominated in foreign currency</t>
    </r>
  </si>
  <si>
    <r>
      <t xml:space="preserve">Principal payments on </t>
    </r>
    <r>
      <rPr>
        <b/>
        <sz val="12"/>
        <color theme="1"/>
        <rFont val="Calibri"/>
        <family val="2"/>
        <scheme val="minor"/>
      </rPr>
      <t xml:space="preserve">NEW </t>
    </r>
    <r>
      <rPr>
        <sz val="12"/>
        <color theme="1"/>
        <rFont val="Calibri"/>
        <family val="2"/>
        <scheme val="minor"/>
      </rPr>
      <t>debt denominated in local currency</t>
    </r>
  </si>
  <si>
    <r>
      <t xml:space="preserve">Principal payments on </t>
    </r>
    <r>
      <rPr>
        <b/>
        <sz val="12"/>
        <color theme="1"/>
        <rFont val="Calibri"/>
        <family val="2"/>
        <scheme val="minor"/>
      </rPr>
      <t>NEW</t>
    </r>
    <r>
      <rPr>
        <sz val="12"/>
        <color theme="1"/>
        <rFont val="Calibri"/>
        <family val="2"/>
        <scheme val="minor"/>
      </rPr>
      <t xml:space="preserve"> debt denominated in foreign currency</t>
    </r>
  </si>
  <si>
    <t>Triggered?</t>
  </si>
  <si>
    <t>Select "Yes" from the yellow drop-down menu to the right if you would like to run a customized shock</t>
  </si>
  <si>
    <t>Yes</t>
  </si>
  <si>
    <t>No</t>
  </si>
  <si>
    <t>Drop-down selection</t>
  </si>
  <si>
    <t>Impact on expenditures</t>
  </si>
  <si>
    <t>Nominal exchange rate shock</t>
  </si>
  <si>
    <t>AE?</t>
  </si>
  <si>
    <t>For drop down menus</t>
  </si>
  <si>
    <t>Macro-Fiscal Shocks</t>
  </si>
  <si>
    <t>Shock Summary Data</t>
  </si>
  <si>
    <t>Data in the Output Shock Charts</t>
  </si>
  <si>
    <t>Shock/Module</t>
  </si>
  <si>
    <t>DPV Module</t>
  </si>
  <si>
    <t>Auto</t>
  </si>
  <si>
    <t>Auto Triggered?</t>
  </si>
  <si>
    <t>Estimate of REER overvaluation (in percent)</t>
  </si>
  <si>
    <t>GDP at constant prices (level)</t>
  </si>
  <si>
    <t>IFS Code</t>
  </si>
  <si>
    <t>Unit</t>
  </si>
  <si>
    <t>Index Number</t>
  </si>
  <si>
    <t>(NC/USD)</t>
  </si>
  <si>
    <t>Exceptional Access?</t>
  </si>
  <si>
    <t>Definition of the public sector</t>
  </si>
  <si>
    <t>Public sector expenditures</t>
  </si>
  <si>
    <t>Projection average</t>
  </si>
  <si>
    <t>Nominal</t>
  </si>
  <si>
    <t>External Financing Requirements</t>
  </si>
  <si>
    <t>External Fin.</t>
  </si>
  <si>
    <t>Ensure that the fiscal series are consistent with the definition of the public sector selected in Step 1.</t>
  </si>
  <si>
    <t>2.b.</t>
  </si>
  <si>
    <t>US Dollars</t>
  </si>
  <si>
    <t>Balance on current account</t>
  </si>
  <si>
    <t>Amortization of MLT external debt, private and public</t>
  </si>
  <si>
    <t>Debt-to-GDP</t>
  </si>
  <si>
    <t>GFN-to-GDP</t>
  </si>
  <si>
    <t>Foreign currency</t>
  </si>
  <si>
    <t>National currency</t>
  </si>
  <si>
    <t>Foreign</t>
  </si>
  <si>
    <t xml:space="preserve">1.a. </t>
  </si>
  <si>
    <t>Populate the yellow-shaded cells.</t>
  </si>
  <si>
    <t>1.c.</t>
  </si>
  <si>
    <t xml:space="preserve">1.e. </t>
  </si>
  <si>
    <t xml:space="preserve">1.f. </t>
  </si>
  <si>
    <t xml:space="preserve">4.c. </t>
  </si>
  <si>
    <t xml:space="preserve">4.d. </t>
  </si>
  <si>
    <t xml:space="preserve">4.e. </t>
  </si>
  <si>
    <t xml:space="preserve">5.a. </t>
  </si>
  <si>
    <t xml:space="preserve">5.b. </t>
  </si>
  <si>
    <t xml:space="preserve">5.c. </t>
  </si>
  <si>
    <t xml:space="preserve">5.e. </t>
  </si>
  <si>
    <t>DMX</t>
  </si>
  <si>
    <t>EcXL</t>
  </si>
  <si>
    <t>ZERO-COUPON BOND</t>
  </si>
  <si>
    <t>1.h.</t>
  </si>
  <si>
    <t>Enter the latest risk ratings (Moody's, S&amp;P and Fitch) using drop-down menus.</t>
  </si>
  <si>
    <t xml:space="preserve">2.a. </t>
  </si>
  <si>
    <t>AAA</t>
  </si>
  <si>
    <t>AA</t>
  </si>
  <si>
    <t>AA+</t>
  </si>
  <si>
    <t>A</t>
  </si>
  <si>
    <t>A+</t>
  </si>
  <si>
    <t>A-</t>
  </si>
  <si>
    <t>BBB</t>
  </si>
  <si>
    <t>BBB-</t>
  </si>
  <si>
    <t>BBB+</t>
  </si>
  <si>
    <t>BB</t>
  </si>
  <si>
    <t>BB+</t>
  </si>
  <si>
    <t>BB-</t>
  </si>
  <si>
    <t>B</t>
  </si>
  <si>
    <t>B+</t>
  </si>
  <si>
    <t>B-</t>
  </si>
  <si>
    <t>AA-</t>
  </si>
  <si>
    <t>S&amp;P</t>
  </si>
  <si>
    <t>Aaa</t>
  </si>
  <si>
    <t>Aa1</t>
  </si>
  <si>
    <t>Aa2</t>
  </si>
  <si>
    <t>Aa3</t>
  </si>
  <si>
    <t>A1</t>
  </si>
  <si>
    <t>A2</t>
  </si>
  <si>
    <t>A3</t>
  </si>
  <si>
    <t>Baa1</t>
  </si>
  <si>
    <t>Baa2</t>
  </si>
  <si>
    <t>Baa3</t>
  </si>
  <si>
    <t>Ba1</t>
  </si>
  <si>
    <t>Ba2</t>
  </si>
  <si>
    <t>Ba3</t>
  </si>
  <si>
    <t>B1</t>
  </si>
  <si>
    <t>B2</t>
  </si>
  <si>
    <t>B3</t>
  </si>
  <si>
    <t>Caa1</t>
  </si>
  <si>
    <t>Caa2</t>
  </si>
  <si>
    <t>Caa3</t>
  </si>
  <si>
    <t>Ca</t>
  </si>
  <si>
    <t>C</t>
  </si>
  <si>
    <t>Loan-to-deposit ratio</t>
  </si>
  <si>
    <t>(in percent of GDP unless otherwise indicated)</t>
  </si>
  <si>
    <t>Real GDP growth (in percent)</t>
  </si>
  <si>
    <t>Inflation (GDP deflator, in percent)</t>
  </si>
  <si>
    <t>Nominal GDP growth (in percent)</t>
  </si>
  <si>
    <t>Nominal Debt (in percent of GDP)</t>
  </si>
  <si>
    <t>Debt Service (in percent of GDP)</t>
  </si>
  <si>
    <t>Gross Financing Need (in percent of GDP)</t>
  </si>
  <si>
    <t>Nominal Debt (in percent of Revenue)</t>
  </si>
  <si>
    <t>Debt Service (in percent of Revenue)</t>
  </si>
  <si>
    <t>Gross Financing Need (in percent of Revenue)</t>
  </si>
  <si>
    <t>Inflation (in percent)</t>
  </si>
  <si>
    <t>Effective Interest Rate (in percent)</t>
  </si>
  <si>
    <t>(in percent of GDP)</t>
  </si>
  <si>
    <t>Medium and long-term</t>
  </si>
  <si>
    <t>(in percent)</t>
  </si>
  <si>
    <t>Short-term debt 1/</t>
  </si>
  <si>
    <t>1/ Maturity one year or less, based on original maturity.</t>
  </si>
  <si>
    <t>2/ Maturity of more than one year.</t>
  </si>
  <si>
    <t>3/ Domestic and external debt based on residency criterion.</t>
  </si>
  <si>
    <t>o/w local-currency debt</t>
  </si>
  <si>
    <t>Market 
Perception</t>
  </si>
  <si>
    <t>X</t>
  </si>
  <si>
    <t>Y</t>
  </si>
  <si>
    <t>EM</t>
  </si>
  <si>
    <t>AM</t>
  </si>
  <si>
    <t>Gross financing needs</t>
  </si>
  <si>
    <t>Contribution to Changes in Public Debt</t>
  </si>
  <si>
    <t>(in percent of Revenue)</t>
  </si>
  <si>
    <t>Full</t>
  </si>
  <si>
    <t>Public gross financing needs</t>
  </si>
  <si>
    <t>Public Debt Service</t>
  </si>
  <si>
    <t>Public Gross Financing Needs</t>
  </si>
  <si>
    <t>consolidated public sector</t>
  </si>
  <si>
    <t>non-financial public sector</t>
  </si>
  <si>
    <t>general government</t>
  </si>
  <si>
    <t>central government</t>
  </si>
  <si>
    <t>other</t>
  </si>
  <si>
    <t>Inflation (GDP Deflator change)</t>
  </si>
  <si>
    <r>
      <t xml:space="preserve">Interest expenditures on </t>
    </r>
    <r>
      <rPr>
        <b/>
        <sz val="12"/>
        <color theme="1"/>
        <rFont val="Calibri"/>
        <family val="2"/>
        <scheme val="minor"/>
      </rPr>
      <t>EXISTING</t>
    </r>
    <r>
      <rPr>
        <sz val="12"/>
        <color theme="1"/>
        <rFont val="Calibri"/>
        <family val="2"/>
        <scheme val="minor"/>
      </rPr>
      <t xml:space="preserve"> debt denominated in foreign currency</t>
    </r>
  </si>
  <si>
    <r>
      <t xml:space="preserve">Interest expenditures on </t>
    </r>
    <r>
      <rPr>
        <b/>
        <sz val="12"/>
        <color theme="1"/>
        <rFont val="Calibri"/>
        <family val="2"/>
        <scheme val="minor"/>
      </rPr>
      <t>EXISTING</t>
    </r>
    <r>
      <rPr>
        <sz val="12"/>
        <color theme="1"/>
        <rFont val="Calibri"/>
        <family val="2"/>
        <scheme val="minor"/>
      </rPr>
      <t xml:space="preserve"> debt denominated in local currency</t>
    </r>
  </si>
  <si>
    <r>
      <t xml:space="preserve">Principal payments on </t>
    </r>
    <r>
      <rPr>
        <b/>
        <sz val="12"/>
        <color theme="1"/>
        <rFont val="Calibri"/>
        <family val="2"/>
        <scheme val="minor"/>
      </rPr>
      <t>EXISTING</t>
    </r>
    <r>
      <rPr>
        <sz val="12"/>
        <color theme="1"/>
        <rFont val="Calibri"/>
        <family val="2"/>
        <scheme val="minor"/>
      </rPr>
      <t xml:space="preserve"> debt denominated in local currency</t>
    </r>
  </si>
  <si>
    <r>
      <t xml:space="preserve">Principal payments on </t>
    </r>
    <r>
      <rPr>
        <b/>
        <sz val="12"/>
        <color theme="1"/>
        <rFont val="Calibri"/>
        <family val="2"/>
        <scheme val="minor"/>
      </rPr>
      <t>EXISTING</t>
    </r>
    <r>
      <rPr>
        <sz val="12"/>
        <color theme="1"/>
        <rFont val="Calibri"/>
        <family val="2"/>
        <scheme val="minor"/>
      </rPr>
      <t xml:space="preserve"> debt denominated in foreign currency</t>
    </r>
  </si>
  <si>
    <t>Semi-annual or annual payments</t>
  </si>
  <si>
    <t>Semi-annual</t>
  </si>
  <si>
    <t>Annual</t>
  </si>
  <si>
    <t>Annual/semi-aanual</t>
  </si>
  <si>
    <t>Highly-liquid assets available to repay debt</t>
  </si>
  <si>
    <t>Series</t>
  </si>
  <si>
    <t>Percent of GDP</t>
  </si>
  <si>
    <t>Chart data</t>
  </si>
  <si>
    <t>Transform for chart</t>
  </si>
  <si>
    <t>Percentile</t>
  </si>
  <si>
    <t>10th-25th</t>
  </si>
  <si>
    <t>25th-50th</t>
  </si>
  <si>
    <t>50th-75th</t>
  </si>
  <si>
    <t>75th-90th</t>
  </si>
  <si>
    <t>For z, Use RER if 0, REER if 1</t>
  </si>
  <si>
    <t>Means (Mu)</t>
  </si>
  <si>
    <t>Var-Covar (Sigma)</t>
  </si>
  <si>
    <t>g</t>
  </si>
  <si>
    <t>r</t>
  </si>
  <si>
    <t>pb</t>
  </si>
  <si>
    <t>z</t>
  </si>
  <si>
    <t>means</t>
  </si>
  <si>
    <t>g shocks</t>
  </si>
  <si>
    <t>r shocks</t>
  </si>
  <si>
    <t>pb shocks</t>
  </si>
  <si>
    <t>z shocks</t>
  </si>
  <si>
    <t>d projections</t>
  </si>
  <si>
    <t>Obs</t>
  </si>
  <si>
    <t>Real GDP growth rate (g)</t>
  </si>
  <si>
    <t>Moments Calculated Based on Historical Data</t>
  </si>
  <si>
    <t>Turning-off shocks</t>
  </si>
  <si>
    <t>Off</t>
  </si>
  <si>
    <t>On</t>
  </si>
  <si>
    <t>Series Name</t>
  </si>
  <si>
    <t>Annual Change in Share of Short-term Public Debt at Original Maturity</t>
  </si>
  <si>
    <t>Nominal gross public debt</t>
  </si>
  <si>
    <t>Total Gross Public Debt</t>
  </si>
  <si>
    <t>Total Net Public Debt</t>
  </si>
  <si>
    <t>Gross public sector debt</t>
  </si>
  <si>
    <t>Change in gross public sector debt</t>
  </si>
  <si>
    <t>Net public sector debt</t>
  </si>
  <si>
    <t>Total Net Public Debt-to-GDP</t>
  </si>
  <si>
    <t>Sensitivity of gross financing needs to macro/fiscal shocks</t>
  </si>
  <si>
    <t>Market perception</t>
  </si>
  <si>
    <t>Conditional formatting</t>
  </si>
  <si>
    <t>Data and breaches</t>
  </si>
  <si>
    <t>lower</t>
  </si>
  <si>
    <t>upper</t>
  </si>
  <si>
    <t>Gross Nominal Public Debt</t>
  </si>
  <si>
    <t>Net debt (in percent of GDP)</t>
  </si>
  <si>
    <t>Total Net Public Debt-to-Revenue</t>
  </si>
  <si>
    <t>Net debt (in percent of Revenue)</t>
  </si>
  <si>
    <t>Evolution of Predictive Densities of Gross Nominal Public Debt</t>
  </si>
  <si>
    <t>3 yr level change</t>
  </si>
  <si>
    <t>Benchmarks</t>
  </si>
  <si>
    <t>AE</t>
  </si>
  <si>
    <t xml:space="preserve">6.a. </t>
  </si>
  <si>
    <t xml:space="preserve">6.b. </t>
  </si>
  <si>
    <t xml:space="preserve">6.c. </t>
  </si>
  <si>
    <t>6.d.</t>
  </si>
  <si>
    <t>Change in the Share of Short-Term Debt</t>
  </si>
  <si>
    <t>Country value below lower risk-assessment benchmark</t>
  </si>
  <si>
    <t>Country value above upper risk-assessment benchmark</t>
  </si>
  <si>
    <t>Country value between lower and upper risk-assessment benchmarks</t>
  </si>
  <si>
    <t>Titles for charts</t>
  </si>
  <si>
    <t>Issuance of New Debt to Fill Fiscal Needs</t>
  </si>
  <si>
    <t>Macro and Debt Service Forecast</t>
  </si>
  <si>
    <t>Historical Debt Data</t>
  </si>
  <si>
    <t>Basic Data Input</t>
  </si>
  <si>
    <t>Shock Scenario</t>
  </si>
  <si>
    <t>Fan Chart (Optional)</t>
  </si>
  <si>
    <t>Instructions for the Input</t>
  </si>
  <si>
    <t xml:space="preserve">Overview of the MAC DSA Framework </t>
  </si>
  <si>
    <t>Overview of the MAC DSA Framework</t>
  </si>
  <si>
    <t>Instructions for the Output</t>
  </si>
  <si>
    <t>Debt Burden Indicators</t>
  </si>
  <si>
    <t>select country</t>
  </si>
  <si>
    <t>Composition of Public Debt</t>
  </si>
  <si>
    <t>Annual Change in Share of Short-Term Public Debt at Original Maturity</t>
  </si>
  <si>
    <t>Change in domestic deflator in LCU</t>
  </si>
  <si>
    <t>% of GDP</t>
  </si>
  <si>
    <t>Unit and Scale</t>
  </si>
  <si>
    <t>Billion LCU</t>
  </si>
  <si>
    <t>LCU/USD</t>
  </si>
  <si>
    <t>Index</t>
  </si>
  <si>
    <t>Primary Balance (in percent of GDP)</t>
  </si>
  <si>
    <t>Short-term debt, in percent of total debt</t>
  </si>
  <si>
    <t>NOMINAL PUBLIC DEBT</t>
  </si>
  <si>
    <t>NOMINAL GROSS FINANCING NEEDS</t>
  </si>
  <si>
    <t>UNDERLYING ASSUMPTIONS</t>
  </si>
  <si>
    <t>DEBT BURDEN RATIOS</t>
  </si>
  <si>
    <t>PUBLIC SECTOR DEBT DYNAMICS</t>
  </si>
  <si>
    <t>Foreign currency-denominated</t>
  </si>
  <si>
    <t>Local currency-denominated</t>
  </si>
  <si>
    <t>Foreign currency-denominated debt, in percent of total debt</t>
  </si>
  <si>
    <t>PB</t>
  </si>
  <si>
    <t>ISO-3</t>
  </si>
  <si>
    <t>ALB</t>
  </si>
  <si>
    <t>DZA</t>
  </si>
  <si>
    <t>AGO</t>
  </si>
  <si>
    <t>ATG</t>
  </si>
  <si>
    <t>ARG</t>
  </si>
  <si>
    <t>ARM</t>
  </si>
  <si>
    <t>AUS</t>
  </si>
  <si>
    <t>AUT</t>
  </si>
  <si>
    <t>AZE</t>
  </si>
  <si>
    <t>BHS</t>
  </si>
  <si>
    <t>BHR</t>
  </si>
  <si>
    <t>BRB</t>
  </si>
  <si>
    <t>BLR</t>
  </si>
  <si>
    <t>BEL</t>
  </si>
  <si>
    <t>BLZ</t>
  </si>
  <si>
    <t>BIH</t>
  </si>
  <si>
    <t>BWA</t>
  </si>
  <si>
    <t>BRA</t>
  </si>
  <si>
    <t>BRN</t>
  </si>
  <si>
    <t>BGR</t>
  </si>
  <si>
    <t>CAN</t>
  </si>
  <si>
    <t>CHL</t>
  </si>
  <si>
    <t>CHN</t>
  </si>
  <si>
    <t>COL</t>
  </si>
  <si>
    <t>CRI</t>
  </si>
  <si>
    <t>HRV</t>
  </si>
  <si>
    <t>CYP</t>
  </si>
  <si>
    <t>CZE</t>
  </si>
  <si>
    <t>DNK</t>
  </si>
  <si>
    <t>DOM</t>
  </si>
  <si>
    <t>ECU</t>
  </si>
  <si>
    <t>EGY</t>
  </si>
  <si>
    <t>SLV</t>
  </si>
  <si>
    <t>GNQ</t>
  </si>
  <si>
    <t>EST</t>
  </si>
  <si>
    <t>FJI</t>
  </si>
  <si>
    <t>FIN</t>
  </si>
  <si>
    <t>FRA</t>
  </si>
  <si>
    <t>GAB</t>
  </si>
  <si>
    <t>DEU</t>
  </si>
  <si>
    <t>GRC</t>
  </si>
  <si>
    <t>GTM</t>
  </si>
  <si>
    <t>HKG</t>
  </si>
  <si>
    <t>HUN</t>
  </si>
  <si>
    <t>ISL</t>
  </si>
  <si>
    <t>IND</t>
  </si>
  <si>
    <t>IDN</t>
  </si>
  <si>
    <t>IRN</t>
  </si>
  <si>
    <t>IRQ</t>
  </si>
  <si>
    <t>IRL</t>
  </si>
  <si>
    <t>ISR</t>
  </si>
  <si>
    <t>ITA</t>
  </si>
  <si>
    <t>JAM</t>
  </si>
  <si>
    <t>JPN</t>
  </si>
  <si>
    <t>JOR</t>
  </si>
  <si>
    <t>KAZ</t>
  </si>
  <si>
    <t>KOR</t>
  </si>
  <si>
    <t>KOS</t>
  </si>
  <si>
    <t>KWT</t>
  </si>
  <si>
    <t>LVA</t>
  </si>
  <si>
    <t>LBN</t>
  </si>
  <si>
    <t>LBY</t>
  </si>
  <si>
    <t>LTU</t>
  </si>
  <si>
    <t>LUX</t>
  </si>
  <si>
    <t>MKD</t>
  </si>
  <si>
    <t>MYS</t>
  </si>
  <si>
    <t>MLT</t>
  </si>
  <si>
    <t>MUS</t>
  </si>
  <si>
    <t>MEX</t>
  </si>
  <si>
    <t>MNE</t>
  </si>
  <si>
    <t>MAR</t>
  </si>
  <si>
    <t>NAM</t>
  </si>
  <si>
    <t>NLD</t>
  </si>
  <si>
    <t>NZL</t>
  </si>
  <si>
    <t>NOR</t>
  </si>
  <si>
    <t>OMN</t>
  </si>
  <si>
    <t>PAK</t>
  </si>
  <si>
    <t>PAN</t>
  </si>
  <si>
    <t>PRY</t>
  </si>
  <si>
    <t>PER</t>
  </si>
  <si>
    <t>PHL</t>
  </si>
  <si>
    <t>POL</t>
  </si>
  <si>
    <t>PRT</t>
  </si>
  <si>
    <t>QAT</t>
  </si>
  <si>
    <t>ROM</t>
  </si>
  <si>
    <t>RUS</t>
  </si>
  <si>
    <t>SAU</t>
  </si>
  <si>
    <t>SRB</t>
  </si>
  <si>
    <t>SYC</t>
  </si>
  <si>
    <t>SGP</t>
  </si>
  <si>
    <t>SVK</t>
  </si>
  <si>
    <t>SVN</t>
  </si>
  <si>
    <t>ZAF</t>
  </si>
  <si>
    <t>ESP</t>
  </si>
  <si>
    <t>LKA</t>
  </si>
  <si>
    <t>KNA</t>
  </si>
  <si>
    <t>SUR</t>
  </si>
  <si>
    <t>SWZ</t>
  </si>
  <si>
    <t>SWE</t>
  </si>
  <si>
    <t>CHE</t>
  </si>
  <si>
    <t>SYR</t>
  </si>
  <si>
    <t>TWN</t>
  </si>
  <si>
    <t>THA</t>
  </si>
  <si>
    <t>TTO</t>
  </si>
  <si>
    <t>TUN</t>
  </si>
  <si>
    <t>TUR</t>
  </si>
  <si>
    <t>TKM</t>
  </si>
  <si>
    <t>UKR</t>
  </si>
  <si>
    <t>ARE</t>
  </si>
  <si>
    <t>GBR</t>
  </si>
  <si>
    <t>USA</t>
  </si>
  <si>
    <t>URY</t>
  </si>
  <si>
    <t>VEN</t>
  </si>
  <si>
    <t>Macro-Fiscal Shocks Charts</t>
  </si>
  <si>
    <t>Additional Stress Tests Charts</t>
  </si>
  <si>
    <t>Foreign 
Currency 
Debt</t>
  </si>
  <si>
    <t>Indicator</t>
  </si>
  <si>
    <t>Label</t>
  </si>
  <si>
    <t>bar</t>
  </si>
  <si>
    <t>Forecast Track Record</t>
  </si>
  <si>
    <t>Always</t>
  </si>
  <si>
    <t>Boom-Bust Module</t>
  </si>
  <si>
    <t>selection made</t>
  </si>
  <si>
    <t>for drop down menus</t>
  </si>
  <si>
    <t>ISO</t>
  </si>
  <si>
    <t>1=AE, 0 =EM</t>
  </si>
  <si>
    <t>Boom-Bust</t>
  </si>
  <si>
    <t>for drop-down menus</t>
  </si>
  <si>
    <t>all countries</t>
  </si>
  <si>
    <t>program countries</t>
  </si>
  <si>
    <t>surveillance countries</t>
  </si>
  <si>
    <t>x</t>
  </si>
  <si>
    <t>Bar</t>
  </si>
  <si>
    <t>25th</t>
  </si>
  <si>
    <t>50th</t>
  </si>
  <si>
    <t>75th</t>
  </si>
  <si>
    <t>10Y historical average</t>
  </si>
  <si>
    <t>5Y projection average</t>
  </si>
  <si>
    <t>Drop</t>
  </si>
  <si>
    <t>Point</t>
  </si>
  <si>
    <t>Output gap</t>
  </si>
  <si>
    <t>output gap</t>
  </si>
  <si>
    <t>First Year of Projection</t>
  </si>
  <si>
    <t>private sector credit</t>
  </si>
  <si>
    <t>3 year level change</t>
  </si>
  <si>
    <t>benchmark</t>
  </si>
  <si>
    <t>chart data:</t>
  </si>
  <si>
    <t>Growth forecast error</t>
  </si>
  <si>
    <t>Primary balance forecast error</t>
  </si>
  <si>
    <t>Inflation forecast error</t>
  </si>
  <si>
    <t>10th</t>
  </si>
  <si>
    <t>Median</t>
  </si>
  <si>
    <t xml:space="preserve">75th </t>
  </si>
  <si>
    <t>90th</t>
  </si>
  <si>
    <t>Average</t>
  </si>
  <si>
    <t>Growth: distribution of all MAC countries forecast errors</t>
  </si>
  <si>
    <t>Growth: distribution of surveillance MAC countries forecast errors</t>
  </si>
  <si>
    <t>Growth: distribution of MAC program countries forecast errors</t>
  </si>
  <si>
    <t>Distribution of forecast errors:</t>
  </si>
  <si>
    <t>Interquartile range (25-75)</t>
  </si>
  <si>
    <t>for shade/chart:</t>
  </si>
  <si>
    <t>Growth distributions</t>
  </si>
  <si>
    <t>Primary balance distributions</t>
  </si>
  <si>
    <t>Primary balance: distribution of all MAC countries forecast errors</t>
  </si>
  <si>
    <t>Primary balance: distribution of MAC program countries forecast errors</t>
  </si>
  <si>
    <t>Primary balance: distribution of surveillance MAC countries forecast errors</t>
  </si>
  <si>
    <t>Inflation distributions</t>
  </si>
  <si>
    <t>Inflation: distribution of all MAC countries forecast errors</t>
  </si>
  <si>
    <t>Country Forecast Errors, by year</t>
  </si>
  <si>
    <t>Code-Year</t>
  </si>
  <si>
    <t>001</t>
  </si>
  <si>
    <t>chart data</t>
  </si>
  <si>
    <t>Chart data - Growth</t>
  </si>
  <si>
    <t>Chart data - Primary balance</t>
  </si>
  <si>
    <t>Chart data - Inflation</t>
  </si>
  <si>
    <t>Pctile Rank</t>
  </si>
  <si>
    <t xml:space="preserve">small number = </t>
  </si>
  <si>
    <t>more optimistic</t>
  </si>
  <si>
    <t>Real GDP Growth</t>
  </si>
  <si>
    <t>(in percent, actual-projection)</t>
  </si>
  <si>
    <t>Inflation (Deflator)</t>
  </si>
  <si>
    <t>Has a percentile rank of:</t>
  </si>
  <si>
    <t>(in percent of GDP, actual-projection)</t>
  </si>
  <si>
    <t>Actual</t>
  </si>
  <si>
    <t>Projections</t>
  </si>
  <si>
    <t>Other identified debt-creating flows</t>
  </si>
  <si>
    <t>Identified debt-creating flows</t>
  </si>
  <si>
    <t>a = share of foreign-currency denominated debt; and e = nominal exchange rate depreciation (measured by increase in local currency value of U.S. dollar).</t>
  </si>
  <si>
    <t>Local</t>
  </si>
  <si>
    <t>Of which: real GDP growth</t>
  </si>
  <si>
    <t>Contingent liabilities</t>
  </si>
  <si>
    <t>Alternative Scenarios</t>
  </si>
  <si>
    <t xml:space="preserve"> Debt Profile Vulnerabilities</t>
  </si>
  <si>
    <t>Lower early warning</t>
  </si>
  <si>
    <t>Upper early warning</t>
  </si>
  <si>
    <r>
      <t xml:space="preserve">Boom-Bust Analysis </t>
    </r>
    <r>
      <rPr>
        <vertAlign val="superscript"/>
        <sz val="15"/>
        <rFont val="Segoe UI"/>
        <family val="2"/>
      </rPr>
      <t>3/</t>
    </r>
  </si>
  <si>
    <t>DPV</t>
  </si>
  <si>
    <t>Hyperlink</t>
  </si>
  <si>
    <t>CL</t>
  </si>
  <si>
    <t>FTR</t>
  </si>
  <si>
    <t>GDP at current prices (level)</t>
  </si>
  <si>
    <t>Potential GDP at current prices (level)</t>
  </si>
  <si>
    <t>Nominal GDP in LCU (current prices)</t>
  </si>
  <si>
    <t>Real GDP (constant prices)</t>
  </si>
  <si>
    <t>Potential GDP (current prices)</t>
  </si>
  <si>
    <t>Potential GDP (constant prices)</t>
  </si>
  <si>
    <t>Potential real GDP growth</t>
  </si>
  <si>
    <t>Ratio</t>
  </si>
  <si>
    <t>EcXL (WEO Live)</t>
  </si>
  <si>
    <t>Variable</t>
  </si>
  <si>
    <t>Ratings</t>
  </si>
  <si>
    <t>Restrictions on upside shocks:</t>
  </si>
  <si>
    <t>is the max positive growth rate shock (percent)</t>
  </si>
  <si>
    <t>is the max negative interest rate shock (percent)</t>
  </si>
  <si>
    <t>is the max positive pb shock (percent GDP)</t>
  </si>
  <si>
    <t>is the max real appreciation shock (percent)</t>
  </si>
  <si>
    <t>Restrictions on good shocks</t>
  </si>
  <si>
    <t>Heat Map</t>
  </si>
  <si>
    <t>Macro-Fiscal Stress Tests</t>
  </si>
  <si>
    <t>Combined Macro-Fiscal Shock</t>
  </si>
  <si>
    <t>Populate the yellow-shaded cells:</t>
  </si>
  <si>
    <r>
      <t xml:space="preserve">Debt, Economic and Market Indicators </t>
    </r>
    <r>
      <rPr>
        <vertAlign val="superscript"/>
        <sz val="18"/>
        <rFont val="Segoe UI"/>
        <family val="2"/>
      </rPr>
      <t>1/</t>
    </r>
  </si>
  <si>
    <t>cumulative</t>
  </si>
  <si>
    <r>
      <t xml:space="preserve">Debt level </t>
    </r>
    <r>
      <rPr>
        <vertAlign val="superscript"/>
        <sz val="13"/>
        <color theme="1"/>
        <rFont val="Segoe UI"/>
        <family val="2"/>
      </rPr>
      <t>1/</t>
    </r>
  </si>
  <si>
    <r>
      <t xml:space="preserve">Gross financing needs </t>
    </r>
    <r>
      <rPr>
        <vertAlign val="superscript"/>
        <sz val="13"/>
        <color theme="1"/>
        <rFont val="Segoe UI"/>
        <family val="2"/>
      </rPr>
      <t>2/</t>
    </r>
  </si>
  <si>
    <t>Public Debt Held by Non-Residents</t>
  </si>
  <si>
    <t>Non-Res</t>
  </si>
  <si>
    <t>Option B: Restrictions on the distribution</t>
  </si>
  <si>
    <t>chart legend</t>
  </si>
  <si>
    <t>Shock Trigger (where relevant)</t>
  </si>
  <si>
    <t>Based on planned adjustment</t>
  </si>
  <si>
    <t>Based on 10Y historical st. dev.</t>
  </si>
  <si>
    <t>deterioration from baseline</t>
  </si>
  <si>
    <t>Cumulative shock impact</t>
  </si>
  <si>
    <t>Primary Balance shock - based on adjustment</t>
  </si>
  <si>
    <t>Primary Balance shock - based on st dev</t>
  </si>
  <si>
    <t>debt stabilizing primary balance 10/</t>
  </si>
  <si>
    <t>debt-stabilizing</t>
  </si>
  <si>
    <t>primary</t>
  </si>
  <si>
    <t>Distribution around crisis events (t = year of crisis). Energy exporters excluded. Boom-bust restriction.</t>
  </si>
  <si>
    <t>t-5</t>
  </si>
  <si>
    <t>t-4</t>
  </si>
  <si>
    <t>t-3</t>
  </si>
  <si>
    <t>t-2</t>
  </si>
  <si>
    <t>t-1</t>
  </si>
  <si>
    <t>t+5</t>
  </si>
  <si>
    <t>median</t>
  </si>
  <si>
    <t>For chart</t>
  </si>
  <si>
    <t>Billions</t>
  </si>
  <si>
    <t>Example</t>
  </si>
  <si>
    <t>for footnote:</t>
  </si>
  <si>
    <t>Selected comparator group:</t>
  </si>
  <si>
    <t>Footnotes</t>
  </si>
  <si>
    <t>This sheet includes the results of the macro-fiscal and other stress tests.</t>
  </si>
  <si>
    <t>Benchmarks for Debt Profile Vulnerabilities</t>
  </si>
  <si>
    <t>Benchmarks for Classification</t>
  </si>
  <si>
    <t>in percent of GDP</t>
  </si>
  <si>
    <t>Public debt</t>
  </si>
  <si>
    <t xml:space="preserve">Public gross financing needs </t>
  </si>
  <si>
    <t>Emerging Market (EM) or Advanced Economy (AE)</t>
  </si>
  <si>
    <t xml:space="preserve">Public Gross Debt &gt; </t>
  </si>
  <si>
    <t>Public Gross Financing Needs &gt;</t>
  </si>
  <si>
    <t xml:space="preserve"> percent of GDP?</t>
  </si>
  <si>
    <t>percent of GDP?</t>
  </si>
  <si>
    <t>Benchmarks for Heat Map</t>
  </si>
  <si>
    <t>Benchmarks for Contingent Liabilities</t>
  </si>
  <si>
    <t>Private sector credit: three-year cumulative level change</t>
  </si>
  <si>
    <t>Loan to deposit ratio</t>
  </si>
  <si>
    <t>Public sector interest revenue</t>
  </si>
  <si>
    <t>Public sector non-interest revenue</t>
  </si>
  <si>
    <t>Public sector non-interest expenditure</t>
  </si>
  <si>
    <t>Primary (noninterest) revenue and grants</t>
  </si>
  <si>
    <t>Non-interest revenue-to-GDP ratio</t>
  </si>
  <si>
    <t>Interest Receipts</t>
  </si>
  <si>
    <t>Public sector non-interest revenues and grants</t>
  </si>
  <si>
    <t>Basic 2 Shocks Charts</t>
  </si>
  <si>
    <t>Cyclically-adjusted primary balance</t>
  </si>
  <si>
    <t>Fiscal Adjustment Module</t>
  </si>
  <si>
    <t>Adjustment</t>
  </si>
  <si>
    <t>Nominal GDP</t>
  </si>
  <si>
    <t>3-year average level</t>
  </si>
  <si>
    <t>3-year average level (t-2:t)</t>
  </si>
  <si>
    <t>3-year adjustment (t - t-3)</t>
  </si>
  <si>
    <t>maximum 3-year average level</t>
  </si>
  <si>
    <t>maximum 3-year adjustment</t>
  </si>
  <si>
    <t>Bin</t>
  </si>
  <si>
    <t>Frequency</t>
  </si>
  <si>
    <t>Less</t>
  </si>
  <si>
    <t>More</t>
  </si>
  <si>
    <t>y</t>
  </si>
  <si>
    <t>country</t>
  </si>
  <si>
    <t>year</t>
  </si>
  <si>
    <t>capb_3yr</t>
  </si>
  <si>
    <t>dcapb_3yr</t>
  </si>
  <si>
    <t>3-year adjustment</t>
  </si>
  <si>
    <t>Percent of sample</t>
  </si>
  <si>
    <t>Category</t>
  </si>
  <si>
    <t>percentilerank</t>
  </si>
  <si>
    <t>3y change</t>
  </si>
  <si>
    <t>Underlying data</t>
  </si>
  <si>
    <t>Distribution</t>
  </si>
  <si>
    <t>Impact on non-interest revenue</t>
  </si>
  <si>
    <t>Impact on non-interest expenditures</t>
  </si>
  <si>
    <t>Shock size and duration based on the underlying shocks.</t>
  </si>
  <si>
    <t>Interest rate increases by difference between average real interest rate level over projection and maximum real historical level, or by 200bp, whichever is larger.</t>
  </si>
  <si>
    <t>Real GDP growth rate, real interest rate, and primary balance are set to historical averages.</t>
  </si>
  <si>
    <t>Constant primary balance as in the first year of projection in the baseline.</t>
  </si>
  <si>
    <t>One-time increase in non-interest expenditures equivalent to 10% of banking sector assets leads to a real GDP growth shock (see above): growth is reduced by 1 standard deviation for 2 consecutive years; revenue-to-GDP ratio remains the same as in the baseline; deterioration in primary balance lead to higher interest rate; decline in growth leads to lower inflation.</t>
  </si>
  <si>
    <t>Scrutiny Classification</t>
  </si>
  <si>
    <t>Constant Primary Balance Scenario</t>
  </si>
  <si>
    <t>Plot?</t>
  </si>
  <si>
    <t>Thousands</t>
  </si>
  <si>
    <t>Millions</t>
  </si>
  <si>
    <t>Trillions</t>
  </si>
  <si>
    <t>% of total public debt</t>
  </si>
  <si>
    <t>Any custom size and duration of shock, to any variables. Short name:</t>
  </si>
  <si>
    <t>rounded</t>
  </si>
  <si>
    <t>Bank gross foreign assets</t>
  </si>
  <si>
    <t>Banking Sector Data</t>
  </si>
  <si>
    <t>Total Gross Public Debt-to-potential GDP</t>
  </si>
  <si>
    <t>% of potential GDP</t>
  </si>
  <si>
    <t>Net debt-to-GDP?</t>
  </si>
  <si>
    <t>Gross debt-to-potential GDP?</t>
  </si>
  <si>
    <t>scrutiny</t>
  </si>
  <si>
    <t>Debt (in percent of potential GDP)</t>
  </si>
  <si>
    <t xml:space="preserve">for label: </t>
  </si>
  <si>
    <t>Distribution 4/</t>
  </si>
  <si>
    <t>Use of complementary analysis?</t>
  </si>
  <si>
    <t>Higher</t>
  </si>
  <si>
    <t>a - Realism of baseline scenario</t>
  </si>
  <si>
    <t>b - Vulnerability of debt profile</t>
  </si>
  <si>
    <t>d - Contingent liabilities</t>
  </si>
  <si>
    <t>1. Go to Sheet "Input 1 - Basics"</t>
  </si>
  <si>
    <t>1.b.</t>
  </si>
  <si>
    <t xml:space="preserve">1.d. </t>
  </si>
  <si>
    <t>Select first year of projection.</t>
  </si>
  <si>
    <t>Enter estimate of REER overvaluation from the latest exchange rate assessment.</t>
  </si>
  <si>
    <t>This is an input for the calibration of the exchange rate shock in the macro-fiscal risks module.</t>
  </si>
  <si>
    <t>EMs may use EMBI Global spreads while AEs may use bond spreads over US or German bonds at similar maturity.</t>
  </si>
  <si>
    <t xml:space="preserve">3.a. </t>
  </si>
  <si>
    <t>3.b.</t>
  </si>
  <si>
    <t>Bank gross foreign assets are used for the calibration of the size of the contingent liability shock.</t>
  </si>
  <si>
    <t>4. Go to Sheet "Input 4 - Forecast"</t>
  </si>
  <si>
    <t>4.a.</t>
  </si>
  <si>
    <t>(i) calculation of gross financing needs based on the fiscal assumptions;</t>
  </si>
  <si>
    <t xml:space="preserve">4.b. </t>
  </si>
  <si>
    <t>5. Go to Sheet "Input 5 - Scenario Design"</t>
  </si>
  <si>
    <t xml:space="preserve">5.d. </t>
  </si>
  <si>
    <t>5.f.</t>
  </si>
  <si>
    <t>1. Go to Sheets "Output - Basic 1" and Output - Basic 2"</t>
  </si>
  <si>
    <t>(i) selected economic indicators under the baseline scenario, including the evolution of debt burden indicators;</t>
  </si>
  <si>
    <t>(ii) latest market indicators, such as risk rating, EMBI or bond spreads and CDS spreads;</t>
  </si>
  <si>
    <t>(iii) the debt dynamics under the baseline scenario, which presents the contribution of different factors to the evolution of the debt-to-GDP ratio;</t>
  </si>
  <si>
    <t>(iv) the evolution of the maturity structure (short-term vs. medium and long term debt) as well as the currency composition of public debt (domestic vs. foreign-currency-denominated debt);</t>
  </si>
  <si>
    <t>(v) a comparison of the evolution of debt burden indicators under the baseline and standardized stress tests.</t>
  </si>
  <si>
    <t>This sheet includes the presentation of realism of baseline assumptions.</t>
  </si>
  <si>
    <t>3. Go to Sheet "Output - Shocks"</t>
  </si>
  <si>
    <t>For Higher Scrutiny countries and where relevant, a contingent liability shock and customized scenarios will be plotted here instead of in the Basic DSA.</t>
  </si>
  <si>
    <t>4. Go to Sheet "Output - Heat Map"</t>
  </si>
  <si>
    <t>Lower</t>
  </si>
  <si>
    <t>Scrutiny classification based on debt burden indicators and exceptional access:</t>
  </si>
  <si>
    <t>Final scrutiny classification taking into account risk-amplifying or risk-mitigating factors, where relevant:</t>
  </si>
  <si>
    <t>Always required for all countries.</t>
  </si>
  <si>
    <t>Select:</t>
  </si>
  <si>
    <t>Minimum shock equivalent to 50% of planned adjustment (50% implemented), or baseline minus half of the 10-year historical standard deviation, whichever is larger. There is an increase in interest rates of 25bp for every 1% of GDP worsening in the primary balance.</t>
  </si>
  <si>
    <t>Required?</t>
  </si>
  <si>
    <t>Financial Contingent Liability Shock</t>
  </si>
  <si>
    <t>Components of the DSA:</t>
  </si>
  <si>
    <t>c - Sensitivity to macro-fiscal risks</t>
  </si>
  <si>
    <t>(i) domestic and external debt (residency criterion);</t>
  </si>
  <si>
    <t>Contribution from exchange rate depreciation 4/</t>
  </si>
  <si>
    <t>Exchange rate depreciation</t>
  </si>
  <si>
    <t>…</t>
  </si>
  <si>
    <t>See Figure 1, to the right, extracted from the Guidance Note.</t>
  </si>
  <si>
    <t>1 - Basic DSA Module (for all MACs)</t>
  </si>
  <si>
    <t>2 - Risk Identification and Analysis Modules (for Higher Scrutiny countries)</t>
  </si>
  <si>
    <t>3 - Risk Reporting Module (for Higher Scrutiny countries)</t>
  </si>
  <si>
    <t>Select country from the drop-down menu.</t>
  </si>
  <si>
    <t>Is the country seeking or does it currently have exceptional access to Fund resources?</t>
  </si>
  <si>
    <t>Enter market spread information in the appropriate cells. Use the drop-down menu to define "bond spread."</t>
  </si>
  <si>
    <t>(ii) local-currency and foreign-currency denominated debt;</t>
  </si>
  <si>
    <t>Private sector credit and loan-to-deposit ratio are used to determine potential contingent liabilities arising from the banking sector.</t>
  </si>
  <si>
    <t>Data on debt service of existing debt should preferably come from the fiscal files or authorities' debt management office.</t>
  </si>
  <si>
    <t>The breakdown between domestic- and foreign-currency denominated debt is important for capturing exchange rate risks.</t>
  </si>
  <si>
    <t>(iii) Columns M-R determine the interest rate on new issuances; the interest rate can vary by instrument as well as by year of issuance.</t>
  </si>
  <si>
    <t>The financial sector contingent liability stress test is automatically triggered by developments in private sector credit growth and loan-to-deposit ratios.</t>
  </si>
  <si>
    <t>The template allows for two additional customized scenarios (including contingent liability shocks from non-financial sectors).</t>
  </si>
  <si>
    <r>
      <t xml:space="preserve">1 - Please fill the yellow-shaded cells.  All data should be entered in </t>
    </r>
    <r>
      <rPr>
        <b/>
        <i/>
        <sz val="12"/>
        <color theme="1"/>
        <rFont val="Calibri"/>
        <family val="2"/>
        <scheme val="minor"/>
      </rPr>
      <t>local currency units (LCU)</t>
    </r>
    <r>
      <rPr>
        <b/>
        <sz val="12"/>
        <color theme="1"/>
        <rFont val="Calibri"/>
        <family val="2"/>
        <scheme val="minor"/>
      </rPr>
      <t xml:space="preserve"> unless otherwise specified.</t>
    </r>
  </si>
  <si>
    <t xml:space="preserve">The default comparator group for Forecast Track Record is all market access countries (MACs). </t>
  </si>
  <si>
    <t>For Lower Scrutiny countries, when relevant, a contingent liability shock and customized scenarios will also be plotted in addition to standardized stress tests.</t>
  </si>
  <si>
    <t>This sheet includes the presentation of overall risk assessment: heat map, fan charts, and debt profile vulnerabilities.</t>
  </si>
  <si>
    <t>Input Lists (Drop-Down)</t>
  </si>
  <si>
    <t>Breaches</t>
  </si>
  <si>
    <t>Original trigger</t>
  </si>
  <si>
    <t>Modules and Triggers Summary</t>
  </si>
  <si>
    <t>Alternative Scenarios:</t>
  </si>
  <si>
    <t>Macro-Fiscal Shocks:</t>
  </si>
  <si>
    <t xml:space="preserve">Real GDP growth is reduced by 1 standard deviation for 2 consecutive years; revenue-to-GDP ratio remains the same as in the baseline; level of non-interest expenditures is the same as in the baseline; deterioration in primary balance lead to higher interest rate (see above); decline in growth leads to lower inflation (0.25 percentage points per 1 percentage point decrease in GDP growth). 
</t>
  </si>
  <si>
    <t>Market information</t>
  </si>
  <si>
    <t>Latest information, available as of…</t>
  </si>
  <si>
    <t>Historical information over the last 3 months…</t>
  </si>
  <si>
    <t>EMBI Global spreads or Spread over US bonds for AEs, 3-month avg</t>
  </si>
  <si>
    <t>Sovereign risk rating</t>
  </si>
  <si>
    <t xml:space="preserve">Of which: real interest rate </t>
  </si>
  <si>
    <t>Source: IMF staff.</t>
  </si>
  <si>
    <r>
      <t xml:space="preserve">Debt profile </t>
    </r>
    <r>
      <rPr>
        <vertAlign val="superscript"/>
        <sz val="13"/>
        <color theme="1"/>
        <rFont val="Segoe UI"/>
        <family val="2"/>
      </rPr>
      <t>3/</t>
    </r>
  </si>
  <si>
    <t>Source : IMF Staff.</t>
  </si>
  <si>
    <t>2/ Projections made in the spring WEO vintage of the preceding year.</t>
  </si>
  <si>
    <t>3/ The cell is highlighted in green if country value is less  than the lower risk-assessment benchmark, red if country value exceeds the upper risk-assessment benchmark, yellow if country value is between the lower and upper risk-assessment benchmarks. If data are unavailable or indicator is not relevant, cell is white. 
Lower and upper risk-assessment benchmarks are:</t>
  </si>
  <si>
    <t>Always triggered for Higher Scrutiny</t>
  </si>
  <si>
    <t>Required for High Scrutiny</t>
  </si>
  <si>
    <t>Triggered?
Required?</t>
  </si>
  <si>
    <t>Other modules required for Higher Scrutiny Countries:</t>
  </si>
  <si>
    <t>CCC</t>
  </si>
  <si>
    <t>CC</t>
  </si>
  <si>
    <t>RD</t>
  </si>
  <si>
    <t>D</t>
  </si>
  <si>
    <t>External debt: short-term, on original maturity basis, private and public</t>
  </si>
  <si>
    <t>Banking system assets (excluding claims on government)</t>
  </si>
  <si>
    <t>2/ Based on available data.</t>
  </si>
  <si>
    <t>2/</t>
  </si>
  <si>
    <t>Financing needs to be filled with new issuance</t>
  </si>
  <si>
    <t>2/ Maturity of one year or less, based on original maturity.</t>
  </si>
  <si>
    <t>4 - In the "Shock Assumptions" section, users can change default values in the yellow-shaded cells (column B) to tailor shocks and pass-through interactions based on country-specific information. All possible shock scenarios are shown in this sheet, but only the required/triggered shocks will be automatically presented in the outputs.</t>
  </si>
  <si>
    <t>2 - Based on the scrutiny classification, the template automatically determines the relevant required shocks in the "Shock Scenario" section. 
To manually trigger non-default stress tests, use drop-down menus in cells J23, J25, J27 (contingent liability and customized shocks). Enter the short name(s) for customized shock(s) in cells T25 and T27.</t>
  </si>
  <si>
    <t>Estimate of overvaluation or maximum historical movement of the exchange rate, whichever is higher; pass-through to inflation with default elasticity of 0.25 for EMs and 0.03 for AEs.</t>
  </si>
  <si>
    <t>3. Go to Sheet "Input 3 - Debt and Banking"</t>
  </si>
  <si>
    <t>Pass-through to inflation</t>
  </si>
  <si>
    <t>Option A: No restrictions on the distribution</t>
  </si>
  <si>
    <t>1 - Fan charts are generated based on the calculations of historical averages, variances and covariances of relevant macroeconomic variables (real GDP growth, effective real interest rate, primary balance and the change in real exchange rate).</t>
  </si>
  <si>
    <t>3 - Click on the blue button to generate the fan charts. Individual shocks can be turned off, using cells B42-B45, to identify the source of uncertainty. To generate asymmetric fan charts, specify restrictions on the magnitude of positive shocks in cells D42-D45.</t>
  </si>
  <si>
    <t>Total New Debt Issuance (domestic and external)</t>
  </si>
  <si>
    <t>2 - Distribute the financing needs (identified in row 45) as new debts in yellow-shaded cells in rows 54-87.</t>
  </si>
  <si>
    <t>Debt relief (+ reduces financing needs)</t>
  </si>
  <si>
    <t>5Y CDS (basis points)</t>
  </si>
  <si>
    <t>Includes public guarantees?</t>
  </si>
  <si>
    <t>of which: guarantees</t>
  </si>
  <si>
    <t>5Y CDS (bp)</t>
  </si>
  <si>
    <t>Potential Indicators for Additional Analysis in Lower Scrutiny Countries</t>
  </si>
  <si>
    <t>Coefficient of variation of growth</t>
  </si>
  <si>
    <t>Annual change in the share of short-term public debt at original maturity</t>
  </si>
  <si>
    <t>share of total</t>
  </si>
  <si>
    <t>percent of GDP</t>
  </si>
  <si>
    <t>basis points</t>
  </si>
  <si>
    <t>Bond yield spreads or EMBI global spreads</t>
  </si>
  <si>
    <t>External financin requirements</t>
  </si>
  <si>
    <t>Public debt held by non-residents</t>
  </si>
  <si>
    <t>Public debt in foreign currency</t>
  </si>
  <si>
    <t xml:space="preserve">3-year cumulative primary balance adjustment </t>
  </si>
  <si>
    <t>&gt;</t>
  </si>
  <si>
    <t>unit</t>
  </si>
  <si>
    <t>Soft Benchmarks for Potential Additional Analysis in Lower Scrutiny Countries</t>
  </si>
  <si>
    <t>unit?</t>
  </si>
  <si>
    <t>External financing requirements</t>
  </si>
  <si>
    <t>Classification and Outputs</t>
  </si>
  <si>
    <t>Maximum 3-year cumulative primary balance adjustment</t>
  </si>
  <si>
    <t>PUBLIC DEBT (% GDP) PROFILE - CHART DATA</t>
  </si>
  <si>
    <t>Residual 5/</t>
  </si>
  <si>
    <t>Automatic debt dynamics</t>
  </si>
  <si>
    <t>Contribution from interest rate/growth differential</t>
  </si>
  <si>
    <t>SHOCK CALIBRATION STATISTICS</t>
  </si>
  <si>
    <r>
      <t xml:space="preserve">Effective interest rate (in percent) </t>
    </r>
    <r>
      <rPr>
        <vertAlign val="superscript"/>
        <sz val="14"/>
        <color theme="1"/>
        <rFont val="Segoe UI"/>
        <family val="2"/>
      </rPr>
      <t>4/</t>
    </r>
  </si>
  <si>
    <r>
      <t>Automatic debt dynamics</t>
    </r>
    <r>
      <rPr>
        <vertAlign val="superscript"/>
        <sz val="14"/>
        <rFont val="Segoe UI"/>
        <family val="2"/>
      </rPr>
      <t xml:space="preserve"> 5/</t>
    </r>
  </si>
  <si>
    <r>
      <t xml:space="preserve">Interest rate/growth differential </t>
    </r>
    <r>
      <rPr>
        <vertAlign val="superscript"/>
        <sz val="14"/>
        <rFont val="Segoe UI"/>
        <family val="2"/>
      </rPr>
      <t>6/</t>
    </r>
  </si>
  <si>
    <r>
      <t xml:space="preserve">Exchange rate depreciation </t>
    </r>
    <r>
      <rPr>
        <vertAlign val="superscript"/>
        <sz val="14"/>
        <rFont val="Segoe UI"/>
        <family val="2"/>
      </rPr>
      <t>7/</t>
    </r>
  </si>
  <si>
    <r>
      <t xml:space="preserve">Residual, including asset changes </t>
    </r>
    <r>
      <rPr>
        <vertAlign val="superscript"/>
        <sz val="14"/>
        <rFont val="Segoe UI"/>
        <family val="2"/>
      </rPr>
      <t>8/</t>
    </r>
  </si>
  <si>
    <r>
      <t xml:space="preserve">balance </t>
    </r>
    <r>
      <rPr>
        <vertAlign val="superscript"/>
        <sz val="14"/>
        <color theme="1"/>
        <rFont val="Segoe UI"/>
        <family val="2"/>
      </rPr>
      <t>9/</t>
    </r>
  </si>
  <si>
    <t>9/ Assumes that key variables (real GDP growth, real interest rate, and other identified debt-creating flows) remain at the level of the last projection year.</t>
  </si>
  <si>
    <t xml:space="preserve">7/ The exchange rate contribution is derived from the numerator in footnote 5 as ae(1+r). </t>
  </si>
  <si>
    <t>Effective real interest rate</t>
  </si>
  <si>
    <t>o/w public guarantees</t>
  </si>
  <si>
    <t>4/ Defined as interest payments divided by debt stock (excluding guarantees) at the end of previous year.</t>
  </si>
  <si>
    <t>o/w guarantees</t>
  </si>
  <si>
    <t>3.c.</t>
  </si>
  <si>
    <t>Guidance Note</t>
  </si>
  <si>
    <r>
      <t xml:space="preserve">Depth of analysis depends on </t>
    </r>
    <r>
      <rPr>
        <b/>
        <sz val="11"/>
        <color rgb="FFFF0000"/>
        <rFont val="Calibri"/>
        <family val="2"/>
        <scheme val="minor"/>
      </rPr>
      <t>the extent of vulnerabilities or use of Fund resources</t>
    </r>
    <r>
      <rPr>
        <b/>
        <sz val="11"/>
        <color theme="1"/>
        <rFont val="Calibri"/>
        <family val="2"/>
        <scheme val="minor"/>
      </rPr>
      <t xml:space="preserve">. </t>
    </r>
  </si>
  <si>
    <r>
      <t xml:space="preserve">Market-access country (MAC) public debt sustainability analysis (DSA) is a </t>
    </r>
    <r>
      <rPr>
        <b/>
        <sz val="11"/>
        <color rgb="FFFF0000"/>
        <rFont val="Calibri"/>
        <family val="2"/>
        <scheme val="minor"/>
      </rPr>
      <t>risk-based tool</t>
    </r>
    <r>
      <rPr>
        <b/>
        <sz val="11"/>
        <rFont val="Calibri"/>
        <family val="2"/>
        <scheme val="minor"/>
      </rPr>
      <t>.</t>
    </r>
  </si>
  <si>
    <r>
      <t xml:space="preserve">Higher Scrutiny </t>
    </r>
    <r>
      <rPr>
        <b/>
        <sz val="11"/>
        <rFont val="Calibri"/>
        <family val="2"/>
        <scheme val="minor"/>
      </rPr>
      <t>- for exceptional access, high debt-burden, or high-vulnerability countries:</t>
    </r>
  </si>
  <si>
    <r>
      <t xml:space="preserve">Lower Scrutiny </t>
    </r>
    <r>
      <rPr>
        <b/>
        <sz val="11"/>
        <rFont val="Calibri"/>
        <family val="2"/>
        <scheme val="minor"/>
      </rPr>
      <t>- for all other countries</t>
    </r>
    <r>
      <rPr>
        <sz val="11"/>
        <rFont val="Calibri"/>
        <family val="2"/>
        <scheme val="minor"/>
      </rPr>
      <t>:</t>
    </r>
  </si>
  <si>
    <t>● Analysis includes the basic DSA and standard alternative scenarios, as well as contingent liabilities shock when relevant. All other modules are optional. Write-up is optional.</t>
  </si>
  <si>
    <t>● This includes baseline and standard alternative scenarios.</t>
  </si>
  <si>
    <t>● Where relevant, the basic DSA may also include a contingent liabilities shock and customized scenarios.</t>
  </si>
  <si>
    <t>● Vulnerabilities are identified through four different modules (a-d):</t>
  </si>
  <si>
    <t>● Write-Up</t>
  </si>
  <si>
    <t>● Fan Charts</t>
  </si>
  <si>
    <t>● Heat Map</t>
  </si>
  <si>
    <t>Notes</t>
  </si>
  <si>
    <t>Required for Higher Scrutiny countries.</t>
  </si>
  <si>
    <t>If available. Otherwise, contribution of exchange rate depreciation in debt dynamics is calculated based on effective interest rate on total debt.</t>
  </si>
  <si>
    <t>Required only for complementary net debt analysis.</t>
  </si>
  <si>
    <t>Always required for High Scrutiny countries. Optional for Low Scrutiny countries.</t>
  </si>
  <si>
    <t>Three year cumulative increase of the credit-to-GDP or loan-to-deposit ratio is greater than the threshold. Use the yellow drop-down menu to manually change the automatic trigger.</t>
  </si>
  <si>
    <t>Scrutiny country</t>
  </si>
  <si>
    <t>Interest rate shock (bps)</t>
  </si>
  <si>
    <t>Inflation shock (bps)</t>
  </si>
  <si>
    <t>2 - As a default, averages, variances and covariances are calculated based on the same historical data as the rest of the DSA (last 11 years). For better results, users may wish to extend the historical period in order to better capture country-specific circumstances by populating the yellow-shaded cells in rows 7-10.</t>
  </si>
  <si>
    <t>Effective real interest rate (r)</t>
  </si>
  <si>
    <t>Primary balance (pb)</t>
  </si>
  <si>
    <t>Change in real exchange rate (z) (+ is depreciation)</t>
  </si>
  <si>
    <t>6000 random draws from joint normal distribution.</t>
  </si>
  <si>
    <t>Change in real exchange rate (z)</t>
  </si>
  <si>
    <t>d: Public debt/GDP</t>
  </si>
  <si>
    <t>g: Real GDP growth rate</t>
  </si>
  <si>
    <t>r: Effective real interest rate</t>
  </si>
  <si>
    <t xml:space="preserve">pb: Primary balance </t>
  </si>
  <si>
    <t>z: Real exchange rate change</t>
  </si>
  <si>
    <t>sfa: Stock-flow adjustment</t>
  </si>
  <si>
    <t>Calculated debt/GDP ratio (excl. stock-flow adjustment)</t>
  </si>
  <si>
    <t>Foreign currency debt share</t>
  </si>
  <si>
    <t>Moments Calculated Based on Draws</t>
  </si>
  <si>
    <t>Means</t>
  </si>
  <si>
    <t>Difference Between History and Draws</t>
  </si>
  <si>
    <t>Annual/semi-annual</t>
  </si>
  <si>
    <t>Difference in bps (Average)</t>
  </si>
  <si>
    <t>Difference in bps (Max)</t>
  </si>
  <si>
    <t>Use the drop-down menu to answer the question.  (Select "Yes" for countries under PPM after exceptional access.)</t>
  </si>
  <si>
    <t>Select whether you wish to use complementary analyses of net debt and/or debt-to-potential GDP.</t>
  </si>
  <si>
    <t>2. Go to Sheet "Input 2 - Data"</t>
  </si>
  <si>
    <t>2.a.</t>
  </si>
  <si>
    <t>Ensure that data are consistent with the scales and units specified in columns A and B.</t>
  </si>
  <si>
    <r>
      <t xml:space="preserve">Note that, unless otherwise specified, all series should be denominated in </t>
    </r>
    <r>
      <rPr>
        <b/>
        <sz val="11"/>
        <color theme="1"/>
        <rFont val="Calibri"/>
        <family val="2"/>
        <scheme val="minor"/>
      </rPr>
      <t>local currency units (LCU)</t>
    </r>
    <r>
      <rPr>
        <sz val="11"/>
        <color theme="1"/>
        <rFont val="Calibri"/>
        <family val="2"/>
        <scheme val="minor"/>
      </rPr>
      <t xml:space="preserve">, including interest on foreign-currency denominated debt. </t>
    </r>
  </si>
  <si>
    <t xml:space="preserve">(iii) short-term and long-term debt. </t>
  </si>
  <si>
    <t>If selected, the complementary analysis results will be presented in: (i) the basic DSA table in "Output - Basic1" (line 12); and (ii) the basic DSA debt-to-GDP chart in "Output - Basic2."  The rest of the DSA outputs will remain unchanged.</t>
  </si>
  <si>
    <t>Please provide historical data on public guarantees broken down by currency; guarantees are assumed to remain constant in LCU terms at the last entered value over the projection horizon. This information is used to compute the country's average nominal interest rate on debt.</t>
  </si>
  <si>
    <t>Please provide information on the banking sector.</t>
  </si>
  <si>
    <t>"Input 4 - Forecast" is divided into two basic parts:</t>
  </si>
  <si>
    <t>(ii) financing assumptions.</t>
  </si>
  <si>
    <r>
      <t>Gross financing assumptions include debt service on the outstanding stock of debt (</t>
    </r>
    <r>
      <rPr>
        <b/>
        <sz val="11"/>
        <color theme="1"/>
        <rFont val="Calibri"/>
        <family val="2"/>
        <scheme val="minor"/>
      </rPr>
      <t>existing</t>
    </r>
    <r>
      <rPr>
        <sz val="11"/>
        <color theme="1"/>
        <rFont val="Calibri"/>
        <family val="2"/>
        <scheme val="minor"/>
      </rPr>
      <t xml:space="preserve"> </t>
    </r>
    <r>
      <rPr>
        <b/>
        <sz val="11"/>
        <color theme="1"/>
        <rFont val="Calibri"/>
        <family val="2"/>
        <scheme val="minor"/>
      </rPr>
      <t>debt</t>
    </r>
    <r>
      <rPr>
        <sz val="11"/>
        <color theme="1"/>
        <rFont val="Calibri"/>
        <family val="2"/>
        <scheme val="minor"/>
      </rPr>
      <t>).</t>
    </r>
  </si>
  <si>
    <r>
      <t xml:space="preserve">The breakdown between </t>
    </r>
    <r>
      <rPr>
        <b/>
        <sz val="11"/>
        <color theme="1"/>
        <rFont val="Calibri"/>
        <family val="2"/>
        <scheme val="minor"/>
      </rPr>
      <t>existing</t>
    </r>
    <r>
      <rPr>
        <sz val="11"/>
        <color theme="1"/>
        <rFont val="Calibri"/>
        <family val="2"/>
        <scheme val="minor"/>
      </rPr>
      <t xml:space="preserve"> and </t>
    </r>
    <r>
      <rPr>
        <b/>
        <sz val="11"/>
        <color theme="1"/>
        <rFont val="Calibri"/>
        <family val="2"/>
        <scheme val="minor"/>
      </rPr>
      <t>new</t>
    </r>
    <r>
      <rPr>
        <sz val="11"/>
        <color theme="1"/>
        <rFont val="Calibri"/>
        <family val="2"/>
        <scheme val="minor"/>
      </rPr>
      <t xml:space="preserve"> debt (debt to be issued over the projection period) is important for capturing roll-over risks and interest rate risks.</t>
    </r>
  </si>
  <si>
    <t>Not all debt instruments in the template need to be filled in. In principle, a single summary instrument could be used as an approximation.</t>
  </si>
  <si>
    <t>(i) Use the drop-down menu to select whether payments are annual or semi-annual (column J).</t>
  </si>
  <si>
    <t>Please provide as much data as available. This information is used to generate a historical perspective on the maturity and currency composition of debt (see graphs in "Output - Basic").  This input sheet distinguishes between:</t>
  </si>
  <si>
    <t>Lines marked "ZERO-COUPON BOND" should be used only for such instruments to ensure the appropriate calculations of interest and amortization payments.</t>
  </si>
  <si>
    <r>
      <t xml:space="preserve">This includes interest payments on </t>
    </r>
    <r>
      <rPr>
        <b/>
        <sz val="11"/>
        <color theme="1"/>
        <rFont val="Calibri"/>
        <family val="2"/>
        <scheme val="minor"/>
      </rPr>
      <t>existing</t>
    </r>
    <r>
      <rPr>
        <sz val="11"/>
        <color theme="1"/>
        <rFont val="Calibri"/>
        <family val="2"/>
        <scheme val="minor"/>
      </rPr>
      <t xml:space="preserve"> domestic- and foreign-currency denominated debt (rows 24 and 25) as well as amortization payments (rows 27 and 28). </t>
    </r>
  </si>
  <si>
    <r>
      <t xml:space="preserve">Gross financing needs of the government are calculated automatically in row 37 (including debt service on </t>
    </r>
    <r>
      <rPr>
        <b/>
        <sz val="11"/>
        <color theme="1"/>
        <rFont val="Calibri"/>
        <family val="2"/>
        <scheme val="minor"/>
      </rPr>
      <t>new</t>
    </r>
    <r>
      <rPr>
        <sz val="11"/>
        <color theme="1"/>
        <rFont val="Calibri"/>
        <family val="2"/>
        <scheme val="minor"/>
      </rPr>
      <t xml:space="preserve"> debt).</t>
    </r>
  </si>
  <si>
    <t>Required shocks for scenario analysis depend on the country's level of scrutiny (see the Overview of the Framework, and the Guidance Note).</t>
  </si>
  <si>
    <t>Based on information regarding debt burden and exceptional access status provided in "Input 1 - Basics," the template automatically determines the level of scrutiny for the country (cell J7).</t>
  </si>
  <si>
    <t>If the country is reclassified from Lower to Higher Scrutiny (or vice versa) because of risk-mitigating or risk-amplifying factors,  the final scrutiny classification can be specified in cell J8.  (See Guidance Note for details on possible reclassification.)</t>
  </si>
  <si>
    <t>Based on the level of scrutiny, required shocks are denoted in cells K13-K20, along with their respective descriptions in column M.</t>
  </si>
  <si>
    <t>Additional shocks (if relevant), whether they are required, and their descriptions can be customized in rows 23-27.</t>
  </si>
  <si>
    <t>As discussed in the Guidance Note, the MAC DSA framework includes a number of standardized alternative scenarios as well as a number of stress tests.</t>
  </si>
  <si>
    <t>Standardized alternative scenarios are a historical scenario and a constant primary balance scenario (rows 13-14).</t>
  </si>
  <si>
    <t xml:space="preserve">The macro-fiscal risk module includes five stress tests (rows 16-20): </t>
  </si>
  <si>
    <t>(v) combined shock.</t>
  </si>
  <si>
    <t>(i) primary balance shock;</t>
  </si>
  <si>
    <t>(ii) real GDP growth shock;</t>
  </si>
  <si>
    <t>(iii) interest rate shock;</t>
  </si>
  <si>
    <t>(iv) exchange rate shock;</t>
  </si>
  <si>
    <t>The template builds in interactions among shock variables (explained in column M). Sizes of shocks and interactions can be customized (see 5.g. below).</t>
  </si>
  <si>
    <t xml:space="preserve">5.g. </t>
  </si>
  <si>
    <t>To run one or two customized shocks, select "Yes" from the drop-down menus  in cells J25 and/or J27.</t>
  </si>
  <si>
    <t>If the shock was not triggered but needs to be included due other vulnerabilities not identified by the default indicators or their benchmarks, users can select "Yes" from the yellow-shaded drop-down menu (cell J23) to manually trigger the contingent liability stress test.</t>
  </si>
  <si>
    <t>Users have the option to name the customized shocks in cells T25 and T27, which will appear in output tables and charts.</t>
  </si>
  <si>
    <t>All possible shock scenarios are shown under Shock Assumptions (E32-J150), regardless of whether the shock is required.</t>
  </si>
  <si>
    <t>Interactions between the variables are described in column B. If applicable, users may tailor the sizes of shocks and interactions in the yellow-shaded cells under Shock Assumptions (column B), to reflect country-specific information.</t>
  </si>
  <si>
    <r>
      <t xml:space="preserve">For example, under the primary balance shock scenario, the revenue-to-GDP ratio is assumed to remain unchanged compared to the baseline and interest rate on </t>
    </r>
    <r>
      <rPr>
        <b/>
        <sz val="11"/>
        <color theme="1"/>
        <rFont val="Calibri"/>
        <family val="2"/>
        <scheme val="minor"/>
      </rPr>
      <t>new</t>
    </r>
    <r>
      <rPr>
        <sz val="11"/>
        <color theme="1"/>
        <rFont val="Calibri"/>
        <family val="2"/>
        <scheme val="minor"/>
      </rPr>
      <t xml:space="preserve"> debt increases by 25 bps per 1 percent of GDP deterioration in the primary balance. But users may wish to increase the impact on interest rate of a deterioration in the primary balance (cell B50), and include impact on real GDP growth (cells F43-J43).</t>
    </r>
  </si>
  <si>
    <t>Fan charts are generated based on the calculations of historical averages, variances and covariances of relevant macroeconomic variables: real GDP growth, effective real interest rate, primary balance and the change in real exchange rate.</t>
  </si>
  <si>
    <t>By default, averages, variances and covariances are calculated from the same historical data as the rest of the DSA (the last 11 years). For better results, users may wish to extend the historical period in order to better capture country-specific circumstances by populating the yellow-shaded cells not covered in the default period.</t>
  </si>
  <si>
    <t>To generate asymmetric fan charts, users may place restrictions on the magnitude of positive shocks in cells D42-D45.</t>
  </si>
  <si>
    <t>Click on the blue button to generate the fan chart. Individual shocks can be turned off, using cells B42-B45, to analyze the source of uncertainty. (Note: macros must be enabled.)</t>
  </si>
  <si>
    <t>6. Go to Sheet "Fan Chart"</t>
  </si>
  <si>
    <t>They may also be computed from a loan-by-loan breakdown of outstanding debt available from databases like Bloomberg, Datastream, Dealogic, BEL etc.</t>
  </si>
  <si>
    <t>Forecast Track Record comparator group:</t>
  </si>
  <si>
    <t>1 - Please fill the yellow-shaded cells in rows 24, 25, 27, 28 with debt service forecast (principal and interest payments) on existing debt, i.e., disbursed debt that is outstanding. Values should be entered in local currency units (LCU), unless otherwise specified. Data on debt service of existing debt may be obtained from authorities' debt management office or computed based on a loan-by-loan breakdown of outstanding debt obtained from databases like Bloomberg, Datastream, BEL, etc.</t>
  </si>
  <si>
    <t>Interest rate shock (bps) compared to baseline</t>
  </si>
  <si>
    <t>If optional complementary analyses (net debt-to-GDP and/or debt to potential GDP) are selected in "Input 1 - Basics", these results will be presented in:</t>
  </si>
  <si>
    <t>(i) the selected economic indicators table, and in (v) the debt-to-GDP graph.</t>
  </si>
  <si>
    <t>2. Go to Sheet "Output - Realism"</t>
  </si>
  <si>
    <r>
      <rPr>
        <b/>
        <sz val="11"/>
        <color rgb="FFFF0000"/>
        <rFont val="Calibri"/>
        <family val="2"/>
        <scheme val="minor"/>
      </rPr>
      <t xml:space="preserve">The Basic DSA output should be included in all DSAs. </t>
    </r>
    <r>
      <rPr>
        <sz val="11"/>
        <color theme="1"/>
        <rFont val="Calibri"/>
        <family val="2"/>
        <scheme val="minor"/>
      </rPr>
      <t>The Basic DSA is automatically produced in the MAC DSA template. It includes:</t>
    </r>
  </si>
  <si>
    <t>To use program-only or surveillance-only MACs as the comparator groups, please select from the drop-down menu on Sheet "Output - Realism" (cell B9).</t>
  </si>
  <si>
    <t>Stock of total public debt</t>
  </si>
  <si>
    <t>BASELINE DEBT</t>
  </si>
  <si>
    <t>GDP deflator in LCU</t>
  </si>
  <si>
    <t>Nominal exchange rate -- average (LCU/USD)</t>
  </si>
  <si>
    <t>Nominal exchange rate -- end of period (LCU/USD)</t>
  </si>
  <si>
    <t>Change in domestic arrears (+ reduces financing needs)</t>
  </si>
  <si>
    <t>Change in external arrears (+ reduces financing needs)</t>
  </si>
  <si>
    <t>GDP deflator (level)</t>
  </si>
  <si>
    <t>Nominal exchange rate (national currency per US dollar) -- average</t>
  </si>
  <si>
    <t>Nominal exchange rate (national currency per US dollar) -- end of period</t>
  </si>
  <si>
    <t>Real exchange rate index (national currency per U.S. Dollar)</t>
  </si>
  <si>
    <t>Change in domestic arrears</t>
  </si>
  <si>
    <t>Change in external arrears</t>
  </si>
  <si>
    <t>New Issuance of Domestic Debt (new debt) 1/</t>
  </si>
  <si>
    <t>New Issuance of External Debt (new debt) 1/</t>
  </si>
  <si>
    <t>Financing needs to be financed with new issuance</t>
  </si>
  <si>
    <t>New Issuance of Foreign Debt (new debt) 1/</t>
  </si>
  <si>
    <t>Ratio (%)</t>
  </si>
  <si>
    <t>1 - Scrutiny level is automatically determined in cell J7. If users wish to override this classification (see Guidance Note for guidelines on reclassifying between Higher and Lower Scrutiny), please select an alternate scrutiny level in cell J8.</t>
  </si>
  <si>
    <t>3 - Click on colored buttons in column A to navigate to the "Shock Assumptions" section.</t>
  </si>
  <si>
    <t>Market perception or bond spread, defined as:</t>
  </si>
  <si>
    <t>1 - Please fill the yellow-shaded cells. (Light-yellow cells should be filled if available and may be required in certain cases; please see "Notes" column.)</t>
  </si>
  <si>
    <t>Required only for Higher Scrutiny countries.</t>
  </si>
  <si>
    <t>Select the definition of "public sector" that is covered by the fiscal data that will be entered.</t>
  </si>
  <si>
    <t>1.i.</t>
  </si>
  <si>
    <t>Enter the scale of the macroeconomic and fiscal variables that will be entered in "Input 2 - Data" (e.g., millions, billions).</t>
  </si>
  <si>
    <t>Long-term bond spread over German bonds (bp)</t>
  </si>
  <si>
    <t>EMBIG (bp)</t>
  </si>
  <si>
    <t>Long-term bond spread over U.S. bonds (bp)</t>
  </si>
  <si>
    <r>
      <t xml:space="preserve">5/ Derived as [r - </t>
    </r>
    <r>
      <rPr>
        <sz val="12"/>
        <rFont val="Calibri"/>
        <family val="2"/>
      </rPr>
      <t>π</t>
    </r>
    <r>
      <rPr>
        <sz val="12"/>
        <rFont val="Segoe UI"/>
        <family val="2"/>
      </rPr>
      <t>(1+g) - g + ae(1+r)]/(1+g+π+gπ) times previous period debt ratio, with r = effective nominal interest rate; π = growth rate of GDP deflator; g = real GDP growth rate;</t>
    </r>
  </si>
  <si>
    <t>credit benchmark breach?</t>
  </si>
  <si>
    <t>output gap positive for 3 years?</t>
  </si>
  <si>
    <t>Scale of macroeconomic and fiscal variables</t>
  </si>
  <si>
    <t>Public sector interest revenues</t>
  </si>
  <si>
    <t>Public sector interest expenditures (historical only)</t>
  </si>
  <si>
    <t>Public sector principal payments (historical only)</t>
  </si>
  <si>
    <t>Public sector interest expenditures denominated in local currency (historical only)</t>
  </si>
  <si>
    <t>Public sector interest expenditures denominated in foreign currency (historical only)</t>
  </si>
  <si>
    <t>PUBLIC SECTOR DEBT DYNAMICS - TABLE/CHART DATA</t>
  </si>
  <si>
    <t>6/ The real interest rate contribution is derived from the numerator in footnote 5 as r - π (1+g) and the real growth contribution as -g.</t>
  </si>
  <si>
    <t>If available. Otherwise, assume zero.</t>
  </si>
  <si>
    <t>Public sector debt service (sum of interest and amortization payments; historical only)</t>
  </si>
  <si>
    <t>Ratio (percent)</t>
  </si>
  <si>
    <t>Growth rate (percent)</t>
  </si>
  <si>
    <t>% of revenue</t>
  </si>
  <si>
    <t>Change in domestic Arrears</t>
  </si>
  <si>
    <t>Interest revenues</t>
  </si>
  <si>
    <t>Interest payments</t>
  </si>
  <si>
    <t>Amortization payments</t>
  </si>
  <si>
    <t>Total public debt-to-revenue</t>
  </si>
  <si>
    <t>Debt service-to-revenue</t>
  </si>
  <si>
    <t>New Issuance of domestic debt (new debt) 1/</t>
  </si>
  <si>
    <t>New Issuance of foreign debt (new debt) 1/</t>
  </si>
  <si>
    <t>Domestic residual financing (annual payments, no interest or amortization in current year)</t>
  </si>
  <si>
    <t>Change in external Arrears</t>
  </si>
  <si>
    <t>Fiscal needs in LCU automatically filled by issuing debt
 (same profile as in the baseline scenario)</t>
  </si>
  <si>
    <t xml:space="preserve">Fiscal needs in LCU to be filled by issuing debt </t>
  </si>
  <si>
    <t>● As debt vulnerabilities may emerge at lower debt levels than the ones suggested in Figure 1, some "Lower Scrutiny" countries may be reclassified as  "Higher Scrutiny". Conversely, some countries with high gross debt burden may be treated as "Lower Scrutiny". See Guidance Note for details on possible reclassification.</t>
  </si>
  <si>
    <t xml:space="preserve">1.g. </t>
  </si>
  <si>
    <t>1.j.</t>
  </si>
  <si>
    <t>After adjusting for possible one-off financing factors (change in arrears, debt relief, privatization/drawdown of deposits and any other factors specified) in rows 39-43, the template calculates the gross financing needs to be met by the issuance of new debt (row 45).</t>
  </si>
  <si>
    <t>The template allows a wide range of debt instruments to finance the government, which can be differentiated by interest rate, grace period, maturity, currency and residency.</t>
  </si>
  <si>
    <t>Select whether the definition of "public sector" includes guarantees and, if it does, provide a description of these guarantees.</t>
  </si>
  <si>
    <t>The boom-bust analysis tool is triggered automatically when the output gap has been positive for at least 3 years, or the 3-year cumulative change in credit-to-GDP ratio exceeds 15 percentage points for Emerging Markets and 30 percentage points for Advanced Economies. If the country does not meet either of these criteria, the graph will not generate.</t>
  </si>
  <si>
    <t>Please specify (1) (e.g., privatization receipts) (+ reduces financing needs)</t>
  </si>
  <si>
    <t>Please specify (2) (e.g., other debt flows) (+ increases financing needs)</t>
  </si>
  <si>
    <t>Ensure that the terms and conditions of new debt are appropriate (cells J54-R89):</t>
  </si>
  <si>
    <t>By construction, residual financing needs will be met by the issuance of domestic short-term debt (row 89). The use of this line should be minimized as much as possible. Because this residual too represents debt issuance, it should not be allowed to become negative; please use row 42 or 43 to represent any accumulation of deposits arising from debt issuance in excess of projected financing needs.</t>
  </si>
  <si>
    <t>4 - Residual financing need is assumed to be filled by domestic short-term debt issuance (row 89). Please minimize this residual as a source of financing as it does not assume any interest/amortization payments in the year of disbursement. Because this residual too represents debt issuance, it should not be allowed to become negative; please use row 42 or 43 to represent any accumulation of deposits arising from debt issuance in excess of projected financing needs.</t>
  </si>
  <si>
    <t>Required for Higher Scrutiny countries and complementary debt-to-potential GDP analysis.</t>
  </si>
  <si>
    <t xml:space="preserve">Analysis includes the basic DSA, standard alternative scenarios, the outcome of all modules in this template, the heat map and a write-up. </t>
  </si>
  <si>
    <t>3 - Please enter the terms and conditions of new debt in columns J-R. Note that new debt is assumed to be disbursed at the beginning of the year. Amortization of projected debt is assumed to take place at the end of the year for annual payment schedule and at mid-year and the year-end for semi-annual payment schedule. If grace is set equal to maturity, the template calculates amortization as only one payment at maturity (bullet bond).</t>
  </si>
  <si>
    <t>(ii) Fill in grace period and maturity (columns K and L) for each instrument. Amortization of projected debt is assumed to take place at the end of the year for annual payment schedule and at mid-year and the year-end for semi-annual payment schedule. If grace is set equal to maturity, the template calculates amortization as only one payment at maturity (bullet bond).</t>
  </si>
  <si>
    <t>Georgia</t>
  </si>
  <si>
    <t>GEO</t>
  </si>
  <si>
    <t>Palau</t>
  </si>
  <si>
    <t>PLW</t>
  </si>
  <si>
    <t>St. Lucia</t>
  </si>
  <si>
    <t>LCA</t>
  </si>
  <si>
    <t>Bolivia</t>
  </si>
  <si>
    <t>BOL</t>
  </si>
  <si>
    <t>Mongolia</t>
  </si>
  <si>
    <t>MNG</t>
  </si>
  <si>
    <t>Nigeria</t>
  </si>
  <si>
    <t>NGA</t>
  </si>
  <si>
    <t>San Marino</t>
  </si>
  <si>
    <t>SMR</t>
  </si>
  <si>
    <t>Tuvalu</t>
  </si>
  <si>
    <t>TUV</t>
  </si>
  <si>
    <t>Vietnam</t>
  </si>
  <si>
    <t>VNM</t>
  </si>
  <si>
    <t>914-D</t>
  </si>
  <si>
    <t/>
  </si>
  <si>
    <t>914-2015</t>
  </si>
  <si>
    <t>914-2014</t>
  </si>
  <si>
    <t>914-2013</t>
  </si>
  <si>
    <t>914-2012</t>
  </si>
  <si>
    <t>914-2011</t>
  </si>
  <si>
    <t>914-2010</t>
  </si>
  <si>
    <t>914-2009</t>
  </si>
  <si>
    <t>612-D</t>
  </si>
  <si>
    <t>612-2015</t>
  </si>
  <si>
    <t>612-2014</t>
  </si>
  <si>
    <t>612-2013</t>
  </si>
  <si>
    <t>612-2012</t>
  </si>
  <si>
    <t>612-2011</t>
  </si>
  <si>
    <t>612-2010</t>
  </si>
  <si>
    <t>612-2009</t>
  </si>
  <si>
    <t>614-D</t>
  </si>
  <si>
    <t>614-2015</t>
  </si>
  <si>
    <t>614-2014</t>
  </si>
  <si>
    <t>614-2013</t>
  </si>
  <si>
    <t>614-2012</t>
  </si>
  <si>
    <t>614-2011</t>
  </si>
  <si>
    <t>614-2010</t>
  </si>
  <si>
    <t>614-2009</t>
  </si>
  <si>
    <t>311-D</t>
  </si>
  <si>
    <t>311-2015</t>
  </si>
  <si>
    <t>311-2014</t>
  </si>
  <si>
    <t>311-2013</t>
  </si>
  <si>
    <t>311-2012</t>
  </si>
  <si>
    <t>311-2011</t>
  </si>
  <si>
    <t>311-2010</t>
  </si>
  <si>
    <t>311-2009</t>
  </si>
  <si>
    <t>213-D</t>
  </si>
  <si>
    <t>213-2015</t>
  </si>
  <si>
    <t>213-2014</t>
  </si>
  <si>
    <t>213-2013</t>
  </si>
  <si>
    <t>213-2012</t>
  </si>
  <si>
    <t>213-2011</t>
  </si>
  <si>
    <t>213-2010</t>
  </si>
  <si>
    <t>213-2009</t>
  </si>
  <si>
    <t>911-D</t>
  </si>
  <si>
    <t>911-2015</t>
  </si>
  <si>
    <t>911-2014</t>
  </si>
  <si>
    <t>911-2013</t>
  </si>
  <si>
    <t>911-2012</t>
  </si>
  <si>
    <t>911-2011</t>
  </si>
  <si>
    <t>911-2010</t>
  </si>
  <si>
    <t>911-2009</t>
  </si>
  <si>
    <t>193-D</t>
  </si>
  <si>
    <t>193-2015</t>
  </si>
  <si>
    <t>193-2014</t>
  </si>
  <si>
    <t>193-2013</t>
  </si>
  <si>
    <t>193-2012</t>
  </si>
  <si>
    <t>193-2011</t>
  </si>
  <si>
    <t>193-2010</t>
  </si>
  <si>
    <t>193-2009</t>
  </si>
  <si>
    <t>122-D</t>
  </si>
  <si>
    <t>122-2015</t>
  </si>
  <si>
    <t>122-2014</t>
  </si>
  <si>
    <t>122-2013</t>
  </si>
  <si>
    <t>122-2012</t>
  </si>
  <si>
    <t>122-2011</t>
  </si>
  <si>
    <t>122-2010</t>
  </si>
  <si>
    <t>122-2009</t>
  </si>
  <si>
    <t>912-D</t>
  </si>
  <si>
    <t>912-2015</t>
  </si>
  <si>
    <t>912-2014</t>
  </si>
  <si>
    <t>912-2013</t>
  </si>
  <si>
    <t>912-2012</t>
  </si>
  <si>
    <t>912-2011</t>
  </si>
  <si>
    <t>912-2010</t>
  </si>
  <si>
    <t>912-2009</t>
  </si>
  <si>
    <t>313-D</t>
  </si>
  <si>
    <t>313-2015</t>
  </si>
  <si>
    <t>313-2014</t>
  </si>
  <si>
    <t>313-2013</t>
  </si>
  <si>
    <t>313-2012</t>
  </si>
  <si>
    <t>313-2011</t>
  </si>
  <si>
    <t>313-2010</t>
  </si>
  <si>
    <t>313-2009</t>
  </si>
  <si>
    <t>419-D</t>
  </si>
  <si>
    <t>419-2015</t>
  </si>
  <si>
    <t>419-2014</t>
  </si>
  <si>
    <t>419-2013</t>
  </si>
  <si>
    <t>419-2012</t>
  </si>
  <si>
    <t>419-2011</t>
  </si>
  <si>
    <t>419-2010</t>
  </si>
  <si>
    <t>419-2009</t>
  </si>
  <si>
    <t>316-D</t>
  </si>
  <si>
    <t>316-2015</t>
  </si>
  <si>
    <t>316-2014</t>
  </si>
  <si>
    <t>316-2013</t>
  </si>
  <si>
    <t>316-2012</t>
  </si>
  <si>
    <t>316-2011</t>
  </si>
  <si>
    <t>316-2010</t>
  </si>
  <si>
    <t>316-2009</t>
  </si>
  <si>
    <t>913-D</t>
  </si>
  <si>
    <t>913-2015</t>
  </si>
  <si>
    <t>913-2014</t>
  </si>
  <si>
    <t>913-2013</t>
  </si>
  <si>
    <t>913-2012</t>
  </si>
  <si>
    <t>913-2011</t>
  </si>
  <si>
    <t>913-2010</t>
  </si>
  <si>
    <t>913-2009</t>
  </si>
  <si>
    <t>124-D</t>
  </si>
  <si>
    <t>124-2015</t>
  </si>
  <si>
    <t>124-2014</t>
  </si>
  <si>
    <t>124-2013</t>
  </si>
  <si>
    <t>124-2012</t>
  </si>
  <si>
    <t>124-2011</t>
  </si>
  <si>
    <t>124-2010</t>
  </si>
  <si>
    <t>124-2009</t>
  </si>
  <si>
    <t>339-D</t>
  </si>
  <si>
    <t>339-2015</t>
  </si>
  <si>
    <t>339-2014</t>
  </si>
  <si>
    <t>339-2013</t>
  </si>
  <si>
    <t>339-2012</t>
  </si>
  <si>
    <t>339-2011</t>
  </si>
  <si>
    <t>339-2010</t>
  </si>
  <si>
    <t>339-2009</t>
  </si>
  <si>
    <t>218-D</t>
  </si>
  <si>
    <t>218-2015</t>
  </si>
  <si>
    <t>218-2014</t>
  </si>
  <si>
    <t>218-2013</t>
  </si>
  <si>
    <t>218-2012</t>
  </si>
  <si>
    <t>218-2011</t>
  </si>
  <si>
    <t>218-2010</t>
  </si>
  <si>
    <t>218-2009</t>
  </si>
  <si>
    <t>963-D</t>
  </si>
  <si>
    <t>963-2015</t>
  </si>
  <si>
    <t>963-2014</t>
  </si>
  <si>
    <t>963-2013</t>
  </si>
  <si>
    <t>963-2012</t>
  </si>
  <si>
    <t>963-2011</t>
  </si>
  <si>
    <t>963-2010</t>
  </si>
  <si>
    <t>963-2009</t>
  </si>
  <si>
    <t>616-D</t>
  </si>
  <si>
    <t>616-2015</t>
  </si>
  <si>
    <t>616-2014</t>
  </si>
  <si>
    <t>616-2013</t>
  </si>
  <si>
    <t>616-2012</t>
  </si>
  <si>
    <t>616-2011</t>
  </si>
  <si>
    <t>616-2010</t>
  </si>
  <si>
    <t>616-2009</t>
  </si>
  <si>
    <t>223-D</t>
  </si>
  <si>
    <t>223-2015</t>
  </si>
  <si>
    <t>223-2014</t>
  </si>
  <si>
    <t>223-2013</t>
  </si>
  <si>
    <t>223-2012</t>
  </si>
  <si>
    <t>223-2011</t>
  </si>
  <si>
    <t>223-2010</t>
  </si>
  <si>
    <t>223-2009</t>
  </si>
  <si>
    <t>516-D</t>
  </si>
  <si>
    <t>516-2015</t>
  </si>
  <si>
    <t>516-2014</t>
  </si>
  <si>
    <t>516-2013</t>
  </si>
  <si>
    <t>516-2012</t>
  </si>
  <si>
    <t>516-2011</t>
  </si>
  <si>
    <t>516-2010</t>
  </si>
  <si>
    <t>516-2009</t>
  </si>
  <si>
    <t>918-D</t>
  </si>
  <si>
    <t>918-2015</t>
  </si>
  <si>
    <t>918-2014</t>
  </si>
  <si>
    <t>918-2013</t>
  </si>
  <si>
    <t>918-2012</t>
  </si>
  <si>
    <t>918-2011</t>
  </si>
  <si>
    <t>918-2010</t>
  </si>
  <si>
    <t>918-2009</t>
  </si>
  <si>
    <t>156-D</t>
  </si>
  <si>
    <t>156-2015</t>
  </si>
  <si>
    <t>156-2014</t>
  </si>
  <si>
    <t>156-2013</t>
  </si>
  <si>
    <t>156-2012</t>
  </si>
  <si>
    <t>156-2011</t>
  </si>
  <si>
    <t>156-2010</t>
  </si>
  <si>
    <t>156-2009</t>
  </si>
  <si>
    <t>228-D</t>
  </si>
  <si>
    <t>228-2015</t>
  </si>
  <si>
    <t>228-2014</t>
  </si>
  <si>
    <t>228-2013</t>
  </si>
  <si>
    <t>228-2012</t>
  </si>
  <si>
    <t>228-2011</t>
  </si>
  <si>
    <t>228-2010</t>
  </si>
  <si>
    <t>228-2009</t>
  </si>
  <si>
    <t>924-D</t>
  </si>
  <si>
    <t>924-2015</t>
  </si>
  <si>
    <t>924-2014</t>
  </si>
  <si>
    <t>924-2013</t>
  </si>
  <si>
    <t>924-2012</t>
  </si>
  <si>
    <t>924-2011</t>
  </si>
  <si>
    <t>924-2010</t>
  </si>
  <si>
    <t>924-2009</t>
  </si>
  <si>
    <t>233-D</t>
  </si>
  <si>
    <t>233-2015</t>
  </si>
  <si>
    <t>233-2014</t>
  </si>
  <si>
    <t>233-2013</t>
  </si>
  <si>
    <t>233-2012</t>
  </si>
  <si>
    <t>233-2011</t>
  </si>
  <si>
    <t>233-2010</t>
  </si>
  <si>
    <t>233-2009</t>
  </si>
  <si>
    <t>238-D</t>
  </si>
  <si>
    <t>238-2015</t>
  </si>
  <si>
    <t>238-2014</t>
  </si>
  <si>
    <t>238-2013</t>
  </si>
  <si>
    <t>238-2012</t>
  </si>
  <si>
    <t>238-2011</t>
  </si>
  <si>
    <t>238-2010</t>
  </si>
  <si>
    <t>238-2009</t>
  </si>
  <si>
    <t>662-D</t>
  </si>
  <si>
    <t>662-2015</t>
  </si>
  <si>
    <t>662-2014</t>
  </si>
  <si>
    <t>662-2013</t>
  </si>
  <si>
    <t>662-2012</t>
  </si>
  <si>
    <t>662-2011</t>
  </si>
  <si>
    <t>662-2010</t>
  </si>
  <si>
    <t>662-2009</t>
  </si>
  <si>
    <t>960-D</t>
  </si>
  <si>
    <t>960-2015</t>
  </si>
  <si>
    <t>960-2014</t>
  </si>
  <si>
    <t>960-2013</t>
  </si>
  <si>
    <t>960-2012</t>
  </si>
  <si>
    <t>960-2011</t>
  </si>
  <si>
    <t>960-2010</t>
  </si>
  <si>
    <t>960-2009</t>
  </si>
  <si>
    <t>423-D</t>
  </si>
  <si>
    <t>423-2015</t>
  </si>
  <si>
    <t>423-2014</t>
  </si>
  <si>
    <t>423-2013</t>
  </si>
  <si>
    <t>423-2012</t>
  </si>
  <si>
    <t>423-2011</t>
  </si>
  <si>
    <t>423-2010</t>
  </si>
  <si>
    <t>423-2009</t>
  </si>
  <si>
    <t>935-D</t>
  </si>
  <si>
    <t>935-2015</t>
  </si>
  <si>
    <t>935-2014</t>
  </si>
  <si>
    <t>935-2013</t>
  </si>
  <si>
    <t>935-2012</t>
  </si>
  <si>
    <t>935-2011</t>
  </si>
  <si>
    <t>935-2010</t>
  </si>
  <si>
    <t>935-2009</t>
  </si>
  <si>
    <t>128-D</t>
  </si>
  <si>
    <t>128-2015</t>
  </si>
  <si>
    <t>128-2014</t>
  </si>
  <si>
    <t>128-2013</t>
  </si>
  <si>
    <t>128-2012</t>
  </si>
  <si>
    <t>128-2011</t>
  </si>
  <si>
    <t>128-2010</t>
  </si>
  <si>
    <t>128-2009</t>
  </si>
  <si>
    <t>243-D</t>
  </si>
  <si>
    <t>243-2015</t>
  </si>
  <si>
    <t>243-2014</t>
  </si>
  <si>
    <t>243-2013</t>
  </si>
  <si>
    <t>243-2012</t>
  </si>
  <si>
    <t>243-2011</t>
  </si>
  <si>
    <t>243-2010</t>
  </si>
  <si>
    <t>243-2009</t>
  </si>
  <si>
    <t>248-D</t>
  </si>
  <si>
    <t>248-2015</t>
  </si>
  <si>
    <t>248-2014</t>
  </si>
  <si>
    <t>248-2013</t>
  </si>
  <si>
    <t>248-2012</t>
  </si>
  <si>
    <t>248-2011</t>
  </si>
  <si>
    <t>248-2010</t>
  </si>
  <si>
    <t>248-2009</t>
  </si>
  <si>
    <t>469-D</t>
  </si>
  <si>
    <t>469-2015</t>
  </si>
  <si>
    <t>469-2014</t>
  </si>
  <si>
    <t>469-2013</t>
  </si>
  <si>
    <t>469-2012</t>
  </si>
  <si>
    <t>469-2011</t>
  </si>
  <si>
    <t>469-2010</t>
  </si>
  <si>
    <t>469-2009</t>
  </si>
  <si>
    <t>253-D</t>
  </si>
  <si>
    <t>253-2015</t>
  </si>
  <si>
    <t>253-2014</t>
  </si>
  <si>
    <t>253-2013</t>
  </si>
  <si>
    <t>253-2012</t>
  </si>
  <si>
    <t>253-2011</t>
  </si>
  <si>
    <t>253-2010</t>
  </si>
  <si>
    <t>253-2009</t>
  </si>
  <si>
    <t>642-D</t>
  </si>
  <si>
    <t>642-2015</t>
  </si>
  <si>
    <t>642-2014</t>
  </si>
  <si>
    <t>642-2013</t>
  </si>
  <si>
    <t>642-2012</t>
  </si>
  <si>
    <t>642-2011</t>
  </si>
  <si>
    <t>642-2010</t>
  </si>
  <si>
    <t>642-2009</t>
  </si>
  <si>
    <t>939-D</t>
  </si>
  <si>
    <t>939-2015</t>
  </si>
  <si>
    <t>939-2014</t>
  </si>
  <si>
    <t>939-2013</t>
  </si>
  <si>
    <t>939-2012</t>
  </si>
  <si>
    <t>939-2011</t>
  </si>
  <si>
    <t>939-2010</t>
  </si>
  <si>
    <t>939-2009</t>
  </si>
  <si>
    <t>644-D</t>
  </si>
  <si>
    <t>644-2015</t>
  </si>
  <si>
    <t>644-2014</t>
  </si>
  <si>
    <t>644-2013</t>
  </si>
  <si>
    <t>644-2012</t>
  </si>
  <si>
    <t>644-2011</t>
  </si>
  <si>
    <t>644-2010</t>
  </si>
  <si>
    <t>644-2009</t>
  </si>
  <si>
    <t>819-D</t>
  </si>
  <si>
    <t>819-2015</t>
  </si>
  <si>
    <t>819-2014</t>
  </si>
  <si>
    <t>819-2013</t>
  </si>
  <si>
    <t>819-2012</t>
  </si>
  <si>
    <t>819-2011</t>
  </si>
  <si>
    <t>819-2010</t>
  </si>
  <si>
    <t>819-2009</t>
  </si>
  <si>
    <t>172-D</t>
  </si>
  <si>
    <t>172-2015</t>
  </si>
  <si>
    <t>172-2014</t>
  </si>
  <si>
    <t>172-2013</t>
  </si>
  <si>
    <t>172-2012</t>
  </si>
  <si>
    <t>172-2011</t>
  </si>
  <si>
    <t>172-2010</t>
  </si>
  <si>
    <t>172-2009</t>
  </si>
  <si>
    <t>132-D</t>
  </si>
  <si>
    <t>132-2015</t>
  </si>
  <si>
    <t>132-2014</t>
  </si>
  <si>
    <t>132-2013</t>
  </si>
  <si>
    <t>132-2012</t>
  </si>
  <si>
    <t>132-2011</t>
  </si>
  <si>
    <t>132-2010</t>
  </si>
  <si>
    <t>132-2009</t>
  </si>
  <si>
    <t>646-D</t>
  </si>
  <si>
    <t>646-2015</t>
  </si>
  <si>
    <t>646-2014</t>
  </si>
  <si>
    <t>646-2013</t>
  </si>
  <si>
    <t>646-2012</t>
  </si>
  <si>
    <t>646-2011</t>
  </si>
  <si>
    <t>646-2010</t>
  </si>
  <si>
    <t>646-2009</t>
  </si>
  <si>
    <t>134-D</t>
  </si>
  <si>
    <t>134-2015</t>
  </si>
  <si>
    <t>134-2014</t>
  </si>
  <si>
    <t>134-2013</t>
  </si>
  <si>
    <t>134-2012</t>
  </si>
  <si>
    <t>134-2011</t>
  </si>
  <si>
    <t>134-2010</t>
  </si>
  <si>
    <t>134-2009</t>
  </si>
  <si>
    <t>652-D</t>
  </si>
  <si>
    <t>652-2015</t>
  </si>
  <si>
    <t>652-2014</t>
  </si>
  <si>
    <t>652-2013</t>
  </si>
  <si>
    <t>652-2012</t>
  </si>
  <si>
    <t>652-2011</t>
  </si>
  <si>
    <t>652-2010</t>
  </si>
  <si>
    <t>652-2009</t>
  </si>
  <si>
    <t>174-D</t>
  </si>
  <si>
    <t>174-2015</t>
  </si>
  <si>
    <t>174-2014</t>
  </si>
  <si>
    <t>174-2013</t>
  </si>
  <si>
    <t>174-2012</t>
  </si>
  <si>
    <t>174-2011</t>
  </si>
  <si>
    <t>174-2010</t>
  </si>
  <si>
    <t>174-2009</t>
  </si>
  <si>
    <t>258-D</t>
  </si>
  <si>
    <t>258-2015</t>
  </si>
  <si>
    <t>258-2014</t>
  </si>
  <si>
    <t>258-2013</t>
  </si>
  <si>
    <t>258-2012</t>
  </si>
  <si>
    <t>258-2011</t>
  </si>
  <si>
    <t>258-2010</t>
  </si>
  <si>
    <t>258-2009</t>
  </si>
  <si>
    <t>268-D</t>
  </si>
  <si>
    <t>268-2015</t>
  </si>
  <si>
    <t>268-2014</t>
  </si>
  <si>
    <t>268-2013</t>
  </si>
  <si>
    <t>268-2012</t>
  </si>
  <si>
    <t>268-2011</t>
  </si>
  <si>
    <t>268-2010</t>
  </si>
  <si>
    <t>268-2009</t>
  </si>
  <si>
    <t>532-D</t>
  </si>
  <si>
    <t>532-2015</t>
  </si>
  <si>
    <t>532-2014</t>
  </si>
  <si>
    <t>532-2013</t>
  </si>
  <si>
    <t>532-2012</t>
  </si>
  <si>
    <t>532-2011</t>
  </si>
  <si>
    <t>532-2010</t>
  </si>
  <si>
    <t>532-2009</t>
  </si>
  <si>
    <t>944-D</t>
  </si>
  <si>
    <t>944-2015</t>
  </si>
  <si>
    <t>944-2014</t>
  </si>
  <si>
    <t>944-2013</t>
  </si>
  <si>
    <t>944-2012</t>
  </si>
  <si>
    <t>944-2011</t>
  </si>
  <si>
    <t>944-2010</t>
  </si>
  <si>
    <t>944-2009</t>
  </si>
  <si>
    <t>176-D</t>
  </si>
  <si>
    <t>176-2015</t>
  </si>
  <si>
    <t>176-2014</t>
  </si>
  <si>
    <t>176-2013</t>
  </si>
  <si>
    <t>176-2012</t>
  </si>
  <si>
    <t>176-2011</t>
  </si>
  <si>
    <t>176-2010</t>
  </si>
  <si>
    <t>176-2009</t>
  </si>
  <si>
    <t>534-D</t>
  </si>
  <si>
    <t>534-2015</t>
  </si>
  <si>
    <t>534-2014</t>
  </si>
  <si>
    <t>534-2013</t>
  </si>
  <si>
    <t>534-2012</t>
  </si>
  <si>
    <t>534-2011</t>
  </si>
  <si>
    <t>534-2010</t>
  </si>
  <si>
    <t>534-2009</t>
  </si>
  <si>
    <t>536-D</t>
  </si>
  <si>
    <t>536-2015</t>
  </si>
  <si>
    <t>536-2014</t>
  </si>
  <si>
    <t>536-2013</t>
  </si>
  <si>
    <t>536-2012</t>
  </si>
  <si>
    <t>536-2011</t>
  </si>
  <si>
    <t>536-2010</t>
  </si>
  <si>
    <t>536-2009</t>
  </si>
  <si>
    <t>429-D</t>
  </si>
  <si>
    <t>429-2015</t>
  </si>
  <si>
    <t>429-2014</t>
  </si>
  <si>
    <t>429-2013</t>
  </si>
  <si>
    <t>429-2012</t>
  </si>
  <si>
    <t>429-2011</t>
  </si>
  <si>
    <t>429-2010</t>
  </si>
  <si>
    <t>429-2009</t>
  </si>
  <si>
    <t>433-D</t>
  </si>
  <si>
    <t>433-2015</t>
  </si>
  <si>
    <t>433-2014</t>
  </si>
  <si>
    <t>433-2013</t>
  </si>
  <si>
    <t>433-2012</t>
  </si>
  <si>
    <t>433-2011</t>
  </si>
  <si>
    <t>433-2010</t>
  </si>
  <si>
    <t>433-2009</t>
  </si>
  <si>
    <t>178-D</t>
  </si>
  <si>
    <t>178-2015</t>
  </si>
  <si>
    <t>178-2014</t>
  </si>
  <si>
    <t>178-2013</t>
  </si>
  <si>
    <t>178-2012</t>
  </si>
  <si>
    <t>178-2011</t>
  </si>
  <si>
    <t>178-2010</t>
  </si>
  <si>
    <t>178-2009</t>
  </si>
  <si>
    <t>436-D</t>
  </si>
  <si>
    <t>436-2015</t>
  </si>
  <si>
    <t>436-2014</t>
  </si>
  <si>
    <t>436-2013</t>
  </si>
  <si>
    <t>436-2012</t>
  </si>
  <si>
    <t>436-2011</t>
  </si>
  <si>
    <t>436-2010</t>
  </si>
  <si>
    <t>436-2009</t>
  </si>
  <si>
    <t>136-D</t>
  </si>
  <si>
    <t>136-2015</t>
  </si>
  <si>
    <t>136-2014</t>
  </si>
  <si>
    <t>136-2013</t>
  </si>
  <si>
    <t>136-2012</t>
  </si>
  <si>
    <t>136-2011</t>
  </si>
  <si>
    <t>136-2010</t>
  </si>
  <si>
    <t>136-2009</t>
  </si>
  <si>
    <t>343-D</t>
  </si>
  <si>
    <t>343-2015</t>
  </si>
  <si>
    <t>343-2014</t>
  </si>
  <si>
    <t>343-2013</t>
  </si>
  <si>
    <t>343-2012</t>
  </si>
  <si>
    <t>343-2011</t>
  </si>
  <si>
    <t>343-2010</t>
  </si>
  <si>
    <t>343-2009</t>
  </si>
  <si>
    <t>158-D</t>
  </si>
  <si>
    <t>158-2015</t>
  </si>
  <si>
    <t>158-2014</t>
  </si>
  <si>
    <t>158-2013</t>
  </si>
  <si>
    <t>158-2012</t>
  </si>
  <si>
    <t>158-2011</t>
  </si>
  <si>
    <t>158-2010</t>
  </si>
  <si>
    <t>158-2009</t>
  </si>
  <si>
    <t>439-D</t>
  </si>
  <si>
    <t>439-2015</t>
  </si>
  <si>
    <t>439-2014</t>
  </si>
  <si>
    <t>439-2013</t>
  </si>
  <si>
    <t>439-2012</t>
  </si>
  <si>
    <t>439-2011</t>
  </si>
  <si>
    <t>439-2010</t>
  </si>
  <si>
    <t>439-2009</t>
  </si>
  <si>
    <t>916-D</t>
  </si>
  <si>
    <t>916-2015</t>
  </si>
  <si>
    <t>916-2014</t>
  </si>
  <si>
    <t>916-2013</t>
  </si>
  <si>
    <t>916-2012</t>
  </si>
  <si>
    <t>916-2011</t>
  </si>
  <si>
    <t>916-2010</t>
  </si>
  <si>
    <t>916-2009</t>
  </si>
  <si>
    <t>664-D</t>
  </si>
  <si>
    <t>664-2015</t>
  </si>
  <si>
    <t>664-2014</t>
  </si>
  <si>
    <t>664-2013</t>
  </si>
  <si>
    <t>664-2012</t>
  </si>
  <si>
    <t>664-2011</t>
  </si>
  <si>
    <t>664-2010</t>
  </si>
  <si>
    <t>664-2009</t>
  </si>
  <si>
    <t>542-D</t>
  </si>
  <si>
    <t>542-2015</t>
  </si>
  <si>
    <t>542-2014</t>
  </si>
  <si>
    <t>542-2013</t>
  </si>
  <si>
    <t>542-2012</t>
  </si>
  <si>
    <t>542-2011</t>
  </si>
  <si>
    <t>542-2010</t>
  </si>
  <si>
    <t>542-2009</t>
  </si>
  <si>
    <t>967-D</t>
  </si>
  <si>
    <t>967-2015</t>
  </si>
  <si>
    <t>967-2014</t>
  </si>
  <si>
    <t>967-2013</t>
  </si>
  <si>
    <t>967-2012</t>
  </si>
  <si>
    <t>967-2011</t>
  </si>
  <si>
    <t>967-2010</t>
  </si>
  <si>
    <t>967-2009</t>
  </si>
  <si>
    <t>443-D</t>
  </si>
  <si>
    <t>443-2015</t>
  </si>
  <si>
    <t>443-2014</t>
  </si>
  <si>
    <t>443-2013</t>
  </si>
  <si>
    <t>443-2012</t>
  </si>
  <si>
    <t>443-2011</t>
  </si>
  <si>
    <t>443-2010</t>
  </si>
  <si>
    <t>443-2009</t>
  </si>
  <si>
    <t>941-D</t>
  </si>
  <si>
    <t>941-2015</t>
  </si>
  <si>
    <t>941-2014</t>
  </si>
  <si>
    <t>941-2013</t>
  </si>
  <si>
    <t>941-2012</t>
  </si>
  <si>
    <t>941-2011</t>
  </si>
  <si>
    <t>941-2010</t>
  </si>
  <si>
    <t>941-2009</t>
  </si>
  <si>
    <t>446-D</t>
  </si>
  <si>
    <t>446-2015</t>
  </si>
  <si>
    <t>446-2014</t>
  </si>
  <si>
    <t>446-2013</t>
  </si>
  <si>
    <t>446-2012</t>
  </si>
  <si>
    <t>446-2011</t>
  </si>
  <si>
    <t>446-2010</t>
  </si>
  <si>
    <t>446-2009</t>
  </si>
  <si>
    <t>672-D</t>
  </si>
  <si>
    <t>672-2015</t>
  </si>
  <si>
    <t>672-2014</t>
  </si>
  <si>
    <t>672-2013</t>
  </si>
  <si>
    <t>672-2012</t>
  </si>
  <si>
    <t>672-2011</t>
  </si>
  <si>
    <t>672-2010</t>
  </si>
  <si>
    <t>672-2009</t>
  </si>
  <si>
    <t>946-D</t>
  </si>
  <si>
    <t>946-2015</t>
  </si>
  <si>
    <t>946-2014</t>
  </si>
  <si>
    <t>946-2013</t>
  </si>
  <si>
    <t>946-2012</t>
  </si>
  <si>
    <t>946-2011</t>
  </si>
  <si>
    <t>946-2010</t>
  </si>
  <si>
    <t>946-2009</t>
  </si>
  <si>
    <t>137-D</t>
  </si>
  <si>
    <t>137-2015</t>
  </si>
  <si>
    <t>137-2014</t>
  </si>
  <si>
    <t>137-2013</t>
  </si>
  <si>
    <t>137-2012</t>
  </si>
  <si>
    <t>137-2011</t>
  </si>
  <si>
    <t>137-2010</t>
  </si>
  <si>
    <t>137-2009</t>
  </si>
  <si>
    <t>962-D</t>
  </si>
  <si>
    <t>962-2015</t>
  </si>
  <si>
    <t>962-2014</t>
  </si>
  <si>
    <t>962-2013</t>
  </si>
  <si>
    <t>962-2012</t>
  </si>
  <si>
    <t>962-2011</t>
  </si>
  <si>
    <t>962-2010</t>
  </si>
  <si>
    <t>962-2009</t>
  </si>
  <si>
    <t>548-D</t>
  </si>
  <si>
    <t>548-2015</t>
  </si>
  <si>
    <t>548-2014</t>
  </si>
  <si>
    <t>548-2013</t>
  </si>
  <si>
    <t>548-2012</t>
  </si>
  <si>
    <t>548-2011</t>
  </si>
  <si>
    <t>548-2010</t>
  </si>
  <si>
    <t>548-2009</t>
  </si>
  <si>
    <t>181-D</t>
  </si>
  <si>
    <t>181-2015</t>
  </si>
  <si>
    <t>181-2014</t>
  </si>
  <si>
    <t>181-2013</t>
  </si>
  <si>
    <t>181-2012</t>
  </si>
  <si>
    <t>181-2011</t>
  </si>
  <si>
    <t>181-2010</t>
  </si>
  <si>
    <t>181-2009</t>
  </si>
  <si>
    <t>684-D</t>
  </si>
  <si>
    <t>684-2015</t>
  </si>
  <si>
    <t>684-2014</t>
  </si>
  <si>
    <t>684-2013</t>
  </si>
  <si>
    <t>684-2012</t>
  </si>
  <si>
    <t>684-2011</t>
  </si>
  <si>
    <t>684-2010</t>
  </si>
  <si>
    <t>684-2009</t>
  </si>
  <si>
    <t>273-D</t>
  </si>
  <si>
    <t>273-2015</t>
  </si>
  <si>
    <t>273-2014</t>
  </si>
  <si>
    <t>273-2013</t>
  </si>
  <si>
    <t>273-2012</t>
  </si>
  <si>
    <t>273-2011</t>
  </si>
  <si>
    <t>273-2010</t>
  </si>
  <si>
    <t>273-2009</t>
  </si>
  <si>
    <t>948-D</t>
  </si>
  <si>
    <t>948-2015</t>
  </si>
  <si>
    <t>948-2014</t>
  </si>
  <si>
    <t>948-2013</t>
  </si>
  <si>
    <t>948-2012</t>
  </si>
  <si>
    <t>948-2011</t>
  </si>
  <si>
    <t>948-2010</t>
  </si>
  <si>
    <t>948-2009</t>
  </si>
  <si>
    <t>943-D</t>
  </si>
  <si>
    <t>943-2015</t>
  </si>
  <si>
    <t>943-2014</t>
  </si>
  <si>
    <t>943-2013</t>
  </si>
  <si>
    <t>943-2012</t>
  </si>
  <si>
    <t>943-2011</t>
  </si>
  <si>
    <t>943-2010</t>
  </si>
  <si>
    <t>943-2009</t>
  </si>
  <si>
    <t>686-D</t>
  </si>
  <si>
    <t>686-2015</t>
  </si>
  <si>
    <t>686-2014</t>
  </si>
  <si>
    <t>686-2013</t>
  </si>
  <si>
    <t>686-2012</t>
  </si>
  <si>
    <t>686-2011</t>
  </si>
  <si>
    <t>686-2010</t>
  </si>
  <si>
    <t>686-2009</t>
  </si>
  <si>
    <t>728-D</t>
  </si>
  <si>
    <t>728-2015</t>
  </si>
  <si>
    <t>728-2014</t>
  </si>
  <si>
    <t>728-2013</t>
  </si>
  <si>
    <t>728-2012</t>
  </si>
  <si>
    <t>728-2011</t>
  </si>
  <si>
    <t>728-2010</t>
  </si>
  <si>
    <t>728-2009</t>
  </si>
  <si>
    <t>138-D</t>
  </si>
  <si>
    <t>138-2015</t>
  </si>
  <si>
    <t>138-2014</t>
  </si>
  <si>
    <t>138-2013</t>
  </si>
  <si>
    <t>138-2012</t>
  </si>
  <si>
    <t>138-2011</t>
  </si>
  <si>
    <t>138-2010</t>
  </si>
  <si>
    <t>138-2009</t>
  </si>
  <si>
    <t>196-D</t>
  </si>
  <si>
    <t>196-2015</t>
  </si>
  <si>
    <t>196-2014</t>
  </si>
  <si>
    <t>196-2013</t>
  </si>
  <si>
    <t>196-2012</t>
  </si>
  <si>
    <t>196-2011</t>
  </si>
  <si>
    <t>196-2010</t>
  </si>
  <si>
    <t>196-2009</t>
  </si>
  <si>
    <t>278-D</t>
  </si>
  <si>
    <t>278-2015</t>
  </si>
  <si>
    <t>278-2014</t>
  </si>
  <si>
    <t>278-2013</t>
  </si>
  <si>
    <t>278-2012</t>
  </si>
  <si>
    <t>278-2011</t>
  </si>
  <si>
    <t>278-2010</t>
  </si>
  <si>
    <t>278-2009</t>
  </si>
  <si>
    <t>694-D</t>
  </si>
  <si>
    <t>694-2015</t>
  </si>
  <si>
    <t>694-2014</t>
  </si>
  <si>
    <t>694-2013</t>
  </si>
  <si>
    <t>694-2012</t>
  </si>
  <si>
    <t>694-2011</t>
  </si>
  <si>
    <t>694-2010</t>
  </si>
  <si>
    <t>694-2009</t>
  </si>
  <si>
    <t>142-D</t>
  </si>
  <si>
    <t>142-2015</t>
  </si>
  <si>
    <t>142-2014</t>
  </si>
  <si>
    <t>142-2013</t>
  </si>
  <si>
    <t>142-2012</t>
  </si>
  <si>
    <t>142-2011</t>
  </si>
  <si>
    <t>142-2010</t>
  </si>
  <si>
    <t>142-2009</t>
  </si>
  <si>
    <t>449-D</t>
  </si>
  <si>
    <t>449-2015</t>
  </si>
  <si>
    <t>449-2014</t>
  </si>
  <si>
    <t>449-2013</t>
  </si>
  <si>
    <t>449-2012</t>
  </si>
  <si>
    <t>449-2011</t>
  </si>
  <si>
    <t>449-2010</t>
  </si>
  <si>
    <t>449-2009</t>
  </si>
  <si>
    <t>564-D</t>
  </si>
  <si>
    <t>564-2015</t>
  </si>
  <si>
    <t>564-2014</t>
  </si>
  <si>
    <t>564-2013</t>
  </si>
  <si>
    <t>564-2012</t>
  </si>
  <si>
    <t>564-2011</t>
  </si>
  <si>
    <t>564-2010</t>
  </si>
  <si>
    <t>564-2009</t>
  </si>
  <si>
    <t>565-D</t>
  </si>
  <si>
    <t>565-2015</t>
  </si>
  <si>
    <t>565-2014</t>
  </si>
  <si>
    <t>565-2013</t>
  </si>
  <si>
    <t>565-2012</t>
  </si>
  <si>
    <t>565-2011</t>
  </si>
  <si>
    <t>565-2010</t>
  </si>
  <si>
    <t>565-2009</t>
  </si>
  <si>
    <t>283-D</t>
  </si>
  <si>
    <t>283-2015</t>
  </si>
  <si>
    <t>283-2014</t>
  </si>
  <si>
    <t>283-2013</t>
  </si>
  <si>
    <t>283-2012</t>
  </si>
  <si>
    <t>283-2011</t>
  </si>
  <si>
    <t>283-2010</t>
  </si>
  <si>
    <t>283-2009</t>
  </si>
  <si>
    <t>288-D</t>
  </si>
  <si>
    <t>288-2015</t>
  </si>
  <si>
    <t>288-2014</t>
  </si>
  <si>
    <t>288-2013</t>
  </si>
  <si>
    <t>288-2012</t>
  </si>
  <si>
    <t>288-2011</t>
  </si>
  <si>
    <t>288-2010</t>
  </si>
  <si>
    <t>288-2009</t>
  </si>
  <si>
    <t>293-D</t>
  </si>
  <si>
    <t>293-2015</t>
  </si>
  <si>
    <t>293-2014</t>
  </si>
  <si>
    <t>293-2013</t>
  </si>
  <si>
    <t>293-2012</t>
  </si>
  <si>
    <t>293-2011</t>
  </si>
  <si>
    <t>293-2010</t>
  </si>
  <si>
    <t>293-2009</t>
  </si>
  <si>
    <t>566-D</t>
  </si>
  <si>
    <t>566-2015</t>
  </si>
  <si>
    <t>566-2014</t>
  </si>
  <si>
    <t>566-2013</t>
  </si>
  <si>
    <t>566-2012</t>
  </si>
  <si>
    <t>566-2011</t>
  </si>
  <si>
    <t>566-2010</t>
  </si>
  <si>
    <t>566-2009</t>
  </si>
  <si>
    <t>964-D</t>
  </si>
  <si>
    <t>964-2015</t>
  </si>
  <si>
    <t>964-2014</t>
  </si>
  <si>
    <t>964-2013</t>
  </si>
  <si>
    <t>964-2012</t>
  </si>
  <si>
    <t>964-2011</t>
  </si>
  <si>
    <t>964-2010</t>
  </si>
  <si>
    <t>964-2009</t>
  </si>
  <si>
    <t>182-D</t>
  </si>
  <si>
    <t>182-2015</t>
  </si>
  <si>
    <t>182-2014</t>
  </si>
  <si>
    <t>182-2013</t>
  </si>
  <si>
    <t>182-2012</t>
  </si>
  <si>
    <t>182-2011</t>
  </si>
  <si>
    <t>182-2010</t>
  </si>
  <si>
    <t>182-2009</t>
  </si>
  <si>
    <t>453-D</t>
  </si>
  <si>
    <t>453-2015</t>
  </si>
  <si>
    <t>453-2014</t>
  </si>
  <si>
    <t>453-2013</t>
  </si>
  <si>
    <t>453-2012</t>
  </si>
  <si>
    <t>453-2011</t>
  </si>
  <si>
    <t>453-2010</t>
  </si>
  <si>
    <t>453-2009</t>
  </si>
  <si>
    <t>968-D</t>
  </si>
  <si>
    <t>968-2015</t>
  </si>
  <si>
    <t>968-2014</t>
  </si>
  <si>
    <t>968-2013</t>
  </si>
  <si>
    <t>968-2012</t>
  </si>
  <si>
    <t>968-2011</t>
  </si>
  <si>
    <t>968-2010</t>
  </si>
  <si>
    <t>968-2009</t>
  </si>
  <si>
    <t>922-D</t>
  </si>
  <si>
    <t>922-2015</t>
  </si>
  <si>
    <t>922-2014</t>
  </si>
  <si>
    <t>922-2013</t>
  </si>
  <si>
    <t>922-2012</t>
  </si>
  <si>
    <t>922-2011</t>
  </si>
  <si>
    <t>922-2010</t>
  </si>
  <si>
    <t>922-2009</t>
  </si>
  <si>
    <t>456-D</t>
  </si>
  <si>
    <t>456-2015</t>
  </si>
  <si>
    <t>456-2014</t>
  </si>
  <si>
    <t>456-2013</t>
  </si>
  <si>
    <t>456-2012</t>
  </si>
  <si>
    <t>456-2011</t>
  </si>
  <si>
    <t>456-2010</t>
  </si>
  <si>
    <t>456-2009</t>
  </si>
  <si>
    <t>722-D</t>
  </si>
  <si>
    <t>722-2015</t>
  </si>
  <si>
    <t>722-2014</t>
  </si>
  <si>
    <t>722-2013</t>
  </si>
  <si>
    <t>722-2012</t>
  </si>
  <si>
    <t>722-2011</t>
  </si>
  <si>
    <t>722-2010</t>
  </si>
  <si>
    <t>722-2009</t>
  </si>
  <si>
    <t>942-D</t>
  </si>
  <si>
    <t>942-2015</t>
  </si>
  <si>
    <t>942-2014</t>
  </si>
  <si>
    <t>942-2013</t>
  </si>
  <si>
    <t>942-2012</t>
  </si>
  <si>
    <t>942-2011</t>
  </si>
  <si>
    <t>942-2010</t>
  </si>
  <si>
    <t>942-2009</t>
  </si>
  <si>
    <t>718-D</t>
  </si>
  <si>
    <t>718-2015</t>
  </si>
  <si>
    <t>718-2014</t>
  </si>
  <si>
    <t>718-2013</t>
  </si>
  <si>
    <t>718-2012</t>
  </si>
  <si>
    <t>718-2011</t>
  </si>
  <si>
    <t>718-2010</t>
  </si>
  <si>
    <t>718-2009</t>
  </si>
  <si>
    <t>576-D</t>
  </si>
  <si>
    <t>576-2015</t>
  </si>
  <si>
    <t>576-2014</t>
  </si>
  <si>
    <t>576-2013</t>
  </si>
  <si>
    <t>576-2012</t>
  </si>
  <si>
    <t>576-2011</t>
  </si>
  <si>
    <t>576-2010</t>
  </si>
  <si>
    <t>576-2009</t>
  </si>
  <si>
    <t>936-D</t>
  </si>
  <si>
    <t>936-2015</t>
  </si>
  <si>
    <t>936-2014</t>
  </si>
  <si>
    <t>936-2013</t>
  </si>
  <si>
    <t>936-2012</t>
  </si>
  <si>
    <t>936-2011</t>
  </si>
  <si>
    <t>936-2010</t>
  </si>
  <si>
    <t>936-2009</t>
  </si>
  <si>
    <t>961-D</t>
  </si>
  <si>
    <t>961-2015</t>
  </si>
  <si>
    <t>961-2014</t>
  </si>
  <si>
    <t>961-2013</t>
  </si>
  <si>
    <t>961-2012</t>
  </si>
  <si>
    <t>961-2011</t>
  </si>
  <si>
    <t>961-2010</t>
  </si>
  <si>
    <t>961-2009</t>
  </si>
  <si>
    <t>199-D</t>
  </si>
  <si>
    <t>199-2015</t>
  </si>
  <si>
    <t>199-2014</t>
  </si>
  <si>
    <t>199-2013</t>
  </si>
  <si>
    <t>199-2012</t>
  </si>
  <si>
    <t>199-2011</t>
  </si>
  <si>
    <t>199-2010</t>
  </si>
  <si>
    <t>199-2009</t>
  </si>
  <si>
    <t>184-D</t>
  </si>
  <si>
    <t>184-2015</t>
  </si>
  <si>
    <t>184-2014</t>
  </si>
  <si>
    <t>184-2013</t>
  </si>
  <si>
    <t>184-2012</t>
  </si>
  <si>
    <t>184-2011</t>
  </si>
  <si>
    <t>184-2010</t>
  </si>
  <si>
    <t>184-2009</t>
  </si>
  <si>
    <t>524-D</t>
  </si>
  <si>
    <t>524-2015</t>
  </si>
  <si>
    <t>524-2014</t>
  </si>
  <si>
    <t>524-2013</t>
  </si>
  <si>
    <t>524-2012</t>
  </si>
  <si>
    <t>524-2011</t>
  </si>
  <si>
    <t>524-2010</t>
  </si>
  <si>
    <t>524-2009</t>
  </si>
  <si>
    <t>361-D</t>
  </si>
  <si>
    <t>361-2015</t>
  </si>
  <si>
    <t>361-2014</t>
  </si>
  <si>
    <t>361-2013</t>
  </si>
  <si>
    <t>361-2012</t>
  </si>
  <si>
    <t>361-2011</t>
  </si>
  <si>
    <t>361-2010</t>
  </si>
  <si>
    <t>361-2009</t>
  </si>
  <si>
    <t>582-D</t>
  </si>
  <si>
    <t>582-2015</t>
  </si>
  <si>
    <t>582-2014</t>
  </si>
  <si>
    <t>582-2013</t>
  </si>
  <si>
    <t>582-2012</t>
  </si>
  <si>
    <t>582-2011</t>
  </si>
  <si>
    <t>582-2010</t>
  </si>
  <si>
    <t>582-2009</t>
  </si>
  <si>
    <t>366-D</t>
  </si>
  <si>
    <t>366-2015</t>
  </si>
  <si>
    <t>366-2014</t>
  </si>
  <si>
    <t>366-2013</t>
  </si>
  <si>
    <t>366-2012</t>
  </si>
  <si>
    <t>366-2011</t>
  </si>
  <si>
    <t>366-2010</t>
  </si>
  <si>
    <t>366-2009</t>
  </si>
  <si>
    <t>734-D</t>
  </si>
  <si>
    <t>734-2015</t>
  </si>
  <si>
    <t>734-2014</t>
  </si>
  <si>
    <t>734-2013</t>
  </si>
  <si>
    <t>734-2012</t>
  </si>
  <si>
    <t>734-2011</t>
  </si>
  <si>
    <t>734-2010</t>
  </si>
  <si>
    <t>734-2009</t>
  </si>
  <si>
    <t>144-D</t>
  </si>
  <si>
    <t>144-2015</t>
  </si>
  <si>
    <t>144-2014</t>
  </si>
  <si>
    <t>144-2013</t>
  </si>
  <si>
    <t>144-2012</t>
  </si>
  <si>
    <t>144-2011</t>
  </si>
  <si>
    <t>144-2010</t>
  </si>
  <si>
    <t>144-2009</t>
  </si>
  <si>
    <t>146-D</t>
  </si>
  <si>
    <t>146-2015</t>
  </si>
  <si>
    <t>146-2014</t>
  </si>
  <si>
    <t>146-2013</t>
  </si>
  <si>
    <t>146-2012</t>
  </si>
  <si>
    <t>146-2011</t>
  </si>
  <si>
    <t>146-2010</t>
  </si>
  <si>
    <t>146-2009</t>
  </si>
  <si>
    <t>463-D</t>
  </si>
  <si>
    <t>463-2015</t>
  </si>
  <si>
    <t>463-2014</t>
  </si>
  <si>
    <t>463-2013</t>
  </si>
  <si>
    <t>463-2012</t>
  </si>
  <si>
    <t>463-2011</t>
  </si>
  <si>
    <t>463-2010</t>
  </si>
  <si>
    <t>463-2009</t>
  </si>
  <si>
    <t>528-D</t>
  </si>
  <si>
    <t>528-2015</t>
  </si>
  <si>
    <t>528-2014</t>
  </si>
  <si>
    <t>528-2013</t>
  </si>
  <si>
    <t>528-2012</t>
  </si>
  <si>
    <t>528-2011</t>
  </si>
  <si>
    <t>528-2010</t>
  </si>
  <si>
    <t>528-2009</t>
  </si>
  <si>
    <t>738-D</t>
  </si>
  <si>
    <t>738-2015</t>
  </si>
  <si>
    <t>738-2014</t>
  </si>
  <si>
    <t>738-2013</t>
  </si>
  <si>
    <t>738-2012</t>
  </si>
  <si>
    <t>738-2011</t>
  </si>
  <si>
    <t>738-2010</t>
  </si>
  <si>
    <t>738-2009</t>
  </si>
  <si>
    <t>578-D</t>
  </si>
  <si>
    <t>578-2015</t>
  </si>
  <si>
    <t>578-2014</t>
  </si>
  <si>
    <t>578-2013</t>
  </si>
  <si>
    <t>578-2012</t>
  </si>
  <si>
    <t>578-2011</t>
  </si>
  <si>
    <t>578-2010</t>
  </si>
  <si>
    <t>578-2009</t>
  </si>
  <si>
    <t>369-D</t>
  </si>
  <si>
    <t>369-2015</t>
  </si>
  <si>
    <t>369-2014</t>
  </si>
  <si>
    <t>369-2013</t>
  </si>
  <si>
    <t>369-2012</t>
  </si>
  <si>
    <t>369-2011</t>
  </si>
  <si>
    <t>369-2010</t>
  </si>
  <si>
    <t>369-2009</t>
  </si>
  <si>
    <t>744-D</t>
  </si>
  <si>
    <t>744-2015</t>
  </si>
  <si>
    <t>744-2014</t>
  </si>
  <si>
    <t>744-2013</t>
  </si>
  <si>
    <t>744-2012</t>
  </si>
  <si>
    <t>744-2011</t>
  </si>
  <si>
    <t>744-2010</t>
  </si>
  <si>
    <t>744-2009</t>
  </si>
  <si>
    <t>186-D</t>
  </si>
  <si>
    <t>186-2015</t>
  </si>
  <si>
    <t>186-2014</t>
  </si>
  <si>
    <t>186-2013</t>
  </si>
  <si>
    <t>186-2012</t>
  </si>
  <si>
    <t>186-2011</t>
  </si>
  <si>
    <t>186-2010</t>
  </si>
  <si>
    <t>186-2009</t>
  </si>
  <si>
    <t>925-D</t>
  </si>
  <si>
    <t>925-2015</t>
  </si>
  <si>
    <t>925-2014</t>
  </si>
  <si>
    <t>925-2013</t>
  </si>
  <si>
    <t>925-2012</t>
  </si>
  <si>
    <t>925-2011</t>
  </si>
  <si>
    <t>925-2010</t>
  </si>
  <si>
    <t>925-2009</t>
  </si>
  <si>
    <t>869-D</t>
  </si>
  <si>
    <t>869-2015</t>
  </si>
  <si>
    <t>869-2014</t>
  </si>
  <si>
    <t>869-2013</t>
  </si>
  <si>
    <t>869-2012</t>
  </si>
  <si>
    <t>869-2011</t>
  </si>
  <si>
    <t>869-2010</t>
  </si>
  <si>
    <t>869-2009</t>
  </si>
  <si>
    <t>926-D</t>
  </si>
  <si>
    <t>926-2015</t>
  </si>
  <si>
    <t>926-2014</t>
  </si>
  <si>
    <t>926-2013</t>
  </si>
  <si>
    <t>926-2012</t>
  </si>
  <si>
    <t>926-2011</t>
  </si>
  <si>
    <t>926-2010</t>
  </si>
  <si>
    <t>926-2009</t>
  </si>
  <si>
    <t>466-D</t>
  </si>
  <si>
    <t>466-2015</t>
  </si>
  <si>
    <t>466-2014</t>
  </si>
  <si>
    <t>466-2013</t>
  </si>
  <si>
    <t>466-2012</t>
  </si>
  <si>
    <t>466-2011</t>
  </si>
  <si>
    <t>466-2010</t>
  </si>
  <si>
    <t>466-2009</t>
  </si>
  <si>
    <t>112-D</t>
  </si>
  <si>
    <t>112-2015</t>
  </si>
  <si>
    <t>112-2014</t>
  </si>
  <si>
    <t>112-2013</t>
  </si>
  <si>
    <t>112-2012</t>
  </si>
  <si>
    <t>112-2011</t>
  </si>
  <si>
    <t>112-2010</t>
  </si>
  <si>
    <t>112-2009</t>
  </si>
  <si>
    <t>111-D</t>
  </si>
  <si>
    <t>111-2015</t>
  </si>
  <si>
    <t>111-2014</t>
  </si>
  <si>
    <t>111-2013</t>
  </si>
  <si>
    <t>111-2012</t>
  </si>
  <si>
    <t>111-2011</t>
  </si>
  <si>
    <t>111-2010</t>
  </si>
  <si>
    <t>111-2009</t>
  </si>
  <si>
    <t>298-D</t>
  </si>
  <si>
    <t>298-2015</t>
  </si>
  <si>
    <t>298-2014</t>
  </si>
  <si>
    <t>298-2013</t>
  </si>
  <si>
    <t>298-2012</t>
  </si>
  <si>
    <t>298-2011</t>
  </si>
  <si>
    <t>298-2010</t>
  </si>
  <si>
    <t>298-2009</t>
  </si>
  <si>
    <t>299-D</t>
  </si>
  <si>
    <t>299-2015</t>
  </si>
  <si>
    <t>299-2014</t>
  </si>
  <si>
    <t>299-2013</t>
  </si>
  <si>
    <t>299-2012</t>
  </si>
  <si>
    <t>299-2011</t>
  </si>
  <si>
    <t>299-2010</t>
  </si>
  <si>
    <t>299-2009</t>
  </si>
  <si>
    <t>474-D</t>
  </si>
  <si>
    <t>474-2015</t>
  </si>
  <si>
    <t>474-2014</t>
  </si>
  <si>
    <t>474-2013</t>
  </si>
  <si>
    <t>474-2012</t>
  </si>
  <si>
    <t>474-2011</t>
  </si>
  <si>
    <t>474-2010</t>
  </si>
  <si>
    <t>474-2009</t>
  </si>
  <si>
    <t>915-D</t>
  </si>
  <si>
    <t>915-2015</t>
  </si>
  <si>
    <t>915-2014</t>
  </si>
  <si>
    <t>915-2013</t>
  </si>
  <si>
    <t>915-2012</t>
  </si>
  <si>
    <t>915-2011</t>
  </si>
  <si>
    <t>915-2010</t>
  </si>
  <si>
    <t>915-2009</t>
  </si>
  <si>
    <t>927-D</t>
  </si>
  <si>
    <t>927-2015</t>
  </si>
  <si>
    <t>927-2014</t>
  </si>
  <si>
    <t>927-2013</t>
  </si>
  <si>
    <t>927-2012</t>
  </si>
  <si>
    <t>927-2011</t>
  </si>
  <si>
    <t>927-2010</t>
  </si>
  <si>
    <t>927-2009</t>
  </si>
  <si>
    <t>001-D</t>
  </si>
  <si>
    <t>001-2015</t>
  </si>
  <si>
    <t>001-2014</t>
  </si>
  <si>
    <t>001-2013</t>
  </si>
  <si>
    <t>001-2012</t>
  </si>
  <si>
    <t>001-2011</t>
  </si>
  <si>
    <t>001-2010</t>
  </si>
  <si>
    <t>001-2009</t>
  </si>
  <si>
    <t>362-D</t>
  </si>
  <si>
    <t>362-2015</t>
  </si>
  <si>
    <t>362-2014</t>
  </si>
  <si>
    <t>362-2013</t>
  </si>
  <si>
    <t>362-2012</t>
  </si>
  <si>
    <t>362-2011</t>
  </si>
  <si>
    <t>362-2010</t>
  </si>
  <si>
    <t>362-2009</t>
  </si>
  <si>
    <t>914-2016</t>
  </si>
  <si>
    <t>612-2016</t>
  </si>
  <si>
    <t>614-2016</t>
  </si>
  <si>
    <t>311-2016</t>
  </si>
  <si>
    <t>213-2016</t>
  </si>
  <si>
    <t>911-2016</t>
  </si>
  <si>
    <t>193-2016</t>
  </si>
  <si>
    <t>122-2016</t>
  </si>
  <si>
    <t>912-2016</t>
  </si>
  <si>
    <t>313-2016</t>
  </si>
  <si>
    <t>419-2016</t>
  </si>
  <si>
    <t>316-2016</t>
  </si>
  <si>
    <t>913-2016</t>
  </si>
  <si>
    <t>124-2016</t>
  </si>
  <si>
    <t>339-2016</t>
  </si>
  <si>
    <t>218-2016</t>
  </si>
  <si>
    <t>963-2016</t>
  </si>
  <si>
    <t>616-2016</t>
  </si>
  <si>
    <t>223-2016</t>
  </si>
  <si>
    <t>516-2016</t>
  </si>
  <si>
    <t>918-2016</t>
  </si>
  <si>
    <t>156-2016</t>
  </si>
  <si>
    <t>228-2016</t>
  </si>
  <si>
    <t>924-2016</t>
  </si>
  <si>
    <t>233-2016</t>
  </si>
  <si>
    <t>238-2016</t>
  </si>
  <si>
    <t>662-2016</t>
  </si>
  <si>
    <t>960-2016</t>
  </si>
  <si>
    <t>423-2016</t>
  </si>
  <si>
    <t>935-2016</t>
  </si>
  <si>
    <t>128-2016</t>
  </si>
  <si>
    <t>243-2016</t>
  </si>
  <si>
    <t>248-2016</t>
  </si>
  <si>
    <t>469-2016</t>
  </si>
  <si>
    <t>253-2016</t>
  </si>
  <si>
    <t>642-2016</t>
  </si>
  <si>
    <t>939-2016</t>
  </si>
  <si>
    <t>644-2016</t>
  </si>
  <si>
    <t>819-2016</t>
  </si>
  <si>
    <t>172-2016</t>
  </si>
  <si>
    <t>132-2016</t>
  </si>
  <si>
    <t>646-2016</t>
  </si>
  <si>
    <t>134-2016</t>
  </si>
  <si>
    <t>652-2016</t>
  </si>
  <si>
    <t>174-2016</t>
  </si>
  <si>
    <t>258-2016</t>
  </si>
  <si>
    <t>268-2016</t>
  </si>
  <si>
    <t>532-2016</t>
  </si>
  <si>
    <t>944-2016</t>
  </si>
  <si>
    <t>176-2016</t>
  </si>
  <si>
    <t>534-2016</t>
  </si>
  <si>
    <t>536-2016</t>
  </si>
  <si>
    <t>429-2016</t>
  </si>
  <si>
    <t>433-2016</t>
  </si>
  <si>
    <t>178-2016</t>
  </si>
  <si>
    <t>436-2016</t>
  </si>
  <si>
    <t>136-2016</t>
  </si>
  <si>
    <t>343-2016</t>
  </si>
  <si>
    <t>158-2016</t>
  </si>
  <si>
    <t>439-2016</t>
  </si>
  <si>
    <t>916-2016</t>
  </si>
  <si>
    <t>664-2016</t>
  </si>
  <si>
    <t>542-2016</t>
  </si>
  <si>
    <t>967-2016</t>
  </si>
  <si>
    <t>443-2016</t>
  </si>
  <si>
    <t>941-2016</t>
  </si>
  <si>
    <t>446-2016</t>
  </si>
  <si>
    <t>672-2016</t>
  </si>
  <si>
    <t>946-2016</t>
  </si>
  <si>
    <t>137-2016</t>
  </si>
  <si>
    <t>962-2016</t>
  </si>
  <si>
    <t>548-2016</t>
  </si>
  <si>
    <t>181-2016</t>
  </si>
  <si>
    <t>684-2016</t>
  </si>
  <si>
    <t>273-2016</t>
  </si>
  <si>
    <t>948-2016</t>
  </si>
  <si>
    <t>943-2016</t>
  </si>
  <si>
    <t>686-2016</t>
  </si>
  <si>
    <t>728-2016</t>
  </si>
  <si>
    <t>138-2016</t>
  </si>
  <si>
    <t>196-2016</t>
  </si>
  <si>
    <t>278-2016</t>
  </si>
  <si>
    <t>694-2016</t>
  </si>
  <si>
    <t>142-2016</t>
  </si>
  <si>
    <t>449-2016</t>
  </si>
  <si>
    <t>564-2016</t>
  </si>
  <si>
    <t>565-2016</t>
  </si>
  <si>
    <t>283-2016</t>
  </si>
  <si>
    <t>288-2016</t>
  </si>
  <si>
    <t>293-2016</t>
  </si>
  <si>
    <t>566-2016</t>
  </si>
  <si>
    <t>964-2016</t>
  </si>
  <si>
    <t>182-2016</t>
  </si>
  <si>
    <t>453-2016</t>
  </si>
  <si>
    <t>968-2016</t>
  </si>
  <si>
    <t>922-2016</t>
  </si>
  <si>
    <t>456-2016</t>
  </si>
  <si>
    <t>722-2016</t>
  </si>
  <si>
    <t>942-2016</t>
  </si>
  <si>
    <t>718-2016</t>
  </si>
  <si>
    <t>576-2016</t>
  </si>
  <si>
    <t>936-2016</t>
  </si>
  <si>
    <t>961-2016</t>
  </si>
  <si>
    <t>199-2016</t>
  </si>
  <si>
    <t>184-2016</t>
  </si>
  <si>
    <t>524-2016</t>
  </si>
  <si>
    <t>361-2016</t>
  </si>
  <si>
    <t>362-2016</t>
  </si>
  <si>
    <t>366-2016</t>
  </si>
  <si>
    <t>734-2016</t>
  </si>
  <si>
    <t>144-2016</t>
  </si>
  <si>
    <t>146-2016</t>
  </si>
  <si>
    <t>463-2016</t>
  </si>
  <si>
    <t>528-2016</t>
  </si>
  <si>
    <t>738-2016</t>
  </si>
  <si>
    <t>578-2016</t>
  </si>
  <si>
    <t>369-2016</t>
  </si>
  <si>
    <t>744-2016</t>
  </si>
  <si>
    <t>186-2016</t>
  </si>
  <si>
    <t>925-2016</t>
  </si>
  <si>
    <t>869-2016</t>
  </si>
  <si>
    <t>926-2016</t>
  </si>
  <si>
    <t>466-2016</t>
  </si>
  <si>
    <t>112-2016</t>
  </si>
  <si>
    <t>111-2016</t>
  </si>
  <si>
    <t>298-2016</t>
  </si>
  <si>
    <t>299-2016</t>
  </si>
  <si>
    <t>582-2016</t>
  </si>
  <si>
    <t>474-2016</t>
  </si>
  <si>
    <t>915-2016</t>
  </si>
  <si>
    <t>927-2016</t>
  </si>
  <si>
    <t>001-2016</t>
  </si>
  <si>
    <t>914-2017</t>
  </si>
  <si>
    <t>612-2017</t>
  </si>
  <si>
    <t>614-2017</t>
  </si>
  <si>
    <t>311-2017</t>
  </si>
  <si>
    <t>213-2017</t>
  </si>
  <si>
    <t>911-2017</t>
  </si>
  <si>
    <t>193-2017</t>
  </si>
  <si>
    <t>122-2017</t>
  </si>
  <si>
    <t>912-2017</t>
  </si>
  <si>
    <t>313-2017</t>
  </si>
  <si>
    <t>419-2017</t>
  </si>
  <si>
    <t>316-2017</t>
  </si>
  <si>
    <t>913-2017</t>
  </si>
  <si>
    <t>124-2017</t>
  </si>
  <si>
    <t>339-2017</t>
  </si>
  <si>
    <t>218-2017</t>
  </si>
  <si>
    <t>963-2017</t>
  </si>
  <si>
    <t>616-2017</t>
  </si>
  <si>
    <t>223-2017</t>
  </si>
  <si>
    <t>516-2017</t>
  </si>
  <si>
    <t>918-2017</t>
  </si>
  <si>
    <t>156-2017</t>
  </si>
  <si>
    <t>228-2017</t>
  </si>
  <si>
    <t>924-2017</t>
  </si>
  <si>
    <t>233-2017</t>
  </si>
  <si>
    <t>238-2017</t>
  </si>
  <si>
    <t>662-2017</t>
  </si>
  <si>
    <t>960-2017</t>
  </si>
  <si>
    <t>423-2017</t>
  </si>
  <si>
    <t>935-2017</t>
  </si>
  <si>
    <t>128-2017</t>
  </si>
  <si>
    <t>243-2017</t>
  </si>
  <si>
    <t>248-2017</t>
  </si>
  <si>
    <t>469-2017</t>
  </si>
  <si>
    <t>253-2017</t>
  </si>
  <si>
    <t>642-2017</t>
  </si>
  <si>
    <t>939-2017</t>
  </si>
  <si>
    <t>644-2017</t>
  </si>
  <si>
    <t>819-2017</t>
  </si>
  <si>
    <t>172-2017</t>
  </si>
  <si>
    <t>132-2017</t>
  </si>
  <si>
    <t>646-2017</t>
  </si>
  <si>
    <t>134-2017</t>
  </si>
  <si>
    <t>652-2017</t>
  </si>
  <si>
    <t>174-2017</t>
  </si>
  <si>
    <t>258-2017</t>
  </si>
  <si>
    <t>268-2017</t>
  </si>
  <si>
    <t>532-2017</t>
  </si>
  <si>
    <t>944-2017</t>
  </si>
  <si>
    <t>176-2017</t>
  </si>
  <si>
    <t>534-2017</t>
  </si>
  <si>
    <t>536-2017</t>
  </si>
  <si>
    <t>429-2017</t>
  </si>
  <si>
    <t>433-2017</t>
  </si>
  <si>
    <t>178-2017</t>
  </si>
  <si>
    <t>436-2017</t>
  </si>
  <si>
    <t>136-2017</t>
  </si>
  <si>
    <t>343-2017</t>
  </si>
  <si>
    <t>158-2017</t>
  </si>
  <si>
    <t>439-2017</t>
  </si>
  <si>
    <t>916-2017</t>
  </si>
  <si>
    <t>664-2017</t>
  </si>
  <si>
    <t>542-2017</t>
  </si>
  <si>
    <t>967-2017</t>
  </si>
  <si>
    <t>443-2017</t>
  </si>
  <si>
    <t>941-2017</t>
  </si>
  <si>
    <t>446-2017</t>
  </si>
  <si>
    <t>672-2017</t>
  </si>
  <si>
    <t>946-2017</t>
  </si>
  <si>
    <t>137-2017</t>
  </si>
  <si>
    <t>962-2017</t>
  </si>
  <si>
    <t>548-2017</t>
  </si>
  <si>
    <t>181-2017</t>
  </si>
  <si>
    <t>684-2017</t>
  </si>
  <si>
    <t>273-2017</t>
  </si>
  <si>
    <t>948-2017</t>
  </si>
  <si>
    <t>943-2017</t>
  </si>
  <si>
    <t>686-2017</t>
  </si>
  <si>
    <t>728-2017</t>
  </si>
  <si>
    <t>138-2017</t>
  </si>
  <si>
    <t>196-2017</t>
  </si>
  <si>
    <t>278-2017</t>
  </si>
  <si>
    <t>694-2017</t>
  </si>
  <si>
    <t>142-2017</t>
  </si>
  <si>
    <t>449-2017</t>
  </si>
  <si>
    <t>564-2017</t>
  </si>
  <si>
    <t>565-2017</t>
  </si>
  <si>
    <t>283-2017</t>
  </si>
  <si>
    <t>288-2017</t>
  </si>
  <si>
    <t>293-2017</t>
  </si>
  <si>
    <t>566-2017</t>
  </si>
  <si>
    <t>964-2017</t>
  </si>
  <si>
    <t>182-2017</t>
  </si>
  <si>
    <t>453-2017</t>
  </si>
  <si>
    <t>968-2017</t>
  </si>
  <si>
    <t>922-2017</t>
  </si>
  <si>
    <t>456-2017</t>
  </si>
  <si>
    <t>722-2017</t>
  </si>
  <si>
    <t>942-2017</t>
  </si>
  <si>
    <t>718-2017</t>
  </si>
  <si>
    <t>576-2017</t>
  </si>
  <si>
    <t>936-2017</t>
  </si>
  <si>
    <t>961-2017</t>
  </si>
  <si>
    <t>199-2017</t>
  </si>
  <si>
    <t>184-2017</t>
  </si>
  <si>
    <t>524-2017</t>
  </si>
  <si>
    <t>361-2017</t>
  </si>
  <si>
    <t>362-2017</t>
  </si>
  <si>
    <t>366-2017</t>
  </si>
  <si>
    <t>734-2017</t>
  </si>
  <si>
    <t>144-2017</t>
  </si>
  <si>
    <t>146-2017</t>
  </si>
  <si>
    <t>463-2017</t>
  </si>
  <si>
    <t>528-2017</t>
  </si>
  <si>
    <t>738-2017</t>
  </si>
  <si>
    <t>578-2017</t>
  </si>
  <si>
    <t>369-2017</t>
  </si>
  <si>
    <t>744-2017</t>
  </si>
  <si>
    <t>186-2017</t>
  </si>
  <si>
    <t>925-2017</t>
  </si>
  <si>
    <t>869-2017</t>
  </si>
  <si>
    <t>926-2017</t>
  </si>
  <si>
    <t>466-2017</t>
  </si>
  <si>
    <t>112-2017</t>
  </si>
  <si>
    <t>111-2017</t>
  </si>
  <si>
    <t>298-2017</t>
  </si>
  <si>
    <t>299-2017</t>
  </si>
  <si>
    <t>582-2017</t>
  </si>
  <si>
    <t>474-2017</t>
  </si>
  <si>
    <t>915-2017</t>
  </si>
  <si>
    <t>927-2017</t>
  </si>
  <si>
    <t>001-2017</t>
  </si>
  <si>
    <t>https://www.kase.gov.lv/sites/default/files/public/SSD/P%C4%81rskati/Ceturk%C5%A1%C5%86a%20bi%C4%BCetens/2018/Ceturk%C5%A1%C5%86a%20bi%C4%BCetens_3C_2018.pdf</t>
  </si>
  <si>
    <t>Aiz'nem'sanas plani</t>
  </si>
  <si>
    <t>https://www.kase.gov.lv/valsts-parada-vadiba/parada-vadibas-strategija/aiznemsanas-plani</t>
  </si>
  <si>
    <t>ārējais</t>
  </si>
  <si>
    <t>iekšējais</t>
  </si>
  <si>
    <t>kopā</t>
  </si>
  <si>
    <t>interest</t>
  </si>
  <si>
    <t>principal</t>
  </si>
  <si>
    <t>interest local</t>
  </si>
  <si>
    <t>interest foreign</t>
  </si>
  <si>
    <t>principal local</t>
  </si>
  <si>
    <t>principal foreign</t>
  </si>
  <si>
    <t>Source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</si>
</sst>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6">
    <numFmt numFmtId="164" formatCode="_-* #,##0_-;\-* #,##0_-;_-* &quot;-&quot;_-;_-@_-"/>
    <numFmt numFmtId="165" formatCode="_-* #,##0.00_-;\-* #,##0.00_-;_-*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
    <numFmt numFmtId="171" formatCode="#,##0.0"/>
    <numFmt numFmtId="172" formatCode="0.0%"/>
    <numFmt numFmtId="173" formatCode="0.000"/>
    <numFmt numFmtId="174" formatCode="0.0000"/>
    <numFmt numFmtId="175" formatCode="#,##0.000"/>
    <numFmt numFmtId="176" formatCode="0.00000%"/>
    <numFmt numFmtId="177" formatCode="#,##0.0000"/>
    <numFmt numFmtId="178" formatCode="&quot;   &quot;@"/>
    <numFmt numFmtId="179" formatCode="&quot;      &quot;@"/>
    <numFmt numFmtId="180" formatCode="&quot;         &quot;@"/>
    <numFmt numFmtId="181" formatCode="&quot;            &quot;@"/>
    <numFmt numFmtId="182" formatCode="&quot;               &quot;@"/>
    <numFmt numFmtId="183" formatCode="_([$€-2]* #,##0.00_);_([$€-2]* \(#,##0.00\);_([$€-2]* &quot;-&quot;??_)"/>
    <numFmt numFmtId="184" formatCode="#.00"/>
    <numFmt numFmtId="185" formatCode="_-&quot;$&quot;* #,##0_-;\-&quot;$&quot;* #,##0_-;_-&quot;$&quot;* &quot;-&quot;_-;_-@_-"/>
    <numFmt numFmtId="186" formatCode="_-&quot;$&quot;* #,##0.00_-;\-&quot;$&quot;* #,##0.00_-;_-&quot;$&quot;* &quot;-&quot;??_-;_-@_-"/>
    <numFmt numFmtId="187" formatCode="mm/dd/yy"/>
    <numFmt numFmtId="188" formatCode="[Black]#,##0.0;[Black]\-#,##0.0;;"/>
    <numFmt numFmtId="189" formatCode="[Black][&gt;0.05]#,##0.0;[Black][&lt;-0.05]\-#,##0.0;;"/>
    <numFmt numFmtId="190" formatCode="[Black][&gt;0.5]#,##0;[Black][&lt;-0.5]\-#,##0;;"/>
    <numFmt numFmtId="191" formatCode="#,##0.0____"/>
    <numFmt numFmtId="192" formatCode="0.000_)"/>
    <numFmt numFmtId="193" formatCode="#,##0.0_);\(#,##0.0\)"/>
    <numFmt numFmtId="194" formatCode="dd\-mmm_)"/>
    <numFmt numFmtId="195" formatCode="_ * #,##0.00_ ;_ * \-#,##0.00_ ;_ * &quot;-&quot;??_ ;_ @_ "/>
    <numFmt numFmtId="196" formatCode="dd/mm/yyyy;@"/>
    <numFmt numFmtId="197" formatCode="0.0_)"/>
    <numFmt numFmtId="198" formatCode="&quot;fl&quot;\ #,##0_-;&quot;fl&quot;\ #,##0\-"/>
    <numFmt numFmtId="199" formatCode="yyyy/mm/dd/;@"/>
  </numFmts>
  <fonts count="174">
    <font>
      <sz val="11"/>
      <color theme="1"/>
      <name val="Calibri"/>
      <family val="2"/>
      <scheme val="minor"/>
    </font>
    <font>
      <b/>
      <sz val="11"/>
      <color theme="1"/>
      <name val="Calibri"/>
      <family val="2"/>
      <scheme val="minor"/>
    </font>
    <font>
      <sz val="9"/>
      <color indexed="81"/>
      <name val="Tahoma"/>
      <family val="2"/>
    </font>
    <font>
      <sz val="11"/>
      <color theme="1"/>
      <name val="Calibri"/>
      <family val="2"/>
      <scheme val="minor"/>
    </font>
    <font>
      <b/>
      <sz val="16"/>
      <color theme="1"/>
      <name val="Calibri"/>
      <family val="2"/>
      <scheme val="minor"/>
    </font>
    <font>
      <b/>
      <sz val="20"/>
      <color theme="1"/>
      <name val="Calibri"/>
      <family val="2"/>
      <scheme val="minor"/>
    </font>
    <font>
      <b/>
      <sz val="12"/>
      <color theme="1"/>
      <name val="Calibri"/>
      <family val="2"/>
      <scheme val="minor"/>
    </font>
    <font>
      <sz val="12"/>
      <color theme="1"/>
      <name val="Calibri"/>
      <family val="2"/>
      <scheme val="minor"/>
    </font>
    <font>
      <b/>
      <sz val="26"/>
      <color theme="1"/>
      <name val="Calibri"/>
      <family val="2"/>
      <scheme val="minor"/>
    </font>
    <font>
      <sz val="12"/>
      <color indexed="81"/>
      <name val="Tahoma"/>
      <family val="2"/>
    </font>
    <font>
      <b/>
      <sz val="22"/>
      <color theme="1"/>
      <name val="Calibri"/>
      <family val="2"/>
      <scheme val="minor"/>
    </font>
    <font>
      <b/>
      <sz val="18"/>
      <color theme="1"/>
      <name val="Calibri"/>
      <family val="2"/>
      <scheme val="minor"/>
    </font>
    <font>
      <sz val="10"/>
      <name val="Times New Roman"/>
      <family val="1"/>
    </font>
    <font>
      <b/>
      <sz val="11"/>
      <name val="Calibri"/>
      <family val="2"/>
      <scheme val="minor"/>
    </font>
    <font>
      <sz val="11"/>
      <name val="Calibri"/>
      <family val="2"/>
      <scheme val="minor"/>
    </font>
    <font>
      <b/>
      <sz val="11"/>
      <color theme="0"/>
      <name val="Calibri"/>
      <family val="2"/>
      <scheme val="minor"/>
    </font>
    <font>
      <b/>
      <sz val="14"/>
      <color theme="1"/>
      <name val="Calibri"/>
      <family val="2"/>
      <scheme val="minor"/>
    </font>
    <font>
      <sz val="16"/>
      <color theme="1"/>
      <name val="Calibri"/>
      <family val="2"/>
      <scheme val="minor"/>
    </font>
    <font>
      <sz val="11"/>
      <color rgb="FFFF0000"/>
      <name val="Calibri"/>
      <family val="2"/>
      <scheme val="minor"/>
    </font>
    <font>
      <sz val="10"/>
      <color theme="1"/>
      <name val="Arial"/>
      <family val="2"/>
    </font>
    <font>
      <u/>
      <sz val="11"/>
      <color theme="10"/>
      <name val="Calibri"/>
      <family val="2"/>
    </font>
    <font>
      <sz val="10"/>
      <name val="Calibri"/>
      <family val="2"/>
      <scheme val="minor"/>
    </font>
    <font>
      <sz val="9"/>
      <name val="Times New Roman"/>
      <family val="1"/>
    </font>
    <font>
      <sz val="10"/>
      <name val="Arial"/>
      <family val="2"/>
    </font>
    <font>
      <sz val="12"/>
      <name val="Times"/>
      <family val="1"/>
    </font>
    <font>
      <sz val="1"/>
      <color indexed="8"/>
      <name val="Courier"/>
      <family val="3"/>
    </font>
    <font>
      <sz val="8"/>
      <name val="Times New Roman"/>
      <family val="1"/>
    </font>
    <font>
      <i/>
      <sz val="1"/>
      <color indexed="8"/>
      <name val="Courier"/>
      <family val="3"/>
    </font>
    <font>
      <sz val="14"/>
      <name val="Helv"/>
    </font>
    <font>
      <sz val="8"/>
      <name val="Arial"/>
      <family val="2"/>
    </font>
    <font>
      <b/>
      <sz val="1"/>
      <color indexed="8"/>
      <name val="Courier"/>
      <family val="3"/>
    </font>
    <font>
      <u/>
      <sz val="10"/>
      <color indexed="12"/>
      <name val="Arial"/>
      <family val="2"/>
    </font>
    <font>
      <sz val="10"/>
      <name val="Arial Cyr"/>
      <charset val="204"/>
    </font>
    <font>
      <sz val="26"/>
      <name val="Arial"/>
      <family val="2"/>
    </font>
    <font>
      <sz val="30"/>
      <name val="Arial"/>
      <family val="2"/>
    </font>
    <font>
      <sz val="48"/>
      <name val="Arial"/>
      <family val="2"/>
    </font>
    <font>
      <b/>
      <sz val="100"/>
      <name val="Arial"/>
      <family val="2"/>
    </font>
    <font>
      <sz val="10"/>
      <color indexed="8"/>
      <name val="جيزة"/>
      <charset val="178"/>
    </font>
    <font>
      <sz val="10"/>
      <name val="Tms Rmn"/>
    </font>
    <font>
      <sz val="10"/>
      <name val="MS Sans Serif"/>
      <family val="2"/>
    </font>
    <font>
      <sz val="11"/>
      <color theme="1"/>
      <name val="Times New Roman"/>
      <family val="2"/>
    </font>
    <font>
      <sz val="11"/>
      <color theme="1"/>
      <name val="Calibri"/>
      <family val="2"/>
      <charset val="128"/>
      <scheme val="minor"/>
    </font>
    <font>
      <sz val="10"/>
      <name val="Helv"/>
    </font>
    <font>
      <b/>
      <sz val="10"/>
      <name val="Tms Rmn"/>
    </font>
    <font>
      <sz val="12"/>
      <name val="Helv"/>
    </font>
    <font>
      <sz val="12"/>
      <color indexed="24"/>
      <name val="Modern"/>
      <family val="3"/>
      <charset val="255"/>
    </font>
    <font>
      <b/>
      <sz val="18"/>
      <color indexed="24"/>
      <name val="Modern"/>
      <family val="3"/>
      <charset val="255"/>
    </font>
    <font>
      <b/>
      <sz val="12"/>
      <color indexed="24"/>
      <name val="Modern"/>
      <family val="3"/>
      <charset val="255"/>
    </font>
    <font>
      <u/>
      <sz val="10"/>
      <color indexed="36"/>
      <name val="Arial Cyr"/>
      <charset val="204"/>
    </font>
    <font>
      <sz val="12"/>
      <name val="新細明體"/>
      <family val="1"/>
      <charset val="136"/>
    </font>
    <font>
      <sz val="11"/>
      <name val="Calibri"/>
      <family val="2"/>
    </font>
    <font>
      <b/>
      <sz val="24"/>
      <name val="Calibri"/>
      <family val="2"/>
      <scheme val="minor"/>
    </font>
    <font>
      <b/>
      <sz val="11"/>
      <name val="Calibri"/>
      <family val="2"/>
    </font>
    <font>
      <b/>
      <sz val="11"/>
      <color theme="0"/>
      <name val="Calibri"/>
      <family val="2"/>
    </font>
    <font>
      <sz val="11"/>
      <color theme="0"/>
      <name val="Calibri"/>
      <family val="2"/>
      <scheme val="minor"/>
    </font>
    <font>
      <strike/>
      <sz val="11"/>
      <color theme="1"/>
      <name val="Calibri"/>
      <family val="2"/>
      <scheme val="minor"/>
    </font>
    <font>
      <sz val="11"/>
      <color rgb="FF000000"/>
      <name val="Calibri"/>
      <family val="2"/>
    </font>
    <font>
      <sz val="10"/>
      <color indexed="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10"/>
      <name val="Calibri"/>
      <family val="2"/>
    </font>
    <font>
      <sz val="11"/>
      <name val="Arial"/>
      <family val="2"/>
    </font>
    <font>
      <sz val="9"/>
      <color theme="1"/>
      <name val="Arial"/>
      <family val="2"/>
    </font>
    <font>
      <i/>
      <sz val="11"/>
      <color indexed="23"/>
      <name val="Calibri"/>
      <family val="2"/>
    </font>
    <font>
      <b/>
      <sz val="20"/>
      <color rgb="FF668E36"/>
      <name val="Times New Roman"/>
      <family val="1"/>
    </font>
    <font>
      <b/>
      <sz val="12"/>
      <color theme="1"/>
      <name val="Arial"/>
      <family val="2"/>
    </font>
    <font>
      <sz val="11"/>
      <color indexed="17"/>
      <name val="Calibri"/>
      <family val="2"/>
    </font>
    <font>
      <b/>
      <sz val="8"/>
      <name val="Arial"/>
      <family val="2"/>
    </font>
    <font>
      <b/>
      <sz val="15"/>
      <color indexed="62"/>
      <name val="Calibri"/>
      <family val="2"/>
    </font>
    <font>
      <b/>
      <sz val="13"/>
      <color indexed="62"/>
      <name val="Calibri"/>
      <family val="2"/>
    </font>
    <font>
      <b/>
      <sz val="11"/>
      <color indexed="62"/>
      <name val="Calibri"/>
      <family val="2"/>
    </font>
    <font>
      <u/>
      <sz val="11"/>
      <color indexed="12"/>
      <name val="Calibri"/>
      <family val="2"/>
    </font>
    <font>
      <u/>
      <sz val="9"/>
      <color rgb="FF017BB6"/>
      <name val="Arial"/>
      <family val="2"/>
    </font>
    <font>
      <sz val="11"/>
      <color indexed="62"/>
      <name val="Calibri"/>
      <family val="2"/>
    </font>
    <font>
      <sz val="11"/>
      <color indexed="52"/>
      <name val="Calibri"/>
      <family val="2"/>
    </font>
    <font>
      <b/>
      <sz val="11"/>
      <color indexed="9"/>
      <name val="Calibri"/>
      <family val="2"/>
    </font>
    <font>
      <b/>
      <sz val="18"/>
      <name val="Arial"/>
      <family val="2"/>
    </font>
    <font>
      <b/>
      <sz val="12"/>
      <name val="Arial"/>
      <family val="2"/>
    </font>
    <font>
      <sz val="11"/>
      <color indexed="10"/>
      <name val="Calibri"/>
      <family val="2"/>
    </font>
    <font>
      <sz val="11"/>
      <color indexed="19"/>
      <name val="Calibri"/>
      <family val="2"/>
    </font>
    <font>
      <sz val="9"/>
      <name val="ＭＳ Ｐゴシック"/>
      <family val="3"/>
      <charset val="128"/>
    </font>
    <font>
      <sz val="10"/>
      <name val="Courier"/>
      <family val="3"/>
    </font>
    <font>
      <sz val="12"/>
      <name val="Arial CE"/>
      <charset val="238"/>
    </font>
    <font>
      <i/>
      <sz val="10"/>
      <name val="Helv"/>
    </font>
    <font>
      <sz val="11"/>
      <color indexed="60"/>
      <name val="Calibri"/>
      <family val="2"/>
    </font>
    <font>
      <b/>
      <sz val="11"/>
      <color indexed="63"/>
      <name val="Calibri"/>
      <family val="2"/>
    </font>
    <font>
      <b/>
      <sz val="15"/>
      <color indexed="56"/>
      <name val="Calibri"/>
      <family val="2"/>
    </font>
    <font>
      <b/>
      <sz val="13"/>
      <color indexed="56"/>
      <name val="Calibri"/>
      <family val="2"/>
    </font>
    <font>
      <b/>
      <sz val="11"/>
      <color indexed="56"/>
      <name val="Calibri"/>
      <family val="2"/>
    </font>
    <font>
      <b/>
      <sz val="10"/>
      <name val="Arial"/>
      <family val="2"/>
    </font>
    <font>
      <b/>
      <sz val="18"/>
      <color indexed="62"/>
      <name val="Cambria"/>
      <family val="2"/>
    </font>
    <font>
      <b/>
      <sz val="18"/>
      <color indexed="56"/>
      <name val="Cambria"/>
      <family val="2"/>
    </font>
    <font>
      <b/>
      <sz val="11"/>
      <color indexed="8"/>
      <name val="Calibri"/>
      <family val="2"/>
    </font>
    <font>
      <sz val="11"/>
      <name val="ＭＳ Ｐゴシック"/>
      <family val="3"/>
      <charset val="128"/>
    </font>
    <font>
      <b/>
      <sz val="12"/>
      <name val="Calibri"/>
      <family val="2"/>
    </font>
    <font>
      <b/>
      <sz val="12"/>
      <name val="Calibri"/>
      <family val="2"/>
      <scheme val="minor"/>
    </font>
    <font>
      <b/>
      <sz val="12"/>
      <color theme="0"/>
      <name val="Calibri"/>
      <family val="2"/>
    </font>
    <font>
      <b/>
      <sz val="12"/>
      <color theme="0"/>
      <name val="Calibri"/>
      <family val="2"/>
      <scheme val="minor"/>
    </font>
    <font>
      <sz val="12"/>
      <name val="Calibri"/>
      <family val="2"/>
      <scheme val="minor"/>
    </font>
    <font>
      <b/>
      <u/>
      <sz val="12"/>
      <name val="Calibri"/>
      <family val="2"/>
    </font>
    <font>
      <b/>
      <u/>
      <sz val="12"/>
      <color theme="0"/>
      <name val="Calibri"/>
      <family val="2"/>
    </font>
    <font>
      <b/>
      <sz val="10"/>
      <color theme="1"/>
      <name val="Calibri"/>
      <family val="2"/>
      <scheme val="minor"/>
    </font>
    <font>
      <b/>
      <u/>
      <sz val="16"/>
      <name val="Calibri"/>
      <family val="2"/>
    </font>
    <font>
      <b/>
      <sz val="12"/>
      <color rgb="FFFF0000"/>
      <name val="Calibri"/>
      <family val="2"/>
      <scheme val="minor"/>
    </font>
    <font>
      <b/>
      <sz val="11"/>
      <color rgb="FFFF0000"/>
      <name val="Calibri"/>
      <family val="2"/>
      <scheme val="minor"/>
    </font>
    <font>
      <sz val="10"/>
      <color theme="1"/>
      <name val="Calibri"/>
      <family val="2"/>
      <scheme val="minor"/>
    </font>
    <font>
      <sz val="11"/>
      <color indexed="8"/>
      <name val="Calibri"/>
      <family val="2"/>
      <scheme val="minor"/>
    </font>
    <font>
      <sz val="12"/>
      <color rgb="FFFF0000"/>
      <name val="Calibri"/>
      <family val="2"/>
      <scheme val="minor"/>
    </font>
    <font>
      <b/>
      <sz val="12"/>
      <color indexed="81"/>
      <name val="Tahoma"/>
      <family val="2"/>
    </font>
    <font>
      <sz val="11"/>
      <color theme="1"/>
      <name val="Segoe UI"/>
      <family val="2"/>
    </font>
    <font>
      <b/>
      <sz val="18"/>
      <color theme="1"/>
      <name val="Segoe UI"/>
      <family val="2"/>
    </font>
    <font>
      <b/>
      <sz val="14"/>
      <color theme="1"/>
      <name val="Segoe UI"/>
      <family val="2"/>
    </font>
    <font>
      <sz val="14"/>
      <color theme="1"/>
      <name val="Segoe UI"/>
      <family val="2"/>
    </font>
    <font>
      <sz val="16"/>
      <color theme="1"/>
      <name val="Segoe UI"/>
      <family val="2"/>
    </font>
    <font>
      <b/>
      <sz val="12"/>
      <color theme="1"/>
      <name val="Segoe UI"/>
      <family val="2"/>
    </font>
    <font>
      <sz val="12"/>
      <color theme="1"/>
      <name val="Segoe UI"/>
      <family val="2"/>
    </font>
    <font>
      <b/>
      <sz val="16"/>
      <color theme="4"/>
      <name val="Segoe UI"/>
      <family val="2"/>
    </font>
    <font>
      <b/>
      <sz val="18"/>
      <color theme="0"/>
      <name val="Segoe UI"/>
      <family val="2"/>
    </font>
    <font>
      <b/>
      <sz val="16"/>
      <name val="Segoe UI"/>
      <family val="2"/>
    </font>
    <font>
      <sz val="14"/>
      <name val="Segoe UI"/>
      <family val="2"/>
    </font>
    <font>
      <b/>
      <sz val="20"/>
      <color rgb="FF0070C0"/>
      <name val="Segoe UI"/>
      <family val="2"/>
    </font>
    <font>
      <b/>
      <i/>
      <sz val="16"/>
      <color theme="1"/>
      <name val="Segoe UI"/>
      <family val="2"/>
    </font>
    <font>
      <sz val="16"/>
      <name val="Segoe UI"/>
      <family val="2"/>
    </font>
    <font>
      <sz val="9"/>
      <color theme="1"/>
      <name val="Segoe UI"/>
      <family val="2"/>
    </font>
    <font>
      <b/>
      <i/>
      <sz val="11"/>
      <color theme="1"/>
      <name val="Segoe UI"/>
      <family val="2"/>
    </font>
    <font>
      <i/>
      <sz val="11"/>
      <color theme="1"/>
      <name val="Calibri"/>
      <family val="2"/>
      <scheme val="minor"/>
    </font>
    <font>
      <b/>
      <i/>
      <sz val="11"/>
      <color theme="1"/>
      <name val="Calibri"/>
      <family val="2"/>
      <scheme val="minor"/>
    </font>
    <font>
      <b/>
      <sz val="11"/>
      <color theme="1"/>
      <name val="Segoe UI"/>
      <family val="2"/>
    </font>
    <font>
      <b/>
      <sz val="16"/>
      <color rgb="FFFFFFFF"/>
      <name val="Calibri"/>
      <family val="2"/>
      <scheme val="minor"/>
    </font>
    <font>
      <u/>
      <sz val="12"/>
      <name val="Calibri"/>
      <family val="2"/>
      <scheme val="minor"/>
    </font>
    <font>
      <i/>
      <sz val="12"/>
      <color theme="1"/>
      <name val="Calibri"/>
      <family val="2"/>
      <scheme val="minor"/>
    </font>
    <font>
      <b/>
      <sz val="12"/>
      <name val="Segoe UI"/>
      <family val="2"/>
    </font>
    <font>
      <sz val="20"/>
      <color theme="1"/>
      <name val="Calibri"/>
      <family val="2"/>
      <scheme val="minor"/>
    </font>
    <font>
      <sz val="20"/>
      <name val="Calibri"/>
      <family val="2"/>
      <scheme val="minor"/>
    </font>
    <font>
      <b/>
      <sz val="16"/>
      <color theme="0"/>
      <name val="Calibri"/>
      <family val="2"/>
      <scheme val="minor"/>
    </font>
    <font>
      <b/>
      <sz val="18"/>
      <color theme="0"/>
      <name val="Calibri"/>
      <family val="2"/>
      <scheme val="minor"/>
    </font>
    <font>
      <vertAlign val="superscript"/>
      <sz val="14"/>
      <color theme="1"/>
      <name val="Segoe UI"/>
      <family val="2"/>
    </font>
    <font>
      <sz val="12"/>
      <name val="Segoe UI"/>
      <family val="2"/>
    </font>
    <font>
      <vertAlign val="superscript"/>
      <sz val="14"/>
      <name val="Segoe UI"/>
      <family val="2"/>
    </font>
    <font>
      <sz val="11"/>
      <color rgb="FF0070C0"/>
      <name val="Segoe UI"/>
      <family val="2"/>
    </font>
    <font>
      <b/>
      <sz val="18"/>
      <name val="Segoe UI"/>
      <family val="2"/>
    </font>
    <font>
      <vertAlign val="superscript"/>
      <sz val="18"/>
      <name val="Segoe UI"/>
      <family val="2"/>
    </font>
    <font>
      <b/>
      <sz val="20"/>
      <color rgb="FF4B82AD"/>
      <name val="Segoe UI"/>
      <family val="2"/>
    </font>
    <font>
      <sz val="14"/>
      <color rgb="FF4B82AD"/>
      <name val="Segoe UI"/>
      <family val="2"/>
    </font>
    <font>
      <b/>
      <sz val="18"/>
      <color rgb="FF4B82AD"/>
      <name val="Segoe UI"/>
      <family val="2"/>
    </font>
    <font>
      <sz val="15"/>
      <color theme="1"/>
      <name val="Segoe UI"/>
      <family val="2"/>
    </font>
    <font>
      <b/>
      <sz val="17"/>
      <name val="Segoe UI"/>
      <family val="2"/>
    </font>
    <font>
      <sz val="13"/>
      <name val="Segoe UI"/>
      <family val="2"/>
    </font>
    <font>
      <vertAlign val="superscript"/>
      <sz val="15"/>
      <name val="Segoe UI"/>
      <family val="2"/>
    </font>
    <font>
      <u/>
      <sz val="16"/>
      <color theme="10"/>
      <name val="Calibri"/>
      <family val="2"/>
    </font>
    <font>
      <b/>
      <sz val="14"/>
      <color rgb="FF4B82AD"/>
      <name val="Segoe UI"/>
      <family val="2"/>
    </font>
    <font>
      <sz val="13"/>
      <color theme="1"/>
      <name val="Segoe UI"/>
      <family val="2"/>
    </font>
    <font>
      <b/>
      <sz val="13"/>
      <color theme="1"/>
      <name val="Segoe UI"/>
      <family val="2"/>
    </font>
    <font>
      <vertAlign val="superscript"/>
      <sz val="13"/>
      <color theme="1"/>
      <name val="Segoe UI"/>
      <family val="2"/>
    </font>
    <font>
      <b/>
      <sz val="11"/>
      <color indexed="81"/>
      <name val="Tahoma"/>
      <family val="2"/>
    </font>
    <font>
      <b/>
      <sz val="20"/>
      <name val="Calibri"/>
      <family val="2"/>
      <scheme val="minor"/>
    </font>
    <font>
      <sz val="11"/>
      <color indexed="81"/>
      <name val="Tahoma"/>
      <family val="2"/>
    </font>
    <font>
      <sz val="10"/>
      <color indexed="81"/>
      <name val="Tahoma"/>
      <family val="2"/>
    </font>
    <font>
      <i/>
      <sz val="11"/>
      <name val="Calibri"/>
      <family val="2"/>
      <scheme val="minor"/>
    </font>
    <font>
      <b/>
      <i/>
      <sz val="12"/>
      <color theme="1"/>
      <name val="Calibri"/>
      <family val="2"/>
      <scheme val="minor"/>
    </font>
    <font>
      <b/>
      <sz val="12"/>
      <color theme="0" tint="-0.499984740745262"/>
      <name val="Calibri"/>
      <family val="2"/>
      <scheme val="minor"/>
    </font>
    <font>
      <sz val="11"/>
      <color theme="0" tint="-0.499984740745262"/>
      <name val="Calibri"/>
      <family val="2"/>
      <scheme val="minor"/>
    </font>
    <font>
      <b/>
      <i/>
      <sz val="16"/>
      <color theme="1"/>
      <name val="Calibri"/>
      <family val="2"/>
      <scheme val="minor"/>
    </font>
    <font>
      <i/>
      <sz val="16"/>
      <color theme="1"/>
      <name val="Calibri"/>
      <family val="2"/>
      <scheme val="minor"/>
    </font>
    <font>
      <u/>
      <sz val="12"/>
      <color indexed="81"/>
      <name val="Tahoma"/>
      <family val="2"/>
    </font>
    <font>
      <u/>
      <sz val="9"/>
      <color indexed="81"/>
      <name val="Tahoma"/>
      <family val="2"/>
    </font>
    <font>
      <sz val="12"/>
      <name val="Calibri"/>
      <family val="2"/>
    </font>
    <font>
      <sz val="11"/>
      <name val="Arial"/>
      <family val="2"/>
      <charset val="186"/>
    </font>
    <font>
      <b/>
      <sz val="10"/>
      <color indexed="81"/>
      <name val="Tahoma"/>
      <family val="2"/>
    </font>
    <font>
      <sz val="12"/>
      <color theme="0"/>
      <name val="Calibri"/>
      <family val="2"/>
      <scheme val="minor"/>
    </font>
    <font>
      <i/>
      <sz val="12"/>
      <color theme="0"/>
      <name val="Calibri"/>
      <family val="2"/>
      <scheme val="minor"/>
    </font>
    <font>
      <b/>
      <i/>
      <sz val="12"/>
      <color theme="0"/>
      <name val="Calibri"/>
      <family val="2"/>
      <scheme val="minor"/>
    </font>
  </fonts>
  <fills count="79">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theme="5"/>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6"/>
        <bgColor indexed="64"/>
      </patternFill>
    </fill>
    <fill>
      <patternFill patternType="solid">
        <fgColor theme="5" tint="0.79998168889431442"/>
        <bgColor indexed="64"/>
      </patternFill>
    </fill>
    <fill>
      <patternFill patternType="solid">
        <fgColor theme="4"/>
        <bgColor indexed="64"/>
      </patternFill>
    </fill>
    <fill>
      <patternFill patternType="solid">
        <fgColor theme="7"/>
        <bgColor indexed="64"/>
      </patternFill>
    </fill>
    <fill>
      <patternFill patternType="solid">
        <fgColor theme="9"/>
        <bgColor indexed="64"/>
      </patternFill>
    </fill>
    <fill>
      <patternFill patternType="solid">
        <fgColor theme="0"/>
        <bgColor indexed="64"/>
      </patternFill>
    </fill>
    <fill>
      <patternFill patternType="solid">
        <fgColor theme="8" tint="0.79998168889431442"/>
        <bgColor indexed="64"/>
      </patternFill>
    </fill>
    <fill>
      <patternFill patternType="solid">
        <fgColor theme="3" tint="0.39997558519241921"/>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FF99CC"/>
        <bgColor indexed="64"/>
      </patternFill>
    </fill>
    <fill>
      <patternFill patternType="solid">
        <fgColor theme="7" tint="0.79998168889431442"/>
        <bgColor indexed="64"/>
      </patternFill>
    </fill>
    <fill>
      <patternFill patternType="solid">
        <fgColor rgb="FF00B0F0"/>
        <bgColor indexed="64"/>
      </patternFill>
    </fill>
    <fill>
      <patternFill patternType="solid">
        <fgColor theme="1" tint="0.249977111117893"/>
        <bgColor indexed="64"/>
      </patternFill>
    </fill>
    <fill>
      <patternFill patternType="solid">
        <fgColor rgb="FFFF66FF"/>
        <bgColor indexed="64"/>
      </patternFill>
    </fill>
    <fill>
      <patternFill patternType="solid">
        <fgColor rgb="FF00B050"/>
        <bgColor indexed="64"/>
      </patternFill>
    </fill>
    <fill>
      <patternFill patternType="solid">
        <fgColor theme="6" tint="0.39997558519241921"/>
        <bgColor indexed="64"/>
      </patternFill>
    </fill>
    <fill>
      <patternFill patternType="solid">
        <fgColor rgb="FFFFC000"/>
        <bgColor indexed="64"/>
      </patternFill>
    </fill>
    <fill>
      <patternFill patternType="solid">
        <fgColor indexed="22"/>
        <bgColor indexed="64"/>
      </patternFill>
    </fill>
    <fill>
      <patternFill patternType="solid">
        <fgColor indexed="9"/>
        <bgColor indexed="64"/>
      </patternFill>
    </fill>
    <fill>
      <patternFill patternType="solid">
        <fgColor rgb="FFE6B8B8"/>
        <bgColor indexed="64"/>
      </patternFill>
    </fill>
    <fill>
      <patternFill patternType="solid">
        <fgColor indexed="10"/>
      </patternFill>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3"/>
      </patternFill>
    </fill>
    <fill>
      <patternFill patternType="solid">
        <fgColor indexed="11"/>
      </patternFill>
    </fill>
    <fill>
      <patternFill patternType="solid">
        <fgColor indexed="51"/>
      </patternFill>
    </fill>
    <fill>
      <patternFill patternType="solid">
        <fgColor indexed="5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6"/>
      </patternFill>
    </fill>
    <fill>
      <patternFill patternType="solid">
        <fgColor indexed="54"/>
      </patternFill>
    </fill>
    <fill>
      <patternFill patternType="solid">
        <fgColor indexed="22"/>
      </patternFill>
    </fill>
    <fill>
      <patternFill patternType="solid">
        <fgColor indexed="9"/>
      </patternFill>
    </fill>
    <fill>
      <patternFill patternType="solid">
        <fgColor rgb="FFF2F2F2"/>
        <bgColor indexed="64"/>
      </patternFill>
    </fill>
    <fill>
      <patternFill patternType="solid">
        <fgColor indexed="55"/>
      </patternFill>
    </fill>
    <fill>
      <patternFill patternType="solid">
        <fgColor theme="0" tint="-4.9989318521683403E-2"/>
        <bgColor indexed="64"/>
      </patternFill>
    </fill>
    <fill>
      <patternFill patternType="solid">
        <fgColor rgb="FFF0F0F0"/>
        <bgColor indexed="64"/>
      </patternFill>
    </fill>
    <fill>
      <patternFill patternType="solid">
        <fgColor indexed="62"/>
      </patternFill>
    </fill>
    <fill>
      <patternFill patternType="solid">
        <fgColor indexed="57"/>
      </patternFill>
    </fill>
    <fill>
      <patternFill patternType="solid">
        <fgColor rgb="FF0070C0"/>
        <bgColor indexed="64"/>
      </patternFill>
    </fill>
    <fill>
      <patternFill patternType="solid">
        <fgColor theme="7" tint="0.59999389629810485"/>
        <bgColor indexed="64"/>
      </patternFill>
    </fill>
    <fill>
      <patternFill patternType="solid">
        <fgColor rgb="FFFDD369"/>
        <bgColor indexed="64"/>
      </patternFill>
    </fill>
    <fill>
      <patternFill patternType="solid">
        <fgColor rgb="FF9BD4FF"/>
        <bgColor indexed="64"/>
      </patternFill>
    </fill>
    <fill>
      <patternFill patternType="solid">
        <fgColor rgb="FFFFFFAF"/>
        <bgColor indexed="64"/>
      </patternFill>
    </fill>
    <fill>
      <patternFill patternType="solid">
        <fgColor rgb="FFB3DEFF"/>
        <bgColor indexed="64"/>
      </patternFill>
    </fill>
    <fill>
      <patternFill patternType="solid">
        <fgColor theme="1"/>
        <bgColor indexed="64"/>
      </patternFill>
    </fill>
    <fill>
      <patternFill patternType="solid">
        <fgColor rgb="FF9933FF"/>
        <bgColor indexed="64"/>
      </patternFill>
    </fill>
    <fill>
      <patternFill patternType="solid">
        <fgColor rgb="FFCC66FF"/>
        <bgColor indexed="64"/>
      </patternFill>
    </fill>
    <fill>
      <patternFill patternType="solid">
        <fgColor theme="0" tint="-0.14999847407452621"/>
        <bgColor indexed="64"/>
      </patternFill>
    </fill>
    <fill>
      <patternFill patternType="solid">
        <fgColor theme="1" tint="0.499984740745262"/>
        <bgColor indexed="64"/>
      </patternFill>
    </fill>
    <fill>
      <patternFill patternType="solid">
        <fgColor rgb="FF00CC00"/>
        <bgColor indexed="64"/>
      </patternFill>
    </fill>
    <fill>
      <patternFill patternType="solid">
        <fgColor rgb="FFFF3300"/>
        <bgColor indexed="64"/>
      </patternFill>
    </fill>
    <fill>
      <patternFill patternType="solid">
        <fgColor theme="0" tint="-0.499984740745262"/>
        <bgColor indexed="64"/>
      </patternFill>
    </fill>
    <fill>
      <patternFill patternType="solid">
        <fgColor rgb="FF94FE6A"/>
        <bgColor indexed="64"/>
      </patternFill>
    </fill>
    <fill>
      <patternFill patternType="solid">
        <fgColor rgb="FFFF99FF"/>
        <bgColor indexed="64"/>
      </patternFill>
    </fill>
    <fill>
      <patternFill patternType="solid">
        <fgColor rgb="FF66FF33"/>
        <bgColor indexed="64"/>
      </patternFill>
    </fill>
    <fill>
      <patternFill patternType="solid">
        <fgColor rgb="FFCC6600"/>
        <bgColor indexed="64"/>
      </patternFill>
    </fill>
    <fill>
      <patternFill patternType="solid">
        <fgColor rgb="FFFFFF99"/>
        <bgColor indexed="64"/>
      </patternFill>
    </fill>
    <fill>
      <patternFill patternType="solid">
        <fgColor rgb="FF0000FF"/>
        <bgColor indexed="64"/>
      </patternFill>
    </fill>
    <fill>
      <patternFill patternType="solid">
        <fgColor rgb="FF4B82AD"/>
        <bgColor indexed="64"/>
      </patternFill>
    </fill>
    <fill>
      <patternFill patternType="solid">
        <fgColor rgb="FFC0C0C0"/>
        <bgColor indexed="64"/>
      </patternFill>
    </fill>
  </fills>
  <borders count="70">
    <border>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style="thin">
        <color indexed="64"/>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right style="thin">
        <color indexed="64"/>
      </right>
      <top/>
      <bottom/>
      <diagonal/>
    </border>
    <border>
      <left/>
      <right style="thin">
        <color indexed="64"/>
      </right>
      <top/>
      <bottom style="medium">
        <color indexed="64"/>
      </bottom>
      <diagonal/>
    </border>
    <border>
      <left style="thin">
        <color indexed="64"/>
      </left>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0"/>
      </top>
      <bottom/>
      <diagonal/>
    </border>
    <border>
      <left/>
      <right/>
      <top style="thin">
        <color indexed="56"/>
      </top>
      <bottom style="double">
        <color indexed="56"/>
      </bottom>
      <diagonal/>
    </border>
    <border>
      <left/>
      <right/>
      <top style="thin">
        <color indexed="62"/>
      </top>
      <bottom style="double">
        <color indexed="62"/>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s>
  <cellStyleXfs count="1033">
    <xf numFmtId="0" fontId="0" fillId="0" borderId="0"/>
    <xf numFmtId="9" fontId="3" fillId="0" borderId="0" applyFont="0" applyFill="0" applyBorder="0" applyAlignment="0" applyProtection="0"/>
    <xf numFmtId="169" fontId="3" fillId="0" borderId="0" applyFont="0" applyFill="0" applyBorder="0" applyAlignment="0" applyProtection="0"/>
    <xf numFmtId="0" fontId="20" fillId="0" borderId="0" applyNumberFormat="0" applyFill="0" applyBorder="0" applyAlignment="0" applyProtection="0">
      <alignment vertical="top"/>
      <protection locked="0"/>
    </xf>
    <xf numFmtId="0" fontId="12" fillId="0" borderId="0"/>
    <xf numFmtId="0" fontId="12" fillId="0" borderId="0"/>
    <xf numFmtId="178" fontId="22" fillId="0" borderId="0" applyFont="0" applyFill="0" applyBorder="0" applyAlignment="0" applyProtection="0"/>
    <xf numFmtId="179" fontId="22" fillId="0" borderId="0" applyFont="0" applyFill="0" applyBorder="0" applyAlignment="0" applyProtection="0"/>
    <xf numFmtId="180" fontId="22" fillId="0" borderId="0" applyFont="0" applyFill="0" applyBorder="0" applyAlignment="0" applyProtection="0"/>
    <xf numFmtId="181" fontId="22" fillId="0" borderId="0" applyFont="0" applyFill="0" applyBorder="0" applyAlignment="0" applyProtection="0"/>
    <xf numFmtId="182" fontId="22" fillId="0" borderId="0" applyFont="0" applyFill="0" applyBorder="0" applyAlignment="0" applyProtection="0"/>
    <xf numFmtId="0" fontId="23" fillId="0" borderId="0">
      <alignment vertical="center"/>
    </xf>
    <xf numFmtId="0" fontId="23" fillId="0" borderId="0">
      <alignment vertical="center"/>
    </xf>
    <xf numFmtId="0" fontId="24" fillId="0" borderId="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23"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24" fillId="0" borderId="0"/>
    <xf numFmtId="0" fontId="24" fillId="0" borderId="0"/>
    <xf numFmtId="0" fontId="25" fillId="0" borderId="0">
      <protection locked="0"/>
    </xf>
    <xf numFmtId="183" fontId="26" fillId="0" borderId="0" applyFont="0" applyFill="0" applyBorder="0" applyAlignment="0" applyProtection="0"/>
    <xf numFmtId="0" fontId="25" fillId="0" borderId="0">
      <protection locked="0"/>
    </xf>
    <xf numFmtId="0" fontId="25" fillId="0" borderId="0">
      <protection locked="0"/>
    </xf>
    <xf numFmtId="0" fontId="27" fillId="0" borderId="0">
      <protection locked="0"/>
    </xf>
    <xf numFmtId="0" fontId="25" fillId="0" borderId="0">
      <protection locked="0"/>
    </xf>
    <xf numFmtId="0" fontId="25" fillId="0" borderId="0">
      <protection locked="0"/>
    </xf>
    <xf numFmtId="0" fontId="25" fillId="0" borderId="0">
      <protection locked="0"/>
    </xf>
    <xf numFmtId="0" fontId="27" fillId="0" borderId="0">
      <protection locked="0"/>
    </xf>
    <xf numFmtId="184" fontId="25" fillId="0" borderId="0">
      <protection locked="0"/>
    </xf>
    <xf numFmtId="0" fontId="28" fillId="0" borderId="0"/>
    <xf numFmtId="38" fontId="29" fillId="26" borderId="0" applyNumberFormat="0" applyBorder="0" applyAlignment="0" applyProtection="0"/>
    <xf numFmtId="0" fontId="30" fillId="0" borderId="0">
      <protection locked="0"/>
    </xf>
    <xf numFmtId="0" fontId="30" fillId="0" borderId="0">
      <protection locked="0"/>
    </xf>
    <xf numFmtId="0" fontId="31" fillId="0" borderId="0" applyNumberFormat="0" applyFill="0" applyBorder="0" applyAlignment="0" applyProtection="0">
      <alignment vertical="top"/>
      <protection locked="0"/>
    </xf>
    <xf numFmtId="0" fontId="32" fillId="0" borderId="0"/>
    <xf numFmtId="171" fontId="22" fillId="0" borderId="0" applyFont="0" applyFill="0" applyBorder="0" applyAlignment="0" applyProtection="0"/>
    <xf numFmtId="3" fontId="22" fillId="0" borderId="0" applyFont="0" applyFill="0" applyBorder="0" applyAlignment="0" applyProtection="0"/>
    <xf numFmtId="10" fontId="29" fillId="27" borderId="17" applyNumberFormat="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3" fillId="0" borderId="0" applyNumberFormat="0" applyFill="0" applyBorder="0" applyAlignment="0" applyProtection="0"/>
    <xf numFmtId="0" fontId="36" fillId="0" borderId="0" applyNumberFormat="0" applyFill="0" applyBorder="0" applyAlignment="0" applyProtection="0"/>
    <xf numFmtId="164" fontId="23" fillId="0" borderId="0" applyFont="0" applyFill="0" applyBorder="0" applyAlignment="0" applyProtection="0"/>
    <xf numFmtId="165" fontId="23" fillId="0" borderId="0" applyFont="0" applyFill="0" applyBorder="0" applyAlignment="0" applyProtection="0"/>
    <xf numFmtId="167" fontId="12" fillId="0" borderId="0" applyFont="0" applyFill="0" applyBorder="0" applyAlignment="0" applyProtection="0"/>
    <xf numFmtId="169" fontId="12" fillId="0" borderId="0" applyFont="0" applyFill="0" applyBorder="0" applyAlignment="0" applyProtection="0"/>
    <xf numFmtId="185" fontId="23" fillId="0" borderId="0" applyFont="0" applyFill="0" applyBorder="0" applyAlignment="0" applyProtection="0"/>
    <xf numFmtId="186" fontId="23" fillId="0" borderId="0" applyFont="0" applyFill="0" applyBorder="0" applyAlignment="0" applyProtection="0"/>
    <xf numFmtId="166" fontId="12" fillId="0" borderId="0" applyFont="0" applyFill="0" applyBorder="0" applyAlignment="0" applyProtection="0"/>
    <xf numFmtId="168" fontId="12" fillId="0" borderId="0" applyFont="0" applyFill="0" applyBorder="0" applyAlignment="0" applyProtection="0"/>
    <xf numFmtId="0" fontId="37" fillId="0" borderId="0" applyNumberFormat="0">
      <alignment horizontal="right"/>
    </xf>
    <xf numFmtId="0" fontId="38" fillId="0" borderId="0"/>
    <xf numFmtId="0" fontId="38" fillId="0" borderId="0"/>
    <xf numFmtId="0" fontId="38" fillId="0" borderId="0"/>
    <xf numFmtId="0" fontId="24" fillId="0" borderId="0"/>
    <xf numFmtId="0" fontId="24" fillId="0" borderId="0"/>
    <xf numFmtId="0" fontId="24" fillId="0" borderId="0"/>
    <xf numFmtId="0" fontId="24"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4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187" fontId="12" fillId="0" borderId="0" applyFill="0" applyBorder="0" applyAlignment="0" applyProtection="0">
      <alignment horizontal="right"/>
    </xf>
    <xf numFmtId="0" fontId="42" fillId="0" borderId="0"/>
    <xf numFmtId="10" fontId="23" fillId="0" borderId="0" applyFont="0" applyFill="0" applyBorder="0" applyAlignment="0" applyProtection="0"/>
    <xf numFmtId="188" fontId="22" fillId="0" borderId="0" applyFont="0" applyFill="0" applyBorder="0" applyAlignment="0" applyProtection="0"/>
    <xf numFmtId="189" fontId="22" fillId="0" borderId="0" applyFont="0" applyFill="0" applyBorder="0" applyAlignment="0" applyProtection="0"/>
    <xf numFmtId="190" fontId="22" fillId="0" borderId="0" applyFont="0" applyFill="0" applyBorder="0" applyAlignment="0" applyProtection="0"/>
    <xf numFmtId="191" fontId="12" fillId="0" borderId="0" applyFill="0" applyBorder="0" applyAlignment="0">
      <alignment horizontal="centerContinuous"/>
    </xf>
    <xf numFmtId="0" fontId="22" fillId="0" borderId="0"/>
    <xf numFmtId="0" fontId="43" fillId="0" borderId="0"/>
    <xf numFmtId="0" fontId="44" fillId="0" borderId="0"/>
    <xf numFmtId="0" fontId="23" fillId="0" borderId="0" applyNumberFormat="0"/>
    <xf numFmtId="0" fontId="25" fillId="0" borderId="18">
      <protection locked="0"/>
    </xf>
    <xf numFmtId="0" fontId="45" fillId="0" borderId="0" applyProtection="0"/>
    <xf numFmtId="38" fontId="12" fillId="0" borderId="0" applyFont="0" applyFill="0" applyBorder="0" applyAlignment="0" applyProtection="0"/>
    <xf numFmtId="192" fontId="12" fillId="0" borderId="0" applyFont="0" applyFill="0" applyBorder="0" applyAlignment="0" applyProtection="0"/>
    <xf numFmtId="0" fontId="46" fillId="0" borderId="0" applyProtection="0"/>
    <xf numFmtId="0" fontId="47" fillId="0" borderId="0" applyProtection="0"/>
    <xf numFmtId="0" fontId="45" fillId="0" borderId="18" applyProtection="0"/>
    <xf numFmtId="0" fontId="32" fillId="0" borderId="0"/>
    <xf numFmtId="0" fontId="48" fillId="0" borderId="0" applyNumberFormat="0" applyFill="0" applyBorder="0" applyAlignment="0" applyProtection="0">
      <alignment vertical="top"/>
      <protection locked="0"/>
    </xf>
    <xf numFmtId="10" fontId="45" fillId="0" borderId="0" applyProtection="0"/>
    <xf numFmtId="0" fontId="45" fillId="0" borderId="0"/>
    <xf numFmtId="2" fontId="45" fillId="0" borderId="0" applyProtection="0"/>
    <xf numFmtId="193" fontId="12" fillId="0" borderId="0" applyFont="0" applyFill="0" applyBorder="0" applyAlignment="0" applyProtection="0"/>
    <xf numFmtId="194" fontId="12" fillId="0" borderId="0" applyFont="0" applyFill="0" applyBorder="0" applyAlignment="0" applyProtection="0"/>
    <xf numFmtId="164" fontId="49" fillId="0" borderId="0" applyFont="0" applyFill="0" applyBorder="0" applyAlignment="0" applyProtection="0"/>
    <xf numFmtId="185" fontId="49" fillId="0" borderId="0" applyFont="0" applyFill="0" applyBorder="0" applyAlignment="0" applyProtection="0"/>
    <xf numFmtId="0" fontId="74" fillId="0" borderId="0" applyNumberFormat="0" applyFill="0" applyBorder="0" applyAlignment="0" applyProtection="0">
      <alignment vertical="top"/>
      <protection locked="0"/>
    </xf>
    <xf numFmtId="0" fontId="59" fillId="48" borderId="0" applyNumberFormat="0" applyBorder="0" applyAlignment="0" applyProtection="0"/>
    <xf numFmtId="0" fontId="58" fillId="0" borderId="0"/>
    <xf numFmtId="0" fontId="72" fillId="0" borderId="0" applyNumberFormat="0" applyFill="0" applyBorder="0" applyAlignment="0" applyProtection="0"/>
    <xf numFmtId="0" fontId="23" fillId="0" borderId="0"/>
    <xf numFmtId="0" fontId="58" fillId="0" borderId="0"/>
    <xf numFmtId="0" fontId="59" fillId="47" borderId="0" applyNumberFormat="0" applyBorder="0" applyAlignment="0" applyProtection="0"/>
    <xf numFmtId="0" fontId="72" fillId="0" borderId="0" applyNumberFormat="0" applyFill="0" applyBorder="0" applyAlignment="0" applyProtection="0"/>
    <xf numFmtId="0" fontId="12" fillId="0" borderId="0" applyNumberFormat="0" applyFont="0" applyFill="0">
      <alignment horizontal="left" vertical="top" wrapText="1"/>
    </xf>
    <xf numFmtId="0" fontId="58" fillId="0" borderId="0"/>
    <xf numFmtId="0" fontId="59" fillId="42" borderId="0" applyNumberFormat="0" applyBorder="0" applyAlignment="0" applyProtection="0"/>
    <xf numFmtId="0" fontId="59" fillId="29" borderId="0" applyNumberFormat="0" applyBorder="0" applyAlignment="0" applyProtection="0"/>
    <xf numFmtId="0" fontId="73" fillId="0" borderId="0" applyNumberFormat="0" applyFill="0" applyBorder="0" applyAlignment="0" applyProtection="0">
      <alignment vertical="top"/>
      <protection locked="0"/>
    </xf>
    <xf numFmtId="0" fontId="75" fillId="33" borderId="29" applyNumberFormat="0" applyAlignment="0" applyProtection="0"/>
    <xf numFmtId="0" fontId="58" fillId="0" borderId="0"/>
    <xf numFmtId="0" fontId="59" fillId="41" borderId="0" applyNumberFormat="0" applyBorder="0" applyAlignment="0" applyProtection="0"/>
    <xf numFmtId="0" fontId="59" fillId="29" borderId="0" applyNumberFormat="0" applyBorder="0" applyAlignment="0" applyProtection="0"/>
    <xf numFmtId="0" fontId="75" fillId="39" borderId="29" applyNumberFormat="0" applyAlignment="0" applyProtection="0"/>
    <xf numFmtId="0" fontId="58" fillId="0" borderId="0"/>
    <xf numFmtId="0" fontId="59" fillId="48" borderId="0" applyNumberFormat="0" applyBorder="0" applyAlignment="0" applyProtection="0"/>
    <xf numFmtId="0" fontId="60" fillId="37" borderId="0" applyNumberFormat="0" applyBorder="0" applyAlignment="0" applyProtection="0"/>
    <xf numFmtId="0" fontId="75" fillId="39" borderId="29" applyNumberFormat="0" applyAlignment="0" applyProtection="0"/>
    <xf numFmtId="0" fontId="75" fillId="39" borderId="29" applyNumberFormat="0" applyAlignment="0" applyProtection="0"/>
    <xf numFmtId="0" fontId="59" fillId="43" borderId="0" applyNumberFormat="0" applyBorder="0" applyAlignment="0" applyProtection="0"/>
    <xf numFmtId="0" fontId="59" fillId="38"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40" borderId="0" applyNumberFormat="0" applyBorder="0" applyAlignment="0" applyProtection="0"/>
    <xf numFmtId="0" fontId="59" fillId="44" borderId="0" applyNumberFormat="0" applyBorder="0" applyAlignment="0" applyProtection="0"/>
    <xf numFmtId="0" fontId="59" fillId="45" borderId="0" applyNumberFormat="0" applyBorder="0" applyAlignment="0" applyProtection="0"/>
    <xf numFmtId="0" fontId="59" fillId="46"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9" fillId="42" borderId="0" applyNumberFormat="0" applyBorder="0" applyAlignment="0" applyProtection="0"/>
    <xf numFmtId="0" fontId="59" fillId="42" borderId="0" applyNumberFormat="0" applyBorder="0" applyAlignment="0" applyProtection="0"/>
    <xf numFmtId="0" fontId="59" fillId="42"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23" fillId="0" borderId="0" applyNumberFormat="0" applyFill="0" applyBorder="0" applyAlignment="0" applyProtection="0"/>
    <xf numFmtId="0" fontId="60" fillId="37" borderId="0" applyNumberFormat="0" applyBorder="0" applyAlignment="0" applyProtection="0"/>
    <xf numFmtId="0" fontId="60" fillId="37" borderId="0" applyNumberFormat="0" applyBorder="0" applyAlignment="0" applyProtection="0"/>
    <xf numFmtId="0" fontId="60" fillId="37" borderId="0" applyNumberFormat="0" applyBorder="0" applyAlignment="0" applyProtection="0"/>
    <xf numFmtId="0" fontId="61" fillId="49" borderId="29" applyNumberFormat="0" applyAlignment="0" applyProtection="0"/>
    <xf numFmtId="0" fontId="62" fillId="50" borderId="29" applyNumberFormat="0" applyAlignment="0" applyProtection="0"/>
    <xf numFmtId="0" fontId="62" fillId="50" borderId="29" applyNumberFormat="0" applyAlignment="0" applyProtection="0"/>
    <xf numFmtId="0" fontId="62" fillId="50" borderId="29" applyNumberFormat="0" applyAlignment="0" applyProtection="0"/>
    <xf numFmtId="0" fontId="62" fillId="50" borderId="29" applyNumberFormat="0" applyAlignment="0" applyProtection="0"/>
    <xf numFmtId="0" fontId="62" fillId="50" borderId="29" applyNumberFormat="0" applyAlignment="0" applyProtection="0"/>
    <xf numFmtId="0" fontId="62" fillId="50" borderId="29" applyNumberFormat="0" applyAlignment="0" applyProtection="0"/>
    <xf numFmtId="169" fontId="63" fillId="0" borderId="0" applyFont="0" applyFill="0" applyBorder="0" applyAlignment="0" applyProtection="0"/>
    <xf numFmtId="169" fontId="58" fillId="0" borderId="0" applyFont="0" applyFill="0" applyBorder="0" applyAlignment="0" applyProtection="0"/>
    <xf numFmtId="195" fontId="23" fillId="0" borderId="0" applyFont="0" applyFill="0" applyBorder="0" applyAlignment="0" applyProtection="0"/>
    <xf numFmtId="0" fontId="60" fillId="35" borderId="0" applyNumberFormat="0" applyBorder="0" applyAlignment="0" applyProtection="0"/>
    <xf numFmtId="196" fontId="64" fillId="0" borderId="0"/>
    <xf numFmtId="14" fontId="23" fillId="0" borderId="0" applyFont="0" applyFill="0" applyBorder="0" applyAlignment="0" applyProtection="0"/>
    <xf numFmtId="0" fontId="65" fillId="0" borderId="0" applyNumberFormat="0" applyFill="0" applyBorder="0" applyAlignment="0" applyProtection="0"/>
    <xf numFmtId="0" fontId="66" fillId="0" borderId="0"/>
    <xf numFmtId="0" fontId="67" fillId="0" borderId="0"/>
    <xf numFmtId="0" fontId="68" fillId="36" borderId="0" applyNumberFormat="0" applyBorder="0" applyAlignment="0" applyProtection="0"/>
    <xf numFmtId="0" fontId="68" fillId="38" borderId="0" applyNumberFormat="0" applyBorder="0" applyAlignment="0" applyProtection="0"/>
    <xf numFmtId="0" fontId="68" fillId="38" borderId="0" applyNumberFormat="0" applyBorder="0" applyAlignment="0" applyProtection="0"/>
    <xf numFmtId="0" fontId="68" fillId="38" borderId="0" applyNumberFormat="0" applyBorder="0" applyAlignment="0" applyProtection="0"/>
    <xf numFmtId="0" fontId="68" fillId="38" borderId="0" applyNumberFormat="0" applyBorder="0" applyAlignment="0" applyProtection="0"/>
    <xf numFmtId="0" fontId="68" fillId="38" borderId="0" applyNumberFormat="0" applyBorder="0" applyAlignment="0" applyProtection="0"/>
    <xf numFmtId="0" fontId="68" fillId="38" borderId="0" applyNumberFormat="0" applyBorder="0" applyAlignment="0" applyProtection="0"/>
    <xf numFmtId="0" fontId="69" fillId="0" borderId="0"/>
    <xf numFmtId="0" fontId="70" fillId="0" borderId="30" applyNumberFormat="0" applyFill="0" applyAlignment="0" applyProtection="0"/>
    <xf numFmtId="0" fontId="70" fillId="0" borderId="30" applyNumberFormat="0" applyFill="0" applyAlignment="0" applyProtection="0"/>
    <xf numFmtId="0" fontId="70" fillId="0" borderId="30" applyNumberFormat="0" applyFill="0" applyAlignment="0" applyProtection="0"/>
    <xf numFmtId="0" fontId="70" fillId="0" borderId="30" applyNumberFormat="0" applyFill="0" applyAlignment="0" applyProtection="0"/>
    <xf numFmtId="0" fontId="70" fillId="0" borderId="30" applyNumberFormat="0" applyFill="0" applyAlignment="0" applyProtection="0"/>
    <xf numFmtId="0" fontId="70" fillId="0" borderId="30" applyNumberFormat="0" applyFill="0" applyAlignment="0" applyProtection="0"/>
    <xf numFmtId="0" fontId="71" fillId="0" borderId="31" applyNumberFormat="0" applyFill="0" applyAlignment="0" applyProtection="0"/>
    <xf numFmtId="0" fontId="71" fillId="0" borderId="31" applyNumberFormat="0" applyFill="0" applyAlignment="0" applyProtection="0"/>
    <xf numFmtId="0" fontId="71" fillId="0" borderId="31" applyNumberFormat="0" applyFill="0" applyAlignment="0" applyProtection="0"/>
    <xf numFmtId="0" fontId="71" fillId="0" borderId="31" applyNumberFormat="0" applyFill="0" applyAlignment="0" applyProtection="0"/>
    <xf numFmtId="0" fontId="71" fillId="0" borderId="31" applyNumberFormat="0" applyFill="0" applyAlignment="0" applyProtection="0"/>
    <xf numFmtId="0" fontId="71" fillId="0" borderId="31"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5" fillId="39" borderId="29" applyNumberFormat="0" applyAlignment="0" applyProtection="0"/>
    <xf numFmtId="0" fontId="75" fillId="39" borderId="29" applyNumberFormat="0" applyAlignment="0" applyProtection="0"/>
    <xf numFmtId="0" fontId="75" fillId="39" borderId="29" applyNumberFormat="0" applyAlignment="0" applyProtection="0"/>
    <xf numFmtId="0" fontId="76" fillId="0" borderId="33" applyNumberFormat="0" applyFill="0" applyAlignment="0" applyProtection="0"/>
    <xf numFmtId="0" fontId="64" fillId="51" borderId="0">
      <alignment horizontal="right"/>
    </xf>
    <xf numFmtId="3" fontId="23" fillId="0" borderId="0" applyFont="0" applyFill="0" applyBorder="0" applyAlignment="0" applyProtection="0"/>
    <xf numFmtId="0" fontId="77" fillId="52" borderId="34" applyNumberFormat="0" applyAlignment="0" applyProtection="0"/>
    <xf numFmtId="0" fontId="78" fillId="0" borderId="0" applyNumberFormat="0" applyFont="0" applyFill="0" applyAlignment="0" applyProtection="0"/>
    <xf numFmtId="0" fontId="79" fillId="0" borderId="0" applyNumberFormat="0" applyFont="0" applyFill="0" applyAlignment="0" applyProtection="0"/>
    <xf numFmtId="0" fontId="80" fillId="0" borderId="35" applyNumberFormat="0" applyFill="0" applyAlignment="0" applyProtection="0"/>
    <xf numFmtId="0" fontId="80" fillId="0" borderId="35" applyNumberFormat="0" applyFill="0" applyAlignment="0" applyProtection="0"/>
    <xf numFmtId="0" fontId="80" fillId="0" borderId="35" applyNumberFormat="0" applyFill="0" applyAlignment="0" applyProtection="0"/>
    <xf numFmtId="0" fontId="80" fillId="0" borderId="35" applyNumberFormat="0" applyFill="0" applyAlignment="0" applyProtection="0"/>
    <xf numFmtId="0" fontId="80" fillId="0" borderId="35" applyNumberFormat="0" applyFill="0" applyAlignment="0" applyProtection="0"/>
    <xf numFmtId="0" fontId="58" fillId="32" borderId="36" applyNumberFormat="0" applyFont="0" applyAlignment="0" applyProtection="0"/>
    <xf numFmtId="0" fontId="81" fillId="39" borderId="0" applyNumberFormat="0" applyBorder="0" applyAlignment="0" applyProtection="0"/>
    <xf numFmtId="0" fontId="81" fillId="39" borderId="0" applyNumberFormat="0" applyBorder="0" applyAlignment="0" applyProtection="0"/>
    <xf numFmtId="0" fontId="81" fillId="39" borderId="0" applyNumberFormat="0" applyBorder="0" applyAlignment="0" applyProtection="0"/>
    <xf numFmtId="0" fontId="81" fillId="39" borderId="0" applyNumberFormat="0" applyBorder="0" applyAlignment="0" applyProtection="0"/>
    <xf numFmtId="0" fontId="81" fillId="39" borderId="0" applyNumberFormat="0" applyBorder="0" applyAlignment="0" applyProtection="0"/>
    <xf numFmtId="0" fontId="81" fillId="39" borderId="0" applyNumberFormat="0" applyBorder="0" applyAlignment="0" applyProtection="0"/>
    <xf numFmtId="0" fontId="82" fillId="0" borderId="0"/>
    <xf numFmtId="0" fontId="3" fillId="0" borderId="0"/>
    <xf numFmtId="0" fontId="82" fillId="0" borderId="0"/>
    <xf numFmtId="0" fontId="3" fillId="0" borderId="0"/>
    <xf numFmtId="0" fontId="58" fillId="0" borderId="0"/>
    <xf numFmtId="0" fontId="3" fillId="0" borderId="0"/>
    <xf numFmtId="0" fontId="23" fillId="0" borderId="0"/>
    <xf numFmtId="0" fontId="58" fillId="0" borderId="0"/>
    <xf numFmtId="0" fontId="58" fillId="0" borderId="0"/>
    <xf numFmtId="0" fontId="58" fillId="0" borderId="0"/>
    <xf numFmtId="0" fontId="58" fillId="0" borderId="0"/>
    <xf numFmtId="0" fontId="5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applyNumberFormat="0" applyFill="0" applyBorder="0" applyAlignment="0" applyProtection="0"/>
    <xf numFmtId="0" fontId="58" fillId="0" borderId="0"/>
    <xf numFmtId="0" fontId="23" fillId="0" borderId="0" applyNumberFormat="0" applyFill="0" applyBorder="0" applyAlignment="0" applyProtection="0"/>
    <xf numFmtId="0" fontId="23" fillId="0" borderId="0" applyNumberForma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9" fillId="0" borderId="0"/>
    <xf numFmtId="0" fontId="23" fillId="0" borderId="0"/>
    <xf numFmtId="0" fontId="23" fillId="0" borderId="0"/>
    <xf numFmtId="0" fontId="23" fillId="0" borderId="0" applyNumberFormat="0" applyFill="0" applyBorder="0" applyAlignment="0" applyProtection="0"/>
    <xf numFmtId="0" fontId="23" fillId="0" borderId="0"/>
    <xf numFmtId="0" fontId="23" fillId="0" borderId="0"/>
    <xf numFmtId="0" fontId="23" fillId="0" borderId="0"/>
    <xf numFmtId="0" fontId="58" fillId="0" borderId="0"/>
    <xf numFmtId="0" fontId="58" fillId="0" borderId="0"/>
    <xf numFmtId="0" fontId="58" fillId="0" borderId="0"/>
    <xf numFmtId="0" fontId="58" fillId="0" borderId="0"/>
    <xf numFmtId="0" fontId="58" fillId="0" borderId="0"/>
    <xf numFmtId="0" fontId="3" fillId="0" borderId="0"/>
    <xf numFmtId="0" fontId="58" fillId="0" borderId="0"/>
    <xf numFmtId="0" fontId="3" fillId="0" borderId="0"/>
    <xf numFmtId="0" fontId="58" fillId="0" borderId="0"/>
    <xf numFmtId="0" fontId="3" fillId="0" borderId="0"/>
    <xf numFmtId="0" fontId="58" fillId="0" borderId="0"/>
    <xf numFmtId="0" fontId="3" fillId="0" borderId="0"/>
    <xf numFmtId="0" fontId="58" fillId="0" borderId="0"/>
    <xf numFmtId="0" fontId="58" fillId="0" borderId="0"/>
    <xf numFmtId="0" fontId="58" fillId="0" borderId="0"/>
    <xf numFmtId="0" fontId="5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applyNumberForma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8" fillId="0" borderId="0"/>
    <xf numFmtId="0" fontId="58" fillId="0" borderId="0"/>
    <xf numFmtId="0" fontId="58" fillId="0" borderId="0"/>
    <xf numFmtId="0" fontId="58" fillId="0" borderId="0"/>
    <xf numFmtId="0" fontId="58" fillId="0" borderId="0"/>
    <xf numFmtId="0" fontId="58" fillId="0" borderId="0"/>
    <xf numFmtId="0" fontId="83" fillId="0" borderId="0"/>
    <xf numFmtId="0" fontId="23" fillId="0" borderId="0"/>
    <xf numFmtId="0" fontId="58" fillId="0" borderId="0"/>
    <xf numFmtId="0" fontId="58" fillId="0" borderId="0"/>
    <xf numFmtId="0" fontId="58" fillId="0" borderId="0"/>
    <xf numFmtId="0" fontId="57" fillId="0" borderId="0"/>
    <xf numFmtId="0" fontId="19" fillId="0" borderId="0"/>
    <xf numFmtId="0" fontId="19" fillId="0" borderId="0"/>
    <xf numFmtId="0" fontId="19" fillId="0" borderId="0"/>
    <xf numFmtId="0" fontId="19" fillId="0" borderId="0"/>
    <xf numFmtId="0" fontId="23" fillId="0" borderId="0"/>
    <xf numFmtId="0" fontId="23" fillId="0" borderId="0"/>
    <xf numFmtId="0" fontId="23" fillId="0" borderId="0"/>
    <xf numFmtId="0" fontId="83" fillId="0" borderId="0"/>
    <xf numFmtId="0" fontId="19" fillId="0" borderId="0"/>
    <xf numFmtId="0" fontId="23" fillId="0" borderId="0"/>
    <xf numFmtId="0" fontId="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 fillId="0" borderId="0"/>
    <xf numFmtId="0" fontId="23" fillId="0" borderId="0"/>
    <xf numFmtId="0" fontId="23" fillId="0" borderId="0"/>
    <xf numFmtId="0" fontId="23" fillId="0" borderId="0"/>
    <xf numFmtId="0" fontId="23" fillId="0" borderId="0"/>
    <xf numFmtId="0" fontId="23" fillId="0" borderId="0"/>
    <xf numFmtId="0" fontId="23" fillId="0" borderId="0"/>
    <xf numFmtId="197" fontId="84" fillId="0" borderId="0"/>
    <xf numFmtId="0" fontId="58" fillId="32" borderId="36" applyNumberFormat="0" applyFont="0" applyAlignment="0" applyProtection="0"/>
    <xf numFmtId="0" fontId="58" fillId="32" borderId="36" applyNumberFormat="0" applyFont="0" applyAlignment="0" applyProtection="0"/>
    <xf numFmtId="0" fontId="58" fillId="32" borderId="36" applyNumberFormat="0" applyFont="0" applyAlignment="0" applyProtection="0"/>
    <xf numFmtId="0" fontId="58" fillId="32" borderId="36" applyNumberFormat="0" applyFont="0" applyAlignment="0" applyProtection="0"/>
    <xf numFmtId="0" fontId="58" fillId="32" borderId="36" applyNumberFormat="0" applyFont="0" applyAlignment="0" applyProtection="0"/>
    <xf numFmtId="0" fontId="58" fillId="32" borderId="36" applyNumberFormat="0" applyFont="0" applyAlignment="0" applyProtection="0"/>
    <xf numFmtId="0" fontId="85" fillId="0" borderId="27"/>
    <xf numFmtId="0" fontId="86" fillId="39" borderId="0" applyNumberFormat="0" applyBorder="0" applyAlignment="0" applyProtection="0"/>
    <xf numFmtId="0" fontId="87" fillId="50" borderId="37" applyNumberFormat="0" applyAlignment="0" applyProtection="0"/>
    <xf numFmtId="0" fontId="87" fillId="50" borderId="37" applyNumberFormat="0" applyAlignment="0" applyProtection="0"/>
    <xf numFmtId="0" fontId="87" fillId="50" borderId="37" applyNumberFormat="0" applyAlignment="0" applyProtection="0"/>
    <xf numFmtId="0" fontId="87" fillId="50" borderId="37" applyNumberFormat="0" applyAlignment="0" applyProtection="0"/>
    <xf numFmtId="0" fontId="87" fillId="50" borderId="37" applyNumberFormat="0" applyAlignment="0" applyProtection="0"/>
    <xf numFmtId="0" fontId="88" fillId="0" borderId="38" applyNumberFormat="0" applyFill="0" applyAlignment="0" applyProtection="0"/>
    <xf numFmtId="0" fontId="89" fillId="0" borderId="39" applyNumberFormat="0" applyFill="0" applyAlignment="0" applyProtection="0"/>
    <xf numFmtId="0" fontId="90" fillId="0" borderId="40" applyNumberFormat="0" applyFill="0" applyAlignment="0" applyProtection="0"/>
    <xf numFmtId="0" fontId="90" fillId="0" borderId="0" applyNumberFormat="0" applyFill="0" applyBorder="0" applyAlignment="0" applyProtection="0"/>
    <xf numFmtId="0" fontId="80" fillId="0" borderId="35" applyNumberFormat="0" applyFill="0" applyAlignment="0" applyProtection="0"/>
    <xf numFmtId="9" fontId="23" fillId="0" borderId="0" applyFont="0" applyFill="0" applyBorder="0" applyAlignment="0" applyProtection="0"/>
    <xf numFmtId="0" fontId="19" fillId="0" borderId="0"/>
    <xf numFmtId="0" fontId="59" fillId="42" borderId="0" applyNumberFormat="0" applyBorder="0" applyAlignment="0" applyProtection="0"/>
    <xf numFmtId="0" fontId="23" fillId="0" borderId="0"/>
    <xf numFmtId="0" fontId="60" fillId="37" borderId="0" applyNumberFormat="0" applyBorder="0" applyAlignment="0" applyProtection="0"/>
    <xf numFmtId="0" fontId="59" fillId="47" borderId="0" applyNumberFormat="0" applyBorder="0" applyAlignment="0" applyProtection="0"/>
    <xf numFmtId="0" fontId="23" fillId="0" borderId="0"/>
    <xf numFmtId="0" fontId="60" fillId="37" borderId="0" applyNumberFormat="0" applyBorder="0" applyAlignment="0" applyProtection="0"/>
    <xf numFmtId="0" fontId="59" fillId="31" borderId="0" applyNumberFormat="0" applyBorder="0" applyAlignment="0" applyProtection="0"/>
    <xf numFmtId="0" fontId="59" fillId="48" borderId="0" applyNumberFormat="0" applyBorder="0" applyAlignment="0" applyProtection="0"/>
    <xf numFmtId="0" fontId="3" fillId="0" borderId="0"/>
    <xf numFmtId="0" fontId="59" fillId="29" borderId="0" applyNumberFormat="0" applyBorder="0" applyAlignment="0" applyProtection="0"/>
    <xf numFmtId="0" fontId="58" fillId="0" borderId="0"/>
    <xf numFmtId="0" fontId="59" fillId="41" borderId="0" applyNumberFormat="0" applyBorder="0" applyAlignment="0" applyProtection="0"/>
    <xf numFmtId="0" fontId="23" fillId="0" borderId="0"/>
    <xf numFmtId="0" fontId="12" fillId="0" borderId="0"/>
    <xf numFmtId="0" fontId="12" fillId="0" borderId="0"/>
    <xf numFmtId="0" fontId="23" fillId="0" borderId="0"/>
    <xf numFmtId="0" fontId="72" fillId="0" borderId="32" applyNumberFormat="0" applyFill="0" applyAlignment="0" applyProtection="0"/>
    <xf numFmtId="0" fontId="59" fillId="42" borderId="0" applyNumberFormat="0" applyBorder="0" applyAlignment="0" applyProtection="0"/>
    <xf numFmtId="0" fontId="59" fillId="31" borderId="0" applyNumberFormat="0" applyBorder="0" applyAlignment="0" applyProtection="0"/>
    <xf numFmtId="0" fontId="59" fillId="38" borderId="0" applyNumberFormat="0" applyBorder="0" applyAlignment="0" applyProtection="0"/>
    <xf numFmtId="0" fontId="59" fillId="38" borderId="0" applyNumberFormat="0" applyBorder="0" applyAlignment="0" applyProtection="0"/>
    <xf numFmtId="0" fontId="59" fillId="38" borderId="0" applyNumberFormat="0" applyBorder="0" applyAlignment="0" applyProtection="0"/>
    <xf numFmtId="0" fontId="59" fillId="38" borderId="0" applyNumberFormat="0" applyBorder="0" applyAlignment="0" applyProtection="0"/>
    <xf numFmtId="0" fontId="59" fillId="38" borderId="0" applyNumberFormat="0" applyBorder="0" applyAlignment="0" applyProtection="0"/>
    <xf numFmtId="0" fontId="59" fillId="35" borderId="0" applyNumberFormat="0" applyBorder="0" applyAlignment="0" applyProtection="0"/>
    <xf numFmtId="0" fontId="59" fillId="35" borderId="0" applyNumberFormat="0" applyBorder="0" applyAlignment="0" applyProtection="0"/>
    <xf numFmtId="0" fontId="59" fillId="35" borderId="0" applyNumberFormat="0" applyBorder="0" applyAlignment="0" applyProtection="0"/>
    <xf numFmtId="0" fontId="59" fillId="35" borderId="0" applyNumberFormat="0" applyBorder="0" applyAlignment="0" applyProtection="0"/>
    <xf numFmtId="0" fontId="59" fillId="35" borderId="0" applyNumberFormat="0" applyBorder="0" applyAlignment="0" applyProtection="0"/>
    <xf numFmtId="0" fontId="59" fillId="35"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42" borderId="0" applyNumberFormat="0" applyBorder="0" applyAlignment="0" applyProtection="0"/>
    <xf numFmtId="0" fontId="59" fillId="42" borderId="0" applyNumberFormat="0" applyBorder="0" applyAlignment="0" applyProtection="0"/>
    <xf numFmtId="0" fontId="59" fillId="42" borderId="0" applyNumberFormat="0" applyBorder="0" applyAlignment="0" applyProtection="0"/>
    <xf numFmtId="0" fontId="59" fillId="42" borderId="0" applyNumberFormat="0" applyBorder="0" applyAlignment="0" applyProtection="0"/>
    <xf numFmtId="0" fontId="59" fillId="42" borderId="0" applyNumberFormat="0" applyBorder="0" applyAlignment="0" applyProtection="0"/>
    <xf numFmtId="0" fontId="59" fillId="38" borderId="0" applyNumberFormat="0" applyBorder="0" applyAlignment="0" applyProtection="0"/>
    <xf numFmtId="0" fontId="59" fillId="38" borderId="0" applyNumberFormat="0" applyBorder="0" applyAlignment="0" applyProtection="0"/>
    <xf numFmtId="0" fontId="59" fillId="38" borderId="0" applyNumberFormat="0" applyBorder="0" applyAlignment="0" applyProtection="0"/>
    <xf numFmtId="0" fontId="59" fillId="38" borderId="0" applyNumberFormat="0" applyBorder="0" applyAlignment="0" applyProtection="0"/>
    <xf numFmtId="0" fontId="59" fillId="38" borderId="0" applyNumberFormat="0" applyBorder="0" applyAlignment="0" applyProtection="0"/>
    <xf numFmtId="0" fontId="59" fillId="38" borderId="0" applyNumberFormat="0" applyBorder="0" applyAlignment="0" applyProtection="0"/>
    <xf numFmtId="0" fontId="58" fillId="41" borderId="0" applyNumberFormat="0" applyBorder="0" applyAlignment="0" applyProtection="0"/>
    <xf numFmtId="0" fontId="58" fillId="30" borderId="0" applyNumberFormat="0" applyBorder="0" applyAlignment="0" applyProtection="0"/>
    <xf numFmtId="0" fontId="58" fillId="37" borderId="0" applyNumberFormat="0" applyBorder="0" applyAlignment="0" applyProtection="0"/>
    <xf numFmtId="0" fontId="58" fillId="40" borderId="0" applyNumberFormat="0" applyBorder="0" applyAlignment="0" applyProtection="0"/>
    <xf numFmtId="0" fontId="58" fillId="31" borderId="0" applyNumberFormat="0" applyBorder="0" applyAlignment="0" applyProtection="0"/>
    <xf numFmtId="0" fontId="58" fillId="30"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5" borderId="0" applyNumberFormat="0" applyBorder="0" applyAlignment="0" applyProtection="0"/>
    <xf numFmtId="0" fontId="58" fillId="35" borderId="0" applyNumberFormat="0" applyBorder="0" applyAlignment="0" applyProtection="0"/>
    <xf numFmtId="0" fontId="58" fillId="35" borderId="0" applyNumberFormat="0" applyBorder="0" applyAlignment="0" applyProtection="0"/>
    <xf numFmtId="0" fontId="58" fillId="35" borderId="0" applyNumberFormat="0" applyBorder="0" applyAlignment="0" applyProtection="0"/>
    <xf numFmtId="0" fontId="58" fillId="35" borderId="0" applyNumberFormat="0" applyBorder="0" applyAlignment="0" applyProtection="0"/>
    <xf numFmtId="0" fontId="58" fillId="35" borderId="0" applyNumberFormat="0" applyBorder="0" applyAlignment="0" applyProtection="0"/>
    <xf numFmtId="0" fontId="58" fillId="35" borderId="0" applyNumberFormat="0" applyBorder="0" applyAlignment="0" applyProtection="0"/>
    <xf numFmtId="0" fontId="58" fillId="35" borderId="0" applyNumberFormat="0" applyBorder="0" applyAlignment="0" applyProtection="0"/>
    <xf numFmtId="0" fontId="58" fillId="35" borderId="0" applyNumberFormat="0" applyBorder="0" applyAlignment="0" applyProtection="0"/>
    <xf numFmtId="0" fontId="58" fillId="39" borderId="0" applyNumberFormat="0" applyBorder="0" applyAlignment="0" applyProtection="0"/>
    <xf numFmtId="0" fontId="58" fillId="39" borderId="0" applyNumberFormat="0" applyBorder="0" applyAlignment="0" applyProtection="0"/>
    <xf numFmtId="0" fontId="58" fillId="39" borderId="0" applyNumberFormat="0" applyBorder="0" applyAlignment="0" applyProtection="0"/>
    <xf numFmtId="0" fontId="58" fillId="39" borderId="0" applyNumberFormat="0" applyBorder="0" applyAlignment="0" applyProtection="0"/>
    <xf numFmtId="0" fontId="58" fillId="39" borderId="0" applyNumberFormat="0" applyBorder="0" applyAlignment="0" applyProtection="0"/>
    <xf numFmtId="0" fontId="58" fillId="39" borderId="0" applyNumberFormat="0" applyBorder="0" applyAlignment="0" applyProtection="0"/>
    <xf numFmtId="0" fontId="58" fillId="39" borderId="0" applyNumberFormat="0" applyBorder="0" applyAlignment="0" applyProtection="0"/>
    <xf numFmtId="0" fontId="58" fillId="39" borderId="0" applyNumberFormat="0" applyBorder="0" applyAlignment="0" applyProtection="0"/>
    <xf numFmtId="0" fontId="58" fillId="39"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3" borderId="0" applyNumberFormat="0" applyBorder="0" applyAlignment="0" applyProtection="0"/>
    <xf numFmtId="0" fontId="58" fillId="38" borderId="0" applyNumberFormat="0" applyBorder="0" applyAlignment="0" applyProtection="0"/>
    <xf numFmtId="0" fontId="58" fillId="37" borderId="0" applyNumberFormat="0" applyBorder="0" applyAlignment="0" applyProtection="0"/>
    <xf numFmtId="0" fontId="58" fillId="36" borderId="0" applyNumberFormat="0" applyBorder="0" applyAlignment="0" applyProtection="0"/>
    <xf numFmtId="0" fontId="58" fillId="35" borderId="0" applyNumberFormat="0" applyBorder="0" applyAlignment="0" applyProtection="0"/>
    <xf numFmtId="0" fontId="58" fillId="34"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3" borderId="0" applyNumberFormat="0" applyBorder="0" applyAlignment="0" applyProtection="0"/>
    <xf numFmtId="0" fontId="58" fillId="33" borderId="0" applyNumberFormat="0" applyBorder="0" applyAlignment="0" applyProtection="0"/>
    <xf numFmtId="0" fontId="58" fillId="33" borderId="0" applyNumberFormat="0" applyBorder="0" applyAlignment="0" applyProtection="0"/>
    <xf numFmtId="0" fontId="58" fillId="33" borderId="0" applyNumberFormat="0" applyBorder="0" applyAlignment="0" applyProtection="0"/>
    <xf numFmtId="0" fontId="58" fillId="33" borderId="0" applyNumberFormat="0" applyBorder="0" applyAlignment="0" applyProtection="0"/>
    <xf numFmtId="0" fontId="58" fillId="33" borderId="0" applyNumberFormat="0" applyBorder="0" applyAlignment="0" applyProtection="0"/>
    <xf numFmtId="0" fontId="58" fillId="33" borderId="0" applyNumberFormat="0" applyBorder="0" applyAlignment="0" applyProtection="0"/>
    <xf numFmtId="0" fontId="58" fillId="33" borderId="0" applyNumberFormat="0" applyBorder="0" applyAlignment="0" applyProtection="0"/>
    <xf numFmtId="0" fontId="58" fillId="33"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0" borderId="0" applyNumberFormat="0" applyBorder="0" applyAlignment="0" applyProtection="0"/>
    <xf numFmtId="0" fontId="58" fillId="30" borderId="0" applyNumberFormat="0" applyBorder="0" applyAlignment="0" applyProtection="0"/>
    <xf numFmtId="0" fontId="58" fillId="30" borderId="0" applyNumberFormat="0" applyBorder="0" applyAlignment="0" applyProtection="0"/>
    <xf numFmtId="0" fontId="58" fillId="30" borderId="0" applyNumberFormat="0" applyBorder="0" applyAlignment="0" applyProtection="0"/>
    <xf numFmtId="0" fontId="58" fillId="30" borderId="0" applyNumberFormat="0" applyBorder="0" applyAlignment="0" applyProtection="0"/>
    <xf numFmtId="0" fontId="58" fillId="30" borderId="0" applyNumberFormat="0" applyBorder="0" applyAlignment="0" applyProtection="0"/>
    <xf numFmtId="0" fontId="58" fillId="30" borderId="0" applyNumberFormat="0" applyBorder="0" applyAlignment="0" applyProtection="0"/>
    <xf numFmtId="0" fontId="58" fillId="30" borderId="0" applyNumberFormat="0" applyBorder="0" applyAlignment="0" applyProtection="0"/>
    <xf numFmtId="0" fontId="58" fillId="30" borderId="0" applyNumberFormat="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xf numFmtId="0" fontId="57" fillId="0" borderId="0"/>
    <xf numFmtId="0" fontId="3" fillId="0" borderId="0"/>
    <xf numFmtId="0" fontId="56" fillId="0" borderId="0"/>
    <xf numFmtId="0" fontId="58" fillId="31" borderId="0" applyNumberFormat="0" applyBorder="0" applyAlignment="0" applyProtection="0"/>
    <xf numFmtId="0" fontId="87" fillId="50" borderId="37" applyNumberFormat="0" applyAlignment="0" applyProtection="0"/>
    <xf numFmtId="9" fontId="2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64" fillId="53" borderId="0"/>
    <xf numFmtId="0" fontId="23" fillId="0" borderId="0" applyNumberFormat="0" applyFill="0" applyBorder="0" applyAlignment="0" applyProtection="0"/>
    <xf numFmtId="0" fontId="91" fillId="54" borderId="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3" fillId="0" borderId="0" applyNumberFormat="0" applyFill="0" applyBorder="0" applyAlignment="0" applyProtection="0"/>
    <xf numFmtId="0" fontId="23" fillId="0" borderId="41" applyNumberFormat="0" applyFont="0" applyBorder="0" applyAlignment="0" applyProtection="0"/>
    <xf numFmtId="0" fontId="94" fillId="0" borderId="42" applyNumberFormat="0" applyFill="0" applyAlignment="0" applyProtection="0"/>
    <xf numFmtId="0" fontId="94" fillId="0" borderId="42" applyNumberFormat="0" applyFill="0" applyAlignment="0" applyProtection="0"/>
    <xf numFmtId="0" fontId="94" fillId="0" borderId="42" applyNumberFormat="0" applyFill="0" applyAlignment="0" applyProtection="0"/>
    <xf numFmtId="0" fontId="94" fillId="0" borderId="42" applyNumberFormat="0" applyFill="0" applyAlignment="0" applyProtection="0"/>
    <xf numFmtId="0" fontId="94" fillId="0" borderId="42" applyNumberFormat="0" applyFill="0" applyAlignment="0" applyProtection="0"/>
    <xf numFmtId="0" fontId="94" fillId="0" borderId="42" applyNumberFormat="0" applyFill="0" applyAlignment="0" applyProtection="0"/>
    <xf numFmtId="0" fontId="94" fillId="0" borderId="42" applyNumberFormat="0" applyFill="0" applyAlignment="0" applyProtection="0"/>
    <xf numFmtId="0" fontId="94" fillId="0" borderId="42" applyNumberFormat="0" applyFill="0" applyAlignment="0" applyProtection="0"/>
    <xf numFmtId="0" fontId="94" fillId="0" borderId="42" applyNumberFormat="0" applyFill="0" applyAlignment="0" applyProtection="0"/>
    <xf numFmtId="0" fontId="94" fillId="0" borderId="43" applyNumberFormat="0" applyFill="0" applyAlignment="0" applyProtection="0"/>
    <xf numFmtId="0" fontId="87" fillId="49" borderId="37" applyNumberFormat="0" applyAlignment="0" applyProtection="0"/>
    <xf numFmtId="0" fontId="59" fillId="55" borderId="0" applyNumberFormat="0" applyBorder="0" applyAlignment="0" applyProtection="0"/>
    <xf numFmtId="0" fontId="59" fillId="29" borderId="0" applyNumberFormat="0" applyBorder="0" applyAlignment="0" applyProtection="0"/>
    <xf numFmtId="0" fontId="59" fillId="56" borderId="0" applyNumberFormat="0" applyBorder="0" applyAlignment="0" applyProtection="0"/>
    <xf numFmtId="0" fontId="59" fillId="44" borderId="0" applyNumberFormat="0" applyBorder="0" applyAlignment="0" applyProtection="0"/>
    <xf numFmtId="0" fontId="59" fillId="45" borderId="0" applyNumberFormat="0" applyBorder="0" applyAlignment="0" applyProtection="0"/>
    <xf numFmtId="0" fontId="59" fillId="42" borderId="0" applyNumberFormat="0" applyBorder="0" applyAlignment="0" applyProtection="0"/>
    <xf numFmtId="198" fontId="23" fillId="0" borderId="0" applyFont="0" applyFill="0" applyBorder="0" applyAlignment="0" applyProtection="0"/>
    <xf numFmtId="0" fontId="80" fillId="0" borderId="0" applyNumberFormat="0" applyFill="0" applyBorder="0" applyAlignment="0" applyProtection="0"/>
    <xf numFmtId="2" fontId="23" fillId="0" borderId="0" applyFont="0" applyFill="0" applyBorder="0" applyAlignment="0" applyProtection="0"/>
    <xf numFmtId="0" fontId="95" fillId="0" borderId="0"/>
    <xf numFmtId="0" fontId="5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0" fontId="169" fillId="0" borderId="0"/>
    <xf numFmtId="0" fontId="169" fillId="0" borderId="0"/>
  </cellStyleXfs>
  <cellXfs count="2044">
    <xf numFmtId="0" fontId="0" fillId="0" borderId="0" xfId="0"/>
    <xf numFmtId="0" fontId="0" fillId="0" borderId="0" xfId="0" applyAlignment="1">
      <alignment horizontal="center"/>
    </xf>
    <xf numFmtId="0" fontId="0" fillId="0" borderId="5" xfId="0" applyFill="1" applyBorder="1" applyAlignment="1">
      <alignment horizontal="left"/>
    </xf>
    <xf numFmtId="0" fontId="0" fillId="0" borderId="8" xfId="0" applyFill="1" applyBorder="1" applyAlignment="1">
      <alignment horizontal="left"/>
    </xf>
    <xf numFmtId="0" fontId="0" fillId="0" borderId="0" xfId="0" applyFill="1" applyBorder="1" applyAlignment="1">
      <alignment horizontal="left"/>
    </xf>
    <xf numFmtId="0" fontId="0" fillId="0" borderId="8" xfId="0" applyFill="1" applyBorder="1"/>
    <xf numFmtId="0" fontId="0" fillId="0" borderId="0" xfId="0" applyFill="1"/>
    <xf numFmtId="0" fontId="0" fillId="0" borderId="0" xfId="0" applyFill="1" applyAlignment="1">
      <alignment horizontal="center"/>
    </xf>
    <xf numFmtId="0" fontId="0" fillId="0" borderId="0" xfId="0" applyFill="1" applyAlignment="1">
      <alignment horizontal="left" indent="3"/>
    </xf>
    <xf numFmtId="170" fontId="0" fillId="0" borderId="0" xfId="0" applyNumberFormat="1" applyFill="1" applyAlignment="1">
      <alignment horizontal="center"/>
    </xf>
    <xf numFmtId="170" fontId="0" fillId="0" borderId="0" xfId="0" applyNumberFormat="1" applyFill="1"/>
    <xf numFmtId="0" fontId="1" fillId="0" borderId="0" xfId="0" applyFont="1" applyFill="1" applyAlignment="1">
      <alignment horizontal="left" indent="1"/>
    </xf>
    <xf numFmtId="0" fontId="1" fillId="0" borderId="0" xfId="0" applyFont="1" applyFill="1" applyAlignment="1">
      <alignment horizontal="left" indent="2"/>
    </xf>
    <xf numFmtId="171" fontId="0" fillId="0" borderId="0" xfId="0" applyNumberFormat="1" applyFill="1" applyBorder="1" applyAlignment="1">
      <alignment horizontal="center"/>
    </xf>
    <xf numFmtId="172" fontId="0" fillId="0" borderId="0" xfId="1" applyNumberFormat="1" applyFont="1" applyFill="1" applyAlignment="1">
      <alignment horizontal="center"/>
    </xf>
    <xf numFmtId="172" fontId="0" fillId="0" borderId="0" xfId="0" applyNumberFormat="1" applyFill="1"/>
    <xf numFmtId="0" fontId="1" fillId="0" borderId="0" xfId="0" applyFont="1" applyFill="1" applyAlignment="1">
      <alignment horizontal="left"/>
    </xf>
    <xf numFmtId="0" fontId="0" fillId="0" borderId="0" xfId="0" applyFill="1" applyBorder="1"/>
    <xf numFmtId="0" fontId="0" fillId="0" borderId="0" xfId="0" applyFill="1" applyBorder="1" applyAlignment="1">
      <alignment horizontal="left" indent="4"/>
    </xf>
    <xf numFmtId="0" fontId="0" fillId="0" borderId="0" xfId="0" applyFill="1" applyBorder="1" applyAlignment="1">
      <alignment horizontal="center" vertical="center" wrapText="1"/>
    </xf>
    <xf numFmtId="0" fontId="1" fillId="0" borderId="0" xfId="0" applyFont="1" applyFill="1" applyBorder="1" applyAlignment="1">
      <alignment horizontal="left"/>
    </xf>
    <xf numFmtId="0" fontId="1" fillId="0" borderId="0" xfId="0" applyFont="1" applyFill="1" applyBorder="1" applyAlignment="1">
      <alignment horizontal="left" indent="2"/>
    </xf>
    <xf numFmtId="0" fontId="1" fillId="0" borderId="0" xfId="0" applyFont="1" applyFill="1" applyBorder="1" applyAlignment="1">
      <alignment horizontal="left" indent="4"/>
    </xf>
    <xf numFmtId="0" fontId="0" fillId="0" borderId="0" xfId="0" applyFont="1" applyFill="1" applyBorder="1" applyAlignment="1">
      <alignment horizontal="left" indent="4"/>
    </xf>
    <xf numFmtId="170" fontId="0" fillId="3" borderId="0" xfId="0" applyNumberFormat="1" applyFill="1" applyAlignment="1">
      <alignment horizontal="center"/>
    </xf>
    <xf numFmtId="0" fontId="0" fillId="12" borderId="0" xfId="0" applyFill="1"/>
    <xf numFmtId="0" fontId="0" fillId="12" borderId="0" xfId="0" applyFill="1" applyAlignment="1">
      <alignment horizontal="center"/>
    </xf>
    <xf numFmtId="0" fontId="0" fillId="12" borderId="0" xfId="0" applyFill="1" applyAlignment="1">
      <alignment horizontal="center" vertical="center" wrapText="1"/>
    </xf>
    <xf numFmtId="0" fontId="0" fillId="12" borderId="5" xfId="0" applyFill="1" applyBorder="1" applyAlignment="1">
      <alignment horizontal="left"/>
    </xf>
    <xf numFmtId="171" fontId="0" fillId="12" borderId="5" xfId="0" applyNumberFormat="1" applyFill="1" applyBorder="1" applyAlignment="1">
      <alignment horizontal="center"/>
    </xf>
    <xf numFmtId="171" fontId="0" fillId="12" borderId="6" xfId="0" applyNumberFormat="1" applyFill="1" applyBorder="1" applyAlignment="1">
      <alignment horizontal="center"/>
    </xf>
    <xf numFmtId="171" fontId="0" fillId="12" borderId="7" xfId="0" applyNumberFormat="1" applyFill="1" applyBorder="1" applyAlignment="1">
      <alignment horizontal="center"/>
    </xf>
    <xf numFmtId="0" fontId="0" fillId="12" borderId="8" xfId="0" applyFill="1" applyBorder="1" applyAlignment="1">
      <alignment horizontal="left"/>
    </xf>
    <xf numFmtId="171" fontId="0" fillId="12" borderId="8" xfId="0" applyNumberFormat="1" applyFill="1" applyBorder="1" applyAlignment="1">
      <alignment horizontal="center"/>
    </xf>
    <xf numFmtId="171" fontId="0" fillId="12" borderId="0" xfId="0" applyNumberFormat="1" applyFill="1" applyBorder="1" applyAlignment="1">
      <alignment horizontal="center"/>
    </xf>
    <xf numFmtId="171" fontId="0" fillId="12" borderId="9" xfId="0" applyNumberFormat="1" applyFill="1" applyBorder="1" applyAlignment="1">
      <alignment horizontal="center"/>
    </xf>
    <xf numFmtId="0" fontId="0" fillId="12" borderId="10" xfId="0" applyFill="1" applyBorder="1" applyAlignment="1">
      <alignment horizontal="left"/>
    </xf>
    <xf numFmtId="171" fontId="0" fillId="12" borderId="10" xfId="0" applyNumberFormat="1" applyFill="1" applyBorder="1" applyAlignment="1">
      <alignment horizontal="center"/>
    </xf>
    <xf numFmtId="171" fontId="0" fillId="12" borderId="11" xfId="0" applyNumberFormat="1" applyFill="1" applyBorder="1" applyAlignment="1">
      <alignment horizontal="center"/>
    </xf>
    <xf numFmtId="171" fontId="0" fillId="12" borderId="12" xfId="0" applyNumberFormat="1" applyFill="1" applyBorder="1" applyAlignment="1">
      <alignment horizontal="center"/>
    </xf>
    <xf numFmtId="171" fontId="0" fillId="12" borderId="0" xfId="0" applyNumberFormat="1" applyFill="1" applyAlignment="1">
      <alignment horizontal="center"/>
    </xf>
    <xf numFmtId="0" fontId="0" fillId="12" borderId="5" xfId="0" applyFill="1" applyBorder="1"/>
    <xf numFmtId="0" fontId="0" fillId="12" borderId="8" xfId="0" applyFill="1" applyBorder="1"/>
    <xf numFmtId="0" fontId="0" fillId="12" borderId="10" xfId="0" applyFill="1" applyBorder="1"/>
    <xf numFmtId="0" fontId="0" fillId="12" borderId="2" xfId="0" applyFill="1" applyBorder="1" applyAlignment="1">
      <alignment horizontal="left"/>
    </xf>
    <xf numFmtId="171" fontId="0" fillId="12" borderId="2" xfId="0" applyNumberFormat="1" applyFill="1" applyBorder="1" applyAlignment="1">
      <alignment horizontal="center"/>
    </xf>
    <xf numFmtId="171" fontId="0" fillId="12" borderId="3" xfId="0" applyNumberFormat="1" applyFill="1" applyBorder="1" applyAlignment="1">
      <alignment horizontal="center"/>
    </xf>
    <xf numFmtId="171" fontId="0" fillId="12" borderId="4" xfId="0" applyNumberFormat="1" applyFill="1" applyBorder="1" applyAlignment="1">
      <alignment horizontal="center"/>
    </xf>
    <xf numFmtId="0" fontId="0" fillId="12" borderId="8" xfId="0" applyFill="1" applyBorder="1" applyAlignment="1">
      <alignment horizontal="left" indent="2"/>
    </xf>
    <xf numFmtId="0" fontId="0" fillId="12" borderId="8" xfId="0" applyFill="1" applyBorder="1" applyAlignment="1">
      <alignment horizontal="left" indent="4"/>
    </xf>
    <xf numFmtId="0" fontId="0" fillId="12" borderId="8" xfId="0" applyFill="1" applyBorder="1" applyAlignment="1">
      <alignment horizontal="left" indent="8"/>
    </xf>
    <xf numFmtId="0" fontId="0" fillId="12" borderId="2" xfId="0" applyFill="1" applyBorder="1" applyAlignment="1">
      <alignment horizontal="center" vertical="center" wrapText="1"/>
    </xf>
    <xf numFmtId="0" fontId="0" fillId="12" borderId="3" xfId="0"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13" xfId="0" applyFont="1" applyFill="1" applyBorder="1" applyAlignment="1">
      <alignment horizontal="center"/>
    </xf>
    <xf numFmtId="0" fontId="1" fillId="12" borderId="2" xfId="0" applyFont="1" applyFill="1" applyBorder="1" applyAlignment="1">
      <alignment horizontal="center"/>
    </xf>
    <xf numFmtId="0" fontId="1" fillId="12" borderId="3" xfId="0" applyFont="1" applyFill="1" applyBorder="1" applyAlignment="1">
      <alignment horizontal="center"/>
    </xf>
    <xf numFmtId="0" fontId="1" fillId="12" borderId="4" xfId="0" applyFont="1" applyFill="1" applyBorder="1" applyAlignment="1">
      <alignment horizontal="center"/>
    </xf>
    <xf numFmtId="0" fontId="5" fillId="0" borderId="0" xfId="0" applyFont="1" applyFill="1" applyAlignment="1">
      <alignment vertical="center"/>
    </xf>
    <xf numFmtId="0" fontId="1" fillId="0" borderId="0" xfId="0" applyFont="1" applyFill="1"/>
    <xf numFmtId="170" fontId="0" fillId="0" borderId="0" xfId="0" applyNumberFormat="1" applyAlignment="1">
      <alignment horizontal="center"/>
    </xf>
    <xf numFmtId="0" fontId="0" fillId="0" borderId="0" xfId="0" applyAlignment="1">
      <alignment horizontal="left" indent="4"/>
    </xf>
    <xf numFmtId="0" fontId="0" fillId="0" borderId="0" xfId="0" applyFill="1" applyBorder="1" applyAlignment="1">
      <alignment horizontal="center"/>
    </xf>
    <xf numFmtId="0" fontId="1" fillId="0" borderId="0" xfId="0" applyFont="1" applyFill="1" applyBorder="1"/>
    <xf numFmtId="0" fontId="1" fillId="0" borderId="0" xfId="0" applyFont="1" applyAlignment="1">
      <alignment horizontal="left" indent="2"/>
    </xf>
    <xf numFmtId="0" fontId="1" fillId="0" borderId="0" xfId="0" applyFont="1" applyAlignment="1">
      <alignment horizontal="left"/>
    </xf>
    <xf numFmtId="0" fontId="1" fillId="13" borderId="2" xfId="0" applyFont="1" applyFill="1" applyBorder="1"/>
    <xf numFmtId="0" fontId="1" fillId="13" borderId="3" xfId="0" applyFont="1" applyFill="1" applyBorder="1"/>
    <xf numFmtId="0" fontId="1" fillId="13" borderId="4" xfId="0" applyFont="1" applyFill="1" applyBorder="1"/>
    <xf numFmtId="0" fontId="1" fillId="14" borderId="2" xfId="0" applyFont="1" applyFill="1" applyBorder="1"/>
    <xf numFmtId="0" fontId="1" fillId="14" borderId="3" xfId="0" applyFont="1" applyFill="1" applyBorder="1"/>
    <xf numFmtId="0" fontId="1" fillId="10" borderId="2" xfId="0" applyFont="1" applyFill="1" applyBorder="1"/>
    <xf numFmtId="0" fontId="1" fillId="10" borderId="3" xfId="0" applyFont="1" applyFill="1" applyBorder="1"/>
    <xf numFmtId="0" fontId="1" fillId="7" borderId="2" xfId="0" applyFont="1" applyFill="1" applyBorder="1"/>
    <xf numFmtId="0" fontId="1" fillId="7" borderId="3" xfId="0" applyFont="1" applyFill="1" applyBorder="1"/>
    <xf numFmtId="0" fontId="0" fillId="12" borderId="5" xfId="0" applyFill="1" applyBorder="1" applyAlignment="1">
      <alignment horizontal="center" vertical="center" wrapText="1"/>
    </xf>
    <xf numFmtId="0" fontId="0" fillId="12" borderId="6" xfId="0" applyFill="1" applyBorder="1" applyAlignment="1">
      <alignment horizontal="center" vertical="center" wrapText="1"/>
    </xf>
    <xf numFmtId="0" fontId="0" fillId="12" borderId="7" xfId="0" applyFill="1" applyBorder="1" applyAlignment="1">
      <alignment horizontal="center" vertical="center" wrapText="1"/>
    </xf>
    <xf numFmtId="0" fontId="0" fillId="12" borderId="8" xfId="0" applyFill="1" applyBorder="1" applyAlignment="1">
      <alignment horizontal="center" vertical="center" wrapText="1"/>
    </xf>
    <xf numFmtId="0" fontId="0" fillId="12" borderId="0" xfId="0" applyFill="1" applyBorder="1" applyAlignment="1">
      <alignment horizontal="center" vertical="center" wrapText="1"/>
    </xf>
    <xf numFmtId="10" fontId="0" fillId="12" borderId="0" xfId="0" applyNumberFormat="1" applyFill="1" applyBorder="1" applyAlignment="1">
      <alignment horizontal="center" vertical="center" wrapText="1"/>
    </xf>
    <xf numFmtId="10" fontId="0" fillId="12" borderId="9" xfId="0" applyNumberFormat="1" applyFill="1" applyBorder="1" applyAlignment="1">
      <alignment horizontal="center" vertical="center" wrapText="1"/>
    </xf>
    <xf numFmtId="0" fontId="0" fillId="12" borderId="9" xfId="0" applyFill="1" applyBorder="1" applyAlignment="1">
      <alignment horizontal="center" vertical="center" wrapText="1"/>
    </xf>
    <xf numFmtId="0" fontId="1" fillId="12" borderId="14" xfId="0" applyFont="1" applyFill="1" applyBorder="1" applyAlignment="1">
      <alignment horizontal="center" vertical="center" wrapText="1"/>
    </xf>
    <xf numFmtId="0" fontId="1" fillId="12" borderId="7" xfId="0" applyFont="1" applyFill="1" applyBorder="1" applyAlignment="1">
      <alignment horizontal="center" vertical="center" wrapText="1"/>
    </xf>
    <xf numFmtId="10" fontId="0" fillId="12" borderId="3" xfId="0" applyNumberFormat="1" applyFill="1" applyBorder="1" applyAlignment="1">
      <alignment horizontal="center" vertical="center" wrapText="1"/>
    </xf>
    <xf numFmtId="172" fontId="0" fillId="0" borderId="0" xfId="1" applyNumberFormat="1" applyFont="1" applyAlignment="1">
      <alignment horizontal="center"/>
    </xf>
    <xf numFmtId="172" fontId="0" fillId="0" borderId="0" xfId="0" applyNumberFormat="1" applyAlignment="1">
      <alignment horizontal="center"/>
    </xf>
    <xf numFmtId="10" fontId="0" fillId="12" borderId="4" xfId="0" applyNumberFormat="1" applyFill="1" applyBorder="1" applyAlignment="1">
      <alignment horizontal="center" vertical="center" wrapText="1"/>
    </xf>
    <xf numFmtId="2" fontId="0" fillId="0" borderId="0" xfId="0" applyNumberFormat="1" applyFill="1" applyAlignment="1">
      <alignment horizontal="center"/>
    </xf>
    <xf numFmtId="2" fontId="0" fillId="0" borderId="0" xfId="0" applyNumberFormat="1" applyFill="1"/>
    <xf numFmtId="9" fontId="0" fillId="12" borderId="0" xfId="1" applyFont="1" applyFill="1" applyAlignment="1">
      <alignment horizontal="center" vertical="center" wrapText="1"/>
    </xf>
    <xf numFmtId="172" fontId="0" fillId="12" borderId="0" xfId="1" applyNumberFormat="1" applyFont="1" applyFill="1" applyAlignment="1">
      <alignment horizontal="center" vertical="center" wrapText="1"/>
    </xf>
    <xf numFmtId="0" fontId="7" fillId="15" borderId="0" xfId="0" applyFont="1" applyFill="1" applyAlignment="1">
      <alignment horizontal="left" vertical="center" wrapText="1"/>
    </xf>
    <xf numFmtId="0" fontId="7" fillId="15" borderId="0" xfId="0" applyFont="1" applyFill="1" applyAlignment="1">
      <alignment horizontal="left"/>
    </xf>
    <xf numFmtId="0" fontId="0" fillId="12" borderId="11" xfId="0" applyFill="1" applyBorder="1"/>
    <xf numFmtId="0" fontId="6" fillId="15" borderId="1" xfId="0" applyFont="1" applyFill="1" applyBorder="1" applyAlignment="1">
      <alignment vertical="center" wrapText="1"/>
    </xf>
    <xf numFmtId="0" fontId="7" fillId="15" borderId="1" xfId="0" applyFont="1" applyFill="1" applyBorder="1"/>
    <xf numFmtId="0" fontId="0" fillId="12" borderId="0" xfId="0" applyFill="1" applyBorder="1"/>
    <xf numFmtId="0" fontId="0" fillId="12" borderId="8" xfId="0" applyFill="1" applyBorder="1" applyAlignment="1">
      <alignment horizontal="left" indent="3"/>
    </xf>
    <xf numFmtId="172" fontId="0" fillId="12" borderId="0" xfId="1" applyNumberFormat="1" applyFont="1" applyFill="1" applyBorder="1"/>
    <xf numFmtId="0" fontId="0" fillId="12" borderId="10" xfId="0" applyFill="1" applyBorder="1" applyAlignment="1">
      <alignment horizontal="left" indent="3"/>
    </xf>
    <xf numFmtId="0" fontId="0" fillId="12" borderId="6" xfId="0" applyFill="1" applyBorder="1"/>
    <xf numFmtId="0" fontId="1" fillId="3" borderId="13" xfId="0" applyFont="1" applyFill="1" applyBorder="1" applyAlignment="1">
      <alignment horizontal="right"/>
    </xf>
    <xf numFmtId="0" fontId="1" fillId="12" borderId="2" xfId="0" applyFont="1" applyFill="1" applyBorder="1" applyAlignment="1">
      <alignment horizontal="right"/>
    </xf>
    <xf numFmtId="0" fontId="1" fillId="12" borderId="3" xfId="0" applyFont="1" applyFill="1" applyBorder="1" applyAlignment="1">
      <alignment horizontal="right"/>
    </xf>
    <xf numFmtId="0" fontId="1" fillId="12" borderId="4" xfId="0" applyFont="1" applyFill="1" applyBorder="1" applyAlignment="1">
      <alignment horizontal="right"/>
    </xf>
    <xf numFmtId="0" fontId="0" fillId="12" borderId="0" xfId="0" applyFill="1" applyBorder="1" applyAlignment="1">
      <alignment horizontal="left" indent="3"/>
    </xf>
    <xf numFmtId="0" fontId="1" fillId="11" borderId="2" xfId="0" applyFont="1" applyFill="1" applyBorder="1"/>
    <xf numFmtId="0" fontId="1" fillId="11" borderId="3" xfId="0" applyFont="1" applyFill="1" applyBorder="1"/>
    <xf numFmtId="0" fontId="1" fillId="11" borderId="4" xfId="0" applyFont="1" applyFill="1" applyBorder="1"/>
    <xf numFmtId="0" fontId="0" fillId="12" borderId="6" xfId="0" applyFill="1" applyBorder="1" applyAlignment="1">
      <alignment horizontal="left" indent="3"/>
    </xf>
    <xf numFmtId="0" fontId="1" fillId="10" borderId="4" xfId="0" applyFont="1" applyFill="1" applyBorder="1"/>
    <xf numFmtId="0" fontId="1" fillId="7" borderId="4" xfId="0" applyFont="1" applyFill="1" applyBorder="1"/>
    <xf numFmtId="0" fontId="1" fillId="14" borderId="4" xfId="0" applyFont="1" applyFill="1" applyBorder="1"/>
    <xf numFmtId="0" fontId="0" fillId="12" borderId="0" xfId="0" applyFill="1" applyBorder="1" applyAlignment="1">
      <alignment horizontal="left"/>
    </xf>
    <xf numFmtId="0" fontId="0" fillId="0" borderId="0" xfId="0" applyFill="1" applyBorder="1" applyAlignment="1">
      <alignment horizontal="left" indent="9"/>
    </xf>
    <xf numFmtId="0" fontId="10" fillId="16" borderId="13" xfId="0" applyFont="1" applyFill="1" applyBorder="1"/>
    <xf numFmtId="0" fontId="1" fillId="3" borderId="14" xfId="0" applyFont="1" applyFill="1" applyBorder="1" applyAlignment="1">
      <alignment horizontal="center" vertical="center" wrapText="1"/>
    </xf>
    <xf numFmtId="0" fontId="1" fillId="0" borderId="2" xfId="0" applyFont="1" applyBorder="1" applyAlignment="1">
      <alignment horizontal="center"/>
    </xf>
    <xf numFmtId="0" fontId="1" fillId="0" borderId="3" xfId="0" applyFont="1" applyBorder="1" applyAlignment="1">
      <alignment horizontal="center"/>
    </xf>
    <xf numFmtId="0" fontId="1" fillId="12" borderId="0" xfId="0" applyFont="1" applyFill="1" applyAlignment="1">
      <alignment vertical="center" wrapText="1"/>
    </xf>
    <xf numFmtId="0" fontId="11" fillId="12" borderId="0" xfId="0" applyFont="1" applyFill="1" applyAlignment="1">
      <alignment vertical="center"/>
    </xf>
    <xf numFmtId="0" fontId="7" fillId="12" borderId="0" xfId="0" applyFont="1" applyFill="1" applyBorder="1"/>
    <xf numFmtId="172" fontId="1" fillId="0" borderId="0" xfId="1" applyNumberFormat="1" applyFont="1" applyAlignment="1">
      <alignment horizontal="left"/>
    </xf>
    <xf numFmtId="0" fontId="1" fillId="17" borderId="2" xfId="0" applyFont="1" applyFill="1" applyBorder="1"/>
    <xf numFmtId="0" fontId="1" fillId="17" borderId="3" xfId="0" applyFont="1" applyFill="1" applyBorder="1"/>
    <xf numFmtId="0" fontId="1" fillId="17" borderId="4" xfId="0" applyFont="1" applyFill="1" applyBorder="1"/>
    <xf numFmtId="0" fontId="1" fillId="0" borderId="0" xfId="0" applyFont="1"/>
    <xf numFmtId="0" fontId="0" fillId="0" borderId="0" xfId="0" applyNumberFormat="1"/>
    <xf numFmtId="0" fontId="1" fillId="18" borderId="2" xfId="0" applyFont="1" applyFill="1" applyBorder="1"/>
    <xf numFmtId="0" fontId="1" fillId="18" borderId="3" xfId="0" applyFont="1" applyFill="1" applyBorder="1"/>
    <xf numFmtId="0" fontId="1" fillId="18" borderId="4" xfId="0" applyFont="1" applyFill="1" applyBorder="1"/>
    <xf numFmtId="2" fontId="0" fillId="0" borderId="0" xfId="0" applyNumberFormat="1" applyAlignment="1">
      <alignment horizontal="center"/>
    </xf>
    <xf numFmtId="0" fontId="1" fillId="0" borderId="0" xfId="0" applyFont="1" applyAlignment="1">
      <alignment horizontal="center"/>
    </xf>
    <xf numFmtId="170" fontId="1" fillId="0" borderId="0" xfId="0" applyNumberFormat="1" applyFont="1" applyAlignment="1">
      <alignment horizontal="center"/>
    </xf>
    <xf numFmtId="0" fontId="1" fillId="0" borderId="0" xfId="0" applyFont="1" applyFill="1" applyBorder="1" applyAlignment="1">
      <alignment horizontal="center"/>
    </xf>
    <xf numFmtId="0" fontId="12" fillId="0" borderId="0" xfId="0" applyFont="1" applyFill="1" applyBorder="1"/>
    <xf numFmtId="172" fontId="0" fillId="12" borderId="0" xfId="0" applyNumberFormat="1" applyFill="1" applyAlignment="1">
      <alignment horizontal="center"/>
    </xf>
    <xf numFmtId="0" fontId="1" fillId="12" borderId="0" xfId="0" applyFont="1" applyFill="1"/>
    <xf numFmtId="0" fontId="11" fillId="12" borderId="0" xfId="0" applyFont="1" applyFill="1"/>
    <xf numFmtId="0" fontId="1" fillId="20" borderId="2" xfId="0" applyFont="1" applyFill="1" applyBorder="1"/>
    <xf numFmtId="0" fontId="1" fillId="20" borderId="3" xfId="0" applyFont="1" applyFill="1" applyBorder="1"/>
    <xf numFmtId="0" fontId="1" fillId="20" borderId="4" xfId="0" applyFont="1" applyFill="1" applyBorder="1"/>
    <xf numFmtId="0" fontId="15" fillId="21" borderId="2" xfId="0" applyFont="1" applyFill="1" applyBorder="1"/>
    <xf numFmtId="0" fontId="15" fillId="21" borderId="4" xfId="0" applyFont="1" applyFill="1" applyBorder="1"/>
    <xf numFmtId="0" fontId="15" fillId="21" borderId="3" xfId="0" applyFont="1" applyFill="1" applyBorder="1"/>
    <xf numFmtId="0" fontId="0" fillId="0" borderId="0" xfId="0" applyAlignment="1">
      <alignment horizontal="left" indent="3"/>
    </xf>
    <xf numFmtId="172" fontId="0" fillId="0" borderId="0" xfId="1" applyNumberFormat="1" applyFont="1"/>
    <xf numFmtId="170" fontId="1" fillId="0" borderId="0" xfId="0" applyNumberFormat="1" applyFont="1" applyAlignment="1">
      <alignment horizontal="left"/>
    </xf>
    <xf numFmtId="0" fontId="17" fillId="12" borderId="0" xfId="0" applyFont="1" applyFill="1"/>
    <xf numFmtId="0" fontId="1" fillId="19" borderId="8" xfId="0" applyFont="1" applyFill="1" applyBorder="1"/>
    <xf numFmtId="0" fontId="0" fillId="19" borderId="0" xfId="0" applyFont="1" applyFill="1" applyBorder="1" applyAlignment="1">
      <alignment horizontal="center"/>
    </xf>
    <xf numFmtId="170" fontId="0" fillId="19" borderId="0" xfId="0" applyNumberFormat="1" applyFont="1" applyFill="1" applyBorder="1" applyAlignment="1">
      <alignment horizontal="center"/>
    </xf>
    <xf numFmtId="0" fontId="0" fillId="19" borderId="8" xfId="0" applyFont="1" applyFill="1" applyBorder="1"/>
    <xf numFmtId="0" fontId="1" fillId="19" borderId="0" xfId="0" applyNumberFormat="1" applyFont="1" applyFill="1" applyBorder="1" applyAlignment="1">
      <alignment horizontal="center"/>
    </xf>
    <xf numFmtId="0" fontId="1" fillId="19" borderId="9" xfId="0" applyNumberFormat="1" applyFont="1" applyFill="1" applyBorder="1" applyAlignment="1">
      <alignment horizontal="center"/>
    </xf>
    <xf numFmtId="0" fontId="13" fillId="19" borderId="8" xfId="0" applyFont="1" applyFill="1" applyBorder="1"/>
    <xf numFmtId="0" fontId="1" fillId="19" borderId="8" xfId="0" applyFont="1" applyFill="1" applyBorder="1" applyAlignment="1">
      <alignment horizontal="left" indent="1"/>
    </xf>
    <xf numFmtId="0" fontId="1" fillId="19" borderId="8" xfId="0" applyFont="1" applyFill="1" applyBorder="1" applyAlignment="1">
      <alignment horizontal="left"/>
    </xf>
    <xf numFmtId="0" fontId="1" fillId="19" borderId="8" xfId="0" applyFont="1" applyFill="1" applyBorder="1" applyAlignment="1">
      <alignment horizontal="left" indent="2"/>
    </xf>
    <xf numFmtId="0" fontId="13" fillId="19" borderId="8" xfId="0" applyFont="1" applyFill="1" applyBorder="1" applyAlignment="1">
      <alignment horizontal="left" indent="1"/>
    </xf>
    <xf numFmtId="0" fontId="13" fillId="19" borderId="8" xfId="0" applyFont="1" applyFill="1" applyBorder="1" applyAlignment="1">
      <alignment horizontal="left" indent="2"/>
    </xf>
    <xf numFmtId="0" fontId="13" fillId="19" borderId="8" xfId="0" applyFont="1" applyFill="1" applyBorder="1" applyAlignment="1">
      <alignment horizontal="left" indent="3"/>
    </xf>
    <xf numFmtId="172" fontId="0" fillId="0" borderId="0" xfId="0" applyNumberFormat="1" applyFill="1" applyAlignment="1">
      <alignment horizontal="center"/>
    </xf>
    <xf numFmtId="0" fontId="1" fillId="0" borderId="2" xfId="0" applyFont="1" applyFill="1" applyBorder="1" applyAlignment="1">
      <alignment horizontal="center"/>
    </xf>
    <xf numFmtId="0" fontId="1" fillId="0" borderId="3" xfId="0" applyFont="1" applyFill="1" applyBorder="1" applyAlignment="1">
      <alignment horizontal="center"/>
    </xf>
    <xf numFmtId="0" fontId="1" fillId="0" borderId="4" xfId="0" applyFont="1" applyFill="1" applyBorder="1" applyAlignment="1">
      <alignment horizontal="center"/>
    </xf>
    <xf numFmtId="0" fontId="0" fillId="0" borderId="8" xfId="0" applyFill="1" applyBorder="1" applyAlignment="1">
      <alignment horizontal="center"/>
    </xf>
    <xf numFmtId="0" fontId="0" fillId="0" borderId="9" xfId="0" applyFill="1" applyBorder="1" applyAlignment="1">
      <alignment horizontal="center"/>
    </xf>
    <xf numFmtId="170" fontId="0" fillId="0" borderId="8" xfId="0" applyNumberFormat="1" applyFill="1" applyBorder="1" applyAlignment="1">
      <alignment horizontal="center"/>
    </xf>
    <xf numFmtId="170" fontId="0" fillId="0" borderId="0" xfId="0" applyNumberFormat="1" applyFill="1" applyBorder="1" applyAlignment="1">
      <alignment horizontal="center"/>
    </xf>
    <xf numFmtId="170" fontId="0" fillId="0" borderId="9" xfId="0" applyNumberFormat="1" applyFill="1" applyBorder="1" applyAlignment="1">
      <alignment horizontal="center"/>
    </xf>
    <xf numFmtId="172" fontId="0" fillId="0" borderId="8" xfId="1" applyNumberFormat="1" applyFont="1" applyFill="1" applyBorder="1" applyAlignment="1">
      <alignment horizontal="center"/>
    </xf>
    <xf numFmtId="172" fontId="0" fillId="0" borderId="0" xfId="1" applyNumberFormat="1" applyFont="1" applyFill="1" applyBorder="1" applyAlignment="1">
      <alignment horizontal="center"/>
    </xf>
    <xf numFmtId="172" fontId="0" fillId="0" borderId="9" xfId="1" applyNumberFormat="1" applyFont="1" applyFill="1" applyBorder="1" applyAlignment="1">
      <alignment horizontal="center"/>
    </xf>
    <xf numFmtId="172" fontId="0" fillId="0" borderId="0" xfId="0" applyNumberFormat="1" applyFill="1" applyBorder="1" applyAlignment="1">
      <alignment horizontal="center"/>
    </xf>
    <xf numFmtId="172" fontId="0" fillId="0" borderId="9" xfId="0" applyNumberFormat="1" applyFill="1" applyBorder="1" applyAlignment="1">
      <alignment horizontal="center"/>
    </xf>
    <xf numFmtId="2" fontId="0" fillId="0" borderId="8" xfId="0" applyNumberFormat="1" applyFill="1" applyBorder="1" applyAlignment="1">
      <alignment horizontal="center"/>
    </xf>
    <xf numFmtId="2" fontId="0" fillId="0" borderId="0" xfId="0" applyNumberFormat="1" applyFill="1" applyBorder="1" applyAlignment="1">
      <alignment horizontal="center"/>
    </xf>
    <xf numFmtId="2" fontId="0" fillId="0" borderId="9" xfId="0" applyNumberFormat="1" applyFill="1" applyBorder="1" applyAlignment="1">
      <alignment horizontal="center"/>
    </xf>
    <xf numFmtId="0" fontId="0" fillId="0" borderId="10" xfId="0" applyFill="1" applyBorder="1" applyAlignment="1">
      <alignment horizontal="center"/>
    </xf>
    <xf numFmtId="0" fontId="0" fillId="0" borderId="11" xfId="0" applyFill="1" applyBorder="1" applyAlignment="1">
      <alignment horizontal="center"/>
    </xf>
    <xf numFmtId="0" fontId="0" fillId="0" borderId="12" xfId="0" applyFill="1" applyBorder="1" applyAlignment="1">
      <alignment horizontal="center"/>
    </xf>
    <xf numFmtId="0" fontId="0" fillId="0" borderId="0" xfId="0" applyFill="1" applyAlignment="1">
      <alignment horizontal="center" vertical="center" wrapText="1"/>
    </xf>
    <xf numFmtId="171" fontId="0" fillId="0" borderId="5" xfId="0" applyNumberFormat="1" applyFill="1" applyBorder="1" applyAlignment="1">
      <alignment horizontal="center"/>
    </xf>
    <xf numFmtId="171" fontId="0" fillId="0" borderId="6" xfId="0" applyNumberFormat="1" applyFill="1" applyBorder="1" applyAlignment="1">
      <alignment horizontal="center"/>
    </xf>
    <xf numFmtId="171" fontId="0" fillId="0" borderId="7" xfId="0" applyNumberFormat="1" applyFill="1" applyBorder="1" applyAlignment="1">
      <alignment horizontal="center"/>
    </xf>
    <xf numFmtId="0" fontId="0" fillId="0" borderId="0" xfId="0" applyFont="1" applyFill="1" applyAlignment="1">
      <alignment vertical="center"/>
    </xf>
    <xf numFmtId="0" fontId="6" fillId="0" borderId="0" xfId="0" applyFont="1" applyFill="1" applyAlignment="1">
      <alignment vertical="center" wrapText="1"/>
    </xf>
    <xf numFmtId="171" fontId="0" fillId="0" borderId="8" xfId="0" applyNumberFormat="1" applyFill="1" applyBorder="1" applyAlignment="1">
      <alignment horizontal="center"/>
    </xf>
    <xf numFmtId="171" fontId="0" fillId="0" borderId="9" xfId="0" applyNumberFormat="1" applyFill="1" applyBorder="1" applyAlignment="1">
      <alignment horizontal="center"/>
    </xf>
    <xf numFmtId="171" fontId="0" fillId="0" borderId="10" xfId="0" applyNumberFormat="1" applyFill="1" applyBorder="1" applyAlignment="1">
      <alignment horizontal="center"/>
    </xf>
    <xf numFmtId="171" fontId="0" fillId="0" borderId="11" xfId="0" applyNumberFormat="1" applyFill="1" applyBorder="1" applyAlignment="1">
      <alignment horizontal="center"/>
    </xf>
    <xf numFmtId="171" fontId="0" fillId="0" borderId="12" xfId="0" applyNumberFormat="1" applyFill="1" applyBorder="1" applyAlignment="1">
      <alignment horizontal="center"/>
    </xf>
    <xf numFmtId="171" fontId="0" fillId="0" borderId="0" xfId="0" applyNumberFormat="1" applyFill="1" applyAlignment="1">
      <alignment horizontal="center"/>
    </xf>
    <xf numFmtId="0" fontId="0" fillId="0" borderId="5" xfId="0" applyFill="1" applyBorder="1"/>
    <xf numFmtId="0" fontId="0" fillId="0" borderId="0" xfId="0" applyFill="1" applyAlignment="1">
      <alignment vertical="center"/>
    </xf>
    <xf numFmtId="0" fontId="0" fillId="0" borderId="10" xfId="0" applyFill="1" applyBorder="1"/>
    <xf numFmtId="0" fontId="0" fillId="0" borderId="0" xfId="0" applyFont="1" applyFill="1" applyAlignment="1">
      <alignment horizontal="center" vertical="center"/>
    </xf>
    <xf numFmtId="0" fontId="0" fillId="0" borderId="2" xfId="0" applyFill="1" applyBorder="1" applyAlignment="1">
      <alignment horizontal="left"/>
    </xf>
    <xf numFmtId="171" fontId="0" fillId="0" borderId="2" xfId="0" applyNumberFormat="1" applyFill="1" applyBorder="1" applyAlignment="1">
      <alignment horizontal="center"/>
    </xf>
    <xf numFmtId="171" fontId="0" fillId="0" borderId="3" xfId="0" applyNumberFormat="1" applyFill="1" applyBorder="1" applyAlignment="1">
      <alignment horizontal="center"/>
    </xf>
    <xf numFmtId="171" fontId="0" fillId="0" borderId="4" xfId="0" applyNumberFormat="1" applyFill="1" applyBorder="1" applyAlignment="1">
      <alignment horizontal="center"/>
    </xf>
    <xf numFmtId="0" fontId="1" fillId="0" borderId="14"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0" fillId="0" borderId="8" xfId="0" applyFill="1" applyBorder="1" applyAlignment="1">
      <alignment horizontal="left" indent="2"/>
    </xf>
    <xf numFmtId="0" fontId="0" fillId="0" borderId="5" xfId="0" applyFill="1" applyBorder="1" applyAlignment="1">
      <alignment horizontal="center" vertical="center" wrapText="1"/>
    </xf>
    <xf numFmtId="0" fontId="0" fillId="0" borderId="6" xfId="0" applyFill="1" applyBorder="1" applyAlignment="1">
      <alignment horizontal="center" vertical="center" wrapText="1"/>
    </xf>
    <xf numFmtId="0" fontId="0" fillId="0" borderId="7" xfId="0" applyFill="1" applyBorder="1" applyAlignment="1">
      <alignment horizontal="center" vertical="center" wrapText="1"/>
    </xf>
    <xf numFmtId="0" fontId="0" fillId="0" borderId="8" xfId="0" applyFill="1" applyBorder="1" applyAlignment="1">
      <alignment horizontal="left" indent="4"/>
    </xf>
    <xf numFmtId="0" fontId="0" fillId="0" borderId="8" xfId="0" applyFill="1" applyBorder="1" applyAlignment="1">
      <alignment horizontal="center" vertical="center" wrapText="1"/>
    </xf>
    <xf numFmtId="10" fontId="0" fillId="0" borderId="0" xfId="0" applyNumberFormat="1" applyFill="1" applyBorder="1" applyAlignment="1">
      <alignment horizontal="center" vertical="center" wrapText="1"/>
    </xf>
    <xf numFmtId="10" fontId="0" fillId="0" borderId="9" xfId="0" applyNumberFormat="1" applyFill="1" applyBorder="1" applyAlignment="1">
      <alignment horizontal="center" vertical="center" wrapText="1"/>
    </xf>
    <xf numFmtId="0" fontId="0" fillId="0" borderId="9" xfId="0" applyFill="1" applyBorder="1" applyAlignment="1">
      <alignment horizontal="center" vertical="center" wrapText="1"/>
    </xf>
    <xf numFmtId="0" fontId="0" fillId="0" borderId="8" xfId="0" applyFill="1" applyBorder="1" applyAlignment="1">
      <alignment horizontal="left" indent="8"/>
    </xf>
    <xf numFmtId="0" fontId="0" fillId="0" borderId="10" xfId="0" applyFill="1" applyBorder="1" applyAlignment="1">
      <alignment horizontal="left" indent="8"/>
    </xf>
    <xf numFmtId="0" fontId="0" fillId="0" borderId="10" xfId="0" applyFill="1" applyBorder="1" applyAlignment="1">
      <alignment horizontal="center" vertical="center" wrapText="1"/>
    </xf>
    <xf numFmtId="0" fontId="0" fillId="0" borderId="11" xfId="0" applyFill="1" applyBorder="1" applyAlignment="1">
      <alignment horizontal="center" vertical="center" wrapText="1"/>
    </xf>
    <xf numFmtId="10" fontId="0" fillId="0" borderId="11" xfId="0" applyNumberFormat="1" applyFill="1" applyBorder="1" applyAlignment="1">
      <alignment horizontal="center" vertical="center" wrapText="1"/>
    </xf>
    <xf numFmtId="10" fontId="0" fillId="0" borderId="12" xfId="0" applyNumberFormat="1" applyFill="1" applyBorder="1" applyAlignment="1">
      <alignment horizontal="center"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10" fontId="0" fillId="0" borderId="3" xfId="0" applyNumberFormat="1" applyFill="1" applyBorder="1" applyAlignment="1">
      <alignment horizontal="center" vertical="center" wrapText="1"/>
    </xf>
    <xf numFmtId="10" fontId="0" fillId="0" borderId="4" xfId="0" applyNumberFormat="1" applyFill="1" applyBorder="1" applyAlignment="1">
      <alignment horizontal="center" vertical="center" wrapText="1"/>
    </xf>
    <xf numFmtId="0" fontId="1" fillId="0" borderId="5" xfId="0" applyFont="1" applyFill="1" applyBorder="1" applyAlignment="1">
      <alignment horizontal="center"/>
    </xf>
    <xf numFmtId="0" fontId="1" fillId="0" borderId="6" xfId="0" applyFont="1" applyFill="1" applyBorder="1" applyAlignment="1">
      <alignment horizontal="center"/>
    </xf>
    <xf numFmtId="0" fontId="1" fillId="0" borderId="7" xfId="0" applyFont="1" applyFill="1" applyBorder="1" applyAlignment="1">
      <alignment horizontal="center"/>
    </xf>
    <xf numFmtId="0" fontId="0" fillId="0" borderId="0" xfId="0" applyFill="1" applyBorder="1" applyAlignment="1">
      <alignment horizontal="left" indent="6"/>
    </xf>
    <xf numFmtId="39" fontId="0" fillId="0" borderId="8" xfId="2" applyNumberFormat="1" applyFont="1" applyFill="1" applyBorder="1" applyAlignment="1">
      <alignment horizontal="center"/>
    </xf>
    <xf numFmtId="39" fontId="0" fillId="0" borderId="0" xfId="2" applyNumberFormat="1" applyFont="1" applyFill="1" applyBorder="1" applyAlignment="1">
      <alignment horizontal="center"/>
    </xf>
    <xf numFmtId="39" fontId="0" fillId="0" borderId="9" xfId="2" applyNumberFormat="1" applyFont="1" applyFill="1" applyBorder="1" applyAlignment="1">
      <alignment horizontal="center"/>
    </xf>
    <xf numFmtId="1" fontId="0" fillId="0" borderId="0" xfId="0" applyNumberFormat="1" applyFill="1" applyBorder="1" applyAlignment="1">
      <alignment horizontal="center" vertical="center" wrapText="1"/>
    </xf>
    <xf numFmtId="1" fontId="0" fillId="0" borderId="8" xfId="0" applyNumberFormat="1" applyFill="1" applyBorder="1" applyAlignment="1">
      <alignment horizontal="center" vertical="center" wrapText="1"/>
    </xf>
    <xf numFmtId="1" fontId="0" fillId="0" borderId="9" xfId="0" applyNumberFormat="1" applyFill="1" applyBorder="1" applyAlignment="1">
      <alignment horizontal="center" vertical="center" wrapText="1"/>
    </xf>
    <xf numFmtId="0" fontId="0" fillId="0" borderId="0" xfId="0" applyFont="1" applyFill="1" applyBorder="1" applyAlignment="1">
      <alignment horizontal="center" vertical="center"/>
    </xf>
    <xf numFmtId="0" fontId="0" fillId="0" borderId="0" xfId="0" applyFill="1" applyBorder="1" applyAlignment="1">
      <alignment vertical="center" wrapText="1"/>
    </xf>
    <xf numFmtId="0" fontId="10" fillId="22" borderId="13" xfId="0" applyFont="1" applyFill="1" applyBorder="1"/>
    <xf numFmtId="176" fontId="0" fillId="0" borderId="0" xfId="0" applyNumberFormat="1"/>
    <xf numFmtId="174" fontId="0" fillId="0" borderId="0" xfId="0" applyNumberFormat="1"/>
    <xf numFmtId="10" fontId="0" fillId="0" borderId="0" xfId="0" applyNumberFormat="1" applyFill="1"/>
    <xf numFmtId="177" fontId="0" fillId="0" borderId="0" xfId="0" applyNumberFormat="1" applyFill="1"/>
    <xf numFmtId="174" fontId="0" fillId="0" borderId="0" xfId="0" applyNumberFormat="1" applyFill="1"/>
    <xf numFmtId="175" fontId="0" fillId="0" borderId="0" xfId="0" applyNumberFormat="1"/>
    <xf numFmtId="177" fontId="0" fillId="0" borderId="0" xfId="0" applyNumberFormat="1"/>
    <xf numFmtId="171" fontId="18" fillId="0" borderId="6" xfId="0" applyNumberFormat="1" applyFont="1" applyFill="1" applyBorder="1" applyAlignment="1">
      <alignment horizontal="center"/>
    </xf>
    <xf numFmtId="0" fontId="1" fillId="12" borderId="0" xfId="0" applyFont="1" applyFill="1" applyBorder="1"/>
    <xf numFmtId="0" fontId="14" fillId="0" borderId="0" xfId="0" applyFont="1"/>
    <xf numFmtId="170" fontId="0" fillId="0" borderId="0" xfId="0" applyNumberFormat="1" applyFont="1"/>
    <xf numFmtId="0" fontId="0" fillId="0" borderId="0" xfId="0" applyFont="1" applyBorder="1"/>
    <xf numFmtId="0" fontId="1" fillId="0" borderId="1" xfId="0" applyFont="1" applyBorder="1"/>
    <xf numFmtId="0" fontId="0" fillId="0" borderId="0" xfId="0" applyFont="1" applyFill="1" applyBorder="1" applyAlignment="1">
      <alignment horizontal="left" wrapText="1" indent="2"/>
    </xf>
    <xf numFmtId="2" fontId="0" fillId="0" borderId="0" xfId="0" applyNumberFormat="1" applyFont="1" applyFill="1" applyBorder="1" applyAlignment="1"/>
    <xf numFmtId="0" fontId="13" fillId="0" borderId="0" xfId="0" applyFont="1"/>
    <xf numFmtId="0" fontId="14" fillId="0" borderId="19" xfId="0" applyFont="1" applyBorder="1"/>
    <xf numFmtId="0" fontId="14" fillId="0" borderId="0" xfId="0" applyFont="1" applyBorder="1"/>
    <xf numFmtId="0" fontId="14" fillId="0" borderId="0" xfId="0" applyFont="1" applyFill="1" applyBorder="1"/>
    <xf numFmtId="2" fontId="14" fillId="0" borderId="0" xfId="0" applyNumberFormat="1" applyFont="1" applyFill="1" applyBorder="1"/>
    <xf numFmtId="0" fontId="13" fillId="0" borderId="0" xfId="0" applyFont="1" applyFill="1" applyBorder="1"/>
    <xf numFmtId="0" fontId="0" fillId="12" borderId="0" xfId="0" applyFill="1" applyBorder="1" applyAlignment="1">
      <alignment horizontal="center"/>
    </xf>
    <xf numFmtId="0" fontId="14" fillId="12" borderId="0" xfId="0" applyFont="1" applyFill="1" applyAlignment="1">
      <alignment horizontal="left"/>
    </xf>
    <xf numFmtId="0" fontId="14" fillId="0" borderId="0" xfId="0" applyFont="1" applyFill="1"/>
    <xf numFmtId="0" fontId="0" fillId="12" borderId="0" xfId="0" applyFill="1" applyAlignment="1">
      <alignment horizontal="left"/>
    </xf>
    <xf numFmtId="0" fontId="0" fillId="0" borderId="0" xfId="0" applyFont="1" applyAlignment="1">
      <alignment horizontal="center" wrapText="1"/>
    </xf>
    <xf numFmtId="0" fontId="0" fillId="12" borderId="0" xfId="0" applyFont="1" applyFill="1"/>
    <xf numFmtId="0" fontId="0" fillId="12" borderId="15" xfId="0" applyFill="1" applyBorder="1" applyAlignment="1">
      <alignment horizontal="left" indent="3"/>
    </xf>
    <xf numFmtId="0" fontId="0" fillId="12" borderId="1" xfId="0" applyFill="1" applyBorder="1" applyAlignment="1">
      <alignment horizontal="left" indent="3"/>
    </xf>
    <xf numFmtId="0" fontId="0" fillId="12" borderId="0" xfId="0" applyFill="1" applyAlignment="1">
      <alignment horizontal="left" indent="3"/>
    </xf>
    <xf numFmtId="9" fontId="0" fillId="12" borderId="0" xfId="1" applyFont="1" applyFill="1"/>
    <xf numFmtId="0" fontId="0" fillId="25" borderId="0" xfId="0" applyFill="1"/>
    <xf numFmtId="0" fontId="0" fillId="12" borderId="0" xfId="0" applyFill="1" applyAlignment="1">
      <alignment vertical="center"/>
    </xf>
    <xf numFmtId="172" fontId="0" fillId="0" borderId="8" xfId="0" applyNumberFormat="1" applyFill="1" applyBorder="1" applyAlignment="1">
      <alignment horizontal="center"/>
    </xf>
    <xf numFmtId="0" fontId="52" fillId="12" borderId="0" xfId="3" applyFont="1" applyFill="1" applyBorder="1" applyAlignment="1" applyProtection="1"/>
    <xf numFmtId="0" fontId="1" fillId="0" borderId="0" xfId="0" applyFont="1" applyBorder="1" applyAlignment="1">
      <alignment horizontal="center"/>
    </xf>
    <xf numFmtId="0" fontId="0" fillId="12" borderId="2" xfId="0" applyFill="1" applyBorder="1"/>
    <xf numFmtId="0" fontId="0" fillId="12" borderId="0" xfId="0" applyFill="1" applyBorder="1" applyAlignment="1">
      <alignment horizontal="center" wrapText="1"/>
    </xf>
    <xf numFmtId="2" fontId="0" fillId="0" borderId="0" xfId="0" applyNumberFormat="1" applyBorder="1"/>
    <xf numFmtId="0" fontId="0" fillId="0" borderId="11" xfId="0" applyBorder="1"/>
    <xf numFmtId="2" fontId="0" fillId="0" borderId="0" xfId="0" applyNumberFormat="1" applyFill="1"/>
    <xf numFmtId="2" fontId="55" fillId="0" borderId="0" xfId="0" applyNumberFormat="1" applyFont="1"/>
    <xf numFmtId="2" fontId="0" fillId="0" borderId="0" xfId="0" applyNumberFormat="1" applyAlignment="1">
      <alignment horizontal="center"/>
    </xf>
    <xf numFmtId="0" fontId="0" fillId="0" borderId="0" xfId="0" applyFill="1"/>
    <xf numFmtId="0" fontId="0" fillId="0" borderId="0" xfId="0" applyBorder="1"/>
    <xf numFmtId="0" fontId="1" fillId="3" borderId="4" xfId="0" applyFont="1" applyFill="1" applyBorder="1" applyAlignment="1">
      <alignment horizontal="center"/>
    </xf>
    <xf numFmtId="0" fontId="0" fillId="0" borderId="0" xfId="0"/>
    <xf numFmtId="170" fontId="0" fillId="0" borderId="0" xfId="0" applyNumberFormat="1"/>
    <xf numFmtId="2" fontId="0" fillId="0" borderId="0" xfId="0" applyNumberFormat="1"/>
    <xf numFmtId="0" fontId="1" fillId="0" borderId="0" xfId="0" applyFont="1"/>
    <xf numFmtId="0" fontId="0" fillId="0" borderId="0" xfId="0" applyFont="1"/>
    <xf numFmtId="0" fontId="0" fillId="12" borderId="0" xfId="0" applyFill="1" applyAlignment="1">
      <alignment horizontal="center"/>
    </xf>
    <xf numFmtId="0" fontId="6" fillId="12" borderId="0" xfId="0" applyFont="1" applyFill="1" applyAlignment="1">
      <alignment horizontal="left" vertical="center" wrapText="1"/>
    </xf>
    <xf numFmtId="0" fontId="7" fillId="12" borderId="0" xfId="0" applyFont="1" applyFill="1"/>
    <xf numFmtId="0" fontId="6" fillId="3" borderId="13" xfId="0" applyFont="1" applyFill="1" applyBorder="1" applyAlignment="1">
      <alignment horizontal="center"/>
    </xf>
    <xf numFmtId="0" fontId="6" fillId="12" borderId="2" xfId="0" applyFont="1" applyFill="1" applyBorder="1" applyAlignment="1">
      <alignment horizontal="center"/>
    </xf>
    <xf numFmtId="0" fontId="6" fillId="12" borderId="3" xfId="0" applyFont="1" applyFill="1" applyBorder="1" applyAlignment="1">
      <alignment horizontal="center"/>
    </xf>
    <xf numFmtId="0" fontId="6" fillId="12" borderId="4" xfId="0" applyFont="1" applyFill="1" applyBorder="1" applyAlignment="1">
      <alignment horizontal="center"/>
    </xf>
    <xf numFmtId="0" fontId="6" fillId="13" borderId="2" xfId="0" applyFont="1" applyFill="1" applyBorder="1"/>
    <xf numFmtId="0" fontId="6" fillId="13" borderId="3" xfId="0" applyFont="1" applyFill="1" applyBorder="1"/>
    <xf numFmtId="0" fontId="6" fillId="13" borderId="4" xfId="0" applyFont="1" applyFill="1" applyBorder="1"/>
    <xf numFmtId="0" fontId="7" fillId="12" borderId="8" xfId="0" applyFont="1" applyFill="1" applyBorder="1" applyAlignment="1">
      <alignment horizontal="left" indent="3"/>
    </xf>
    <xf numFmtId="172" fontId="7" fillId="12" borderId="0" xfId="1" applyNumberFormat="1" applyFont="1" applyFill="1" applyBorder="1"/>
    <xf numFmtId="172" fontId="7" fillId="12" borderId="9" xfId="1" applyNumberFormat="1" applyFont="1" applyFill="1" applyBorder="1"/>
    <xf numFmtId="2" fontId="7" fillId="12" borderId="0" xfId="0" applyNumberFormat="1" applyFont="1" applyFill="1" applyBorder="1"/>
    <xf numFmtId="2" fontId="7" fillId="12" borderId="9" xfId="0" applyNumberFormat="1" applyFont="1" applyFill="1" applyBorder="1"/>
    <xf numFmtId="0" fontId="7" fillId="12" borderId="10" xfId="0" applyFont="1" applyFill="1" applyBorder="1" applyAlignment="1">
      <alignment horizontal="left" indent="3"/>
    </xf>
    <xf numFmtId="2" fontId="7" fillId="12" borderId="11" xfId="0" applyNumberFormat="1" applyFont="1" applyFill="1" applyBorder="1"/>
    <xf numFmtId="2" fontId="7" fillId="12" borderId="12" xfId="0" applyNumberFormat="1" applyFont="1" applyFill="1" applyBorder="1"/>
    <xf numFmtId="0" fontId="6" fillId="12" borderId="0" xfId="0" applyFont="1" applyFill="1" applyBorder="1"/>
    <xf numFmtId="0" fontId="7" fillId="0" borderId="0" xfId="0" applyFont="1"/>
    <xf numFmtId="0" fontId="7" fillId="12" borderId="9" xfId="0" applyFont="1" applyFill="1" applyBorder="1" applyAlignment="1">
      <alignment horizontal="center"/>
    </xf>
    <xf numFmtId="0" fontId="7" fillId="12" borderId="0" xfId="0" applyFont="1" applyFill="1" applyBorder="1" applyAlignment="1">
      <alignment horizontal="center"/>
    </xf>
    <xf numFmtId="172" fontId="7" fillId="12" borderId="6" xfId="1" applyNumberFormat="1" applyFont="1" applyFill="1" applyBorder="1"/>
    <xf numFmtId="172" fontId="7" fillId="2" borderId="6" xfId="1" applyNumberFormat="1" applyFont="1" applyFill="1" applyBorder="1"/>
    <xf numFmtId="172" fontId="7" fillId="2" borderId="7" xfId="1" applyNumberFormat="1" applyFont="1" applyFill="1" applyBorder="1"/>
    <xf numFmtId="0" fontId="7" fillId="12" borderId="8" xfId="0" applyFont="1" applyFill="1" applyBorder="1"/>
    <xf numFmtId="172" fontId="7" fillId="2" borderId="0" xfId="1" applyNumberFormat="1" applyFont="1" applyFill="1" applyBorder="1"/>
    <xf numFmtId="172" fontId="7" fillId="2" borderId="9" xfId="1" applyNumberFormat="1" applyFont="1" applyFill="1" applyBorder="1"/>
    <xf numFmtId="0" fontId="7" fillId="2" borderId="9" xfId="0" applyFont="1" applyFill="1" applyBorder="1" applyAlignment="1">
      <alignment horizontal="center"/>
    </xf>
    <xf numFmtId="2" fontId="7" fillId="2" borderId="0" xfId="0" applyNumberFormat="1" applyFont="1" applyFill="1" applyBorder="1"/>
    <xf numFmtId="2" fontId="7" fillId="2" borderId="9" xfId="0" applyNumberFormat="1" applyFont="1" applyFill="1" applyBorder="1"/>
    <xf numFmtId="0" fontId="7" fillId="2" borderId="12" xfId="0" applyFont="1" applyFill="1" applyBorder="1" applyAlignment="1">
      <alignment horizontal="center"/>
    </xf>
    <xf numFmtId="0" fontId="7" fillId="12" borderId="11" xfId="0" applyFont="1" applyFill="1" applyBorder="1"/>
    <xf numFmtId="1" fontId="7" fillId="12" borderId="11" xfId="0" applyNumberFormat="1" applyFont="1" applyFill="1" applyBorder="1"/>
    <xf numFmtId="1" fontId="7" fillId="12" borderId="12" xfId="0" applyNumberFormat="1" applyFont="1" applyFill="1" applyBorder="1"/>
    <xf numFmtId="0" fontId="6" fillId="10" borderId="2" xfId="0" applyFont="1" applyFill="1" applyBorder="1"/>
    <xf numFmtId="0" fontId="6" fillId="10" borderId="4" xfId="0" applyFont="1" applyFill="1" applyBorder="1"/>
    <xf numFmtId="0" fontId="6" fillId="10" borderId="3" xfId="0" applyFont="1" applyFill="1" applyBorder="1"/>
    <xf numFmtId="0" fontId="6" fillId="7" borderId="2" xfId="0" applyFont="1" applyFill="1" applyBorder="1"/>
    <xf numFmtId="0" fontId="6" fillId="7" borderId="4" xfId="0" applyFont="1" applyFill="1" applyBorder="1"/>
    <xf numFmtId="0" fontId="6" fillId="7" borderId="3" xfId="0" applyFont="1" applyFill="1" applyBorder="1"/>
    <xf numFmtId="0" fontId="7" fillId="12" borderId="7" xfId="0" applyFont="1" applyFill="1" applyBorder="1" applyAlignment="1">
      <alignment horizontal="center"/>
    </xf>
    <xf numFmtId="1" fontId="7" fillId="12" borderId="9" xfId="0" applyNumberFormat="1" applyFont="1" applyFill="1" applyBorder="1" applyAlignment="1">
      <alignment horizontal="center"/>
    </xf>
    <xf numFmtId="1" fontId="7" fillId="12" borderId="0" xfId="0" applyNumberFormat="1" applyFont="1" applyFill="1" applyBorder="1" applyAlignment="1">
      <alignment horizontal="center"/>
    </xf>
    <xf numFmtId="0" fontId="7" fillId="12" borderId="9" xfId="0" applyFont="1" applyFill="1" applyBorder="1"/>
    <xf numFmtId="0" fontId="7" fillId="12" borderId="12" xfId="0" applyFont="1" applyFill="1" applyBorder="1"/>
    <xf numFmtId="0" fontId="6" fillId="14" borderId="2" xfId="0" applyFont="1" applyFill="1" applyBorder="1"/>
    <xf numFmtId="0" fontId="6" fillId="14" borderId="4" xfId="0" applyFont="1" applyFill="1" applyBorder="1"/>
    <xf numFmtId="0" fontId="6" fillId="14" borderId="3" xfId="0" applyFont="1" applyFill="1" applyBorder="1"/>
    <xf numFmtId="9" fontId="7" fillId="12" borderId="0" xfId="0" applyNumberFormat="1" applyFont="1" applyFill="1" applyBorder="1"/>
    <xf numFmtId="9" fontId="7" fillId="12" borderId="9" xfId="0" applyNumberFormat="1" applyFont="1" applyFill="1" applyBorder="1"/>
    <xf numFmtId="0" fontId="99" fillId="12" borderId="0" xfId="0" applyFont="1" applyFill="1" applyBorder="1"/>
    <xf numFmtId="0" fontId="99" fillId="21" borderId="2" xfId="0" applyFont="1" applyFill="1" applyBorder="1"/>
    <xf numFmtId="0" fontId="99" fillId="21" borderId="3" xfId="0" applyFont="1" applyFill="1" applyBorder="1"/>
    <xf numFmtId="172" fontId="7" fillId="12" borderId="7" xfId="1" applyNumberFormat="1" applyFont="1" applyFill="1" applyBorder="1"/>
    <xf numFmtId="0" fontId="7" fillId="12" borderId="0" xfId="0" applyFont="1" applyFill="1" applyBorder="1" applyAlignment="1">
      <alignment horizontal="left" indent="3"/>
    </xf>
    <xf numFmtId="0" fontId="6" fillId="17" borderId="2" xfId="0" applyFont="1" applyFill="1" applyBorder="1"/>
    <xf numFmtId="0" fontId="6" fillId="17" borderId="3" xfId="0" applyFont="1" applyFill="1" applyBorder="1"/>
    <xf numFmtId="0" fontId="6" fillId="17" borderId="4" xfId="0" applyFont="1" applyFill="1" applyBorder="1"/>
    <xf numFmtId="0" fontId="6" fillId="18" borderId="2" xfId="0" applyFont="1" applyFill="1" applyBorder="1"/>
    <xf numFmtId="0" fontId="6" fillId="18" borderId="3" xfId="0" applyFont="1" applyFill="1" applyBorder="1"/>
    <xf numFmtId="0" fontId="6" fillId="18" borderId="4" xfId="0" applyFont="1" applyFill="1" applyBorder="1"/>
    <xf numFmtId="0" fontId="6" fillId="20" borderId="2" xfId="0" applyFont="1" applyFill="1" applyBorder="1"/>
    <xf numFmtId="0" fontId="6" fillId="20" borderId="4" xfId="0" applyFont="1" applyFill="1" applyBorder="1"/>
    <xf numFmtId="0" fontId="6" fillId="20" borderId="3" xfId="0" applyFont="1" applyFill="1" applyBorder="1"/>
    <xf numFmtId="0" fontId="6" fillId="20" borderId="7" xfId="0" applyFont="1" applyFill="1" applyBorder="1"/>
    <xf numFmtId="1" fontId="7" fillId="2" borderId="11" xfId="0" applyNumberFormat="1" applyFont="1" applyFill="1" applyBorder="1"/>
    <xf numFmtId="1" fontId="7" fillId="2" borderId="12" xfId="0" applyNumberFormat="1" applyFont="1" applyFill="1" applyBorder="1"/>
    <xf numFmtId="0" fontId="7" fillId="0" borderId="0" xfId="0" applyFont="1" applyFill="1"/>
    <xf numFmtId="0" fontId="7" fillId="12" borderId="0" xfId="0" applyFont="1" applyFill="1" applyAlignment="1">
      <alignment horizontal="center" vertical="center" wrapText="1"/>
    </xf>
    <xf numFmtId="170" fontId="7" fillId="2" borderId="9" xfId="0" applyNumberFormat="1" applyFont="1" applyFill="1" applyBorder="1"/>
    <xf numFmtId="0" fontId="7" fillId="12" borderId="8" xfId="0" applyFont="1" applyFill="1" applyBorder="1" applyAlignment="1">
      <alignment horizontal="left"/>
    </xf>
    <xf numFmtId="0" fontId="7" fillId="12" borderId="10" xfId="0" applyFont="1" applyFill="1" applyBorder="1"/>
    <xf numFmtId="0" fontId="7" fillId="0" borderId="0" xfId="0" applyFont="1" applyFill="1" applyBorder="1" applyAlignment="1">
      <alignment horizontal="left"/>
    </xf>
    <xf numFmtId="0" fontId="7" fillId="15" borderId="0" xfId="0" applyFont="1" applyFill="1" applyAlignment="1">
      <alignment horizontal="center" vertical="center" wrapText="1"/>
    </xf>
    <xf numFmtId="0" fontId="7" fillId="15" borderId="0" xfId="0" applyFont="1" applyFill="1"/>
    <xf numFmtId="0" fontId="7" fillId="12" borderId="0" xfId="0" applyFont="1" applyFill="1" applyAlignment="1">
      <alignment horizontal="center"/>
    </xf>
    <xf numFmtId="0" fontId="6" fillId="3" borderId="13" xfId="0" applyFont="1" applyFill="1" applyBorder="1" applyAlignment="1">
      <alignment horizontal="center" vertical="center" wrapText="1"/>
    </xf>
    <xf numFmtId="0" fontId="7" fillId="12" borderId="5" xfId="0" applyFont="1" applyFill="1" applyBorder="1" applyAlignment="1">
      <alignment horizontal="left"/>
    </xf>
    <xf numFmtId="171" fontId="7" fillId="2" borderId="8" xfId="0" applyNumberFormat="1" applyFont="1" applyFill="1" applyBorder="1" applyAlignment="1">
      <alignment horizontal="center"/>
    </xf>
    <xf numFmtId="171" fontId="7" fillId="2" borderId="0" xfId="0" applyNumberFormat="1" applyFont="1" applyFill="1" applyBorder="1" applyAlignment="1">
      <alignment horizontal="center"/>
    </xf>
    <xf numFmtId="171" fontId="7" fillId="2" borderId="9" xfId="0" applyNumberFormat="1" applyFont="1" applyFill="1" applyBorder="1" applyAlignment="1">
      <alignment horizontal="center"/>
    </xf>
    <xf numFmtId="0" fontId="7" fillId="12" borderId="10" xfId="0" applyFont="1" applyFill="1" applyBorder="1" applyAlignment="1">
      <alignment horizontal="left"/>
    </xf>
    <xf numFmtId="171" fontId="7" fillId="12" borderId="0" xfId="0" applyNumberFormat="1" applyFont="1" applyFill="1" applyAlignment="1">
      <alignment horizontal="center"/>
    </xf>
    <xf numFmtId="0" fontId="7" fillId="12" borderId="5" xfId="0" applyFont="1" applyFill="1" applyBorder="1"/>
    <xf numFmtId="0" fontId="7" fillId="12" borderId="2" xfId="0" applyFont="1" applyFill="1" applyBorder="1" applyAlignment="1">
      <alignment horizontal="left"/>
    </xf>
    <xf numFmtId="171" fontId="7" fillId="12" borderId="5" xfId="0" applyNumberFormat="1" applyFont="1" applyFill="1" applyBorder="1" applyAlignment="1">
      <alignment horizontal="center"/>
    </xf>
    <xf numFmtId="171" fontId="7" fillId="12" borderId="6" xfId="0" applyNumberFormat="1" applyFont="1" applyFill="1" applyBorder="1" applyAlignment="1">
      <alignment horizontal="center"/>
    </xf>
    <xf numFmtId="171" fontId="7" fillId="12" borderId="7" xfId="0" applyNumberFormat="1" applyFont="1" applyFill="1" applyBorder="1" applyAlignment="1">
      <alignment horizontal="center"/>
    </xf>
    <xf numFmtId="171" fontId="7" fillId="12" borderId="8" xfId="0" applyNumberFormat="1" applyFont="1" applyFill="1" applyBorder="1" applyAlignment="1">
      <alignment horizontal="center"/>
    </xf>
    <xf numFmtId="171" fontId="7" fillId="12" borderId="0" xfId="0" applyNumberFormat="1" applyFont="1" applyFill="1" applyBorder="1" applyAlignment="1">
      <alignment horizontal="center"/>
    </xf>
    <xf numFmtId="171" fontId="7" fillId="12" borderId="9" xfId="0" applyNumberFormat="1" applyFont="1" applyFill="1" applyBorder="1" applyAlignment="1">
      <alignment horizontal="center"/>
    </xf>
    <xf numFmtId="171" fontId="7" fillId="12" borderId="10" xfId="0" applyNumberFormat="1" applyFont="1" applyFill="1" applyBorder="1" applyAlignment="1">
      <alignment horizontal="center"/>
    </xf>
    <xf numFmtId="171" fontId="7" fillId="12" borderId="11" xfId="0" applyNumberFormat="1" applyFont="1" applyFill="1" applyBorder="1" applyAlignment="1">
      <alignment horizontal="center"/>
    </xf>
    <xf numFmtId="171" fontId="7" fillId="12" borderId="12" xfId="0" applyNumberFormat="1" applyFont="1" applyFill="1" applyBorder="1" applyAlignment="1">
      <alignment horizontal="center"/>
    </xf>
    <xf numFmtId="171" fontId="7" fillId="12" borderId="3" xfId="0" applyNumberFormat="1" applyFont="1" applyFill="1" applyBorder="1" applyAlignment="1">
      <alignment horizontal="center"/>
    </xf>
    <xf numFmtId="171" fontId="7" fillId="12" borderId="4" xfId="0" applyNumberFormat="1" applyFont="1" applyFill="1" applyBorder="1" applyAlignment="1">
      <alignment horizontal="center"/>
    </xf>
    <xf numFmtId="0" fontId="7" fillId="12" borderId="5" xfId="0" applyFont="1" applyFill="1" applyBorder="1" applyAlignment="1">
      <alignment horizontal="center" vertical="center" wrapText="1"/>
    </xf>
    <xf numFmtId="0" fontId="7" fillId="12" borderId="6"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12" borderId="8" xfId="0" applyFont="1" applyFill="1" applyBorder="1" applyAlignment="1">
      <alignment horizontal="center" vertical="center" wrapText="1"/>
    </xf>
    <xf numFmtId="0" fontId="7" fillId="12" borderId="0" xfId="0" applyFont="1" applyFill="1" applyBorder="1" applyAlignment="1">
      <alignment horizontal="center" vertical="center" wrapText="1"/>
    </xf>
    <xf numFmtId="171" fontId="7" fillId="12" borderId="2" xfId="0" applyNumberFormat="1" applyFont="1" applyFill="1" applyBorder="1" applyAlignment="1">
      <alignment horizontal="center"/>
    </xf>
    <xf numFmtId="0" fontId="7" fillId="12" borderId="2" xfId="0" applyFont="1" applyFill="1" applyBorder="1" applyAlignment="1">
      <alignment horizontal="center" vertical="center" wrapText="1"/>
    </xf>
    <xf numFmtId="0" fontId="7" fillId="12" borderId="3" xfId="0" applyFont="1" applyFill="1" applyBorder="1" applyAlignment="1">
      <alignment horizontal="center" vertical="center" wrapText="1"/>
    </xf>
    <xf numFmtId="0" fontId="6" fillId="11" borderId="4" xfId="0" applyFont="1" applyFill="1" applyBorder="1"/>
    <xf numFmtId="0" fontId="6" fillId="11" borderId="3" xfId="0" applyFont="1" applyFill="1" applyBorder="1"/>
    <xf numFmtId="0" fontId="11" fillId="12" borderId="0" xfId="0" applyFont="1" applyFill="1" applyBorder="1" applyAlignment="1">
      <alignment horizontal="left"/>
    </xf>
    <xf numFmtId="0" fontId="98" fillId="12" borderId="0" xfId="3" applyFont="1" applyFill="1" applyBorder="1" applyAlignment="1" applyProtection="1"/>
    <xf numFmtId="0" fontId="0" fillId="12" borderId="0" xfId="0" applyFont="1" applyFill="1" applyAlignment="1">
      <alignment wrapText="1"/>
    </xf>
    <xf numFmtId="0" fontId="53" fillId="12" borderId="0" xfId="3" applyFont="1" applyFill="1" applyBorder="1" applyAlignment="1" applyProtection="1">
      <alignment wrapText="1"/>
    </xf>
    <xf numFmtId="0" fontId="0" fillId="12" borderId="0" xfId="0" applyFill="1" applyAlignment="1">
      <alignment horizontal="left" vertical="center"/>
    </xf>
    <xf numFmtId="0" fontId="96" fillId="12" borderId="0" xfId="3" applyFont="1" applyFill="1" applyBorder="1" applyAlignment="1" applyProtection="1">
      <alignment horizontal="left" vertical="center"/>
    </xf>
    <xf numFmtId="0" fontId="96" fillId="12" borderId="0" xfId="3" applyFont="1" applyFill="1" applyBorder="1" applyAlignment="1" applyProtection="1">
      <alignment vertical="center"/>
    </xf>
    <xf numFmtId="0" fontId="97" fillId="12" borderId="0" xfId="0" applyFont="1" applyFill="1" applyBorder="1" applyAlignment="1">
      <alignment vertical="center"/>
    </xf>
    <xf numFmtId="0" fontId="0" fillId="0" borderId="0" xfId="0" applyAlignment="1">
      <alignment vertical="center"/>
    </xf>
    <xf numFmtId="0" fontId="98" fillId="12" borderId="0" xfId="3" applyFont="1" applyFill="1" applyBorder="1" applyAlignment="1" applyProtection="1">
      <alignment vertical="center"/>
    </xf>
    <xf numFmtId="0" fontId="14" fillId="12" borderId="0" xfId="0" applyFont="1" applyFill="1" applyAlignment="1">
      <alignment horizontal="center"/>
    </xf>
    <xf numFmtId="0" fontId="14" fillId="2" borderId="13" xfId="0" applyFont="1" applyFill="1" applyBorder="1" applyAlignment="1">
      <alignment horizontal="center" vertical="center"/>
    </xf>
    <xf numFmtId="0" fontId="50" fillId="12" borderId="24" xfId="3" applyFont="1" applyFill="1" applyBorder="1" applyAlignment="1" applyProtection="1">
      <alignment horizontal="center" vertical="center"/>
    </xf>
    <xf numFmtId="0" fontId="50" fillId="12" borderId="24" xfId="3" applyFont="1" applyFill="1" applyBorder="1" applyAlignment="1" applyProtection="1">
      <alignment horizontal="left" vertical="center"/>
    </xf>
    <xf numFmtId="0" fontId="14" fillId="12" borderId="24" xfId="0" applyFont="1" applyFill="1" applyBorder="1" applyAlignment="1">
      <alignment horizontal="center" vertical="center"/>
    </xf>
    <xf numFmtId="0" fontId="14" fillId="12" borderId="24" xfId="0" applyFont="1" applyFill="1" applyBorder="1" applyAlignment="1">
      <alignment horizontal="left" vertical="center"/>
    </xf>
    <xf numFmtId="0" fontId="0" fillId="12" borderId="24" xfId="0" applyFont="1" applyFill="1" applyBorder="1" applyAlignment="1">
      <alignment horizontal="center" vertical="center"/>
    </xf>
    <xf numFmtId="0" fontId="0" fillId="12" borderId="24" xfId="0" applyFont="1" applyFill="1" applyBorder="1" applyAlignment="1">
      <alignment horizontal="left" vertical="center"/>
    </xf>
    <xf numFmtId="0" fontId="14" fillId="12" borderId="0" xfId="0" applyFont="1" applyFill="1" applyAlignment="1">
      <alignment vertical="center"/>
    </xf>
    <xf numFmtId="0" fontId="14" fillId="12" borderId="0" xfId="0" applyFont="1" applyFill="1"/>
    <xf numFmtId="0" fontId="7" fillId="12" borderId="8" xfId="0" applyFont="1" applyFill="1" applyBorder="1" applyAlignment="1">
      <alignment horizontal="left" indent="1"/>
    </xf>
    <xf numFmtId="0" fontId="7" fillId="12" borderId="10" xfId="0" applyFont="1" applyFill="1" applyBorder="1" applyAlignment="1">
      <alignment horizontal="left" indent="1"/>
    </xf>
    <xf numFmtId="0" fontId="7" fillId="12" borderId="5" xfId="0" applyFont="1" applyFill="1" applyBorder="1" applyAlignment="1">
      <alignment horizontal="left" indent="1"/>
    </xf>
    <xf numFmtId="0" fontId="6" fillId="12" borderId="3" xfId="0" applyFont="1" applyFill="1" applyBorder="1" applyAlignment="1">
      <alignment horizontal="right"/>
    </xf>
    <xf numFmtId="0" fontId="6" fillId="12" borderId="4" xfId="0" applyFont="1" applyFill="1" applyBorder="1" applyAlignment="1">
      <alignment horizontal="right"/>
    </xf>
    <xf numFmtId="0" fontId="0" fillId="12" borderId="3" xfId="0" applyFill="1" applyBorder="1"/>
    <xf numFmtId="0" fontId="0" fillId="12" borderId="4" xfId="0" applyFill="1" applyBorder="1"/>
    <xf numFmtId="0" fontId="0" fillId="0" borderId="0" xfId="0" applyFont="1" applyFill="1" applyBorder="1"/>
    <xf numFmtId="2" fontId="0" fillId="0" borderId="0" xfId="0" applyNumberFormat="1" applyFont="1" applyFill="1" applyBorder="1"/>
    <xf numFmtId="2" fontId="0" fillId="0" borderId="0" xfId="1" applyNumberFormat="1" applyFont="1" applyFill="1" applyBorder="1" applyAlignment="1"/>
    <xf numFmtId="2" fontId="0" fillId="0" borderId="0" xfId="0" applyNumberFormat="1" applyFont="1" applyFill="1" applyBorder="1" applyAlignment="1">
      <alignment horizontal="left" indent="3"/>
    </xf>
    <xf numFmtId="0" fontId="1" fillId="12" borderId="0" xfId="0" applyFont="1" applyFill="1" applyBorder="1" applyAlignment="1">
      <alignment horizontal="right"/>
    </xf>
    <xf numFmtId="172" fontId="0" fillId="12" borderId="0" xfId="0" applyNumberFormat="1" applyFill="1" applyBorder="1"/>
    <xf numFmtId="0" fontId="15" fillId="12" borderId="0" xfId="0" applyFont="1" applyFill="1" applyBorder="1"/>
    <xf numFmtId="0" fontId="0" fillId="12" borderId="5" xfId="0" applyFill="1" applyBorder="1" applyAlignment="1">
      <alignment horizontal="left" indent="3"/>
    </xf>
    <xf numFmtId="0" fontId="0" fillId="12" borderId="0" xfId="0" applyNumberFormat="1" applyFill="1"/>
    <xf numFmtId="0" fontId="0" fillId="12" borderId="0" xfId="0" applyNumberFormat="1" applyFill="1" applyAlignment="1">
      <alignment horizontal="center"/>
    </xf>
    <xf numFmtId="0" fontId="1" fillId="12" borderId="0" xfId="0" applyNumberFormat="1" applyFont="1" applyFill="1" applyBorder="1" applyAlignment="1">
      <alignment horizontal="right"/>
    </xf>
    <xf numFmtId="0" fontId="0" fillId="12" borderId="0" xfId="0" applyNumberFormat="1" applyFill="1" applyBorder="1"/>
    <xf numFmtId="0" fontId="1" fillId="12" borderId="0" xfId="0" applyNumberFormat="1" applyFont="1" applyFill="1" applyBorder="1"/>
    <xf numFmtId="0" fontId="0" fillId="12" borderId="0" xfId="1" applyNumberFormat="1" applyFont="1" applyFill="1" applyBorder="1"/>
    <xf numFmtId="172" fontId="0" fillId="12" borderId="0" xfId="0" applyNumberFormat="1" applyFill="1"/>
    <xf numFmtId="172" fontId="1" fillId="12" borderId="0" xfId="0" applyNumberFormat="1" applyFont="1" applyFill="1" applyBorder="1"/>
    <xf numFmtId="0" fontId="0" fillId="12" borderId="0" xfId="0" applyNumberFormat="1" applyFont="1" applyFill="1" applyBorder="1" applyAlignment="1">
      <alignment horizontal="right"/>
    </xf>
    <xf numFmtId="0" fontId="1" fillId="12" borderId="0" xfId="0" applyFont="1" applyFill="1" applyAlignment="1">
      <alignment horizontal="center" wrapText="1"/>
    </xf>
    <xf numFmtId="0" fontId="4" fillId="12" borderId="0" xfId="0" applyFont="1" applyFill="1" applyAlignment="1">
      <alignment horizontal="left"/>
    </xf>
    <xf numFmtId="3" fontId="0" fillId="0" borderId="0" xfId="0" applyNumberFormat="1" applyFont="1" applyBorder="1" applyAlignment="1">
      <alignment horizontal="center"/>
    </xf>
    <xf numFmtId="0" fontId="0" fillId="0" borderId="0" xfId="0" applyFont="1" applyBorder="1" applyAlignment="1">
      <alignment horizontal="center"/>
    </xf>
    <xf numFmtId="0" fontId="0" fillId="12" borderId="0" xfId="0" applyNumberFormat="1" applyFont="1" applyFill="1" applyBorder="1"/>
    <xf numFmtId="0" fontId="7" fillId="2" borderId="9" xfId="0" applyFont="1" applyFill="1" applyBorder="1" applyAlignment="1">
      <alignment horizontal="center"/>
    </xf>
    <xf numFmtId="0" fontId="0" fillId="12" borderId="0" xfId="0" applyFill="1" applyBorder="1" applyAlignment="1">
      <alignment horizontal="left"/>
    </xf>
    <xf numFmtId="0" fontId="6" fillId="12" borderId="0" xfId="0" applyFont="1" applyFill="1" applyAlignment="1">
      <alignment vertical="center" wrapText="1"/>
    </xf>
    <xf numFmtId="0" fontId="7" fillId="2" borderId="7" xfId="0" applyFont="1" applyFill="1" applyBorder="1" applyAlignment="1">
      <alignment horizontal="center"/>
    </xf>
    <xf numFmtId="1" fontId="7" fillId="2" borderId="12" xfId="0" applyNumberFormat="1" applyFont="1" applyFill="1" applyBorder="1" applyAlignment="1">
      <alignment horizontal="center"/>
    </xf>
    <xf numFmtId="0" fontId="1" fillId="0" borderId="0" xfId="0" applyFont="1" applyFill="1" applyBorder="1" applyAlignment="1">
      <alignment horizontal="center" wrapText="1"/>
    </xf>
    <xf numFmtId="0" fontId="7" fillId="12" borderId="1" xfId="0" applyFont="1" applyFill="1" applyBorder="1"/>
    <xf numFmtId="0" fontId="0" fillId="0" borderId="0" xfId="0" applyFill="1" applyBorder="1" applyAlignment="1">
      <alignment horizontal="left" indent="3"/>
    </xf>
    <xf numFmtId="0" fontId="6" fillId="0" borderId="0" xfId="0" applyFont="1" applyFill="1" applyAlignment="1">
      <alignment horizontal="left"/>
    </xf>
    <xf numFmtId="0" fontId="6" fillId="0" borderId="0" xfId="0" applyFont="1" applyFill="1"/>
    <xf numFmtId="0" fontId="100" fillId="0" borderId="0" xfId="0" applyFont="1"/>
    <xf numFmtId="0" fontId="100" fillId="0" borderId="19" xfId="0" applyFont="1" applyBorder="1"/>
    <xf numFmtId="0" fontId="4" fillId="12" borderId="0" xfId="0" applyFont="1" applyFill="1"/>
    <xf numFmtId="0" fontId="5" fillId="12" borderId="0" xfId="0" applyFont="1" applyFill="1"/>
    <xf numFmtId="0" fontId="1" fillId="3" borderId="22" xfId="0" applyFont="1" applyFill="1" applyBorder="1" applyAlignment="1">
      <alignment horizontal="center" vertical="center" wrapText="1"/>
    </xf>
    <xf numFmtId="0" fontId="0" fillId="12" borderId="1" xfId="0" applyFill="1" applyBorder="1"/>
    <xf numFmtId="0" fontId="0" fillId="12" borderId="1" xfId="0" applyNumberFormat="1" applyFill="1" applyBorder="1"/>
    <xf numFmtId="172" fontId="0" fillId="12" borderId="1" xfId="0" applyNumberFormat="1" applyFill="1" applyBorder="1"/>
    <xf numFmtId="0" fontId="0" fillId="12" borderId="19" xfId="0" applyFill="1" applyBorder="1"/>
    <xf numFmtId="0" fontId="0" fillId="12" borderId="47" xfId="0" applyFill="1" applyBorder="1"/>
    <xf numFmtId="0" fontId="101" fillId="12" borderId="19" xfId="3" applyFont="1" applyFill="1" applyBorder="1" applyAlignment="1" applyProtection="1">
      <alignment horizontal="left" vertical="center"/>
    </xf>
    <xf numFmtId="0" fontId="101" fillId="12" borderId="19" xfId="3" applyFont="1" applyFill="1" applyBorder="1" applyAlignment="1" applyProtection="1">
      <alignment vertical="center"/>
    </xf>
    <xf numFmtId="0" fontId="102" fillId="12" borderId="19" xfId="3" applyFont="1" applyFill="1" applyBorder="1" applyAlignment="1" applyProtection="1">
      <alignment vertical="center"/>
    </xf>
    <xf numFmtId="0" fontId="101" fillId="12" borderId="19" xfId="3" applyFont="1" applyFill="1" applyBorder="1" applyAlignment="1" applyProtection="1"/>
    <xf numFmtId="0" fontId="6" fillId="12" borderId="19" xfId="0" applyFont="1" applyFill="1" applyBorder="1"/>
    <xf numFmtId="0" fontId="0" fillId="12" borderId="19" xfId="0" applyFill="1" applyBorder="1" applyAlignment="1">
      <alignment horizontal="center"/>
    </xf>
    <xf numFmtId="0" fontId="1" fillId="12" borderId="19" xfId="0" applyFont="1" applyFill="1" applyBorder="1" applyAlignment="1">
      <alignment horizontal="right"/>
    </xf>
    <xf numFmtId="0" fontId="1" fillId="12" borderId="19" xfId="0" applyFont="1" applyFill="1" applyBorder="1"/>
    <xf numFmtId="172" fontId="0" fillId="12" borderId="19" xfId="1" applyNumberFormat="1" applyFont="1" applyFill="1" applyBorder="1"/>
    <xf numFmtId="172" fontId="0" fillId="12" borderId="19" xfId="0" applyNumberFormat="1" applyFill="1" applyBorder="1"/>
    <xf numFmtId="0" fontId="15" fillId="12" borderId="19" xfId="0" applyFont="1" applyFill="1" applyBorder="1"/>
    <xf numFmtId="0" fontId="0" fillId="12" borderId="21" xfId="0" applyFill="1" applyBorder="1" applyAlignment="1">
      <alignment horizontal="left"/>
    </xf>
    <xf numFmtId="0" fontId="0" fillId="12" borderId="19" xfId="0" applyFill="1" applyBorder="1" applyAlignment="1">
      <alignment horizontal="left" indent="3"/>
    </xf>
    <xf numFmtId="0" fontId="0" fillId="12" borderId="15" xfId="0" applyFill="1" applyBorder="1"/>
    <xf numFmtId="0" fontId="0" fillId="12" borderId="15" xfId="0" applyNumberFormat="1" applyFill="1" applyBorder="1"/>
    <xf numFmtId="172" fontId="16" fillId="12" borderId="15" xfId="0" applyNumberFormat="1" applyFont="1" applyFill="1" applyBorder="1"/>
    <xf numFmtId="172" fontId="0" fillId="12" borderId="15" xfId="0" applyNumberFormat="1" applyFill="1" applyBorder="1"/>
    <xf numFmtId="172" fontId="0" fillId="12" borderId="48" xfId="1" applyNumberFormat="1" applyFont="1" applyFill="1" applyBorder="1"/>
    <xf numFmtId="0" fontId="17" fillId="12" borderId="0" xfId="0" applyFont="1" applyFill="1" applyBorder="1"/>
    <xf numFmtId="0" fontId="104" fillId="12" borderId="0" xfId="3" applyFont="1" applyFill="1" applyBorder="1" applyAlignment="1" applyProtection="1"/>
    <xf numFmtId="0" fontId="0" fillId="12" borderId="19" xfId="0" applyFill="1" applyBorder="1" applyAlignment="1">
      <alignment horizontal="center" vertical="center" wrapText="1"/>
    </xf>
    <xf numFmtId="0" fontId="51" fillId="0" borderId="0" xfId="0" applyFont="1" applyBorder="1"/>
    <xf numFmtId="0" fontId="13" fillId="0" borderId="0" xfId="0" applyFont="1" applyBorder="1"/>
    <xf numFmtId="0" fontId="1" fillId="0" borderId="0" xfId="0" applyFont="1" applyBorder="1"/>
    <xf numFmtId="0" fontId="0" fillId="0" borderId="46" xfId="0" applyFont="1" applyBorder="1" applyAlignment="1">
      <alignment horizontal="left" indent="2"/>
    </xf>
    <xf numFmtId="0" fontId="1" fillId="0" borderId="0" xfId="0" applyFont="1" applyBorder="1" applyAlignment="1"/>
    <xf numFmtId="0" fontId="105" fillId="0" borderId="0" xfId="0" applyFont="1" applyFill="1" applyAlignment="1">
      <alignment horizontal="left"/>
    </xf>
    <xf numFmtId="0" fontId="106" fillId="0" borderId="0" xfId="0" applyFont="1"/>
    <xf numFmtId="0" fontId="106" fillId="0" borderId="0" xfId="0" applyFont="1" applyBorder="1"/>
    <xf numFmtId="0" fontId="97" fillId="0" borderId="0" xfId="0" applyFont="1" applyFill="1" applyAlignment="1">
      <alignment horizontal="left"/>
    </xf>
    <xf numFmtId="0" fontId="6" fillId="12" borderId="0" xfId="0" applyFont="1" applyFill="1" applyBorder="1" applyAlignment="1">
      <alignment horizontal="right"/>
    </xf>
    <xf numFmtId="1" fontId="7" fillId="12" borderId="0" xfId="0" applyNumberFormat="1" applyFont="1" applyFill="1" applyBorder="1"/>
    <xf numFmtId="0" fontId="7" fillId="28" borderId="1" xfId="0" applyFont="1" applyFill="1" applyBorder="1"/>
    <xf numFmtId="0" fontId="1" fillId="12" borderId="0" xfId="0" applyFont="1" applyFill="1" applyAlignment="1"/>
    <xf numFmtId="0" fontId="106" fillId="0" borderId="0" xfId="0" applyFont="1" applyAlignment="1">
      <alignment horizontal="center"/>
    </xf>
    <xf numFmtId="0" fontId="14" fillId="0" borderId="0" xfId="0" applyFont="1" applyAlignment="1">
      <alignment horizontal="center"/>
    </xf>
    <xf numFmtId="0" fontId="0" fillId="12" borderId="7" xfId="0" applyFill="1" applyBorder="1"/>
    <xf numFmtId="0" fontId="0" fillId="12" borderId="9" xfId="0" applyFill="1" applyBorder="1"/>
    <xf numFmtId="0" fontId="0" fillId="12" borderId="12" xfId="0" applyFill="1" applyBorder="1"/>
    <xf numFmtId="175" fontId="7" fillId="12" borderId="8" xfId="0" applyNumberFormat="1" applyFont="1" applyFill="1" applyBorder="1" applyAlignment="1">
      <alignment horizontal="center"/>
    </xf>
    <xf numFmtId="175" fontId="7" fillId="12" borderId="0" xfId="0" applyNumberFormat="1" applyFont="1" applyFill="1" applyBorder="1" applyAlignment="1">
      <alignment horizontal="center"/>
    </xf>
    <xf numFmtId="175" fontId="7" fillId="12" borderId="9" xfId="0" applyNumberFormat="1" applyFont="1" applyFill="1" applyBorder="1" applyAlignment="1">
      <alignment horizontal="center"/>
    </xf>
    <xf numFmtId="175" fontId="7" fillId="12" borderId="10" xfId="0" applyNumberFormat="1" applyFont="1" applyFill="1" applyBorder="1" applyAlignment="1">
      <alignment horizontal="center"/>
    </xf>
    <xf numFmtId="175" fontId="7" fillId="12" borderId="11" xfId="0" applyNumberFormat="1" applyFont="1" applyFill="1" applyBorder="1" applyAlignment="1">
      <alignment horizontal="center"/>
    </xf>
    <xf numFmtId="175" fontId="7" fillId="12" borderId="12" xfId="0" applyNumberFormat="1" applyFont="1" applyFill="1" applyBorder="1" applyAlignment="1">
      <alignment horizontal="center"/>
    </xf>
    <xf numFmtId="0" fontId="5" fillId="12" borderId="0" xfId="0" applyFont="1" applyFill="1" applyBorder="1" applyAlignment="1">
      <alignment horizontal="left"/>
    </xf>
    <xf numFmtId="0" fontId="0" fillId="12" borderId="14" xfId="0" applyFill="1" applyBorder="1" applyAlignment="1">
      <alignment horizontal="left"/>
    </xf>
    <xf numFmtId="0" fontId="0" fillId="12" borderId="16" xfId="0" applyFill="1" applyBorder="1" applyAlignment="1">
      <alignment horizontal="left"/>
    </xf>
    <xf numFmtId="0" fontId="0" fillId="12" borderId="22" xfId="0" applyFill="1" applyBorder="1" applyAlignment="1">
      <alignment horizontal="left"/>
    </xf>
    <xf numFmtId="0" fontId="103" fillId="12" borderId="0" xfId="0" applyFont="1" applyFill="1"/>
    <xf numFmtId="0" fontId="0" fillId="0" borderId="0" xfId="0" applyFont="1" applyFill="1"/>
    <xf numFmtId="170" fontId="7" fillId="0" borderId="0" xfId="0" applyNumberFormat="1" applyFont="1" applyFill="1" applyBorder="1" applyAlignment="1">
      <alignment horizontal="center"/>
    </xf>
    <xf numFmtId="171" fontId="7" fillId="0" borderId="0" xfId="0" applyNumberFormat="1" applyFont="1" applyFill="1" applyBorder="1" applyAlignment="1">
      <alignment horizontal="center"/>
    </xf>
    <xf numFmtId="0" fontId="0" fillId="0" borderId="0" xfId="0" applyAlignment="1">
      <alignment horizontal="left"/>
    </xf>
    <xf numFmtId="0" fontId="0" fillId="12" borderId="3" xfId="0" applyFill="1" applyBorder="1"/>
    <xf numFmtId="0" fontId="0" fillId="0" borderId="0" xfId="0" applyFont="1" applyFill="1" applyBorder="1" applyAlignment="1">
      <alignment horizontal="center"/>
    </xf>
    <xf numFmtId="170" fontId="7" fillId="0" borderId="6" xfId="0" applyNumberFormat="1" applyFont="1" applyFill="1" applyBorder="1" applyAlignment="1">
      <alignment horizontal="center"/>
    </xf>
    <xf numFmtId="170" fontId="7" fillId="0" borderId="11" xfId="0" applyNumberFormat="1" applyFont="1" applyFill="1" applyBorder="1" applyAlignment="1">
      <alignment horizontal="center"/>
    </xf>
    <xf numFmtId="170" fontId="0" fillId="0" borderId="0" xfId="0" applyNumberFormat="1" applyFill="1" applyAlignment="1">
      <alignment horizontal="left" indent="3"/>
    </xf>
    <xf numFmtId="0" fontId="0" fillId="0" borderId="0" xfId="0" applyFill="1" applyAlignment="1">
      <alignment horizontal="center" vertical="top"/>
    </xf>
    <xf numFmtId="2" fontId="0" fillId="0" borderId="0" xfId="0" applyNumberFormat="1" applyFill="1" applyBorder="1"/>
    <xf numFmtId="0" fontId="55" fillId="0" borderId="0" xfId="0" applyFont="1" applyFill="1" applyBorder="1"/>
    <xf numFmtId="2" fontId="55" fillId="0" borderId="0" xfId="0" applyNumberFormat="1" applyFont="1" applyFill="1" applyBorder="1"/>
    <xf numFmtId="0" fontId="7" fillId="12" borderId="0" xfId="0" applyFont="1" applyFill="1" applyBorder="1" applyAlignment="1">
      <alignment horizontal="left"/>
    </xf>
    <xf numFmtId="0" fontId="0" fillId="12" borderId="0" xfId="0" applyFill="1" applyBorder="1" applyAlignment="1">
      <alignment wrapText="1"/>
    </xf>
    <xf numFmtId="0" fontId="0" fillId="12" borderId="0" xfId="0" applyFill="1" applyBorder="1" applyAlignment="1">
      <alignment vertical="top" wrapText="1"/>
    </xf>
    <xf numFmtId="0" fontId="0" fillId="12" borderId="11" xfId="0" applyFill="1" applyBorder="1" applyAlignment="1">
      <alignment vertical="top" wrapText="1"/>
    </xf>
    <xf numFmtId="0" fontId="1" fillId="0" borderId="0" xfId="0" applyFont="1" applyFill="1" applyAlignment="1">
      <alignment wrapText="1"/>
    </xf>
    <xf numFmtId="0" fontId="0" fillId="0" borderId="6" xfId="0" applyFont="1" applyFill="1" applyBorder="1"/>
    <xf numFmtId="0" fontId="0" fillId="0" borderId="11" xfId="0" applyFill="1" applyBorder="1"/>
    <xf numFmtId="0" fontId="0" fillId="0" borderId="11" xfId="0" applyFont="1" applyFill="1" applyBorder="1"/>
    <xf numFmtId="0" fontId="0" fillId="0" borderId="10" xfId="0" applyFont="1" applyFill="1" applyBorder="1"/>
    <xf numFmtId="0" fontId="0" fillId="0" borderId="5" xfId="0" applyFont="1" applyFill="1" applyBorder="1"/>
    <xf numFmtId="0" fontId="0" fillId="0" borderId="8" xfId="0" applyFont="1" applyFill="1" applyBorder="1"/>
    <xf numFmtId="0" fontId="6" fillId="15" borderId="0" xfId="0" applyFont="1" applyFill="1" applyBorder="1" applyAlignment="1">
      <alignment vertical="center" wrapText="1"/>
    </xf>
    <xf numFmtId="0" fontId="7" fillId="28" borderId="0" xfId="0" applyFont="1" applyFill="1" applyBorder="1"/>
    <xf numFmtId="0" fontId="7" fillId="15" borderId="0" xfId="0" applyFont="1" applyFill="1" applyBorder="1"/>
    <xf numFmtId="0" fontId="0" fillId="0" borderId="6" xfId="0" applyFill="1" applyBorder="1"/>
    <xf numFmtId="0" fontId="1" fillId="0" borderId="2" xfId="0" applyFont="1" applyFill="1" applyBorder="1" applyAlignment="1">
      <alignment horizontal="center" wrapText="1"/>
    </xf>
    <xf numFmtId="0" fontId="1" fillId="0" borderId="3" xfId="0" applyFont="1" applyFill="1" applyBorder="1" applyAlignment="1">
      <alignment horizontal="center" wrapText="1"/>
    </xf>
    <xf numFmtId="0" fontId="1" fillId="0" borderId="4" xfId="0" applyFont="1" applyFill="1" applyBorder="1" applyAlignment="1">
      <alignment horizontal="center" wrapText="1"/>
    </xf>
    <xf numFmtId="0" fontId="6" fillId="0" borderId="2" xfId="0" applyFont="1" applyFill="1" applyBorder="1" applyAlignment="1">
      <alignment horizontal="center" wrapText="1"/>
    </xf>
    <xf numFmtId="0" fontId="6" fillId="0" borderId="3" xfId="0" applyFont="1" applyFill="1" applyBorder="1" applyAlignment="1">
      <alignment horizontal="center" wrapText="1"/>
    </xf>
    <xf numFmtId="0" fontId="6" fillId="0" borderId="4" xfId="0" applyFont="1" applyFill="1" applyBorder="1" applyAlignment="1">
      <alignment horizontal="center" wrapText="1"/>
    </xf>
    <xf numFmtId="0" fontId="0" fillId="12" borderId="3" xfId="0" applyFill="1" applyBorder="1"/>
    <xf numFmtId="0" fontId="0" fillId="12" borderId="4" xfId="0" applyFill="1" applyBorder="1"/>
    <xf numFmtId="0" fontId="109" fillId="2" borderId="0" xfId="0" applyFont="1" applyFill="1" applyBorder="1" applyAlignment="1">
      <alignment horizontal="center" vertical="center" wrapText="1"/>
    </xf>
    <xf numFmtId="0" fontId="109" fillId="2" borderId="11" xfId="0" applyFont="1" applyFill="1" applyBorder="1" applyAlignment="1">
      <alignment horizontal="center" vertical="center" wrapText="1"/>
    </xf>
    <xf numFmtId="0" fontId="7" fillId="12" borderId="16" xfId="0" applyFont="1" applyFill="1" applyBorder="1" applyAlignment="1">
      <alignment horizontal="left" indent="4"/>
    </xf>
    <xf numFmtId="0" fontId="7" fillId="12" borderId="16" xfId="0" applyFont="1" applyFill="1" applyBorder="1" applyAlignment="1">
      <alignment horizontal="left" indent="2"/>
    </xf>
    <xf numFmtId="0" fontId="7" fillId="12" borderId="16" xfId="0" applyFont="1" applyFill="1" applyBorder="1" applyAlignment="1">
      <alignment horizontal="left"/>
    </xf>
    <xf numFmtId="0" fontId="0" fillId="12" borderId="9" xfId="0" applyFill="1" applyBorder="1" applyAlignment="1">
      <alignment wrapText="1"/>
    </xf>
    <xf numFmtId="0" fontId="0" fillId="12" borderId="12" xfId="0" applyFill="1" applyBorder="1" applyAlignment="1">
      <alignment wrapText="1"/>
    </xf>
    <xf numFmtId="171" fontId="109" fillId="2" borderId="8" xfId="0" applyNumberFormat="1" applyFont="1" applyFill="1" applyBorder="1" applyAlignment="1">
      <alignment horizontal="center"/>
    </xf>
    <xf numFmtId="171" fontId="109" fillId="2" borderId="0" xfId="0" applyNumberFormat="1" applyFont="1" applyFill="1" applyBorder="1" applyAlignment="1">
      <alignment horizontal="center"/>
    </xf>
    <xf numFmtId="171" fontId="109" fillId="2" borderId="9" xfId="0" applyNumberFormat="1" applyFont="1" applyFill="1" applyBorder="1" applyAlignment="1">
      <alignment horizontal="center"/>
    </xf>
    <xf numFmtId="0" fontId="109" fillId="12" borderId="0" xfId="0" applyFont="1" applyFill="1"/>
    <xf numFmtId="0" fontId="111" fillId="12" borderId="0" xfId="0" applyFont="1" applyFill="1" applyBorder="1"/>
    <xf numFmtId="0" fontId="111" fillId="12" borderId="0" xfId="0" applyFont="1" applyFill="1"/>
    <xf numFmtId="0" fontId="112" fillId="12" borderId="0" xfId="0" applyFont="1" applyFill="1" applyBorder="1" applyAlignment="1">
      <alignment horizontal="center"/>
    </xf>
    <xf numFmtId="0" fontId="112" fillId="12" borderId="0" xfId="0" applyFont="1" applyFill="1" applyAlignment="1">
      <alignment horizontal="center"/>
    </xf>
    <xf numFmtId="0" fontId="111" fillId="12" borderId="0" xfId="0" applyFont="1" applyFill="1" applyBorder="1" applyAlignment="1">
      <alignment horizontal="left"/>
    </xf>
    <xf numFmtId="0" fontId="113" fillId="12" borderId="0" xfId="0" applyFont="1" applyFill="1" applyAlignment="1">
      <alignment wrapText="1"/>
    </xf>
    <xf numFmtId="0" fontId="111" fillId="12" borderId="0" xfId="0" applyFont="1" applyFill="1" applyAlignment="1">
      <alignment horizontal="center"/>
    </xf>
    <xf numFmtId="0" fontId="113" fillId="12" borderId="0" xfId="0" applyFont="1" applyFill="1"/>
    <xf numFmtId="0" fontId="111" fillId="0" borderId="0" xfId="0" applyFont="1"/>
    <xf numFmtId="0" fontId="111" fillId="0" borderId="0" xfId="0" applyFont="1" applyBorder="1"/>
    <xf numFmtId="0" fontId="116" fillId="12" borderId="0" xfId="0" applyFont="1" applyFill="1" applyBorder="1"/>
    <xf numFmtId="0" fontId="117" fillId="12" borderId="0" xfId="0" applyFont="1" applyFill="1" applyBorder="1" applyAlignment="1">
      <alignment horizontal="left" indent="4"/>
    </xf>
    <xf numFmtId="0" fontId="117" fillId="12" borderId="0" xfId="0" applyFont="1" applyFill="1" applyBorder="1" applyAlignment="1">
      <alignment horizontal="left"/>
    </xf>
    <xf numFmtId="0" fontId="117" fillId="12" borderId="0" xfId="0" applyFont="1" applyFill="1"/>
    <xf numFmtId="0" fontId="117" fillId="12" borderId="0" xfId="0" applyFont="1" applyFill="1" applyBorder="1"/>
    <xf numFmtId="0" fontId="114" fillId="12" borderId="0" xfId="0" applyFont="1" applyFill="1"/>
    <xf numFmtId="0" fontId="118" fillId="12" borderId="0" xfId="0" applyFont="1" applyFill="1" applyBorder="1" applyAlignment="1">
      <alignment horizontal="center"/>
    </xf>
    <xf numFmtId="0" fontId="114" fillId="12" borderId="0" xfId="0" applyFont="1" applyFill="1" applyBorder="1"/>
    <xf numFmtId="1" fontId="113" fillId="12" borderId="0" xfId="1" applyNumberFormat="1" applyFont="1" applyFill="1" applyBorder="1" applyAlignment="1">
      <alignment horizontal="center"/>
    </xf>
    <xf numFmtId="0" fontId="114" fillId="12" borderId="0" xfId="0" applyFont="1" applyFill="1" applyBorder="1" applyAlignment="1">
      <alignment horizontal="left" indent="4"/>
    </xf>
    <xf numFmtId="172" fontId="114" fillId="12" borderId="0" xfId="1" applyNumberFormat="1" applyFont="1" applyFill="1" applyBorder="1" applyAlignment="1">
      <alignment horizontal="center"/>
    </xf>
    <xf numFmtId="0" fontId="111" fillId="12" borderId="0" xfId="0" applyFont="1" applyFill="1" applyAlignment="1">
      <alignment vertical="center"/>
    </xf>
    <xf numFmtId="0" fontId="114" fillId="12" borderId="0" xfId="0" applyFont="1" applyFill="1" applyBorder="1" applyAlignment="1">
      <alignment horizontal="left" indent="3"/>
    </xf>
    <xf numFmtId="0" fontId="115" fillId="12" borderId="0" xfId="0" applyFont="1" applyFill="1" applyAlignment="1">
      <alignment vertical="center"/>
    </xf>
    <xf numFmtId="0" fontId="111" fillId="12" borderId="0" xfId="0" applyFont="1" applyFill="1" applyBorder="1" applyAlignment="1">
      <alignment horizontal="left" vertical="center"/>
    </xf>
    <xf numFmtId="0" fontId="111" fillId="12" borderId="0" xfId="0" applyFont="1" applyFill="1" applyAlignment="1">
      <alignment horizontal="left" vertical="center"/>
    </xf>
    <xf numFmtId="170" fontId="14" fillId="19" borderId="0" xfId="0" applyNumberFormat="1" applyFont="1" applyFill="1" applyBorder="1" applyAlignment="1">
      <alignment horizontal="center"/>
    </xf>
    <xf numFmtId="170" fontId="14" fillId="19" borderId="9" xfId="0" applyNumberFormat="1" applyFont="1" applyFill="1" applyBorder="1" applyAlignment="1">
      <alignment horizontal="center"/>
    </xf>
    <xf numFmtId="170" fontId="0" fillId="12" borderId="0" xfId="1" applyNumberFormat="1" applyFont="1" applyFill="1" applyBorder="1"/>
    <xf numFmtId="170" fontId="0" fillId="12" borderId="9" xfId="1" applyNumberFormat="1" applyFont="1" applyFill="1" applyBorder="1"/>
    <xf numFmtId="170" fontId="0" fillId="12" borderId="11" xfId="1" applyNumberFormat="1" applyFont="1" applyFill="1" applyBorder="1"/>
    <xf numFmtId="170" fontId="0" fillId="12" borderId="11" xfId="0" applyNumberFormat="1" applyFill="1" applyBorder="1"/>
    <xf numFmtId="170" fontId="0" fillId="12" borderId="12" xfId="0" applyNumberFormat="1" applyFill="1" applyBorder="1"/>
    <xf numFmtId="170" fontId="0" fillId="12" borderId="6" xfId="1" applyNumberFormat="1" applyFont="1" applyFill="1" applyBorder="1"/>
    <xf numFmtId="170" fontId="0" fillId="12" borderId="7" xfId="1" applyNumberFormat="1" applyFont="1" applyFill="1" applyBorder="1"/>
    <xf numFmtId="170" fontId="0" fillId="57" borderId="15" xfId="1" applyNumberFormat="1" applyFont="1" applyFill="1" applyBorder="1"/>
    <xf numFmtId="170" fontId="0" fillId="57" borderId="0" xfId="1" applyNumberFormat="1" applyFont="1" applyFill="1" applyBorder="1"/>
    <xf numFmtId="170" fontId="0" fillId="12" borderId="1" xfId="1" applyNumberFormat="1" applyFont="1" applyFill="1" applyBorder="1"/>
    <xf numFmtId="170" fontId="0" fillId="19" borderId="0" xfId="1" applyNumberFormat="1" applyFont="1" applyFill="1" applyBorder="1" applyAlignment="1">
      <alignment horizontal="center"/>
    </xf>
    <xf numFmtId="170" fontId="14" fillId="19" borderId="0" xfId="1" applyNumberFormat="1" applyFont="1" applyFill="1" applyBorder="1" applyAlignment="1">
      <alignment horizontal="center"/>
    </xf>
    <xf numFmtId="170" fontId="14" fillId="19" borderId="9" xfId="1" applyNumberFormat="1" applyFont="1" applyFill="1" applyBorder="1" applyAlignment="1">
      <alignment horizontal="center"/>
    </xf>
    <xf numFmtId="170" fontId="0" fillId="19" borderId="9" xfId="1" applyNumberFormat="1" applyFont="1" applyFill="1" applyBorder="1" applyAlignment="1">
      <alignment horizontal="center"/>
    </xf>
    <xf numFmtId="0" fontId="115" fillId="12" borderId="0" xfId="0" applyFont="1" applyFill="1" applyBorder="1" applyAlignment="1">
      <alignment vertical="center"/>
    </xf>
    <xf numFmtId="0" fontId="111" fillId="12" borderId="0" xfId="0" applyFont="1" applyFill="1" applyAlignment="1">
      <alignment horizontal="left"/>
    </xf>
    <xf numFmtId="170" fontId="7" fillId="2" borderId="8" xfId="0" applyNumberFormat="1" applyFont="1" applyFill="1" applyBorder="1"/>
    <xf numFmtId="0" fontId="4" fillId="12" borderId="0" xfId="0" applyFont="1" applyFill="1" applyAlignment="1">
      <alignment vertical="center"/>
    </xf>
    <xf numFmtId="0" fontId="0" fillId="12" borderId="0" xfId="0" applyFont="1" applyFill="1" applyBorder="1"/>
    <xf numFmtId="0" fontId="117" fillId="12" borderId="0" xfId="0" applyFont="1" applyFill="1" applyAlignment="1">
      <alignment vertical="center"/>
    </xf>
    <xf numFmtId="0" fontId="111" fillId="0" borderId="0" xfId="0" applyFont="1" applyFill="1" applyBorder="1"/>
    <xf numFmtId="0" fontId="111" fillId="0" borderId="0" xfId="0" applyFont="1" applyFill="1"/>
    <xf numFmtId="0" fontId="111" fillId="12" borderId="0" xfId="0" applyFont="1" applyFill="1" applyAlignment="1">
      <alignment wrapText="1"/>
    </xf>
    <xf numFmtId="0" fontId="111" fillId="0" borderId="0" xfId="0" applyFont="1" applyFill="1" applyBorder="1" applyAlignment="1">
      <alignment vertical="center" wrapText="1"/>
    </xf>
    <xf numFmtId="0" fontId="116" fillId="12" borderId="0" xfId="0" applyFont="1" applyFill="1" applyAlignment="1">
      <alignment horizontal="left" vertical="center" wrapText="1"/>
    </xf>
    <xf numFmtId="0" fontId="1" fillId="0" borderId="0" xfId="0" applyFont="1" applyFill="1" applyAlignment="1">
      <alignment horizontal="center" vertical="center" wrapText="1"/>
    </xf>
    <xf numFmtId="3" fontId="0" fillId="0" borderId="0" xfId="0" applyNumberFormat="1" applyFont="1" applyFill="1" applyBorder="1" applyAlignment="1">
      <alignment horizontal="center"/>
    </xf>
    <xf numFmtId="1" fontId="0" fillId="0" borderId="0" xfId="0" applyNumberFormat="1" applyFont="1" applyFill="1" applyBorder="1" applyAlignment="1">
      <alignment horizontal="center"/>
    </xf>
    <xf numFmtId="0" fontId="113" fillId="12" borderId="0" xfId="0" applyFont="1" applyFill="1" applyBorder="1"/>
    <xf numFmtId="0" fontId="114" fillId="12" borderId="0" xfId="0" applyFont="1" applyFill="1" applyBorder="1" applyAlignment="1">
      <alignment horizontal="left"/>
    </xf>
    <xf numFmtId="170" fontId="114" fillId="12" borderId="0" xfId="1" applyNumberFormat="1" applyFont="1" applyFill="1" applyBorder="1" applyAlignment="1">
      <alignment horizontal="left"/>
    </xf>
    <xf numFmtId="170" fontId="114" fillId="12" borderId="0" xfId="1" applyNumberFormat="1" applyFont="1" applyFill="1" applyBorder="1" applyAlignment="1">
      <alignment horizontal="right"/>
    </xf>
    <xf numFmtId="0" fontId="114" fillId="12" borderId="0" xfId="0" applyFont="1" applyFill="1" applyBorder="1" applyAlignment="1">
      <alignment horizontal="left" indent="1"/>
    </xf>
    <xf numFmtId="0" fontId="116" fillId="12" borderId="0" xfId="0" applyFont="1" applyFill="1" applyBorder="1" applyAlignment="1">
      <alignment horizontal="center"/>
    </xf>
    <xf numFmtId="0" fontId="117" fillId="12" borderId="0" xfId="0" applyFont="1" applyFill="1" applyBorder="1" applyAlignment="1">
      <alignment horizontal="left" indent="2"/>
    </xf>
    <xf numFmtId="172" fontId="117" fillId="12" borderId="0" xfId="1" applyNumberFormat="1" applyFont="1" applyFill="1" applyBorder="1" applyAlignment="1">
      <alignment horizontal="center"/>
    </xf>
    <xf numFmtId="170" fontId="117" fillId="12" borderId="0" xfId="1" applyNumberFormat="1" applyFont="1" applyFill="1" applyBorder="1" applyAlignment="1">
      <alignment horizontal="center"/>
    </xf>
    <xf numFmtId="170" fontId="0" fillId="19" borderId="0" xfId="0" applyNumberFormat="1" applyFill="1" applyBorder="1" applyAlignment="1">
      <alignment horizontal="center"/>
    </xf>
    <xf numFmtId="0" fontId="12" fillId="19" borderId="8" xfId="0" applyFont="1" applyFill="1" applyBorder="1" applyAlignment="1">
      <alignment horizontal="left" indent="3"/>
    </xf>
    <xf numFmtId="170" fontId="0" fillId="19" borderId="9" xfId="0" applyNumberFormat="1" applyFill="1" applyBorder="1" applyAlignment="1">
      <alignment horizontal="center"/>
    </xf>
    <xf numFmtId="0" fontId="11" fillId="12" borderId="0" xfId="0" applyFont="1" applyFill="1" applyAlignment="1">
      <alignment horizontal="center" vertical="center" wrapText="1"/>
    </xf>
    <xf numFmtId="0" fontId="0" fillId="12" borderId="11" xfId="0" applyFill="1" applyBorder="1" applyAlignment="1">
      <alignment horizontal="left" indent="3"/>
    </xf>
    <xf numFmtId="170" fontId="0" fillId="12" borderId="0" xfId="0" applyNumberFormat="1" applyFill="1" applyBorder="1"/>
    <xf numFmtId="170" fontId="0" fillId="12" borderId="9" xfId="0" applyNumberFormat="1" applyFill="1" applyBorder="1"/>
    <xf numFmtId="170" fontId="0" fillId="0" borderId="0" xfId="0" applyNumberFormat="1" applyFont="1" applyFill="1" applyBorder="1" applyAlignment="1">
      <alignment horizontal="center"/>
    </xf>
    <xf numFmtId="0" fontId="0" fillId="14" borderId="0" xfId="0" applyFill="1" applyBorder="1" applyAlignment="1">
      <alignment horizontal="center"/>
    </xf>
    <xf numFmtId="0" fontId="0" fillId="0" borderId="21" xfId="0" applyFill="1" applyBorder="1"/>
    <xf numFmtId="0" fontId="0" fillId="0" borderId="0" xfId="0" applyFont="1" applyFill="1" applyBorder="1" applyAlignment="1">
      <alignment horizontal="left" indent="3"/>
    </xf>
    <xf numFmtId="172" fontId="0" fillId="0" borderId="0" xfId="1" applyNumberFormat="1" applyFont="1" applyFill="1" applyBorder="1"/>
    <xf numFmtId="172" fontId="0" fillId="0" borderId="0" xfId="1" applyNumberFormat="1" applyFont="1" applyBorder="1"/>
    <xf numFmtId="3" fontId="14" fillId="0" borderId="0" xfId="0" applyNumberFormat="1" applyFont="1" applyFill="1" applyBorder="1"/>
    <xf numFmtId="0" fontId="0" fillId="0" borderId="0" xfId="0" applyFill="1" applyBorder="1" applyAlignment="1"/>
    <xf numFmtId="0" fontId="14" fillId="14" borderId="0" xfId="0" applyFont="1" applyFill="1"/>
    <xf numFmtId="0" fontId="0" fillId="12" borderId="4" xfId="0" applyFill="1" applyBorder="1"/>
    <xf numFmtId="0" fontId="0" fillId="2" borderId="10" xfId="0" applyFill="1" applyBorder="1"/>
    <xf numFmtId="172" fontId="7" fillId="2" borderId="0" xfId="0" applyNumberFormat="1" applyFont="1" applyFill="1" applyBorder="1" applyAlignment="1">
      <alignment horizontal="center" vertical="center" wrapText="1"/>
    </xf>
    <xf numFmtId="172" fontId="7" fillId="2" borderId="9" xfId="0" applyNumberFormat="1" applyFont="1" applyFill="1" applyBorder="1" applyAlignment="1">
      <alignment horizontal="center" vertical="center" wrapText="1"/>
    </xf>
    <xf numFmtId="172" fontId="7" fillId="12" borderId="0" xfId="0" applyNumberFormat="1" applyFont="1" applyFill="1" applyBorder="1" applyAlignment="1">
      <alignment horizontal="center" vertical="center" wrapText="1"/>
    </xf>
    <xf numFmtId="172" fontId="7" fillId="12" borderId="9" xfId="0" applyNumberFormat="1" applyFont="1" applyFill="1" applyBorder="1" applyAlignment="1">
      <alignment horizontal="center" vertical="center" wrapText="1"/>
    </xf>
    <xf numFmtId="172" fontId="109" fillId="2" borderId="0" xfId="0" applyNumberFormat="1" applyFont="1" applyFill="1" applyBorder="1" applyAlignment="1">
      <alignment horizontal="center" vertical="center" wrapText="1"/>
    </xf>
    <xf numFmtId="172" fontId="109" fillId="2" borderId="9" xfId="0" applyNumberFormat="1" applyFont="1" applyFill="1" applyBorder="1" applyAlignment="1">
      <alignment horizontal="center" vertical="center" wrapText="1"/>
    </xf>
    <xf numFmtId="172" fontId="109" fillId="2" borderId="11" xfId="0" applyNumberFormat="1" applyFont="1" applyFill="1" applyBorder="1" applyAlignment="1">
      <alignment horizontal="center" vertical="center" wrapText="1"/>
    </xf>
    <xf numFmtId="172" fontId="109" fillId="2" borderId="12" xfId="0" applyNumberFormat="1" applyFont="1" applyFill="1" applyBorder="1" applyAlignment="1">
      <alignment horizontal="center" vertical="center" wrapText="1"/>
    </xf>
    <xf numFmtId="172" fontId="7" fillId="12" borderId="0" xfId="0" applyNumberFormat="1" applyFont="1" applyFill="1" applyAlignment="1">
      <alignment horizontal="center" vertical="center" wrapText="1"/>
    </xf>
    <xf numFmtId="172" fontId="7" fillId="2" borderId="2" xfId="0" applyNumberFormat="1" applyFont="1" applyFill="1" applyBorder="1" applyAlignment="1">
      <alignment horizontal="center" vertical="center" wrapText="1"/>
    </xf>
    <xf numFmtId="172" fontId="7" fillId="2" borderId="3" xfId="1" applyNumberFormat="1" applyFont="1" applyFill="1" applyBorder="1" applyAlignment="1">
      <alignment horizontal="center" vertical="center" wrapText="1"/>
    </xf>
    <xf numFmtId="172" fontId="7" fillId="2" borderId="4" xfId="1" applyNumberFormat="1" applyFont="1" applyFill="1" applyBorder="1" applyAlignment="1">
      <alignment horizontal="center" vertical="center" wrapText="1"/>
    </xf>
    <xf numFmtId="174" fontId="0" fillId="0" borderId="0" xfId="0" applyNumberFormat="1" applyFill="1" applyAlignment="1">
      <alignment horizontal="center"/>
    </xf>
    <xf numFmtId="171" fontId="109" fillId="2" borderId="10" xfId="0" applyNumberFormat="1" applyFont="1" applyFill="1" applyBorder="1" applyAlignment="1">
      <alignment horizontal="center"/>
    </xf>
    <xf numFmtId="171" fontId="109" fillId="2" borderId="11" xfId="0" applyNumberFormat="1" applyFont="1" applyFill="1" applyBorder="1" applyAlignment="1">
      <alignment horizontal="center"/>
    </xf>
    <xf numFmtId="171" fontId="109" fillId="2" borderId="12" xfId="0" applyNumberFormat="1" applyFont="1" applyFill="1" applyBorder="1" applyAlignment="1">
      <alignment horizontal="center"/>
    </xf>
    <xf numFmtId="173" fontId="0" fillId="0" borderId="0" xfId="0" applyNumberFormat="1" applyFill="1" applyBorder="1" applyAlignment="1"/>
    <xf numFmtId="0" fontId="0" fillId="2" borderId="0" xfId="0" applyFill="1"/>
    <xf numFmtId="170" fontId="0" fillId="2" borderId="0" xfId="0" applyNumberFormat="1" applyFill="1"/>
    <xf numFmtId="0" fontId="1" fillId="0" borderId="1" xfId="0" applyFont="1" applyFill="1" applyBorder="1"/>
    <xf numFmtId="0" fontId="0" fillId="0" borderId="1" xfId="0" applyFill="1" applyBorder="1"/>
    <xf numFmtId="0" fontId="0" fillId="0" borderId="5" xfId="0" applyBorder="1"/>
    <xf numFmtId="0" fontId="0" fillId="0" borderId="7" xfId="0" applyBorder="1"/>
    <xf numFmtId="0" fontId="0" fillId="0" borderId="8" xfId="0" applyBorder="1"/>
    <xf numFmtId="0" fontId="0" fillId="0" borderId="10" xfId="0" applyBorder="1"/>
    <xf numFmtId="0" fontId="0" fillId="0" borderId="6" xfId="0" applyBorder="1"/>
    <xf numFmtId="0" fontId="0" fillId="0" borderId="9" xfId="0" applyBorder="1"/>
    <xf numFmtId="173" fontId="0" fillId="0" borderId="11" xfId="0" applyNumberFormat="1" applyFill="1" applyBorder="1"/>
    <xf numFmtId="0" fontId="0" fillId="0" borderId="12" xfId="0" applyBorder="1"/>
    <xf numFmtId="0" fontId="0" fillId="12" borderId="4" xfId="0" applyFill="1" applyBorder="1"/>
    <xf numFmtId="0" fontId="6" fillId="0" borderId="0" xfId="0" applyFont="1" applyFill="1" applyBorder="1"/>
    <xf numFmtId="0" fontId="0" fillId="2" borderId="8" xfId="0" applyFill="1" applyBorder="1"/>
    <xf numFmtId="0" fontId="0" fillId="2" borderId="0" xfId="0" applyFill="1" applyBorder="1"/>
    <xf numFmtId="170" fontId="0" fillId="2" borderId="0" xfId="0" applyNumberFormat="1" applyFill="1" applyBorder="1"/>
    <xf numFmtId="170" fontId="0" fillId="2" borderId="9" xfId="0" applyNumberFormat="1" applyFill="1" applyBorder="1"/>
    <xf numFmtId="0" fontId="0" fillId="2" borderId="11" xfId="0" applyFill="1" applyBorder="1"/>
    <xf numFmtId="170" fontId="0" fillId="2" borderId="11" xfId="0" applyNumberFormat="1" applyFill="1" applyBorder="1"/>
    <xf numFmtId="170" fontId="0" fillId="2" borderId="12" xfId="0" applyNumberFormat="1" applyFill="1" applyBorder="1"/>
    <xf numFmtId="0" fontId="106" fillId="0" borderId="0" xfId="0" applyFont="1" applyFill="1" applyBorder="1" applyAlignment="1">
      <alignment horizontal="center"/>
    </xf>
    <xf numFmtId="2" fontId="0" fillId="0" borderId="8" xfId="0" applyNumberFormat="1" applyBorder="1"/>
    <xf numFmtId="2" fontId="0" fillId="0" borderId="9" xfId="0" applyNumberFormat="1" applyBorder="1"/>
    <xf numFmtId="2" fontId="0" fillId="0" borderId="10" xfId="0" applyNumberFormat="1" applyBorder="1"/>
    <xf numFmtId="2" fontId="0" fillId="0" borderId="11" xfId="0" applyNumberFormat="1" applyBorder="1"/>
    <xf numFmtId="2" fontId="0" fillId="0" borderId="12" xfId="0" applyNumberFormat="1" applyBorder="1"/>
    <xf numFmtId="0" fontId="17" fillId="2" borderId="13" xfId="0" applyFont="1" applyFill="1" applyBorder="1" applyAlignment="1">
      <alignment horizontal="left" vertical="center"/>
    </xf>
    <xf numFmtId="0" fontId="0" fillId="0" borderId="0" xfId="0" applyAlignment="1">
      <alignment horizontal="left" vertical="center"/>
    </xf>
    <xf numFmtId="10" fontId="17" fillId="2" borderId="13" xfId="0" applyNumberFormat="1" applyFont="1" applyFill="1" applyBorder="1" applyAlignment="1">
      <alignment horizontal="left" vertical="center"/>
    </xf>
    <xf numFmtId="15" fontId="17" fillId="2" borderId="13" xfId="0" applyNumberFormat="1" applyFont="1" applyFill="1" applyBorder="1" applyAlignment="1">
      <alignment horizontal="left" vertical="center"/>
    </xf>
    <xf numFmtId="0" fontId="0" fillId="0" borderId="8" xfId="0" quotePrefix="1" applyFill="1" applyBorder="1" applyAlignment="1">
      <alignment horizontal="left" indent="2"/>
    </xf>
    <xf numFmtId="0" fontId="0" fillId="0" borderId="10" xfId="0" applyFill="1" applyBorder="1" applyAlignment="1">
      <alignment horizontal="left" indent="2"/>
    </xf>
    <xf numFmtId="0" fontId="0" fillId="2" borderId="13" xfId="0" applyFill="1" applyBorder="1" applyAlignment="1">
      <alignment horizontal="center"/>
    </xf>
    <xf numFmtId="0" fontId="114" fillId="0" borderId="0" xfId="0" applyFont="1" applyFill="1" applyBorder="1" applyAlignment="1"/>
    <xf numFmtId="0" fontId="4" fillId="0" borderId="0" xfId="0" applyFont="1" applyFill="1" applyBorder="1" applyAlignment="1">
      <alignment horizontal="center" vertical="center" wrapText="1"/>
    </xf>
    <xf numFmtId="0" fontId="6" fillId="15" borderId="0" xfId="0" applyFont="1" applyFill="1"/>
    <xf numFmtId="0" fontId="6" fillId="15" borderId="1" xfId="0" applyFont="1" applyFill="1" applyBorder="1"/>
    <xf numFmtId="2" fontId="0" fillId="2" borderId="0" xfId="0" applyNumberFormat="1" applyFill="1" applyBorder="1"/>
    <xf numFmtId="2" fontId="0" fillId="2" borderId="9" xfId="0" applyNumberFormat="1" applyFill="1" applyBorder="1"/>
    <xf numFmtId="0" fontId="1" fillId="0" borderId="2" xfId="0" applyFont="1" applyBorder="1"/>
    <xf numFmtId="0" fontId="1" fillId="0" borderId="3" xfId="0" applyFont="1" applyBorder="1"/>
    <xf numFmtId="0" fontId="1" fillId="3" borderId="13" xfId="0" applyFont="1" applyFill="1" applyBorder="1"/>
    <xf numFmtId="0" fontId="1" fillId="12" borderId="3" xfId="0" applyFont="1" applyFill="1" applyBorder="1"/>
    <xf numFmtId="0" fontId="1" fillId="12" borderId="4" xfId="0" applyFont="1" applyFill="1" applyBorder="1"/>
    <xf numFmtId="0" fontId="4" fillId="12" borderId="0" xfId="0" applyFont="1" applyFill="1" applyBorder="1" applyAlignment="1">
      <alignment vertical="center"/>
    </xf>
    <xf numFmtId="0" fontId="17" fillId="12" borderId="0" xfId="0" applyFont="1" applyFill="1" applyBorder="1" applyAlignment="1">
      <alignment horizontal="left" vertical="center"/>
    </xf>
    <xf numFmtId="0" fontId="17" fillId="12" borderId="0" xfId="0" applyFont="1" applyFill="1" applyAlignment="1">
      <alignment horizontal="left" vertical="center"/>
    </xf>
    <xf numFmtId="0" fontId="0" fillId="12" borderId="0" xfId="0" applyFill="1" applyAlignment="1">
      <alignment horizontal="right" vertical="center"/>
    </xf>
    <xf numFmtId="0" fontId="7" fillId="12" borderId="0" xfId="0" applyFont="1" applyFill="1" applyBorder="1" applyAlignment="1">
      <alignment vertical="center"/>
    </xf>
    <xf numFmtId="0" fontId="17" fillId="12" borderId="0" xfId="0" applyFont="1" applyFill="1" applyBorder="1" applyAlignment="1">
      <alignment vertical="center"/>
    </xf>
    <xf numFmtId="0" fontId="7" fillId="12" borderId="0" xfId="0" applyFont="1" applyFill="1" applyAlignment="1">
      <alignment vertical="center"/>
    </xf>
    <xf numFmtId="0" fontId="6" fillId="12" borderId="0" xfId="0" applyFont="1" applyFill="1" applyBorder="1" applyAlignment="1">
      <alignment vertical="center"/>
    </xf>
    <xf numFmtId="0" fontId="7" fillId="12" borderId="0" xfId="0" applyFont="1" applyFill="1" applyBorder="1" applyAlignment="1">
      <alignment horizontal="left" vertical="center"/>
    </xf>
    <xf numFmtId="0" fontId="6" fillId="12" borderId="0" xfId="0" applyFont="1" applyFill="1" applyBorder="1" applyAlignment="1">
      <alignment horizontal="center" vertical="center"/>
    </xf>
    <xf numFmtId="0" fontId="6" fillId="12" borderId="0" xfId="0" applyFont="1" applyFill="1" applyBorder="1" applyAlignment="1">
      <alignment horizontal="center"/>
    </xf>
    <xf numFmtId="0" fontId="0" fillId="12" borderId="0" xfId="0" applyFill="1" applyBorder="1" applyAlignment="1">
      <alignment vertical="center"/>
    </xf>
    <xf numFmtId="0" fontId="0" fillId="12" borderId="0" xfId="0" applyFill="1" applyBorder="1" applyAlignment="1">
      <alignment vertical="center" wrapText="1"/>
    </xf>
    <xf numFmtId="0" fontId="7" fillId="12" borderId="0" xfId="0" applyFont="1" applyFill="1" applyBorder="1" applyAlignment="1">
      <alignment horizontal="center" vertical="center"/>
    </xf>
    <xf numFmtId="15" fontId="7" fillId="12" borderId="0" xfId="0" applyNumberFormat="1" applyFont="1" applyFill="1" applyBorder="1" applyAlignment="1">
      <alignment horizontal="center"/>
    </xf>
    <xf numFmtId="0" fontId="7" fillId="12" borderId="8" xfId="0" applyFont="1" applyFill="1" applyBorder="1" applyAlignment="1">
      <alignment horizontal="left" indent="2"/>
    </xf>
    <xf numFmtId="0" fontId="7" fillId="12" borderId="14" xfId="0" applyFont="1" applyFill="1" applyBorder="1" applyAlignment="1">
      <alignment horizontal="left"/>
    </xf>
    <xf numFmtId="170" fontId="7" fillId="12" borderId="8" xfId="0" applyNumberFormat="1" applyFont="1" applyFill="1" applyBorder="1"/>
    <xf numFmtId="170" fontId="7" fillId="12" borderId="0" xfId="0" applyNumberFormat="1" applyFont="1" applyFill="1" applyBorder="1"/>
    <xf numFmtId="170" fontId="7" fillId="12" borderId="9" xfId="0" applyNumberFormat="1" applyFont="1" applyFill="1" applyBorder="1"/>
    <xf numFmtId="0" fontId="0" fillId="0" borderId="3" xfId="0" applyFill="1" applyBorder="1"/>
    <xf numFmtId="0" fontId="0" fillId="0" borderId="5" xfId="0" applyFill="1" applyBorder="1" applyAlignment="1">
      <alignment horizontal="left" indent="2"/>
    </xf>
    <xf numFmtId="170" fontId="0" fillId="0" borderId="8" xfId="1" applyNumberFormat="1" applyFont="1" applyFill="1" applyBorder="1"/>
    <xf numFmtId="170" fontId="0" fillId="0" borderId="0" xfId="1" applyNumberFormat="1" applyFont="1" applyFill="1" applyBorder="1"/>
    <xf numFmtId="170" fontId="0" fillId="0" borderId="9" xfId="1" applyNumberFormat="1" applyFont="1" applyFill="1" applyBorder="1"/>
    <xf numFmtId="170" fontId="0" fillId="0" borderId="10" xfId="1" applyNumberFormat="1" applyFont="1" applyFill="1" applyBorder="1"/>
    <xf numFmtId="170" fontId="0" fillId="0" borderId="11" xfId="1" applyNumberFormat="1" applyFont="1" applyFill="1" applyBorder="1"/>
    <xf numFmtId="170" fontId="0" fillId="0" borderId="12" xfId="1" applyNumberFormat="1" applyFont="1" applyFill="1" applyBorder="1"/>
    <xf numFmtId="0" fontId="1" fillId="0" borderId="2" xfId="0" applyFont="1" applyFill="1" applyBorder="1" applyAlignment="1"/>
    <xf numFmtId="0" fontId="1" fillId="0" borderId="3" xfId="0" applyFont="1" applyFill="1" applyBorder="1" applyAlignment="1"/>
    <xf numFmtId="0" fontId="1" fillId="0" borderId="4" xfId="0" applyFont="1" applyFill="1" applyBorder="1" applyAlignment="1"/>
    <xf numFmtId="0" fontId="0" fillId="0" borderId="0" xfId="0" quotePrefix="1" applyBorder="1"/>
    <xf numFmtId="0" fontId="1" fillId="0" borderId="11" xfId="0" applyFont="1" applyBorder="1"/>
    <xf numFmtId="0" fontId="1" fillId="0" borderId="12" xfId="0" applyFont="1" applyBorder="1"/>
    <xf numFmtId="0" fontId="0" fillId="0" borderId="12" xfId="0" applyFill="1" applyBorder="1"/>
    <xf numFmtId="170" fontId="0" fillId="0" borderId="6" xfId="1" applyNumberFormat="1" applyFont="1" applyFill="1" applyBorder="1"/>
    <xf numFmtId="170" fontId="0" fillId="0" borderId="7" xfId="1" applyNumberFormat="1" applyFont="1" applyFill="1" applyBorder="1"/>
    <xf numFmtId="173" fontId="0" fillId="0" borderId="12" xfId="0" applyNumberFormat="1" applyFill="1" applyBorder="1"/>
    <xf numFmtId="170" fontId="0" fillId="0" borderId="5" xfId="1" applyNumberFormat="1" applyFont="1" applyFill="1" applyBorder="1"/>
    <xf numFmtId="173" fontId="0" fillId="0" borderId="10" xfId="0" applyNumberFormat="1" applyFill="1" applyBorder="1"/>
    <xf numFmtId="0" fontId="1" fillId="3" borderId="13" xfId="0" applyFont="1" applyFill="1" applyBorder="1" applyAlignment="1"/>
    <xf numFmtId="170" fontId="0" fillId="14" borderId="0" xfId="0" applyNumberFormat="1" applyFill="1" applyBorder="1" applyAlignment="1">
      <alignment horizontal="center"/>
    </xf>
    <xf numFmtId="0" fontId="0" fillId="14" borderId="0" xfId="0" applyFill="1"/>
    <xf numFmtId="0" fontId="0" fillId="0" borderId="1" xfId="0" applyBorder="1"/>
    <xf numFmtId="2" fontId="0" fillId="0" borderId="1" xfId="0" applyNumberFormat="1" applyFill="1" applyBorder="1"/>
    <xf numFmtId="0" fontId="0" fillId="24" borderId="2" xfId="0" applyFill="1" applyBorder="1"/>
    <xf numFmtId="0" fontId="0" fillId="24" borderId="3" xfId="0" applyFill="1" applyBorder="1"/>
    <xf numFmtId="0" fontId="0" fillId="58" borderId="2" xfId="0" applyFill="1" applyBorder="1"/>
    <xf numFmtId="0" fontId="0" fillId="58" borderId="3" xfId="0" applyFill="1" applyBorder="1"/>
    <xf numFmtId="0" fontId="0" fillId="58" borderId="4" xfId="0" applyFill="1" applyBorder="1"/>
    <xf numFmtId="0" fontId="0" fillId="16" borderId="2" xfId="0" applyFill="1" applyBorder="1"/>
    <xf numFmtId="0" fontId="0" fillId="16" borderId="3" xfId="0" applyFill="1" applyBorder="1"/>
    <xf numFmtId="0" fontId="0" fillId="16" borderId="4" xfId="0" applyFill="1" applyBorder="1"/>
    <xf numFmtId="0" fontId="0" fillId="59" borderId="3" xfId="0" applyFill="1" applyBorder="1"/>
    <xf numFmtId="0" fontId="0" fillId="59" borderId="4" xfId="0" applyFill="1" applyBorder="1"/>
    <xf numFmtId="170" fontId="0" fillId="0" borderId="1" xfId="1" applyNumberFormat="1" applyFont="1" applyFill="1" applyBorder="1"/>
    <xf numFmtId="0" fontId="1" fillId="3" borderId="0" xfId="0" applyFont="1" applyFill="1" applyBorder="1"/>
    <xf numFmtId="0" fontId="1" fillId="23" borderId="0" xfId="0" applyFont="1" applyFill="1" applyBorder="1"/>
    <xf numFmtId="0" fontId="1" fillId="2" borderId="0" xfId="0" applyFont="1" applyFill="1" applyBorder="1"/>
    <xf numFmtId="0" fontId="0" fillId="0" borderId="11" xfId="0" applyFont="1" applyBorder="1"/>
    <xf numFmtId="0" fontId="0" fillId="0" borderId="0" xfId="0" applyFont="1" applyAlignment="1">
      <alignment horizontal="center"/>
    </xf>
    <xf numFmtId="0" fontId="0" fillId="0" borderId="0" xfId="0" applyFont="1" applyFill="1" applyAlignment="1">
      <alignment horizontal="center"/>
    </xf>
    <xf numFmtId="2" fontId="0" fillId="0" borderId="0" xfId="0" applyNumberFormat="1" applyFont="1"/>
    <xf numFmtId="2" fontId="0" fillId="0" borderId="0" xfId="0" applyNumberFormat="1" applyFont="1" applyBorder="1" applyAlignment="1"/>
    <xf numFmtId="2" fontId="0" fillId="0" borderId="0" xfId="0" applyNumberFormat="1" applyFont="1" applyBorder="1"/>
    <xf numFmtId="2" fontId="0" fillId="0" borderId="0" xfId="0" applyNumberFormat="1" applyFont="1" applyBorder="1" applyAlignment="1">
      <alignment horizontal="right"/>
    </xf>
    <xf numFmtId="0" fontId="0" fillId="0" borderId="0" xfId="0" applyNumberFormat="1" applyFont="1" applyBorder="1"/>
    <xf numFmtId="2" fontId="0" fillId="0" borderId="0" xfId="0" applyNumberFormat="1" applyFont="1" applyFill="1"/>
    <xf numFmtId="0" fontId="0" fillId="0" borderId="0" xfId="0" applyFont="1" applyFill="1" applyBorder="1" applyAlignment="1"/>
    <xf numFmtId="0" fontId="0" fillId="2" borderId="2" xfId="0" applyFont="1" applyFill="1" applyBorder="1" applyAlignment="1">
      <alignment horizontal="center"/>
    </xf>
    <xf numFmtId="0" fontId="0" fillId="2" borderId="3" xfId="0" applyFont="1" applyFill="1" applyBorder="1" applyAlignment="1">
      <alignment horizontal="center"/>
    </xf>
    <xf numFmtId="0" fontId="1" fillId="0" borderId="11" xfId="0" applyFont="1" applyFill="1" applyBorder="1"/>
    <xf numFmtId="0" fontId="5" fillId="0" borderId="0" xfId="0" applyFont="1" applyFill="1" applyBorder="1" applyAlignment="1">
      <alignment vertical="center"/>
    </xf>
    <xf numFmtId="0" fontId="1" fillId="0" borderId="0" xfId="0" applyFont="1" applyFill="1" applyBorder="1" applyAlignment="1">
      <alignment horizontal="left" vertical="center" wrapText="1"/>
    </xf>
    <xf numFmtId="0" fontId="127" fillId="0" borderId="0" xfId="0" applyFont="1" applyFill="1" applyBorder="1" applyAlignment="1">
      <alignment vertical="center" wrapText="1"/>
    </xf>
    <xf numFmtId="0" fontId="1" fillId="0" borderId="0" xfId="0" applyFont="1" applyFill="1" applyBorder="1" applyAlignment="1">
      <alignment vertical="center"/>
    </xf>
    <xf numFmtId="0" fontId="1" fillId="0" borderId="11" xfId="0" applyFont="1" applyFill="1" applyBorder="1" applyAlignment="1">
      <alignment horizontal="center"/>
    </xf>
    <xf numFmtId="0" fontId="0" fillId="0" borderId="0" xfId="0" applyFont="1" applyFill="1" applyBorder="1" applyAlignment="1">
      <alignment horizontal="left" vertical="center" wrapText="1" indent="2"/>
    </xf>
    <xf numFmtId="2" fontId="0" fillId="0" borderId="11" xfId="0" applyNumberFormat="1" applyFont="1" applyBorder="1"/>
    <xf numFmtId="0" fontId="1" fillId="2" borderId="3" xfId="0" applyFont="1" applyFill="1" applyBorder="1" applyAlignment="1">
      <alignment horizontal="center"/>
    </xf>
    <xf numFmtId="0" fontId="0" fillId="2" borderId="3" xfId="0" applyFont="1" applyFill="1" applyBorder="1"/>
    <xf numFmtId="0" fontId="0" fillId="2" borderId="4" xfId="0" applyFont="1" applyFill="1" applyBorder="1"/>
    <xf numFmtId="1" fontId="0" fillId="60" borderId="26" xfId="0" applyNumberFormat="1" applyFont="1" applyFill="1" applyBorder="1"/>
    <xf numFmtId="1" fontId="0" fillId="60" borderId="27" xfId="0" applyNumberFormat="1" applyFont="1" applyFill="1" applyBorder="1"/>
    <xf numFmtId="1" fontId="0" fillId="60" borderId="28" xfId="0" applyNumberFormat="1" applyFont="1" applyFill="1" applyBorder="1"/>
    <xf numFmtId="0" fontId="14" fillId="60" borderId="23" xfId="0" applyFont="1" applyFill="1" applyBorder="1"/>
    <xf numFmtId="0" fontId="14" fillId="60" borderId="24" xfId="0" applyFont="1" applyFill="1" applyBorder="1"/>
    <xf numFmtId="0" fontId="128" fillId="0" borderId="0" xfId="0" applyFont="1" applyFill="1" applyBorder="1" applyAlignment="1">
      <alignment horizontal="left" vertical="center" wrapText="1"/>
    </xf>
    <xf numFmtId="0" fontId="0" fillId="12" borderId="1" xfId="0" applyFont="1" applyFill="1" applyBorder="1"/>
    <xf numFmtId="0" fontId="5" fillId="12" borderId="19" xfId="0" applyFont="1" applyFill="1" applyBorder="1"/>
    <xf numFmtId="0" fontId="0" fillId="12" borderId="47" xfId="0" applyFont="1" applyFill="1" applyBorder="1"/>
    <xf numFmtId="0" fontId="0" fillId="0" borderId="19" xfId="0" applyFont="1" applyFill="1" applyBorder="1" applyAlignment="1">
      <alignment horizontal="center"/>
    </xf>
    <xf numFmtId="0" fontId="0" fillId="0" borderId="19" xfId="0" applyFont="1" applyBorder="1"/>
    <xf numFmtId="0" fontId="0" fillId="0" borderId="19" xfId="0" applyFont="1" applyBorder="1" applyAlignment="1">
      <alignment horizontal="center"/>
    </xf>
    <xf numFmtId="2" fontId="0" fillId="0" borderId="19" xfId="0" applyNumberFormat="1" applyFont="1" applyBorder="1"/>
    <xf numFmtId="2" fontId="55" fillId="0" borderId="19" xfId="0" applyNumberFormat="1" applyFont="1" applyBorder="1"/>
    <xf numFmtId="2" fontId="0" fillId="0" borderId="19" xfId="0" applyNumberFormat="1" applyFont="1" applyFill="1" applyBorder="1"/>
    <xf numFmtId="0" fontId="0" fillId="0" borderId="0" xfId="0" applyFont="1" applyFill="1" applyBorder="1" applyAlignment="1">
      <alignment horizontal="right"/>
    </xf>
    <xf numFmtId="0" fontId="0" fillId="0" borderId="45" xfId="0" applyFont="1" applyBorder="1" applyAlignment="1">
      <alignment horizontal="left" indent="2"/>
    </xf>
    <xf numFmtId="3" fontId="0" fillId="0" borderId="15" xfId="0" applyNumberFormat="1" applyFont="1" applyBorder="1" applyAlignment="1">
      <alignment horizontal="center"/>
    </xf>
    <xf numFmtId="0" fontId="0" fillId="0" borderId="21" xfId="0" applyFont="1" applyBorder="1" applyAlignment="1">
      <alignment horizontal="left" indent="2"/>
    </xf>
    <xf numFmtId="3" fontId="0" fillId="0" borderId="1" xfId="0" applyNumberFormat="1" applyFont="1" applyBorder="1" applyAlignment="1">
      <alignment horizontal="center"/>
    </xf>
    <xf numFmtId="0" fontId="0" fillId="0" borderId="20" xfId="0" applyFont="1" applyBorder="1"/>
    <xf numFmtId="0" fontId="0" fillId="0" borderId="11" xfId="0" applyNumberFormat="1" applyFont="1" applyBorder="1"/>
    <xf numFmtId="0" fontId="7" fillId="12" borderId="9" xfId="0" applyFont="1" applyFill="1" applyBorder="1" applyAlignment="1">
      <alignment horizontal="center" vertical="center" wrapText="1"/>
    </xf>
    <xf numFmtId="0" fontId="6" fillId="15" borderId="0" xfId="0" applyFont="1" applyFill="1" applyBorder="1" applyAlignment="1">
      <alignment horizontal="left" vertical="center"/>
    </xf>
    <xf numFmtId="171" fontId="7" fillId="61" borderId="5" xfId="0" applyNumberFormat="1" applyFont="1" applyFill="1" applyBorder="1" applyAlignment="1">
      <alignment horizontal="center"/>
    </xf>
    <xf numFmtId="171" fontId="7" fillId="61" borderId="8" xfId="0" applyNumberFormat="1" applyFont="1" applyFill="1" applyBorder="1" applyAlignment="1">
      <alignment horizontal="center"/>
    </xf>
    <xf numFmtId="171" fontId="7" fillId="61" borderId="10" xfId="0" applyNumberFormat="1" applyFont="1" applyFill="1" applyBorder="1" applyAlignment="1">
      <alignment horizontal="center"/>
    </xf>
    <xf numFmtId="0" fontId="0" fillId="61" borderId="5" xfId="0" applyFill="1" applyBorder="1" applyAlignment="1">
      <alignment horizontal="left" indent="3"/>
    </xf>
    <xf numFmtId="170" fontId="0" fillId="61" borderId="6" xfId="0" applyNumberFormat="1" applyFill="1" applyBorder="1" applyAlignment="1"/>
    <xf numFmtId="170" fontId="0" fillId="61" borderId="7" xfId="0" applyNumberFormat="1" applyFill="1" applyBorder="1" applyAlignment="1"/>
    <xf numFmtId="0" fontId="0" fillId="61" borderId="10" xfId="0" applyFill="1" applyBorder="1" applyAlignment="1">
      <alignment horizontal="left" indent="3"/>
    </xf>
    <xf numFmtId="170" fontId="0" fillId="61" borderId="11" xfId="0" applyNumberFormat="1" applyFill="1" applyBorder="1" applyAlignment="1"/>
    <xf numFmtId="170" fontId="0" fillId="61" borderId="12" xfId="0" applyNumberFormat="1" applyFill="1" applyBorder="1" applyAlignment="1"/>
    <xf numFmtId="0" fontId="111" fillId="12" borderId="0" xfId="0" applyFont="1" applyFill="1" applyAlignment="1">
      <alignment horizontal="left" vertical="top"/>
    </xf>
    <xf numFmtId="0" fontId="129" fillId="12" borderId="0" xfId="0" applyFont="1" applyFill="1" applyAlignment="1">
      <alignment horizontal="left" vertical="center" wrapText="1"/>
    </xf>
    <xf numFmtId="0" fontId="111" fillId="12" borderId="0" xfId="0" applyFont="1" applyFill="1" applyAlignment="1">
      <alignment vertical="top"/>
    </xf>
    <xf numFmtId="0" fontId="129" fillId="12" borderId="0" xfId="0" applyFont="1" applyFill="1" applyAlignment="1">
      <alignment vertical="center" wrapText="1"/>
    </xf>
    <xf numFmtId="0" fontId="14" fillId="0" borderId="5" xfId="0" applyFont="1" applyBorder="1"/>
    <xf numFmtId="0" fontId="14" fillId="60" borderId="25" xfId="0" applyFont="1" applyFill="1" applyBorder="1"/>
    <xf numFmtId="2" fontId="0" fillId="60" borderId="17" xfId="0" applyNumberFormat="1" applyFill="1" applyBorder="1"/>
    <xf numFmtId="0" fontId="6" fillId="15" borderId="0" xfId="0" applyNumberFormat="1" applyFont="1" applyFill="1" applyAlignment="1">
      <alignment horizontal="left" vertical="center" wrapText="1"/>
    </xf>
    <xf numFmtId="0" fontId="6" fillId="28" borderId="1" xfId="0" applyFont="1" applyFill="1" applyBorder="1" applyAlignment="1">
      <alignment horizontal="left" vertical="center" wrapText="1"/>
    </xf>
    <xf numFmtId="0" fontId="6" fillId="12" borderId="0" xfId="0" applyFont="1" applyFill="1" applyAlignment="1">
      <alignment horizontal="left" vertical="center" wrapText="1"/>
    </xf>
    <xf numFmtId="172" fontId="7" fillId="12" borderId="6" xfId="0" applyNumberFormat="1" applyFont="1" applyFill="1" applyBorder="1" applyAlignment="1">
      <alignment horizontal="center" vertical="center" wrapText="1"/>
    </xf>
    <xf numFmtId="172" fontId="7" fillId="12" borderId="7" xfId="0" applyNumberFormat="1" applyFont="1" applyFill="1" applyBorder="1" applyAlignment="1">
      <alignment horizontal="center" vertical="center" wrapText="1"/>
    </xf>
    <xf numFmtId="0" fontId="0" fillId="12" borderId="0" xfId="0" applyFont="1" applyFill="1" applyBorder="1" applyAlignment="1">
      <alignment vertical="center" wrapText="1"/>
    </xf>
    <xf numFmtId="0" fontId="14" fillId="12" borderId="0" xfId="0" applyFont="1" applyFill="1" applyBorder="1" applyAlignment="1">
      <alignment vertical="center" wrapText="1"/>
    </xf>
    <xf numFmtId="0" fontId="6" fillId="15" borderId="1" xfId="0" applyFont="1" applyFill="1" applyBorder="1" applyAlignment="1">
      <alignment horizontal="left" vertical="center"/>
    </xf>
    <xf numFmtId="0" fontId="6" fillId="28" borderId="0" xfId="0" applyFont="1" applyFill="1" applyBorder="1" applyAlignment="1">
      <alignment vertical="center" wrapText="1"/>
    </xf>
    <xf numFmtId="0" fontId="6" fillId="28" borderId="1" xfId="0" applyFont="1" applyFill="1" applyBorder="1" applyAlignment="1">
      <alignment vertical="center" wrapText="1"/>
    </xf>
    <xf numFmtId="0" fontId="0" fillId="12" borderId="0" xfId="0" applyFill="1" applyBorder="1" applyAlignment="1">
      <alignment horizontal="left" wrapText="1"/>
    </xf>
    <xf numFmtId="0" fontId="0" fillId="12" borderId="0" xfId="0" applyNumberFormat="1" applyFill="1" applyBorder="1" applyAlignment="1">
      <alignment horizontal="left" wrapText="1"/>
    </xf>
    <xf numFmtId="0" fontId="130" fillId="0" borderId="0" xfId="0" applyFont="1" applyAlignment="1">
      <alignment horizontal="center"/>
    </xf>
    <xf numFmtId="0" fontId="1" fillId="12" borderId="11" xfId="0" applyFont="1" applyFill="1" applyBorder="1"/>
    <xf numFmtId="0" fontId="1" fillId="12" borderId="0" xfId="0" applyFont="1" applyFill="1" applyBorder="1" applyAlignment="1"/>
    <xf numFmtId="0" fontId="0" fillId="12" borderId="0" xfId="0" applyFill="1" applyBorder="1" applyAlignment="1"/>
    <xf numFmtId="0" fontId="0" fillId="12" borderId="0" xfId="0" applyFill="1" applyBorder="1" applyAlignment="1">
      <alignment horizontal="left" vertical="top"/>
    </xf>
    <xf numFmtId="0" fontId="106" fillId="12" borderId="0" xfId="0" applyFont="1" applyFill="1" applyBorder="1" applyAlignment="1">
      <alignment horizontal="left"/>
    </xf>
    <xf numFmtId="0" fontId="14" fillId="12" borderId="0" xfId="0" applyFont="1" applyFill="1" applyBorder="1" applyAlignment="1">
      <alignment horizontal="left"/>
    </xf>
    <xf numFmtId="0" fontId="0" fillId="12" borderId="0" xfId="0" applyFill="1" applyBorder="1" applyAlignment="1">
      <alignment vertical="top"/>
    </xf>
    <xf numFmtId="0" fontId="11" fillId="12" borderId="49" xfId="0" applyFont="1" applyFill="1" applyBorder="1"/>
    <xf numFmtId="0" fontId="0" fillId="12" borderId="49" xfId="0" applyFill="1" applyBorder="1"/>
    <xf numFmtId="0" fontId="11" fillId="12" borderId="49" xfId="0" applyFont="1" applyFill="1" applyBorder="1" applyAlignment="1">
      <alignment horizontal="left"/>
    </xf>
    <xf numFmtId="172" fontId="0" fillId="12" borderId="49" xfId="0" applyNumberFormat="1" applyFill="1" applyBorder="1" applyAlignment="1">
      <alignment horizontal="center"/>
    </xf>
    <xf numFmtId="0" fontId="0" fillId="14" borderId="11" xfId="0" applyFill="1" applyBorder="1" applyAlignment="1">
      <alignment horizontal="left"/>
    </xf>
    <xf numFmtId="0" fontId="1" fillId="14" borderId="13" xfId="0" applyFont="1" applyFill="1" applyBorder="1" applyAlignment="1">
      <alignment horizontal="center" vertical="center" wrapText="1"/>
    </xf>
    <xf numFmtId="0" fontId="1" fillId="14" borderId="4" xfId="0" applyFont="1" applyFill="1" applyBorder="1" applyAlignment="1">
      <alignment horizontal="center" vertical="center" wrapText="1"/>
    </xf>
    <xf numFmtId="0" fontId="4" fillId="14" borderId="2" xfId="0" applyFont="1" applyFill="1" applyBorder="1" applyAlignment="1">
      <alignment horizontal="left" vertical="center"/>
    </xf>
    <xf numFmtId="0" fontId="0" fillId="14" borderId="4" xfId="0" applyFill="1" applyBorder="1"/>
    <xf numFmtId="0" fontId="0" fillId="12" borderId="0" xfId="0" applyNumberFormat="1" applyFill="1" applyBorder="1" applyAlignment="1">
      <alignment horizontal="left"/>
    </xf>
    <xf numFmtId="0" fontId="1" fillId="12" borderId="0" xfId="0" applyFont="1" applyFill="1" applyBorder="1" applyAlignment="1">
      <alignment horizontal="left"/>
    </xf>
    <xf numFmtId="0" fontId="14" fillId="12" borderId="0" xfId="0" applyFont="1" applyFill="1" applyBorder="1" applyAlignment="1">
      <alignment horizontal="left" vertical="top"/>
    </xf>
    <xf numFmtId="0" fontId="4" fillId="14" borderId="11" xfId="0" applyFont="1" applyFill="1" applyBorder="1" applyAlignment="1">
      <alignment horizontal="left" vertical="center"/>
    </xf>
    <xf numFmtId="0" fontId="0" fillId="0" borderId="0" xfId="0" applyFont="1" applyFill="1" applyAlignment="1">
      <alignment horizontal="left"/>
    </xf>
    <xf numFmtId="0" fontId="0" fillId="0" borderId="0" xfId="0" applyFont="1" applyAlignment="1">
      <alignment horizontal="left"/>
    </xf>
    <xf numFmtId="0" fontId="14" fillId="12" borderId="11" xfId="0" applyFont="1" applyFill="1" applyBorder="1"/>
    <xf numFmtId="0" fontId="96" fillId="12" borderId="11" xfId="3" applyFont="1" applyFill="1" applyBorder="1" applyAlignment="1" applyProtection="1"/>
    <xf numFmtId="0" fontId="0" fillId="12" borderId="11" xfId="0" applyFill="1" applyBorder="1" applyAlignment="1">
      <alignment horizontal="left"/>
    </xf>
    <xf numFmtId="0" fontId="6" fillId="12" borderId="0" xfId="0" applyFont="1" applyFill="1" applyAlignment="1">
      <alignment vertical="center"/>
    </xf>
    <xf numFmtId="0" fontId="6" fillId="3" borderId="13" xfId="0" applyFont="1" applyFill="1" applyBorder="1"/>
    <xf numFmtId="0" fontId="11" fillId="12" borderId="0" xfId="0" applyFont="1" applyFill="1" applyBorder="1" applyAlignment="1">
      <alignment vertical="center"/>
    </xf>
    <xf numFmtId="0" fontId="1" fillId="12" borderId="11" xfId="0" applyFont="1" applyFill="1" applyBorder="1" applyAlignment="1">
      <alignment horizontal="center" vertical="center" wrapText="1"/>
    </xf>
    <xf numFmtId="0" fontId="14" fillId="12" borderId="0" xfId="0" applyFont="1" applyFill="1" applyBorder="1" applyAlignment="1">
      <alignment vertical="center"/>
    </xf>
    <xf numFmtId="0" fontId="0" fillId="14" borderId="11" xfId="0" applyFill="1" applyBorder="1" applyAlignment="1">
      <alignment horizontal="left" indent="1"/>
    </xf>
    <xf numFmtId="0" fontId="131" fillId="12" borderId="0" xfId="3" applyFont="1" applyFill="1" applyBorder="1" applyAlignment="1" applyProtection="1">
      <alignment horizontal="left" indent="2"/>
    </xf>
    <xf numFmtId="0" fontId="6" fillId="15" borderId="0" xfId="0" applyFont="1" applyFill="1" applyBorder="1" applyAlignment="1">
      <alignment horizontal="left" vertical="center" wrapText="1"/>
    </xf>
    <xf numFmtId="0" fontId="7" fillId="15" borderId="0" xfId="0" applyFont="1" applyFill="1" applyBorder="1" applyAlignment="1">
      <alignment horizontal="center" vertical="center" wrapText="1"/>
    </xf>
    <xf numFmtId="170" fontId="7" fillId="12" borderId="7" xfId="0" applyNumberFormat="1" applyFont="1" applyFill="1" applyBorder="1"/>
    <xf numFmtId="170" fontId="0" fillId="0" borderId="0" xfId="0" applyNumberFormat="1" applyFill="1" applyBorder="1"/>
    <xf numFmtId="0" fontId="129" fillId="12" borderId="0" xfId="0" applyFont="1" applyFill="1" applyAlignment="1">
      <alignment horizontal="left" wrapText="1"/>
    </xf>
    <xf numFmtId="1" fontId="0" fillId="0" borderId="0" xfId="1" applyNumberFormat="1" applyFont="1" applyFill="1" applyBorder="1" applyAlignment="1"/>
    <xf numFmtId="0" fontId="111" fillId="12" borderId="0" xfId="0" applyFont="1" applyFill="1" applyAlignment="1">
      <alignment horizontal="center" wrapText="1"/>
    </xf>
    <xf numFmtId="0" fontId="111" fillId="12" borderId="0" xfId="0" applyFont="1" applyFill="1" applyAlignment="1">
      <alignment horizontal="left" vertical="center" wrapText="1"/>
    </xf>
    <xf numFmtId="10" fontId="0" fillId="0" borderId="0" xfId="1" applyNumberFormat="1" applyFont="1" applyAlignment="1">
      <alignment horizontal="center"/>
    </xf>
    <xf numFmtId="0" fontId="1" fillId="19" borderId="0" xfId="0" applyFont="1" applyFill="1" applyBorder="1"/>
    <xf numFmtId="0" fontId="0" fillId="19" borderId="0" xfId="0" applyFont="1" applyFill="1" applyBorder="1"/>
    <xf numFmtId="0" fontId="14" fillId="19" borderId="0" xfId="0" applyFont="1" applyFill="1" applyBorder="1"/>
    <xf numFmtId="0" fontId="10" fillId="0" borderId="0" xfId="0" applyFont="1" applyFill="1" applyBorder="1"/>
    <xf numFmtId="0" fontId="14" fillId="0" borderId="0" xfId="4" applyFont="1" applyFill="1" applyAlignment="1">
      <alignment horizontal="left"/>
    </xf>
    <xf numFmtId="0" fontId="132" fillId="12" borderId="0" xfId="0" applyFont="1" applyFill="1" applyBorder="1" applyAlignment="1">
      <alignment horizontal="left" indent="1"/>
    </xf>
    <xf numFmtId="0" fontId="5" fillId="14" borderId="11" xfId="0" applyFont="1" applyFill="1" applyBorder="1" applyAlignment="1">
      <alignment vertical="center"/>
    </xf>
    <xf numFmtId="0" fontId="5" fillId="14" borderId="13" xfId="0" applyFont="1" applyFill="1" applyBorder="1" applyAlignment="1">
      <alignment vertical="center"/>
    </xf>
    <xf numFmtId="0" fontId="5" fillId="14" borderId="11" xfId="0" applyFont="1" applyFill="1" applyBorder="1" applyAlignment="1">
      <alignment horizontal="left" vertical="center"/>
    </xf>
    <xf numFmtId="0" fontId="134" fillId="14" borderId="11" xfId="0" applyFont="1" applyFill="1" applyBorder="1" applyAlignment="1">
      <alignment vertical="center"/>
    </xf>
    <xf numFmtId="172" fontId="134" fillId="14" borderId="11" xfId="0" applyNumberFormat="1" applyFont="1" applyFill="1" applyBorder="1" applyAlignment="1">
      <alignment horizontal="center" vertical="center"/>
    </xf>
    <xf numFmtId="0" fontId="134" fillId="14" borderId="11" xfId="0" applyFont="1" applyFill="1" applyBorder="1" applyAlignment="1">
      <alignment vertical="center" wrapText="1"/>
    </xf>
    <xf numFmtId="0" fontId="5" fillId="14" borderId="3" xfId="0" applyFont="1" applyFill="1" applyBorder="1" applyAlignment="1">
      <alignment vertical="center"/>
    </xf>
    <xf numFmtId="0" fontId="134" fillId="14" borderId="3" xfId="0" applyFont="1" applyFill="1" applyBorder="1" applyAlignment="1">
      <alignment vertical="center"/>
    </xf>
    <xf numFmtId="0" fontId="5" fillId="14" borderId="3" xfId="0" applyFont="1" applyFill="1" applyBorder="1" applyAlignment="1">
      <alignment horizontal="center" vertical="center" wrapText="1"/>
    </xf>
    <xf numFmtId="0" fontId="135" fillId="14" borderId="3" xfId="0" applyFont="1" applyFill="1" applyBorder="1" applyAlignment="1">
      <alignment vertical="center"/>
    </xf>
    <xf numFmtId="0" fontId="0" fillId="12" borderId="14" xfId="0" applyFill="1" applyBorder="1"/>
    <xf numFmtId="0" fontId="0" fillId="12" borderId="16" xfId="0" applyFill="1" applyBorder="1"/>
    <xf numFmtId="0" fontId="0" fillId="12" borderId="22" xfId="0" applyFill="1" applyBorder="1"/>
    <xf numFmtId="0" fontId="18" fillId="12" borderId="0" xfId="0" applyFont="1" applyFill="1"/>
    <xf numFmtId="0" fontId="0" fillId="16" borderId="26" xfId="0" applyFill="1" applyBorder="1" applyAlignment="1">
      <alignment horizontal="center"/>
    </xf>
    <xf numFmtId="0" fontId="14" fillId="16" borderId="27" xfId="0" applyFont="1" applyFill="1" applyBorder="1" applyAlignment="1">
      <alignment horizontal="center"/>
    </xf>
    <xf numFmtId="2" fontId="0" fillId="14" borderId="0" xfId="0" applyNumberFormat="1" applyFont="1" applyFill="1" applyBorder="1" applyAlignment="1">
      <alignment horizontal="center"/>
    </xf>
    <xf numFmtId="9" fontId="0" fillId="14" borderId="0" xfId="0" applyNumberFormat="1" applyFill="1" applyBorder="1" applyAlignment="1">
      <alignment horizontal="center"/>
    </xf>
    <xf numFmtId="2" fontId="0" fillId="0" borderId="1" xfId="0" applyNumberFormat="1" applyFill="1" applyBorder="1" applyAlignment="1">
      <alignment horizontal="center"/>
    </xf>
    <xf numFmtId="1" fontId="0" fillId="0" borderId="0" xfId="0" applyNumberFormat="1" applyFont="1" applyFill="1" applyBorder="1"/>
    <xf numFmtId="0" fontId="136" fillId="63" borderId="11" xfId="0" applyFont="1" applyFill="1" applyBorder="1"/>
    <xf numFmtId="0" fontId="54" fillId="63" borderId="11" xfId="0" applyFont="1" applyFill="1" applyBorder="1"/>
    <xf numFmtId="0" fontId="54" fillId="63" borderId="11" xfId="0" applyFont="1" applyFill="1" applyBorder="1" applyAlignment="1">
      <alignment horizontal="center"/>
    </xf>
    <xf numFmtId="0" fontId="54" fillId="63" borderId="10" xfId="0" applyFont="1" applyFill="1" applyBorder="1" applyAlignment="1">
      <alignment horizontal="center"/>
    </xf>
    <xf numFmtId="0" fontId="54" fillId="63" borderId="12" xfId="0" applyFont="1" applyFill="1" applyBorder="1" applyAlignment="1">
      <alignment horizontal="center"/>
    </xf>
    <xf numFmtId="0" fontId="1" fillId="16" borderId="5" xfId="0" applyFont="1" applyFill="1" applyBorder="1" applyAlignment="1">
      <alignment horizontal="center"/>
    </xf>
    <xf numFmtId="0" fontId="1" fillId="16" borderId="6" xfId="0" applyFont="1" applyFill="1" applyBorder="1" applyAlignment="1">
      <alignment horizontal="center"/>
    </xf>
    <xf numFmtId="0" fontId="1" fillId="16" borderId="7" xfId="0" applyFont="1" applyFill="1" applyBorder="1" applyAlignment="1">
      <alignment horizontal="center"/>
    </xf>
    <xf numFmtId="0" fontId="0" fillId="16" borderId="8" xfId="0" applyFill="1" applyBorder="1" applyAlignment="1">
      <alignment horizontal="center"/>
    </xf>
    <xf numFmtId="0" fontId="0" fillId="16" borderId="0" xfId="0" applyFill="1" applyBorder="1" applyAlignment="1">
      <alignment horizontal="center"/>
    </xf>
    <xf numFmtId="0" fontId="0" fillId="16" borderId="9" xfId="0" applyFill="1" applyBorder="1" applyAlignment="1">
      <alignment horizontal="center"/>
    </xf>
    <xf numFmtId="170" fontId="0" fillId="16" borderId="8" xfId="0" applyNumberFormat="1" applyFill="1" applyBorder="1" applyAlignment="1">
      <alignment horizontal="center"/>
    </xf>
    <xf numFmtId="170" fontId="0" fillId="16" borderId="0" xfId="0" applyNumberFormat="1" applyFill="1" applyBorder="1" applyAlignment="1">
      <alignment horizontal="center"/>
    </xf>
    <xf numFmtId="170" fontId="0" fillId="16" borderId="9" xfId="0" applyNumberFormat="1" applyFill="1" applyBorder="1" applyAlignment="1">
      <alignment horizontal="center"/>
    </xf>
    <xf numFmtId="172" fontId="0" fillId="16" borderId="8" xfId="1" applyNumberFormat="1" applyFont="1" applyFill="1" applyBorder="1" applyAlignment="1">
      <alignment horizontal="center"/>
    </xf>
    <xf numFmtId="172" fontId="0" fillId="16" borderId="0" xfId="1" applyNumberFormat="1" applyFont="1" applyFill="1" applyBorder="1" applyAlignment="1">
      <alignment horizontal="center"/>
    </xf>
    <xf numFmtId="172" fontId="0" fillId="16" borderId="9" xfId="1" applyNumberFormat="1" applyFont="1" applyFill="1" applyBorder="1" applyAlignment="1">
      <alignment horizontal="center"/>
    </xf>
    <xf numFmtId="172" fontId="0" fillId="16" borderId="0" xfId="0" applyNumberFormat="1" applyFill="1" applyBorder="1" applyAlignment="1">
      <alignment horizontal="center"/>
    </xf>
    <xf numFmtId="172" fontId="0" fillId="16" borderId="9" xfId="0" applyNumberFormat="1" applyFill="1" applyBorder="1" applyAlignment="1">
      <alignment horizontal="center"/>
    </xf>
    <xf numFmtId="172" fontId="0" fillId="16" borderId="8" xfId="0" applyNumberFormat="1" applyFill="1" applyBorder="1" applyAlignment="1">
      <alignment horizontal="center"/>
    </xf>
    <xf numFmtId="2" fontId="0" fillId="16" borderId="8" xfId="0" applyNumberFormat="1" applyFill="1" applyBorder="1" applyAlignment="1">
      <alignment horizontal="center"/>
    </xf>
    <xf numFmtId="2" fontId="0" fillId="16" borderId="0" xfId="0" applyNumberFormat="1" applyFill="1" applyBorder="1" applyAlignment="1">
      <alignment horizontal="center"/>
    </xf>
    <xf numFmtId="2" fontId="0" fillId="16" borderId="9" xfId="0" applyNumberFormat="1" applyFill="1" applyBorder="1" applyAlignment="1">
      <alignment horizontal="center"/>
    </xf>
    <xf numFmtId="170" fontId="0" fillId="16" borderId="10" xfId="0" applyNumberFormat="1" applyFill="1" applyBorder="1" applyAlignment="1">
      <alignment horizontal="center"/>
    </xf>
    <xf numFmtId="170" fontId="0" fillId="16" borderId="11" xfId="0" applyNumberFormat="1" applyFill="1" applyBorder="1" applyAlignment="1">
      <alignment horizontal="center"/>
    </xf>
    <xf numFmtId="170" fontId="0" fillId="16" borderId="12" xfId="0" applyNumberFormat="1" applyFill="1" applyBorder="1" applyAlignment="1">
      <alignment horizontal="center"/>
    </xf>
    <xf numFmtId="0" fontId="0" fillId="12" borderId="13" xfId="0" applyFill="1" applyBorder="1" applyAlignment="1">
      <alignment horizontal="left"/>
    </xf>
    <xf numFmtId="0" fontId="137" fillId="63" borderId="5" xfId="0" applyFont="1" applyFill="1" applyBorder="1"/>
    <xf numFmtId="0" fontId="137" fillId="63" borderId="6" xfId="0" applyFont="1" applyFill="1" applyBorder="1"/>
    <xf numFmtId="0" fontId="54" fillId="63" borderId="6" xfId="0" applyFont="1" applyFill="1" applyBorder="1" applyAlignment="1">
      <alignment horizontal="center"/>
    </xf>
    <xf numFmtId="170" fontId="54" fillId="63" borderId="6" xfId="0" applyNumberFormat="1" applyFont="1" applyFill="1" applyBorder="1" applyAlignment="1">
      <alignment horizontal="center"/>
    </xf>
    <xf numFmtId="0" fontId="54" fillId="63" borderId="7" xfId="0" applyFont="1" applyFill="1" applyBorder="1" applyAlignment="1">
      <alignment horizontal="center"/>
    </xf>
    <xf numFmtId="0" fontId="14" fillId="19" borderId="11" xfId="0" applyFont="1" applyFill="1" applyBorder="1"/>
    <xf numFmtId="0" fontId="14" fillId="0" borderId="0" xfId="0" applyFont="1" applyFill="1" applyBorder="1" applyAlignment="1">
      <alignment horizontal="center"/>
    </xf>
    <xf numFmtId="170" fontId="0" fillId="19" borderId="11" xfId="0" applyNumberFormat="1" applyFont="1" applyFill="1" applyBorder="1" applyAlignment="1">
      <alignment horizontal="center"/>
    </xf>
    <xf numFmtId="0" fontId="5" fillId="12" borderId="0" xfId="0" applyFont="1" applyFill="1" applyBorder="1" applyAlignment="1">
      <alignment horizontal="left"/>
    </xf>
    <xf numFmtId="0" fontId="21" fillId="12" borderId="5" xfId="4" applyFont="1" applyFill="1" applyBorder="1"/>
    <xf numFmtId="0" fontId="21" fillId="12" borderId="6" xfId="4" applyFont="1" applyFill="1" applyBorder="1" applyAlignment="1">
      <alignment horizontal="left"/>
    </xf>
    <xf numFmtId="0" fontId="21" fillId="12" borderId="0" xfId="4" applyFont="1" applyFill="1" applyBorder="1" applyAlignment="1">
      <alignment horizontal="left"/>
    </xf>
    <xf numFmtId="0" fontId="21" fillId="12" borderId="8" xfId="4" applyFont="1" applyFill="1" applyBorder="1"/>
    <xf numFmtId="0" fontId="0" fillId="12" borderId="1" xfId="0" applyFill="1" applyBorder="1" applyAlignment="1">
      <alignment horizontal="center"/>
    </xf>
    <xf numFmtId="0" fontId="0" fillId="12" borderId="0" xfId="0" applyFont="1" applyFill="1" applyAlignment="1">
      <alignment horizontal="center"/>
    </xf>
    <xf numFmtId="0" fontId="17" fillId="12" borderId="0" xfId="0" applyFont="1" applyFill="1" applyBorder="1" applyAlignment="1">
      <alignment horizontal="center"/>
    </xf>
    <xf numFmtId="0" fontId="104" fillId="12" borderId="0" xfId="3" applyFont="1" applyFill="1" applyBorder="1" applyAlignment="1" applyProtection="1">
      <alignment horizontal="center"/>
    </xf>
    <xf numFmtId="0" fontId="17" fillId="12" borderId="0" xfId="0" applyFont="1" applyFill="1" applyAlignment="1">
      <alignment horizontal="center"/>
    </xf>
    <xf numFmtId="0" fontId="5" fillId="12" borderId="0" xfId="0" applyFont="1" applyFill="1" applyBorder="1" applyAlignment="1">
      <alignment horizontal="center"/>
    </xf>
    <xf numFmtId="0" fontId="125" fillId="12" borderId="0" xfId="0" applyFont="1" applyFill="1" applyBorder="1" applyAlignment="1">
      <alignment horizontal="left" vertical="center" wrapText="1"/>
    </xf>
    <xf numFmtId="0" fontId="126" fillId="12" borderId="0" xfId="0" applyFont="1" applyFill="1" applyBorder="1" applyAlignment="1">
      <alignment horizontal="left" vertical="center" wrapText="1"/>
    </xf>
    <xf numFmtId="0" fontId="123" fillId="12" borderId="0" xfId="0" applyFont="1" applyFill="1" applyAlignment="1">
      <alignment horizontal="left" vertical="center" wrapText="1"/>
    </xf>
    <xf numFmtId="0" fontId="0" fillId="2" borderId="2" xfId="0" applyFill="1" applyBorder="1"/>
    <xf numFmtId="0" fontId="0" fillId="2" borderId="3" xfId="0" applyFill="1" applyBorder="1"/>
    <xf numFmtId="0" fontId="0" fillId="2" borderId="4" xfId="0" applyFill="1" applyBorder="1"/>
    <xf numFmtId="170" fontId="0" fillId="0" borderId="5" xfId="0" applyNumberFormat="1" applyFill="1" applyBorder="1"/>
    <xf numFmtId="170" fontId="0" fillId="0" borderId="6" xfId="0" applyNumberFormat="1" applyFill="1" applyBorder="1"/>
    <xf numFmtId="170" fontId="0" fillId="0" borderId="7" xfId="0" applyNumberFormat="1" applyFill="1" applyBorder="1"/>
    <xf numFmtId="170" fontId="0" fillId="0" borderId="8" xfId="0" applyNumberFormat="1" applyFill="1" applyBorder="1"/>
    <xf numFmtId="170" fontId="0" fillId="0" borderId="9" xfId="0" applyNumberFormat="1" applyFill="1" applyBorder="1"/>
    <xf numFmtId="170" fontId="0" fillId="0" borderId="10" xfId="0" applyNumberFormat="1" applyFill="1" applyBorder="1"/>
    <xf numFmtId="170" fontId="0" fillId="0" borderId="11" xfId="0" applyNumberFormat="1" applyFill="1" applyBorder="1"/>
    <xf numFmtId="170" fontId="0" fillId="0" borderId="12" xfId="0" applyNumberFormat="1" applyFill="1" applyBorder="1"/>
    <xf numFmtId="2" fontId="0" fillId="0" borderId="0" xfId="0" applyNumberFormat="1" applyBorder="1" applyAlignment="1">
      <alignment horizontal="center"/>
    </xf>
    <xf numFmtId="2" fontId="0" fillId="0" borderId="11" xfId="0" applyNumberFormat="1" applyBorder="1" applyAlignment="1">
      <alignment horizontal="center"/>
    </xf>
    <xf numFmtId="2" fontId="0" fillId="0" borderId="11" xfId="0" applyNumberFormat="1" applyFill="1" applyBorder="1"/>
    <xf numFmtId="0" fontId="124" fillId="12" borderId="0" xfId="3" applyFont="1" applyFill="1" applyBorder="1" applyAlignment="1" applyProtection="1">
      <alignment horizontal="center" vertical="center" wrapText="1"/>
    </xf>
    <xf numFmtId="0" fontId="115" fillId="12" borderId="0" xfId="0" applyFont="1" applyFill="1" applyBorder="1" applyAlignment="1">
      <alignment horizontal="center" vertical="center" wrapText="1"/>
    </xf>
    <xf numFmtId="0" fontId="124" fillId="12" borderId="0" xfId="0" applyFont="1" applyFill="1" applyBorder="1" applyAlignment="1">
      <alignment horizontal="center" vertical="center" wrapText="1"/>
    </xf>
    <xf numFmtId="0" fontId="4" fillId="12" borderId="0" xfId="0" applyFont="1" applyFill="1" applyBorder="1"/>
    <xf numFmtId="0" fontId="0" fillId="23" borderId="0" xfId="0" applyFill="1"/>
    <xf numFmtId="0" fontId="14" fillId="3" borderId="0" xfId="0" applyFont="1" applyFill="1" applyAlignment="1">
      <alignment horizontal="left"/>
    </xf>
    <xf numFmtId="0" fontId="54" fillId="57" borderId="0" xfId="0" applyFont="1" applyFill="1"/>
    <xf numFmtId="0" fontId="126" fillId="12" borderId="0" xfId="0" applyFont="1" applyFill="1" applyBorder="1" applyAlignment="1">
      <alignment vertical="center" wrapText="1"/>
    </xf>
    <xf numFmtId="0" fontId="114" fillId="12" borderId="0" xfId="0" applyFont="1" applyFill="1" applyAlignment="1">
      <alignment horizontal="left" vertical="center" indent="5"/>
    </xf>
    <xf numFmtId="0" fontId="116" fillId="12" borderId="0" xfId="0" applyFont="1" applyFill="1" applyAlignment="1">
      <alignment horizontal="center" wrapText="1"/>
    </xf>
    <xf numFmtId="0" fontId="116" fillId="12" borderId="0" xfId="0" applyFont="1" applyFill="1" applyAlignment="1">
      <alignment horizontal="center"/>
    </xf>
    <xf numFmtId="0" fontId="133" fillId="12" borderId="0" xfId="0" applyFont="1" applyFill="1" applyAlignment="1">
      <alignment horizontal="center"/>
    </xf>
    <xf numFmtId="0" fontId="111" fillId="12" borderId="0" xfId="0" applyFont="1" applyFill="1" applyAlignment="1">
      <alignment horizontal="center" vertical="top"/>
    </xf>
    <xf numFmtId="0" fontId="116" fillId="12" borderId="0" xfId="0" applyFont="1" applyFill="1" applyAlignment="1">
      <alignment horizontal="center" vertical="center" wrapText="1"/>
    </xf>
    <xf numFmtId="0" fontId="14" fillId="0" borderId="19" xfId="0" applyFont="1" applyFill="1" applyBorder="1"/>
    <xf numFmtId="0" fontId="0" fillId="14" borderId="0" xfId="0" applyFill="1" applyAlignment="1">
      <alignment horizontal="center"/>
    </xf>
    <xf numFmtId="2" fontId="14" fillId="14" borderId="0" xfId="0" applyNumberFormat="1" applyFont="1" applyFill="1" applyBorder="1" applyAlignment="1">
      <alignment horizontal="center"/>
    </xf>
    <xf numFmtId="0" fontId="0" fillId="0" borderId="0" xfId="0" applyAlignment="1">
      <alignment horizontal="center" vertical="center"/>
    </xf>
    <xf numFmtId="0" fontId="0" fillId="14" borderId="0" xfId="0" applyFill="1" applyAlignment="1">
      <alignment horizontal="center" vertical="center"/>
    </xf>
    <xf numFmtId="2" fontId="14" fillId="14" borderId="0" xfId="0" applyNumberFormat="1" applyFont="1" applyFill="1" applyBorder="1" applyAlignment="1">
      <alignment horizontal="center" vertical="center"/>
    </xf>
    <xf numFmtId="0" fontId="0" fillId="0" borderId="19" xfId="0" applyFill="1" applyBorder="1"/>
    <xf numFmtId="0" fontId="14" fillId="14" borderId="0" xfId="0" applyFont="1" applyFill="1" applyAlignment="1">
      <alignment horizontal="center"/>
    </xf>
    <xf numFmtId="2" fontId="0" fillId="0" borderId="0" xfId="1" applyNumberFormat="1" applyFont="1" applyFill="1" applyBorder="1" applyAlignment="1">
      <alignment horizontal="center"/>
    </xf>
    <xf numFmtId="0" fontId="14" fillId="0" borderId="0" xfId="0" applyFont="1" applyFill="1" applyAlignment="1">
      <alignment horizontal="center"/>
    </xf>
    <xf numFmtId="0" fontId="51" fillId="0" borderId="15" xfId="0" applyFont="1" applyBorder="1" applyAlignment="1">
      <alignment horizontal="left"/>
    </xf>
    <xf numFmtId="0" fontId="0" fillId="14" borderId="0" xfId="0" applyFont="1" applyFill="1" applyBorder="1" applyAlignment="1">
      <alignment horizontal="left" vertical="center"/>
    </xf>
    <xf numFmtId="0" fontId="14" fillId="14" borderId="0" xfId="0" applyFont="1" applyFill="1" applyBorder="1"/>
    <xf numFmtId="0" fontId="0" fillId="0" borderId="0" xfId="0" applyFont="1" applyFill="1" applyBorder="1" applyAlignment="1">
      <alignment horizontal="left" indent="2"/>
    </xf>
    <xf numFmtId="0" fontId="14" fillId="0" borderId="48" xfId="0" applyFont="1" applyBorder="1"/>
    <xf numFmtId="3" fontId="0" fillId="0" borderId="0" xfId="0" applyNumberFormat="1" applyFill="1" applyBorder="1" applyAlignment="1">
      <alignment horizontal="left"/>
    </xf>
    <xf numFmtId="0" fontId="0" fillId="14" borderId="23" xfId="0" applyFill="1" applyBorder="1" applyAlignment="1">
      <alignment horizontal="center"/>
    </xf>
    <xf numFmtId="0" fontId="0" fillId="14" borderId="25" xfId="0" applyFill="1" applyBorder="1" applyAlignment="1">
      <alignment horizontal="center"/>
    </xf>
    <xf numFmtId="0" fontId="0" fillId="16" borderId="27" xfId="0" applyFont="1" applyFill="1" applyBorder="1" applyAlignment="1">
      <alignment horizontal="center" vertical="center"/>
    </xf>
    <xf numFmtId="0" fontId="0" fillId="0" borderId="0" xfId="0" applyFont="1" applyAlignment="1">
      <alignment horizontal="center" vertical="center"/>
    </xf>
    <xf numFmtId="0" fontId="0" fillId="0" borderId="0" xfId="0" applyFont="1" applyFill="1" applyBorder="1" applyAlignment="1">
      <alignment horizontal="right" vertical="center"/>
    </xf>
    <xf numFmtId="0" fontId="0" fillId="0" borderId="27" xfId="0" applyBorder="1"/>
    <xf numFmtId="0" fontId="0" fillId="0" borderId="28" xfId="0" applyBorder="1"/>
    <xf numFmtId="0" fontId="0" fillId="16" borderId="27" xfId="0" applyFill="1" applyBorder="1" applyAlignment="1">
      <alignment horizontal="center"/>
    </xf>
    <xf numFmtId="0" fontId="0" fillId="14" borderId="46" xfId="0" applyFill="1" applyBorder="1" applyAlignment="1">
      <alignment horizontal="center"/>
    </xf>
    <xf numFmtId="0" fontId="0" fillId="14" borderId="47" xfId="0" applyFill="1" applyBorder="1" applyAlignment="1">
      <alignment horizontal="center"/>
    </xf>
    <xf numFmtId="0" fontId="1" fillId="0" borderId="1" xfId="0" applyFont="1" applyBorder="1" applyAlignment="1">
      <alignment horizontal="center"/>
    </xf>
    <xf numFmtId="0" fontId="1" fillId="14" borderId="1" xfId="0" applyFont="1" applyFill="1" applyBorder="1"/>
    <xf numFmtId="0" fontId="1" fillId="0" borderId="1" xfId="0" applyFont="1" applyFill="1" applyBorder="1" applyAlignment="1">
      <alignment horizontal="center"/>
    </xf>
    <xf numFmtId="0" fontId="1" fillId="0" borderId="1" xfId="0" applyFont="1" applyBorder="1" applyAlignment="1">
      <alignment horizontal="right"/>
    </xf>
    <xf numFmtId="0" fontId="100" fillId="0" borderId="0" xfId="0" applyFont="1" applyFill="1"/>
    <xf numFmtId="0" fontId="0" fillId="0" borderId="0" xfId="0" applyFill="1" applyAlignment="1">
      <alignment horizontal="center" vertical="center"/>
    </xf>
    <xf numFmtId="2" fontId="14" fillId="0" borderId="0" xfId="0" applyNumberFormat="1" applyFont="1" applyFill="1" applyBorder="1" applyAlignment="1">
      <alignment horizontal="center" vertical="center"/>
    </xf>
    <xf numFmtId="2" fontId="14" fillId="0" borderId="0" xfId="0" applyNumberFormat="1" applyFont="1" applyFill="1" applyBorder="1" applyAlignment="1">
      <alignment horizontal="center"/>
    </xf>
    <xf numFmtId="0" fontId="4" fillId="12" borderId="0" xfId="0" applyFont="1" applyFill="1" applyBorder="1" applyAlignment="1">
      <alignment horizontal="left" vertical="center" wrapText="1"/>
    </xf>
    <xf numFmtId="0" fontId="4" fillId="12" borderId="0" xfId="0" applyFont="1" applyFill="1" applyBorder="1" applyAlignment="1">
      <alignment horizontal="left" vertical="center"/>
    </xf>
    <xf numFmtId="0" fontId="0" fillId="0" borderId="47" xfId="0" applyFill="1" applyBorder="1"/>
    <xf numFmtId="0" fontId="21" fillId="2" borderId="11" xfId="4" applyFont="1" applyFill="1" applyBorder="1" applyAlignment="1">
      <alignment horizontal="left"/>
    </xf>
    <xf numFmtId="0" fontId="0" fillId="60" borderId="2" xfId="0" applyFill="1" applyBorder="1" applyAlignment="1">
      <alignment horizontal="left"/>
    </xf>
    <xf numFmtId="0" fontId="0" fillId="60" borderId="3" xfId="0" applyFill="1" applyBorder="1" applyAlignment="1">
      <alignment horizontal="left"/>
    </xf>
    <xf numFmtId="0" fontId="0" fillId="60" borderId="4" xfId="0" applyFill="1" applyBorder="1" applyAlignment="1">
      <alignment horizontal="left"/>
    </xf>
    <xf numFmtId="0" fontId="21" fillId="12" borderId="7" xfId="4" applyFont="1" applyFill="1" applyBorder="1" applyAlignment="1">
      <alignment horizontal="center"/>
    </xf>
    <xf numFmtId="0" fontId="21" fillId="12" borderId="9" xfId="4" applyFont="1" applyFill="1" applyBorder="1" applyAlignment="1">
      <alignment horizontal="center"/>
    </xf>
    <xf numFmtId="0" fontId="21" fillId="2" borderId="10" xfId="4" applyFont="1" applyFill="1" applyBorder="1"/>
    <xf numFmtId="0" fontId="21" fillId="2" borderId="12" xfId="4" applyFont="1" applyFill="1" applyBorder="1" applyAlignment="1">
      <alignment horizontal="center"/>
    </xf>
    <xf numFmtId="0" fontId="103" fillId="12" borderId="2" xfId="0" applyFont="1" applyFill="1" applyBorder="1"/>
    <xf numFmtId="0" fontId="103" fillId="12" borderId="3" xfId="0" applyFont="1" applyFill="1" applyBorder="1"/>
    <xf numFmtId="0" fontId="103" fillId="12" borderId="4" xfId="0" applyFont="1" applyFill="1" applyBorder="1" applyAlignment="1">
      <alignment horizontal="center"/>
    </xf>
    <xf numFmtId="170" fontId="0" fillId="0" borderId="19" xfId="0" applyNumberFormat="1" applyBorder="1"/>
    <xf numFmtId="170" fontId="0" fillId="0" borderId="19" xfId="0" applyNumberFormat="1" applyFill="1" applyBorder="1"/>
    <xf numFmtId="0" fontId="13" fillId="0" borderId="11" xfId="0" applyFont="1" applyFill="1" applyBorder="1"/>
    <xf numFmtId="2" fontId="0" fillId="0" borderId="0" xfId="0" applyNumberFormat="1" applyAlignment="1">
      <alignment horizontal="left"/>
    </xf>
    <xf numFmtId="2" fontId="14" fillId="0" borderId="0" xfId="0" applyNumberFormat="1" applyFont="1" applyAlignment="1">
      <alignment horizontal="left"/>
    </xf>
    <xf numFmtId="2" fontId="14" fillId="60" borderId="17" xfId="0" applyNumberFormat="1" applyFont="1" applyFill="1" applyBorder="1"/>
    <xf numFmtId="0" fontId="14" fillId="0" borderId="0" xfId="0" applyFont="1" applyFill="1" applyBorder="1" applyAlignment="1">
      <alignment horizontal="left"/>
    </xf>
    <xf numFmtId="2" fontId="14" fillId="0" borderId="1" xfId="0" applyNumberFormat="1" applyFont="1" applyFill="1" applyBorder="1"/>
    <xf numFmtId="2" fontId="14" fillId="0" borderId="1" xfId="0" applyNumberFormat="1" applyFont="1" applyBorder="1"/>
    <xf numFmtId="0" fontId="106" fillId="0" borderId="0" xfId="0" applyFont="1" applyFill="1" applyAlignment="1">
      <alignment horizontal="center"/>
    </xf>
    <xf numFmtId="0" fontId="13" fillId="14" borderId="0" xfId="0" applyFont="1" applyFill="1" applyBorder="1" applyAlignment="1">
      <alignment horizontal="right"/>
    </xf>
    <xf numFmtId="0" fontId="13" fillId="14" borderId="15" xfId="0" applyFont="1" applyFill="1" applyBorder="1"/>
    <xf numFmtId="0" fontId="14" fillId="14" borderId="15" xfId="0" applyFont="1" applyFill="1" applyBorder="1" applyAlignment="1">
      <alignment horizontal="center"/>
    </xf>
    <xf numFmtId="0" fontId="13" fillId="14" borderId="0" xfId="0" applyFont="1" applyFill="1" applyBorder="1"/>
    <xf numFmtId="0" fontId="14" fillId="14" borderId="0" xfId="0" applyFont="1" applyFill="1" applyBorder="1" applyAlignment="1">
      <alignment horizontal="center"/>
    </xf>
    <xf numFmtId="2" fontId="14" fillId="14" borderId="0" xfId="0" applyNumberFormat="1" applyFont="1" applyFill="1" applyAlignment="1">
      <alignment horizontal="center"/>
    </xf>
    <xf numFmtId="0" fontId="13" fillId="14" borderId="1" xfId="0" applyFont="1" applyFill="1" applyBorder="1"/>
    <xf numFmtId="0" fontId="14" fillId="14" borderId="1" xfId="0" applyFont="1" applyFill="1" applyBorder="1"/>
    <xf numFmtId="0" fontId="1" fillId="0" borderId="48" xfId="0" applyFont="1" applyFill="1" applyBorder="1"/>
    <xf numFmtId="0" fontId="1" fillId="0" borderId="47" xfId="0" applyFont="1" applyFill="1" applyBorder="1"/>
    <xf numFmtId="1" fontId="106" fillId="0" borderId="0" xfId="0" applyNumberFormat="1" applyFont="1" applyBorder="1" applyAlignment="1">
      <alignment horizontal="center"/>
    </xf>
    <xf numFmtId="0" fontId="106" fillId="0" borderId="1" xfId="0" applyFont="1" applyFill="1" applyBorder="1" applyAlignment="1">
      <alignment horizontal="center"/>
    </xf>
    <xf numFmtId="0" fontId="14" fillId="14" borderId="0" xfId="0" applyFont="1" applyFill="1" applyAlignment="1">
      <alignment horizontal="left"/>
    </xf>
    <xf numFmtId="0" fontId="0" fillId="12" borderId="6" xfId="0" applyFill="1" applyBorder="1" applyAlignment="1">
      <alignment horizontal="center"/>
    </xf>
    <xf numFmtId="2" fontId="14" fillId="60" borderId="50" xfId="0" applyNumberFormat="1" applyFont="1" applyFill="1" applyBorder="1" applyAlignment="1">
      <alignment horizontal="center"/>
    </xf>
    <xf numFmtId="2" fontId="14" fillId="60" borderId="6" xfId="0" applyNumberFormat="1" applyFont="1" applyFill="1" applyBorder="1" applyAlignment="1">
      <alignment horizontal="center"/>
    </xf>
    <xf numFmtId="2" fontId="14" fillId="60" borderId="7" xfId="0" applyNumberFormat="1" applyFont="1" applyFill="1" applyBorder="1" applyAlignment="1">
      <alignment horizontal="center"/>
    </xf>
    <xf numFmtId="2" fontId="14" fillId="60" borderId="51" xfId="0" applyNumberFormat="1" applyFont="1" applyFill="1" applyBorder="1" applyAlignment="1">
      <alignment horizontal="center"/>
    </xf>
    <xf numFmtId="2" fontId="14" fillId="60" borderId="11" xfId="0" applyNumberFormat="1" applyFont="1" applyFill="1" applyBorder="1" applyAlignment="1">
      <alignment horizontal="center"/>
    </xf>
    <xf numFmtId="2" fontId="14" fillId="60" borderId="12" xfId="0" applyNumberFormat="1" applyFont="1" applyFill="1" applyBorder="1" applyAlignment="1">
      <alignment horizontal="center"/>
    </xf>
    <xf numFmtId="0" fontId="1" fillId="0" borderId="0" xfId="0" applyFont="1" applyFill="1" applyBorder="1" applyAlignment="1">
      <alignment horizontal="center" vertical="center" wrapText="1"/>
    </xf>
    <xf numFmtId="0" fontId="51" fillId="0" borderId="0" xfId="0" applyFont="1" applyBorder="1" applyAlignment="1">
      <alignment horizontal="left"/>
    </xf>
    <xf numFmtId="0" fontId="122" fillId="12" borderId="0" xfId="0" applyFont="1" applyFill="1" applyBorder="1" applyAlignment="1">
      <alignment horizontal="center"/>
    </xf>
    <xf numFmtId="0" fontId="120" fillId="12" borderId="0" xfId="0" applyFont="1" applyFill="1" applyBorder="1" applyAlignment="1">
      <alignment horizontal="center" vertical="center"/>
    </xf>
    <xf numFmtId="0" fontId="121" fillId="12" borderId="0" xfId="0" applyFont="1" applyFill="1" applyBorder="1" applyAlignment="1">
      <alignment horizontal="center" vertical="center"/>
    </xf>
    <xf numFmtId="0" fontId="119" fillId="12" borderId="0" xfId="0" applyFont="1" applyFill="1" applyAlignment="1">
      <alignment horizontal="center" vertical="center" wrapText="1"/>
    </xf>
    <xf numFmtId="0" fontId="13" fillId="0" borderId="14" xfId="0" applyFont="1" applyFill="1" applyBorder="1"/>
    <xf numFmtId="0" fontId="13" fillId="0" borderId="16" xfId="0" applyFont="1" applyBorder="1"/>
    <xf numFmtId="0" fontId="13" fillId="0" borderId="22" xfId="0" applyFont="1" applyBorder="1"/>
    <xf numFmtId="0" fontId="0" fillId="14" borderId="0" xfId="0" applyFill="1" applyBorder="1"/>
    <xf numFmtId="2" fontId="0" fillId="14" borderId="0" xfId="0" applyNumberFormat="1" applyFill="1" applyBorder="1"/>
    <xf numFmtId="2" fontId="0" fillId="0" borderId="0" xfId="0" applyNumberFormat="1" applyFill="1" applyBorder="1" applyAlignment="1">
      <alignment horizontal="left"/>
    </xf>
    <xf numFmtId="0" fontId="0" fillId="0" borderId="0" xfId="0" applyFill="1" applyBorder="1" applyAlignment="1">
      <alignment horizontal="right"/>
    </xf>
    <xf numFmtId="0" fontId="0" fillId="0" borderId="1" xfId="0" applyFill="1" applyBorder="1" applyAlignment="1">
      <alignment horizontal="right"/>
    </xf>
    <xf numFmtId="2" fontId="14" fillId="0" borderId="0" xfId="0" applyNumberFormat="1" applyFont="1" applyFill="1" applyBorder="1" applyAlignment="1">
      <alignment horizontal="right"/>
    </xf>
    <xf numFmtId="0" fontId="14" fillId="0" borderId="0" xfId="0" applyFont="1" applyBorder="1" applyAlignment="1">
      <alignment horizontal="right"/>
    </xf>
    <xf numFmtId="0" fontId="14" fillId="0" borderId="0" xfId="0" applyFont="1" applyFill="1" applyBorder="1" applyAlignment="1">
      <alignment horizontal="right"/>
    </xf>
    <xf numFmtId="0" fontId="0" fillId="0" borderId="2" xfId="0" applyFill="1" applyBorder="1" applyAlignment="1">
      <alignment horizontal="right"/>
    </xf>
    <xf numFmtId="0" fontId="0" fillId="0" borderId="3" xfId="0" applyFill="1" applyBorder="1" applyAlignment="1">
      <alignment horizontal="right"/>
    </xf>
    <xf numFmtId="0" fontId="0" fillId="0" borderId="4" xfId="0" applyFill="1" applyBorder="1" applyAlignment="1">
      <alignment horizontal="right"/>
    </xf>
    <xf numFmtId="2" fontId="0" fillId="0" borderId="0" xfId="0" applyNumberFormat="1" applyFill="1" applyBorder="1" applyAlignment="1">
      <alignment horizontal="right"/>
    </xf>
    <xf numFmtId="2" fontId="0" fillId="0" borderId="0" xfId="0" applyNumberFormat="1" applyBorder="1" applyAlignment="1">
      <alignment horizontal="left"/>
    </xf>
    <xf numFmtId="0" fontId="127" fillId="0" borderId="0" xfId="0" applyFont="1"/>
    <xf numFmtId="0" fontId="0" fillId="0" borderId="46" xfId="0" applyFill="1" applyBorder="1"/>
    <xf numFmtId="0" fontId="16" fillId="0" borderId="0" xfId="0" applyFont="1" applyFill="1" applyBorder="1"/>
    <xf numFmtId="0" fontId="1" fillId="3" borderId="52" xfId="0" applyFont="1" applyFill="1" applyBorder="1" applyAlignment="1">
      <alignment horizontal="center" vertical="center" wrapText="1"/>
    </xf>
    <xf numFmtId="0" fontId="0" fillId="0" borderId="1" xfId="0" applyFill="1" applyBorder="1" applyAlignment="1">
      <alignment horizontal="left"/>
    </xf>
    <xf numFmtId="2" fontId="0" fillId="65" borderId="0" xfId="0" applyNumberFormat="1" applyFill="1" applyBorder="1" applyAlignment="1">
      <alignment horizontal="right"/>
    </xf>
    <xf numFmtId="2" fontId="0" fillId="65" borderId="0" xfId="0" applyNumberFormat="1" applyFont="1" applyFill="1" applyAlignment="1">
      <alignment horizontal="right"/>
    </xf>
    <xf numFmtId="0" fontId="1" fillId="0" borderId="0" xfId="0" applyFont="1" applyFill="1" applyBorder="1" applyAlignment="1"/>
    <xf numFmtId="0" fontId="1" fillId="14" borderId="0" xfId="0" applyFont="1" applyFill="1" applyBorder="1" applyAlignment="1"/>
    <xf numFmtId="2" fontId="13" fillId="0" borderId="0" xfId="0" applyNumberFormat="1" applyFont="1" applyFill="1" applyBorder="1" applyAlignment="1">
      <alignment horizontal="left"/>
    </xf>
    <xf numFmtId="2" fontId="0" fillId="14" borderId="0" xfId="0" applyNumberFormat="1" applyFill="1"/>
    <xf numFmtId="2" fontId="0" fillId="0" borderId="0" xfId="0" applyNumberFormat="1" applyFont="1" applyFill="1" applyAlignment="1">
      <alignment horizontal="right"/>
    </xf>
    <xf numFmtId="2" fontId="0" fillId="0" borderId="0" xfId="0" applyNumberFormat="1" applyFont="1" applyFill="1" applyAlignment="1">
      <alignment horizontal="left"/>
    </xf>
    <xf numFmtId="2" fontId="0" fillId="0" borderId="0" xfId="0" applyNumberFormat="1" applyFont="1" applyFill="1" applyBorder="1" applyAlignment="1">
      <alignment horizontal="left"/>
    </xf>
    <xf numFmtId="0" fontId="1" fillId="0" borderId="19" xfId="0" applyFont="1" applyFill="1" applyBorder="1"/>
    <xf numFmtId="2" fontId="0" fillId="0" borderId="0" xfId="0" applyNumberFormat="1" applyFont="1" applyAlignment="1">
      <alignment horizontal="left"/>
    </xf>
    <xf numFmtId="9" fontId="0" fillId="0" borderId="0" xfId="1" applyFont="1" applyAlignment="1">
      <alignment horizontal="left"/>
    </xf>
    <xf numFmtId="0" fontId="0" fillId="0" borderId="1" xfId="0" applyFont="1" applyBorder="1" applyAlignment="1">
      <alignment horizontal="left"/>
    </xf>
    <xf numFmtId="9" fontId="0" fillId="0" borderId="1" xfId="1" applyFont="1" applyBorder="1" applyAlignment="1">
      <alignment horizontal="left"/>
    </xf>
    <xf numFmtId="9" fontId="0" fillId="0" borderId="0" xfId="1" applyFont="1" applyFill="1" applyAlignment="1">
      <alignment horizontal="left"/>
    </xf>
    <xf numFmtId="2" fontId="0" fillId="60" borderId="0" xfId="0" applyNumberFormat="1" applyFill="1" applyBorder="1" applyAlignment="1">
      <alignment horizontal="right"/>
    </xf>
    <xf numFmtId="0" fontId="0" fillId="0" borderId="5" xfId="0" applyFill="1" applyBorder="1" applyAlignment="1">
      <alignment horizontal="right"/>
    </xf>
    <xf numFmtId="0" fontId="0" fillId="0" borderId="6" xfId="0" applyFill="1" applyBorder="1" applyAlignment="1">
      <alignment horizontal="right"/>
    </xf>
    <xf numFmtId="0" fontId="0" fillId="0" borderId="7" xfId="0" applyFill="1" applyBorder="1" applyAlignment="1">
      <alignment horizontal="right"/>
    </xf>
    <xf numFmtId="2" fontId="0" fillId="60" borderId="45" xfId="0" applyNumberFormat="1" applyFill="1" applyBorder="1" applyAlignment="1">
      <alignment horizontal="right"/>
    </xf>
    <xf numFmtId="2" fontId="0" fillId="60" borderId="15" xfId="0" applyNumberFormat="1" applyFill="1" applyBorder="1" applyAlignment="1">
      <alignment horizontal="right"/>
    </xf>
    <xf numFmtId="2" fontId="0" fillId="60" borderId="48" xfId="0" applyNumberFormat="1" applyFill="1" applyBorder="1" applyAlignment="1">
      <alignment horizontal="right"/>
    </xf>
    <xf numFmtId="2" fontId="0" fillId="60" borderId="21" xfId="0" applyNumberFormat="1" applyFill="1" applyBorder="1" applyAlignment="1">
      <alignment horizontal="right"/>
    </xf>
    <xf numFmtId="2" fontId="0" fillId="60" borderId="19" xfId="0" applyNumberFormat="1" applyFill="1" applyBorder="1" applyAlignment="1">
      <alignment horizontal="right"/>
    </xf>
    <xf numFmtId="2" fontId="0" fillId="60" borderId="46" xfId="0" applyNumberFormat="1" applyFill="1" applyBorder="1" applyAlignment="1">
      <alignment horizontal="right"/>
    </xf>
    <xf numFmtId="2" fontId="0" fillId="60" borderId="1" xfId="0" applyNumberFormat="1" applyFill="1" applyBorder="1" applyAlignment="1">
      <alignment horizontal="right"/>
    </xf>
    <xf numFmtId="2" fontId="0" fillId="60" borderId="47" xfId="0" applyNumberFormat="1" applyFill="1" applyBorder="1" applyAlignment="1">
      <alignment horizontal="right"/>
    </xf>
    <xf numFmtId="9" fontId="0" fillId="60" borderId="48" xfId="0" applyNumberFormat="1" applyFill="1" applyBorder="1" applyAlignment="1">
      <alignment horizontal="right"/>
    </xf>
    <xf numFmtId="9" fontId="0" fillId="60" borderId="19" xfId="0" applyNumberFormat="1" applyFill="1" applyBorder="1" applyAlignment="1">
      <alignment horizontal="right"/>
    </xf>
    <xf numFmtId="9" fontId="0" fillId="60" borderId="47" xfId="0" applyNumberFormat="1" applyFill="1" applyBorder="1" applyAlignment="1">
      <alignment horizontal="right"/>
    </xf>
    <xf numFmtId="2" fontId="0" fillId="14" borderId="1" xfId="0" applyNumberFormat="1" applyFill="1" applyBorder="1"/>
    <xf numFmtId="0" fontId="0" fillId="14" borderId="0" xfId="0" applyFill="1" applyBorder="1" applyAlignment="1">
      <alignment horizontal="left"/>
    </xf>
    <xf numFmtId="0" fontId="111" fillId="12" borderId="1" xfId="0" applyFont="1" applyFill="1" applyBorder="1"/>
    <xf numFmtId="2" fontId="114" fillId="12" borderId="0" xfId="0" applyNumberFormat="1" applyFont="1" applyFill="1" applyBorder="1"/>
    <xf numFmtId="170" fontId="114" fillId="12" borderId="0" xfId="0" applyNumberFormat="1" applyFont="1" applyFill="1" applyBorder="1"/>
    <xf numFmtId="170" fontId="114" fillId="12" borderId="0" xfId="0" applyNumberFormat="1" applyFont="1" applyFill="1" applyBorder="1" applyAlignment="1">
      <alignment horizontal="center"/>
    </xf>
    <xf numFmtId="0" fontId="121" fillId="12" borderId="0" xfId="1027" applyFont="1" applyFill="1" applyBorder="1" applyAlignment="1">
      <alignment horizontal="left"/>
    </xf>
    <xf numFmtId="0" fontId="139" fillId="12" borderId="0" xfId="1029" applyFont="1" applyFill="1" applyBorder="1"/>
    <xf numFmtId="0" fontId="114" fillId="12" borderId="24" xfId="0" applyFont="1" applyFill="1" applyBorder="1" applyAlignment="1">
      <alignment horizontal="right"/>
    </xf>
    <xf numFmtId="0" fontId="121" fillId="12" borderId="0" xfId="1027" applyFont="1" applyFill="1" applyBorder="1"/>
    <xf numFmtId="0" fontId="141" fillId="12" borderId="0" xfId="0" applyFont="1" applyFill="1" applyAlignment="1">
      <alignment horizontal="left" vertical="center"/>
    </xf>
    <xf numFmtId="0" fontId="121" fillId="12" borderId="0" xfId="1027" applyFont="1" applyFill="1" applyBorder="1" applyAlignment="1">
      <alignment horizontal="left" indent="1"/>
    </xf>
    <xf numFmtId="0" fontId="121" fillId="12" borderId="0" xfId="1027" applyFont="1" applyFill="1" applyBorder="1" applyAlignment="1">
      <alignment horizontal="left" indent="4"/>
    </xf>
    <xf numFmtId="0" fontId="121" fillId="12" borderId="0" xfId="1027" applyFont="1" applyFill="1" applyBorder="1" applyAlignment="1">
      <alignment horizontal="left" indent="7"/>
    </xf>
    <xf numFmtId="0" fontId="121" fillId="12" borderId="0" xfId="1027" applyFont="1" applyFill="1" applyBorder="1" applyAlignment="1">
      <alignment horizontal="left" indent="5"/>
    </xf>
    <xf numFmtId="170" fontId="114" fillId="12" borderId="0" xfId="1" applyNumberFormat="1" applyFont="1" applyFill="1" applyBorder="1" applyAlignment="1">
      <alignment horizontal="center"/>
    </xf>
    <xf numFmtId="0" fontId="114" fillId="12" borderId="0" xfId="0" applyFont="1" applyFill="1" applyBorder="1" applyAlignment="1">
      <alignment horizontal="left" vertical="center"/>
    </xf>
    <xf numFmtId="0" fontId="114" fillId="12" borderId="0" xfId="0" applyFont="1" applyFill="1" applyBorder="1" applyAlignment="1">
      <alignment vertical="center"/>
    </xf>
    <xf numFmtId="0" fontId="111" fillId="12" borderId="0" xfId="0" applyFont="1" applyFill="1" applyBorder="1" applyAlignment="1">
      <alignment vertical="center"/>
    </xf>
    <xf numFmtId="0" fontId="114" fillId="13" borderId="0" xfId="0" applyFont="1" applyFill="1" applyBorder="1" applyAlignment="1">
      <alignment horizontal="center" vertical="center"/>
    </xf>
    <xf numFmtId="0" fontId="121" fillId="12" borderId="1" xfId="0" applyFont="1" applyFill="1" applyBorder="1" applyAlignment="1">
      <alignment horizontal="center" vertical="center"/>
    </xf>
    <xf numFmtId="170" fontId="114" fillId="12" borderId="0" xfId="1" applyNumberFormat="1" applyFont="1" applyFill="1" applyBorder="1" applyAlignment="1">
      <alignment horizontal="left" vertical="center"/>
    </xf>
    <xf numFmtId="170" fontId="114" fillId="12" borderId="0" xfId="1" applyNumberFormat="1" applyFont="1" applyFill="1" applyBorder="1" applyAlignment="1">
      <alignment horizontal="center" vertical="center"/>
    </xf>
    <xf numFmtId="170" fontId="114" fillId="12" borderId="0" xfId="1" applyNumberFormat="1" applyFont="1" applyFill="1" applyBorder="1" applyAlignment="1">
      <alignment horizontal="right" vertical="center"/>
    </xf>
    <xf numFmtId="0" fontId="0" fillId="25" borderId="0" xfId="0" applyFill="1" applyBorder="1" applyAlignment="1">
      <alignment horizontal="left"/>
    </xf>
    <xf numFmtId="0" fontId="0" fillId="0" borderId="0" xfId="0" applyFill="1" applyBorder="1" applyAlignment="1">
      <alignment horizontal="left" indent="2"/>
    </xf>
    <xf numFmtId="0" fontId="151" fillId="12" borderId="0" xfId="3" applyFont="1" applyFill="1" applyAlignment="1" applyProtection="1"/>
    <xf numFmtId="0" fontId="151" fillId="12" borderId="0" xfId="3" applyFont="1" applyFill="1" applyBorder="1" applyAlignment="1" applyProtection="1"/>
    <xf numFmtId="0" fontId="18" fillId="0" borderId="0" xfId="0" applyFont="1" applyFill="1"/>
    <xf numFmtId="0" fontId="0" fillId="0" borderId="0" xfId="0" applyFill="1" applyAlignment="1">
      <alignment horizontal="left"/>
    </xf>
    <xf numFmtId="0" fontId="0" fillId="0" borderId="0" xfId="0" applyBorder="1" applyAlignment="1">
      <alignment horizontal="right"/>
    </xf>
    <xf numFmtId="0" fontId="1" fillId="0" borderId="0" xfId="0" applyFont="1" applyFill="1" applyBorder="1" applyAlignment="1">
      <alignment horizontal="right"/>
    </xf>
    <xf numFmtId="170" fontId="0" fillId="0" borderId="0" xfId="0" applyNumberFormat="1" applyFont="1" applyBorder="1"/>
    <xf numFmtId="0" fontId="0" fillId="0" borderId="11" xfId="0" applyFont="1" applyFill="1" applyBorder="1" applyAlignment="1">
      <alignment horizontal="center"/>
    </xf>
    <xf numFmtId="10" fontId="0" fillId="16" borderId="8" xfId="1" applyNumberFormat="1" applyFont="1" applyFill="1" applyBorder="1" applyAlignment="1">
      <alignment horizontal="center"/>
    </xf>
    <xf numFmtId="10" fontId="0" fillId="16" borderId="0" xfId="1" applyNumberFormat="1" applyFont="1" applyFill="1" applyBorder="1" applyAlignment="1">
      <alignment horizontal="center"/>
    </xf>
    <xf numFmtId="10" fontId="0" fillId="16" borderId="9" xfId="1" applyNumberFormat="1" applyFont="1" applyFill="1" applyBorder="1" applyAlignment="1">
      <alignment horizontal="center"/>
    </xf>
    <xf numFmtId="0" fontId="1" fillId="12" borderId="2" xfId="0" applyFont="1" applyFill="1" applyBorder="1"/>
    <xf numFmtId="0" fontId="0" fillId="0" borderId="0" xfId="0" applyFont="1" applyFill="1" applyBorder="1" applyAlignment="1">
      <alignment horizontal="left"/>
    </xf>
    <xf numFmtId="2" fontId="13" fillId="16" borderId="26" xfId="0" applyNumberFormat="1" applyFont="1" applyFill="1" applyBorder="1" applyAlignment="1">
      <alignment horizontal="center"/>
    </xf>
    <xf numFmtId="2" fontId="13" fillId="16" borderId="28" xfId="0" applyNumberFormat="1" applyFont="1" applyFill="1" applyBorder="1" applyAlignment="1">
      <alignment horizontal="center"/>
    </xf>
    <xf numFmtId="0" fontId="5" fillId="12" borderId="2" xfId="0" applyFont="1" applyFill="1" applyBorder="1" applyAlignment="1">
      <alignment vertical="center"/>
    </xf>
    <xf numFmtId="0" fontId="7" fillId="12" borderId="13" xfId="0" applyFont="1" applyFill="1" applyBorder="1" applyAlignment="1">
      <alignment horizontal="left"/>
    </xf>
    <xf numFmtId="0" fontId="100" fillId="12" borderId="8" xfId="0" applyFont="1" applyFill="1" applyBorder="1" applyAlignment="1"/>
    <xf numFmtId="0" fontId="100" fillId="12" borderId="10" xfId="0" applyFont="1" applyFill="1" applyBorder="1" applyAlignment="1"/>
    <xf numFmtId="0" fontId="114" fillId="12" borderId="24" xfId="0" applyFont="1" applyFill="1" applyBorder="1" applyAlignment="1">
      <alignment horizontal="center"/>
    </xf>
    <xf numFmtId="0" fontId="114" fillId="12" borderId="15" xfId="0" applyFont="1" applyFill="1" applyBorder="1" applyAlignment="1">
      <alignment horizontal="center"/>
    </xf>
    <xf numFmtId="0" fontId="111" fillId="12" borderId="1" xfId="0" applyFont="1" applyFill="1" applyBorder="1" applyAlignment="1">
      <alignment horizontal="left" vertical="center"/>
    </xf>
    <xf numFmtId="0" fontId="114" fillId="13" borderId="0" xfId="0" applyFont="1" applyFill="1" applyBorder="1" applyAlignment="1">
      <alignment horizontal="left" indent="2"/>
    </xf>
    <xf numFmtId="0" fontId="0" fillId="2" borderId="13" xfId="0" applyFill="1" applyBorder="1"/>
    <xf numFmtId="0" fontId="0" fillId="0" borderId="9" xfId="0" applyFill="1" applyBorder="1"/>
    <xf numFmtId="0" fontId="0" fillId="0" borderId="7" xfId="0" applyFill="1" applyBorder="1"/>
    <xf numFmtId="0" fontId="117" fillId="12" borderId="0" xfId="0" applyFont="1" applyFill="1" applyBorder="1" applyAlignment="1">
      <alignment vertical="center"/>
    </xf>
    <xf numFmtId="0" fontId="142" fillId="12" borderId="0" xfId="0" applyFont="1" applyFill="1" applyBorder="1" applyAlignment="1">
      <alignment horizontal="center" vertical="center"/>
    </xf>
    <xf numFmtId="0" fontId="121" fillId="12" borderId="0" xfId="0" applyFont="1" applyFill="1" applyBorder="1" applyAlignment="1">
      <alignment horizontal="center" vertical="center"/>
    </xf>
    <xf numFmtId="0" fontId="114" fillId="12" borderId="0" xfId="0" applyFont="1" applyFill="1" applyAlignment="1">
      <alignment horizontal="left" vertical="center"/>
    </xf>
    <xf numFmtId="0" fontId="147" fillId="12" borderId="0" xfId="0" applyFont="1" applyFill="1" applyAlignment="1">
      <alignment horizontal="left" vertical="center"/>
    </xf>
    <xf numFmtId="0" fontId="147" fillId="12" borderId="9" xfId="0" applyFont="1" applyFill="1" applyBorder="1" applyAlignment="1">
      <alignment horizontal="left" vertical="center"/>
    </xf>
    <xf numFmtId="0" fontId="147" fillId="12" borderId="0" xfId="0" applyFont="1" applyFill="1" applyAlignment="1">
      <alignment horizontal="left" vertical="center" wrapText="1"/>
    </xf>
    <xf numFmtId="0" fontId="147" fillId="12" borderId="9" xfId="0" applyFont="1" applyFill="1" applyBorder="1" applyAlignment="1">
      <alignment horizontal="left" vertical="center" wrapText="1"/>
    </xf>
    <xf numFmtId="0" fontId="111" fillId="12" borderId="0" xfId="0" applyNumberFormat="1" applyFont="1" applyFill="1" applyAlignment="1">
      <alignment horizontal="left" wrapText="1"/>
    </xf>
    <xf numFmtId="0" fontId="153" fillId="12" borderId="0" xfId="0" applyFont="1" applyFill="1" applyAlignment="1">
      <alignment horizontal="left" vertical="center" wrapText="1"/>
    </xf>
    <xf numFmtId="0" fontId="154" fillId="12" borderId="0" xfId="0" applyFont="1" applyFill="1" applyAlignment="1"/>
    <xf numFmtId="0" fontId="14" fillId="65" borderId="0" xfId="0" applyFont="1" applyFill="1" applyAlignment="1">
      <alignment horizontal="left"/>
    </xf>
    <xf numFmtId="0" fontId="117" fillId="12" borderId="0" xfId="0" applyFont="1" applyFill="1" applyBorder="1" applyAlignment="1">
      <alignment horizontal="center"/>
    </xf>
    <xf numFmtId="0" fontId="116" fillId="12" borderId="0" xfId="0" applyFont="1" applyFill="1" applyBorder="1" applyAlignment="1">
      <alignment vertical="center"/>
    </xf>
    <xf numFmtId="0" fontId="117" fillId="12" borderId="24" xfId="0" applyFont="1" applyFill="1" applyBorder="1" applyAlignment="1">
      <alignment horizontal="center" vertical="center"/>
    </xf>
    <xf numFmtId="1" fontId="117" fillId="12" borderId="24" xfId="0" applyNumberFormat="1" applyFont="1" applyFill="1" applyBorder="1" applyAlignment="1">
      <alignment horizontal="center" vertical="center"/>
    </xf>
    <xf numFmtId="1" fontId="117" fillId="12" borderId="24" xfId="1" applyNumberFormat="1" applyFont="1" applyFill="1" applyBorder="1" applyAlignment="1">
      <alignment horizontal="center" vertical="center"/>
    </xf>
    <xf numFmtId="0" fontId="111" fillId="12" borderId="0" xfId="0" applyFont="1" applyFill="1" applyAlignment="1">
      <alignment horizontal="center" vertical="center"/>
    </xf>
    <xf numFmtId="0" fontId="114" fillId="12" borderId="1" xfId="0" applyFont="1" applyFill="1" applyBorder="1" applyAlignment="1">
      <alignment horizontal="center"/>
    </xf>
    <xf numFmtId="0" fontId="114" fillId="13" borderId="0" xfId="0" applyFont="1" applyFill="1" applyBorder="1" applyAlignment="1">
      <alignment horizontal="center"/>
    </xf>
    <xf numFmtId="2" fontId="0" fillId="12" borderId="0" xfId="0" applyNumberFormat="1" applyFill="1" applyAlignment="1">
      <alignment horizontal="center"/>
    </xf>
    <xf numFmtId="0" fontId="0" fillId="12" borderId="0" xfId="0" applyFill="1" applyAlignment="1">
      <alignment horizontal="right"/>
    </xf>
    <xf numFmtId="0" fontId="127" fillId="12" borderId="0" xfId="0" applyFont="1" applyFill="1" applyAlignment="1">
      <alignment horizontal="right"/>
    </xf>
    <xf numFmtId="0" fontId="0" fillId="12" borderId="0" xfId="0" applyFill="1" applyAlignment="1">
      <alignment horizontal="center" vertical="center"/>
    </xf>
    <xf numFmtId="0" fontId="0" fillId="12" borderId="1" xfId="0" applyFill="1" applyBorder="1" applyAlignment="1">
      <alignment horizontal="center" vertical="center"/>
    </xf>
    <xf numFmtId="2" fontId="0" fillId="12" borderId="0" xfId="0" applyNumberFormat="1" applyFill="1" applyAlignment="1">
      <alignment horizontal="center" vertical="center"/>
    </xf>
    <xf numFmtId="2" fontId="0" fillId="12" borderId="1" xfId="0" applyNumberFormat="1" applyFill="1" applyBorder="1" applyAlignment="1">
      <alignment horizontal="center" vertical="center"/>
    </xf>
    <xf numFmtId="0" fontId="1" fillId="0" borderId="0" xfId="0" applyFont="1" applyFill="1" applyBorder="1" applyAlignment="1">
      <alignment horizontal="center" vertical="center" wrapText="1"/>
    </xf>
    <xf numFmtId="0" fontId="114" fillId="12" borderId="1" xfId="0" applyFont="1" applyFill="1" applyBorder="1" applyAlignment="1">
      <alignment horizontal="right"/>
    </xf>
    <xf numFmtId="0" fontId="114" fillId="13" borderId="0" xfId="0" applyFont="1" applyFill="1" applyBorder="1" applyAlignment="1"/>
    <xf numFmtId="0" fontId="114" fillId="13" borderId="0" xfId="0" applyFont="1" applyFill="1" applyBorder="1" applyAlignment="1">
      <alignment horizontal="left"/>
    </xf>
    <xf numFmtId="0" fontId="114" fillId="13" borderId="0" xfId="0" applyFont="1" applyFill="1" applyBorder="1" applyAlignment="1">
      <alignment horizontal="left" vertical="center"/>
    </xf>
    <xf numFmtId="0" fontId="152" fillId="13" borderId="0" xfId="0" applyFont="1" applyFill="1" applyBorder="1" applyAlignment="1"/>
    <xf numFmtId="0" fontId="111" fillId="13" borderId="0" xfId="0" applyFont="1" applyFill="1"/>
    <xf numFmtId="170" fontId="0" fillId="19" borderId="16" xfId="0" applyNumberFormat="1" applyFill="1" applyBorder="1" applyAlignment="1">
      <alignment horizontal="center"/>
    </xf>
    <xf numFmtId="0" fontId="1" fillId="0" borderId="0" xfId="0" applyFont="1" applyFill="1" applyBorder="1" applyAlignment="1">
      <alignment horizontal="center" vertical="center" wrapText="1"/>
    </xf>
    <xf numFmtId="0" fontId="111" fillId="12" borderId="0" xfId="0" applyFont="1" applyFill="1" applyBorder="1" applyAlignment="1">
      <alignment vertical="center" wrapText="1"/>
    </xf>
    <xf numFmtId="0" fontId="1" fillId="0" borderId="1" xfId="0" applyFont="1" applyFill="1" applyBorder="1" applyAlignment="1">
      <alignment horizontal="center" vertical="center" wrapText="1"/>
    </xf>
    <xf numFmtId="0" fontId="0" fillId="0" borderId="0" xfId="0" applyFont="1" applyFill="1" applyAlignment="1">
      <alignment horizontal="left" wrapText="1" indent="2"/>
    </xf>
    <xf numFmtId="0" fontId="0" fillId="0" borderId="15" xfId="0" applyFont="1" applyFill="1" applyBorder="1"/>
    <xf numFmtId="0" fontId="0" fillId="0" borderId="1" xfId="0" applyFont="1" applyFill="1" applyBorder="1"/>
    <xf numFmtId="0" fontId="0" fillId="0" borderId="46" xfId="0" applyFont="1" applyFill="1" applyBorder="1" applyAlignment="1">
      <alignment horizontal="left" indent="2"/>
    </xf>
    <xf numFmtId="0" fontId="0" fillId="0" borderId="21" xfId="0" applyFont="1" applyFill="1" applyBorder="1" applyAlignment="1">
      <alignment horizontal="left" indent="2"/>
    </xf>
    <xf numFmtId="2" fontId="0" fillId="9" borderId="0" xfId="0" applyNumberFormat="1" applyFont="1" applyFill="1" applyBorder="1" applyAlignment="1"/>
    <xf numFmtId="1" fontId="0" fillId="60" borderId="27" xfId="0" applyNumberFormat="1" applyFont="1" applyFill="1" applyBorder="1" applyAlignment="1">
      <alignment horizontal="center"/>
    </xf>
    <xf numFmtId="1" fontId="0" fillId="60" borderId="28" xfId="0" applyNumberFormat="1" applyFont="1" applyFill="1" applyBorder="1" applyAlignment="1">
      <alignment horizontal="center"/>
    </xf>
    <xf numFmtId="0" fontId="13" fillId="0" borderId="0" xfId="0" applyFont="1" applyFill="1"/>
    <xf numFmtId="1" fontId="106" fillId="0" borderId="0" xfId="0" applyNumberFormat="1" applyFont="1" applyFill="1" applyBorder="1" applyAlignment="1">
      <alignment horizontal="center"/>
    </xf>
    <xf numFmtId="0" fontId="14" fillId="0" borderId="0" xfId="0" applyFont="1" applyFill="1" applyAlignment="1">
      <alignment horizontal="left"/>
    </xf>
    <xf numFmtId="2" fontId="14" fillId="0" borderId="0" xfId="0" applyNumberFormat="1" applyFont="1" applyFill="1" applyAlignment="1">
      <alignment horizontal="center"/>
    </xf>
    <xf numFmtId="0" fontId="4" fillId="12" borderId="0" xfId="0" applyFont="1" applyFill="1" applyBorder="1" applyAlignment="1">
      <alignment horizontal="left" wrapText="1"/>
    </xf>
    <xf numFmtId="0" fontId="4" fillId="0" borderId="5" xfId="0" applyFont="1" applyBorder="1"/>
    <xf numFmtId="0" fontId="1" fillId="0" borderId="63" xfId="0" applyFont="1" applyFill="1" applyBorder="1"/>
    <xf numFmtId="0" fontId="0" fillId="0" borderId="63" xfId="0" applyBorder="1"/>
    <xf numFmtId="0" fontId="0" fillId="0" borderId="64" xfId="0" applyBorder="1"/>
    <xf numFmtId="2" fontId="0" fillId="0" borderId="65" xfId="0" applyNumberFormat="1" applyFill="1" applyBorder="1" applyAlignment="1">
      <alignment horizontal="center"/>
    </xf>
    <xf numFmtId="170" fontId="0" fillId="14" borderId="9" xfId="0" applyNumberFormat="1" applyFill="1" applyBorder="1" applyAlignment="1">
      <alignment horizontal="center"/>
    </xf>
    <xf numFmtId="170" fontId="0" fillId="14" borderId="0" xfId="0" applyNumberFormat="1" applyFill="1" applyBorder="1"/>
    <xf numFmtId="170" fontId="0" fillId="14" borderId="11" xfId="0" applyNumberFormat="1" applyFill="1" applyBorder="1"/>
    <xf numFmtId="170" fontId="0" fillId="0" borderId="11" xfId="0" applyNumberFormat="1" applyFill="1" applyBorder="1" applyAlignment="1">
      <alignment horizontal="center"/>
    </xf>
    <xf numFmtId="170" fontId="0" fillId="14" borderId="11" xfId="0" applyNumberFormat="1" applyFill="1" applyBorder="1" applyAlignment="1">
      <alignment horizontal="center"/>
    </xf>
    <xf numFmtId="170" fontId="0" fillId="14" borderId="12" xfId="0" applyNumberFormat="1" applyFill="1" applyBorder="1" applyAlignment="1">
      <alignment horizontal="center"/>
    </xf>
    <xf numFmtId="170" fontId="0" fillId="14" borderId="8" xfId="0" applyNumberFormat="1" applyFill="1" applyBorder="1" applyAlignment="1">
      <alignment horizontal="center"/>
    </xf>
    <xf numFmtId="170" fontId="0" fillId="14" borderId="10" xfId="0" applyNumberFormat="1" applyFill="1" applyBorder="1" applyAlignment="1">
      <alignment horizontal="center"/>
    </xf>
    <xf numFmtId="0" fontId="0" fillId="0" borderId="24" xfId="0" applyFill="1" applyBorder="1" applyAlignment="1"/>
    <xf numFmtId="0" fontId="0" fillId="0" borderId="44" xfId="0" applyFill="1" applyBorder="1" applyAlignment="1"/>
    <xf numFmtId="0" fontId="0" fillId="0" borderId="2" xfId="0" applyFill="1" applyBorder="1" applyAlignment="1"/>
    <xf numFmtId="0" fontId="0" fillId="0" borderId="3" xfId="0" applyFill="1" applyBorder="1" applyAlignment="1"/>
    <xf numFmtId="0" fontId="0" fillId="14" borderId="3" xfId="0" applyFill="1" applyBorder="1" applyAlignment="1"/>
    <xf numFmtId="0" fontId="0" fillId="14" borderId="2" xfId="0" applyFill="1" applyBorder="1" applyAlignment="1"/>
    <xf numFmtId="0" fontId="0" fillId="14" borderId="4" xfId="0" applyFill="1" applyBorder="1" applyAlignment="1"/>
    <xf numFmtId="170" fontId="0" fillId="14" borderId="5" xfId="0" applyNumberFormat="1" applyFill="1" applyBorder="1" applyAlignment="1">
      <alignment horizontal="center"/>
    </xf>
    <xf numFmtId="170" fontId="0" fillId="14" borderId="7" xfId="0" applyNumberFormat="1" applyFill="1" applyBorder="1" applyAlignment="1">
      <alignment horizontal="center"/>
    </xf>
    <xf numFmtId="2" fontId="0" fillId="0" borderId="48" xfId="0" applyNumberFormat="1" applyFill="1" applyBorder="1" applyAlignment="1">
      <alignment horizontal="center"/>
    </xf>
    <xf numFmtId="2" fontId="0" fillId="0" borderId="19" xfId="0" applyNumberFormat="1" applyFill="1" applyBorder="1" applyAlignment="1">
      <alignment horizontal="center"/>
    </xf>
    <xf numFmtId="2" fontId="0" fillId="0" borderId="47" xfId="0" applyNumberFormat="1" applyFill="1" applyBorder="1" applyAlignment="1">
      <alignment horizontal="center"/>
    </xf>
    <xf numFmtId="0" fontId="113" fillId="14" borderId="0" xfId="0" applyFont="1" applyFill="1" applyBorder="1"/>
    <xf numFmtId="0" fontId="111" fillId="14" borderId="0" xfId="0" applyFont="1" applyFill="1"/>
    <xf numFmtId="0" fontId="114" fillId="14" borderId="0" xfId="0" applyFont="1" applyFill="1" applyBorder="1" applyAlignment="1">
      <alignment horizontal="left" vertical="center"/>
    </xf>
    <xf numFmtId="0" fontId="0" fillId="2" borderId="4" xfId="0" applyFont="1" applyFill="1" applyBorder="1" applyAlignment="1">
      <alignment horizontal="center"/>
    </xf>
    <xf numFmtId="172" fontId="7" fillId="12" borderId="11" xfId="1" applyNumberFormat="1" applyFont="1" applyFill="1" applyBorder="1"/>
    <xf numFmtId="172" fontId="7" fillId="12" borderId="12" xfId="1" applyNumberFormat="1" applyFont="1" applyFill="1" applyBorder="1"/>
    <xf numFmtId="0" fontId="6" fillId="12" borderId="5" xfId="0" applyFont="1" applyFill="1" applyBorder="1"/>
    <xf numFmtId="0" fontId="6" fillId="12" borderId="7" xfId="0" applyFont="1" applyFill="1" applyBorder="1"/>
    <xf numFmtId="0" fontId="6" fillId="12" borderId="8" xfId="0" applyFont="1" applyFill="1" applyBorder="1"/>
    <xf numFmtId="0" fontId="6" fillId="12" borderId="9" xfId="0" applyFont="1" applyFill="1" applyBorder="1"/>
    <xf numFmtId="0" fontId="6" fillId="12" borderId="6" xfId="0" applyFont="1" applyFill="1" applyBorder="1"/>
    <xf numFmtId="172" fontId="0" fillId="0" borderId="0" xfId="0" applyNumberFormat="1"/>
    <xf numFmtId="1" fontId="114" fillId="13" borderId="0" xfId="0" applyNumberFormat="1" applyFont="1" applyFill="1" applyBorder="1" applyAlignment="1">
      <alignment horizontal="center"/>
    </xf>
    <xf numFmtId="2" fontId="14" fillId="0" borderId="0" xfId="0" applyNumberFormat="1" applyFont="1" applyFill="1"/>
    <xf numFmtId="0" fontId="3" fillId="0" borderId="0" xfId="0" applyFont="1" applyFill="1"/>
    <xf numFmtId="2" fontId="13" fillId="0" borderId="0" xfId="0" applyNumberFormat="1" applyFont="1" applyFill="1" applyBorder="1" applyAlignment="1">
      <alignment horizontal="center"/>
    </xf>
    <xf numFmtId="2" fontId="0" fillId="14" borderId="0" xfId="0" applyNumberFormat="1" applyFill="1" applyAlignment="1">
      <alignment horizontal="center"/>
    </xf>
    <xf numFmtId="170" fontId="7" fillId="2" borderId="0" xfId="0" applyNumberFormat="1" applyFont="1" applyFill="1" applyBorder="1"/>
    <xf numFmtId="172" fontId="7" fillId="12" borderId="0" xfId="1" applyNumberFormat="1" applyFont="1" applyFill="1" applyBorder="1"/>
    <xf numFmtId="2" fontId="0" fillId="16" borderId="23" xfId="0" applyNumberFormat="1" applyFill="1" applyBorder="1" applyAlignment="1">
      <alignment horizontal="center"/>
    </xf>
    <xf numFmtId="2" fontId="0" fillId="16" borderId="24" xfId="0" applyNumberFormat="1" applyFill="1" applyBorder="1" applyAlignment="1">
      <alignment horizontal="center"/>
    </xf>
    <xf numFmtId="2" fontId="0" fillId="16" borderId="25" xfId="0" applyNumberFormat="1" applyFill="1" applyBorder="1" applyAlignment="1">
      <alignment horizontal="center"/>
    </xf>
    <xf numFmtId="0" fontId="99" fillId="0" borderId="0" xfId="0" applyFont="1" applyFill="1" applyBorder="1"/>
    <xf numFmtId="0" fontId="14" fillId="0" borderId="47" xfId="0" applyFont="1" applyFill="1" applyBorder="1"/>
    <xf numFmtId="0" fontId="0" fillId="0" borderId="19" xfId="0" applyBorder="1"/>
    <xf numFmtId="0" fontId="6" fillId="69" borderId="5" xfId="0" applyFont="1" applyFill="1" applyBorder="1"/>
    <xf numFmtId="0" fontId="6" fillId="69" borderId="7" xfId="0" applyFont="1" applyFill="1" applyBorder="1"/>
    <xf numFmtId="0" fontId="6" fillId="69" borderId="3" xfId="0" applyFont="1" applyFill="1" applyBorder="1"/>
    <xf numFmtId="0" fontId="6" fillId="23" borderId="2" xfId="0" applyFont="1" applyFill="1" applyBorder="1"/>
    <xf numFmtId="0" fontId="6" fillId="23" borderId="4" xfId="0" applyFont="1" applyFill="1" applyBorder="1"/>
    <xf numFmtId="0" fontId="6" fillId="23" borderId="3" xfId="0" applyFont="1" applyFill="1" applyBorder="1"/>
    <xf numFmtId="0" fontId="6" fillId="23" borderId="7" xfId="0" applyFont="1" applyFill="1" applyBorder="1"/>
    <xf numFmtId="0" fontId="6" fillId="25" borderId="2" xfId="0" applyFont="1" applyFill="1" applyBorder="1"/>
    <xf numFmtId="0" fontId="6" fillId="25" borderId="3" xfId="0" applyFont="1" applyFill="1" applyBorder="1"/>
    <xf numFmtId="0" fontId="6" fillId="25" borderId="4" xfId="0" applyFont="1" applyFill="1" applyBorder="1"/>
    <xf numFmtId="0" fontId="97" fillId="70" borderId="2" xfId="0" applyFont="1" applyFill="1" applyBorder="1"/>
    <xf numFmtId="0" fontId="97" fillId="70" borderId="4" xfId="0" applyFont="1" applyFill="1" applyBorder="1"/>
    <xf numFmtId="0" fontId="6" fillId="71" borderId="2" xfId="0" applyFont="1" applyFill="1" applyBorder="1"/>
    <xf numFmtId="0" fontId="6" fillId="71" borderId="4" xfId="0" applyFont="1" applyFill="1" applyBorder="1"/>
    <xf numFmtId="0" fontId="6" fillId="71" borderId="3" xfId="0" applyFont="1" applyFill="1" applyBorder="1"/>
    <xf numFmtId="0" fontId="6" fillId="71" borderId="7" xfId="0" applyFont="1" applyFill="1" applyBorder="1"/>
    <xf numFmtId="0" fontId="6" fillId="65" borderId="2" xfId="0" applyFont="1" applyFill="1" applyBorder="1"/>
    <xf numFmtId="0" fontId="6" fillId="65" borderId="4" xfId="0" applyFont="1" applyFill="1" applyBorder="1"/>
    <xf numFmtId="0" fontId="6" fillId="65" borderId="3" xfId="0" applyFont="1" applyFill="1" applyBorder="1"/>
    <xf numFmtId="0" fontId="6" fillId="65" borderId="7" xfId="0" applyFont="1" applyFill="1" applyBorder="1"/>
    <xf numFmtId="0" fontId="97" fillId="70" borderId="3" xfId="0" applyFont="1" applyFill="1" applyBorder="1"/>
    <xf numFmtId="0" fontId="97" fillId="70" borderId="7" xfId="0" applyFont="1" applyFill="1" applyBorder="1"/>
    <xf numFmtId="0" fontId="14" fillId="70" borderId="0" xfId="0" applyFont="1" applyFill="1" applyAlignment="1">
      <alignment horizontal="left"/>
    </xf>
    <xf numFmtId="0" fontId="14" fillId="68" borderId="0" xfId="0" applyFont="1" applyFill="1" applyAlignment="1">
      <alignment horizontal="left"/>
    </xf>
    <xf numFmtId="0" fontId="1" fillId="68" borderId="2" xfId="0" applyFont="1" applyFill="1" applyBorder="1"/>
    <xf numFmtId="0" fontId="1" fillId="68" borderId="3" xfId="0" applyFont="1" applyFill="1" applyBorder="1"/>
    <xf numFmtId="0" fontId="1" fillId="68" borderId="4" xfId="0" applyFont="1" applyFill="1" applyBorder="1"/>
    <xf numFmtId="0" fontId="10" fillId="68" borderId="13" xfId="0" applyFont="1" applyFill="1" applyBorder="1"/>
    <xf numFmtId="0" fontId="10" fillId="3" borderId="13" xfId="0" applyFont="1" applyFill="1" applyBorder="1"/>
    <xf numFmtId="0" fontId="10" fillId="23" borderId="13" xfId="0" applyFont="1" applyFill="1" applyBorder="1"/>
    <xf numFmtId="0" fontId="10" fillId="64" borderId="13" xfId="0" applyFont="1" applyFill="1" applyBorder="1"/>
    <xf numFmtId="0" fontId="10" fillId="67" borderId="13" xfId="0" applyFont="1" applyFill="1" applyBorder="1"/>
    <xf numFmtId="0" fontId="10" fillId="20" borderId="13" xfId="0" applyFont="1" applyFill="1" applyBorder="1"/>
    <xf numFmtId="0" fontId="10" fillId="25" borderId="13" xfId="0" applyFont="1" applyFill="1" applyBorder="1"/>
    <xf numFmtId="0" fontId="7" fillId="12" borderId="0" xfId="0" applyFont="1" applyFill="1" applyBorder="1" applyAlignment="1">
      <alignment horizontal="left" vertical="center" indent="2"/>
    </xf>
    <xf numFmtId="0" fontId="10" fillId="66" borderId="13" xfId="0" applyFont="1" applyFill="1" applyBorder="1"/>
    <xf numFmtId="0" fontId="114" fillId="12" borderId="0" xfId="0" applyFont="1" applyFill="1" applyAlignment="1">
      <alignment horizontal="left" vertical="center"/>
    </xf>
    <xf numFmtId="171" fontId="0" fillId="0" borderId="0" xfId="0" applyNumberFormat="1" applyFont="1" applyBorder="1" applyAlignment="1">
      <alignment horizontal="center"/>
    </xf>
    <xf numFmtId="0" fontId="0" fillId="0" borderId="19" xfId="0" applyFont="1" applyFill="1" applyBorder="1" applyAlignment="1">
      <alignment horizontal="center" wrapText="1"/>
    </xf>
    <xf numFmtId="0" fontId="0" fillId="0" borderId="19" xfId="0" applyFont="1" applyFill="1" applyBorder="1"/>
    <xf numFmtId="2" fontId="0" fillId="0" borderId="20" xfId="0" applyNumberFormat="1" applyFont="1" applyFill="1" applyBorder="1"/>
    <xf numFmtId="2" fontId="55" fillId="0" borderId="19" xfId="0" applyNumberFormat="1" applyFont="1" applyFill="1" applyBorder="1"/>
    <xf numFmtId="0" fontId="0" fillId="0" borderId="20" xfId="0" applyFont="1" applyFill="1" applyBorder="1"/>
    <xf numFmtId="0" fontId="5" fillId="12" borderId="21" xfId="0" applyFont="1" applyFill="1" applyBorder="1"/>
    <xf numFmtId="0" fontId="0" fillId="12" borderId="46" xfId="0" applyFont="1" applyFill="1" applyBorder="1"/>
    <xf numFmtId="0" fontId="0" fillId="0" borderId="21" xfId="0" applyFont="1" applyFill="1" applyBorder="1"/>
    <xf numFmtId="0" fontId="5" fillId="12" borderId="0" xfId="0" applyFont="1" applyFill="1" applyBorder="1"/>
    <xf numFmtId="0" fontId="0" fillId="0" borderId="0" xfId="0" applyFont="1" applyAlignment="1"/>
    <xf numFmtId="2" fontId="0" fillId="0" borderId="19" xfId="0" applyNumberFormat="1" applyFont="1" applyFill="1" applyBorder="1" applyAlignment="1">
      <alignment horizontal="center"/>
    </xf>
    <xf numFmtId="0" fontId="0" fillId="0" borderId="21" xfId="0" applyFont="1" applyFill="1" applyBorder="1" applyAlignment="1"/>
    <xf numFmtId="0" fontId="0" fillId="0" borderId="21" xfId="0" applyFont="1" applyBorder="1"/>
    <xf numFmtId="0" fontId="0" fillId="0" borderId="21" xfId="0" applyFont="1" applyBorder="1" applyAlignment="1">
      <alignment horizontal="center"/>
    </xf>
    <xf numFmtId="0" fontId="1" fillId="0" borderId="21" xfId="0" applyFont="1" applyBorder="1"/>
    <xf numFmtId="2" fontId="1" fillId="0" borderId="21" xfId="0" applyNumberFormat="1" applyFont="1" applyBorder="1"/>
    <xf numFmtId="2" fontId="0" fillId="0" borderId="51" xfId="0" applyNumberFormat="1" applyFont="1" applyBorder="1" applyAlignment="1">
      <alignment horizontal="left" indent="1"/>
    </xf>
    <xf numFmtId="0" fontId="0" fillId="0" borderId="51" xfId="0" applyFont="1" applyBorder="1"/>
    <xf numFmtId="3" fontId="0" fillId="0" borderId="19" xfId="0" applyNumberFormat="1" applyFont="1" applyFill="1" applyBorder="1" applyAlignment="1">
      <alignment horizontal="center"/>
    </xf>
    <xf numFmtId="171" fontId="0" fillId="0" borderId="19" xfId="0" applyNumberFormat="1" applyFont="1" applyFill="1" applyBorder="1" applyAlignment="1">
      <alignment horizontal="center"/>
    </xf>
    <xf numFmtId="0" fontId="0" fillId="20" borderId="0" xfId="0" applyFill="1" applyAlignment="1">
      <alignment horizontal="left"/>
    </xf>
    <xf numFmtId="0" fontId="111" fillId="12" borderId="15" xfId="0" applyFont="1" applyFill="1" applyBorder="1"/>
    <xf numFmtId="0" fontId="0" fillId="12" borderId="0" xfId="0" applyFont="1" applyFill="1" applyBorder="1" applyAlignment="1">
      <alignment horizontal="left" vertical="top" wrapText="1"/>
    </xf>
    <xf numFmtId="0" fontId="0" fillId="12" borderId="0" xfId="0" applyFont="1" applyFill="1" applyBorder="1" applyAlignment="1">
      <alignment horizontal="left" vertical="center" wrapText="1"/>
    </xf>
    <xf numFmtId="0" fontId="14" fillId="12" borderId="0" xfId="0" applyFont="1" applyFill="1" applyBorder="1" applyAlignment="1">
      <alignment vertical="top"/>
    </xf>
    <xf numFmtId="0" fontId="18" fillId="0" borderId="0" xfId="0" applyFont="1" applyAlignment="1">
      <alignment horizontal="center"/>
    </xf>
    <xf numFmtId="0" fontId="7" fillId="12" borderId="16" xfId="0" applyFont="1" applyFill="1" applyBorder="1"/>
    <xf numFmtId="0" fontId="157" fillId="14" borderId="11" xfId="0" applyFont="1" applyFill="1" applyBorder="1" applyAlignment="1">
      <alignment vertical="center"/>
    </xf>
    <xf numFmtId="0" fontId="135" fillId="14" borderId="11" xfId="0" applyFont="1" applyFill="1" applyBorder="1"/>
    <xf numFmtId="0" fontId="135" fillId="14" borderId="11" xfId="0" applyFont="1" applyFill="1" applyBorder="1" applyAlignment="1">
      <alignment horizontal="left"/>
    </xf>
    <xf numFmtId="170" fontId="7" fillId="12" borderId="0" xfId="0" applyNumberFormat="1" applyFont="1" applyFill="1"/>
    <xf numFmtId="0" fontId="109" fillId="12" borderId="0" xfId="0" applyFont="1" applyFill="1" applyBorder="1" applyAlignment="1">
      <alignment horizontal="center" vertical="center" wrapText="1"/>
    </xf>
    <xf numFmtId="0" fontId="109" fillId="12" borderId="11" xfId="0" applyFont="1" applyFill="1" applyBorder="1" applyAlignment="1">
      <alignment horizontal="center" vertical="center" wrapText="1"/>
    </xf>
    <xf numFmtId="3" fontId="0" fillId="0" borderId="0" xfId="0" applyNumberFormat="1" applyFill="1" applyBorder="1" applyAlignment="1">
      <alignment horizontal="center"/>
    </xf>
    <xf numFmtId="0" fontId="18" fillId="0" borderId="0" xfId="0" applyFont="1" applyFill="1" applyAlignment="1">
      <alignment horizontal="left" indent="3"/>
    </xf>
    <xf numFmtId="0" fontId="18" fillId="0" borderId="0" xfId="0" applyFont="1" applyFill="1" applyAlignment="1">
      <alignment horizontal="center"/>
    </xf>
    <xf numFmtId="172" fontId="18" fillId="0" borderId="0" xfId="1" applyNumberFormat="1" applyFont="1" applyFill="1" applyAlignment="1">
      <alignment horizontal="center"/>
    </xf>
    <xf numFmtId="170" fontId="18" fillId="0" borderId="0" xfId="0" applyNumberFormat="1" applyFont="1" applyFill="1" applyAlignment="1">
      <alignment horizontal="center"/>
    </xf>
    <xf numFmtId="2" fontId="18" fillId="0" borderId="0" xfId="0" applyNumberFormat="1" applyFont="1" applyFill="1" applyAlignment="1">
      <alignment horizontal="center"/>
    </xf>
    <xf numFmtId="0" fontId="18" fillId="12" borderId="8" xfId="0" applyFont="1" applyFill="1" applyBorder="1" applyAlignment="1">
      <alignment horizontal="left" indent="8"/>
    </xf>
    <xf numFmtId="171" fontId="18" fillId="12" borderId="8" xfId="0" applyNumberFormat="1" applyFont="1" applyFill="1" applyBorder="1" applyAlignment="1">
      <alignment horizontal="center"/>
    </xf>
    <xf numFmtId="171" fontId="18" fillId="12" borderId="0" xfId="0" applyNumberFormat="1" applyFont="1" applyFill="1" applyBorder="1" applyAlignment="1">
      <alignment horizontal="center"/>
    </xf>
    <xf numFmtId="171" fontId="18" fillId="12" borderId="9" xfId="0" applyNumberFormat="1" applyFont="1" applyFill="1" applyBorder="1" applyAlignment="1">
      <alignment horizontal="center"/>
    </xf>
    <xf numFmtId="0" fontId="18" fillId="12" borderId="8" xfId="0" applyFont="1" applyFill="1" applyBorder="1" applyAlignment="1">
      <alignment horizontal="center" vertical="center" wrapText="1"/>
    </xf>
    <xf numFmtId="0" fontId="18" fillId="12" borderId="0" xfId="0" applyFont="1" applyFill="1" applyBorder="1" applyAlignment="1">
      <alignment horizontal="center" vertical="center" wrapText="1"/>
    </xf>
    <xf numFmtId="10" fontId="18" fillId="12" borderId="0" xfId="0" applyNumberFormat="1" applyFont="1" applyFill="1" applyBorder="1" applyAlignment="1">
      <alignment horizontal="center" vertical="center" wrapText="1"/>
    </xf>
    <xf numFmtId="10" fontId="18" fillId="12" borderId="9" xfId="0" applyNumberFormat="1" applyFont="1" applyFill="1" applyBorder="1" applyAlignment="1">
      <alignment horizontal="center" vertical="center" wrapText="1"/>
    </xf>
    <xf numFmtId="0" fontId="18" fillId="12" borderId="10" xfId="0" applyFont="1" applyFill="1" applyBorder="1" applyAlignment="1">
      <alignment horizontal="left" indent="8"/>
    </xf>
    <xf numFmtId="171" fontId="18" fillId="12" borderId="10" xfId="0" applyNumberFormat="1" applyFont="1" applyFill="1" applyBorder="1" applyAlignment="1">
      <alignment horizontal="center"/>
    </xf>
    <xf numFmtId="171" fontId="18" fillId="12" borderId="11" xfId="0" applyNumberFormat="1" applyFont="1" applyFill="1" applyBorder="1" applyAlignment="1">
      <alignment horizontal="center"/>
    </xf>
    <xf numFmtId="171" fontId="18" fillId="12" borderId="12" xfId="0" applyNumberFormat="1" applyFont="1" applyFill="1" applyBorder="1" applyAlignment="1">
      <alignment horizontal="center"/>
    </xf>
    <xf numFmtId="0" fontId="18" fillId="12" borderId="10" xfId="0" applyFont="1" applyFill="1" applyBorder="1" applyAlignment="1">
      <alignment horizontal="center" vertical="center" wrapText="1"/>
    </xf>
    <xf numFmtId="0" fontId="18" fillId="12" borderId="11" xfId="0" applyFont="1" applyFill="1" applyBorder="1" applyAlignment="1">
      <alignment horizontal="center" vertical="center" wrapText="1"/>
    </xf>
    <xf numFmtId="10" fontId="18" fillId="12" borderId="11" xfId="0" applyNumberFormat="1" applyFont="1" applyFill="1" applyBorder="1" applyAlignment="1">
      <alignment horizontal="center" vertical="center" wrapText="1"/>
    </xf>
    <xf numFmtId="10" fontId="18" fillId="12" borderId="12" xfId="0" applyNumberFormat="1" applyFont="1" applyFill="1" applyBorder="1" applyAlignment="1">
      <alignment horizontal="center" vertical="center" wrapText="1"/>
    </xf>
    <xf numFmtId="0" fontId="7" fillId="15" borderId="0" xfId="0" applyFont="1" applyFill="1" applyBorder="1" applyAlignment="1">
      <alignment horizontal="center" vertical="center"/>
    </xf>
    <xf numFmtId="0" fontId="109" fillId="12" borderId="10" xfId="0" applyFont="1" applyFill="1" applyBorder="1" applyAlignment="1">
      <alignment horizontal="center" vertical="center" wrapText="1"/>
    </xf>
    <xf numFmtId="0" fontId="6" fillId="12" borderId="0" xfId="0" applyFont="1" applyFill="1" applyAlignment="1">
      <alignment horizontal="left" vertical="center" wrapText="1"/>
    </xf>
    <xf numFmtId="1" fontId="0" fillId="23" borderId="15" xfId="0" applyNumberFormat="1" applyFont="1" applyFill="1" applyBorder="1" applyAlignment="1">
      <alignment horizontal="center"/>
    </xf>
    <xf numFmtId="1" fontId="0" fillId="23" borderId="0" xfId="0" applyNumberFormat="1" applyFont="1" applyFill="1" applyBorder="1" applyAlignment="1">
      <alignment horizontal="center"/>
    </xf>
    <xf numFmtId="0" fontId="0" fillId="23" borderId="0" xfId="0" applyFont="1" applyFill="1" applyBorder="1" applyAlignment="1">
      <alignment horizontal="center"/>
    </xf>
    <xf numFmtId="170" fontId="0" fillId="23" borderId="0" xfId="0" applyNumberFormat="1" applyFont="1" applyFill="1" applyBorder="1" applyAlignment="1">
      <alignment horizontal="center"/>
    </xf>
    <xf numFmtId="0" fontId="0" fillId="23" borderId="0" xfId="0" applyFont="1" applyFill="1" applyBorder="1" applyAlignment="1">
      <alignment horizontal="center" vertical="center" wrapText="1"/>
    </xf>
    <xf numFmtId="1" fontId="0" fillId="23" borderId="0" xfId="1" applyNumberFormat="1" applyFont="1" applyFill="1" applyBorder="1" applyAlignment="1">
      <alignment horizontal="center"/>
    </xf>
    <xf numFmtId="1" fontId="0" fillId="23" borderId="1" xfId="0" applyNumberFormat="1" applyFont="1" applyFill="1" applyBorder="1" applyAlignment="1">
      <alignment horizontal="center"/>
    </xf>
    <xf numFmtId="0" fontId="0" fillId="23" borderId="1" xfId="0" applyFont="1" applyFill="1" applyBorder="1" applyAlignment="1">
      <alignment horizontal="center" vertical="center" wrapText="1"/>
    </xf>
    <xf numFmtId="0" fontId="111" fillId="12" borderId="0" xfId="0" applyFont="1" applyFill="1" applyAlignment="1">
      <alignment horizontal="left" vertical="top" wrapText="1"/>
    </xf>
    <xf numFmtId="0" fontId="149" fillId="12" borderId="0" xfId="0" applyFont="1" applyFill="1" applyBorder="1" applyAlignment="1">
      <alignment horizontal="center" vertical="center"/>
    </xf>
    <xf numFmtId="173" fontId="0" fillId="0" borderId="0" xfId="0" applyNumberFormat="1" applyAlignment="1">
      <alignment horizontal="center"/>
    </xf>
    <xf numFmtId="0" fontId="0" fillId="0" borderId="0" xfId="0" applyFont="1" applyAlignment="1">
      <alignment horizontal="left" wrapText="1"/>
    </xf>
    <xf numFmtId="171" fontId="0" fillId="0" borderId="8" xfId="0" applyNumberFormat="1" applyFill="1" applyBorder="1" applyAlignment="1">
      <alignment horizontal="left"/>
    </xf>
    <xf numFmtId="0" fontId="0" fillId="12" borderId="5" xfId="0" applyFont="1" applyFill="1" applyBorder="1"/>
    <xf numFmtId="0" fontId="0" fillId="12" borderId="8" xfId="0" applyFont="1" applyFill="1" applyBorder="1"/>
    <xf numFmtId="4" fontId="0" fillId="0" borderId="3" xfId="0" applyNumberFormat="1" applyFill="1" applyBorder="1" applyAlignment="1">
      <alignment horizontal="center"/>
    </xf>
    <xf numFmtId="4" fontId="0" fillId="0" borderId="4" xfId="0" applyNumberFormat="1" applyFill="1" applyBorder="1" applyAlignment="1">
      <alignment horizontal="center"/>
    </xf>
    <xf numFmtId="0" fontId="0" fillId="0" borderId="0" xfId="0" applyFont="1" applyFill="1" applyAlignment="1">
      <alignment horizontal="left" indent="2"/>
    </xf>
    <xf numFmtId="0" fontId="1" fillId="0" borderId="2" xfId="0" applyFont="1" applyFill="1" applyBorder="1" applyAlignment="1">
      <alignment horizontal="center"/>
    </xf>
    <xf numFmtId="0" fontId="1" fillId="0" borderId="3" xfId="0" applyFont="1" applyFill="1" applyBorder="1" applyAlignment="1">
      <alignment horizontal="center"/>
    </xf>
    <xf numFmtId="0" fontId="1" fillId="0" borderId="4" xfId="0" applyFont="1" applyFill="1" applyBorder="1" applyAlignment="1">
      <alignment horizontal="center"/>
    </xf>
    <xf numFmtId="0" fontId="0" fillId="12" borderId="4" xfId="0" applyFill="1" applyBorder="1"/>
    <xf numFmtId="0" fontId="121" fillId="12" borderId="0" xfId="0" applyFont="1" applyFill="1" applyBorder="1" applyAlignment="1">
      <alignment horizontal="center" vertical="center"/>
    </xf>
    <xf numFmtId="0" fontId="114" fillId="12" borderId="0" xfId="0" applyFont="1" applyFill="1" applyAlignment="1">
      <alignment horizontal="left" vertical="center"/>
    </xf>
    <xf numFmtId="0" fontId="111" fillId="12" borderId="19" xfId="0" applyFont="1" applyFill="1" applyBorder="1" applyAlignment="1">
      <alignment horizontal="left" vertical="center" wrapText="1"/>
    </xf>
    <xf numFmtId="0" fontId="111" fillId="12" borderId="11" xfId="0" applyFont="1" applyFill="1" applyBorder="1" applyAlignment="1">
      <alignment horizontal="left" vertical="center" wrapText="1"/>
    </xf>
    <xf numFmtId="175" fontId="0" fillId="12" borderId="8" xfId="0" applyNumberFormat="1" applyFill="1" applyBorder="1" applyAlignment="1">
      <alignment horizontal="center"/>
    </xf>
    <xf numFmtId="175" fontId="0" fillId="12" borderId="0" xfId="0" applyNumberFormat="1" applyFill="1" applyBorder="1" applyAlignment="1">
      <alignment horizontal="center"/>
    </xf>
    <xf numFmtId="175" fontId="0" fillId="12" borderId="9" xfId="0" applyNumberFormat="1" applyFill="1" applyBorder="1" applyAlignment="1">
      <alignment horizontal="center"/>
    </xf>
    <xf numFmtId="175" fontId="0" fillId="12" borderId="10" xfId="0" applyNumberFormat="1" applyFill="1" applyBorder="1" applyAlignment="1">
      <alignment horizontal="center"/>
    </xf>
    <xf numFmtId="175" fontId="0" fillId="12" borderId="11" xfId="0" applyNumberFormat="1" applyFill="1" applyBorder="1" applyAlignment="1">
      <alignment horizontal="center"/>
    </xf>
    <xf numFmtId="175" fontId="0" fillId="12" borderId="12" xfId="0" applyNumberFormat="1" applyFill="1" applyBorder="1" applyAlignment="1">
      <alignment horizontal="center"/>
    </xf>
    <xf numFmtId="175" fontId="0" fillId="12" borderId="5" xfId="0" applyNumberFormat="1" applyFill="1" applyBorder="1" applyAlignment="1">
      <alignment horizontal="center"/>
    </xf>
    <xf numFmtId="175" fontId="0" fillId="12" borderId="6" xfId="0" applyNumberFormat="1" applyFill="1" applyBorder="1" applyAlignment="1">
      <alignment horizontal="center"/>
    </xf>
    <xf numFmtId="175" fontId="0" fillId="12" borderId="7" xfId="0" applyNumberFormat="1" applyFill="1" applyBorder="1" applyAlignment="1">
      <alignment horizontal="center"/>
    </xf>
    <xf numFmtId="0" fontId="54" fillId="72" borderId="0" xfId="0" applyFont="1" applyFill="1"/>
    <xf numFmtId="0" fontId="54" fillId="70" borderId="0" xfId="0" applyFont="1" applyFill="1"/>
    <xf numFmtId="0" fontId="14" fillId="0" borderId="6" xfId="0" applyFont="1" applyBorder="1"/>
    <xf numFmtId="0" fontId="14" fillId="0" borderId="6" xfId="0" applyFont="1" applyFill="1" applyBorder="1"/>
    <xf numFmtId="0" fontId="14" fillId="0" borderId="11" xfId="0" applyFont="1" applyFill="1" applyBorder="1"/>
    <xf numFmtId="0" fontId="0" fillId="0" borderId="48" xfId="0" applyFill="1" applyBorder="1"/>
    <xf numFmtId="0" fontId="0" fillId="0" borderId="5" xfId="0" applyFill="1" applyBorder="1" applyAlignment="1">
      <alignment horizontal="center"/>
    </xf>
    <xf numFmtId="0" fontId="0" fillId="0" borderId="6" xfId="0" applyFill="1" applyBorder="1" applyAlignment="1">
      <alignment horizontal="center"/>
    </xf>
    <xf numFmtId="0" fontId="13" fillId="3" borderId="14" xfId="0" applyFont="1" applyFill="1" applyBorder="1" applyAlignment="1">
      <alignment horizontal="center"/>
    </xf>
    <xf numFmtId="0" fontId="0" fillId="0" borderId="7" xfId="0" applyFill="1" applyBorder="1" applyAlignment="1">
      <alignment horizontal="center"/>
    </xf>
    <xf numFmtId="2" fontId="0" fillId="60" borderId="46" xfId="0" applyNumberFormat="1" applyFill="1" applyBorder="1"/>
    <xf numFmtId="2" fontId="0" fillId="60" borderId="1" xfId="0" applyNumberFormat="1" applyFill="1" applyBorder="1"/>
    <xf numFmtId="2" fontId="0" fillId="60" borderId="47" xfId="0" applyNumberFormat="1" applyFill="1" applyBorder="1"/>
    <xf numFmtId="2" fontId="0" fillId="0" borderId="45" xfId="0" applyNumberFormat="1" applyFill="1" applyBorder="1"/>
    <xf numFmtId="2" fontId="0" fillId="0" borderId="15" xfId="0" applyNumberFormat="1" applyFill="1" applyBorder="1"/>
    <xf numFmtId="2" fontId="0" fillId="0" borderId="48" xfId="0" applyNumberFormat="1" applyFill="1" applyBorder="1"/>
    <xf numFmtId="2" fontId="0" fillId="0" borderId="46" xfId="0" applyNumberFormat="1" applyFill="1" applyBorder="1"/>
    <xf numFmtId="2" fontId="0" fillId="0" borderId="47" xfId="0" applyNumberFormat="1" applyFill="1" applyBorder="1"/>
    <xf numFmtId="0" fontId="51" fillId="0" borderId="0" xfId="0" applyFont="1" applyFill="1" applyBorder="1"/>
    <xf numFmtId="0" fontId="106" fillId="0" borderId="0" xfId="0" applyFont="1" applyFill="1" applyBorder="1"/>
    <xf numFmtId="0" fontId="0" fillId="0" borderId="0" xfId="0" applyNumberFormat="1" applyFill="1" applyBorder="1" applyAlignment="1">
      <alignment horizontal="left"/>
    </xf>
    <xf numFmtId="0" fontId="0" fillId="0" borderId="11" xfId="0" applyFill="1" applyBorder="1" applyAlignment="1">
      <alignment horizontal="left"/>
    </xf>
    <xf numFmtId="2" fontId="0" fillId="60" borderId="45" xfId="0" applyNumberFormat="1" applyFill="1" applyBorder="1"/>
    <xf numFmtId="2" fontId="0" fillId="60" borderId="15" xfId="0" applyNumberFormat="1" applyFill="1" applyBorder="1"/>
    <xf numFmtId="2" fontId="0" fillId="60" borderId="48" xfId="0" applyNumberFormat="1" applyFill="1" applyBorder="1"/>
    <xf numFmtId="2" fontId="14" fillId="60" borderId="21" xfId="0" applyNumberFormat="1" applyFont="1" applyFill="1" applyBorder="1"/>
    <xf numFmtId="2" fontId="14" fillId="60" borderId="0" xfId="0" applyNumberFormat="1" applyFont="1" applyFill="1" applyBorder="1"/>
    <xf numFmtId="2" fontId="14" fillId="60" borderId="19" xfId="0" applyNumberFormat="1" applyFont="1" applyFill="1" applyBorder="1"/>
    <xf numFmtId="0" fontId="4" fillId="0" borderId="66" xfId="0" applyFont="1" applyFill="1" applyBorder="1"/>
    <xf numFmtId="0" fontId="4" fillId="0" borderId="63" xfId="0" applyFont="1" applyFill="1" applyBorder="1"/>
    <xf numFmtId="0" fontId="4" fillId="0" borderId="64" xfId="0" applyFont="1" applyFill="1" applyBorder="1"/>
    <xf numFmtId="0" fontId="0" fillId="0" borderId="8" xfId="0" applyFont="1" applyFill="1" applyBorder="1" applyAlignment="1">
      <alignment horizontal="left"/>
    </xf>
    <xf numFmtId="0" fontId="0" fillId="0" borderId="8" xfId="0" applyNumberFormat="1" applyFill="1" applyBorder="1" applyAlignment="1">
      <alignment horizontal="left"/>
    </xf>
    <xf numFmtId="0" fontId="0" fillId="0" borderId="9" xfId="0" applyFill="1" applyBorder="1" applyAlignment="1">
      <alignment horizontal="left"/>
    </xf>
    <xf numFmtId="0" fontId="0" fillId="0" borderId="9" xfId="0" applyBorder="1" applyAlignment="1">
      <alignment horizontal="left"/>
    </xf>
    <xf numFmtId="0" fontId="0" fillId="0" borderId="63" xfId="0" applyFill="1" applyBorder="1"/>
    <xf numFmtId="0" fontId="0" fillId="0" borderId="64" xfId="0" applyFill="1" applyBorder="1"/>
    <xf numFmtId="0" fontId="0" fillId="0" borderId="0" xfId="0" applyBorder="1" applyAlignment="1">
      <alignment horizontal="center"/>
    </xf>
    <xf numFmtId="0" fontId="0" fillId="0" borderId="0" xfId="0" applyBorder="1" applyAlignment="1">
      <alignment horizontal="left"/>
    </xf>
    <xf numFmtId="0" fontId="0" fillId="0" borderId="12" xfId="0" applyFill="1" applyBorder="1" applyAlignment="1">
      <alignment horizontal="left"/>
    </xf>
    <xf numFmtId="2" fontId="0" fillId="0" borderId="0" xfId="0" applyNumberFormat="1" applyFill="1" applyBorder="1" applyAlignment="1">
      <alignment horizontal="center" vertical="center"/>
    </xf>
    <xf numFmtId="0" fontId="0" fillId="14" borderId="8" xfId="0" applyNumberFormat="1" applyFill="1" applyBorder="1" applyAlignment="1">
      <alignment horizontal="left"/>
    </xf>
    <xf numFmtId="0" fontId="0" fillId="14" borderId="8" xfId="0" applyFill="1" applyBorder="1" applyAlignment="1">
      <alignment horizontal="left"/>
    </xf>
    <xf numFmtId="0" fontId="0" fillId="14" borderId="0" xfId="0" applyNumberFormat="1" applyFill="1" applyBorder="1" applyAlignment="1">
      <alignment horizontal="left"/>
    </xf>
    <xf numFmtId="1" fontId="14" fillId="14" borderId="0" xfId="0" applyNumberFormat="1" applyFont="1" applyFill="1" applyBorder="1" applyAlignment="1">
      <alignment horizontal="center"/>
    </xf>
    <xf numFmtId="9" fontId="0" fillId="14" borderId="0" xfId="1" applyFont="1" applyFill="1" applyBorder="1" applyAlignment="1">
      <alignment horizontal="center" vertical="center"/>
    </xf>
    <xf numFmtId="9" fontId="14" fillId="14" borderId="0" xfId="1" applyFont="1" applyFill="1" applyBorder="1" applyAlignment="1">
      <alignment horizontal="center"/>
    </xf>
    <xf numFmtId="9" fontId="7" fillId="12" borderId="9" xfId="0" applyNumberFormat="1" applyFont="1" applyFill="1" applyBorder="1" applyAlignment="1">
      <alignment horizontal="center"/>
    </xf>
    <xf numFmtId="9" fontId="7" fillId="2" borderId="9" xfId="0" applyNumberFormat="1" applyFont="1" applyFill="1" applyBorder="1" applyAlignment="1">
      <alignment horizontal="center"/>
    </xf>
    <xf numFmtId="172" fontId="7" fillId="12" borderId="8" xfId="0" applyNumberFormat="1" applyFont="1" applyFill="1" applyBorder="1" applyAlignment="1">
      <alignment horizontal="left" indent="1"/>
    </xf>
    <xf numFmtId="0" fontId="6" fillId="73" borderId="2" xfId="0" applyFont="1" applyFill="1" applyBorder="1"/>
    <xf numFmtId="0" fontId="6" fillId="73" borderId="3" xfId="0" applyFont="1" applyFill="1" applyBorder="1"/>
    <xf numFmtId="0" fontId="6" fillId="73" borderId="4" xfId="0" applyFont="1" applyFill="1" applyBorder="1"/>
    <xf numFmtId="0" fontId="6" fillId="12" borderId="0" xfId="0" applyFont="1" applyFill="1" applyBorder="1" applyAlignment="1">
      <alignment vertical="center" wrapText="1"/>
    </xf>
    <xf numFmtId="0" fontId="6" fillId="12" borderId="0" xfId="0" applyFont="1" applyFill="1" applyBorder="1" applyAlignment="1">
      <alignment horizontal="left" vertical="center" wrapText="1"/>
    </xf>
    <xf numFmtId="0" fontId="6" fillId="12" borderId="0" xfId="0" applyFont="1" applyFill="1" applyBorder="1" applyAlignment="1">
      <alignment horizontal="center" vertical="center" wrapText="1"/>
    </xf>
    <xf numFmtId="0" fontId="6" fillId="74" borderId="2" xfId="0" applyFont="1" applyFill="1" applyBorder="1"/>
    <xf numFmtId="0" fontId="6" fillId="74" borderId="4" xfId="0" applyFont="1" applyFill="1" applyBorder="1"/>
    <xf numFmtId="0" fontId="6" fillId="74" borderId="3" xfId="0" applyFont="1" applyFill="1" applyBorder="1"/>
    <xf numFmtId="0" fontId="6" fillId="74" borderId="7" xfId="0" applyFont="1" applyFill="1" applyBorder="1"/>
    <xf numFmtId="0" fontId="10" fillId="74" borderId="13" xfId="0" applyFont="1" applyFill="1" applyBorder="1"/>
    <xf numFmtId="0" fontId="1" fillId="74" borderId="2" xfId="0" applyFont="1" applyFill="1" applyBorder="1"/>
    <xf numFmtId="0" fontId="1" fillId="74" borderId="3" xfId="0" applyFont="1" applyFill="1" applyBorder="1"/>
    <xf numFmtId="0" fontId="1" fillId="74" borderId="4" xfId="0" applyFont="1" applyFill="1" applyBorder="1"/>
    <xf numFmtId="0" fontId="14" fillId="74" borderId="0" xfId="0" applyFont="1" applyFill="1" applyAlignment="1">
      <alignment horizontal="left"/>
    </xf>
    <xf numFmtId="0" fontId="117" fillId="12" borderId="0" xfId="0" applyFont="1" applyFill="1" applyBorder="1" applyAlignment="1">
      <alignment horizontal="center" vertical="center"/>
    </xf>
    <xf numFmtId="0" fontId="117" fillId="12" borderId="15" xfId="0" applyFont="1" applyFill="1" applyBorder="1" applyAlignment="1">
      <alignment horizontal="left" indent="2"/>
    </xf>
    <xf numFmtId="0" fontId="117" fillId="12" borderId="15" xfId="0" applyFont="1" applyFill="1" applyBorder="1"/>
    <xf numFmtId="170" fontId="117" fillId="12" borderId="15" xfId="1" applyNumberFormat="1" applyFont="1" applyFill="1" applyBorder="1" applyAlignment="1">
      <alignment horizontal="center"/>
    </xf>
    <xf numFmtId="0" fontId="54" fillId="12" borderId="0" xfId="0" applyFont="1" applyFill="1"/>
    <xf numFmtId="0" fontId="0" fillId="68" borderId="0" xfId="0" applyFill="1" applyAlignment="1">
      <alignment horizontal="left"/>
    </xf>
    <xf numFmtId="0" fontId="1" fillId="12" borderId="0" xfId="0" applyFont="1" applyFill="1" applyBorder="1" applyAlignment="1">
      <alignment horizontal="center" wrapText="1"/>
    </xf>
    <xf numFmtId="0" fontId="14" fillId="72" borderId="0" xfId="0" applyFont="1" applyFill="1"/>
    <xf numFmtId="0" fontId="0" fillId="0" borderId="8" xfId="0" applyFont="1" applyFill="1" applyBorder="1" applyAlignment="1"/>
    <xf numFmtId="0" fontId="0" fillId="0" borderId="1" xfId="0" applyFont="1" applyFill="1" applyBorder="1" applyAlignment="1">
      <alignment horizontal="left" indent="2"/>
    </xf>
    <xf numFmtId="175" fontId="18" fillId="0" borderId="0" xfId="0" applyNumberFormat="1" applyFont="1"/>
    <xf numFmtId="172" fontId="18" fillId="0" borderId="0" xfId="1" applyNumberFormat="1" applyFont="1"/>
    <xf numFmtId="177" fontId="18" fillId="0" borderId="0" xfId="0" applyNumberFormat="1" applyFont="1"/>
    <xf numFmtId="0" fontId="4" fillId="12" borderId="0" xfId="0" applyFont="1" applyFill="1" applyBorder="1" applyAlignment="1">
      <alignment vertical="center" wrapText="1"/>
    </xf>
    <xf numFmtId="0" fontId="17" fillId="12" borderId="0" xfId="0" applyFont="1" applyFill="1" applyBorder="1" applyAlignment="1"/>
    <xf numFmtId="0" fontId="4" fillId="12" borderId="0" xfId="0" applyFont="1" applyFill="1" applyBorder="1" applyAlignment="1">
      <alignment wrapText="1"/>
    </xf>
    <xf numFmtId="0" fontId="111" fillId="12" borderId="0" xfId="0" applyFont="1" applyFill="1" applyBorder="1" applyAlignment="1">
      <alignment horizontal="left" vertical="center" wrapText="1"/>
    </xf>
    <xf numFmtId="0" fontId="1" fillId="0" borderId="67" xfId="0" applyFont="1" applyFill="1" applyBorder="1"/>
    <xf numFmtId="0" fontId="1" fillId="0" borderId="15" xfId="0" applyFont="1" applyFill="1" applyBorder="1"/>
    <xf numFmtId="0" fontId="1" fillId="0" borderId="68" xfId="0" applyFont="1" applyFill="1" applyBorder="1"/>
    <xf numFmtId="0" fontId="1" fillId="0" borderId="69" xfId="0" applyFont="1" applyFill="1" applyBorder="1"/>
    <xf numFmtId="0" fontId="1" fillId="0" borderId="65" xfId="0" applyFont="1" applyFill="1" applyBorder="1"/>
    <xf numFmtId="0" fontId="0" fillId="0" borderId="9" xfId="0" applyFont="1" applyFill="1" applyBorder="1" applyAlignment="1">
      <alignment horizontal="left"/>
    </xf>
    <xf numFmtId="2" fontId="0" fillId="0" borderId="9" xfId="0" applyNumberFormat="1" applyFill="1" applyBorder="1" applyAlignment="1">
      <alignment horizontal="left"/>
    </xf>
    <xf numFmtId="2" fontId="0" fillId="14" borderId="9" xfId="0" applyNumberFormat="1" applyFill="1" applyBorder="1" applyAlignment="1">
      <alignment horizontal="left"/>
    </xf>
    <xf numFmtId="0" fontId="1" fillId="0" borderId="66" xfId="0" applyFont="1" applyFill="1" applyBorder="1"/>
    <xf numFmtId="0" fontId="0" fillId="14" borderId="63" xfId="0" applyFont="1" applyFill="1" applyBorder="1"/>
    <xf numFmtId="0" fontId="1" fillId="0" borderId="64" xfId="0" applyFont="1" applyFill="1" applyBorder="1"/>
    <xf numFmtId="0" fontId="0" fillId="14" borderId="64" xfId="0" applyFont="1" applyFill="1" applyBorder="1"/>
    <xf numFmtId="0" fontId="7" fillId="0" borderId="16" xfId="0" applyFont="1" applyBorder="1" applyAlignment="1">
      <alignment horizontal="left" indent="2"/>
    </xf>
    <xf numFmtId="0" fontId="7" fillId="12" borderId="2" xfId="0" applyFont="1" applyFill="1" applyBorder="1"/>
    <xf numFmtId="0" fontId="17" fillId="12" borderId="0" xfId="0" applyFont="1" applyFill="1" applyAlignment="1">
      <alignment vertical="center"/>
    </xf>
    <xf numFmtId="0" fontId="4" fillId="12" borderId="0" xfId="0" applyFont="1" applyFill="1" applyBorder="1" applyAlignment="1">
      <alignment horizontal="left"/>
    </xf>
    <xf numFmtId="0" fontId="4" fillId="2" borderId="13" xfId="0" applyFont="1" applyFill="1" applyBorder="1" applyAlignment="1">
      <alignment horizontal="left" vertical="center"/>
    </xf>
    <xf numFmtId="0" fontId="6" fillId="75" borderId="0" xfId="0" applyFont="1" applyFill="1" applyBorder="1" applyAlignment="1">
      <alignment vertical="center"/>
    </xf>
    <xf numFmtId="0" fontId="0" fillId="75" borderId="2" xfId="0" applyFill="1" applyBorder="1" applyAlignment="1">
      <alignment horizontal="left" indent="3"/>
    </xf>
    <xf numFmtId="2" fontId="0" fillId="75" borderId="3" xfId="0" applyNumberFormat="1" applyFill="1" applyBorder="1"/>
    <xf numFmtId="2" fontId="0" fillId="75" borderId="4" xfId="0" applyNumberFormat="1" applyFill="1" applyBorder="1"/>
    <xf numFmtId="0" fontId="6" fillId="28" borderId="0" xfId="0" applyFont="1" applyFill="1" applyBorder="1" applyAlignment="1">
      <alignment horizontal="left" vertical="center" wrapText="1"/>
    </xf>
    <xf numFmtId="0" fontId="0" fillId="12" borderId="0" xfId="0" applyFill="1" applyBorder="1" applyAlignment="1">
      <alignment horizontal="left" vertical="top" wrapText="1" indent="3"/>
    </xf>
    <xf numFmtId="0" fontId="14" fillId="12" borderId="0" xfId="0" applyFont="1" applyFill="1" applyBorder="1" applyAlignment="1">
      <alignment horizontal="left" vertical="top" wrapText="1" indent="3"/>
    </xf>
    <xf numFmtId="0" fontId="106" fillId="12" borderId="0" xfId="0" applyFont="1" applyFill="1" applyBorder="1" applyAlignment="1">
      <alignment horizontal="left" vertical="top" wrapText="1" indent="3"/>
    </xf>
    <xf numFmtId="0" fontId="0" fillId="20" borderId="0" xfId="0" applyFill="1" applyBorder="1"/>
    <xf numFmtId="0" fontId="14" fillId="12" borderId="0" xfId="0" applyFont="1" applyFill="1" applyBorder="1" applyAlignment="1">
      <alignment vertical="top" wrapText="1"/>
    </xf>
    <xf numFmtId="0" fontId="14" fillId="12" borderId="0" xfId="0" applyFont="1" applyFill="1" applyBorder="1" applyAlignment="1">
      <alignment horizontal="left" vertical="center" wrapText="1"/>
    </xf>
    <xf numFmtId="0" fontId="50" fillId="12" borderId="0" xfId="3" applyFont="1" applyFill="1" applyBorder="1" applyAlignment="1" applyProtection="1">
      <alignment horizontal="center" vertical="center"/>
    </xf>
    <xf numFmtId="0" fontId="14" fillId="12" borderId="0" xfId="0" applyFont="1" applyFill="1" applyBorder="1" applyAlignment="1">
      <alignment horizontal="left" vertical="center"/>
    </xf>
    <xf numFmtId="0" fontId="160" fillId="12" borderId="0" xfId="0" applyFont="1" applyFill="1" applyBorder="1" applyAlignment="1">
      <alignment horizontal="left"/>
    </xf>
    <xf numFmtId="0" fontId="1" fillId="0" borderId="13" xfId="0" applyFont="1" applyBorder="1" applyAlignment="1">
      <alignment horizontal="left"/>
    </xf>
    <xf numFmtId="0" fontId="106" fillId="12" borderId="0" xfId="0" applyFont="1" applyFill="1" applyBorder="1" applyAlignment="1">
      <alignment horizontal="left" vertical="top" wrapText="1" indent="3"/>
    </xf>
    <xf numFmtId="2" fontId="14" fillId="16" borderId="27" xfId="0" applyNumberFormat="1" applyFont="1" applyFill="1" applyBorder="1" applyAlignment="1">
      <alignment horizontal="center"/>
    </xf>
    <xf numFmtId="2" fontId="0" fillId="16" borderId="27" xfId="0" applyNumberFormat="1" applyFont="1" applyFill="1" applyBorder="1" applyAlignment="1">
      <alignment horizontal="center"/>
    </xf>
    <xf numFmtId="0" fontId="14" fillId="12" borderId="14" xfId="0" applyFont="1" applyFill="1" applyBorder="1" applyAlignment="1">
      <alignment vertical="center"/>
    </xf>
    <xf numFmtId="0" fontId="14" fillId="12" borderId="22" xfId="0" applyFont="1" applyFill="1" applyBorder="1" applyAlignment="1">
      <alignment vertical="center"/>
    </xf>
    <xf numFmtId="0" fontId="1" fillId="19" borderId="8" xfId="0" applyNumberFormat="1" applyFont="1" applyFill="1" applyBorder="1" applyAlignment="1">
      <alignment horizontal="center"/>
    </xf>
    <xf numFmtId="170" fontId="14" fillId="19" borderId="8" xfId="1" applyNumberFormat="1" applyFont="1" applyFill="1" applyBorder="1" applyAlignment="1">
      <alignment horizontal="center"/>
    </xf>
    <xf numFmtId="170" fontId="0" fillId="19" borderId="8" xfId="1" applyNumberFormat="1" applyFont="1" applyFill="1" applyBorder="1" applyAlignment="1">
      <alignment horizontal="center"/>
    </xf>
    <xf numFmtId="170" fontId="0" fillId="19" borderId="8" xfId="0" applyNumberFormat="1" applyFill="1" applyBorder="1" applyAlignment="1">
      <alignment horizontal="center"/>
    </xf>
    <xf numFmtId="170" fontId="14" fillId="19" borderId="8" xfId="0" applyNumberFormat="1" applyFont="1" applyFill="1" applyBorder="1" applyAlignment="1">
      <alignment horizontal="center"/>
    </xf>
    <xf numFmtId="170" fontId="114" fillId="12" borderId="0" xfId="0" applyNumberFormat="1" applyFont="1" applyFill="1" applyBorder="1" applyAlignment="1">
      <alignment horizontal="right" indent="1"/>
    </xf>
    <xf numFmtId="0" fontId="0" fillId="12" borderId="0" xfId="0" applyFill="1" applyBorder="1" applyAlignment="1">
      <alignment horizontal="left" vertical="center"/>
    </xf>
    <xf numFmtId="0" fontId="5" fillId="12" borderId="0" xfId="0" applyFont="1" applyFill="1" applyBorder="1" applyAlignment="1">
      <alignment horizontal="left" vertical="top"/>
    </xf>
    <xf numFmtId="0" fontId="0" fillId="0" borderId="15" xfId="0" applyFont="1" applyBorder="1" applyAlignment="1">
      <alignment horizontal="center"/>
    </xf>
    <xf numFmtId="0" fontId="0" fillId="0" borderId="15" xfId="0" applyFont="1" applyFill="1" applyBorder="1" applyAlignment="1">
      <alignment horizontal="center"/>
    </xf>
    <xf numFmtId="0" fontId="0" fillId="60" borderId="26" xfId="0" applyFont="1" applyFill="1" applyBorder="1" applyAlignment="1">
      <alignment horizontal="center"/>
    </xf>
    <xf numFmtId="0" fontId="0" fillId="60" borderId="28" xfId="0" applyFont="1" applyFill="1" applyBorder="1" applyAlignment="1">
      <alignment horizontal="center"/>
    </xf>
    <xf numFmtId="0" fontId="0" fillId="23" borderId="0" xfId="0" applyFill="1" applyBorder="1" applyAlignment="1">
      <alignment horizontal="center"/>
    </xf>
    <xf numFmtId="0" fontId="0" fillId="23" borderId="1" xfId="0" applyFill="1" applyBorder="1" applyAlignment="1">
      <alignment horizontal="center"/>
    </xf>
    <xf numFmtId="0" fontId="0" fillId="0" borderId="15" xfId="0" applyBorder="1"/>
    <xf numFmtId="0" fontId="0" fillId="0" borderId="15" xfId="0" applyBorder="1" applyAlignment="1">
      <alignment horizontal="center"/>
    </xf>
    <xf numFmtId="0" fontId="101" fillId="12" borderId="0" xfId="3" applyFont="1" applyFill="1" applyBorder="1" applyAlignment="1" applyProtection="1">
      <alignment horizontal="left" vertical="center"/>
    </xf>
    <xf numFmtId="0" fontId="101" fillId="12" borderId="0" xfId="3" applyFont="1" applyFill="1" applyBorder="1" applyAlignment="1" applyProtection="1">
      <alignment vertical="center"/>
    </xf>
    <xf numFmtId="0" fontId="102" fillId="12" borderId="0" xfId="3" applyFont="1" applyFill="1" applyBorder="1" applyAlignment="1" applyProtection="1">
      <alignment vertical="center"/>
    </xf>
    <xf numFmtId="0" fontId="101" fillId="12" borderId="0" xfId="3" applyFont="1" applyFill="1" applyBorder="1" applyAlignment="1" applyProtection="1"/>
    <xf numFmtId="2" fontId="0" fillId="0" borderId="21" xfId="0" applyNumberFormat="1" applyFont="1" applyBorder="1" applyAlignment="1">
      <alignment horizontal="left" indent="2"/>
    </xf>
    <xf numFmtId="2" fontId="0" fillId="0" borderId="46" xfId="0" applyNumberFormat="1" applyFont="1" applyBorder="1" applyAlignment="1">
      <alignment horizontal="left" indent="2"/>
    </xf>
    <xf numFmtId="0" fontId="0" fillId="0" borderId="1" xfId="0" applyFont="1" applyBorder="1"/>
    <xf numFmtId="2" fontId="0" fillId="0" borderId="1" xfId="0" applyNumberFormat="1" applyFont="1" applyBorder="1" applyAlignment="1"/>
    <xf numFmtId="2" fontId="0" fillId="0" borderId="1" xfId="0" applyNumberFormat="1" applyFont="1" applyBorder="1"/>
    <xf numFmtId="2" fontId="0" fillId="0" borderId="1" xfId="0" applyNumberFormat="1" applyFont="1" applyBorder="1" applyAlignment="1">
      <alignment horizontal="right"/>
    </xf>
    <xf numFmtId="170" fontId="0" fillId="0" borderId="15" xfId="0" applyNumberFormat="1" applyFont="1" applyBorder="1"/>
    <xf numFmtId="2" fontId="0" fillId="0" borderId="15" xfId="0" applyNumberFormat="1" applyFont="1" applyBorder="1" applyAlignment="1"/>
    <xf numFmtId="2" fontId="0" fillId="0" borderId="15" xfId="0" applyNumberFormat="1" applyFont="1" applyBorder="1"/>
    <xf numFmtId="2" fontId="0" fillId="0" borderId="15" xfId="0" applyNumberFormat="1" applyFont="1" applyBorder="1" applyAlignment="1">
      <alignment horizontal="right"/>
    </xf>
    <xf numFmtId="2" fontId="0" fillId="0" borderId="15" xfId="0" applyNumberFormat="1" applyFont="1" applyBorder="1" applyAlignment="1">
      <alignment horizontal="center"/>
    </xf>
    <xf numFmtId="2" fontId="0" fillId="0" borderId="15" xfId="0" applyNumberFormat="1" applyFont="1" applyBorder="1" applyAlignment="1">
      <alignment horizontal="left" indent="3"/>
    </xf>
    <xf numFmtId="0" fontId="0" fillId="0" borderId="15" xfId="0" applyNumberFormat="1" applyFont="1" applyBorder="1"/>
    <xf numFmtId="0" fontId="0" fillId="0" borderId="0" xfId="1" applyNumberFormat="1" applyFont="1" applyBorder="1" applyAlignment="1"/>
    <xf numFmtId="0" fontId="0" fillId="0" borderId="0" xfId="1" applyNumberFormat="1" applyFont="1" applyBorder="1"/>
    <xf numFmtId="0" fontId="0" fillId="0" borderId="0" xfId="0" applyNumberFormat="1" applyFont="1" applyBorder="1" applyAlignment="1"/>
    <xf numFmtId="0" fontId="0" fillId="0" borderId="1" xfId="0" applyNumberFormat="1" applyFont="1" applyBorder="1"/>
    <xf numFmtId="0" fontId="0" fillId="23" borderId="1" xfId="0" applyFont="1" applyFill="1" applyBorder="1" applyAlignment="1">
      <alignment horizontal="center"/>
    </xf>
    <xf numFmtId="0" fontId="0" fillId="60" borderId="17" xfId="0" applyFont="1" applyFill="1" applyBorder="1"/>
    <xf numFmtId="170" fontId="0" fillId="0" borderId="45" xfId="0" applyNumberFormat="1" applyFont="1" applyBorder="1" applyAlignment="1">
      <alignment horizontal="center"/>
    </xf>
    <xf numFmtId="0" fontId="0" fillId="0" borderId="48" xfId="0" applyFont="1" applyBorder="1" applyAlignment="1">
      <alignment horizontal="center"/>
    </xf>
    <xf numFmtId="0" fontId="0" fillId="0" borderId="23" xfId="0" applyFont="1" applyBorder="1" applyAlignment="1">
      <alignment horizontal="center"/>
    </xf>
    <xf numFmtId="0" fontId="0" fillId="0" borderId="24" xfId="0" applyFont="1" applyBorder="1" applyAlignment="1">
      <alignment horizontal="center"/>
    </xf>
    <xf numFmtId="0" fontId="0" fillId="0" borderId="25" xfId="0" applyFont="1" applyBorder="1" applyAlignment="1">
      <alignment horizontal="center"/>
    </xf>
    <xf numFmtId="0" fontId="0" fillId="0" borderId="45" xfId="0" applyFont="1" applyBorder="1" applyAlignment="1">
      <alignment horizontal="center"/>
    </xf>
    <xf numFmtId="1" fontId="0" fillId="23" borderId="21" xfId="0" applyNumberFormat="1" applyFont="1" applyFill="1" applyBorder="1" applyAlignment="1">
      <alignment horizontal="center"/>
    </xf>
    <xf numFmtId="1" fontId="0" fillId="23" borderId="19" xfId="0" applyNumberFormat="1" applyFont="1" applyFill="1" applyBorder="1" applyAlignment="1">
      <alignment horizontal="center"/>
    </xf>
    <xf numFmtId="170" fontId="0" fillId="23" borderId="21" xfId="0" applyNumberFormat="1" applyFont="1" applyFill="1" applyBorder="1" applyAlignment="1">
      <alignment horizontal="center"/>
    </xf>
    <xf numFmtId="170" fontId="0" fillId="23" borderId="19" xfId="0" applyNumberFormat="1" applyFont="1" applyFill="1" applyBorder="1" applyAlignment="1">
      <alignment horizontal="center"/>
    </xf>
    <xf numFmtId="1" fontId="0" fillId="23" borderId="46" xfId="0" applyNumberFormat="1" applyFont="1" applyFill="1" applyBorder="1" applyAlignment="1">
      <alignment horizontal="center"/>
    </xf>
    <xf numFmtId="1" fontId="0" fillId="23" borderId="47" xfId="0" applyNumberFormat="1" applyFont="1" applyFill="1" applyBorder="1" applyAlignment="1">
      <alignment horizontal="center"/>
    </xf>
    <xf numFmtId="0" fontId="0" fillId="23" borderId="46" xfId="0" applyFont="1" applyFill="1" applyBorder="1" applyAlignment="1">
      <alignment horizontal="center"/>
    </xf>
    <xf numFmtId="0" fontId="0" fillId="23" borderId="47" xfId="0" applyFont="1" applyFill="1" applyBorder="1" applyAlignment="1">
      <alignment horizontal="center"/>
    </xf>
    <xf numFmtId="0" fontId="0" fillId="0" borderId="0" xfId="0" applyFont="1" applyFill="1" applyBorder="1" applyAlignment="1">
      <alignment vertical="center"/>
    </xf>
    <xf numFmtId="0" fontId="0" fillId="0" borderId="0" xfId="0" applyFill="1" applyBorder="1" applyAlignment="1">
      <alignment vertical="center"/>
    </xf>
    <xf numFmtId="0" fontId="6" fillId="11" borderId="2" xfId="0" applyFont="1" applyFill="1" applyBorder="1" applyAlignment="1">
      <alignment wrapText="1"/>
    </xf>
    <xf numFmtId="0" fontId="162" fillId="0" borderId="0" xfId="0" applyFont="1" applyFill="1" applyAlignment="1">
      <alignment wrapText="1"/>
    </xf>
    <xf numFmtId="0" fontId="162" fillId="0" borderId="0" xfId="0" applyFont="1" applyFill="1" applyAlignment="1">
      <alignment horizontal="left"/>
    </xf>
    <xf numFmtId="0" fontId="163" fillId="0" borderId="0" xfId="0" applyFont="1" applyFill="1"/>
    <xf numFmtId="0" fontId="162" fillId="0" borderId="0" xfId="0" applyFont="1" applyFill="1"/>
    <xf numFmtId="0" fontId="0" fillId="12" borderId="1" xfId="0" applyFill="1" applyBorder="1" applyAlignment="1">
      <alignment horizontal="left"/>
    </xf>
    <xf numFmtId="0" fontId="0" fillId="12" borderId="0" xfId="0" applyFont="1" applyFill="1" applyBorder="1" applyAlignment="1">
      <alignment horizontal="left"/>
    </xf>
    <xf numFmtId="0" fontId="151" fillId="12" borderId="0" xfId="3" applyFont="1" applyFill="1" applyAlignment="1" applyProtection="1">
      <alignment wrapText="1"/>
    </xf>
    <xf numFmtId="0" fontId="4" fillId="12" borderId="1" xfId="0" applyFont="1" applyFill="1" applyBorder="1" applyAlignment="1">
      <alignment horizontal="center"/>
    </xf>
    <xf numFmtId="0" fontId="14" fillId="0" borderId="21" xfId="0" applyFont="1" applyBorder="1"/>
    <xf numFmtId="0" fontId="14" fillId="23" borderId="0" xfId="0" applyFont="1" applyFill="1" applyBorder="1"/>
    <xf numFmtId="0" fontId="14" fillId="0" borderId="46" xfId="0" applyFont="1" applyBorder="1"/>
    <xf numFmtId="0" fontId="14" fillId="23" borderId="1" xfId="0" applyFont="1" applyFill="1" applyBorder="1"/>
    <xf numFmtId="0" fontId="13" fillId="0" borderId="45" xfId="0" applyFont="1" applyFill="1" applyBorder="1"/>
    <xf numFmtId="0" fontId="13" fillId="0" borderId="15" xfId="0" applyFont="1" applyFill="1" applyBorder="1" applyAlignment="1">
      <alignment horizontal="right"/>
    </xf>
    <xf numFmtId="0" fontId="164" fillId="12" borderId="0" xfId="0" applyFont="1" applyFill="1" applyBorder="1" applyAlignment="1">
      <alignment vertical="center"/>
    </xf>
    <xf numFmtId="0" fontId="0" fillId="0" borderId="9" xfId="0" applyNumberFormat="1" applyBorder="1"/>
    <xf numFmtId="0" fontId="0" fillId="0" borderId="12" xfId="0" applyNumberFormat="1" applyBorder="1"/>
    <xf numFmtId="15" fontId="17" fillId="12" borderId="0" xfId="0" applyNumberFormat="1" applyFont="1" applyFill="1" applyBorder="1" applyAlignment="1">
      <alignment horizontal="left" vertical="center"/>
    </xf>
    <xf numFmtId="0" fontId="17" fillId="12" borderId="0" xfId="0" applyNumberFormat="1" applyFont="1" applyFill="1" applyBorder="1" applyAlignment="1">
      <alignment horizontal="left" vertical="center"/>
    </xf>
    <xf numFmtId="0" fontId="165" fillId="12" borderId="0" xfId="0" applyFont="1" applyFill="1" applyAlignment="1">
      <alignment horizontal="left" vertical="center"/>
    </xf>
    <xf numFmtId="0" fontId="0" fillId="14" borderId="0" xfId="0" applyFont="1" applyFill="1" applyAlignment="1">
      <alignment horizontal="left" vertical="center"/>
    </xf>
    <xf numFmtId="0" fontId="117" fillId="12" borderId="0" xfId="0" applyFont="1" applyFill="1" applyAlignment="1">
      <alignment horizontal="left" vertical="center"/>
    </xf>
    <xf numFmtId="0" fontId="117" fillId="12" borderId="0" xfId="0" applyFont="1" applyFill="1" applyAlignment="1">
      <alignment horizontal="left" vertical="center" wrapText="1"/>
    </xf>
    <xf numFmtId="0" fontId="117" fillId="12" borderId="0" xfId="0" applyFont="1" applyFill="1" applyAlignment="1">
      <alignment horizontal="center" wrapText="1"/>
    </xf>
    <xf numFmtId="1" fontId="100" fillId="12" borderId="11" xfId="0" applyNumberFormat="1" applyFont="1" applyFill="1" applyBorder="1"/>
    <xf numFmtId="1" fontId="100" fillId="12" borderId="12" xfId="0" applyNumberFormat="1" applyFont="1" applyFill="1" applyBorder="1"/>
    <xf numFmtId="170" fontId="7" fillId="12" borderId="3" xfId="0" applyNumberFormat="1" applyFont="1" applyFill="1" applyBorder="1"/>
    <xf numFmtId="170" fontId="7" fillId="12" borderId="4" xfId="0" applyNumberFormat="1" applyFont="1" applyFill="1" applyBorder="1"/>
    <xf numFmtId="0" fontId="1" fillId="65" borderId="53" xfId="0" applyFont="1" applyFill="1" applyBorder="1" applyAlignment="1">
      <alignment horizontal="center"/>
    </xf>
    <xf numFmtId="0" fontId="0" fillId="12" borderId="7" xfId="0" applyFill="1" applyBorder="1" applyAlignment="1">
      <alignment wrapText="1"/>
    </xf>
    <xf numFmtId="170" fontId="54" fillId="63" borderId="5" xfId="0" applyNumberFormat="1" applyFont="1" applyFill="1" applyBorder="1" applyAlignment="1">
      <alignment horizontal="center"/>
    </xf>
    <xf numFmtId="170" fontId="54" fillId="63" borderId="7" xfId="0" applyNumberFormat="1" applyFont="1" applyFill="1" applyBorder="1" applyAlignment="1">
      <alignment horizontal="center"/>
    </xf>
    <xf numFmtId="170" fontId="0" fillId="19" borderId="14" xfId="0" applyNumberFormat="1" applyFill="1" applyBorder="1" applyAlignment="1">
      <alignment horizontal="center"/>
    </xf>
    <xf numFmtId="170" fontId="14" fillId="0" borderId="0" xfId="0" applyNumberFormat="1" applyFont="1" applyFill="1" applyBorder="1" applyAlignment="1">
      <alignment horizontal="center"/>
    </xf>
    <xf numFmtId="0" fontId="138" fillId="12" borderId="15" xfId="0" applyFont="1" applyFill="1" applyBorder="1" applyAlignment="1">
      <alignment horizontal="center"/>
    </xf>
    <xf numFmtId="0" fontId="7" fillId="12" borderId="14" xfId="0" applyFont="1" applyFill="1" applyBorder="1" applyAlignment="1">
      <alignment horizontal="left" indent="2"/>
    </xf>
    <xf numFmtId="0" fontId="7" fillId="12" borderId="16" xfId="0" applyFont="1" applyFill="1" applyBorder="1" applyAlignment="1">
      <alignment horizontal="left" indent="6"/>
    </xf>
    <xf numFmtId="0" fontId="7" fillId="12" borderId="16" xfId="0" applyFont="1" applyFill="1" applyBorder="1" applyAlignment="1">
      <alignment horizontal="left" indent="10"/>
    </xf>
    <xf numFmtId="0" fontId="109" fillId="12" borderId="16" xfId="0" applyFont="1" applyFill="1" applyBorder="1" applyAlignment="1">
      <alignment horizontal="left" indent="10"/>
    </xf>
    <xf numFmtId="0" fontId="109" fillId="12" borderId="22" xfId="0" applyFont="1" applyFill="1" applyBorder="1" applyAlignment="1">
      <alignment horizontal="left" indent="10"/>
    </xf>
    <xf numFmtId="170" fontId="0" fillId="12" borderId="3" xfId="0" applyNumberFormat="1" applyFill="1" applyBorder="1" applyAlignment="1">
      <alignment horizontal="center"/>
    </xf>
    <xf numFmtId="170" fontId="0" fillId="12" borderId="4" xfId="0" applyNumberFormat="1" applyFill="1" applyBorder="1" applyAlignment="1">
      <alignment horizontal="center"/>
    </xf>
    <xf numFmtId="0" fontId="7" fillId="12" borderId="8" xfId="0" applyFont="1" applyFill="1" applyBorder="1" applyAlignment="1">
      <alignment horizontal="left" indent="4"/>
    </xf>
    <xf numFmtId="0" fontId="7" fillId="12" borderId="22" xfId="0" applyFont="1" applyFill="1" applyBorder="1"/>
    <xf numFmtId="0" fontId="7" fillId="12" borderId="0" xfId="0" applyFont="1" applyFill="1" applyBorder="1" applyAlignment="1">
      <alignment horizontal="left" indent="4"/>
    </xf>
    <xf numFmtId="0" fontId="7" fillId="0" borderId="0" xfId="0" applyFont="1" applyBorder="1"/>
    <xf numFmtId="170" fontId="7" fillId="12" borderId="8" xfId="0" applyNumberFormat="1" applyFont="1" applyFill="1" applyBorder="1" applyAlignment="1">
      <alignment horizontal="right"/>
    </xf>
    <xf numFmtId="170" fontId="7" fillId="12" borderId="0" xfId="0" applyNumberFormat="1" applyFont="1" applyFill="1" applyBorder="1" applyAlignment="1">
      <alignment horizontal="right"/>
    </xf>
    <xf numFmtId="0" fontId="7" fillId="12" borderId="8" xfId="0" applyFont="1" applyFill="1" applyBorder="1" applyAlignment="1">
      <alignment horizontal="left" indent="6"/>
    </xf>
    <xf numFmtId="0" fontId="114" fillId="12" borderId="0" xfId="0" applyFont="1" applyFill="1" applyBorder="1" applyAlignment="1">
      <alignment horizontal="left" indent="2"/>
    </xf>
    <xf numFmtId="0" fontId="0" fillId="19" borderId="8" xfId="0" applyFont="1" applyFill="1" applyBorder="1" applyAlignment="1">
      <alignment horizontal="left" indent="1"/>
    </xf>
    <xf numFmtId="0" fontId="6" fillId="12" borderId="0" xfId="0" applyFont="1" applyFill="1" applyAlignment="1">
      <alignment horizontal="left" vertical="center" wrapText="1"/>
    </xf>
    <xf numFmtId="173" fontId="0" fillId="0" borderId="0" xfId="0" applyNumberFormat="1" applyFill="1" applyAlignment="1">
      <alignment horizontal="center"/>
    </xf>
    <xf numFmtId="173" fontId="0" fillId="0" borderId="0" xfId="0" applyNumberFormat="1" applyFill="1"/>
    <xf numFmtId="2" fontId="0" fillId="12" borderId="0" xfId="0" applyNumberFormat="1" applyFill="1" applyAlignment="1">
      <alignment horizontal="left"/>
    </xf>
    <xf numFmtId="2" fontId="0" fillId="0" borderId="0" xfId="0" applyNumberFormat="1" applyFill="1" applyAlignment="1">
      <alignment horizontal="left"/>
    </xf>
    <xf numFmtId="0" fontId="0" fillId="0" borderId="15" xfId="0" applyFill="1" applyBorder="1"/>
    <xf numFmtId="2" fontId="0" fillId="0" borderId="1" xfId="0" applyNumberFormat="1" applyFill="1" applyBorder="1" applyAlignment="1">
      <alignment horizontal="left"/>
    </xf>
    <xf numFmtId="0" fontId="0" fillId="23" borderId="0" xfId="0" applyFill="1" applyAlignment="1">
      <alignment horizontal="center"/>
    </xf>
    <xf numFmtId="1" fontId="0" fillId="12" borderId="0" xfId="0" applyNumberFormat="1" applyFill="1" applyAlignment="1">
      <alignment horizontal="center"/>
    </xf>
    <xf numFmtId="2" fontId="0" fillId="12" borderId="15" xfId="0" applyNumberFormat="1" applyFill="1" applyBorder="1" applyAlignment="1">
      <alignment horizontal="center"/>
    </xf>
    <xf numFmtId="0" fontId="0" fillId="12" borderId="15" xfId="0" applyFill="1" applyBorder="1" applyAlignment="1">
      <alignment horizontal="right"/>
    </xf>
    <xf numFmtId="1" fontId="0" fillId="12" borderId="15" xfId="0" applyNumberFormat="1" applyFill="1" applyBorder="1" applyAlignment="1">
      <alignment horizontal="center"/>
    </xf>
    <xf numFmtId="2" fontId="0" fillId="12" borderId="15" xfId="0" applyNumberFormat="1" applyFill="1" applyBorder="1" applyAlignment="1">
      <alignment horizontal="left"/>
    </xf>
    <xf numFmtId="0" fontId="127" fillId="12" borderId="15" xfId="0" applyFont="1" applyFill="1" applyBorder="1" applyAlignment="1">
      <alignment horizontal="right"/>
    </xf>
    <xf numFmtId="0" fontId="0" fillId="12" borderId="15" xfId="0" applyFont="1" applyFill="1" applyBorder="1" applyAlignment="1">
      <alignment horizontal="center"/>
    </xf>
    <xf numFmtId="0" fontId="0" fillId="12" borderId="1" xfId="0" applyFill="1" applyBorder="1" applyAlignment="1">
      <alignment horizontal="right"/>
    </xf>
    <xf numFmtId="1" fontId="0" fillId="12" borderId="1" xfId="0" applyNumberFormat="1" applyFill="1" applyBorder="1" applyAlignment="1">
      <alignment horizontal="center"/>
    </xf>
    <xf numFmtId="2" fontId="0" fillId="12" borderId="1" xfId="0" applyNumberFormat="1" applyFill="1" applyBorder="1" applyAlignment="1">
      <alignment horizontal="left"/>
    </xf>
    <xf numFmtId="0" fontId="127" fillId="12" borderId="1" xfId="0" applyFont="1" applyFill="1" applyBorder="1" applyAlignment="1">
      <alignment horizontal="right"/>
    </xf>
    <xf numFmtId="0" fontId="0" fillId="12" borderId="1" xfId="0" applyFont="1" applyFill="1" applyBorder="1" applyAlignment="1">
      <alignment horizontal="center"/>
    </xf>
    <xf numFmtId="0" fontId="4" fillId="14" borderId="3" xfId="0" applyFont="1" applyFill="1" applyBorder="1" applyAlignment="1">
      <alignment horizontal="left" vertical="center"/>
    </xf>
    <xf numFmtId="0" fontId="0" fillId="14" borderId="3" xfId="0" applyFill="1" applyBorder="1" applyAlignment="1">
      <alignment horizontal="left"/>
    </xf>
    <xf numFmtId="0" fontId="1" fillId="12" borderId="14" xfId="0" applyFont="1" applyFill="1" applyBorder="1" applyAlignment="1">
      <alignment horizontal="center"/>
    </xf>
    <xf numFmtId="0" fontId="1" fillId="3" borderId="14" xfId="0" applyFont="1" applyFill="1" applyBorder="1" applyAlignment="1">
      <alignment horizontal="center"/>
    </xf>
    <xf numFmtId="0" fontId="1" fillId="12" borderId="5" xfId="0" applyFont="1" applyFill="1" applyBorder="1" applyAlignment="1">
      <alignment horizontal="center" wrapText="1"/>
    </xf>
    <xf numFmtId="0" fontId="1" fillId="12" borderId="6" xfId="0" applyFont="1" applyFill="1" applyBorder="1" applyAlignment="1">
      <alignment horizontal="center" wrapText="1"/>
    </xf>
    <xf numFmtId="0" fontId="1" fillId="12" borderId="7" xfId="0" applyFont="1" applyFill="1" applyBorder="1" applyAlignment="1">
      <alignment horizontal="center" wrapText="1"/>
    </xf>
    <xf numFmtId="2" fontId="0" fillId="12" borderId="15" xfId="1" applyNumberFormat="1" applyFont="1" applyFill="1" applyBorder="1" applyAlignment="1">
      <alignment horizontal="center" vertical="center"/>
    </xf>
    <xf numFmtId="2" fontId="0" fillId="12" borderId="15" xfId="0" applyNumberFormat="1" applyFill="1" applyBorder="1" applyAlignment="1">
      <alignment horizontal="center" vertical="center"/>
    </xf>
    <xf numFmtId="0" fontId="0" fillId="12" borderId="15" xfId="0" applyFill="1" applyBorder="1" applyAlignment="1">
      <alignment horizontal="center" vertical="center"/>
    </xf>
    <xf numFmtId="171" fontId="7" fillId="12" borderId="0" xfId="0" applyNumberFormat="1" applyFont="1" applyFill="1" applyBorder="1" applyAlignment="1">
      <alignment horizontal="center" vertical="center" wrapText="1"/>
    </xf>
    <xf numFmtId="170" fontId="7" fillId="12" borderId="0" xfId="0" applyNumberFormat="1" applyFont="1" applyFill="1" applyBorder="1" applyAlignment="1">
      <alignment horizontal="center"/>
    </xf>
    <xf numFmtId="0" fontId="7" fillId="12" borderId="3" xfId="0" applyFont="1" applyFill="1" applyBorder="1"/>
    <xf numFmtId="0" fontId="0" fillId="12" borderId="15" xfId="0" applyFill="1" applyBorder="1" applyAlignment="1">
      <alignment horizontal="left"/>
    </xf>
    <xf numFmtId="0" fontId="1" fillId="0" borderId="8" xfId="0" applyFont="1" applyFill="1" applyBorder="1"/>
    <xf numFmtId="170" fontId="0" fillId="0" borderId="0" xfId="1" applyNumberFormat="1" applyFont="1" applyFill="1" applyBorder="1" applyAlignment="1">
      <alignment horizontal="center"/>
    </xf>
    <xf numFmtId="0" fontId="1" fillId="0" borderId="8" xfId="0" applyFont="1" applyFill="1" applyBorder="1" applyAlignment="1">
      <alignment horizontal="left"/>
    </xf>
    <xf numFmtId="0" fontId="1" fillId="0" borderId="8" xfId="0" applyFont="1" applyFill="1" applyBorder="1" applyAlignment="1">
      <alignment horizontal="left" indent="1"/>
    </xf>
    <xf numFmtId="0" fontId="1" fillId="0" borderId="8" xfId="0" applyFont="1" applyFill="1" applyBorder="1" applyAlignment="1">
      <alignment horizontal="left" indent="2"/>
    </xf>
    <xf numFmtId="0" fontId="13" fillId="0" borderId="8" xfId="0" applyFont="1" applyFill="1" applyBorder="1" applyAlignment="1">
      <alignment horizontal="left" indent="1"/>
    </xf>
    <xf numFmtId="0" fontId="13" fillId="0" borderId="8" xfId="0" applyFont="1" applyFill="1" applyBorder="1" applyAlignment="1">
      <alignment horizontal="left" indent="2"/>
    </xf>
    <xf numFmtId="0" fontId="13" fillId="0" borderId="8" xfId="0" applyFont="1" applyFill="1" applyBorder="1" applyAlignment="1">
      <alignment horizontal="left" indent="3"/>
    </xf>
    <xf numFmtId="0" fontId="13" fillId="0" borderId="8" xfId="0" applyFont="1" applyFill="1" applyBorder="1" applyAlignment="1">
      <alignment horizontal="right"/>
    </xf>
    <xf numFmtId="0" fontId="1" fillId="0" borderId="10" xfId="0" applyFont="1" applyFill="1" applyBorder="1"/>
    <xf numFmtId="170" fontId="0" fillId="0" borderId="11" xfId="0" applyNumberFormat="1" applyFont="1" applyFill="1" applyBorder="1" applyAlignment="1">
      <alignment horizontal="center"/>
    </xf>
    <xf numFmtId="170" fontId="14" fillId="16" borderId="8" xfId="0" applyNumberFormat="1" applyFont="1" applyFill="1" applyBorder="1" applyAlignment="1">
      <alignment horizontal="center"/>
    </xf>
    <xf numFmtId="170" fontId="14" fillId="16" borderId="0" xfId="0" applyNumberFormat="1" applyFont="1" applyFill="1" applyBorder="1" applyAlignment="1">
      <alignment horizontal="center"/>
    </xf>
    <xf numFmtId="170" fontId="14" fillId="16" borderId="9" xfId="0" applyNumberFormat="1" applyFont="1" applyFill="1" applyBorder="1" applyAlignment="1">
      <alignment horizontal="center"/>
    </xf>
    <xf numFmtId="170" fontId="14" fillId="16" borderId="8" xfId="1" applyNumberFormat="1" applyFont="1" applyFill="1" applyBorder="1" applyAlignment="1">
      <alignment horizontal="center"/>
    </xf>
    <xf numFmtId="170" fontId="14" fillId="16" borderId="0" xfId="1" applyNumberFormat="1" applyFont="1" applyFill="1" applyBorder="1" applyAlignment="1">
      <alignment horizontal="center"/>
    </xf>
    <xf numFmtId="170" fontId="14" fillId="16" borderId="9" xfId="1" applyNumberFormat="1" applyFont="1" applyFill="1" applyBorder="1" applyAlignment="1">
      <alignment horizontal="center"/>
    </xf>
    <xf numFmtId="0" fontId="14" fillId="16" borderId="10" xfId="0" applyFont="1" applyFill="1" applyBorder="1" applyAlignment="1">
      <alignment horizontal="center"/>
    </xf>
    <xf numFmtId="0" fontId="14" fillId="16" borderId="11" xfId="0" applyFont="1" applyFill="1" applyBorder="1" applyAlignment="1">
      <alignment horizontal="center"/>
    </xf>
    <xf numFmtId="0" fontId="14" fillId="16" borderId="12" xfId="0" applyFont="1" applyFill="1" applyBorder="1" applyAlignment="1">
      <alignment horizontal="center"/>
    </xf>
    <xf numFmtId="170" fontId="0" fillId="16" borderId="16" xfId="0" applyNumberFormat="1" applyFill="1" applyBorder="1" applyAlignment="1">
      <alignment horizontal="center"/>
    </xf>
    <xf numFmtId="2" fontId="0" fillId="16" borderId="22" xfId="0" applyNumberFormat="1" applyFill="1" applyBorder="1" applyAlignment="1">
      <alignment horizontal="center"/>
    </xf>
    <xf numFmtId="170" fontId="0" fillId="16" borderId="14" xfId="0" applyNumberFormat="1" applyFill="1" applyBorder="1" applyAlignment="1">
      <alignment horizontal="center"/>
    </xf>
    <xf numFmtId="0" fontId="1" fillId="19" borderId="5" xfId="0" applyFont="1" applyFill="1" applyBorder="1"/>
    <xf numFmtId="0" fontId="14" fillId="19" borderId="6" xfId="0" applyFont="1" applyFill="1" applyBorder="1"/>
    <xf numFmtId="170" fontId="0" fillId="19" borderId="6" xfId="0" applyNumberFormat="1" applyFont="1" applyFill="1" applyBorder="1" applyAlignment="1">
      <alignment horizontal="center"/>
    </xf>
    <xf numFmtId="170" fontId="14" fillId="19" borderId="5" xfId="0" applyNumberFormat="1" applyFont="1" applyFill="1" applyBorder="1" applyAlignment="1">
      <alignment horizontal="center"/>
    </xf>
    <xf numFmtId="170" fontId="14" fillId="19" borderId="6" xfId="0" applyNumberFormat="1" applyFont="1" applyFill="1" applyBorder="1" applyAlignment="1">
      <alignment horizontal="center"/>
    </xf>
    <xf numFmtId="170" fontId="14" fillId="19" borderId="7" xfId="0" applyNumberFormat="1" applyFont="1" applyFill="1" applyBorder="1" applyAlignment="1">
      <alignment horizontal="center"/>
    </xf>
    <xf numFmtId="0" fontId="1" fillId="19" borderId="10" xfId="0" applyFont="1" applyFill="1" applyBorder="1" applyAlignment="1">
      <alignment horizontal="left"/>
    </xf>
    <xf numFmtId="170" fontId="18" fillId="19" borderId="8" xfId="0" applyNumberFormat="1" applyFont="1" applyFill="1" applyBorder="1" applyAlignment="1">
      <alignment horizontal="center"/>
    </xf>
    <xf numFmtId="170" fontId="18" fillId="19" borderId="0" xfId="0" applyNumberFormat="1" applyFont="1" applyFill="1" applyBorder="1" applyAlignment="1">
      <alignment horizontal="center"/>
    </xf>
    <xf numFmtId="170" fontId="18" fillId="19" borderId="9" xfId="0" applyNumberFormat="1" applyFont="1" applyFill="1" applyBorder="1" applyAlignment="1">
      <alignment horizontal="center"/>
    </xf>
    <xf numFmtId="170" fontId="18" fillId="19" borderId="16" xfId="0" applyNumberFormat="1" applyFont="1" applyFill="1" applyBorder="1" applyAlignment="1">
      <alignment horizontal="center"/>
    </xf>
    <xf numFmtId="170" fontId="18" fillId="19" borderId="10" xfId="0" applyNumberFormat="1" applyFont="1" applyFill="1" applyBorder="1" applyAlignment="1">
      <alignment horizontal="center"/>
    </xf>
    <xf numFmtId="170" fontId="18" fillId="19" borderId="11" xfId="0" applyNumberFormat="1" applyFont="1" applyFill="1" applyBorder="1" applyAlignment="1">
      <alignment horizontal="center"/>
    </xf>
    <xf numFmtId="170" fontId="18" fillId="19" borderId="12" xfId="0" applyNumberFormat="1" applyFont="1" applyFill="1" applyBorder="1" applyAlignment="1">
      <alignment horizontal="center"/>
    </xf>
    <xf numFmtId="170" fontId="18" fillId="19" borderId="22" xfId="0" applyNumberFormat="1" applyFont="1" applyFill="1" applyBorder="1" applyAlignment="1">
      <alignment horizontal="center"/>
    </xf>
    <xf numFmtId="170" fontId="18" fillId="0" borderId="0" xfId="0" applyNumberFormat="1" applyFont="1" applyAlignment="1">
      <alignment horizontal="center"/>
    </xf>
    <xf numFmtId="170" fontId="0" fillId="12" borderId="1" xfId="0" applyNumberFormat="1" applyFill="1" applyBorder="1" applyAlignment="1">
      <alignment horizontal="center"/>
    </xf>
    <xf numFmtId="9" fontId="7" fillId="2" borderId="12" xfId="0" applyNumberFormat="1" applyFont="1" applyFill="1" applyBorder="1" applyAlignment="1">
      <alignment horizontal="center"/>
    </xf>
    <xf numFmtId="0" fontId="114" fillId="13" borderId="0" xfId="0" applyFont="1" applyFill="1"/>
    <xf numFmtId="0" fontId="139" fillId="12" borderId="0" xfId="1029" applyFont="1" applyFill="1" applyBorder="1" applyAlignment="1">
      <alignment horizontal="left" indent="2"/>
    </xf>
    <xf numFmtId="170" fontId="7" fillId="12" borderId="4" xfId="0" applyNumberFormat="1" applyFont="1" applyFill="1" applyBorder="1" applyAlignment="1">
      <alignment horizontal="right"/>
    </xf>
    <xf numFmtId="0" fontId="7" fillId="12" borderId="4" xfId="0" applyFont="1" applyFill="1" applyBorder="1"/>
    <xf numFmtId="0" fontId="17" fillId="12" borderId="1" xfId="0" applyFont="1" applyFill="1" applyBorder="1"/>
    <xf numFmtId="0" fontId="151" fillId="12" borderId="1" xfId="3" applyFont="1" applyFill="1" applyBorder="1" applyAlignment="1" applyProtection="1"/>
    <xf numFmtId="0" fontId="17" fillId="12" borderId="1" xfId="0" applyFont="1" applyFill="1" applyBorder="1" applyAlignment="1">
      <alignment horizontal="center"/>
    </xf>
    <xf numFmtId="0" fontId="7" fillId="0" borderId="0" xfId="0" applyFont="1" applyFill="1" applyBorder="1"/>
    <xf numFmtId="170" fontId="7" fillId="2" borderId="5" xfId="0" applyNumberFormat="1" applyFont="1" applyFill="1" applyBorder="1" applyAlignment="1">
      <alignment horizontal="center"/>
    </xf>
    <xf numFmtId="170" fontId="7" fillId="2" borderId="6" xfId="0" applyNumberFormat="1" applyFont="1" applyFill="1" applyBorder="1" applyAlignment="1">
      <alignment horizontal="center"/>
    </xf>
    <xf numFmtId="170" fontId="7" fillId="2" borderId="7" xfId="0" applyNumberFormat="1" applyFont="1" applyFill="1" applyBorder="1" applyAlignment="1">
      <alignment horizontal="center"/>
    </xf>
    <xf numFmtId="170" fontId="7" fillId="2" borderId="8" xfId="0" applyNumberFormat="1" applyFont="1" applyFill="1" applyBorder="1" applyAlignment="1">
      <alignment horizontal="center"/>
    </xf>
    <xf numFmtId="170" fontId="7" fillId="2" borderId="0" xfId="0" applyNumberFormat="1" applyFont="1" applyFill="1" applyBorder="1" applyAlignment="1">
      <alignment horizontal="center"/>
    </xf>
    <xf numFmtId="170" fontId="7" fillId="2" borderId="9" xfId="0" applyNumberFormat="1" applyFont="1" applyFill="1" applyBorder="1" applyAlignment="1">
      <alignment horizontal="center"/>
    </xf>
    <xf numFmtId="170" fontId="7" fillId="2" borderId="0" xfId="0" applyNumberFormat="1" applyFont="1" applyFill="1" applyBorder="1" applyAlignment="1">
      <alignment horizontal="left" indent="2"/>
    </xf>
    <xf numFmtId="0" fontId="0" fillId="12" borderId="0" xfId="0" applyNumberFormat="1" applyFill="1" applyBorder="1" applyAlignment="1">
      <alignment horizontal="left" wrapText="1"/>
    </xf>
    <xf numFmtId="170" fontId="7" fillId="66" borderId="0" xfId="0" applyNumberFormat="1" applyFont="1" applyFill="1" applyBorder="1" applyAlignment="1">
      <alignment horizontal="center"/>
    </xf>
    <xf numFmtId="0" fontId="7" fillId="0" borderId="0" xfId="0" applyFont="1" applyFill="1" applyBorder="1" applyAlignment="1">
      <alignment horizontal="left" indent="2"/>
    </xf>
    <xf numFmtId="0" fontId="7" fillId="0" borderId="0" xfId="0" applyFont="1" applyAlignment="1">
      <alignment horizontal="left"/>
    </xf>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7" fillId="0" borderId="6" xfId="0" applyFont="1" applyFill="1" applyBorder="1" applyAlignment="1">
      <alignment wrapText="1"/>
    </xf>
    <xf numFmtId="0" fontId="7" fillId="0" borderId="0" xfId="0" applyFont="1" applyFill="1" applyBorder="1" applyAlignment="1">
      <alignment wrapText="1"/>
    </xf>
    <xf numFmtId="0" fontId="7" fillId="0" borderId="11" xfId="0" applyFont="1" applyFill="1" applyBorder="1" applyAlignment="1">
      <alignment wrapText="1"/>
    </xf>
    <xf numFmtId="0" fontId="7" fillId="0" borderId="0" xfId="0" applyFont="1" applyFill="1" applyBorder="1" applyAlignment="1">
      <alignment horizontal="left" wrapText="1"/>
    </xf>
    <xf numFmtId="0" fontId="7" fillId="15" borderId="0" xfId="0" applyFont="1" applyFill="1" applyAlignment="1"/>
    <xf numFmtId="0" fontId="7" fillId="12" borderId="8" xfId="0" applyFont="1" applyFill="1" applyBorder="1" applyAlignment="1">
      <alignment horizontal="left" indent="7"/>
    </xf>
    <xf numFmtId="0" fontId="7" fillId="12" borderId="8" xfId="0" applyFont="1" applyFill="1" applyBorder="1" applyAlignment="1">
      <alignment horizontal="left" indent="8"/>
    </xf>
    <xf numFmtId="0" fontId="7" fillId="0" borderId="7" xfId="0" applyFont="1" applyFill="1" applyBorder="1" applyAlignment="1">
      <alignment horizontal="left" vertical="center" wrapText="1"/>
    </xf>
    <xf numFmtId="0" fontId="7" fillId="0" borderId="9" xfId="0" applyFont="1" applyFill="1" applyBorder="1" applyAlignment="1">
      <alignment horizontal="left" vertical="center" wrapText="1"/>
    </xf>
    <xf numFmtId="0" fontId="7" fillId="0" borderId="12" xfId="0" applyFont="1" applyFill="1" applyBorder="1" applyAlignment="1">
      <alignment horizontal="left" vertical="center" wrapText="1"/>
    </xf>
    <xf numFmtId="0" fontId="7" fillId="0" borderId="0" xfId="0" applyFont="1" applyFill="1" applyBorder="1" applyAlignment="1">
      <alignment horizontal="left" vertical="center" wrapText="1"/>
    </xf>
    <xf numFmtId="0" fontId="6" fillId="15" borderId="0" xfId="0" applyFont="1" applyFill="1" applyAlignment="1">
      <alignment vertical="center" wrapText="1"/>
    </xf>
    <xf numFmtId="0" fontId="132" fillId="12" borderId="0" xfId="0" applyFont="1" applyFill="1" applyBorder="1"/>
    <xf numFmtId="0" fontId="132" fillId="12" borderId="0" xfId="0" applyFont="1" applyFill="1" applyBorder="1" applyAlignment="1">
      <alignment horizontal="center" vertical="center" wrapText="1"/>
    </xf>
    <xf numFmtId="0" fontId="6" fillId="28" borderId="15" xfId="0" applyFont="1" applyFill="1" applyBorder="1" applyAlignment="1">
      <alignment vertical="center" wrapText="1"/>
    </xf>
    <xf numFmtId="0" fontId="107" fillId="12" borderId="0" xfId="0" applyFont="1" applyFill="1" applyAlignment="1">
      <alignment horizontal="center"/>
    </xf>
    <xf numFmtId="0" fontId="107" fillId="12" borderId="0" xfId="0" applyFont="1" applyFill="1"/>
    <xf numFmtId="0" fontId="107" fillId="12" borderId="0" xfId="0" applyFont="1" applyFill="1" applyBorder="1" applyAlignment="1">
      <alignment horizontal="left" vertical="center" wrapText="1"/>
    </xf>
    <xf numFmtId="0" fontId="107" fillId="12" borderId="0" xfId="0" applyFont="1" applyFill="1" applyAlignment="1">
      <alignment wrapText="1"/>
    </xf>
    <xf numFmtId="0" fontId="17" fillId="12" borderId="0" xfId="0" applyFont="1" applyFill="1" applyBorder="1" applyAlignment="1">
      <alignment horizontal="left" vertical="center"/>
    </xf>
    <xf numFmtId="0" fontId="14" fillId="12" borderId="0" xfId="0" applyFont="1" applyFill="1" applyBorder="1" applyAlignment="1">
      <alignment horizontal="left" vertical="top" wrapText="1" indent="3"/>
    </xf>
    <xf numFmtId="0" fontId="6" fillId="15" borderId="0" xfId="0" applyFont="1" applyFill="1" applyAlignment="1">
      <alignment wrapText="1"/>
    </xf>
    <xf numFmtId="170" fontId="7" fillId="66" borderId="6" xfId="0" applyNumberFormat="1" applyFont="1" applyFill="1" applyBorder="1" applyAlignment="1">
      <alignment horizontal="center"/>
    </xf>
    <xf numFmtId="0" fontId="0" fillId="66" borderId="6" xfId="0" applyFont="1" applyFill="1" applyBorder="1" applyAlignment="1">
      <alignment horizontal="center"/>
    </xf>
    <xf numFmtId="0" fontId="0" fillId="66" borderId="7" xfId="0" applyFont="1" applyFill="1" applyBorder="1" applyAlignment="1">
      <alignment horizontal="center"/>
    </xf>
    <xf numFmtId="170" fontId="7" fillId="66" borderId="11" xfId="0" applyNumberFormat="1" applyFont="1" applyFill="1" applyBorder="1" applyAlignment="1">
      <alignment horizontal="center"/>
    </xf>
    <xf numFmtId="0" fontId="0" fillId="66" borderId="0" xfId="0" applyFont="1" applyFill="1" applyBorder="1" applyAlignment="1">
      <alignment horizontal="center"/>
    </xf>
    <xf numFmtId="0" fontId="0" fillId="66" borderId="9" xfId="0" applyFont="1" applyFill="1" applyBorder="1" applyAlignment="1">
      <alignment horizontal="center"/>
    </xf>
    <xf numFmtId="0" fontId="0" fillId="66" borderId="11" xfId="0" applyFont="1" applyFill="1" applyBorder="1" applyAlignment="1">
      <alignment horizontal="center"/>
    </xf>
    <xf numFmtId="0" fontId="0" fillId="66" borderId="12" xfId="0" applyFont="1" applyFill="1" applyBorder="1" applyAlignment="1">
      <alignment horizontal="center"/>
    </xf>
    <xf numFmtId="0" fontId="7" fillId="2" borderId="9" xfId="0" applyFont="1" applyFill="1" applyBorder="1" applyAlignment="1">
      <alignment horizontal="left" vertical="center" wrapText="1"/>
    </xf>
    <xf numFmtId="0" fontId="0" fillId="12" borderId="0" xfId="0" applyFill="1" applyBorder="1" applyAlignment="1">
      <alignment horizontal="left" vertical="top"/>
    </xf>
    <xf numFmtId="0" fontId="1" fillId="12" borderId="0" xfId="0" applyFont="1" applyFill="1" applyBorder="1" applyAlignment="1">
      <alignment wrapText="1"/>
    </xf>
    <xf numFmtId="0" fontId="7" fillId="12" borderId="0" xfId="0" applyFont="1" applyFill="1" applyBorder="1" applyAlignment="1">
      <alignment horizontal="left" wrapText="1"/>
    </xf>
    <xf numFmtId="0" fontId="1" fillId="12" borderId="0" xfId="0" applyFont="1" applyFill="1" applyBorder="1" applyAlignment="1">
      <alignment horizontal="left" vertical="top" wrapText="1"/>
    </xf>
    <xf numFmtId="0" fontId="0" fillId="12" borderId="0" xfId="0" applyFill="1" applyBorder="1" applyAlignment="1">
      <alignment horizontal="left" vertical="top" wrapText="1"/>
    </xf>
    <xf numFmtId="0" fontId="1" fillId="2" borderId="0" xfId="0" applyFont="1" applyFill="1" applyBorder="1" applyAlignment="1">
      <alignment vertical="top"/>
    </xf>
    <xf numFmtId="0" fontId="0" fillId="12" borderId="0" xfId="0" applyFill="1" applyAlignment="1">
      <alignment vertical="top" wrapText="1"/>
    </xf>
    <xf numFmtId="0" fontId="7" fillId="12" borderId="0" xfId="0" applyFont="1" applyFill="1" applyAlignment="1">
      <alignment vertical="top" wrapText="1"/>
    </xf>
    <xf numFmtId="0" fontId="106" fillId="12" borderId="0" xfId="0" applyFont="1" applyFill="1" applyBorder="1" applyAlignment="1">
      <alignment vertical="top" wrapText="1"/>
    </xf>
    <xf numFmtId="0" fontId="14" fillId="12" borderId="0" xfId="0" applyNumberFormat="1" applyFont="1" applyFill="1" applyBorder="1" applyAlignment="1">
      <alignment horizontal="left" vertical="top" wrapText="1" indent="4"/>
    </xf>
    <xf numFmtId="0" fontId="17" fillId="12" borderId="0" xfId="0" applyFont="1" applyFill="1" applyBorder="1" applyAlignment="1">
      <alignment horizontal="left" vertical="center"/>
    </xf>
    <xf numFmtId="170" fontId="7" fillId="75" borderId="10" xfId="0" applyNumberFormat="1" applyFont="1" applyFill="1" applyBorder="1" applyAlignment="1">
      <alignment horizontal="center"/>
    </xf>
    <xf numFmtId="170" fontId="7" fillId="75" borderId="11" xfId="0" applyNumberFormat="1" applyFont="1" applyFill="1" applyBorder="1" applyAlignment="1">
      <alignment horizontal="center"/>
    </xf>
    <xf numFmtId="170" fontId="7" fillId="75" borderId="12" xfId="0" applyNumberFormat="1" applyFont="1" applyFill="1" applyBorder="1" applyAlignment="1">
      <alignment horizontal="center"/>
    </xf>
    <xf numFmtId="170" fontId="7" fillId="75" borderId="0" xfId="0" applyNumberFormat="1" applyFont="1" applyFill="1" applyBorder="1" applyAlignment="1">
      <alignment horizontal="center"/>
    </xf>
    <xf numFmtId="171" fontId="7" fillId="75" borderId="0" xfId="0" applyNumberFormat="1" applyFont="1" applyFill="1" applyBorder="1" applyAlignment="1">
      <alignment horizontal="center"/>
    </xf>
    <xf numFmtId="171" fontId="7" fillId="75" borderId="9" xfId="0" applyNumberFormat="1" applyFont="1" applyFill="1" applyBorder="1" applyAlignment="1">
      <alignment horizontal="center"/>
    </xf>
    <xf numFmtId="170" fontId="7" fillId="75" borderId="0" xfId="0" applyNumberFormat="1" applyFont="1" applyFill="1" applyBorder="1" applyAlignment="1">
      <alignment horizontal="left" indent="2"/>
    </xf>
    <xf numFmtId="0" fontId="1" fillId="12" borderId="0" xfId="0" applyFont="1" applyFill="1" applyBorder="1" applyAlignment="1">
      <alignment vertical="center"/>
    </xf>
    <xf numFmtId="0" fontId="106" fillId="12" borderId="0" xfId="0" applyFont="1" applyFill="1" applyBorder="1" applyAlignment="1">
      <alignment vertical="center"/>
    </xf>
    <xf numFmtId="0" fontId="14" fillId="12" borderId="0" xfId="0" applyNumberFormat="1" applyFont="1" applyFill="1" applyBorder="1" applyAlignment="1">
      <alignment vertical="center" wrapText="1"/>
    </xf>
    <xf numFmtId="0" fontId="0" fillId="12" borderId="0" xfId="0" applyFill="1" applyAlignment="1">
      <alignment horizontal="left" wrapText="1" indent="8"/>
    </xf>
    <xf numFmtId="0" fontId="13" fillId="12" borderId="0" xfId="0" applyFont="1" applyFill="1" applyBorder="1" applyAlignment="1">
      <alignment vertical="center"/>
    </xf>
    <xf numFmtId="0" fontId="0" fillId="12" borderId="0" xfId="0" applyFill="1" applyBorder="1" applyAlignment="1">
      <alignment horizontal="left" vertical="center" wrapText="1" indent="4"/>
    </xf>
    <xf numFmtId="0" fontId="14" fillId="12" borderId="0" xfId="0" applyFont="1" applyFill="1" applyAlignment="1">
      <alignment horizontal="left" wrapText="1" indent="4"/>
    </xf>
    <xf numFmtId="0" fontId="14" fillId="12" borderId="0" xfId="0" applyFont="1" applyFill="1" applyBorder="1" applyAlignment="1">
      <alignment horizontal="left" wrapText="1" indent="4"/>
    </xf>
    <xf numFmtId="0" fontId="0" fillId="12" borderId="0" xfId="0" applyFill="1" applyBorder="1" applyAlignment="1">
      <alignment horizontal="left" vertical="top"/>
    </xf>
    <xf numFmtId="0" fontId="7" fillId="0" borderId="9" xfId="0" applyFont="1" applyFill="1" applyBorder="1" applyAlignment="1">
      <alignment horizontal="left" vertical="center" wrapText="1" indent="2"/>
    </xf>
    <xf numFmtId="0" fontId="0" fillId="0" borderId="3" xfId="0" applyFont="1" applyFill="1" applyBorder="1"/>
    <xf numFmtId="0" fontId="7" fillId="0" borderId="3" xfId="0" applyFont="1" applyFill="1" applyBorder="1" applyAlignment="1">
      <alignment wrapText="1"/>
    </xf>
    <xf numFmtId="0" fontId="7" fillId="0" borderId="3" xfId="0" applyFont="1" applyFill="1" applyBorder="1" applyAlignment="1">
      <alignment horizontal="left" vertical="center" wrapText="1"/>
    </xf>
    <xf numFmtId="170" fontId="7" fillId="0" borderId="3" xfId="0" applyNumberFormat="1" applyFont="1" applyFill="1" applyBorder="1" applyAlignment="1">
      <alignment horizontal="center"/>
    </xf>
    <xf numFmtId="0" fontId="7" fillId="0" borderId="9" xfId="0" applyFont="1" applyFill="1" applyBorder="1" applyAlignment="1">
      <alignment horizontal="left" vertical="center" wrapText="1" indent="3"/>
    </xf>
    <xf numFmtId="0" fontId="7" fillId="0" borderId="0" xfId="0" applyFont="1" applyFill="1" applyBorder="1" applyAlignment="1">
      <alignment horizontal="left" vertical="center" wrapText="1" indent="2"/>
    </xf>
    <xf numFmtId="170" fontId="7" fillId="0" borderId="8" xfId="0" applyNumberFormat="1" applyFont="1" applyFill="1" applyBorder="1" applyAlignment="1">
      <alignment horizontal="center"/>
    </xf>
    <xf numFmtId="170" fontId="7" fillId="75" borderId="8" xfId="0" applyNumberFormat="1" applyFont="1" applyFill="1" applyBorder="1" applyAlignment="1">
      <alignment horizontal="center"/>
    </xf>
    <xf numFmtId="170" fontId="7" fillId="66" borderId="9" xfId="0" applyNumberFormat="1" applyFont="1" applyFill="1" applyBorder="1" applyAlignment="1">
      <alignment horizontal="center"/>
    </xf>
    <xf numFmtId="171" fontId="7" fillId="0" borderId="6" xfId="0" applyNumberFormat="1" applyFont="1" applyFill="1" applyBorder="1" applyAlignment="1">
      <alignment horizontal="center"/>
    </xf>
    <xf numFmtId="171" fontId="7" fillId="0" borderId="7" xfId="0" applyNumberFormat="1" applyFont="1" applyFill="1" applyBorder="1" applyAlignment="1">
      <alignment horizontal="center"/>
    </xf>
    <xf numFmtId="0" fontId="0" fillId="66" borderId="5" xfId="0" applyFont="1" applyFill="1" applyBorder="1" applyAlignment="1">
      <alignment horizontal="center"/>
    </xf>
    <xf numFmtId="171" fontId="7" fillId="0" borderId="5" xfId="0" applyNumberFormat="1" applyFont="1" applyFill="1" applyBorder="1" applyAlignment="1">
      <alignment horizontal="center"/>
    </xf>
    <xf numFmtId="171" fontId="7" fillId="75" borderId="8" xfId="0" applyNumberFormat="1" applyFont="1" applyFill="1" applyBorder="1" applyAlignment="1">
      <alignment horizontal="center"/>
    </xf>
    <xf numFmtId="170" fontId="7" fillId="66" borderId="8" xfId="0" applyNumberFormat="1" applyFont="1" applyFill="1" applyBorder="1" applyAlignment="1">
      <alignment horizontal="center"/>
    </xf>
    <xf numFmtId="171" fontId="7" fillId="75" borderId="10" xfId="0" applyNumberFormat="1" applyFont="1" applyFill="1" applyBorder="1" applyAlignment="1">
      <alignment horizontal="center"/>
    </xf>
    <xf numFmtId="171" fontId="7" fillId="75" borderId="5" xfId="0" applyNumberFormat="1" applyFont="1" applyFill="1" applyBorder="1" applyAlignment="1">
      <alignment horizontal="center"/>
    </xf>
    <xf numFmtId="0" fontId="0" fillId="66" borderId="8" xfId="0" applyFont="1" applyFill="1" applyBorder="1" applyAlignment="1">
      <alignment horizontal="center"/>
    </xf>
    <xf numFmtId="0" fontId="0" fillId="66" borderId="10" xfId="0" applyFont="1" applyFill="1" applyBorder="1" applyAlignment="1">
      <alignment horizontal="center"/>
    </xf>
    <xf numFmtId="171" fontId="7" fillId="66" borderId="8" xfId="0" applyNumberFormat="1" applyFont="1" applyFill="1" applyBorder="1" applyAlignment="1">
      <alignment horizontal="center"/>
    </xf>
    <xf numFmtId="171" fontId="7" fillId="66" borderId="0" xfId="0" applyNumberFormat="1" applyFont="1" applyFill="1" applyBorder="1" applyAlignment="1">
      <alignment horizontal="left" indent="2"/>
    </xf>
    <xf numFmtId="171" fontId="7" fillId="66" borderId="9" xfId="0" applyNumberFormat="1" applyFont="1" applyFill="1" applyBorder="1" applyAlignment="1">
      <alignment horizontal="left" indent="2"/>
    </xf>
    <xf numFmtId="0" fontId="6" fillId="3" borderId="13" xfId="0" applyFont="1" applyFill="1" applyBorder="1" applyAlignment="1">
      <alignment horizontal="right"/>
    </xf>
    <xf numFmtId="171" fontId="7" fillId="66" borderId="8" xfId="0" applyNumberFormat="1" applyFont="1" applyFill="1" applyBorder="1" applyAlignment="1">
      <alignment horizontal="left" indent="2"/>
    </xf>
    <xf numFmtId="171" fontId="7" fillId="66" borderId="9" xfId="0" applyNumberFormat="1" applyFont="1" applyFill="1" applyBorder="1" applyAlignment="1">
      <alignment horizontal="center"/>
    </xf>
    <xf numFmtId="0" fontId="0" fillId="12" borderId="0" xfId="0" applyFill="1" applyBorder="1" applyAlignment="1">
      <alignment horizontal="left" vertical="top" wrapText="1"/>
    </xf>
    <xf numFmtId="0" fontId="0" fillId="12" borderId="0" xfId="0" applyFill="1" applyBorder="1" applyAlignment="1">
      <alignment horizontal="left" vertical="top"/>
    </xf>
    <xf numFmtId="172" fontId="0" fillId="0" borderId="0" xfId="1" applyNumberFormat="1" applyFont="1" applyAlignment="1">
      <alignment horizontal="left"/>
    </xf>
    <xf numFmtId="0" fontId="0" fillId="0" borderId="14" xfId="0" applyFill="1" applyBorder="1" applyAlignment="1">
      <alignment horizontal="left"/>
    </xf>
    <xf numFmtId="0" fontId="0" fillId="0" borderId="16" xfId="0" applyFill="1" applyBorder="1" applyAlignment="1">
      <alignment horizontal="left"/>
    </xf>
    <xf numFmtId="0" fontId="108" fillId="0" borderId="22" xfId="0" applyFont="1" applyFill="1" applyBorder="1"/>
    <xf numFmtId="0" fontId="0" fillId="0" borderId="22" xfId="0" applyFont="1" applyFill="1" applyBorder="1"/>
    <xf numFmtId="10" fontId="7" fillId="12" borderId="0" xfId="1" applyNumberFormat="1" applyFont="1" applyFill="1" applyBorder="1"/>
    <xf numFmtId="10" fontId="7" fillId="12" borderId="9" xfId="1" applyNumberFormat="1" applyFont="1" applyFill="1" applyBorder="1"/>
    <xf numFmtId="0" fontId="0" fillId="65" borderId="0" xfId="0" applyFont="1" applyFill="1" applyAlignment="1">
      <alignment horizontal="left"/>
    </xf>
    <xf numFmtId="2" fontId="0" fillId="65" borderId="0" xfId="0" applyNumberFormat="1" applyFont="1" applyFill="1" applyAlignment="1">
      <alignment horizontal="left"/>
    </xf>
    <xf numFmtId="2" fontId="0" fillId="65" borderId="1" xfId="0" applyNumberFormat="1" applyFont="1" applyFill="1" applyBorder="1" applyAlignment="1">
      <alignment horizontal="left"/>
    </xf>
    <xf numFmtId="1" fontId="0" fillId="65" borderId="0" xfId="0" applyNumberFormat="1" applyFont="1" applyFill="1" applyAlignment="1">
      <alignment horizontal="left"/>
    </xf>
    <xf numFmtId="2" fontId="0" fillId="65" borderId="0" xfId="0" quotePrefix="1" applyNumberFormat="1" applyFill="1" applyAlignment="1">
      <alignment horizontal="left"/>
    </xf>
    <xf numFmtId="9" fontId="7" fillId="25" borderId="9" xfId="1" applyFont="1" applyFill="1" applyBorder="1"/>
    <xf numFmtId="171" fontId="7" fillId="62" borderId="2" xfId="0" applyNumberFormat="1" applyFont="1" applyFill="1" applyBorder="1" applyAlignment="1">
      <alignment horizontal="center"/>
    </xf>
    <xf numFmtId="171" fontId="7" fillId="62" borderId="3" xfId="0" applyNumberFormat="1" applyFont="1" applyFill="1" applyBorder="1" applyAlignment="1">
      <alignment horizontal="center"/>
    </xf>
    <xf numFmtId="171" fontId="7" fillId="62" borderId="4" xfId="0" applyNumberFormat="1" applyFont="1" applyFill="1" applyBorder="1" applyAlignment="1">
      <alignment horizontal="center"/>
    </xf>
    <xf numFmtId="171" fontId="7" fillId="76" borderId="8" xfId="0" applyNumberFormat="1" applyFont="1" applyFill="1" applyBorder="1" applyAlignment="1">
      <alignment horizontal="center"/>
    </xf>
    <xf numFmtId="171" fontId="7" fillId="76" borderId="0" xfId="0" applyNumberFormat="1" applyFont="1" applyFill="1" applyBorder="1" applyAlignment="1">
      <alignment horizontal="center"/>
    </xf>
    <xf numFmtId="171" fontId="7" fillId="76" borderId="9" xfId="0" applyNumberFormat="1" applyFont="1" applyFill="1" applyBorder="1" applyAlignment="1">
      <alignment horizontal="center"/>
    </xf>
    <xf numFmtId="170" fontId="18" fillId="2" borderId="0" xfId="0" applyNumberFormat="1" applyFont="1" applyFill="1" applyAlignment="1">
      <alignment horizontal="center"/>
    </xf>
    <xf numFmtId="170" fontId="18" fillId="2" borderId="5" xfId="0" applyNumberFormat="1" applyFont="1" applyFill="1" applyBorder="1" applyAlignment="1">
      <alignment horizontal="center"/>
    </xf>
    <xf numFmtId="170" fontId="18" fillId="2" borderId="6" xfId="0" applyNumberFormat="1" applyFont="1" applyFill="1" applyBorder="1" applyAlignment="1">
      <alignment horizontal="center"/>
    </xf>
    <xf numFmtId="170" fontId="18" fillId="2" borderId="7" xfId="0" applyNumberFormat="1" applyFont="1" applyFill="1" applyBorder="1" applyAlignment="1">
      <alignment horizontal="center"/>
    </xf>
    <xf numFmtId="170" fontId="18" fillId="2" borderId="8" xfId="0" applyNumberFormat="1" applyFont="1" applyFill="1" applyBorder="1" applyAlignment="1">
      <alignment horizontal="center"/>
    </xf>
    <xf numFmtId="170" fontId="18" fillId="2" borderId="0" xfId="0" applyNumberFormat="1" applyFont="1" applyFill="1" applyBorder="1" applyAlignment="1">
      <alignment horizontal="center"/>
    </xf>
    <xf numFmtId="170" fontId="18" fillId="2" borderId="9" xfId="0" applyNumberFormat="1" applyFont="1" applyFill="1" applyBorder="1" applyAlignment="1">
      <alignment horizontal="center"/>
    </xf>
    <xf numFmtId="170" fontId="18" fillId="2" borderId="10" xfId="0" applyNumberFormat="1" applyFont="1" applyFill="1" applyBorder="1" applyAlignment="1">
      <alignment horizontal="center"/>
    </xf>
    <xf numFmtId="170" fontId="18" fillId="2" borderId="11" xfId="0" applyNumberFormat="1" applyFont="1" applyFill="1" applyBorder="1" applyAlignment="1">
      <alignment horizontal="center"/>
    </xf>
    <xf numFmtId="170" fontId="18" fillId="2" borderId="12" xfId="0" applyNumberFormat="1" applyFont="1" applyFill="1" applyBorder="1" applyAlignment="1">
      <alignment horizontal="center"/>
    </xf>
    <xf numFmtId="170" fontId="18" fillId="77" borderId="0" xfId="0" applyNumberFormat="1" applyFont="1" applyFill="1" applyBorder="1" applyAlignment="1">
      <alignment horizontal="center"/>
    </xf>
    <xf numFmtId="170" fontId="18" fillId="77" borderId="11" xfId="0" applyNumberFormat="1" applyFont="1" applyFill="1" applyBorder="1" applyAlignment="1">
      <alignment horizontal="center"/>
    </xf>
    <xf numFmtId="171" fontId="109" fillId="15" borderId="5" xfId="0" applyNumberFormat="1" applyFont="1" applyFill="1" applyBorder="1" applyAlignment="1">
      <alignment horizontal="center"/>
    </xf>
    <xf numFmtId="171" fontId="109" fillId="15" borderId="6" xfId="0" applyNumberFormat="1" applyFont="1" applyFill="1" applyBorder="1" applyAlignment="1">
      <alignment horizontal="center"/>
    </xf>
    <xf numFmtId="171" fontId="109" fillId="15" borderId="7" xfId="0" applyNumberFormat="1" applyFont="1" applyFill="1" applyBorder="1" applyAlignment="1">
      <alignment horizontal="center"/>
    </xf>
    <xf numFmtId="171" fontId="109" fillId="15" borderId="10" xfId="0" applyNumberFormat="1" applyFont="1" applyFill="1" applyBorder="1" applyAlignment="1">
      <alignment horizontal="center"/>
    </xf>
    <xf numFmtId="171" fontId="109" fillId="15" borderId="11" xfId="0" applyNumberFormat="1" applyFont="1" applyFill="1" applyBorder="1" applyAlignment="1">
      <alignment horizontal="center"/>
    </xf>
    <xf numFmtId="171" fontId="109" fillId="15" borderId="12" xfId="0" applyNumberFormat="1" applyFont="1" applyFill="1" applyBorder="1" applyAlignment="1">
      <alignment horizontal="center"/>
    </xf>
    <xf numFmtId="171" fontId="109" fillId="78" borderId="5" xfId="0" applyNumberFormat="1" applyFont="1" applyFill="1" applyBorder="1" applyAlignment="1">
      <alignment horizontal="center"/>
    </xf>
    <xf numFmtId="171" fontId="109" fillId="78" borderId="6" xfId="0" applyNumberFormat="1" applyFont="1" applyFill="1" applyBorder="1" applyAlignment="1">
      <alignment horizontal="center"/>
    </xf>
    <xf numFmtId="171" fontId="109" fillId="78" borderId="7" xfId="0" applyNumberFormat="1" applyFont="1" applyFill="1" applyBorder="1" applyAlignment="1">
      <alignment horizontal="center"/>
    </xf>
    <xf numFmtId="171" fontId="109" fillId="78" borderId="10" xfId="0" applyNumberFormat="1" applyFont="1" applyFill="1" applyBorder="1" applyAlignment="1">
      <alignment horizontal="center"/>
    </xf>
    <xf numFmtId="171" fontId="109" fillId="78" borderId="11" xfId="0" applyNumberFormat="1" applyFont="1" applyFill="1" applyBorder="1" applyAlignment="1">
      <alignment horizontal="center"/>
    </xf>
    <xf numFmtId="171" fontId="109" fillId="78" borderId="12" xfId="0" applyNumberFormat="1" applyFont="1" applyFill="1" applyBorder="1" applyAlignment="1">
      <alignment horizontal="center"/>
    </xf>
    <xf numFmtId="0" fontId="20" fillId="0" borderId="0" xfId="3" applyAlignment="1" applyProtection="1"/>
    <xf numFmtId="199" fontId="17" fillId="2" borderId="13" xfId="0" applyNumberFormat="1" applyFont="1" applyFill="1" applyBorder="1" applyAlignment="1">
      <alignment horizontal="left" vertical="center"/>
    </xf>
    <xf numFmtId="199" fontId="17" fillId="12" borderId="0" xfId="0" applyNumberFormat="1" applyFont="1" applyFill="1" applyBorder="1" applyAlignment="1">
      <alignment horizontal="left" vertical="center"/>
    </xf>
    <xf numFmtId="0" fontId="20" fillId="12" borderId="0" xfId="3" applyFill="1" applyBorder="1" applyAlignment="1" applyProtection="1">
      <alignment vertical="center"/>
    </xf>
    <xf numFmtId="0" fontId="20" fillId="12" borderId="0" xfId="3" applyFill="1" applyAlignment="1" applyProtection="1"/>
    <xf numFmtId="170" fontId="7" fillId="2" borderId="10" xfId="0" applyNumberFormat="1" applyFont="1" applyFill="1" applyBorder="1" applyAlignment="1">
      <alignment horizontal="center"/>
    </xf>
    <xf numFmtId="170" fontId="7" fillId="2" borderId="11" xfId="0" applyNumberFormat="1" applyFont="1" applyFill="1" applyBorder="1" applyAlignment="1">
      <alignment horizontal="center"/>
    </xf>
    <xf numFmtId="170" fontId="7" fillId="2" borderId="12" xfId="0" applyNumberFormat="1" applyFont="1" applyFill="1" applyBorder="1" applyAlignment="1">
      <alignment horizontal="center"/>
    </xf>
    <xf numFmtId="0" fontId="171" fillId="12" borderId="0" xfId="0" applyFont="1" applyFill="1"/>
    <xf numFmtId="0" fontId="171" fillId="12" borderId="0" xfId="0" applyFont="1" applyFill="1" applyBorder="1"/>
    <xf numFmtId="0" fontId="171" fillId="12" borderId="0" xfId="0" applyFont="1" applyFill="1" applyBorder="1" applyAlignment="1">
      <alignment horizontal="center" vertical="center" wrapText="1"/>
    </xf>
    <xf numFmtId="0" fontId="99" fillId="12" borderId="0" xfId="0" applyFont="1" applyFill="1" applyBorder="1" applyAlignment="1">
      <alignment horizontal="left" vertical="center" wrapText="1"/>
    </xf>
    <xf numFmtId="0" fontId="172" fillId="12" borderId="0" xfId="0" applyFont="1" applyFill="1" applyBorder="1"/>
    <xf numFmtId="0" fontId="172" fillId="12" borderId="0" xfId="0" applyFont="1" applyFill="1" applyBorder="1" applyAlignment="1">
      <alignment horizontal="center" vertical="center" wrapText="1"/>
    </xf>
    <xf numFmtId="0" fontId="173" fillId="12" borderId="0" xfId="0" applyFont="1" applyFill="1" applyBorder="1" applyAlignment="1">
      <alignment horizontal="left" vertical="center" wrapText="1"/>
    </xf>
    <xf numFmtId="171" fontId="171" fillId="12" borderId="0" xfId="0" applyNumberFormat="1" applyFont="1" applyFill="1" applyBorder="1" applyAlignment="1">
      <alignment horizontal="center" vertical="center" wrapText="1"/>
    </xf>
    <xf numFmtId="170" fontId="171" fillId="12" borderId="0" xfId="0" applyNumberFormat="1" applyFont="1" applyFill="1" applyBorder="1" applyAlignment="1">
      <alignment horizontal="left" vertical="center" wrapText="1"/>
    </xf>
    <xf numFmtId="170" fontId="171" fillId="12" borderId="0" xfId="0" applyNumberFormat="1" applyFont="1" applyFill="1" applyBorder="1" applyAlignment="1">
      <alignment horizontal="center" vertical="center" wrapText="1"/>
    </xf>
    <xf numFmtId="2" fontId="171" fillId="12" borderId="0" xfId="0" applyNumberFormat="1" applyFont="1" applyFill="1" applyBorder="1" applyAlignment="1">
      <alignment horizontal="left"/>
    </xf>
    <xf numFmtId="2" fontId="171" fillId="12" borderId="0" xfId="0" applyNumberFormat="1" applyFont="1" applyFill="1" applyBorder="1" applyAlignment="1">
      <alignment horizontal="center"/>
    </xf>
    <xf numFmtId="0" fontId="172" fillId="12" borderId="0" xfId="0" applyFont="1" applyFill="1" applyBorder="1" applyAlignment="1">
      <alignment horizontal="left" vertical="center"/>
    </xf>
    <xf numFmtId="0" fontId="171" fillId="12" borderId="0" xfId="0" applyFont="1" applyFill="1" applyBorder="1" applyAlignment="1">
      <alignment vertical="center"/>
    </xf>
    <xf numFmtId="0" fontId="171" fillId="12" borderId="0" xfId="0" applyFont="1" applyFill="1" applyBorder="1" applyAlignment="1"/>
    <xf numFmtId="0" fontId="171" fillId="12" borderId="0" xfId="0" applyFont="1" applyFill="1" applyAlignment="1">
      <alignment horizontal="center" vertical="center" wrapText="1"/>
    </xf>
    <xf numFmtId="0" fontId="99" fillId="12" borderId="0" xfId="0" applyFont="1" applyFill="1" applyBorder="1" applyAlignment="1">
      <alignment vertical="center"/>
    </xf>
    <xf numFmtId="0" fontId="54" fillId="12" borderId="0" xfId="0" applyFont="1" applyFill="1" applyAlignment="1">
      <alignment horizontal="center" vertical="center" wrapText="1"/>
    </xf>
    <xf numFmtId="0" fontId="0" fillId="12" borderId="0" xfId="0" applyFill="1" applyBorder="1" applyAlignment="1">
      <alignment horizontal="left" vertical="center" indent="6"/>
    </xf>
    <xf numFmtId="0" fontId="106" fillId="12" borderId="0" xfId="0" applyFont="1" applyFill="1" applyBorder="1" applyAlignment="1">
      <alignment horizontal="left" vertical="center" indent="2"/>
    </xf>
    <xf numFmtId="0" fontId="14" fillId="12" borderId="0" xfId="0" applyFont="1" applyFill="1" applyBorder="1" applyAlignment="1">
      <alignment horizontal="left" vertical="center" indent="4"/>
    </xf>
    <xf numFmtId="0" fontId="13" fillId="12" borderId="0" xfId="0" applyFont="1" applyFill="1" applyBorder="1" applyAlignment="1">
      <alignment horizontal="left" vertical="center"/>
    </xf>
    <xf numFmtId="0" fontId="0" fillId="12" borderId="0" xfId="0" applyFill="1" applyBorder="1" applyAlignment="1">
      <alignment horizontal="left" vertical="center" indent="4"/>
    </xf>
    <xf numFmtId="0" fontId="0" fillId="12" borderId="0" xfId="0" applyFill="1" applyBorder="1" applyAlignment="1">
      <alignment horizontal="left" vertical="center" wrapText="1" indent="4"/>
    </xf>
    <xf numFmtId="0" fontId="0" fillId="12" borderId="0" xfId="0" applyFill="1" applyBorder="1" applyAlignment="1">
      <alignment horizontal="left" vertical="center" indent="2"/>
    </xf>
    <xf numFmtId="0" fontId="14" fillId="12" borderId="0" xfId="0" applyFont="1" applyFill="1" applyBorder="1" applyAlignment="1">
      <alignment horizontal="left" vertical="center" wrapText="1" indent="1"/>
    </xf>
    <xf numFmtId="0" fontId="1" fillId="12" borderId="0" xfId="0" applyFont="1" applyFill="1" applyBorder="1" applyAlignment="1">
      <alignment horizontal="left" vertical="center"/>
    </xf>
    <xf numFmtId="0" fontId="20" fillId="12" borderId="0" xfId="3" applyFill="1" applyBorder="1" applyAlignment="1" applyProtection="1">
      <alignment horizontal="center" vertical="center"/>
    </xf>
    <xf numFmtId="0" fontId="106" fillId="12" borderId="0" xfId="0" applyFont="1" applyFill="1" applyBorder="1" applyAlignment="1">
      <alignment horizontal="left" vertical="center"/>
    </xf>
    <xf numFmtId="0" fontId="14" fillId="12" borderId="0" xfId="0" applyNumberFormat="1" applyFont="1" applyFill="1" applyBorder="1" applyAlignment="1">
      <alignment horizontal="left" vertical="center" wrapText="1" indent="4"/>
    </xf>
    <xf numFmtId="0" fontId="14" fillId="12" borderId="0" xfId="0" applyNumberFormat="1" applyFont="1" applyFill="1" applyBorder="1" applyAlignment="1">
      <alignment horizontal="left" vertical="top" wrapText="1" indent="4"/>
    </xf>
    <xf numFmtId="0" fontId="0" fillId="12" borderId="0" xfId="0" applyFill="1" applyBorder="1" applyAlignment="1">
      <alignment horizontal="left" vertical="top"/>
    </xf>
    <xf numFmtId="0" fontId="0" fillId="12" borderId="0" xfId="0" applyNumberFormat="1" applyFill="1" applyBorder="1" applyAlignment="1">
      <alignment horizontal="left" wrapText="1"/>
    </xf>
    <xf numFmtId="0" fontId="0" fillId="12" borderId="0" xfId="0" applyFill="1" applyBorder="1" applyAlignment="1">
      <alignment horizontal="left" vertical="top" wrapText="1"/>
    </xf>
    <xf numFmtId="0" fontId="0" fillId="12" borderId="0" xfId="0" applyNumberFormat="1" applyFill="1" applyBorder="1" applyAlignment="1">
      <alignment horizontal="left" vertical="top"/>
    </xf>
    <xf numFmtId="0" fontId="0" fillId="12" borderId="0" xfId="0" applyNumberFormat="1" applyFill="1" applyBorder="1" applyAlignment="1">
      <alignment horizontal="left" vertical="top" wrapText="1"/>
    </xf>
    <xf numFmtId="0" fontId="1" fillId="2" borderId="0" xfId="0" applyFont="1" applyFill="1" applyBorder="1" applyAlignment="1">
      <alignment horizontal="left" vertical="top" wrapText="1"/>
    </xf>
    <xf numFmtId="0" fontId="1" fillId="2" borderId="0" xfId="0" applyFont="1" applyFill="1" applyBorder="1" applyAlignment="1">
      <alignment horizontal="left" vertical="top"/>
    </xf>
    <xf numFmtId="0" fontId="0" fillId="12" borderId="0" xfId="0" applyFill="1" applyAlignment="1">
      <alignment horizontal="left" vertical="top"/>
    </xf>
    <xf numFmtId="0" fontId="4" fillId="12" borderId="0" xfId="0" applyFont="1" applyFill="1" applyAlignment="1">
      <alignment horizontal="left" vertical="center"/>
    </xf>
    <xf numFmtId="0" fontId="165" fillId="12" borderId="0" xfId="0" applyFont="1" applyFill="1" applyAlignment="1">
      <alignment horizontal="left" vertical="center"/>
    </xf>
    <xf numFmtId="0" fontId="6" fillId="15" borderId="1" xfId="0" applyFont="1" applyFill="1" applyBorder="1" applyAlignment="1">
      <alignment horizontal="left" vertical="center" wrapText="1"/>
    </xf>
    <xf numFmtId="0" fontId="5" fillId="14" borderId="2" xfId="0" applyFont="1" applyFill="1" applyBorder="1" applyAlignment="1">
      <alignment horizontal="left" vertical="center"/>
    </xf>
    <xf numFmtId="0" fontId="5" fillId="14" borderId="3" xfId="0" applyFont="1" applyFill="1" applyBorder="1" applyAlignment="1">
      <alignment horizontal="left" vertical="center"/>
    </xf>
    <xf numFmtId="0" fontId="5" fillId="14" borderId="4" xfId="0" applyFont="1" applyFill="1" applyBorder="1" applyAlignment="1">
      <alignment horizontal="left" vertical="center"/>
    </xf>
    <xf numFmtId="0" fontId="6" fillId="15" borderId="0" xfId="0" applyFont="1" applyFill="1" applyAlignment="1">
      <alignment horizontal="left" vertical="center" wrapText="1"/>
    </xf>
    <xf numFmtId="0" fontId="6" fillId="15" borderId="0" xfId="0" applyFont="1" applyFill="1" applyAlignment="1">
      <alignment horizontal="left" vertical="center"/>
    </xf>
    <xf numFmtId="0" fontId="6" fillId="15" borderId="0" xfId="0" applyFont="1" applyFill="1" applyBorder="1" applyAlignment="1">
      <alignment horizontal="left" vertical="center" wrapText="1"/>
    </xf>
    <xf numFmtId="0" fontId="16" fillId="15" borderId="0" xfId="0" applyFont="1" applyFill="1" applyBorder="1" applyAlignment="1">
      <alignment horizontal="left" vertical="center"/>
    </xf>
    <xf numFmtId="0" fontId="16" fillId="15" borderId="1" xfId="0" applyFont="1" applyFill="1" applyBorder="1" applyAlignment="1">
      <alignment horizontal="left" vertical="center"/>
    </xf>
    <xf numFmtId="0" fontId="6" fillId="28" borderId="0" xfId="0" applyFont="1" applyFill="1" applyBorder="1" applyAlignment="1">
      <alignment horizontal="left" vertical="center" wrapText="1"/>
    </xf>
    <xf numFmtId="0" fontId="6" fillId="28" borderId="1" xfId="0" applyFont="1" applyFill="1" applyBorder="1" applyAlignment="1">
      <alignment horizontal="left" vertical="center" wrapText="1"/>
    </xf>
    <xf numFmtId="0" fontId="6" fillId="28" borderId="15" xfId="0" applyFont="1" applyFill="1" applyBorder="1" applyAlignment="1">
      <alignment horizontal="left" vertical="center" wrapText="1"/>
    </xf>
    <xf numFmtId="0" fontId="17" fillId="12" borderId="0" xfId="0" applyFont="1" applyFill="1" applyBorder="1" applyAlignment="1">
      <alignment horizontal="left"/>
    </xf>
    <xf numFmtId="0" fontId="50" fillId="12" borderId="24" xfId="3" applyFont="1" applyFill="1" applyBorder="1" applyAlignment="1" applyProtection="1">
      <alignment horizontal="left" vertical="center" wrapText="1"/>
    </xf>
    <xf numFmtId="0" fontId="50" fillId="12" borderId="44" xfId="3" applyFont="1" applyFill="1" applyBorder="1" applyAlignment="1" applyProtection="1">
      <alignment horizontal="left" vertical="center" wrapText="1"/>
    </xf>
    <xf numFmtId="0" fontId="5" fillId="14" borderId="11" xfId="0" applyFont="1" applyFill="1" applyBorder="1" applyAlignment="1">
      <alignment horizontal="left" vertical="center" indent="4"/>
    </xf>
    <xf numFmtId="0" fontId="107" fillId="12" borderId="24" xfId="0" applyFont="1" applyFill="1" applyBorder="1" applyAlignment="1">
      <alignment horizontal="left" vertical="center" wrapText="1"/>
    </xf>
    <xf numFmtId="0" fontId="14" fillId="12" borderId="24" xfId="0" applyFont="1" applyFill="1" applyBorder="1" applyAlignment="1">
      <alignment horizontal="left" vertical="center" wrapText="1"/>
    </xf>
    <xf numFmtId="0" fontId="0" fillId="12" borderId="24" xfId="0" applyFont="1" applyFill="1" applyBorder="1" applyAlignment="1">
      <alignment horizontal="center" vertical="center" wrapText="1"/>
    </xf>
    <xf numFmtId="0" fontId="0" fillId="2" borderId="2" xfId="0" applyFont="1" applyFill="1" applyBorder="1" applyAlignment="1">
      <alignment horizontal="left" vertical="center" wrapText="1"/>
    </xf>
    <xf numFmtId="0" fontId="0" fillId="2" borderId="3" xfId="0" applyFont="1" applyFill="1" applyBorder="1" applyAlignment="1">
      <alignment horizontal="left" vertical="center" wrapText="1"/>
    </xf>
    <xf numFmtId="0" fontId="0" fillId="2" borderId="4" xfId="0" applyFont="1" applyFill="1" applyBorder="1" applyAlignment="1">
      <alignment horizontal="left" vertical="center" wrapText="1"/>
    </xf>
    <xf numFmtId="0" fontId="21" fillId="12" borderId="24" xfId="0" applyFont="1" applyFill="1" applyBorder="1" applyAlignment="1">
      <alignment horizontal="left" vertical="center" wrapText="1"/>
    </xf>
    <xf numFmtId="0" fontId="17" fillId="12" borderId="0" xfId="0" applyFont="1" applyFill="1" applyBorder="1" applyAlignment="1">
      <alignment horizontal="left" vertical="center"/>
    </xf>
    <xf numFmtId="0" fontId="17" fillId="12" borderId="9" xfId="0" applyFont="1" applyFill="1" applyBorder="1" applyAlignment="1">
      <alignment horizontal="left" vertical="center"/>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2" xfId="0" applyFont="1" applyFill="1" applyBorder="1" applyAlignment="1">
      <alignment horizontal="center"/>
    </xf>
    <xf numFmtId="0" fontId="1" fillId="0" borderId="3" xfId="0" applyFont="1" applyFill="1" applyBorder="1" applyAlignment="1">
      <alignment horizontal="center"/>
    </xf>
    <xf numFmtId="0" fontId="1" fillId="0" borderId="4" xfId="0" applyFont="1" applyFill="1" applyBorder="1" applyAlignment="1">
      <alignment horizontal="center"/>
    </xf>
    <xf numFmtId="0" fontId="6" fillId="15" borderId="0" xfId="0" applyFont="1" applyFill="1" applyAlignment="1">
      <alignment horizontal="left" wrapText="1"/>
    </xf>
    <xf numFmtId="0" fontId="6" fillId="15" borderId="0" xfId="0" applyFont="1" applyFill="1" applyBorder="1" applyAlignment="1">
      <alignment horizontal="left" wrapText="1"/>
    </xf>
    <xf numFmtId="0" fontId="1" fillId="20" borderId="0" xfId="0" applyFont="1" applyFill="1" applyBorder="1" applyAlignment="1">
      <alignment horizontal="left"/>
    </xf>
    <xf numFmtId="0" fontId="14" fillId="12" borderId="0" xfId="0" applyFont="1" applyFill="1" applyBorder="1" applyAlignment="1">
      <alignment horizontal="left" vertical="top"/>
    </xf>
    <xf numFmtId="0" fontId="14" fillId="12" borderId="0" xfId="0" applyFont="1" applyFill="1" applyBorder="1" applyAlignment="1">
      <alignment horizontal="left" vertical="top" wrapText="1"/>
    </xf>
    <xf numFmtId="0" fontId="0" fillId="12" borderId="0" xfId="0" applyFill="1" applyBorder="1" applyAlignment="1">
      <alignment horizontal="left" vertical="center"/>
    </xf>
    <xf numFmtId="0" fontId="0" fillId="12" borderId="0" xfId="0" applyFill="1" applyBorder="1" applyAlignment="1">
      <alignment horizontal="left" vertical="center" wrapText="1"/>
    </xf>
    <xf numFmtId="0" fontId="14" fillId="12" borderId="0" xfId="0" applyFont="1" applyFill="1" applyBorder="1" applyAlignment="1">
      <alignment horizontal="left" vertical="top" wrapText="1" indent="3"/>
    </xf>
    <xf numFmtId="0" fontId="144" fillId="12" borderId="0" xfId="0" applyFont="1" applyFill="1" applyBorder="1" applyAlignment="1">
      <alignment horizontal="center"/>
    </xf>
    <xf numFmtId="170" fontId="114" fillId="12" borderId="15" xfId="0" applyNumberFormat="1" applyFont="1" applyFill="1" applyBorder="1" applyAlignment="1">
      <alignment horizontal="center"/>
    </xf>
    <xf numFmtId="0" fontId="114" fillId="12" borderId="1" xfId="0" applyFont="1" applyFill="1" applyBorder="1" applyAlignment="1">
      <alignment horizontal="center"/>
    </xf>
    <xf numFmtId="0" fontId="114" fillId="12" borderId="0" xfId="0" applyFont="1" applyFill="1" applyAlignment="1">
      <alignment horizontal="center"/>
    </xf>
    <xf numFmtId="0" fontId="145" fillId="12" borderId="0" xfId="0" applyFont="1" applyFill="1" applyBorder="1" applyAlignment="1">
      <alignment horizontal="center" vertical="center"/>
    </xf>
    <xf numFmtId="0" fontId="142" fillId="12" borderId="0" xfId="0" applyFont="1" applyFill="1" applyBorder="1" applyAlignment="1">
      <alignment horizontal="center"/>
    </xf>
    <xf numFmtId="0" fontId="114" fillId="12" borderId="24" xfId="0" applyFont="1" applyFill="1" applyBorder="1" applyAlignment="1">
      <alignment horizontal="center"/>
    </xf>
    <xf numFmtId="0" fontId="142" fillId="12" borderId="0" xfId="0" applyFont="1" applyFill="1" applyBorder="1" applyAlignment="1">
      <alignment horizontal="center" vertical="center"/>
    </xf>
    <xf numFmtId="0" fontId="114" fillId="12" borderId="15" xfId="0" applyFont="1" applyFill="1" applyBorder="1" applyAlignment="1">
      <alignment horizontal="center"/>
    </xf>
    <xf numFmtId="0" fontId="142" fillId="12" borderId="0" xfId="0" applyFont="1" applyFill="1" applyAlignment="1">
      <alignment horizontal="center" vertical="center"/>
    </xf>
    <xf numFmtId="0" fontId="121" fillId="12" borderId="0" xfId="0" applyFont="1" applyFill="1" applyBorder="1" applyAlignment="1">
      <alignment horizontal="center" vertical="center"/>
    </xf>
    <xf numFmtId="0" fontId="114" fillId="12" borderId="0" xfId="0" applyFont="1" applyFill="1" applyAlignment="1">
      <alignment horizontal="left" vertical="center"/>
    </xf>
    <xf numFmtId="0" fontId="120" fillId="12" borderId="0" xfId="0" applyFont="1" applyFill="1" applyBorder="1" applyAlignment="1">
      <alignment horizontal="center" vertical="center"/>
    </xf>
    <xf numFmtId="0" fontId="146" fillId="0" borderId="0" xfId="0" applyFont="1" applyFill="1" applyAlignment="1">
      <alignment horizontal="center"/>
    </xf>
    <xf numFmtId="0" fontId="148" fillId="12" borderId="0" xfId="0" applyFont="1" applyFill="1" applyBorder="1" applyAlignment="1">
      <alignment horizontal="center"/>
    </xf>
    <xf numFmtId="0" fontId="4" fillId="2" borderId="2" xfId="0" applyFont="1" applyFill="1" applyBorder="1" applyAlignment="1">
      <alignment horizontal="left" wrapText="1"/>
    </xf>
    <xf numFmtId="0" fontId="4" fillId="2" borderId="3" xfId="0" applyFont="1" applyFill="1" applyBorder="1" applyAlignment="1">
      <alignment horizontal="left" wrapText="1"/>
    </xf>
    <xf numFmtId="0" fontId="4" fillId="2" borderId="4" xfId="0" applyFont="1" applyFill="1" applyBorder="1" applyAlignment="1">
      <alignment horizontal="left" wrapText="1"/>
    </xf>
    <xf numFmtId="0" fontId="148" fillId="12" borderId="0" xfId="0" applyFont="1" applyFill="1" applyBorder="1" applyAlignment="1">
      <alignment horizontal="center" vertical="center"/>
    </xf>
    <xf numFmtId="0" fontId="148" fillId="12" borderId="0" xfId="0" applyFont="1" applyFill="1" applyBorder="1" applyAlignment="1">
      <alignment horizontal="center" wrapText="1"/>
    </xf>
    <xf numFmtId="0" fontId="149" fillId="12" borderId="0" xfId="0" applyFont="1" applyFill="1" applyBorder="1" applyAlignment="1">
      <alignment horizontal="center" vertical="center"/>
    </xf>
    <xf numFmtId="0" fontId="4" fillId="12" borderId="0" xfId="0" applyFont="1" applyFill="1" applyBorder="1" applyAlignment="1">
      <alignment horizontal="left" vertical="top"/>
    </xf>
    <xf numFmtId="0" fontId="144" fillId="0" borderId="0" xfId="0" applyFont="1" applyFill="1" applyAlignment="1">
      <alignment horizontal="center"/>
    </xf>
    <xf numFmtId="0" fontId="144" fillId="12" borderId="0" xfId="0" applyFont="1" applyFill="1" applyBorder="1" applyAlignment="1">
      <alignment horizontal="center" vertical="center"/>
    </xf>
    <xf numFmtId="0" fontId="117" fillId="12" borderId="0" xfId="0" applyFont="1" applyFill="1" applyAlignment="1">
      <alignment horizontal="left" vertical="center" wrapText="1"/>
    </xf>
    <xf numFmtId="0" fontId="153" fillId="0" borderId="55" xfId="0" applyFont="1" applyFill="1" applyBorder="1" applyAlignment="1">
      <alignment horizontal="center" vertical="center" wrapText="1"/>
    </xf>
    <xf numFmtId="0" fontId="153" fillId="0" borderId="58" xfId="0" applyFont="1" applyFill="1" applyBorder="1" applyAlignment="1">
      <alignment horizontal="center" vertical="center" wrapText="1"/>
    </xf>
    <xf numFmtId="0" fontId="153" fillId="0" borderId="61" xfId="0" applyFont="1" applyFill="1" applyBorder="1" applyAlignment="1">
      <alignment horizontal="center" vertical="center" wrapText="1"/>
    </xf>
    <xf numFmtId="0" fontId="149" fillId="0" borderId="57" xfId="3" applyFont="1" applyFill="1" applyBorder="1" applyAlignment="1" applyProtection="1">
      <alignment horizontal="center" vertical="center" wrapText="1"/>
    </xf>
    <xf numFmtId="0" fontId="149" fillId="0" borderId="58" xfId="3" applyFont="1" applyFill="1" applyBorder="1" applyAlignment="1" applyProtection="1">
      <alignment horizontal="center" vertical="center" wrapText="1"/>
    </xf>
    <xf numFmtId="0" fontId="125" fillId="12" borderId="0" xfId="0" applyFont="1" applyFill="1" applyBorder="1" applyAlignment="1">
      <alignment horizontal="left" vertical="center" wrapText="1"/>
    </xf>
    <xf numFmtId="0" fontId="114" fillId="12" borderId="0" xfId="0" applyFont="1" applyFill="1" applyAlignment="1">
      <alignment horizontal="left"/>
    </xf>
    <xf numFmtId="0" fontId="153" fillId="12" borderId="0" xfId="0" applyFont="1" applyFill="1" applyAlignment="1">
      <alignment horizontal="left" vertical="center"/>
    </xf>
    <xf numFmtId="0" fontId="117" fillId="12" borderId="0" xfId="0" applyFont="1" applyFill="1" applyAlignment="1">
      <alignment horizontal="center" vertical="center"/>
    </xf>
    <xf numFmtId="0" fontId="149" fillId="2" borderId="54" xfId="3" applyFont="1" applyFill="1" applyBorder="1" applyAlignment="1" applyProtection="1">
      <alignment horizontal="center" vertical="center" wrapText="1"/>
    </xf>
    <xf numFmtId="0" fontId="149" fillId="2" borderId="55" xfId="3" applyFont="1" applyFill="1" applyBorder="1" applyAlignment="1" applyProtection="1">
      <alignment horizontal="center" vertical="center" wrapText="1"/>
    </xf>
    <xf numFmtId="0" fontId="149" fillId="2" borderId="57" xfId="3" applyFont="1" applyFill="1" applyBorder="1" applyAlignment="1" applyProtection="1">
      <alignment horizontal="center" vertical="center" wrapText="1"/>
    </xf>
    <xf numFmtId="0" fontId="149" fillId="2" borderId="58" xfId="3" applyFont="1" applyFill="1" applyBorder="1" applyAlignment="1" applyProtection="1">
      <alignment horizontal="center" vertical="center" wrapText="1"/>
    </xf>
    <xf numFmtId="0" fontId="149" fillId="0" borderId="58" xfId="0" applyFont="1" applyFill="1" applyBorder="1" applyAlignment="1">
      <alignment horizontal="center" vertical="center" wrapText="1"/>
    </xf>
    <xf numFmtId="0" fontId="149" fillId="0" borderId="61" xfId="0" applyFont="1" applyFill="1" applyBorder="1" applyAlignment="1">
      <alignment horizontal="center" vertical="center" wrapText="1"/>
    </xf>
    <xf numFmtId="0" fontId="149" fillId="0" borderId="59" xfId="3" applyFont="1" applyFill="1" applyBorder="1" applyAlignment="1" applyProtection="1">
      <alignment horizontal="center" vertical="center" wrapText="1"/>
    </xf>
    <xf numFmtId="0" fontId="149" fillId="0" borderId="61" xfId="3" applyFont="1" applyFill="1" applyBorder="1" applyAlignment="1" applyProtection="1">
      <alignment horizontal="center" vertical="center" wrapText="1"/>
    </xf>
    <xf numFmtId="0" fontId="149" fillId="0" borderId="62" xfId="3" applyFont="1" applyFill="1" applyBorder="1" applyAlignment="1" applyProtection="1">
      <alignment horizontal="center" vertical="center" wrapText="1"/>
    </xf>
    <xf numFmtId="0" fontId="153" fillId="0" borderId="59" xfId="0" applyFont="1" applyFill="1" applyBorder="1" applyAlignment="1">
      <alignment horizontal="center" vertical="center" wrapText="1"/>
    </xf>
    <xf numFmtId="0" fontId="149" fillId="0" borderId="55" xfId="3" applyFont="1" applyFill="1" applyBorder="1" applyAlignment="1" applyProtection="1">
      <alignment horizontal="center" vertical="center" wrapText="1"/>
    </xf>
    <xf numFmtId="0" fontId="153" fillId="0" borderId="56" xfId="0" applyFont="1" applyFill="1" applyBorder="1" applyAlignment="1">
      <alignment horizontal="center" vertical="center" wrapText="1"/>
    </xf>
    <xf numFmtId="0" fontId="149" fillId="0" borderId="60" xfId="3" applyFont="1" applyFill="1" applyBorder="1" applyAlignment="1" applyProtection="1">
      <alignment horizontal="center" vertical="center" wrapText="1"/>
    </xf>
    <xf numFmtId="0" fontId="1" fillId="5" borderId="2" xfId="0" applyFont="1" applyFill="1" applyBorder="1" applyAlignment="1">
      <alignment horizontal="center"/>
    </xf>
    <xf numFmtId="0" fontId="1" fillId="5" borderId="3" xfId="0" applyFont="1" applyFill="1" applyBorder="1" applyAlignment="1">
      <alignment horizontal="center"/>
    </xf>
    <xf numFmtId="0" fontId="1" fillId="5" borderId="4" xfId="0" applyFont="1" applyFill="1" applyBorder="1" applyAlignment="1">
      <alignment horizontal="center"/>
    </xf>
    <xf numFmtId="0" fontId="1" fillId="8" borderId="2" xfId="0" applyFont="1" applyFill="1" applyBorder="1" applyAlignment="1">
      <alignment horizontal="center"/>
    </xf>
    <xf numFmtId="0" fontId="1" fillId="8" borderId="3" xfId="0" applyFont="1" applyFill="1" applyBorder="1" applyAlignment="1">
      <alignment horizontal="center"/>
    </xf>
    <xf numFmtId="0" fontId="1" fillId="8" borderId="4" xfId="0" applyFont="1" applyFill="1" applyBorder="1" applyAlignment="1">
      <alignment horizontal="center"/>
    </xf>
    <xf numFmtId="0" fontId="6" fillId="12" borderId="0" xfId="0" applyFont="1" applyFill="1" applyAlignment="1">
      <alignment horizontal="left" vertical="center" wrapText="1"/>
    </xf>
    <xf numFmtId="171" fontId="4" fillId="12" borderId="2" xfId="0" applyNumberFormat="1" applyFont="1" applyFill="1" applyBorder="1" applyAlignment="1">
      <alignment horizontal="center" vertical="center"/>
    </xf>
    <xf numFmtId="0" fontId="0" fillId="12" borderId="3" xfId="0" applyFill="1" applyBorder="1"/>
    <xf numFmtId="0" fontId="0" fillId="12" borderId="4" xfId="0" applyFill="1" applyBorder="1"/>
    <xf numFmtId="0" fontId="8" fillId="13" borderId="2" xfId="0" applyFont="1" applyFill="1" applyBorder="1" applyAlignment="1">
      <alignment horizontal="center" vertical="center"/>
    </xf>
    <xf numFmtId="0" fontId="8" fillId="13" borderId="3" xfId="0" applyFont="1" applyFill="1" applyBorder="1" applyAlignment="1">
      <alignment horizontal="center" vertical="center"/>
    </xf>
    <xf numFmtId="0" fontId="8" fillId="13" borderId="4" xfId="0" applyFont="1" applyFill="1" applyBorder="1" applyAlignment="1">
      <alignment horizontal="center" vertical="center"/>
    </xf>
    <xf numFmtId="0" fontId="1" fillId="6" borderId="2" xfId="0" applyFont="1" applyFill="1" applyBorder="1" applyAlignment="1">
      <alignment horizontal="center"/>
    </xf>
    <xf numFmtId="0" fontId="1" fillId="6" borderId="3" xfId="0" applyFont="1" applyFill="1" applyBorder="1" applyAlignment="1">
      <alignment horizontal="center"/>
    </xf>
    <xf numFmtId="0" fontId="1" fillId="6" borderId="4" xfId="0" applyFont="1" applyFill="1" applyBorder="1" applyAlignment="1">
      <alignment horizontal="center"/>
    </xf>
    <xf numFmtId="0" fontId="1" fillId="4" borderId="2" xfId="0" applyFont="1" applyFill="1" applyBorder="1" applyAlignment="1">
      <alignment horizontal="center"/>
    </xf>
    <xf numFmtId="0" fontId="1" fillId="4" borderId="3" xfId="0" applyFont="1" applyFill="1" applyBorder="1" applyAlignment="1">
      <alignment horizontal="center"/>
    </xf>
    <xf numFmtId="0" fontId="1" fillId="4" borderId="4" xfId="0" applyFont="1" applyFill="1" applyBorder="1" applyAlignment="1">
      <alignment horizontal="center"/>
    </xf>
    <xf numFmtId="0" fontId="1" fillId="7" borderId="2" xfId="0" applyFont="1" applyFill="1" applyBorder="1" applyAlignment="1">
      <alignment horizontal="center"/>
    </xf>
    <xf numFmtId="0" fontId="1" fillId="7" borderId="3" xfId="0" applyFont="1" applyFill="1" applyBorder="1" applyAlignment="1">
      <alignment horizontal="center"/>
    </xf>
    <xf numFmtId="0" fontId="1" fillId="7" borderId="4" xfId="0" applyFont="1" applyFill="1" applyBorder="1" applyAlignment="1">
      <alignment horizontal="center"/>
    </xf>
    <xf numFmtId="0" fontId="4" fillId="12" borderId="15" xfId="0" applyFont="1" applyFill="1" applyBorder="1" applyAlignment="1">
      <alignment horizontal="left" wrapText="1"/>
    </xf>
    <xf numFmtId="0" fontId="4" fillId="12" borderId="1" xfId="0" applyFont="1" applyFill="1" applyBorder="1" applyAlignment="1">
      <alignment horizontal="left" wrapText="1"/>
    </xf>
    <xf numFmtId="0" fontId="4" fillId="12" borderId="15" xfId="0" applyFont="1" applyFill="1" applyBorder="1" applyAlignment="1">
      <alignment horizontal="left"/>
    </xf>
    <xf numFmtId="0" fontId="4" fillId="12" borderId="1" xfId="0" applyFont="1" applyFill="1" applyBorder="1" applyAlignment="1">
      <alignment horizontal="left"/>
    </xf>
    <xf numFmtId="0" fontId="4" fillId="12" borderId="0" xfId="0" applyFont="1" applyFill="1" applyBorder="1" applyAlignment="1">
      <alignment horizontal="left"/>
    </xf>
    <xf numFmtId="0" fontId="1" fillId="0" borderId="0" xfId="0" applyFont="1" applyFill="1" applyBorder="1" applyAlignment="1">
      <alignment horizontal="center" vertical="center" wrapText="1"/>
    </xf>
    <xf numFmtId="0" fontId="51" fillId="0" borderId="0" xfId="0" applyFont="1" applyFill="1" applyBorder="1" applyAlignment="1">
      <alignment horizontal="left"/>
    </xf>
    <xf numFmtId="0" fontId="162" fillId="0" borderId="0" xfId="0" applyFont="1" applyFill="1" applyAlignment="1">
      <alignment horizontal="left" wrapText="1"/>
    </xf>
    <xf numFmtId="0" fontId="105" fillId="0" borderId="21" xfId="0" applyFont="1" applyBorder="1" applyAlignment="1">
      <alignment horizontal="center" vertical="center"/>
    </xf>
    <xf numFmtId="0" fontId="105" fillId="0" borderId="21" xfId="0" applyFont="1" applyBorder="1" applyAlignment="1">
      <alignment horizontal="left" vertical="center" wrapText="1"/>
    </xf>
    <xf numFmtId="0" fontId="111" fillId="12" borderId="21" xfId="0" applyNumberFormat="1" applyFont="1" applyFill="1" applyBorder="1" applyAlignment="1">
      <alignment horizontal="left" vertical="center" wrapText="1"/>
    </xf>
    <xf numFmtId="0" fontId="111" fillId="12" borderId="19" xfId="0" applyNumberFormat="1" applyFont="1" applyFill="1" applyBorder="1" applyAlignment="1">
      <alignment horizontal="left" vertical="center" wrapText="1"/>
    </xf>
    <xf numFmtId="0" fontId="111" fillId="12" borderId="51" xfId="0" applyNumberFormat="1" applyFont="1" applyFill="1" applyBorder="1" applyAlignment="1">
      <alignment horizontal="left" vertical="center" wrapText="1"/>
    </xf>
    <xf numFmtId="0" fontId="111" fillId="12" borderId="20" xfId="0" applyNumberFormat="1" applyFont="1" applyFill="1" applyBorder="1" applyAlignment="1">
      <alignment horizontal="left" vertical="center" wrapText="1"/>
    </xf>
    <xf numFmtId="0" fontId="0" fillId="0" borderId="15" xfId="0" applyFont="1" applyBorder="1" applyAlignment="1">
      <alignment horizontal="center"/>
    </xf>
    <xf numFmtId="0" fontId="111" fillId="0" borderId="21" xfId="0" applyFont="1" applyFill="1" applyBorder="1" applyAlignment="1">
      <alignment horizontal="left" vertical="center" wrapText="1"/>
    </xf>
    <xf numFmtId="0" fontId="111" fillId="0" borderId="19" xfId="0" applyFont="1" applyFill="1" applyBorder="1" applyAlignment="1">
      <alignment horizontal="left" vertical="center" wrapText="1"/>
    </xf>
    <xf numFmtId="0" fontId="111" fillId="0" borderId="21" xfId="0" applyNumberFormat="1" applyFont="1" applyFill="1" applyBorder="1" applyAlignment="1">
      <alignment horizontal="left" vertical="center" wrapText="1"/>
    </xf>
    <xf numFmtId="0" fontId="111" fillId="0" borderId="19" xfId="0" applyNumberFormat="1" applyFont="1" applyFill="1" applyBorder="1" applyAlignment="1">
      <alignment horizontal="left" vertical="center" wrapText="1"/>
    </xf>
    <xf numFmtId="0" fontId="111" fillId="12" borderId="0" xfId="0" applyFont="1" applyFill="1" applyAlignment="1">
      <alignment horizontal="left" wrapText="1"/>
    </xf>
    <xf numFmtId="0" fontId="111" fillId="12" borderId="19" xfId="0" applyFont="1" applyFill="1" applyBorder="1" applyAlignment="1">
      <alignment horizontal="left" wrapText="1"/>
    </xf>
    <xf numFmtId="0" fontId="111" fillId="12" borderId="21" xfId="0" applyFont="1" applyFill="1" applyBorder="1" applyAlignment="1">
      <alignment horizontal="left" vertical="center" wrapText="1"/>
    </xf>
    <xf numFmtId="0" fontId="111" fillId="12" borderId="19" xfId="0" applyFont="1" applyFill="1" applyBorder="1" applyAlignment="1">
      <alignment horizontal="left" vertical="center" wrapText="1"/>
    </xf>
    <xf numFmtId="171" fontId="1" fillId="0" borderId="2" xfId="0" applyNumberFormat="1" applyFont="1" applyFill="1" applyBorder="1" applyAlignment="1">
      <alignment horizontal="center" vertical="center" wrapText="1"/>
    </xf>
    <xf numFmtId="171" fontId="1" fillId="0" borderId="3" xfId="0" applyNumberFormat="1" applyFont="1" applyFill="1" applyBorder="1" applyAlignment="1">
      <alignment horizontal="center" vertical="center" wrapText="1"/>
    </xf>
    <xf numFmtId="171" fontId="1" fillId="0" borderId="4" xfId="0" applyNumberFormat="1" applyFont="1" applyFill="1" applyBorder="1" applyAlignment="1">
      <alignment horizontal="center" vertical="center" wrapText="1"/>
    </xf>
  </cellXfs>
  <cellStyles count="1033">
    <cellStyle name="%" xfId="975" xr:uid="{00000000-0005-0000-0000-000000000000}"/>
    <cellStyle name="_EWE-VEA Charts  Data (4)" xfId="974" xr:uid="{00000000-0005-0000-0000-000001000000}"/>
    <cellStyle name="_EWE-VEA Charts  Data (4)_Copy of annual_NPLbis post fall weo (2)" xfId="973" xr:uid="{00000000-0005-0000-0000-000002000000}"/>
    <cellStyle name="_Sheet4" xfId="972" xr:uid="{00000000-0005-0000-0000-000003000000}"/>
    <cellStyle name="_Sheet4_Copy of annual_NPLbis post fall weo (2)" xfId="971" xr:uid="{00000000-0005-0000-0000-000004000000}"/>
    <cellStyle name="=C:\WINNT35\SYSTEM32\COMMAND.COM" xfId="1026" xr:uid="{00000000-0005-0000-0000-000005000000}"/>
    <cellStyle name="1 indent" xfId="6" xr:uid="{00000000-0005-0000-0000-000006000000}"/>
    <cellStyle name="2 indents" xfId="7" xr:uid="{00000000-0005-0000-0000-000007000000}"/>
    <cellStyle name="20% - Accent1 2" xfId="970" xr:uid="{00000000-0005-0000-0000-000008000000}"/>
    <cellStyle name="20% - Accent1 2 2" xfId="969" xr:uid="{00000000-0005-0000-0000-000009000000}"/>
    <cellStyle name="20% - Accent1 2_Book5" xfId="968" xr:uid="{00000000-0005-0000-0000-00000A000000}"/>
    <cellStyle name="20% - Accent1 3" xfId="967" xr:uid="{00000000-0005-0000-0000-00000B000000}"/>
    <cellStyle name="20% - Accent1 3 2" xfId="966" xr:uid="{00000000-0005-0000-0000-00000C000000}"/>
    <cellStyle name="20% - Accent1 3_Book5" xfId="965" xr:uid="{00000000-0005-0000-0000-00000D000000}"/>
    <cellStyle name="20% - Accent1 4" xfId="964" xr:uid="{00000000-0005-0000-0000-00000E000000}"/>
    <cellStyle name="20% - Accent1 4 2" xfId="963" xr:uid="{00000000-0005-0000-0000-00000F000000}"/>
    <cellStyle name="20% - Accent1 4_Book5" xfId="962" xr:uid="{00000000-0005-0000-0000-000010000000}"/>
    <cellStyle name="20% - Accent2 2" xfId="961" xr:uid="{00000000-0005-0000-0000-000011000000}"/>
    <cellStyle name="20% - Accent2 2 2" xfId="960" xr:uid="{00000000-0005-0000-0000-000012000000}"/>
    <cellStyle name="20% - Accent2 2_Book5" xfId="959" xr:uid="{00000000-0005-0000-0000-000013000000}"/>
    <cellStyle name="20% - Accent2 3" xfId="958" xr:uid="{00000000-0005-0000-0000-000014000000}"/>
    <cellStyle name="20% - Accent2 3 2" xfId="957" xr:uid="{00000000-0005-0000-0000-000015000000}"/>
    <cellStyle name="20% - Accent2 3_Book5" xfId="956" xr:uid="{00000000-0005-0000-0000-000016000000}"/>
    <cellStyle name="20% - Accent2 4" xfId="979" xr:uid="{00000000-0005-0000-0000-000017000000}"/>
    <cellStyle name="20% - Accent2 4 2" xfId="955" xr:uid="{00000000-0005-0000-0000-000018000000}"/>
    <cellStyle name="20% - Accent2 4_Book5" xfId="954" xr:uid="{00000000-0005-0000-0000-000019000000}"/>
    <cellStyle name="20% - Accent3 2" xfId="953" xr:uid="{00000000-0005-0000-0000-00001A000000}"/>
    <cellStyle name="20% - Accent3 2 2" xfId="952" xr:uid="{00000000-0005-0000-0000-00001B000000}"/>
    <cellStyle name="20% - Accent3 2_Book5" xfId="951" xr:uid="{00000000-0005-0000-0000-00001C000000}"/>
    <cellStyle name="20% - Accent3 3" xfId="950" xr:uid="{00000000-0005-0000-0000-00001D000000}"/>
    <cellStyle name="20% - Accent3 3 2" xfId="949" xr:uid="{00000000-0005-0000-0000-00001E000000}"/>
    <cellStyle name="20% - Accent3 3_Book5" xfId="948" xr:uid="{00000000-0005-0000-0000-00001F000000}"/>
    <cellStyle name="20% - Accent3 4" xfId="947" xr:uid="{00000000-0005-0000-0000-000020000000}"/>
    <cellStyle name="20% - Accent3 4 2" xfId="946" xr:uid="{00000000-0005-0000-0000-000021000000}"/>
    <cellStyle name="20% - Accent3 4_Book5" xfId="945" xr:uid="{00000000-0005-0000-0000-000022000000}"/>
    <cellStyle name="20% - Accent4 2" xfId="944" xr:uid="{00000000-0005-0000-0000-000023000000}"/>
    <cellStyle name="20% - Accent4 2 2" xfId="943" xr:uid="{00000000-0005-0000-0000-000024000000}"/>
    <cellStyle name="20% - Accent4 2_Book5" xfId="942" xr:uid="{00000000-0005-0000-0000-000025000000}"/>
    <cellStyle name="20% - Accent4 3" xfId="941" xr:uid="{00000000-0005-0000-0000-000026000000}"/>
    <cellStyle name="20% - Accent4 3 2" xfId="940" xr:uid="{00000000-0005-0000-0000-000027000000}"/>
    <cellStyle name="20% - Accent4 3_Book5" xfId="939" xr:uid="{00000000-0005-0000-0000-000028000000}"/>
    <cellStyle name="20% - Accent4 4" xfId="938" xr:uid="{00000000-0005-0000-0000-000029000000}"/>
    <cellStyle name="20% - Accent4 4 2" xfId="937" xr:uid="{00000000-0005-0000-0000-00002A000000}"/>
    <cellStyle name="20% - Accent4 4_Book5" xfId="936" xr:uid="{00000000-0005-0000-0000-00002B000000}"/>
    <cellStyle name="20% - Accent6 2" xfId="935" xr:uid="{00000000-0005-0000-0000-00002C000000}"/>
    <cellStyle name="20% - Accent6 2 2" xfId="934" xr:uid="{00000000-0005-0000-0000-00002D000000}"/>
    <cellStyle name="20% - Accent6 2_Book5" xfId="933" xr:uid="{00000000-0005-0000-0000-00002E000000}"/>
    <cellStyle name="20% - Accent6 3" xfId="932" xr:uid="{00000000-0005-0000-0000-00002F000000}"/>
    <cellStyle name="20% - Accent6 3 2" xfId="931" xr:uid="{00000000-0005-0000-0000-000030000000}"/>
    <cellStyle name="20% - Accent6 3_Book5" xfId="930" xr:uid="{00000000-0005-0000-0000-000031000000}"/>
    <cellStyle name="20% - Accent6 4" xfId="929" xr:uid="{00000000-0005-0000-0000-000032000000}"/>
    <cellStyle name="20% - Accent6 4 2" xfId="928" xr:uid="{00000000-0005-0000-0000-000033000000}"/>
    <cellStyle name="20% - Accent6 4_Book5" xfId="927" xr:uid="{00000000-0005-0000-0000-000034000000}"/>
    <cellStyle name="20% - uthevingsfarge 1" xfId="926" xr:uid="{00000000-0005-0000-0000-000035000000}"/>
    <cellStyle name="20% - uthevingsfarge 2" xfId="925" xr:uid="{00000000-0005-0000-0000-000036000000}"/>
    <cellStyle name="20% - uthevingsfarge 3" xfId="924" xr:uid="{00000000-0005-0000-0000-000037000000}"/>
    <cellStyle name="20% - uthevingsfarge 4" xfId="923" xr:uid="{00000000-0005-0000-0000-000038000000}"/>
    <cellStyle name="20% - uthevingsfarge 5" xfId="922" xr:uid="{00000000-0005-0000-0000-000039000000}"/>
    <cellStyle name="20% - uthevingsfarge 6" xfId="921" xr:uid="{00000000-0005-0000-0000-00003A000000}"/>
    <cellStyle name="3 indents" xfId="8" xr:uid="{00000000-0005-0000-0000-00003B000000}"/>
    <cellStyle name="4 indents" xfId="9" xr:uid="{00000000-0005-0000-0000-00003C000000}"/>
    <cellStyle name="40% - Accent1 2" xfId="920" xr:uid="{00000000-0005-0000-0000-00003D000000}"/>
    <cellStyle name="40% - Accent1 2 2" xfId="919" xr:uid="{00000000-0005-0000-0000-00003E000000}"/>
    <cellStyle name="40% - Accent1 2_Book5" xfId="918" xr:uid="{00000000-0005-0000-0000-00003F000000}"/>
    <cellStyle name="40% - Accent1 3" xfId="917" xr:uid="{00000000-0005-0000-0000-000040000000}"/>
    <cellStyle name="40% - Accent1 3 2" xfId="916" xr:uid="{00000000-0005-0000-0000-000041000000}"/>
    <cellStyle name="40% - Accent1 3_Book5" xfId="915" xr:uid="{00000000-0005-0000-0000-000042000000}"/>
    <cellStyle name="40% - Accent1 4" xfId="914" xr:uid="{00000000-0005-0000-0000-000043000000}"/>
    <cellStyle name="40% - Accent1 4 2" xfId="913" xr:uid="{00000000-0005-0000-0000-000044000000}"/>
    <cellStyle name="40% - Accent1 4_Book5" xfId="912" xr:uid="{00000000-0005-0000-0000-000045000000}"/>
    <cellStyle name="40% - Accent3 2" xfId="911" xr:uid="{00000000-0005-0000-0000-000046000000}"/>
    <cellStyle name="40% - Accent3 2 2" xfId="910" xr:uid="{00000000-0005-0000-0000-000047000000}"/>
    <cellStyle name="40% - Accent3 2_Book5" xfId="909" xr:uid="{00000000-0005-0000-0000-000048000000}"/>
    <cellStyle name="40% - Accent3 3" xfId="908" xr:uid="{00000000-0005-0000-0000-000049000000}"/>
    <cellStyle name="40% - Accent3 3 2" xfId="907" xr:uid="{00000000-0005-0000-0000-00004A000000}"/>
    <cellStyle name="40% - Accent3 3_Book5" xfId="906" xr:uid="{00000000-0005-0000-0000-00004B000000}"/>
    <cellStyle name="40% - Accent3 4" xfId="905" xr:uid="{00000000-0005-0000-0000-00004C000000}"/>
    <cellStyle name="40% - Accent3 4 2" xfId="904" xr:uid="{00000000-0005-0000-0000-00004D000000}"/>
    <cellStyle name="40% - Accent3 4_Book5" xfId="903" xr:uid="{00000000-0005-0000-0000-00004E000000}"/>
    <cellStyle name="40% - Accent4 2" xfId="902" xr:uid="{00000000-0005-0000-0000-00004F000000}"/>
    <cellStyle name="40% - Accent4 2 2" xfId="901" xr:uid="{00000000-0005-0000-0000-000050000000}"/>
    <cellStyle name="40% - Accent4 2_Book5" xfId="900" xr:uid="{00000000-0005-0000-0000-000051000000}"/>
    <cellStyle name="40% - Accent4 3" xfId="899" xr:uid="{00000000-0005-0000-0000-000052000000}"/>
    <cellStyle name="40% - Accent4 3 2" xfId="898" xr:uid="{00000000-0005-0000-0000-000053000000}"/>
    <cellStyle name="40% - Accent4 3_Book5" xfId="897" xr:uid="{00000000-0005-0000-0000-000054000000}"/>
    <cellStyle name="40% - Accent4 4" xfId="896" xr:uid="{00000000-0005-0000-0000-000055000000}"/>
    <cellStyle name="40% - Accent4 4 2" xfId="895" xr:uid="{00000000-0005-0000-0000-000056000000}"/>
    <cellStyle name="40% - Accent4 4_Book5" xfId="894" xr:uid="{00000000-0005-0000-0000-000057000000}"/>
    <cellStyle name="40% - Accent5 2" xfId="893" xr:uid="{00000000-0005-0000-0000-000058000000}"/>
    <cellStyle name="40% - Accent5 2 2" xfId="892" xr:uid="{00000000-0005-0000-0000-000059000000}"/>
    <cellStyle name="40% - Accent5 2_Book5" xfId="891" xr:uid="{00000000-0005-0000-0000-00005A000000}"/>
    <cellStyle name="40% - Accent5 3" xfId="890" xr:uid="{00000000-0005-0000-0000-00005B000000}"/>
    <cellStyle name="40% - Accent5 3 2" xfId="889" xr:uid="{00000000-0005-0000-0000-00005C000000}"/>
    <cellStyle name="40% - Accent5 3_Book5" xfId="888" xr:uid="{00000000-0005-0000-0000-00005D000000}"/>
    <cellStyle name="40% - Accent5 4" xfId="887" xr:uid="{00000000-0005-0000-0000-00005E000000}"/>
    <cellStyle name="40% - Accent5 4 2" xfId="886" xr:uid="{00000000-0005-0000-0000-00005F000000}"/>
    <cellStyle name="40% - Accent5 4_Book5" xfId="885" xr:uid="{00000000-0005-0000-0000-000060000000}"/>
    <cellStyle name="40% - Accent6 2" xfId="884" xr:uid="{00000000-0005-0000-0000-000061000000}"/>
    <cellStyle name="40% - Accent6 2 2" xfId="883" xr:uid="{00000000-0005-0000-0000-000062000000}"/>
    <cellStyle name="40% - Accent6 2_Book5" xfId="882" xr:uid="{00000000-0005-0000-0000-000063000000}"/>
    <cellStyle name="40% - Accent6 3" xfId="881" xr:uid="{00000000-0005-0000-0000-000064000000}"/>
    <cellStyle name="40% - Accent6 3 2" xfId="880" xr:uid="{00000000-0005-0000-0000-000065000000}"/>
    <cellStyle name="40% - Accent6 3_Book5" xfId="879" xr:uid="{00000000-0005-0000-0000-000066000000}"/>
    <cellStyle name="40% - Accent6 4" xfId="878" xr:uid="{00000000-0005-0000-0000-000067000000}"/>
    <cellStyle name="40% - Accent6 4 2" xfId="877" xr:uid="{00000000-0005-0000-0000-000068000000}"/>
    <cellStyle name="40% - Accent6 4_Book5" xfId="876" xr:uid="{00000000-0005-0000-0000-000069000000}"/>
    <cellStyle name="40% - uthevingsfarge 1" xfId="875" xr:uid="{00000000-0005-0000-0000-00006A000000}"/>
    <cellStyle name="40% - uthevingsfarge 2" xfId="874" xr:uid="{00000000-0005-0000-0000-00006B000000}"/>
    <cellStyle name="40% - uthevingsfarge 3" xfId="873" xr:uid="{00000000-0005-0000-0000-00006C000000}"/>
    <cellStyle name="40% - uthevingsfarge 4" xfId="872" xr:uid="{00000000-0005-0000-0000-00006D000000}"/>
    <cellStyle name="40% - uthevingsfarge 5" xfId="871" xr:uid="{00000000-0005-0000-0000-00006E000000}"/>
    <cellStyle name="40% - uthevingsfarge 6" xfId="870" xr:uid="{00000000-0005-0000-0000-00006F000000}"/>
    <cellStyle name="5 indents" xfId="10" xr:uid="{00000000-0005-0000-0000-000070000000}"/>
    <cellStyle name="60% - Accent1 2" xfId="869" xr:uid="{00000000-0005-0000-0000-000071000000}"/>
    <cellStyle name="60% - Accent1 2 2" xfId="868" xr:uid="{00000000-0005-0000-0000-000072000000}"/>
    <cellStyle name="60% - Accent1 3" xfId="867" xr:uid="{00000000-0005-0000-0000-000073000000}"/>
    <cellStyle name="60% - Accent1 3 2" xfId="866" xr:uid="{00000000-0005-0000-0000-000074000000}"/>
    <cellStyle name="60% - Accent1 4" xfId="865" xr:uid="{00000000-0005-0000-0000-000075000000}"/>
    <cellStyle name="60% - Accent1 4 2" xfId="864" xr:uid="{00000000-0005-0000-0000-000076000000}"/>
    <cellStyle name="60% - Accent2 2" xfId="863" xr:uid="{00000000-0005-0000-0000-000077000000}"/>
    <cellStyle name="60% - Accent2 2 2" xfId="862" xr:uid="{00000000-0005-0000-0000-000078000000}"/>
    <cellStyle name="60% - Accent2 3" xfId="861" xr:uid="{00000000-0005-0000-0000-000079000000}"/>
    <cellStyle name="60% - Accent2 3 2" xfId="860" xr:uid="{00000000-0005-0000-0000-00007A000000}"/>
    <cellStyle name="60% - Accent2 4" xfId="859" xr:uid="{00000000-0005-0000-0000-00007B000000}"/>
    <cellStyle name="60% - Accent2 4 2" xfId="858" xr:uid="{00000000-0005-0000-0000-00007C000000}"/>
    <cellStyle name="60% - Accent3 2" xfId="857" xr:uid="{00000000-0005-0000-0000-00007D000000}"/>
    <cellStyle name="60% - Accent3 2 2" xfId="856" xr:uid="{00000000-0005-0000-0000-00007E000000}"/>
    <cellStyle name="60% - Accent3 3" xfId="855" xr:uid="{00000000-0005-0000-0000-00007F000000}"/>
    <cellStyle name="60% - Accent3 3 2" xfId="854" xr:uid="{00000000-0005-0000-0000-000080000000}"/>
    <cellStyle name="60% - Accent3 4" xfId="853" xr:uid="{00000000-0005-0000-0000-000081000000}"/>
    <cellStyle name="60% - Accent3 4 2" xfId="852" xr:uid="{00000000-0005-0000-0000-000082000000}"/>
    <cellStyle name="60% - Accent4 2" xfId="851" xr:uid="{00000000-0005-0000-0000-000083000000}"/>
    <cellStyle name="60% - Accent4 2 2" xfId="850" xr:uid="{00000000-0005-0000-0000-000084000000}"/>
    <cellStyle name="60% - Accent4 3" xfId="849" xr:uid="{00000000-0005-0000-0000-000085000000}"/>
    <cellStyle name="60% - Accent4 3 2" xfId="848" xr:uid="{00000000-0005-0000-0000-000086000000}"/>
    <cellStyle name="60% - Accent4 4" xfId="847" xr:uid="{00000000-0005-0000-0000-000087000000}"/>
    <cellStyle name="60% - Accent4 4 2" xfId="846" xr:uid="{00000000-0005-0000-0000-000088000000}"/>
    <cellStyle name="60% - Accent5 2" xfId="845" xr:uid="{00000000-0005-0000-0000-000089000000}"/>
    <cellStyle name="60% - Accent5 2 2" xfId="844" xr:uid="{00000000-0005-0000-0000-00008A000000}"/>
    <cellStyle name="60% - Accent5 3" xfId="843" xr:uid="{00000000-0005-0000-0000-00008B000000}"/>
    <cellStyle name="60% - Accent5 3 2" xfId="842" xr:uid="{00000000-0005-0000-0000-00008C000000}"/>
    <cellStyle name="60% - Accent5 4" xfId="841" xr:uid="{00000000-0005-0000-0000-00008D000000}"/>
    <cellStyle name="60% - Accent5 4 2" xfId="521" xr:uid="{00000000-0005-0000-0000-00008E000000}"/>
    <cellStyle name="60% - Accent6 2" xfId="522" xr:uid="{00000000-0005-0000-0000-00008F000000}"/>
    <cellStyle name="60% - Accent6 2 2" xfId="523" xr:uid="{00000000-0005-0000-0000-000090000000}"/>
    <cellStyle name="60% - Accent6 3" xfId="524" xr:uid="{00000000-0005-0000-0000-000091000000}"/>
    <cellStyle name="60% - Accent6 3 2" xfId="840" xr:uid="{00000000-0005-0000-0000-000092000000}"/>
    <cellStyle name="60% - Accent6 4" xfId="525" xr:uid="{00000000-0005-0000-0000-000093000000}"/>
    <cellStyle name="60% - Accent6 4 2" xfId="828" xr:uid="{00000000-0005-0000-0000-000094000000}"/>
    <cellStyle name="60% - uthevingsfarge 1" xfId="520" xr:uid="{00000000-0005-0000-0000-000095000000}"/>
    <cellStyle name="60% - uthevingsfarge 2" xfId="526" xr:uid="{00000000-0005-0000-0000-000096000000}"/>
    <cellStyle name="60% - uthevingsfarge 3" xfId="527" xr:uid="{00000000-0005-0000-0000-000097000000}"/>
    <cellStyle name="60% - uthevingsfarge 4" xfId="528" xr:uid="{00000000-0005-0000-0000-000098000000}"/>
    <cellStyle name="60% - uthevingsfarge 5" xfId="529" xr:uid="{00000000-0005-0000-0000-000099000000}"/>
    <cellStyle name="60% - uthevingsfarge 6" xfId="530" xr:uid="{00000000-0005-0000-0000-00009A000000}"/>
    <cellStyle name="Accent1 2" xfId="531" xr:uid="{00000000-0005-0000-0000-00009B000000}"/>
    <cellStyle name="Accent1 2 2" xfId="825" xr:uid="{00000000-0005-0000-0000-00009C000000}"/>
    <cellStyle name="Accent1 3" xfId="503" xr:uid="{00000000-0005-0000-0000-00009D000000}"/>
    <cellStyle name="Accent1 3 2" xfId="532" xr:uid="{00000000-0005-0000-0000-00009E000000}"/>
    <cellStyle name="Accent1 4" xfId="533" xr:uid="{00000000-0005-0000-0000-00009F000000}"/>
    <cellStyle name="Accent1 4 2" xfId="534" xr:uid="{00000000-0005-0000-0000-0000A0000000}"/>
    <cellStyle name="Accent2 2" xfId="535" xr:uid="{00000000-0005-0000-0000-0000A1000000}"/>
    <cellStyle name="Accent2 2 2" xfId="536" xr:uid="{00000000-0005-0000-0000-0000A2000000}"/>
    <cellStyle name="Accent2 3" xfId="822" xr:uid="{00000000-0005-0000-0000-0000A3000000}"/>
    <cellStyle name="Accent2 3 2" xfId="507" xr:uid="{00000000-0005-0000-0000-0000A4000000}"/>
    <cellStyle name="Accent2 4" xfId="839" xr:uid="{00000000-0005-0000-0000-0000A5000000}"/>
    <cellStyle name="Accent2 4 2" xfId="537" xr:uid="{00000000-0005-0000-0000-0000A6000000}"/>
    <cellStyle name="Accent3 2" xfId="833" xr:uid="{00000000-0005-0000-0000-0000A7000000}"/>
    <cellStyle name="Accent3 2 2" xfId="538" xr:uid="{00000000-0005-0000-0000-0000A8000000}"/>
    <cellStyle name="Accent3 3" xfId="539" xr:uid="{00000000-0005-0000-0000-0000A9000000}"/>
    <cellStyle name="Accent3 3 2" xfId="512" xr:uid="{00000000-0005-0000-0000-0000AA000000}"/>
    <cellStyle name="Accent3 4" xfId="540" xr:uid="{00000000-0005-0000-0000-0000AB000000}"/>
    <cellStyle name="Accent3 4 2" xfId="541" xr:uid="{00000000-0005-0000-0000-0000AC000000}"/>
    <cellStyle name="Accent4 2" xfId="498" xr:uid="{00000000-0005-0000-0000-0000AD000000}"/>
    <cellStyle name="Accent4 2 2" xfId="542" xr:uid="{00000000-0005-0000-0000-0000AE000000}"/>
    <cellStyle name="Accent4 3" xfId="829" xr:uid="{00000000-0005-0000-0000-0000AF000000}"/>
    <cellStyle name="Accent4 3 2" xfId="516" xr:uid="{00000000-0005-0000-0000-0000B0000000}"/>
    <cellStyle name="Accent4 4" xfId="543" xr:uid="{00000000-0005-0000-0000-0000B1000000}"/>
    <cellStyle name="Accent4 4 2" xfId="544" xr:uid="{00000000-0005-0000-0000-0000B2000000}"/>
    <cellStyle name="Accent6 2" xfId="508" xr:uid="{00000000-0005-0000-0000-0000B3000000}"/>
    <cellStyle name="Accent6 2 2" xfId="545" xr:uid="{00000000-0005-0000-0000-0000B4000000}"/>
    <cellStyle name="Accent6 3" xfId="831" xr:uid="{00000000-0005-0000-0000-0000B5000000}"/>
    <cellStyle name="Accent6 3 2" xfId="546" xr:uid="{00000000-0005-0000-0000-0000B6000000}"/>
    <cellStyle name="Accent6 4" xfId="547" xr:uid="{00000000-0005-0000-0000-0000B7000000}"/>
    <cellStyle name="Accent6 4 2" xfId="513" xr:uid="{00000000-0005-0000-0000-0000B8000000}"/>
    <cellStyle name="ANCLAS,REZONES Y SUS PARTES,DE FUNDICION,DE HIERRO O DE ACERO" xfId="11" xr:uid="{00000000-0005-0000-0000-0000B9000000}"/>
    <cellStyle name="ANCLAS,REZONES Y SUS PARTES,DE FUNDICION,DE HIERRO O DE ACERO 2" xfId="548" xr:uid="{00000000-0005-0000-0000-0000BA000000}"/>
    <cellStyle name="Bad 2" xfId="827" xr:uid="{00000000-0005-0000-0000-0000BB000000}"/>
    <cellStyle name="Bad 2 2" xfId="549" xr:uid="{00000000-0005-0000-0000-0000BC000000}"/>
    <cellStyle name="Bad 3" xfId="550" xr:uid="{00000000-0005-0000-0000-0000BD000000}"/>
    <cellStyle name="Bad 3 2" xfId="517" xr:uid="{00000000-0005-0000-0000-0000BE000000}"/>
    <cellStyle name="Bad 4" xfId="551" xr:uid="{00000000-0005-0000-0000-0000BF000000}"/>
    <cellStyle name="Bad 4 2" xfId="824" xr:uid="{00000000-0005-0000-0000-0000C0000000}"/>
    <cellStyle name="Beregning" xfId="552" xr:uid="{00000000-0005-0000-0000-0000C1000000}"/>
    <cellStyle name="bstitutes]_x000d__x000a_; The following mappings take Word for MS-DOS names, PostScript names, and TrueType_x000d__x000a_; names into account" xfId="12" xr:uid="{00000000-0005-0000-0000-0000C2000000}"/>
    <cellStyle name="Calculation 2" xfId="553" xr:uid="{00000000-0005-0000-0000-0000C3000000}"/>
    <cellStyle name="Calculation 2 2" xfId="554" xr:uid="{00000000-0005-0000-0000-0000C4000000}"/>
    <cellStyle name="Calculation 3" xfId="555" xr:uid="{00000000-0005-0000-0000-0000C5000000}"/>
    <cellStyle name="Calculation 3 2" xfId="556" xr:uid="{00000000-0005-0000-0000-0000C6000000}"/>
    <cellStyle name="Calculation 4" xfId="557" xr:uid="{00000000-0005-0000-0000-0000C7000000}"/>
    <cellStyle name="Calculation 4 2" xfId="558" xr:uid="{00000000-0005-0000-0000-0000C8000000}"/>
    <cellStyle name="Comma" xfId="2" builtinId="3"/>
    <cellStyle name="Comma  - Style1" xfId="13" xr:uid="{00000000-0005-0000-0000-0000CA000000}"/>
    <cellStyle name="Comma 10" xfId="14" xr:uid="{00000000-0005-0000-0000-0000CB000000}"/>
    <cellStyle name="Comma 11" xfId="15" xr:uid="{00000000-0005-0000-0000-0000CC000000}"/>
    <cellStyle name="Comma 12" xfId="16" xr:uid="{00000000-0005-0000-0000-0000CD000000}"/>
    <cellStyle name="Comma 13" xfId="17" xr:uid="{00000000-0005-0000-0000-0000CE000000}"/>
    <cellStyle name="Comma 14" xfId="18" xr:uid="{00000000-0005-0000-0000-0000CF000000}"/>
    <cellStyle name="Comma 15" xfId="19" xr:uid="{00000000-0005-0000-0000-0000D0000000}"/>
    <cellStyle name="Comma 16" xfId="20" xr:uid="{00000000-0005-0000-0000-0000D1000000}"/>
    <cellStyle name="Comma 17" xfId="21" xr:uid="{00000000-0005-0000-0000-0000D2000000}"/>
    <cellStyle name="Comma 18" xfId="22" xr:uid="{00000000-0005-0000-0000-0000D3000000}"/>
    <cellStyle name="Comma 19" xfId="23" xr:uid="{00000000-0005-0000-0000-0000D4000000}"/>
    <cellStyle name="Comma 2" xfId="24" xr:uid="{00000000-0005-0000-0000-0000D5000000}"/>
    <cellStyle name="Comma 2 2" xfId="25" xr:uid="{00000000-0005-0000-0000-0000D6000000}"/>
    <cellStyle name="Comma 2 3" xfId="559" xr:uid="{00000000-0005-0000-0000-0000D7000000}"/>
    <cellStyle name="Comma 20" xfId="26" xr:uid="{00000000-0005-0000-0000-0000D8000000}"/>
    <cellStyle name="Comma 21" xfId="27" xr:uid="{00000000-0005-0000-0000-0000D9000000}"/>
    <cellStyle name="Comma 22" xfId="28" xr:uid="{00000000-0005-0000-0000-0000DA000000}"/>
    <cellStyle name="Comma 23" xfId="29" xr:uid="{00000000-0005-0000-0000-0000DB000000}"/>
    <cellStyle name="Comma 24" xfId="30" xr:uid="{00000000-0005-0000-0000-0000DC000000}"/>
    <cellStyle name="Comma 25" xfId="31" xr:uid="{00000000-0005-0000-0000-0000DD000000}"/>
    <cellStyle name="Comma 26" xfId="32" xr:uid="{00000000-0005-0000-0000-0000DE000000}"/>
    <cellStyle name="Comma 27" xfId="33" xr:uid="{00000000-0005-0000-0000-0000DF000000}"/>
    <cellStyle name="Comma 28" xfId="34" xr:uid="{00000000-0005-0000-0000-0000E0000000}"/>
    <cellStyle name="Comma 29" xfId="35" xr:uid="{00000000-0005-0000-0000-0000E1000000}"/>
    <cellStyle name="Comma 3" xfId="36" xr:uid="{00000000-0005-0000-0000-0000E2000000}"/>
    <cellStyle name="Comma 3 2" xfId="560" xr:uid="{00000000-0005-0000-0000-0000E3000000}"/>
    <cellStyle name="Comma 30" xfId="37" xr:uid="{00000000-0005-0000-0000-0000E4000000}"/>
    <cellStyle name="Comma 31" xfId="38" xr:uid="{00000000-0005-0000-0000-0000E5000000}"/>
    <cellStyle name="Comma 32" xfId="39" xr:uid="{00000000-0005-0000-0000-0000E6000000}"/>
    <cellStyle name="Comma 33" xfId="40" xr:uid="{00000000-0005-0000-0000-0000E7000000}"/>
    <cellStyle name="Comma 34" xfId="41" xr:uid="{00000000-0005-0000-0000-0000E8000000}"/>
    <cellStyle name="Comma 35" xfId="42" xr:uid="{00000000-0005-0000-0000-0000E9000000}"/>
    <cellStyle name="Comma 36" xfId="43" xr:uid="{00000000-0005-0000-0000-0000EA000000}"/>
    <cellStyle name="Comma 37" xfId="44" xr:uid="{00000000-0005-0000-0000-0000EB000000}"/>
    <cellStyle name="Comma 38" xfId="45" xr:uid="{00000000-0005-0000-0000-0000EC000000}"/>
    <cellStyle name="Comma 39" xfId="46" xr:uid="{00000000-0005-0000-0000-0000ED000000}"/>
    <cellStyle name="Comma 4" xfId="47" xr:uid="{00000000-0005-0000-0000-0000EE000000}"/>
    <cellStyle name="Comma 4 2" xfId="561" xr:uid="{00000000-0005-0000-0000-0000EF000000}"/>
    <cellStyle name="Comma 40" xfId="48" xr:uid="{00000000-0005-0000-0000-0000F0000000}"/>
    <cellStyle name="Comma 41" xfId="49" xr:uid="{00000000-0005-0000-0000-0000F1000000}"/>
    <cellStyle name="Comma 42" xfId="50" xr:uid="{00000000-0005-0000-0000-0000F2000000}"/>
    <cellStyle name="Comma 43" xfId="51" xr:uid="{00000000-0005-0000-0000-0000F3000000}"/>
    <cellStyle name="Comma 44" xfId="52" xr:uid="{00000000-0005-0000-0000-0000F4000000}"/>
    <cellStyle name="Comma 45" xfId="53" xr:uid="{00000000-0005-0000-0000-0000F5000000}"/>
    <cellStyle name="Comma 46" xfId="54" xr:uid="{00000000-0005-0000-0000-0000F6000000}"/>
    <cellStyle name="Comma 47" xfId="55" xr:uid="{00000000-0005-0000-0000-0000F7000000}"/>
    <cellStyle name="Comma 48" xfId="56" xr:uid="{00000000-0005-0000-0000-0000F8000000}"/>
    <cellStyle name="Comma 49" xfId="57" xr:uid="{00000000-0005-0000-0000-0000F9000000}"/>
    <cellStyle name="Comma 5" xfId="58" xr:uid="{00000000-0005-0000-0000-0000FA000000}"/>
    <cellStyle name="Comma 50" xfId="59" xr:uid="{00000000-0005-0000-0000-0000FB000000}"/>
    <cellStyle name="Comma 51" xfId="60" xr:uid="{00000000-0005-0000-0000-0000FC000000}"/>
    <cellStyle name="Comma 52" xfId="61" xr:uid="{00000000-0005-0000-0000-0000FD000000}"/>
    <cellStyle name="Comma 53" xfId="62" xr:uid="{00000000-0005-0000-0000-0000FE000000}"/>
    <cellStyle name="Comma 54" xfId="63" xr:uid="{00000000-0005-0000-0000-0000FF000000}"/>
    <cellStyle name="Comma 55" xfId="64" xr:uid="{00000000-0005-0000-0000-000000010000}"/>
    <cellStyle name="Comma 56" xfId="65" xr:uid="{00000000-0005-0000-0000-000001010000}"/>
    <cellStyle name="Comma 57" xfId="66" xr:uid="{00000000-0005-0000-0000-000002010000}"/>
    <cellStyle name="Comma 58" xfId="67" xr:uid="{00000000-0005-0000-0000-000003010000}"/>
    <cellStyle name="Comma 59" xfId="68" xr:uid="{00000000-0005-0000-0000-000004010000}"/>
    <cellStyle name="Comma 6" xfId="69" xr:uid="{00000000-0005-0000-0000-000005010000}"/>
    <cellStyle name="Comma 60" xfId="70" xr:uid="{00000000-0005-0000-0000-000006010000}"/>
    <cellStyle name="Comma 61" xfId="71" xr:uid="{00000000-0005-0000-0000-000007010000}"/>
    <cellStyle name="Comma 62" xfId="72" xr:uid="{00000000-0005-0000-0000-000008010000}"/>
    <cellStyle name="Comma 63" xfId="73" xr:uid="{00000000-0005-0000-0000-000009010000}"/>
    <cellStyle name="Comma 64" xfId="74" xr:uid="{00000000-0005-0000-0000-00000A010000}"/>
    <cellStyle name="Comma 7" xfId="75" xr:uid="{00000000-0005-0000-0000-00000B010000}"/>
    <cellStyle name="Comma 8" xfId="76" xr:uid="{00000000-0005-0000-0000-00000C010000}"/>
    <cellStyle name="Comma 9" xfId="77" xr:uid="{00000000-0005-0000-0000-00000D010000}"/>
    <cellStyle name="Curren - Style3" xfId="78" xr:uid="{00000000-0005-0000-0000-00000E010000}"/>
    <cellStyle name="Curren - Style4" xfId="79" xr:uid="{00000000-0005-0000-0000-00000F010000}"/>
    <cellStyle name="Dårlig" xfId="562" xr:uid="{00000000-0005-0000-0000-000010010000}"/>
    <cellStyle name="Date" xfId="80" xr:uid="{00000000-0005-0000-0000-000011010000}"/>
    <cellStyle name="Dato" xfId="563" xr:uid="{00000000-0005-0000-0000-000012010000}"/>
    <cellStyle name="Datum" xfId="564" xr:uid="{00000000-0005-0000-0000-000013010000}"/>
    <cellStyle name="Euro" xfId="81" xr:uid="{00000000-0005-0000-0000-000014010000}"/>
    <cellStyle name="F2" xfId="82" xr:uid="{00000000-0005-0000-0000-000015010000}"/>
    <cellStyle name="F3" xfId="83" xr:uid="{00000000-0005-0000-0000-000016010000}"/>
    <cellStyle name="F4" xfId="84" xr:uid="{00000000-0005-0000-0000-000017010000}"/>
    <cellStyle name="F5" xfId="85" xr:uid="{00000000-0005-0000-0000-000018010000}"/>
    <cellStyle name="F6" xfId="86" xr:uid="{00000000-0005-0000-0000-000019010000}"/>
    <cellStyle name="F7" xfId="87" xr:uid="{00000000-0005-0000-0000-00001A010000}"/>
    <cellStyle name="F8" xfId="88" xr:uid="{00000000-0005-0000-0000-00001B010000}"/>
    <cellStyle name="Fixed" xfId="89" xr:uid="{00000000-0005-0000-0000-00001C010000}"/>
    <cellStyle name="fixed0 - Style4" xfId="90" xr:uid="{00000000-0005-0000-0000-00001D010000}"/>
    <cellStyle name="Forklarende tekst" xfId="565" xr:uid="{00000000-0005-0000-0000-00001E010000}"/>
    <cellStyle name="Forside overskrift 1" xfId="566" xr:uid="{00000000-0005-0000-0000-00001F010000}"/>
    <cellStyle name="Forside overskrift 2" xfId="567" xr:uid="{00000000-0005-0000-0000-000020010000}"/>
    <cellStyle name="God" xfId="568" xr:uid="{00000000-0005-0000-0000-000021010000}"/>
    <cellStyle name="Good 2" xfId="569" xr:uid="{00000000-0005-0000-0000-000022010000}"/>
    <cellStyle name="Good 2 2" xfId="570" xr:uid="{00000000-0005-0000-0000-000023010000}"/>
    <cellStyle name="Good 3" xfId="571" xr:uid="{00000000-0005-0000-0000-000024010000}"/>
    <cellStyle name="Good 3 2" xfId="572" xr:uid="{00000000-0005-0000-0000-000025010000}"/>
    <cellStyle name="Good 4" xfId="573" xr:uid="{00000000-0005-0000-0000-000026010000}"/>
    <cellStyle name="Good 4 2" xfId="574" xr:uid="{00000000-0005-0000-0000-000027010000}"/>
    <cellStyle name="Grey" xfId="91" xr:uid="{00000000-0005-0000-0000-000028010000}"/>
    <cellStyle name="Header" xfId="575" xr:uid="{00000000-0005-0000-0000-000029010000}"/>
    <cellStyle name="Heading 1 2" xfId="576" xr:uid="{00000000-0005-0000-0000-00002A010000}"/>
    <cellStyle name="Heading 1 2 2" xfId="577" xr:uid="{00000000-0005-0000-0000-00002B010000}"/>
    <cellStyle name="Heading 1 3" xfId="578" xr:uid="{00000000-0005-0000-0000-00002C010000}"/>
    <cellStyle name="Heading 1 3 2" xfId="579" xr:uid="{00000000-0005-0000-0000-00002D010000}"/>
    <cellStyle name="Heading 1 4" xfId="580" xr:uid="{00000000-0005-0000-0000-00002E010000}"/>
    <cellStyle name="Heading 1 4 2" xfId="581" xr:uid="{00000000-0005-0000-0000-00002F010000}"/>
    <cellStyle name="Heading 2 2" xfId="582" xr:uid="{00000000-0005-0000-0000-000030010000}"/>
    <cellStyle name="Heading 2 2 2" xfId="583" xr:uid="{00000000-0005-0000-0000-000031010000}"/>
    <cellStyle name="Heading 2 3" xfId="584" xr:uid="{00000000-0005-0000-0000-000032010000}"/>
    <cellStyle name="Heading 2 3 2" xfId="585" xr:uid="{00000000-0005-0000-0000-000033010000}"/>
    <cellStyle name="Heading 2 4" xfId="586" xr:uid="{00000000-0005-0000-0000-000034010000}"/>
    <cellStyle name="Heading 2 4 2" xfId="587" xr:uid="{00000000-0005-0000-0000-000035010000}"/>
    <cellStyle name="Heading 3 2" xfId="588" xr:uid="{00000000-0005-0000-0000-000036010000}"/>
    <cellStyle name="Heading 3 2 2" xfId="589" xr:uid="{00000000-0005-0000-0000-000037010000}"/>
    <cellStyle name="Heading 3 3" xfId="590" xr:uid="{00000000-0005-0000-0000-000038010000}"/>
    <cellStyle name="Heading 3 3 2" xfId="591" xr:uid="{00000000-0005-0000-0000-000039010000}"/>
    <cellStyle name="Heading 3 4" xfId="838" xr:uid="{00000000-0005-0000-0000-00003A010000}"/>
    <cellStyle name="Heading 3 4 2" xfId="592" xr:uid="{00000000-0005-0000-0000-00003B010000}"/>
    <cellStyle name="Heading 4 2" xfId="593" xr:uid="{00000000-0005-0000-0000-00003C010000}"/>
    <cellStyle name="Heading 4 2 2" xfId="594" xr:uid="{00000000-0005-0000-0000-00003D010000}"/>
    <cellStyle name="Heading 4 3" xfId="595" xr:uid="{00000000-0005-0000-0000-00003E010000}"/>
    <cellStyle name="Heading 4 3 2" xfId="504" xr:uid="{00000000-0005-0000-0000-00003F010000}"/>
    <cellStyle name="Heading 4 4" xfId="596" xr:uid="{00000000-0005-0000-0000-000040010000}"/>
    <cellStyle name="Heading 4 4 2" xfId="500" xr:uid="{00000000-0005-0000-0000-000041010000}"/>
    <cellStyle name="Heading1" xfId="92" xr:uid="{00000000-0005-0000-0000-000042010000}"/>
    <cellStyle name="Heading2" xfId="93" xr:uid="{00000000-0005-0000-0000-000043010000}"/>
    <cellStyle name="Hipervínculo_IIF" xfId="94" xr:uid="{00000000-0005-0000-0000-000044010000}"/>
    <cellStyle name="Hyperlink" xfId="3" builtinId="8"/>
    <cellStyle name="Hyperlink 2" xfId="509" xr:uid="{00000000-0005-0000-0000-000046010000}"/>
    <cellStyle name="Hyperlink 3" xfId="497" xr:uid="{00000000-0005-0000-0000-000047010000}"/>
    <cellStyle name="Îáû÷íûé_Table16" xfId="95" xr:uid="{00000000-0005-0000-0000-000048010000}"/>
    <cellStyle name="IMF job" xfId="505" xr:uid="{00000000-0005-0000-0000-000049010000}"/>
    <cellStyle name="imf-one decimal" xfId="96" xr:uid="{00000000-0005-0000-0000-00004A010000}"/>
    <cellStyle name="imf-zero decimal" xfId="97" xr:uid="{00000000-0005-0000-0000-00004B010000}"/>
    <cellStyle name="Inndata" xfId="510" xr:uid="{00000000-0005-0000-0000-00004C010000}"/>
    <cellStyle name="Input [yellow]" xfId="98" xr:uid="{00000000-0005-0000-0000-00004D010000}"/>
    <cellStyle name="Input 2" xfId="518" xr:uid="{00000000-0005-0000-0000-00004E010000}"/>
    <cellStyle name="Input 2 2" xfId="597" xr:uid="{00000000-0005-0000-0000-00004F010000}"/>
    <cellStyle name="Input 3" xfId="514" xr:uid="{00000000-0005-0000-0000-000050010000}"/>
    <cellStyle name="Input 3 2" xfId="598" xr:uid="{00000000-0005-0000-0000-000051010000}"/>
    <cellStyle name="Input 4" xfId="519" xr:uid="{00000000-0005-0000-0000-000052010000}"/>
    <cellStyle name="Input 4 2" xfId="599" xr:uid="{00000000-0005-0000-0000-000053010000}"/>
    <cellStyle name="Koblet celle" xfId="600" xr:uid="{00000000-0005-0000-0000-000054010000}"/>
    <cellStyle name="Kolonne" xfId="601" xr:uid="{00000000-0005-0000-0000-000055010000}"/>
    <cellStyle name="Komma0" xfId="602" xr:uid="{00000000-0005-0000-0000-000056010000}"/>
    <cellStyle name="Kontrollcelle" xfId="603" xr:uid="{00000000-0005-0000-0000-000057010000}"/>
    <cellStyle name="Koptekst 1" xfId="604" xr:uid="{00000000-0005-0000-0000-000058010000}"/>
    <cellStyle name="Koptekst 2" xfId="605" xr:uid="{00000000-0005-0000-0000-000059010000}"/>
    <cellStyle name="Linked Cell 2" xfId="606" xr:uid="{00000000-0005-0000-0000-00005A010000}"/>
    <cellStyle name="Linked Cell 2 2" xfId="607" xr:uid="{00000000-0005-0000-0000-00005B010000}"/>
    <cellStyle name="Linked Cell 3" xfId="819" xr:uid="{00000000-0005-0000-0000-00005C010000}"/>
    <cellStyle name="Linked Cell 3 2" xfId="608" xr:uid="{00000000-0005-0000-0000-00005D010000}"/>
    <cellStyle name="Linked Cell 4" xfId="609" xr:uid="{00000000-0005-0000-0000-00005E010000}"/>
    <cellStyle name="Linked Cell 4 2" xfId="610" xr:uid="{00000000-0005-0000-0000-00005F010000}"/>
    <cellStyle name="Map Data Values" xfId="99" xr:uid="{00000000-0005-0000-0000-000060010000}"/>
    <cellStyle name="Map Distance" xfId="100" xr:uid="{00000000-0005-0000-0000-000061010000}"/>
    <cellStyle name="Map Legend" xfId="101" xr:uid="{00000000-0005-0000-0000-000062010000}"/>
    <cellStyle name="Map Object Names" xfId="102" xr:uid="{00000000-0005-0000-0000-000063010000}"/>
    <cellStyle name="Map Title" xfId="103" xr:uid="{00000000-0005-0000-0000-000064010000}"/>
    <cellStyle name="Merknad" xfId="611" xr:uid="{00000000-0005-0000-0000-000065010000}"/>
    <cellStyle name="Millares [0]_107" xfId="104" xr:uid="{00000000-0005-0000-0000-000066010000}"/>
    <cellStyle name="Millares_107" xfId="105" xr:uid="{00000000-0005-0000-0000-000067010000}"/>
    <cellStyle name="Milliers [0]_Encours - Apr rééch" xfId="106" xr:uid="{00000000-0005-0000-0000-000068010000}"/>
    <cellStyle name="Milliers_Encours - Apr rééch" xfId="107" xr:uid="{00000000-0005-0000-0000-000069010000}"/>
    <cellStyle name="Moneda [0]_107" xfId="108" xr:uid="{00000000-0005-0000-0000-00006A010000}"/>
    <cellStyle name="Moneda_107" xfId="109" xr:uid="{00000000-0005-0000-0000-00006B010000}"/>
    <cellStyle name="Monétaire [0]_Encours - Apr rééch" xfId="110" xr:uid="{00000000-0005-0000-0000-00006C010000}"/>
    <cellStyle name="Monétaire_Encours - Apr rééch" xfId="111" xr:uid="{00000000-0005-0000-0000-00006D010000}"/>
    <cellStyle name="MS_Arabic" xfId="112" xr:uid="{00000000-0005-0000-0000-00006E010000}"/>
    <cellStyle name="Neutral 2" xfId="612" xr:uid="{00000000-0005-0000-0000-00006F010000}"/>
    <cellStyle name="Neutral 2 2" xfId="613" xr:uid="{00000000-0005-0000-0000-000070010000}"/>
    <cellStyle name="Neutral 3" xfId="614" xr:uid="{00000000-0005-0000-0000-000071010000}"/>
    <cellStyle name="Neutral 3 2" xfId="615" xr:uid="{00000000-0005-0000-0000-000072010000}"/>
    <cellStyle name="Neutral 4" xfId="616" xr:uid="{00000000-0005-0000-0000-000073010000}"/>
    <cellStyle name="Neutral 4 2" xfId="617" xr:uid="{00000000-0005-0000-0000-000074010000}"/>
    <cellStyle name="Nøytral" xfId="809" xr:uid="{00000000-0005-0000-0000-000075010000}"/>
    <cellStyle name="Normal" xfId="0" builtinId="0"/>
    <cellStyle name="Normal - Style1" xfId="113" xr:uid="{00000000-0005-0000-0000-000077010000}"/>
    <cellStyle name="Normal - Style2" xfId="114" xr:uid="{00000000-0005-0000-0000-000078010000}"/>
    <cellStyle name="Normal - Style3" xfId="115" xr:uid="{00000000-0005-0000-0000-000079010000}"/>
    <cellStyle name="Normal - Style5" xfId="116" xr:uid="{00000000-0005-0000-0000-00007A010000}"/>
    <cellStyle name="Normal - Style6" xfId="117" xr:uid="{00000000-0005-0000-0000-00007B010000}"/>
    <cellStyle name="Normal - Style7" xfId="118" xr:uid="{00000000-0005-0000-0000-00007C010000}"/>
    <cellStyle name="Normal - Style8" xfId="119" xr:uid="{00000000-0005-0000-0000-00007D010000}"/>
    <cellStyle name="Normal 10" xfId="120" xr:uid="{00000000-0005-0000-0000-00007E010000}"/>
    <cellStyle name="Normal 10 2" xfId="121" xr:uid="{00000000-0005-0000-0000-00007F010000}"/>
    <cellStyle name="Normal 10 2 2" xfId="619" xr:uid="{00000000-0005-0000-0000-000080010000}"/>
    <cellStyle name="Normal 10 3" xfId="618" xr:uid="{00000000-0005-0000-0000-000081010000}"/>
    <cellStyle name="Normal 10 4" xfId="1025" xr:uid="{00000000-0005-0000-0000-000082010000}"/>
    <cellStyle name="Normal 100" xfId="122" xr:uid="{00000000-0005-0000-0000-000083010000}"/>
    <cellStyle name="Normal 101" xfId="123" xr:uid="{00000000-0005-0000-0000-000084010000}"/>
    <cellStyle name="Normal 102" xfId="124" xr:uid="{00000000-0005-0000-0000-000085010000}"/>
    <cellStyle name="Normal 103" xfId="125" xr:uid="{00000000-0005-0000-0000-000086010000}"/>
    <cellStyle name="Normal 104" xfId="126" xr:uid="{00000000-0005-0000-0000-000087010000}"/>
    <cellStyle name="Normal 105" xfId="127" xr:uid="{00000000-0005-0000-0000-000088010000}"/>
    <cellStyle name="Normal 106" xfId="128" xr:uid="{00000000-0005-0000-0000-000089010000}"/>
    <cellStyle name="Normal 107" xfId="129" xr:uid="{00000000-0005-0000-0000-00008A010000}"/>
    <cellStyle name="Normal 108" xfId="130" xr:uid="{00000000-0005-0000-0000-00008B010000}"/>
    <cellStyle name="Normal 109" xfId="131" xr:uid="{00000000-0005-0000-0000-00008C010000}"/>
    <cellStyle name="Normal 11" xfId="132" xr:uid="{00000000-0005-0000-0000-00008D010000}"/>
    <cellStyle name="Normal 11 2" xfId="133" xr:uid="{00000000-0005-0000-0000-00008E010000}"/>
    <cellStyle name="Normal 11 2 2" xfId="621" xr:uid="{00000000-0005-0000-0000-00008F010000}"/>
    <cellStyle name="Normal 11 3" xfId="620" xr:uid="{00000000-0005-0000-0000-000090010000}"/>
    <cellStyle name="Normal 110" xfId="134" xr:uid="{00000000-0005-0000-0000-000091010000}"/>
    <cellStyle name="Normal 111" xfId="135" xr:uid="{00000000-0005-0000-0000-000092010000}"/>
    <cellStyle name="Normal 112" xfId="136" xr:uid="{00000000-0005-0000-0000-000093010000}"/>
    <cellStyle name="Normal 113" xfId="137" xr:uid="{00000000-0005-0000-0000-000094010000}"/>
    <cellStyle name="Normal 114" xfId="138" xr:uid="{00000000-0005-0000-0000-000095010000}"/>
    <cellStyle name="Normal 115" xfId="139" xr:uid="{00000000-0005-0000-0000-000096010000}"/>
    <cellStyle name="Normal 116" xfId="140" xr:uid="{00000000-0005-0000-0000-000097010000}"/>
    <cellStyle name="Normal 117" xfId="141" xr:uid="{00000000-0005-0000-0000-000098010000}"/>
    <cellStyle name="Normal 118" xfId="142" xr:uid="{00000000-0005-0000-0000-000099010000}"/>
    <cellStyle name="Normal 119" xfId="143" xr:uid="{00000000-0005-0000-0000-00009A010000}"/>
    <cellStyle name="Normal 12" xfId="144" xr:uid="{00000000-0005-0000-0000-00009B010000}"/>
    <cellStyle name="Normal 12 2" xfId="623" xr:uid="{00000000-0005-0000-0000-00009C010000}"/>
    <cellStyle name="Normal 12 3" xfId="622" xr:uid="{00000000-0005-0000-0000-00009D010000}"/>
    <cellStyle name="Normal 120" xfId="145" xr:uid="{00000000-0005-0000-0000-00009E010000}"/>
    <cellStyle name="Normal 121" xfId="146" xr:uid="{00000000-0005-0000-0000-00009F010000}"/>
    <cellStyle name="Normal 122" xfId="147" xr:uid="{00000000-0005-0000-0000-0000A0010000}"/>
    <cellStyle name="Normal 123" xfId="148" xr:uid="{00000000-0005-0000-0000-0000A1010000}"/>
    <cellStyle name="Normal 124" xfId="149" xr:uid="{00000000-0005-0000-0000-0000A2010000}"/>
    <cellStyle name="Normal 125" xfId="150" xr:uid="{00000000-0005-0000-0000-0000A3010000}"/>
    <cellStyle name="Normal 126" xfId="151" xr:uid="{00000000-0005-0000-0000-0000A4010000}"/>
    <cellStyle name="Normal 127" xfId="152" xr:uid="{00000000-0005-0000-0000-0000A5010000}"/>
    <cellStyle name="Normal 128" xfId="153" xr:uid="{00000000-0005-0000-0000-0000A6010000}"/>
    <cellStyle name="Normal 129" xfId="154" xr:uid="{00000000-0005-0000-0000-0000A7010000}"/>
    <cellStyle name="Normal 13" xfId="155" xr:uid="{00000000-0005-0000-0000-0000A8010000}"/>
    <cellStyle name="Normal 13 2" xfId="624" xr:uid="{00000000-0005-0000-0000-0000A9010000}"/>
    <cellStyle name="Normal 130" xfId="156" xr:uid="{00000000-0005-0000-0000-0000AA010000}"/>
    <cellStyle name="Normal 131" xfId="157" xr:uid="{00000000-0005-0000-0000-0000AB010000}"/>
    <cellStyle name="Normal 132" xfId="158" xr:uid="{00000000-0005-0000-0000-0000AC010000}"/>
    <cellStyle name="Normal 133" xfId="159" xr:uid="{00000000-0005-0000-0000-0000AD010000}"/>
    <cellStyle name="Normal 134" xfId="160" xr:uid="{00000000-0005-0000-0000-0000AE010000}"/>
    <cellStyle name="Normal 135" xfId="161" xr:uid="{00000000-0005-0000-0000-0000AF010000}"/>
    <cellStyle name="Normal 136" xfId="162" xr:uid="{00000000-0005-0000-0000-0000B0010000}"/>
    <cellStyle name="Normal 137" xfId="163" xr:uid="{00000000-0005-0000-0000-0000B1010000}"/>
    <cellStyle name="Normal 138" xfId="164" xr:uid="{00000000-0005-0000-0000-0000B2010000}"/>
    <cellStyle name="Normal 139" xfId="165" xr:uid="{00000000-0005-0000-0000-0000B3010000}"/>
    <cellStyle name="Normal 14" xfId="166" xr:uid="{00000000-0005-0000-0000-0000B4010000}"/>
    <cellStyle name="Normal 14 2" xfId="625" xr:uid="{00000000-0005-0000-0000-0000B5010000}"/>
    <cellStyle name="Normal 140" xfId="167" xr:uid="{00000000-0005-0000-0000-0000B6010000}"/>
    <cellStyle name="Normal 141" xfId="168" xr:uid="{00000000-0005-0000-0000-0000B7010000}"/>
    <cellStyle name="Normal 142" xfId="169" xr:uid="{00000000-0005-0000-0000-0000B8010000}"/>
    <cellStyle name="Normal 143" xfId="170" xr:uid="{00000000-0005-0000-0000-0000B9010000}"/>
    <cellStyle name="Normal 144" xfId="171" xr:uid="{00000000-0005-0000-0000-0000BA010000}"/>
    <cellStyle name="Normal 145" xfId="172" xr:uid="{00000000-0005-0000-0000-0000BB010000}"/>
    <cellStyle name="Normal 146" xfId="173" xr:uid="{00000000-0005-0000-0000-0000BC010000}"/>
    <cellStyle name="Normal 147" xfId="174" xr:uid="{00000000-0005-0000-0000-0000BD010000}"/>
    <cellStyle name="Normal 148" xfId="175" xr:uid="{00000000-0005-0000-0000-0000BE010000}"/>
    <cellStyle name="Normal 149" xfId="176" xr:uid="{00000000-0005-0000-0000-0000BF010000}"/>
    <cellStyle name="Normal 15" xfId="177" xr:uid="{00000000-0005-0000-0000-0000C0010000}"/>
    <cellStyle name="Normal 15 2" xfId="626" xr:uid="{00000000-0005-0000-0000-0000C1010000}"/>
    <cellStyle name="Normal 150" xfId="178" xr:uid="{00000000-0005-0000-0000-0000C2010000}"/>
    <cellStyle name="Normal 151" xfId="179" xr:uid="{00000000-0005-0000-0000-0000C3010000}"/>
    <cellStyle name="Normal 152" xfId="180" xr:uid="{00000000-0005-0000-0000-0000C4010000}"/>
    <cellStyle name="Normal 153" xfId="181" xr:uid="{00000000-0005-0000-0000-0000C5010000}"/>
    <cellStyle name="Normal 154" xfId="182" xr:uid="{00000000-0005-0000-0000-0000C6010000}"/>
    <cellStyle name="Normal 155" xfId="183" xr:uid="{00000000-0005-0000-0000-0000C7010000}"/>
    <cellStyle name="Normal 156" xfId="184" xr:uid="{00000000-0005-0000-0000-0000C8010000}"/>
    <cellStyle name="Normal 157" xfId="185" xr:uid="{00000000-0005-0000-0000-0000C9010000}"/>
    <cellStyle name="Normal 158" xfId="186" xr:uid="{00000000-0005-0000-0000-0000CA010000}"/>
    <cellStyle name="Normal 159" xfId="187" xr:uid="{00000000-0005-0000-0000-0000CB010000}"/>
    <cellStyle name="Normal 16" xfId="188" xr:uid="{00000000-0005-0000-0000-0000CC010000}"/>
    <cellStyle name="Normal 16 2" xfId="627" xr:uid="{00000000-0005-0000-0000-0000CD010000}"/>
    <cellStyle name="Normal 160" xfId="189" xr:uid="{00000000-0005-0000-0000-0000CE010000}"/>
    <cellStyle name="Normal 161" xfId="190" xr:uid="{00000000-0005-0000-0000-0000CF010000}"/>
    <cellStyle name="Normal 162" xfId="191" xr:uid="{00000000-0005-0000-0000-0000D0010000}"/>
    <cellStyle name="Normal 163" xfId="192" xr:uid="{00000000-0005-0000-0000-0000D1010000}"/>
    <cellStyle name="Normal 164" xfId="193" xr:uid="{00000000-0005-0000-0000-0000D2010000}"/>
    <cellStyle name="Normal 165" xfId="194" xr:uid="{00000000-0005-0000-0000-0000D3010000}"/>
    <cellStyle name="Normal 166" xfId="195" xr:uid="{00000000-0005-0000-0000-0000D4010000}"/>
    <cellStyle name="Normal 167" xfId="196" xr:uid="{00000000-0005-0000-0000-0000D5010000}"/>
    <cellStyle name="Normal 168" xfId="197" xr:uid="{00000000-0005-0000-0000-0000D6010000}"/>
    <cellStyle name="Normal 169" xfId="198" xr:uid="{00000000-0005-0000-0000-0000D7010000}"/>
    <cellStyle name="Normal 17" xfId="199" xr:uid="{00000000-0005-0000-0000-0000D8010000}"/>
    <cellStyle name="Normal 17 2" xfId="628" xr:uid="{00000000-0005-0000-0000-0000D9010000}"/>
    <cellStyle name="Normal 170" xfId="200" xr:uid="{00000000-0005-0000-0000-0000DA010000}"/>
    <cellStyle name="Normal 171" xfId="201" xr:uid="{00000000-0005-0000-0000-0000DB010000}"/>
    <cellStyle name="Normal 172" xfId="202" xr:uid="{00000000-0005-0000-0000-0000DC010000}"/>
    <cellStyle name="Normal 173" xfId="203" xr:uid="{00000000-0005-0000-0000-0000DD010000}"/>
    <cellStyle name="Normal 174" xfId="204" xr:uid="{00000000-0005-0000-0000-0000DE010000}"/>
    <cellStyle name="Normal 175" xfId="205" xr:uid="{00000000-0005-0000-0000-0000DF010000}"/>
    <cellStyle name="Normal 176" xfId="206" xr:uid="{00000000-0005-0000-0000-0000E0010000}"/>
    <cellStyle name="Normal 177" xfId="207" xr:uid="{00000000-0005-0000-0000-0000E1010000}"/>
    <cellStyle name="Normal 178" xfId="208" xr:uid="{00000000-0005-0000-0000-0000E2010000}"/>
    <cellStyle name="Normal 179" xfId="209" xr:uid="{00000000-0005-0000-0000-0000E3010000}"/>
    <cellStyle name="Normal 18" xfId="210" xr:uid="{00000000-0005-0000-0000-0000E4010000}"/>
    <cellStyle name="Normal 18 2" xfId="629" xr:uid="{00000000-0005-0000-0000-0000E5010000}"/>
    <cellStyle name="Normal 180" xfId="211" xr:uid="{00000000-0005-0000-0000-0000E6010000}"/>
    <cellStyle name="Normal 181" xfId="212" xr:uid="{00000000-0005-0000-0000-0000E7010000}"/>
    <cellStyle name="Normal 182" xfId="213" xr:uid="{00000000-0005-0000-0000-0000E8010000}"/>
    <cellStyle name="Normal 183" xfId="214" xr:uid="{00000000-0005-0000-0000-0000E9010000}"/>
    <cellStyle name="Normal 184" xfId="215" xr:uid="{00000000-0005-0000-0000-0000EA010000}"/>
    <cellStyle name="Normal 185" xfId="216" xr:uid="{00000000-0005-0000-0000-0000EB010000}"/>
    <cellStyle name="Normal 186" xfId="217" xr:uid="{00000000-0005-0000-0000-0000EC010000}"/>
    <cellStyle name="Normal 187" xfId="218" xr:uid="{00000000-0005-0000-0000-0000ED010000}"/>
    <cellStyle name="Normal 188" xfId="219" xr:uid="{00000000-0005-0000-0000-0000EE010000}"/>
    <cellStyle name="Normal 189" xfId="220" xr:uid="{00000000-0005-0000-0000-0000EF010000}"/>
    <cellStyle name="Normal 19" xfId="221" xr:uid="{00000000-0005-0000-0000-0000F0010000}"/>
    <cellStyle name="Normal 19 2" xfId="631" xr:uid="{00000000-0005-0000-0000-0000F1010000}"/>
    <cellStyle name="Normal 19 3" xfId="630" xr:uid="{00000000-0005-0000-0000-0000F2010000}"/>
    <cellStyle name="Normal 19_Copy of annual_NPLbis post fall weo (2)" xfId="632" xr:uid="{00000000-0005-0000-0000-0000F3010000}"/>
    <cellStyle name="Normal 190" xfId="222" xr:uid="{00000000-0005-0000-0000-0000F4010000}"/>
    <cellStyle name="Normal 191" xfId="223" xr:uid="{00000000-0005-0000-0000-0000F5010000}"/>
    <cellStyle name="Normal 192" xfId="224" xr:uid="{00000000-0005-0000-0000-0000F6010000}"/>
    <cellStyle name="Normal 193" xfId="225" xr:uid="{00000000-0005-0000-0000-0000F7010000}"/>
    <cellStyle name="Normal 194" xfId="226" xr:uid="{00000000-0005-0000-0000-0000F8010000}"/>
    <cellStyle name="Normal 195" xfId="227" xr:uid="{00000000-0005-0000-0000-0000F9010000}"/>
    <cellStyle name="Normal 196" xfId="228" xr:uid="{00000000-0005-0000-0000-0000FA010000}"/>
    <cellStyle name="Normal 197" xfId="229" xr:uid="{00000000-0005-0000-0000-0000FB010000}"/>
    <cellStyle name="Normal 198" xfId="230" xr:uid="{00000000-0005-0000-0000-0000FC010000}"/>
    <cellStyle name="Normal 199" xfId="231" xr:uid="{00000000-0005-0000-0000-0000FD010000}"/>
    <cellStyle name="Normal 2" xfId="232" xr:uid="{00000000-0005-0000-0000-0000FE010000}"/>
    <cellStyle name="Normal 2 10" xfId="633" xr:uid="{00000000-0005-0000-0000-0000FF010000}"/>
    <cellStyle name="Normal 2 11" xfId="634" xr:uid="{00000000-0005-0000-0000-000000020000}"/>
    <cellStyle name="Normal 2 12" xfId="635" xr:uid="{00000000-0005-0000-0000-000001020000}"/>
    <cellStyle name="Normal 2 13" xfId="636" xr:uid="{00000000-0005-0000-0000-000002020000}"/>
    <cellStyle name="Normal 2 14" xfId="637" xr:uid="{00000000-0005-0000-0000-000003020000}"/>
    <cellStyle name="Normal 2 15" xfId="638" xr:uid="{00000000-0005-0000-0000-000004020000}"/>
    <cellStyle name="Normal 2 16" xfId="639" xr:uid="{00000000-0005-0000-0000-000005020000}"/>
    <cellStyle name="Normal 2 17" xfId="640" xr:uid="{00000000-0005-0000-0000-000006020000}"/>
    <cellStyle name="Normal 2 18" xfId="641" xr:uid="{00000000-0005-0000-0000-000007020000}"/>
    <cellStyle name="Normal 2 19" xfId="642" xr:uid="{00000000-0005-0000-0000-000008020000}"/>
    <cellStyle name="Normal 2 2" xfId="233" xr:uid="{00000000-0005-0000-0000-000009020000}"/>
    <cellStyle name="Normal 2 2 2" xfId="644" xr:uid="{00000000-0005-0000-0000-00000A020000}"/>
    <cellStyle name="Normal 2 2 2 2" xfId="645" xr:uid="{00000000-0005-0000-0000-00000B020000}"/>
    <cellStyle name="Normal 2 2 3" xfId="643" xr:uid="{00000000-0005-0000-0000-00000C020000}"/>
    <cellStyle name="Normal 2 2_Copy of annual_NPLbis post fall weo (2)" xfId="646" xr:uid="{00000000-0005-0000-0000-00000D020000}"/>
    <cellStyle name="Normal 2 20" xfId="647" xr:uid="{00000000-0005-0000-0000-00000E020000}"/>
    <cellStyle name="Normal 2 21" xfId="648" xr:uid="{00000000-0005-0000-0000-00000F020000}"/>
    <cellStyle name="Normal 2 22" xfId="649" xr:uid="{00000000-0005-0000-0000-000010020000}"/>
    <cellStyle name="Normal 2 23" xfId="650" xr:uid="{00000000-0005-0000-0000-000011020000}"/>
    <cellStyle name="Normal 2 24" xfId="651" xr:uid="{00000000-0005-0000-0000-000012020000}"/>
    <cellStyle name="Normal 2 25" xfId="652" xr:uid="{00000000-0005-0000-0000-000013020000}"/>
    <cellStyle name="Normal 2 26" xfId="653" xr:uid="{00000000-0005-0000-0000-000014020000}"/>
    <cellStyle name="Normal 2 27" xfId="654" xr:uid="{00000000-0005-0000-0000-000015020000}"/>
    <cellStyle name="Normal 2 28" xfId="655" xr:uid="{00000000-0005-0000-0000-000016020000}"/>
    <cellStyle name="Normal 2 29" xfId="977" xr:uid="{00000000-0005-0000-0000-000017020000}"/>
    <cellStyle name="Normal 2 3" xfId="234" xr:uid="{00000000-0005-0000-0000-000018020000}"/>
    <cellStyle name="Normal 2 3 2" xfId="656" xr:uid="{00000000-0005-0000-0000-000019020000}"/>
    <cellStyle name="Normal 2 3_Book5" xfId="657" xr:uid="{00000000-0005-0000-0000-00001A020000}"/>
    <cellStyle name="Normal 2 4" xfId="235" xr:uid="{00000000-0005-0000-0000-00001B020000}"/>
    <cellStyle name="Normal 2 4 2" xfId="658" xr:uid="{00000000-0005-0000-0000-00001C020000}"/>
    <cellStyle name="Normal 2 5" xfId="236" xr:uid="{00000000-0005-0000-0000-00001D020000}"/>
    <cellStyle name="Normal 2 6" xfId="237" xr:uid="{00000000-0005-0000-0000-00001E020000}"/>
    <cellStyle name="Normal 2 7" xfId="4" xr:uid="{00000000-0005-0000-0000-00001F020000}"/>
    <cellStyle name="Normal 2 7 2" xfId="659" xr:uid="{00000000-0005-0000-0000-000020020000}"/>
    <cellStyle name="Normal 2 8" xfId="660" xr:uid="{00000000-0005-0000-0000-000021020000}"/>
    <cellStyle name="Normal 2 9" xfId="661" xr:uid="{00000000-0005-0000-0000-000022020000}"/>
    <cellStyle name="Normal 2_WEO_debt" xfId="238" xr:uid="{00000000-0005-0000-0000-000023020000}"/>
    <cellStyle name="Normal 20" xfId="239" xr:uid="{00000000-0005-0000-0000-000024020000}"/>
    <cellStyle name="Normal 20 2" xfId="662" xr:uid="{00000000-0005-0000-0000-000025020000}"/>
    <cellStyle name="Normal 200" xfId="240" xr:uid="{00000000-0005-0000-0000-000026020000}"/>
    <cellStyle name="Normal 201" xfId="241" xr:uid="{00000000-0005-0000-0000-000027020000}"/>
    <cellStyle name="Normal 202" xfId="242" xr:uid="{00000000-0005-0000-0000-000028020000}"/>
    <cellStyle name="Normal 203" xfId="243" xr:uid="{00000000-0005-0000-0000-000029020000}"/>
    <cellStyle name="Normal 204" xfId="244" xr:uid="{00000000-0005-0000-0000-00002A020000}"/>
    <cellStyle name="Normal 205" xfId="245" xr:uid="{00000000-0005-0000-0000-00002B020000}"/>
    <cellStyle name="Normal 206" xfId="246" xr:uid="{00000000-0005-0000-0000-00002C020000}"/>
    <cellStyle name="Normal 207" xfId="247" xr:uid="{00000000-0005-0000-0000-00002D020000}"/>
    <cellStyle name="Normal 208" xfId="248" xr:uid="{00000000-0005-0000-0000-00002E020000}"/>
    <cellStyle name="Normal 209" xfId="249" xr:uid="{00000000-0005-0000-0000-00002F020000}"/>
    <cellStyle name="Normal 21" xfId="250" xr:uid="{00000000-0005-0000-0000-000030020000}"/>
    <cellStyle name="Normal 21 2" xfId="664" xr:uid="{00000000-0005-0000-0000-000031020000}"/>
    <cellStyle name="Normal 21 3" xfId="663" xr:uid="{00000000-0005-0000-0000-000032020000}"/>
    <cellStyle name="Normal 21_Book5" xfId="665" xr:uid="{00000000-0005-0000-0000-000033020000}"/>
    <cellStyle name="Normal 210" xfId="251" xr:uid="{00000000-0005-0000-0000-000034020000}"/>
    <cellStyle name="Normal 211" xfId="252" xr:uid="{00000000-0005-0000-0000-000035020000}"/>
    <cellStyle name="Normal 212" xfId="253" xr:uid="{00000000-0005-0000-0000-000036020000}"/>
    <cellStyle name="Normal 213" xfId="254" xr:uid="{00000000-0005-0000-0000-000037020000}"/>
    <cellStyle name="Normal 214" xfId="255" xr:uid="{00000000-0005-0000-0000-000038020000}"/>
    <cellStyle name="Normal 215" xfId="256" xr:uid="{00000000-0005-0000-0000-000039020000}"/>
    <cellStyle name="Normal 216" xfId="257" xr:uid="{00000000-0005-0000-0000-00003A020000}"/>
    <cellStyle name="Normal 217" xfId="258" xr:uid="{00000000-0005-0000-0000-00003B020000}"/>
    <cellStyle name="Normal 218" xfId="259" xr:uid="{00000000-0005-0000-0000-00003C020000}"/>
    <cellStyle name="Normal 219" xfId="260" xr:uid="{00000000-0005-0000-0000-00003D020000}"/>
    <cellStyle name="Normal 22" xfId="261" xr:uid="{00000000-0005-0000-0000-00003E020000}"/>
    <cellStyle name="Normal 22 2" xfId="667" xr:uid="{00000000-0005-0000-0000-00003F020000}"/>
    <cellStyle name="Normal 22 3" xfId="666" xr:uid="{00000000-0005-0000-0000-000040020000}"/>
    <cellStyle name="Normal 220" xfId="262" xr:uid="{00000000-0005-0000-0000-000041020000}"/>
    <cellStyle name="Normal 221" xfId="263" xr:uid="{00000000-0005-0000-0000-000042020000}"/>
    <cellStyle name="Normal 222" xfId="264" xr:uid="{00000000-0005-0000-0000-000043020000}"/>
    <cellStyle name="Normal 223" xfId="265" xr:uid="{00000000-0005-0000-0000-000044020000}"/>
    <cellStyle name="Normal 224" xfId="266" xr:uid="{00000000-0005-0000-0000-000045020000}"/>
    <cellStyle name="Normal 225" xfId="267" xr:uid="{00000000-0005-0000-0000-000046020000}"/>
    <cellStyle name="Normal 226" xfId="268" xr:uid="{00000000-0005-0000-0000-000047020000}"/>
    <cellStyle name="Normal 227" xfId="269" xr:uid="{00000000-0005-0000-0000-000048020000}"/>
    <cellStyle name="Normal 228" xfId="270" xr:uid="{00000000-0005-0000-0000-000049020000}"/>
    <cellStyle name="Normal 229" xfId="271" xr:uid="{00000000-0005-0000-0000-00004A020000}"/>
    <cellStyle name="Normal 23" xfId="272" xr:uid="{00000000-0005-0000-0000-00004B020000}"/>
    <cellStyle name="Normal 23 2" xfId="669" xr:uid="{00000000-0005-0000-0000-00004C020000}"/>
    <cellStyle name="Normal 23 3" xfId="668" xr:uid="{00000000-0005-0000-0000-00004D020000}"/>
    <cellStyle name="Normal 230" xfId="273" xr:uid="{00000000-0005-0000-0000-00004E020000}"/>
    <cellStyle name="Normal 231" xfId="274" xr:uid="{00000000-0005-0000-0000-00004F020000}"/>
    <cellStyle name="Normal 232" xfId="275" xr:uid="{00000000-0005-0000-0000-000050020000}"/>
    <cellStyle name="Normal 233" xfId="276" xr:uid="{00000000-0005-0000-0000-000051020000}"/>
    <cellStyle name="Normal 234" xfId="277" xr:uid="{00000000-0005-0000-0000-000052020000}"/>
    <cellStyle name="Normal 235" xfId="278" xr:uid="{00000000-0005-0000-0000-000053020000}"/>
    <cellStyle name="Normal 236" xfId="279" xr:uid="{00000000-0005-0000-0000-000054020000}"/>
    <cellStyle name="Normal 237" xfId="280" xr:uid="{00000000-0005-0000-0000-000055020000}"/>
    <cellStyle name="Normal 238" xfId="281" xr:uid="{00000000-0005-0000-0000-000056020000}"/>
    <cellStyle name="Normal 239" xfId="282" xr:uid="{00000000-0005-0000-0000-000057020000}"/>
    <cellStyle name="Normal 24" xfId="283" xr:uid="{00000000-0005-0000-0000-000058020000}"/>
    <cellStyle name="Normal 24 2" xfId="671" xr:uid="{00000000-0005-0000-0000-000059020000}"/>
    <cellStyle name="Normal 24 3" xfId="670" xr:uid="{00000000-0005-0000-0000-00005A020000}"/>
    <cellStyle name="Normal 240" xfId="284" xr:uid="{00000000-0005-0000-0000-00005B020000}"/>
    <cellStyle name="Normal 241" xfId="285" xr:uid="{00000000-0005-0000-0000-00005C020000}"/>
    <cellStyle name="Normal 242" xfId="286" xr:uid="{00000000-0005-0000-0000-00005D020000}"/>
    <cellStyle name="Normal 243" xfId="287" xr:uid="{00000000-0005-0000-0000-00005E020000}"/>
    <cellStyle name="Normal 244" xfId="288" xr:uid="{00000000-0005-0000-0000-00005F020000}"/>
    <cellStyle name="Normal 245" xfId="289" xr:uid="{00000000-0005-0000-0000-000060020000}"/>
    <cellStyle name="Normal 246" xfId="290" xr:uid="{00000000-0005-0000-0000-000061020000}"/>
    <cellStyle name="Normal 247" xfId="291" xr:uid="{00000000-0005-0000-0000-000062020000}"/>
    <cellStyle name="Normal 248" xfId="292" xr:uid="{00000000-0005-0000-0000-000063020000}"/>
    <cellStyle name="Normal 249" xfId="293" xr:uid="{00000000-0005-0000-0000-000064020000}"/>
    <cellStyle name="Normal 25" xfId="294" xr:uid="{00000000-0005-0000-0000-000065020000}"/>
    <cellStyle name="Normal 25 2" xfId="673" xr:uid="{00000000-0005-0000-0000-000066020000}"/>
    <cellStyle name="Normal 25 3" xfId="672" xr:uid="{00000000-0005-0000-0000-000067020000}"/>
    <cellStyle name="Normal 250" xfId="295" xr:uid="{00000000-0005-0000-0000-000068020000}"/>
    <cellStyle name="Normal 251" xfId="296" xr:uid="{00000000-0005-0000-0000-000069020000}"/>
    <cellStyle name="Normal 252" xfId="297" xr:uid="{00000000-0005-0000-0000-00006A020000}"/>
    <cellStyle name="Normal 253" xfId="298" xr:uid="{00000000-0005-0000-0000-00006B020000}"/>
    <cellStyle name="Normal 254" xfId="299" xr:uid="{00000000-0005-0000-0000-00006C020000}"/>
    <cellStyle name="Normal 255" xfId="300" xr:uid="{00000000-0005-0000-0000-00006D020000}"/>
    <cellStyle name="Normal 256" xfId="301" xr:uid="{00000000-0005-0000-0000-00006E020000}"/>
    <cellStyle name="Normal 257" xfId="302" xr:uid="{00000000-0005-0000-0000-00006F020000}"/>
    <cellStyle name="Normal 258" xfId="303" xr:uid="{00000000-0005-0000-0000-000070020000}"/>
    <cellStyle name="Normal 259" xfId="304" xr:uid="{00000000-0005-0000-0000-000071020000}"/>
    <cellStyle name="Normal 26" xfId="305" xr:uid="{00000000-0005-0000-0000-000072020000}"/>
    <cellStyle name="Normal 26 2" xfId="674" xr:uid="{00000000-0005-0000-0000-000073020000}"/>
    <cellStyle name="Normal 260" xfId="306" xr:uid="{00000000-0005-0000-0000-000074020000}"/>
    <cellStyle name="Normal 261" xfId="307" xr:uid="{00000000-0005-0000-0000-000075020000}"/>
    <cellStyle name="Normal 262" xfId="308" xr:uid="{00000000-0005-0000-0000-000076020000}"/>
    <cellStyle name="Normal 263" xfId="309" xr:uid="{00000000-0005-0000-0000-000077020000}"/>
    <cellStyle name="Normal 264" xfId="310" xr:uid="{00000000-0005-0000-0000-000078020000}"/>
    <cellStyle name="Normal 265" xfId="311" xr:uid="{00000000-0005-0000-0000-000079020000}"/>
    <cellStyle name="Normal 266" xfId="312" xr:uid="{00000000-0005-0000-0000-00007A020000}"/>
    <cellStyle name="Normal 267" xfId="313" xr:uid="{00000000-0005-0000-0000-00007B020000}"/>
    <cellStyle name="Normal 268" xfId="314" xr:uid="{00000000-0005-0000-0000-00007C020000}"/>
    <cellStyle name="Normal 269" xfId="315" xr:uid="{00000000-0005-0000-0000-00007D020000}"/>
    <cellStyle name="Normal 27" xfId="316" xr:uid="{00000000-0005-0000-0000-00007E020000}"/>
    <cellStyle name="Normal 27 2" xfId="675" xr:uid="{00000000-0005-0000-0000-00007F020000}"/>
    <cellStyle name="Normal 270" xfId="317" xr:uid="{00000000-0005-0000-0000-000080020000}"/>
    <cellStyle name="Normal 271" xfId="318" xr:uid="{00000000-0005-0000-0000-000081020000}"/>
    <cellStyle name="Normal 272" xfId="319" xr:uid="{00000000-0005-0000-0000-000082020000}"/>
    <cellStyle name="Normal 273" xfId="320" xr:uid="{00000000-0005-0000-0000-000083020000}"/>
    <cellStyle name="Normal 274" xfId="321" xr:uid="{00000000-0005-0000-0000-000084020000}"/>
    <cellStyle name="Normal 275" xfId="322" xr:uid="{00000000-0005-0000-0000-000085020000}"/>
    <cellStyle name="Normal 276" xfId="323" xr:uid="{00000000-0005-0000-0000-000086020000}"/>
    <cellStyle name="Normal 277" xfId="324" xr:uid="{00000000-0005-0000-0000-000087020000}"/>
    <cellStyle name="Normal 278" xfId="325" xr:uid="{00000000-0005-0000-0000-000088020000}"/>
    <cellStyle name="Normal 279" xfId="326" xr:uid="{00000000-0005-0000-0000-000089020000}"/>
    <cellStyle name="Normal 28" xfId="327" xr:uid="{00000000-0005-0000-0000-00008A020000}"/>
    <cellStyle name="Normal 28 2" xfId="676" xr:uid="{00000000-0005-0000-0000-00008B020000}"/>
    <cellStyle name="Normal 280" xfId="328" xr:uid="{00000000-0005-0000-0000-00008C020000}"/>
    <cellStyle name="Normal 281" xfId="329" xr:uid="{00000000-0005-0000-0000-00008D020000}"/>
    <cellStyle name="Normal 282" xfId="330" xr:uid="{00000000-0005-0000-0000-00008E020000}"/>
    <cellStyle name="Normal 283" xfId="331" xr:uid="{00000000-0005-0000-0000-00008F020000}"/>
    <cellStyle name="Normal 284" xfId="332" xr:uid="{00000000-0005-0000-0000-000090020000}"/>
    <cellStyle name="Normal 285" xfId="333" xr:uid="{00000000-0005-0000-0000-000091020000}"/>
    <cellStyle name="Normal 286" xfId="334" xr:uid="{00000000-0005-0000-0000-000092020000}"/>
    <cellStyle name="Normal 287" xfId="335" xr:uid="{00000000-0005-0000-0000-000093020000}"/>
    <cellStyle name="Normal 288" xfId="336" xr:uid="{00000000-0005-0000-0000-000094020000}"/>
    <cellStyle name="Normal 289" xfId="337" xr:uid="{00000000-0005-0000-0000-000095020000}"/>
    <cellStyle name="Normal 29" xfId="338" xr:uid="{00000000-0005-0000-0000-000096020000}"/>
    <cellStyle name="Normal 29 2" xfId="677" xr:uid="{00000000-0005-0000-0000-000097020000}"/>
    <cellStyle name="Normal 290" xfId="339" xr:uid="{00000000-0005-0000-0000-000098020000}"/>
    <cellStyle name="Normal 291" xfId="340" xr:uid="{00000000-0005-0000-0000-000099020000}"/>
    <cellStyle name="Normal 292" xfId="341" xr:uid="{00000000-0005-0000-0000-00009A020000}"/>
    <cellStyle name="Normal 293" xfId="342" xr:uid="{00000000-0005-0000-0000-00009B020000}"/>
    <cellStyle name="Normal 294" xfId="343" xr:uid="{00000000-0005-0000-0000-00009C020000}"/>
    <cellStyle name="Normal 295" xfId="344" xr:uid="{00000000-0005-0000-0000-00009D020000}"/>
    <cellStyle name="Normal 296" xfId="345" xr:uid="{00000000-0005-0000-0000-00009E020000}"/>
    <cellStyle name="Normal 297" xfId="346" xr:uid="{00000000-0005-0000-0000-00009F020000}"/>
    <cellStyle name="Normal 298" xfId="347" xr:uid="{00000000-0005-0000-0000-0000A0020000}"/>
    <cellStyle name="Normal 299" xfId="348" xr:uid="{00000000-0005-0000-0000-0000A1020000}"/>
    <cellStyle name="Normal 3" xfId="349" xr:uid="{00000000-0005-0000-0000-0000A2020000}"/>
    <cellStyle name="Normal 3 10" xfId="678" xr:uid="{00000000-0005-0000-0000-0000A3020000}"/>
    <cellStyle name="Normal 3 11" xfId="679" xr:uid="{00000000-0005-0000-0000-0000A4020000}"/>
    <cellStyle name="Normal 3 12" xfId="680" xr:uid="{00000000-0005-0000-0000-0000A5020000}"/>
    <cellStyle name="Normal 3 13" xfId="681" xr:uid="{00000000-0005-0000-0000-0000A6020000}"/>
    <cellStyle name="Normal 3 14" xfId="682" xr:uid="{00000000-0005-0000-0000-0000A7020000}"/>
    <cellStyle name="Normal 3 15" xfId="683" xr:uid="{00000000-0005-0000-0000-0000A8020000}"/>
    <cellStyle name="Normal 3 16" xfId="684" xr:uid="{00000000-0005-0000-0000-0000A9020000}"/>
    <cellStyle name="Normal 3 17" xfId="685" xr:uid="{00000000-0005-0000-0000-0000AA020000}"/>
    <cellStyle name="Normal 3 18" xfId="686" xr:uid="{00000000-0005-0000-0000-0000AB020000}"/>
    <cellStyle name="Normal 3 19" xfId="687" xr:uid="{00000000-0005-0000-0000-0000AC020000}"/>
    <cellStyle name="Normal 3 2" xfId="350" xr:uid="{00000000-0005-0000-0000-0000AD020000}"/>
    <cellStyle name="Normal 3 2 2" xfId="689" xr:uid="{00000000-0005-0000-0000-0000AE020000}"/>
    <cellStyle name="Normal 3 2 3" xfId="688" xr:uid="{00000000-0005-0000-0000-0000AF020000}"/>
    <cellStyle name="Normal 3 20" xfId="690" xr:uid="{00000000-0005-0000-0000-0000B0020000}"/>
    <cellStyle name="Normal 3 21" xfId="691" xr:uid="{00000000-0005-0000-0000-0000B1020000}"/>
    <cellStyle name="Normal 3 22" xfId="692" xr:uid="{00000000-0005-0000-0000-0000B2020000}"/>
    <cellStyle name="Normal 3 23" xfId="693" xr:uid="{00000000-0005-0000-0000-0000B3020000}"/>
    <cellStyle name="Normal 3 24" xfId="694" xr:uid="{00000000-0005-0000-0000-0000B4020000}"/>
    <cellStyle name="Normal 3 25" xfId="695" xr:uid="{00000000-0005-0000-0000-0000B5020000}"/>
    <cellStyle name="Normal 3 26" xfId="696" xr:uid="{00000000-0005-0000-0000-0000B6020000}"/>
    <cellStyle name="Normal 3 27" xfId="697" xr:uid="{00000000-0005-0000-0000-0000B7020000}"/>
    <cellStyle name="Normal 3 28" xfId="698" xr:uid="{00000000-0005-0000-0000-0000B8020000}"/>
    <cellStyle name="Normal 3 29" xfId="976" xr:uid="{00000000-0005-0000-0000-0000B9020000}"/>
    <cellStyle name="Normal 3 3" xfId="351" xr:uid="{00000000-0005-0000-0000-0000BA020000}"/>
    <cellStyle name="Normal 3 3 2" xfId="699" xr:uid="{00000000-0005-0000-0000-0000BB020000}"/>
    <cellStyle name="Normal 3 4" xfId="352" xr:uid="{00000000-0005-0000-0000-0000BC020000}"/>
    <cellStyle name="Normal 3 4 2" xfId="700" xr:uid="{00000000-0005-0000-0000-0000BD020000}"/>
    <cellStyle name="Normal 3 5" xfId="701" xr:uid="{00000000-0005-0000-0000-0000BE020000}"/>
    <cellStyle name="Normal 3 6" xfId="702" xr:uid="{00000000-0005-0000-0000-0000BF020000}"/>
    <cellStyle name="Normal 3 7" xfId="703" xr:uid="{00000000-0005-0000-0000-0000C0020000}"/>
    <cellStyle name="Normal 3 8" xfId="704" xr:uid="{00000000-0005-0000-0000-0000C1020000}"/>
    <cellStyle name="Normal 3 9" xfId="705" xr:uid="{00000000-0005-0000-0000-0000C2020000}"/>
    <cellStyle name="Normal 3_Copy of annual_NPLbis post fall weo (2)" xfId="706" xr:uid="{00000000-0005-0000-0000-0000C3020000}"/>
    <cellStyle name="Normal 30" xfId="353" xr:uid="{00000000-0005-0000-0000-0000C4020000}"/>
    <cellStyle name="Normal 30 2" xfId="707" xr:uid="{00000000-0005-0000-0000-0000C5020000}"/>
    <cellStyle name="Normal 300" xfId="354" xr:uid="{00000000-0005-0000-0000-0000C6020000}"/>
    <cellStyle name="Normal 301" xfId="355" xr:uid="{00000000-0005-0000-0000-0000C7020000}"/>
    <cellStyle name="Normal 302" xfId="356" xr:uid="{00000000-0005-0000-0000-0000C8020000}"/>
    <cellStyle name="Normal 303" xfId="357" xr:uid="{00000000-0005-0000-0000-0000C9020000}"/>
    <cellStyle name="Normal 304" xfId="358" xr:uid="{00000000-0005-0000-0000-0000CA020000}"/>
    <cellStyle name="Normal 305" xfId="359" xr:uid="{00000000-0005-0000-0000-0000CB020000}"/>
    <cellStyle name="Normal 306" xfId="360" xr:uid="{00000000-0005-0000-0000-0000CC020000}"/>
    <cellStyle name="Normal 307" xfId="361" xr:uid="{00000000-0005-0000-0000-0000CD020000}"/>
    <cellStyle name="Normal 308" xfId="362" xr:uid="{00000000-0005-0000-0000-0000CE020000}"/>
    <cellStyle name="Normal 309" xfId="363" xr:uid="{00000000-0005-0000-0000-0000CF020000}"/>
    <cellStyle name="Normal 31" xfId="364" xr:uid="{00000000-0005-0000-0000-0000D0020000}"/>
    <cellStyle name="Normal 31 2" xfId="708" xr:uid="{00000000-0005-0000-0000-0000D1020000}"/>
    <cellStyle name="Normal 310" xfId="365" xr:uid="{00000000-0005-0000-0000-0000D2020000}"/>
    <cellStyle name="Normal 311" xfId="366" xr:uid="{00000000-0005-0000-0000-0000D3020000}"/>
    <cellStyle name="Normal 312" xfId="367" xr:uid="{00000000-0005-0000-0000-0000D4020000}"/>
    <cellStyle name="Normal 313" xfId="368" xr:uid="{00000000-0005-0000-0000-0000D5020000}"/>
    <cellStyle name="Normal 314" xfId="369" xr:uid="{00000000-0005-0000-0000-0000D6020000}"/>
    <cellStyle name="Normal 315" xfId="370" xr:uid="{00000000-0005-0000-0000-0000D7020000}"/>
    <cellStyle name="Normal 316" xfId="371" xr:uid="{00000000-0005-0000-0000-0000D8020000}"/>
    <cellStyle name="Normal 317" xfId="372" xr:uid="{00000000-0005-0000-0000-0000D9020000}"/>
    <cellStyle name="Normal 318" xfId="373" xr:uid="{00000000-0005-0000-0000-0000DA020000}"/>
    <cellStyle name="Normal 319" xfId="374" xr:uid="{00000000-0005-0000-0000-0000DB020000}"/>
    <cellStyle name="Normal 32" xfId="375" xr:uid="{00000000-0005-0000-0000-0000DC020000}"/>
    <cellStyle name="Normal 32 2" xfId="709" xr:uid="{00000000-0005-0000-0000-0000DD020000}"/>
    <cellStyle name="Normal 320" xfId="376" xr:uid="{00000000-0005-0000-0000-0000DE020000}"/>
    <cellStyle name="Normal 321" xfId="377" xr:uid="{00000000-0005-0000-0000-0000DF020000}"/>
    <cellStyle name="Normal 322" xfId="378" xr:uid="{00000000-0005-0000-0000-0000E0020000}"/>
    <cellStyle name="Normal 323" xfId="379" xr:uid="{00000000-0005-0000-0000-0000E1020000}"/>
    <cellStyle name="Normal 324" xfId="380" xr:uid="{00000000-0005-0000-0000-0000E2020000}"/>
    <cellStyle name="Normal 325" xfId="381" xr:uid="{00000000-0005-0000-0000-0000E3020000}"/>
    <cellStyle name="Normal 326" xfId="382" xr:uid="{00000000-0005-0000-0000-0000E4020000}"/>
    <cellStyle name="Normal 327" xfId="383" xr:uid="{00000000-0005-0000-0000-0000E5020000}"/>
    <cellStyle name="Normal 328" xfId="384" xr:uid="{00000000-0005-0000-0000-0000E6020000}"/>
    <cellStyle name="Normal 329" xfId="385" xr:uid="{00000000-0005-0000-0000-0000E7020000}"/>
    <cellStyle name="Normal 33" xfId="386" xr:uid="{00000000-0005-0000-0000-0000E8020000}"/>
    <cellStyle name="Normal 33 2" xfId="710" xr:uid="{00000000-0005-0000-0000-0000E9020000}"/>
    <cellStyle name="Normal 330" xfId="387" xr:uid="{00000000-0005-0000-0000-0000EA020000}"/>
    <cellStyle name="Normal 331" xfId="388" xr:uid="{00000000-0005-0000-0000-0000EB020000}"/>
    <cellStyle name="Normal 332" xfId="389" xr:uid="{00000000-0005-0000-0000-0000EC020000}"/>
    <cellStyle name="Normal 333" xfId="390" xr:uid="{00000000-0005-0000-0000-0000ED020000}"/>
    <cellStyle name="Normal 334" xfId="391" xr:uid="{00000000-0005-0000-0000-0000EE020000}"/>
    <cellStyle name="Normal 335" xfId="392" xr:uid="{00000000-0005-0000-0000-0000EF020000}"/>
    <cellStyle name="Normal 336" xfId="835" xr:uid="{00000000-0005-0000-0000-0000F0020000}"/>
    <cellStyle name="Normal 337" xfId="978" xr:uid="{00000000-0005-0000-0000-0000F1020000}"/>
    <cellStyle name="Normal 338" xfId="1019" xr:uid="{00000000-0005-0000-0000-0000F2020000}"/>
    <cellStyle name="Normal 339" xfId="1020" xr:uid="{00000000-0005-0000-0000-0000F3020000}"/>
    <cellStyle name="Normal 34" xfId="393" xr:uid="{00000000-0005-0000-0000-0000F4020000}"/>
    <cellStyle name="Normal 34 2" xfId="711" xr:uid="{00000000-0005-0000-0000-0000F5020000}"/>
    <cellStyle name="Normal 340" xfId="1021" xr:uid="{00000000-0005-0000-0000-0000F6020000}"/>
    <cellStyle name="Normal 341" xfId="1022" xr:uid="{00000000-0005-0000-0000-0000F7020000}"/>
    <cellStyle name="Normal 342" xfId="1023" xr:uid="{00000000-0005-0000-0000-0000F8020000}"/>
    <cellStyle name="Normal 343" xfId="1024" xr:uid="{00000000-0005-0000-0000-0000F9020000}"/>
    <cellStyle name="Normal 344" xfId="1027" xr:uid="{00000000-0005-0000-0000-0000FA020000}"/>
    <cellStyle name="Normal 345" xfId="1029" xr:uid="{00000000-0005-0000-0000-0000FB020000}"/>
    <cellStyle name="Normal 346" xfId="1031" xr:uid="{00000000-0005-0000-0000-0000FC020000}"/>
    <cellStyle name="Normal 347" xfId="1032" xr:uid="{00000000-0005-0000-0000-0000FD020000}"/>
    <cellStyle name="Normal 35" xfId="394" xr:uid="{00000000-0005-0000-0000-0000FE020000}"/>
    <cellStyle name="Normal 35 2" xfId="502" xr:uid="{00000000-0005-0000-0000-0000FF020000}"/>
    <cellStyle name="Normal 36" xfId="395" xr:uid="{00000000-0005-0000-0000-000000030000}"/>
    <cellStyle name="Normal 36 2" xfId="506" xr:uid="{00000000-0005-0000-0000-000001030000}"/>
    <cellStyle name="Normal 37" xfId="396" xr:uid="{00000000-0005-0000-0000-000002030000}"/>
    <cellStyle name="Normal 37 2" xfId="511" xr:uid="{00000000-0005-0000-0000-000003030000}"/>
    <cellStyle name="Normal 38" xfId="397" xr:uid="{00000000-0005-0000-0000-000004030000}"/>
    <cellStyle name="Normal 38 2" xfId="515" xr:uid="{00000000-0005-0000-0000-000005030000}"/>
    <cellStyle name="Normal 39" xfId="398" xr:uid="{00000000-0005-0000-0000-000006030000}"/>
    <cellStyle name="Normal 39 2" xfId="832" xr:uid="{00000000-0005-0000-0000-000007030000}"/>
    <cellStyle name="Normal 4" xfId="399" xr:uid="{00000000-0005-0000-0000-000008030000}"/>
    <cellStyle name="Normal 4 2" xfId="400" xr:uid="{00000000-0005-0000-0000-000009030000}"/>
    <cellStyle name="Normal 4 2 2" xfId="499" xr:uid="{00000000-0005-0000-0000-00000A030000}"/>
    <cellStyle name="Normal 4 3" xfId="713" xr:uid="{00000000-0005-0000-0000-00000B030000}"/>
    <cellStyle name="Normal 4 4" xfId="714" xr:uid="{00000000-0005-0000-0000-00000C030000}"/>
    <cellStyle name="Normal 4 5" xfId="712" xr:uid="{00000000-0005-0000-0000-00000D030000}"/>
    <cellStyle name="Normal 4_Book5" xfId="715" xr:uid="{00000000-0005-0000-0000-00000E030000}"/>
    <cellStyle name="Normal 40" xfId="401" xr:uid="{00000000-0005-0000-0000-00000F030000}"/>
    <cellStyle name="Normal 40 2" xfId="716" xr:uid="{00000000-0005-0000-0000-000010030000}"/>
    <cellStyle name="Normal 41" xfId="402" xr:uid="{00000000-0005-0000-0000-000011030000}"/>
    <cellStyle name="Normal 41 2" xfId="717" xr:uid="{00000000-0005-0000-0000-000012030000}"/>
    <cellStyle name="Normal 42" xfId="403" xr:uid="{00000000-0005-0000-0000-000013030000}"/>
    <cellStyle name="Normal 42 2" xfId="718" xr:uid="{00000000-0005-0000-0000-000014030000}"/>
    <cellStyle name="Normal 43" xfId="404" xr:uid="{00000000-0005-0000-0000-000015030000}"/>
    <cellStyle name="Normal 43 2" xfId="821" xr:uid="{00000000-0005-0000-0000-000016030000}"/>
    <cellStyle name="Normal 44" xfId="405" xr:uid="{00000000-0005-0000-0000-000017030000}"/>
    <cellStyle name="Normal 44 2" xfId="719" xr:uid="{00000000-0005-0000-0000-000018030000}"/>
    <cellStyle name="Normal 45" xfId="406" xr:uid="{00000000-0005-0000-0000-000019030000}"/>
    <cellStyle name="Normal 45 2" xfId="720" xr:uid="{00000000-0005-0000-0000-00001A030000}"/>
    <cellStyle name="Normal 46" xfId="407" xr:uid="{00000000-0005-0000-0000-00001B030000}"/>
    <cellStyle name="Normal 46 2" xfId="721" xr:uid="{00000000-0005-0000-0000-00001C030000}"/>
    <cellStyle name="Normal 47" xfId="408" xr:uid="{00000000-0005-0000-0000-00001D030000}"/>
    <cellStyle name="Normal 47 2" xfId="722" xr:uid="{00000000-0005-0000-0000-00001E030000}"/>
    <cellStyle name="Normal 48" xfId="409" xr:uid="{00000000-0005-0000-0000-00001F030000}"/>
    <cellStyle name="Normal 48 2" xfId="1018" xr:uid="{00000000-0005-0000-0000-000020030000}"/>
    <cellStyle name="Normal 49" xfId="410" xr:uid="{00000000-0005-0000-0000-000021030000}"/>
    <cellStyle name="Normal 5" xfId="411" xr:uid="{00000000-0005-0000-0000-000022030000}"/>
    <cellStyle name="Normal 5 2" xfId="412" xr:uid="{00000000-0005-0000-0000-000023030000}"/>
    <cellStyle name="Normal 5 2 2" xfId="725" xr:uid="{00000000-0005-0000-0000-000024030000}"/>
    <cellStyle name="Normal 5 2 3" xfId="724" xr:uid="{00000000-0005-0000-0000-000025030000}"/>
    <cellStyle name="Normal 5 3" xfId="726" xr:uid="{00000000-0005-0000-0000-000026030000}"/>
    <cellStyle name="Normal 5 4" xfId="727" xr:uid="{00000000-0005-0000-0000-000027030000}"/>
    <cellStyle name="Normal 5 5" xfId="723" xr:uid="{00000000-0005-0000-0000-000028030000}"/>
    <cellStyle name="Normal 5_Copy of annual_NPLbis post fall weo (2)" xfId="728" xr:uid="{00000000-0005-0000-0000-000029030000}"/>
    <cellStyle name="Normal 50" xfId="413" xr:uid="{00000000-0005-0000-0000-00002A030000}"/>
    <cellStyle name="Normal 51" xfId="414" xr:uid="{00000000-0005-0000-0000-00002B030000}"/>
    <cellStyle name="Normal 52" xfId="415" xr:uid="{00000000-0005-0000-0000-00002C030000}"/>
    <cellStyle name="Normal 53" xfId="416" xr:uid="{00000000-0005-0000-0000-00002D030000}"/>
    <cellStyle name="Normal 54" xfId="417" xr:uid="{00000000-0005-0000-0000-00002E030000}"/>
    <cellStyle name="Normal 55" xfId="418" xr:uid="{00000000-0005-0000-0000-00002F030000}"/>
    <cellStyle name="Normal 56" xfId="419" xr:uid="{00000000-0005-0000-0000-000030030000}"/>
    <cellStyle name="Normal 57" xfId="420" xr:uid="{00000000-0005-0000-0000-000031030000}"/>
    <cellStyle name="Normal 58" xfId="421" xr:uid="{00000000-0005-0000-0000-000032030000}"/>
    <cellStyle name="Normal 59" xfId="422" xr:uid="{00000000-0005-0000-0000-000033030000}"/>
    <cellStyle name="Normal 6" xfId="423" xr:uid="{00000000-0005-0000-0000-000034030000}"/>
    <cellStyle name="Normal 6 10" xfId="730" xr:uid="{00000000-0005-0000-0000-000035030000}"/>
    <cellStyle name="Normal 6 11" xfId="731" xr:uid="{00000000-0005-0000-0000-000036030000}"/>
    <cellStyle name="Normal 6 12" xfId="732" xr:uid="{00000000-0005-0000-0000-000037030000}"/>
    <cellStyle name="Normal 6 13" xfId="733" xr:uid="{00000000-0005-0000-0000-000038030000}"/>
    <cellStyle name="Normal 6 14" xfId="734" xr:uid="{00000000-0005-0000-0000-000039030000}"/>
    <cellStyle name="Normal 6 15" xfId="735" xr:uid="{00000000-0005-0000-0000-00003A030000}"/>
    <cellStyle name="Normal 6 16" xfId="736" xr:uid="{00000000-0005-0000-0000-00003B030000}"/>
    <cellStyle name="Normal 6 17" xfId="834" xr:uid="{00000000-0005-0000-0000-00003C030000}"/>
    <cellStyle name="Normal 6 18" xfId="737" xr:uid="{00000000-0005-0000-0000-00003D030000}"/>
    <cellStyle name="Normal 6 19" xfId="501" xr:uid="{00000000-0005-0000-0000-00003E030000}"/>
    <cellStyle name="Normal 6 2" xfId="424" xr:uid="{00000000-0005-0000-0000-00003F030000}"/>
    <cellStyle name="Normal 6 2 2" xfId="826" xr:uid="{00000000-0005-0000-0000-000040030000}"/>
    <cellStyle name="Normal 6 2 3" xfId="823" xr:uid="{00000000-0005-0000-0000-000041030000}"/>
    <cellStyle name="Normal 6 20" xfId="729" xr:uid="{00000000-0005-0000-0000-000042030000}"/>
    <cellStyle name="Normal 6 3" xfId="830" xr:uid="{00000000-0005-0000-0000-000043030000}"/>
    <cellStyle name="Normal 6 4" xfId="738" xr:uid="{00000000-0005-0000-0000-000044030000}"/>
    <cellStyle name="Normal 6 5" xfId="739" xr:uid="{00000000-0005-0000-0000-000045030000}"/>
    <cellStyle name="Normal 6 6" xfId="740" xr:uid="{00000000-0005-0000-0000-000046030000}"/>
    <cellStyle name="Normal 6 7" xfId="741" xr:uid="{00000000-0005-0000-0000-000047030000}"/>
    <cellStyle name="Normal 6 8" xfId="742" xr:uid="{00000000-0005-0000-0000-000048030000}"/>
    <cellStyle name="Normal 6 9" xfId="743" xr:uid="{00000000-0005-0000-0000-000049030000}"/>
    <cellStyle name="Normal 60" xfId="425" xr:uid="{00000000-0005-0000-0000-00004A030000}"/>
    <cellStyle name="Normal 61" xfId="426" xr:uid="{00000000-0005-0000-0000-00004B030000}"/>
    <cellStyle name="Normal 62" xfId="427" xr:uid="{00000000-0005-0000-0000-00004C030000}"/>
    <cellStyle name="Normal 63" xfId="428" xr:uid="{00000000-0005-0000-0000-00004D030000}"/>
    <cellStyle name="Normal 64" xfId="429" xr:uid="{00000000-0005-0000-0000-00004E030000}"/>
    <cellStyle name="Normal 65" xfId="430" xr:uid="{00000000-0005-0000-0000-00004F030000}"/>
    <cellStyle name="Normal 66" xfId="431" xr:uid="{00000000-0005-0000-0000-000050030000}"/>
    <cellStyle name="Normal 67" xfId="432" xr:uid="{00000000-0005-0000-0000-000051030000}"/>
    <cellStyle name="Normal 68" xfId="433" xr:uid="{00000000-0005-0000-0000-000052030000}"/>
    <cellStyle name="Normal 69" xfId="434" xr:uid="{00000000-0005-0000-0000-000053030000}"/>
    <cellStyle name="Normal 7" xfId="435" xr:uid="{00000000-0005-0000-0000-000054030000}"/>
    <cellStyle name="Normal 7 10" xfId="745" xr:uid="{00000000-0005-0000-0000-000055030000}"/>
    <cellStyle name="Normal 7 11" xfId="746" xr:uid="{00000000-0005-0000-0000-000056030000}"/>
    <cellStyle name="Normal 7 12" xfId="747" xr:uid="{00000000-0005-0000-0000-000057030000}"/>
    <cellStyle name="Normal 7 13" xfId="748" xr:uid="{00000000-0005-0000-0000-000058030000}"/>
    <cellStyle name="Normal 7 14" xfId="749" xr:uid="{00000000-0005-0000-0000-000059030000}"/>
    <cellStyle name="Normal 7 15" xfId="750" xr:uid="{00000000-0005-0000-0000-00005A030000}"/>
    <cellStyle name="Normal 7 16" xfId="751" xr:uid="{00000000-0005-0000-0000-00005B030000}"/>
    <cellStyle name="Normal 7 17" xfId="752" xr:uid="{00000000-0005-0000-0000-00005C030000}"/>
    <cellStyle name="Normal 7 18" xfId="753" xr:uid="{00000000-0005-0000-0000-00005D030000}"/>
    <cellStyle name="Normal 7 19" xfId="754" xr:uid="{00000000-0005-0000-0000-00005E030000}"/>
    <cellStyle name="Normal 7 2" xfId="436" xr:uid="{00000000-0005-0000-0000-00005F030000}"/>
    <cellStyle name="Normal 7 2 2" xfId="755" xr:uid="{00000000-0005-0000-0000-000060030000}"/>
    <cellStyle name="Normal 7 20" xfId="744" xr:uid="{00000000-0005-0000-0000-000061030000}"/>
    <cellStyle name="Normal 7 3" xfId="756" xr:uid="{00000000-0005-0000-0000-000062030000}"/>
    <cellStyle name="Normal 7 4" xfId="757" xr:uid="{00000000-0005-0000-0000-000063030000}"/>
    <cellStyle name="Normal 7 5" xfId="758" xr:uid="{00000000-0005-0000-0000-000064030000}"/>
    <cellStyle name="Normal 7 6" xfId="759" xr:uid="{00000000-0005-0000-0000-000065030000}"/>
    <cellStyle name="Normal 7 7" xfId="760" xr:uid="{00000000-0005-0000-0000-000066030000}"/>
    <cellStyle name="Normal 7 8" xfId="761" xr:uid="{00000000-0005-0000-0000-000067030000}"/>
    <cellStyle name="Normal 7 9" xfId="762" xr:uid="{00000000-0005-0000-0000-000068030000}"/>
    <cellStyle name="Normal 70" xfId="437" xr:uid="{00000000-0005-0000-0000-000069030000}"/>
    <cellStyle name="Normal 71" xfId="438" xr:uid="{00000000-0005-0000-0000-00006A030000}"/>
    <cellStyle name="Normal 72" xfId="439" xr:uid="{00000000-0005-0000-0000-00006B030000}"/>
    <cellStyle name="Normal 73" xfId="440" xr:uid="{00000000-0005-0000-0000-00006C030000}"/>
    <cellStyle name="Normal 74" xfId="441" xr:uid="{00000000-0005-0000-0000-00006D030000}"/>
    <cellStyle name="Normal 75" xfId="442" xr:uid="{00000000-0005-0000-0000-00006E030000}"/>
    <cellStyle name="Normal 76" xfId="443" xr:uid="{00000000-0005-0000-0000-00006F030000}"/>
    <cellStyle name="Normal 77" xfId="444" xr:uid="{00000000-0005-0000-0000-000070030000}"/>
    <cellStyle name="Normal 78" xfId="445" xr:uid="{00000000-0005-0000-0000-000071030000}"/>
    <cellStyle name="Normal 79" xfId="446" xr:uid="{00000000-0005-0000-0000-000072030000}"/>
    <cellStyle name="Normal 8" xfId="5" xr:uid="{00000000-0005-0000-0000-000073030000}"/>
    <cellStyle name="Normal 8 10" xfId="764" xr:uid="{00000000-0005-0000-0000-000074030000}"/>
    <cellStyle name="Normal 8 11" xfId="765" xr:uid="{00000000-0005-0000-0000-000075030000}"/>
    <cellStyle name="Normal 8 12" xfId="766" xr:uid="{00000000-0005-0000-0000-000076030000}"/>
    <cellStyle name="Normal 8 13" xfId="767" xr:uid="{00000000-0005-0000-0000-000077030000}"/>
    <cellStyle name="Normal 8 14" xfId="768" xr:uid="{00000000-0005-0000-0000-000078030000}"/>
    <cellStyle name="Normal 8 15" xfId="769" xr:uid="{00000000-0005-0000-0000-000079030000}"/>
    <cellStyle name="Normal 8 16" xfId="770" xr:uid="{00000000-0005-0000-0000-00007A030000}"/>
    <cellStyle name="Normal 8 17" xfId="771" xr:uid="{00000000-0005-0000-0000-00007B030000}"/>
    <cellStyle name="Normal 8 18" xfId="772" xr:uid="{00000000-0005-0000-0000-00007C030000}"/>
    <cellStyle name="Normal 8 19" xfId="773" xr:uid="{00000000-0005-0000-0000-00007D030000}"/>
    <cellStyle name="Normal 8 2" xfId="447" xr:uid="{00000000-0005-0000-0000-00007E030000}"/>
    <cellStyle name="Normal 8 2 2" xfId="774" xr:uid="{00000000-0005-0000-0000-00007F030000}"/>
    <cellStyle name="Normal 8 20" xfId="775" xr:uid="{00000000-0005-0000-0000-000080030000}"/>
    <cellStyle name="Normal 8 21" xfId="763" xr:uid="{00000000-0005-0000-0000-000081030000}"/>
    <cellStyle name="Normal 8 3" xfId="836" xr:uid="{00000000-0005-0000-0000-000082030000}"/>
    <cellStyle name="Normal 8 3 2" xfId="776" xr:uid="{00000000-0005-0000-0000-000083030000}"/>
    <cellStyle name="Normal 8 4" xfId="777" xr:uid="{00000000-0005-0000-0000-000084030000}"/>
    <cellStyle name="Normal 8 5" xfId="778" xr:uid="{00000000-0005-0000-0000-000085030000}"/>
    <cellStyle name="Normal 8 6" xfId="779" xr:uid="{00000000-0005-0000-0000-000086030000}"/>
    <cellStyle name="Normal 8 7" xfId="780" xr:uid="{00000000-0005-0000-0000-000087030000}"/>
    <cellStyle name="Normal 8 8" xfId="781" xr:uid="{00000000-0005-0000-0000-000088030000}"/>
    <cellStyle name="Normal 8 9" xfId="782" xr:uid="{00000000-0005-0000-0000-000089030000}"/>
    <cellStyle name="Normal 80" xfId="448" xr:uid="{00000000-0005-0000-0000-00008A030000}"/>
    <cellStyle name="Normal 81" xfId="449" xr:uid="{00000000-0005-0000-0000-00008B030000}"/>
    <cellStyle name="Normal 82" xfId="450" xr:uid="{00000000-0005-0000-0000-00008C030000}"/>
    <cellStyle name="Normal 83" xfId="451" xr:uid="{00000000-0005-0000-0000-00008D030000}"/>
    <cellStyle name="Normal 84" xfId="452" xr:uid="{00000000-0005-0000-0000-00008E030000}"/>
    <cellStyle name="Normal 85" xfId="453" xr:uid="{00000000-0005-0000-0000-00008F030000}"/>
    <cellStyle name="Normal 86" xfId="454" xr:uid="{00000000-0005-0000-0000-000090030000}"/>
    <cellStyle name="Normal 87" xfId="455" xr:uid="{00000000-0005-0000-0000-000091030000}"/>
    <cellStyle name="Normal 88" xfId="456" xr:uid="{00000000-0005-0000-0000-000092030000}"/>
    <cellStyle name="Normal 89" xfId="457" xr:uid="{00000000-0005-0000-0000-000093030000}"/>
    <cellStyle name="Normal 9" xfId="458" xr:uid="{00000000-0005-0000-0000-000094030000}"/>
    <cellStyle name="Normal 9 10" xfId="784" xr:uid="{00000000-0005-0000-0000-000095030000}"/>
    <cellStyle name="Normal 9 11" xfId="785" xr:uid="{00000000-0005-0000-0000-000096030000}"/>
    <cellStyle name="Normal 9 12" xfId="786" xr:uid="{00000000-0005-0000-0000-000097030000}"/>
    <cellStyle name="Normal 9 13" xfId="787" xr:uid="{00000000-0005-0000-0000-000098030000}"/>
    <cellStyle name="Normal 9 14" xfId="788" xr:uid="{00000000-0005-0000-0000-000099030000}"/>
    <cellStyle name="Normal 9 15" xfId="789" xr:uid="{00000000-0005-0000-0000-00009A030000}"/>
    <cellStyle name="Normal 9 16" xfId="790" xr:uid="{00000000-0005-0000-0000-00009B030000}"/>
    <cellStyle name="Normal 9 17" xfId="791" xr:uid="{00000000-0005-0000-0000-00009C030000}"/>
    <cellStyle name="Normal 9 18" xfId="792" xr:uid="{00000000-0005-0000-0000-00009D030000}"/>
    <cellStyle name="Normal 9 19" xfId="793" xr:uid="{00000000-0005-0000-0000-00009E030000}"/>
    <cellStyle name="Normal 9 2" xfId="459" xr:uid="{00000000-0005-0000-0000-00009F030000}"/>
    <cellStyle name="Normal 9 2 2" xfId="794" xr:uid="{00000000-0005-0000-0000-0000A0030000}"/>
    <cellStyle name="Normal 9 20" xfId="783" xr:uid="{00000000-0005-0000-0000-0000A1030000}"/>
    <cellStyle name="Normal 9 3" xfId="837" xr:uid="{00000000-0005-0000-0000-0000A2030000}"/>
    <cellStyle name="Normal 9 4" xfId="795" xr:uid="{00000000-0005-0000-0000-0000A3030000}"/>
    <cellStyle name="Normal 9 5" xfId="796" xr:uid="{00000000-0005-0000-0000-0000A4030000}"/>
    <cellStyle name="Normal 9 6" xfId="797" xr:uid="{00000000-0005-0000-0000-0000A5030000}"/>
    <cellStyle name="Normal 9 7" xfId="798" xr:uid="{00000000-0005-0000-0000-0000A6030000}"/>
    <cellStyle name="Normal 9 8" xfId="799" xr:uid="{00000000-0005-0000-0000-0000A7030000}"/>
    <cellStyle name="Normal 9 9" xfId="800" xr:uid="{00000000-0005-0000-0000-0000A8030000}"/>
    <cellStyle name="Normal 90" xfId="460" xr:uid="{00000000-0005-0000-0000-0000A9030000}"/>
    <cellStyle name="Normal 91" xfId="461" xr:uid="{00000000-0005-0000-0000-0000AA030000}"/>
    <cellStyle name="Normal 92" xfId="462" xr:uid="{00000000-0005-0000-0000-0000AB030000}"/>
    <cellStyle name="Normal 93" xfId="463" xr:uid="{00000000-0005-0000-0000-0000AC030000}"/>
    <cellStyle name="Normal 94" xfId="464" xr:uid="{00000000-0005-0000-0000-0000AD030000}"/>
    <cellStyle name="Normal 95" xfId="465" xr:uid="{00000000-0005-0000-0000-0000AE030000}"/>
    <cellStyle name="Normal 96" xfId="466" xr:uid="{00000000-0005-0000-0000-0000AF030000}"/>
    <cellStyle name="Normal 97" xfId="467" xr:uid="{00000000-0005-0000-0000-0000B0030000}"/>
    <cellStyle name="Normal 98" xfId="468" xr:uid="{00000000-0005-0000-0000-0000B1030000}"/>
    <cellStyle name="Normal 99" xfId="469" xr:uid="{00000000-0005-0000-0000-0000B2030000}"/>
    <cellStyle name="Normal Table" xfId="470" xr:uid="{00000000-0005-0000-0000-0000B3030000}"/>
    <cellStyle name="normální_Grafy_ZFS2006_kap3_2" xfId="801" xr:uid="{00000000-0005-0000-0000-0000B4030000}"/>
    <cellStyle name="Note 2" xfId="802" xr:uid="{00000000-0005-0000-0000-0000B5030000}"/>
    <cellStyle name="Note 2 2" xfId="803" xr:uid="{00000000-0005-0000-0000-0000B6030000}"/>
    <cellStyle name="Note 3" xfId="804" xr:uid="{00000000-0005-0000-0000-0000B7030000}"/>
    <cellStyle name="Note 3 2" xfId="805" xr:uid="{00000000-0005-0000-0000-0000B8030000}"/>
    <cellStyle name="Note 4" xfId="806" xr:uid="{00000000-0005-0000-0000-0000B9030000}"/>
    <cellStyle name="Note 4 2" xfId="807" xr:uid="{00000000-0005-0000-0000-0000BA030000}"/>
    <cellStyle name="Notes" xfId="808" xr:uid="{00000000-0005-0000-0000-0000BB030000}"/>
    <cellStyle name="Output 2" xfId="810" xr:uid="{00000000-0005-0000-0000-0000BC030000}"/>
    <cellStyle name="Output 2 2" xfId="811" xr:uid="{00000000-0005-0000-0000-0000BD030000}"/>
    <cellStyle name="Output 3" xfId="812" xr:uid="{00000000-0005-0000-0000-0000BE030000}"/>
    <cellStyle name="Output 3 2" xfId="980" xr:uid="{00000000-0005-0000-0000-0000BF030000}"/>
    <cellStyle name="Output 4" xfId="813" xr:uid="{00000000-0005-0000-0000-0000C0030000}"/>
    <cellStyle name="Output 4 2" xfId="814" xr:uid="{00000000-0005-0000-0000-0000C1030000}"/>
    <cellStyle name="Overskrift 1" xfId="815" xr:uid="{00000000-0005-0000-0000-0000C2030000}"/>
    <cellStyle name="Overskrift 2" xfId="816" xr:uid="{00000000-0005-0000-0000-0000C3030000}"/>
    <cellStyle name="Overskrift 3" xfId="817" xr:uid="{00000000-0005-0000-0000-0000C4030000}"/>
    <cellStyle name="Overskrift 4" xfId="818" xr:uid="{00000000-0005-0000-0000-0000C5030000}"/>
    <cellStyle name="Percen - Style1" xfId="471" xr:uid="{00000000-0005-0000-0000-0000C6030000}"/>
    <cellStyle name="Percent" xfId="1" builtinId="5"/>
    <cellStyle name="Percent [2]" xfId="472" xr:uid="{00000000-0005-0000-0000-0000C8030000}"/>
    <cellStyle name="Percent 2" xfId="820" xr:uid="{00000000-0005-0000-0000-0000C9030000}"/>
    <cellStyle name="Percent 3" xfId="981" xr:uid="{00000000-0005-0000-0000-0000CA030000}"/>
    <cellStyle name="Percent 4" xfId="982" xr:uid="{00000000-0005-0000-0000-0000CB030000}"/>
    <cellStyle name="Percent 4 2" xfId="983" xr:uid="{00000000-0005-0000-0000-0000CC030000}"/>
    <cellStyle name="Percent 5" xfId="984" xr:uid="{00000000-0005-0000-0000-0000CD030000}"/>
    <cellStyle name="Percent 5 2" xfId="985" xr:uid="{00000000-0005-0000-0000-0000CE030000}"/>
    <cellStyle name="Percent 6" xfId="1028" xr:uid="{00000000-0005-0000-0000-0000CF030000}"/>
    <cellStyle name="Percent 7" xfId="1030" xr:uid="{00000000-0005-0000-0000-0000D0030000}"/>
    <cellStyle name="percentage difference" xfId="473" xr:uid="{00000000-0005-0000-0000-0000D1030000}"/>
    <cellStyle name="percentage difference one decimal" xfId="474" xr:uid="{00000000-0005-0000-0000-0000D2030000}"/>
    <cellStyle name="percentage difference zero decimal" xfId="475" xr:uid="{00000000-0005-0000-0000-0000D3030000}"/>
    <cellStyle name="Presentation" xfId="476" xr:uid="{00000000-0005-0000-0000-0000D4030000}"/>
    <cellStyle name="Publication" xfId="477" xr:uid="{00000000-0005-0000-0000-0000D5030000}"/>
    <cellStyle name="Rad" xfId="986" xr:uid="{00000000-0005-0000-0000-0000D6030000}"/>
    <cellStyle name="STYL1 - Style1" xfId="478" xr:uid="{00000000-0005-0000-0000-0000D7030000}"/>
    <cellStyle name="Style 1" xfId="987" xr:uid="{00000000-0005-0000-0000-0000D8030000}"/>
    <cellStyle name="Style1" xfId="479" xr:uid="{00000000-0005-0000-0000-0000D9030000}"/>
    <cellStyle name="Tabelltittel" xfId="988" xr:uid="{00000000-0005-0000-0000-0000DA030000}"/>
    <cellStyle name="Text" xfId="480" xr:uid="{00000000-0005-0000-0000-0000DB030000}"/>
    <cellStyle name="Title 2" xfId="989" xr:uid="{00000000-0005-0000-0000-0000DC030000}"/>
    <cellStyle name="Title 2 2" xfId="990" xr:uid="{00000000-0005-0000-0000-0000DD030000}"/>
    <cellStyle name="Title 3" xfId="991" xr:uid="{00000000-0005-0000-0000-0000DE030000}"/>
    <cellStyle name="Title 3 2" xfId="992" xr:uid="{00000000-0005-0000-0000-0000DF030000}"/>
    <cellStyle name="Title 4" xfId="993" xr:uid="{00000000-0005-0000-0000-0000E0030000}"/>
    <cellStyle name="Title 4 2" xfId="994" xr:uid="{00000000-0005-0000-0000-0000E1030000}"/>
    <cellStyle name="Tittel" xfId="995" xr:uid="{00000000-0005-0000-0000-0000E2030000}"/>
    <cellStyle name="Totaal" xfId="996" xr:uid="{00000000-0005-0000-0000-0000E3030000}"/>
    <cellStyle name="Total 2" xfId="481" xr:uid="{00000000-0005-0000-0000-0000E4030000}"/>
    <cellStyle name="Total 2 2" xfId="998" xr:uid="{00000000-0005-0000-0000-0000E5030000}"/>
    <cellStyle name="Total 2 3" xfId="997" xr:uid="{00000000-0005-0000-0000-0000E6030000}"/>
    <cellStyle name="Total 2_Book5" xfId="999" xr:uid="{00000000-0005-0000-0000-0000E7030000}"/>
    <cellStyle name="Total 3" xfId="1000" xr:uid="{00000000-0005-0000-0000-0000E8030000}"/>
    <cellStyle name="Total 3 2" xfId="1001" xr:uid="{00000000-0005-0000-0000-0000E9030000}"/>
    <cellStyle name="Total 3_Book5" xfId="1002" xr:uid="{00000000-0005-0000-0000-0000EA030000}"/>
    <cellStyle name="Total 4" xfId="1003" xr:uid="{00000000-0005-0000-0000-0000EB030000}"/>
    <cellStyle name="Total 4 2" xfId="1004" xr:uid="{00000000-0005-0000-0000-0000EC030000}"/>
    <cellStyle name="Total 4_Book5" xfId="1005" xr:uid="{00000000-0005-0000-0000-0000ED030000}"/>
    <cellStyle name="Totalt" xfId="1006" xr:uid="{00000000-0005-0000-0000-0000EE030000}"/>
    <cellStyle name="Utdata" xfId="1007" xr:uid="{00000000-0005-0000-0000-0000EF030000}"/>
    <cellStyle name="Uthevingsfarge1" xfId="1008" xr:uid="{00000000-0005-0000-0000-0000F0030000}"/>
    <cellStyle name="Uthevingsfarge2" xfId="1009" xr:uid="{00000000-0005-0000-0000-0000F1030000}"/>
    <cellStyle name="Uthevingsfarge3" xfId="1010" xr:uid="{00000000-0005-0000-0000-0000F2030000}"/>
    <cellStyle name="Uthevingsfarge4" xfId="1011" xr:uid="{00000000-0005-0000-0000-0000F3030000}"/>
    <cellStyle name="Uthevingsfarge5" xfId="1012" xr:uid="{00000000-0005-0000-0000-0000F4030000}"/>
    <cellStyle name="Uthevingsfarge6" xfId="1013" xr:uid="{00000000-0005-0000-0000-0000F5030000}"/>
    <cellStyle name="Valuta0" xfId="1014" xr:uid="{00000000-0005-0000-0000-0000F6030000}"/>
    <cellStyle name="Varseltekst" xfId="1015" xr:uid="{00000000-0005-0000-0000-0000F7030000}"/>
    <cellStyle name="Vast" xfId="1016" xr:uid="{00000000-0005-0000-0000-0000F8030000}"/>
    <cellStyle name="ДАТА" xfId="482" xr:uid="{00000000-0005-0000-0000-0000F9030000}"/>
    <cellStyle name="Денежный [0]_453" xfId="483" xr:uid="{00000000-0005-0000-0000-0000FA030000}"/>
    <cellStyle name="Денежный_453" xfId="484" xr:uid="{00000000-0005-0000-0000-0000FB030000}"/>
    <cellStyle name="ЗАГОЛОВОК1" xfId="485" xr:uid="{00000000-0005-0000-0000-0000FC030000}"/>
    <cellStyle name="ЗАГОЛОВОК2" xfId="486" xr:uid="{00000000-0005-0000-0000-0000FD030000}"/>
    <cellStyle name="ИТОГОВЫЙ" xfId="487" xr:uid="{00000000-0005-0000-0000-0000FE030000}"/>
    <cellStyle name="Обычный_11" xfId="488" xr:uid="{00000000-0005-0000-0000-0000FF030000}"/>
    <cellStyle name="Открывавшаяся гиперссылка_Table_B_1999_2000_2001" xfId="489" xr:uid="{00000000-0005-0000-0000-000000040000}"/>
    <cellStyle name="ПРОЦЕНТНЫЙ_BOPENGC" xfId="490" xr:uid="{00000000-0005-0000-0000-000001040000}"/>
    <cellStyle name="ТЕКСТ" xfId="491" xr:uid="{00000000-0005-0000-0000-000002040000}"/>
    <cellStyle name="ФИКСИРОВАННЫЙ" xfId="492" xr:uid="{00000000-0005-0000-0000-000003040000}"/>
    <cellStyle name="Финансовый [0]_453" xfId="493" xr:uid="{00000000-0005-0000-0000-000004040000}"/>
    <cellStyle name="Финансовый_453" xfId="494" xr:uid="{00000000-0005-0000-0000-000005040000}"/>
    <cellStyle name="千分位[0]" xfId="495" xr:uid="{00000000-0005-0000-0000-000006040000}"/>
    <cellStyle name="標準_m131x_入力訂正84_入力訂正86" xfId="1017" xr:uid="{00000000-0005-0000-0000-000007040000}"/>
    <cellStyle name="貨幣 [0]" xfId="496" xr:uid="{00000000-0005-0000-0000-000008040000}"/>
  </cellStyles>
  <dxfs count="85">
    <dxf>
      <fill>
        <patternFill>
          <bgColor theme="0"/>
        </patternFill>
      </fill>
    </dxf>
    <dxf>
      <fill>
        <patternFill>
          <bgColor rgb="FF00B050"/>
        </patternFill>
      </fill>
    </dxf>
    <dxf>
      <fill>
        <patternFill>
          <bgColor rgb="FFFFFF00"/>
        </patternFill>
      </fill>
    </dxf>
    <dxf>
      <fill>
        <patternFill>
          <bgColor rgb="FFFF0000"/>
        </patternFill>
      </fill>
    </dxf>
    <dxf>
      <fill>
        <patternFill>
          <bgColor theme="0"/>
        </patternFill>
      </fill>
    </dxf>
    <dxf>
      <fill>
        <patternFill>
          <bgColor rgb="FF00B050"/>
        </patternFill>
      </fill>
    </dxf>
    <dxf>
      <fill>
        <patternFill>
          <bgColor rgb="FFFFFF00"/>
        </patternFill>
      </fill>
    </dxf>
    <dxf>
      <fill>
        <patternFill>
          <bgColor rgb="FFFF0000"/>
        </patternFill>
      </fill>
    </dxf>
    <dxf>
      <fill>
        <patternFill>
          <bgColor theme="0"/>
        </patternFill>
      </fill>
    </dxf>
    <dxf>
      <fill>
        <patternFill>
          <bgColor rgb="FF00B050"/>
        </patternFill>
      </fill>
    </dxf>
    <dxf>
      <fill>
        <patternFill>
          <bgColor rgb="FFFFFF00"/>
        </patternFill>
      </fill>
    </dxf>
    <dxf>
      <fill>
        <patternFill>
          <bgColor rgb="FFFF0000"/>
        </patternFill>
      </fill>
    </dxf>
    <dxf>
      <fill>
        <patternFill>
          <bgColor theme="0"/>
        </patternFill>
      </fill>
    </dxf>
    <dxf>
      <fill>
        <patternFill>
          <bgColor rgb="FF00B050"/>
        </patternFill>
      </fill>
    </dxf>
    <dxf>
      <fill>
        <patternFill>
          <bgColor rgb="FFFFFF00"/>
        </patternFill>
      </fill>
    </dxf>
    <dxf>
      <fill>
        <patternFill>
          <bgColor rgb="FFFF0000"/>
        </patternFill>
      </fill>
    </dxf>
    <dxf>
      <fill>
        <patternFill>
          <bgColor theme="0"/>
        </patternFill>
      </fill>
    </dxf>
    <dxf>
      <fill>
        <patternFill>
          <bgColor rgb="FF00B050"/>
        </patternFill>
      </fill>
    </dxf>
    <dxf>
      <fill>
        <patternFill>
          <bgColor rgb="FFFFFF00"/>
        </patternFill>
      </fill>
    </dxf>
    <dxf>
      <fill>
        <patternFill>
          <bgColor rgb="FFFF0000"/>
        </patternFill>
      </fill>
    </dxf>
    <dxf>
      <fill>
        <patternFill>
          <bgColor theme="0"/>
        </patternFill>
      </fill>
    </dxf>
    <dxf>
      <fill>
        <patternFill>
          <bgColor rgb="FF00B050"/>
        </patternFill>
      </fill>
    </dxf>
    <dxf>
      <fill>
        <patternFill>
          <bgColor rgb="FFFFFF00"/>
        </patternFill>
      </fill>
    </dxf>
    <dxf>
      <fill>
        <patternFill>
          <bgColor rgb="FFFF0000"/>
        </patternFill>
      </fill>
    </dxf>
    <dxf>
      <fill>
        <patternFill>
          <bgColor theme="0"/>
        </patternFill>
      </fill>
    </dxf>
    <dxf>
      <fill>
        <patternFill>
          <bgColor rgb="FF00B050"/>
        </patternFill>
      </fill>
    </dxf>
    <dxf>
      <fill>
        <patternFill>
          <bgColor rgb="FFFFFF00"/>
        </patternFill>
      </fill>
    </dxf>
    <dxf>
      <fill>
        <patternFill>
          <bgColor rgb="FFFF0000"/>
        </patternFill>
      </fill>
    </dxf>
    <dxf>
      <fill>
        <patternFill>
          <bgColor theme="0"/>
        </patternFill>
      </fill>
    </dxf>
    <dxf>
      <fill>
        <patternFill>
          <bgColor rgb="FF00B050"/>
        </patternFill>
      </fill>
    </dxf>
    <dxf>
      <fill>
        <patternFill>
          <bgColor rgb="FFFFFF00"/>
        </patternFill>
      </fill>
    </dxf>
    <dxf>
      <fill>
        <patternFill>
          <bgColor rgb="FFFF0000"/>
        </patternFill>
      </fill>
    </dxf>
    <dxf>
      <fill>
        <patternFill>
          <bgColor theme="0"/>
        </patternFill>
      </fill>
    </dxf>
    <dxf>
      <fill>
        <patternFill>
          <bgColor rgb="FF00B050"/>
        </patternFill>
      </fill>
    </dxf>
    <dxf>
      <fill>
        <patternFill>
          <bgColor rgb="FFFFFF00"/>
        </patternFill>
      </fill>
    </dxf>
    <dxf>
      <fill>
        <patternFill>
          <bgColor rgb="FFFF0000"/>
        </patternFill>
      </fill>
    </dxf>
    <dxf>
      <fill>
        <patternFill>
          <bgColor theme="0"/>
        </patternFill>
      </fill>
    </dxf>
    <dxf>
      <fill>
        <patternFill>
          <bgColor rgb="FF00B050"/>
        </patternFill>
      </fill>
    </dxf>
    <dxf>
      <fill>
        <patternFill>
          <bgColor rgb="FFFFFF00"/>
        </patternFill>
      </fill>
    </dxf>
    <dxf>
      <fill>
        <patternFill>
          <bgColor rgb="FFFF0000"/>
        </patternFill>
      </fill>
    </dxf>
    <dxf>
      <fill>
        <patternFill>
          <bgColor theme="0"/>
        </patternFill>
      </fill>
    </dxf>
    <dxf>
      <fill>
        <patternFill>
          <bgColor rgb="FF00B050"/>
        </patternFill>
      </fill>
    </dxf>
    <dxf>
      <fill>
        <patternFill>
          <bgColor rgb="FFFFFF00"/>
        </patternFill>
      </fill>
    </dxf>
    <dxf>
      <fill>
        <patternFill>
          <bgColor rgb="FFFF0000"/>
        </patternFill>
      </fill>
    </dxf>
    <dxf>
      <fill>
        <patternFill>
          <bgColor theme="0"/>
        </patternFill>
      </fill>
    </dxf>
    <dxf>
      <fill>
        <patternFill>
          <bgColor rgb="FF00B050"/>
        </patternFill>
      </fill>
    </dxf>
    <dxf>
      <fill>
        <patternFill>
          <bgColor rgb="FFFFFF00"/>
        </patternFill>
      </fill>
    </dxf>
    <dxf>
      <fill>
        <patternFill>
          <bgColor rgb="FFFF0000"/>
        </patternFill>
      </fill>
    </dxf>
    <dxf>
      <fill>
        <patternFill>
          <bgColor theme="0"/>
        </patternFill>
      </fill>
    </dxf>
    <dxf>
      <fill>
        <patternFill>
          <bgColor rgb="FF00B050"/>
        </patternFill>
      </fill>
    </dxf>
    <dxf>
      <fill>
        <patternFill>
          <bgColor rgb="FFFFFF00"/>
        </patternFill>
      </fill>
    </dxf>
    <dxf>
      <fill>
        <patternFill>
          <bgColor rgb="FFFF0000"/>
        </patternFill>
      </fill>
    </dxf>
    <dxf>
      <fill>
        <patternFill>
          <bgColor theme="0"/>
        </patternFill>
      </fill>
    </dxf>
    <dxf>
      <fill>
        <patternFill>
          <bgColor rgb="FF00B050"/>
        </patternFill>
      </fill>
    </dxf>
    <dxf>
      <fill>
        <patternFill>
          <bgColor rgb="FFFFFF00"/>
        </patternFill>
      </fill>
    </dxf>
    <dxf>
      <fill>
        <patternFill>
          <bgColor rgb="FFFF0000"/>
        </patternFill>
      </fill>
    </dxf>
    <dxf>
      <fill>
        <patternFill>
          <bgColor theme="0"/>
        </patternFill>
      </fill>
    </dxf>
    <dxf>
      <fill>
        <patternFill>
          <bgColor rgb="FF00B050"/>
        </patternFill>
      </fill>
    </dxf>
    <dxf>
      <fill>
        <patternFill>
          <bgColor rgb="FFFFFF00"/>
        </patternFill>
      </fill>
    </dxf>
    <dxf>
      <fill>
        <patternFill>
          <bgColor rgb="FFFF0000"/>
        </patternFill>
      </fill>
    </dxf>
    <dxf>
      <fill>
        <patternFill>
          <bgColor rgb="FFCC6600"/>
        </patternFill>
      </fill>
    </dxf>
    <dxf>
      <fill>
        <patternFill>
          <bgColor rgb="FF00CC00"/>
        </patternFill>
      </fill>
    </dxf>
    <dxf>
      <fill>
        <patternFill>
          <bgColor rgb="FF00B0F0"/>
        </patternFill>
      </fill>
    </dxf>
    <dxf>
      <border>
        <top style="thin">
          <color auto="1"/>
        </top>
        <bottom style="thin">
          <color auto="1"/>
        </bottom>
        <vertical/>
        <horizontal/>
      </border>
    </dxf>
    <dxf>
      <border>
        <top style="thin">
          <color auto="1"/>
        </top>
        <bottom style="thin">
          <color auto="1"/>
        </bottom>
        <vertical/>
        <horizontal/>
      </border>
    </dxf>
    <dxf>
      <fill>
        <patternFill>
          <bgColor rgb="FFFFC000"/>
        </patternFill>
      </fill>
    </dxf>
    <dxf>
      <fill>
        <patternFill>
          <bgColor rgb="FFFF0000"/>
        </patternFill>
      </fill>
    </dxf>
    <dxf>
      <font>
        <strike val="0"/>
        <color auto="1"/>
      </font>
      <fill>
        <patternFill>
          <bgColor rgb="FF0070C0"/>
        </patternFill>
      </fill>
      <border>
        <left/>
        <right/>
        <top/>
        <bottom/>
        <vertical/>
        <horizontal/>
      </border>
    </dxf>
    <dxf>
      <fill>
        <patternFill>
          <bgColor rgb="FF00B0F0"/>
        </patternFill>
      </fill>
    </dxf>
    <dxf>
      <fill>
        <patternFill>
          <bgColor rgb="FFCC6600"/>
        </patternFill>
      </fill>
    </dxf>
    <dxf>
      <fill>
        <patternFill>
          <bgColor rgb="FF00CC00"/>
        </patternFill>
      </fill>
    </dxf>
    <dxf>
      <border>
        <top style="thin">
          <color auto="1"/>
        </top>
        <bottom style="thin">
          <color auto="1"/>
        </bottom>
        <vertical/>
        <horizontal/>
      </border>
    </dxf>
    <dxf>
      <border>
        <top style="thin">
          <color auto="1"/>
        </top>
        <bottom style="thin">
          <color auto="1"/>
        </bottom>
        <vertical/>
        <horizontal/>
      </border>
    </dxf>
    <dxf>
      <font>
        <strike val="0"/>
        <color auto="1"/>
      </font>
      <fill>
        <patternFill>
          <bgColor rgb="FF0070C0"/>
        </patternFill>
      </fill>
      <border>
        <left/>
        <right/>
        <top/>
        <bottom/>
        <vertical/>
        <horizontal/>
      </border>
    </dxf>
    <dxf>
      <font>
        <color theme="0"/>
      </font>
    </dxf>
    <dxf>
      <font>
        <color theme="0" tint="-0.499984740745262"/>
      </font>
      <fill>
        <patternFill patternType="solid">
          <bgColor rgb="FFFFFF00"/>
        </patternFill>
      </fill>
    </dxf>
    <dxf>
      <font>
        <color theme="0" tint="-0.499984740745262"/>
      </font>
      <fill>
        <patternFill patternType="solid">
          <bgColor rgb="FFFFFF00"/>
        </patternFill>
      </fill>
    </dxf>
    <dxf>
      <fill>
        <patternFill>
          <bgColor rgb="FFFFFF00"/>
        </patternFill>
      </fill>
    </dxf>
    <dxf>
      <fill>
        <patternFill>
          <bgColor rgb="FFFFFF9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colors>
    <mruColors>
      <color rgb="FFFFFF99"/>
      <color rgb="FF0000FF"/>
      <color rgb="FFC0C0C0"/>
      <color rgb="FF4B82AD"/>
      <color rgb="FFCC66FF"/>
      <color rgb="FFFF66FF"/>
      <color rgb="FFB7DEE8"/>
      <color rgb="FF993300"/>
      <color rgb="FFCC6600"/>
      <color rgb="FF00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r:id="rId1"/>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_rels/chart18.xml.rels><?xml version="1.0" encoding="UTF-8" standalone="yes"?>
<Relationships xmlns="http://schemas.openxmlformats.org/package/2006/relationships"><Relationship Id="rId1" Type="http://schemas.openxmlformats.org/officeDocument/2006/relationships/chartUserShapes" Target="../drawings/drawing20.xml"/></Relationships>
</file>

<file path=xl/charts/_rels/chart19.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20.xml.rels><?xml version="1.0" encoding="UTF-8" standalone="yes"?>
<Relationships xmlns="http://schemas.openxmlformats.org/package/2006/relationships"><Relationship Id="rId1" Type="http://schemas.openxmlformats.org/officeDocument/2006/relationships/chartUserShapes" Target="../drawings/drawing22.xml"/></Relationships>
</file>

<file path=xl/charts/_rels/chart21.xml.rels><?xml version="1.0" encoding="UTF-8" standalone="yes"?>
<Relationships xmlns="http://schemas.openxmlformats.org/package/2006/relationships"><Relationship Id="rId1" Type="http://schemas.openxmlformats.org/officeDocument/2006/relationships/chartUserShapes" Target="../drawings/drawing23.xml"/></Relationships>
</file>

<file path=xl/charts/_rels/chart22.xml.rels><?xml version="1.0" encoding="UTF-8" standalone="yes"?>
<Relationships xmlns="http://schemas.openxmlformats.org/package/2006/relationships"><Relationship Id="rId1" Type="http://schemas.openxmlformats.org/officeDocument/2006/relationships/chartUserShapes" Target="../drawings/drawing24.xml"/></Relationships>
</file>

<file path=xl/charts/_rels/chart25.xml.rels><?xml version="1.0" encoding="UTF-8" standalone="yes"?>
<Relationships xmlns="http://schemas.openxmlformats.org/package/2006/relationships"><Relationship Id="rId1" Type="http://schemas.openxmlformats.org/officeDocument/2006/relationships/chartUserShapes" Target="../drawings/drawing28.xml"/></Relationships>
</file>

<file path=xl/charts/_rels/chart27.xml.rels><?xml version="1.0" encoding="UTF-8" standalone="yes"?>
<Relationships xmlns="http://schemas.openxmlformats.org/package/2006/relationships"><Relationship Id="rId1" Type="http://schemas.openxmlformats.org/officeDocument/2006/relationships/chartUserShapes" Target="../drawings/drawing30.xml"/></Relationships>
</file>

<file path=xl/charts/_rels/chart28.xml.rels><?xml version="1.0" encoding="UTF-8" standalone="yes"?>
<Relationships xmlns="http://schemas.openxmlformats.org/package/2006/relationships"><Relationship Id="rId1" Type="http://schemas.openxmlformats.org/officeDocument/2006/relationships/chartUserShapes" Target="../drawings/drawing31.xml"/></Relationships>
</file>

<file path=xl/charts/_rels/chart29.xml.rels><?xml version="1.0" encoding="UTF-8" standalone="yes"?>
<Relationships xmlns="http://schemas.openxmlformats.org/package/2006/relationships"><Relationship Id="rId1" Type="http://schemas.openxmlformats.org/officeDocument/2006/relationships/chartUserShapes" Target="../drawings/drawing3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30.xml.rels><?xml version="1.0" encoding="UTF-8" standalone="yes"?>
<Relationships xmlns="http://schemas.openxmlformats.org/package/2006/relationships"><Relationship Id="rId1" Type="http://schemas.openxmlformats.org/officeDocument/2006/relationships/chartUserShapes" Target="../drawings/drawing33.xml"/></Relationships>
</file>

<file path=xl/charts/_rels/chart31.xml.rels><?xml version="1.0" encoding="UTF-8" standalone="yes"?>
<Relationships xmlns="http://schemas.openxmlformats.org/package/2006/relationships"><Relationship Id="rId1" Type="http://schemas.openxmlformats.org/officeDocument/2006/relationships/chartUserShapes" Target="../drawings/drawing35.xml"/></Relationships>
</file>

<file path=xl/charts/_rels/chart32.xml.rels><?xml version="1.0" encoding="UTF-8" standalone="yes"?>
<Relationships xmlns="http://schemas.openxmlformats.org/package/2006/relationships"><Relationship Id="rId1" Type="http://schemas.openxmlformats.org/officeDocument/2006/relationships/chartUserShapes" Target="../drawings/drawing36.xml"/></Relationships>
</file>

<file path=xl/charts/_rels/chart33.xml.rels><?xml version="1.0" encoding="UTF-8" standalone="yes"?>
<Relationships xmlns="http://schemas.openxmlformats.org/package/2006/relationships"><Relationship Id="rId1" Type="http://schemas.openxmlformats.org/officeDocument/2006/relationships/chartUserShapes" Target="../drawings/drawing37.xml"/></Relationships>
</file>

<file path=xl/charts/_rels/chart34.xml.rels><?xml version="1.0" encoding="UTF-8" standalone="yes"?>
<Relationships xmlns="http://schemas.openxmlformats.org/package/2006/relationships"><Relationship Id="rId1" Type="http://schemas.openxmlformats.org/officeDocument/2006/relationships/chartUserShapes" Target="../drawings/drawing38.xml"/></Relationships>
</file>

<file path=xl/charts/_rels/chart35.xml.rels><?xml version="1.0" encoding="UTF-8" standalone="yes"?>
<Relationships xmlns="http://schemas.openxmlformats.org/package/2006/relationships"><Relationship Id="rId1" Type="http://schemas.openxmlformats.org/officeDocument/2006/relationships/chartUserShapes" Target="../drawings/drawing39.xml"/></Relationships>
</file>

<file path=xl/charts/_rels/chart36.xml.rels><?xml version="1.0" encoding="UTF-8" standalone="yes"?>
<Relationships xmlns="http://schemas.openxmlformats.org/package/2006/relationships"><Relationship Id="rId1" Type="http://schemas.openxmlformats.org/officeDocument/2006/relationships/chartUserShapes" Target="../drawings/drawing40.xml"/></Relationships>
</file>

<file path=xl/charts/_rels/chart37.xml.rels><?xml version="1.0" encoding="UTF-8" standalone="yes"?>
<Relationships xmlns="http://schemas.openxmlformats.org/package/2006/relationships"><Relationship Id="rId1" Type="http://schemas.openxmlformats.org/officeDocument/2006/relationships/chartUserShapes" Target="../drawings/drawing42.xml"/></Relationships>
</file>

<file path=xl/charts/_rels/chart38.xml.rels><?xml version="1.0" encoding="UTF-8" standalone="yes"?>
<Relationships xmlns="http://schemas.openxmlformats.org/package/2006/relationships"><Relationship Id="rId1" Type="http://schemas.openxmlformats.org/officeDocument/2006/relationships/chartUserShapes" Target="../drawings/drawing43.xml"/></Relationships>
</file>

<file path=xl/charts/_rels/chart39.xml.rels><?xml version="1.0" encoding="UTF-8" standalone="yes"?>
<Relationships xmlns="http://schemas.openxmlformats.org/package/2006/relationships"><Relationship Id="rId1" Type="http://schemas.openxmlformats.org/officeDocument/2006/relationships/chartUserShapes" Target="../drawings/drawing4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0.xml.rels><?xml version="1.0" encoding="UTF-8" standalone="yes"?>
<Relationships xmlns="http://schemas.openxmlformats.org/package/2006/relationships"><Relationship Id="rId1" Type="http://schemas.openxmlformats.org/officeDocument/2006/relationships/chartUserShapes" Target="../drawings/drawing45.xml"/></Relationships>
</file>

<file path=xl/charts/_rels/chart41.xml.rels><?xml version="1.0" encoding="UTF-8" standalone="yes"?>
<Relationships xmlns="http://schemas.openxmlformats.org/package/2006/relationships"><Relationship Id="rId1" Type="http://schemas.openxmlformats.org/officeDocument/2006/relationships/chartUserShapes" Target="../drawings/drawing46.xml"/></Relationships>
</file>

<file path=xl/charts/_rels/chart42.xml.rels><?xml version="1.0" encoding="UTF-8" standalone="yes"?>
<Relationships xmlns="http://schemas.openxmlformats.org/package/2006/relationships"><Relationship Id="rId1" Type="http://schemas.openxmlformats.org/officeDocument/2006/relationships/chartUserShapes" Target="../drawings/drawing47.xml"/></Relationships>
</file>

<file path=xl/charts/_rels/chart43.xml.rels><?xml version="1.0" encoding="UTF-8" standalone="yes"?>
<Relationships xmlns="http://schemas.openxmlformats.org/package/2006/relationships"><Relationship Id="rId1" Type="http://schemas.openxmlformats.org/officeDocument/2006/relationships/chartUserShapes" Target="../drawings/drawing49.xml"/></Relationships>
</file>

<file path=xl/charts/_rels/chart47.xml.rels><?xml version="1.0" encoding="UTF-8" standalone="yes"?>
<Relationships xmlns="http://schemas.openxmlformats.org/package/2006/relationships"><Relationship Id="rId1" Type="http://schemas.openxmlformats.org/officeDocument/2006/relationships/chartUserShapes" Target="../drawings/drawing50.xml"/></Relationships>
</file>

<file path=xl/charts/_rels/chart48.xml.rels><?xml version="1.0" encoding="UTF-8" standalone="yes"?>
<Relationships xmlns="http://schemas.openxmlformats.org/package/2006/relationships"><Relationship Id="rId1" Type="http://schemas.openxmlformats.org/officeDocument/2006/relationships/chartUserShapes" Target="../drawings/drawing51.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033629344937744"/>
          <c:y val="7.5183957587328723E-2"/>
          <c:w val="0.79795906893061952"/>
          <c:h val="0.78324603200616194"/>
        </c:manualLayout>
      </c:layout>
      <c:lineChart>
        <c:grouping val="standard"/>
        <c:varyColors val="0"/>
        <c:ser>
          <c:idx val="0"/>
          <c:order val="0"/>
          <c:tx>
            <c:strRef>
              <c:f>'Lists-Modules-ChartData'!$R$6</c:f>
              <c:strCache>
                <c:ptCount val="1"/>
                <c:pt idx="0">
                  <c:v>Baseline</c:v>
                </c:pt>
              </c:strCache>
            </c:strRef>
          </c:tx>
          <c:marker>
            <c:symbol val="none"/>
          </c:marker>
          <c:cat>
            <c:numRef>
              <c:f>'Lists-Modules-ChartData'!$U$6:$Z$6</c:f>
              <c:numCache>
                <c:formatCode>General</c:formatCode>
                <c:ptCount val="6"/>
                <c:pt idx="0">
                  <c:v>2018</c:v>
                </c:pt>
                <c:pt idx="1">
                  <c:v>2019</c:v>
                </c:pt>
                <c:pt idx="2">
                  <c:v>2020</c:v>
                </c:pt>
                <c:pt idx="3">
                  <c:v>2021</c:v>
                </c:pt>
                <c:pt idx="4">
                  <c:v>2022</c:v>
                </c:pt>
                <c:pt idx="5">
                  <c:v>2023</c:v>
                </c:pt>
              </c:numCache>
            </c:numRef>
          </c:cat>
          <c:val>
            <c:numRef>
              <c:f>'Lists-Modules-ChartData'!$U$7:$Z$7</c:f>
              <c:numCache>
                <c:formatCode>0.0</c:formatCode>
                <c:ptCount val="6"/>
                <c:pt idx="0">
                  <c:v>37.084342131638088</c:v>
                </c:pt>
                <c:pt idx="1">
                  <c:v>35.351552504862923</c:v>
                </c:pt>
                <c:pt idx="2">
                  <c:v>33.542090376828199</c:v>
                </c:pt>
                <c:pt idx="3">
                  <c:v>32.056160655910695</c:v>
                </c:pt>
                <c:pt idx="4">
                  <c:v>29.915873102736189</c:v>
                </c:pt>
                <c:pt idx="5">
                  <c:v>27.903074435380589</c:v>
                </c:pt>
              </c:numCache>
            </c:numRef>
          </c:val>
          <c:smooth val="0"/>
          <c:extLst>
            <c:ext xmlns:c16="http://schemas.microsoft.com/office/drawing/2014/chart" uri="{C3380CC4-5D6E-409C-BE32-E72D297353CC}">
              <c16:uniqueId val="{00000000-32E7-4B48-A463-784ADE61FCE3}"/>
            </c:ext>
          </c:extLst>
        </c:ser>
        <c:dLbls>
          <c:showLegendKey val="0"/>
          <c:showVal val="0"/>
          <c:showCatName val="0"/>
          <c:showSerName val="0"/>
          <c:showPercent val="0"/>
          <c:showBubbleSize val="0"/>
        </c:dLbls>
        <c:smooth val="0"/>
        <c:axId val="350079416"/>
        <c:axId val="350079024"/>
      </c:lineChart>
      <c:catAx>
        <c:axId val="350079416"/>
        <c:scaling>
          <c:orientation val="minMax"/>
        </c:scaling>
        <c:delete val="0"/>
        <c:axPos val="b"/>
        <c:numFmt formatCode="General" sourceLinked="1"/>
        <c:majorTickMark val="out"/>
        <c:minorTickMark val="none"/>
        <c:tickLblPos val="nextTo"/>
        <c:crossAx val="350079024"/>
        <c:crosses val="autoZero"/>
        <c:auto val="1"/>
        <c:lblAlgn val="ctr"/>
        <c:lblOffset val="100"/>
        <c:noMultiLvlLbl val="0"/>
      </c:catAx>
      <c:valAx>
        <c:axId val="350079024"/>
        <c:scaling>
          <c:orientation val="minMax"/>
        </c:scaling>
        <c:delete val="0"/>
        <c:axPos val="l"/>
        <c:numFmt formatCode="#,##0" sourceLinked="0"/>
        <c:majorTickMark val="out"/>
        <c:minorTickMark val="none"/>
        <c:tickLblPos val="nextTo"/>
        <c:crossAx val="350079416"/>
        <c:crosses val="autoZero"/>
        <c:crossBetween val="midCat"/>
      </c:valAx>
      <c:spPr>
        <a:ln>
          <a:solidFill>
            <a:schemeClr val="bg1">
              <a:lumMod val="50000"/>
            </a:schemeClr>
          </a:solidFill>
        </a:ln>
      </c:spPr>
    </c:plotArea>
    <c:legend>
      <c:legendPos val="r"/>
      <c:layout>
        <c:manualLayout>
          <c:xMode val="edge"/>
          <c:yMode val="edge"/>
          <c:x val="0.15541702836226931"/>
          <c:y val="0.68404869757143272"/>
          <c:w val="0.79434581044205665"/>
          <c:h val="0.16250901065259371"/>
        </c:manualLayout>
      </c:layout>
      <c:overlay val="1"/>
      <c:txPr>
        <a:bodyPr/>
        <a:lstStyle/>
        <a:p>
          <a:pPr>
            <a:defRPr sz="1200" b="1"/>
          </a:pPr>
          <a:endParaRPr lang="en-US"/>
        </a:p>
      </c:txPr>
    </c:legend>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033629344937744"/>
          <c:y val="6.1467589409810182E-2"/>
          <c:w val="0.79795906893061952"/>
          <c:h val="0.79696222865193656"/>
        </c:manualLayout>
      </c:layout>
      <c:lineChart>
        <c:grouping val="standard"/>
        <c:varyColors val="0"/>
        <c:ser>
          <c:idx val="0"/>
          <c:order val="0"/>
          <c:tx>
            <c:strRef>
              <c:f>'Lists-Modules-ChartData'!$R$6</c:f>
              <c:strCache>
                <c:ptCount val="1"/>
                <c:pt idx="0">
                  <c:v>Baseline</c:v>
                </c:pt>
              </c:strCache>
            </c:strRef>
          </c:tx>
          <c:marker>
            <c:symbol val="none"/>
          </c:marker>
          <c:cat>
            <c:numRef>
              <c:f>'Input 5 - Scenario Design'!$E$42:$J$42</c:f>
              <c:numCache>
                <c:formatCode>General</c:formatCode>
                <c:ptCount val="6"/>
                <c:pt idx="0">
                  <c:v>2018</c:v>
                </c:pt>
                <c:pt idx="1">
                  <c:v>2019</c:v>
                </c:pt>
                <c:pt idx="2">
                  <c:v>2020</c:v>
                </c:pt>
                <c:pt idx="3">
                  <c:v>2021</c:v>
                </c:pt>
                <c:pt idx="4">
                  <c:v>2022</c:v>
                </c:pt>
                <c:pt idx="5">
                  <c:v>2023</c:v>
                </c:pt>
              </c:numCache>
            </c:numRef>
          </c:cat>
          <c:val>
            <c:numRef>
              <c:f>'Lists-Modules-ChartData'!$U$9:$Z$9</c:f>
              <c:numCache>
                <c:formatCode>0.0</c:formatCode>
                <c:ptCount val="6"/>
                <c:pt idx="0">
                  <c:v>3.5984842323630626</c:v>
                </c:pt>
                <c:pt idx="1">
                  <c:v>2.736884117115657</c:v>
                </c:pt>
                <c:pt idx="2">
                  <c:v>2.3965618199100005</c:v>
                </c:pt>
                <c:pt idx="3">
                  <c:v>1.2003971380328871</c:v>
                </c:pt>
                <c:pt idx="4">
                  <c:v>-1.4862612076263433</c:v>
                </c:pt>
                <c:pt idx="5">
                  <c:v>-2.2506508944660197</c:v>
                </c:pt>
              </c:numCache>
            </c:numRef>
          </c:val>
          <c:smooth val="0"/>
          <c:extLst>
            <c:ext xmlns:c16="http://schemas.microsoft.com/office/drawing/2014/chart" uri="{C3380CC4-5D6E-409C-BE32-E72D297353CC}">
              <c16:uniqueId val="{00000000-CE41-4F39-B4F3-05232860F54B}"/>
            </c:ext>
          </c:extLst>
        </c:ser>
        <c:ser>
          <c:idx val="1"/>
          <c:order val="1"/>
          <c:tx>
            <c:strRef>
              <c:f>'Lists-Modules-ChartData'!$R$64</c:f>
              <c:strCache>
                <c:ptCount val="1"/>
                <c:pt idx="0">
                  <c:v>Real Exchange Rate Shock</c:v>
                </c:pt>
              </c:strCache>
            </c:strRef>
          </c:tx>
          <c:marker>
            <c:symbol val="none"/>
          </c:marker>
          <c:cat>
            <c:numRef>
              <c:f>'Input 5 - Scenario Design'!$E$42:$J$42</c:f>
              <c:numCache>
                <c:formatCode>General</c:formatCode>
                <c:ptCount val="6"/>
                <c:pt idx="0">
                  <c:v>2018</c:v>
                </c:pt>
                <c:pt idx="1">
                  <c:v>2019</c:v>
                </c:pt>
                <c:pt idx="2">
                  <c:v>2020</c:v>
                </c:pt>
                <c:pt idx="3">
                  <c:v>2021</c:v>
                </c:pt>
                <c:pt idx="4">
                  <c:v>2022</c:v>
                </c:pt>
                <c:pt idx="5">
                  <c:v>2023</c:v>
                </c:pt>
              </c:numCache>
            </c:numRef>
          </c:cat>
          <c:val>
            <c:numRef>
              <c:f>'Lists-Modules-ChartData'!$U$67:$Z$67</c:f>
              <c:numCache>
                <c:formatCode>0.0</c:formatCode>
                <c:ptCount val="6"/>
                <c:pt idx="0">
                  <c:v>3.5994671534530136</c:v>
                </c:pt>
                <c:pt idx="1">
                  <c:v>6.8036498145042286</c:v>
                </c:pt>
                <c:pt idx="2">
                  <c:v>10.833715050890696</c:v>
                </c:pt>
                <c:pt idx="3">
                  <c:v>14.545528452531551</c:v>
                </c:pt>
                <c:pt idx="4">
                  <c:v>15.14538576458126</c:v>
                </c:pt>
                <c:pt idx="5">
                  <c:v>14.955295803831683</c:v>
                </c:pt>
              </c:numCache>
            </c:numRef>
          </c:val>
          <c:smooth val="0"/>
          <c:extLst>
            <c:ext xmlns:c16="http://schemas.microsoft.com/office/drawing/2014/chart" uri="{C3380CC4-5D6E-409C-BE32-E72D297353CC}">
              <c16:uniqueId val="{00000001-CE41-4F39-B4F3-05232860F54B}"/>
            </c:ext>
          </c:extLst>
        </c:ser>
        <c:dLbls>
          <c:showLegendKey val="0"/>
          <c:showVal val="0"/>
          <c:showCatName val="0"/>
          <c:showSerName val="0"/>
          <c:showPercent val="0"/>
          <c:showBubbleSize val="0"/>
        </c:dLbls>
        <c:smooth val="0"/>
        <c:axId val="538174208"/>
        <c:axId val="538175384"/>
      </c:lineChart>
      <c:catAx>
        <c:axId val="538174208"/>
        <c:scaling>
          <c:orientation val="minMax"/>
        </c:scaling>
        <c:delete val="0"/>
        <c:axPos val="b"/>
        <c:numFmt formatCode="General" sourceLinked="1"/>
        <c:majorTickMark val="out"/>
        <c:minorTickMark val="none"/>
        <c:tickLblPos val="nextTo"/>
        <c:crossAx val="538175384"/>
        <c:crosses val="autoZero"/>
        <c:auto val="1"/>
        <c:lblAlgn val="ctr"/>
        <c:lblOffset val="100"/>
        <c:noMultiLvlLbl val="0"/>
      </c:catAx>
      <c:valAx>
        <c:axId val="538175384"/>
        <c:scaling>
          <c:orientation val="minMax"/>
        </c:scaling>
        <c:delete val="0"/>
        <c:axPos val="l"/>
        <c:numFmt formatCode="#,##0" sourceLinked="0"/>
        <c:majorTickMark val="out"/>
        <c:minorTickMark val="none"/>
        <c:tickLblPos val="nextTo"/>
        <c:crossAx val="538174208"/>
        <c:crosses val="autoZero"/>
        <c:crossBetween val="midCat"/>
      </c:valAx>
      <c:spPr>
        <a:ln>
          <a:solidFill>
            <a:sysClr val="window" lastClr="FFFFFF">
              <a:lumMod val="50000"/>
            </a:sysClr>
          </a:solidFill>
        </a:ln>
      </c:spPr>
    </c:plotArea>
    <c:legend>
      <c:legendPos val="b"/>
      <c:layout>
        <c:manualLayout>
          <c:xMode val="edge"/>
          <c:yMode val="edge"/>
          <c:x val="9.9665604237641064E-2"/>
          <c:y val="0.67692777834373496"/>
          <c:w val="0.84542963261423665"/>
          <c:h val="0.18135554424040848"/>
        </c:manualLayout>
      </c:layout>
      <c:overlay val="1"/>
      <c:txPr>
        <a:bodyPr/>
        <a:lstStyle/>
        <a:p>
          <a:pPr>
            <a:defRPr sz="1200" b="1"/>
          </a:pPr>
          <a:endParaRPr lang="en-US"/>
        </a:p>
      </c:txPr>
    </c:legend>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033629344937744"/>
          <c:y val="7.5183957587328723E-2"/>
          <c:w val="0.79795906893061952"/>
          <c:h val="0.78324603200616194"/>
        </c:manualLayout>
      </c:layout>
      <c:lineChart>
        <c:grouping val="standard"/>
        <c:varyColors val="0"/>
        <c:ser>
          <c:idx val="0"/>
          <c:order val="0"/>
          <c:tx>
            <c:strRef>
              <c:f>'Lists-Modules-ChartData'!$R$6</c:f>
              <c:strCache>
                <c:ptCount val="1"/>
                <c:pt idx="0">
                  <c:v>Baseline</c:v>
                </c:pt>
              </c:strCache>
            </c:strRef>
          </c:tx>
          <c:marker>
            <c:symbol val="none"/>
          </c:marker>
          <c:cat>
            <c:numRef>
              <c:f>'Input 5 - Scenario Design'!$E$42:$J$42</c:f>
              <c:numCache>
                <c:formatCode>General</c:formatCode>
                <c:ptCount val="6"/>
                <c:pt idx="0">
                  <c:v>2018</c:v>
                </c:pt>
                <c:pt idx="1">
                  <c:v>2019</c:v>
                </c:pt>
                <c:pt idx="2">
                  <c:v>2020</c:v>
                </c:pt>
                <c:pt idx="3">
                  <c:v>2021</c:v>
                </c:pt>
                <c:pt idx="4">
                  <c:v>2022</c:v>
                </c:pt>
                <c:pt idx="5">
                  <c:v>2023</c:v>
                </c:pt>
              </c:numCache>
            </c:numRef>
          </c:cat>
          <c:val>
            <c:numRef>
              <c:f>'Lists-Modules-ChartData'!$U$7:$Z$7</c:f>
              <c:numCache>
                <c:formatCode>0.0</c:formatCode>
                <c:ptCount val="6"/>
                <c:pt idx="0">
                  <c:v>37.084342131638088</c:v>
                </c:pt>
                <c:pt idx="1">
                  <c:v>35.351552504862923</c:v>
                </c:pt>
                <c:pt idx="2">
                  <c:v>33.542090376828199</c:v>
                </c:pt>
                <c:pt idx="3">
                  <c:v>32.056160655910695</c:v>
                </c:pt>
                <c:pt idx="4">
                  <c:v>29.915873102736189</c:v>
                </c:pt>
                <c:pt idx="5">
                  <c:v>27.903074435380589</c:v>
                </c:pt>
              </c:numCache>
            </c:numRef>
          </c:val>
          <c:smooth val="0"/>
          <c:extLst>
            <c:ext xmlns:c16="http://schemas.microsoft.com/office/drawing/2014/chart" uri="{C3380CC4-5D6E-409C-BE32-E72D297353CC}">
              <c16:uniqueId val="{00000000-AE1F-478F-889C-51950DCDD6BF}"/>
            </c:ext>
          </c:extLst>
        </c:ser>
        <c:ser>
          <c:idx val="1"/>
          <c:order val="1"/>
          <c:tx>
            <c:strRef>
              <c:f>'Lists-Modules-ChartData'!$R$92</c:f>
              <c:strCache>
                <c:ptCount val="1"/>
                <c:pt idx="0">
                  <c:v>Historical</c:v>
                </c:pt>
              </c:strCache>
            </c:strRef>
          </c:tx>
          <c:marker>
            <c:symbol val="none"/>
          </c:marker>
          <c:cat>
            <c:numRef>
              <c:f>'Input 5 - Scenario Design'!$E$42:$J$42</c:f>
              <c:numCache>
                <c:formatCode>General</c:formatCode>
                <c:ptCount val="6"/>
                <c:pt idx="0">
                  <c:v>2018</c:v>
                </c:pt>
                <c:pt idx="1">
                  <c:v>2019</c:v>
                </c:pt>
                <c:pt idx="2">
                  <c:v>2020</c:v>
                </c:pt>
                <c:pt idx="3">
                  <c:v>2021</c:v>
                </c:pt>
                <c:pt idx="4">
                  <c:v>2022</c:v>
                </c:pt>
                <c:pt idx="5">
                  <c:v>2023</c:v>
                </c:pt>
              </c:numCache>
            </c:numRef>
          </c:cat>
          <c:val>
            <c:numRef>
              <c:f>'Lists-Modules-ChartData'!$U$93:$Z$93</c:f>
              <c:numCache>
                <c:formatCode>0.0</c:formatCode>
                <c:ptCount val="6"/>
                <c:pt idx="0">
                  <c:v>37.094606570883371</c:v>
                </c:pt>
                <c:pt idx="1">
                  <c:v>39.753258641667394</c:v>
                </c:pt>
                <c:pt idx="2">
                  <c:v>42.254037652844879</c:v>
                </c:pt>
                <c:pt idx="3">
                  <c:v>44.546754198486191</c:v>
                </c:pt>
                <c:pt idx="4">
                  <c:v>47.282094205619636</c:v>
                </c:pt>
                <c:pt idx="5">
                  <c:v>50.202086430637308</c:v>
                </c:pt>
              </c:numCache>
            </c:numRef>
          </c:val>
          <c:smooth val="0"/>
          <c:extLst>
            <c:ext xmlns:c16="http://schemas.microsoft.com/office/drawing/2014/chart" uri="{C3380CC4-5D6E-409C-BE32-E72D297353CC}">
              <c16:uniqueId val="{00000001-AE1F-478F-889C-51950DCDD6BF}"/>
            </c:ext>
          </c:extLst>
        </c:ser>
        <c:dLbls>
          <c:showLegendKey val="0"/>
          <c:showVal val="0"/>
          <c:showCatName val="0"/>
          <c:showSerName val="0"/>
          <c:showPercent val="0"/>
          <c:showBubbleSize val="0"/>
        </c:dLbls>
        <c:smooth val="0"/>
        <c:axId val="538173816"/>
        <c:axId val="538173424"/>
      </c:lineChart>
      <c:catAx>
        <c:axId val="538173816"/>
        <c:scaling>
          <c:orientation val="minMax"/>
        </c:scaling>
        <c:delete val="0"/>
        <c:axPos val="b"/>
        <c:numFmt formatCode="General" sourceLinked="1"/>
        <c:majorTickMark val="out"/>
        <c:minorTickMark val="none"/>
        <c:tickLblPos val="nextTo"/>
        <c:crossAx val="538173424"/>
        <c:crosses val="autoZero"/>
        <c:auto val="1"/>
        <c:lblAlgn val="ctr"/>
        <c:lblOffset val="100"/>
        <c:noMultiLvlLbl val="0"/>
      </c:catAx>
      <c:valAx>
        <c:axId val="538173424"/>
        <c:scaling>
          <c:orientation val="minMax"/>
        </c:scaling>
        <c:delete val="0"/>
        <c:axPos val="l"/>
        <c:numFmt formatCode="#,##0" sourceLinked="0"/>
        <c:majorTickMark val="out"/>
        <c:minorTickMark val="none"/>
        <c:tickLblPos val="nextTo"/>
        <c:crossAx val="538173816"/>
        <c:crosses val="autoZero"/>
        <c:crossBetween val="midCat"/>
      </c:valAx>
      <c:spPr>
        <a:ln>
          <a:solidFill>
            <a:sysClr val="window" lastClr="FFFFFF">
              <a:lumMod val="50000"/>
            </a:sysClr>
          </a:solidFill>
        </a:ln>
      </c:spPr>
    </c:plotArea>
    <c:legend>
      <c:legendPos val="b"/>
      <c:layout>
        <c:manualLayout>
          <c:xMode val="edge"/>
          <c:yMode val="edge"/>
          <c:x val="9.2024813260643268E-2"/>
          <c:y val="0.71963813742977611"/>
          <c:w val="0.83661549463426665"/>
          <c:h val="0.13335651582512342"/>
        </c:manualLayout>
      </c:layout>
      <c:overlay val="1"/>
      <c:txPr>
        <a:bodyPr/>
        <a:lstStyle/>
        <a:p>
          <a:pPr>
            <a:defRPr sz="1200" b="1"/>
          </a:pPr>
          <a:endParaRPr lang="en-US"/>
        </a:p>
      </c:txPr>
    </c:legend>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033629344937744"/>
          <c:y val="6.1467589409810182E-2"/>
          <c:w val="0.79795906893061952"/>
          <c:h val="0.79696222865193656"/>
        </c:manualLayout>
      </c:layout>
      <c:lineChart>
        <c:grouping val="standard"/>
        <c:varyColors val="0"/>
        <c:ser>
          <c:idx val="0"/>
          <c:order val="0"/>
          <c:tx>
            <c:strRef>
              <c:f>'Lists-Modules-ChartData'!$R$6</c:f>
              <c:strCache>
                <c:ptCount val="1"/>
                <c:pt idx="0">
                  <c:v>Baseline</c:v>
                </c:pt>
              </c:strCache>
            </c:strRef>
          </c:tx>
          <c:marker>
            <c:symbol val="none"/>
          </c:marker>
          <c:cat>
            <c:numRef>
              <c:f>'Input 5 - Scenario Design'!$E$42:$J$42</c:f>
              <c:numCache>
                <c:formatCode>General</c:formatCode>
                <c:ptCount val="6"/>
                <c:pt idx="0">
                  <c:v>2018</c:v>
                </c:pt>
                <c:pt idx="1">
                  <c:v>2019</c:v>
                </c:pt>
                <c:pt idx="2">
                  <c:v>2020</c:v>
                </c:pt>
                <c:pt idx="3">
                  <c:v>2021</c:v>
                </c:pt>
                <c:pt idx="4">
                  <c:v>2022</c:v>
                </c:pt>
                <c:pt idx="5">
                  <c:v>2023</c:v>
                </c:pt>
              </c:numCache>
            </c:numRef>
          </c:cat>
          <c:val>
            <c:numRef>
              <c:f>'Lists-Modules-ChartData'!$U$9:$Z$9</c:f>
              <c:numCache>
                <c:formatCode>0.0</c:formatCode>
                <c:ptCount val="6"/>
                <c:pt idx="0">
                  <c:v>3.5984842323630626</c:v>
                </c:pt>
                <c:pt idx="1">
                  <c:v>2.736884117115657</c:v>
                </c:pt>
                <c:pt idx="2">
                  <c:v>2.3965618199100005</c:v>
                </c:pt>
                <c:pt idx="3">
                  <c:v>1.2003971380328871</c:v>
                </c:pt>
                <c:pt idx="4">
                  <c:v>-1.4862612076263433</c:v>
                </c:pt>
                <c:pt idx="5">
                  <c:v>-2.2506508944660197</c:v>
                </c:pt>
              </c:numCache>
            </c:numRef>
          </c:val>
          <c:smooth val="0"/>
          <c:extLst>
            <c:ext xmlns:c16="http://schemas.microsoft.com/office/drawing/2014/chart" uri="{C3380CC4-5D6E-409C-BE32-E72D297353CC}">
              <c16:uniqueId val="{00000000-84D1-4C9E-BDE8-6D1BF47B375E}"/>
            </c:ext>
          </c:extLst>
        </c:ser>
        <c:ser>
          <c:idx val="1"/>
          <c:order val="1"/>
          <c:tx>
            <c:strRef>
              <c:f>'Lists-Modules-ChartData'!$R$92</c:f>
              <c:strCache>
                <c:ptCount val="1"/>
                <c:pt idx="0">
                  <c:v>Historical</c:v>
                </c:pt>
              </c:strCache>
            </c:strRef>
          </c:tx>
          <c:marker>
            <c:symbol val="none"/>
          </c:marker>
          <c:cat>
            <c:numRef>
              <c:f>'Input 5 - Scenario Design'!$E$42:$J$42</c:f>
              <c:numCache>
                <c:formatCode>General</c:formatCode>
                <c:ptCount val="6"/>
                <c:pt idx="0">
                  <c:v>2018</c:v>
                </c:pt>
                <c:pt idx="1">
                  <c:v>2019</c:v>
                </c:pt>
                <c:pt idx="2">
                  <c:v>2020</c:v>
                </c:pt>
                <c:pt idx="3">
                  <c:v>2021</c:v>
                </c:pt>
                <c:pt idx="4">
                  <c:v>2022</c:v>
                </c:pt>
                <c:pt idx="5">
                  <c:v>2023</c:v>
                </c:pt>
              </c:numCache>
            </c:numRef>
          </c:cat>
          <c:val>
            <c:numRef>
              <c:f>'Lists-Modules-ChartData'!$U$95:$Z$95</c:f>
              <c:numCache>
                <c:formatCode>0.0</c:formatCode>
                <c:ptCount val="6"/>
                <c:pt idx="0">
                  <c:v>3.5994671534530136</c:v>
                </c:pt>
                <c:pt idx="1">
                  <c:v>9.4827143147415125</c:v>
                </c:pt>
                <c:pt idx="2">
                  <c:v>16.409895134885762</c:v>
                </c:pt>
                <c:pt idx="3">
                  <c:v>23.467411293501915</c:v>
                </c:pt>
                <c:pt idx="4">
                  <c:v>27.449533776134004</c:v>
                </c:pt>
                <c:pt idx="5">
                  <c:v>30.636908438406209</c:v>
                </c:pt>
              </c:numCache>
            </c:numRef>
          </c:val>
          <c:smooth val="0"/>
          <c:extLst>
            <c:ext xmlns:c16="http://schemas.microsoft.com/office/drawing/2014/chart" uri="{C3380CC4-5D6E-409C-BE32-E72D297353CC}">
              <c16:uniqueId val="{00000001-84D1-4C9E-BDE8-6D1BF47B375E}"/>
            </c:ext>
          </c:extLst>
        </c:ser>
        <c:dLbls>
          <c:showLegendKey val="0"/>
          <c:showVal val="0"/>
          <c:showCatName val="0"/>
          <c:showSerName val="0"/>
          <c:showPercent val="0"/>
          <c:showBubbleSize val="0"/>
        </c:dLbls>
        <c:smooth val="0"/>
        <c:axId val="538169504"/>
        <c:axId val="538176168"/>
      </c:lineChart>
      <c:catAx>
        <c:axId val="538169504"/>
        <c:scaling>
          <c:orientation val="minMax"/>
        </c:scaling>
        <c:delete val="0"/>
        <c:axPos val="b"/>
        <c:numFmt formatCode="General" sourceLinked="1"/>
        <c:majorTickMark val="out"/>
        <c:minorTickMark val="none"/>
        <c:tickLblPos val="nextTo"/>
        <c:crossAx val="538176168"/>
        <c:crosses val="autoZero"/>
        <c:auto val="1"/>
        <c:lblAlgn val="ctr"/>
        <c:lblOffset val="100"/>
        <c:noMultiLvlLbl val="0"/>
      </c:catAx>
      <c:valAx>
        <c:axId val="538176168"/>
        <c:scaling>
          <c:orientation val="minMax"/>
        </c:scaling>
        <c:delete val="0"/>
        <c:axPos val="l"/>
        <c:numFmt formatCode="#,##0" sourceLinked="0"/>
        <c:majorTickMark val="out"/>
        <c:minorTickMark val="none"/>
        <c:tickLblPos val="nextTo"/>
        <c:crossAx val="538169504"/>
        <c:crosses val="autoZero"/>
        <c:crossBetween val="midCat"/>
      </c:valAx>
      <c:spPr>
        <a:ln>
          <a:solidFill>
            <a:sysClr val="window" lastClr="FFFFFF">
              <a:lumMod val="50000"/>
            </a:sysClr>
          </a:solidFill>
        </a:ln>
      </c:spPr>
    </c:plotArea>
    <c:legend>
      <c:legendPos val="b"/>
      <c:layout>
        <c:manualLayout>
          <c:xMode val="edge"/>
          <c:yMode val="edge"/>
          <c:x val="9.9665745259995747E-2"/>
          <c:y val="0.71262837193365869"/>
          <c:w val="0.82034781506463605"/>
          <c:h val="0.15153536999824074"/>
        </c:manualLayout>
      </c:layout>
      <c:overlay val="1"/>
      <c:txPr>
        <a:bodyPr/>
        <a:lstStyle/>
        <a:p>
          <a:pPr>
            <a:defRPr sz="1200" b="1"/>
          </a:pPr>
          <a:endParaRPr lang="en-US"/>
        </a:p>
      </c:txPr>
    </c:legend>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033629344937744"/>
          <c:y val="7.5183957587328723E-2"/>
          <c:w val="0.79795906893061952"/>
          <c:h val="0.78324603200616194"/>
        </c:manualLayout>
      </c:layout>
      <c:lineChart>
        <c:grouping val="standard"/>
        <c:varyColors val="0"/>
        <c:ser>
          <c:idx val="0"/>
          <c:order val="0"/>
          <c:tx>
            <c:strRef>
              <c:f>'Lists-Modules-ChartData'!$R$6</c:f>
              <c:strCache>
                <c:ptCount val="1"/>
                <c:pt idx="0">
                  <c:v>Baseline</c:v>
                </c:pt>
              </c:strCache>
            </c:strRef>
          </c:tx>
          <c:marker>
            <c:symbol val="none"/>
          </c:marker>
          <c:cat>
            <c:numRef>
              <c:f>'Input 5 - Scenario Design'!$E$42:$J$42</c:f>
              <c:numCache>
                <c:formatCode>General</c:formatCode>
                <c:ptCount val="6"/>
                <c:pt idx="0">
                  <c:v>2018</c:v>
                </c:pt>
                <c:pt idx="1">
                  <c:v>2019</c:v>
                </c:pt>
                <c:pt idx="2">
                  <c:v>2020</c:v>
                </c:pt>
                <c:pt idx="3">
                  <c:v>2021</c:v>
                </c:pt>
                <c:pt idx="4">
                  <c:v>2022</c:v>
                </c:pt>
                <c:pt idx="5">
                  <c:v>2023</c:v>
                </c:pt>
              </c:numCache>
            </c:numRef>
          </c:cat>
          <c:val>
            <c:numRef>
              <c:f>'Lists-Modules-ChartData'!$U$7:$Z$7</c:f>
              <c:numCache>
                <c:formatCode>0.0</c:formatCode>
                <c:ptCount val="6"/>
                <c:pt idx="0">
                  <c:v>37.084342131638088</c:v>
                </c:pt>
                <c:pt idx="1">
                  <c:v>35.351552504862923</c:v>
                </c:pt>
                <c:pt idx="2">
                  <c:v>33.542090376828199</c:v>
                </c:pt>
                <c:pt idx="3">
                  <c:v>32.056160655910695</c:v>
                </c:pt>
                <c:pt idx="4">
                  <c:v>29.915873102736189</c:v>
                </c:pt>
                <c:pt idx="5">
                  <c:v>27.903074435380589</c:v>
                </c:pt>
              </c:numCache>
            </c:numRef>
          </c:val>
          <c:smooth val="0"/>
          <c:extLst>
            <c:ext xmlns:c16="http://schemas.microsoft.com/office/drawing/2014/chart" uri="{C3380CC4-5D6E-409C-BE32-E72D297353CC}">
              <c16:uniqueId val="{00000000-3D60-43BA-845E-686C8DDC67A2}"/>
            </c:ext>
          </c:extLst>
        </c:ser>
        <c:ser>
          <c:idx val="1"/>
          <c:order val="1"/>
          <c:tx>
            <c:strRef>
              <c:f>'Lists-Modules-ChartData'!$R$106</c:f>
              <c:strCache>
                <c:ptCount val="1"/>
                <c:pt idx="0">
                  <c:v>Constant Primary Balance</c:v>
                </c:pt>
              </c:strCache>
            </c:strRef>
          </c:tx>
          <c:marker>
            <c:symbol val="none"/>
          </c:marker>
          <c:cat>
            <c:numRef>
              <c:f>'Input 5 - Scenario Design'!$E$42:$J$42</c:f>
              <c:numCache>
                <c:formatCode>General</c:formatCode>
                <c:ptCount val="6"/>
                <c:pt idx="0">
                  <c:v>2018</c:v>
                </c:pt>
                <c:pt idx="1">
                  <c:v>2019</c:v>
                </c:pt>
                <c:pt idx="2">
                  <c:v>2020</c:v>
                </c:pt>
                <c:pt idx="3">
                  <c:v>2021</c:v>
                </c:pt>
                <c:pt idx="4">
                  <c:v>2022</c:v>
                </c:pt>
                <c:pt idx="5">
                  <c:v>2023</c:v>
                </c:pt>
              </c:numCache>
            </c:numRef>
          </c:cat>
          <c:val>
            <c:numRef>
              <c:f>'Lists-Modules-ChartData'!$U$107:$Z$107</c:f>
              <c:numCache>
                <c:formatCode>0.0</c:formatCode>
                <c:ptCount val="6"/>
                <c:pt idx="0">
                  <c:v>37.094606570883371</c:v>
                </c:pt>
                <c:pt idx="1">
                  <c:v>36.564685698719956</c:v>
                </c:pt>
                <c:pt idx="2">
                  <c:v>35.628480229218965</c:v>
                </c:pt>
                <c:pt idx="3">
                  <c:v>34.33289445990934</c:v>
                </c:pt>
                <c:pt idx="4">
                  <c:v>33.249382103886063</c:v>
                </c:pt>
                <c:pt idx="5">
                  <c:v>32.23107541547607</c:v>
                </c:pt>
              </c:numCache>
            </c:numRef>
          </c:val>
          <c:smooth val="0"/>
          <c:extLst>
            <c:ext xmlns:c16="http://schemas.microsoft.com/office/drawing/2014/chart" uri="{C3380CC4-5D6E-409C-BE32-E72D297353CC}">
              <c16:uniqueId val="{00000001-3D60-43BA-845E-686C8DDC67A2}"/>
            </c:ext>
          </c:extLst>
        </c:ser>
        <c:dLbls>
          <c:showLegendKey val="0"/>
          <c:showVal val="0"/>
          <c:showCatName val="0"/>
          <c:showSerName val="0"/>
          <c:showPercent val="0"/>
          <c:showBubbleSize val="0"/>
        </c:dLbls>
        <c:smooth val="0"/>
        <c:axId val="538174600"/>
        <c:axId val="538175776"/>
      </c:lineChart>
      <c:catAx>
        <c:axId val="538174600"/>
        <c:scaling>
          <c:orientation val="minMax"/>
        </c:scaling>
        <c:delete val="0"/>
        <c:axPos val="b"/>
        <c:numFmt formatCode="General" sourceLinked="1"/>
        <c:majorTickMark val="out"/>
        <c:minorTickMark val="none"/>
        <c:tickLblPos val="nextTo"/>
        <c:crossAx val="538175776"/>
        <c:crosses val="autoZero"/>
        <c:auto val="1"/>
        <c:lblAlgn val="ctr"/>
        <c:lblOffset val="100"/>
        <c:noMultiLvlLbl val="0"/>
      </c:catAx>
      <c:valAx>
        <c:axId val="538175776"/>
        <c:scaling>
          <c:orientation val="minMax"/>
        </c:scaling>
        <c:delete val="0"/>
        <c:axPos val="l"/>
        <c:numFmt formatCode="#,##0" sourceLinked="0"/>
        <c:majorTickMark val="out"/>
        <c:minorTickMark val="none"/>
        <c:tickLblPos val="nextTo"/>
        <c:crossAx val="538174600"/>
        <c:crosses val="autoZero"/>
        <c:crossBetween val="midCat"/>
      </c:valAx>
      <c:spPr>
        <a:ln>
          <a:solidFill>
            <a:sysClr val="window" lastClr="FFFFFF">
              <a:lumMod val="50000"/>
            </a:sysClr>
          </a:solidFill>
        </a:ln>
      </c:spPr>
    </c:plotArea>
    <c:legend>
      <c:legendPos val="b"/>
      <c:layout>
        <c:manualLayout>
          <c:xMode val="edge"/>
          <c:yMode val="edge"/>
          <c:x val="9.2024787521116883E-2"/>
          <c:y val="0.66060072765446876"/>
          <c:w val="0.83704304602819057"/>
          <c:h val="0.18653674451110894"/>
        </c:manualLayout>
      </c:layout>
      <c:overlay val="1"/>
      <c:txPr>
        <a:bodyPr/>
        <a:lstStyle/>
        <a:p>
          <a:pPr>
            <a:defRPr sz="1200" b="1"/>
          </a:pPr>
          <a:endParaRPr lang="en-US"/>
        </a:p>
      </c:txPr>
    </c:legend>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033629344937744"/>
          <c:y val="6.1467589409810182E-2"/>
          <c:w val="0.79795906893061952"/>
          <c:h val="0.79696222865193656"/>
        </c:manualLayout>
      </c:layout>
      <c:lineChart>
        <c:grouping val="standard"/>
        <c:varyColors val="0"/>
        <c:ser>
          <c:idx val="0"/>
          <c:order val="0"/>
          <c:tx>
            <c:strRef>
              <c:f>'Lists-Modules-ChartData'!$R$6</c:f>
              <c:strCache>
                <c:ptCount val="1"/>
                <c:pt idx="0">
                  <c:v>Baseline</c:v>
                </c:pt>
              </c:strCache>
            </c:strRef>
          </c:tx>
          <c:marker>
            <c:symbol val="none"/>
          </c:marker>
          <c:cat>
            <c:numRef>
              <c:f>'Input 5 - Scenario Design'!$E$42:$J$42</c:f>
              <c:numCache>
                <c:formatCode>General</c:formatCode>
                <c:ptCount val="6"/>
                <c:pt idx="0">
                  <c:v>2018</c:v>
                </c:pt>
                <c:pt idx="1">
                  <c:v>2019</c:v>
                </c:pt>
                <c:pt idx="2">
                  <c:v>2020</c:v>
                </c:pt>
                <c:pt idx="3">
                  <c:v>2021</c:v>
                </c:pt>
                <c:pt idx="4">
                  <c:v>2022</c:v>
                </c:pt>
                <c:pt idx="5">
                  <c:v>2023</c:v>
                </c:pt>
              </c:numCache>
            </c:numRef>
          </c:cat>
          <c:val>
            <c:numRef>
              <c:f>'Lists-Modules-ChartData'!$U$9:$Z$9</c:f>
              <c:numCache>
                <c:formatCode>0.0</c:formatCode>
                <c:ptCount val="6"/>
                <c:pt idx="0">
                  <c:v>3.5984842323630626</c:v>
                </c:pt>
                <c:pt idx="1">
                  <c:v>2.736884117115657</c:v>
                </c:pt>
                <c:pt idx="2">
                  <c:v>2.3965618199100005</c:v>
                </c:pt>
                <c:pt idx="3">
                  <c:v>1.2003971380328871</c:v>
                </c:pt>
                <c:pt idx="4">
                  <c:v>-1.4862612076263433</c:v>
                </c:pt>
                <c:pt idx="5">
                  <c:v>-2.2506508944660197</c:v>
                </c:pt>
              </c:numCache>
            </c:numRef>
          </c:val>
          <c:smooth val="0"/>
          <c:extLst>
            <c:ext xmlns:c16="http://schemas.microsoft.com/office/drawing/2014/chart" uri="{C3380CC4-5D6E-409C-BE32-E72D297353CC}">
              <c16:uniqueId val="{00000000-A09E-4881-91C8-632376B63145}"/>
            </c:ext>
          </c:extLst>
        </c:ser>
        <c:ser>
          <c:idx val="1"/>
          <c:order val="1"/>
          <c:tx>
            <c:strRef>
              <c:f>'Lists-Modules-ChartData'!$R$106</c:f>
              <c:strCache>
                <c:ptCount val="1"/>
                <c:pt idx="0">
                  <c:v>Constant Primary Balance</c:v>
                </c:pt>
              </c:strCache>
            </c:strRef>
          </c:tx>
          <c:marker>
            <c:symbol val="none"/>
          </c:marker>
          <c:cat>
            <c:numRef>
              <c:f>'Input 5 - Scenario Design'!$E$42:$J$42</c:f>
              <c:numCache>
                <c:formatCode>General</c:formatCode>
                <c:ptCount val="6"/>
                <c:pt idx="0">
                  <c:v>2018</c:v>
                </c:pt>
                <c:pt idx="1">
                  <c:v>2019</c:v>
                </c:pt>
                <c:pt idx="2">
                  <c:v>2020</c:v>
                </c:pt>
                <c:pt idx="3">
                  <c:v>2021</c:v>
                </c:pt>
                <c:pt idx="4">
                  <c:v>2022</c:v>
                </c:pt>
                <c:pt idx="5">
                  <c:v>2023</c:v>
                </c:pt>
              </c:numCache>
            </c:numRef>
          </c:cat>
          <c:val>
            <c:numRef>
              <c:f>'Lists-Modules-ChartData'!$U$109:$Z$109</c:f>
              <c:numCache>
                <c:formatCode>0.0</c:formatCode>
                <c:ptCount val="6"/>
                <c:pt idx="0">
                  <c:v>3.5994671534530136</c:v>
                </c:pt>
                <c:pt idx="1">
                  <c:v>7.1027380579709201</c:v>
                </c:pt>
                <c:pt idx="2">
                  <c:v>11.30996484227207</c:v>
                </c:pt>
                <c:pt idx="3">
                  <c:v>15.18494945063879</c:v>
                </c:pt>
                <c:pt idx="4">
                  <c:v>15.811176472283067</c:v>
                </c:pt>
                <c:pt idx="5">
                  <c:v>15.612730162513284</c:v>
                </c:pt>
              </c:numCache>
            </c:numRef>
          </c:val>
          <c:smooth val="0"/>
          <c:extLst>
            <c:ext xmlns:c16="http://schemas.microsoft.com/office/drawing/2014/chart" uri="{C3380CC4-5D6E-409C-BE32-E72D297353CC}">
              <c16:uniqueId val="{00000001-A09E-4881-91C8-632376B63145}"/>
            </c:ext>
          </c:extLst>
        </c:ser>
        <c:dLbls>
          <c:showLegendKey val="0"/>
          <c:showVal val="0"/>
          <c:showCatName val="0"/>
          <c:showSerName val="0"/>
          <c:showPercent val="0"/>
          <c:showBubbleSize val="0"/>
        </c:dLbls>
        <c:smooth val="0"/>
        <c:axId val="538170680"/>
        <c:axId val="538176560"/>
      </c:lineChart>
      <c:catAx>
        <c:axId val="538170680"/>
        <c:scaling>
          <c:orientation val="minMax"/>
        </c:scaling>
        <c:delete val="0"/>
        <c:axPos val="b"/>
        <c:numFmt formatCode="General" sourceLinked="1"/>
        <c:majorTickMark val="out"/>
        <c:minorTickMark val="none"/>
        <c:tickLblPos val="nextTo"/>
        <c:crossAx val="538176560"/>
        <c:crosses val="autoZero"/>
        <c:auto val="1"/>
        <c:lblAlgn val="ctr"/>
        <c:lblOffset val="100"/>
        <c:noMultiLvlLbl val="0"/>
      </c:catAx>
      <c:valAx>
        <c:axId val="538176560"/>
        <c:scaling>
          <c:orientation val="minMax"/>
        </c:scaling>
        <c:delete val="0"/>
        <c:axPos val="l"/>
        <c:numFmt formatCode="#,##0" sourceLinked="0"/>
        <c:majorTickMark val="out"/>
        <c:minorTickMark val="none"/>
        <c:tickLblPos val="nextTo"/>
        <c:crossAx val="538170680"/>
        <c:crosses val="autoZero"/>
        <c:crossBetween val="midCat"/>
      </c:valAx>
      <c:spPr>
        <a:ln>
          <a:solidFill>
            <a:sysClr val="window" lastClr="FFFFFF">
              <a:lumMod val="50000"/>
            </a:sysClr>
          </a:solidFill>
        </a:ln>
      </c:spPr>
    </c:plotArea>
    <c:legend>
      <c:legendPos val="b"/>
      <c:layout>
        <c:manualLayout>
          <c:xMode val="edge"/>
          <c:yMode val="edge"/>
          <c:x val="9.54659762213E-2"/>
          <c:y val="0.64730389233858387"/>
          <c:w val="0.82020842323510335"/>
          <c:h val="0.19915354395078017"/>
        </c:manualLayout>
      </c:layout>
      <c:overlay val="1"/>
      <c:txPr>
        <a:bodyPr/>
        <a:lstStyle/>
        <a:p>
          <a:pPr>
            <a:defRPr sz="1200" b="1"/>
          </a:pPr>
          <a:endParaRPr lang="en-US"/>
        </a:p>
      </c:txPr>
    </c:legend>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033629344937744"/>
          <c:y val="7.5183957587328723E-2"/>
          <c:w val="0.79795906893061952"/>
          <c:h val="0.78324603200616194"/>
        </c:manualLayout>
      </c:layout>
      <c:lineChart>
        <c:grouping val="standard"/>
        <c:varyColors val="0"/>
        <c:ser>
          <c:idx val="0"/>
          <c:order val="0"/>
          <c:tx>
            <c:strRef>
              <c:f>'Lists-Modules-ChartData'!$R$6</c:f>
              <c:strCache>
                <c:ptCount val="1"/>
                <c:pt idx="0">
                  <c:v>Baseline</c:v>
                </c:pt>
              </c:strCache>
            </c:strRef>
          </c:tx>
          <c:marker>
            <c:symbol val="none"/>
          </c:marker>
          <c:cat>
            <c:numRef>
              <c:f>'Input 5 - Scenario Design'!$E$42:$J$42</c:f>
              <c:numCache>
                <c:formatCode>General</c:formatCode>
                <c:ptCount val="6"/>
                <c:pt idx="0">
                  <c:v>2018</c:v>
                </c:pt>
                <c:pt idx="1">
                  <c:v>2019</c:v>
                </c:pt>
                <c:pt idx="2">
                  <c:v>2020</c:v>
                </c:pt>
                <c:pt idx="3">
                  <c:v>2021</c:v>
                </c:pt>
                <c:pt idx="4">
                  <c:v>2022</c:v>
                </c:pt>
                <c:pt idx="5">
                  <c:v>2023</c:v>
                </c:pt>
              </c:numCache>
            </c:numRef>
          </c:cat>
          <c:val>
            <c:numRef>
              <c:f>'Lists-Modules-ChartData'!$U$7:$Z$7</c:f>
              <c:numCache>
                <c:formatCode>0.0</c:formatCode>
                <c:ptCount val="6"/>
                <c:pt idx="0">
                  <c:v>37.084342131638088</c:v>
                </c:pt>
                <c:pt idx="1">
                  <c:v>35.351552504862923</c:v>
                </c:pt>
                <c:pt idx="2">
                  <c:v>33.542090376828199</c:v>
                </c:pt>
                <c:pt idx="3">
                  <c:v>32.056160655910695</c:v>
                </c:pt>
                <c:pt idx="4">
                  <c:v>29.915873102736189</c:v>
                </c:pt>
                <c:pt idx="5">
                  <c:v>27.903074435380589</c:v>
                </c:pt>
              </c:numCache>
            </c:numRef>
          </c:val>
          <c:smooth val="0"/>
          <c:extLst>
            <c:ext xmlns:c16="http://schemas.microsoft.com/office/drawing/2014/chart" uri="{C3380CC4-5D6E-409C-BE32-E72D297353CC}">
              <c16:uniqueId val="{00000000-2D34-48F2-B219-F0A8EE9156ED}"/>
            </c:ext>
          </c:extLst>
        </c:ser>
        <c:ser>
          <c:idx val="1"/>
          <c:order val="1"/>
          <c:tx>
            <c:strRef>
              <c:f>'Lists-Modules-ChartData'!$R$120</c:f>
              <c:strCache>
                <c:ptCount val="1"/>
                <c:pt idx="0">
                  <c:v>Contingent Liability shock</c:v>
                </c:pt>
              </c:strCache>
            </c:strRef>
          </c:tx>
          <c:marker>
            <c:symbol val="none"/>
          </c:marker>
          <c:cat>
            <c:numRef>
              <c:f>'Input 5 - Scenario Design'!$E$42:$J$42</c:f>
              <c:numCache>
                <c:formatCode>General</c:formatCode>
                <c:ptCount val="6"/>
                <c:pt idx="0">
                  <c:v>2018</c:v>
                </c:pt>
                <c:pt idx="1">
                  <c:v>2019</c:v>
                </c:pt>
                <c:pt idx="2">
                  <c:v>2020</c:v>
                </c:pt>
                <c:pt idx="3">
                  <c:v>2021</c:v>
                </c:pt>
                <c:pt idx="4">
                  <c:v>2022</c:v>
                </c:pt>
                <c:pt idx="5">
                  <c:v>2023</c:v>
                </c:pt>
              </c:numCache>
            </c:numRef>
          </c:cat>
          <c:val>
            <c:numRef>
              <c:f>'Lists-Modules-ChartData'!$U$121:$Z$121</c:f>
              <c:numCache>
                <c:formatCode>0.0</c:formatCode>
                <c:ptCount val="6"/>
                <c:pt idx="0">
                  <c:v>37.094606570883371</c:v>
                </c:pt>
                <c:pt idx="1">
                  <c:v>47.766600541061734</c:v>
                </c:pt>
                <c:pt idx="2">
                  <c:v>50.54855835470623</c:v>
                </c:pt>
                <c:pt idx="3">
                  <c:v>48.87245054615348</c:v>
                </c:pt>
                <c:pt idx="4">
                  <c:v>47.461013602690457</c:v>
                </c:pt>
                <c:pt idx="5">
                  <c:v>46.125437322831736</c:v>
                </c:pt>
              </c:numCache>
            </c:numRef>
          </c:val>
          <c:smooth val="0"/>
          <c:extLst>
            <c:ext xmlns:c16="http://schemas.microsoft.com/office/drawing/2014/chart" uri="{C3380CC4-5D6E-409C-BE32-E72D297353CC}">
              <c16:uniqueId val="{00000001-2D34-48F2-B219-F0A8EE9156ED}"/>
            </c:ext>
          </c:extLst>
        </c:ser>
        <c:dLbls>
          <c:showLegendKey val="0"/>
          <c:showVal val="0"/>
          <c:showCatName val="0"/>
          <c:showSerName val="0"/>
          <c:showPercent val="0"/>
          <c:showBubbleSize val="0"/>
        </c:dLbls>
        <c:smooth val="0"/>
        <c:axId val="538171464"/>
        <c:axId val="538172248"/>
      </c:lineChart>
      <c:catAx>
        <c:axId val="538171464"/>
        <c:scaling>
          <c:orientation val="minMax"/>
        </c:scaling>
        <c:delete val="0"/>
        <c:axPos val="b"/>
        <c:numFmt formatCode="General" sourceLinked="1"/>
        <c:majorTickMark val="out"/>
        <c:minorTickMark val="none"/>
        <c:tickLblPos val="nextTo"/>
        <c:crossAx val="538172248"/>
        <c:crosses val="autoZero"/>
        <c:auto val="1"/>
        <c:lblAlgn val="ctr"/>
        <c:lblOffset val="100"/>
        <c:noMultiLvlLbl val="0"/>
      </c:catAx>
      <c:valAx>
        <c:axId val="538172248"/>
        <c:scaling>
          <c:orientation val="minMax"/>
        </c:scaling>
        <c:delete val="0"/>
        <c:axPos val="l"/>
        <c:numFmt formatCode="#,##0" sourceLinked="0"/>
        <c:majorTickMark val="out"/>
        <c:minorTickMark val="none"/>
        <c:tickLblPos val="nextTo"/>
        <c:crossAx val="538171464"/>
        <c:crosses val="autoZero"/>
        <c:crossBetween val="midCat"/>
      </c:valAx>
      <c:spPr>
        <a:ln>
          <a:solidFill>
            <a:sysClr val="window" lastClr="FFFFFF">
              <a:lumMod val="50000"/>
            </a:sysClr>
          </a:solidFill>
        </a:ln>
      </c:spPr>
    </c:plotArea>
    <c:legend>
      <c:legendPos val="b"/>
      <c:layout>
        <c:manualLayout>
          <c:xMode val="edge"/>
          <c:yMode val="edge"/>
          <c:x val="9.2024841404828722E-2"/>
          <c:y val="0.67241854010700353"/>
          <c:w val="0.83621369118579281"/>
          <c:h val="0.17471887188637336"/>
        </c:manualLayout>
      </c:layout>
      <c:overlay val="1"/>
      <c:txPr>
        <a:bodyPr/>
        <a:lstStyle/>
        <a:p>
          <a:pPr>
            <a:defRPr sz="1200" b="1"/>
          </a:pPr>
          <a:endParaRPr lang="en-US"/>
        </a:p>
      </c:txPr>
    </c:legend>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033629344937744"/>
          <c:y val="6.1467589409810182E-2"/>
          <c:w val="0.79795906893061952"/>
          <c:h val="0.79696222865193656"/>
        </c:manualLayout>
      </c:layout>
      <c:lineChart>
        <c:grouping val="standard"/>
        <c:varyColors val="0"/>
        <c:ser>
          <c:idx val="0"/>
          <c:order val="0"/>
          <c:tx>
            <c:strRef>
              <c:f>'Lists-Modules-ChartData'!$R$6</c:f>
              <c:strCache>
                <c:ptCount val="1"/>
                <c:pt idx="0">
                  <c:v>Baseline</c:v>
                </c:pt>
              </c:strCache>
            </c:strRef>
          </c:tx>
          <c:marker>
            <c:symbol val="none"/>
          </c:marker>
          <c:cat>
            <c:numRef>
              <c:f>'Input 5 - Scenario Design'!$E$42:$J$42</c:f>
              <c:numCache>
                <c:formatCode>General</c:formatCode>
                <c:ptCount val="6"/>
                <c:pt idx="0">
                  <c:v>2018</c:v>
                </c:pt>
                <c:pt idx="1">
                  <c:v>2019</c:v>
                </c:pt>
                <c:pt idx="2">
                  <c:v>2020</c:v>
                </c:pt>
                <c:pt idx="3">
                  <c:v>2021</c:v>
                </c:pt>
                <c:pt idx="4">
                  <c:v>2022</c:v>
                </c:pt>
                <c:pt idx="5">
                  <c:v>2023</c:v>
                </c:pt>
              </c:numCache>
            </c:numRef>
          </c:cat>
          <c:val>
            <c:numRef>
              <c:f>'Lists-Modules-ChartData'!$U$9:$Z$9</c:f>
              <c:numCache>
                <c:formatCode>0.0</c:formatCode>
                <c:ptCount val="6"/>
                <c:pt idx="0">
                  <c:v>3.5984842323630626</c:v>
                </c:pt>
                <c:pt idx="1">
                  <c:v>2.736884117115657</c:v>
                </c:pt>
                <c:pt idx="2">
                  <c:v>2.3965618199100005</c:v>
                </c:pt>
                <c:pt idx="3">
                  <c:v>1.2003971380328871</c:v>
                </c:pt>
                <c:pt idx="4">
                  <c:v>-1.4862612076263433</c:v>
                </c:pt>
                <c:pt idx="5">
                  <c:v>-2.2506508944660197</c:v>
                </c:pt>
              </c:numCache>
            </c:numRef>
          </c:val>
          <c:smooth val="0"/>
          <c:extLst>
            <c:ext xmlns:c16="http://schemas.microsoft.com/office/drawing/2014/chart" uri="{C3380CC4-5D6E-409C-BE32-E72D297353CC}">
              <c16:uniqueId val="{00000000-A5D7-46AF-A3C3-642406CA1D65}"/>
            </c:ext>
          </c:extLst>
        </c:ser>
        <c:ser>
          <c:idx val="1"/>
          <c:order val="1"/>
          <c:tx>
            <c:strRef>
              <c:f>'Lists-Modules-ChartData'!$R$120</c:f>
              <c:strCache>
                <c:ptCount val="1"/>
                <c:pt idx="0">
                  <c:v>Contingent Liability shock</c:v>
                </c:pt>
              </c:strCache>
            </c:strRef>
          </c:tx>
          <c:marker>
            <c:symbol val="none"/>
          </c:marker>
          <c:cat>
            <c:numRef>
              <c:f>'Input 5 - Scenario Design'!$E$42:$J$42</c:f>
              <c:numCache>
                <c:formatCode>General</c:formatCode>
                <c:ptCount val="6"/>
                <c:pt idx="0">
                  <c:v>2018</c:v>
                </c:pt>
                <c:pt idx="1">
                  <c:v>2019</c:v>
                </c:pt>
                <c:pt idx="2">
                  <c:v>2020</c:v>
                </c:pt>
                <c:pt idx="3">
                  <c:v>2021</c:v>
                </c:pt>
                <c:pt idx="4">
                  <c:v>2022</c:v>
                </c:pt>
                <c:pt idx="5">
                  <c:v>2023</c:v>
                </c:pt>
              </c:numCache>
            </c:numRef>
          </c:cat>
          <c:val>
            <c:numRef>
              <c:f>'Lists-Modules-ChartData'!$U$123:$Z$123</c:f>
              <c:numCache>
                <c:formatCode>0.0</c:formatCode>
                <c:ptCount val="6"/>
                <c:pt idx="0">
                  <c:v>3.5994671534530136</c:v>
                </c:pt>
                <c:pt idx="1">
                  <c:v>15.976310236931591</c:v>
                </c:pt>
                <c:pt idx="2">
                  <c:v>21.543964993845215</c:v>
                </c:pt>
                <c:pt idx="3">
                  <c:v>25.729762330819756</c:v>
                </c:pt>
                <c:pt idx="4">
                  <c:v>26.355793282216748</c:v>
                </c:pt>
                <c:pt idx="5">
                  <c:v>25.997615832423598</c:v>
                </c:pt>
              </c:numCache>
            </c:numRef>
          </c:val>
          <c:smooth val="0"/>
          <c:extLst>
            <c:ext xmlns:c16="http://schemas.microsoft.com/office/drawing/2014/chart" uri="{C3380CC4-5D6E-409C-BE32-E72D297353CC}">
              <c16:uniqueId val="{00000001-A5D7-46AF-A3C3-642406CA1D65}"/>
            </c:ext>
          </c:extLst>
        </c:ser>
        <c:dLbls>
          <c:showLegendKey val="0"/>
          <c:showVal val="0"/>
          <c:showCatName val="0"/>
          <c:showSerName val="0"/>
          <c:showPercent val="0"/>
          <c:showBubbleSize val="0"/>
        </c:dLbls>
        <c:smooth val="0"/>
        <c:axId val="537810576"/>
        <c:axId val="537815672"/>
      </c:lineChart>
      <c:catAx>
        <c:axId val="537810576"/>
        <c:scaling>
          <c:orientation val="minMax"/>
        </c:scaling>
        <c:delete val="0"/>
        <c:axPos val="b"/>
        <c:numFmt formatCode="General" sourceLinked="1"/>
        <c:majorTickMark val="out"/>
        <c:minorTickMark val="none"/>
        <c:tickLblPos val="nextTo"/>
        <c:crossAx val="537815672"/>
        <c:crosses val="autoZero"/>
        <c:auto val="1"/>
        <c:lblAlgn val="ctr"/>
        <c:lblOffset val="100"/>
        <c:noMultiLvlLbl val="0"/>
      </c:catAx>
      <c:valAx>
        <c:axId val="537815672"/>
        <c:scaling>
          <c:orientation val="minMax"/>
        </c:scaling>
        <c:delete val="0"/>
        <c:axPos val="l"/>
        <c:numFmt formatCode="#,##0" sourceLinked="0"/>
        <c:majorTickMark val="out"/>
        <c:minorTickMark val="none"/>
        <c:tickLblPos val="nextTo"/>
        <c:crossAx val="537810576"/>
        <c:crosses val="autoZero"/>
        <c:crossBetween val="midCat"/>
      </c:valAx>
      <c:spPr>
        <a:ln>
          <a:solidFill>
            <a:sysClr val="window" lastClr="FFFFFF">
              <a:lumMod val="50000"/>
            </a:sysClr>
          </a:solidFill>
        </a:ln>
      </c:spPr>
    </c:plotArea>
    <c:legend>
      <c:legendPos val="b"/>
      <c:layout>
        <c:manualLayout>
          <c:xMode val="edge"/>
          <c:yMode val="edge"/>
          <c:x val="9.547353194961683E-2"/>
          <c:y val="0.66511478233491073"/>
          <c:w val="0.82873224168538862"/>
          <c:h val="0.18728821081054758"/>
        </c:manualLayout>
      </c:layout>
      <c:overlay val="1"/>
      <c:txPr>
        <a:bodyPr/>
        <a:lstStyle/>
        <a:p>
          <a:pPr>
            <a:defRPr sz="1200" b="1"/>
          </a:pPr>
          <a:endParaRPr lang="en-US"/>
        </a:p>
      </c:txPr>
    </c:legend>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033629344937744"/>
          <c:y val="7.5183957587328723E-2"/>
          <c:w val="0.79795906893061952"/>
          <c:h val="0.78324603200616194"/>
        </c:manualLayout>
      </c:layout>
      <c:lineChart>
        <c:grouping val="standard"/>
        <c:varyColors val="0"/>
        <c:ser>
          <c:idx val="0"/>
          <c:order val="0"/>
          <c:tx>
            <c:strRef>
              <c:f>'Lists-Modules-ChartData'!$R$6</c:f>
              <c:strCache>
                <c:ptCount val="1"/>
                <c:pt idx="0">
                  <c:v>Baseline</c:v>
                </c:pt>
              </c:strCache>
            </c:strRef>
          </c:tx>
          <c:marker>
            <c:symbol val="none"/>
          </c:marker>
          <c:cat>
            <c:numRef>
              <c:f>'Input 5 - Scenario Design'!$E$42:$J$42</c:f>
              <c:numCache>
                <c:formatCode>General</c:formatCode>
                <c:ptCount val="6"/>
                <c:pt idx="0">
                  <c:v>2018</c:v>
                </c:pt>
                <c:pt idx="1">
                  <c:v>2019</c:v>
                </c:pt>
                <c:pt idx="2">
                  <c:v>2020</c:v>
                </c:pt>
                <c:pt idx="3">
                  <c:v>2021</c:v>
                </c:pt>
                <c:pt idx="4">
                  <c:v>2022</c:v>
                </c:pt>
                <c:pt idx="5">
                  <c:v>2023</c:v>
                </c:pt>
              </c:numCache>
            </c:numRef>
          </c:cat>
          <c:val>
            <c:numRef>
              <c:f>'Lists-Modules-ChartData'!$U$7:$Z$7</c:f>
              <c:numCache>
                <c:formatCode>0.0</c:formatCode>
                <c:ptCount val="6"/>
                <c:pt idx="0">
                  <c:v>37.084342131638088</c:v>
                </c:pt>
                <c:pt idx="1">
                  <c:v>35.351552504862923</c:v>
                </c:pt>
                <c:pt idx="2">
                  <c:v>33.542090376828199</c:v>
                </c:pt>
                <c:pt idx="3">
                  <c:v>32.056160655910695</c:v>
                </c:pt>
                <c:pt idx="4">
                  <c:v>29.915873102736189</c:v>
                </c:pt>
                <c:pt idx="5">
                  <c:v>27.903074435380589</c:v>
                </c:pt>
              </c:numCache>
            </c:numRef>
          </c:val>
          <c:smooth val="0"/>
          <c:extLst>
            <c:ext xmlns:c16="http://schemas.microsoft.com/office/drawing/2014/chart" uri="{C3380CC4-5D6E-409C-BE32-E72D297353CC}">
              <c16:uniqueId val="{00000000-F5C8-411E-A8C3-CB1B28689B1A}"/>
            </c:ext>
          </c:extLst>
        </c:ser>
        <c:ser>
          <c:idx val="1"/>
          <c:order val="1"/>
          <c:tx>
            <c:strRef>
              <c:f>'Lists-Modules-ChartData'!$R$78</c:f>
              <c:strCache>
                <c:ptCount val="1"/>
                <c:pt idx="0">
                  <c:v>Combined shock</c:v>
                </c:pt>
              </c:strCache>
            </c:strRef>
          </c:tx>
          <c:marker>
            <c:symbol val="none"/>
          </c:marker>
          <c:cat>
            <c:numRef>
              <c:f>'Input 5 - Scenario Design'!$E$42:$J$42</c:f>
              <c:numCache>
                <c:formatCode>General</c:formatCode>
                <c:ptCount val="6"/>
                <c:pt idx="0">
                  <c:v>2018</c:v>
                </c:pt>
                <c:pt idx="1">
                  <c:v>2019</c:v>
                </c:pt>
                <c:pt idx="2">
                  <c:v>2020</c:v>
                </c:pt>
                <c:pt idx="3">
                  <c:v>2021</c:v>
                </c:pt>
                <c:pt idx="4">
                  <c:v>2022</c:v>
                </c:pt>
                <c:pt idx="5">
                  <c:v>2023</c:v>
                </c:pt>
              </c:numCache>
            </c:numRef>
          </c:cat>
          <c:val>
            <c:numRef>
              <c:f>'Lists-Modules-ChartData'!$U$79:$Z$79</c:f>
              <c:numCache>
                <c:formatCode>0.0</c:formatCode>
                <c:ptCount val="6"/>
                <c:pt idx="0">
                  <c:v>37.094606570883371</c:v>
                </c:pt>
                <c:pt idx="1">
                  <c:v>41.110895240749436</c:v>
                </c:pt>
                <c:pt idx="2">
                  <c:v>46.533080176173428</c:v>
                </c:pt>
                <c:pt idx="3">
                  <c:v>48.0787275778465</c:v>
                </c:pt>
                <c:pt idx="4">
                  <c:v>51.189894470002628</c:v>
                </c:pt>
                <c:pt idx="5">
                  <c:v>55.192876053756414</c:v>
                </c:pt>
              </c:numCache>
            </c:numRef>
          </c:val>
          <c:smooth val="0"/>
          <c:extLst>
            <c:ext xmlns:c16="http://schemas.microsoft.com/office/drawing/2014/chart" uri="{C3380CC4-5D6E-409C-BE32-E72D297353CC}">
              <c16:uniqueId val="{00000001-F5C8-411E-A8C3-CB1B28689B1A}"/>
            </c:ext>
          </c:extLst>
        </c:ser>
        <c:dLbls>
          <c:showLegendKey val="0"/>
          <c:showVal val="0"/>
          <c:showCatName val="0"/>
          <c:showSerName val="0"/>
          <c:showPercent val="0"/>
          <c:showBubbleSize val="0"/>
        </c:dLbls>
        <c:smooth val="0"/>
        <c:axId val="537812144"/>
        <c:axId val="537811752"/>
      </c:lineChart>
      <c:catAx>
        <c:axId val="537812144"/>
        <c:scaling>
          <c:orientation val="minMax"/>
        </c:scaling>
        <c:delete val="0"/>
        <c:axPos val="b"/>
        <c:numFmt formatCode="General" sourceLinked="1"/>
        <c:majorTickMark val="out"/>
        <c:minorTickMark val="none"/>
        <c:tickLblPos val="nextTo"/>
        <c:crossAx val="537811752"/>
        <c:crosses val="autoZero"/>
        <c:auto val="1"/>
        <c:lblAlgn val="ctr"/>
        <c:lblOffset val="100"/>
        <c:noMultiLvlLbl val="0"/>
      </c:catAx>
      <c:valAx>
        <c:axId val="537811752"/>
        <c:scaling>
          <c:orientation val="minMax"/>
        </c:scaling>
        <c:delete val="0"/>
        <c:axPos val="l"/>
        <c:numFmt formatCode="#,##0" sourceLinked="0"/>
        <c:majorTickMark val="out"/>
        <c:minorTickMark val="none"/>
        <c:tickLblPos val="nextTo"/>
        <c:crossAx val="537812144"/>
        <c:crosses val="autoZero"/>
        <c:crossBetween val="midCat"/>
      </c:valAx>
      <c:spPr>
        <a:ln>
          <a:solidFill>
            <a:sysClr val="window" lastClr="FFFFFF">
              <a:lumMod val="50000"/>
            </a:sysClr>
          </a:solidFill>
        </a:ln>
      </c:spPr>
    </c:plotArea>
    <c:legend>
      <c:legendPos val="b"/>
      <c:layout>
        <c:manualLayout>
          <c:xMode val="edge"/>
          <c:yMode val="edge"/>
          <c:x val="8.7468694427113983E-2"/>
          <c:y val="0.6962100448408155"/>
          <c:w val="0.86810672002979072"/>
          <c:h val="0.17435573898337758"/>
        </c:manualLayout>
      </c:layout>
      <c:overlay val="1"/>
      <c:txPr>
        <a:bodyPr/>
        <a:lstStyle/>
        <a:p>
          <a:pPr>
            <a:defRPr sz="1200" b="1"/>
          </a:pPr>
          <a:endParaRPr lang="en-US"/>
        </a:p>
      </c:txPr>
    </c:legend>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userShapes r:id="rId1"/>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033629344937744"/>
          <c:y val="6.1467589409810182E-2"/>
          <c:w val="0.79795906893061952"/>
          <c:h val="0.79696222865193656"/>
        </c:manualLayout>
      </c:layout>
      <c:lineChart>
        <c:grouping val="standard"/>
        <c:varyColors val="0"/>
        <c:ser>
          <c:idx val="0"/>
          <c:order val="0"/>
          <c:tx>
            <c:strRef>
              <c:f>'Lists-Modules-ChartData'!$R$6</c:f>
              <c:strCache>
                <c:ptCount val="1"/>
                <c:pt idx="0">
                  <c:v>Baseline</c:v>
                </c:pt>
              </c:strCache>
            </c:strRef>
          </c:tx>
          <c:marker>
            <c:symbol val="none"/>
          </c:marker>
          <c:cat>
            <c:numRef>
              <c:f>'Input 5 - Scenario Design'!$E$42:$J$42</c:f>
              <c:numCache>
                <c:formatCode>General</c:formatCode>
                <c:ptCount val="6"/>
                <c:pt idx="0">
                  <c:v>2018</c:v>
                </c:pt>
                <c:pt idx="1">
                  <c:v>2019</c:v>
                </c:pt>
                <c:pt idx="2">
                  <c:v>2020</c:v>
                </c:pt>
                <c:pt idx="3">
                  <c:v>2021</c:v>
                </c:pt>
                <c:pt idx="4">
                  <c:v>2022</c:v>
                </c:pt>
                <c:pt idx="5">
                  <c:v>2023</c:v>
                </c:pt>
              </c:numCache>
            </c:numRef>
          </c:cat>
          <c:val>
            <c:numRef>
              <c:f>'Lists-Modules-ChartData'!$U$9:$Z$9</c:f>
              <c:numCache>
                <c:formatCode>0.0</c:formatCode>
                <c:ptCount val="6"/>
                <c:pt idx="0">
                  <c:v>3.5984842323630626</c:v>
                </c:pt>
                <c:pt idx="1">
                  <c:v>2.736884117115657</c:v>
                </c:pt>
                <c:pt idx="2">
                  <c:v>2.3965618199100005</c:v>
                </c:pt>
                <c:pt idx="3">
                  <c:v>1.2003971380328871</c:v>
                </c:pt>
                <c:pt idx="4">
                  <c:v>-1.4862612076263433</c:v>
                </c:pt>
                <c:pt idx="5">
                  <c:v>-2.2506508944660197</c:v>
                </c:pt>
              </c:numCache>
            </c:numRef>
          </c:val>
          <c:smooth val="0"/>
          <c:extLst>
            <c:ext xmlns:c16="http://schemas.microsoft.com/office/drawing/2014/chart" uri="{C3380CC4-5D6E-409C-BE32-E72D297353CC}">
              <c16:uniqueId val="{00000000-0E8D-4877-858E-942AB3F638E5}"/>
            </c:ext>
          </c:extLst>
        </c:ser>
        <c:ser>
          <c:idx val="1"/>
          <c:order val="1"/>
          <c:tx>
            <c:strRef>
              <c:f>'Lists-Modules-ChartData'!$R$78</c:f>
              <c:strCache>
                <c:ptCount val="1"/>
                <c:pt idx="0">
                  <c:v>Combined shock</c:v>
                </c:pt>
              </c:strCache>
            </c:strRef>
          </c:tx>
          <c:marker>
            <c:symbol val="none"/>
          </c:marker>
          <c:cat>
            <c:numRef>
              <c:f>'Input 5 - Scenario Design'!$E$42:$J$42</c:f>
              <c:numCache>
                <c:formatCode>General</c:formatCode>
                <c:ptCount val="6"/>
                <c:pt idx="0">
                  <c:v>2018</c:v>
                </c:pt>
                <c:pt idx="1">
                  <c:v>2019</c:v>
                </c:pt>
                <c:pt idx="2">
                  <c:v>2020</c:v>
                </c:pt>
                <c:pt idx="3">
                  <c:v>2021</c:v>
                </c:pt>
                <c:pt idx="4">
                  <c:v>2022</c:v>
                </c:pt>
                <c:pt idx="5">
                  <c:v>2023</c:v>
                </c:pt>
              </c:numCache>
            </c:numRef>
          </c:cat>
          <c:val>
            <c:numRef>
              <c:f>'Lists-Modules-ChartData'!$U$81:$Z$81</c:f>
              <c:numCache>
                <c:formatCode>0.0</c:formatCode>
                <c:ptCount val="6"/>
                <c:pt idx="0">
                  <c:v>3.5994671534530136</c:v>
                </c:pt>
                <c:pt idx="1">
                  <c:v>9.3137736604313091</c:v>
                </c:pt>
                <c:pt idx="2">
                  <c:v>18.073757129633336</c:v>
                </c:pt>
                <c:pt idx="3">
                  <c:v>25.45760339959476</c:v>
                </c:pt>
                <c:pt idx="4">
                  <c:v>30.438910168985327</c:v>
                </c:pt>
                <c:pt idx="5">
                  <c:v>35.196659379365123</c:v>
                </c:pt>
              </c:numCache>
            </c:numRef>
          </c:val>
          <c:smooth val="0"/>
          <c:extLst>
            <c:ext xmlns:c16="http://schemas.microsoft.com/office/drawing/2014/chart" uri="{C3380CC4-5D6E-409C-BE32-E72D297353CC}">
              <c16:uniqueId val="{00000001-0E8D-4877-858E-942AB3F638E5}"/>
            </c:ext>
          </c:extLst>
        </c:ser>
        <c:dLbls>
          <c:showLegendKey val="0"/>
          <c:showVal val="0"/>
          <c:showCatName val="0"/>
          <c:showSerName val="0"/>
          <c:showPercent val="0"/>
          <c:showBubbleSize val="0"/>
        </c:dLbls>
        <c:smooth val="0"/>
        <c:axId val="537810968"/>
        <c:axId val="537811360"/>
      </c:lineChart>
      <c:catAx>
        <c:axId val="537810968"/>
        <c:scaling>
          <c:orientation val="minMax"/>
        </c:scaling>
        <c:delete val="0"/>
        <c:axPos val="b"/>
        <c:numFmt formatCode="General" sourceLinked="1"/>
        <c:majorTickMark val="out"/>
        <c:minorTickMark val="none"/>
        <c:tickLblPos val="nextTo"/>
        <c:crossAx val="537811360"/>
        <c:crosses val="autoZero"/>
        <c:auto val="1"/>
        <c:lblAlgn val="ctr"/>
        <c:lblOffset val="100"/>
        <c:noMultiLvlLbl val="0"/>
      </c:catAx>
      <c:valAx>
        <c:axId val="537811360"/>
        <c:scaling>
          <c:orientation val="minMax"/>
        </c:scaling>
        <c:delete val="0"/>
        <c:axPos val="l"/>
        <c:numFmt formatCode="#,##0" sourceLinked="0"/>
        <c:majorTickMark val="out"/>
        <c:minorTickMark val="none"/>
        <c:tickLblPos val="nextTo"/>
        <c:crossAx val="537810968"/>
        <c:crosses val="autoZero"/>
        <c:crossBetween val="midCat"/>
      </c:valAx>
      <c:spPr>
        <a:ln>
          <a:solidFill>
            <a:sysClr val="window" lastClr="FFFFFF">
              <a:lumMod val="50000"/>
            </a:sysClr>
          </a:solidFill>
        </a:ln>
      </c:spPr>
    </c:plotArea>
    <c:legend>
      <c:legendPos val="b"/>
      <c:layout>
        <c:manualLayout>
          <c:xMode val="edge"/>
          <c:yMode val="edge"/>
          <c:x val="9.9665636351330744E-2"/>
          <c:y val="0.70086769703760643"/>
          <c:w val="0.85380480699443628"/>
          <c:h val="0.17505671979034521"/>
        </c:manualLayout>
      </c:layout>
      <c:overlay val="1"/>
      <c:txPr>
        <a:bodyPr/>
        <a:lstStyle/>
        <a:p>
          <a:pPr>
            <a:defRPr sz="1200" b="1"/>
          </a:pPr>
          <a:endParaRPr lang="en-US"/>
        </a:p>
      </c:txPr>
    </c:legend>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userShapes r:id="rId1"/>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033629344937744"/>
          <c:y val="7.5183957587328723E-2"/>
          <c:w val="0.79795906893061952"/>
          <c:h val="0.78324603200616194"/>
        </c:manualLayout>
      </c:layout>
      <c:lineChart>
        <c:grouping val="standard"/>
        <c:varyColors val="0"/>
        <c:ser>
          <c:idx val="0"/>
          <c:order val="0"/>
          <c:tx>
            <c:strRef>
              <c:f>'Lists-Modules-ChartData'!$R$6</c:f>
              <c:strCache>
                <c:ptCount val="1"/>
                <c:pt idx="0">
                  <c:v>Baseline</c:v>
                </c:pt>
              </c:strCache>
            </c:strRef>
          </c:tx>
          <c:marker>
            <c:symbol val="none"/>
          </c:marker>
          <c:cat>
            <c:numRef>
              <c:f>'Input 5 - Scenario Design'!$E$42:$J$42</c:f>
              <c:numCache>
                <c:formatCode>General</c:formatCode>
                <c:ptCount val="6"/>
                <c:pt idx="0">
                  <c:v>2018</c:v>
                </c:pt>
                <c:pt idx="1">
                  <c:v>2019</c:v>
                </c:pt>
                <c:pt idx="2">
                  <c:v>2020</c:v>
                </c:pt>
                <c:pt idx="3">
                  <c:v>2021</c:v>
                </c:pt>
                <c:pt idx="4">
                  <c:v>2022</c:v>
                </c:pt>
                <c:pt idx="5">
                  <c:v>2023</c:v>
                </c:pt>
              </c:numCache>
            </c:numRef>
          </c:cat>
          <c:val>
            <c:numRef>
              <c:f>'Lists-Modules-ChartData'!$U$7:$Z$7</c:f>
              <c:numCache>
                <c:formatCode>0.0</c:formatCode>
                <c:ptCount val="6"/>
                <c:pt idx="0">
                  <c:v>37.084342131638088</c:v>
                </c:pt>
                <c:pt idx="1">
                  <c:v>35.351552504862923</c:v>
                </c:pt>
                <c:pt idx="2">
                  <c:v>33.542090376828199</c:v>
                </c:pt>
                <c:pt idx="3">
                  <c:v>32.056160655910695</c:v>
                </c:pt>
                <c:pt idx="4">
                  <c:v>29.915873102736189</c:v>
                </c:pt>
                <c:pt idx="5">
                  <c:v>27.903074435380589</c:v>
                </c:pt>
              </c:numCache>
            </c:numRef>
          </c:val>
          <c:smooth val="0"/>
          <c:extLst>
            <c:ext xmlns:c16="http://schemas.microsoft.com/office/drawing/2014/chart" uri="{C3380CC4-5D6E-409C-BE32-E72D297353CC}">
              <c16:uniqueId val="{00000000-4D00-4634-9E80-CAE7776DDCB2}"/>
            </c:ext>
          </c:extLst>
        </c:ser>
        <c:ser>
          <c:idx val="1"/>
          <c:order val="1"/>
          <c:tx>
            <c:strRef>
              <c:f>'Lists-Modules-ChartData'!$R$134</c:f>
              <c:strCache>
                <c:ptCount val="1"/>
                <c:pt idx="0">
                  <c:v>Customized shock 1</c:v>
                </c:pt>
              </c:strCache>
            </c:strRef>
          </c:tx>
          <c:marker>
            <c:symbol val="none"/>
          </c:marker>
          <c:cat>
            <c:numRef>
              <c:f>'Input 5 - Scenario Design'!$E$42:$J$42</c:f>
              <c:numCache>
                <c:formatCode>General</c:formatCode>
                <c:ptCount val="6"/>
                <c:pt idx="0">
                  <c:v>2018</c:v>
                </c:pt>
                <c:pt idx="1">
                  <c:v>2019</c:v>
                </c:pt>
                <c:pt idx="2">
                  <c:v>2020</c:v>
                </c:pt>
                <c:pt idx="3">
                  <c:v>2021</c:v>
                </c:pt>
                <c:pt idx="4">
                  <c:v>2022</c:v>
                </c:pt>
                <c:pt idx="5">
                  <c:v>2023</c:v>
                </c:pt>
              </c:numCache>
            </c:numRef>
          </c:cat>
          <c:val>
            <c:numRef>
              <c:f>'Lists-Modules-ChartData'!$U$135:$Z$135</c:f>
              <c:numCache>
                <c:formatCode>0.0</c:formatCode>
                <c:ptCount val="6"/>
                <c:pt idx="0">
                  <c:v>37.094606570883371</c:v>
                </c:pt>
                <c:pt idx="1">
                  <c:v>39.288738880872828</c:v>
                </c:pt>
                <c:pt idx="2">
                  <c:v>41.062832284794872</c:v>
                </c:pt>
                <c:pt idx="3">
                  <c:v>42.453057780135403</c:v>
                </c:pt>
                <c:pt idx="4">
                  <c:v>44.059856002423778</c:v>
                </c:pt>
                <c:pt idx="5">
                  <c:v>45.71657618208512</c:v>
                </c:pt>
              </c:numCache>
            </c:numRef>
          </c:val>
          <c:smooth val="0"/>
          <c:extLst>
            <c:ext xmlns:c16="http://schemas.microsoft.com/office/drawing/2014/chart" uri="{C3380CC4-5D6E-409C-BE32-E72D297353CC}">
              <c16:uniqueId val="{00000001-4D00-4634-9E80-CAE7776DDCB2}"/>
            </c:ext>
          </c:extLst>
        </c:ser>
        <c:dLbls>
          <c:showLegendKey val="0"/>
          <c:showVal val="0"/>
          <c:showCatName val="0"/>
          <c:showSerName val="0"/>
          <c:showPercent val="0"/>
          <c:showBubbleSize val="0"/>
        </c:dLbls>
        <c:smooth val="0"/>
        <c:axId val="537809008"/>
        <c:axId val="537813712"/>
      </c:lineChart>
      <c:catAx>
        <c:axId val="537809008"/>
        <c:scaling>
          <c:orientation val="minMax"/>
        </c:scaling>
        <c:delete val="0"/>
        <c:axPos val="b"/>
        <c:numFmt formatCode="General" sourceLinked="1"/>
        <c:majorTickMark val="out"/>
        <c:minorTickMark val="none"/>
        <c:tickLblPos val="nextTo"/>
        <c:crossAx val="537813712"/>
        <c:crosses val="autoZero"/>
        <c:auto val="1"/>
        <c:lblAlgn val="ctr"/>
        <c:lblOffset val="100"/>
        <c:noMultiLvlLbl val="0"/>
      </c:catAx>
      <c:valAx>
        <c:axId val="537813712"/>
        <c:scaling>
          <c:orientation val="minMax"/>
          <c:min val="0.9"/>
        </c:scaling>
        <c:delete val="0"/>
        <c:axPos val="l"/>
        <c:numFmt formatCode="#,##0" sourceLinked="0"/>
        <c:majorTickMark val="out"/>
        <c:minorTickMark val="none"/>
        <c:tickLblPos val="nextTo"/>
        <c:crossAx val="537809008"/>
        <c:crosses val="autoZero"/>
        <c:crossBetween val="midCat"/>
      </c:valAx>
      <c:spPr>
        <a:ln>
          <a:solidFill>
            <a:sysClr val="window" lastClr="FFFFFF">
              <a:lumMod val="50000"/>
            </a:sysClr>
          </a:solidFill>
        </a:ln>
      </c:spPr>
    </c:plotArea>
    <c:legend>
      <c:legendPos val="b"/>
      <c:layout>
        <c:manualLayout>
          <c:xMode val="edge"/>
          <c:yMode val="edge"/>
          <c:x val="9.2024841404828722E-2"/>
          <c:y val="0.70148102977185856"/>
          <c:w val="0.66275087153791745"/>
          <c:h val="0.15737064034565237"/>
        </c:manualLayout>
      </c:layout>
      <c:overlay val="1"/>
      <c:txPr>
        <a:bodyPr/>
        <a:lstStyle/>
        <a:p>
          <a:pPr>
            <a:defRPr sz="1200" b="1"/>
          </a:pPr>
          <a:endParaRPr lang="en-US"/>
        </a:p>
      </c:txPr>
    </c:legend>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033629344937744"/>
          <c:y val="6.1467589409810182E-2"/>
          <c:w val="0.79795906893061952"/>
          <c:h val="0.79696222865193656"/>
        </c:manualLayout>
      </c:layout>
      <c:lineChart>
        <c:grouping val="standard"/>
        <c:varyColors val="0"/>
        <c:ser>
          <c:idx val="0"/>
          <c:order val="0"/>
          <c:tx>
            <c:strRef>
              <c:f>'Lists-Modules-ChartData'!$R$6</c:f>
              <c:strCache>
                <c:ptCount val="1"/>
                <c:pt idx="0">
                  <c:v>Baseline</c:v>
                </c:pt>
              </c:strCache>
            </c:strRef>
          </c:tx>
          <c:marker>
            <c:symbol val="none"/>
          </c:marker>
          <c:cat>
            <c:numRef>
              <c:f>'Lists-Modules-ChartData'!$U$6:$Z$6</c:f>
              <c:numCache>
                <c:formatCode>General</c:formatCode>
                <c:ptCount val="6"/>
                <c:pt idx="0">
                  <c:v>2018</c:v>
                </c:pt>
                <c:pt idx="1">
                  <c:v>2019</c:v>
                </c:pt>
                <c:pt idx="2">
                  <c:v>2020</c:v>
                </c:pt>
                <c:pt idx="3">
                  <c:v>2021</c:v>
                </c:pt>
                <c:pt idx="4">
                  <c:v>2022</c:v>
                </c:pt>
                <c:pt idx="5">
                  <c:v>2023</c:v>
                </c:pt>
              </c:numCache>
            </c:numRef>
          </c:cat>
          <c:val>
            <c:numRef>
              <c:f>'Lists-Modules-ChartData'!$U$9:$Z$9</c:f>
              <c:numCache>
                <c:formatCode>0.0</c:formatCode>
                <c:ptCount val="6"/>
                <c:pt idx="0">
                  <c:v>3.5984842323630626</c:v>
                </c:pt>
                <c:pt idx="1">
                  <c:v>2.736884117115657</c:v>
                </c:pt>
                <c:pt idx="2">
                  <c:v>2.3965618199100005</c:v>
                </c:pt>
                <c:pt idx="3">
                  <c:v>1.2003971380328871</c:v>
                </c:pt>
                <c:pt idx="4">
                  <c:v>-1.4862612076263433</c:v>
                </c:pt>
                <c:pt idx="5">
                  <c:v>-2.2506508944660197</c:v>
                </c:pt>
              </c:numCache>
            </c:numRef>
          </c:val>
          <c:smooth val="0"/>
          <c:extLst>
            <c:ext xmlns:c16="http://schemas.microsoft.com/office/drawing/2014/chart" uri="{C3380CC4-5D6E-409C-BE32-E72D297353CC}">
              <c16:uniqueId val="{00000000-F11F-4CEF-B649-5DEC83A1A7A9}"/>
            </c:ext>
          </c:extLst>
        </c:ser>
        <c:dLbls>
          <c:showLegendKey val="0"/>
          <c:showVal val="0"/>
          <c:showCatName val="0"/>
          <c:showSerName val="0"/>
          <c:showPercent val="0"/>
          <c:showBubbleSize val="0"/>
        </c:dLbls>
        <c:smooth val="0"/>
        <c:axId val="353224416"/>
        <c:axId val="537239192"/>
      </c:lineChart>
      <c:catAx>
        <c:axId val="353224416"/>
        <c:scaling>
          <c:orientation val="minMax"/>
        </c:scaling>
        <c:delete val="0"/>
        <c:axPos val="b"/>
        <c:numFmt formatCode="General" sourceLinked="1"/>
        <c:majorTickMark val="out"/>
        <c:minorTickMark val="none"/>
        <c:tickLblPos val="nextTo"/>
        <c:crossAx val="537239192"/>
        <c:crosses val="autoZero"/>
        <c:auto val="1"/>
        <c:lblAlgn val="ctr"/>
        <c:lblOffset val="100"/>
        <c:noMultiLvlLbl val="0"/>
      </c:catAx>
      <c:valAx>
        <c:axId val="537239192"/>
        <c:scaling>
          <c:orientation val="minMax"/>
        </c:scaling>
        <c:delete val="0"/>
        <c:axPos val="l"/>
        <c:numFmt formatCode="#,##0" sourceLinked="0"/>
        <c:majorTickMark val="out"/>
        <c:minorTickMark val="none"/>
        <c:tickLblPos val="nextTo"/>
        <c:crossAx val="353224416"/>
        <c:crosses val="autoZero"/>
        <c:crossBetween val="midCat"/>
      </c:valAx>
      <c:spPr>
        <a:ln>
          <a:solidFill>
            <a:schemeClr val="bg1">
              <a:lumMod val="50000"/>
            </a:schemeClr>
          </a:solidFill>
        </a:ln>
      </c:spPr>
    </c:plotArea>
    <c:legend>
      <c:legendPos val="r"/>
      <c:layout>
        <c:manualLayout>
          <c:xMode val="edge"/>
          <c:yMode val="edge"/>
          <c:x val="0.12339647208973605"/>
          <c:y val="0.68404869757143294"/>
          <c:w val="0.82636643503218454"/>
          <c:h val="0.16250901065259371"/>
        </c:manualLayout>
      </c:layout>
      <c:overlay val="1"/>
      <c:txPr>
        <a:bodyPr/>
        <a:lstStyle/>
        <a:p>
          <a:pPr>
            <a:defRPr sz="1200" b="1"/>
          </a:pPr>
          <a:endParaRPr lang="en-US"/>
        </a:p>
      </c:txPr>
    </c:legend>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userShapes r:id="rId1"/>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033629344937744"/>
          <c:y val="6.1467589409810182E-2"/>
          <c:w val="0.79795906893061952"/>
          <c:h val="0.79696222865193656"/>
        </c:manualLayout>
      </c:layout>
      <c:lineChart>
        <c:grouping val="standard"/>
        <c:varyColors val="0"/>
        <c:ser>
          <c:idx val="0"/>
          <c:order val="0"/>
          <c:tx>
            <c:strRef>
              <c:f>'Lists-Modules-ChartData'!$R$6</c:f>
              <c:strCache>
                <c:ptCount val="1"/>
                <c:pt idx="0">
                  <c:v>Baseline</c:v>
                </c:pt>
              </c:strCache>
            </c:strRef>
          </c:tx>
          <c:marker>
            <c:symbol val="none"/>
          </c:marker>
          <c:cat>
            <c:numRef>
              <c:f>'Input 5 - Scenario Design'!$E$42:$J$42</c:f>
              <c:numCache>
                <c:formatCode>General</c:formatCode>
                <c:ptCount val="6"/>
                <c:pt idx="0">
                  <c:v>2018</c:v>
                </c:pt>
                <c:pt idx="1">
                  <c:v>2019</c:v>
                </c:pt>
                <c:pt idx="2">
                  <c:v>2020</c:v>
                </c:pt>
                <c:pt idx="3">
                  <c:v>2021</c:v>
                </c:pt>
                <c:pt idx="4">
                  <c:v>2022</c:v>
                </c:pt>
                <c:pt idx="5">
                  <c:v>2023</c:v>
                </c:pt>
              </c:numCache>
            </c:numRef>
          </c:cat>
          <c:val>
            <c:numRef>
              <c:f>'Lists-Modules-ChartData'!$U$9:$Z$9</c:f>
              <c:numCache>
                <c:formatCode>0.0</c:formatCode>
                <c:ptCount val="6"/>
                <c:pt idx="0">
                  <c:v>3.5984842323630626</c:v>
                </c:pt>
                <c:pt idx="1">
                  <c:v>2.736884117115657</c:v>
                </c:pt>
                <c:pt idx="2">
                  <c:v>2.3965618199100005</c:v>
                </c:pt>
                <c:pt idx="3">
                  <c:v>1.2003971380328871</c:v>
                </c:pt>
                <c:pt idx="4">
                  <c:v>-1.4862612076263433</c:v>
                </c:pt>
                <c:pt idx="5">
                  <c:v>-2.2506508944660197</c:v>
                </c:pt>
              </c:numCache>
            </c:numRef>
          </c:val>
          <c:smooth val="0"/>
          <c:extLst>
            <c:ext xmlns:c16="http://schemas.microsoft.com/office/drawing/2014/chart" uri="{C3380CC4-5D6E-409C-BE32-E72D297353CC}">
              <c16:uniqueId val="{00000000-85B1-4200-936C-9B6E703B1FF4}"/>
            </c:ext>
          </c:extLst>
        </c:ser>
        <c:ser>
          <c:idx val="1"/>
          <c:order val="1"/>
          <c:tx>
            <c:strRef>
              <c:f>'Lists-Modules-ChartData'!$R$134</c:f>
              <c:strCache>
                <c:ptCount val="1"/>
                <c:pt idx="0">
                  <c:v>Customized shock 1</c:v>
                </c:pt>
              </c:strCache>
            </c:strRef>
          </c:tx>
          <c:marker>
            <c:symbol val="none"/>
          </c:marker>
          <c:cat>
            <c:numRef>
              <c:f>'Input 5 - Scenario Design'!$E$42:$J$42</c:f>
              <c:numCache>
                <c:formatCode>General</c:formatCode>
                <c:ptCount val="6"/>
                <c:pt idx="0">
                  <c:v>2018</c:v>
                </c:pt>
                <c:pt idx="1">
                  <c:v>2019</c:v>
                </c:pt>
                <c:pt idx="2">
                  <c:v>2020</c:v>
                </c:pt>
                <c:pt idx="3">
                  <c:v>2021</c:v>
                </c:pt>
                <c:pt idx="4">
                  <c:v>2022</c:v>
                </c:pt>
                <c:pt idx="5">
                  <c:v>2023</c:v>
                </c:pt>
              </c:numCache>
            </c:numRef>
          </c:cat>
          <c:val>
            <c:numRef>
              <c:f>'Lists-Modules-ChartData'!$U$137:$Z$137</c:f>
              <c:numCache>
                <c:formatCode>0.0</c:formatCode>
                <c:ptCount val="6"/>
                <c:pt idx="0">
                  <c:v>3.5994671534530136</c:v>
                </c:pt>
                <c:pt idx="1">
                  <c:v>9.2433863363465818</c:v>
                </c:pt>
                <c:pt idx="2">
                  <c:v>15.615005652592265</c:v>
                </c:pt>
                <c:pt idx="3">
                  <c:v>21.855409189538062</c:v>
                </c:pt>
                <c:pt idx="4">
                  <c:v>24.829965259010738</c:v>
                </c:pt>
                <c:pt idx="5">
                  <c:v>26.905888527275003</c:v>
                </c:pt>
              </c:numCache>
            </c:numRef>
          </c:val>
          <c:smooth val="0"/>
          <c:extLst>
            <c:ext xmlns:c16="http://schemas.microsoft.com/office/drawing/2014/chart" uri="{C3380CC4-5D6E-409C-BE32-E72D297353CC}">
              <c16:uniqueId val="{00000001-85B1-4200-936C-9B6E703B1FF4}"/>
            </c:ext>
          </c:extLst>
        </c:ser>
        <c:dLbls>
          <c:showLegendKey val="0"/>
          <c:showVal val="0"/>
          <c:showCatName val="0"/>
          <c:showSerName val="0"/>
          <c:showPercent val="0"/>
          <c:showBubbleSize val="0"/>
        </c:dLbls>
        <c:smooth val="0"/>
        <c:axId val="537814888"/>
        <c:axId val="537815280"/>
      </c:lineChart>
      <c:catAx>
        <c:axId val="537814888"/>
        <c:scaling>
          <c:orientation val="minMax"/>
        </c:scaling>
        <c:delete val="0"/>
        <c:axPos val="b"/>
        <c:numFmt formatCode="General" sourceLinked="1"/>
        <c:majorTickMark val="out"/>
        <c:minorTickMark val="none"/>
        <c:tickLblPos val="nextTo"/>
        <c:crossAx val="537815280"/>
        <c:crosses val="autoZero"/>
        <c:auto val="1"/>
        <c:lblAlgn val="ctr"/>
        <c:lblOffset val="100"/>
        <c:noMultiLvlLbl val="0"/>
      </c:catAx>
      <c:valAx>
        <c:axId val="537815280"/>
        <c:scaling>
          <c:orientation val="minMax"/>
        </c:scaling>
        <c:delete val="0"/>
        <c:axPos val="l"/>
        <c:numFmt formatCode="#,##0" sourceLinked="0"/>
        <c:majorTickMark val="out"/>
        <c:minorTickMark val="none"/>
        <c:tickLblPos val="nextTo"/>
        <c:crossAx val="537814888"/>
        <c:crosses val="autoZero"/>
        <c:crossBetween val="midCat"/>
      </c:valAx>
      <c:spPr>
        <a:ln>
          <a:solidFill>
            <a:sysClr val="window" lastClr="FFFFFF">
              <a:lumMod val="50000"/>
            </a:sysClr>
          </a:solidFill>
        </a:ln>
      </c:spPr>
    </c:plotArea>
    <c:legend>
      <c:legendPos val="b"/>
      <c:layout>
        <c:manualLayout>
          <c:xMode val="edge"/>
          <c:yMode val="edge"/>
          <c:x val="9.9665636351330744E-2"/>
          <c:y val="0.71850870938168487"/>
          <c:w val="0.82860751917490461"/>
          <c:h val="0.15741570744627997"/>
        </c:manualLayout>
      </c:layout>
      <c:overlay val="1"/>
      <c:txPr>
        <a:bodyPr/>
        <a:lstStyle/>
        <a:p>
          <a:pPr>
            <a:defRPr sz="1200" b="1"/>
          </a:pPr>
          <a:endParaRPr lang="en-US"/>
        </a:p>
      </c:txPr>
    </c:legend>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userShapes r:id="rId1"/>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033629344937744"/>
          <c:y val="7.5183957587328723E-2"/>
          <c:w val="0.79795906893061952"/>
          <c:h val="0.78324603200616194"/>
        </c:manualLayout>
      </c:layout>
      <c:lineChart>
        <c:grouping val="standard"/>
        <c:varyColors val="0"/>
        <c:ser>
          <c:idx val="0"/>
          <c:order val="0"/>
          <c:tx>
            <c:strRef>
              <c:f>'Lists-Modules-ChartData'!$R$6</c:f>
              <c:strCache>
                <c:ptCount val="1"/>
                <c:pt idx="0">
                  <c:v>Baseline</c:v>
                </c:pt>
              </c:strCache>
            </c:strRef>
          </c:tx>
          <c:marker>
            <c:symbol val="none"/>
          </c:marker>
          <c:cat>
            <c:numRef>
              <c:f>'Input 5 - Scenario Design'!$E$42:$J$42</c:f>
              <c:numCache>
                <c:formatCode>General</c:formatCode>
                <c:ptCount val="6"/>
                <c:pt idx="0">
                  <c:v>2018</c:v>
                </c:pt>
                <c:pt idx="1">
                  <c:v>2019</c:v>
                </c:pt>
                <c:pt idx="2">
                  <c:v>2020</c:v>
                </c:pt>
                <c:pt idx="3">
                  <c:v>2021</c:v>
                </c:pt>
                <c:pt idx="4">
                  <c:v>2022</c:v>
                </c:pt>
                <c:pt idx="5">
                  <c:v>2023</c:v>
                </c:pt>
              </c:numCache>
            </c:numRef>
          </c:cat>
          <c:val>
            <c:numRef>
              <c:f>'Lists-Modules-ChartData'!$U$7:$Z$7</c:f>
              <c:numCache>
                <c:formatCode>0.0</c:formatCode>
                <c:ptCount val="6"/>
                <c:pt idx="0">
                  <c:v>37.084342131638088</c:v>
                </c:pt>
                <c:pt idx="1">
                  <c:v>35.351552504862923</c:v>
                </c:pt>
                <c:pt idx="2">
                  <c:v>33.542090376828199</c:v>
                </c:pt>
                <c:pt idx="3">
                  <c:v>32.056160655910695</c:v>
                </c:pt>
                <c:pt idx="4">
                  <c:v>29.915873102736189</c:v>
                </c:pt>
                <c:pt idx="5">
                  <c:v>27.903074435380589</c:v>
                </c:pt>
              </c:numCache>
            </c:numRef>
          </c:val>
          <c:smooth val="0"/>
          <c:extLst>
            <c:ext xmlns:c16="http://schemas.microsoft.com/office/drawing/2014/chart" uri="{C3380CC4-5D6E-409C-BE32-E72D297353CC}">
              <c16:uniqueId val="{00000000-35E5-4169-AF0F-7FB429BC47C2}"/>
            </c:ext>
          </c:extLst>
        </c:ser>
        <c:ser>
          <c:idx val="1"/>
          <c:order val="1"/>
          <c:tx>
            <c:strRef>
              <c:f>'Lists-Modules-ChartData'!$R$148</c:f>
              <c:strCache>
                <c:ptCount val="1"/>
                <c:pt idx="0">
                  <c:v>Customized shock 2</c:v>
                </c:pt>
              </c:strCache>
            </c:strRef>
          </c:tx>
          <c:marker>
            <c:symbol val="none"/>
          </c:marker>
          <c:cat>
            <c:numRef>
              <c:f>'Input 5 - Scenario Design'!$E$42:$J$42</c:f>
              <c:numCache>
                <c:formatCode>General</c:formatCode>
                <c:ptCount val="6"/>
                <c:pt idx="0">
                  <c:v>2018</c:v>
                </c:pt>
                <c:pt idx="1">
                  <c:v>2019</c:v>
                </c:pt>
                <c:pt idx="2">
                  <c:v>2020</c:v>
                </c:pt>
                <c:pt idx="3">
                  <c:v>2021</c:v>
                </c:pt>
                <c:pt idx="4">
                  <c:v>2022</c:v>
                </c:pt>
                <c:pt idx="5">
                  <c:v>2023</c:v>
                </c:pt>
              </c:numCache>
            </c:numRef>
          </c:cat>
          <c:val>
            <c:numRef>
              <c:f>'Lists-Modules-ChartData'!$U$149:$Z$149</c:f>
              <c:numCache>
                <c:formatCode>0.0</c:formatCode>
                <c:ptCount val="6"/>
                <c:pt idx="0">
                  <c:v>37.094606570883371</c:v>
                </c:pt>
                <c:pt idx="1">
                  <c:v>41.923163009491724</c:v>
                </c:pt>
                <c:pt idx="2">
                  <c:v>46.279446981641478</c:v>
                </c:pt>
                <c:pt idx="3">
                  <c:v>50.234258814106845</c:v>
                </c:pt>
                <c:pt idx="4">
                  <c:v>54.387439406106864</c:v>
                </c:pt>
                <c:pt idx="5">
                  <c:v>58.561679531290991</c:v>
                </c:pt>
              </c:numCache>
            </c:numRef>
          </c:val>
          <c:smooth val="0"/>
          <c:extLst>
            <c:ext xmlns:c16="http://schemas.microsoft.com/office/drawing/2014/chart" uri="{C3380CC4-5D6E-409C-BE32-E72D297353CC}">
              <c16:uniqueId val="{00000001-35E5-4169-AF0F-7FB429BC47C2}"/>
            </c:ext>
          </c:extLst>
        </c:ser>
        <c:dLbls>
          <c:showLegendKey val="0"/>
          <c:showVal val="0"/>
          <c:showCatName val="0"/>
          <c:showSerName val="0"/>
          <c:showPercent val="0"/>
          <c:showBubbleSize val="0"/>
        </c:dLbls>
        <c:smooth val="0"/>
        <c:axId val="537814104"/>
        <c:axId val="537809400"/>
      </c:lineChart>
      <c:catAx>
        <c:axId val="537814104"/>
        <c:scaling>
          <c:orientation val="minMax"/>
        </c:scaling>
        <c:delete val="0"/>
        <c:axPos val="b"/>
        <c:numFmt formatCode="General" sourceLinked="1"/>
        <c:majorTickMark val="out"/>
        <c:minorTickMark val="none"/>
        <c:tickLblPos val="nextTo"/>
        <c:crossAx val="537809400"/>
        <c:crosses val="autoZero"/>
        <c:auto val="1"/>
        <c:lblAlgn val="ctr"/>
        <c:lblOffset val="100"/>
        <c:noMultiLvlLbl val="0"/>
      </c:catAx>
      <c:valAx>
        <c:axId val="537809400"/>
        <c:scaling>
          <c:orientation val="minMax"/>
          <c:min val="0.9"/>
        </c:scaling>
        <c:delete val="0"/>
        <c:axPos val="l"/>
        <c:numFmt formatCode="#,##0" sourceLinked="0"/>
        <c:majorTickMark val="out"/>
        <c:minorTickMark val="none"/>
        <c:tickLblPos val="nextTo"/>
        <c:crossAx val="537814104"/>
        <c:crosses val="autoZero"/>
        <c:crossBetween val="midCat"/>
      </c:valAx>
      <c:spPr>
        <a:ln>
          <a:solidFill>
            <a:sysClr val="window" lastClr="FFFFFF">
              <a:lumMod val="50000"/>
            </a:sysClr>
          </a:solidFill>
        </a:ln>
      </c:spPr>
    </c:plotArea>
    <c:legend>
      <c:legendPos val="b"/>
      <c:layout>
        <c:manualLayout>
          <c:xMode val="edge"/>
          <c:yMode val="edge"/>
          <c:x val="9.2024841404828722E-2"/>
          <c:y val="0.68947410468176307"/>
          <c:w val="0.65362124485694761"/>
          <c:h val="0.1693776321592724"/>
        </c:manualLayout>
      </c:layout>
      <c:overlay val="1"/>
      <c:txPr>
        <a:bodyPr/>
        <a:lstStyle/>
        <a:p>
          <a:pPr>
            <a:defRPr sz="1200" b="1"/>
          </a:pPr>
          <a:endParaRPr lang="en-US"/>
        </a:p>
      </c:txPr>
    </c:legend>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userShapes r:id="rId1"/>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033629344937744"/>
          <c:y val="6.1467589409810182E-2"/>
          <c:w val="0.79795906893061952"/>
          <c:h val="0.79696222865193656"/>
        </c:manualLayout>
      </c:layout>
      <c:lineChart>
        <c:grouping val="standard"/>
        <c:varyColors val="0"/>
        <c:ser>
          <c:idx val="0"/>
          <c:order val="0"/>
          <c:tx>
            <c:strRef>
              <c:f>'Lists-Modules-ChartData'!$R$6</c:f>
              <c:strCache>
                <c:ptCount val="1"/>
                <c:pt idx="0">
                  <c:v>Baseline</c:v>
                </c:pt>
              </c:strCache>
            </c:strRef>
          </c:tx>
          <c:marker>
            <c:symbol val="none"/>
          </c:marker>
          <c:cat>
            <c:numRef>
              <c:f>'Input 5 - Scenario Design'!$E$42:$J$42</c:f>
              <c:numCache>
                <c:formatCode>General</c:formatCode>
                <c:ptCount val="6"/>
                <c:pt idx="0">
                  <c:v>2018</c:v>
                </c:pt>
                <c:pt idx="1">
                  <c:v>2019</c:v>
                </c:pt>
                <c:pt idx="2">
                  <c:v>2020</c:v>
                </c:pt>
                <c:pt idx="3">
                  <c:v>2021</c:v>
                </c:pt>
                <c:pt idx="4">
                  <c:v>2022</c:v>
                </c:pt>
                <c:pt idx="5">
                  <c:v>2023</c:v>
                </c:pt>
              </c:numCache>
            </c:numRef>
          </c:cat>
          <c:val>
            <c:numRef>
              <c:f>'Lists-Modules-ChartData'!$U$9:$Z$9</c:f>
              <c:numCache>
                <c:formatCode>0.0</c:formatCode>
                <c:ptCount val="6"/>
                <c:pt idx="0">
                  <c:v>3.5984842323630626</c:v>
                </c:pt>
                <c:pt idx="1">
                  <c:v>2.736884117115657</c:v>
                </c:pt>
                <c:pt idx="2">
                  <c:v>2.3965618199100005</c:v>
                </c:pt>
                <c:pt idx="3">
                  <c:v>1.2003971380328871</c:v>
                </c:pt>
                <c:pt idx="4">
                  <c:v>-1.4862612076263433</c:v>
                </c:pt>
                <c:pt idx="5">
                  <c:v>-2.2506508944660197</c:v>
                </c:pt>
              </c:numCache>
            </c:numRef>
          </c:val>
          <c:smooth val="0"/>
          <c:extLst>
            <c:ext xmlns:c16="http://schemas.microsoft.com/office/drawing/2014/chart" uri="{C3380CC4-5D6E-409C-BE32-E72D297353CC}">
              <c16:uniqueId val="{00000000-296A-4307-A348-D3833300C750}"/>
            </c:ext>
          </c:extLst>
        </c:ser>
        <c:ser>
          <c:idx val="1"/>
          <c:order val="1"/>
          <c:tx>
            <c:strRef>
              <c:f>'Lists-Modules-ChartData'!$R$148</c:f>
              <c:strCache>
                <c:ptCount val="1"/>
                <c:pt idx="0">
                  <c:v>Customized shock 2</c:v>
                </c:pt>
              </c:strCache>
            </c:strRef>
          </c:tx>
          <c:marker>
            <c:symbol val="none"/>
          </c:marker>
          <c:cat>
            <c:numRef>
              <c:f>'Input 5 - Scenario Design'!$E$42:$J$42</c:f>
              <c:numCache>
                <c:formatCode>General</c:formatCode>
                <c:ptCount val="6"/>
                <c:pt idx="0">
                  <c:v>2018</c:v>
                </c:pt>
                <c:pt idx="1">
                  <c:v>2019</c:v>
                </c:pt>
                <c:pt idx="2">
                  <c:v>2020</c:v>
                </c:pt>
                <c:pt idx="3">
                  <c:v>2021</c:v>
                </c:pt>
                <c:pt idx="4">
                  <c:v>2022</c:v>
                </c:pt>
                <c:pt idx="5">
                  <c:v>2023</c:v>
                </c:pt>
              </c:numCache>
            </c:numRef>
          </c:cat>
          <c:val>
            <c:numRef>
              <c:f>'Lists-Modules-ChartData'!$U$151:$Z$151</c:f>
              <c:numCache>
                <c:formatCode>0.0</c:formatCode>
                <c:ptCount val="6"/>
                <c:pt idx="0">
                  <c:v>3.5994671534530136</c:v>
                </c:pt>
                <c:pt idx="1">
                  <c:v>12.172372744813773</c:v>
                </c:pt>
                <c:pt idx="2">
                  <c:v>21.093935423641597</c:v>
                </c:pt>
                <c:pt idx="3">
                  <c:v>29.807556866779699</c:v>
                </c:pt>
                <c:pt idx="4">
                  <c:v>35.358341477290516</c:v>
                </c:pt>
                <c:pt idx="5">
                  <c:v>39.953163407988555</c:v>
                </c:pt>
              </c:numCache>
            </c:numRef>
          </c:val>
          <c:smooth val="0"/>
          <c:extLst>
            <c:ext xmlns:c16="http://schemas.microsoft.com/office/drawing/2014/chart" uri="{C3380CC4-5D6E-409C-BE32-E72D297353CC}">
              <c16:uniqueId val="{00000001-296A-4307-A348-D3833300C750}"/>
            </c:ext>
          </c:extLst>
        </c:ser>
        <c:dLbls>
          <c:showLegendKey val="0"/>
          <c:showVal val="0"/>
          <c:showCatName val="0"/>
          <c:showSerName val="0"/>
          <c:showPercent val="0"/>
          <c:showBubbleSize val="0"/>
        </c:dLbls>
        <c:smooth val="0"/>
        <c:axId val="537810184"/>
        <c:axId val="538577504"/>
      </c:lineChart>
      <c:catAx>
        <c:axId val="537810184"/>
        <c:scaling>
          <c:orientation val="minMax"/>
        </c:scaling>
        <c:delete val="0"/>
        <c:axPos val="b"/>
        <c:numFmt formatCode="General" sourceLinked="1"/>
        <c:majorTickMark val="out"/>
        <c:minorTickMark val="none"/>
        <c:tickLblPos val="nextTo"/>
        <c:crossAx val="538577504"/>
        <c:crosses val="autoZero"/>
        <c:auto val="1"/>
        <c:lblAlgn val="ctr"/>
        <c:lblOffset val="100"/>
        <c:noMultiLvlLbl val="0"/>
      </c:catAx>
      <c:valAx>
        <c:axId val="538577504"/>
        <c:scaling>
          <c:orientation val="minMax"/>
        </c:scaling>
        <c:delete val="0"/>
        <c:axPos val="l"/>
        <c:numFmt formatCode="#,##0" sourceLinked="0"/>
        <c:majorTickMark val="out"/>
        <c:minorTickMark val="none"/>
        <c:tickLblPos val="nextTo"/>
        <c:crossAx val="537810184"/>
        <c:crosses val="autoZero"/>
        <c:crossBetween val="midCat"/>
      </c:valAx>
      <c:spPr>
        <a:ln>
          <a:solidFill>
            <a:sysClr val="window" lastClr="FFFFFF">
              <a:lumMod val="50000"/>
            </a:sysClr>
          </a:solidFill>
        </a:ln>
      </c:spPr>
    </c:plotArea>
    <c:legend>
      <c:legendPos val="b"/>
      <c:layout>
        <c:manualLayout>
          <c:xMode val="edge"/>
          <c:yMode val="edge"/>
          <c:x val="9.9665636351330744E-2"/>
          <c:y val="0.71850870938168487"/>
          <c:w val="0.82860751917490461"/>
          <c:h val="0.15741570744628008"/>
        </c:manualLayout>
      </c:layout>
      <c:overlay val="1"/>
      <c:txPr>
        <a:bodyPr/>
        <a:lstStyle/>
        <a:p>
          <a:pPr>
            <a:defRPr sz="1200" b="1"/>
          </a:pPr>
          <a:endParaRPr lang="en-US"/>
        </a:p>
      </c:txPr>
    </c:legend>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userShapes r:id="rId1"/>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400" b="1">
                <a:latin typeface="Segoe UI" pitchFamily="34" charset="0"/>
                <a:cs typeface="Segoe UI" pitchFamily="34" charset="0"/>
              </a:rPr>
              <a:t>Fan Chart</a:t>
            </a:r>
          </a:p>
          <a:p>
            <a:pPr>
              <a:defRPr/>
            </a:pPr>
            <a:r>
              <a:rPr lang="en-US" sz="1400" b="1">
                <a:latin typeface="Segoe UI" pitchFamily="34" charset="0"/>
                <a:cs typeface="Segoe UI" pitchFamily="34" charset="0"/>
              </a:rPr>
              <a:t>Evolution of Debt-to-GDP</a:t>
            </a:r>
            <a:r>
              <a:rPr lang="en-US" sz="1400" b="1" baseline="0">
                <a:latin typeface="Segoe UI" pitchFamily="34" charset="0"/>
                <a:cs typeface="Segoe UI" pitchFamily="34" charset="0"/>
              </a:rPr>
              <a:t> Ratio</a:t>
            </a:r>
            <a:endParaRPr lang="en-US" sz="1400" b="1">
              <a:latin typeface="Segoe UI" pitchFamily="34" charset="0"/>
              <a:cs typeface="Segoe UI" pitchFamily="34" charset="0"/>
            </a:endParaRPr>
          </a:p>
        </c:rich>
      </c:tx>
      <c:overlay val="1"/>
    </c:title>
    <c:autoTitleDeleted val="0"/>
    <c:plotArea>
      <c:layout>
        <c:manualLayout>
          <c:layoutTarget val="inner"/>
          <c:xMode val="edge"/>
          <c:yMode val="edge"/>
          <c:x val="9.9476609328318144E-2"/>
          <c:y val="0.16107503082751048"/>
          <c:w val="0.84467857745457919"/>
          <c:h val="0.64052521677316565"/>
        </c:manualLayout>
      </c:layout>
      <c:areaChart>
        <c:grouping val="stacked"/>
        <c:varyColors val="0"/>
        <c:ser>
          <c:idx val="0"/>
          <c:order val="0"/>
          <c:tx>
            <c:v/>
          </c:tx>
          <c:spPr>
            <a:noFill/>
            <a:ln w="25400">
              <a:noFill/>
            </a:ln>
          </c:spPr>
          <c:cat>
            <c:numRef>
              <c:f>'Fan Chart'!$AE$41:$AL$41</c:f>
              <c:numCache>
                <c:formatCode>General</c:formatCode>
                <c:ptCount val="8"/>
                <c:pt idx="0">
                  <c:v>2016</c:v>
                </c:pt>
                <c:pt idx="1">
                  <c:v>2017</c:v>
                </c:pt>
                <c:pt idx="2">
                  <c:v>2018</c:v>
                </c:pt>
                <c:pt idx="3">
                  <c:v>2019</c:v>
                </c:pt>
                <c:pt idx="4">
                  <c:v>2020</c:v>
                </c:pt>
                <c:pt idx="5">
                  <c:v>2021</c:v>
                </c:pt>
                <c:pt idx="6">
                  <c:v>2022</c:v>
                </c:pt>
                <c:pt idx="7">
                  <c:v>2023</c:v>
                </c:pt>
              </c:numCache>
            </c:numRef>
          </c:cat>
          <c:val>
            <c:numRef>
              <c:f>'Fan Chart'!$AE$42:$AL$42</c:f>
              <c:numCache>
                <c:formatCode>0.0</c:formatCode>
                <c:ptCount val="8"/>
                <c:pt idx="0">
                  <c:v>40.167456396322947</c:v>
                </c:pt>
                <c:pt idx="1">
                  <c:v>39.842702208732895</c:v>
                </c:pt>
                <c:pt idx="2">
                  <c:v>0</c:v>
                </c:pt>
                <c:pt idx="3">
                  <c:v>0</c:v>
                </c:pt>
                <c:pt idx="4">
                  <c:v>0</c:v>
                </c:pt>
                <c:pt idx="5">
                  <c:v>0</c:v>
                </c:pt>
                <c:pt idx="6">
                  <c:v>0</c:v>
                </c:pt>
                <c:pt idx="7">
                  <c:v>0</c:v>
                </c:pt>
              </c:numCache>
            </c:numRef>
          </c:val>
          <c:extLst>
            <c:ext xmlns:c16="http://schemas.microsoft.com/office/drawing/2014/chart" uri="{C3380CC4-5D6E-409C-BE32-E72D297353CC}">
              <c16:uniqueId val="{00000000-99C0-454B-83B7-0AC32FA08CB4}"/>
            </c:ext>
          </c:extLst>
        </c:ser>
        <c:ser>
          <c:idx val="2"/>
          <c:order val="1"/>
          <c:tx>
            <c:strRef>
              <c:f>'Fan Chart'!$Z$43</c:f>
              <c:strCache>
                <c:ptCount val="1"/>
                <c:pt idx="0">
                  <c:v>10th-25th</c:v>
                </c:pt>
              </c:strCache>
            </c:strRef>
          </c:tx>
          <c:spPr>
            <a:solidFill>
              <a:schemeClr val="accent5">
                <a:lumMod val="40000"/>
                <a:lumOff val="60000"/>
              </a:schemeClr>
            </a:solidFill>
            <a:ln w="12700">
              <a:noFill/>
              <a:prstDash val="solid"/>
            </a:ln>
          </c:spPr>
          <c:cat>
            <c:numRef>
              <c:f>'Fan Chart'!$AE$41:$AL$41</c:f>
              <c:numCache>
                <c:formatCode>General</c:formatCode>
                <c:ptCount val="8"/>
                <c:pt idx="0">
                  <c:v>2016</c:v>
                </c:pt>
                <c:pt idx="1">
                  <c:v>2017</c:v>
                </c:pt>
                <c:pt idx="2">
                  <c:v>2018</c:v>
                </c:pt>
                <c:pt idx="3">
                  <c:v>2019</c:v>
                </c:pt>
                <c:pt idx="4">
                  <c:v>2020</c:v>
                </c:pt>
                <c:pt idx="5">
                  <c:v>2021</c:v>
                </c:pt>
                <c:pt idx="6">
                  <c:v>2022</c:v>
                </c:pt>
                <c:pt idx="7">
                  <c:v>2023</c:v>
                </c:pt>
              </c:numCache>
            </c:numRef>
          </c:cat>
          <c:val>
            <c:numRef>
              <c:f>'Fan Chart'!$AE$43:$AL$43</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99C0-454B-83B7-0AC32FA08CB4}"/>
            </c:ext>
          </c:extLst>
        </c:ser>
        <c:ser>
          <c:idx val="3"/>
          <c:order val="2"/>
          <c:tx>
            <c:strRef>
              <c:f>'Fan Chart'!$Z$44</c:f>
              <c:strCache>
                <c:ptCount val="1"/>
                <c:pt idx="0">
                  <c:v>25th-50th</c:v>
                </c:pt>
              </c:strCache>
            </c:strRef>
          </c:tx>
          <c:spPr>
            <a:solidFill>
              <a:srgbClr val="57B7FF"/>
            </a:solidFill>
            <a:ln w="12700">
              <a:noFill/>
              <a:prstDash val="solid"/>
            </a:ln>
          </c:spPr>
          <c:cat>
            <c:numRef>
              <c:f>'Fan Chart'!$AE$41:$AL$41</c:f>
              <c:numCache>
                <c:formatCode>General</c:formatCode>
                <c:ptCount val="8"/>
                <c:pt idx="0">
                  <c:v>2016</c:v>
                </c:pt>
                <c:pt idx="1">
                  <c:v>2017</c:v>
                </c:pt>
                <c:pt idx="2">
                  <c:v>2018</c:v>
                </c:pt>
                <c:pt idx="3">
                  <c:v>2019</c:v>
                </c:pt>
                <c:pt idx="4">
                  <c:v>2020</c:v>
                </c:pt>
                <c:pt idx="5">
                  <c:v>2021</c:v>
                </c:pt>
                <c:pt idx="6">
                  <c:v>2022</c:v>
                </c:pt>
                <c:pt idx="7">
                  <c:v>2023</c:v>
                </c:pt>
              </c:numCache>
            </c:numRef>
          </c:cat>
          <c:val>
            <c:numRef>
              <c:f>'Fan Chart'!$AE$44:$AL$44</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2-99C0-454B-83B7-0AC32FA08CB4}"/>
            </c:ext>
          </c:extLst>
        </c:ser>
        <c:ser>
          <c:idx val="4"/>
          <c:order val="3"/>
          <c:tx>
            <c:strRef>
              <c:f>'Fan Chart'!$Z$45</c:f>
              <c:strCache>
                <c:ptCount val="1"/>
                <c:pt idx="0">
                  <c:v>50th-75th</c:v>
                </c:pt>
              </c:strCache>
            </c:strRef>
          </c:tx>
          <c:spPr>
            <a:solidFill>
              <a:schemeClr val="accent2">
                <a:lumMod val="60000"/>
                <a:lumOff val="40000"/>
              </a:schemeClr>
            </a:solidFill>
            <a:ln w="12700">
              <a:noFill/>
              <a:prstDash val="solid"/>
            </a:ln>
          </c:spPr>
          <c:cat>
            <c:numRef>
              <c:f>'Fan Chart'!$AE$41:$AL$41</c:f>
              <c:numCache>
                <c:formatCode>General</c:formatCode>
                <c:ptCount val="8"/>
                <c:pt idx="0">
                  <c:v>2016</c:v>
                </c:pt>
                <c:pt idx="1">
                  <c:v>2017</c:v>
                </c:pt>
                <c:pt idx="2">
                  <c:v>2018</c:v>
                </c:pt>
                <c:pt idx="3">
                  <c:v>2019</c:v>
                </c:pt>
                <c:pt idx="4">
                  <c:v>2020</c:v>
                </c:pt>
                <c:pt idx="5">
                  <c:v>2021</c:v>
                </c:pt>
                <c:pt idx="6">
                  <c:v>2022</c:v>
                </c:pt>
                <c:pt idx="7">
                  <c:v>2023</c:v>
                </c:pt>
              </c:numCache>
            </c:numRef>
          </c:cat>
          <c:val>
            <c:numRef>
              <c:f>'Fan Chart'!$AE$45:$AL$45</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3-99C0-454B-83B7-0AC32FA08CB4}"/>
            </c:ext>
          </c:extLst>
        </c:ser>
        <c:ser>
          <c:idx val="5"/>
          <c:order val="4"/>
          <c:tx>
            <c:strRef>
              <c:f>'Fan Chart'!$Z$46</c:f>
              <c:strCache>
                <c:ptCount val="1"/>
                <c:pt idx="0">
                  <c:v>75th-90th</c:v>
                </c:pt>
              </c:strCache>
            </c:strRef>
          </c:tx>
          <c:spPr>
            <a:solidFill>
              <a:schemeClr val="accent4">
                <a:lumMod val="40000"/>
                <a:lumOff val="60000"/>
              </a:schemeClr>
            </a:solidFill>
            <a:ln w="12700">
              <a:noFill/>
              <a:prstDash val="solid"/>
            </a:ln>
          </c:spPr>
          <c:cat>
            <c:numRef>
              <c:f>'Fan Chart'!$AE$41:$AL$41</c:f>
              <c:numCache>
                <c:formatCode>General</c:formatCode>
                <c:ptCount val="8"/>
                <c:pt idx="0">
                  <c:v>2016</c:v>
                </c:pt>
                <c:pt idx="1">
                  <c:v>2017</c:v>
                </c:pt>
                <c:pt idx="2">
                  <c:v>2018</c:v>
                </c:pt>
                <c:pt idx="3">
                  <c:v>2019</c:v>
                </c:pt>
                <c:pt idx="4">
                  <c:v>2020</c:v>
                </c:pt>
                <c:pt idx="5">
                  <c:v>2021</c:v>
                </c:pt>
                <c:pt idx="6">
                  <c:v>2022</c:v>
                </c:pt>
                <c:pt idx="7">
                  <c:v>2023</c:v>
                </c:pt>
              </c:numCache>
            </c:numRef>
          </c:cat>
          <c:val>
            <c:numRef>
              <c:f>'Fan Chart'!$AE$46:$AL$46</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4-99C0-454B-83B7-0AC32FA08CB4}"/>
            </c:ext>
          </c:extLst>
        </c:ser>
        <c:dLbls>
          <c:showLegendKey val="0"/>
          <c:showVal val="0"/>
          <c:showCatName val="0"/>
          <c:showSerName val="0"/>
          <c:showPercent val="0"/>
          <c:showBubbleSize val="0"/>
        </c:dLbls>
        <c:axId val="538574368"/>
        <c:axId val="538577112"/>
      </c:areaChart>
      <c:lineChart>
        <c:grouping val="standard"/>
        <c:varyColors val="0"/>
        <c:ser>
          <c:idx val="1"/>
          <c:order val="5"/>
          <c:tx>
            <c:v>Baseline</c:v>
          </c:tx>
          <c:spPr>
            <a:ln>
              <a:solidFill>
                <a:srgbClr val="000000"/>
              </a:solidFill>
            </a:ln>
          </c:spPr>
          <c:marker>
            <c:symbol val="none"/>
          </c:marker>
          <c:cat>
            <c:numRef>
              <c:f>'Fan Chart'!$R$52:$Y$52</c:f>
              <c:numCache>
                <c:formatCode>General</c:formatCode>
                <c:ptCount val="8"/>
                <c:pt idx="0">
                  <c:v>2016</c:v>
                </c:pt>
                <c:pt idx="1">
                  <c:v>2017</c:v>
                </c:pt>
                <c:pt idx="2">
                  <c:v>2018</c:v>
                </c:pt>
                <c:pt idx="3">
                  <c:v>2019</c:v>
                </c:pt>
                <c:pt idx="4">
                  <c:v>2020</c:v>
                </c:pt>
                <c:pt idx="5">
                  <c:v>2021</c:v>
                </c:pt>
                <c:pt idx="6">
                  <c:v>2022</c:v>
                </c:pt>
                <c:pt idx="7">
                  <c:v>2023</c:v>
                </c:pt>
              </c:numCache>
            </c:numRef>
          </c:cat>
          <c:val>
            <c:numRef>
              <c:f>'Fan Chart'!$R$53:$Y$53</c:f>
              <c:numCache>
                <c:formatCode>0.0</c:formatCode>
                <c:ptCount val="8"/>
                <c:pt idx="0">
                  <c:v>40.167456396322947</c:v>
                </c:pt>
                <c:pt idx="1">
                  <c:v>39.842702208732895</c:v>
                </c:pt>
                <c:pt idx="2">
                  <c:v>37.084342131638088</c:v>
                </c:pt>
                <c:pt idx="3">
                  <c:v>35.351552504862923</c:v>
                </c:pt>
                <c:pt idx="4">
                  <c:v>33.542090376828199</c:v>
                </c:pt>
                <c:pt idx="5">
                  <c:v>32.056160655910695</c:v>
                </c:pt>
                <c:pt idx="6">
                  <c:v>29.915873102736189</c:v>
                </c:pt>
                <c:pt idx="7">
                  <c:v>27.903074435380589</c:v>
                </c:pt>
              </c:numCache>
            </c:numRef>
          </c:val>
          <c:smooth val="0"/>
          <c:extLst>
            <c:ext xmlns:c16="http://schemas.microsoft.com/office/drawing/2014/chart" uri="{C3380CC4-5D6E-409C-BE32-E72D297353CC}">
              <c16:uniqueId val="{00000005-99C0-454B-83B7-0AC32FA08CB4}"/>
            </c:ext>
          </c:extLst>
        </c:ser>
        <c:dLbls>
          <c:showLegendKey val="0"/>
          <c:showVal val="0"/>
          <c:showCatName val="0"/>
          <c:showSerName val="0"/>
          <c:showPercent val="0"/>
          <c:showBubbleSize val="0"/>
        </c:dLbls>
        <c:marker val="1"/>
        <c:smooth val="0"/>
        <c:axId val="538574368"/>
        <c:axId val="538577112"/>
      </c:lineChart>
      <c:catAx>
        <c:axId val="538574368"/>
        <c:scaling>
          <c:orientation val="minMax"/>
        </c:scaling>
        <c:delete val="0"/>
        <c:axPos val="b"/>
        <c:numFmt formatCode="General" sourceLinked="1"/>
        <c:majorTickMark val="in"/>
        <c:minorTickMark val="none"/>
        <c:tickLblPos val="low"/>
        <c:spPr>
          <a:ln w="3175">
            <a:solidFill>
              <a:srgbClr val="7F7F7F"/>
            </a:solidFill>
            <a:prstDash val="solid"/>
          </a:ln>
        </c:spPr>
        <c:txPr>
          <a:bodyPr rot="0" vert="horz"/>
          <a:lstStyle/>
          <a:p>
            <a:pPr>
              <a:defRPr sz="1200">
                <a:latin typeface="Segoe UI" pitchFamily="34" charset="0"/>
                <a:ea typeface="Segoe UI" pitchFamily="34" charset="0"/>
                <a:cs typeface="Segoe UI" pitchFamily="34" charset="0"/>
              </a:defRPr>
            </a:pPr>
            <a:endParaRPr lang="en-US"/>
          </a:p>
        </c:txPr>
        <c:crossAx val="538577112"/>
        <c:crosses val="autoZero"/>
        <c:auto val="1"/>
        <c:lblAlgn val="ctr"/>
        <c:lblOffset val="100"/>
        <c:tickLblSkip val="1"/>
        <c:tickMarkSkip val="1"/>
        <c:noMultiLvlLbl val="0"/>
      </c:catAx>
      <c:valAx>
        <c:axId val="538577112"/>
        <c:scaling>
          <c:orientation val="minMax"/>
        </c:scaling>
        <c:delete val="0"/>
        <c:axPos val="l"/>
        <c:numFmt formatCode="0" sourceLinked="0"/>
        <c:majorTickMark val="in"/>
        <c:minorTickMark val="none"/>
        <c:tickLblPos val="nextTo"/>
        <c:spPr>
          <a:ln>
            <a:solidFill>
              <a:srgbClr val="7F7F7F"/>
            </a:solidFill>
          </a:ln>
        </c:spPr>
        <c:txPr>
          <a:bodyPr rot="0" vert="horz"/>
          <a:lstStyle/>
          <a:p>
            <a:pPr>
              <a:defRPr sz="1200">
                <a:latin typeface="Segoe UI" pitchFamily="34" charset="0"/>
                <a:ea typeface="Segoe UI" pitchFamily="34" charset="0"/>
                <a:cs typeface="Segoe UI" pitchFamily="34" charset="0"/>
              </a:defRPr>
            </a:pPr>
            <a:endParaRPr lang="en-US"/>
          </a:p>
        </c:txPr>
        <c:crossAx val="538574368"/>
        <c:crosses val="autoZero"/>
        <c:crossBetween val="midCat"/>
      </c:valAx>
      <c:spPr>
        <a:noFill/>
        <a:ln w="0">
          <a:solidFill>
            <a:srgbClr val="7F7F7F"/>
          </a:solidFill>
          <a:prstDash val="solid"/>
        </a:ln>
      </c:spPr>
    </c:plotArea>
    <c:legend>
      <c:legendPos val="b"/>
      <c:layout>
        <c:manualLayout>
          <c:xMode val="edge"/>
          <c:yMode val="edge"/>
          <c:x val="5.78811575199623E-3"/>
          <c:y val="0.89796886712598878"/>
          <c:w val="0.93562425672321314"/>
          <c:h val="7.4546339542565884E-2"/>
        </c:manualLayout>
      </c:layout>
      <c:overlay val="0"/>
      <c:txPr>
        <a:bodyPr/>
        <a:lstStyle/>
        <a:p>
          <a:pPr>
            <a:defRPr sz="1200">
              <a:latin typeface="Segoe UI" pitchFamily="34" charset="0"/>
              <a:ea typeface="Segoe UI" pitchFamily="34" charset="0"/>
              <a:cs typeface="Segoe UI" pitchFamily="34" charset="0"/>
            </a:defRPr>
          </a:pPr>
          <a:endParaRPr lang="en-US"/>
        </a:p>
      </c:txPr>
    </c:legend>
    <c:plotVisOnly val="1"/>
    <c:dispBlanksAs val="zero"/>
    <c:showDLblsOverMax val="0"/>
  </c:chart>
  <c:spPr>
    <a:solidFill>
      <a:srgbClr val="FFFFFF"/>
    </a:solidFill>
    <a:ln w="9525">
      <a:solidFill>
        <a:schemeClr val="tx1"/>
      </a:solidFill>
    </a:ln>
  </c:spPr>
  <c:txPr>
    <a:bodyPr/>
    <a:lstStyle/>
    <a:p>
      <a:pPr>
        <a:defRPr sz="1050" b="0" i="0" u="none" strike="noStrike" baseline="0">
          <a:solidFill>
            <a:srgbClr val="000000"/>
          </a:solidFill>
          <a:latin typeface="Calibri" pitchFamily="34" charset="0"/>
          <a:ea typeface="Times New Roman"/>
          <a:cs typeface="Times New Roman"/>
        </a:defRPr>
      </a:pPr>
      <a:endParaRPr lang="en-US"/>
    </a:p>
  </c:txPr>
  <c:printSettings>
    <c:headerFooter alignWithMargins="0"/>
    <c:pageMargins b="4.7699999999999996" l="0.75000000000001465" r="0.75000000000001465" t="1" header="0.5" footer="0.5"/>
    <c:pageSetup orientation="portrait"/>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400" b="1">
                <a:latin typeface="Segoe UI" pitchFamily="34" charset="0"/>
                <a:cs typeface="Segoe UI" pitchFamily="34" charset="0"/>
              </a:rPr>
              <a:t>Fan Chart</a:t>
            </a:r>
          </a:p>
          <a:p>
            <a:pPr>
              <a:defRPr/>
            </a:pPr>
            <a:r>
              <a:rPr lang="en-US" sz="1400" b="1">
                <a:latin typeface="Segoe UI" pitchFamily="34" charset="0"/>
                <a:cs typeface="Segoe UI" pitchFamily="34" charset="0"/>
              </a:rPr>
              <a:t>Evolution of Debt-to-GDP</a:t>
            </a:r>
            <a:r>
              <a:rPr lang="en-US" sz="1400" b="1" baseline="0">
                <a:latin typeface="Segoe UI" pitchFamily="34" charset="0"/>
                <a:cs typeface="Segoe UI" pitchFamily="34" charset="0"/>
              </a:rPr>
              <a:t> Ratio</a:t>
            </a:r>
            <a:endParaRPr lang="en-US" sz="1400" b="1">
              <a:latin typeface="Segoe UI" pitchFamily="34" charset="0"/>
              <a:cs typeface="Segoe UI" pitchFamily="34" charset="0"/>
            </a:endParaRPr>
          </a:p>
        </c:rich>
      </c:tx>
      <c:overlay val="1"/>
    </c:title>
    <c:autoTitleDeleted val="0"/>
    <c:plotArea>
      <c:layout>
        <c:manualLayout>
          <c:layoutTarget val="inner"/>
          <c:xMode val="edge"/>
          <c:yMode val="edge"/>
          <c:x val="9.9476609328318144E-2"/>
          <c:y val="0.16107503082751048"/>
          <c:w val="0.84467857745457986"/>
          <c:h val="0.64052521677316598"/>
        </c:manualLayout>
      </c:layout>
      <c:areaChart>
        <c:grouping val="stacked"/>
        <c:varyColors val="0"/>
        <c:ser>
          <c:idx val="0"/>
          <c:order val="0"/>
          <c:tx>
            <c:v/>
          </c:tx>
          <c:spPr>
            <a:noFill/>
            <a:ln w="25400">
              <a:noFill/>
            </a:ln>
          </c:spPr>
          <c:cat>
            <c:numRef>
              <c:f>'Fan Chart'!$BL$41:$BS$41</c:f>
              <c:numCache>
                <c:formatCode>General</c:formatCode>
                <c:ptCount val="8"/>
                <c:pt idx="0">
                  <c:v>2016</c:v>
                </c:pt>
                <c:pt idx="1">
                  <c:v>2017</c:v>
                </c:pt>
                <c:pt idx="2">
                  <c:v>2018</c:v>
                </c:pt>
                <c:pt idx="3">
                  <c:v>2019</c:v>
                </c:pt>
                <c:pt idx="4">
                  <c:v>2020</c:v>
                </c:pt>
                <c:pt idx="5">
                  <c:v>2021</c:v>
                </c:pt>
                <c:pt idx="6">
                  <c:v>2022</c:v>
                </c:pt>
                <c:pt idx="7">
                  <c:v>2023</c:v>
                </c:pt>
              </c:numCache>
            </c:numRef>
          </c:cat>
          <c:val>
            <c:numRef>
              <c:f>'Fan Chart'!$BL$42:$BS$42</c:f>
              <c:numCache>
                <c:formatCode>0.0</c:formatCode>
                <c:ptCount val="8"/>
                <c:pt idx="0">
                  <c:v>40.167456396322947</c:v>
                </c:pt>
                <c:pt idx="1">
                  <c:v>39.842702208732895</c:v>
                </c:pt>
                <c:pt idx="2">
                  <c:v>0</c:v>
                </c:pt>
                <c:pt idx="3">
                  <c:v>0</c:v>
                </c:pt>
                <c:pt idx="4">
                  <c:v>0</c:v>
                </c:pt>
                <c:pt idx="5">
                  <c:v>0</c:v>
                </c:pt>
                <c:pt idx="6">
                  <c:v>0</c:v>
                </c:pt>
                <c:pt idx="7">
                  <c:v>0</c:v>
                </c:pt>
              </c:numCache>
            </c:numRef>
          </c:val>
          <c:extLst>
            <c:ext xmlns:c16="http://schemas.microsoft.com/office/drawing/2014/chart" uri="{C3380CC4-5D6E-409C-BE32-E72D297353CC}">
              <c16:uniqueId val="{00000000-F385-45B8-A4AA-ED18DE268E14}"/>
            </c:ext>
          </c:extLst>
        </c:ser>
        <c:ser>
          <c:idx val="2"/>
          <c:order val="1"/>
          <c:tx>
            <c:strRef>
              <c:f>'Fan Chart'!$BG$43</c:f>
              <c:strCache>
                <c:ptCount val="1"/>
                <c:pt idx="0">
                  <c:v>10th-25th</c:v>
                </c:pt>
              </c:strCache>
            </c:strRef>
          </c:tx>
          <c:spPr>
            <a:solidFill>
              <a:schemeClr val="accent5">
                <a:lumMod val="40000"/>
                <a:lumOff val="60000"/>
              </a:schemeClr>
            </a:solidFill>
            <a:ln w="12700">
              <a:noFill/>
              <a:prstDash val="solid"/>
            </a:ln>
          </c:spPr>
          <c:cat>
            <c:numRef>
              <c:f>'Fan Chart'!$BL$41:$BS$41</c:f>
              <c:numCache>
                <c:formatCode>General</c:formatCode>
                <c:ptCount val="8"/>
                <c:pt idx="0">
                  <c:v>2016</c:v>
                </c:pt>
                <c:pt idx="1">
                  <c:v>2017</c:v>
                </c:pt>
                <c:pt idx="2">
                  <c:v>2018</c:v>
                </c:pt>
                <c:pt idx="3">
                  <c:v>2019</c:v>
                </c:pt>
                <c:pt idx="4">
                  <c:v>2020</c:v>
                </c:pt>
                <c:pt idx="5">
                  <c:v>2021</c:v>
                </c:pt>
                <c:pt idx="6">
                  <c:v>2022</c:v>
                </c:pt>
                <c:pt idx="7">
                  <c:v>2023</c:v>
                </c:pt>
              </c:numCache>
            </c:numRef>
          </c:cat>
          <c:val>
            <c:numRef>
              <c:f>'Fan Chart'!$BL$43:$BS$43</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F385-45B8-A4AA-ED18DE268E14}"/>
            </c:ext>
          </c:extLst>
        </c:ser>
        <c:ser>
          <c:idx val="3"/>
          <c:order val="2"/>
          <c:tx>
            <c:strRef>
              <c:f>'Fan Chart'!$BG$44</c:f>
              <c:strCache>
                <c:ptCount val="1"/>
                <c:pt idx="0">
                  <c:v>25th-50th</c:v>
                </c:pt>
              </c:strCache>
            </c:strRef>
          </c:tx>
          <c:spPr>
            <a:solidFill>
              <a:srgbClr val="57B7FF"/>
            </a:solidFill>
            <a:ln w="12700">
              <a:noFill/>
              <a:prstDash val="solid"/>
            </a:ln>
          </c:spPr>
          <c:cat>
            <c:numRef>
              <c:f>'Fan Chart'!$BL$41:$BS$41</c:f>
              <c:numCache>
                <c:formatCode>General</c:formatCode>
                <c:ptCount val="8"/>
                <c:pt idx="0">
                  <c:v>2016</c:v>
                </c:pt>
                <c:pt idx="1">
                  <c:v>2017</c:v>
                </c:pt>
                <c:pt idx="2">
                  <c:v>2018</c:v>
                </c:pt>
                <c:pt idx="3">
                  <c:v>2019</c:v>
                </c:pt>
                <c:pt idx="4">
                  <c:v>2020</c:v>
                </c:pt>
                <c:pt idx="5">
                  <c:v>2021</c:v>
                </c:pt>
                <c:pt idx="6">
                  <c:v>2022</c:v>
                </c:pt>
                <c:pt idx="7">
                  <c:v>2023</c:v>
                </c:pt>
              </c:numCache>
            </c:numRef>
          </c:cat>
          <c:val>
            <c:numRef>
              <c:f>'Fan Chart'!$BL$44:$BS$44</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2-F385-45B8-A4AA-ED18DE268E14}"/>
            </c:ext>
          </c:extLst>
        </c:ser>
        <c:ser>
          <c:idx val="4"/>
          <c:order val="3"/>
          <c:tx>
            <c:strRef>
              <c:f>'Fan Chart'!$BG$45</c:f>
              <c:strCache>
                <c:ptCount val="1"/>
                <c:pt idx="0">
                  <c:v>50th-75th</c:v>
                </c:pt>
              </c:strCache>
            </c:strRef>
          </c:tx>
          <c:spPr>
            <a:solidFill>
              <a:schemeClr val="accent2">
                <a:lumMod val="60000"/>
                <a:lumOff val="40000"/>
              </a:schemeClr>
            </a:solidFill>
            <a:ln w="12700">
              <a:noFill/>
              <a:prstDash val="solid"/>
            </a:ln>
          </c:spPr>
          <c:cat>
            <c:numRef>
              <c:f>'Fan Chart'!$BL$41:$BS$41</c:f>
              <c:numCache>
                <c:formatCode>General</c:formatCode>
                <c:ptCount val="8"/>
                <c:pt idx="0">
                  <c:v>2016</c:v>
                </c:pt>
                <c:pt idx="1">
                  <c:v>2017</c:v>
                </c:pt>
                <c:pt idx="2">
                  <c:v>2018</c:v>
                </c:pt>
                <c:pt idx="3">
                  <c:v>2019</c:v>
                </c:pt>
                <c:pt idx="4">
                  <c:v>2020</c:v>
                </c:pt>
                <c:pt idx="5">
                  <c:v>2021</c:v>
                </c:pt>
                <c:pt idx="6">
                  <c:v>2022</c:v>
                </c:pt>
                <c:pt idx="7">
                  <c:v>2023</c:v>
                </c:pt>
              </c:numCache>
            </c:numRef>
          </c:cat>
          <c:val>
            <c:numRef>
              <c:f>'Fan Chart'!$BL$45:$BS$45</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3-F385-45B8-A4AA-ED18DE268E14}"/>
            </c:ext>
          </c:extLst>
        </c:ser>
        <c:ser>
          <c:idx val="5"/>
          <c:order val="4"/>
          <c:tx>
            <c:strRef>
              <c:f>'Fan Chart'!$BG$46</c:f>
              <c:strCache>
                <c:ptCount val="1"/>
                <c:pt idx="0">
                  <c:v>75th-90th</c:v>
                </c:pt>
              </c:strCache>
            </c:strRef>
          </c:tx>
          <c:spPr>
            <a:solidFill>
              <a:schemeClr val="accent4">
                <a:lumMod val="40000"/>
                <a:lumOff val="60000"/>
              </a:schemeClr>
            </a:solidFill>
            <a:ln w="12700">
              <a:noFill/>
              <a:prstDash val="solid"/>
            </a:ln>
          </c:spPr>
          <c:cat>
            <c:numRef>
              <c:f>'Fan Chart'!$BL$41:$BS$41</c:f>
              <c:numCache>
                <c:formatCode>General</c:formatCode>
                <c:ptCount val="8"/>
                <c:pt idx="0">
                  <c:v>2016</c:v>
                </c:pt>
                <c:pt idx="1">
                  <c:v>2017</c:v>
                </c:pt>
                <c:pt idx="2">
                  <c:v>2018</c:v>
                </c:pt>
                <c:pt idx="3">
                  <c:v>2019</c:v>
                </c:pt>
                <c:pt idx="4">
                  <c:v>2020</c:v>
                </c:pt>
                <c:pt idx="5">
                  <c:v>2021</c:v>
                </c:pt>
                <c:pt idx="6">
                  <c:v>2022</c:v>
                </c:pt>
                <c:pt idx="7">
                  <c:v>2023</c:v>
                </c:pt>
              </c:numCache>
            </c:numRef>
          </c:cat>
          <c:val>
            <c:numRef>
              <c:f>'Fan Chart'!$BL$46:$BS$46</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4-F385-45B8-A4AA-ED18DE268E14}"/>
            </c:ext>
          </c:extLst>
        </c:ser>
        <c:dLbls>
          <c:showLegendKey val="0"/>
          <c:showVal val="0"/>
          <c:showCatName val="0"/>
          <c:showSerName val="0"/>
          <c:showPercent val="0"/>
          <c:showBubbleSize val="0"/>
        </c:dLbls>
        <c:axId val="538570840"/>
        <c:axId val="538571232"/>
      </c:areaChart>
      <c:lineChart>
        <c:grouping val="standard"/>
        <c:varyColors val="0"/>
        <c:ser>
          <c:idx val="1"/>
          <c:order val="5"/>
          <c:tx>
            <c:v>Baseline</c:v>
          </c:tx>
          <c:spPr>
            <a:ln>
              <a:solidFill>
                <a:srgbClr val="000000"/>
              </a:solidFill>
            </a:ln>
          </c:spPr>
          <c:marker>
            <c:symbol val="none"/>
          </c:marker>
          <c:cat>
            <c:numRef>
              <c:f>'Fan Chart'!$R$52:$Y$52</c:f>
              <c:numCache>
                <c:formatCode>General</c:formatCode>
                <c:ptCount val="8"/>
                <c:pt idx="0">
                  <c:v>2016</c:v>
                </c:pt>
                <c:pt idx="1">
                  <c:v>2017</c:v>
                </c:pt>
                <c:pt idx="2">
                  <c:v>2018</c:v>
                </c:pt>
                <c:pt idx="3">
                  <c:v>2019</c:v>
                </c:pt>
                <c:pt idx="4">
                  <c:v>2020</c:v>
                </c:pt>
                <c:pt idx="5">
                  <c:v>2021</c:v>
                </c:pt>
                <c:pt idx="6">
                  <c:v>2022</c:v>
                </c:pt>
                <c:pt idx="7">
                  <c:v>2023</c:v>
                </c:pt>
              </c:numCache>
            </c:numRef>
          </c:cat>
          <c:val>
            <c:numRef>
              <c:f>'Fan Chart'!$R$53:$Y$53</c:f>
              <c:numCache>
                <c:formatCode>0.0</c:formatCode>
                <c:ptCount val="8"/>
                <c:pt idx="0">
                  <c:v>40.167456396322947</c:v>
                </c:pt>
                <c:pt idx="1">
                  <c:v>39.842702208732895</c:v>
                </c:pt>
                <c:pt idx="2">
                  <c:v>37.084342131638088</c:v>
                </c:pt>
                <c:pt idx="3">
                  <c:v>35.351552504862923</c:v>
                </c:pt>
                <c:pt idx="4">
                  <c:v>33.542090376828199</c:v>
                </c:pt>
                <c:pt idx="5">
                  <c:v>32.056160655910695</c:v>
                </c:pt>
                <c:pt idx="6">
                  <c:v>29.915873102736189</c:v>
                </c:pt>
                <c:pt idx="7">
                  <c:v>27.903074435380589</c:v>
                </c:pt>
              </c:numCache>
            </c:numRef>
          </c:val>
          <c:smooth val="0"/>
          <c:extLst>
            <c:ext xmlns:c16="http://schemas.microsoft.com/office/drawing/2014/chart" uri="{C3380CC4-5D6E-409C-BE32-E72D297353CC}">
              <c16:uniqueId val="{00000005-F385-45B8-A4AA-ED18DE268E14}"/>
            </c:ext>
          </c:extLst>
        </c:ser>
        <c:dLbls>
          <c:showLegendKey val="0"/>
          <c:showVal val="0"/>
          <c:showCatName val="0"/>
          <c:showSerName val="0"/>
          <c:showPercent val="0"/>
          <c:showBubbleSize val="0"/>
        </c:dLbls>
        <c:marker val="1"/>
        <c:smooth val="0"/>
        <c:axId val="538570840"/>
        <c:axId val="538571232"/>
      </c:lineChart>
      <c:catAx>
        <c:axId val="538570840"/>
        <c:scaling>
          <c:orientation val="minMax"/>
        </c:scaling>
        <c:delete val="0"/>
        <c:axPos val="b"/>
        <c:numFmt formatCode="General" sourceLinked="1"/>
        <c:majorTickMark val="in"/>
        <c:minorTickMark val="none"/>
        <c:tickLblPos val="low"/>
        <c:spPr>
          <a:ln w="3175">
            <a:solidFill>
              <a:srgbClr val="7F7F7F"/>
            </a:solidFill>
            <a:prstDash val="solid"/>
          </a:ln>
        </c:spPr>
        <c:txPr>
          <a:bodyPr rot="0" vert="horz"/>
          <a:lstStyle/>
          <a:p>
            <a:pPr>
              <a:defRPr sz="1200">
                <a:latin typeface="Segoe UI" pitchFamily="34" charset="0"/>
                <a:ea typeface="Segoe UI" pitchFamily="34" charset="0"/>
                <a:cs typeface="Segoe UI" pitchFamily="34" charset="0"/>
              </a:defRPr>
            </a:pPr>
            <a:endParaRPr lang="en-US"/>
          </a:p>
        </c:txPr>
        <c:crossAx val="538571232"/>
        <c:crosses val="autoZero"/>
        <c:auto val="1"/>
        <c:lblAlgn val="ctr"/>
        <c:lblOffset val="100"/>
        <c:tickLblSkip val="1"/>
        <c:tickMarkSkip val="1"/>
        <c:noMultiLvlLbl val="0"/>
      </c:catAx>
      <c:valAx>
        <c:axId val="538571232"/>
        <c:scaling>
          <c:orientation val="minMax"/>
        </c:scaling>
        <c:delete val="0"/>
        <c:axPos val="l"/>
        <c:numFmt formatCode="0" sourceLinked="0"/>
        <c:majorTickMark val="in"/>
        <c:minorTickMark val="none"/>
        <c:tickLblPos val="nextTo"/>
        <c:spPr>
          <a:ln>
            <a:solidFill>
              <a:srgbClr val="7F7F7F"/>
            </a:solidFill>
          </a:ln>
        </c:spPr>
        <c:txPr>
          <a:bodyPr rot="0" vert="horz"/>
          <a:lstStyle/>
          <a:p>
            <a:pPr>
              <a:defRPr sz="1200">
                <a:latin typeface="Segoe UI" pitchFamily="34" charset="0"/>
                <a:ea typeface="Segoe UI" pitchFamily="34" charset="0"/>
                <a:cs typeface="Segoe UI" pitchFamily="34" charset="0"/>
              </a:defRPr>
            </a:pPr>
            <a:endParaRPr lang="en-US"/>
          </a:p>
        </c:txPr>
        <c:crossAx val="538570840"/>
        <c:crosses val="autoZero"/>
        <c:crossBetween val="midCat"/>
      </c:valAx>
      <c:spPr>
        <a:noFill/>
        <a:ln w="0">
          <a:solidFill>
            <a:srgbClr val="7F7F7F"/>
          </a:solidFill>
          <a:prstDash val="solid"/>
        </a:ln>
      </c:spPr>
    </c:plotArea>
    <c:legend>
      <c:legendPos val="b"/>
      <c:layout>
        <c:manualLayout>
          <c:xMode val="edge"/>
          <c:yMode val="edge"/>
          <c:x val="5.78811575199623E-3"/>
          <c:y val="0.89796886712598878"/>
          <c:w val="0.93562425672321337"/>
          <c:h val="7.4546339542565884E-2"/>
        </c:manualLayout>
      </c:layout>
      <c:overlay val="0"/>
      <c:txPr>
        <a:bodyPr/>
        <a:lstStyle/>
        <a:p>
          <a:pPr>
            <a:defRPr sz="1200">
              <a:latin typeface="Segoe UI" pitchFamily="34" charset="0"/>
              <a:ea typeface="Segoe UI" pitchFamily="34" charset="0"/>
              <a:cs typeface="Segoe UI" pitchFamily="34" charset="0"/>
            </a:defRPr>
          </a:pPr>
          <a:endParaRPr lang="en-US"/>
        </a:p>
      </c:txPr>
    </c:legend>
    <c:plotVisOnly val="1"/>
    <c:dispBlanksAs val="zero"/>
    <c:showDLblsOverMax val="0"/>
  </c:chart>
  <c:spPr>
    <a:solidFill>
      <a:srgbClr val="FFFFFF"/>
    </a:solidFill>
    <a:ln w="9525">
      <a:solidFill>
        <a:schemeClr val="tx1"/>
      </a:solidFill>
    </a:ln>
  </c:spPr>
  <c:txPr>
    <a:bodyPr/>
    <a:lstStyle/>
    <a:p>
      <a:pPr>
        <a:defRPr sz="1050" b="0" i="0" u="none" strike="noStrike" baseline="0">
          <a:solidFill>
            <a:srgbClr val="000000"/>
          </a:solidFill>
          <a:latin typeface="Calibri" pitchFamily="34" charset="0"/>
          <a:ea typeface="Times New Roman"/>
          <a:cs typeface="Times New Roman"/>
        </a:defRPr>
      </a:pPr>
      <a:endParaRPr lang="en-US"/>
    </a:p>
  </c:txPr>
  <c:printSettings>
    <c:headerFooter alignWithMargins="0"/>
    <c:pageMargins b="4.7699999999999996" l="0.75000000000001465" r="0.75000000000001465" t="1" header="0.5" footer="0.5"/>
    <c:pageSetup orientation="portrait"/>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Segoe UI" pitchFamily="34" charset="0"/>
                <a:cs typeface="Segoe UI" pitchFamily="34" charset="0"/>
              </a:defRPr>
            </a:pPr>
            <a:r>
              <a:rPr lang="en-US" sz="1600">
                <a:latin typeface="Segoe UI" pitchFamily="34" charset="0"/>
                <a:cs typeface="Segoe UI" pitchFamily="34" charset="0"/>
              </a:rPr>
              <a:t>Debt-Creating Flows </a:t>
            </a:r>
          </a:p>
        </c:rich>
      </c:tx>
      <c:layout>
        <c:manualLayout>
          <c:xMode val="edge"/>
          <c:yMode val="edge"/>
          <c:x val="5.2278477940082432E-2"/>
          <c:y val="5.8585377739984075E-2"/>
        </c:manualLayout>
      </c:layout>
      <c:overlay val="0"/>
    </c:title>
    <c:autoTitleDeleted val="0"/>
    <c:plotArea>
      <c:layout>
        <c:manualLayout>
          <c:layoutTarget val="inner"/>
          <c:xMode val="edge"/>
          <c:yMode val="edge"/>
          <c:x val="4.2710993661090824E-2"/>
          <c:y val="3.8417008351009196E-2"/>
          <c:w val="0.75582786567534765"/>
          <c:h val="0.73462565890724563"/>
        </c:manualLayout>
      </c:layout>
      <c:barChart>
        <c:barDir val="col"/>
        <c:grouping val="stacked"/>
        <c:varyColors val="0"/>
        <c:ser>
          <c:idx val="1"/>
          <c:order val="1"/>
          <c:tx>
            <c:strRef>
              <c:f>'Baseline debt'!$B$149</c:f>
              <c:strCache>
                <c:ptCount val="1"/>
                <c:pt idx="0">
                  <c:v>Primary deficit</c:v>
                </c:pt>
              </c:strCache>
            </c:strRef>
          </c:tx>
          <c:spPr>
            <a:solidFill>
              <a:srgbClr val="FFC000"/>
            </a:solidFill>
            <a:ln>
              <a:solidFill>
                <a:srgbClr val="000000"/>
              </a:solidFill>
              <a:prstDash val="solid"/>
            </a:ln>
            <a:effectLst/>
          </c:spPr>
          <c:invertIfNegative val="0"/>
          <c:cat>
            <c:numRef>
              <c:f>'Baseline debt'!$E$107:$U$107</c:f>
              <c:numCache>
                <c:formatCode>General</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pt idx="16">
                  <c:v>2023</c:v>
                </c:pt>
              </c:numCache>
            </c:numRef>
          </c:cat>
          <c:val>
            <c:numRef>
              <c:f>'Baseline debt'!$E$149:$U$149</c:f>
              <c:numCache>
                <c:formatCode>0.0</c:formatCode>
                <c:ptCount val="17"/>
                <c:pt idx="0">
                  <c:v>0.65863984763110039</c:v>
                </c:pt>
                <c:pt idx="1">
                  <c:v>4.510654182426471</c:v>
                </c:pt>
                <c:pt idx="2">
                  <c:v>9.6884231788513091</c:v>
                </c:pt>
                <c:pt idx="3">
                  <c:v>9.1471227844582117</c:v>
                </c:pt>
                <c:pt idx="4">
                  <c:v>4.7633915406875005</c:v>
                </c:pt>
                <c:pt idx="5">
                  <c:v>1.5073829551861238</c:v>
                </c:pt>
                <c:pt idx="6">
                  <c:v>1.466213370777588</c:v>
                </c:pt>
                <c:pt idx="7">
                  <c:v>1.8206327054309952</c:v>
                </c:pt>
                <c:pt idx="8">
                  <c:v>1.6295013174988924</c:v>
                </c:pt>
                <c:pt idx="9">
                  <c:v>0.1302037464969672</c:v>
                </c:pt>
                <c:pt idx="10">
                  <c:v>0.73983496353501721</c:v>
                </c:pt>
                <c:pt idx="11">
                  <c:v>5.2301873674018395E-2</c:v>
                </c:pt>
                <c:pt idx="12">
                  <c:v>-4.6597896115336823E-2</c:v>
                </c:pt>
                <c:pt idx="13">
                  <c:v>-0.30885252917780548</c:v>
                </c:pt>
                <c:pt idx="14">
                  <c:v>-0.2214772325358112</c:v>
                </c:pt>
                <c:pt idx="15">
                  <c:v>-0.87301076297997326</c:v>
                </c:pt>
                <c:pt idx="16">
                  <c:v>-0.87301076297998037</c:v>
                </c:pt>
              </c:numCache>
            </c:numRef>
          </c:val>
          <c:extLst>
            <c:ext xmlns:c16="http://schemas.microsoft.com/office/drawing/2014/chart" uri="{C3380CC4-5D6E-409C-BE32-E72D297353CC}">
              <c16:uniqueId val="{00000000-7518-4EF3-B298-9890E4A546E2}"/>
            </c:ext>
          </c:extLst>
        </c:ser>
        <c:ser>
          <c:idx val="3"/>
          <c:order val="2"/>
          <c:tx>
            <c:strRef>
              <c:f>'Baseline debt'!$B$155</c:f>
              <c:strCache>
                <c:ptCount val="1"/>
                <c:pt idx="0">
                  <c:v>Real GDP growth</c:v>
                </c:pt>
              </c:strCache>
            </c:strRef>
          </c:tx>
          <c:spPr>
            <a:solidFill>
              <a:srgbClr val="FF0000"/>
            </a:solidFill>
            <a:ln>
              <a:solidFill>
                <a:srgbClr val="000000"/>
              </a:solidFill>
              <a:prstDash val="solid"/>
            </a:ln>
            <a:effectLst/>
          </c:spPr>
          <c:invertIfNegative val="0"/>
          <c:cat>
            <c:numRef>
              <c:f>'Baseline debt'!$E$107:$U$107</c:f>
              <c:numCache>
                <c:formatCode>General</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pt idx="16">
                  <c:v>2023</c:v>
                </c:pt>
              </c:numCache>
            </c:numRef>
          </c:cat>
          <c:val>
            <c:numRef>
              <c:f>'Baseline debt'!$E$155:$U$155</c:f>
              <c:numCache>
                <c:formatCode>0.0</c:formatCode>
                <c:ptCount val="17"/>
                <c:pt idx="0">
                  <c:v>-0.75061444508913699</c:v>
                </c:pt>
                <c:pt idx="1">
                  <c:v>0.27756085116268919</c:v>
                </c:pt>
                <c:pt idx="2">
                  <c:v>3.477356042316019</c:v>
                </c:pt>
                <c:pt idx="3">
                  <c:v>1.5128764751156771</c:v>
                </c:pt>
                <c:pt idx="4">
                  <c:v>-2.674028099682122</c:v>
                </c:pt>
                <c:pt idx="5">
                  <c:v>-1.5984459040726853</c:v>
                </c:pt>
                <c:pt idx="6">
                  <c:v>-0.96112341449710714</c:v>
                </c:pt>
                <c:pt idx="7">
                  <c:v>-0.70010375556580706</c:v>
                </c:pt>
                <c:pt idx="8">
                  <c:v>-1.1803788618791982</c:v>
                </c:pt>
                <c:pt idx="9">
                  <c:v>-0.73364181560478392</c:v>
                </c:pt>
                <c:pt idx="10">
                  <c:v>-1.7243550279985904</c:v>
                </c:pt>
                <c:pt idx="11">
                  <c:v>-1.7405504595206647</c:v>
                </c:pt>
                <c:pt idx="12">
                  <c:v>-1.1048862761939449</c:v>
                </c:pt>
                <c:pt idx="13">
                  <c:v>-0.99995695762553993</c:v>
                </c:pt>
                <c:pt idx="14">
                  <c:v>-0.91799421736375586</c:v>
                </c:pt>
                <c:pt idx="15">
                  <c:v>-0.89145160749161001</c:v>
                </c:pt>
                <c:pt idx="16">
                  <c:v>-0.79495534485775265</c:v>
                </c:pt>
              </c:numCache>
            </c:numRef>
          </c:val>
          <c:extLst>
            <c:ext xmlns:c16="http://schemas.microsoft.com/office/drawing/2014/chart" uri="{C3380CC4-5D6E-409C-BE32-E72D297353CC}">
              <c16:uniqueId val="{00000001-7518-4EF3-B298-9890E4A546E2}"/>
            </c:ext>
          </c:extLst>
        </c:ser>
        <c:ser>
          <c:idx val="2"/>
          <c:order val="3"/>
          <c:tx>
            <c:strRef>
              <c:f>'Baseline debt'!$B$154</c:f>
              <c:strCache>
                <c:ptCount val="1"/>
                <c:pt idx="0">
                  <c:v>Real interest rate </c:v>
                </c:pt>
              </c:strCache>
            </c:strRef>
          </c:tx>
          <c:spPr>
            <a:solidFill>
              <a:srgbClr val="00B050"/>
            </a:solidFill>
            <a:ln>
              <a:solidFill>
                <a:srgbClr val="000000"/>
              </a:solidFill>
              <a:prstDash val="solid"/>
            </a:ln>
            <a:effectLst/>
          </c:spPr>
          <c:invertIfNegative val="0"/>
          <c:cat>
            <c:numRef>
              <c:f>'Baseline debt'!$E$107:$U$107</c:f>
              <c:numCache>
                <c:formatCode>General</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pt idx="16">
                  <c:v>2023</c:v>
                </c:pt>
              </c:numCache>
            </c:numRef>
          </c:cat>
          <c:val>
            <c:numRef>
              <c:f>'Baseline debt'!$E$154:$U$154</c:f>
              <c:numCache>
                <c:formatCode>0.0</c:formatCode>
                <c:ptCount val="17"/>
                <c:pt idx="0">
                  <c:v>-1.3070847422011884</c:v>
                </c:pt>
                <c:pt idx="1">
                  <c:v>-0.33290792062677221</c:v>
                </c:pt>
                <c:pt idx="2">
                  <c:v>3.5107316311871481</c:v>
                </c:pt>
                <c:pt idx="3">
                  <c:v>2.0239000566420122</c:v>
                </c:pt>
                <c:pt idx="4">
                  <c:v>-1.0815279144735539</c:v>
                </c:pt>
                <c:pt idx="5">
                  <c:v>0.19782503504061535</c:v>
                </c:pt>
                <c:pt idx="6">
                  <c:v>0.78628238062874589</c:v>
                </c:pt>
                <c:pt idx="7">
                  <c:v>0.7819852113305259</c:v>
                </c:pt>
                <c:pt idx="8">
                  <c:v>1.3351137671043429</c:v>
                </c:pt>
                <c:pt idx="9">
                  <c:v>0.70218903471474725</c:v>
                </c:pt>
                <c:pt idx="10">
                  <c:v>-0.32681462250744636</c:v>
                </c:pt>
                <c:pt idx="11">
                  <c:v>-0.89571448286576472</c:v>
                </c:pt>
                <c:pt idx="12">
                  <c:v>-0.4170335016611133</c:v>
                </c:pt>
                <c:pt idx="13">
                  <c:v>-0.33715264123137706</c:v>
                </c:pt>
                <c:pt idx="14">
                  <c:v>-0.18295827101794179</c:v>
                </c:pt>
                <c:pt idx="15">
                  <c:v>-0.21232518270291459</c:v>
                </c:pt>
                <c:pt idx="16">
                  <c:v>-0.18490534017796073</c:v>
                </c:pt>
              </c:numCache>
            </c:numRef>
          </c:val>
          <c:extLst>
            <c:ext xmlns:c16="http://schemas.microsoft.com/office/drawing/2014/chart" uri="{C3380CC4-5D6E-409C-BE32-E72D297353CC}">
              <c16:uniqueId val="{00000002-7518-4EF3-B298-9890E4A546E2}"/>
            </c:ext>
          </c:extLst>
        </c:ser>
        <c:ser>
          <c:idx val="6"/>
          <c:order val="4"/>
          <c:tx>
            <c:strRef>
              <c:f>'Baseline debt'!$B$156</c:f>
              <c:strCache>
                <c:ptCount val="1"/>
                <c:pt idx="0">
                  <c:v>Exchange rate depreciation</c:v>
                </c:pt>
              </c:strCache>
            </c:strRef>
          </c:tx>
          <c:spPr>
            <a:solidFill>
              <a:srgbClr val="7030A0"/>
            </a:solidFill>
            <a:ln>
              <a:solidFill>
                <a:schemeClr val="tx1"/>
              </a:solidFill>
            </a:ln>
          </c:spPr>
          <c:invertIfNegative val="0"/>
          <c:cat>
            <c:numRef>
              <c:f>'Baseline debt'!$E$107:$U$107</c:f>
              <c:numCache>
                <c:formatCode>General</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pt idx="16">
                  <c:v>2023</c:v>
                </c:pt>
              </c:numCache>
            </c:numRef>
          </c:cat>
          <c:val>
            <c:numRef>
              <c:f>'Baseline debt'!$E$156:$U$156</c:f>
              <c:numCache>
                <c:formatCode>0.0</c:formatCode>
                <c:ptCount val="17"/>
                <c:pt idx="0">
                  <c:v>2.5174933714002652E-2</c:v>
                </c:pt>
                <c:pt idx="1">
                  <c:v>-8.8998104322240614E-3</c:v>
                </c:pt>
                <c:pt idx="2">
                  <c:v>0.11646789124481326</c:v>
                </c:pt>
                <c:pt idx="3">
                  <c:v>-0.34121585009758704</c:v>
                </c:pt>
                <c:pt idx="4">
                  <c:v>-0.18215882456692084</c:v>
                </c:pt>
                <c:pt idx="5">
                  <c:v>0.13246866062081813</c:v>
                </c:pt>
                <c:pt idx="6">
                  <c:v>0.4108788079549387</c:v>
                </c:pt>
                <c:pt idx="7">
                  <c:v>-1.0559643300466659</c:v>
                </c:pt>
                <c:pt idx="8">
                  <c:v>-0.8689427223881443</c:v>
                </c:pt>
                <c:pt idx="9">
                  <c:v>-0.19964104306355054</c:v>
                </c:pt>
                <c:pt idx="10">
                  <c:v>1.5368956811870662E-2</c:v>
                </c:pt>
                <c:pt idx="11">
                  <c:v>#N/A</c:v>
                </c:pt>
                <c:pt idx="12">
                  <c:v>#N/A</c:v>
                </c:pt>
                <c:pt idx="13">
                  <c:v>#N/A</c:v>
                </c:pt>
                <c:pt idx="14">
                  <c:v>#N/A</c:v>
                </c:pt>
                <c:pt idx="15">
                  <c:v>#N/A</c:v>
                </c:pt>
                <c:pt idx="16">
                  <c:v>#N/A</c:v>
                </c:pt>
              </c:numCache>
            </c:numRef>
          </c:val>
          <c:extLst>
            <c:ext xmlns:c16="http://schemas.microsoft.com/office/drawing/2014/chart" uri="{C3380CC4-5D6E-409C-BE32-E72D297353CC}">
              <c16:uniqueId val="{00000003-7518-4EF3-B298-9890E4A546E2}"/>
            </c:ext>
          </c:extLst>
        </c:ser>
        <c:ser>
          <c:idx val="4"/>
          <c:order val="5"/>
          <c:tx>
            <c:strRef>
              <c:f>'Baseline debt'!$B$157</c:f>
              <c:strCache>
                <c:ptCount val="1"/>
                <c:pt idx="0">
                  <c:v>Other debt-creating flows</c:v>
                </c:pt>
              </c:strCache>
            </c:strRef>
          </c:tx>
          <c:spPr>
            <a:solidFill>
              <a:srgbClr val="79C1D5"/>
            </a:solidFill>
            <a:ln>
              <a:solidFill>
                <a:srgbClr val="000000"/>
              </a:solidFill>
              <a:prstDash val="solid"/>
            </a:ln>
            <a:effectLst/>
          </c:spPr>
          <c:invertIfNegative val="0"/>
          <c:cat>
            <c:numRef>
              <c:f>'Baseline debt'!$E$107:$U$107</c:f>
              <c:numCache>
                <c:formatCode>General</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pt idx="16">
                  <c:v>2023</c:v>
                </c:pt>
              </c:numCache>
            </c:numRef>
          </c:cat>
          <c:val>
            <c:numRef>
              <c:f>'Baseline debt'!$E$157:$U$157</c:f>
              <c:numCache>
                <c:formatCode>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4-7518-4EF3-B298-9890E4A546E2}"/>
            </c:ext>
          </c:extLst>
        </c:ser>
        <c:ser>
          <c:idx val="5"/>
          <c:order val="6"/>
          <c:tx>
            <c:strRef>
              <c:f>'Baseline debt'!$B$141</c:f>
              <c:strCache>
                <c:ptCount val="1"/>
                <c:pt idx="0">
                  <c:v>Residual</c:v>
                </c:pt>
              </c:strCache>
            </c:strRef>
          </c:tx>
          <c:spPr>
            <a:solidFill>
              <a:schemeClr val="bg1">
                <a:lumMod val="75000"/>
              </a:schemeClr>
            </a:solidFill>
            <a:ln>
              <a:solidFill>
                <a:srgbClr val="000000"/>
              </a:solidFill>
              <a:prstDash val="solid"/>
            </a:ln>
            <a:effectLst/>
          </c:spPr>
          <c:invertIfNegative val="0"/>
          <c:cat>
            <c:numRef>
              <c:f>'Baseline debt'!$E$107:$U$107</c:f>
              <c:numCache>
                <c:formatCode>General</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pt idx="16">
                  <c:v>2023</c:v>
                </c:pt>
              </c:numCache>
            </c:numRef>
          </c:cat>
          <c:val>
            <c:numRef>
              <c:f>'Baseline debt'!$E$161:$U$161</c:f>
              <c:numCache>
                <c:formatCode>0.0</c:formatCode>
                <c:ptCount val="17"/>
                <c:pt idx="0">
                  <c:v>-0.12886240379776881</c:v>
                </c:pt>
                <c:pt idx="1">
                  <c:v>5.7915246171329118</c:v>
                </c:pt>
                <c:pt idx="2">
                  <c:v>1.1248340151196068</c:v>
                </c:pt>
                <c:pt idx="3">
                  <c:v>-1.4953639346439154</c:v>
                </c:pt>
                <c:pt idx="4">
                  <c:v>-5.5701448204530966</c:v>
                </c:pt>
                <c:pt idx="5">
                  <c:v>-1.7133678836797228</c:v>
                </c:pt>
                <c:pt idx="6">
                  <c:v>-3.8906496124836156</c:v>
                </c:pt>
                <c:pt idx="7">
                  <c:v>1.0283364376849984</c:v>
                </c:pt>
                <c:pt idx="8">
                  <c:v>-5.2263700547480463</c:v>
                </c:pt>
                <c:pt idx="9">
                  <c:v>3.6784350893753142</c:v>
                </c:pt>
                <c:pt idx="10">
                  <c:v>0.97121154256909659</c:v>
                </c:pt>
                <c:pt idx="11">
                  <c:v>-0.17439700838239564</c:v>
                </c:pt>
                <c:pt idx="12">
                  <c:v>-0.16427195280477039</c:v>
                </c:pt>
                <c:pt idx="13">
                  <c:v>-0.16350000000000153</c:v>
                </c:pt>
                <c:pt idx="14">
                  <c:v>-0.16349999999999509</c:v>
                </c:pt>
                <c:pt idx="15">
                  <c:v>-0.16350000000000819</c:v>
                </c:pt>
                <c:pt idx="16">
                  <c:v>-0.15992721933990639</c:v>
                </c:pt>
              </c:numCache>
            </c:numRef>
          </c:val>
          <c:extLst>
            <c:ext xmlns:c16="http://schemas.microsoft.com/office/drawing/2014/chart" uri="{C3380CC4-5D6E-409C-BE32-E72D297353CC}">
              <c16:uniqueId val="{00000005-7518-4EF3-B298-9890E4A546E2}"/>
            </c:ext>
          </c:extLst>
        </c:ser>
        <c:dLbls>
          <c:showLegendKey val="0"/>
          <c:showVal val="0"/>
          <c:showCatName val="0"/>
          <c:showSerName val="0"/>
          <c:showPercent val="0"/>
          <c:showBubbleSize val="0"/>
        </c:dLbls>
        <c:gapWidth val="100"/>
        <c:overlap val="100"/>
        <c:axId val="538572800"/>
        <c:axId val="538571624"/>
      </c:barChart>
      <c:lineChart>
        <c:grouping val="stacked"/>
        <c:varyColors val="0"/>
        <c:ser>
          <c:idx val="0"/>
          <c:order val="0"/>
          <c:tx>
            <c:strRef>
              <c:f>'Baseline debt'!$B$146</c:f>
              <c:strCache>
                <c:ptCount val="1"/>
                <c:pt idx="0">
                  <c:v>Change in gross public sector debt</c:v>
                </c:pt>
              </c:strCache>
            </c:strRef>
          </c:tx>
          <c:spPr>
            <a:ln w="47625">
              <a:solidFill>
                <a:schemeClr val="tx1"/>
              </a:solidFill>
              <a:prstDash val="solid"/>
            </a:ln>
            <a:effectLst/>
          </c:spPr>
          <c:marker>
            <c:symbol val="none"/>
          </c:marker>
          <c:cat>
            <c:numRef>
              <c:f>'Baseline debt'!$E$3:$U$3</c:f>
              <c:numCache>
                <c:formatCode>General</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pt idx="16">
                  <c:v>2023</c:v>
                </c:pt>
              </c:numCache>
            </c:numRef>
          </c:cat>
          <c:val>
            <c:numRef>
              <c:f>'Baseline debt'!$E$146:$U$146</c:f>
              <c:numCache>
                <c:formatCode>0.0</c:formatCode>
                <c:ptCount val="17"/>
                <c:pt idx="0">
                  <c:v>-1.502746809742991</c:v>
                </c:pt>
                <c:pt idx="1">
                  <c:v>10.237931919663076</c:v>
                </c:pt>
                <c:pt idx="2">
                  <c:v>17.917812758718895</c:v>
                </c:pt>
                <c:pt idx="3">
                  <c:v>10.847319531474398</c:v>
                </c:pt>
                <c:pt idx="4">
                  <c:v>-4.7444681184881929</c:v>
                </c:pt>
                <c:pt idx="5">
                  <c:v>-1.4741371369048508</c:v>
                </c:pt>
                <c:pt idx="6">
                  <c:v>-2.1883984676194501</c:v>
                </c:pt>
                <c:pt idx="7">
                  <c:v>1.8748862688340466</c:v>
                </c:pt>
                <c:pt idx="8">
                  <c:v>-4.3110765544121534</c:v>
                </c:pt>
                <c:pt idx="9">
                  <c:v>3.5775450119186942</c:v>
                </c:pt>
                <c:pt idx="10">
                  <c:v>-0.32475418759005237</c:v>
                </c:pt>
                <c:pt idx="11">
                  <c:v>-2.7583600770948067</c:v>
                </c:pt>
                <c:pt idx="12">
                  <c:v>-1.7327896267751655</c:v>
                </c:pt>
                <c:pt idx="13">
                  <c:v>-1.8094621280347241</c:v>
                </c:pt>
                <c:pt idx="14">
                  <c:v>-1.485929720917504</c:v>
                </c:pt>
                <c:pt idx="15">
                  <c:v>-2.140287553174506</c:v>
                </c:pt>
                <c:pt idx="16">
                  <c:v>-2.0127986673556002</c:v>
                </c:pt>
              </c:numCache>
            </c:numRef>
          </c:val>
          <c:smooth val="0"/>
          <c:extLst>
            <c:ext xmlns:c16="http://schemas.microsoft.com/office/drawing/2014/chart" uri="{C3380CC4-5D6E-409C-BE32-E72D297353CC}">
              <c16:uniqueId val="{00000006-7518-4EF3-B298-9890E4A546E2}"/>
            </c:ext>
          </c:extLst>
        </c:ser>
        <c:dLbls>
          <c:showLegendKey val="0"/>
          <c:showVal val="0"/>
          <c:showCatName val="0"/>
          <c:showSerName val="0"/>
          <c:showPercent val="0"/>
          <c:showBubbleSize val="0"/>
        </c:dLbls>
        <c:marker val="1"/>
        <c:smooth val="0"/>
        <c:axId val="538572800"/>
        <c:axId val="538571624"/>
      </c:lineChart>
      <c:catAx>
        <c:axId val="538572800"/>
        <c:scaling>
          <c:orientation val="minMax"/>
        </c:scaling>
        <c:delete val="0"/>
        <c:axPos val="b"/>
        <c:numFmt formatCode="General" sourceLinked="1"/>
        <c:majorTickMark val="in"/>
        <c:minorTickMark val="none"/>
        <c:tickLblPos val="low"/>
        <c:spPr>
          <a:ln w="25400">
            <a:solidFill>
              <a:srgbClr val="C0C0C0"/>
            </a:solidFill>
            <a:prstDash val="solid"/>
          </a:ln>
        </c:spPr>
        <c:txPr>
          <a:bodyPr/>
          <a:lstStyle/>
          <a:p>
            <a:pPr>
              <a:defRPr sz="1400" b="0">
                <a:latin typeface="Segoe UI"/>
                <a:ea typeface="Segoe UI"/>
                <a:cs typeface="Segoe UI"/>
              </a:defRPr>
            </a:pPr>
            <a:endParaRPr lang="en-US"/>
          </a:p>
        </c:txPr>
        <c:crossAx val="538571624"/>
        <c:crossesAt val="0"/>
        <c:auto val="1"/>
        <c:lblAlgn val="ctr"/>
        <c:lblOffset val="100"/>
        <c:tickLblSkip val="1"/>
        <c:tickMarkSkip val="2"/>
        <c:noMultiLvlLbl val="0"/>
      </c:catAx>
      <c:valAx>
        <c:axId val="538571624"/>
        <c:scaling>
          <c:orientation val="minMax"/>
        </c:scaling>
        <c:delete val="0"/>
        <c:axPos val="l"/>
        <c:numFmt formatCode="#,##0" sourceLinked="0"/>
        <c:majorTickMark val="in"/>
        <c:minorTickMark val="none"/>
        <c:tickLblPos val="nextTo"/>
        <c:spPr>
          <a:ln w="25400">
            <a:solidFill>
              <a:srgbClr val="C0C0C0"/>
            </a:solidFill>
            <a:prstDash val="solid"/>
          </a:ln>
        </c:spPr>
        <c:txPr>
          <a:bodyPr/>
          <a:lstStyle/>
          <a:p>
            <a:pPr>
              <a:defRPr sz="1400" b="0">
                <a:latin typeface="Segoe UI"/>
                <a:ea typeface="Segoe UI"/>
                <a:cs typeface="Segoe UI"/>
              </a:defRPr>
            </a:pPr>
            <a:endParaRPr lang="en-US"/>
          </a:p>
        </c:txPr>
        <c:crossAx val="538572800"/>
        <c:crosses val="autoZero"/>
        <c:crossBetween val="between"/>
      </c:valAx>
      <c:spPr>
        <a:noFill/>
        <a:ln w="25400">
          <a:solidFill>
            <a:srgbClr val="C0C0C0"/>
          </a:solidFill>
          <a:prstDash val="solid"/>
        </a:ln>
      </c:spPr>
    </c:plotArea>
    <c:legend>
      <c:legendPos val="b"/>
      <c:layout>
        <c:manualLayout>
          <c:xMode val="edge"/>
          <c:yMode val="edge"/>
          <c:x val="0"/>
          <c:y val="0.8494377734497166"/>
          <c:w val="0.99697020028452665"/>
          <c:h val="0.14890353050097033"/>
        </c:manualLayout>
      </c:layout>
      <c:overlay val="0"/>
      <c:txPr>
        <a:bodyPr/>
        <a:lstStyle/>
        <a:p>
          <a:pPr>
            <a:defRPr sz="1400" b="0">
              <a:latin typeface="Segoe UI"/>
              <a:ea typeface="Segoe UI"/>
              <a:cs typeface="Segoe UI"/>
            </a:defRPr>
          </a:pPr>
          <a:endParaRPr lang="en-US"/>
        </a:p>
      </c:txPr>
    </c:legend>
    <c:plotVisOnly val="1"/>
    <c:dispBlanksAs val="zero"/>
    <c:showDLblsOverMax val="0"/>
  </c:chart>
  <c:spPr>
    <a:noFill/>
    <a:ln w="9525">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845654946855366"/>
          <c:y val="3.8417008351009196E-2"/>
          <c:w val="0.52312566408438665"/>
          <c:h val="0.72954982057456108"/>
        </c:manualLayout>
      </c:layout>
      <c:barChart>
        <c:barDir val="col"/>
        <c:grouping val="stacked"/>
        <c:varyColors val="0"/>
        <c:ser>
          <c:idx val="1"/>
          <c:order val="1"/>
          <c:tx>
            <c:strRef>
              <c:f>'Baseline debt'!$B$149</c:f>
              <c:strCache>
                <c:ptCount val="1"/>
                <c:pt idx="0">
                  <c:v>Primary deficit</c:v>
                </c:pt>
              </c:strCache>
            </c:strRef>
          </c:tx>
          <c:spPr>
            <a:solidFill>
              <a:srgbClr val="FFC000"/>
            </a:solidFill>
            <a:ln>
              <a:solidFill>
                <a:srgbClr val="000000"/>
              </a:solidFill>
              <a:prstDash val="solid"/>
            </a:ln>
            <a:effectLst/>
          </c:spPr>
          <c:invertIfNegative val="0"/>
          <c:cat>
            <c:strRef>
              <c:f>'Baseline debt'!$V$124</c:f>
              <c:strCache>
                <c:ptCount val="1"/>
                <c:pt idx="0">
                  <c:v>cumulative</c:v>
                </c:pt>
              </c:strCache>
            </c:strRef>
          </c:cat>
          <c:val>
            <c:numRef>
              <c:f>'Baseline debt'!$V$149</c:f>
              <c:numCache>
                <c:formatCode>0.0</c:formatCode>
                <c:ptCount val="1"/>
                <c:pt idx="0">
                  <c:v>-2.2706473101148887</c:v>
                </c:pt>
              </c:numCache>
            </c:numRef>
          </c:val>
          <c:extLst>
            <c:ext xmlns:c16="http://schemas.microsoft.com/office/drawing/2014/chart" uri="{C3380CC4-5D6E-409C-BE32-E72D297353CC}">
              <c16:uniqueId val="{00000000-C2C5-4DBA-8835-B0AA9041B2CF}"/>
            </c:ext>
          </c:extLst>
        </c:ser>
        <c:ser>
          <c:idx val="3"/>
          <c:order val="2"/>
          <c:tx>
            <c:strRef>
              <c:f>'Baseline debt'!$B$155</c:f>
              <c:strCache>
                <c:ptCount val="1"/>
                <c:pt idx="0">
                  <c:v>Real GDP growth</c:v>
                </c:pt>
              </c:strCache>
            </c:strRef>
          </c:tx>
          <c:spPr>
            <a:solidFill>
              <a:srgbClr val="FF0000"/>
            </a:solidFill>
            <a:ln>
              <a:solidFill>
                <a:srgbClr val="000000"/>
              </a:solidFill>
              <a:prstDash val="solid"/>
            </a:ln>
            <a:effectLst/>
          </c:spPr>
          <c:invertIfNegative val="0"/>
          <c:cat>
            <c:strRef>
              <c:f>'Baseline debt'!$V$124</c:f>
              <c:strCache>
                <c:ptCount val="1"/>
                <c:pt idx="0">
                  <c:v>cumulative</c:v>
                </c:pt>
              </c:strCache>
            </c:strRef>
          </c:cat>
          <c:val>
            <c:numRef>
              <c:f>'Baseline debt'!$V$155</c:f>
              <c:numCache>
                <c:formatCode>0.0</c:formatCode>
                <c:ptCount val="1"/>
                <c:pt idx="0">
                  <c:v>-6.4497948630532678</c:v>
                </c:pt>
              </c:numCache>
            </c:numRef>
          </c:val>
          <c:extLst>
            <c:ext xmlns:c16="http://schemas.microsoft.com/office/drawing/2014/chart" uri="{C3380CC4-5D6E-409C-BE32-E72D297353CC}">
              <c16:uniqueId val="{00000001-C2C5-4DBA-8835-B0AA9041B2CF}"/>
            </c:ext>
          </c:extLst>
        </c:ser>
        <c:ser>
          <c:idx val="2"/>
          <c:order val="3"/>
          <c:tx>
            <c:strRef>
              <c:f>'Baseline debt'!$B$154</c:f>
              <c:strCache>
                <c:ptCount val="1"/>
                <c:pt idx="0">
                  <c:v>Real interest rate </c:v>
                </c:pt>
              </c:strCache>
            </c:strRef>
          </c:tx>
          <c:spPr>
            <a:solidFill>
              <a:srgbClr val="00B050"/>
            </a:solidFill>
            <a:ln>
              <a:solidFill>
                <a:srgbClr val="000000"/>
              </a:solidFill>
              <a:prstDash val="solid"/>
            </a:ln>
            <a:effectLst/>
          </c:spPr>
          <c:invertIfNegative val="0"/>
          <c:cat>
            <c:strRef>
              <c:f>'Baseline debt'!$V$124</c:f>
              <c:strCache>
                <c:ptCount val="1"/>
                <c:pt idx="0">
                  <c:v>cumulative</c:v>
                </c:pt>
              </c:strCache>
            </c:strRef>
          </c:cat>
          <c:val>
            <c:numRef>
              <c:f>'Baseline debt'!$V$154</c:f>
              <c:numCache>
                <c:formatCode>0.0</c:formatCode>
                <c:ptCount val="1"/>
                <c:pt idx="0">
                  <c:v>-2.2300894196570722</c:v>
                </c:pt>
              </c:numCache>
            </c:numRef>
          </c:val>
          <c:extLst>
            <c:ext xmlns:c16="http://schemas.microsoft.com/office/drawing/2014/chart" uri="{C3380CC4-5D6E-409C-BE32-E72D297353CC}">
              <c16:uniqueId val="{00000002-C2C5-4DBA-8835-B0AA9041B2CF}"/>
            </c:ext>
          </c:extLst>
        </c:ser>
        <c:ser>
          <c:idx val="4"/>
          <c:order val="4"/>
          <c:tx>
            <c:strRef>
              <c:f>'Baseline debt'!$B$157</c:f>
              <c:strCache>
                <c:ptCount val="1"/>
                <c:pt idx="0">
                  <c:v>Other debt-creating flows</c:v>
                </c:pt>
              </c:strCache>
            </c:strRef>
          </c:tx>
          <c:spPr>
            <a:solidFill>
              <a:srgbClr val="79C1D5"/>
            </a:solidFill>
            <a:ln>
              <a:solidFill>
                <a:srgbClr val="000000"/>
              </a:solidFill>
              <a:prstDash val="solid"/>
            </a:ln>
            <a:effectLst/>
          </c:spPr>
          <c:invertIfNegative val="0"/>
          <c:cat>
            <c:strRef>
              <c:f>'Baseline debt'!$V$124</c:f>
              <c:strCache>
                <c:ptCount val="1"/>
                <c:pt idx="0">
                  <c:v>cumulative</c:v>
                </c:pt>
              </c:strCache>
            </c:strRef>
          </c:cat>
          <c:val>
            <c:numRef>
              <c:f>'Baseline debt'!$V$157</c:f>
              <c:numCache>
                <c:formatCode>0.0</c:formatCode>
                <c:ptCount val="1"/>
                <c:pt idx="0">
                  <c:v>0</c:v>
                </c:pt>
              </c:numCache>
            </c:numRef>
          </c:val>
          <c:extLst>
            <c:ext xmlns:c16="http://schemas.microsoft.com/office/drawing/2014/chart" uri="{C3380CC4-5D6E-409C-BE32-E72D297353CC}">
              <c16:uniqueId val="{00000003-C2C5-4DBA-8835-B0AA9041B2CF}"/>
            </c:ext>
          </c:extLst>
        </c:ser>
        <c:ser>
          <c:idx val="5"/>
          <c:order val="5"/>
          <c:tx>
            <c:strRef>
              <c:f>'Baseline debt'!$B$141</c:f>
              <c:strCache>
                <c:ptCount val="1"/>
                <c:pt idx="0">
                  <c:v>Residual</c:v>
                </c:pt>
              </c:strCache>
            </c:strRef>
          </c:tx>
          <c:spPr>
            <a:solidFill>
              <a:schemeClr val="bg1">
                <a:lumMod val="75000"/>
              </a:schemeClr>
            </a:solidFill>
            <a:ln>
              <a:solidFill>
                <a:srgbClr val="000000"/>
              </a:solidFill>
              <a:prstDash val="solid"/>
            </a:ln>
            <a:effectLst/>
          </c:spPr>
          <c:invertIfNegative val="0"/>
          <c:cat>
            <c:strRef>
              <c:f>'Baseline debt'!$V$124</c:f>
              <c:strCache>
                <c:ptCount val="1"/>
                <c:pt idx="0">
                  <c:v>cumulative</c:v>
                </c:pt>
              </c:strCache>
            </c:strRef>
          </c:cat>
          <c:val>
            <c:numRef>
              <c:f>'Baseline debt'!$V$161</c:f>
              <c:numCache>
                <c:formatCode>0.0</c:formatCode>
                <c:ptCount val="1"/>
                <c:pt idx="0">
                  <c:v>-0.98909618052707726</c:v>
                </c:pt>
              </c:numCache>
            </c:numRef>
          </c:val>
          <c:extLst>
            <c:ext xmlns:c16="http://schemas.microsoft.com/office/drawing/2014/chart" uri="{C3380CC4-5D6E-409C-BE32-E72D297353CC}">
              <c16:uniqueId val="{00000004-C2C5-4DBA-8835-B0AA9041B2CF}"/>
            </c:ext>
          </c:extLst>
        </c:ser>
        <c:dLbls>
          <c:showLegendKey val="0"/>
          <c:showVal val="0"/>
          <c:showCatName val="0"/>
          <c:showSerName val="0"/>
          <c:showPercent val="0"/>
          <c:showBubbleSize val="0"/>
        </c:dLbls>
        <c:gapWidth val="104"/>
        <c:overlap val="100"/>
        <c:axId val="538576328"/>
        <c:axId val="538572016"/>
      </c:barChart>
      <c:lineChart>
        <c:grouping val="stacked"/>
        <c:varyColors val="0"/>
        <c:ser>
          <c:idx val="0"/>
          <c:order val="0"/>
          <c:tx>
            <c:strRef>
              <c:f>'Baseline debt'!$B$146</c:f>
              <c:strCache>
                <c:ptCount val="1"/>
                <c:pt idx="0">
                  <c:v>Change in gross public sector debt</c:v>
                </c:pt>
              </c:strCache>
            </c:strRef>
          </c:tx>
          <c:spPr>
            <a:ln w="47625">
              <a:solidFill>
                <a:schemeClr val="tx1"/>
              </a:solidFill>
              <a:prstDash val="solid"/>
            </a:ln>
            <a:effectLst/>
          </c:spPr>
          <c:marker>
            <c:symbol val="dash"/>
            <c:size val="30"/>
            <c:spPr>
              <a:solidFill>
                <a:schemeClr val="tx1"/>
              </a:solidFill>
              <a:ln>
                <a:noFill/>
              </a:ln>
            </c:spPr>
          </c:marker>
          <c:cat>
            <c:strRef>
              <c:f>'Baseline debt'!$V$144</c:f>
              <c:strCache>
                <c:ptCount val="1"/>
                <c:pt idx="0">
                  <c:v>cumulative</c:v>
                </c:pt>
              </c:strCache>
            </c:strRef>
          </c:cat>
          <c:val>
            <c:numRef>
              <c:f>'Baseline debt'!$V$146</c:f>
              <c:numCache>
                <c:formatCode>0.0</c:formatCode>
                <c:ptCount val="1"/>
                <c:pt idx="0">
                  <c:v>-11.939627773352306</c:v>
                </c:pt>
              </c:numCache>
            </c:numRef>
          </c:val>
          <c:smooth val="0"/>
          <c:extLst>
            <c:ext xmlns:c16="http://schemas.microsoft.com/office/drawing/2014/chart" uri="{C3380CC4-5D6E-409C-BE32-E72D297353CC}">
              <c16:uniqueId val="{00000005-C2C5-4DBA-8835-B0AA9041B2CF}"/>
            </c:ext>
          </c:extLst>
        </c:ser>
        <c:dLbls>
          <c:showLegendKey val="0"/>
          <c:showVal val="0"/>
          <c:showCatName val="0"/>
          <c:showSerName val="0"/>
          <c:showPercent val="0"/>
          <c:showBubbleSize val="0"/>
        </c:dLbls>
        <c:marker val="1"/>
        <c:smooth val="0"/>
        <c:axId val="538576328"/>
        <c:axId val="538572016"/>
      </c:lineChart>
      <c:catAx>
        <c:axId val="538576328"/>
        <c:scaling>
          <c:orientation val="minMax"/>
        </c:scaling>
        <c:delete val="0"/>
        <c:axPos val="b"/>
        <c:numFmt formatCode="General" sourceLinked="1"/>
        <c:majorTickMark val="in"/>
        <c:minorTickMark val="none"/>
        <c:tickLblPos val="low"/>
        <c:spPr>
          <a:ln w="25400">
            <a:solidFill>
              <a:srgbClr val="C0C0C0"/>
            </a:solidFill>
            <a:prstDash val="solid"/>
          </a:ln>
        </c:spPr>
        <c:txPr>
          <a:bodyPr/>
          <a:lstStyle/>
          <a:p>
            <a:pPr>
              <a:defRPr sz="1400" b="0">
                <a:latin typeface="Segoe UI"/>
                <a:ea typeface="Segoe UI"/>
                <a:cs typeface="Segoe UI"/>
              </a:defRPr>
            </a:pPr>
            <a:endParaRPr lang="en-US"/>
          </a:p>
        </c:txPr>
        <c:crossAx val="538572016"/>
        <c:crossesAt val="0"/>
        <c:auto val="1"/>
        <c:lblAlgn val="ctr"/>
        <c:lblOffset val="100"/>
        <c:tickLblSkip val="1"/>
        <c:tickMarkSkip val="2"/>
        <c:noMultiLvlLbl val="0"/>
      </c:catAx>
      <c:valAx>
        <c:axId val="538572016"/>
        <c:scaling>
          <c:orientation val="minMax"/>
        </c:scaling>
        <c:delete val="0"/>
        <c:axPos val="l"/>
        <c:numFmt formatCode="#,##0" sourceLinked="0"/>
        <c:majorTickMark val="in"/>
        <c:minorTickMark val="none"/>
        <c:tickLblPos val="nextTo"/>
        <c:spPr>
          <a:ln w="25400">
            <a:solidFill>
              <a:srgbClr val="C0C0C0"/>
            </a:solidFill>
            <a:prstDash val="solid"/>
          </a:ln>
        </c:spPr>
        <c:txPr>
          <a:bodyPr/>
          <a:lstStyle/>
          <a:p>
            <a:pPr>
              <a:defRPr sz="1400" b="0">
                <a:latin typeface="Segoe UI"/>
                <a:ea typeface="Segoe UI"/>
                <a:cs typeface="Segoe UI"/>
              </a:defRPr>
            </a:pPr>
            <a:endParaRPr lang="en-US"/>
          </a:p>
        </c:txPr>
        <c:crossAx val="538576328"/>
        <c:crosses val="autoZero"/>
        <c:crossBetween val="between"/>
      </c:valAx>
      <c:spPr>
        <a:noFill/>
        <a:ln w="25400">
          <a:solidFill>
            <a:srgbClr val="C0C0C0"/>
          </a:solidFill>
          <a:prstDash val="solid"/>
        </a:ln>
      </c:spPr>
    </c:plotArea>
    <c:plotVisOnly val="1"/>
    <c:dispBlanksAs val="zero"/>
    <c:showDLblsOverMax val="0"/>
  </c:chart>
  <c:spPr>
    <a:noFill/>
    <a:ln w="9525">
      <a:noFill/>
    </a:ln>
  </c:spPr>
  <c:printSettings>
    <c:headerFooter/>
    <c:pageMargins b="0.75000000000001465" l="0.70000000000000062" r="0.70000000000000062" t="0.75000000000001465" header="0.30000000000000032" footer="0.30000000000000032"/>
    <c:pageSetup orientation="portrait"/>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latin typeface="Segoe UI" pitchFamily="34" charset="0"/>
                <a:cs typeface="Segoe UI" pitchFamily="34" charset="0"/>
              </a:defRPr>
            </a:pPr>
            <a:r>
              <a:rPr lang="en-US"/>
              <a:t>Gross Nominal Public Debt </a:t>
            </a:r>
            <a:r>
              <a:rPr lang="en-US" baseline="30000"/>
              <a:t>1/</a:t>
            </a:r>
          </a:p>
        </c:rich>
      </c:tx>
      <c:layout>
        <c:manualLayout>
          <c:xMode val="edge"/>
          <c:yMode val="edge"/>
          <c:x val="1.5624748463451041E-3"/>
          <c:y val="5.8152784450216804E-4"/>
        </c:manualLayout>
      </c:layout>
      <c:overlay val="1"/>
    </c:title>
    <c:autoTitleDeleted val="0"/>
    <c:plotArea>
      <c:layout>
        <c:manualLayout>
          <c:layoutTarget val="inner"/>
          <c:xMode val="edge"/>
          <c:yMode val="edge"/>
          <c:x val="9.4912063758408202E-2"/>
          <c:y val="0.16930053280178389"/>
          <c:w val="0.85460752975943666"/>
          <c:h val="0.72549942232093612"/>
        </c:manualLayout>
      </c:layout>
      <c:lineChart>
        <c:grouping val="standard"/>
        <c:varyColors val="0"/>
        <c:ser>
          <c:idx val="0"/>
          <c:order val="0"/>
          <c:tx>
            <c:strRef>
              <c:f>'Lists-Modules-ChartData'!$R$6</c:f>
              <c:strCache>
                <c:ptCount val="1"/>
                <c:pt idx="0">
                  <c:v>Baseline</c:v>
                </c:pt>
              </c:strCache>
            </c:strRef>
          </c:tx>
          <c:spPr>
            <a:ln w="31750">
              <a:solidFill>
                <a:srgbClr val="0070C0"/>
              </a:solidFill>
              <a:prstDash val="solid"/>
            </a:ln>
            <a:effectLst/>
          </c:spPr>
          <c:marker>
            <c:symbol val="none"/>
          </c:marker>
          <c:cat>
            <c:numRef>
              <c:f>'Lists-Modules-ChartData'!$S$4:$Z$4</c:f>
              <c:numCache>
                <c:formatCode>General</c:formatCode>
                <c:ptCount val="8"/>
                <c:pt idx="0">
                  <c:v>2016</c:v>
                </c:pt>
                <c:pt idx="1">
                  <c:v>2017</c:v>
                </c:pt>
                <c:pt idx="2">
                  <c:v>2018</c:v>
                </c:pt>
                <c:pt idx="3">
                  <c:v>2019</c:v>
                </c:pt>
                <c:pt idx="4">
                  <c:v>2020</c:v>
                </c:pt>
                <c:pt idx="5">
                  <c:v>2021</c:v>
                </c:pt>
                <c:pt idx="6">
                  <c:v>2022</c:v>
                </c:pt>
                <c:pt idx="7">
                  <c:v>2023</c:v>
                </c:pt>
              </c:numCache>
            </c:numRef>
          </c:cat>
          <c:val>
            <c:numRef>
              <c:f>'Lists-Modules-ChartData'!$S$7:$Z$7</c:f>
              <c:numCache>
                <c:formatCode>0.0</c:formatCode>
                <c:ptCount val="8"/>
                <c:pt idx="0">
                  <c:v>40.167456396322947</c:v>
                </c:pt>
                <c:pt idx="1">
                  <c:v>39.842702208732895</c:v>
                </c:pt>
                <c:pt idx="2">
                  <c:v>37.084342131638088</c:v>
                </c:pt>
                <c:pt idx="3">
                  <c:v>35.351552504862923</c:v>
                </c:pt>
                <c:pt idx="4">
                  <c:v>33.542090376828199</c:v>
                </c:pt>
                <c:pt idx="5">
                  <c:v>32.056160655910695</c:v>
                </c:pt>
                <c:pt idx="6">
                  <c:v>29.915873102736189</c:v>
                </c:pt>
                <c:pt idx="7">
                  <c:v>27.903074435380589</c:v>
                </c:pt>
              </c:numCache>
            </c:numRef>
          </c:val>
          <c:smooth val="0"/>
          <c:extLst>
            <c:ext xmlns:c16="http://schemas.microsoft.com/office/drawing/2014/chart" uri="{C3380CC4-5D6E-409C-BE32-E72D297353CC}">
              <c16:uniqueId val="{00000000-0C5A-4284-BB3E-0D7D21781955}"/>
            </c:ext>
          </c:extLst>
        </c:ser>
        <c:ser>
          <c:idx val="3"/>
          <c:order val="1"/>
          <c:tx>
            <c:strRef>
              <c:f>'Lists-Modules-ChartData'!$R$17</c:f>
              <c:strCache>
                <c:ptCount val="1"/>
                <c:pt idx="0">
                  <c:v>Net debt (in percent of GDP)</c:v>
                </c:pt>
              </c:strCache>
            </c:strRef>
          </c:tx>
          <c:spPr>
            <a:ln w="31750">
              <a:solidFill>
                <a:srgbClr val="0070C0"/>
              </a:solidFill>
              <a:prstDash val="dash"/>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1-0C5A-4284-BB3E-0D7D21781955}"/>
                </c:ext>
              </c:extLst>
            </c:dLbl>
            <c:dLbl>
              <c:idx val="1"/>
              <c:tx>
                <c:strRef>
                  <c:f>'Lists-Modules-ChartData'!$AD$20</c:f>
                  <c:strCache>
                    <c:ptCount val="1"/>
                  </c:strCache>
                </c:strRef>
              </c:tx>
              <c:dLblPos val="b"/>
              <c:showLegendKey val="0"/>
              <c:showVal val="0"/>
              <c:showCatName val="0"/>
              <c:showSerName val="1"/>
              <c:showPercent val="0"/>
              <c:showBubbleSize val="0"/>
              <c:extLst>
                <c:ext xmlns:c15="http://schemas.microsoft.com/office/drawing/2012/chart" uri="{CE6537A1-D6FC-4f65-9D91-7224C49458BB}">
                  <c15:dlblFieldTable>
                    <c15:dlblFTEntry>
                      <c15:txfldGUID>{3E7F12E5-7009-4A64-8EC4-5A1DB5D31D8C}</c15:txfldGUID>
                      <c15:f>'Lists-Modules-ChartData'!$AD$20</c15:f>
                      <c15:dlblFieldTableCache>
                        <c:ptCount val="1"/>
                      </c15:dlblFieldTableCache>
                    </c15:dlblFTEntry>
                  </c15:dlblFieldTable>
                  <c15:showDataLabelsRange val="0"/>
                </c:ext>
                <c:ext xmlns:c16="http://schemas.microsoft.com/office/drawing/2014/chart" uri="{C3380CC4-5D6E-409C-BE32-E72D297353CC}">
                  <c16:uniqueId val="{00000002-0C5A-4284-BB3E-0D7D21781955}"/>
                </c:ext>
              </c:extLst>
            </c:dLbl>
            <c:dLbl>
              <c:idx val="2"/>
              <c:delete val="1"/>
              <c:extLst>
                <c:ext xmlns:c15="http://schemas.microsoft.com/office/drawing/2012/chart" uri="{CE6537A1-D6FC-4f65-9D91-7224C49458BB}"/>
                <c:ext xmlns:c16="http://schemas.microsoft.com/office/drawing/2014/chart" uri="{C3380CC4-5D6E-409C-BE32-E72D297353CC}">
                  <c16:uniqueId val="{00000003-0C5A-4284-BB3E-0D7D21781955}"/>
                </c:ext>
              </c:extLst>
            </c:dLbl>
            <c:dLbl>
              <c:idx val="3"/>
              <c:delete val="1"/>
              <c:extLst>
                <c:ext xmlns:c15="http://schemas.microsoft.com/office/drawing/2012/chart" uri="{CE6537A1-D6FC-4f65-9D91-7224C49458BB}"/>
                <c:ext xmlns:c16="http://schemas.microsoft.com/office/drawing/2014/chart" uri="{C3380CC4-5D6E-409C-BE32-E72D297353CC}">
                  <c16:uniqueId val="{00000004-0C5A-4284-BB3E-0D7D21781955}"/>
                </c:ext>
              </c:extLst>
            </c:dLbl>
            <c:dLbl>
              <c:idx val="4"/>
              <c:delete val="1"/>
              <c:extLst>
                <c:ext xmlns:c15="http://schemas.microsoft.com/office/drawing/2012/chart" uri="{CE6537A1-D6FC-4f65-9D91-7224C49458BB}"/>
                <c:ext xmlns:c16="http://schemas.microsoft.com/office/drawing/2014/chart" uri="{C3380CC4-5D6E-409C-BE32-E72D297353CC}">
                  <c16:uniqueId val="{00000005-0C5A-4284-BB3E-0D7D21781955}"/>
                </c:ext>
              </c:extLst>
            </c:dLbl>
            <c:dLbl>
              <c:idx val="5"/>
              <c:delete val="1"/>
              <c:extLst>
                <c:ext xmlns:c15="http://schemas.microsoft.com/office/drawing/2012/chart" uri="{CE6537A1-D6FC-4f65-9D91-7224C49458BB}"/>
                <c:ext xmlns:c16="http://schemas.microsoft.com/office/drawing/2014/chart" uri="{C3380CC4-5D6E-409C-BE32-E72D297353CC}">
                  <c16:uniqueId val="{00000006-0C5A-4284-BB3E-0D7D21781955}"/>
                </c:ext>
              </c:extLst>
            </c:dLbl>
            <c:dLbl>
              <c:idx val="6"/>
              <c:delete val="1"/>
              <c:extLst>
                <c:ext xmlns:c15="http://schemas.microsoft.com/office/drawing/2012/chart" uri="{CE6537A1-D6FC-4f65-9D91-7224C49458BB}"/>
                <c:ext xmlns:c16="http://schemas.microsoft.com/office/drawing/2014/chart" uri="{C3380CC4-5D6E-409C-BE32-E72D297353CC}">
                  <c16:uniqueId val="{00000007-0C5A-4284-BB3E-0D7D21781955}"/>
                </c:ext>
              </c:extLst>
            </c:dLbl>
            <c:dLbl>
              <c:idx val="7"/>
              <c:delete val="1"/>
              <c:extLst>
                <c:ext xmlns:c15="http://schemas.microsoft.com/office/drawing/2012/chart" uri="{CE6537A1-D6FC-4f65-9D91-7224C49458BB}"/>
                <c:ext xmlns:c16="http://schemas.microsoft.com/office/drawing/2014/chart" uri="{C3380CC4-5D6E-409C-BE32-E72D297353CC}">
                  <c16:uniqueId val="{00000008-0C5A-4284-BB3E-0D7D21781955}"/>
                </c:ext>
              </c:extLst>
            </c:dLbl>
            <c:spPr>
              <a:noFill/>
              <a:ln>
                <a:noFill/>
              </a:ln>
              <a:effectLst/>
            </c:spPr>
            <c:txPr>
              <a:bodyPr/>
              <a:lstStyle/>
              <a:p>
                <a:pPr>
                  <a:defRPr sz="1200">
                    <a:latin typeface="Segoe UI" pitchFamily="34" charset="0"/>
                    <a:ea typeface="Segoe UI" pitchFamily="34" charset="0"/>
                    <a:cs typeface="Segoe UI" pitchFamily="34" charset="0"/>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'Lists-Modules-ChartData'!$S$4:$Z$4</c:f>
              <c:numCache>
                <c:formatCode>General</c:formatCode>
                <c:ptCount val="8"/>
                <c:pt idx="0">
                  <c:v>2016</c:v>
                </c:pt>
                <c:pt idx="1">
                  <c:v>2017</c:v>
                </c:pt>
                <c:pt idx="2">
                  <c:v>2018</c:v>
                </c:pt>
                <c:pt idx="3">
                  <c:v>2019</c:v>
                </c:pt>
                <c:pt idx="4">
                  <c:v>2020</c:v>
                </c:pt>
                <c:pt idx="5">
                  <c:v>2021</c:v>
                </c:pt>
                <c:pt idx="6">
                  <c:v>2022</c:v>
                </c:pt>
                <c:pt idx="7">
                  <c:v>2023</c:v>
                </c:pt>
              </c:numCache>
            </c:numRef>
          </c:cat>
          <c:val>
            <c:numRef>
              <c:f>'Lists-Modules-ChartData'!$S$17:$Z$17</c:f>
              <c:numCache>
                <c:formatCode>0.0</c:formatCode>
                <c:ptCount val="8"/>
                <c:pt idx="0">
                  <c:v>#N/A</c:v>
                </c:pt>
                <c:pt idx="1">
                  <c:v>#N/A</c:v>
                </c:pt>
                <c:pt idx="2">
                  <c:v>#N/A</c:v>
                </c:pt>
                <c:pt idx="3">
                  <c:v>#N/A</c:v>
                </c:pt>
                <c:pt idx="4">
                  <c:v>#N/A</c:v>
                </c:pt>
                <c:pt idx="5">
                  <c:v>#N/A</c:v>
                </c:pt>
                <c:pt idx="6">
                  <c:v>#N/A</c:v>
                </c:pt>
                <c:pt idx="7">
                  <c:v>#N/A</c:v>
                </c:pt>
              </c:numCache>
            </c:numRef>
          </c:val>
          <c:smooth val="0"/>
          <c:extLst>
            <c:ext xmlns:c16="http://schemas.microsoft.com/office/drawing/2014/chart" uri="{C3380CC4-5D6E-409C-BE32-E72D297353CC}">
              <c16:uniqueId val="{00000009-0C5A-4284-BB3E-0D7D21781955}"/>
            </c:ext>
          </c:extLst>
        </c:ser>
        <c:ser>
          <c:idx val="7"/>
          <c:order val="2"/>
          <c:tx>
            <c:strRef>
              <c:f>'Lists-Modules-ChartData'!$R$20</c:f>
              <c:strCache>
                <c:ptCount val="1"/>
                <c:pt idx="0">
                  <c:v>Debt (in percent of potential GDP)</c:v>
                </c:pt>
              </c:strCache>
            </c:strRef>
          </c:tx>
          <c:spPr>
            <a:ln w="25400">
              <a:solidFill>
                <a:schemeClr val="bg1">
                  <a:lumMod val="65000"/>
                </a:schemeClr>
              </a:solidFill>
              <a:prstDash val="solid"/>
            </a:ln>
          </c:spPr>
          <c:marker>
            <c:symbol val="none"/>
          </c:marker>
          <c:dLbls>
            <c:dLbl>
              <c:idx val="1"/>
              <c:spPr/>
              <c:txPr>
                <a:bodyPr/>
                <a:lstStyle/>
                <a:p>
                  <a:pPr>
                    <a:defRPr sz="1200">
                      <a:latin typeface="Segoe UI" pitchFamily="34" charset="0"/>
                      <a:ea typeface="Segoe UI" pitchFamily="34" charset="0"/>
                      <a:cs typeface="Segoe UI" pitchFamily="34" charset="0"/>
                    </a:defRPr>
                  </a:pPr>
                  <a:endParaRPr lang="en-US"/>
                </a:p>
              </c:txPr>
              <c:dLblPos val="t"/>
              <c:showLegendKey val="0"/>
              <c:showVal val="0"/>
              <c:showCatName val="0"/>
              <c:showSerName val="0"/>
              <c:showPercent val="0"/>
              <c:showBubbleSize val="0"/>
              <c:extLst>
                <c:ext xmlns:c16="http://schemas.microsoft.com/office/drawing/2014/chart" uri="{C3380CC4-5D6E-409C-BE32-E72D297353CC}">
                  <c16:uniqueId val="{00000000-57BD-4A82-AFBC-EE3C4DB8C77A}"/>
                </c:ext>
              </c:extLst>
            </c:dLbl>
            <c:dLbl>
              <c:idx val="6"/>
              <c:tx>
                <c:strRef>
                  <c:f>'Lists-Modules-ChartData'!$AD$22</c:f>
                  <c:strCache>
                    <c:ptCount val="1"/>
                    <c:pt idx="0">
                      <c:v>Debt (in percent of potential GDP)</c:v>
                    </c:pt>
                  </c:strCache>
                </c:strRef>
              </c:tx>
              <c:spPr/>
              <c:txPr>
                <a:bodyPr/>
                <a:lstStyle/>
                <a:p>
                  <a:pPr>
                    <a:defRPr sz="1200">
                      <a:solidFill>
                        <a:sysClr val="windowText" lastClr="000000"/>
                      </a:solidFill>
                      <a:latin typeface="Segoe UI" pitchFamily="34" charset="0"/>
                      <a:ea typeface="Segoe UI" pitchFamily="34" charset="0"/>
                      <a:cs typeface="Segoe UI" pitchFamily="34" charset="0"/>
                    </a:defRPr>
                  </a:pPr>
                  <a:endParaRPr lang="en-US"/>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{BE428DC8-2A20-4422-95AA-12B8F31D2004}</c15:txfldGUID>
                      <c15:f>'Lists-Modules-ChartData'!$AD$22</c15:f>
                      <c15:dlblFieldTableCache>
                        <c:ptCount val="1"/>
                        <c:pt idx="0">
                          <c:v>Debt (in percent of potential GDP)</c:v>
                        </c:pt>
                      </c15:dlblFieldTableCache>
                    </c15:dlblFTEntry>
                  </c15:dlblFieldTable>
                  <c15:showDataLabelsRange val="0"/>
                </c:ext>
                <c:ext xmlns:c16="http://schemas.microsoft.com/office/drawing/2014/chart" uri="{C3380CC4-5D6E-409C-BE32-E72D297353CC}">
                  <c16:uniqueId val="{0000000B-0C5A-4284-BB3E-0D7D21781955}"/>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numRef>
              <c:f>'Lists-Modules-ChartData'!$S$4:$Z$4</c:f>
              <c:numCache>
                <c:formatCode>General</c:formatCode>
                <c:ptCount val="8"/>
                <c:pt idx="0">
                  <c:v>2016</c:v>
                </c:pt>
                <c:pt idx="1">
                  <c:v>2017</c:v>
                </c:pt>
                <c:pt idx="2">
                  <c:v>2018</c:v>
                </c:pt>
                <c:pt idx="3">
                  <c:v>2019</c:v>
                </c:pt>
                <c:pt idx="4">
                  <c:v>2020</c:v>
                </c:pt>
                <c:pt idx="5">
                  <c:v>2021</c:v>
                </c:pt>
                <c:pt idx="6">
                  <c:v>2022</c:v>
                </c:pt>
                <c:pt idx="7">
                  <c:v>2023</c:v>
                </c:pt>
              </c:numCache>
            </c:numRef>
          </c:cat>
          <c:val>
            <c:numRef>
              <c:f>'Lists-Modules-ChartData'!$S$20:$Z$20</c:f>
              <c:numCache>
                <c:formatCode>0.00</c:formatCode>
                <c:ptCount val="8"/>
                <c:pt idx="0">
                  <c:v>0</c:v>
                </c:pt>
                <c:pt idx="1">
                  <c:v>0</c:v>
                </c:pt>
                <c:pt idx="2">
                  <c:v>0</c:v>
                </c:pt>
                <c:pt idx="3">
                  <c:v>0</c:v>
                </c:pt>
                <c:pt idx="4">
                  <c:v>0</c:v>
                </c:pt>
                <c:pt idx="5">
                  <c:v>0</c:v>
                </c:pt>
                <c:pt idx="6">
                  <c:v>0</c:v>
                </c:pt>
                <c:pt idx="7">
                  <c:v>0</c:v>
                </c:pt>
              </c:numCache>
            </c:numRef>
          </c:val>
          <c:smooth val="0"/>
          <c:extLst>
            <c:ext xmlns:c16="http://schemas.microsoft.com/office/drawing/2014/chart" uri="{C3380CC4-5D6E-409C-BE32-E72D297353CC}">
              <c16:uniqueId val="{0000000C-0C5A-4284-BB3E-0D7D21781955}"/>
            </c:ext>
          </c:extLst>
        </c:ser>
        <c:ser>
          <c:idx val="4"/>
          <c:order val="3"/>
          <c:tx>
            <c:strRef>
              <c:f>'Lists-Modules-ChartData'!$AQ$41</c:f>
              <c:strCache>
                <c:ptCount val="1"/>
              </c:strCache>
            </c:strRef>
          </c:tx>
          <c:spPr>
            <a:ln w="31750">
              <a:solidFill>
                <a:srgbClr val="00B0F0"/>
              </a:solidFill>
            </a:ln>
          </c:spPr>
          <c:marker>
            <c:symbol val="none"/>
          </c:marker>
          <c:cat>
            <c:numRef>
              <c:f>'Lists-Modules-ChartData'!$S$4:$Z$4</c:f>
              <c:numCache>
                <c:formatCode>General</c:formatCode>
                <c:ptCount val="8"/>
                <c:pt idx="0">
                  <c:v>2016</c:v>
                </c:pt>
                <c:pt idx="1">
                  <c:v>2017</c:v>
                </c:pt>
                <c:pt idx="2">
                  <c:v>2018</c:v>
                </c:pt>
                <c:pt idx="3">
                  <c:v>2019</c:v>
                </c:pt>
                <c:pt idx="4">
                  <c:v>2020</c:v>
                </c:pt>
                <c:pt idx="5">
                  <c:v>2021</c:v>
                </c:pt>
                <c:pt idx="6">
                  <c:v>2022</c:v>
                </c:pt>
                <c:pt idx="7">
                  <c:v>2023</c:v>
                </c:pt>
              </c:numCache>
            </c:numRef>
          </c:cat>
          <c:val>
            <c:numRef>
              <c:f>'Lists-Modules-ChartData'!$AR$42:$AY$42</c:f>
              <c:numCache>
                <c:formatCode>0.0</c:formatCode>
                <c:ptCount val="8"/>
                <c:pt idx="0">
                  <c:v>#N/A</c:v>
                </c:pt>
                <c:pt idx="1">
                  <c:v>#N/A</c:v>
                </c:pt>
                <c:pt idx="2">
                  <c:v>#N/A</c:v>
                </c:pt>
                <c:pt idx="3">
                  <c:v>#N/A</c:v>
                </c:pt>
                <c:pt idx="4">
                  <c:v>#N/A</c:v>
                </c:pt>
                <c:pt idx="5">
                  <c:v>#N/A</c:v>
                </c:pt>
                <c:pt idx="6">
                  <c:v>#N/A</c:v>
                </c:pt>
                <c:pt idx="7">
                  <c:v>#N/A</c:v>
                </c:pt>
              </c:numCache>
            </c:numRef>
          </c:val>
          <c:smooth val="0"/>
          <c:extLst>
            <c:ext xmlns:c16="http://schemas.microsoft.com/office/drawing/2014/chart" uri="{C3380CC4-5D6E-409C-BE32-E72D297353CC}">
              <c16:uniqueId val="{0000000D-0C5A-4284-BB3E-0D7D21781955}"/>
            </c:ext>
          </c:extLst>
        </c:ser>
        <c:ser>
          <c:idx val="5"/>
          <c:order val="4"/>
          <c:tx>
            <c:strRef>
              <c:f>'Lists-Modules-ChartData'!$AQ$51</c:f>
              <c:strCache>
                <c:ptCount val="1"/>
              </c:strCache>
            </c:strRef>
          </c:tx>
          <c:spPr>
            <a:ln w="31750">
              <a:solidFill>
                <a:srgbClr val="00CC00"/>
              </a:solidFill>
            </a:ln>
          </c:spPr>
          <c:marker>
            <c:symbol val="none"/>
          </c:marker>
          <c:cat>
            <c:numRef>
              <c:f>'Lists-Modules-ChartData'!$S$4:$Z$4</c:f>
              <c:numCache>
                <c:formatCode>General</c:formatCode>
                <c:ptCount val="8"/>
                <c:pt idx="0">
                  <c:v>2016</c:v>
                </c:pt>
                <c:pt idx="1">
                  <c:v>2017</c:v>
                </c:pt>
                <c:pt idx="2">
                  <c:v>2018</c:v>
                </c:pt>
                <c:pt idx="3">
                  <c:v>2019</c:v>
                </c:pt>
                <c:pt idx="4">
                  <c:v>2020</c:v>
                </c:pt>
                <c:pt idx="5">
                  <c:v>2021</c:v>
                </c:pt>
                <c:pt idx="6">
                  <c:v>2022</c:v>
                </c:pt>
                <c:pt idx="7">
                  <c:v>2023</c:v>
                </c:pt>
              </c:numCache>
            </c:numRef>
          </c:cat>
          <c:val>
            <c:numRef>
              <c:f>'Lists-Modules-ChartData'!$AR$52:$AY$52</c:f>
              <c:numCache>
                <c:formatCode>0.0</c:formatCode>
                <c:ptCount val="8"/>
                <c:pt idx="0">
                  <c:v>#N/A</c:v>
                </c:pt>
                <c:pt idx="1">
                  <c:v>#N/A</c:v>
                </c:pt>
                <c:pt idx="2">
                  <c:v>#N/A</c:v>
                </c:pt>
                <c:pt idx="3">
                  <c:v>#N/A</c:v>
                </c:pt>
                <c:pt idx="4">
                  <c:v>#N/A</c:v>
                </c:pt>
                <c:pt idx="5">
                  <c:v>#N/A</c:v>
                </c:pt>
                <c:pt idx="6">
                  <c:v>#N/A</c:v>
                </c:pt>
                <c:pt idx="7">
                  <c:v>#N/A</c:v>
                </c:pt>
              </c:numCache>
            </c:numRef>
          </c:val>
          <c:smooth val="0"/>
          <c:extLst>
            <c:ext xmlns:c16="http://schemas.microsoft.com/office/drawing/2014/chart" uri="{C3380CC4-5D6E-409C-BE32-E72D297353CC}">
              <c16:uniqueId val="{0000000E-0C5A-4284-BB3E-0D7D21781955}"/>
            </c:ext>
          </c:extLst>
        </c:ser>
        <c:ser>
          <c:idx val="6"/>
          <c:order val="5"/>
          <c:tx>
            <c:strRef>
              <c:f>'Lists-Modules-ChartData'!$AQ$61</c:f>
              <c:strCache>
                <c:ptCount val="1"/>
              </c:strCache>
            </c:strRef>
          </c:tx>
          <c:spPr>
            <a:ln w="31750">
              <a:solidFill>
                <a:srgbClr val="CC6600"/>
              </a:solidFill>
            </a:ln>
          </c:spPr>
          <c:marker>
            <c:symbol val="none"/>
          </c:marker>
          <c:cat>
            <c:numRef>
              <c:f>'Lists-Modules-ChartData'!$S$4:$Z$4</c:f>
              <c:numCache>
                <c:formatCode>General</c:formatCode>
                <c:ptCount val="8"/>
                <c:pt idx="0">
                  <c:v>2016</c:v>
                </c:pt>
                <c:pt idx="1">
                  <c:v>2017</c:v>
                </c:pt>
                <c:pt idx="2">
                  <c:v>2018</c:v>
                </c:pt>
                <c:pt idx="3">
                  <c:v>2019</c:v>
                </c:pt>
                <c:pt idx="4">
                  <c:v>2020</c:v>
                </c:pt>
                <c:pt idx="5">
                  <c:v>2021</c:v>
                </c:pt>
                <c:pt idx="6">
                  <c:v>2022</c:v>
                </c:pt>
                <c:pt idx="7">
                  <c:v>2023</c:v>
                </c:pt>
              </c:numCache>
            </c:numRef>
          </c:cat>
          <c:val>
            <c:numRef>
              <c:f>'Lists-Modules-ChartData'!$AR$62:$AY$62</c:f>
              <c:numCache>
                <c:formatCode>0.0</c:formatCode>
                <c:ptCount val="8"/>
                <c:pt idx="0">
                  <c:v>#N/A</c:v>
                </c:pt>
                <c:pt idx="1">
                  <c:v>#N/A</c:v>
                </c:pt>
                <c:pt idx="2">
                  <c:v>#N/A</c:v>
                </c:pt>
                <c:pt idx="3">
                  <c:v>#N/A</c:v>
                </c:pt>
                <c:pt idx="4">
                  <c:v>#N/A</c:v>
                </c:pt>
                <c:pt idx="5">
                  <c:v>#N/A</c:v>
                </c:pt>
                <c:pt idx="6">
                  <c:v>#N/A</c:v>
                </c:pt>
                <c:pt idx="7">
                  <c:v>#N/A</c:v>
                </c:pt>
              </c:numCache>
            </c:numRef>
          </c:val>
          <c:smooth val="0"/>
          <c:extLst>
            <c:ext xmlns:c16="http://schemas.microsoft.com/office/drawing/2014/chart" uri="{C3380CC4-5D6E-409C-BE32-E72D297353CC}">
              <c16:uniqueId val="{0000000F-0C5A-4284-BB3E-0D7D21781955}"/>
            </c:ext>
          </c:extLst>
        </c:ser>
        <c:ser>
          <c:idx val="1"/>
          <c:order val="6"/>
          <c:tx>
            <c:strRef>
              <c:f>'Lists-Modules-ChartData'!$R$106</c:f>
              <c:strCache>
                <c:ptCount val="1"/>
                <c:pt idx="0">
                  <c:v>Constant Primary Balance</c:v>
                </c:pt>
              </c:strCache>
            </c:strRef>
          </c:tx>
          <c:spPr>
            <a:ln w="31750">
              <a:solidFill>
                <a:srgbClr val="FF66CC"/>
              </a:solidFill>
              <a:prstDash val="dash"/>
            </a:ln>
            <a:effectLst/>
          </c:spPr>
          <c:marker>
            <c:symbol val="none"/>
          </c:marker>
          <c:cat>
            <c:numRef>
              <c:f>'Lists-Modules-ChartData'!$S$4:$Z$4</c:f>
              <c:numCache>
                <c:formatCode>General</c:formatCode>
                <c:ptCount val="8"/>
                <c:pt idx="0">
                  <c:v>2016</c:v>
                </c:pt>
                <c:pt idx="1">
                  <c:v>2017</c:v>
                </c:pt>
                <c:pt idx="2">
                  <c:v>2018</c:v>
                </c:pt>
                <c:pt idx="3">
                  <c:v>2019</c:v>
                </c:pt>
                <c:pt idx="4">
                  <c:v>2020</c:v>
                </c:pt>
                <c:pt idx="5">
                  <c:v>2021</c:v>
                </c:pt>
                <c:pt idx="6">
                  <c:v>2022</c:v>
                </c:pt>
                <c:pt idx="7">
                  <c:v>2023</c:v>
                </c:pt>
              </c:numCache>
            </c:numRef>
          </c:cat>
          <c:val>
            <c:numRef>
              <c:f>'Lists-Modules-ChartData'!$S$107:$Z$107</c:f>
              <c:numCache>
                <c:formatCode>General</c:formatCode>
                <c:ptCount val="8"/>
                <c:pt idx="2" formatCode="0.0">
                  <c:v>37.094606570883371</c:v>
                </c:pt>
                <c:pt idx="3" formatCode="0.0">
                  <c:v>36.564685698719956</c:v>
                </c:pt>
                <c:pt idx="4" formatCode="0.0">
                  <c:v>35.628480229218965</c:v>
                </c:pt>
                <c:pt idx="5" formatCode="0.0">
                  <c:v>34.33289445990934</c:v>
                </c:pt>
                <c:pt idx="6" formatCode="0.0">
                  <c:v>33.249382103886063</c:v>
                </c:pt>
                <c:pt idx="7" formatCode="0.0">
                  <c:v>32.23107541547607</c:v>
                </c:pt>
              </c:numCache>
            </c:numRef>
          </c:val>
          <c:smooth val="0"/>
          <c:extLst>
            <c:ext xmlns:c16="http://schemas.microsoft.com/office/drawing/2014/chart" uri="{C3380CC4-5D6E-409C-BE32-E72D297353CC}">
              <c16:uniqueId val="{00000010-0C5A-4284-BB3E-0D7D21781955}"/>
            </c:ext>
          </c:extLst>
        </c:ser>
        <c:ser>
          <c:idx val="2"/>
          <c:order val="7"/>
          <c:tx>
            <c:strRef>
              <c:f>'Lists-Modules-ChartData'!$R$92</c:f>
              <c:strCache>
                <c:ptCount val="1"/>
                <c:pt idx="0">
                  <c:v>Historical</c:v>
                </c:pt>
              </c:strCache>
            </c:strRef>
          </c:tx>
          <c:spPr>
            <a:ln w="44450">
              <a:solidFill>
                <a:schemeClr val="tx1">
                  <a:lumMod val="65000"/>
                  <a:lumOff val="35000"/>
                </a:schemeClr>
              </a:solidFill>
              <a:prstDash val="sysDot"/>
            </a:ln>
            <a:effectLst/>
          </c:spPr>
          <c:marker>
            <c:symbol val="none"/>
          </c:marker>
          <c:cat>
            <c:numRef>
              <c:f>'Lists-Modules-ChartData'!$S$4:$Z$4</c:f>
              <c:numCache>
                <c:formatCode>General</c:formatCode>
                <c:ptCount val="8"/>
                <c:pt idx="0">
                  <c:v>2016</c:v>
                </c:pt>
                <c:pt idx="1">
                  <c:v>2017</c:v>
                </c:pt>
                <c:pt idx="2">
                  <c:v>2018</c:v>
                </c:pt>
                <c:pt idx="3">
                  <c:v>2019</c:v>
                </c:pt>
                <c:pt idx="4">
                  <c:v>2020</c:v>
                </c:pt>
                <c:pt idx="5">
                  <c:v>2021</c:v>
                </c:pt>
                <c:pt idx="6">
                  <c:v>2022</c:v>
                </c:pt>
                <c:pt idx="7">
                  <c:v>2023</c:v>
                </c:pt>
              </c:numCache>
            </c:numRef>
          </c:cat>
          <c:val>
            <c:numRef>
              <c:f>'Lists-Modules-ChartData'!$S$93:$Z$93</c:f>
              <c:numCache>
                <c:formatCode>General</c:formatCode>
                <c:ptCount val="8"/>
                <c:pt idx="2" formatCode="0.0">
                  <c:v>37.094606570883371</c:v>
                </c:pt>
                <c:pt idx="3" formatCode="0.0">
                  <c:v>39.753258641667394</c:v>
                </c:pt>
                <c:pt idx="4" formatCode="0.0">
                  <c:v>42.254037652844879</c:v>
                </c:pt>
                <c:pt idx="5" formatCode="0.0">
                  <c:v>44.546754198486191</c:v>
                </c:pt>
                <c:pt idx="6" formatCode="0.0">
                  <c:v>47.282094205619636</c:v>
                </c:pt>
                <c:pt idx="7" formatCode="0.0">
                  <c:v>50.202086430637308</c:v>
                </c:pt>
              </c:numCache>
            </c:numRef>
          </c:val>
          <c:smooth val="0"/>
          <c:extLst>
            <c:ext xmlns:c16="http://schemas.microsoft.com/office/drawing/2014/chart" uri="{C3380CC4-5D6E-409C-BE32-E72D297353CC}">
              <c16:uniqueId val="{00000011-0C5A-4284-BB3E-0D7D21781955}"/>
            </c:ext>
          </c:extLst>
        </c:ser>
        <c:dLbls>
          <c:showLegendKey val="0"/>
          <c:showVal val="0"/>
          <c:showCatName val="0"/>
          <c:showSerName val="0"/>
          <c:showPercent val="0"/>
          <c:showBubbleSize val="0"/>
        </c:dLbls>
        <c:smooth val="0"/>
        <c:axId val="538573192"/>
        <c:axId val="538573584"/>
      </c:lineChart>
      <c:catAx>
        <c:axId val="538573192"/>
        <c:scaling>
          <c:orientation val="minMax"/>
        </c:scaling>
        <c:delete val="0"/>
        <c:axPos val="b"/>
        <c:numFmt formatCode="General" sourceLinked="1"/>
        <c:majorTickMark val="in"/>
        <c:minorTickMark val="none"/>
        <c:tickLblPos val="nextTo"/>
        <c:spPr>
          <a:ln w="25400">
            <a:solidFill>
              <a:srgbClr val="C0C0C0"/>
            </a:solidFill>
            <a:prstDash val="solid"/>
          </a:ln>
        </c:spPr>
        <c:txPr>
          <a:bodyPr/>
          <a:lstStyle/>
          <a:p>
            <a:pPr>
              <a:defRPr sz="1400">
                <a:latin typeface="Segoe UI"/>
                <a:ea typeface="Segoe UI"/>
                <a:cs typeface="Segoe UI"/>
              </a:defRPr>
            </a:pPr>
            <a:endParaRPr lang="en-US"/>
          </a:p>
        </c:txPr>
        <c:crossAx val="538573584"/>
        <c:crosses val="autoZero"/>
        <c:auto val="1"/>
        <c:lblAlgn val="ctr"/>
        <c:lblOffset val="100"/>
        <c:tickLblSkip val="1"/>
        <c:noMultiLvlLbl val="0"/>
      </c:catAx>
      <c:valAx>
        <c:axId val="538573584"/>
        <c:scaling>
          <c:orientation val="minMax"/>
        </c:scaling>
        <c:delete val="0"/>
        <c:axPos val="l"/>
        <c:numFmt formatCode="#,##0" sourceLinked="0"/>
        <c:majorTickMark val="in"/>
        <c:minorTickMark val="none"/>
        <c:tickLblPos val="nextTo"/>
        <c:spPr>
          <a:ln w="25400">
            <a:solidFill>
              <a:srgbClr val="C0C0C0"/>
            </a:solidFill>
            <a:prstDash val="solid"/>
          </a:ln>
        </c:spPr>
        <c:txPr>
          <a:bodyPr/>
          <a:lstStyle/>
          <a:p>
            <a:pPr>
              <a:defRPr sz="1400">
                <a:latin typeface="Segoe UI"/>
                <a:ea typeface="Segoe UI"/>
                <a:cs typeface="Segoe UI"/>
              </a:defRPr>
            </a:pPr>
            <a:endParaRPr lang="en-US"/>
          </a:p>
        </c:txPr>
        <c:crossAx val="538573192"/>
        <c:crosses val="autoZero"/>
        <c:crossBetween val="midCat"/>
      </c:valAx>
      <c:spPr>
        <a:noFill/>
        <a:ln w="25400">
          <a:solidFill>
            <a:srgbClr val="C0C0C0"/>
          </a:solidFill>
          <a:prstDash val="solid"/>
        </a:ln>
      </c:spPr>
    </c:plotArea>
    <c:plotVisOnly val="1"/>
    <c:dispBlanksAs val="gap"/>
    <c:showDLblsOverMax val="0"/>
  </c:chart>
  <c:spPr>
    <a:noFill/>
    <a:ln w="9525">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'Lists-Modules-ChartData'!$AD$7</c:f>
          <c:strCache>
            <c:ptCount val="1"/>
            <c:pt idx="0">
              <c:v>Public Gross Financing Needs</c:v>
            </c:pt>
          </c:strCache>
        </c:strRef>
      </c:tx>
      <c:layout>
        <c:manualLayout>
          <c:xMode val="edge"/>
          <c:yMode val="edge"/>
          <c:x val="1.6328158958246561E-3"/>
          <c:y val="4.8375727674728961E-3"/>
        </c:manualLayout>
      </c:layout>
      <c:overlay val="0"/>
      <c:txPr>
        <a:bodyPr rot="0"/>
        <a:lstStyle/>
        <a:p>
          <a:pPr algn="l">
            <a:defRPr sz="1600">
              <a:latin typeface="Segoe UI" pitchFamily="34" charset="0"/>
              <a:cs typeface="Segoe UI" pitchFamily="34" charset="0"/>
            </a:defRPr>
          </a:pPr>
          <a:endParaRPr lang="en-US"/>
        </a:p>
      </c:txPr>
    </c:title>
    <c:autoTitleDeleted val="0"/>
    <c:plotArea>
      <c:layout>
        <c:manualLayout>
          <c:layoutTarget val="inner"/>
          <c:xMode val="edge"/>
          <c:yMode val="edge"/>
          <c:x val="9.4111971248113394E-2"/>
          <c:y val="0.17206209551774831"/>
          <c:w val="0.85543926001661252"/>
          <c:h val="0.72806924583530797"/>
        </c:manualLayout>
      </c:layout>
      <c:lineChart>
        <c:grouping val="standard"/>
        <c:varyColors val="0"/>
        <c:ser>
          <c:idx val="0"/>
          <c:order val="0"/>
          <c:tx>
            <c:strRef>
              <c:f>'Lists-Modules-ChartData'!$R$6</c:f>
              <c:strCache>
                <c:ptCount val="1"/>
                <c:pt idx="0">
                  <c:v>Baseline</c:v>
                </c:pt>
              </c:strCache>
            </c:strRef>
          </c:tx>
          <c:spPr>
            <a:ln w="31750">
              <a:solidFill>
                <a:srgbClr val="0070C0"/>
              </a:solidFill>
              <a:prstDash val="solid"/>
            </a:ln>
            <a:effectLst/>
          </c:spPr>
          <c:marker>
            <c:symbol val="none"/>
          </c:marker>
          <c:cat>
            <c:numRef>
              <c:f>'Lists-Modules-ChartData'!$AR$6:$AY$6</c:f>
              <c:numCache>
                <c:formatCode>General</c:formatCode>
                <c:ptCount val="8"/>
                <c:pt idx="0">
                  <c:v>2016</c:v>
                </c:pt>
                <c:pt idx="1">
                  <c:v>2017</c:v>
                </c:pt>
                <c:pt idx="2">
                  <c:v>2018</c:v>
                </c:pt>
                <c:pt idx="3">
                  <c:v>2019</c:v>
                </c:pt>
                <c:pt idx="4">
                  <c:v>2020</c:v>
                </c:pt>
                <c:pt idx="5">
                  <c:v>2021</c:v>
                </c:pt>
                <c:pt idx="6">
                  <c:v>2022</c:v>
                </c:pt>
                <c:pt idx="7">
                  <c:v>2023</c:v>
                </c:pt>
              </c:numCache>
            </c:numRef>
          </c:cat>
          <c:val>
            <c:numRef>
              <c:f>'Lists-Modules-ChartData'!$S$9:$Z$9</c:f>
              <c:numCache>
                <c:formatCode>0.0</c:formatCode>
                <c:ptCount val="8"/>
                <c:pt idx="0">
                  <c:v>0.97616864053149377</c:v>
                </c:pt>
                <c:pt idx="1">
                  <c:v>1.5203756467637319</c:v>
                </c:pt>
                <c:pt idx="2">
                  <c:v>3.5984842323630626</c:v>
                </c:pt>
                <c:pt idx="3">
                  <c:v>2.736884117115657</c:v>
                </c:pt>
                <c:pt idx="4">
                  <c:v>2.3965618199100005</c:v>
                </c:pt>
                <c:pt idx="5">
                  <c:v>1.2003971380328871</c:v>
                </c:pt>
                <c:pt idx="6">
                  <c:v>-1.4862612076263433</c:v>
                </c:pt>
                <c:pt idx="7">
                  <c:v>-2.2506508944660197</c:v>
                </c:pt>
              </c:numCache>
            </c:numRef>
          </c:val>
          <c:smooth val="0"/>
          <c:extLst>
            <c:ext xmlns:c16="http://schemas.microsoft.com/office/drawing/2014/chart" uri="{C3380CC4-5D6E-409C-BE32-E72D297353CC}">
              <c16:uniqueId val="{00000000-9FB6-42C1-93D8-5F6F2838981B}"/>
            </c:ext>
          </c:extLst>
        </c:ser>
        <c:ser>
          <c:idx val="3"/>
          <c:order val="1"/>
          <c:tx>
            <c:strRef>
              <c:f>'Lists-Modules-ChartData'!$AQ$41</c:f>
              <c:strCache>
                <c:ptCount val="1"/>
              </c:strCache>
            </c:strRef>
          </c:tx>
          <c:spPr>
            <a:ln w="31750">
              <a:solidFill>
                <a:srgbClr val="00B0F0"/>
              </a:solidFill>
            </a:ln>
          </c:spPr>
          <c:marker>
            <c:symbol val="none"/>
          </c:marker>
          <c:cat>
            <c:numRef>
              <c:f>'Lists-Modules-ChartData'!$AR$6:$AY$6</c:f>
              <c:numCache>
                <c:formatCode>General</c:formatCode>
                <c:ptCount val="8"/>
                <c:pt idx="0">
                  <c:v>2016</c:v>
                </c:pt>
                <c:pt idx="1">
                  <c:v>2017</c:v>
                </c:pt>
                <c:pt idx="2">
                  <c:v>2018</c:v>
                </c:pt>
                <c:pt idx="3">
                  <c:v>2019</c:v>
                </c:pt>
                <c:pt idx="4">
                  <c:v>2020</c:v>
                </c:pt>
                <c:pt idx="5">
                  <c:v>2021</c:v>
                </c:pt>
                <c:pt idx="6">
                  <c:v>2022</c:v>
                </c:pt>
                <c:pt idx="7">
                  <c:v>2023</c:v>
                </c:pt>
              </c:numCache>
            </c:numRef>
          </c:cat>
          <c:val>
            <c:numRef>
              <c:f>'Lists-Modules-ChartData'!$AR$45:$AY$45</c:f>
              <c:numCache>
                <c:formatCode>0.0</c:formatCode>
                <c:ptCount val="8"/>
                <c:pt idx="0">
                  <c:v>#N/A</c:v>
                </c:pt>
                <c:pt idx="1">
                  <c:v>#N/A</c:v>
                </c:pt>
                <c:pt idx="2">
                  <c:v>#N/A</c:v>
                </c:pt>
                <c:pt idx="3">
                  <c:v>#N/A</c:v>
                </c:pt>
                <c:pt idx="4">
                  <c:v>#N/A</c:v>
                </c:pt>
                <c:pt idx="5">
                  <c:v>#N/A</c:v>
                </c:pt>
                <c:pt idx="6">
                  <c:v>#N/A</c:v>
                </c:pt>
                <c:pt idx="7">
                  <c:v>#N/A</c:v>
                </c:pt>
              </c:numCache>
            </c:numRef>
          </c:val>
          <c:smooth val="0"/>
          <c:extLst>
            <c:ext xmlns:c16="http://schemas.microsoft.com/office/drawing/2014/chart" uri="{C3380CC4-5D6E-409C-BE32-E72D297353CC}">
              <c16:uniqueId val="{00000001-9FB6-42C1-93D8-5F6F2838981B}"/>
            </c:ext>
          </c:extLst>
        </c:ser>
        <c:ser>
          <c:idx val="5"/>
          <c:order val="2"/>
          <c:tx>
            <c:strRef>
              <c:f>'Lists-Modules-ChartData'!$AQ$51</c:f>
              <c:strCache>
                <c:ptCount val="1"/>
              </c:strCache>
            </c:strRef>
          </c:tx>
          <c:spPr>
            <a:ln>
              <a:solidFill>
                <a:srgbClr val="00CC00"/>
              </a:solidFill>
            </a:ln>
          </c:spPr>
          <c:marker>
            <c:symbol val="none"/>
          </c:marker>
          <c:cat>
            <c:numRef>
              <c:f>'Lists-Modules-ChartData'!$AR$6:$AY$6</c:f>
              <c:numCache>
                <c:formatCode>General</c:formatCode>
                <c:ptCount val="8"/>
                <c:pt idx="0">
                  <c:v>2016</c:v>
                </c:pt>
                <c:pt idx="1">
                  <c:v>2017</c:v>
                </c:pt>
                <c:pt idx="2">
                  <c:v>2018</c:v>
                </c:pt>
                <c:pt idx="3">
                  <c:v>2019</c:v>
                </c:pt>
                <c:pt idx="4">
                  <c:v>2020</c:v>
                </c:pt>
                <c:pt idx="5">
                  <c:v>2021</c:v>
                </c:pt>
                <c:pt idx="6">
                  <c:v>2022</c:v>
                </c:pt>
                <c:pt idx="7">
                  <c:v>2023</c:v>
                </c:pt>
              </c:numCache>
            </c:numRef>
          </c:cat>
          <c:val>
            <c:numRef>
              <c:f>'Lists-Modules-ChartData'!$AR$55:$AY$55</c:f>
              <c:numCache>
                <c:formatCode>0.0</c:formatCode>
                <c:ptCount val="8"/>
                <c:pt idx="0">
                  <c:v>#N/A</c:v>
                </c:pt>
                <c:pt idx="1">
                  <c:v>#N/A</c:v>
                </c:pt>
                <c:pt idx="2">
                  <c:v>#N/A</c:v>
                </c:pt>
                <c:pt idx="3">
                  <c:v>#N/A</c:v>
                </c:pt>
                <c:pt idx="4">
                  <c:v>#N/A</c:v>
                </c:pt>
                <c:pt idx="5">
                  <c:v>#N/A</c:v>
                </c:pt>
                <c:pt idx="6">
                  <c:v>#N/A</c:v>
                </c:pt>
                <c:pt idx="7">
                  <c:v>#N/A</c:v>
                </c:pt>
              </c:numCache>
            </c:numRef>
          </c:val>
          <c:smooth val="0"/>
          <c:extLst>
            <c:ext xmlns:c16="http://schemas.microsoft.com/office/drawing/2014/chart" uri="{C3380CC4-5D6E-409C-BE32-E72D297353CC}">
              <c16:uniqueId val="{00000002-9FB6-42C1-93D8-5F6F2838981B}"/>
            </c:ext>
          </c:extLst>
        </c:ser>
        <c:ser>
          <c:idx val="4"/>
          <c:order val="3"/>
          <c:tx>
            <c:strRef>
              <c:f>'Lists-Modules-ChartData'!$AQ$61</c:f>
              <c:strCache>
                <c:ptCount val="1"/>
              </c:strCache>
            </c:strRef>
          </c:tx>
          <c:spPr>
            <a:ln w="31750">
              <a:solidFill>
                <a:srgbClr val="CC6600"/>
              </a:solidFill>
            </a:ln>
          </c:spPr>
          <c:marker>
            <c:symbol val="none"/>
          </c:marker>
          <c:cat>
            <c:numRef>
              <c:f>'Lists-Modules-ChartData'!$AR$6:$AY$6</c:f>
              <c:numCache>
                <c:formatCode>General</c:formatCode>
                <c:ptCount val="8"/>
                <c:pt idx="0">
                  <c:v>2016</c:v>
                </c:pt>
                <c:pt idx="1">
                  <c:v>2017</c:v>
                </c:pt>
                <c:pt idx="2">
                  <c:v>2018</c:v>
                </c:pt>
                <c:pt idx="3">
                  <c:v>2019</c:v>
                </c:pt>
                <c:pt idx="4">
                  <c:v>2020</c:v>
                </c:pt>
                <c:pt idx="5">
                  <c:v>2021</c:v>
                </c:pt>
                <c:pt idx="6">
                  <c:v>2022</c:v>
                </c:pt>
                <c:pt idx="7">
                  <c:v>2023</c:v>
                </c:pt>
              </c:numCache>
            </c:numRef>
          </c:cat>
          <c:val>
            <c:numRef>
              <c:f>'Lists-Modules-ChartData'!$AR$65:$AY$65</c:f>
              <c:numCache>
                <c:formatCode>0.0</c:formatCode>
                <c:ptCount val="8"/>
                <c:pt idx="0">
                  <c:v>#N/A</c:v>
                </c:pt>
                <c:pt idx="1">
                  <c:v>#N/A</c:v>
                </c:pt>
                <c:pt idx="2">
                  <c:v>#N/A</c:v>
                </c:pt>
                <c:pt idx="3">
                  <c:v>#N/A</c:v>
                </c:pt>
                <c:pt idx="4">
                  <c:v>#N/A</c:v>
                </c:pt>
                <c:pt idx="5">
                  <c:v>#N/A</c:v>
                </c:pt>
                <c:pt idx="6">
                  <c:v>#N/A</c:v>
                </c:pt>
                <c:pt idx="7">
                  <c:v>#N/A</c:v>
                </c:pt>
              </c:numCache>
            </c:numRef>
          </c:val>
          <c:smooth val="0"/>
          <c:extLst>
            <c:ext xmlns:c16="http://schemas.microsoft.com/office/drawing/2014/chart" uri="{C3380CC4-5D6E-409C-BE32-E72D297353CC}">
              <c16:uniqueId val="{00000003-9FB6-42C1-93D8-5F6F2838981B}"/>
            </c:ext>
          </c:extLst>
        </c:ser>
        <c:ser>
          <c:idx val="1"/>
          <c:order val="4"/>
          <c:tx>
            <c:strRef>
              <c:f>'Lists-Modules-ChartData'!$R$106</c:f>
              <c:strCache>
                <c:ptCount val="1"/>
                <c:pt idx="0">
                  <c:v>Constant Primary Balance</c:v>
                </c:pt>
              </c:strCache>
            </c:strRef>
          </c:tx>
          <c:spPr>
            <a:ln w="31750">
              <a:solidFill>
                <a:srgbClr val="FF66CC"/>
              </a:solidFill>
              <a:prstDash val="dash"/>
            </a:ln>
            <a:effectLst/>
          </c:spPr>
          <c:marker>
            <c:symbol val="none"/>
          </c:marker>
          <c:cat>
            <c:numRef>
              <c:f>'Lists-Modules-ChartData'!$AR$6:$AY$6</c:f>
              <c:numCache>
                <c:formatCode>General</c:formatCode>
                <c:ptCount val="8"/>
                <c:pt idx="0">
                  <c:v>2016</c:v>
                </c:pt>
                <c:pt idx="1">
                  <c:v>2017</c:v>
                </c:pt>
                <c:pt idx="2">
                  <c:v>2018</c:v>
                </c:pt>
                <c:pt idx="3">
                  <c:v>2019</c:v>
                </c:pt>
                <c:pt idx="4">
                  <c:v>2020</c:v>
                </c:pt>
                <c:pt idx="5">
                  <c:v>2021</c:v>
                </c:pt>
                <c:pt idx="6">
                  <c:v>2022</c:v>
                </c:pt>
                <c:pt idx="7">
                  <c:v>2023</c:v>
                </c:pt>
              </c:numCache>
            </c:numRef>
          </c:cat>
          <c:val>
            <c:numRef>
              <c:f>'Lists-Modules-ChartData'!$S$109:$Z$109</c:f>
              <c:numCache>
                <c:formatCode>General</c:formatCode>
                <c:ptCount val="8"/>
                <c:pt idx="2" formatCode="0.0">
                  <c:v>3.5994671534530136</c:v>
                </c:pt>
                <c:pt idx="3" formatCode="0.0">
                  <c:v>7.1027380579709201</c:v>
                </c:pt>
                <c:pt idx="4" formatCode="0.0">
                  <c:v>11.30996484227207</c:v>
                </c:pt>
                <c:pt idx="5" formatCode="0.0">
                  <c:v>15.18494945063879</c:v>
                </c:pt>
                <c:pt idx="6" formatCode="0.0">
                  <c:v>15.811176472283067</c:v>
                </c:pt>
                <c:pt idx="7" formatCode="0.0">
                  <c:v>15.612730162513284</c:v>
                </c:pt>
              </c:numCache>
            </c:numRef>
          </c:val>
          <c:smooth val="0"/>
          <c:extLst>
            <c:ext xmlns:c16="http://schemas.microsoft.com/office/drawing/2014/chart" uri="{C3380CC4-5D6E-409C-BE32-E72D297353CC}">
              <c16:uniqueId val="{00000004-9FB6-42C1-93D8-5F6F2838981B}"/>
            </c:ext>
          </c:extLst>
        </c:ser>
        <c:ser>
          <c:idx val="2"/>
          <c:order val="5"/>
          <c:tx>
            <c:strRef>
              <c:f>'Lists-Modules-ChartData'!$R$92</c:f>
              <c:strCache>
                <c:ptCount val="1"/>
                <c:pt idx="0">
                  <c:v>Historical</c:v>
                </c:pt>
              </c:strCache>
            </c:strRef>
          </c:tx>
          <c:spPr>
            <a:ln w="44450">
              <a:solidFill>
                <a:schemeClr val="tx1">
                  <a:lumMod val="65000"/>
                  <a:lumOff val="35000"/>
                </a:schemeClr>
              </a:solidFill>
              <a:prstDash val="sysDot"/>
            </a:ln>
            <a:effectLst/>
          </c:spPr>
          <c:marker>
            <c:symbol val="none"/>
          </c:marker>
          <c:cat>
            <c:numRef>
              <c:f>'Lists-Modules-ChartData'!$AR$6:$AY$6</c:f>
              <c:numCache>
                <c:formatCode>General</c:formatCode>
                <c:ptCount val="8"/>
                <c:pt idx="0">
                  <c:v>2016</c:v>
                </c:pt>
                <c:pt idx="1">
                  <c:v>2017</c:v>
                </c:pt>
                <c:pt idx="2">
                  <c:v>2018</c:v>
                </c:pt>
                <c:pt idx="3">
                  <c:v>2019</c:v>
                </c:pt>
                <c:pt idx="4">
                  <c:v>2020</c:v>
                </c:pt>
                <c:pt idx="5">
                  <c:v>2021</c:v>
                </c:pt>
                <c:pt idx="6">
                  <c:v>2022</c:v>
                </c:pt>
                <c:pt idx="7">
                  <c:v>2023</c:v>
                </c:pt>
              </c:numCache>
            </c:numRef>
          </c:cat>
          <c:val>
            <c:numRef>
              <c:f>'Lists-Modules-ChartData'!$S$95:$Z$95</c:f>
              <c:numCache>
                <c:formatCode>General</c:formatCode>
                <c:ptCount val="8"/>
                <c:pt idx="2" formatCode="0.0">
                  <c:v>3.5994671534530136</c:v>
                </c:pt>
                <c:pt idx="3" formatCode="0.0">
                  <c:v>9.4827143147415125</c:v>
                </c:pt>
                <c:pt idx="4" formatCode="0.0">
                  <c:v>16.409895134885762</c:v>
                </c:pt>
                <c:pt idx="5" formatCode="0.0">
                  <c:v>23.467411293501915</c:v>
                </c:pt>
                <c:pt idx="6" formatCode="0.0">
                  <c:v>27.449533776134004</c:v>
                </c:pt>
                <c:pt idx="7" formatCode="0.0">
                  <c:v>30.636908438406209</c:v>
                </c:pt>
              </c:numCache>
            </c:numRef>
          </c:val>
          <c:smooth val="0"/>
          <c:extLst>
            <c:ext xmlns:c16="http://schemas.microsoft.com/office/drawing/2014/chart" uri="{C3380CC4-5D6E-409C-BE32-E72D297353CC}">
              <c16:uniqueId val="{00000005-9FB6-42C1-93D8-5F6F2838981B}"/>
            </c:ext>
          </c:extLst>
        </c:ser>
        <c:dLbls>
          <c:showLegendKey val="0"/>
          <c:showVal val="0"/>
          <c:showCatName val="0"/>
          <c:showSerName val="0"/>
          <c:showPercent val="0"/>
          <c:showBubbleSize val="0"/>
        </c:dLbls>
        <c:smooth val="0"/>
        <c:axId val="538576720"/>
        <c:axId val="545510056"/>
      </c:lineChart>
      <c:catAx>
        <c:axId val="538576720"/>
        <c:scaling>
          <c:orientation val="minMax"/>
        </c:scaling>
        <c:delete val="0"/>
        <c:axPos val="b"/>
        <c:numFmt formatCode="General" sourceLinked="1"/>
        <c:majorTickMark val="in"/>
        <c:minorTickMark val="none"/>
        <c:tickLblPos val="nextTo"/>
        <c:spPr>
          <a:ln w="25400">
            <a:solidFill>
              <a:srgbClr val="C0C0C0"/>
            </a:solidFill>
            <a:prstDash val="solid"/>
          </a:ln>
        </c:spPr>
        <c:txPr>
          <a:bodyPr/>
          <a:lstStyle/>
          <a:p>
            <a:pPr>
              <a:defRPr sz="1400">
                <a:latin typeface="Segoe UI"/>
                <a:ea typeface="Segoe UI"/>
                <a:cs typeface="Segoe UI"/>
              </a:defRPr>
            </a:pPr>
            <a:endParaRPr lang="en-US"/>
          </a:p>
        </c:txPr>
        <c:crossAx val="545510056"/>
        <c:crosses val="autoZero"/>
        <c:auto val="1"/>
        <c:lblAlgn val="ctr"/>
        <c:lblOffset val="100"/>
        <c:noMultiLvlLbl val="0"/>
      </c:catAx>
      <c:valAx>
        <c:axId val="545510056"/>
        <c:scaling>
          <c:orientation val="minMax"/>
        </c:scaling>
        <c:delete val="0"/>
        <c:axPos val="l"/>
        <c:numFmt formatCode="#,##0" sourceLinked="0"/>
        <c:majorTickMark val="in"/>
        <c:minorTickMark val="none"/>
        <c:tickLblPos val="nextTo"/>
        <c:spPr>
          <a:ln w="25400">
            <a:solidFill>
              <a:srgbClr val="C0C0C0"/>
            </a:solidFill>
            <a:prstDash val="solid"/>
          </a:ln>
        </c:spPr>
        <c:txPr>
          <a:bodyPr/>
          <a:lstStyle/>
          <a:p>
            <a:pPr>
              <a:defRPr sz="1400">
                <a:latin typeface="Segoe UI"/>
                <a:ea typeface="Segoe UI"/>
                <a:cs typeface="Segoe UI"/>
              </a:defRPr>
            </a:pPr>
            <a:endParaRPr lang="en-US"/>
          </a:p>
        </c:txPr>
        <c:crossAx val="538576720"/>
        <c:crosses val="autoZero"/>
        <c:crossBetween val="midCat"/>
      </c:valAx>
      <c:spPr>
        <a:noFill/>
        <a:ln w="25400">
          <a:solidFill>
            <a:srgbClr val="C0C0C0"/>
          </a:solidFill>
          <a:prstDash val="solid"/>
        </a:ln>
      </c:spPr>
    </c:plotArea>
    <c:plotVisOnly val="1"/>
    <c:dispBlanksAs val="gap"/>
    <c:showDLblsOverMax val="0"/>
  </c:chart>
  <c:spPr>
    <a:noFill/>
    <a:ln w="9525">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latin typeface="Segoe UI" pitchFamily="34" charset="0"/>
                <a:cs typeface="Segoe UI" pitchFamily="34" charset="0"/>
              </a:defRPr>
            </a:pPr>
            <a:r>
              <a:rPr lang="en-US" sz="1600">
                <a:latin typeface="Segoe UI" pitchFamily="34" charset="0"/>
                <a:cs typeface="Segoe UI" pitchFamily="34" charset="0"/>
              </a:rPr>
              <a:t>By Maturity</a:t>
            </a:r>
          </a:p>
        </c:rich>
      </c:tx>
      <c:layout>
        <c:manualLayout>
          <c:xMode val="edge"/>
          <c:yMode val="edge"/>
          <c:x val="1.8632238008824001E-3"/>
          <c:y val="2.9007425901030662E-3"/>
        </c:manualLayout>
      </c:layout>
      <c:overlay val="0"/>
    </c:title>
    <c:autoTitleDeleted val="0"/>
    <c:plotArea>
      <c:layout>
        <c:manualLayout>
          <c:layoutTarget val="inner"/>
          <c:xMode val="edge"/>
          <c:yMode val="edge"/>
          <c:x val="7.7923613705645933E-2"/>
          <c:y val="0.17263280467823375"/>
          <c:w val="0.87763122739065325"/>
          <c:h val="0.72868378116555343"/>
        </c:manualLayout>
      </c:layout>
      <c:areaChart>
        <c:grouping val="stacked"/>
        <c:varyColors val="0"/>
        <c:ser>
          <c:idx val="3"/>
          <c:order val="1"/>
          <c:tx>
            <c:strRef>
              <c:f>'Baseline debt'!$B$114</c:f>
              <c:strCache>
                <c:ptCount val="1"/>
                <c:pt idx="0">
                  <c:v>Short-term</c:v>
                </c:pt>
              </c:strCache>
            </c:strRef>
          </c:tx>
          <c:spPr>
            <a:solidFill>
              <a:srgbClr val="C00000"/>
            </a:solidFill>
            <a:ln w="3175" cmpd="sng">
              <a:solidFill>
                <a:schemeClr val="bg1">
                  <a:lumMod val="65000"/>
                </a:schemeClr>
              </a:solidFill>
              <a:prstDash val="solid"/>
            </a:ln>
            <a:effectLst/>
          </c:spPr>
          <c:cat>
            <c:numRef>
              <c:f>'Baseline debt'!$E$107:$P$107</c:f>
              <c:numCache>
                <c:formatCode>General</c:formatCode>
                <c:ptCount val="12"/>
                <c:pt idx="0">
                  <c:v>2007</c:v>
                </c:pt>
                <c:pt idx="1">
                  <c:v>2008</c:v>
                </c:pt>
                <c:pt idx="2">
                  <c:v>2009</c:v>
                </c:pt>
                <c:pt idx="3">
                  <c:v>2010</c:v>
                </c:pt>
                <c:pt idx="4">
                  <c:v>2011</c:v>
                </c:pt>
                <c:pt idx="5">
                  <c:v>2012</c:v>
                </c:pt>
                <c:pt idx="6">
                  <c:v>2013</c:v>
                </c:pt>
                <c:pt idx="7">
                  <c:v>2014</c:v>
                </c:pt>
                <c:pt idx="8">
                  <c:v>2015</c:v>
                </c:pt>
                <c:pt idx="9">
                  <c:v>2016</c:v>
                </c:pt>
                <c:pt idx="10">
                  <c:v>2017</c:v>
                </c:pt>
                <c:pt idx="11">
                  <c:v>2018</c:v>
                </c:pt>
              </c:numCache>
            </c:numRef>
          </c:cat>
          <c:val>
            <c:numRef>
              <c:f>'Baseline debt'!$E$114:$U$114</c:f>
              <c:numCache>
                <c:formatCode>0.0</c:formatCode>
                <c:ptCount val="17"/>
                <c:pt idx="0">
                  <c:v>0.64240844762261773</c:v>
                </c:pt>
                <c:pt idx="1">
                  <c:v>6.6795831915711865</c:v>
                </c:pt>
                <c:pt idx="2">
                  <c:v>5.3271986067792509</c:v>
                </c:pt>
                <c:pt idx="3">
                  <c:v>4.9087459104004534</c:v>
                </c:pt>
                <c:pt idx="4">
                  <c:v>3.9698245967629719</c:v>
                </c:pt>
                <c:pt idx="5">
                  <c:v>2.516959429009368</c:v>
                </c:pt>
                <c:pt idx="6">
                  <c:v>2.0118150203093155</c:v>
                </c:pt>
                <c:pt idx="7">
                  <c:v>2.1692203580778067</c:v>
                </c:pt>
                <c:pt idx="8">
                  <c:v>1.7519215615713013</c:v>
                </c:pt>
                <c:pt idx="9">
                  <c:v>1.6406870252605652</c:v>
                </c:pt>
                <c:pt idx="10">
                  <c:v>3.4089930491025511</c:v>
                </c:pt>
                <c:pt idx="11">
                  <c:v>-0.90637668191912157</c:v>
                </c:pt>
                <c:pt idx="12">
                  <c:v>-1.7855444540251559</c:v>
                </c:pt>
                <c:pt idx="13">
                  <c:v>-3.3791113233439813</c:v>
                </c:pt>
                <c:pt idx="14">
                  <c:v>-1.9363203152078956</c:v>
                </c:pt>
                <c:pt idx="15">
                  <c:v>-3.4464207305365404</c:v>
                </c:pt>
                <c:pt idx="16">
                  <c:v>-4.1752988973412455</c:v>
                </c:pt>
              </c:numCache>
            </c:numRef>
          </c:val>
          <c:extLst>
            <c:ext xmlns:c16="http://schemas.microsoft.com/office/drawing/2014/chart" uri="{C3380CC4-5D6E-409C-BE32-E72D297353CC}">
              <c16:uniqueId val="{00000000-5734-4C72-90AF-F667D4716515}"/>
            </c:ext>
          </c:extLst>
        </c:ser>
        <c:ser>
          <c:idx val="4"/>
          <c:order val="2"/>
          <c:tx>
            <c:strRef>
              <c:f>'Baseline debt'!$B$115</c:f>
              <c:strCache>
                <c:ptCount val="1"/>
                <c:pt idx="0">
                  <c:v>Medium and long-term</c:v>
                </c:pt>
              </c:strCache>
            </c:strRef>
          </c:tx>
          <c:spPr>
            <a:solidFill>
              <a:srgbClr val="79C1D5"/>
            </a:solidFill>
            <a:ln w="3175">
              <a:solidFill>
                <a:schemeClr val="bg1">
                  <a:lumMod val="65000"/>
                </a:schemeClr>
              </a:solidFill>
              <a:prstDash val="solid"/>
            </a:ln>
            <a:effectLst/>
          </c:spPr>
          <c:cat>
            <c:numRef>
              <c:f>'Baseline debt'!$E$107:$P$107</c:f>
              <c:numCache>
                <c:formatCode>General</c:formatCode>
                <c:ptCount val="12"/>
                <c:pt idx="0">
                  <c:v>2007</c:v>
                </c:pt>
                <c:pt idx="1">
                  <c:v>2008</c:v>
                </c:pt>
                <c:pt idx="2">
                  <c:v>2009</c:v>
                </c:pt>
                <c:pt idx="3">
                  <c:v>2010</c:v>
                </c:pt>
                <c:pt idx="4">
                  <c:v>2011</c:v>
                </c:pt>
                <c:pt idx="5">
                  <c:v>2012</c:v>
                </c:pt>
                <c:pt idx="6">
                  <c:v>2013</c:v>
                </c:pt>
                <c:pt idx="7">
                  <c:v>2014</c:v>
                </c:pt>
                <c:pt idx="8">
                  <c:v>2015</c:v>
                </c:pt>
                <c:pt idx="9">
                  <c:v>2016</c:v>
                </c:pt>
                <c:pt idx="10">
                  <c:v>2017</c:v>
                </c:pt>
                <c:pt idx="11">
                  <c:v>2018</c:v>
                </c:pt>
              </c:numCache>
            </c:numRef>
          </c:cat>
          <c:val>
            <c:numRef>
              <c:f>'Baseline debt'!$E$115:$U$115</c:f>
              <c:numCache>
                <c:formatCode>0.0</c:formatCode>
                <c:ptCount val="17"/>
                <c:pt idx="0">
                  <c:v>7.4041565043362905</c:v>
                </c:pt>
                <c:pt idx="1">
                  <c:v>11.499244288842025</c:v>
                </c:pt>
                <c:pt idx="2">
                  <c:v>30.466330259542971</c:v>
                </c:pt>
                <c:pt idx="3">
                  <c:v>41.928085039698949</c:v>
                </c:pt>
                <c:pt idx="4">
                  <c:v>38.69812583618554</c:v>
                </c:pt>
                <c:pt idx="5">
                  <c:v>38.697540708592435</c:v>
                </c:pt>
                <c:pt idx="6">
                  <c:v>37.014277872580131</c:v>
                </c:pt>
                <c:pt idx="7">
                  <c:v>38.767693321449258</c:v>
                </c:pt>
                <c:pt idx="8">
                  <c:v>35.062328939367745</c:v>
                </c:pt>
                <c:pt idx="9">
                  <c:v>38.665048945026129</c:v>
                </c:pt>
                <c:pt idx="10">
                  <c:v>36.567271565597324</c:v>
                </c:pt>
                <c:pt idx="11">
                  <c:v>37.990718813557208</c:v>
                </c:pt>
                <c:pt idx="12">
                  <c:v>37.13709695888808</c:v>
                </c:pt>
                <c:pt idx="13">
                  <c:v>36.921201700172176</c:v>
                </c:pt>
                <c:pt idx="14">
                  <c:v>33.992480971118589</c:v>
                </c:pt>
                <c:pt idx="15">
                  <c:v>33.362293833272737</c:v>
                </c:pt>
                <c:pt idx="16">
                  <c:v>32.078373332721831</c:v>
                </c:pt>
              </c:numCache>
            </c:numRef>
          </c:val>
          <c:extLst>
            <c:ext xmlns:c16="http://schemas.microsoft.com/office/drawing/2014/chart" uri="{C3380CC4-5D6E-409C-BE32-E72D297353CC}">
              <c16:uniqueId val="{00000001-5734-4C72-90AF-F667D4716515}"/>
            </c:ext>
          </c:extLst>
        </c:ser>
        <c:dLbls>
          <c:showLegendKey val="0"/>
          <c:showVal val="0"/>
          <c:showCatName val="0"/>
          <c:showSerName val="0"/>
          <c:showPercent val="0"/>
          <c:showBubbleSize val="0"/>
        </c:dLbls>
        <c:axId val="545506136"/>
        <c:axId val="545505352"/>
      </c:areaChart>
      <c:lineChart>
        <c:grouping val="standard"/>
        <c:varyColors val="0"/>
        <c:ser>
          <c:idx val="0"/>
          <c:order val="0"/>
          <c:tx>
            <c:strRef>
              <c:f>'Baseline debt'!$B$108</c:f>
              <c:strCache>
                <c:ptCount val="1"/>
                <c:pt idx="0">
                  <c:v>Gross public sector debt</c:v>
                </c:pt>
              </c:strCache>
            </c:strRef>
          </c:tx>
          <c:spPr>
            <a:ln w="41275">
              <a:solidFill>
                <a:schemeClr val="tx1"/>
              </a:solidFill>
              <a:prstDash val="solid"/>
            </a:ln>
            <a:effectLst/>
          </c:spPr>
          <c:marker>
            <c:symbol val="none"/>
          </c:marker>
          <c:cat>
            <c:numRef>
              <c:f>'Baseline debt'!$E$107:$U$107</c:f>
              <c:numCache>
                <c:formatCode>General</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pt idx="16">
                  <c:v>2023</c:v>
                </c:pt>
              </c:numCache>
            </c:numRef>
          </c:cat>
          <c:val>
            <c:numRef>
              <c:f>'Baseline debt'!$E$108:$U$108</c:f>
              <c:numCache>
                <c:formatCode>0.0</c:formatCode>
                <c:ptCount val="17"/>
                <c:pt idx="0">
                  <c:v>8.4300411831384849</c:v>
                </c:pt>
                <c:pt idx="1">
                  <c:v>18.667973102801561</c:v>
                </c:pt>
                <c:pt idx="2">
                  <c:v>36.585785861520456</c:v>
                </c:pt>
                <c:pt idx="3">
                  <c:v>47.433105392994854</c:v>
                </c:pt>
                <c:pt idx="4">
                  <c:v>42.688637274506661</c:v>
                </c:pt>
                <c:pt idx="5">
                  <c:v>41.21450013760181</c:v>
                </c:pt>
                <c:pt idx="6">
                  <c:v>39.02610166998236</c:v>
                </c:pt>
                <c:pt idx="7">
                  <c:v>40.900987938816407</c:v>
                </c:pt>
                <c:pt idx="8">
                  <c:v>36.589911384404253</c:v>
                </c:pt>
                <c:pt idx="9">
                  <c:v>40.167456396322947</c:v>
                </c:pt>
                <c:pt idx="10">
                  <c:v>39.842702208732895</c:v>
                </c:pt>
                <c:pt idx="11">
                  <c:v>37.084342131638088</c:v>
                </c:pt>
                <c:pt idx="12">
                  <c:v>35.351552504862923</c:v>
                </c:pt>
                <c:pt idx="13">
                  <c:v>33.542090376828199</c:v>
                </c:pt>
                <c:pt idx="14">
                  <c:v>32.056160655910695</c:v>
                </c:pt>
                <c:pt idx="15">
                  <c:v>29.915873102736189</c:v>
                </c:pt>
                <c:pt idx="16">
                  <c:v>27.903074435380589</c:v>
                </c:pt>
              </c:numCache>
            </c:numRef>
          </c:val>
          <c:smooth val="0"/>
          <c:extLst>
            <c:ext xmlns:c16="http://schemas.microsoft.com/office/drawing/2014/chart" uri="{C3380CC4-5D6E-409C-BE32-E72D297353CC}">
              <c16:uniqueId val="{00000002-5734-4C72-90AF-F667D4716515}"/>
            </c:ext>
          </c:extLst>
        </c:ser>
        <c:dLbls>
          <c:showLegendKey val="0"/>
          <c:showVal val="0"/>
          <c:showCatName val="0"/>
          <c:showSerName val="0"/>
          <c:showPercent val="0"/>
          <c:showBubbleSize val="0"/>
        </c:dLbls>
        <c:marker val="1"/>
        <c:smooth val="0"/>
        <c:axId val="545506136"/>
        <c:axId val="545505352"/>
      </c:lineChart>
      <c:dateAx>
        <c:axId val="545506136"/>
        <c:scaling>
          <c:orientation val="minMax"/>
        </c:scaling>
        <c:delete val="0"/>
        <c:axPos val="b"/>
        <c:numFmt formatCode="General" sourceLinked="1"/>
        <c:majorTickMark val="in"/>
        <c:minorTickMark val="none"/>
        <c:tickLblPos val="nextTo"/>
        <c:spPr>
          <a:ln w="25400">
            <a:solidFill>
              <a:srgbClr val="C0C0C0"/>
            </a:solidFill>
            <a:prstDash val="solid"/>
          </a:ln>
        </c:spPr>
        <c:txPr>
          <a:bodyPr rot="0" vert="horz"/>
          <a:lstStyle/>
          <a:p>
            <a:pPr>
              <a:defRPr sz="1400">
                <a:latin typeface="Segoe UI"/>
                <a:ea typeface="Segoe UI"/>
                <a:cs typeface="Segoe UI"/>
              </a:defRPr>
            </a:pPr>
            <a:endParaRPr lang="en-US"/>
          </a:p>
        </c:txPr>
        <c:crossAx val="545505352"/>
        <c:crosses val="autoZero"/>
        <c:auto val="0"/>
        <c:lblOffset val="100"/>
        <c:baseTimeUnit val="days"/>
        <c:majorUnit val="2"/>
      </c:dateAx>
      <c:valAx>
        <c:axId val="545505352"/>
        <c:scaling>
          <c:orientation val="minMax"/>
        </c:scaling>
        <c:delete val="0"/>
        <c:axPos val="l"/>
        <c:numFmt formatCode="#,##0" sourceLinked="0"/>
        <c:majorTickMark val="in"/>
        <c:minorTickMark val="none"/>
        <c:tickLblPos val="nextTo"/>
        <c:spPr>
          <a:ln w="25400">
            <a:solidFill>
              <a:srgbClr val="C0C0C0"/>
            </a:solidFill>
            <a:prstDash val="solid"/>
          </a:ln>
        </c:spPr>
        <c:txPr>
          <a:bodyPr/>
          <a:lstStyle/>
          <a:p>
            <a:pPr>
              <a:defRPr sz="1400">
                <a:latin typeface="Segoe UI"/>
                <a:ea typeface="Segoe UI"/>
                <a:cs typeface="Segoe UI"/>
              </a:defRPr>
            </a:pPr>
            <a:endParaRPr lang="en-US"/>
          </a:p>
        </c:txPr>
        <c:crossAx val="545506136"/>
        <c:crosses val="autoZero"/>
        <c:crossBetween val="midCat"/>
      </c:valAx>
      <c:spPr>
        <a:solidFill>
          <a:srgbClr val="FFFFFF"/>
        </a:solidFill>
        <a:ln w="25400">
          <a:solidFill>
            <a:srgbClr val="C0C0C0"/>
          </a:solidFill>
          <a:prstDash val="solid"/>
        </a:ln>
      </c:spPr>
    </c:plotArea>
    <c:legend>
      <c:legendPos val="l"/>
      <c:legendEntry>
        <c:idx val="2"/>
        <c:delete val="1"/>
      </c:legendEntry>
      <c:layout>
        <c:manualLayout>
          <c:xMode val="edge"/>
          <c:yMode val="edge"/>
          <c:x val="9.0441809037997964E-2"/>
          <c:y val="0.1763589240112157"/>
          <c:w val="0.38900345335017333"/>
          <c:h val="0.1237021688078464"/>
        </c:manualLayout>
      </c:layout>
      <c:overlay val="1"/>
      <c:txPr>
        <a:bodyPr/>
        <a:lstStyle/>
        <a:p>
          <a:pPr>
            <a:defRPr sz="1400">
              <a:latin typeface="Segoe UI" pitchFamily="34" charset="0"/>
              <a:cs typeface="Segoe UI" pitchFamily="34" charset="0"/>
            </a:defRPr>
          </a:pPr>
          <a:endParaRPr lang="en-US"/>
        </a:p>
      </c:txPr>
    </c:legend>
    <c:plotVisOnly val="1"/>
    <c:dispBlanksAs val="gap"/>
    <c:showDLblsOverMax val="0"/>
  </c:chart>
  <c:spPr>
    <a:noFill/>
    <a:ln w="9525">
      <a:noFill/>
    </a:ln>
  </c:spPr>
  <c:printSettings>
    <c:headerFooter/>
    <c:pageMargins b="0.75000000000001465" l="0.70000000000000062" r="0.70000000000000062" t="0.75000000000001465"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033629344937744"/>
          <c:y val="7.5183957587328723E-2"/>
          <c:w val="0.79795906893061952"/>
          <c:h val="0.78324603200616194"/>
        </c:manualLayout>
      </c:layout>
      <c:lineChart>
        <c:grouping val="standard"/>
        <c:varyColors val="0"/>
        <c:ser>
          <c:idx val="0"/>
          <c:order val="0"/>
          <c:tx>
            <c:strRef>
              <c:f>'Lists-Modules-ChartData'!$R$6</c:f>
              <c:strCache>
                <c:ptCount val="1"/>
                <c:pt idx="0">
                  <c:v>Baseline</c:v>
                </c:pt>
              </c:strCache>
            </c:strRef>
          </c:tx>
          <c:marker>
            <c:symbol val="none"/>
          </c:marker>
          <c:cat>
            <c:numRef>
              <c:f>'Input 5 - Scenario Design'!$E$42:$J$42</c:f>
              <c:numCache>
                <c:formatCode>General</c:formatCode>
                <c:ptCount val="6"/>
                <c:pt idx="0">
                  <c:v>2018</c:v>
                </c:pt>
                <c:pt idx="1">
                  <c:v>2019</c:v>
                </c:pt>
                <c:pt idx="2">
                  <c:v>2020</c:v>
                </c:pt>
                <c:pt idx="3">
                  <c:v>2021</c:v>
                </c:pt>
                <c:pt idx="4">
                  <c:v>2022</c:v>
                </c:pt>
                <c:pt idx="5">
                  <c:v>2023</c:v>
                </c:pt>
              </c:numCache>
            </c:numRef>
          </c:cat>
          <c:val>
            <c:numRef>
              <c:f>'Lists-Modules-ChartData'!$U$7:$Z$7</c:f>
              <c:numCache>
                <c:formatCode>0.0</c:formatCode>
                <c:ptCount val="6"/>
                <c:pt idx="0">
                  <c:v>37.084342131638088</c:v>
                </c:pt>
                <c:pt idx="1">
                  <c:v>35.351552504862923</c:v>
                </c:pt>
                <c:pt idx="2">
                  <c:v>33.542090376828199</c:v>
                </c:pt>
                <c:pt idx="3">
                  <c:v>32.056160655910695</c:v>
                </c:pt>
                <c:pt idx="4">
                  <c:v>29.915873102736189</c:v>
                </c:pt>
                <c:pt idx="5">
                  <c:v>27.903074435380589</c:v>
                </c:pt>
              </c:numCache>
            </c:numRef>
          </c:val>
          <c:smooth val="0"/>
          <c:extLst>
            <c:ext xmlns:c16="http://schemas.microsoft.com/office/drawing/2014/chart" uri="{C3380CC4-5D6E-409C-BE32-E72D297353CC}">
              <c16:uniqueId val="{00000000-45A6-45D6-9BB0-BD4DEB82837D}"/>
            </c:ext>
          </c:extLst>
        </c:ser>
        <c:ser>
          <c:idx val="1"/>
          <c:order val="1"/>
          <c:tx>
            <c:strRef>
              <c:f>'Lists-Modules-ChartData'!$R$22</c:f>
              <c:strCache>
                <c:ptCount val="1"/>
                <c:pt idx="0">
                  <c:v>Primary Balance Shock</c:v>
                </c:pt>
              </c:strCache>
            </c:strRef>
          </c:tx>
          <c:marker>
            <c:symbol val="none"/>
          </c:marker>
          <c:cat>
            <c:numRef>
              <c:f>'Input 5 - Scenario Design'!$E$42:$J$42</c:f>
              <c:numCache>
                <c:formatCode>General</c:formatCode>
                <c:ptCount val="6"/>
                <c:pt idx="0">
                  <c:v>2018</c:v>
                </c:pt>
                <c:pt idx="1">
                  <c:v>2019</c:v>
                </c:pt>
                <c:pt idx="2">
                  <c:v>2020</c:v>
                </c:pt>
                <c:pt idx="3">
                  <c:v>2021</c:v>
                </c:pt>
                <c:pt idx="4">
                  <c:v>2022</c:v>
                </c:pt>
                <c:pt idx="5">
                  <c:v>2023</c:v>
                </c:pt>
              </c:numCache>
            </c:numRef>
          </c:cat>
          <c:val>
            <c:numRef>
              <c:f>'Lists-Modules-ChartData'!$U$23:$Z$23</c:f>
              <c:numCache>
                <c:formatCode>0.0</c:formatCode>
                <c:ptCount val="6"/>
                <c:pt idx="0">
                  <c:v>37.094606570883371</c:v>
                </c:pt>
                <c:pt idx="1">
                  <c:v>38.214400364463955</c:v>
                </c:pt>
                <c:pt idx="2">
                  <c:v>38.918983896573437</c:v>
                </c:pt>
                <c:pt idx="3">
                  <c:v>37.610365701816015</c:v>
                </c:pt>
                <c:pt idx="4">
                  <c:v>36.469134459946503</c:v>
                </c:pt>
                <c:pt idx="5">
                  <c:v>35.393780598028229</c:v>
                </c:pt>
              </c:numCache>
            </c:numRef>
          </c:val>
          <c:smooth val="0"/>
          <c:extLst>
            <c:ext xmlns:c16="http://schemas.microsoft.com/office/drawing/2014/chart" uri="{C3380CC4-5D6E-409C-BE32-E72D297353CC}">
              <c16:uniqueId val="{00000001-45A6-45D6-9BB0-BD4DEB82837D}"/>
            </c:ext>
          </c:extLst>
        </c:ser>
        <c:dLbls>
          <c:showLegendKey val="0"/>
          <c:showVal val="0"/>
          <c:showCatName val="0"/>
          <c:showSerName val="0"/>
          <c:showPercent val="0"/>
          <c:showBubbleSize val="0"/>
        </c:dLbls>
        <c:smooth val="0"/>
        <c:axId val="537236056"/>
        <c:axId val="537239976"/>
      </c:lineChart>
      <c:catAx>
        <c:axId val="537236056"/>
        <c:scaling>
          <c:orientation val="minMax"/>
        </c:scaling>
        <c:delete val="0"/>
        <c:axPos val="b"/>
        <c:numFmt formatCode="General" sourceLinked="1"/>
        <c:majorTickMark val="out"/>
        <c:minorTickMark val="none"/>
        <c:tickLblPos val="nextTo"/>
        <c:crossAx val="537239976"/>
        <c:crosses val="autoZero"/>
        <c:auto val="1"/>
        <c:lblAlgn val="ctr"/>
        <c:lblOffset val="100"/>
        <c:noMultiLvlLbl val="0"/>
      </c:catAx>
      <c:valAx>
        <c:axId val="537239976"/>
        <c:scaling>
          <c:orientation val="minMax"/>
        </c:scaling>
        <c:delete val="0"/>
        <c:axPos val="l"/>
        <c:numFmt formatCode="#,##0" sourceLinked="0"/>
        <c:majorTickMark val="out"/>
        <c:minorTickMark val="none"/>
        <c:tickLblPos val="nextTo"/>
        <c:crossAx val="537236056"/>
        <c:crosses val="autoZero"/>
        <c:crossBetween val="midCat"/>
      </c:valAx>
      <c:spPr>
        <a:ln>
          <a:solidFill>
            <a:schemeClr val="bg1">
              <a:lumMod val="50000"/>
            </a:schemeClr>
          </a:solidFill>
        </a:ln>
      </c:spPr>
    </c:plotArea>
    <c:legend>
      <c:legendPos val="b"/>
      <c:layout>
        <c:manualLayout>
          <c:xMode val="edge"/>
          <c:yMode val="edge"/>
          <c:x val="9.2024682850610398E-2"/>
          <c:y val="0.6388473071610179"/>
          <c:w val="0.85446604924881941"/>
          <c:h val="0.21352595357167894"/>
        </c:manualLayout>
      </c:layout>
      <c:overlay val="1"/>
      <c:txPr>
        <a:bodyPr/>
        <a:lstStyle/>
        <a:p>
          <a:pPr>
            <a:defRPr sz="1200" b="1"/>
          </a:pPr>
          <a:endParaRPr lang="en-US"/>
        </a:p>
      </c:txPr>
    </c:legend>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userShapes r:id="rId1"/>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latin typeface="Segoe UI" pitchFamily="34" charset="0"/>
                <a:cs typeface="Segoe UI" pitchFamily="34" charset="0"/>
              </a:defRPr>
            </a:pPr>
            <a:r>
              <a:rPr lang="en-US" sz="1600">
                <a:latin typeface="Segoe UI" pitchFamily="34" charset="0"/>
                <a:cs typeface="Segoe UI" pitchFamily="34" charset="0"/>
              </a:rPr>
              <a:t>By Currency</a:t>
            </a:r>
          </a:p>
        </c:rich>
      </c:tx>
      <c:layout>
        <c:manualLayout>
          <c:xMode val="edge"/>
          <c:yMode val="edge"/>
          <c:x val="1.0619426135037081E-3"/>
          <c:y val="1.3259394404967681E-3"/>
        </c:manualLayout>
      </c:layout>
      <c:overlay val="0"/>
    </c:title>
    <c:autoTitleDeleted val="0"/>
    <c:plotArea>
      <c:layout>
        <c:manualLayout>
          <c:layoutTarget val="inner"/>
          <c:xMode val="edge"/>
          <c:yMode val="edge"/>
          <c:x val="8.3568642461361267E-2"/>
          <c:y val="0.17593238130689751"/>
          <c:w val="0.86695465150190065"/>
          <c:h val="0.72619601908974563"/>
        </c:manualLayout>
      </c:layout>
      <c:areaChart>
        <c:grouping val="stacked"/>
        <c:varyColors val="0"/>
        <c:ser>
          <c:idx val="3"/>
          <c:order val="1"/>
          <c:tx>
            <c:strRef>
              <c:f>'Baseline debt'!$B$111</c:f>
              <c:strCache>
                <c:ptCount val="1"/>
                <c:pt idx="0">
                  <c:v>Foreign currency-denominated</c:v>
                </c:pt>
              </c:strCache>
            </c:strRef>
          </c:tx>
          <c:spPr>
            <a:solidFill>
              <a:srgbClr val="FF6600"/>
            </a:solidFill>
            <a:ln w="3175">
              <a:solidFill>
                <a:schemeClr val="bg1">
                  <a:lumMod val="65000"/>
                </a:schemeClr>
              </a:solidFill>
              <a:prstDash val="solid"/>
            </a:ln>
            <a:effectLst/>
          </c:spPr>
          <c:cat>
            <c:numRef>
              <c:f>'Baseline debt'!$E$107:$P$107</c:f>
              <c:numCache>
                <c:formatCode>General</c:formatCode>
                <c:ptCount val="12"/>
                <c:pt idx="0">
                  <c:v>2007</c:v>
                </c:pt>
                <c:pt idx="1">
                  <c:v>2008</c:v>
                </c:pt>
                <c:pt idx="2">
                  <c:v>2009</c:v>
                </c:pt>
                <c:pt idx="3">
                  <c:v>2010</c:v>
                </c:pt>
                <c:pt idx="4">
                  <c:v>2011</c:v>
                </c:pt>
                <c:pt idx="5">
                  <c:v>2012</c:v>
                </c:pt>
                <c:pt idx="6">
                  <c:v>2013</c:v>
                </c:pt>
                <c:pt idx="7">
                  <c:v>2014</c:v>
                </c:pt>
                <c:pt idx="8">
                  <c:v>2015</c:v>
                </c:pt>
                <c:pt idx="9">
                  <c:v>2016</c:v>
                </c:pt>
                <c:pt idx="10">
                  <c:v>2017</c:v>
                </c:pt>
                <c:pt idx="11">
                  <c:v>2018</c:v>
                </c:pt>
              </c:numCache>
            </c:numRef>
          </c:cat>
          <c:val>
            <c:numRef>
              <c:f>'Baseline debt'!$E$111:$U$111</c:f>
              <c:numCache>
                <c:formatCode>0.0</c:formatCode>
                <c:ptCount val="17"/>
                <c:pt idx="0">
                  <c:v>0.17557940215739418</c:v>
                </c:pt>
                <c:pt idx="1">
                  <c:v>2.5627397144221487</c:v>
                </c:pt>
                <c:pt idx="2">
                  <c:v>4.4869489478091884</c:v>
                </c:pt>
                <c:pt idx="3">
                  <c:v>6.5130902849926215</c:v>
                </c:pt>
                <c:pt idx="4">
                  <c:v>7.2425510383353</c:v>
                </c:pt>
                <c:pt idx="5">
                  <c:v>9.4616406708947878</c:v>
                </c:pt>
                <c:pt idx="6">
                  <c:v>9.1423213916258597</c:v>
                </c:pt>
                <c:pt idx="7">
                  <c:v>8.6629532708229426</c:v>
                </c:pt>
                <c:pt idx="8">
                  <c:v>6.4676893284809855</c:v>
                </c:pt>
                <c:pt idx="9">
                  <c:v>0.12050236918896995</c:v>
                </c:pt>
                <c:pt idx="10">
                  <c:v>3.9842702208729652E-2</c:v>
                </c:pt>
                <c:pt idx="11">
                  <c:v>2.4219163526862719E-2</c:v>
                </c:pt>
                <c:pt idx="12">
                  <c:v>2.0643487859072166E-2</c:v>
                </c:pt>
                <c:pt idx="13">
                  <c:v>-1.8259086309532213</c:v>
                </c:pt>
                <c:pt idx="14">
                  <c:v>-2.737368931148751</c:v>
                </c:pt>
                <c:pt idx="15">
                  <c:v>-2.5963203032486284</c:v>
                </c:pt>
                <c:pt idx="16">
                  <c:v>-2.4643075595625614</c:v>
                </c:pt>
              </c:numCache>
            </c:numRef>
          </c:val>
          <c:extLst>
            <c:ext xmlns:c16="http://schemas.microsoft.com/office/drawing/2014/chart" uri="{C3380CC4-5D6E-409C-BE32-E72D297353CC}">
              <c16:uniqueId val="{00000000-9DB7-480B-AC1C-EC4D952A7185}"/>
            </c:ext>
          </c:extLst>
        </c:ser>
        <c:ser>
          <c:idx val="4"/>
          <c:order val="2"/>
          <c:tx>
            <c:strRef>
              <c:f>'Baseline debt'!$B$112</c:f>
              <c:strCache>
                <c:ptCount val="1"/>
                <c:pt idx="0">
                  <c:v>Local currency-denominated</c:v>
                </c:pt>
              </c:strCache>
            </c:strRef>
          </c:tx>
          <c:spPr>
            <a:solidFill>
              <a:srgbClr val="92D050"/>
            </a:solidFill>
            <a:ln w="3175">
              <a:solidFill>
                <a:schemeClr val="bg1">
                  <a:lumMod val="65000"/>
                </a:schemeClr>
              </a:solidFill>
              <a:prstDash val="solid"/>
            </a:ln>
            <a:effectLst/>
          </c:spPr>
          <c:cat>
            <c:numRef>
              <c:f>'Baseline debt'!$E$107:$P$107</c:f>
              <c:numCache>
                <c:formatCode>General</c:formatCode>
                <c:ptCount val="12"/>
                <c:pt idx="0">
                  <c:v>2007</c:v>
                </c:pt>
                <c:pt idx="1">
                  <c:v>2008</c:v>
                </c:pt>
                <c:pt idx="2">
                  <c:v>2009</c:v>
                </c:pt>
                <c:pt idx="3">
                  <c:v>2010</c:v>
                </c:pt>
                <c:pt idx="4">
                  <c:v>2011</c:v>
                </c:pt>
                <c:pt idx="5">
                  <c:v>2012</c:v>
                </c:pt>
                <c:pt idx="6">
                  <c:v>2013</c:v>
                </c:pt>
                <c:pt idx="7">
                  <c:v>2014</c:v>
                </c:pt>
                <c:pt idx="8">
                  <c:v>2015</c:v>
                </c:pt>
                <c:pt idx="9">
                  <c:v>2016</c:v>
                </c:pt>
                <c:pt idx="10">
                  <c:v>2017</c:v>
                </c:pt>
                <c:pt idx="11">
                  <c:v>2018</c:v>
                </c:pt>
              </c:numCache>
            </c:numRef>
          </c:cat>
          <c:val>
            <c:numRef>
              <c:f>'Baseline debt'!$E$112:$U$112</c:f>
              <c:numCache>
                <c:formatCode>0.0</c:formatCode>
                <c:ptCount val="17"/>
                <c:pt idx="0">
                  <c:v>8.2544617809810905</c:v>
                </c:pt>
                <c:pt idx="1">
                  <c:v>16.105233388379411</c:v>
                </c:pt>
                <c:pt idx="2">
                  <c:v>32.098836913711267</c:v>
                </c:pt>
                <c:pt idx="3">
                  <c:v>40.920015108002239</c:v>
                </c:pt>
                <c:pt idx="4">
                  <c:v>35.446086236171354</c:v>
                </c:pt>
                <c:pt idx="5">
                  <c:v>31.752859466707022</c:v>
                </c:pt>
                <c:pt idx="6">
                  <c:v>29.883780278356504</c:v>
                </c:pt>
                <c:pt idx="7">
                  <c:v>32.238034667993468</c:v>
                </c:pt>
                <c:pt idx="8">
                  <c:v>30.12222205592327</c:v>
                </c:pt>
                <c:pt idx="9">
                  <c:v>40.046954027133978</c:v>
                </c:pt>
                <c:pt idx="10">
                  <c:v>39.802859506524172</c:v>
                </c:pt>
                <c:pt idx="11">
                  <c:v>37.060122968111223</c:v>
                </c:pt>
                <c:pt idx="12">
                  <c:v>35.330909017003854</c:v>
                </c:pt>
                <c:pt idx="13">
                  <c:v>35.367999007781421</c:v>
                </c:pt>
                <c:pt idx="14">
                  <c:v>34.793529587059439</c:v>
                </c:pt>
                <c:pt idx="15">
                  <c:v>32.512193405984824</c:v>
                </c:pt>
                <c:pt idx="16">
                  <c:v>30.367381994943148</c:v>
                </c:pt>
              </c:numCache>
            </c:numRef>
          </c:val>
          <c:extLst>
            <c:ext xmlns:c16="http://schemas.microsoft.com/office/drawing/2014/chart" uri="{C3380CC4-5D6E-409C-BE32-E72D297353CC}">
              <c16:uniqueId val="{00000001-9DB7-480B-AC1C-EC4D952A7185}"/>
            </c:ext>
          </c:extLst>
        </c:ser>
        <c:dLbls>
          <c:showLegendKey val="0"/>
          <c:showVal val="0"/>
          <c:showCatName val="0"/>
          <c:showSerName val="0"/>
          <c:showPercent val="0"/>
          <c:showBubbleSize val="0"/>
        </c:dLbls>
        <c:axId val="545508880"/>
        <c:axId val="545506528"/>
      </c:areaChart>
      <c:lineChart>
        <c:grouping val="standard"/>
        <c:varyColors val="0"/>
        <c:ser>
          <c:idx val="0"/>
          <c:order val="0"/>
          <c:tx>
            <c:strRef>
              <c:f>'Baseline debt'!$B$108</c:f>
              <c:strCache>
                <c:ptCount val="1"/>
                <c:pt idx="0">
                  <c:v>Gross public sector debt</c:v>
                </c:pt>
              </c:strCache>
            </c:strRef>
          </c:tx>
          <c:spPr>
            <a:ln w="41275">
              <a:solidFill>
                <a:schemeClr val="tx1"/>
              </a:solidFill>
              <a:prstDash val="solid"/>
            </a:ln>
            <a:effectLst/>
          </c:spPr>
          <c:marker>
            <c:symbol val="none"/>
          </c:marker>
          <c:cat>
            <c:numRef>
              <c:f>'Baseline debt'!$E$107:$U$107</c:f>
              <c:numCache>
                <c:formatCode>General</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pt idx="16">
                  <c:v>2023</c:v>
                </c:pt>
              </c:numCache>
            </c:numRef>
          </c:cat>
          <c:val>
            <c:numRef>
              <c:f>'Baseline debt'!$E$108:$U$108</c:f>
              <c:numCache>
                <c:formatCode>0.0</c:formatCode>
                <c:ptCount val="17"/>
                <c:pt idx="0">
                  <c:v>8.4300411831384849</c:v>
                </c:pt>
                <c:pt idx="1">
                  <c:v>18.667973102801561</c:v>
                </c:pt>
                <c:pt idx="2">
                  <c:v>36.585785861520456</c:v>
                </c:pt>
                <c:pt idx="3">
                  <c:v>47.433105392994854</c:v>
                </c:pt>
                <c:pt idx="4">
                  <c:v>42.688637274506661</c:v>
                </c:pt>
                <c:pt idx="5">
                  <c:v>41.21450013760181</c:v>
                </c:pt>
                <c:pt idx="6">
                  <c:v>39.02610166998236</c:v>
                </c:pt>
                <c:pt idx="7">
                  <c:v>40.900987938816407</c:v>
                </c:pt>
                <c:pt idx="8">
                  <c:v>36.589911384404253</c:v>
                </c:pt>
                <c:pt idx="9">
                  <c:v>40.167456396322947</c:v>
                </c:pt>
                <c:pt idx="10">
                  <c:v>39.842702208732895</c:v>
                </c:pt>
                <c:pt idx="11">
                  <c:v>37.084342131638088</c:v>
                </c:pt>
                <c:pt idx="12">
                  <c:v>35.351552504862923</c:v>
                </c:pt>
                <c:pt idx="13">
                  <c:v>33.542090376828199</c:v>
                </c:pt>
                <c:pt idx="14">
                  <c:v>32.056160655910695</c:v>
                </c:pt>
                <c:pt idx="15">
                  <c:v>29.915873102736189</c:v>
                </c:pt>
                <c:pt idx="16">
                  <c:v>27.903074435380589</c:v>
                </c:pt>
              </c:numCache>
            </c:numRef>
          </c:val>
          <c:smooth val="0"/>
          <c:extLst>
            <c:ext xmlns:c16="http://schemas.microsoft.com/office/drawing/2014/chart" uri="{C3380CC4-5D6E-409C-BE32-E72D297353CC}">
              <c16:uniqueId val="{00000002-9DB7-480B-AC1C-EC4D952A7185}"/>
            </c:ext>
          </c:extLst>
        </c:ser>
        <c:dLbls>
          <c:showLegendKey val="0"/>
          <c:showVal val="0"/>
          <c:showCatName val="0"/>
          <c:showSerName val="0"/>
          <c:showPercent val="0"/>
          <c:showBubbleSize val="0"/>
        </c:dLbls>
        <c:marker val="1"/>
        <c:smooth val="0"/>
        <c:axId val="545508880"/>
        <c:axId val="545506528"/>
      </c:lineChart>
      <c:catAx>
        <c:axId val="545508880"/>
        <c:scaling>
          <c:orientation val="minMax"/>
        </c:scaling>
        <c:delete val="0"/>
        <c:axPos val="b"/>
        <c:numFmt formatCode="General" sourceLinked="1"/>
        <c:majorTickMark val="in"/>
        <c:minorTickMark val="none"/>
        <c:tickLblPos val="nextTo"/>
        <c:spPr>
          <a:ln w="25400">
            <a:solidFill>
              <a:srgbClr val="C0C0C0"/>
            </a:solidFill>
            <a:prstDash val="solid"/>
          </a:ln>
        </c:spPr>
        <c:txPr>
          <a:bodyPr rot="0" vert="horz"/>
          <a:lstStyle/>
          <a:p>
            <a:pPr>
              <a:defRPr sz="1400">
                <a:latin typeface="Segoe UI"/>
                <a:ea typeface="Segoe UI"/>
                <a:cs typeface="Segoe UI"/>
              </a:defRPr>
            </a:pPr>
            <a:endParaRPr lang="en-US"/>
          </a:p>
        </c:txPr>
        <c:crossAx val="545506528"/>
        <c:crosses val="autoZero"/>
        <c:auto val="1"/>
        <c:lblAlgn val="ctr"/>
        <c:lblOffset val="100"/>
        <c:tickLblSkip val="2"/>
        <c:noMultiLvlLbl val="0"/>
      </c:catAx>
      <c:valAx>
        <c:axId val="545506528"/>
        <c:scaling>
          <c:orientation val="minMax"/>
        </c:scaling>
        <c:delete val="0"/>
        <c:axPos val="l"/>
        <c:numFmt formatCode="#,##0" sourceLinked="0"/>
        <c:majorTickMark val="in"/>
        <c:minorTickMark val="none"/>
        <c:tickLblPos val="nextTo"/>
        <c:spPr>
          <a:ln w="25400">
            <a:solidFill>
              <a:srgbClr val="C0C0C0"/>
            </a:solidFill>
            <a:prstDash val="solid"/>
          </a:ln>
        </c:spPr>
        <c:txPr>
          <a:bodyPr/>
          <a:lstStyle/>
          <a:p>
            <a:pPr>
              <a:defRPr sz="1400">
                <a:latin typeface="Segoe UI"/>
                <a:ea typeface="Segoe UI"/>
                <a:cs typeface="Segoe UI"/>
              </a:defRPr>
            </a:pPr>
            <a:endParaRPr lang="en-US"/>
          </a:p>
        </c:txPr>
        <c:crossAx val="545508880"/>
        <c:crosses val="autoZero"/>
        <c:crossBetween val="midCat"/>
      </c:valAx>
      <c:spPr>
        <a:solidFill>
          <a:srgbClr val="FFFFFF"/>
        </a:solidFill>
        <a:ln w="25400">
          <a:solidFill>
            <a:srgbClr val="C0C0C0"/>
          </a:solidFill>
          <a:prstDash val="solid"/>
        </a:ln>
      </c:spPr>
    </c:plotArea>
    <c:legend>
      <c:legendPos val="l"/>
      <c:legendEntry>
        <c:idx val="2"/>
        <c:delete val="1"/>
      </c:legendEntry>
      <c:layout>
        <c:manualLayout>
          <c:xMode val="edge"/>
          <c:yMode val="edge"/>
          <c:x val="8.6804717748155819E-2"/>
          <c:y val="0.17403818521852571"/>
          <c:w val="0.48151191191866588"/>
          <c:h val="0.12228690984032724"/>
        </c:manualLayout>
      </c:layout>
      <c:overlay val="1"/>
      <c:txPr>
        <a:bodyPr/>
        <a:lstStyle/>
        <a:p>
          <a:pPr>
            <a:defRPr sz="1400">
              <a:latin typeface="Segoe UI" pitchFamily="34" charset="0"/>
              <a:cs typeface="Segoe UI" pitchFamily="34" charset="0"/>
            </a:defRPr>
          </a:pPr>
          <a:endParaRPr lang="en-US"/>
        </a:p>
      </c:txPr>
    </c:legend>
    <c:plotVisOnly val="1"/>
    <c:dispBlanksAs val="gap"/>
    <c:showDLblsOverMax val="0"/>
  </c:chart>
  <c:spPr>
    <a:noFill/>
    <a:ln w="9525">
      <a:noFill/>
    </a:ln>
  </c:spPr>
  <c:printSettings>
    <c:headerFooter/>
    <c:pageMargins b="0.75000000000001465" l="0.70000000000000062" r="0.70000000000000062" t="0.75000000000001465" header="0.30000000000000032" footer="0.30000000000000032"/>
    <c:pageSetup/>
  </c:printSettings>
  <c:userShapes r:id="rId1"/>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'Lists-Modules-ChartData'!$CT$19</c:f>
          <c:strCache>
            <c:ptCount val="1"/>
            <c:pt idx="0">
              <c:v>Real GDP Growth</c:v>
            </c:pt>
          </c:strCache>
        </c:strRef>
      </c:tx>
      <c:layout>
        <c:manualLayout>
          <c:xMode val="edge"/>
          <c:yMode val="edge"/>
          <c:x val="1.4350426229818141E-2"/>
          <c:y val="0"/>
        </c:manualLayout>
      </c:layout>
      <c:overlay val="1"/>
      <c:txPr>
        <a:bodyPr/>
        <a:lstStyle/>
        <a:p>
          <a:pPr>
            <a:defRPr sz="1300">
              <a:solidFill>
                <a:sysClr val="windowText" lastClr="000000"/>
              </a:solidFill>
              <a:latin typeface="Segoe UI" pitchFamily="34" charset="0"/>
              <a:cs typeface="Segoe UI" pitchFamily="34" charset="0"/>
            </a:defRPr>
          </a:pPr>
          <a:endParaRPr lang="en-US"/>
        </a:p>
      </c:txPr>
    </c:title>
    <c:autoTitleDeleted val="0"/>
    <c:plotArea>
      <c:layout>
        <c:manualLayout>
          <c:layoutTarget val="inner"/>
          <c:xMode val="edge"/>
          <c:yMode val="edge"/>
          <c:x val="7.7112662053609934E-2"/>
          <c:y val="0.25758431570977147"/>
          <c:w val="0.87389800233312021"/>
          <c:h val="0.5789913614912956"/>
        </c:manualLayout>
      </c:layout>
      <c:areaChart>
        <c:grouping val="stacked"/>
        <c:varyColors val="0"/>
        <c:ser>
          <c:idx val="3"/>
          <c:order val="1"/>
          <c:tx>
            <c:strRef>
              <c:f>'Lists-Modules-ChartData'!$CH$18</c:f>
              <c:strCache>
                <c:ptCount val="1"/>
                <c:pt idx="0">
                  <c:v>Distribution of forecast errors:</c:v>
                </c:pt>
              </c:strCache>
            </c:strRef>
          </c:tx>
          <c:spPr>
            <a:solidFill>
              <a:schemeClr val="bg1"/>
            </a:solidFill>
            <a:ln>
              <a:noFill/>
            </a:ln>
          </c:spPr>
          <c:cat>
            <c:numRef>
              <c:f>'Lists-Modules-ChartData'!$CJ$16:$CR$16</c:f>
              <c:numCache>
                <c:formatCode>General</c:formatCode>
                <c:ptCount val="9"/>
                <c:pt idx="0">
                  <c:v>2009</c:v>
                </c:pt>
                <c:pt idx="1">
                  <c:v>2010</c:v>
                </c:pt>
                <c:pt idx="2">
                  <c:v>2011</c:v>
                </c:pt>
                <c:pt idx="3">
                  <c:v>2012</c:v>
                </c:pt>
                <c:pt idx="4">
                  <c:v>2013</c:v>
                </c:pt>
                <c:pt idx="5">
                  <c:v>2014</c:v>
                </c:pt>
                <c:pt idx="6">
                  <c:v>2015</c:v>
                </c:pt>
                <c:pt idx="7">
                  <c:v>2016</c:v>
                </c:pt>
                <c:pt idx="8">
                  <c:v>2017</c:v>
                </c:pt>
              </c:numCache>
            </c:numRef>
          </c:cat>
          <c:val>
            <c:numRef>
              <c:f>'Lists-Modules-ChartData'!$CJ$18:$CR$18</c:f>
              <c:numCache>
                <c:formatCode>0.00</c:formatCode>
                <c:ptCount val="9"/>
                <c:pt idx="0">
                  <c:v>-7.9190288147455794</c:v>
                </c:pt>
                <c:pt idx="1">
                  <c:v>0.63220765001343504</c:v>
                </c:pt>
                <c:pt idx="2">
                  <c:v>-1.389642261944307</c:v>
                </c:pt>
                <c:pt idx="3">
                  <c:v>-2.5856528104721366</c:v>
                </c:pt>
                <c:pt idx="4">
                  <c:v>-1.4185621757271507</c:v>
                </c:pt>
                <c:pt idx="5">
                  <c:v>-1.7440413571498865</c:v>
                </c:pt>
                <c:pt idx="6">
                  <c:v>-1.6808266748309231</c:v>
                </c:pt>
                <c:pt idx="7">
                  <c:v>-1.7040764631000975</c:v>
                </c:pt>
                <c:pt idx="8">
                  <c:v>-0.93667542361052503</c:v>
                </c:pt>
              </c:numCache>
            </c:numRef>
          </c:val>
          <c:extLst>
            <c:ext xmlns:c16="http://schemas.microsoft.com/office/drawing/2014/chart" uri="{C3380CC4-5D6E-409C-BE32-E72D297353CC}">
              <c16:uniqueId val="{00000000-1F4E-4AE8-B0E8-4BC4DE7F2064}"/>
            </c:ext>
          </c:extLst>
        </c:ser>
        <c:ser>
          <c:idx val="1"/>
          <c:order val="3"/>
          <c:tx>
            <c:strRef>
              <c:f>'Lists-Modules-ChartData'!$CH$19</c:f>
              <c:strCache>
                <c:ptCount val="1"/>
                <c:pt idx="0">
                  <c:v>Interquartile range (25-75)</c:v>
                </c:pt>
              </c:strCache>
            </c:strRef>
          </c:tx>
          <c:spPr>
            <a:solidFill>
              <a:srgbClr val="4BACC6">
                <a:lumMod val="40000"/>
                <a:lumOff val="60000"/>
              </a:srgbClr>
            </a:solidFill>
            <a:ln>
              <a:noFill/>
            </a:ln>
          </c:spPr>
          <c:cat>
            <c:numRef>
              <c:f>'Lists-Modules-ChartData'!$CJ$16:$CR$16</c:f>
              <c:numCache>
                <c:formatCode>General</c:formatCode>
                <c:ptCount val="9"/>
                <c:pt idx="0">
                  <c:v>2009</c:v>
                </c:pt>
                <c:pt idx="1">
                  <c:v>2010</c:v>
                </c:pt>
                <c:pt idx="2">
                  <c:v>2011</c:v>
                </c:pt>
                <c:pt idx="3">
                  <c:v>2012</c:v>
                </c:pt>
                <c:pt idx="4">
                  <c:v>2013</c:v>
                </c:pt>
                <c:pt idx="5">
                  <c:v>2014</c:v>
                </c:pt>
                <c:pt idx="6">
                  <c:v>2015</c:v>
                </c:pt>
                <c:pt idx="7">
                  <c:v>2016</c:v>
                </c:pt>
                <c:pt idx="8">
                  <c:v>2017</c:v>
                </c:pt>
              </c:numCache>
            </c:numRef>
          </c:cat>
          <c:val>
            <c:numRef>
              <c:f>'Lists-Modules-ChartData'!$CJ$19:$CR$19</c:f>
              <c:numCache>
                <c:formatCode>0.00</c:formatCode>
                <c:ptCount val="9"/>
                <c:pt idx="0">
                  <c:v>5.1031625474781697</c:v>
                </c:pt>
                <c:pt idx="1">
                  <c:v>2.9818721056696278</c:v>
                </c:pt>
                <c:pt idx="2">
                  <c:v>2.4147026460302752</c:v>
                </c:pt>
                <c:pt idx="3">
                  <c:v>2.9076363239647849</c:v>
                </c:pt>
                <c:pt idx="4">
                  <c:v>1.8733159966491773</c:v>
                </c:pt>
                <c:pt idx="5">
                  <c:v>2.2434234157991124</c:v>
                </c:pt>
                <c:pt idx="6">
                  <c:v>2.4719709697369021</c:v>
                </c:pt>
                <c:pt idx="7">
                  <c:v>2.1081321874312691</c:v>
                </c:pt>
                <c:pt idx="8">
                  <c:v>1.9566968563938612</c:v>
                </c:pt>
              </c:numCache>
            </c:numRef>
          </c:val>
          <c:extLst>
            <c:ext xmlns:c16="http://schemas.microsoft.com/office/drawing/2014/chart" uri="{C3380CC4-5D6E-409C-BE32-E72D297353CC}">
              <c16:uniqueId val="{00000001-1F4E-4AE8-B0E8-4BC4DE7F2064}"/>
            </c:ext>
          </c:extLst>
        </c:ser>
        <c:dLbls>
          <c:showLegendKey val="0"/>
          <c:showVal val="0"/>
          <c:showCatName val="0"/>
          <c:showSerName val="0"/>
          <c:showPercent val="0"/>
          <c:showBubbleSize val="0"/>
        </c:dLbls>
        <c:axId val="545511624"/>
        <c:axId val="545510448"/>
      </c:areaChart>
      <c:lineChart>
        <c:grouping val="standard"/>
        <c:varyColors val="0"/>
        <c:ser>
          <c:idx val="2"/>
          <c:order val="0"/>
          <c:tx>
            <c:strRef>
              <c:f>'Lists-Modules-ChartData'!$CH$20</c:f>
              <c:strCache>
                <c:ptCount val="1"/>
                <c:pt idx="0">
                  <c:v>Median</c:v>
                </c:pt>
              </c:strCache>
            </c:strRef>
          </c:tx>
          <c:spPr>
            <a:ln w="25400">
              <a:solidFill>
                <a:schemeClr val="tx1"/>
              </a:solidFill>
            </a:ln>
          </c:spPr>
          <c:marker>
            <c:symbol val="none"/>
          </c:marker>
          <c:cat>
            <c:numRef>
              <c:f>'Lists-Modules-ChartData'!$CJ$10:$CR$10</c:f>
              <c:numCache>
                <c:formatCode>General</c:formatCode>
                <c:ptCount val="9"/>
                <c:pt idx="0">
                  <c:v>2009</c:v>
                </c:pt>
                <c:pt idx="1">
                  <c:v>2010</c:v>
                </c:pt>
                <c:pt idx="2">
                  <c:v>2011</c:v>
                </c:pt>
                <c:pt idx="3">
                  <c:v>2012</c:v>
                </c:pt>
                <c:pt idx="4">
                  <c:v>2013</c:v>
                </c:pt>
                <c:pt idx="5">
                  <c:v>2014</c:v>
                </c:pt>
                <c:pt idx="6">
                  <c:v>2015</c:v>
                </c:pt>
                <c:pt idx="7">
                  <c:v>2016</c:v>
                </c:pt>
                <c:pt idx="8">
                  <c:v>2017</c:v>
                </c:pt>
              </c:numCache>
            </c:numRef>
          </c:cat>
          <c:val>
            <c:numRef>
              <c:f>'Lists-Modules-ChartData'!$CJ$20:$CR$20</c:f>
              <c:numCache>
                <c:formatCode>0.00</c:formatCode>
                <c:ptCount val="9"/>
                <c:pt idx="0">
                  <c:v>-5.2001736788996231</c:v>
                </c:pt>
                <c:pt idx="1">
                  <c:v>2.0645992659948962</c:v>
                </c:pt>
                <c:pt idx="2">
                  <c:v>-0.19608395340149354</c:v>
                </c:pt>
                <c:pt idx="3">
                  <c:v>-1.3056947703557249</c:v>
                </c:pt>
                <c:pt idx="4">
                  <c:v>-0.54588090004128176</c:v>
                </c:pt>
                <c:pt idx="5">
                  <c:v>-0.50451896925238549</c:v>
                </c:pt>
                <c:pt idx="6">
                  <c:v>-0.38153384817829927</c:v>
                </c:pt>
                <c:pt idx="7">
                  <c:v>-0.39817913728272503</c:v>
                </c:pt>
                <c:pt idx="8">
                  <c:v>0.21656980477685162</c:v>
                </c:pt>
              </c:numCache>
            </c:numRef>
          </c:val>
          <c:smooth val="0"/>
          <c:extLst>
            <c:ext xmlns:c16="http://schemas.microsoft.com/office/drawing/2014/chart" uri="{C3380CC4-5D6E-409C-BE32-E72D297353CC}">
              <c16:uniqueId val="{00000002-1F4E-4AE8-B0E8-4BC4DE7F2064}"/>
            </c:ext>
          </c:extLst>
        </c:ser>
        <c:ser>
          <c:idx val="6"/>
          <c:order val="2"/>
          <c:tx>
            <c:strRef>
              <c:f>'Lists-Modules-ChartData'!$CT$17</c:f>
              <c:strCache>
                <c:ptCount val="1"/>
                <c:pt idx="0">
                  <c:v>Latvia forecast error</c:v>
                </c:pt>
              </c:strCache>
            </c:strRef>
          </c:tx>
          <c:spPr>
            <a:ln>
              <a:noFill/>
            </a:ln>
          </c:spPr>
          <c:marker>
            <c:symbol val="diamond"/>
            <c:size val="10"/>
            <c:spPr>
              <a:solidFill>
                <a:srgbClr val="FF0000"/>
              </a:solidFill>
              <a:ln w="28575">
                <a:noFill/>
              </a:ln>
            </c:spPr>
          </c:marker>
          <c:cat>
            <c:numRef>
              <c:f>'Lists-Modules-ChartData'!$CJ$10:$CR$10</c:f>
              <c:numCache>
                <c:formatCode>General</c:formatCode>
                <c:ptCount val="9"/>
                <c:pt idx="0">
                  <c:v>2009</c:v>
                </c:pt>
                <c:pt idx="1">
                  <c:v>2010</c:v>
                </c:pt>
                <c:pt idx="2">
                  <c:v>2011</c:v>
                </c:pt>
                <c:pt idx="3">
                  <c:v>2012</c:v>
                </c:pt>
                <c:pt idx="4">
                  <c:v>2013</c:v>
                </c:pt>
                <c:pt idx="5">
                  <c:v>2014</c:v>
                </c:pt>
                <c:pt idx="6">
                  <c:v>2015</c:v>
                </c:pt>
                <c:pt idx="7">
                  <c:v>2016</c:v>
                </c:pt>
                <c:pt idx="8">
                  <c:v>2017</c:v>
                </c:pt>
              </c:numCache>
            </c:numRef>
          </c:cat>
          <c:val>
            <c:numRef>
              <c:f>'Lists-Modules-ChartData'!$CJ$11:$CR$11</c:f>
              <c:numCache>
                <c:formatCode>0.00</c:formatCode>
                <c:ptCount val="9"/>
                <c:pt idx="0">
                  <c:v>-18.408363462072796</c:v>
                </c:pt>
                <c:pt idx="1">
                  <c:v>1.6995966008651988</c:v>
                </c:pt>
                <c:pt idx="2">
                  <c:v>2.7411067405772673</c:v>
                </c:pt>
                <c:pt idx="3">
                  <c:v>1.1775406739297418</c:v>
                </c:pt>
                <c:pt idx="4">
                  <c:v>1.719843305327089</c:v>
                </c:pt>
                <c:pt idx="5">
                  <c:v>-1.836736352316426</c:v>
                </c:pt>
                <c:pt idx="6">
                  <c:v>-1.6718824470821598</c:v>
                </c:pt>
                <c:pt idx="7">
                  <c:v>-1.1326579392803593</c:v>
                </c:pt>
                <c:pt idx="8">
                  <c:v>0.90594522267050603</c:v>
                </c:pt>
              </c:numCache>
            </c:numRef>
          </c:val>
          <c:smooth val="0"/>
          <c:extLst>
            <c:ext xmlns:c16="http://schemas.microsoft.com/office/drawing/2014/chart" uri="{C3380CC4-5D6E-409C-BE32-E72D297353CC}">
              <c16:uniqueId val="{00000003-1F4E-4AE8-B0E8-4BC4DE7F2064}"/>
            </c:ext>
          </c:extLst>
        </c:ser>
        <c:dLbls>
          <c:showLegendKey val="0"/>
          <c:showVal val="0"/>
          <c:showCatName val="0"/>
          <c:showSerName val="0"/>
          <c:showPercent val="0"/>
          <c:showBubbleSize val="0"/>
        </c:dLbls>
        <c:marker val="1"/>
        <c:smooth val="0"/>
        <c:axId val="545511624"/>
        <c:axId val="545510448"/>
      </c:lineChart>
      <c:catAx>
        <c:axId val="545511624"/>
        <c:scaling>
          <c:orientation val="minMax"/>
        </c:scaling>
        <c:delete val="0"/>
        <c:axPos val="b"/>
        <c:title>
          <c:tx>
            <c:rich>
              <a:bodyPr/>
              <a:lstStyle/>
              <a:p>
                <a:pPr>
                  <a:defRPr sz="1400" b="0"/>
                </a:pPr>
                <a:r>
                  <a:rPr lang="en-US" sz="1400" b="0" baseline="0"/>
                  <a:t>Year </a:t>
                </a:r>
                <a:r>
                  <a:rPr lang="en-US" sz="1400" b="0" baseline="30000"/>
                  <a:t>2/</a:t>
                </a:r>
              </a:p>
            </c:rich>
          </c:tx>
          <c:layout>
            <c:manualLayout>
              <c:xMode val="edge"/>
              <c:yMode val="edge"/>
              <c:x val="0.47899586415334588"/>
              <c:y val="0.91068889962990063"/>
            </c:manualLayout>
          </c:layout>
          <c:overlay val="0"/>
        </c:title>
        <c:numFmt formatCode="General" sourceLinked="1"/>
        <c:majorTickMark val="in"/>
        <c:minorTickMark val="none"/>
        <c:tickLblPos val="low"/>
        <c:spPr>
          <a:ln>
            <a:solidFill>
              <a:srgbClr val="7F7F7F"/>
            </a:solidFill>
          </a:ln>
        </c:spPr>
        <c:txPr>
          <a:bodyPr/>
          <a:lstStyle/>
          <a:p>
            <a:pPr>
              <a:defRPr sz="1200">
                <a:latin typeface="Segoe UI" pitchFamily="34" charset="0"/>
                <a:cs typeface="Segoe UI" pitchFamily="34" charset="0"/>
              </a:defRPr>
            </a:pPr>
            <a:endParaRPr lang="en-US"/>
          </a:p>
        </c:txPr>
        <c:crossAx val="545510448"/>
        <c:crosses val="autoZero"/>
        <c:auto val="1"/>
        <c:lblAlgn val="ctr"/>
        <c:lblOffset val="100"/>
        <c:noMultiLvlLbl val="0"/>
      </c:catAx>
      <c:valAx>
        <c:axId val="545510448"/>
        <c:scaling>
          <c:orientation val="minMax"/>
        </c:scaling>
        <c:delete val="0"/>
        <c:axPos val="l"/>
        <c:numFmt formatCode="0" sourceLinked="0"/>
        <c:majorTickMark val="in"/>
        <c:minorTickMark val="none"/>
        <c:tickLblPos val="nextTo"/>
        <c:spPr>
          <a:ln>
            <a:solidFill>
              <a:srgbClr val="7F7F7F"/>
            </a:solidFill>
          </a:ln>
        </c:spPr>
        <c:txPr>
          <a:bodyPr/>
          <a:lstStyle/>
          <a:p>
            <a:pPr>
              <a:defRPr sz="1200">
                <a:latin typeface="Segoe UI" pitchFamily="34" charset="0"/>
                <a:cs typeface="Segoe UI" pitchFamily="34" charset="0"/>
              </a:defRPr>
            </a:pPr>
            <a:endParaRPr lang="en-US"/>
          </a:p>
        </c:txPr>
        <c:crossAx val="545511624"/>
        <c:crosses val="autoZero"/>
        <c:crossBetween val="midCat"/>
      </c:valAx>
      <c:spPr>
        <a:solidFill>
          <a:sysClr val="window" lastClr="FFFFFF"/>
        </a:solidFill>
        <a:ln>
          <a:solidFill>
            <a:srgbClr val="7F7F7F"/>
          </a:solidFill>
        </a:ln>
      </c:spPr>
    </c:plotArea>
    <c:legend>
      <c:legendPos val="t"/>
      <c:legendEntry>
        <c:idx val="0"/>
        <c:delete val="1"/>
      </c:legendEntry>
      <c:legendEntry>
        <c:idx val="3"/>
        <c:txPr>
          <a:bodyPr/>
          <a:lstStyle/>
          <a:p>
            <a:pPr>
              <a:defRPr sz="1200" b="1">
                <a:solidFill>
                  <a:srgbClr val="FF0000"/>
                </a:solidFill>
                <a:latin typeface="Segoe UI" pitchFamily="34" charset="0"/>
                <a:cs typeface="Segoe UI" pitchFamily="34" charset="0"/>
              </a:defRPr>
            </a:pPr>
            <a:endParaRPr lang="en-US"/>
          </a:p>
        </c:txPr>
      </c:legendEntry>
      <c:layout>
        <c:manualLayout>
          <c:xMode val="edge"/>
          <c:yMode val="edge"/>
          <c:x val="5.8583455618112117E-2"/>
          <c:y val="0.68947470524273158"/>
          <c:w val="0.56305579858073362"/>
          <c:h val="0.14923447083583224"/>
        </c:manualLayout>
      </c:layout>
      <c:overlay val="0"/>
      <c:txPr>
        <a:bodyPr/>
        <a:lstStyle/>
        <a:p>
          <a:pPr>
            <a:defRPr sz="1200">
              <a:latin typeface="Segoe UI" pitchFamily="34" charset="0"/>
              <a:cs typeface="Segoe UI" pitchFamily="34" charset="0"/>
            </a:defRPr>
          </a:pPr>
          <a:endParaRPr lang="en-US"/>
        </a:p>
      </c:txPr>
    </c:legend>
    <c:plotVisOnly val="1"/>
    <c:dispBlanksAs val="zero"/>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'Lists-Modules-ChartData'!$CT$20</c:f>
          <c:strCache>
            <c:ptCount val="1"/>
            <c:pt idx="0">
              <c:v>Primary Balance</c:v>
            </c:pt>
          </c:strCache>
        </c:strRef>
      </c:tx>
      <c:layout>
        <c:manualLayout>
          <c:xMode val="edge"/>
          <c:yMode val="edge"/>
          <c:x val="2.0398928536358753E-2"/>
          <c:y val="0"/>
        </c:manualLayout>
      </c:layout>
      <c:overlay val="1"/>
      <c:txPr>
        <a:bodyPr/>
        <a:lstStyle/>
        <a:p>
          <a:pPr>
            <a:defRPr sz="1300">
              <a:solidFill>
                <a:sysClr val="windowText" lastClr="000000"/>
              </a:solidFill>
              <a:latin typeface="Segoe UI" pitchFamily="34" charset="0"/>
              <a:cs typeface="Segoe UI" pitchFamily="34" charset="0"/>
            </a:defRPr>
          </a:pPr>
          <a:endParaRPr lang="en-US"/>
        </a:p>
      </c:txPr>
    </c:title>
    <c:autoTitleDeleted val="0"/>
    <c:plotArea>
      <c:layout>
        <c:manualLayout>
          <c:layoutTarget val="inner"/>
          <c:xMode val="edge"/>
          <c:yMode val="edge"/>
          <c:x val="7.7112662053609934E-2"/>
          <c:y val="0.25758431570977164"/>
          <c:w val="0.87389800233312087"/>
          <c:h val="0.5789913614912956"/>
        </c:manualLayout>
      </c:layout>
      <c:areaChart>
        <c:grouping val="stacked"/>
        <c:varyColors val="0"/>
        <c:ser>
          <c:idx val="3"/>
          <c:order val="1"/>
          <c:tx>
            <c:strRef>
              <c:f>'Lists-Modules-ChartData'!$CH$22</c:f>
              <c:strCache>
                <c:ptCount val="1"/>
                <c:pt idx="0">
                  <c:v>Distribution of forecast errors:</c:v>
                </c:pt>
              </c:strCache>
            </c:strRef>
          </c:tx>
          <c:spPr>
            <a:solidFill>
              <a:schemeClr val="bg1"/>
            </a:solidFill>
            <a:ln>
              <a:noFill/>
            </a:ln>
          </c:spPr>
          <c:cat>
            <c:numRef>
              <c:f>'Lists-Modules-ChartData'!$CJ$16:$CR$16</c:f>
              <c:numCache>
                <c:formatCode>General</c:formatCode>
                <c:ptCount val="9"/>
                <c:pt idx="0">
                  <c:v>2009</c:v>
                </c:pt>
                <c:pt idx="1">
                  <c:v>2010</c:v>
                </c:pt>
                <c:pt idx="2">
                  <c:v>2011</c:v>
                </c:pt>
                <c:pt idx="3">
                  <c:v>2012</c:v>
                </c:pt>
                <c:pt idx="4">
                  <c:v>2013</c:v>
                </c:pt>
                <c:pt idx="5">
                  <c:v>2014</c:v>
                </c:pt>
                <c:pt idx="6">
                  <c:v>2015</c:v>
                </c:pt>
                <c:pt idx="7">
                  <c:v>2016</c:v>
                </c:pt>
                <c:pt idx="8">
                  <c:v>2017</c:v>
                </c:pt>
              </c:numCache>
            </c:numRef>
          </c:cat>
          <c:val>
            <c:numRef>
              <c:f>'Lists-Modules-ChartData'!$CJ$22:$CR$22</c:f>
              <c:numCache>
                <c:formatCode>0.00</c:formatCode>
                <c:ptCount val="9"/>
                <c:pt idx="0">
                  <c:v>-6.994370823262507</c:v>
                </c:pt>
                <c:pt idx="1">
                  <c:v>-1.7280129588062083</c:v>
                </c:pt>
                <c:pt idx="2">
                  <c:v>-0.96818451529158533</c:v>
                </c:pt>
                <c:pt idx="3">
                  <c:v>-2.3459669734676085</c:v>
                </c:pt>
                <c:pt idx="4">
                  <c:v>-1.9718412401317611</c:v>
                </c:pt>
                <c:pt idx="5">
                  <c:v>-2.1016835069202848</c:v>
                </c:pt>
                <c:pt idx="6">
                  <c:v>-1.9849166934853253</c:v>
                </c:pt>
                <c:pt idx="7">
                  <c:v>-1.7479004473903399</c:v>
                </c:pt>
                <c:pt idx="8">
                  <c:v>-0.72624223540087807</c:v>
                </c:pt>
              </c:numCache>
            </c:numRef>
          </c:val>
          <c:extLst>
            <c:ext xmlns:c16="http://schemas.microsoft.com/office/drawing/2014/chart" uri="{C3380CC4-5D6E-409C-BE32-E72D297353CC}">
              <c16:uniqueId val="{00000000-BA94-4E16-BBFD-AB0D3DA47E74}"/>
            </c:ext>
          </c:extLst>
        </c:ser>
        <c:ser>
          <c:idx val="1"/>
          <c:order val="3"/>
          <c:tx>
            <c:strRef>
              <c:f>'Lists-Modules-ChartData'!$CH$23</c:f>
              <c:strCache>
                <c:ptCount val="1"/>
                <c:pt idx="0">
                  <c:v>Interquartile range (25-75)</c:v>
                </c:pt>
              </c:strCache>
            </c:strRef>
          </c:tx>
          <c:spPr>
            <a:solidFill>
              <a:srgbClr val="4BACC6">
                <a:lumMod val="40000"/>
                <a:lumOff val="60000"/>
              </a:srgbClr>
            </a:solidFill>
            <a:ln>
              <a:noFill/>
            </a:ln>
          </c:spPr>
          <c:cat>
            <c:numRef>
              <c:f>'Lists-Modules-ChartData'!$CJ$16:$CR$16</c:f>
              <c:numCache>
                <c:formatCode>General</c:formatCode>
                <c:ptCount val="9"/>
                <c:pt idx="0">
                  <c:v>2009</c:v>
                </c:pt>
                <c:pt idx="1">
                  <c:v>2010</c:v>
                </c:pt>
                <c:pt idx="2">
                  <c:v>2011</c:v>
                </c:pt>
                <c:pt idx="3">
                  <c:v>2012</c:v>
                </c:pt>
                <c:pt idx="4">
                  <c:v>2013</c:v>
                </c:pt>
                <c:pt idx="5">
                  <c:v>2014</c:v>
                </c:pt>
                <c:pt idx="6">
                  <c:v>2015</c:v>
                </c:pt>
                <c:pt idx="7">
                  <c:v>2016</c:v>
                </c:pt>
                <c:pt idx="8">
                  <c:v>2017</c:v>
                </c:pt>
              </c:numCache>
            </c:numRef>
          </c:cat>
          <c:val>
            <c:numRef>
              <c:f>'Lists-Modules-ChartData'!$CJ$23:$CR$23</c:f>
              <c:numCache>
                <c:formatCode>0.00</c:formatCode>
                <c:ptCount val="9"/>
                <c:pt idx="0">
                  <c:v>5.16123973057773</c:v>
                </c:pt>
                <c:pt idx="1">
                  <c:v>3.0888059173646627</c:v>
                </c:pt>
                <c:pt idx="2">
                  <c:v>3.5950109551691378</c:v>
                </c:pt>
                <c:pt idx="3">
                  <c:v>3.1392933219118326</c:v>
                </c:pt>
                <c:pt idx="4">
                  <c:v>2.2363708518155674</c:v>
                </c:pt>
                <c:pt idx="5">
                  <c:v>3.0649715718688477</c:v>
                </c:pt>
                <c:pt idx="6">
                  <c:v>2.6730692643850897</c:v>
                </c:pt>
                <c:pt idx="7">
                  <c:v>2.5567909912383593</c:v>
                </c:pt>
                <c:pt idx="8">
                  <c:v>2.2751747985457116</c:v>
                </c:pt>
              </c:numCache>
            </c:numRef>
          </c:val>
          <c:extLst>
            <c:ext xmlns:c16="http://schemas.microsoft.com/office/drawing/2014/chart" uri="{C3380CC4-5D6E-409C-BE32-E72D297353CC}">
              <c16:uniqueId val="{00000001-BA94-4E16-BBFD-AB0D3DA47E74}"/>
            </c:ext>
          </c:extLst>
        </c:ser>
        <c:dLbls>
          <c:showLegendKey val="0"/>
          <c:showVal val="0"/>
          <c:showCatName val="0"/>
          <c:showSerName val="0"/>
          <c:showPercent val="0"/>
          <c:showBubbleSize val="0"/>
        </c:dLbls>
        <c:axId val="545506920"/>
        <c:axId val="545508488"/>
      </c:areaChart>
      <c:lineChart>
        <c:grouping val="standard"/>
        <c:varyColors val="0"/>
        <c:ser>
          <c:idx val="2"/>
          <c:order val="0"/>
          <c:tx>
            <c:strRef>
              <c:f>'Lists-Modules-ChartData'!$CH$24</c:f>
              <c:strCache>
                <c:ptCount val="1"/>
                <c:pt idx="0">
                  <c:v>Median</c:v>
                </c:pt>
              </c:strCache>
            </c:strRef>
          </c:tx>
          <c:spPr>
            <a:ln w="25400">
              <a:solidFill>
                <a:schemeClr val="tx1"/>
              </a:solidFill>
            </a:ln>
          </c:spPr>
          <c:marker>
            <c:symbol val="none"/>
          </c:marker>
          <c:cat>
            <c:numRef>
              <c:f>'Lists-Modules-ChartData'!$CJ$10:$CR$10</c:f>
              <c:numCache>
                <c:formatCode>General</c:formatCode>
                <c:ptCount val="9"/>
                <c:pt idx="0">
                  <c:v>2009</c:v>
                </c:pt>
                <c:pt idx="1">
                  <c:v>2010</c:v>
                </c:pt>
                <c:pt idx="2">
                  <c:v>2011</c:v>
                </c:pt>
                <c:pt idx="3">
                  <c:v>2012</c:v>
                </c:pt>
                <c:pt idx="4">
                  <c:v>2013</c:v>
                </c:pt>
                <c:pt idx="5">
                  <c:v>2014</c:v>
                </c:pt>
                <c:pt idx="6">
                  <c:v>2015</c:v>
                </c:pt>
                <c:pt idx="7">
                  <c:v>2016</c:v>
                </c:pt>
                <c:pt idx="8">
                  <c:v>2017</c:v>
                </c:pt>
              </c:numCache>
            </c:numRef>
          </c:cat>
          <c:val>
            <c:numRef>
              <c:f>'Lists-Modules-ChartData'!$CJ$24:$CR$24</c:f>
              <c:numCache>
                <c:formatCode>0.00</c:formatCode>
                <c:ptCount val="9"/>
                <c:pt idx="0">
                  <c:v>-3.9915555561524556</c:v>
                </c:pt>
                <c:pt idx="1">
                  <c:v>-0.52047170283180255</c:v>
                </c:pt>
                <c:pt idx="2">
                  <c:v>0.63338438903378913</c:v>
                </c:pt>
                <c:pt idx="3">
                  <c:v>-0.5601879050873968</c:v>
                </c:pt>
                <c:pt idx="4">
                  <c:v>-0.80729184857280023</c:v>
                </c:pt>
                <c:pt idx="5">
                  <c:v>-0.62099369406836558</c:v>
                </c:pt>
                <c:pt idx="6">
                  <c:v>-0.42848529584463435</c:v>
                </c:pt>
                <c:pt idx="7">
                  <c:v>-0.21502080786420708</c:v>
                </c:pt>
                <c:pt idx="8">
                  <c:v>0.23648053573396927</c:v>
                </c:pt>
              </c:numCache>
            </c:numRef>
          </c:val>
          <c:smooth val="0"/>
          <c:extLst>
            <c:ext xmlns:c16="http://schemas.microsoft.com/office/drawing/2014/chart" uri="{C3380CC4-5D6E-409C-BE32-E72D297353CC}">
              <c16:uniqueId val="{00000002-BA94-4E16-BBFD-AB0D3DA47E74}"/>
            </c:ext>
          </c:extLst>
        </c:ser>
        <c:ser>
          <c:idx val="6"/>
          <c:order val="2"/>
          <c:tx>
            <c:strRef>
              <c:f>'Lists-Modules-ChartData'!$CT$17</c:f>
              <c:strCache>
                <c:ptCount val="1"/>
                <c:pt idx="0">
                  <c:v>Latvia forecast error</c:v>
                </c:pt>
              </c:strCache>
            </c:strRef>
          </c:tx>
          <c:spPr>
            <a:ln>
              <a:noFill/>
            </a:ln>
          </c:spPr>
          <c:marker>
            <c:symbol val="diamond"/>
            <c:size val="10"/>
            <c:spPr>
              <a:solidFill>
                <a:srgbClr val="FF0000"/>
              </a:solidFill>
              <a:ln w="28575">
                <a:noFill/>
              </a:ln>
            </c:spPr>
          </c:marker>
          <c:cat>
            <c:numRef>
              <c:f>'Lists-Modules-ChartData'!$CJ$10:$CR$10</c:f>
              <c:numCache>
                <c:formatCode>General</c:formatCode>
                <c:ptCount val="9"/>
                <c:pt idx="0">
                  <c:v>2009</c:v>
                </c:pt>
                <c:pt idx="1">
                  <c:v>2010</c:v>
                </c:pt>
                <c:pt idx="2">
                  <c:v>2011</c:v>
                </c:pt>
                <c:pt idx="3">
                  <c:v>2012</c:v>
                </c:pt>
                <c:pt idx="4">
                  <c:v>2013</c:v>
                </c:pt>
                <c:pt idx="5">
                  <c:v>2014</c:v>
                </c:pt>
                <c:pt idx="6">
                  <c:v>2015</c:v>
                </c:pt>
                <c:pt idx="7">
                  <c:v>2016</c:v>
                </c:pt>
                <c:pt idx="8">
                  <c:v>2017</c:v>
                </c:pt>
              </c:numCache>
            </c:numRef>
          </c:cat>
          <c:val>
            <c:numRef>
              <c:f>'Lists-Modules-ChartData'!$CJ$12:$CR$12</c:f>
              <c:numCache>
                <c:formatCode>0.00</c:formatCode>
                <c:ptCount val="9"/>
                <c:pt idx="0">
                  <c:v>-5.1672463512925608</c:v>
                </c:pt>
                <c:pt idx="1">
                  <c:v>-5.1992798844770149</c:v>
                </c:pt>
                <c:pt idx="2">
                  <c:v>4.1132208447770582</c:v>
                </c:pt>
                <c:pt idx="3">
                  <c:v>1.4708355066246861</c:v>
                </c:pt>
                <c:pt idx="4">
                  <c:v>-0.90218105550754724</c:v>
                </c:pt>
                <c:pt idx="5">
                  <c:v>-0.89828605715458731</c:v>
                </c:pt>
                <c:pt idx="6">
                  <c:v>-2.1352403656918879</c:v>
                </c:pt>
                <c:pt idx="7">
                  <c:v>0.85577271891326723</c:v>
                </c:pt>
                <c:pt idx="8">
                  <c:v>1.6824625896543677</c:v>
                </c:pt>
              </c:numCache>
            </c:numRef>
          </c:val>
          <c:smooth val="0"/>
          <c:extLst>
            <c:ext xmlns:c16="http://schemas.microsoft.com/office/drawing/2014/chart" uri="{C3380CC4-5D6E-409C-BE32-E72D297353CC}">
              <c16:uniqueId val="{00000003-BA94-4E16-BBFD-AB0D3DA47E74}"/>
            </c:ext>
          </c:extLst>
        </c:ser>
        <c:dLbls>
          <c:showLegendKey val="0"/>
          <c:showVal val="0"/>
          <c:showCatName val="0"/>
          <c:showSerName val="0"/>
          <c:showPercent val="0"/>
          <c:showBubbleSize val="0"/>
        </c:dLbls>
        <c:marker val="1"/>
        <c:smooth val="0"/>
        <c:axId val="545506920"/>
        <c:axId val="545508488"/>
      </c:lineChart>
      <c:catAx>
        <c:axId val="545506920"/>
        <c:scaling>
          <c:orientation val="minMax"/>
        </c:scaling>
        <c:delete val="0"/>
        <c:axPos val="b"/>
        <c:title>
          <c:tx>
            <c:rich>
              <a:bodyPr/>
              <a:lstStyle/>
              <a:p>
                <a:pPr>
                  <a:defRPr sz="1400" b="0"/>
                </a:pPr>
                <a:r>
                  <a:rPr lang="en-US" sz="1400" b="0" baseline="0"/>
                  <a:t>Year </a:t>
                </a:r>
                <a:r>
                  <a:rPr lang="en-US" sz="1400" b="0" baseline="30000"/>
                  <a:t>2/</a:t>
                </a:r>
              </a:p>
            </c:rich>
          </c:tx>
          <c:layout>
            <c:manualLayout>
              <c:xMode val="edge"/>
              <c:yMode val="edge"/>
              <c:x val="0.47899586415334588"/>
              <c:y val="0.91068889962990063"/>
            </c:manualLayout>
          </c:layout>
          <c:overlay val="0"/>
        </c:title>
        <c:numFmt formatCode="General" sourceLinked="1"/>
        <c:majorTickMark val="in"/>
        <c:minorTickMark val="none"/>
        <c:tickLblPos val="low"/>
        <c:spPr>
          <a:ln>
            <a:solidFill>
              <a:srgbClr val="7F7F7F"/>
            </a:solidFill>
          </a:ln>
        </c:spPr>
        <c:txPr>
          <a:bodyPr/>
          <a:lstStyle/>
          <a:p>
            <a:pPr>
              <a:defRPr sz="1200">
                <a:latin typeface="Segoe UI" pitchFamily="34" charset="0"/>
                <a:cs typeface="Segoe UI" pitchFamily="34" charset="0"/>
              </a:defRPr>
            </a:pPr>
            <a:endParaRPr lang="en-US"/>
          </a:p>
        </c:txPr>
        <c:crossAx val="545508488"/>
        <c:crosses val="autoZero"/>
        <c:auto val="1"/>
        <c:lblAlgn val="ctr"/>
        <c:lblOffset val="100"/>
        <c:noMultiLvlLbl val="0"/>
      </c:catAx>
      <c:valAx>
        <c:axId val="545508488"/>
        <c:scaling>
          <c:orientation val="minMax"/>
        </c:scaling>
        <c:delete val="0"/>
        <c:axPos val="l"/>
        <c:numFmt formatCode="0" sourceLinked="0"/>
        <c:majorTickMark val="in"/>
        <c:minorTickMark val="none"/>
        <c:tickLblPos val="nextTo"/>
        <c:spPr>
          <a:ln>
            <a:solidFill>
              <a:srgbClr val="7F7F7F"/>
            </a:solidFill>
          </a:ln>
        </c:spPr>
        <c:txPr>
          <a:bodyPr/>
          <a:lstStyle/>
          <a:p>
            <a:pPr>
              <a:defRPr sz="1200">
                <a:latin typeface="Segoe UI" pitchFamily="34" charset="0"/>
                <a:cs typeface="Segoe UI" pitchFamily="34" charset="0"/>
              </a:defRPr>
            </a:pPr>
            <a:endParaRPr lang="en-US"/>
          </a:p>
        </c:txPr>
        <c:crossAx val="545506920"/>
        <c:crosses val="autoZero"/>
        <c:crossBetween val="midCat"/>
      </c:valAx>
      <c:spPr>
        <a:solidFill>
          <a:sysClr val="window" lastClr="FFFFFF"/>
        </a:solidFill>
        <a:ln>
          <a:solidFill>
            <a:srgbClr val="7F7F7F"/>
          </a:solidFill>
        </a:ln>
      </c:spPr>
    </c:plotArea>
    <c:legend>
      <c:legendPos val="t"/>
      <c:legendEntry>
        <c:idx val="0"/>
        <c:delete val="1"/>
      </c:legendEntry>
      <c:legendEntry>
        <c:idx val="3"/>
        <c:txPr>
          <a:bodyPr/>
          <a:lstStyle/>
          <a:p>
            <a:pPr>
              <a:defRPr sz="1200" b="1">
                <a:solidFill>
                  <a:srgbClr val="FF0000"/>
                </a:solidFill>
                <a:latin typeface="Segoe UI" pitchFamily="34" charset="0"/>
                <a:cs typeface="Segoe UI" pitchFamily="34" charset="0"/>
              </a:defRPr>
            </a:pPr>
            <a:endParaRPr lang="en-US"/>
          </a:p>
        </c:txPr>
      </c:legendEntry>
      <c:layout>
        <c:manualLayout>
          <c:xMode val="edge"/>
          <c:yMode val="edge"/>
          <c:x val="7.0417975896604104E-2"/>
          <c:y val="0.67903151920700611"/>
          <c:w val="0.53641878968903856"/>
          <c:h val="0.15653286006250294"/>
        </c:manualLayout>
      </c:layout>
      <c:overlay val="0"/>
      <c:txPr>
        <a:bodyPr/>
        <a:lstStyle/>
        <a:p>
          <a:pPr>
            <a:defRPr sz="1200">
              <a:latin typeface="Segoe UI" pitchFamily="34" charset="0"/>
              <a:cs typeface="Segoe UI" pitchFamily="34" charset="0"/>
            </a:defRPr>
          </a:pPr>
          <a:endParaRPr lang="en-US"/>
        </a:p>
      </c:txPr>
    </c:legend>
    <c:plotVisOnly val="1"/>
    <c:dispBlanksAs val="zero"/>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'Lists-Modules-ChartData'!$CT$21</c:f>
          <c:strCache>
            <c:ptCount val="1"/>
            <c:pt idx="0">
              <c:v>Inflation (Deflator)</c:v>
            </c:pt>
          </c:strCache>
        </c:strRef>
      </c:tx>
      <c:layout>
        <c:manualLayout>
          <c:xMode val="edge"/>
          <c:yMode val="edge"/>
          <c:x val="1.1461499984831825E-2"/>
          <c:y val="0"/>
        </c:manualLayout>
      </c:layout>
      <c:overlay val="1"/>
      <c:txPr>
        <a:bodyPr/>
        <a:lstStyle/>
        <a:p>
          <a:pPr>
            <a:defRPr sz="1300">
              <a:solidFill>
                <a:sysClr val="windowText" lastClr="000000"/>
              </a:solidFill>
              <a:latin typeface="Segoe UI" pitchFamily="34" charset="0"/>
              <a:cs typeface="Segoe UI" pitchFamily="34" charset="0"/>
            </a:defRPr>
          </a:pPr>
          <a:endParaRPr lang="en-US"/>
        </a:p>
      </c:txPr>
    </c:title>
    <c:autoTitleDeleted val="0"/>
    <c:plotArea>
      <c:layout>
        <c:manualLayout>
          <c:layoutTarget val="inner"/>
          <c:xMode val="edge"/>
          <c:yMode val="edge"/>
          <c:x val="7.7112662053609934E-2"/>
          <c:y val="0.25758431570977164"/>
          <c:w val="0.87389800233312087"/>
          <c:h val="0.5789913614912956"/>
        </c:manualLayout>
      </c:layout>
      <c:areaChart>
        <c:grouping val="stacked"/>
        <c:varyColors val="0"/>
        <c:ser>
          <c:idx val="3"/>
          <c:order val="1"/>
          <c:tx>
            <c:strRef>
              <c:f>'Lists-Modules-ChartData'!$CH$26</c:f>
              <c:strCache>
                <c:ptCount val="1"/>
                <c:pt idx="0">
                  <c:v>Distribution of forecast errors:</c:v>
                </c:pt>
              </c:strCache>
            </c:strRef>
          </c:tx>
          <c:spPr>
            <a:solidFill>
              <a:schemeClr val="bg1"/>
            </a:solidFill>
            <a:ln>
              <a:noFill/>
            </a:ln>
          </c:spPr>
          <c:cat>
            <c:numRef>
              <c:f>'Lists-Modules-ChartData'!$CJ$16:$CR$16</c:f>
              <c:numCache>
                <c:formatCode>General</c:formatCode>
                <c:ptCount val="9"/>
                <c:pt idx="0">
                  <c:v>2009</c:v>
                </c:pt>
                <c:pt idx="1">
                  <c:v>2010</c:v>
                </c:pt>
                <c:pt idx="2">
                  <c:v>2011</c:v>
                </c:pt>
                <c:pt idx="3">
                  <c:v>2012</c:v>
                </c:pt>
                <c:pt idx="4">
                  <c:v>2013</c:v>
                </c:pt>
                <c:pt idx="5">
                  <c:v>2014</c:v>
                </c:pt>
                <c:pt idx="6">
                  <c:v>2015</c:v>
                </c:pt>
                <c:pt idx="7">
                  <c:v>2016</c:v>
                </c:pt>
                <c:pt idx="8">
                  <c:v>2017</c:v>
                </c:pt>
              </c:numCache>
            </c:numRef>
          </c:cat>
          <c:val>
            <c:numRef>
              <c:f>'Lists-Modules-ChartData'!$CJ$26:$CR$26</c:f>
              <c:numCache>
                <c:formatCode>0.00</c:formatCode>
                <c:ptCount val="9"/>
                <c:pt idx="0">
                  <c:v>-5.5456814405908634</c:v>
                </c:pt>
                <c:pt idx="1">
                  <c:v>-1.1746142148195684</c:v>
                </c:pt>
                <c:pt idx="2">
                  <c:v>-0.23264705249281104</c:v>
                </c:pt>
                <c:pt idx="3">
                  <c:v>-1.5103343700589646</c:v>
                </c:pt>
                <c:pt idx="4">
                  <c:v>-2.0736851956630931</c:v>
                </c:pt>
                <c:pt idx="5">
                  <c:v>-1.7872998415269963</c:v>
                </c:pt>
                <c:pt idx="6">
                  <c:v>-3.5451861096956465</c:v>
                </c:pt>
                <c:pt idx="7">
                  <c:v>-2.3155797594574645</c:v>
                </c:pt>
                <c:pt idx="8">
                  <c:v>-0.60805718393636843</c:v>
                </c:pt>
              </c:numCache>
            </c:numRef>
          </c:val>
          <c:extLst>
            <c:ext xmlns:c16="http://schemas.microsoft.com/office/drawing/2014/chart" uri="{C3380CC4-5D6E-409C-BE32-E72D297353CC}">
              <c16:uniqueId val="{00000000-ED6B-4F1D-8302-1D81116D0394}"/>
            </c:ext>
          </c:extLst>
        </c:ser>
        <c:ser>
          <c:idx val="1"/>
          <c:order val="3"/>
          <c:tx>
            <c:strRef>
              <c:f>'Lists-Modules-ChartData'!$CH$27</c:f>
              <c:strCache>
                <c:ptCount val="1"/>
                <c:pt idx="0">
                  <c:v>Interquartile range (25-75)</c:v>
                </c:pt>
              </c:strCache>
            </c:strRef>
          </c:tx>
          <c:spPr>
            <a:solidFill>
              <a:srgbClr val="4BACC6">
                <a:lumMod val="40000"/>
                <a:lumOff val="60000"/>
              </a:srgbClr>
            </a:solidFill>
            <a:ln>
              <a:noFill/>
            </a:ln>
          </c:spPr>
          <c:cat>
            <c:numRef>
              <c:f>'Lists-Modules-ChartData'!$CJ$16:$CR$16</c:f>
              <c:numCache>
                <c:formatCode>General</c:formatCode>
                <c:ptCount val="9"/>
                <c:pt idx="0">
                  <c:v>2009</c:v>
                </c:pt>
                <c:pt idx="1">
                  <c:v>2010</c:v>
                </c:pt>
                <c:pt idx="2">
                  <c:v>2011</c:v>
                </c:pt>
                <c:pt idx="3">
                  <c:v>2012</c:v>
                </c:pt>
                <c:pt idx="4">
                  <c:v>2013</c:v>
                </c:pt>
                <c:pt idx="5">
                  <c:v>2014</c:v>
                </c:pt>
                <c:pt idx="6">
                  <c:v>2015</c:v>
                </c:pt>
                <c:pt idx="7">
                  <c:v>2016</c:v>
                </c:pt>
                <c:pt idx="8">
                  <c:v>2017</c:v>
                </c:pt>
              </c:numCache>
            </c:numRef>
          </c:cat>
          <c:val>
            <c:numRef>
              <c:f>'Lists-Modules-ChartData'!$CJ$27:$CR$27</c:f>
              <c:numCache>
                <c:formatCode>0.00</c:formatCode>
                <c:ptCount val="9"/>
                <c:pt idx="0">
                  <c:v>5.6830028860535355</c:v>
                </c:pt>
                <c:pt idx="1">
                  <c:v>4.2194977054629428</c:v>
                </c:pt>
                <c:pt idx="2">
                  <c:v>5.5246823802197653</c:v>
                </c:pt>
                <c:pt idx="3">
                  <c:v>2.8568991963173014</c:v>
                </c:pt>
                <c:pt idx="4">
                  <c:v>2.6079444987206148</c:v>
                </c:pt>
                <c:pt idx="5">
                  <c:v>2.3910717748017385</c:v>
                </c:pt>
                <c:pt idx="6">
                  <c:v>3.8146976902990088</c:v>
                </c:pt>
                <c:pt idx="7">
                  <c:v>2.977244148218523</c:v>
                </c:pt>
                <c:pt idx="8">
                  <c:v>2.2202716471132669</c:v>
                </c:pt>
              </c:numCache>
            </c:numRef>
          </c:val>
          <c:extLst>
            <c:ext xmlns:c16="http://schemas.microsoft.com/office/drawing/2014/chart" uri="{C3380CC4-5D6E-409C-BE32-E72D297353CC}">
              <c16:uniqueId val="{00000001-ED6B-4F1D-8302-1D81116D0394}"/>
            </c:ext>
          </c:extLst>
        </c:ser>
        <c:dLbls>
          <c:showLegendKey val="0"/>
          <c:showVal val="0"/>
          <c:showCatName val="0"/>
          <c:showSerName val="0"/>
          <c:showPercent val="0"/>
          <c:showBubbleSize val="0"/>
        </c:dLbls>
        <c:axId val="545512016"/>
        <c:axId val="545507704"/>
      </c:areaChart>
      <c:lineChart>
        <c:grouping val="standard"/>
        <c:varyColors val="0"/>
        <c:ser>
          <c:idx val="2"/>
          <c:order val="0"/>
          <c:tx>
            <c:strRef>
              <c:f>'Lists-Modules-ChartData'!$CH$28</c:f>
              <c:strCache>
                <c:ptCount val="1"/>
                <c:pt idx="0">
                  <c:v>Median</c:v>
                </c:pt>
              </c:strCache>
            </c:strRef>
          </c:tx>
          <c:spPr>
            <a:ln w="25400">
              <a:solidFill>
                <a:schemeClr val="tx1"/>
              </a:solidFill>
            </a:ln>
          </c:spPr>
          <c:marker>
            <c:symbol val="none"/>
          </c:marker>
          <c:cat>
            <c:numRef>
              <c:f>'Lists-Modules-ChartData'!$CJ$10:$CR$10</c:f>
              <c:numCache>
                <c:formatCode>General</c:formatCode>
                <c:ptCount val="9"/>
                <c:pt idx="0">
                  <c:v>2009</c:v>
                </c:pt>
                <c:pt idx="1">
                  <c:v>2010</c:v>
                </c:pt>
                <c:pt idx="2">
                  <c:v>2011</c:v>
                </c:pt>
                <c:pt idx="3">
                  <c:v>2012</c:v>
                </c:pt>
                <c:pt idx="4">
                  <c:v>2013</c:v>
                </c:pt>
                <c:pt idx="5">
                  <c:v>2014</c:v>
                </c:pt>
                <c:pt idx="6">
                  <c:v>2015</c:v>
                </c:pt>
                <c:pt idx="7">
                  <c:v>2016</c:v>
                </c:pt>
                <c:pt idx="8">
                  <c:v>2017</c:v>
                </c:pt>
              </c:numCache>
            </c:numRef>
          </c:cat>
          <c:val>
            <c:numRef>
              <c:f>'Lists-Modules-ChartData'!$CJ$28:$CR$28</c:f>
              <c:numCache>
                <c:formatCode>0.00</c:formatCode>
                <c:ptCount val="9"/>
                <c:pt idx="0">
                  <c:v>-1.9886174089723667</c:v>
                </c:pt>
                <c:pt idx="1">
                  <c:v>0.94167207305400824</c:v>
                </c:pt>
                <c:pt idx="2">
                  <c:v>2.1197389668269775</c:v>
                </c:pt>
                <c:pt idx="3">
                  <c:v>-0.19729395022803253</c:v>
                </c:pt>
                <c:pt idx="4">
                  <c:v>-0.69077026392202745</c:v>
                </c:pt>
                <c:pt idx="5">
                  <c:v>-0.69912382652823157</c:v>
                </c:pt>
                <c:pt idx="6">
                  <c:v>-1.1785565536906832</c:v>
                </c:pt>
                <c:pt idx="7">
                  <c:v>-0.68528726811329432</c:v>
                </c:pt>
                <c:pt idx="8">
                  <c:v>0.12663083062366831</c:v>
                </c:pt>
              </c:numCache>
            </c:numRef>
          </c:val>
          <c:smooth val="0"/>
          <c:extLst>
            <c:ext xmlns:c16="http://schemas.microsoft.com/office/drawing/2014/chart" uri="{C3380CC4-5D6E-409C-BE32-E72D297353CC}">
              <c16:uniqueId val="{00000002-ED6B-4F1D-8302-1D81116D0394}"/>
            </c:ext>
          </c:extLst>
        </c:ser>
        <c:ser>
          <c:idx val="6"/>
          <c:order val="2"/>
          <c:tx>
            <c:strRef>
              <c:f>'Lists-Modules-ChartData'!$CT$17</c:f>
              <c:strCache>
                <c:ptCount val="1"/>
                <c:pt idx="0">
                  <c:v>Latvia forecast error</c:v>
                </c:pt>
              </c:strCache>
            </c:strRef>
          </c:tx>
          <c:spPr>
            <a:ln>
              <a:noFill/>
            </a:ln>
          </c:spPr>
          <c:marker>
            <c:symbol val="diamond"/>
            <c:size val="10"/>
            <c:spPr>
              <a:solidFill>
                <a:srgbClr val="FF0000"/>
              </a:solidFill>
              <a:ln w="28575">
                <a:noFill/>
              </a:ln>
            </c:spPr>
          </c:marker>
          <c:cat>
            <c:numRef>
              <c:f>'Lists-Modules-ChartData'!$CJ$10:$CR$10</c:f>
              <c:numCache>
                <c:formatCode>General</c:formatCode>
                <c:ptCount val="9"/>
                <c:pt idx="0">
                  <c:v>2009</c:v>
                </c:pt>
                <c:pt idx="1">
                  <c:v>2010</c:v>
                </c:pt>
                <c:pt idx="2">
                  <c:v>2011</c:v>
                </c:pt>
                <c:pt idx="3">
                  <c:v>2012</c:v>
                </c:pt>
                <c:pt idx="4">
                  <c:v>2013</c:v>
                </c:pt>
                <c:pt idx="5">
                  <c:v>2014</c:v>
                </c:pt>
                <c:pt idx="6">
                  <c:v>2015</c:v>
                </c:pt>
                <c:pt idx="7">
                  <c:v>2016</c:v>
                </c:pt>
                <c:pt idx="8">
                  <c:v>2017</c:v>
                </c:pt>
              </c:numCache>
            </c:numRef>
          </c:cat>
          <c:val>
            <c:numRef>
              <c:f>'Lists-Modules-ChartData'!$CJ$13:$CR$13</c:f>
              <c:numCache>
                <c:formatCode>0.00</c:formatCode>
                <c:ptCount val="9"/>
                <c:pt idx="0">
                  <c:v>-11.467611930058697</c:v>
                </c:pt>
                <c:pt idx="1">
                  <c:v>1.7052946573850503</c:v>
                </c:pt>
                <c:pt idx="2">
                  <c:v>7.7570025203086637</c:v>
                </c:pt>
                <c:pt idx="3">
                  <c:v>1.8993490211200588</c:v>
                </c:pt>
                <c:pt idx="4">
                  <c:v>-1.048019434304909</c:v>
                </c:pt>
                <c:pt idx="5">
                  <c:v>-0.88435486103482597</c:v>
                </c:pt>
                <c:pt idx="6">
                  <c:v>-2.1960394685578479</c:v>
                </c:pt>
                <c:pt idx="7">
                  <c:v>-1.3268968218994792</c:v>
                </c:pt>
                <c:pt idx="8">
                  <c:v>1.5446565157489884</c:v>
                </c:pt>
              </c:numCache>
            </c:numRef>
          </c:val>
          <c:smooth val="0"/>
          <c:extLst>
            <c:ext xmlns:c16="http://schemas.microsoft.com/office/drawing/2014/chart" uri="{C3380CC4-5D6E-409C-BE32-E72D297353CC}">
              <c16:uniqueId val="{00000003-ED6B-4F1D-8302-1D81116D0394}"/>
            </c:ext>
          </c:extLst>
        </c:ser>
        <c:dLbls>
          <c:showLegendKey val="0"/>
          <c:showVal val="0"/>
          <c:showCatName val="0"/>
          <c:showSerName val="0"/>
          <c:showPercent val="0"/>
          <c:showBubbleSize val="0"/>
        </c:dLbls>
        <c:marker val="1"/>
        <c:smooth val="0"/>
        <c:axId val="545512016"/>
        <c:axId val="545507704"/>
      </c:lineChart>
      <c:catAx>
        <c:axId val="545512016"/>
        <c:scaling>
          <c:orientation val="minMax"/>
        </c:scaling>
        <c:delete val="0"/>
        <c:axPos val="b"/>
        <c:title>
          <c:tx>
            <c:rich>
              <a:bodyPr/>
              <a:lstStyle/>
              <a:p>
                <a:pPr>
                  <a:defRPr sz="1400" b="0"/>
                </a:pPr>
                <a:r>
                  <a:rPr lang="en-US" sz="1400" b="0" baseline="0"/>
                  <a:t>Year </a:t>
                </a:r>
                <a:r>
                  <a:rPr lang="en-US" sz="1400" b="0" baseline="30000"/>
                  <a:t>2/</a:t>
                </a:r>
              </a:p>
            </c:rich>
          </c:tx>
          <c:layout>
            <c:manualLayout>
              <c:xMode val="edge"/>
              <c:yMode val="edge"/>
              <c:x val="0.47899586415334588"/>
              <c:y val="0.91068889962990063"/>
            </c:manualLayout>
          </c:layout>
          <c:overlay val="0"/>
        </c:title>
        <c:numFmt formatCode="General" sourceLinked="1"/>
        <c:majorTickMark val="in"/>
        <c:minorTickMark val="none"/>
        <c:tickLblPos val="low"/>
        <c:spPr>
          <a:ln>
            <a:solidFill>
              <a:srgbClr val="7F7F7F"/>
            </a:solidFill>
          </a:ln>
        </c:spPr>
        <c:txPr>
          <a:bodyPr/>
          <a:lstStyle/>
          <a:p>
            <a:pPr>
              <a:defRPr sz="1200">
                <a:latin typeface="Segoe UI" pitchFamily="34" charset="0"/>
                <a:cs typeface="Segoe UI" pitchFamily="34" charset="0"/>
              </a:defRPr>
            </a:pPr>
            <a:endParaRPr lang="en-US"/>
          </a:p>
        </c:txPr>
        <c:crossAx val="545507704"/>
        <c:crosses val="autoZero"/>
        <c:auto val="1"/>
        <c:lblAlgn val="ctr"/>
        <c:lblOffset val="100"/>
        <c:noMultiLvlLbl val="0"/>
      </c:catAx>
      <c:valAx>
        <c:axId val="545507704"/>
        <c:scaling>
          <c:orientation val="minMax"/>
        </c:scaling>
        <c:delete val="0"/>
        <c:axPos val="l"/>
        <c:numFmt formatCode="0" sourceLinked="0"/>
        <c:majorTickMark val="in"/>
        <c:minorTickMark val="none"/>
        <c:tickLblPos val="nextTo"/>
        <c:spPr>
          <a:ln>
            <a:solidFill>
              <a:srgbClr val="7F7F7F"/>
            </a:solidFill>
          </a:ln>
        </c:spPr>
        <c:txPr>
          <a:bodyPr/>
          <a:lstStyle/>
          <a:p>
            <a:pPr>
              <a:defRPr sz="1200">
                <a:latin typeface="Segoe UI" pitchFamily="34" charset="0"/>
                <a:cs typeface="Segoe UI" pitchFamily="34" charset="0"/>
              </a:defRPr>
            </a:pPr>
            <a:endParaRPr lang="en-US"/>
          </a:p>
        </c:txPr>
        <c:crossAx val="545512016"/>
        <c:crosses val="autoZero"/>
        <c:crossBetween val="midCat"/>
      </c:valAx>
      <c:spPr>
        <a:solidFill>
          <a:sysClr val="window" lastClr="FFFFFF"/>
        </a:solidFill>
        <a:ln>
          <a:solidFill>
            <a:srgbClr val="7F7F7F"/>
          </a:solidFill>
        </a:ln>
      </c:spPr>
    </c:plotArea>
    <c:legend>
      <c:legendPos val="t"/>
      <c:legendEntry>
        <c:idx val="0"/>
        <c:delete val="1"/>
      </c:legendEntry>
      <c:legendEntry>
        <c:idx val="3"/>
        <c:txPr>
          <a:bodyPr/>
          <a:lstStyle/>
          <a:p>
            <a:pPr>
              <a:defRPr sz="1200" b="1">
                <a:solidFill>
                  <a:srgbClr val="FF0000"/>
                </a:solidFill>
                <a:latin typeface="Segoe UI" pitchFamily="34" charset="0"/>
                <a:cs typeface="Segoe UI" pitchFamily="34" charset="0"/>
              </a:defRPr>
            </a:pPr>
            <a:endParaRPr lang="en-US"/>
          </a:p>
        </c:txPr>
      </c:legendEntry>
      <c:layout>
        <c:manualLayout>
          <c:xMode val="edge"/>
          <c:yMode val="edge"/>
          <c:x val="4.0780846018654546E-2"/>
          <c:y val="0.68602407399460064"/>
          <c:w val="0.56305579858073362"/>
          <c:h val="0.14944981104823502"/>
        </c:manualLayout>
      </c:layout>
      <c:overlay val="0"/>
      <c:txPr>
        <a:bodyPr/>
        <a:lstStyle/>
        <a:p>
          <a:pPr>
            <a:defRPr sz="1200">
              <a:latin typeface="Segoe UI" pitchFamily="34" charset="0"/>
              <a:cs typeface="Segoe UI" pitchFamily="34" charset="0"/>
            </a:defRPr>
          </a:pPr>
          <a:endParaRPr lang="en-US"/>
        </a:p>
      </c:txPr>
    </c:legend>
    <c:plotVisOnly val="1"/>
    <c:dispBlanksAs val="zero"/>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300">
                <a:latin typeface="Segoe UI" pitchFamily="34" charset="0"/>
                <a:ea typeface="Segoe UI" pitchFamily="34" charset="0"/>
                <a:cs typeface="Segoe UI" pitchFamily="34" charset="0"/>
              </a:defRPr>
            </a:pPr>
            <a:r>
              <a:rPr lang="en-US" sz="1300">
                <a:latin typeface="Segoe UI" pitchFamily="34" charset="0"/>
                <a:ea typeface="Segoe UI" pitchFamily="34" charset="0"/>
                <a:cs typeface="Segoe UI" pitchFamily="34" charset="0"/>
              </a:rPr>
              <a:t>Real GDP growth</a:t>
            </a:r>
          </a:p>
        </c:rich>
      </c:tx>
      <c:layout>
        <c:manualLayout>
          <c:xMode val="edge"/>
          <c:yMode val="edge"/>
          <c:x val="1.3456959750157683E-2"/>
          <c:y val="2.8486744833751683E-3"/>
        </c:manualLayout>
      </c:layout>
      <c:overlay val="0"/>
    </c:title>
    <c:autoTitleDeleted val="0"/>
    <c:plotArea>
      <c:layout>
        <c:manualLayout>
          <c:layoutTarget val="inner"/>
          <c:xMode val="edge"/>
          <c:yMode val="edge"/>
          <c:x val="8.8404131851218357E-2"/>
          <c:y val="0.20643592476704944"/>
          <c:w val="0.85169504572823163"/>
          <c:h val="0.68138995289344295"/>
        </c:manualLayout>
      </c:layout>
      <c:areaChart>
        <c:grouping val="stacked"/>
        <c:varyColors val="0"/>
        <c:ser>
          <c:idx val="3"/>
          <c:order val="0"/>
          <c:tx>
            <c:strRef>
              <c:f>'Lists-Modules-ChartData'!$EB$33</c:f>
              <c:strCache>
                <c:ptCount val="1"/>
                <c:pt idx="0">
                  <c:v>25th</c:v>
                </c:pt>
              </c:strCache>
            </c:strRef>
          </c:tx>
          <c:spPr>
            <a:solidFill>
              <a:srgbClr val="FFFFFF"/>
            </a:solidFill>
            <a:ln>
              <a:noFill/>
            </a:ln>
          </c:spPr>
          <c:cat>
            <c:strRef>
              <c:f>'Lists-Modules-ChartData'!$DQ$32:$EA$32</c:f>
              <c:strCache>
                <c:ptCount val="11"/>
                <c:pt idx="0">
                  <c:v>t-5</c:v>
                </c:pt>
                <c:pt idx="1">
                  <c:v>t-4</c:v>
                </c:pt>
                <c:pt idx="2">
                  <c:v>t-3</c:v>
                </c:pt>
                <c:pt idx="3">
                  <c:v>t-2</c:v>
                </c:pt>
                <c:pt idx="4">
                  <c:v>t-1</c:v>
                </c:pt>
                <c:pt idx="5">
                  <c:v>t</c:v>
                </c:pt>
                <c:pt idx="6">
                  <c:v>t+1</c:v>
                </c:pt>
                <c:pt idx="7">
                  <c:v>t+2</c:v>
                </c:pt>
                <c:pt idx="8">
                  <c:v>t+3</c:v>
                </c:pt>
                <c:pt idx="9">
                  <c:v>t+4</c:v>
                </c:pt>
                <c:pt idx="10">
                  <c:v>t+5</c:v>
                </c:pt>
              </c:strCache>
            </c:strRef>
          </c:cat>
          <c:val>
            <c:numRef>
              <c:f>'Lists-Modules-ChartData'!$DQ$37:$EA$37</c:f>
              <c:numCache>
                <c:formatCode>0.00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93AC-4006-AF4C-E2D227D49653}"/>
            </c:ext>
          </c:extLst>
        </c:ser>
        <c:ser>
          <c:idx val="0"/>
          <c:order val="1"/>
          <c:tx>
            <c:strRef>
              <c:f>'Lists-Modules-ChartData'!$EB$34</c:f>
              <c:strCache>
                <c:ptCount val="1"/>
                <c:pt idx="0">
                  <c:v>median</c:v>
                </c:pt>
              </c:strCache>
            </c:strRef>
          </c:tx>
          <c:spPr>
            <a:solidFill>
              <a:srgbClr val="4BACC6">
                <a:lumMod val="40000"/>
                <a:lumOff val="60000"/>
              </a:srgbClr>
            </a:solidFill>
            <a:ln>
              <a:noFill/>
            </a:ln>
          </c:spPr>
          <c:cat>
            <c:strRef>
              <c:f>'Lists-Modules-ChartData'!$DQ$32:$EA$32</c:f>
              <c:strCache>
                <c:ptCount val="11"/>
                <c:pt idx="0">
                  <c:v>t-5</c:v>
                </c:pt>
                <c:pt idx="1">
                  <c:v>t-4</c:v>
                </c:pt>
                <c:pt idx="2">
                  <c:v>t-3</c:v>
                </c:pt>
                <c:pt idx="3">
                  <c:v>t-2</c:v>
                </c:pt>
                <c:pt idx="4">
                  <c:v>t-1</c:v>
                </c:pt>
                <c:pt idx="5">
                  <c:v>t</c:v>
                </c:pt>
                <c:pt idx="6">
                  <c:v>t+1</c:v>
                </c:pt>
                <c:pt idx="7">
                  <c:v>t+2</c:v>
                </c:pt>
                <c:pt idx="8">
                  <c:v>t+3</c:v>
                </c:pt>
                <c:pt idx="9">
                  <c:v>t+4</c:v>
                </c:pt>
                <c:pt idx="10">
                  <c:v>t+5</c:v>
                </c:pt>
              </c:strCache>
            </c:strRef>
          </c:cat>
          <c:val>
            <c:numRef>
              <c:f>'Lists-Modules-ChartData'!$DQ$38:$EA$38</c:f>
              <c:numCache>
                <c:formatCode>0.00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1-93AC-4006-AF4C-E2D227D49653}"/>
            </c:ext>
          </c:extLst>
        </c:ser>
        <c:ser>
          <c:idx val="2"/>
          <c:order val="2"/>
          <c:tx>
            <c:strRef>
              <c:f>'Lists-Modules-ChartData'!$EB$35</c:f>
              <c:strCache>
                <c:ptCount val="1"/>
                <c:pt idx="0">
                  <c:v>75th</c:v>
                </c:pt>
              </c:strCache>
            </c:strRef>
          </c:tx>
          <c:spPr>
            <a:solidFill>
              <a:srgbClr val="4BACC6">
                <a:lumMod val="40000"/>
                <a:lumOff val="60000"/>
              </a:srgbClr>
            </a:solidFill>
            <a:ln>
              <a:noFill/>
            </a:ln>
          </c:spPr>
          <c:cat>
            <c:strRef>
              <c:f>'Lists-Modules-ChartData'!$DQ$32:$EA$32</c:f>
              <c:strCache>
                <c:ptCount val="11"/>
                <c:pt idx="0">
                  <c:v>t-5</c:v>
                </c:pt>
                <c:pt idx="1">
                  <c:v>t-4</c:v>
                </c:pt>
                <c:pt idx="2">
                  <c:v>t-3</c:v>
                </c:pt>
                <c:pt idx="3">
                  <c:v>t-2</c:v>
                </c:pt>
                <c:pt idx="4">
                  <c:v>t-1</c:v>
                </c:pt>
                <c:pt idx="5">
                  <c:v>t</c:v>
                </c:pt>
                <c:pt idx="6">
                  <c:v>t+1</c:v>
                </c:pt>
                <c:pt idx="7">
                  <c:v>t+2</c:v>
                </c:pt>
                <c:pt idx="8">
                  <c:v>t+3</c:v>
                </c:pt>
                <c:pt idx="9">
                  <c:v>t+4</c:v>
                </c:pt>
                <c:pt idx="10">
                  <c:v>t+5</c:v>
                </c:pt>
              </c:strCache>
            </c:strRef>
          </c:cat>
          <c:val>
            <c:numRef>
              <c:f>'Lists-Modules-ChartData'!$DQ$39:$EA$39</c:f>
              <c:numCache>
                <c:formatCode>0.00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2-93AC-4006-AF4C-E2D227D49653}"/>
            </c:ext>
          </c:extLst>
        </c:ser>
        <c:dLbls>
          <c:showLegendKey val="0"/>
          <c:showVal val="0"/>
          <c:showCatName val="0"/>
          <c:showSerName val="0"/>
          <c:showPercent val="0"/>
          <c:showBubbleSize val="0"/>
        </c:dLbls>
        <c:axId val="545508096"/>
        <c:axId val="545509272"/>
      </c:areaChart>
      <c:lineChart>
        <c:grouping val="standard"/>
        <c:varyColors val="0"/>
        <c:ser>
          <c:idx val="1"/>
          <c:order val="3"/>
          <c:tx>
            <c:strRef>
              <c:f>'Lists-Modules-ChartData'!$EB$40</c:f>
              <c:strCache>
                <c:ptCount val="1"/>
                <c:pt idx="0">
                  <c:v>median</c:v>
                </c:pt>
              </c:strCache>
            </c:strRef>
          </c:tx>
          <c:spPr>
            <a:ln>
              <a:solidFill>
                <a:schemeClr val="tx1"/>
              </a:solidFill>
            </a:ln>
          </c:spPr>
          <c:marker>
            <c:symbol val="none"/>
          </c:marker>
          <c:cat>
            <c:strRef>
              <c:f>'Lists-Modules-ChartData'!$DQ$32:$EA$32</c:f>
              <c:strCache>
                <c:ptCount val="11"/>
                <c:pt idx="0">
                  <c:v>t-5</c:v>
                </c:pt>
                <c:pt idx="1">
                  <c:v>t-4</c:v>
                </c:pt>
                <c:pt idx="2">
                  <c:v>t-3</c:v>
                </c:pt>
                <c:pt idx="3">
                  <c:v>t-2</c:v>
                </c:pt>
                <c:pt idx="4">
                  <c:v>t-1</c:v>
                </c:pt>
                <c:pt idx="5">
                  <c:v>t</c:v>
                </c:pt>
                <c:pt idx="6">
                  <c:v>t+1</c:v>
                </c:pt>
                <c:pt idx="7">
                  <c:v>t+2</c:v>
                </c:pt>
                <c:pt idx="8">
                  <c:v>t+3</c:v>
                </c:pt>
                <c:pt idx="9">
                  <c:v>t+4</c:v>
                </c:pt>
                <c:pt idx="10">
                  <c:v>t+5</c:v>
                </c:pt>
              </c:strCache>
            </c:strRef>
          </c:cat>
          <c:val>
            <c:numRef>
              <c:f>'Lists-Modules-ChartData'!$DQ$40:$EA$40</c:f>
              <c:numCache>
                <c:formatCode>0.00</c:formatCode>
                <c:ptCount val="11"/>
                <c:pt idx="0">
                  <c:v>0</c:v>
                </c:pt>
                <c:pt idx="1">
                  <c:v>0</c:v>
                </c:pt>
                <c:pt idx="2">
                  <c:v>0</c:v>
                </c:pt>
                <c:pt idx="3">
                  <c:v>0</c:v>
                </c:pt>
                <c:pt idx="4">
                  <c:v>0</c:v>
                </c:pt>
                <c:pt idx="5">
                  <c:v>0</c:v>
                </c:pt>
                <c:pt idx="6">
                  <c:v>0</c:v>
                </c:pt>
                <c:pt idx="7">
                  <c:v>0</c:v>
                </c:pt>
                <c:pt idx="8">
                  <c:v>0</c:v>
                </c:pt>
                <c:pt idx="9">
                  <c:v>0</c:v>
                </c:pt>
                <c:pt idx="10">
                  <c:v>0</c:v>
                </c:pt>
              </c:numCache>
            </c:numRef>
          </c:val>
          <c:smooth val="0"/>
          <c:extLst>
            <c:ext xmlns:c16="http://schemas.microsoft.com/office/drawing/2014/chart" uri="{C3380CC4-5D6E-409C-BE32-E72D297353CC}">
              <c16:uniqueId val="{00000003-93AC-4006-AF4C-E2D227D49653}"/>
            </c:ext>
          </c:extLst>
        </c:ser>
        <c:ser>
          <c:idx val="4"/>
          <c:order val="4"/>
          <c:tx>
            <c:strRef>
              <c:f>'Lists-Modules-ChartData'!$EB$43</c:f>
              <c:strCache>
                <c:ptCount val="1"/>
                <c:pt idx="0">
                  <c:v>Latvia</c:v>
                </c:pt>
              </c:strCache>
            </c:strRef>
          </c:tx>
          <c:spPr>
            <a:ln w="38100">
              <a:solidFill>
                <a:srgbClr val="FF0000"/>
              </a:solidFill>
            </a:ln>
          </c:spPr>
          <c:marker>
            <c:symbol val="none"/>
          </c:marker>
          <c:dPt>
            <c:idx val="5"/>
            <c:bubble3D val="0"/>
            <c:spPr>
              <a:ln w="38100">
                <a:solidFill>
                  <a:srgbClr val="FF0000"/>
                </a:solidFill>
                <a:prstDash val="sysDash"/>
              </a:ln>
            </c:spPr>
            <c:extLst>
              <c:ext xmlns:c16="http://schemas.microsoft.com/office/drawing/2014/chart" uri="{C3380CC4-5D6E-409C-BE32-E72D297353CC}">
                <c16:uniqueId val="{00000004-93AC-4006-AF4C-E2D227D49653}"/>
              </c:ext>
            </c:extLst>
          </c:dPt>
          <c:dPt>
            <c:idx val="6"/>
            <c:bubble3D val="0"/>
            <c:spPr>
              <a:ln w="38100">
                <a:solidFill>
                  <a:srgbClr val="FF0000"/>
                </a:solidFill>
                <a:prstDash val="sysDash"/>
              </a:ln>
            </c:spPr>
            <c:extLst>
              <c:ext xmlns:c16="http://schemas.microsoft.com/office/drawing/2014/chart" uri="{C3380CC4-5D6E-409C-BE32-E72D297353CC}">
                <c16:uniqueId val="{00000005-93AC-4006-AF4C-E2D227D49653}"/>
              </c:ext>
            </c:extLst>
          </c:dPt>
          <c:dPt>
            <c:idx val="7"/>
            <c:bubble3D val="0"/>
            <c:spPr>
              <a:ln w="38100">
                <a:solidFill>
                  <a:srgbClr val="FF0000"/>
                </a:solidFill>
                <a:prstDash val="sysDash"/>
              </a:ln>
            </c:spPr>
            <c:extLst>
              <c:ext xmlns:c16="http://schemas.microsoft.com/office/drawing/2014/chart" uri="{C3380CC4-5D6E-409C-BE32-E72D297353CC}">
                <c16:uniqueId val="{00000006-93AC-4006-AF4C-E2D227D49653}"/>
              </c:ext>
            </c:extLst>
          </c:dPt>
          <c:dPt>
            <c:idx val="8"/>
            <c:bubble3D val="0"/>
            <c:spPr>
              <a:ln w="38100">
                <a:solidFill>
                  <a:srgbClr val="FF0000"/>
                </a:solidFill>
                <a:prstDash val="sysDash"/>
              </a:ln>
            </c:spPr>
            <c:extLst>
              <c:ext xmlns:c16="http://schemas.microsoft.com/office/drawing/2014/chart" uri="{C3380CC4-5D6E-409C-BE32-E72D297353CC}">
                <c16:uniqueId val="{00000007-93AC-4006-AF4C-E2D227D49653}"/>
              </c:ext>
            </c:extLst>
          </c:dPt>
          <c:dPt>
            <c:idx val="9"/>
            <c:bubble3D val="0"/>
            <c:spPr>
              <a:ln w="38100">
                <a:solidFill>
                  <a:srgbClr val="FF0000"/>
                </a:solidFill>
                <a:prstDash val="sysDash"/>
              </a:ln>
            </c:spPr>
            <c:extLst>
              <c:ext xmlns:c16="http://schemas.microsoft.com/office/drawing/2014/chart" uri="{C3380CC4-5D6E-409C-BE32-E72D297353CC}">
                <c16:uniqueId val="{00000008-93AC-4006-AF4C-E2D227D49653}"/>
              </c:ext>
            </c:extLst>
          </c:dPt>
          <c:dPt>
            <c:idx val="10"/>
            <c:bubble3D val="0"/>
            <c:spPr>
              <a:ln w="38100">
                <a:solidFill>
                  <a:srgbClr val="FF0000"/>
                </a:solidFill>
                <a:prstDash val="sysDash"/>
              </a:ln>
            </c:spPr>
            <c:extLst>
              <c:ext xmlns:c16="http://schemas.microsoft.com/office/drawing/2014/chart" uri="{C3380CC4-5D6E-409C-BE32-E72D297353CC}">
                <c16:uniqueId val="{00000009-93AC-4006-AF4C-E2D227D49653}"/>
              </c:ext>
            </c:extLst>
          </c:dPt>
          <c:cat>
            <c:strRef>
              <c:f>'Lists-Modules-ChartData'!$DQ$32:$EA$32</c:f>
              <c:strCache>
                <c:ptCount val="11"/>
                <c:pt idx="0">
                  <c:v>t-5</c:v>
                </c:pt>
                <c:pt idx="1">
                  <c:v>t-4</c:v>
                </c:pt>
                <c:pt idx="2">
                  <c:v>t-3</c:v>
                </c:pt>
                <c:pt idx="3">
                  <c:v>t-2</c:v>
                </c:pt>
                <c:pt idx="4">
                  <c:v>t-1</c:v>
                </c:pt>
                <c:pt idx="5">
                  <c:v>t</c:v>
                </c:pt>
                <c:pt idx="6">
                  <c:v>t+1</c:v>
                </c:pt>
                <c:pt idx="7">
                  <c:v>t+2</c:v>
                </c:pt>
                <c:pt idx="8">
                  <c:v>t+3</c:v>
                </c:pt>
                <c:pt idx="9">
                  <c:v>t+4</c:v>
                </c:pt>
                <c:pt idx="10">
                  <c:v>t+5</c:v>
                </c:pt>
              </c:strCache>
            </c:strRef>
          </c:cat>
          <c:val>
            <c:numRef>
              <c:f>'Lists-Modules-ChartData'!$DQ$43:$EA$43</c:f>
              <c:numCache>
                <c:formatCode>0.00</c:formatCode>
                <c:ptCount val="11"/>
                <c:pt idx="0">
                  <c:v>0</c:v>
                </c:pt>
                <c:pt idx="1">
                  <c:v>0</c:v>
                </c:pt>
                <c:pt idx="2">
                  <c:v>0</c:v>
                </c:pt>
                <c:pt idx="3">
                  <c:v>0</c:v>
                </c:pt>
                <c:pt idx="4">
                  <c:v>0</c:v>
                </c:pt>
                <c:pt idx="5">
                  <c:v>0</c:v>
                </c:pt>
                <c:pt idx="6">
                  <c:v>0</c:v>
                </c:pt>
                <c:pt idx="7">
                  <c:v>0</c:v>
                </c:pt>
                <c:pt idx="8">
                  <c:v>0</c:v>
                </c:pt>
                <c:pt idx="9">
                  <c:v>0</c:v>
                </c:pt>
                <c:pt idx="10">
                  <c:v>0</c:v>
                </c:pt>
              </c:numCache>
            </c:numRef>
          </c:val>
          <c:smooth val="0"/>
          <c:extLst>
            <c:ext xmlns:c16="http://schemas.microsoft.com/office/drawing/2014/chart" uri="{C3380CC4-5D6E-409C-BE32-E72D297353CC}">
              <c16:uniqueId val="{0000000A-93AC-4006-AF4C-E2D227D49653}"/>
            </c:ext>
          </c:extLst>
        </c:ser>
        <c:dLbls>
          <c:showLegendKey val="0"/>
          <c:showVal val="0"/>
          <c:showCatName val="0"/>
          <c:showSerName val="0"/>
          <c:showPercent val="0"/>
          <c:showBubbleSize val="0"/>
        </c:dLbls>
        <c:marker val="1"/>
        <c:smooth val="0"/>
        <c:axId val="545508096"/>
        <c:axId val="545509272"/>
      </c:lineChart>
      <c:catAx>
        <c:axId val="545508096"/>
        <c:scaling>
          <c:orientation val="minMax"/>
        </c:scaling>
        <c:delete val="0"/>
        <c:axPos val="b"/>
        <c:numFmt formatCode="General" sourceLinked="1"/>
        <c:majorTickMark val="out"/>
        <c:minorTickMark val="none"/>
        <c:tickLblPos val="low"/>
        <c:spPr>
          <a:ln>
            <a:solidFill>
              <a:srgbClr val="7F7F7F"/>
            </a:solidFill>
          </a:ln>
        </c:spPr>
        <c:txPr>
          <a:bodyPr/>
          <a:lstStyle/>
          <a:p>
            <a:pPr>
              <a:defRPr sz="1200" b="0">
                <a:latin typeface="Segoe UI" pitchFamily="34" charset="0"/>
                <a:ea typeface="Segoe UI" pitchFamily="34" charset="0"/>
                <a:cs typeface="Segoe UI" pitchFamily="34" charset="0"/>
              </a:defRPr>
            </a:pPr>
            <a:endParaRPr lang="en-US"/>
          </a:p>
        </c:txPr>
        <c:crossAx val="545509272"/>
        <c:crosses val="autoZero"/>
        <c:auto val="1"/>
        <c:lblAlgn val="ctr"/>
        <c:lblOffset val="100"/>
        <c:noMultiLvlLbl val="0"/>
      </c:catAx>
      <c:valAx>
        <c:axId val="545509272"/>
        <c:scaling>
          <c:orientation val="minMax"/>
        </c:scaling>
        <c:delete val="0"/>
        <c:axPos val="l"/>
        <c:numFmt formatCode="0" sourceLinked="0"/>
        <c:majorTickMark val="in"/>
        <c:minorTickMark val="none"/>
        <c:tickLblPos val="nextTo"/>
        <c:spPr>
          <a:ln>
            <a:solidFill>
              <a:srgbClr val="7F7F7F"/>
            </a:solidFill>
          </a:ln>
        </c:spPr>
        <c:txPr>
          <a:bodyPr/>
          <a:lstStyle/>
          <a:p>
            <a:pPr>
              <a:defRPr sz="1200">
                <a:latin typeface="Segoe UI" pitchFamily="34" charset="0"/>
                <a:ea typeface="Segoe UI" pitchFamily="34" charset="0"/>
                <a:cs typeface="Segoe UI" pitchFamily="34" charset="0"/>
              </a:defRPr>
            </a:pPr>
            <a:endParaRPr lang="en-US"/>
          </a:p>
        </c:txPr>
        <c:crossAx val="545508096"/>
        <c:crosses val="autoZero"/>
        <c:crossBetween val="midCat"/>
      </c:valAx>
      <c:spPr>
        <a:ln>
          <a:solidFill>
            <a:srgbClr val="7F7F7F"/>
          </a:solidFill>
        </a:ln>
      </c:spPr>
    </c:plotArea>
    <c:legend>
      <c:legendPos val="r"/>
      <c:legendEntry>
        <c:idx val="0"/>
        <c:delete val="1"/>
      </c:legendEntry>
      <c:legendEntry>
        <c:idx val="1"/>
        <c:delete val="1"/>
      </c:legendEntry>
      <c:legendEntry>
        <c:idx val="2"/>
        <c:delete val="1"/>
      </c:legendEntry>
      <c:legendEntry>
        <c:idx val="3"/>
        <c:delete val="1"/>
      </c:legendEntry>
      <c:layout>
        <c:manualLayout>
          <c:xMode val="edge"/>
          <c:yMode val="edge"/>
          <c:x val="1.4345177541160631E-2"/>
          <c:y val="0.11176866210500989"/>
          <c:w val="0.19949420456087477"/>
          <c:h val="7.4280868269115452E-2"/>
        </c:manualLayout>
      </c:layout>
      <c:overlay val="1"/>
      <c:txPr>
        <a:bodyPr/>
        <a:lstStyle/>
        <a:p>
          <a:pPr>
            <a:defRPr sz="1100">
              <a:latin typeface="Segoe UI" pitchFamily="34" charset="0"/>
              <a:ea typeface="Segoe UI" pitchFamily="34" charset="0"/>
              <a:cs typeface="Segoe UI" pitchFamily="34" charset="0"/>
            </a:defRPr>
          </a:pPr>
          <a:endParaRPr lang="en-US"/>
        </a:p>
      </c:txPr>
    </c:legend>
    <c:plotVisOnly val="1"/>
    <c:dispBlanksAs val="zero"/>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918061351975819E-2"/>
          <c:y val="0.22538097885719371"/>
          <c:w val="0.89043398640143756"/>
          <c:h val="0.6392384209075036"/>
        </c:manualLayout>
      </c:layout>
      <c:barChart>
        <c:barDir val="col"/>
        <c:grouping val="clustered"/>
        <c:varyColors val="0"/>
        <c:ser>
          <c:idx val="0"/>
          <c:order val="0"/>
          <c:tx>
            <c:strRef>
              <c:f>'Lists-Modules-ChartData'!$DN$29</c:f>
              <c:strCache>
                <c:ptCount val="1"/>
                <c:pt idx="0">
                  <c:v>Distribution 4/</c:v>
                </c:pt>
              </c:strCache>
            </c:strRef>
          </c:tx>
          <c:spPr>
            <a:solidFill>
              <a:schemeClr val="accent5">
                <a:lumMod val="40000"/>
                <a:lumOff val="60000"/>
              </a:schemeClr>
            </a:solidFill>
            <a:ln>
              <a:solidFill>
                <a:prstClr val="black"/>
              </a:solidFill>
            </a:ln>
          </c:spPr>
          <c:invertIfNegative val="0"/>
          <c:dPt>
            <c:idx val="14"/>
            <c:invertIfNegative val="0"/>
            <c:bubble3D val="0"/>
            <c:spPr>
              <a:solidFill>
                <a:srgbClr val="B7DEE8"/>
              </a:solidFill>
              <a:ln>
                <a:solidFill>
                  <a:prstClr val="black"/>
                </a:solidFill>
              </a:ln>
            </c:spPr>
            <c:extLst>
              <c:ext xmlns:c16="http://schemas.microsoft.com/office/drawing/2014/chart" uri="{C3380CC4-5D6E-409C-BE32-E72D297353CC}">
                <c16:uniqueId val="{00000000-905D-47D3-90D9-DFDC54E20CF6}"/>
              </c:ext>
            </c:extLst>
          </c:dPt>
          <c:dPt>
            <c:idx val="15"/>
            <c:invertIfNegative val="0"/>
            <c:bubble3D val="0"/>
            <c:spPr>
              <a:solidFill>
                <a:srgbClr val="B7DEE8"/>
              </a:solidFill>
              <a:ln>
                <a:solidFill>
                  <a:prstClr val="black"/>
                </a:solidFill>
              </a:ln>
            </c:spPr>
            <c:extLst>
              <c:ext xmlns:c16="http://schemas.microsoft.com/office/drawing/2014/chart" uri="{C3380CC4-5D6E-409C-BE32-E72D297353CC}">
                <c16:uniqueId val="{00000001-905D-47D3-90D9-DFDC54E20CF6}"/>
              </c:ext>
            </c:extLst>
          </c:dPt>
          <c:dPt>
            <c:idx val="16"/>
            <c:invertIfNegative val="0"/>
            <c:bubble3D val="0"/>
            <c:spPr>
              <a:solidFill>
                <a:srgbClr val="B7DEE8"/>
              </a:solidFill>
              <a:ln>
                <a:solidFill>
                  <a:prstClr val="black"/>
                </a:solidFill>
              </a:ln>
            </c:spPr>
            <c:extLst>
              <c:ext xmlns:c16="http://schemas.microsoft.com/office/drawing/2014/chart" uri="{C3380CC4-5D6E-409C-BE32-E72D297353CC}">
                <c16:uniqueId val="{00000002-905D-47D3-90D9-DFDC54E20CF6}"/>
              </c:ext>
            </c:extLst>
          </c:dPt>
          <c:dPt>
            <c:idx val="17"/>
            <c:invertIfNegative val="0"/>
            <c:bubble3D val="0"/>
            <c:spPr>
              <a:solidFill>
                <a:srgbClr val="FFFF00"/>
              </a:solidFill>
              <a:ln>
                <a:solidFill>
                  <a:prstClr val="black"/>
                </a:solidFill>
              </a:ln>
            </c:spPr>
            <c:extLst>
              <c:ext xmlns:c16="http://schemas.microsoft.com/office/drawing/2014/chart" uri="{C3380CC4-5D6E-409C-BE32-E72D297353CC}">
                <c16:uniqueId val="{00000003-905D-47D3-90D9-DFDC54E20CF6}"/>
              </c:ext>
            </c:extLst>
          </c:dPt>
          <c:dPt>
            <c:idx val="18"/>
            <c:invertIfNegative val="0"/>
            <c:bubble3D val="0"/>
            <c:spPr>
              <a:solidFill>
                <a:srgbClr val="FFFF00"/>
              </a:solidFill>
              <a:ln>
                <a:solidFill>
                  <a:prstClr val="black"/>
                </a:solidFill>
              </a:ln>
            </c:spPr>
            <c:extLst>
              <c:ext xmlns:c16="http://schemas.microsoft.com/office/drawing/2014/chart" uri="{C3380CC4-5D6E-409C-BE32-E72D297353CC}">
                <c16:uniqueId val="{00000004-905D-47D3-90D9-DFDC54E20CF6}"/>
              </c:ext>
            </c:extLst>
          </c:dPt>
          <c:dPt>
            <c:idx val="19"/>
            <c:invertIfNegative val="0"/>
            <c:bubble3D val="0"/>
            <c:spPr>
              <a:solidFill>
                <a:srgbClr val="FFFF00"/>
              </a:solidFill>
              <a:ln>
                <a:solidFill>
                  <a:prstClr val="black"/>
                </a:solidFill>
              </a:ln>
            </c:spPr>
            <c:extLst>
              <c:ext xmlns:c16="http://schemas.microsoft.com/office/drawing/2014/chart" uri="{C3380CC4-5D6E-409C-BE32-E72D297353CC}">
                <c16:uniqueId val="{00000005-905D-47D3-90D9-DFDC54E20CF6}"/>
              </c:ext>
            </c:extLst>
          </c:dPt>
          <c:dPt>
            <c:idx val="20"/>
            <c:invertIfNegative val="0"/>
            <c:bubble3D val="0"/>
            <c:spPr>
              <a:solidFill>
                <a:srgbClr val="FFFF00"/>
              </a:solidFill>
              <a:ln>
                <a:solidFill>
                  <a:prstClr val="black"/>
                </a:solidFill>
              </a:ln>
            </c:spPr>
            <c:extLst>
              <c:ext xmlns:c16="http://schemas.microsoft.com/office/drawing/2014/chart" uri="{C3380CC4-5D6E-409C-BE32-E72D297353CC}">
                <c16:uniqueId val="{00000006-905D-47D3-90D9-DFDC54E20CF6}"/>
              </c:ext>
            </c:extLst>
          </c:dPt>
          <c:dPt>
            <c:idx val="21"/>
            <c:invertIfNegative val="0"/>
            <c:bubble3D val="0"/>
            <c:spPr>
              <a:solidFill>
                <a:srgbClr val="FFFF00"/>
              </a:solidFill>
              <a:ln>
                <a:solidFill>
                  <a:prstClr val="black"/>
                </a:solidFill>
              </a:ln>
            </c:spPr>
            <c:extLst>
              <c:ext xmlns:c16="http://schemas.microsoft.com/office/drawing/2014/chart" uri="{C3380CC4-5D6E-409C-BE32-E72D297353CC}">
                <c16:uniqueId val="{00000007-905D-47D3-90D9-DFDC54E20CF6}"/>
              </c:ext>
            </c:extLst>
          </c:dPt>
          <c:dPt>
            <c:idx val="22"/>
            <c:invertIfNegative val="0"/>
            <c:bubble3D val="0"/>
            <c:spPr>
              <a:solidFill>
                <a:srgbClr val="FFFF00"/>
              </a:solidFill>
              <a:ln>
                <a:solidFill>
                  <a:prstClr val="black"/>
                </a:solidFill>
              </a:ln>
            </c:spPr>
            <c:extLst>
              <c:ext xmlns:c16="http://schemas.microsoft.com/office/drawing/2014/chart" uri="{C3380CC4-5D6E-409C-BE32-E72D297353CC}">
                <c16:uniqueId val="{00000008-905D-47D3-90D9-DFDC54E20CF6}"/>
              </c:ext>
            </c:extLst>
          </c:dPt>
          <c:dPt>
            <c:idx val="23"/>
            <c:invertIfNegative val="0"/>
            <c:bubble3D val="0"/>
            <c:spPr>
              <a:solidFill>
                <a:srgbClr val="FFFF00"/>
              </a:solidFill>
              <a:ln>
                <a:solidFill>
                  <a:prstClr val="black"/>
                </a:solidFill>
              </a:ln>
            </c:spPr>
            <c:extLst>
              <c:ext xmlns:c16="http://schemas.microsoft.com/office/drawing/2014/chart" uri="{C3380CC4-5D6E-409C-BE32-E72D297353CC}">
                <c16:uniqueId val="{00000009-905D-47D3-90D9-DFDC54E20CF6}"/>
              </c:ext>
            </c:extLst>
          </c:dPt>
          <c:dPt>
            <c:idx val="24"/>
            <c:invertIfNegative val="0"/>
            <c:bubble3D val="0"/>
            <c:spPr>
              <a:solidFill>
                <a:srgbClr val="FFFF00"/>
              </a:solidFill>
              <a:ln>
                <a:solidFill>
                  <a:prstClr val="black"/>
                </a:solidFill>
              </a:ln>
            </c:spPr>
            <c:extLst>
              <c:ext xmlns:c16="http://schemas.microsoft.com/office/drawing/2014/chart" uri="{C3380CC4-5D6E-409C-BE32-E72D297353CC}">
                <c16:uniqueId val="{0000000A-905D-47D3-90D9-DFDC54E20CF6}"/>
              </c:ext>
            </c:extLst>
          </c:dPt>
          <c:dPt>
            <c:idx val="25"/>
            <c:invertIfNegative val="0"/>
            <c:bubble3D val="0"/>
            <c:spPr>
              <a:solidFill>
                <a:srgbClr val="FFFF00"/>
              </a:solidFill>
              <a:ln>
                <a:solidFill>
                  <a:prstClr val="black"/>
                </a:solidFill>
              </a:ln>
            </c:spPr>
            <c:extLst>
              <c:ext xmlns:c16="http://schemas.microsoft.com/office/drawing/2014/chart" uri="{C3380CC4-5D6E-409C-BE32-E72D297353CC}">
                <c16:uniqueId val="{0000000B-905D-47D3-90D9-DFDC54E20CF6}"/>
              </c:ext>
            </c:extLst>
          </c:dPt>
          <c:dPt>
            <c:idx val="26"/>
            <c:invertIfNegative val="0"/>
            <c:bubble3D val="0"/>
            <c:spPr>
              <a:solidFill>
                <a:srgbClr val="FFFF00"/>
              </a:solidFill>
              <a:ln>
                <a:solidFill>
                  <a:prstClr val="black"/>
                </a:solidFill>
              </a:ln>
            </c:spPr>
            <c:extLst>
              <c:ext xmlns:c16="http://schemas.microsoft.com/office/drawing/2014/chart" uri="{C3380CC4-5D6E-409C-BE32-E72D297353CC}">
                <c16:uniqueId val="{0000000C-905D-47D3-90D9-DFDC54E20CF6}"/>
              </c:ext>
            </c:extLst>
          </c:dPt>
          <c:dPt>
            <c:idx val="27"/>
            <c:invertIfNegative val="0"/>
            <c:bubble3D val="0"/>
            <c:spPr>
              <a:solidFill>
                <a:srgbClr val="FFFF00"/>
              </a:solidFill>
              <a:ln>
                <a:solidFill>
                  <a:prstClr val="black"/>
                </a:solidFill>
              </a:ln>
            </c:spPr>
            <c:extLst>
              <c:ext xmlns:c16="http://schemas.microsoft.com/office/drawing/2014/chart" uri="{C3380CC4-5D6E-409C-BE32-E72D297353CC}">
                <c16:uniqueId val="{0000000D-905D-47D3-90D9-DFDC54E20CF6}"/>
              </c:ext>
            </c:extLst>
          </c:dPt>
          <c:cat>
            <c:strRef>
              <c:f>'Lists-Modules-ChartData'!$DK$32:$DK$59</c:f>
              <c:strCache>
                <c:ptCount val="28"/>
                <c:pt idx="0">
                  <c:v>Less</c:v>
                </c:pt>
                <c:pt idx="1">
                  <c:v>-4.5</c:v>
                </c:pt>
                <c:pt idx="2">
                  <c:v>-4</c:v>
                </c:pt>
                <c:pt idx="3">
                  <c:v>-3.5</c:v>
                </c:pt>
                <c:pt idx="4">
                  <c:v>-3</c:v>
                </c:pt>
                <c:pt idx="5">
                  <c:v>-2.5</c:v>
                </c:pt>
                <c:pt idx="6">
                  <c:v>-2</c:v>
                </c:pt>
                <c:pt idx="7">
                  <c:v>-1.5</c:v>
                </c:pt>
                <c:pt idx="8">
                  <c:v>-1</c:v>
                </c:pt>
                <c:pt idx="9">
                  <c:v>-0.5</c:v>
                </c:pt>
                <c:pt idx="10">
                  <c:v>0</c:v>
                </c:pt>
                <c:pt idx="11">
                  <c:v>0.5</c:v>
                </c:pt>
                <c:pt idx="12">
                  <c:v>1</c:v>
                </c:pt>
                <c:pt idx="13">
                  <c:v>1.5</c:v>
                </c:pt>
                <c:pt idx="14">
                  <c:v>2</c:v>
                </c:pt>
                <c:pt idx="15">
                  <c:v>2.5</c:v>
                </c:pt>
                <c:pt idx="16">
                  <c:v>3</c:v>
                </c:pt>
                <c:pt idx="17">
                  <c:v>3.5</c:v>
                </c:pt>
                <c:pt idx="18">
                  <c:v>4</c:v>
                </c:pt>
                <c:pt idx="19">
                  <c:v>4.5</c:v>
                </c:pt>
                <c:pt idx="20">
                  <c:v>5</c:v>
                </c:pt>
                <c:pt idx="21">
                  <c:v>5.5</c:v>
                </c:pt>
                <c:pt idx="22">
                  <c:v>6</c:v>
                </c:pt>
                <c:pt idx="23">
                  <c:v>6.5</c:v>
                </c:pt>
                <c:pt idx="24">
                  <c:v>7</c:v>
                </c:pt>
                <c:pt idx="25">
                  <c:v>7.5</c:v>
                </c:pt>
                <c:pt idx="26">
                  <c:v>8</c:v>
                </c:pt>
                <c:pt idx="27">
                  <c:v>More</c:v>
                </c:pt>
              </c:strCache>
            </c:strRef>
          </c:cat>
          <c:val>
            <c:numRef>
              <c:f>'Lists-Modules-ChartData'!$DN$32:$DN$59</c:f>
              <c:numCache>
                <c:formatCode>0.00</c:formatCode>
                <c:ptCount val="28"/>
                <c:pt idx="0">
                  <c:v>8.4474885844748862</c:v>
                </c:pt>
                <c:pt idx="1">
                  <c:v>1.8264840182648401</c:v>
                </c:pt>
                <c:pt idx="2">
                  <c:v>1.5981735159817352</c:v>
                </c:pt>
                <c:pt idx="3">
                  <c:v>3.1963470319634704</c:v>
                </c:pt>
                <c:pt idx="4">
                  <c:v>1.1415525114155249</c:v>
                </c:pt>
                <c:pt idx="5">
                  <c:v>3.4246575342465753</c:v>
                </c:pt>
                <c:pt idx="6">
                  <c:v>2.5114155251141552</c:v>
                </c:pt>
                <c:pt idx="7">
                  <c:v>3.6529680365296802</c:v>
                </c:pt>
                <c:pt idx="8">
                  <c:v>7.077625570776255</c:v>
                </c:pt>
                <c:pt idx="9">
                  <c:v>4.5662100456620998</c:v>
                </c:pt>
                <c:pt idx="10">
                  <c:v>5.93607305936073</c:v>
                </c:pt>
                <c:pt idx="11">
                  <c:v>7.9908675799086755</c:v>
                </c:pt>
                <c:pt idx="12">
                  <c:v>6.1643835616438354</c:v>
                </c:pt>
                <c:pt idx="13">
                  <c:v>8.9041095890410951</c:v>
                </c:pt>
                <c:pt idx="14">
                  <c:v>5.4794520547945202</c:v>
                </c:pt>
                <c:pt idx="15">
                  <c:v>5.0228310502283104</c:v>
                </c:pt>
                <c:pt idx="16">
                  <c:v>2.5114155251141552</c:v>
                </c:pt>
                <c:pt idx="17">
                  <c:v>2.968036529680365</c:v>
                </c:pt>
                <c:pt idx="18">
                  <c:v>2.968036529680365</c:v>
                </c:pt>
                <c:pt idx="19">
                  <c:v>3.1963470319634704</c:v>
                </c:pt>
                <c:pt idx="20">
                  <c:v>2.7397260273972601</c:v>
                </c:pt>
                <c:pt idx="21">
                  <c:v>1.5981735159817352</c:v>
                </c:pt>
                <c:pt idx="22">
                  <c:v>1.1415525114155249</c:v>
                </c:pt>
                <c:pt idx="23">
                  <c:v>0.68493150684931503</c:v>
                </c:pt>
                <c:pt idx="24">
                  <c:v>0.91324200913242004</c:v>
                </c:pt>
                <c:pt idx="25">
                  <c:v>0.91324200913242004</c:v>
                </c:pt>
                <c:pt idx="26">
                  <c:v>1.1415525114155249</c:v>
                </c:pt>
                <c:pt idx="27">
                  <c:v>2.2831050228310499</c:v>
                </c:pt>
              </c:numCache>
            </c:numRef>
          </c:val>
          <c:extLst>
            <c:ext xmlns:c16="http://schemas.microsoft.com/office/drawing/2014/chart" uri="{C3380CC4-5D6E-409C-BE32-E72D297353CC}">
              <c16:uniqueId val="{0000000E-905D-47D3-90D9-DFDC54E20CF6}"/>
            </c:ext>
          </c:extLst>
        </c:ser>
        <c:dLbls>
          <c:showLegendKey val="0"/>
          <c:showVal val="0"/>
          <c:showCatName val="0"/>
          <c:showSerName val="0"/>
          <c:showPercent val="0"/>
          <c:showBubbleSize val="0"/>
        </c:dLbls>
        <c:gapWidth val="0"/>
        <c:axId val="545947616"/>
        <c:axId val="545953496"/>
      </c:barChart>
      <c:scatterChart>
        <c:scatterStyle val="lineMarker"/>
        <c:varyColors val="0"/>
        <c:ser>
          <c:idx val="1"/>
          <c:order val="1"/>
          <c:tx>
            <c:strRef>
              <c:f>'Lists-Modules-ChartData'!$DL$24</c:f>
              <c:strCache>
                <c:ptCount val="1"/>
                <c:pt idx="0">
                  <c:v>Latvia</c:v>
                </c:pt>
              </c:strCache>
            </c:strRef>
          </c:tx>
          <c:spPr>
            <a:ln w="28575">
              <a:noFill/>
            </a:ln>
          </c:spPr>
          <c:marker>
            <c:symbol val="diamond"/>
            <c:size val="10"/>
            <c:spPr>
              <a:solidFill>
                <a:srgbClr val="FF0000"/>
              </a:solidFill>
              <a:ln>
                <a:solidFill>
                  <a:schemeClr val="tx1"/>
                </a:solidFill>
              </a:ln>
            </c:spPr>
          </c:marker>
          <c:xVal>
            <c:numRef>
              <c:f>'Lists-Modules-ChartData'!$DM$25</c:f>
              <c:numCache>
                <c:formatCode>0</c:formatCode>
                <c:ptCount val="1"/>
                <c:pt idx="0">
                  <c:v>13</c:v>
                </c:pt>
              </c:numCache>
            </c:numRef>
          </c:xVal>
          <c:yVal>
            <c:numRef>
              <c:f>'Lists-Modules-ChartData'!$DM$26</c:f>
              <c:numCache>
                <c:formatCode>0.00</c:formatCode>
                <c:ptCount val="1"/>
                <c:pt idx="0">
                  <c:v>6.1643835616438354</c:v>
                </c:pt>
              </c:numCache>
            </c:numRef>
          </c:yVal>
          <c:smooth val="0"/>
          <c:extLst>
            <c:ext xmlns:c16="http://schemas.microsoft.com/office/drawing/2014/chart" uri="{C3380CC4-5D6E-409C-BE32-E72D297353CC}">
              <c16:uniqueId val="{0000000F-905D-47D3-90D9-DFDC54E20CF6}"/>
            </c:ext>
          </c:extLst>
        </c:ser>
        <c:dLbls>
          <c:showLegendKey val="0"/>
          <c:showVal val="0"/>
          <c:showCatName val="0"/>
          <c:showSerName val="0"/>
          <c:showPercent val="0"/>
          <c:showBubbleSize val="0"/>
        </c:dLbls>
        <c:axId val="545947616"/>
        <c:axId val="545953496"/>
      </c:scatterChart>
      <c:catAx>
        <c:axId val="545947616"/>
        <c:scaling>
          <c:orientation val="minMax"/>
        </c:scaling>
        <c:delete val="0"/>
        <c:axPos val="b"/>
        <c:numFmt formatCode="General" sourceLinked="1"/>
        <c:majorTickMark val="out"/>
        <c:minorTickMark val="none"/>
        <c:tickLblPos val="nextTo"/>
        <c:txPr>
          <a:bodyPr rot="-5400000" vert="horz"/>
          <a:lstStyle/>
          <a:p>
            <a:pPr>
              <a:defRPr sz="1200">
                <a:latin typeface="Segoe UI" pitchFamily="34" charset="0"/>
                <a:ea typeface="Segoe UI" pitchFamily="34" charset="0"/>
                <a:cs typeface="Segoe UI" pitchFamily="34" charset="0"/>
              </a:defRPr>
            </a:pPr>
            <a:endParaRPr lang="en-US"/>
          </a:p>
        </c:txPr>
        <c:crossAx val="545953496"/>
        <c:crosses val="autoZero"/>
        <c:auto val="1"/>
        <c:lblAlgn val="ctr"/>
        <c:lblOffset val="100"/>
        <c:noMultiLvlLbl val="0"/>
      </c:catAx>
      <c:valAx>
        <c:axId val="545953496"/>
        <c:scaling>
          <c:orientation val="minMax"/>
          <c:max val="14"/>
        </c:scaling>
        <c:delete val="0"/>
        <c:axPos val="l"/>
        <c:numFmt formatCode="0" sourceLinked="0"/>
        <c:majorTickMark val="out"/>
        <c:minorTickMark val="none"/>
        <c:tickLblPos val="nextTo"/>
        <c:txPr>
          <a:bodyPr/>
          <a:lstStyle/>
          <a:p>
            <a:pPr>
              <a:defRPr sz="1200">
                <a:latin typeface="Segoe UI" pitchFamily="34" charset="0"/>
                <a:ea typeface="Segoe UI" pitchFamily="34" charset="0"/>
                <a:cs typeface="Segoe UI" pitchFamily="34" charset="0"/>
              </a:defRPr>
            </a:pPr>
            <a:endParaRPr lang="en-US"/>
          </a:p>
        </c:txPr>
        <c:crossAx val="545947616"/>
        <c:crosses val="autoZero"/>
        <c:crossBetween val="between"/>
      </c:valAx>
      <c:spPr>
        <a:ln>
          <a:solidFill>
            <a:sysClr val="window" lastClr="FFFFFF">
              <a:lumMod val="50000"/>
            </a:sysClr>
          </a:solidFill>
        </a:ln>
      </c:spPr>
    </c:plotArea>
    <c:legend>
      <c:legendPos val="l"/>
      <c:layout>
        <c:manualLayout>
          <c:xMode val="edge"/>
          <c:yMode val="edge"/>
          <c:x val="8.1249231709784639E-2"/>
          <c:y val="0.22451984185940058"/>
          <c:w val="0.26382256340411714"/>
          <c:h val="0.12163153333948352"/>
        </c:manualLayout>
      </c:layout>
      <c:overlay val="1"/>
      <c:txPr>
        <a:bodyPr/>
        <a:lstStyle/>
        <a:p>
          <a:pPr>
            <a:defRPr sz="1100">
              <a:latin typeface="Segoe UI" pitchFamily="34" charset="0"/>
              <a:ea typeface="Segoe UI" pitchFamily="34" charset="0"/>
              <a:cs typeface="Segoe UI" pitchFamily="34" charset="0"/>
            </a:defRPr>
          </a:pPr>
          <a:endParaRPr lang="en-U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c:printSettings>
  <c:userShapes r:id="rId1"/>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71649774582598E-2"/>
          <c:y val="0.224594879328324"/>
          <c:w val="0.88073778146554649"/>
          <c:h val="0.64130255776851464"/>
        </c:manualLayout>
      </c:layout>
      <c:barChart>
        <c:barDir val="col"/>
        <c:grouping val="clustered"/>
        <c:varyColors val="0"/>
        <c:ser>
          <c:idx val="0"/>
          <c:order val="0"/>
          <c:tx>
            <c:strRef>
              <c:f>'Lists-Modules-ChartData'!$DH$29</c:f>
              <c:strCache>
                <c:ptCount val="1"/>
                <c:pt idx="0">
                  <c:v>Distribution 4/</c:v>
                </c:pt>
              </c:strCache>
            </c:strRef>
          </c:tx>
          <c:spPr>
            <a:solidFill>
              <a:schemeClr val="accent5">
                <a:lumMod val="40000"/>
                <a:lumOff val="60000"/>
              </a:schemeClr>
            </a:solidFill>
            <a:ln>
              <a:solidFill>
                <a:prstClr val="black"/>
              </a:solidFill>
            </a:ln>
          </c:spPr>
          <c:invertIfNegative val="0"/>
          <c:dPt>
            <c:idx val="18"/>
            <c:invertIfNegative val="0"/>
            <c:bubble3D val="0"/>
            <c:spPr>
              <a:solidFill>
                <a:srgbClr val="FFFF00"/>
              </a:solidFill>
              <a:ln>
                <a:solidFill>
                  <a:prstClr val="black"/>
                </a:solidFill>
              </a:ln>
            </c:spPr>
            <c:extLst>
              <c:ext xmlns:c16="http://schemas.microsoft.com/office/drawing/2014/chart" uri="{C3380CC4-5D6E-409C-BE32-E72D297353CC}">
                <c16:uniqueId val="{00000000-3863-4649-9540-279526206E8C}"/>
              </c:ext>
            </c:extLst>
          </c:dPt>
          <c:dPt>
            <c:idx val="19"/>
            <c:invertIfNegative val="0"/>
            <c:bubble3D val="0"/>
            <c:spPr>
              <a:solidFill>
                <a:srgbClr val="FFFF00"/>
              </a:solidFill>
              <a:ln>
                <a:solidFill>
                  <a:prstClr val="black"/>
                </a:solidFill>
              </a:ln>
            </c:spPr>
            <c:extLst>
              <c:ext xmlns:c16="http://schemas.microsoft.com/office/drawing/2014/chart" uri="{C3380CC4-5D6E-409C-BE32-E72D297353CC}">
                <c16:uniqueId val="{00000001-3863-4649-9540-279526206E8C}"/>
              </c:ext>
            </c:extLst>
          </c:dPt>
          <c:dPt>
            <c:idx val="20"/>
            <c:invertIfNegative val="0"/>
            <c:bubble3D val="0"/>
            <c:spPr>
              <a:solidFill>
                <a:srgbClr val="FFFF00"/>
              </a:solidFill>
              <a:ln>
                <a:solidFill>
                  <a:prstClr val="black"/>
                </a:solidFill>
              </a:ln>
            </c:spPr>
            <c:extLst>
              <c:ext xmlns:c16="http://schemas.microsoft.com/office/drawing/2014/chart" uri="{C3380CC4-5D6E-409C-BE32-E72D297353CC}">
                <c16:uniqueId val="{00000002-3863-4649-9540-279526206E8C}"/>
              </c:ext>
            </c:extLst>
          </c:dPt>
          <c:dPt>
            <c:idx val="21"/>
            <c:invertIfNegative val="0"/>
            <c:bubble3D val="0"/>
            <c:spPr>
              <a:solidFill>
                <a:srgbClr val="FFFF00"/>
              </a:solidFill>
              <a:ln>
                <a:solidFill>
                  <a:prstClr val="black"/>
                </a:solidFill>
              </a:ln>
            </c:spPr>
            <c:extLst>
              <c:ext xmlns:c16="http://schemas.microsoft.com/office/drawing/2014/chart" uri="{C3380CC4-5D6E-409C-BE32-E72D297353CC}">
                <c16:uniqueId val="{00000003-3863-4649-9540-279526206E8C}"/>
              </c:ext>
            </c:extLst>
          </c:dPt>
          <c:dPt>
            <c:idx val="22"/>
            <c:invertIfNegative val="0"/>
            <c:bubble3D val="0"/>
            <c:spPr>
              <a:solidFill>
                <a:srgbClr val="FFFF00"/>
              </a:solidFill>
              <a:ln>
                <a:solidFill>
                  <a:prstClr val="black"/>
                </a:solidFill>
              </a:ln>
            </c:spPr>
            <c:extLst>
              <c:ext xmlns:c16="http://schemas.microsoft.com/office/drawing/2014/chart" uri="{C3380CC4-5D6E-409C-BE32-E72D297353CC}">
                <c16:uniqueId val="{00000004-3863-4649-9540-279526206E8C}"/>
              </c:ext>
            </c:extLst>
          </c:dPt>
          <c:dPt>
            <c:idx val="23"/>
            <c:invertIfNegative val="0"/>
            <c:bubble3D val="0"/>
            <c:spPr>
              <a:solidFill>
                <a:srgbClr val="FFFF00"/>
              </a:solidFill>
              <a:ln>
                <a:solidFill>
                  <a:prstClr val="black"/>
                </a:solidFill>
              </a:ln>
            </c:spPr>
            <c:extLst>
              <c:ext xmlns:c16="http://schemas.microsoft.com/office/drawing/2014/chart" uri="{C3380CC4-5D6E-409C-BE32-E72D297353CC}">
                <c16:uniqueId val="{00000005-3863-4649-9540-279526206E8C}"/>
              </c:ext>
            </c:extLst>
          </c:dPt>
          <c:dPt>
            <c:idx val="24"/>
            <c:invertIfNegative val="0"/>
            <c:bubble3D val="0"/>
            <c:spPr>
              <a:solidFill>
                <a:srgbClr val="FFFF00"/>
              </a:solidFill>
              <a:ln>
                <a:solidFill>
                  <a:prstClr val="black"/>
                </a:solidFill>
              </a:ln>
            </c:spPr>
            <c:extLst>
              <c:ext xmlns:c16="http://schemas.microsoft.com/office/drawing/2014/chart" uri="{C3380CC4-5D6E-409C-BE32-E72D297353CC}">
                <c16:uniqueId val="{00000006-3863-4649-9540-279526206E8C}"/>
              </c:ext>
            </c:extLst>
          </c:dPt>
          <c:dPt>
            <c:idx val="25"/>
            <c:invertIfNegative val="0"/>
            <c:bubble3D val="0"/>
            <c:spPr>
              <a:solidFill>
                <a:srgbClr val="FFFF00"/>
              </a:solidFill>
              <a:ln>
                <a:solidFill>
                  <a:prstClr val="black"/>
                </a:solidFill>
              </a:ln>
            </c:spPr>
            <c:extLst>
              <c:ext xmlns:c16="http://schemas.microsoft.com/office/drawing/2014/chart" uri="{C3380CC4-5D6E-409C-BE32-E72D297353CC}">
                <c16:uniqueId val="{00000007-3863-4649-9540-279526206E8C}"/>
              </c:ext>
            </c:extLst>
          </c:dPt>
          <c:dPt>
            <c:idx val="26"/>
            <c:invertIfNegative val="0"/>
            <c:bubble3D val="0"/>
            <c:spPr>
              <a:solidFill>
                <a:srgbClr val="FFFF00"/>
              </a:solidFill>
              <a:ln>
                <a:solidFill>
                  <a:prstClr val="black"/>
                </a:solidFill>
              </a:ln>
            </c:spPr>
            <c:extLst>
              <c:ext xmlns:c16="http://schemas.microsoft.com/office/drawing/2014/chart" uri="{C3380CC4-5D6E-409C-BE32-E72D297353CC}">
                <c16:uniqueId val="{00000008-3863-4649-9540-279526206E8C}"/>
              </c:ext>
            </c:extLst>
          </c:dPt>
          <c:dPt>
            <c:idx val="27"/>
            <c:invertIfNegative val="0"/>
            <c:bubble3D val="0"/>
            <c:spPr>
              <a:solidFill>
                <a:srgbClr val="FFFF00"/>
              </a:solidFill>
              <a:ln>
                <a:solidFill>
                  <a:prstClr val="black"/>
                </a:solidFill>
              </a:ln>
            </c:spPr>
            <c:extLst>
              <c:ext xmlns:c16="http://schemas.microsoft.com/office/drawing/2014/chart" uri="{C3380CC4-5D6E-409C-BE32-E72D297353CC}">
                <c16:uniqueId val="{00000009-3863-4649-9540-279526206E8C}"/>
              </c:ext>
            </c:extLst>
          </c:dPt>
          <c:cat>
            <c:strRef>
              <c:f>'Lists-Modules-ChartData'!$DF$32:$DF$59</c:f>
              <c:strCache>
                <c:ptCount val="28"/>
                <c:pt idx="0">
                  <c:v>Less</c:v>
                </c:pt>
                <c:pt idx="1">
                  <c:v>-4.5</c:v>
                </c:pt>
                <c:pt idx="2">
                  <c:v>-4</c:v>
                </c:pt>
                <c:pt idx="3">
                  <c:v>-3.5</c:v>
                </c:pt>
                <c:pt idx="4">
                  <c:v>-3</c:v>
                </c:pt>
                <c:pt idx="5">
                  <c:v>-2.5</c:v>
                </c:pt>
                <c:pt idx="6">
                  <c:v>-2</c:v>
                </c:pt>
                <c:pt idx="7">
                  <c:v>-1.5</c:v>
                </c:pt>
                <c:pt idx="8">
                  <c:v>-1</c:v>
                </c:pt>
                <c:pt idx="9">
                  <c:v>-0.5</c:v>
                </c:pt>
                <c:pt idx="10">
                  <c:v>0</c:v>
                </c:pt>
                <c:pt idx="11">
                  <c:v>0.5</c:v>
                </c:pt>
                <c:pt idx="12">
                  <c:v>1</c:v>
                </c:pt>
                <c:pt idx="13">
                  <c:v>1.5</c:v>
                </c:pt>
                <c:pt idx="14">
                  <c:v>2</c:v>
                </c:pt>
                <c:pt idx="15">
                  <c:v>2.5</c:v>
                </c:pt>
                <c:pt idx="16">
                  <c:v>3</c:v>
                </c:pt>
                <c:pt idx="17">
                  <c:v>3.5</c:v>
                </c:pt>
                <c:pt idx="18">
                  <c:v>4</c:v>
                </c:pt>
                <c:pt idx="19">
                  <c:v>4.5</c:v>
                </c:pt>
                <c:pt idx="20">
                  <c:v>5</c:v>
                </c:pt>
                <c:pt idx="21">
                  <c:v>5.5</c:v>
                </c:pt>
                <c:pt idx="22">
                  <c:v>6</c:v>
                </c:pt>
                <c:pt idx="23">
                  <c:v>6.5</c:v>
                </c:pt>
                <c:pt idx="24">
                  <c:v>7</c:v>
                </c:pt>
                <c:pt idx="25">
                  <c:v>7.5</c:v>
                </c:pt>
                <c:pt idx="26">
                  <c:v>8</c:v>
                </c:pt>
                <c:pt idx="27">
                  <c:v>More</c:v>
                </c:pt>
              </c:strCache>
            </c:strRef>
          </c:cat>
          <c:val>
            <c:numRef>
              <c:f>'Lists-Modules-ChartData'!$DI$32:$DI$59</c:f>
              <c:numCache>
                <c:formatCode>0.00</c:formatCode>
                <c:ptCount val="28"/>
                <c:pt idx="0">
                  <c:v>2.7088036117381491</c:v>
                </c:pt>
                <c:pt idx="1">
                  <c:v>0.67720090293453727</c:v>
                </c:pt>
                <c:pt idx="2">
                  <c:v>2.0316027088036117</c:v>
                </c:pt>
                <c:pt idx="3">
                  <c:v>2.9345372460496613</c:v>
                </c:pt>
                <c:pt idx="4">
                  <c:v>1.8058690744920991</c:v>
                </c:pt>
                <c:pt idx="5">
                  <c:v>3.1602708803611739</c:v>
                </c:pt>
                <c:pt idx="6">
                  <c:v>2.0316027088036117</c:v>
                </c:pt>
                <c:pt idx="7">
                  <c:v>4.0632054176072234</c:v>
                </c:pt>
                <c:pt idx="8">
                  <c:v>4.966139954853273</c:v>
                </c:pt>
                <c:pt idx="9">
                  <c:v>2.9345372460496613</c:v>
                </c:pt>
                <c:pt idx="10">
                  <c:v>3.3860045146726865</c:v>
                </c:pt>
                <c:pt idx="11">
                  <c:v>3.8374717832957108</c:v>
                </c:pt>
                <c:pt idx="12">
                  <c:v>5.1918735891647856</c:v>
                </c:pt>
                <c:pt idx="13">
                  <c:v>6.772009029345373</c:v>
                </c:pt>
                <c:pt idx="14">
                  <c:v>6.3205417607223477</c:v>
                </c:pt>
                <c:pt idx="15">
                  <c:v>5.8690744920993225</c:v>
                </c:pt>
                <c:pt idx="16">
                  <c:v>7.2234762979683964</c:v>
                </c:pt>
                <c:pt idx="17">
                  <c:v>6.3205417607223477</c:v>
                </c:pt>
                <c:pt idx="18">
                  <c:v>5.6433408577878108</c:v>
                </c:pt>
                <c:pt idx="19">
                  <c:v>5.6433408577878108</c:v>
                </c:pt>
                <c:pt idx="20">
                  <c:v>2.9345372460496613</c:v>
                </c:pt>
                <c:pt idx="21">
                  <c:v>3.8374717832957108</c:v>
                </c:pt>
                <c:pt idx="22">
                  <c:v>2.2573363431151243</c:v>
                </c:pt>
                <c:pt idx="23">
                  <c:v>2.4830699774266365</c:v>
                </c:pt>
                <c:pt idx="24">
                  <c:v>1.8058690744920991</c:v>
                </c:pt>
                <c:pt idx="25">
                  <c:v>0.90293453724604955</c:v>
                </c:pt>
                <c:pt idx="26">
                  <c:v>0.22573363431151239</c:v>
                </c:pt>
                <c:pt idx="27">
                  <c:v>2.0316027088036117</c:v>
                </c:pt>
              </c:numCache>
            </c:numRef>
          </c:val>
          <c:extLst>
            <c:ext xmlns:c16="http://schemas.microsoft.com/office/drawing/2014/chart" uri="{C3380CC4-5D6E-409C-BE32-E72D297353CC}">
              <c16:uniqueId val="{0000000A-3863-4649-9540-279526206E8C}"/>
            </c:ext>
          </c:extLst>
        </c:ser>
        <c:dLbls>
          <c:showLegendKey val="0"/>
          <c:showVal val="0"/>
          <c:showCatName val="0"/>
          <c:showSerName val="0"/>
          <c:showPercent val="0"/>
          <c:showBubbleSize val="0"/>
        </c:dLbls>
        <c:gapWidth val="0"/>
        <c:axId val="545955064"/>
        <c:axId val="545953888"/>
      </c:barChart>
      <c:scatterChart>
        <c:scatterStyle val="lineMarker"/>
        <c:varyColors val="0"/>
        <c:ser>
          <c:idx val="1"/>
          <c:order val="1"/>
          <c:tx>
            <c:strRef>
              <c:f>'Lists-Modules-ChartData'!$DG$24</c:f>
              <c:strCache>
                <c:ptCount val="1"/>
                <c:pt idx="0">
                  <c:v>Latvia</c:v>
                </c:pt>
              </c:strCache>
            </c:strRef>
          </c:tx>
          <c:spPr>
            <a:ln w="28575">
              <a:noFill/>
            </a:ln>
          </c:spPr>
          <c:marker>
            <c:symbol val="diamond"/>
            <c:size val="10"/>
            <c:spPr>
              <a:solidFill>
                <a:srgbClr val="FF0000"/>
              </a:solidFill>
              <a:ln>
                <a:solidFill>
                  <a:schemeClr val="tx1"/>
                </a:solidFill>
              </a:ln>
            </c:spPr>
          </c:marker>
          <c:xVal>
            <c:numRef>
              <c:f>'Lists-Modules-ChartData'!$DH$25</c:f>
              <c:numCache>
                <c:formatCode>0</c:formatCode>
                <c:ptCount val="1"/>
                <c:pt idx="0">
                  <c:v>12</c:v>
                </c:pt>
              </c:numCache>
            </c:numRef>
          </c:xVal>
          <c:yVal>
            <c:numRef>
              <c:f>'Lists-Modules-ChartData'!$DH$26</c:f>
              <c:numCache>
                <c:formatCode>0.00</c:formatCode>
                <c:ptCount val="1"/>
                <c:pt idx="0">
                  <c:v>3.8374717832957108</c:v>
                </c:pt>
              </c:numCache>
            </c:numRef>
          </c:yVal>
          <c:smooth val="0"/>
          <c:extLst>
            <c:ext xmlns:c16="http://schemas.microsoft.com/office/drawing/2014/chart" uri="{C3380CC4-5D6E-409C-BE32-E72D297353CC}">
              <c16:uniqueId val="{0000000B-3863-4649-9540-279526206E8C}"/>
            </c:ext>
          </c:extLst>
        </c:ser>
        <c:dLbls>
          <c:showLegendKey val="0"/>
          <c:showVal val="0"/>
          <c:showCatName val="0"/>
          <c:showSerName val="0"/>
          <c:showPercent val="0"/>
          <c:showBubbleSize val="0"/>
        </c:dLbls>
        <c:axId val="545955064"/>
        <c:axId val="545953888"/>
      </c:scatterChart>
      <c:catAx>
        <c:axId val="545955064"/>
        <c:scaling>
          <c:orientation val="minMax"/>
        </c:scaling>
        <c:delete val="0"/>
        <c:axPos val="b"/>
        <c:numFmt formatCode="General" sourceLinked="0"/>
        <c:majorTickMark val="out"/>
        <c:minorTickMark val="none"/>
        <c:tickLblPos val="nextTo"/>
        <c:txPr>
          <a:bodyPr rot="-5400000" vert="horz"/>
          <a:lstStyle/>
          <a:p>
            <a:pPr>
              <a:defRPr sz="1200">
                <a:latin typeface="Segoe UI" pitchFamily="34" charset="0"/>
                <a:ea typeface="Segoe UI" pitchFamily="34" charset="0"/>
                <a:cs typeface="Segoe UI" pitchFamily="34" charset="0"/>
              </a:defRPr>
            </a:pPr>
            <a:endParaRPr lang="en-US"/>
          </a:p>
        </c:txPr>
        <c:crossAx val="545953888"/>
        <c:crosses val="autoZero"/>
        <c:auto val="1"/>
        <c:lblAlgn val="ctr"/>
        <c:lblOffset val="100"/>
        <c:noMultiLvlLbl val="0"/>
      </c:catAx>
      <c:valAx>
        <c:axId val="545953888"/>
        <c:scaling>
          <c:orientation val="minMax"/>
          <c:max val="12"/>
        </c:scaling>
        <c:delete val="0"/>
        <c:axPos val="l"/>
        <c:numFmt formatCode="#,##0" sourceLinked="0"/>
        <c:majorTickMark val="out"/>
        <c:minorTickMark val="none"/>
        <c:tickLblPos val="nextTo"/>
        <c:txPr>
          <a:bodyPr/>
          <a:lstStyle/>
          <a:p>
            <a:pPr>
              <a:defRPr sz="1200">
                <a:latin typeface="Segoe UI" pitchFamily="34" charset="0"/>
                <a:ea typeface="Segoe UI" pitchFamily="34" charset="0"/>
                <a:cs typeface="Segoe UI" pitchFamily="34" charset="0"/>
              </a:defRPr>
            </a:pPr>
            <a:endParaRPr lang="en-US"/>
          </a:p>
        </c:txPr>
        <c:crossAx val="545955064"/>
        <c:crosses val="autoZero"/>
        <c:crossBetween val="between"/>
      </c:valAx>
      <c:spPr>
        <a:ln>
          <a:solidFill>
            <a:schemeClr val="bg1">
              <a:lumMod val="50000"/>
            </a:schemeClr>
          </a:solidFill>
        </a:ln>
      </c:spPr>
    </c:plotArea>
    <c:legend>
      <c:legendPos val="l"/>
      <c:layout>
        <c:manualLayout>
          <c:xMode val="edge"/>
          <c:yMode val="edge"/>
          <c:x val="8.1539257422316186E-2"/>
          <c:y val="0.22896987018497394"/>
          <c:w val="0.25480636696257242"/>
          <c:h val="0.12083530562894428"/>
        </c:manualLayout>
      </c:layout>
      <c:overlay val="1"/>
      <c:txPr>
        <a:bodyPr/>
        <a:lstStyle/>
        <a:p>
          <a:pPr>
            <a:defRPr sz="1100">
              <a:latin typeface="Segoe UI" pitchFamily="34" charset="0"/>
              <a:ea typeface="Segoe UI" pitchFamily="34" charset="0"/>
              <a:cs typeface="Segoe UI" pitchFamily="34" charset="0"/>
            </a:defRPr>
          </a:pPr>
          <a:endParaRPr lang="en-U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'Lists-Modules-ChartData'!$AD$3</c:f>
          <c:strCache>
            <c:ptCount val="1"/>
            <c:pt idx="0">
              <c:v>Gross Nominal Public Debt</c:v>
            </c:pt>
          </c:strCache>
        </c:strRef>
      </c:tx>
      <c:layout>
        <c:manualLayout>
          <c:xMode val="edge"/>
          <c:yMode val="edge"/>
          <c:x val="2.6718248760571616E-2"/>
          <c:y val="7.8145267904428523E-3"/>
        </c:manualLayout>
      </c:layout>
      <c:overlay val="0"/>
      <c:txPr>
        <a:bodyPr/>
        <a:lstStyle/>
        <a:p>
          <a:pPr>
            <a:defRPr sz="1600" b="1">
              <a:solidFill>
                <a:sysClr val="windowText" lastClr="000000"/>
              </a:solidFill>
              <a:latin typeface="Segoe UI"/>
            </a:defRPr>
          </a:pPr>
          <a:endParaRPr lang="en-US"/>
        </a:p>
      </c:txPr>
    </c:title>
    <c:autoTitleDeleted val="0"/>
    <c:plotArea>
      <c:layout>
        <c:manualLayout>
          <c:layoutTarget val="inner"/>
          <c:xMode val="edge"/>
          <c:yMode val="edge"/>
          <c:x val="0.13033629344937744"/>
          <c:y val="0.18443845835061462"/>
          <c:w val="0.80477380431613565"/>
          <c:h val="0.71236063118009563"/>
        </c:manualLayout>
      </c:layout>
      <c:lineChart>
        <c:grouping val="standard"/>
        <c:varyColors val="0"/>
        <c:ser>
          <c:idx val="0"/>
          <c:order val="0"/>
          <c:tx>
            <c:strRef>
              <c:f>'Lists-Modules-ChartData'!$AQ$80</c:f>
              <c:strCache>
                <c:ptCount val="1"/>
                <c:pt idx="0">
                  <c:v>Baseline</c:v>
                </c:pt>
              </c:strCache>
            </c:strRef>
          </c:tx>
          <c:spPr>
            <a:ln w="31750">
              <a:solidFill>
                <a:srgbClr val="0070C0"/>
              </a:solidFill>
              <a:prstDash val="solid"/>
            </a:ln>
            <a:effectLst/>
          </c:spPr>
          <c:marker>
            <c:symbol val="none"/>
          </c:marker>
          <c:cat>
            <c:numRef>
              <c:f>'Lists-Modules-ChartData'!$AT$78:$AY$78</c:f>
              <c:numCache>
                <c:formatCode>General</c:formatCode>
                <c:ptCount val="6"/>
                <c:pt idx="0">
                  <c:v>2018</c:v>
                </c:pt>
                <c:pt idx="1">
                  <c:v>2019</c:v>
                </c:pt>
                <c:pt idx="2">
                  <c:v>2020</c:v>
                </c:pt>
                <c:pt idx="3">
                  <c:v>2021</c:v>
                </c:pt>
                <c:pt idx="4">
                  <c:v>2022</c:v>
                </c:pt>
                <c:pt idx="5">
                  <c:v>2023</c:v>
                </c:pt>
              </c:numCache>
            </c:numRef>
          </c:cat>
          <c:val>
            <c:numRef>
              <c:f>'Lists-Modules-ChartData'!$AT$81:$AY$81</c:f>
              <c:numCache>
                <c:formatCode>0.0</c:formatCode>
                <c:ptCount val="6"/>
                <c:pt idx="0">
                  <c:v>37.084342131638088</c:v>
                </c:pt>
                <c:pt idx="1">
                  <c:v>35.351552504862923</c:v>
                </c:pt>
                <c:pt idx="2">
                  <c:v>33.542090376828199</c:v>
                </c:pt>
                <c:pt idx="3">
                  <c:v>32.056160655910695</c:v>
                </c:pt>
                <c:pt idx="4">
                  <c:v>29.915873102736189</c:v>
                </c:pt>
                <c:pt idx="5">
                  <c:v>27.903074435380589</c:v>
                </c:pt>
              </c:numCache>
            </c:numRef>
          </c:val>
          <c:smooth val="0"/>
          <c:extLst>
            <c:ext xmlns:c16="http://schemas.microsoft.com/office/drawing/2014/chart" uri="{C3380CC4-5D6E-409C-BE32-E72D297353CC}">
              <c16:uniqueId val="{00000000-A838-4562-BC04-641217689D40}"/>
            </c:ext>
          </c:extLst>
        </c:ser>
        <c:ser>
          <c:idx val="1"/>
          <c:order val="1"/>
          <c:tx>
            <c:strRef>
              <c:f>'Lists-Modules-ChartData'!$AQ$90</c:f>
              <c:strCache>
                <c:ptCount val="1"/>
                <c:pt idx="0">
                  <c:v>Primary Balance Shock</c:v>
                </c:pt>
              </c:strCache>
            </c:strRef>
          </c:tx>
          <c:spPr>
            <a:ln w="31750">
              <a:solidFill>
                <a:srgbClr val="FFC000"/>
              </a:solidFill>
              <a:prstDash val="solid"/>
            </a:ln>
            <a:effectLst/>
          </c:spPr>
          <c:marker>
            <c:symbol val="none"/>
          </c:marker>
          <c:cat>
            <c:numRef>
              <c:f>'Lists-Modules-ChartData'!$AT$78:$AY$78</c:f>
              <c:numCache>
                <c:formatCode>General</c:formatCode>
                <c:ptCount val="6"/>
                <c:pt idx="0">
                  <c:v>2018</c:v>
                </c:pt>
                <c:pt idx="1">
                  <c:v>2019</c:v>
                </c:pt>
                <c:pt idx="2">
                  <c:v>2020</c:v>
                </c:pt>
                <c:pt idx="3">
                  <c:v>2021</c:v>
                </c:pt>
                <c:pt idx="4">
                  <c:v>2022</c:v>
                </c:pt>
                <c:pt idx="5">
                  <c:v>2023</c:v>
                </c:pt>
              </c:numCache>
            </c:numRef>
          </c:cat>
          <c:val>
            <c:numRef>
              <c:f>'Lists-Modules-ChartData'!$AT$91:$AY$91</c:f>
              <c:numCache>
                <c:formatCode>0.0</c:formatCode>
                <c:ptCount val="6"/>
                <c:pt idx="0">
                  <c:v>37.094606570883371</c:v>
                </c:pt>
                <c:pt idx="1">
                  <c:v>38.214400364463955</c:v>
                </c:pt>
                <c:pt idx="2">
                  <c:v>38.918983896573437</c:v>
                </c:pt>
                <c:pt idx="3">
                  <c:v>37.610365701816015</c:v>
                </c:pt>
                <c:pt idx="4">
                  <c:v>36.469134459946503</c:v>
                </c:pt>
                <c:pt idx="5">
                  <c:v>35.393780598028229</c:v>
                </c:pt>
              </c:numCache>
            </c:numRef>
          </c:val>
          <c:smooth val="0"/>
          <c:extLst>
            <c:ext xmlns:c16="http://schemas.microsoft.com/office/drawing/2014/chart" uri="{C3380CC4-5D6E-409C-BE32-E72D297353CC}">
              <c16:uniqueId val="{00000001-A838-4562-BC04-641217689D40}"/>
            </c:ext>
          </c:extLst>
        </c:ser>
        <c:ser>
          <c:idx val="3"/>
          <c:order val="2"/>
          <c:tx>
            <c:strRef>
              <c:f>'Lists-Modules-ChartData'!$AQ$112</c:f>
              <c:strCache>
                <c:ptCount val="1"/>
                <c:pt idx="0">
                  <c:v>Real GDP Growth Shock</c:v>
                </c:pt>
              </c:strCache>
            </c:strRef>
          </c:tx>
          <c:spPr>
            <a:ln w="31750">
              <a:solidFill>
                <a:srgbClr val="FF0000"/>
              </a:solidFill>
              <a:prstDash val="solid"/>
            </a:ln>
            <a:effectLst/>
          </c:spPr>
          <c:marker>
            <c:symbol val="none"/>
          </c:marker>
          <c:cat>
            <c:numRef>
              <c:f>'Lists-Modules-ChartData'!$AT$78:$AY$78</c:f>
              <c:numCache>
                <c:formatCode>General</c:formatCode>
                <c:ptCount val="6"/>
                <c:pt idx="0">
                  <c:v>2018</c:v>
                </c:pt>
                <c:pt idx="1">
                  <c:v>2019</c:v>
                </c:pt>
                <c:pt idx="2">
                  <c:v>2020</c:v>
                </c:pt>
                <c:pt idx="3">
                  <c:v>2021</c:v>
                </c:pt>
                <c:pt idx="4">
                  <c:v>2022</c:v>
                </c:pt>
                <c:pt idx="5">
                  <c:v>2023</c:v>
                </c:pt>
              </c:numCache>
            </c:numRef>
          </c:cat>
          <c:val>
            <c:numRef>
              <c:f>'Lists-Modules-ChartData'!$AT$113:$AY$113</c:f>
              <c:numCache>
                <c:formatCode>0.0</c:formatCode>
                <c:ptCount val="6"/>
                <c:pt idx="0">
                  <c:v>37.094606570883371</c:v>
                </c:pt>
                <c:pt idx="1">
                  <c:v>39.454349298817441</c:v>
                </c:pt>
                <c:pt idx="2">
                  <c:v>41.484540959050896</c:v>
                </c:pt>
                <c:pt idx="3">
                  <c:v>39.976006759244903</c:v>
                </c:pt>
                <c:pt idx="4">
                  <c:v>38.714403333448963</c:v>
                </c:pt>
                <c:pt idx="5">
                  <c:v>37.528723078427156</c:v>
                </c:pt>
              </c:numCache>
            </c:numRef>
          </c:val>
          <c:smooth val="0"/>
          <c:extLst>
            <c:ext xmlns:c16="http://schemas.microsoft.com/office/drawing/2014/chart" uri="{C3380CC4-5D6E-409C-BE32-E72D297353CC}">
              <c16:uniqueId val="{00000002-A838-4562-BC04-641217689D40}"/>
            </c:ext>
          </c:extLst>
        </c:ser>
        <c:ser>
          <c:idx val="2"/>
          <c:order val="3"/>
          <c:tx>
            <c:strRef>
              <c:f>'Lists-Modules-ChartData'!$AQ$100</c:f>
              <c:strCache>
                <c:ptCount val="1"/>
                <c:pt idx="0">
                  <c:v>Real Interest Rate Shock</c:v>
                </c:pt>
              </c:strCache>
            </c:strRef>
          </c:tx>
          <c:spPr>
            <a:ln w="31750">
              <a:solidFill>
                <a:srgbClr val="008000"/>
              </a:solidFill>
              <a:prstDash val="lgDash"/>
            </a:ln>
            <a:effectLst/>
          </c:spPr>
          <c:marker>
            <c:symbol val="none"/>
          </c:marker>
          <c:cat>
            <c:numRef>
              <c:f>'Lists-Modules-ChartData'!$AT$78:$AY$78</c:f>
              <c:numCache>
                <c:formatCode>General</c:formatCode>
                <c:ptCount val="6"/>
                <c:pt idx="0">
                  <c:v>2018</c:v>
                </c:pt>
                <c:pt idx="1">
                  <c:v>2019</c:v>
                </c:pt>
                <c:pt idx="2">
                  <c:v>2020</c:v>
                </c:pt>
                <c:pt idx="3">
                  <c:v>2021</c:v>
                </c:pt>
                <c:pt idx="4">
                  <c:v>2022</c:v>
                </c:pt>
                <c:pt idx="5">
                  <c:v>2023</c:v>
                </c:pt>
              </c:numCache>
            </c:numRef>
          </c:cat>
          <c:val>
            <c:numRef>
              <c:f>'Lists-Modules-ChartData'!$AT$101:$AY$101</c:f>
              <c:numCache>
                <c:formatCode>0.0</c:formatCode>
                <c:ptCount val="6"/>
                <c:pt idx="0">
                  <c:v>37.094606570883371</c:v>
                </c:pt>
                <c:pt idx="1">
                  <c:v>36.564685698719956</c:v>
                </c:pt>
                <c:pt idx="2">
                  <c:v>36.799396931371355</c:v>
                </c:pt>
                <c:pt idx="3">
                  <c:v>37.665139591309973</c:v>
                </c:pt>
                <c:pt idx="4">
                  <c:v>39.79464642811719</c:v>
                </c:pt>
                <c:pt idx="5">
                  <c:v>42.60683361230204</c:v>
                </c:pt>
              </c:numCache>
            </c:numRef>
          </c:val>
          <c:smooth val="0"/>
          <c:extLst>
            <c:ext xmlns:c16="http://schemas.microsoft.com/office/drawing/2014/chart" uri="{C3380CC4-5D6E-409C-BE32-E72D297353CC}">
              <c16:uniqueId val="{00000003-A838-4562-BC04-641217689D40}"/>
            </c:ext>
          </c:extLst>
        </c:ser>
        <c:ser>
          <c:idx val="4"/>
          <c:order val="4"/>
          <c:tx>
            <c:strRef>
              <c:f>'Lists-Modules-ChartData'!$AQ$122</c:f>
              <c:strCache>
                <c:ptCount val="1"/>
                <c:pt idx="0">
                  <c:v>Real Exchange Rate Shock</c:v>
                </c:pt>
              </c:strCache>
            </c:strRef>
          </c:tx>
          <c:spPr>
            <a:ln w="44450">
              <a:solidFill>
                <a:srgbClr val="7030A0"/>
              </a:solidFill>
              <a:prstDash val="sysDot"/>
            </a:ln>
          </c:spPr>
          <c:marker>
            <c:symbol val="none"/>
          </c:marker>
          <c:val>
            <c:numRef>
              <c:f>'Lists-Modules-ChartData'!$AT$123:$AY$123</c:f>
              <c:numCache>
                <c:formatCode>0.0</c:formatCode>
                <c:ptCount val="6"/>
                <c:pt idx="0">
                  <c:v>37.094606570883371</c:v>
                </c:pt>
                <c:pt idx="1">
                  <c:v>35.031052616552522</c:v>
                </c:pt>
                <c:pt idx="2">
                  <c:v>34.133935521940252</c:v>
                </c:pt>
                <c:pt idx="3">
                  <c:v>32.892605575059719</c:v>
                </c:pt>
                <c:pt idx="4">
                  <c:v>31.854434558541548</c:v>
                </c:pt>
                <c:pt idx="5">
                  <c:v>30.878738340041963</c:v>
                </c:pt>
              </c:numCache>
            </c:numRef>
          </c:val>
          <c:smooth val="0"/>
          <c:extLst>
            <c:ext xmlns:c16="http://schemas.microsoft.com/office/drawing/2014/chart" uri="{C3380CC4-5D6E-409C-BE32-E72D297353CC}">
              <c16:uniqueId val="{00000004-A838-4562-BC04-641217689D40}"/>
            </c:ext>
          </c:extLst>
        </c:ser>
        <c:dLbls>
          <c:showLegendKey val="0"/>
          <c:showVal val="0"/>
          <c:showCatName val="0"/>
          <c:showSerName val="0"/>
          <c:showPercent val="0"/>
          <c:showBubbleSize val="0"/>
        </c:dLbls>
        <c:smooth val="0"/>
        <c:axId val="545945264"/>
        <c:axId val="545949968"/>
      </c:lineChart>
      <c:catAx>
        <c:axId val="545945264"/>
        <c:scaling>
          <c:orientation val="minMax"/>
        </c:scaling>
        <c:delete val="0"/>
        <c:axPos val="b"/>
        <c:numFmt formatCode="General" sourceLinked="1"/>
        <c:majorTickMark val="in"/>
        <c:minorTickMark val="none"/>
        <c:tickLblPos val="nextTo"/>
        <c:spPr>
          <a:ln w="25400">
            <a:solidFill>
              <a:srgbClr val="C0C0C0"/>
            </a:solidFill>
            <a:prstDash val="solid"/>
          </a:ln>
        </c:spPr>
        <c:txPr>
          <a:bodyPr/>
          <a:lstStyle/>
          <a:p>
            <a:pPr>
              <a:defRPr sz="1400">
                <a:latin typeface="Segoe UI"/>
                <a:ea typeface="Segoe UI"/>
                <a:cs typeface="Segoe UI"/>
              </a:defRPr>
            </a:pPr>
            <a:endParaRPr lang="en-US"/>
          </a:p>
        </c:txPr>
        <c:crossAx val="545949968"/>
        <c:crosses val="autoZero"/>
        <c:auto val="1"/>
        <c:lblAlgn val="ctr"/>
        <c:lblOffset val="100"/>
        <c:noMultiLvlLbl val="0"/>
      </c:catAx>
      <c:valAx>
        <c:axId val="545949968"/>
        <c:scaling>
          <c:orientation val="minMax"/>
        </c:scaling>
        <c:delete val="0"/>
        <c:axPos val="l"/>
        <c:numFmt formatCode="#,##0" sourceLinked="0"/>
        <c:majorTickMark val="in"/>
        <c:minorTickMark val="none"/>
        <c:tickLblPos val="nextTo"/>
        <c:spPr>
          <a:ln w="25400">
            <a:solidFill>
              <a:srgbClr val="C0C0C0"/>
            </a:solidFill>
            <a:prstDash val="solid"/>
          </a:ln>
        </c:spPr>
        <c:txPr>
          <a:bodyPr/>
          <a:lstStyle/>
          <a:p>
            <a:pPr>
              <a:defRPr sz="1400">
                <a:latin typeface="Segoe UI"/>
                <a:ea typeface="Segoe UI"/>
                <a:cs typeface="Segoe UI"/>
              </a:defRPr>
            </a:pPr>
            <a:endParaRPr lang="en-US"/>
          </a:p>
        </c:txPr>
        <c:crossAx val="545945264"/>
        <c:crosses val="autoZero"/>
        <c:crossBetween val="midCat"/>
      </c:valAx>
      <c:spPr>
        <a:noFill/>
        <a:ln w="25400">
          <a:solidFill>
            <a:schemeClr val="bg1">
              <a:lumMod val="75000"/>
            </a:schemeClr>
          </a:solidFill>
        </a:ln>
      </c:spPr>
    </c:plotArea>
    <c:plotVisOnly val="1"/>
    <c:dispBlanksAs val="gap"/>
    <c:showDLblsOverMax val="0"/>
  </c:chart>
  <c:spPr>
    <a:noFill/>
    <a:ln w="9525">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'Lists-Modules-ChartData'!$AJ$3</c:f>
          <c:strCache>
            <c:ptCount val="1"/>
            <c:pt idx="0">
              <c:v>Gross Nominal Public Debt</c:v>
            </c:pt>
          </c:strCache>
        </c:strRef>
      </c:tx>
      <c:layout>
        <c:manualLayout>
          <c:xMode val="edge"/>
          <c:yMode val="edge"/>
          <c:x val="3.0343941382327252E-2"/>
          <c:y val="6.364210303803473E-4"/>
        </c:manualLayout>
      </c:layout>
      <c:overlay val="0"/>
      <c:txPr>
        <a:bodyPr/>
        <a:lstStyle/>
        <a:p>
          <a:pPr>
            <a:defRPr sz="1600" b="1">
              <a:solidFill>
                <a:sysClr val="windowText" lastClr="000000"/>
              </a:solidFill>
              <a:latin typeface="Segoe UI"/>
            </a:defRPr>
          </a:pPr>
          <a:endParaRPr lang="en-US"/>
        </a:p>
      </c:txPr>
    </c:title>
    <c:autoTitleDeleted val="0"/>
    <c:plotArea>
      <c:layout>
        <c:manualLayout>
          <c:layoutTarget val="inner"/>
          <c:xMode val="edge"/>
          <c:yMode val="edge"/>
          <c:x val="0.13033629344937744"/>
          <c:y val="0.18443850768653924"/>
          <c:w val="0.81403304700548795"/>
          <c:h val="0.7155580732264587"/>
        </c:manualLayout>
      </c:layout>
      <c:lineChart>
        <c:grouping val="standard"/>
        <c:varyColors val="0"/>
        <c:ser>
          <c:idx val="0"/>
          <c:order val="0"/>
          <c:tx>
            <c:strRef>
              <c:f>'Lists-Modules-ChartData'!$AQ$80</c:f>
              <c:strCache>
                <c:ptCount val="1"/>
                <c:pt idx="0">
                  <c:v>Baseline</c:v>
                </c:pt>
              </c:strCache>
            </c:strRef>
          </c:tx>
          <c:spPr>
            <a:ln w="31750">
              <a:solidFill>
                <a:srgbClr val="0070C0"/>
              </a:solidFill>
              <a:prstDash val="solid"/>
            </a:ln>
            <a:effectLst/>
          </c:spPr>
          <c:marker>
            <c:symbol val="none"/>
          </c:marker>
          <c:cat>
            <c:numRef>
              <c:f>'Lists-Modules-ChartData'!$AT$78:$AY$78</c:f>
              <c:numCache>
                <c:formatCode>General</c:formatCode>
                <c:ptCount val="6"/>
                <c:pt idx="0">
                  <c:v>2018</c:v>
                </c:pt>
                <c:pt idx="1">
                  <c:v>2019</c:v>
                </c:pt>
                <c:pt idx="2">
                  <c:v>2020</c:v>
                </c:pt>
                <c:pt idx="3">
                  <c:v>2021</c:v>
                </c:pt>
                <c:pt idx="4">
                  <c:v>2022</c:v>
                </c:pt>
                <c:pt idx="5">
                  <c:v>2023</c:v>
                </c:pt>
              </c:numCache>
            </c:numRef>
          </c:cat>
          <c:val>
            <c:numRef>
              <c:f>'Lists-Modules-ChartData'!$AT$82:$AY$82</c:f>
              <c:numCache>
                <c:formatCode>0.0</c:formatCode>
                <c:ptCount val="6"/>
                <c:pt idx="0">
                  <c:v>100.37625634878221</c:v>
                </c:pt>
                <c:pt idx="1">
                  <c:v>98.026642187439847</c:v>
                </c:pt>
                <c:pt idx="2">
                  <c:v>93.623115001559071</c:v>
                </c:pt>
                <c:pt idx="3">
                  <c:v>90.875952250685216</c:v>
                </c:pt>
                <c:pt idx="4">
                  <c:v>86.090985810202397</c:v>
                </c:pt>
                <c:pt idx="5">
                  <c:v>80.29861528787066</c:v>
                </c:pt>
              </c:numCache>
            </c:numRef>
          </c:val>
          <c:smooth val="0"/>
          <c:extLst>
            <c:ext xmlns:c16="http://schemas.microsoft.com/office/drawing/2014/chart" uri="{C3380CC4-5D6E-409C-BE32-E72D297353CC}">
              <c16:uniqueId val="{00000000-2557-4DAB-938A-90B1199220F9}"/>
            </c:ext>
          </c:extLst>
        </c:ser>
        <c:ser>
          <c:idx val="1"/>
          <c:order val="1"/>
          <c:tx>
            <c:strRef>
              <c:f>'Lists-Modules-ChartData'!$AQ$90</c:f>
              <c:strCache>
                <c:ptCount val="1"/>
                <c:pt idx="0">
                  <c:v>Primary Balance Shock</c:v>
                </c:pt>
              </c:strCache>
            </c:strRef>
          </c:tx>
          <c:spPr>
            <a:ln w="31750">
              <a:solidFill>
                <a:srgbClr val="FFC000"/>
              </a:solidFill>
              <a:prstDash val="solid"/>
            </a:ln>
            <a:effectLst/>
          </c:spPr>
          <c:marker>
            <c:symbol val="none"/>
          </c:marker>
          <c:cat>
            <c:numRef>
              <c:f>'Lists-Modules-ChartData'!$AT$78:$AY$78</c:f>
              <c:numCache>
                <c:formatCode>General</c:formatCode>
                <c:ptCount val="6"/>
                <c:pt idx="0">
                  <c:v>2018</c:v>
                </c:pt>
                <c:pt idx="1">
                  <c:v>2019</c:v>
                </c:pt>
                <c:pt idx="2">
                  <c:v>2020</c:v>
                </c:pt>
                <c:pt idx="3">
                  <c:v>2021</c:v>
                </c:pt>
                <c:pt idx="4">
                  <c:v>2022</c:v>
                </c:pt>
                <c:pt idx="5">
                  <c:v>2023</c:v>
                </c:pt>
              </c:numCache>
            </c:numRef>
          </c:cat>
          <c:val>
            <c:numRef>
              <c:f>'Lists-Modules-ChartData'!$AT$92:$AY$92</c:f>
              <c:numCache>
                <c:formatCode>0.0</c:formatCode>
                <c:ptCount val="6"/>
                <c:pt idx="0">
                  <c:v>100.40391596609757</c:v>
                </c:pt>
                <c:pt idx="1">
                  <c:v>0</c:v>
                </c:pt>
                <c:pt idx="2">
                  <c:v>0</c:v>
                </c:pt>
                <c:pt idx="3">
                  <c:v>0</c:v>
                </c:pt>
                <c:pt idx="4">
                  <c:v>0</c:v>
                </c:pt>
                <c:pt idx="5">
                  <c:v>0</c:v>
                </c:pt>
              </c:numCache>
            </c:numRef>
          </c:val>
          <c:smooth val="0"/>
          <c:extLst>
            <c:ext xmlns:c16="http://schemas.microsoft.com/office/drawing/2014/chart" uri="{C3380CC4-5D6E-409C-BE32-E72D297353CC}">
              <c16:uniqueId val="{00000001-2557-4DAB-938A-90B1199220F9}"/>
            </c:ext>
          </c:extLst>
        </c:ser>
        <c:ser>
          <c:idx val="3"/>
          <c:order val="2"/>
          <c:tx>
            <c:strRef>
              <c:f>'Lists-Modules-ChartData'!$AQ$112</c:f>
              <c:strCache>
                <c:ptCount val="1"/>
                <c:pt idx="0">
                  <c:v>Real GDP Growth Shock</c:v>
                </c:pt>
              </c:strCache>
            </c:strRef>
          </c:tx>
          <c:spPr>
            <a:ln w="31750">
              <a:solidFill>
                <a:srgbClr val="FF0000"/>
              </a:solidFill>
              <a:prstDash val="solid"/>
            </a:ln>
            <a:effectLst/>
          </c:spPr>
          <c:marker>
            <c:symbol val="none"/>
          </c:marker>
          <c:cat>
            <c:numRef>
              <c:f>'Lists-Modules-ChartData'!$AT$78:$AY$78</c:f>
              <c:numCache>
                <c:formatCode>General</c:formatCode>
                <c:ptCount val="6"/>
                <c:pt idx="0">
                  <c:v>2018</c:v>
                </c:pt>
                <c:pt idx="1">
                  <c:v>2019</c:v>
                </c:pt>
                <c:pt idx="2">
                  <c:v>2020</c:v>
                </c:pt>
                <c:pt idx="3">
                  <c:v>2021</c:v>
                </c:pt>
                <c:pt idx="4">
                  <c:v>2022</c:v>
                </c:pt>
                <c:pt idx="5">
                  <c:v>2023</c:v>
                </c:pt>
              </c:numCache>
            </c:numRef>
          </c:cat>
          <c:val>
            <c:numRef>
              <c:f>'Lists-Modules-ChartData'!$AT$114:$AY$114</c:f>
              <c:numCache>
                <c:formatCode>0.0</c:formatCode>
                <c:ptCount val="6"/>
                <c:pt idx="0">
                  <c:v>100.40391596609757</c:v>
                </c:pt>
                <c:pt idx="1">
                  <c:v>0</c:v>
                </c:pt>
                <c:pt idx="2">
                  <c:v>0</c:v>
                </c:pt>
                <c:pt idx="3">
                  <c:v>0</c:v>
                </c:pt>
                <c:pt idx="4">
                  <c:v>0</c:v>
                </c:pt>
                <c:pt idx="5">
                  <c:v>0</c:v>
                </c:pt>
              </c:numCache>
            </c:numRef>
          </c:val>
          <c:smooth val="0"/>
          <c:extLst>
            <c:ext xmlns:c16="http://schemas.microsoft.com/office/drawing/2014/chart" uri="{C3380CC4-5D6E-409C-BE32-E72D297353CC}">
              <c16:uniqueId val="{00000002-2557-4DAB-938A-90B1199220F9}"/>
            </c:ext>
          </c:extLst>
        </c:ser>
        <c:ser>
          <c:idx val="2"/>
          <c:order val="3"/>
          <c:tx>
            <c:strRef>
              <c:f>'Lists-Modules-ChartData'!$AQ$100</c:f>
              <c:strCache>
                <c:ptCount val="1"/>
                <c:pt idx="0">
                  <c:v>Real Interest Rate Shock</c:v>
                </c:pt>
              </c:strCache>
            </c:strRef>
          </c:tx>
          <c:spPr>
            <a:ln w="31750">
              <a:solidFill>
                <a:srgbClr val="008000"/>
              </a:solidFill>
              <a:prstDash val="lgDash"/>
            </a:ln>
            <a:effectLst/>
          </c:spPr>
          <c:marker>
            <c:symbol val="none"/>
          </c:marker>
          <c:cat>
            <c:numRef>
              <c:f>'Lists-Modules-ChartData'!$AT$78:$AY$78</c:f>
              <c:numCache>
                <c:formatCode>General</c:formatCode>
                <c:ptCount val="6"/>
                <c:pt idx="0">
                  <c:v>2018</c:v>
                </c:pt>
                <c:pt idx="1">
                  <c:v>2019</c:v>
                </c:pt>
                <c:pt idx="2">
                  <c:v>2020</c:v>
                </c:pt>
                <c:pt idx="3">
                  <c:v>2021</c:v>
                </c:pt>
                <c:pt idx="4">
                  <c:v>2022</c:v>
                </c:pt>
                <c:pt idx="5">
                  <c:v>2023</c:v>
                </c:pt>
              </c:numCache>
            </c:numRef>
          </c:cat>
          <c:val>
            <c:numRef>
              <c:f>'Lists-Modules-ChartData'!$AT$102:$AY$102</c:f>
              <c:numCache>
                <c:formatCode>0.0</c:formatCode>
                <c:ptCount val="6"/>
                <c:pt idx="0">
                  <c:v>100.40391596609757</c:v>
                </c:pt>
                <c:pt idx="1">
                  <c:v>0</c:v>
                </c:pt>
                <c:pt idx="2">
                  <c:v>0</c:v>
                </c:pt>
                <c:pt idx="3">
                  <c:v>0</c:v>
                </c:pt>
                <c:pt idx="4">
                  <c:v>0</c:v>
                </c:pt>
                <c:pt idx="5">
                  <c:v>0</c:v>
                </c:pt>
              </c:numCache>
            </c:numRef>
          </c:val>
          <c:smooth val="0"/>
          <c:extLst>
            <c:ext xmlns:c16="http://schemas.microsoft.com/office/drawing/2014/chart" uri="{C3380CC4-5D6E-409C-BE32-E72D297353CC}">
              <c16:uniqueId val="{00000003-2557-4DAB-938A-90B1199220F9}"/>
            </c:ext>
          </c:extLst>
        </c:ser>
        <c:ser>
          <c:idx val="4"/>
          <c:order val="4"/>
          <c:tx>
            <c:strRef>
              <c:f>'Lists-Modules-ChartData'!$AQ$122</c:f>
              <c:strCache>
                <c:ptCount val="1"/>
                <c:pt idx="0">
                  <c:v>Real Exchange Rate Shock</c:v>
                </c:pt>
              </c:strCache>
            </c:strRef>
          </c:tx>
          <c:spPr>
            <a:ln w="44450">
              <a:solidFill>
                <a:srgbClr val="7030A0"/>
              </a:solidFill>
              <a:prstDash val="sysDot"/>
            </a:ln>
          </c:spPr>
          <c:marker>
            <c:symbol val="none"/>
          </c:marker>
          <c:val>
            <c:numRef>
              <c:f>'Lists-Modules-ChartData'!$AT$124:$AY$124</c:f>
              <c:numCache>
                <c:formatCode>0.0</c:formatCode>
                <c:ptCount val="6"/>
                <c:pt idx="0">
                  <c:v>100.40391596609757</c:v>
                </c:pt>
                <c:pt idx="1">
                  <c:v>0</c:v>
                </c:pt>
                <c:pt idx="2">
                  <c:v>0</c:v>
                </c:pt>
                <c:pt idx="3">
                  <c:v>0</c:v>
                </c:pt>
                <c:pt idx="4">
                  <c:v>0</c:v>
                </c:pt>
                <c:pt idx="5">
                  <c:v>0</c:v>
                </c:pt>
              </c:numCache>
            </c:numRef>
          </c:val>
          <c:smooth val="0"/>
          <c:extLst>
            <c:ext xmlns:c16="http://schemas.microsoft.com/office/drawing/2014/chart" uri="{C3380CC4-5D6E-409C-BE32-E72D297353CC}">
              <c16:uniqueId val="{00000004-2557-4DAB-938A-90B1199220F9}"/>
            </c:ext>
          </c:extLst>
        </c:ser>
        <c:dLbls>
          <c:showLegendKey val="0"/>
          <c:showVal val="0"/>
          <c:showCatName val="0"/>
          <c:showSerName val="0"/>
          <c:showPercent val="0"/>
          <c:showBubbleSize val="0"/>
        </c:dLbls>
        <c:smooth val="0"/>
        <c:axId val="545948792"/>
        <c:axId val="545955456"/>
      </c:lineChart>
      <c:catAx>
        <c:axId val="545948792"/>
        <c:scaling>
          <c:orientation val="minMax"/>
        </c:scaling>
        <c:delete val="0"/>
        <c:axPos val="b"/>
        <c:numFmt formatCode="General" sourceLinked="1"/>
        <c:majorTickMark val="in"/>
        <c:minorTickMark val="none"/>
        <c:tickLblPos val="nextTo"/>
        <c:spPr>
          <a:ln w="25400">
            <a:solidFill>
              <a:srgbClr val="C0C0C0"/>
            </a:solidFill>
            <a:prstDash val="solid"/>
          </a:ln>
        </c:spPr>
        <c:txPr>
          <a:bodyPr/>
          <a:lstStyle/>
          <a:p>
            <a:pPr>
              <a:defRPr sz="1400">
                <a:latin typeface="Segoe UI"/>
                <a:ea typeface="Segoe UI"/>
                <a:cs typeface="Segoe UI"/>
              </a:defRPr>
            </a:pPr>
            <a:endParaRPr lang="en-US"/>
          </a:p>
        </c:txPr>
        <c:crossAx val="545955456"/>
        <c:crosses val="autoZero"/>
        <c:auto val="1"/>
        <c:lblAlgn val="ctr"/>
        <c:lblOffset val="100"/>
        <c:noMultiLvlLbl val="0"/>
      </c:catAx>
      <c:valAx>
        <c:axId val="545955456"/>
        <c:scaling>
          <c:orientation val="minMax"/>
        </c:scaling>
        <c:delete val="0"/>
        <c:axPos val="l"/>
        <c:numFmt formatCode="#,##0" sourceLinked="0"/>
        <c:majorTickMark val="in"/>
        <c:minorTickMark val="none"/>
        <c:tickLblPos val="nextTo"/>
        <c:spPr>
          <a:noFill/>
          <a:ln w="25400">
            <a:solidFill>
              <a:srgbClr val="C0C0C0"/>
            </a:solidFill>
            <a:prstDash val="solid"/>
          </a:ln>
        </c:spPr>
        <c:txPr>
          <a:bodyPr/>
          <a:lstStyle/>
          <a:p>
            <a:pPr>
              <a:defRPr sz="1400">
                <a:latin typeface="Segoe UI"/>
                <a:ea typeface="Segoe UI"/>
                <a:cs typeface="Segoe UI"/>
              </a:defRPr>
            </a:pPr>
            <a:endParaRPr lang="en-US"/>
          </a:p>
        </c:txPr>
        <c:crossAx val="545948792"/>
        <c:crosses val="autoZero"/>
        <c:crossBetween val="midCat"/>
      </c:valAx>
      <c:spPr>
        <a:solidFill>
          <a:srgbClr val="FFFFFF"/>
        </a:solidFill>
        <a:ln w="25400">
          <a:solidFill>
            <a:srgbClr val="C0C0C0"/>
          </a:solidFill>
          <a:prstDash val="solid"/>
        </a:ln>
      </c:spPr>
    </c:plotArea>
    <c:plotVisOnly val="1"/>
    <c:dispBlanksAs val="gap"/>
    <c:showDLblsOverMax val="0"/>
  </c:chart>
  <c:spPr>
    <a:noFill/>
    <a:ln w="9525">
      <a:noFill/>
    </a:ln>
  </c:spPr>
  <c:printSettings>
    <c:headerFooter/>
    <c:pageMargins b="0.75000000000001465" l="0.70000000000000062" r="0.70000000000000062" t="0.75000000000001465" header="0.30000000000000032" footer="0.30000000000000032"/>
    <c:pageSetup/>
  </c:printSettings>
  <c:userShapes r:id="rId1"/>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'Lists-Modules-ChartData'!$AD$7</c:f>
          <c:strCache>
            <c:ptCount val="1"/>
            <c:pt idx="0">
              <c:v>Public Gross Financing Needs</c:v>
            </c:pt>
          </c:strCache>
        </c:strRef>
      </c:tx>
      <c:layout>
        <c:manualLayout>
          <c:xMode val="edge"/>
          <c:yMode val="edge"/>
          <c:x val="4.5343030037912124E-2"/>
          <c:y val="5.9945268469348304E-3"/>
        </c:manualLayout>
      </c:layout>
      <c:overlay val="0"/>
      <c:txPr>
        <a:bodyPr/>
        <a:lstStyle/>
        <a:p>
          <a:pPr>
            <a:defRPr sz="1600" b="1">
              <a:solidFill>
                <a:sysClr val="windowText" lastClr="000000"/>
              </a:solidFill>
              <a:latin typeface="Segoe UI"/>
            </a:defRPr>
          </a:pPr>
          <a:endParaRPr lang="en-US"/>
        </a:p>
      </c:txPr>
    </c:title>
    <c:autoTitleDeleted val="0"/>
    <c:plotArea>
      <c:layout>
        <c:manualLayout>
          <c:layoutTarget val="inner"/>
          <c:xMode val="edge"/>
          <c:yMode val="edge"/>
          <c:x val="0.13033621312241594"/>
          <c:y val="0.1877431664711387"/>
          <c:w val="0.81403304700548795"/>
          <c:h val="0.70390942734225403"/>
        </c:manualLayout>
      </c:layout>
      <c:lineChart>
        <c:grouping val="standard"/>
        <c:varyColors val="0"/>
        <c:ser>
          <c:idx val="0"/>
          <c:order val="0"/>
          <c:tx>
            <c:strRef>
              <c:f>'Lists-Modules-ChartData'!$AQ$80</c:f>
              <c:strCache>
                <c:ptCount val="1"/>
                <c:pt idx="0">
                  <c:v>Baseline</c:v>
                </c:pt>
              </c:strCache>
            </c:strRef>
          </c:tx>
          <c:spPr>
            <a:ln w="31750">
              <a:solidFill>
                <a:srgbClr val="0070C0"/>
              </a:solidFill>
              <a:prstDash val="solid"/>
            </a:ln>
            <a:effectLst/>
          </c:spPr>
          <c:marker>
            <c:symbol val="none"/>
          </c:marker>
          <c:cat>
            <c:numRef>
              <c:f>'Lists-Modules-ChartData'!$AT$78:$AY$78</c:f>
              <c:numCache>
                <c:formatCode>General</c:formatCode>
                <c:ptCount val="6"/>
                <c:pt idx="0">
                  <c:v>2018</c:v>
                </c:pt>
                <c:pt idx="1">
                  <c:v>2019</c:v>
                </c:pt>
                <c:pt idx="2">
                  <c:v>2020</c:v>
                </c:pt>
                <c:pt idx="3">
                  <c:v>2021</c:v>
                </c:pt>
                <c:pt idx="4">
                  <c:v>2022</c:v>
                </c:pt>
                <c:pt idx="5">
                  <c:v>2023</c:v>
                </c:pt>
              </c:numCache>
            </c:numRef>
          </c:cat>
          <c:val>
            <c:numRef>
              <c:f>'Lists-Modules-ChartData'!$AT$84:$AY$84</c:f>
              <c:numCache>
                <c:formatCode>0.0</c:formatCode>
                <c:ptCount val="6"/>
                <c:pt idx="0">
                  <c:v>3.5984842323630626</c:v>
                </c:pt>
                <c:pt idx="1">
                  <c:v>2.736884117115657</c:v>
                </c:pt>
                <c:pt idx="2">
                  <c:v>2.3965618199100005</c:v>
                </c:pt>
                <c:pt idx="3">
                  <c:v>1.2003971380328871</c:v>
                </c:pt>
                <c:pt idx="4">
                  <c:v>-1.4862612076263433</c:v>
                </c:pt>
                <c:pt idx="5">
                  <c:v>-2.2506508944660197</c:v>
                </c:pt>
              </c:numCache>
            </c:numRef>
          </c:val>
          <c:smooth val="0"/>
          <c:extLst>
            <c:ext xmlns:c16="http://schemas.microsoft.com/office/drawing/2014/chart" uri="{C3380CC4-5D6E-409C-BE32-E72D297353CC}">
              <c16:uniqueId val="{00000000-195A-4442-A661-E880612C1D25}"/>
            </c:ext>
          </c:extLst>
        </c:ser>
        <c:ser>
          <c:idx val="1"/>
          <c:order val="1"/>
          <c:tx>
            <c:strRef>
              <c:f>'Lists-Modules-ChartData'!$AQ$90</c:f>
              <c:strCache>
                <c:ptCount val="1"/>
                <c:pt idx="0">
                  <c:v>Primary Balance Shock</c:v>
                </c:pt>
              </c:strCache>
            </c:strRef>
          </c:tx>
          <c:spPr>
            <a:ln w="31750">
              <a:solidFill>
                <a:srgbClr val="FFC000"/>
              </a:solidFill>
              <a:prstDash val="solid"/>
            </a:ln>
            <a:effectLst/>
          </c:spPr>
          <c:marker>
            <c:symbol val="none"/>
          </c:marker>
          <c:cat>
            <c:numRef>
              <c:f>'Lists-Modules-ChartData'!$AT$78:$AY$78</c:f>
              <c:numCache>
                <c:formatCode>General</c:formatCode>
                <c:ptCount val="6"/>
                <c:pt idx="0">
                  <c:v>2018</c:v>
                </c:pt>
                <c:pt idx="1">
                  <c:v>2019</c:v>
                </c:pt>
                <c:pt idx="2">
                  <c:v>2020</c:v>
                </c:pt>
                <c:pt idx="3">
                  <c:v>2021</c:v>
                </c:pt>
                <c:pt idx="4">
                  <c:v>2022</c:v>
                </c:pt>
                <c:pt idx="5">
                  <c:v>2023</c:v>
                </c:pt>
              </c:numCache>
            </c:numRef>
          </c:cat>
          <c:val>
            <c:numRef>
              <c:f>'Lists-Modules-ChartData'!$AT$94:$AY$94</c:f>
              <c:numCache>
                <c:formatCode>0.0</c:formatCode>
                <c:ptCount val="6"/>
                <c:pt idx="0">
                  <c:v>3.5994671534530136</c:v>
                </c:pt>
                <c:pt idx="1">
                  <c:v>8.7524527237149243</c:v>
                </c:pt>
                <c:pt idx="2">
                  <c:v>14.473750684764328</c:v>
                </c:pt>
                <c:pt idx="3">
                  <c:v>18.230882511907389</c:v>
                </c:pt>
                <c:pt idx="4">
                  <c:v>18.788063478595308</c:v>
                </c:pt>
                <c:pt idx="5">
                  <c:v>18.525471587823333</c:v>
                </c:pt>
              </c:numCache>
            </c:numRef>
          </c:val>
          <c:smooth val="0"/>
          <c:extLst>
            <c:ext xmlns:c16="http://schemas.microsoft.com/office/drawing/2014/chart" uri="{C3380CC4-5D6E-409C-BE32-E72D297353CC}">
              <c16:uniqueId val="{00000001-195A-4442-A661-E880612C1D25}"/>
            </c:ext>
          </c:extLst>
        </c:ser>
        <c:ser>
          <c:idx val="3"/>
          <c:order val="2"/>
          <c:tx>
            <c:strRef>
              <c:f>'Lists-Modules-ChartData'!$AQ$112</c:f>
              <c:strCache>
                <c:ptCount val="1"/>
                <c:pt idx="0">
                  <c:v>Real GDP Growth Shock</c:v>
                </c:pt>
              </c:strCache>
            </c:strRef>
          </c:tx>
          <c:spPr>
            <a:ln w="31750">
              <a:solidFill>
                <a:srgbClr val="FF0000"/>
              </a:solidFill>
              <a:prstDash val="solid"/>
            </a:ln>
            <a:effectLst/>
          </c:spPr>
          <c:marker>
            <c:symbol val="none"/>
          </c:marker>
          <c:cat>
            <c:numRef>
              <c:f>'Lists-Modules-ChartData'!$AT$78:$AY$78</c:f>
              <c:numCache>
                <c:formatCode>General</c:formatCode>
                <c:ptCount val="6"/>
                <c:pt idx="0">
                  <c:v>2018</c:v>
                </c:pt>
                <c:pt idx="1">
                  <c:v>2019</c:v>
                </c:pt>
                <c:pt idx="2">
                  <c:v>2020</c:v>
                </c:pt>
                <c:pt idx="3">
                  <c:v>2021</c:v>
                </c:pt>
                <c:pt idx="4">
                  <c:v>2022</c:v>
                </c:pt>
                <c:pt idx="5">
                  <c:v>2023</c:v>
                </c:pt>
              </c:numCache>
            </c:numRef>
          </c:cat>
          <c:val>
            <c:numRef>
              <c:f>'Lists-Modules-ChartData'!$AT$116:$AY$116</c:f>
              <c:numCache>
                <c:formatCode>0.0</c:formatCode>
                <c:ptCount val="6"/>
                <c:pt idx="0">
                  <c:v>3.5994671534530136</c:v>
                </c:pt>
                <c:pt idx="1">
                  <c:v>7.6640589946873048</c:v>
                </c:pt>
                <c:pt idx="2">
                  <c:v>13.168922635096822</c:v>
                </c:pt>
                <c:pt idx="3">
                  <c:v>17.680817519954925</c:v>
                </c:pt>
                <c:pt idx="4">
                  <c:v>18.409974092503905</c:v>
                </c:pt>
                <c:pt idx="5">
                  <c:v>18.178910235363414</c:v>
                </c:pt>
              </c:numCache>
            </c:numRef>
          </c:val>
          <c:smooth val="0"/>
          <c:extLst>
            <c:ext xmlns:c16="http://schemas.microsoft.com/office/drawing/2014/chart" uri="{C3380CC4-5D6E-409C-BE32-E72D297353CC}">
              <c16:uniqueId val="{00000002-195A-4442-A661-E880612C1D25}"/>
            </c:ext>
          </c:extLst>
        </c:ser>
        <c:ser>
          <c:idx val="2"/>
          <c:order val="3"/>
          <c:tx>
            <c:strRef>
              <c:f>'Lists-Modules-ChartData'!$AQ$100</c:f>
              <c:strCache>
                <c:ptCount val="1"/>
                <c:pt idx="0">
                  <c:v>Real Interest Rate Shock</c:v>
                </c:pt>
              </c:strCache>
            </c:strRef>
          </c:tx>
          <c:spPr>
            <a:ln w="31750">
              <a:solidFill>
                <a:srgbClr val="008000"/>
              </a:solidFill>
              <a:prstDash val="lgDash"/>
            </a:ln>
            <a:effectLst/>
          </c:spPr>
          <c:marker>
            <c:symbol val="none"/>
          </c:marker>
          <c:cat>
            <c:numRef>
              <c:f>'Lists-Modules-ChartData'!$AT$78:$AY$78</c:f>
              <c:numCache>
                <c:formatCode>General</c:formatCode>
                <c:ptCount val="6"/>
                <c:pt idx="0">
                  <c:v>2018</c:v>
                </c:pt>
                <c:pt idx="1">
                  <c:v>2019</c:v>
                </c:pt>
                <c:pt idx="2">
                  <c:v>2020</c:v>
                </c:pt>
                <c:pt idx="3">
                  <c:v>2021</c:v>
                </c:pt>
                <c:pt idx="4">
                  <c:v>2022</c:v>
                </c:pt>
                <c:pt idx="5">
                  <c:v>2023</c:v>
                </c:pt>
              </c:numCache>
            </c:numRef>
          </c:cat>
          <c:val>
            <c:numRef>
              <c:f>'Lists-Modules-ChartData'!$AT$104:$AY$104</c:f>
              <c:numCache>
                <c:formatCode>0.0</c:formatCode>
                <c:ptCount val="6"/>
                <c:pt idx="0">
                  <c:v>3.5994671534530136</c:v>
                </c:pt>
                <c:pt idx="1">
                  <c:v>7.1027380579709201</c:v>
                </c:pt>
                <c:pt idx="2">
                  <c:v>12.480881544424459</c:v>
                </c:pt>
                <c:pt idx="3">
                  <c:v>18.462620869326276</c:v>
                </c:pt>
                <c:pt idx="4">
                  <c:v>22.223832267570238</c:v>
                </c:pt>
                <c:pt idx="5">
                  <c:v>25.716851627295739</c:v>
                </c:pt>
              </c:numCache>
            </c:numRef>
          </c:val>
          <c:smooth val="0"/>
          <c:extLst>
            <c:ext xmlns:c16="http://schemas.microsoft.com/office/drawing/2014/chart" uri="{C3380CC4-5D6E-409C-BE32-E72D297353CC}">
              <c16:uniqueId val="{00000003-195A-4442-A661-E880612C1D25}"/>
            </c:ext>
          </c:extLst>
        </c:ser>
        <c:ser>
          <c:idx val="4"/>
          <c:order val="4"/>
          <c:tx>
            <c:strRef>
              <c:f>'Lists-Modules-ChartData'!$AQ$122</c:f>
              <c:strCache>
                <c:ptCount val="1"/>
                <c:pt idx="0">
                  <c:v>Real Exchange Rate Shock</c:v>
                </c:pt>
              </c:strCache>
            </c:strRef>
          </c:tx>
          <c:spPr>
            <a:ln w="44450">
              <a:solidFill>
                <a:srgbClr val="7030A0"/>
              </a:solidFill>
              <a:prstDash val="sysDot"/>
            </a:ln>
          </c:spPr>
          <c:marker>
            <c:symbol val="none"/>
          </c:marker>
          <c:val>
            <c:numRef>
              <c:f>'Lists-Modules-ChartData'!$AT$126:$AY$126</c:f>
              <c:numCache>
                <c:formatCode>0.0</c:formatCode>
                <c:ptCount val="6"/>
                <c:pt idx="0">
                  <c:v>3.5994671534530136</c:v>
                </c:pt>
                <c:pt idx="1">
                  <c:v>6.8036498145042286</c:v>
                </c:pt>
                <c:pt idx="2">
                  <c:v>10.833715050890696</c:v>
                </c:pt>
                <c:pt idx="3">
                  <c:v>14.545528452531551</c:v>
                </c:pt>
                <c:pt idx="4">
                  <c:v>15.14538576458126</c:v>
                </c:pt>
                <c:pt idx="5">
                  <c:v>14.955295803831683</c:v>
                </c:pt>
              </c:numCache>
            </c:numRef>
          </c:val>
          <c:smooth val="0"/>
          <c:extLst>
            <c:ext xmlns:c16="http://schemas.microsoft.com/office/drawing/2014/chart" uri="{C3380CC4-5D6E-409C-BE32-E72D297353CC}">
              <c16:uniqueId val="{00000004-195A-4442-A661-E880612C1D25}"/>
            </c:ext>
          </c:extLst>
        </c:ser>
        <c:dLbls>
          <c:showLegendKey val="0"/>
          <c:showVal val="0"/>
          <c:showCatName val="0"/>
          <c:showSerName val="0"/>
          <c:showPercent val="0"/>
          <c:showBubbleSize val="0"/>
        </c:dLbls>
        <c:smooth val="0"/>
        <c:axId val="545944872"/>
        <c:axId val="545946048"/>
      </c:lineChart>
      <c:catAx>
        <c:axId val="545944872"/>
        <c:scaling>
          <c:orientation val="minMax"/>
        </c:scaling>
        <c:delete val="0"/>
        <c:axPos val="b"/>
        <c:numFmt formatCode="General" sourceLinked="1"/>
        <c:majorTickMark val="in"/>
        <c:minorTickMark val="none"/>
        <c:tickLblPos val="nextTo"/>
        <c:spPr>
          <a:ln w="25400">
            <a:solidFill>
              <a:srgbClr val="C0C0C0"/>
            </a:solidFill>
            <a:prstDash val="solid"/>
          </a:ln>
        </c:spPr>
        <c:txPr>
          <a:bodyPr/>
          <a:lstStyle/>
          <a:p>
            <a:pPr>
              <a:defRPr sz="1400">
                <a:latin typeface="Segoe UI"/>
                <a:ea typeface="Segoe UI"/>
                <a:cs typeface="Segoe UI"/>
              </a:defRPr>
            </a:pPr>
            <a:endParaRPr lang="en-US"/>
          </a:p>
        </c:txPr>
        <c:crossAx val="545946048"/>
        <c:crosses val="autoZero"/>
        <c:auto val="1"/>
        <c:lblAlgn val="ctr"/>
        <c:lblOffset val="100"/>
        <c:noMultiLvlLbl val="0"/>
      </c:catAx>
      <c:valAx>
        <c:axId val="545946048"/>
        <c:scaling>
          <c:orientation val="minMax"/>
        </c:scaling>
        <c:delete val="0"/>
        <c:axPos val="l"/>
        <c:numFmt formatCode="#,##0" sourceLinked="0"/>
        <c:majorTickMark val="in"/>
        <c:minorTickMark val="none"/>
        <c:tickLblPos val="nextTo"/>
        <c:spPr>
          <a:ln w="25400">
            <a:solidFill>
              <a:srgbClr val="C0C0C0"/>
            </a:solidFill>
            <a:prstDash val="solid"/>
          </a:ln>
        </c:spPr>
        <c:txPr>
          <a:bodyPr/>
          <a:lstStyle/>
          <a:p>
            <a:pPr>
              <a:defRPr sz="1400">
                <a:latin typeface="Segoe UI"/>
                <a:ea typeface="Segoe UI"/>
                <a:cs typeface="Segoe UI"/>
              </a:defRPr>
            </a:pPr>
            <a:endParaRPr lang="en-US"/>
          </a:p>
        </c:txPr>
        <c:crossAx val="545944872"/>
        <c:crosses val="autoZero"/>
        <c:crossBetween val="midCat"/>
      </c:valAx>
      <c:spPr>
        <a:solidFill>
          <a:srgbClr val="FFFFFF"/>
        </a:solidFill>
        <a:ln w="25400">
          <a:solidFill>
            <a:srgbClr val="C0C0C0"/>
          </a:solidFill>
          <a:prstDash val="solid"/>
        </a:ln>
      </c:spPr>
    </c:plotArea>
    <c:plotVisOnly val="1"/>
    <c:dispBlanksAs val="gap"/>
    <c:showDLblsOverMax val="0"/>
  </c:chart>
  <c:spPr>
    <a:noFill/>
    <a:ln w="9525">
      <a:noFill/>
    </a:ln>
  </c:spPr>
  <c:printSettings>
    <c:headerFooter/>
    <c:pageMargins b="0.75000000000001465" l="0.70000000000000062" r="0.70000000000000062" t="0.75000000000001465"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033629344937744"/>
          <c:y val="6.1467589409810182E-2"/>
          <c:w val="0.79795906893061952"/>
          <c:h val="0.79696222865193656"/>
        </c:manualLayout>
      </c:layout>
      <c:lineChart>
        <c:grouping val="standard"/>
        <c:varyColors val="0"/>
        <c:ser>
          <c:idx val="0"/>
          <c:order val="0"/>
          <c:tx>
            <c:strRef>
              <c:f>'Lists-Modules-ChartData'!$R$6</c:f>
              <c:strCache>
                <c:ptCount val="1"/>
                <c:pt idx="0">
                  <c:v>Baseline</c:v>
                </c:pt>
              </c:strCache>
            </c:strRef>
          </c:tx>
          <c:marker>
            <c:symbol val="none"/>
          </c:marker>
          <c:cat>
            <c:numRef>
              <c:f>'Input 5 - Scenario Design'!$E$42:$J$42</c:f>
              <c:numCache>
                <c:formatCode>General</c:formatCode>
                <c:ptCount val="6"/>
                <c:pt idx="0">
                  <c:v>2018</c:v>
                </c:pt>
                <c:pt idx="1">
                  <c:v>2019</c:v>
                </c:pt>
                <c:pt idx="2">
                  <c:v>2020</c:v>
                </c:pt>
                <c:pt idx="3">
                  <c:v>2021</c:v>
                </c:pt>
                <c:pt idx="4">
                  <c:v>2022</c:v>
                </c:pt>
                <c:pt idx="5">
                  <c:v>2023</c:v>
                </c:pt>
              </c:numCache>
            </c:numRef>
          </c:cat>
          <c:val>
            <c:numRef>
              <c:f>'Lists-Modules-ChartData'!$U$9:$Z$9</c:f>
              <c:numCache>
                <c:formatCode>0.0</c:formatCode>
                <c:ptCount val="6"/>
                <c:pt idx="0">
                  <c:v>3.5984842323630626</c:v>
                </c:pt>
                <c:pt idx="1">
                  <c:v>2.736884117115657</c:v>
                </c:pt>
                <c:pt idx="2">
                  <c:v>2.3965618199100005</c:v>
                </c:pt>
                <c:pt idx="3">
                  <c:v>1.2003971380328871</c:v>
                </c:pt>
                <c:pt idx="4">
                  <c:v>-1.4862612076263433</c:v>
                </c:pt>
                <c:pt idx="5">
                  <c:v>-2.2506508944660197</c:v>
                </c:pt>
              </c:numCache>
            </c:numRef>
          </c:val>
          <c:smooth val="0"/>
          <c:extLst>
            <c:ext xmlns:c16="http://schemas.microsoft.com/office/drawing/2014/chart" uri="{C3380CC4-5D6E-409C-BE32-E72D297353CC}">
              <c16:uniqueId val="{00000000-D722-4E16-8F40-CCAFD1477D43}"/>
            </c:ext>
          </c:extLst>
        </c:ser>
        <c:ser>
          <c:idx val="1"/>
          <c:order val="1"/>
          <c:tx>
            <c:strRef>
              <c:f>'Lists-Modules-ChartData'!$R$22</c:f>
              <c:strCache>
                <c:ptCount val="1"/>
                <c:pt idx="0">
                  <c:v>Primary Balance Shock</c:v>
                </c:pt>
              </c:strCache>
            </c:strRef>
          </c:tx>
          <c:marker>
            <c:symbol val="none"/>
          </c:marker>
          <c:cat>
            <c:numRef>
              <c:f>'Input 5 - Scenario Design'!$E$42:$J$42</c:f>
              <c:numCache>
                <c:formatCode>General</c:formatCode>
                <c:ptCount val="6"/>
                <c:pt idx="0">
                  <c:v>2018</c:v>
                </c:pt>
                <c:pt idx="1">
                  <c:v>2019</c:v>
                </c:pt>
                <c:pt idx="2">
                  <c:v>2020</c:v>
                </c:pt>
                <c:pt idx="3">
                  <c:v>2021</c:v>
                </c:pt>
                <c:pt idx="4">
                  <c:v>2022</c:v>
                </c:pt>
                <c:pt idx="5">
                  <c:v>2023</c:v>
                </c:pt>
              </c:numCache>
            </c:numRef>
          </c:cat>
          <c:val>
            <c:numRef>
              <c:f>'Lists-Modules-ChartData'!$U$25:$Z$25</c:f>
              <c:numCache>
                <c:formatCode>0.0</c:formatCode>
                <c:ptCount val="6"/>
                <c:pt idx="0">
                  <c:v>3.5994671534530136</c:v>
                </c:pt>
                <c:pt idx="1">
                  <c:v>8.7524527237149243</c:v>
                </c:pt>
                <c:pt idx="2">
                  <c:v>14.473750684764328</c:v>
                </c:pt>
                <c:pt idx="3">
                  <c:v>18.230882511907389</c:v>
                </c:pt>
                <c:pt idx="4">
                  <c:v>18.788063478595308</c:v>
                </c:pt>
                <c:pt idx="5">
                  <c:v>18.525471587823333</c:v>
                </c:pt>
              </c:numCache>
            </c:numRef>
          </c:val>
          <c:smooth val="0"/>
          <c:extLst>
            <c:ext xmlns:c16="http://schemas.microsoft.com/office/drawing/2014/chart" uri="{C3380CC4-5D6E-409C-BE32-E72D297353CC}">
              <c16:uniqueId val="{00000001-D722-4E16-8F40-CCAFD1477D43}"/>
            </c:ext>
          </c:extLst>
        </c:ser>
        <c:dLbls>
          <c:showLegendKey val="0"/>
          <c:showVal val="0"/>
          <c:showCatName val="0"/>
          <c:showSerName val="0"/>
          <c:showPercent val="0"/>
          <c:showBubbleSize val="0"/>
        </c:dLbls>
        <c:smooth val="0"/>
        <c:axId val="537237232"/>
        <c:axId val="537237624"/>
      </c:lineChart>
      <c:catAx>
        <c:axId val="537237232"/>
        <c:scaling>
          <c:orientation val="minMax"/>
        </c:scaling>
        <c:delete val="0"/>
        <c:axPos val="b"/>
        <c:numFmt formatCode="General" sourceLinked="1"/>
        <c:majorTickMark val="out"/>
        <c:minorTickMark val="none"/>
        <c:tickLblPos val="nextTo"/>
        <c:crossAx val="537237624"/>
        <c:crosses val="autoZero"/>
        <c:auto val="1"/>
        <c:lblAlgn val="ctr"/>
        <c:lblOffset val="100"/>
        <c:noMultiLvlLbl val="0"/>
      </c:catAx>
      <c:valAx>
        <c:axId val="537237624"/>
        <c:scaling>
          <c:orientation val="minMax"/>
        </c:scaling>
        <c:delete val="0"/>
        <c:axPos val="l"/>
        <c:numFmt formatCode="#,##0" sourceLinked="0"/>
        <c:majorTickMark val="out"/>
        <c:minorTickMark val="none"/>
        <c:tickLblPos val="nextTo"/>
        <c:crossAx val="537237232"/>
        <c:crosses val="autoZero"/>
        <c:crossBetween val="midCat"/>
      </c:valAx>
      <c:spPr>
        <a:ln>
          <a:solidFill>
            <a:schemeClr val="bg1">
              <a:lumMod val="50000"/>
            </a:schemeClr>
          </a:solidFill>
        </a:ln>
      </c:spPr>
    </c:plotArea>
    <c:legend>
      <c:legendPos val="b"/>
      <c:layout>
        <c:manualLayout>
          <c:xMode val="edge"/>
          <c:yMode val="edge"/>
          <c:x val="9.5467891297084245E-2"/>
          <c:y val="0.64544895419723269"/>
          <c:w val="0.8244410679113936"/>
          <c:h val="0.19425751948492681"/>
        </c:manualLayout>
      </c:layout>
      <c:overlay val="1"/>
      <c:txPr>
        <a:bodyPr/>
        <a:lstStyle/>
        <a:p>
          <a:pPr>
            <a:defRPr sz="1200" b="1"/>
          </a:pPr>
          <a:endParaRPr lang="en-US"/>
        </a:p>
      </c:txPr>
    </c:legend>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userShapes r:id="rId1"/>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'Lists-Modules-ChartData'!$AD$3</c:f>
          <c:strCache>
            <c:ptCount val="1"/>
            <c:pt idx="0">
              <c:v>Gross Nominal Public Debt</c:v>
            </c:pt>
          </c:strCache>
        </c:strRef>
      </c:tx>
      <c:layout>
        <c:manualLayout>
          <c:xMode val="edge"/>
          <c:yMode val="edge"/>
          <c:x val="2.6718248760571616E-2"/>
          <c:y val="7.8145267904428523E-3"/>
        </c:manualLayout>
      </c:layout>
      <c:overlay val="0"/>
      <c:txPr>
        <a:bodyPr/>
        <a:lstStyle/>
        <a:p>
          <a:pPr>
            <a:defRPr sz="1600" b="1">
              <a:solidFill>
                <a:sysClr val="windowText" lastClr="000000"/>
              </a:solidFill>
              <a:latin typeface="Segoe UI"/>
            </a:defRPr>
          </a:pPr>
          <a:endParaRPr lang="en-US"/>
        </a:p>
      </c:txPr>
    </c:title>
    <c:autoTitleDeleted val="0"/>
    <c:plotArea>
      <c:layout>
        <c:manualLayout>
          <c:layoutTarget val="inner"/>
          <c:xMode val="edge"/>
          <c:yMode val="edge"/>
          <c:x val="0.13033629344937744"/>
          <c:y val="0.18443845835061473"/>
          <c:w val="0.80477380431613565"/>
          <c:h val="0.71236063118009563"/>
        </c:manualLayout>
      </c:layout>
      <c:lineChart>
        <c:grouping val="standard"/>
        <c:varyColors val="0"/>
        <c:ser>
          <c:idx val="0"/>
          <c:order val="0"/>
          <c:tx>
            <c:strRef>
              <c:f>'Lists-Modules-ChartData'!$AQ$80</c:f>
              <c:strCache>
                <c:ptCount val="1"/>
                <c:pt idx="0">
                  <c:v>Baseline</c:v>
                </c:pt>
              </c:strCache>
            </c:strRef>
          </c:tx>
          <c:spPr>
            <a:ln w="31750">
              <a:solidFill>
                <a:srgbClr val="0070C0"/>
              </a:solidFill>
              <a:prstDash val="solid"/>
            </a:ln>
            <a:effectLst/>
          </c:spPr>
          <c:marker>
            <c:symbol val="none"/>
          </c:marker>
          <c:cat>
            <c:numRef>
              <c:f>'Lists-Modules-ChartData'!$AT$78:$AY$78</c:f>
              <c:numCache>
                <c:formatCode>General</c:formatCode>
                <c:ptCount val="6"/>
                <c:pt idx="0">
                  <c:v>2018</c:v>
                </c:pt>
                <c:pt idx="1">
                  <c:v>2019</c:v>
                </c:pt>
                <c:pt idx="2">
                  <c:v>2020</c:v>
                </c:pt>
                <c:pt idx="3">
                  <c:v>2021</c:v>
                </c:pt>
                <c:pt idx="4">
                  <c:v>2022</c:v>
                </c:pt>
                <c:pt idx="5">
                  <c:v>2023</c:v>
                </c:pt>
              </c:numCache>
            </c:numRef>
          </c:cat>
          <c:val>
            <c:numRef>
              <c:f>'Lists-Modules-ChartData'!$AT$81:$AY$81</c:f>
              <c:numCache>
                <c:formatCode>0.0</c:formatCode>
                <c:ptCount val="6"/>
                <c:pt idx="0">
                  <c:v>37.084342131638088</c:v>
                </c:pt>
                <c:pt idx="1">
                  <c:v>35.351552504862923</c:v>
                </c:pt>
                <c:pt idx="2">
                  <c:v>33.542090376828199</c:v>
                </c:pt>
                <c:pt idx="3">
                  <c:v>32.056160655910695</c:v>
                </c:pt>
                <c:pt idx="4">
                  <c:v>29.915873102736189</c:v>
                </c:pt>
                <c:pt idx="5">
                  <c:v>27.903074435380589</c:v>
                </c:pt>
              </c:numCache>
            </c:numRef>
          </c:val>
          <c:smooth val="0"/>
          <c:extLst>
            <c:ext xmlns:c16="http://schemas.microsoft.com/office/drawing/2014/chart" uri="{C3380CC4-5D6E-409C-BE32-E72D297353CC}">
              <c16:uniqueId val="{00000000-97D1-4EA6-AAAF-46A566D4F946}"/>
            </c:ext>
          </c:extLst>
        </c:ser>
        <c:ser>
          <c:idx val="6"/>
          <c:order val="1"/>
          <c:tx>
            <c:strRef>
              <c:f>'Lists-Modules-ChartData'!$AQ$169</c:f>
              <c:strCache>
                <c:ptCount val="1"/>
              </c:strCache>
            </c:strRef>
          </c:tx>
          <c:spPr>
            <a:ln w="31750">
              <a:solidFill>
                <a:srgbClr val="00B0F0"/>
              </a:solidFill>
              <a:prstDash val="solid"/>
            </a:ln>
          </c:spPr>
          <c:marker>
            <c:symbol val="none"/>
          </c:marker>
          <c:val>
            <c:numRef>
              <c:f>'Lists-Modules-ChartData'!$AT$170:$AY$170</c:f>
              <c:numCache>
                <c:formatCode>0.0</c:formatCode>
                <c:ptCount val="6"/>
                <c:pt idx="0">
                  <c:v>#N/A</c:v>
                </c:pt>
                <c:pt idx="1">
                  <c:v>#N/A</c:v>
                </c:pt>
                <c:pt idx="2">
                  <c:v>#N/A</c:v>
                </c:pt>
                <c:pt idx="3">
                  <c:v>#N/A</c:v>
                </c:pt>
                <c:pt idx="4">
                  <c:v>#N/A</c:v>
                </c:pt>
                <c:pt idx="5">
                  <c:v>#N/A</c:v>
                </c:pt>
              </c:numCache>
            </c:numRef>
          </c:val>
          <c:smooth val="0"/>
          <c:extLst>
            <c:ext xmlns:c16="http://schemas.microsoft.com/office/drawing/2014/chart" uri="{C3380CC4-5D6E-409C-BE32-E72D297353CC}">
              <c16:uniqueId val="{00000001-97D1-4EA6-AAAF-46A566D4F946}"/>
            </c:ext>
          </c:extLst>
        </c:ser>
        <c:ser>
          <c:idx val="7"/>
          <c:order val="2"/>
          <c:tx>
            <c:strRef>
              <c:f>'Lists-Modules-ChartData'!$AQ$179</c:f>
              <c:strCache>
                <c:ptCount val="1"/>
              </c:strCache>
            </c:strRef>
          </c:tx>
          <c:spPr>
            <a:ln w="31750">
              <a:solidFill>
                <a:srgbClr val="00CC00"/>
              </a:solidFill>
              <a:prstDash val="solid"/>
            </a:ln>
          </c:spPr>
          <c:marker>
            <c:symbol val="none"/>
          </c:marker>
          <c:val>
            <c:numRef>
              <c:f>'Lists-Modules-ChartData'!$AT$180:$AY$180</c:f>
              <c:numCache>
                <c:formatCode>0.0</c:formatCode>
                <c:ptCount val="6"/>
                <c:pt idx="0">
                  <c:v>#N/A</c:v>
                </c:pt>
                <c:pt idx="1">
                  <c:v>#N/A</c:v>
                </c:pt>
                <c:pt idx="2">
                  <c:v>#N/A</c:v>
                </c:pt>
                <c:pt idx="3">
                  <c:v>#N/A</c:v>
                </c:pt>
                <c:pt idx="4">
                  <c:v>#N/A</c:v>
                </c:pt>
                <c:pt idx="5">
                  <c:v>#N/A</c:v>
                </c:pt>
              </c:numCache>
            </c:numRef>
          </c:val>
          <c:smooth val="0"/>
          <c:extLst>
            <c:ext xmlns:c16="http://schemas.microsoft.com/office/drawing/2014/chart" uri="{C3380CC4-5D6E-409C-BE32-E72D297353CC}">
              <c16:uniqueId val="{00000002-97D1-4EA6-AAAF-46A566D4F946}"/>
            </c:ext>
          </c:extLst>
        </c:ser>
        <c:ser>
          <c:idx val="1"/>
          <c:order val="3"/>
          <c:tx>
            <c:strRef>
              <c:f>'Lists-Modules-ChartData'!$AQ$189</c:f>
              <c:strCache>
                <c:ptCount val="1"/>
              </c:strCache>
            </c:strRef>
          </c:tx>
          <c:spPr>
            <a:ln w="31750">
              <a:solidFill>
                <a:srgbClr val="993300"/>
              </a:solidFill>
              <a:prstDash val="solid"/>
            </a:ln>
          </c:spPr>
          <c:marker>
            <c:symbol val="none"/>
          </c:marker>
          <c:val>
            <c:numRef>
              <c:f>'Lists-Modules-ChartData'!$AT$190:$AY$190</c:f>
              <c:numCache>
                <c:formatCode>0.0</c:formatCode>
                <c:ptCount val="6"/>
                <c:pt idx="0">
                  <c:v>#N/A</c:v>
                </c:pt>
                <c:pt idx="1">
                  <c:v>#N/A</c:v>
                </c:pt>
                <c:pt idx="2">
                  <c:v>#N/A</c:v>
                </c:pt>
                <c:pt idx="3">
                  <c:v>#N/A</c:v>
                </c:pt>
                <c:pt idx="4">
                  <c:v>#N/A</c:v>
                </c:pt>
                <c:pt idx="5">
                  <c:v>#N/A</c:v>
                </c:pt>
              </c:numCache>
            </c:numRef>
          </c:val>
          <c:smooth val="0"/>
          <c:extLst>
            <c:ext xmlns:c16="http://schemas.microsoft.com/office/drawing/2014/chart" uri="{C3380CC4-5D6E-409C-BE32-E72D297353CC}">
              <c16:uniqueId val="{00000003-97D1-4EA6-AAAF-46A566D4F946}"/>
            </c:ext>
          </c:extLst>
        </c:ser>
        <c:ser>
          <c:idx val="5"/>
          <c:order val="4"/>
          <c:tx>
            <c:strRef>
              <c:f>'Lists-Modules-ChartData'!$AQ$159</c:f>
              <c:strCache>
                <c:ptCount val="1"/>
                <c:pt idx="0">
                  <c:v>Combined Shock</c:v>
                </c:pt>
              </c:strCache>
            </c:strRef>
          </c:tx>
          <c:spPr>
            <a:ln w="31750">
              <a:solidFill>
                <a:schemeClr val="tx1"/>
              </a:solidFill>
              <a:prstDash val="dash"/>
            </a:ln>
          </c:spPr>
          <c:marker>
            <c:symbol val="none"/>
          </c:marker>
          <c:val>
            <c:numRef>
              <c:f>'Lists-Modules-ChartData'!$AT$160:$AY$160</c:f>
              <c:numCache>
                <c:formatCode>0.0</c:formatCode>
                <c:ptCount val="6"/>
                <c:pt idx="0">
                  <c:v>37.094606570883371</c:v>
                </c:pt>
                <c:pt idx="1">
                  <c:v>41.110895240749436</c:v>
                </c:pt>
                <c:pt idx="2">
                  <c:v>46.533080176173428</c:v>
                </c:pt>
                <c:pt idx="3">
                  <c:v>48.0787275778465</c:v>
                </c:pt>
                <c:pt idx="4">
                  <c:v>51.189894470002628</c:v>
                </c:pt>
                <c:pt idx="5">
                  <c:v>55.192876053756414</c:v>
                </c:pt>
              </c:numCache>
            </c:numRef>
          </c:val>
          <c:smooth val="0"/>
          <c:extLst>
            <c:ext xmlns:c16="http://schemas.microsoft.com/office/drawing/2014/chart" uri="{C3380CC4-5D6E-409C-BE32-E72D297353CC}">
              <c16:uniqueId val="{00000004-97D1-4EA6-AAAF-46A566D4F946}"/>
            </c:ext>
          </c:extLst>
        </c:ser>
        <c:dLbls>
          <c:showLegendKey val="0"/>
          <c:showVal val="0"/>
          <c:showCatName val="0"/>
          <c:showSerName val="0"/>
          <c:showPercent val="0"/>
          <c:showBubbleSize val="0"/>
        </c:dLbls>
        <c:smooth val="0"/>
        <c:axId val="545946832"/>
        <c:axId val="545950360"/>
      </c:lineChart>
      <c:catAx>
        <c:axId val="545946832"/>
        <c:scaling>
          <c:orientation val="minMax"/>
        </c:scaling>
        <c:delete val="0"/>
        <c:axPos val="b"/>
        <c:numFmt formatCode="General" sourceLinked="1"/>
        <c:majorTickMark val="in"/>
        <c:minorTickMark val="none"/>
        <c:tickLblPos val="nextTo"/>
        <c:spPr>
          <a:ln w="25400">
            <a:solidFill>
              <a:srgbClr val="C0C0C0"/>
            </a:solidFill>
            <a:prstDash val="solid"/>
          </a:ln>
        </c:spPr>
        <c:txPr>
          <a:bodyPr/>
          <a:lstStyle/>
          <a:p>
            <a:pPr>
              <a:defRPr sz="1400">
                <a:latin typeface="Segoe UI"/>
                <a:ea typeface="Segoe UI"/>
                <a:cs typeface="Segoe UI"/>
              </a:defRPr>
            </a:pPr>
            <a:endParaRPr lang="en-US"/>
          </a:p>
        </c:txPr>
        <c:crossAx val="545950360"/>
        <c:crosses val="autoZero"/>
        <c:auto val="1"/>
        <c:lblAlgn val="ctr"/>
        <c:lblOffset val="100"/>
        <c:noMultiLvlLbl val="0"/>
      </c:catAx>
      <c:valAx>
        <c:axId val="545950360"/>
        <c:scaling>
          <c:orientation val="minMax"/>
        </c:scaling>
        <c:delete val="0"/>
        <c:axPos val="l"/>
        <c:numFmt formatCode="#,##0" sourceLinked="0"/>
        <c:majorTickMark val="in"/>
        <c:minorTickMark val="none"/>
        <c:tickLblPos val="nextTo"/>
        <c:spPr>
          <a:ln w="25400">
            <a:solidFill>
              <a:srgbClr val="C0C0C0"/>
            </a:solidFill>
            <a:prstDash val="solid"/>
          </a:ln>
        </c:spPr>
        <c:txPr>
          <a:bodyPr/>
          <a:lstStyle/>
          <a:p>
            <a:pPr>
              <a:defRPr sz="1400">
                <a:latin typeface="Segoe UI"/>
                <a:ea typeface="Segoe UI"/>
                <a:cs typeface="Segoe UI"/>
              </a:defRPr>
            </a:pPr>
            <a:endParaRPr lang="en-US"/>
          </a:p>
        </c:txPr>
        <c:crossAx val="545946832"/>
        <c:crosses val="autoZero"/>
        <c:crossBetween val="midCat"/>
      </c:valAx>
      <c:spPr>
        <a:noFill/>
        <a:ln w="25400">
          <a:solidFill>
            <a:schemeClr val="bg1">
              <a:lumMod val="75000"/>
            </a:schemeClr>
          </a:solidFill>
        </a:ln>
      </c:spPr>
    </c:plotArea>
    <c:plotVisOnly val="1"/>
    <c:dispBlanksAs val="gap"/>
    <c:showDLblsOverMax val="0"/>
  </c:chart>
  <c:spPr>
    <a:noFill/>
    <a:ln w="9525">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'Lists-Modules-ChartData'!$AJ$3</c:f>
          <c:strCache>
            <c:ptCount val="1"/>
            <c:pt idx="0">
              <c:v>Gross Nominal Public Debt</c:v>
            </c:pt>
          </c:strCache>
        </c:strRef>
      </c:tx>
      <c:layout>
        <c:manualLayout>
          <c:xMode val="edge"/>
          <c:yMode val="edge"/>
          <c:x val="3.0343941382327252E-2"/>
          <c:y val="6.364210303803473E-4"/>
        </c:manualLayout>
      </c:layout>
      <c:overlay val="0"/>
      <c:txPr>
        <a:bodyPr/>
        <a:lstStyle/>
        <a:p>
          <a:pPr>
            <a:defRPr sz="1600" b="1">
              <a:solidFill>
                <a:sysClr val="windowText" lastClr="000000"/>
              </a:solidFill>
              <a:latin typeface="Segoe UI"/>
            </a:defRPr>
          </a:pPr>
          <a:endParaRPr lang="en-US"/>
        </a:p>
      </c:txPr>
    </c:title>
    <c:autoTitleDeleted val="0"/>
    <c:plotArea>
      <c:layout>
        <c:manualLayout>
          <c:layoutTarget val="inner"/>
          <c:xMode val="edge"/>
          <c:yMode val="edge"/>
          <c:x val="0.13033629344937744"/>
          <c:y val="0.18443850768653924"/>
          <c:w val="0.81403304700548795"/>
          <c:h val="0.7155580732264587"/>
        </c:manualLayout>
      </c:layout>
      <c:lineChart>
        <c:grouping val="standard"/>
        <c:varyColors val="0"/>
        <c:ser>
          <c:idx val="0"/>
          <c:order val="0"/>
          <c:tx>
            <c:strRef>
              <c:f>'Lists-Modules-ChartData'!$AQ$80</c:f>
              <c:strCache>
                <c:ptCount val="1"/>
                <c:pt idx="0">
                  <c:v>Baseline</c:v>
                </c:pt>
              </c:strCache>
            </c:strRef>
          </c:tx>
          <c:spPr>
            <a:ln w="31750">
              <a:solidFill>
                <a:srgbClr val="0070C0"/>
              </a:solidFill>
              <a:prstDash val="solid"/>
            </a:ln>
            <a:effectLst/>
          </c:spPr>
          <c:marker>
            <c:symbol val="none"/>
          </c:marker>
          <c:cat>
            <c:numRef>
              <c:f>'Lists-Modules-ChartData'!$AT$78:$AY$78</c:f>
              <c:numCache>
                <c:formatCode>General</c:formatCode>
                <c:ptCount val="6"/>
                <c:pt idx="0">
                  <c:v>2018</c:v>
                </c:pt>
                <c:pt idx="1">
                  <c:v>2019</c:v>
                </c:pt>
                <c:pt idx="2">
                  <c:v>2020</c:v>
                </c:pt>
                <c:pt idx="3">
                  <c:v>2021</c:v>
                </c:pt>
                <c:pt idx="4">
                  <c:v>2022</c:v>
                </c:pt>
                <c:pt idx="5">
                  <c:v>2023</c:v>
                </c:pt>
              </c:numCache>
            </c:numRef>
          </c:cat>
          <c:val>
            <c:numRef>
              <c:f>'Lists-Modules-ChartData'!$AT$82:$AY$82</c:f>
              <c:numCache>
                <c:formatCode>0.0</c:formatCode>
                <c:ptCount val="6"/>
                <c:pt idx="0">
                  <c:v>100.37625634878221</c:v>
                </c:pt>
                <c:pt idx="1">
                  <c:v>98.026642187439847</c:v>
                </c:pt>
                <c:pt idx="2">
                  <c:v>93.623115001559071</c:v>
                </c:pt>
                <c:pt idx="3">
                  <c:v>90.875952250685216</c:v>
                </c:pt>
                <c:pt idx="4">
                  <c:v>86.090985810202397</c:v>
                </c:pt>
                <c:pt idx="5">
                  <c:v>80.29861528787066</c:v>
                </c:pt>
              </c:numCache>
            </c:numRef>
          </c:val>
          <c:smooth val="0"/>
          <c:extLst>
            <c:ext xmlns:c16="http://schemas.microsoft.com/office/drawing/2014/chart" uri="{C3380CC4-5D6E-409C-BE32-E72D297353CC}">
              <c16:uniqueId val="{00000000-7A63-4075-94C8-79BE9CD4A08F}"/>
            </c:ext>
          </c:extLst>
        </c:ser>
        <c:ser>
          <c:idx val="6"/>
          <c:order val="1"/>
          <c:tx>
            <c:strRef>
              <c:f>'Lists-Modules-ChartData'!$AQ$169</c:f>
              <c:strCache>
                <c:ptCount val="1"/>
              </c:strCache>
            </c:strRef>
          </c:tx>
          <c:spPr>
            <a:ln w="31750">
              <a:solidFill>
                <a:srgbClr val="00B0F0"/>
              </a:solidFill>
              <a:prstDash val="solid"/>
            </a:ln>
          </c:spPr>
          <c:marker>
            <c:symbol val="none"/>
          </c:marker>
          <c:val>
            <c:numRef>
              <c:f>'Lists-Modules-ChartData'!$AT$171:$AY$171</c:f>
              <c:numCache>
                <c:formatCode>0.0</c:formatCode>
                <c:ptCount val="6"/>
                <c:pt idx="0">
                  <c:v>#N/A</c:v>
                </c:pt>
                <c:pt idx="1">
                  <c:v>#N/A</c:v>
                </c:pt>
                <c:pt idx="2">
                  <c:v>#N/A</c:v>
                </c:pt>
                <c:pt idx="3">
                  <c:v>#N/A</c:v>
                </c:pt>
                <c:pt idx="4">
                  <c:v>#N/A</c:v>
                </c:pt>
                <c:pt idx="5">
                  <c:v>#N/A</c:v>
                </c:pt>
              </c:numCache>
            </c:numRef>
          </c:val>
          <c:smooth val="0"/>
          <c:extLst>
            <c:ext xmlns:c16="http://schemas.microsoft.com/office/drawing/2014/chart" uri="{C3380CC4-5D6E-409C-BE32-E72D297353CC}">
              <c16:uniqueId val="{00000001-7A63-4075-94C8-79BE9CD4A08F}"/>
            </c:ext>
          </c:extLst>
        </c:ser>
        <c:ser>
          <c:idx val="7"/>
          <c:order val="2"/>
          <c:tx>
            <c:strRef>
              <c:f>'Lists-Modules-ChartData'!$AQ$179</c:f>
              <c:strCache>
                <c:ptCount val="1"/>
              </c:strCache>
            </c:strRef>
          </c:tx>
          <c:spPr>
            <a:ln w="31750">
              <a:solidFill>
                <a:srgbClr val="00CC00"/>
              </a:solidFill>
              <a:prstDash val="solid"/>
            </a:ln>
          </c:spPr>
          <c:marker>
            <c:symbol val="none"/>
          </c:marker>
          <c:val>
            <c:numRef>
              <c:f>'Lists-Modules-ChartData'!$AT$181:$AY$181</c:f>
              <c:numCache>
                <c:formatCode>0.0</c:formatCode>
                <c:ptCount val="6"/>
                <c:pt idx="0">
                  <c:v>#N/A</c:v>
                </c:pt>
                <c:pt idx="1">
                  <c:v>#N/A</c:v>
                </c:pt>
                <c:pt idx="2">
                  <c:v>#N/A</c:v>
                </c:pt>
                <c:pt idx="3">
                  <c:v>#N/A</c:v>
                </c:pt>
                <c:pt idx="4">
                  <c:v>#N/A</c:v>
                </c:pt>
                <c:pt idx="5">
                  <c:v>#N/A</c:v>
                </c:pt>
              </c:numCache>
            </c:numRef>
          </c:val>
          <c:smooth val="0"/>
          <c:extLst>
            <c:ext xmlns:c16="http://schemas.microsoft.com/office/drawing/2014/chart" uri="{C3380CC4-5D6E-409C-BE32-E72D297353CC}">
              <c16:uniqueId val="{00000002-7A63-4075-94C8-79BE9CD4A08F}"/>
            </c:ext>
          </c:extLst>
        </c:ser>
        <c:ser>
          <c:idx val="1"/>
          <c:order val="3"/>
          <c:tx>
            <c:strRef>
              <c:f>'Lists-Modules-ChartData'!$AQ$189</c:f>
              <c:strCache>
                <c:ptCount val="1"/>
              </c:strCache>
            </c:strRef>
          </c:tx>
          <c:spPr>
            <a:ln w="31750">
              <a:solidFill>
                <a:srgbClr val="993300"/>
              </a:solidFill>
              <a:prstDash val="solid"/>
            </a:ln>
          </c:spPr>
          <c:marker>
            <c:symbol val="none"/>
          </c:marker>
          <c:val>
            <c:numRef>
              <c:f>'Lists-Modules-ChartData'!$AT$191:$AY$191</c:f>
              <c:numCache>
                <c:formatCode>0.0</c:formatCode>
                <c:ptCount val="6"/>
                <c:pt idx="0">
                  <c:v>#N/A</c:v>
                </c:pt>
                <c:pt idx="1">
                  <c:v>#N/A</c:v>
                </c:pt>
                <c:pt idx="2">
                  <c:v>#N/A</c:v>
                </c:pt>
                <c:pt idx="3">
                  <c:v>#N/A</c:v>
                </c:pt>
                <c:pt idx="4">
                  <c:v>#N/A</c:v>
                </c:pt>
                <c:pt idx="5">
                  <c:v>#N/A</c:v>
                </c:pt>
              </c:numCache>
            </c:numRef>
          </c:val>
          <c:smooth val="0"/>
          <c:extLst>
            <c:ext xmlns:c16="http://schemas.microsoft.com/office/drawing/2014/chart" uri="{C3380CC4-5D6E-409C-BE32-E72D297353CC}">
              <c16:uniqueId val="{00000003-7A63-4075-94C8-79BE9CD4A08F}"/>
            </c:ext>
          </c:extLst>
        </c:ser>
        <c:ser>
          <c:idx val="5"/>
          <c:order val="4"/>
          <c:tx>
            <c:strRef>
              <c:f>'Lists-Modules-ChartData'!$AQ$159</c:f>
              <c:strCache>
                <c:ptCount val="1"/>
                <c:pt idx="0">
                  <c:v>Combined Shock</c:v>
                </c:pt>
              </c:strCache>
            </c:strRef>
          </c:tx>
          <c:spPr>
            <a:ln w="31750">
              <a:solidFill>
                <a:schemeClr val="tx1"/>
              </a:solidFill>
              <a:prstDash val="dash"/>
            </a:ln>
          </c:spPr>
          <c:marker>
            <c:symbol val="none"/>
          </c:marker>
          <c:val>
            <c:numRef>
              <c:f>'Lists-Modules-ChartData'!$AT$161:$AY$161</c:f>
              <c:numCache>
                <c:formatCode>0.0</c:formatCode>
                <c:ptCount val="6"/>
                <c:pt idx="0">
                  <c:v>100.40391596609757</c:v>
                </c:pt>
                <c:pt idx="1">
                  <c:v>0</c:v>
                </c:pt>
                <c:pt idx="2">
                  <c:v>0</c:v>
                </c:pt>
                <c:pt idx="3">
                  <c:v>0</c:v>
                </c:pt>
                <c:pt idx="4">
                  <c:v>0</c:v>
                </c:pt>
                <c:pt idx="5">
                  <c:v>0</c:v>
                </c:pt>
              </c:numCache>
            </c:numRef>
          </c:val>
          <c:smooth val="0"/>
          <c:extLst>
            <c:ext xmlns:c16="http://schemas.microsoft.com/office/drawing/2014/chart" uri="{C3380CC4-5D6E-409C-BE32-E72D297353CC}">
              <c16:uniqueId val="{00000004-7A63-4075-94C8-79BE9CD4A08F}"/>
            </c:ext>
          </c:extLst>
        </c:ser>
        <c:dLbls>
          <c:showLegendKey val="0"/>
          <c:showVal val="0"/>
          <c:showCatName val="0"/>
          <c:showSerName val="0"/>
          <c:showPercent val="0"/>
          <c:showBubbleSize val="0"/>
        </c:dLbls>
        <c:smooth val="0"/>
        <c:axId val="545953104"/>
        <c:axId val="545948400"/>
      </c:lineChart>
      <c:catAx>
        <c:axId val="545953104"/>
        <c:scaling>
          <c:orientation val="minMax"/>
        </c:scaling>
        <c:delete val="0"/>
        <c:axPos val="b"/>
        <c:numFmt formatCode="General" sourceLinked="1"/>
        <c:majorTickMark val="in"/>
        <c:minorTickMark val="none"/>
        <c:tickLblPos val="nextTo"/>
        <c:spPr>
          <a:ln w="25400">
            <a:solidFill>
              <a:srgbClr val="C0C0C0"/>
            </a:solidFill>
            <a:prstDash val="solid"/>
          </a:ln>
        </c:spPr>
        <c:txPr>
          <a:bodyPr/>
          <a:lstStyle/>
          <a:p>
            <a:pPr>
              <a:defRPr sz="1400">
                <a:latin typeface="Segoe UI"/>
                <a:ea typeface="Segoe UI"/>
                <a:cs typeface="Segoe UI"/>
              </a:defRPr>
            </a:pPr>
            <a:endParaRPr lang="en-US"/>
          </a:p>
        </c:txPr>
        <c:crossAx val="545948400"/>
        <c:crosses val="autoZero"/>
        <c:auto val="1"/>
        <c:lblAlgn val="ctr"/>
        <c:lblOffset val="100"/>
        <c:noMultiLvlLbl val="0"/>
      </c:catAx>
      <c:valAx>
        <c:axId val="545948400"/>
        <c:scaling>
          <c:orientation val="minMax"/>
        </c:scaling>
        <c:delete val="0"/>
        <c:axPos val="l"/>
        <c:numFmt formatCode="#,##0" sourceLinked="0"/>
        <c:majorTickMark val="in"/>
        <c:minorTickMark val="none"/>
        <c:tickLblPos val="nextTo"/>
        <c:spPr>
          <a:noFill/>
          <a:ln w="25400">
            <a:solidFill>
              <a:srgbClr val="C0C0C0"/>
            </a:solidFill>
            <a:prstDash val="solid"/>
          </a:ln>
        </c:spPr>
        <c:txPr>
          <a:bodyPr/>
          <a:lstStyle/>
          <a:p>
            <a:pPr>
              <a:defRPr sz="1400">
                <a:latin typeface="Segoe UI"/>
                <a:ea typeface="Segoe UI"/>
                <a:cs typeface="Segoe UI"/>
              </a:defRPr>
            </a:pPr>
            <a:endParaRPr lang="en-US"/>
          </a:p>
        </c:txPr>
        <c:crossAx val="545953104"/>
        <c:crosses val="autoZero"/>
        <c:crossBetween val="midCat"/>
      </c:valAx>
      <c:spPr>
        <a:solidFill>
          <a:srgbClr val="FFFFFF"/>
        </a:solidFill>
        <a:ln w="25400">
          <a:solidFill>
            <a:srgbClr val="C0C0C0"/>
          </a:solidFill>
          <a:prstDash val="solid"/>
        </a:ln>
      </c:spPr>
    </c:plotArea>
    <c:plotVisOnly val="1"/>
    <c:dispBlanksAs val="gap"/>
    <c:showDLblsOverMax val="0"/>
  </c:chart>
  <c:spPr>
    <a:noFill/>
    <a:ln w="9525">
      <a:noFill/>
    </a:ln>
  </c:spPr>
  <c:printSettings>
    <c:headerFooter/>
    <c:pageMargins b="0.75000000000001465" l="0.70000000000000062" r="0.70000000000000062" t="0.75000000000001465" header="0.30000000000000032" footer="0.30000000000000032"/>
    <c:pageSetup/>
  </c:printSettings>
  <c:userShapes r:id="rId1"/>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'Lists-Modules-ChartData'!$AD$7</c:f>
          <c:strCache>
            <c:ptCount val="1"/>
            <c:pt idx="0">
              <c:v>Public Gross Financing Needs</c:v>
            </c:pt>
          </c:strCache>
        </c:strRef>
      </c:tx>
      <c:layout>
        <c:manualLayout>
          <c:xMode val="edge"/>
          <c:yMode val="edge"/>
          <c:x val="4.5343030037912124E-2"/>
          <c:y val="5.9945268469348304E-3"/>
        </c:manualLayout>
      </c:layout>
      <c:overlay val="0"/>
      <c:txPr>
        <a:bodyPr/>
        <a:lstStyle/>
        <a:p>
          <a:pPr>
            <a:defRPr sz="1600" b="1">
              <a:solidFill>
                <a:sysClr val="windowText" lastClr="000000"/>
              </a:solidFill>
              <a:latin typeface="Segoe UI"/>
            </a:defRPr>
          </a:pPr>
          <a:endParaRPr lang="en-US"/>
        </a:p>
      </c:txPr>
    </c:title>
    <c:autoTitleDeleted val="0"/>
    <c:plotArea>
      <c:layout>
        <c:manualLayout>
          <c:layoutTarget val="inner"/>
          <c:xMode val="edge"/>
          <c:yMode val="edge"/>
          <c:x val="0.13033621312241594"/>
          <c:y val="0.18774316647113881"/>
          <c:w val="0.81403304700548795"/>
          <c:h val="0.70390942734225403"/>
        </c:manualLayout>
      </c:layout>
      <c:lineChart>
        <c:grouping val="standard"/>
        <c:varyColors val="0"/>
        <c:ser>
          <c:idx val="0"/>
          <c:order val="0"/>
          <c:tx>
            <c:strRef>
              <c:f>'Lists-Modules-ChartData'!$AQ$80</c:f>
              <c:strCache>
                <c:ptCount val="1"/>
                <c:pt idx="0">
                  <c:v>Baseline</c:v>
                </c:pt>
              </c:strCache>
            </c:strRef>
          </c:tx>
          <c:spPr>
            <a:ln w="31750">
              <a:solidFill>
                <a:srgbClr val="0070C0"/>
              </a:solidFill>
              <a:prstDash val="solid"/>
            </a:ln>
            <a:effectLst/>
          </c:spPr>
          <c:marker>
            <c:symbol val="none"/>
          </c:marker>
          <c:cat>
            <c:numRef>
              <c:f>'Lists-Modules-ChartData'!$AT$78:$AY$78</c:f>
              <c:numCache>
                <c:formatCode>General</c:formatCode>
                <c:ptCount val="6"/>
                <c:pt idx="0">
                  <c:v>2018</c:v>
                </c:pt>
                <c:pt idx="1">
                  <c:v>2019</c:v>
                </c:pt>
                <c:pt idx="2">
                  <c:v>2020</c:v>
                </c:pt>
                <c:pt idx="3">
                  <c:v>2021</c:v>
                </c:pt>
                <c:pt idx="4">
                  <c:v>2022</c:v>
                </c:pt>
                <c:pt idx="5">
                  <c:v>2023</c:v>
                </c:pt>
              </c:numCache>
            </c:numRef>
          </c:cat>
          <c:val>
            <c:numRef>
              <c:f>'Lists-Modules-ChartData'!$AT$84:$AY$84</c:f>
              <c:numCache>
                <c:formatCode>0.0</c:formatCode>
                <c:ptCount val="6"/>
                <c:pt idx="0">
                  <c:v>3.5984842323630626</c:v>
                </c:pt>
                <c:pt idx="1">
                  <c:v>2.736884117115657</c:v>
                </c:pt>
                <c:pt idx="2">
                  <c:v>2.3965618199100005</c:v>
                </c:pt>
                <c:pt idx="3">
                  <c:v>1.2003971380328871</c:v>
                </c:pt>
                <c:pt idx="4">
                  <c:v>-1.4862612076263433</c:v>
                </c:pt>
                <c:pt idx="5">
                  <c:v>-2.2506508944660197</c:v>
                </c:pt>
              </c:numCache>
            </c:numRef>
          </c:val>
          <c:smooth val="0"/>
          <c:extLst>
            <c:ext xmlns:c16="http://schemas.microsoft.com/office/drawing/2014/chart" uri="{C3380CC4-5D6E-409C-BE32-E72D297353CC}">
              <c16:uniqueId val="{00000000-BCE1-452E-97B5-717738E7EDBE}"/>
            </c:ext>
          </c:extLst>
        </c:ser>
        <c:ser>
          <c:idx val="6"/>
          <c:order val="1"/>
          <c:tx>
            <c:strRef>
              <c:f>'Lists-Modules-ChartData'!$AQ$169</c:f>
              <c:strCache>
                <c:ptCount val="1"/>
              </c:strCache>
            </c:strRef>
          </c:tx>
          <c:spPr>
            <a:ln w="31750">
              <a:solidFill>
                <a:srgbClr val="00B0F0"/>
              </a:solidFill>
              <a:prstDash val="solid"/>
            </a:ln>
          </c:spPr>
          <c:marker>
            <c:symbol val="none"/>
          </c:marker>
          <c:val>
            <c:numRef>
              <c:f>'Lists-Modules-ChartData'!$AT$173:$AY$173</c:f>
              <c:numCache>
                <c:formatCode>0.0</c:formatCode>
                <c:ptCount val="6"/>
                <c:pt idx="0">
                  <c:v>#N/A</c:v>
                </c:pt>
                <c:pt idx="1">
                  <c:v>#N/A</c:v>
                </c:pt>
                <c:pt idx="2">
                  <c:v>#N/A</c:v>
                </c:pt>
                <c:pt idx="3">
                  <c:v>#N/A</c:v>
                </c:pt>
                <c:pt idx="4">
                  <c:v>#N/A</c:v>
                </c:pt>
                <c:pt idx="5">
                  <c:v>#N/A</c:v>
                </c:pt>
              </c:numCache>
            </c:numRef>
          </c:val>
          <c:smooth val="0"/>
          <c:extLst>
            <c:ext xmlns:c16="http://schemas.microsoft.com/office/drawing/2014/chart" uri="{C3380CC4-5D6E-409C-BE32-E72D297353CC}">
              <c16:uniqueId val="{00000001-BCE1-452E-97B5-717738E7EDBE}"/>
            </c:ext>
          </c:extLst>
        </c:ser>
        <c:ser>
          <c:idx val="7"/>
          <c:order val="2"/>
          <c:tx>
            <c:strRef>
              <c:f>'Lists-Modules-ChartData'!$AQ$179</c:f>
              <c:strCache>
                <c:ptCount val="1"/>
              </c:strCache>
            </c:strRef>
          </c:tx>
          <c:spPr>
            <a:ln w="31750">
              <a:solidFill>
                <a:srgbClr val="00CC00"/>
              </a:solidFill>
              <a:prstDash val="solid"/>
            </a:ln>
          </c:spPr>
          <c:marker>
            <c:symbol val="none"/>
          </c:marker>
          <c:val>
            <c:numRef>
              <c:f>'Lists-Modules-ChartData'!$AT$183:$AY$183</c:f>
              <c:numCache>
                <c:formatCode>0.0</c:formatCode>
                <c:ptCount val="6"/>
                <c:pt idx="0">
                  <c:v>#N/A</c:v>
                </c:pt>
                <c:pt idx="1">
                  <c:v>#N/A</c:v>
                </c:pt>
                <c:pt idx="2">
                  <c:v>#N/A</c:v>
                </c:pt>
                <c:pt idx="3">
                  <c:v>#N/A</c:v>
                </c:pt>
                <c:pt idx="4">
                  <c:v>#N/A</c:v>
                </c:pt>
                <c:pt idx="5">
                  <c:v>#N/A</c:v>
                </c:pt>
              </c:numCache>
            </c:numRef>
          </c:val>
          <c:smooth val="0"/>
          <c:extLst>
            <c:ext xmlns:c16="http://schemas.microsoft.com/office/drawing/2014/chart" uri="{C3380CC4-5D6E-409C-BE32-E72D297353CC}">
              <c16:uniqueId val="{00000002-BCE1-452E-97B5-717738E7EDBE}"/>
            </c:ext>
          </c:extLst>
        </c:ser>
        <c:ser>
          <c:idx val="1"/>
          <c:order val="3"/>
          <c:tx>
            <c:strRef>
              <c:f>'Lists-Modules-ChartData'!$AQ$189</c:f>
              <c:strCache>
                <c:ptCount val="1"/>
              </c:strCache>
            </c:strRef>
          </c:tx>
          <c:spPr>
            <a:ln w="31750">
              <a:solidFill>
                <a:srgbClr val="993300"/>
              </a:solidFill>
              <a:prstDash val="solid"/>
            </a:ln>
          </c:spPr>
          <c:marker>
            <c:symbol val="none"/>
          </c:marker>
          <c:val>
            <c:numRef>
              <c:f>'Lists-Modules-ChartData'!$AT$193:$AY$193</c:f>
              <c:numCache>
                <c:formatCode>0.0</c:formatCode>
                <c:ptCount val="6"/>
                <c:pt idx="0">
                  <c:v>#N/A</c:v>
                </c:pt>
                <c:pt idx="1">
                  <c:v>#N/A</c:v>
                </c:pt>
                <c:pt idx="2">
                  <c:v>#N/A</c:v>
                </c:pt>
                <c:pt idx="3">
                  <c:v>#N/A</c:v>
                </c:pt>
                <c:pt idx="4">
                  <c:v>#N/A</c:v>
                </c:pt>
                <c:pt idx="5">
                  <c:v>#N/A</c:v>
                </c:pt>
              </c:numCache>
            </c:numRef>
          </c:val>
          <c:smooth val="0"/>
          <c:extLst>
            <c:ext xmlns:c16="http://schemas.microsoft.com/office/drawing/2014/chart" uri="{C3380CC4-5D6E-409C-BE32-E72D297353CC}">
              <c16:uniqueId val="{00000003-BCE1-452E-97B5-717738E7EDBE}"/>
            </c:ext>
          </c:extLst>
        </c:ser>
        <c:ser>
          <c:idx val="5"/>
          <c:order val="4"/>
          <c:tx>
            <c:strRef>
              <c:f>'Lists-Modules-ChartData'!$AQ$159</c:f>
              <c:strCache>
                <c:ptCount val="1"/>
                <c:pt idx="0">
                  <c:v>Combined Shock</c:v>
                </c:pt>
              </c:strCache>
            </c:strRef>
          </c:tx>
          <c:spPr>
            <a:ln w="31750">
              <a:solidFill>
                <a:schemeClr val="tx1"/>
              </a:solidFill>
              <a:prstDash val="dash"/>
            </a:ln>
          </c:spPr>
          <c:marker>
            <c:symbol val="none"/>
          </c:marker>
          <c:val>
            <c:numRef>
              <c:f>'Lists-Modules-ChartData'!$AT$163:$AY$163</c:f>
              <c:numCache>
                <c:formatCode>0.0</c:formatCode>
                <c:ptCount val="6"/>
                <c:pt idx="0">
                  <c:v>3.5994671534530136</c:v>
                </c:pt>
                <c:pt idx="1">
                  <c:v>9.3137736604313091</c:v>
                </c:pt>
                <c:pt idx="2">
                  <c:v>18.073757129633336</c:v>
                </c:pt>
                <c:pt idx="3">
                  <c:v>25.45760339959476</c:v>
                </c:pt>
                <c:pt idx="4">
                  <c:v>30.438910168985327</c:v>
                </c:pt>
                <c:pt idx="5">
                  <c:v>35.196659379365123</c:v>
                </c:pt>
              </c:numCache>
            </c:numRef>
          </c:val>
          <c:smooth val="0"/>
          <c:extLst>
            <c:ext xmlns:c16="http://schemas.microsoft.com/office/drawing/2014/chart" uri="{C3380CC4-5D6E-409C-BE32-E72D297353CC}">
              <c16:uniqueId val="{00000004-BCE1-452E-97B5-717738E7EDBE}"/>
            </c:ext>
          </c:extLst>
        </c:ser>
        <c:dLbls>
          <c:showLegendKey val="0"/>
          <c:showVal val="0"/>
          <c:showCatName val="0"/>
          <c:showSerName val="0"/>
          <c:showPercent val="0"/>
          <c:showBubbleSize val="0"/>
        </c:dLbls>
        <c:smooth val="0"/>
        <c:axId val="545949576"/>
        <c:axId val="545954280"/>
      </c:lineChart>
      <c:catAx>
        <c:axId val="545949576"/>
        <c:scaling>
          <c:orientation val="minMax"/>
        </c:scaling>
        <c:delete val="0"/>
        <c:axPos val="b"/>
        <c:numFmt formatCode="General" sourceLinked="1"/>
        <c:majorTickMark val="in"/>
        <c:minorTickMark val="none"/>
        <c:tickLblPos val="nextTo"/>
        <c:spPr>
          <a:ln w="25400">
            <a:solidFill>
              <a:srgbClr val="C0C0C0"/>
            </a:solidFill>
            <a:prstDash val="solid"/>
          </a:ln>
        </c:spPr>
        <c:txPr>
          <a:bodyPr/>
          <a:lstStyle/>
          <a:p>
            <a:pPr>
              <a:defRPr sz="1400">
                <a:latin typeface="Segoe UI"/>
                <a:ea typeface="Segoe UI"/>
                <a:cs typeface="Segoe UI"/>
              </a:defRPr>
            </a:pPr>
            <a:endParaRPr lang="en-US"/>
          </a:p>
        </c:txPr>
        <c:crossAx val="545954280"/>
        <c:crosses val="autoZero"/>
        <c:auto val="1"/>
        <c:lblAlgn val="ctr"/>
        <c:lblOffset val="100"/>
        <c:noMultiLvlLbl val="0"/>
      </c:catAx>
      <c:valAx>
        <c:axId val="545954280"/>
        <c:scaling>
          <c:orientation val="minMax"/>
        </c:scaling>
        <c:delete val="0"/>
        <c:axPos val="l"/>
        <c:numFmt formatCode="#,##0" sourceLinked="0"/>
        <c:majorTickMark val="in"/>
        <c:minorTickMark val="none"/>
        <c:tickLblPos val="nextTo"/>
        <c:spPr>
          <a:ln w="25400">
            <a:solidFill>
              <a:srgbClr val="C0C0C0"/>
            </a:solidFill>
            <a:prstDash val="solid"/>
          </a:ln>
        </c:spPr>
        <c:txPr>
          <a:bodyPr/>
          <a:lstStyle/>
          <a:p>
            <a:pPr>
              <a:defRPr sz="1400">
                <a:latin typeface="Segoe UI"/>
                <a:ea typeface="Segoe UI"/>
                <a:cs typeface="Segoe UI"/>
              </a:defRPr>
            </a:pPr>
            <a:endParaRPr lang="en-US"/>
          </a:p>
        </c:txPr>
        <c:crossAx val="545949576"/>
        <c:crosses val="autoZero"/>
        <c:crossBetween val="midCat"/>
      </c:valAx>
      <c:spPr>
        <a:solidFill>
          <a:srgbClr val="FFFFFF"/>
        </a:solidFill>
        <a:ln w="25400">
          <a:solidFill>
            <a:srgbClr val="C0C0C0"/>
          </a:solidFill>
          <a:prstDash val="solid"/>
        </a:ln>
      </c:spPr>
    </c:plotArea>
    <c:plotVisOnly val="1"/>
    <c:dispBlanksAs val="gap"/>
    <c:showDLblsOverMax val="0"/>
  </c:chart>
  <c:spPr>
    <a:noFill/>
    <a:ln w="9525">
      <a:noFill/>
    </a:ln>
  </c:spPr>
  <c:printSettings>
    <c:headerFooter/>
    <c:pageMargins b="0.75000000000001465" l="0.70000000000000062" r="0.70000000000000062" t="0.75000000000001465" header="0.30000000000000032" footer="0.30000000000000032"/>
    <c:pageSetup/>
  </c:printSettings>
  <c:userShapes r:id="rId1"/>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914437378020867"/>
          <c:y val="6.9444444444449012E-3"/>
          <c:w val="0.78068468604886065"/>
          <c:h val="0.95478291776028001"/>
        </c:manualLayout>
      </c:layout>
      <c:barChart>
        <c:barDir val="col"/>
        <c:grouping val="stacked"/>
        <c:varyColors val="0"/>
        <c:ser>
          <c:idx val="4"/>
          <c:order val="0"/>
          <c:tx>
            <c:strRef>
              <c:f>'Lists-Modules-ChartData'!$BN$34</c:f>
              <c:strCache>
                <c:ptCount val="1"/>
                <c:pt idx="0">
                  <c:v>Latvia</c:v>
                </c:pt>
              </c:strCache>
            </c:strRef>
          </c:tx>
          <c:spPr>
            <a:solidFill>
              <a:schemeClr val="accent5">
                <a:lumMod val="40000"/>
                <a:lumOff val="60000"/>
              </a:schemeClr>
            </a:solidFill>
            <a:ln w="12700">
              <a:solidFill>
                <a:schemeClr val="tx1"/>
              </a:solidFill>
              <a:prstDash val="solid"/>
            </a:ln>
            <a:effectLst/>
          </c:spPr>
          <c:invertIfNegative val="0"/>
          <c:val>
            <c:numRef>
              <c:f>'Lists-Modules-ChartData'!$BN$35:$BN$37</c:f>
              <c:numCache>
                <c:formatCode>0.00</c:formatCode>
                <c:ptCount val="3"/>
                <c:pt idx="0" formatCode="General">
                  <c:v>#N/A</c:v>
                </c:pt>
                <c:pt idx="1">
                  <c:v>0.12499999999998983</c:v>
                </c:pt>
                <c:pt idx="2" formatCode="General">
                  <c:v>#N/A</c:v>
                </c:pt>
              </c:numCache>
            </c:numRef>
          </c:val>
          <c:extLst>
            <c:ext xmlns:c16="http://schemas.microsoft.com/office/drawing/2014/chart" uri="{C3380CC4-5D6E-409C-BE32-E72D297353CC}">
              <c16:uniqueId val="{00000000-4335-4732-A123-8213DCC9F9AB}"/>
            </c:ext>
          </c:extLst>
        </c:ser>
        <c:dLbls>
          <c:showLegendKey val="0"/>
          <c:showVal val="0"/>
          <c:showCatName val="0"/>
          <c:showSerName val="0"/>
          <c:showPercent val="0"/>
          <c:showBubbleSize val="0"/>
        </c:dLbls>
        <c:gapWidth val="60"/>
        <c:overlap val="100"/>
        <c:axId val="545950752"/>
        <c:axId val="545944480"/>
      </c:barChart>
      <c:lineChart>
        <c:grouping val="standard"/>
        <c:varyColors val="0"/>
        <c:ser>
          <c:idx val="0"/>
          <c:order val="1"/>
          <c:tx>
            <c:strRef>
              <c:f>'Lists-Modules-ChartData'!$BP$34</c:f>
              <c:strCache>
                <c:ptCount val="1"/>
                <c:pt idx="0">
                  <c:v>20</c:v>
                </c:pt>
              </c:strCache>
            </c:strRef>
          </c:tx>
          <c:spPr>
            <a:ln>
              <a:prstDash val="dash"/>
            </a:ln>
          </c:spPr>
          <c:marker>
            <c:symbol val="none"/>
          </c:marker>
          <c:dLbls>
            <c:dLbl>
              <c:idx val="1"/>
              <c:delete val="1"/>
              <c:extLst>
                <c:ext xmlns:c15="http://schemas.microsoft.com/office/drawing/2012/chart" uri="{CE6537A1-D6FC-4f65-9D91-7224C49458BB}"/>
                <c:ext xmlns:c16="http://schemas.microsoft.com/office/drawing/2014/chart" uri="{C3380CC4-5D6E-409C-BE32-E72D297353CC}">
                  <c16:uniqueId val="{00000001-4335-4732-A123-8213DCC9F9AB}"/>
                </c:ext>
              </c:extLst>
            </c:dLbl>
            <c:dLbl>
              <c:idx val="2"/>
              <c:delete val="1"/>
              <c:extLst>
                <c:ext xmlns:c15="http://schemas.microsoft.com/office/drawing/2012/chart" uri="{CE6537A1-D6FC-4f65-9D91-7224C49458BB}"/>
                <c:ext xmlns:c16="http://schemas.microsoft.com/office/drawing/2014/chart" uri="{C3380CC4-5D6E-409C-BE32-E72D297353CC}">
                  <c16:uniqueId val="{00000002-4335-4732-A123-8213DCC9F9AB}"/>
                </c:ext>
              </c:extLst>
            </c:dLbl>
            <c:spPr>
              <a:noFill/>
              <a:ln>
                <a:noFill/>
              </a:ln>
              <a:effectLst/>
            </c:spPr>
            <c:txPr>
              <a:bodyPr/>
              <a:lstStyle/>
              <a:p>
                <a:pPr>
                  <a:defRPr sz="1200">
                    <a:latin typeface="Segoe UI" pitchFamily="34" charset="0"/>
                    <a:cs typeface="Segoe UI" pitchFamily="34" charset="0"/>
                  </a:defRPr>
                </a:pPr>
                <a:endParaRPr lang="en-US"/>
              </a:p>
            </c:txPr>
            <c:dLblPos val="l"/>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'Lists-Modules-ChartData'!$BP$35:$BP$37</c:f>
              <c:numCache>
                <c:formatCode>General</c:formatCode>
                <c:ptCount val="3"/>
                <c:pt idx="0">
                  <c:v>25</c:v>
                </c:pt>
                <c:pt idx="1">
                  <c:v>25</c:v>
                </c:pt>
                <c:pt idx="2">
                  <c:v>25</c:v>
                </c:pt>
              </c:numCache>
            </c:numRef>
          </c:val>
          <c:smooth val="0"/>
          <c:extLst>
            <c:ext xmlns:c16="http://schemas.microsoft.com/office/drawing/2014/chart" uri="{C3380CC4-5D6E-409C-BE32-E72D297353CC}">
              <c16:uniqueId val="{00000003-4335-4732-A123-8213DCC9F9AB}"/>
            </c:ext>
          </c:extLst>
        </c:ser>
        <c:ser>
          <c:idx val="1"/>
          <c:order val="2"/>
          <c:tx>
            <c:strRef>
              <c:f>'Lists-Modules-ChartData'!$BQ$34</c:f>
              <c:strCache>
                <c:ptCount val="1"/>
                <c:pt idx="0">
                  <c:v>60</c:v>
                </c:pt>
              </c:strCache>
            </c:strRef>
          </c:tx>
          <c:spPr>
            <a:ln>
              <a:solidFill>
                <a:srgbClr val="002060"/>
              </a:solidFill>
              <a:prstDash val="dash"/>
            </a:ln>
          </c:spPr>
          <c:marker>
            <c:symbol val="none"/>
          </c:marker>
          <c:dLbls>
            <c:dLbl>
              <c:idx val="1"/>
              <c:delete val="1"/>
              <c:extLst>
                <c:ext xmlns:c15="http://schemas.microsoft.com/office/drawing/2012/chart" uri="{CE6537A1-D6FC-4f65-9D91-7224C49458BB}"/>
                <c:ext xmlns:c16="http://schemas.microsoft.com/office/drawing/2014/chart" uri="{C3380CC4-5D6E-409C-BE32-E72D297353CC}">
                  <c16:uniqueId val="{00000004-4335-4732-A123-8213DCC9F9AB}"/>
                </c:ext>
              </c:extLst>
            </c:dLbl>
            <c:dLbl>
              <c:idx val="2"/>
              <c:delete val="1"/>
              <c:extLst>
                <c:ext xmlns:c15="http://schemas.microsoft.com/office/drawing/2012/chart" uri="{CE6537A1-D6FC-4f65-9D91-7224C49458BB}"/>
                <c:ext xmlns:c16="http://schemas.microsoft.com/office/drawing/2014/chart" uri="{C3380CC4-5D6E-409C-BE32-E72D297353CC}">
                  <c16:uniqueId val="{00000005-4335-4732-A123-8213DCC9F9AB}"/>
                </c:ext>
              </c:extLst>
            </c:dLbl>
            <c:spPr>
              <a:noFill/>
              <a:ln>
                <a:noFill/>
              </a:ln>
              <a:effectLst/>
            </c:spPr>
            <c:txPr>
              <a:bodyPr/>
              <a:lstStyle/>
              <a:p>
                <a:pPr>
                  <a:defRPr sz="1200">
                    <a:latin typeface="Segoe UI" pitchFamily="34" charset="0"/>
                    <a:cs typeface="Segoe UI" pitchFamily="34" charset="0"/>
                  </a:defRPr>
                </a:pPr>
                <a:endParaRPr lang="en-US"/>
              </a:p>
            </c:txPr>
            <c:dLblPos val="l"/>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'Lists-Modules-ChartData'!$BQ$35:$BQ$37</c:f>
              <c:numCache>
                <c:formatCode>General</c:formatCode>
                <c:ptCount val="3"/>
                <c:pt idx="0">
                  <c:v>75</c:v>
                </c:pt>
                <c:pt idx="1">
                  <c:v>75</c:v>
                </c:pt>
                <c:pt idx="2">
                  <c:v>75</c:v>
                </c:pt>
              </c:numCache>
            </c:numRef>
          </c:val>
          <c:smooth val="0"/>
          <c:extLst>
            <c:ext xmlns:c16="http://schemas.microsoft.com/office/drawing/2014/chart" uri="{C3380CC4-5D6E-409C-BE32-E72D297353CC}">
              <c16:uniqueId val="{00000006-4335-4732-A123-8213DCC9F9AB}"/>
            </c:ext>
          </c:extLst>
        </c:ser>
        <c:dLbls>
          <c:showLegendKey val="0"/>
          <c:showVal val="0"/>
          <c:showCatName val="0"/>
          <c:showSerName val="0"/>
          <c:showPercent val="0"/>
          <c:showBubbleSize val="0"/>
        </c:dLbls>
        <c:marker val="1"/>
        <c:smooth val="0"/>
        <c:axId val="545950752"/>
        <c:axId val="545944480"/>
      </c:lineChart>
      <c:scatterChart>
        <c:scatterStyle val="lineMarker"/>
        <c:varyColors val="0"/>
        <c:ser>
          <c:idx val="6"/>
          <c:order val="3"/>
          <c:tx>
            <c:strRef>
              <c:f>'Lists-Modules-ChartData'!$BS$36</c:f>
              <c:strCache>
                <c:ptCount val="1"/>
                <c:pt idx="0">
                  <c:v>0%</c:v>
                </c:pt>
              </c:strCache>
            </c:strRef>
          </c:tx>
          <c:spPr>
            <a:ln w="28575">
              <a:noFill/>
            </a:ln>
          </c:spPr>
          <c:marker>
            <c:symbol val="none"/>
          </c:marker>
          <c:dLbls>
            <c:spPr>
              <a:noFill/>
              <a:ln>
                <a:noFill/>
              </a:ln>
              <a:effectLst/>
            </c:spPr>
            <c:txPr>
              <a:bodyPr/>
              <a:lstStyle/>
              <a:p>
                <a:pPr>
                  <a:defRPr sz="1200" b="1">
                    <a:latin typeface="Segoe UI" pitchFamily="34" charset="0"/>
                    <a:cs typeface="Segoe UI" pitchFamily="34" charset="0"/>
                  </a:defRPr>
                </a:pPr>
                <a:endParaRPr lang="en-US"/>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'Lists-Modules-ChartData'!$BT$35:$BT$37</c:f>
              <c:numCache>
                <c:formatCode>General</c:formatCode>
                <c:ptCount val="3"/>
                <c:pt idx="0">
                  <c:v>#N/A</c:v>
                </c:pt>
                <c:pt idx="1">
                  <c:v>2</c:v>
                </c:pt>
                <c:pt idx="2">
                  <c:v>#N/A</c:v>
                </c:pt>
              </c:numCache>
            </c:numRef>
          </c:xVal>
          <c:yVal>
            <c:numRef>
              <c:f>'Lists-Modules-ChartData'!$BU$35:$BU$37</c:f>
              <c:numCache>
                <c:formatCode>0.00</c:formatCode>
                <c:ptCount val="3"/>
                <c:pt idx="0" formatCode="General">
                  <c:v>#N/A</c:v>
                </c:pt>
                <c:pt idx="1">
                  <c:v>0.12499999999998983</c:v>
                </c:pt>
                <c:pt idx="2" formatCode="General">
                  <c:v>#N/A</c:v>
                </c:pt>
              </c:numCache>
            </c:numRef>
          </c:yVal>
          <c:smooth val="0"/>
          <c:extLst>
            <c:ext xmlns:c16="http://schemas.microsoft.com/office/drawing/2014/chart" uri="{C3380CC4-5D6E-409C-BE32-E72D297353CC}">
              <c16:uniqueId val="{00000007-4335-4732-A123-8213DCC9F9AB}"/>
            </c:ext>
          </c:extLst>
        </c:ser>
        <c:ser>
          <c:idx val="2"/>
          <c:order val="4"/>
          <c:tx>
            <c:strRef>
              <c:f>'Lists-Modules-ChartData'!$BX$13</c:f>
              <c:strCache>
                <c:ptCount val="1"/>
                <c:pt idx="0">
                  <c:v>Max</c:v>
                </c:pt>
              </c:strCache>
            </c:strRef>
          </c:tx>
          <c:spPr>
            <a:ln w="28575">
              <a:noFill/>
            </a:ln>
          </c:spPr>
          <c:marker>
            <c:symbol val="none"/>
          </c:marker>
          <c:xVal>
            <c:numRef>
              <c:f>'Lists-Modules-ChartData'!$BW$15:$BW$17</c:f>
              <c:numCache>
                <c:formatCode>General</c:formatCode>
                <c:ptCount val="3"/>
                <c:pt idx="0">
                  <c:v>1</c:v>
                </c:pt>
                <c:pt idx="1">
                  <c:v>2</c:v>
                </c:pt>
                <c:pt idx="2">
                  <c:v>3</c:v>
                </c:pt>
              </c:numCache>
            </c:numRef>
          </c:xVal>
          <c:yVal>
            <c:numRef>
              <c:f>'Lists-Modules-ChartData'!$BX$15:$BX$17</c:f>
              <c:numCache>
                <c:formatCode>General</c:formatCode>
                <c:ptCount val="3"/>
                <c:pt idx="0">
                  <c:v>313</c:v>
                </c:pt>
                <c:pt idx="1">
                  <c:v>313</c:v>
                </c:pt>
                <c:pt idx="2">
                  <c:v>313</c:v>
                </c:pt>
              </c:numCache>
            </c:numRef>
          </c:yVal>
          <c:smooth val="0"/>
          <c:extLst>
            <c:ext xmlns:c16="http://schemas.microsoft.com/office/drawing/2014/chart" uri="{C3380CC4-5D6E-409C-BE32-E72D297353CC}">
              <c16:uniqueId val="{00000008-4335-4732-A123-8213DCC9F9AB}"/>
            </c:ext>
          </c:extLst>
        </c:ser>
        <c:ser>
          <c:idx val="3"/>
          <c:order val="5"/>
          <c:tx>
            <c:strRef>
              <c:f>'Lists-Modules-ChartData'!$BY$13</c:f>
              <c:strCache>
                <c:ptCount val="1"/>
                <c:pt idx="0">
                  <c:v>Min</c:v>
                </c:pt>
              </c:strCache>
            </c:strRef>
          </c:tx>
          <c:spPr>
            <a:ln w="28575">
              <a:noFill/>
            </a:ln>
          </c:spPr>
          <c:marker>
            <c:symbol val="none"/>
          </c:marker>
          <c:xVal>
            <c:numRef>
              <c:f>'Lists-Modules-ChartData'!$BW$15:$BW$17</c:f>
              <c:numCache>
                <c:formatCode>General</c:formatCode>
                <c:ptCount val="3"/>
                <c:pt idx="0">
                  <c:v>1</c:v>
                </c:pt>
                <c:pt idx="1">
                  <c:v>2</c:v>
                </c:pt>
                <c:pt idx="2">
                  <c:v>3</c:v>
                </c:pt>
              </c:numCache>
            </c:numRef>
          </c:xVal>
          <c:yVal>
            <c:numRef>
              <c:f>'Lists-Modules-ChartData'!$BY$15:$BY$17</c:f>
              <c:numCache>
                <c:formatCode>General</c:formatCode>
                <c:ptCount val="3"/>
                <c:pt idx="0">
                  <c:v>0</c:v>
                </c:pt>
                <c:pt idx="1">
                  <c:v>0</c:v>
                </c:pt>
                <c:pt idx="2">
                  <c:v>0</c:v>
                </c:pt>
              </c:numCache>
            </c:numRef>
          </c:yVal>
          <c:smooth val="0"/>
          <c:extLst>
            <c:ext xmlns:c16="http://schemas.microsoft.com/office/drawing/2014/chart" uri="{C3380CC4-5D6E-409C-BE32-E72D297353CC}">
              <c16:uniqueId val="{00000009-4335-4732-A123-8213DCC9F9AB}"/>
            </c:ext>
          </c:extLst>
        </c:ser>
        <c:dLbls>
          <c:showLegendKey val="0"/>
          <c:showVal val="0"/>
          <c:showCatName val="0"/>
          <c:showSerName val="0"/>
          <c:showPercent val="0"/>
          <c:showBubbleSize val="0"/>
        </c:dLbls>
        <c:axId val="545950752"/>
        <c:axId val="545944480"/>
      </c:scatterChart>
      <c:valAx>
        <c:axId val="545944480"/>
        <c:scaling>
          <c:orientation val="minMax"/>
        </c:scaling>
        <c:delete val="1"/>
        <c:axPos val="l"/>
        <c:numFmt formatCode="0" sourceLinked="0"/>
        <c:majorTickMark val="out"/>
        <c:minorTickMark val="none"/>
        <c:tickLblPos val="none"/>
        <c:crossAx val="545950752"/>
        <c:crosses val="autoZero"/>
        <c:crossBetween val="midCat"/>
      </c:valAx>
      <c:catAx>
        <c:axId val="545950752"/>
        <c:scaling>
          <c:orientation val="minMax"/>
        </c:scaling>
        <c:delete val="0"/>
        <c:axPos val="b"/>
        <c:numFmt formatCode="General" sourceLinked="1"/>
        <c:majorTickMark val="none"/>
        <c:minorTickMark val="none"/>
        <c:tickLblPos val="nextTo"/>
        <c:spPr>
          <a:ln>
            <a:solidFill>
              <a:srgbClr val="C0C0C0"/>
            </a:solidFill>
          </a:ln>
        </c:spPr>
        <c:txPr>
          <a:bodyPr/>
          <a:lstStyle/>
          <a:p>
            <a:pPr>
              <a:defRPr sz="600">
                <a:solidFill>
                  <a:schemeClr val="bg1"/>
                </a:solidFill>
              </a:defRPr>
            </a:pPr>
            <a:endParaRPr lang="en-US"/>
          </a:p>
        </c:txPr>
        <c:crossAx val="545944480"/>
        <c:crosses val="autoZero"/>
        <c:auto val="0"/>
        <c:lblAlgn val="r"/>
        <c:lblOffset val="100"/>
        <c:noMultiLvlLbl val="0"/>
      </c:catAx>
      <c:spPr>
        <a:solidFill>
          <a:srgbClr val="FFFFFF"/>
        </a:solidFill>
        <a:ln w="25400">
          <a:solidFill>
            <a:srgbClr val="C0C0C0"/>
          </a:solidFill>
          <a:prstDash val="solid"/>
        </a:ln>
      </c:spPr>
    </c:plotArea>
    <c:plotVisOnly val="1"/>
    <c:dispBlanksAs val="gap"/>
    <c:showDLblsOverMax val="0"/>
  </c:chart>
  <c:spPr>
    <a:noFill/>
    <a:ln w="25400">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836740359379026"/>
          <c:y val="2.6352627463760692E-3"/>
          <c:w val="0.80146165623527865"/>
          <c:h val="0.95857297417591536"/>
        </c:manualLayout>
      </c:layout>
      <c:barChart>
        <c:barDir val="col"/>
        <c:grouping val="stacked"/>
        <c:varyColors val="0"/>
        <c:ser>
          <c:idx val="4"/>
          <c:order val="0"/>
          <c:tx>
            <c:strRef>
              <c:f>'Lists-Modules-ChartData'!$BN$14</c:f>
              <c:strCache>
                <c:ptCount val="1"/>
                <c:pt idx="0">
                  <c:v>Latvia</c:v>
                </c:pt>
              </c:strCache>
            </c:strRef>
          </c:tx>
          <c:spPr>
            <a:solidFill>
              <a:schemeClr val="accent5">
                <a:lumMod val="40000"/>
                <a:lumOff val="60000"/>
              </a:schemeClr>
            </a:solidFill>
            <a:ln w="12700">
              <a:solidFill>
                <a:schemeClr val="tx1"/>
              </a:solidFill>
              <a:prstDash val="solid"/>
            </a:ln>
            <a:effectLst/>
          </c:spPr>
          <c:invertIfNegative val="0"/>
          <c:val>
            <c:numRef>
              <c:f>'Lists-Modules-ChartData'!$BN$15:$BN$17</c:f>
              <c:numCache>
                <c:formatCode>General</c:formatCode>
                <c:ptCount val="3"/>
                <c:pt idx="0">
                  <c:v>#N/A</c:v>
                </c:pt>
                <c:pt idx="1">
                  <c:v>7.125</c:v>
                </c:pt>
                <c:pt idx="2">
                  <c:v>#N/A</c:v>
                </c:pt>
              </c:numCache>
            </c:numRef>
          </c:val>
          <c:extLst>
            <c:ext xmlns:c16="http://schemas.microsoft.com/office/drawing/2014/chart" uri="{C3380CC4-5D6E-409C-BE32-E72D297353CC}">
              <c16:uniqueId val="{00000000-993E-4D67-8A1E-46F130B0EE5D}"/>
            </c:ext>
          </c:extLst>
        </c:ser>
        <c:dLbls>
          <c:showLegendKey val="0"/>
          <c:showVal val="0"/>
          <c:showCatName val="0"/>
          <c:showSerName val="0"/>
          <c:showPercent val="0"/>
          <c:showBubbleSize val="0"/>
        </c:dLbls>
        <c:gapWidth val="60"/>
        <c:overlap val="100"/>
        <c:axId val="545952320"/>
        <c:axId val="545951928"/>
      </c:barChart>
      <c:lineChart>
        <c:grouping val="standard"/>
        <c:varyColors val="0"/>
        <c:ser>
          <c:idx val="0"/>
          <c:order val="1"/>
          <c:tx>
            <c:strRef>
              <c:f>'Lists-Modules-ChartData'!$BP$14</c:f>
              <c:strCache>
                <c:ptCount val="1"/>
                <c:pt idx="0">
                  <c:v>200</c:v>
                </c:pt>
              </c:strCache>
            </c:strRef>
          </c:tx>
          <c:spPr>
            <a:ln>
              <a:prstDash val="dash"/>
            </a:ln>
          </c:spPr>
          <c:marker>
            <c:symbol val="none"/>
          </c:marker>
          <c:dLbls>
            <c:dLbl>
              <c:idx val="1"/>
              <c:delete val="1"/>
              <c:extLst>
                <c:ext xmlns:c15="http://schemas.microsoft.com/office/drawing/2012/chart" uri="{CE6537A1-D6FC-4f65-9D91-7224C49458BB}"/>
                <c:ext xmlns:c16="http://schemas.microsoft.com/office/drawing/2014/chart" uri="{C3380CC4-5D6E-409C-BE32-E72D297353CC}">
                  <c16:uniqueId val="{00000001-993E-4D67-8A1E-46F130B0EE5D}"/>
                </c:ext>
              </c:extLst>
            </c:dLbl>
            <c:dLbl>
              <c:idx val="2"/>
              <c:delete val="1"/>
              <c:extLst>
                <c:ext xmlns:c15="http://schemas.microsoft.com/office/drawing/2012/chart" uri="{CE6537A1-D6FC-4f65-9D91-7224C49458BB}"/>
                <c:ext xmlns:c16="http://schemas.microsoft.com/office/drawing/2014/chart" uri="{C3380CC4-5D6E-409C-BE32-E72D297353CC}">
                  <c16:uniqueId val="{00000002-993E-4D67-8A1E-46F130B0EE5D}"/>
                </c:ext>
              </c:extLst>
            </c:dLbl>
            <c:spPr>
              <a:noFill/>
              <a:ln>
                <a:noFill/>
              </a:ln>
              <a:effectLst/>
            </c:spPr>
            <c:txPr>
              <a:bodyPr/>
              <a:lstStyle/>
              <a:p>
                <a:pPr>
                  <a:defRPr sz="1200">
                    <a:latin typeface="Segoe UI" pitchFamily="34" charset="0"/>
                    <a:cs typeface="Segoe UI" pitchFamily="34" charset="0"/>
                  </a:defRPr>
                </a:pPr>
                <a:endParaRPr lang="en-US"/>
              </a:p>
            </c:txPr>
            <c:dLblPos val="l"/>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'Lists-Modules-ChartData'!$BP$15:$BP$17</c:f>
              <c:numCache>
                <c:formatCode>General</c:formatCode>
                <c:ptCount val="3"/>
                <c:pt idx="0">
                  <c:v>25</c:v>
                </c:pt>
                <c:pt idx="1">
                  <c:v>25</c:v>
                </c:pt>
                <c:pt idx="2">
                  <c:v>25</c:v>
                </c:pt>
              </c:numCache>
            </c:numRef>
          </c:val>
          <c:smooth val="0"/>
          <c:extLst>
            <c:ext xmlns:c16="http://schemas.microsoft.com/office/drawing/2014/chart" uri="{C3380CC4-5D6E-409C-BE32-E72D297353CC}">
              <c16:uniqueId val="{00000003-993E-4D67-8A1E-46F130B0EE5D}"/>
            </c:ext>
          </c:extLst>
        </c:ser>
        <c:ser>
          <c:idx val="1"/>
          <c:order val="2"/>
          <c:tx>
            <c:strRef>
              <c:f>'Lists-Modules-ChartData'!$BQ$14</c:f>
              <c:strCache>
                <c:ptCount val="1"/>
                <c:pt idx="0">
                  <c:v>600</c:v>
                </c:pt>
              </c:strCache>
            </c:strRef>
          </c:tx>
          <c:spPr>
            <a:ln>
              <a:solidFill>
                <a:srgbClr val="002060"/>
              </a:solidFill>
              <a:prstDash val="dash"/>
            </a:ln>
          </c:spPr>
          <c:marker>
            <c:symbol val="none"/>
          </c:marker>
          <c:dLbls>
            <c:dLbl>
              <c:idx val="1"/>
              <c:delete val="1"/>
              <c:extLst>
                <c:ext xmlns:c15="http://schemas.microsoft.com/office/drawing/2012/chart" uri="{CE6537A1-D6FC-4f65-9D91-7224C49458BB}"/>
                <c:ext xmlns:c16="http://schemas.microsoft.com/office/drawing/2014/chart" uri="{C3380CC4-5D6E-409C-BE32-E72D297353CC}">
                  <c16:uniqueId val="{00000004-993E-4D67-8A1E-46F130B0EE5D}"/>
                </c:ext>
              </c:extLst>
            </c:dLbl>
            <c:dLbl>
              <c:idx val="2"/>
              <c:delete val="1"/>
              <c:extLst>
                <c:ext xmlns:c15="http://schemas.microsoft.com/office/drawing/2012/chart" uri="{CE6537A1-D6FC-4f65-9D91-7224C49458BB}"/>
                <c:ext xmlns:c16="http://schemas.microsoft.com/office/drawing/2014/chart" uri="{C3380CC4-5D6E-409C-BE32-E72D297353CC}">
                  <c16:uniqueId val="{00000005-993E-4D67-8A1E-46F130B0EE5D}"/>
                </c:ext>
              </c:extLst>
            </c:dLbl>
            <c:spPr>
              <a:noFill/>
              <a:ln>
                <a:noFill/>
              </a:ln>
              <a:effectLst/>
            </c:spPr>
            <c:txPr>
              <a:bodyPr/>
              <a:lstStyle/>
              <a:p>
                <a:pPr>
                  <a:defRPr sz="1200">
                    <a:latin typeface="Segoe UI" pitchFamily="34" charset="0"/>
                    <a:cs typeface="Segoe UI" pitchFamily="34" charset="0"/>
                  </a:defRPr>
                </a:pPr>
                <a:endParaRPr lang="en-US"/>
              </a:p>
            </c:txPr>
            <c:dLblPos val="l"/>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'Lists-Modules-ChartData'!$BQ$15:$BQ$17</c:f>
              <c:numCache>
                <c:formatCode>General</c:formatCode>
                <c:ptCount val="3"/>
                <c:pt idx="0">
                  <c:v>75</c:v>
                </c:pt>
                <c:pt idx="1">
                  <c:v>75</c:v>
                </c:pt>
                <c:pt idx="2">
                  <c:v>75</c:v>
                </c:pt>
              </c:numCache>
            </c:numRef>
          </c:val>
          <c:smooth val="0"/>
          <c:extLst>
            <c:ext xmlns:c16="http://schemas.microsoft.com/office/drawing/2014/chart" uri="{C3380CC4-5D6E-409C-BE32-E72D297353CC}">
              <c16:uniqueId val="{00000006-993E-4D67-8A1E-46F130B0EE5D}"/>
            </c:ext>
          </c:extLst>
        </c:ser>
        <c:dLbls>
          <c:showLegendKey val="0"/>
          <c:showVal val="0"/>
          <c:showCatName val="0"/>
          <c:showSerName val="0"/>
          <c:showPercent val="0"/>
          <c:showBubbleSize val="0"/>
        </c:dLbls>
        <c:marker val="1"/>
        <c:smooth val="0"/>
        <c:axId val="545952320"/>
        <c:axId val="545951928"/>
      </c:lineChart>
      <c:scatterChart>
        <c:scatterStyle val="lineMarker"/>
        <c:varyColors val="0"/>
        <c:ser>
          <c:idx val="6"/>
          <c:order val="3"/>
          <c:tx>
            <c:strRef>
              <c:f>'Lists-Modules-ChartData'!$BS$16</c:f>
              <c:strCache>
                <c:ptCount val="1"/>
                <c:pt idx="0">
                  <c:v>57 bp</c:v>
                </c:pt>
              </c:strCache>
            </c:strRef>
          </c:tx>
          <c:spPr>
            <a:ln w="28575">
              <a:noFill/>
            </a:ln>
          </c:spPr>
          <c:marker>
            <c:symbol val="none"/>
          </c:marker>
          <c:dLbls>
            <c:spPr>
              <a:noFill/>
              <a:ln>
                <a:noFill/>
              </a:ln>
              <a:effectLst/>
            </c:spPr>
            <c:txPr>
              <a:bodyPr/>
              <a:lstStyle/>
              <a:p>
                <a:pPr>
                  <a:defRPr sz="1200" b="1">
                    <a:latin typeface="Segoe UI" pitchFamily="34" charset="0"/>
                    <a:cs typeface="Segoe UI" pitchFamily="34" charset="0"/>
                  </a:defRPr>
                </a:pPr>
                <a:endParaRPr lang="en-US"/>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'Lists-Modules-ChartData'!$BT$15:$BT$17</c:f>
              <c:numCache>
                <c:formatCode>General</c:formatCode>
                <c:ptCount val="3"/>
                <c:pt idx="0">
                  <c:v>#N/A</c:v>
                </c:pt>
                <c:pt idx="1">
                  <c:v>2</c:v>
                </c:pt>
                <c:pt idx="2">
                  <c:v>#N/A</c:v>
                </c:pt>
              </c:numCache>
            </c:numRef>
          </c:xVal>
          <c:yVal>
            <c:numRef>
              <c:f>'Lists-Modules-ChartData'!$BU$15:$BU$17</c:f>
              <c:numCache>
                <c:formatCode>0.00</c:formatCode>
                <c:ptCount val="3"/>
                <c:pt idx="0" formatCode="General">
                  <c:v>#N/A</c:v>
                </c:pt>
                <c:pt idx="1">
                  <c:v>7.125</c:v>
                </c:pt>
                <c:pt idx="2" formatCode="General">
                  <c:v>#N/A</c:v>
                </c:pt>
              </c:numCache>
            </c:numRef>
          </c:yVal>
          <c:smooth val="0"/>
          <c:extLst>
            <c:ext xmlns:c16="http://schemas.microsoft.com/office/drawing/2014/chart" uri="{C3380CC4-5D6E-409C-BE32-E72D297353CC}">
              <c16:uniqueId val="{00000007-993E-4D67-8A1E-46F130B0EE5D}"/>
            </c:ext>
          </c:extLst>
        </c:ser>
        <c:ser>
          <c:idx val="2"/>
          <c:order val="4"/>
          <c:tx>
            <c:strRef>
              <c:f>'Lists-Modules-ChartData'!$BX$13</c:f>
              <c:strCache>
                <c:ptCount val="1"/>
                <c:pt idx="0">
                  <c:v>Max</c:v>
                </c:pt>
              </c:strCache>
            </c:strRef>
          </c:tx>
          <c:spPr>
            <a:ln w="28575">
              <a:noFill/>
            </a:ln>
          </c:spPr>
          <c:marker>
            <c:symbol val="none"/>
          </c:marker>
          <c:xVal>
            <c:numRef>
              <c:f>'Lists-Modules-ChartData'!$BW$15:$BW$17</c:f>
              <c:numCache>
                <c:formatCode>General</c:formatCode>
                <c:ptCount val="3"/>
                <c:pt idx="0">
                  <c:v>1</c:v>
                </c:pt>
                <c:pt idx="1">
                  <c:v>2</c:v>
                </c:pt>
                <c:pt idx="2">
                  <c:v>3</c:v>
                </c:pt>
              </c:numCache>
            </c:numRef>
          </c:xVal>
          <c:yVal>
            <c:numRef>
              <c:f>'Lists-Modules-ChartData'!$BX$15:$BX$17</c:f>
              <c:numCache>
                <c:formatCode>General</c:formatCode>
                <c:ptCount val="3"/>
                <c:pt idx="0">
                  <c:v>313</c:v>
                </c:pt>
                <c:pt idx="1">
                  <c:v>313</c:v>
                </c:pt>
                <c:pt idx="2">
                  <c:v>313</c:v>
                </c:pt>
              </c:numCache>
            </c:numRef>
          </c:yVal>
          <c:smooth val="0"/>
          <c:extLst>
            <c:ext xmlns:c16="http://schemas.microsoft.com/office/drawing/2014/chart" uri="{C3380CC4-5D6E-409C-BE32-E72D297353CC}">
              <c16:uniqueId val="{00000008-993E-4D67-8A1E-46F130B0EE5D}"/>
            </c:ext>
          </c:extLst>
        </c:ser>
        <c:ser>
          <c:idx val="3"/>
          <c:order val="5"/>
          <c:tx>
            <c:strRef>
              <c:f>'Lists-Modules-ChartData'!$BY$13</c:f>
              <c:strCache>
                <c:ptCount val="1"/>
                <c:pt idx="0">
                  <c:v>Min</c:v>
                </c:pt>
              </c:strCache>
            </c:strRef>
          </c:tx>
          <c:spPr>
            <a:ln w="28575">
              <a:noFill/>
            </a:ln>
          </c:spPr>
          <c:marker>
            <c:symbol val="none"/>
          </c:marker>
          <c:xVal>
            <c:numRef>
              <c:f>'Lists-Modules-ChartData'!$BW$15:$BW$17</c:f>
              <c:numCache>
                <c:formatCode>General</c:formatCode>
                <c:ptCount val="3"/>
                <c:pt idx="0">
                  <c:v>1</c:v>
                </c:pt>
                <c:pt idx="1">
                  <c:v>2</c:v>
                </c:pt>
                <c:pt idx="2">
                  <c:v>3</c:v>
                </c:pt>
              </c:numCache>
            </c:numRef>
          </c:xVal>
          <c:yVal>
            <c:numRef>
              <c:f>'Lists-Modules-ChartData'!$BY$15:$BY$17</c:f>
              <c:numCache>
                <c:formatCode>General</c:formatCode>
                <c:ptCount val="3"/>
                <c:pt idx="0">
                  <c:v>0</c:v>
                </c:pt>
                <c:pt idx="1">
                  <c:v>0</c:v>
                </c:pt>
                <c:pt idx="2">
                  <c:v>0</c:v>
                </c:pt>
              </c:numCache>
            </c:numRef>
          </c:yVal>
          <c:smooth val="0"/>
          <c:extLst>
            <c:ext xmlns:c16="http://schemas.microsoft.com/office/drawing/2014/chart" uri="{C3380CC4-5D6E-409C-BE32-E72D297353CC}">
              <c16:uniqueId val="{00000009-993E-4D67-8A1E-46F130B0EE5D}"/>
            </c:ext>
          </c:extLst>
        </c:ser>
        <c:dLbls>
          <c:showLegendKey val="0"/>
          <c:showVal val="0"/>
          <c:showCatName val="0"/>
          <c:showSerName val="0"/>
          <c:showPercent val="0"/>
          <c:showBubbleSize val="0"/>
        </c:dLbls>
        <c:axId val="545952320"/>
        <c:axId val="545951928"/>
      </c:scatterChart>
      <c:valAx>
        <c:axId val="545951928"/>
        <c:scaling>
          <c:orientation val="minMax"/>
        </c:scaling>
        <c:delete val="1"/>
        <c:axPos val="l"/>
        <c:numFmt formatCode="0" sourceLinked="0"/>
        <c:majorTickMark val="out"/>
        <c:minorTickMark val="none"/>
        <c:tickLblPos val="none"/>
        <c:crossAx val="545952320"/>
        <c:crosses val="autoZero"/>
        <c:crossBetween val="midCat"/>
      </c:valAx>
      <c:catAx>
        <c:axId val="545952320"/>
        <c:scaling>
          <c:orientation val="minMax"/>
        </c:scaling>
        <c:delete val="0"/>
        <c:axPos val="b"/>
        <c:numFmt formatCode="General" sourceLinked="1"/>
        <c:majorTickMark val="none"/>
        <c:minorTickMark val="none"/>
        <c:tickLblPos val="nextTo"/>
        <c:spPr>
          <a:ln>
            <a:solidFill>
              <a:srgbClr val="C0C0C0"/>
            </a:solidFill>
          </a:ln>
        </c:spPr>
        <c:txPr>
          <a:bodyPr/>
          <a:lstStyle/>
          <a:p>
            <a:pPr>
              <a:defRPr sz="600">
                <a:solidFill>
                  <a:schemeClr val="bg1"/>
                </a:solidFill>
              </a:defRPr>
            </a:pPr>
            <a:endParaRPr lang="en-US"/>
          </a:p>
        </c:txPr>
        <c:crossAx val="545951928"/>
        <c:crosses val="autoZero"/>
        <c:auto val="0"/>
        <c:lblAlgn val="r"/>
        <c:lblOffset val="100"/>
        <c:noMultiLvlLbl val="0"/>
      </c:catAx>
      <c:spPr>
        <a:solidFill>
          <a:srgbClr val="FFFFFF"/>
        </a:solidFill>
        <a:ln w="25400">
          <a:solidFill>
            <a:srgbClr val="C0C0C0"/>
          </a:solidFill>
          <a:prstDash val="solid"/>
        </a:ln>
      </c:spPr>
    </c:plotArea>
    <c:plotVisOnly val="1"/>
    <c:dispBlanksAs val="gap"/>
    <c:showDLblsOverMax val="0"/>
  </c:chart>
  <c:spPr>
    <a:noFill/>
    <a:ln w="25400">
      <a:noFill/>
    </a:ln>
  </c:spPr>
  <c:printSettings>
    <c:headerFooter/>
    <c:pageMargins b="0.75000000000001465" l="0.70000000000000062" r="0.70000000000000062" t="0.75000000000001465" header="0.30000000000000032" footer="0.30000000000000032"/>
    <c:pageSetup orientation="portrait"/>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836740359379026"/>
          <c:y val="2.6352627463760692E-3"/>
          <c:w val="0.80146165623527865"/>
          <c:h val="0.95857297417591536"/>
        </c:manualLayout>
      </c:layout>
      <c:barChart>
        <c:barDir val="col"/>
        <c:grouping val="stacked"/>
        <c:varyColors val="0"/>
        <c:ser>
          <c:idx val="4"/>
          <c:order val="0"/>
          <c:tx>
            <c:strRef>
              <c:f>'Lists-Modules-ChartData'!$BN$19</c:f>
              <c:strCache>
                <c:ptCount val="1"/>
                <c:pt idx="0">
                  <c:v>Latvia</c:v>
                </c:pt>
              </c:strCache>
            </c:strRef>
          </c:tx>
          <c:spPr>
            <a:solidFill>
              <a:schemeClr val="accent5">
                <a:lumMod val="40000"/>
                <a:lumOff val="60000"/>
              </a:schemeClr>
            </a:solidFill>
            <a:ln w="12700">
              <a:solidFill>
                <a:schemeClr val="tx1"/>
              </a:solidFill>
              <a:prstDash val="solid"/>
            </a:ln>
            <a:effectLst/>
          </c:spPr>
          <c:invertIfNegative val="0"/>
          <c:val>
            <c:numRef>
              <c:f>'Lists-Modules-ChartData'!$BN$20:$BN$22</c:f>
              <c:numCache>
                <c:formatCode>0.00</c:formatCode>
                <c:ptCount val="3"/>
                <c:pt idx="0" formatCode="General">
                  <c:v>#N/A</c:v>
                </c:pt>
                <c:pt idx="1">
                  <c:v>0</c:v>
                </c:pt>
                <c:pt idx="2" formatCode="General">
                  <c:v>#N/A</c:v>
                </c:pt>
              </c:numCache>
            </c:numRef>
          </c:val>
          <c:extLst>
            <c:ext xmlns:c16="http://schemas.microsoft.com/office/drawing/2014/chart" uri="{C3380CC4-5D6E-409C-BE32-E72D297353CC}">
              <c16:uniqueId val="{00000000-72B5-4476-969C-59C3AB40E67A}"/>
            </c:ext>
          </c:extLst>
        </c:ser>
        <c:dLbls>
          <c:showLegendKey val="0"/>
          <c:showVal val="0"/>
          <c:showCatName val="0"/>
          <c:showSerName val="0"/>
          <c:showPercent val="0"/>
          <c:showBubbleSize val="0"/>
        </c:dLbls>
        <c:gapWidth val="60"/>
        <c:overlap val="100"/>
        <c:axId val="545944088"/>
        <c:axId val="545952712"/>
      </c:barChart>
      <c:lineChart>
        <c:grouping val="standard"/>
        <c:varyColors val="0"/>
        <c:ser>
          <c:idx val="0"/>
          <c:order val="1"/>
          <c:tx>
            <c:strRef>
              <c:f>'Lists-Modules-ChartData'!$BP$19</c:f>
              <c:strCache>
                <c:ptCount val="1"/>
                <c:pt idx="0">
                  <c:v>5</c:v>
                </c:pt>
              </c:strCache>
            </c:strRef>
          </c:tx>
          <c:spPr>
            <a:ln>
              <a:prstDash val="dash"/>
            </a:ln>
          </c:spPr>
          <c:marker>
            <c:symbol val="none"/>
          </c:marker>
          <c:dLbls>
            <c:dLbl>
              <c:idx val="1"/>
              <c:delete val="1"/>
              <c:extLst>
                <c:ext xmlns:c15="http://schemas.microsoft.com/office/drawing/2012/chart" uri="{CE6537A1-D6FC-4f65-9D91-7224C49458BB}"/>
                <c:ext xmlns:c16="http://schemas.microsoft.com/office/drawing/2014/chart" uri="{C3380CC4-5D6E-409C-BE32-E72D297353CC}">
                  <c16:uniqueId val="{00000001-72B5-4476-969C-59C3AB40E67A}"/>
                </c:ext>
              </c:extLst>
            </c:dLbl>
            <c:dLbl>
              <c:idx val="2"/>
              <c:delete val="1"/>
              <c:extLst>
                <c:ext xmlns:c15="http://schemas.microsoft.com/office/drawing/2012/chart" uri="{CE6537A1-D6FC-4f65-9D91-7224C49458BB}"/>
                <c:ext xmlns:c16="http://schemas.microsoft.com/office/drawing/2014/chart" uri="{C3380CC4-5D6E-409C-BE32-E72D297353CC}">
                  <c16:uniqueId val="{00000002-72B5-4476-969C-59C3AB40E67A}"/>
                </c:ext>
              </c:extLst>
            </c:dLbl>
            <c:spPr>
              <a:noFill/>
              <a:ln>
                <a:noFill/>
              </a:ln>
              <a:effectLst/>
            </c:spPr>
            <c:txPr>
              <a:bodyPr/>
              <a:lstStyle/>
              <a:p>
                <a:pPr>
                  <a:defRPr sz="1200">
                    <a:latin typeface="Segoe UI" pitchFamily="34" charset="0"/>
                    <a:cs typeface="Segoe UI" pitchFamily="34" charset="0"/>
                  </a:defRPr>
                </a:pPr>
                <a:endParaRPr lang="en-US"/>
              </a:p>
            </c:txPr>
            <c:dLblPos val="l"/>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'Lists-Modules-ChartData'!$BP$20:$BP$22</c:f>
              <c:numCache>
                <c:formatCode>General</c:formatCode>
                <c:ptCount val="3"/>
                <c:pt idx="0">
                  <c:v>25</c:v>
                </c:pt>
                <c:pt idx="1">
                  <c:v>25</c:v>
                </c:pt>
                <c:pt idx="2">
                  <c:v>25</c:v>
                </c:pt>
              </c:numCache>
            </c:numRef>
          </c:val>
          <c:smooth val="0"/>
          <c:extLst>
            <c:ext xmlns:c16="http://schemas.microsoft.com/office/drawing/2014/chart" uri="{C3380CC4-5D6E-409C-BE32-E72D297353CC}">
              <c16:uniqueId val="{00000003-72B5-4476-969C-59C3AB40E67A}"/>
            </c:ext>
          </c:extLst>
        </c:ser>
        <c:ser>
          <c:idx val="1"/>
          <c:order val="2"/>
          <c:tx>
            <c:strRef>
              <c:f>'Lists-Modules-ChartData'!$BQ$19</c:f>
              <c:strCache>
                <c:ptCount val="1"/>
                <c:pt idx="0">
                  <c:v>15</c:v>
                </c:pt>
              </c:strCache>
            </c:strRef>
          </c:tx>
          <c:spPr>
            <a:ln>
              <a:solidFill>
                <a:srgbClr val="002060"/>
              </a:solidFill>
              <a:prstDash val="dash"/>
            </a:ln>
          </c:spPr>
          <c:marker>
            <c:symbol val="none"/>
          </c:marker>
          <c:dLbls>
            <c:dLbl>
              <c:idx val="1"/>
              <c:delete val="1"/>
              <c:extLst>
                <c:ext xmlns:c15="http://schemas.microsoft.com/office/drawing/2012/chart" uri="{CE6537A1-D6FC-4f65-9D91-7224C49458BB}"/>
                <c:ext xmlns:c16="http://schemas.microsoft.com/office/drawing/2014/chart" uri="{C3380CC4-5D6E-409C-BE32-E72D297353CC}">
                  <c16:uniqueId val="{00000004-72B5-4476-969C-59C3AB40E67A}"/>
                </c:ext>
              </c:extLst>
            </c:dLbl>
            <c:dLbl>
              <c:idx val="2"/>
              <c:delete val="1"/>
              <c:extLst>
                <c:ext xmlns:c15="http://schemas.microsoft.com/office/drawing/2012/chart" uri="{CE6537A1-D6FC-4f65-9D91-7224C49458BB}"/>
                <c:ext xmlns:c16="http://schemas.microsoft.com/office/drawing/2014/chart" uri="{C3380CC4-5D6E-409C-BE32-E72D297353CC}">
                  <c16:uniqueId val="{00000005-72B5-4476-969C-59C3AB40E67A}"/>
                </c:ext>
              </c:extLst>
            </c:dLbl>
            <c:spPr>
              <a:noFill/>
              <a:ln>
                <a:noFill/>
              </a:ln>
              <a:effectLst/>
            </c:spPr>
            <c:txPr>
              <a:bodyPr/>
              <a:lstStyle/>
              <a:p>
                <a:pPr>
                  <a:defRPr sz="1200">
                    <a:latin typeface="Segoe UI" pitchFamily="34" charset="0"/>
                    <a:cs typeface="Segoe UI" pitchFamily="34" charset="0"/>
                  </a:defRPr>
                </a:pPr>
                <a:endParaRPr lang="en-US"/>
              </a:p>
            </c:txPr>
            <c:dLblPos val="l"/>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'Lists-Modules-ChartData'!$BQ$20:$BQ$22</c:f>
              <c:numCache>
                <c:formatCode>General</c:formatCode>
                <c:ptCount val="3"/>
                <c:pt idx="0">
                  <c:v>75</c:v>
                </c:pt>
                <c:pt idx="1">
                  <c:v>75</c:v>
                </c:pt>
                <c:pt idx="2">
                  <c:v>75</c:v>
                </c:pt>
              </c:numCache>
            </c:numRef>
          </c:val>
          <c:smooth val="0"/>
          <c:extLst>
            <c:ext xmlns:c16="http://schemas.microsoft.com/office/drawing/2014/chart" uri="{C3380CC4-5D6E-409C-BE32-E72D297353CC}">
              <c16:uniqueId val="{00000006-72B5-4476-969C-59C3AB40E67A}"/>
            </c:ext>
          </c:extLst>
        </c:ser>
        <c:dLbls>
          <c:showLegendKey val="0"/>
          <c:showVal val="0"/>
          <c:showCatName val="0"/>
          <c:showSerName val="0"/>
          <c:showPercent val="0"/>
          <c:showBubbleSize val="0"/>
        </c:dLbls>
        <c:marker val="1"/>
        <c:smooth val="0"/>
        <c:axId val="545944088"/>
        <c:axId val="545952712"/>
      </c:lineChart>
      <c:scatterChart>
        <c:scatterStyle val="lineMarker"/>
        <c:varyColors val="0"/>
        <c:ser>
          <c:idx val="6"/>
          <c:order val="3"/>
          <c:tx>
            <c:strRef>
              <c:f>'Lists-Modules-ChartData'!$BS$21</c:f>
              <c:strCache>
                <c:ptCount val="1"/>
                <c:pt idx="0">
                  <c:v>0%</c:v>
                </c:pt>
              </c:strCache>
            </c:strRef>
          </c:tx>
          <c:spPr>
            <a:ln w="28575">
              <a:noFill/>
            </a:ln>
          </c:spPr>
          <c:marker>
            <c:symbol val="none"/>
          </c:marker>
          <c:dLbls>
            <c:spPr>
              <a:noFill/>
              <a:ln>
                <a:noFill/>
              </a:ln>
              <a:effectLst/>
            </c:spPr>
            <c:txPr>
              <a:bodyPr/>
              <a:lstStyle/>
              <a:p>
                <a:pPr>
                  <a:defRPr sz="1200" b="1">
                    <a:latin typeface="Segoe UI" pitchFamily="34" charset="0"/>
                    <a:cs typeface="Segoe UI" pitchFamily="34" charset="0"/>
                  </a:defRPr>
                </a:pPr>
                <a:endParaRPr lang="en-US"/>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'Lists-Modules-ChartData'!$BT$20:$BT$22</c:f>
              <c:numCache>
                <c:formatCode>General</c:formatCode>
                <c:ptCount val="3"/>
                <c:pt idx="0">
                  <c:v>#N/A</c:v>
                </c:pt>
                <c:pt idx="1">
                  <c:v>2</c:v>
                </c:pt>
                <c:pt idx="2">
                  <c:v>#N/A</c:v>
                </c:pt>
              </c:numCache>
            </c:numRef>
          </c:xVal>
          <c:yVal>
            <c:numRef>
              <c:f>'Lists-Modules-ChartData'!$BU$20:$BU$22</c:f>
              <c:numCache>
                <c:formatCode>0.00</c:formatCode>
                <c:ptCount val="3"/>
                <c:pt idx="0" formatCode="General">
                  <c:v>#N/A</c:v>
                </c:pt>
                <c:pt idx="1">
                  <c:v>0</c:v>
                </c:pt>
                <c:pt idx="2" formatCode="General">
                  <c:v>#N/A</c:v>
                </c:pt>
              </c:numCache>
            </c:numRef>
          </c:yVal>
          <c:smooth val="0"/>
          <c:extLst>
            <c:ext xmlns:c16="http://schemas.microsoft.com/office/drawing/2014/chart" uri="{C3380CC4-5D6E-409C-BE32-E72D297353CC}">
              <c16:uniqueId val="{00000007-72B5-4476-969C-59C3AB40E67A}"/>
            </c:ext>
          </c:extLst>
        </c:ser>
        <c:ser>
          <c:idx val="2"/>
          <c:order val="4"/>
          <c:tx>
            <c:strRef>
              <c:f>'Lists-Modules-ChartData'!$BX$13</c:f>
              <c:strCache>
                <c:ptCount val="1"/>
                <c:pt idx="0">
                  <c:v>Max</c:v>
                </c:pt>
              </c:strCache>
            </c:strRef>
          </c:tx>
          <c:spPr>
            <a:ln w="28575">
              <a:noFill/>
            </a:ln>
          </c:spPr>
          <c:marker>
            <c:symbol val="none"/>
          </c:marker>
          <c:xVal>
            <c:numRef>
              <c:f>'Lists-Modules-ChartData'!$BW$15:$BW$17</c:f>
              <c:numCache>
                <c:formatCode>General</c:formatCode>
                <c:ptCount val="3"/>
                <c:pt idx="0">
                  <c:v>1</c:v>
                </c:pt>
                <c:pt idx="1">
                  <c:v>2</c:v>
                </c:pt>
                <c:pt idx="2">
                  <c:v>3</c:v>
                </c:pt>
              </c:numCache>
            </c:numRef>
          </c:xVal>
          <c:yVal>
            <c:numRef>
              <c:f>'Lists-Modules-ChartData'!$BX$15:$BX$17</c:f>
              <c:numCache>
                <c:formatCode>General</c:formatCode>
                <c:ptCount val="3"/>
                <c:pt idx="0">
                  <c:v>313</c:v>
                </c:pt>
                <c:pt idx="1">
                  <c:v>313</c:v>
                </c:pt>
                <c:pt idx="2">
                  <c:v>313</c:v>
                </c:pt>
              </c:numCache>
            </c:numRef>
          </c:yVal>
          <c:smooth val="0"/>
          <c:extLst>
            <c:ext xmlns:c16="http://schemas.microsoft.com/office/drawing/2014/chart" uri="{C3380CC4-5D6E-409C-BE32-E72D297353CC}">
              <c16:uniqueId val="{00000008-72B5-4476-969C-59C3AB40E67A}"/>
            </c:ext>
          </c:extLst>
        </c:ser>
        <c:ser>
          <c:idx val="3"/>
          <c:order val="5"/>
          <c:tx>
            <c:strRef>
              <c:f>'Lists-Modules-ChartData'!$BY$13</c:f>
              <c:strCache>
                <c:ptCount val="1"/>
                <c:pt idx="0">
                  <c:v>Min</c:v>
                </c:pt>
              </c:strCache>
            </c:strRef>
          </c:tx>
          <c:spPr>
            <a:ln w="28575">
              <a:noFill/>
            </a:ln>
          </c:spPr>
          <c:marker>
            <c:symbol val="none"/>
          </c:marker>
          <c:xVal>
            <c:numRef>
              <c:f>'Lists-Modules-ChartData'!$BW$15:$BW$17</c:f>
              <c:numCache>
                <c:formatCode>General</c:formatCode>
                <c:ptCount val="3"/>
                <c:pt idx="0">
                  <c:v>1</c:v>
                </c:pt>
                <c:pt idx="1">
                  <c:v>2</c:v>
                </c:pt>
                <c:pt idx="2">
                  <c:v>3</c:v>
                </c:pt>
              </c:numCache>
            </c:numRef>
          </c:xVal>
          <c:yVal>
            <c:numRef>
              <c:f>'Lists-Modules-ChartData'!$BY$15:$BY$17</c:f>
              <c:numCache>
                <c:formatCode>General</c:formatCode>
                <c:ptCount val="3"/>
                <c:pt idx="0">
                  <c:v>0</c:v>
                </c:pt>
                <c:pt idx="1">
                  <c:v>0</c:v>
                </c:pt>
                <c:pt idx="2">
                  <c:v>0</c:v>
                </c:pt>
              </c:numCache>
            </c:numRef>
          </c:yVal>
          <c:smooth val="0"/>
          <c:extLst>
            <c:ext xmlns:c16="http://schemas.microsoft.com/office/drawing/2014/chart" uri="{C3380CC4-5D6E-409C-BE32-E72D297353CC}">
              <c16:uniqueId val="{00000009-72B5-4476-969C-59C3AB40E67A}"/>
            </c:ext>
          </c:extLst>
        </c:ser>
        <c:dLbls>
          <c:showLegendKey val="0"/>
          <c:showVal val="0"/>
          <c:showCatName val="0"/>
          <c:showSerName val="0"/>
          <c:showPercent val="0"/>
          <c:showBubbleSize val="0"/>
        </c:dLbls>
        <c:axId val="545944088"/>
        <c:axId val="545952712"/>
      </c:scatterChart>
      <c:valAx>
        <c:axId val="545952712"/>
        <c:scaling>
          <c:orientation val="minMax"/>
        </c:scaling>
        <c:delete val="1"/>
        <c:axPos val="l"/>
        <c:numFmt formatCode="0" sourceLinked="0"/>
        <c:majorTickMark val="out"/>
        <c:minorTickMark val="none"/>
        <c:tickLblPos val="none"/>
        <c:crossAx val="545944088"/>
        <c:crosses val="autoZero"/>
        <c:crossBetween val="midCat"/>
      </c:valAx>
      <c:catAx>
        <c:axId val="545944088"/>
        <c:scaling>
          <c:orientation val="minMax"/>
        </c:scaling>
        <c:delete val="0"/>
        <c:axPos val="b"/>
        <c:numFmt formatCode="General" sourceLinked="1"/>
        <c:majorTickMark val="none"/>
        <c:minorTickMark val="none"/>
        <c:tickLblPos val="nextTo"/>
        <c:spPr>
          <a:ln>
            <a:solidFill>
              <a:srgbClr val="C0C0C0"/>
            </a:solidFill>
          </a:ln>
        </c:spPr>
        <c:txPr>
          <a:bodyPr/>
          <a:lstStyle/>
          <a:p>
            <a:pPr>
              <a:defRPr sz="600">
                <a:solidFill>
                  <a:schemeClr val="bg1"/>
                </a:solidFill>
              </a:defRPr>
            </a:pPr>
            <a:endParaRPr lang="en-US"/>
          </a:p>
        </c:txPr>
        <c:crossAx val="545952712"/>
        <c:crosses val="autoZero"/>
        <c:auto val="0"/>
        <c:lblAlgn val="r"/>
        <c:lblOffset val="100"/>
        <c:noMultiLvlLbl val="0"/>
      </c:catAx>
      <c:spPr>
        <a:solidFill>
          <a:srgbClr val="FFFFFF"/>
        </a:solidFill>
        <a:ln w="25400">
          <a:solidFill>
            <a:srgbClr val="C0C0C0"/>
          </a:solidFill>
          <a:prstDash val="solid"/>
        </a:ln>
      </c:spPr>
    </c:plotArea>
    <c:plotVisOnly val="1"/>
    <c:dispBlanksAs val="gap"/>
    <c:showDLblsOverMax val="0"/>
  </c:chart>
  <c:spPr>
    <a:noFill/>
    <a:ln w="25400">
      <a:noFill/>
    </a:ln>
  </c:spPr>
  <c:printSettings>
    <c:headerFooter/>
    <c:pageMargins b="0.75000000000001465" l="0.70000000000000062" r="0.70000000000000062" t="0.75000000000001465" header="0.30000000000000032" footer="0.30000000000000032"/>
    <c:pageSetup orientation="portrait"/>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812243421495388"/>
          <c:y val="6.9444444444449012E-3"/>
          <c:w val="0.79170662561410665"/>
          <c:h val="0.95478291776028001"/>
        </c:manualLayout>
      </c:layout>
      <c:barChart>
        <c:barDir val="col"/>
        <c:grouping val="stacked"/>
        <c:varyColors val="0"/>
        <c:ser>
          <c:idx val="4"/>
          <c:order val="0"/>
          <c:tx>
            <c:strRef>
              <c:f>'Lists-Modules-ChartData'!$BN$24</c:f>
              <c:strCache>
                <c:ptCount val="1"/>
                <c:pt idx="0">
                  <c:v>Latvia</c:v>
                </c:pt>
              </c:strCache>
            </c:strRef>
          </c:tx>
          <c:spPr>
            <a:solidFill>
              <a:schemeClr val="accent5">
                <a:lumMod val="40000"/>
                <a:lumOff val="60000"/>
              </a:schemeClr>
            </a:solidFill>
            <a:ln w="12700">
              <a:solidFill>
                <a:schemeClr val="tx1"/>
              </a:solidFill>
              <a:prstDash val="solid"/>
            </a:ln>
            <a:effectLst/>
          </c:spPr>
          <c:invertIfNegative val="0"/>
          <c:val>
            <c:numRef>
              <c:f>'Lists-Modules-ChartData'!$BN$25:$BN$27</c:f>
              <c:numCache>
                <c:formatCode>General</c:formatCode>
                <c:ptCount val="3"/>
                <c:pt idx="0">
                  <c:v>#N/A</c:v>
                </c:pt>
                <c:pt idx="1">
                  <c:v>298.10076325794171</c:v>
                </c:pt>
                <c:pt idx="2">
                  <c:v>#N/A</c:v>
                </c:pt>
              </c:numCache>
            </c:numRef>
          </c:val>
          <c:extLst>
            <c:ext xmlns:c16="http://schemas.microsoft.com/office/drawing/2014/chart" uri="{C3380CC4-5D6E-409C-BE32-E72D297353CC}">
              <c16:uniqueId val="{00000000-E7B0-4D95-9ED7-1260546A2367}"/>
            </c:ext>
          </c:extLst>
        </c:ser>
        <c:dLbls>
          <c:showLegendKey val="0"/>
          <c:showVal val="0"/>
          <c:showCatName val="0"/>
          <c:showSerName val="0"/>
          <c:showPercent val="0"/>
          <c:showBubbleSize val="0"/>
        </c:dLbls>
        <c:gapWidth val="60"/>
        <c:overlap val="100"/>
        <c:axId val="545958200"/>
        <c:axId val="545958984"/>
      </c:barChart>
      <c:lineChart>
        <c:grouping val="standard"/>
        <c:varyColors val="0"/>
        <c:ser>
          <c:idx val="0"/>
          <c:order val="1"/>
          <c:tx>
            <c:strRef>
              <c:f>'Lists-Modules-ChartData'!$BP$24</c:f>
              <c:strCache>
                <c:ptCount val="1"/>
                <c:pt idx="0">
                  <c:v>0.5</c:v>
                </c:pt>
              </c:strCache>
            </c:strRef>
          </c:tx>
          <c:spPr>
            <a:ln>
              <a:prstDash val="dash"/>
            </a:ln>
          </c:spPr>
          <c:marker>
            <c:symbol val="none"/>
          </c:marker>
          <c:dLbls>
            <c:dLbl>
              <c:idx val="1"/>
              <c:delete val="1"/>
              <c:extLst>
                <c:ext xmlns:c15="http://schemas.microsoft.com/office/drawing/2012/chart" uri="{CE6537A1-D6FC-4f65-9D91-7224C49458BB}"/>
                <c:ext xmlns:c16="http://schemas.microsoft.com/office/drawing/2014/chart" uri="{C3380CC4-5D6E-409C-BE32-E72D297353CC}">
                  <c16:uniqueId val="{00000001-E7B0-4D95-9ED7-1260546A2367}"/>
                </c:ext>
              </c:extLst>
            </c:dLbl>
            <c:dLbl>
              <c:idx val="2"/>
              <c:delete val="1"/>
              <c:extLst>
                <c:ext xmlns:c15="http://schemas.microsoft.com/office/drawing/2012/chart" uri="{CE6537A1-D6FC-4f65-9D91-7224C49458BB}"/>
                <c:ext xmlns:c16="http://schemas.microsoft.com/office/drawing/2014/chart" uri="{C3380CC4-5D6E-409C-BE32-E72D297353CC}">
                  <c16:uniqueId val="{00000002-E7B0-4D95-9ED7-1260546A2367}"/>
                </c:ext>
              </c:extLst>
            </c:dLbl>
            <c:spPr>
              <a:noFill/>
              <a:ln>
                <a:noFill/>
              </a:ln>
              <a:effectLst/>
            </c:spPr>
            <c:txPr>
              <a:bodyPr/>
              <a:lstStyle/>
              <a:p>
                <a:pPr>
                  <a:defRPr sz="1200">
                    <a:latin typeface="Segoe UI" pitchFamily="34" charset="0"/>
                    <a:cs typeface="Segoe UI" pitchFamily="34" charset="0"/>
                  </a:defRPr>
                </a:pPr>
                <a:endParaRPr lang="en-US"/>
              </a:p>
            </c:txPr>
            <c:dLblPos val="l"/>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'Lists-Modules-ChartData'!$BP$25:$BP$27</c:f>
              <c:numCache>
                <c:formatCode>General</c:formatCode>
                <c:ptCount val="3"/>
                <c:pt idx="0">
                  <c:v>25</c:v>
                </c:pt>
                <c:pt idx="1">
                  <c:v>25</c:v>
                </c:pt>
                <c:pt idx="2">
                  <c:v>25</c:v>
                </c:pt>
              </c:numCache>
            </c:numRef>
          </c:val>
          <c:smooth val="0"/>
          <c:extLst>
            <c:ext xmlns:c16="http://schemas.microsoft.com/office/drawing/2014/chart" uri="{C3380CC4-5D6E-409C-BE32-E72D297353CC}">
              <c16:uniqueId val="{00000003-E7B0-4D95-9ED7-1260546A2367}"/>
            </c:ext>
          </c:extLst>
        </c:ser>
        <c:ser>
          <c:idx val="1"/>
          <c:order val="2"/>
          <c:tx>
            <c:strRef>
              <c:f>'Lists-Modules-ChartData'!$BQ$24</c:f>
              <c:strCache>
                <c:ptCount val="1"/>
                <c:pt idx="0">
                  <c:v>1</c:v>
                </c:pt>
              </c:strCache>
            </c:strRef>
          </c:tx>
          <c:spPr>
            <a:ln>
              <a:solidFill>
                <a:srgbClr val="002060"/>
              </a:solidFill>
              <a:prstDash val="dash"/>
            </a:ln>
          </c:spPr>
          <c:marker>
            <c:symbol val="none"/>
          </c:marker>
          <c:dLbls>
            <c:dLbl>
              <c:idx val="1"/>
              <c:delete val="1"/>
              <c:extLst>
                <c:ext xmlns:c15="http://schemas.microsoft.com/office/drawing/2012/chart" uri="{CE6537A1-D6FC-4f65-9D91-7224C49458BB}"/>
                <c:ext xmlns:c16="http://schemas.microsoft.com/office/drawing/2014/chart" uri="{C3380CC4-5D6E-409C-BE32-E72D297353CC}">
                  <c16:uniqueId val="{00000004-E7B0-4D95-9ED7-1260546A2367}"/>
                </c:ext>
              </c:extLst>
            </c:dLbl>
            <c:dLbl>
              <c:idx val="2"/>
              <c:delete val="1"/>
              <c:extLst>
                <c:ext xmlns:c15="http://schemas.microsoft.com/office/drawing/2012/chart" uri="{CE6537A1-D6FC-4f65-9D91-7224C49458BB}"/>
                <c:ext xmlns:c16="http://schemas.microsoft.com/office/drawing/2014/chart" uri="{C3380CC4-5D6E-409C-BE32-E72D297353CC}">
                  <c16:uniqueId val="{00000005-E7B0-4D95-9ED7-1260546A2367}"/>
                </c:ext>
              </c:extLst>
            </c:dLbl>
            <c:spPr>
              <a:noFill/>
              <a:ln>
                <a:noFill/>
              </a:ln>
              <a:effectLst/>
            </c:spPr>
            <c:txPr>
              <a:bodyPr/>
              <a:lstStyle/>
              <a:p>
                <a:pPr>
                  <a:defRPr sz="1200">
                    <a:latin typeface="Segoe UI" pitchFamily="34" charset="0"/>
                    <a:cs typeface="Segoe UI" pitchFamily="34" charset="0"/>
                  </a:defRPr>
                </a:pPr>
                <a:endParaRPr lang="en-US"/>
              </a:p>
            </c:txPr>
            <c:dLblPos val="l"/>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'Lists-Modules-ChartData'!$BQ$25:$BQ$27</c:f>
              <c:numCache>
                <c:formatCode>General</c:formatCode>
                <c:ptCount val="3"/>
                <c:pt idx="0">
                  <c:v>75</c:v>
                </c:pt>
                <c:pt idx="1">
                  <c:v>75</c:v>
                </c:pt>
                <c:pt idx="2">
                  <c:v>75</c:v>
                </c:pt>
              </c:numCache>
            </c:numRef>
          </c:val>
          <c:smooth val="0"/>
          <c:extLst>
            <c:ext xmlns:c16="http://schemas.microsoft.com/office/drawing/2014/chart" uri="{C3380CC4-5D6E-409C-BE32-E72D297353CC}">
              <c16:uniqueId val="{00000006-E7B0-4D95-9ED7-1260546A2367}"/>
            </c:ext>
          </c:extLst>
        </c:ser>
        <c:dLbls>
          <c:showLegendKey val="0"/>
          <c:showVal val="0"/>
          <c:showCatName val="0"/>
          <c:showSerName val="0"/>
          <c:showPercent val="0"/>
          <c:showBubbleSize val="0"/>
        </c:dLbls>
        <c:marker val="1"/>
        <c:smooth val="0"/>
        <c:axId val="545958200"/>
        <c:axId val="545958984"/>
      </c:lineChart>
      <c:scatterChart>
        <c:scatterStyle val="lineMarker"/>
        <c:varyColors val="0"/>
        <c:ser>
          <c:idx val="6"/>
          <c:order val="3"/>
          <c:tx>
            <c:strRef>
              <c:f>'Lists-Modules-ChartData'!$BS$26</c:f>
              <c:strCache>
                <c:ptCount val="1"/>
                <c:pt idx="0">
                  <c:v>4,5%</c:v>
                </c:pt>
              </c:strCache>
            </c:strRef>
          </c:tx>
          <c:spPr>
            <a:ln w="28575">
              <a:noFill/>
            </a:ln>
          </c:spPr>
          <c:marker>
            <c:symbol val="none"/>
          </c:marker>
          <c:dLbls>
            <c:spPr>
              <a:noFill/>
              <a:ln>
                <a:noFill/>
              </a:ln>
              <a:effectLst/>
            </c:spPr>
            <c:txPr>
              <a:bodyPr/>
              <a:lstStyle/>
              <a:p>
                <a:pPr>
                  <a:defRPr sz="1200" b="1">
                    <a:latin typeface="Segoe UI" pitchFamily="34" charset="0"/>
                    <a:cs typeface="Segoe UI" pitchFamily="34" charset="0"/>
                  </a:defRPr>
                </a:pPr>
                <a:endParaRPr lang="en-US"/>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'Lists-Modules-ChartData'!$BT$25:$BT$27</c:f>
              <c:numCache>
                <c:formatCode>General</c:formatCode>
                <c:ptCount val="3"/>
                <c:pt idx="0">
                  <c:v>#N/A</c:v>
                </c:pt>
                <c:pt idx="1">
                  <c:v>2</c:v>
                </c:pt>
                <c:pt idx="2">
                  <c:v>#N/A</c:v>
                </c:pt>
              </c:numCache>
            </c:numRef>
          </c:xVal>
          <c:yVal>
            <c:numRef>
              <c:f>'Lists-Modules-ChartData'!$BU$25:$BU$27</c:f>
              <c:numCache>
                <c:formatCode>0.00</c:formatCode>
                <c:ptCount val="3"/>
                <c:pt idx="0" formatCode="General">
                  <c:v>#N/A</c:v>
                </c:pt>
                <c:pt idx="1">
                  <c:v>298.10076325794171</c:v>
                </c:pt>
                <c:pt idx="2" formatCode="General">
                  <c:v>#N/A</c:v>
                </c:pt>
              </c:numCache>
            </c:numRef>
          </c:yVal>
          <c:smooth val="0"/>
          <c:extLst>
            <c:ext xmlns:c16="http://schemas.microsoft.com/office/drawing/2014/chart" uri="{C3380CC4-5D6E-409C-BE32-E72D297353CC}">
              <c16:uniqueId val="{00000007-E7B0-4D95-9ED7-1260546A2367}"/>
            </c:ext>
          </c:extLst>
        </c:ser>
        <c:ser>
          <c:idx val="2"/>
          <c:order val="4"/>
          <c:tx>
            <c:strRef>
              <c:f>'Lists-Modules-ChartData'!$BX$13</c:f>
              <c:strCache>
                <c:ptCount val="1"/>
                <c:pt idx="0">
                  <c:v>Max</c:v>
                </c:pt>
              </c:strCache>
            </c:strRef>
          </c:tx>
          <c:spPr>
            <a:ln w="28575">
              <a:noFill/>
            </a:ln>
          </c:spPr>
          <c:marker>
            <c:symbol val="none"/>
          </c:marker>
          <c:xVal>
            <c:numRef>
              <c:f>'Lists-Modules-ChartData'!$BW$15:$BW$17</c:f>
              <c:numCache>
                <c:formatCode>General</c:formatCode>
                <c:ptCount val="3"/>
                <c:pt idx="0">
                  <c:v>1</c:v>
                </c:pt>
                <c:pt idx="1">
                  <c:v>2</c:v>
                </c:pt>
                <c:pt idx="2">
                  <c:v>3</c:v>
                </c:pt>
              </c:numCache>
            </c:numRef>
          </c:xVal>
          <c:yVal>
            <c:numRef>
              <c:f>'Lists-Modules-ChartData'!$BX$15:$BX$17</c:f>
              <c:numCache>
                <c:formatCode>General</c:formatCode>
                <c:ptCount val="3"/>
                <c:pt idx="0">
                  <c:v>313</c:v>
                </c:pt>
                <c:pt idx="1">
                  <c:v>313</c:v>
                </c:pt>
                <c:pt idx="2">
                  <c:v>313</c:v>
                </c:pt>
              </c:numCache>
            </c:numRef>
          </c:yVal>
          <c:smooth val="0"/>
          <c:extLst>
            <c:ext xmlns:c16="http://schemas.microsoft.com/office/drawing/2014/chart" uri="{C3380CC4-5D6E-409C-BE32-E72D297353CC}">
              <c16:uniqueId val="{00000008-E7B0-4D95-9ED7-1260546A2367}"/>
            </c:ext>
          </c:extLst>
        </c:ser>
        <c:ser>
          <c:idx val="3"/>
          <c:order val="5"/>
          <c:tx>
            <c:strRef>
              <c:f>'Lists-Modules-ChartData'!$BY$13</c:f>
              <c:strCache>
                <c:ptCount val="1"/>
                <c:pt idx="0">
                  <c:v>Min</c:v>
                </c:pt>
              </c:strCache>
            </c:strRef>
          </c:tx>
          <c:spPr>
            <a:ln w="28575">
              <a:noFill/>
            </a:ln>
          </c:spPr>
          <c:marker>
            <c:symbol val="none"/>
          </c:marker>
          <c:xVal>
            <c:numRef>
              <c:f>'Lists-Modules-ChartData'!$BW$15:$BW$17</c:f>
              <c:numCache>
                <c:formatCode>General</c:formatCode>
                <c:ptCount val="3"/>
                <c:pt idx="0">
                  <c:v>1</c:v>
                </c:pt>
                <c:pt idx="1">
                  <c:v>2</c:v>
                </c:pt>
                <c:pt idx="2">
                  <c:v>3</c:v>
                </c:pt>
              </c:numCache>
            </c:numRef>
          </c:xVal>
          <c:yVal>
            <c:numRef>
              <c:f>'Lists-Modules-ChartData'!$BY$15:$BY$17</c:f>
              <c:numCache>
                <c:formatCode>General</c:formatCode>
                <c:ptCount val="3"/>
                <c:pt idx="0">
                  <c:v>0</c:v>
                </c:pt>
                <c:pt idx="1">
                  <c:v>0</c:v>
                </c:pt>
                <c:pt idx="2">
                  <c:v>0</c:v>
                </c:pt>
              </c:numCache>
            </c:numRef>
          </c:yVal>
          <c:smooth val="0"/>
          <c:extLst>
            <c:ext xmlns:c16="http://schemas.microsoft.com/office/drawing/2014/chart" uri="{C3380CC4-5D6E-409C-BE32-E72D297353CC}">
              <c16:uniqueId val="{00000009-E7B0-4D95-9ED7-1260546A2367}"/>
            </c:ext>
          </c:extLst>
        </c:ser>
        <c:dLbls>
          <c:showLegendKey val="0"/>
          <c:showVal val="0"/>
          <c:showCatName val="0"/>
          <c:showSerName val="0"/>
          <c:showPercent val="0"/>
          <c:showBubbleSize val="0"/>
        </c:dLbls>
        <c:axId val="545958200"/>
        <c:axId val="545958984"/>
      </c:scatterChart>
      <c:valAx>
        <c:axId val="545958984"/>
        <c:scaling>
          <c:orientation val="minMax"/>
        </c:scaling>
        <c:delete val="1"/>
        <c:axPos val="l"/>
        <c:numFmt formatCode="0" sourceLinked="0"/>
        <c:majorTickMark val="out"/>
        <c:minorTickMark val="none"/>
        <c:tickLblPos val="none"/>
        <c:crossAx val="545958200"/>
        <c:crosses val="autoZero"/>
        <c:crossBetween val="midCat"/>
      </c:valAx>
      <c:catAx>
        <c:axId val="545958200"/>
        <c:scaling>
          <c:orientation val="minMax"/>
        </c:scaling>
        <c:delete val="0"/>
        <c:axPos val="b"/>
        <c:numFmt formatCode="General" sourceLinked="1"/>
        <c:majorTickMark val="none"/>
        <c:minorTickMark val="none"/>
        <c:tickLblPos val="nextTo"/>
        <c:spPr>
          <a:ln>
            <a:solidFill>
              <a:srgbClr val="C0C0C0"/>
            </a:solidFill>
          </a:ln>
        </c:spPr>
        <c:txPr>
          <a:bodyPr/>
          <a:lstStyle/>
          <a:p>
            <a:pPr>
              <a:defRPr sz="600">
                <a:solidFill>
                  <a:schemeClr val="bg1"/>
                </a:solidFill>
              </a:defRPr>
            </a:pPr>
            <a:endParaRPr lang="en-US"/>
          </a:p>
        </c:txPr>
        <c:crossAx val="545958984"/>
        <c:crosses val="autoZero"/>
        <c:auto val="0"/>
        <c:lblAlgn val="r"/>
        <c:lblOffset val="100"/>
        <c:noMultiLvlLbl val="0"/>
      </c:catAx>
      <c:spPr>
        <a:solidFill>
          <a:srgbClr val="FFFFFF"/>
        </a:solidFill>
        <a:ln w="25400">
          <a:solidFill>
            <a:srgbClr val="C0C0C0"/>
          </a:solidFill>
          <a:prstDash val="solid"/>
        </a:ln>
      </c:spPr>
    </c:plotArea>
    <c:plotVisOnly val="1"/>
    <c:dispBlanksAs val="gap"/>
    <c:showDLblsOverMax val="0"/>
  </c:chart>
  <c:spPr>
    <a:noFill/>
    <a:ln w="25400">
      <a:noFill/>
    </a:ln>
  </c:spPr>
  <c:printSettings>
    <c:headerFooter/>
    <c:pageMargins b="0.75000000000001465" l="0.70000000000000062" r="0.70000000000000062" t="0.75000000000001465" header="0.30000000000000032" footer="0.30000000000000032"/>
    <c:pageSetup orientation="portrait"/>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498218334953035E-2"/>
          <c:y val="0.23149628877037023"/>
          <c:w val="0.44030506390785096"/>
          <c:h val="0.67193497586995177"/>
        </c:manualLayout>
      </c:layout>
      <c:areaChart>
        <c:grouping val="stacked"/>
        <c:varyColors val="0"/>
        <c:ser>
          <c:idx val="0"/>
          <c:order val="0"/>
          <c:spPr>
            <a:noFill/>
            <a:ln w="25400">
              <a:noFill/>
              <a:prstDash val="solid"/>
            </a:ln>
            <a:effectLst/>
          </c:spPr>
          <c:cat>
            <c:numRef>
              <c:f>'Fan Chart'!$R$52:$Y$52</c:f>
              <c:numCache>
                <c:formatCode>General</c:formatCode>
                <c:ptCount val="8"/>
                <c:pt idx="0">
                  <c:v>2016</c:v>
                </c:pt>
                <c:pt idx="1">
                  <c:v>2017</c:v>
                </c:pt>
                <c:pt idx="2">
                  <c:v>2018</c:v>
                </c:pt>
                <c:pt idx="3">
                  <c:v>2019</c:v>
                </c:pt>
                <c:pt idx="4">
                  <c:v>2020</c:v>
                </c:pt>
                <c:pt idx="5">
                  <c:v>2021</c:v>
                </c:pt>
                <c:pt idx="6">
                  <c:v>2022</c:v>
                </c:pt>
                <c:pt idx="7">
                  <c:v>2023</c:v>
                </c:pt>
              </c:numCache>
            </c:numRef>
          </c:cat>
          <c:val>
            <c:numRef>
              <c:f>'Fan Chart'!$AE$42:$AL$42</c:f>
              <c:numCache>
                <c:formatCode>0.0</c:formatCode>
                <c:ptCount val="8"/>
                <c:pt idx="0">
                  <c:v>40.167456396322947</c:v>
                </c:pt>
                <c:pt idx="1">
                  <c:v>39.842702208732895</c:v>
                </c:pt>
                <c:pt idx="2">
                  <c:v>0</c:v>
                </c:pt>
                <c:pt idx="3">
                  <c:v>0</c:v>
                </c:pt>
                <c:pt idx="4">
                  <c:v>0</c:v>
                </c:pt>
                <c:pt idx="5">
                  <c:v>0</c:v>
                </c:pt>
                <c:pt idx="6">
                  <c:v>0</c:v>
                </c:pt>
                <c:pt idx="7">
                  <c:v>0</c:v>
                </c:pt>
              </c:numCache>
            </c:numRef>
          </c:val>
          <c:extLst>
            <c:ext xmlns:c16="http://schemas.microsoft.com/office/drawing/2014/chart" uri="{C3380CC4-5D6E-409C-BE32-E72D297353CC}">
              <c16:uniqueId val="{00000000-CCFE-41D0-8C97-18451B0BA229}"/>
            </c:ext>
          </c:extLst>
        </c:ser>
        <c:ser>
          <c:idx val="2"/>
          <c:order val="1"/>
          <c:tx>
            <c:strRef>
              <c:f>'Fan Chart'!$Z$43</c:f>
              <c:strCache>
                <c:ptCount val="1"/>
                <c:pt idx="0">
                  <c:v>10th-25th</c:v>
                </c:pt>
              </c:strCache>
            </c:strRef>
          </c:tx>
          <c:spPr>
            <a:solidFill>
              <a:schemeClr val="accent5">
                <a:lumMod val="40000"/>
                <a:lumOff val="60000"/>
              </a:schemeClr>
            </a:solidFill>
            <a:ln w="25400">
              <a:noFill/>
              <a:prstDash val="solid"/>
            </a:ln>
            <a:effectLst/>
          </c:spPr>
          <c:cat>
            <c:numRef>
              <c:f>'Fan Chart'!$R$52:$Y$52</c:f>
              <c:numCache>
                <c:formatCode>General</c:formatCode>
                <c:ptCount val="8"/>
                <c:pt idx="0">
                  <c:v>2016</c:v>
                </c:pt>
                <c:pt idx="1">
                  <c:v>2017</c:v>
                </c:pt>
                <c:pt idx="2">
                  <c:v>2018</c:v>
                </c:pt>
                <c:pt idx="3">
                  <c:v>2019</c:v>
                </c:pt>
                <c:pt idx="4">
                  <c:v>2020</c:v>
                </c:pt>
                <c:pt idx="5">
                  <c:v>2021</c:v>
                </c:pt>
                <c:pt idx="6">
                  <c:v>2022</c:v>
                </c:pt>
                <c:pt idx="7">
                  <c:v>2023</c:v>
                </c:pt>
              </c:numCache>
            </c:numRef>
          </c:cat>
          <c:val>
            <c:numRef>
              <c:f>'Fan Chart'!$AE$43:$AL$43</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CCFE-41D0-8C97-18451B0BA229}"/>
            </c:ext>
          </c:extLst>
        </c:ser>
        <c:ser>
          <c:idx val="3"/>
          <c:order val="2"/>
          <c:tx>
            <c:v>25th-75th</c:v>
          </c:tx>
          <c:spPr>
            <a:solidFill>
              <a:srgbClr val="79C1D5"/>
            </a:solidFill>
            <a:ln w="25400">
              <a:noFill/>
              <a:prstDash val="solid"/>
            </a:ln>
            <a:effectLst/>
          </c:spPr>
          <c:cat>
            <c:numRef>
              <c:f>'Fan Chart'!$R$52:$Y$52</c:f>
              <c:numCache>
                <c:formatCode>General</c:formatCode>
                <c:ptCount val="8"/>
                <c:pt idx="0">
                  <c:v>2016</c:v>
                </c:pt>
                <c:pt idx="1">
                  <c:v>2017</c:v>
                </c:pt>
                <c:pt idx="2">
                  <c:v>2018</c:v>
                </c:pt>
                <c:pt idx="3">
                  <c:v>2019</c:v>
                </c:pt>
                <c:pt idx="4">
                  <c:v>2020</c:v>
                </c:pt>
                <c:pt idx="5">
                  <c:v>2021</c:v>
                </c:pt>
                <c:pt idx="6">
                  <c:v>2022</c:v>
                </c:pt>
                <c:pt idx="7">
                  <c:v>2023</c:v>
                </c:pt>
              </c:numCache>
            </c:numRef>
          </c:cat>
          <c:val>
            <c:numRef>
              <c:f>'Fan Chart'!$AE$44:$AL$44</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2-CCFE-41D0-8C97-18451B0BA229}"/>
            </c:ext>
          </c:extLst>
        </c:ser>
        <c:ser>
          <c:idx val="4"/>
          <c:order val="3"/>
          <c:tx>
            <c:strRef>
              <c:f>'Fan Chart'!$Z$45</c:f>
              <c:strCache>
                <c:ptCount val="1"/>
                <c:pt idx="0">
                  <c:v>50th-75th</c:v>
                </c:pt>
              </c:strCache>
            </c:strRef>
          </c:tx>
          <c:spPr>
            <a:solidFill>
              <a:srgbClr val="79C1D5"/>
            </a:solidFill>
            <a:ln w="25400">
              <a:noFill/>
              <a:prstDash val="solid"/>
            </a:ln>
            <a:effectLst/>
          </c:spPr>
          <c:cat>
            <c:numRef>
              <c:f>'Fan Chart'!$R$52:$Y$52</c:f>
              <c:numCache>
                <c:formatCode>General</c:formatCode>
                <c:ptCount val="8"/>
                <c:pt idx="0">
                  <c:v>2016</c:v>
                </c:pt>
                <c:pt idx="1">
                  <c:v>2017</c:v>
                </c:pt>
                <c:pt idx="2">
                  <c:v>2018</c:v>
                </c:pt>
                <c:pt idx="3">
                  <c:v>2019</c:v>
                </c:pt>
                <c:pt idx="4">
                  <c:v>2020</c:v>
                </c:pt>
                <c:pt idx="5">
                  <c:v>2021</c:v>
                </c:pt>
                <c:pt idx="6">
                  <c:v>2022</c:v>
                </c:pt>
                <c:pt idx="7">
                  <c:v>2023</c:v>
                </c:pt>
              </c:numCache>
            </c:numRef>
          </c:cat>
          <c:val>
            <c:numRef>
              <c:f>'Fan Chart'!$AE$45:$AL$45</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3-CCFE-41D0-8C97-18451B0BA229}"/>
            </c:ext>
          </c:extLst>
        </c:ser>
        <c:ser>
          <c:idx val="5"/>
          <c:order val="4"/>
          <c:tx>
            <c:strRef>
              <c:f>'Fan Chart'!$Z$46</c:f>
              <c:strCache>
                <c:ptCount val="1"/>
                <c:pt idx="0">
                  <c:v>75th-90th</c:v>
                </c:pt>
              </c:strCache>
            </c:strRef>
          </c:tx>
          <c:spPr>
            <a:solidFill>
              <a:schemeClr val="accent5">
                <a:lumMod val="40000"/>
                <a:lumOff val="60000"/>
              </a:schemeClr>
            </a:solidFill>
            <a:ln w="25400">
              <a:noFill/>
              <a:prstDash val="solid"/>
            </a:ln>
            <a:effectLst/>
          </c:spPr>
          <c:cat>
            <c:numRef>
              <c:f>'Fan Chart'!$R$52:$Y$52</c:f>
              <c:numCache>
                <c:formatCode>General</c:formatCode>
                <c:ptCount val="8"/>
                <c:pt idx="0">
                  <c:v>2016</c:v>
                </c:pt>
                <c:pt idx="1">
                  <c:v>2017</c:v>
                </c:pt>
                <c:pt idx="2">
                  <c:v>2018</c:v>
                </c:pt>
                <c:pt idx="3">
                  <c:v>2019</c:v>
                </c:pt>
                <c:pt idx="4">
                  <c:v>2020</c:v>
                </c:pt>
                <c:pt idx="5">
                  <c:v>2021</c:v>
                </c:pt>
                <c:pt idx="6">
                  <c:v>2022</c:v>
                </c:pt>
                <c:pt idx="7">
                  <c:v>2023</c:v>
                </c:pt>
              </c:numCache>
            </c:numRef>
          </c:cat>
          <c:val>
            <c:numRef>
              <c:f>'Fan Chart'!$AE$46:$AL$46</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4-CCFE-41D0-8C97-18451B0BA229}"/>
            </c:ext>
          </c:extLst>
        </c:ser>
        <c:dLbls>
          <c:showLegendKey val="0"/>
          <c:showVal val="0"/>
          <c:showCatName val="0"/>
          <c:showSerName val="0"/>
          <c:showPercent val="0"/>
          <c:showBubbleSize val="0"/>
        </c:dLbls>
        <c:axId val="545957024"/>
        <c:axId val="545957808"/>
      </c:areaChart>
      <c:lineChart>
        <c:grouping val="standard"/>
        <c:varyColors val="0"/>
        <c:ser>
          <c:idx val="1"/>
          <c:order val="5"/>
          <c:tx>
            <c:v>Baseline debt</c:v>
          </c:tx>
          <c:spPr>
            <a:ln w="38100">
              <a:solidFill>
                <a:schemeClr val="tx1"/>
              </a:solidFill>
            </a:ln>
          </c:spPr>
          <c:marker>
            <c:symbol val="none"/>
          </c:marker>
          <c:cat>
            <c:numRef>
              <c:f>'Fan Chart'!$R$52:$Y$52</c:f>
              <c:numCache>
                <c:formatCode>General</c:formatCode>
                <c:ptCount val="8"/>
                <c:pt idx="0">
                  <c:v>2016</c:v>
                </c:pt>
                <c:pt idx="1">
                  <c:v>2017</c:v>
                </c:pt>
                <c:pt idx="2">
                  <c:v>2018</c:v>
                </c:pt>
                <c:pt idx="3">
                  <c:v>2019</c:v>
                </c:pt>
                <c:pt idx="4">
                  <c:v>2020</c:v>
                </c:pt>
                <c:pt idx="5">
                  <c:v>2021</c:v>
                </c:pt>
                <c:pt idx="6">
                  <c:v>2022</c:v>
                </c:pt>
                <c:pt idx="7">
                  <c:v>2023</c:v>
                </c:pt>
              </c:numCache>
            </c:numRef>
          </c:cat>
          <c:val>
            <c:numRef>
              <c:f>'Fan Chart'!$R$53:$Y$53</c:f>
              <c:numCache>
                <c:formatCode>0.0</c:formatCode>
                <c:ptCount val="8"/>
                <c:pt idx="0">
                  <c:v>40.167456396322947</c:v>
                </c:pt>
                <c:pt idx="1">
                  <c:v>39.842702208732895</c:v>
                </c:pt>
                <c:pt idx="2">
                  <c:v>37.084342131638088</c:v>
                </c:pt>
                <c:pt idx="3">
                  <c:v>35.351552504862923</c:v>
                </c:pt>
                <c:pt idx="4">
                  <c:v>33.542090376828199</c:v>
                </c:pt>
                <c:pt idx="5">
                  <c:v>32.056160655910695</c:v>
                </c:pt>
                <c:pt idx="6">
                  <c:v>29.915873102736189</c:v>
                </c:pt>
                <c:pt idx="7">
                  <c:v>27.903074435380589</c:v>
                </c:pt>
              </c:numCache>
            </c:numRef>
          </c:val>
          <c:smooth val="0"/>
          <c:extLst>
            <c:ext xmlns:c16="http://schemas.microsoft.com/office/drawing/2014/chart" uri="{C3380CC4-5D6E-409C-BE32-E72D297353CC}">
              <c16:uniqueId val="{00000005-CCFE-41D0-8C97-18451B0BA229}"/>
            </c:ext>
          </c:extLst>
        </c:ser>
        <c:dLbls>
          <c:showLegendKey val="0"/>
          <c:showVal val="0"/>
          <c:showCatName val="0"/>
          <c:showSerName val="0"/>
          <c:showPercent val="0"/>
          <c:showBubbleSize val="0"/>
        </c:dLbls>
        <c:marker val="1"/>
        <c:smooth val="0"/>
        <c:axId val="545957024"/>
        <c:axId val="545957808"/>
      </c:lineChart>
      <c:catAx>
        <c:axId val="545957024"/>
        <c:scaling>
          <c:orientation val="minMax"/>
        </c:scaling>
        <c:delete val="0"/>
        <c:axPos val="b"/>
        <c:numFmt formatCode="General" sourceLinked="1"/>
        <c:majorTickMark val="in"/>
        <c:minorTickMark val="none"/>
        <c:tickLblPos val="low"/>
        <c:spPr>
          <a:ln w="25400">
            <a:solidFill>
              <a:srgbClr val="C0C0C0"/>
            </a:solidFill>
            <a:prstDash val="solid"/>
          </a:ln>
        </c:spPr>
        <c:txPr>
          <a:bodyPr rot="0" vert="horz"/>
          <a:lstStyle/>
          <a:p>
            <a:pPr>
              <a:defRPr sz="1400">
                <a:latin typeface="Segoe UI"/>
                <a:ea typeface="Segoe UI"/>
                <a:cs typeface="Segoe UI"/>
              </a:defRPr>
            </a:pPr>
            <a:endParaRPr lang="en-US"/>
          </a:p>
        </c:txPr>
        <c:crossAx val="545957808"/>
        <c:crosses val="autoZero"/>
        <c:auto val="1"/>
        <c:lblAlgn val="ctr"/>
        <c:lblOffset val="100"/>
        <c:tickLblSkip val="1"/>
        <c:tickMarkSkip val="1"/>
        <c:noMultiLvlLbl val="0"/>
      </c:catAx>
      <c:valAx>
        <c:axId val="545957808"/>
        <c:scaling>
          <c:orientation val="minMax"/>
        </c:scaling>
        <c:delete val="0"/>
        <c:axPos val="l"/>
        <c:numFmt formatCode="#,##0" sourceLinked="0"/>
        <c:majorTickMark val="in"/>
        <c:minorTickMark val="none"/>
        <c:tickLblPos val="nextTo"/>
        <c:spPr>
          <a:ln w="25400">
            <a:solidFill>
              <a:srgbClr val="C0C0C0"/>
            </a:solidFill>
            <a:prstDash val="solid"/>
          </a:ln>
        </c:spPr>
        <c:txPr>
          <a:bodyPr rot="0" vert="horz"/>
          <a:lstStyle/>
          <a:p>
            <a:pPr>
              <a:defRPr sz="1400">
                <a:latin typeface="Segoe UI"/>
                <a:ea typeface="Segoe UI"/>
                <a:cs typeface="Segoe UI"/>
              </a:defRPr>
            </a:pPr>
            <a:endParaRPr lang="en-US"/>
          </a:p>
        </c:txPr>
        <c:crossAx val="545957024"/>
        <c:crosses val="autoZero"/>
        <c:crossBetween val="midCat"/>
      </c:valAx>
      <c:spPr>
        <a:noFill/>
        <a:ln w="25400">
          <a:solidFill>
            <a:srgbClr val="C0C0C0"/>
          </a:solidFill>
          <a:prstDash val="solid"/>
        </a:ln>
      </c:spPr>
    </c:plotArea>
    <c:legend>
      <c:legendPos val="t"/>
      <c:legendEntry>
        <c:idx val="0"/>
        <c:delete val="1"/>
      </c:legendEntry>
      <c:legendEntry>
        <c:idx val="3"/>
        <c:delete val="1"/>
      </c:legendEntry>
      <c:legendEntry>
        <c:idx val="5"/>
        <c:delete val="1"/>
      </c:legendEntry>
      <c:layout>
        <c:manualLayout>
          <c:xMode val="edge"/>
          <c:yMode val="edge"/>
          <c:x val="0.40775112678111658"/>
          <c:y val="5.7813085864269877E-4"/>
          <c:w val="0.58319638616600356"/>
          <c:h val="6.674433437755764E-2"/>
        </c:manualLayout>
      </c:layout>
      <c:overlay val="0"/>
      <c:txPr>
        <a:bodyPr/>
        <a:lstStyle/>
        <a:p>
          <a:pPr>
            <a:defRPr sz="1400">
              <a:latin typeface="Segoe UI" pitchFamily="34" charset="0"/>
              <a:cs typeface="Segoe UI" pitchFamily="34" charset="0"/>
            </a:defRPr>
          </a:pPr>
          <a:endParaRPr lang="en-US"/>
        </a:p>
      </c:txPr>
    </c:legend>
    <c:plotVisOnly val="1"/>
    <c:dispBlanksAs val="zero"/>
    <c:showDLblsOverMax val="0"/>
  </c:chart>
  <c:spPr>
    <a:noFill/>
    <a:ln w="25400">
      <a:noFill/>
    </a:ln>
  </c:spPr>
  <c:txPr>
    <a:bodyPr/>
    <a:lstStyle/>
    <a:p>
      <a:pPr>
        <a:defRPr sz="1050" b="0" i="0" u="none" strike="noStrike" baseline="0">
          <a:solidFill>
            <a:srgbClr val="000000"/>
          </a:solidFill>
          <a:latin typeface="Calibri" pitchFamily="34" charset="0"/>
          <a:ea typeface="Times New Roman"/>
          <a:cs typeface="Times New Roman"/>
        </a:defRPr>
      </a:pPr>
      <a:endParaRPr lang="en-US"/>
    </a:p>
  </c:txPr>
  <c:printSettings>
    <c:headerFooter alignWithMargins="0"/>
    <c:pageMargins b="4.7699999999999996" l="0.75000000000001465" r="0.75000000000001465" t="1" header="0.5" footer="0.5"/>
    <c:pageSetup orientation="portrait"/>
  </c:printSettings>
  <c:userShapes r:id="rId1"/>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480726061628609"/>
          <c:y val="0.15105103094634487"/>
          <c:w val="0.76509295865141291"/>
          <c:h val="0.75134845627248814"/>
        </c:manualLayout>
      </c:layout>
      <c:areaChart>
        <c:grouping val="stacked"/>
        <c:varyColors val="0"/>
        <c:ser>
          <c:idx val="0"/>
          <c:order val="0"/>
          <c:spPr>
            <a:noFill/>
            <a:ln w="25400">
              <a:noFill/>
              <a:prstDash val="solid"/>
            </a:ln>
            <a:effectLst/>
          </c:spPr>
          <c:cat>
            <c:numRef>
              <c:f>'Fan Chart'!$BL$41:$BS$41</c:f>
              <c:numCache>
                <c:formatCode>General</c:formatCode>
                <c:ptCount val="8"/>
                <c:pt idx="0">
                  <c:v>2016</c:v>
                </c:pt>
                <c:pt idx="1">
                  <c:v>2017</c:v>
                </c:pt>
                <c:pt idx="2">
                  <c:v>2018</c:v>
                </c:pt>
                <c:pt idx="3">
                  <c:v>2019</c:v>
                </c:pt>
                <c:pt idx="4">
                  <c:v>2020</c:v>
                </c:pt>
                <c:pt idx="5">
                  <c:v>2021</c:v>
                </c:pt>
                <c:pt idx="6">
                  <c:v>2022</c:v>
                </c:pt>
                <c:pt idx="7">
                  <c:v>2023</c:v>
                </c:pt>
              </c:numCache>
            </c:numRef>
          </c:cat>
          <c:val>
            <c:numRef>
              <c:f>'Fan Chart'!$BL$42:$BS$42</c:f>
              <c:numCache>
                <c:formatCode>0.0</c:formatCode>
                <c:ptCount val="8"/>
                <c:pt idx="0">
                  <c:v>40.167456396322947</c:v>
                </c:pt>
                <c:pt idx="1">
                  <c:v>39.842702208732895</c:v>
                </c:pt>
                <c:pt idx="2">
                  <c:v>0</c:v>
                </c:pt>
                <c:pt idx="3">
                  <c:v>0</c:v>
                </c:pt>
                <c:pt idx="4">
                  <c:v>0</c:v>
                </c:pt>
                <c:pt idx="5">
                  <c:v>0</c:v>
                </c:pt>
                <c:pt idx="6">
                  <c:v>0</c:v>
                </c:pt>
                <c:pt idx="7">
                  <c:v>0</c:v>
                </c:pt>
              </c:numCache>
            </c:numRef>
          </c:val>
          <c:extLst>
            <c:ext xmlns:c16="http://schemas.microsoft.com/office/drawing/2014/chart" uri="{C3380CC4-5D6E-409C-BE32-E72D297353CC}">
              <c16:uniqueId val="{00000000-3877-4701-94A1-B7B0F01AE205}"/>
            </c:ext>
          </c:extLst>
        </c:ser>
        <c:ser>
          <c:idx val="2"/>
          <c:order val="1"/>
          <c:tx>
            <c:strRef>
              <c:f>'Fan Chart'!$BG$43</c:f>
              <c:strCache>
                <c:ptCount val="1"/>
                <c:pt idx="0">
                  <c:v>10th-25th</c:v>
                </c:pt>
              </c:strCache>
            </c:strRef>
          </c:tx>
          <c:spPr>
            <a:solidFill>
              <a:schemeClr val="accent5">
                <a:lumMod val="40000"/>
                <a:lumOff val="60000"/>
              </a:schemeClr>
            </a:solidFill>
            <a:ln w="25400">
              <a:noFill/>
              <a:prstDash val="solid"/>
            </a:ln>
            <a:effectLst/>
          </c:spPr>
          <c:cat>
            <c:numRef>
              <c:f>'Fan Chart'!$BL$41:$BS$41</c:f>
              <c:numCache>
                <c:formatCode>General</c:formatCode>
                <c:ptCount val="8"/>
                <c:pt idx="0">
                  <c:v>2016</c:v>
                </c:pt>
                <c:pt idx="1">
                  <c:v>2017</c:v>
                </c:pt>
                <c:pt idx="2">
                  <c:v>2018</c:v>
                </c:pt>
                <c:pt idx="3">
                  <c:v>2019</c:v>
                </c:pt>
                <c:pt idx="4">
                  <c:v>2020</c:v>
                </c:pt>
                <c:pt idx="5">
                  <c:v>2021</c:v>
                </c:pt>
                <c:pt idx="6">
                  <c:v>2022</c:v>
                </c:pt>
                <c:pt idx="7">
                  <c:v>2023</c:v>
                </c:pt>
              </c:numCache>
            </c:numRef>
          </c:cat>
          <c:val>
            <c:numRef>
              <c:f>'Fan Chart'!$BL$43:$BS$43</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3877-4701-94A1-B7B0F01AE205}"/>
            </c:ext>
          </c:extLst>
        </c:ser>
        <c:ser>
          <c:idx val="3"/>
          <c:order val="2"/>
          <c:tx>
            <c:strRef>
              <c:f>'Fan Chart'!$BG$44</c:f>
              <c:strCache>
                <c:ptCount val="1"/>
                <c:pt idx="0">
                  <c:v>25th-50th</c:v>
                </c:pt>
              </c:strCache>
            </c:strRef>
          </c:tx>
          <c:spPr>
            <a:solidFill>
              <a:srgbClr val="79C1D5"/>
            </a:solidFill>
            <a:ln w="25400">
              <a:noFill/>
              <a:prstDash val="solid"/>
            </a:ln>
            <a:effectLst/>
          </c:spPr>
          <c:cat>
            <c:numRef>
              <c:f>'Fan Chart'!$BL$41:$BS$41</c:f>
              <c:numCache>
                <c:formatCode>General</c:formatCode>
                <c:ptCount val="8"/>
                <c:pt idx="0">
                  <c:v>2016</c:v>
                </c:pt>
                <c:pt idx="1">
                  <c:v>2017</c:v>
                </c:pt>
                <c:pt idx="2">
                  <c:v>2018</c:v>
                </c:pt>
                <c:pt idx="3">
                  <c:v>2019</c:v>
                </c:pt>
                <c:pt idx="4">
                  <c:v>2020</c:v>
                </c:pt>
                <c:pt idx="5">
                  <c:v>2021</c:v>
                </c:pt>
                <c:pt idx="6">
                  <c:v>2022</c:v>
                </c:pt>
                <c:pt idx="7">
                  <c:v>2023</c:v>
                </c:pt>
              </c:numCache>
            </c:numRef>
          </c:cat>
          <c:val>
            <c:numRef>
              <c:f>'Fan Chart'!$BL$44:$BS$44</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2-3877-4701-94A1-B7B0F01AE205}"/>
            </c:ext>
          </c:extLst>
        </c:ser>
        <c:ser>
          <c:idx val="4"/>
          <c:order val="3"/>
          <c:tx>
            <c:strRef>
              <c:f>'Fan Chart'!$BG$45</c:f>
              <c:strCache>
                <c:ptCount val="1"/>
                <c:pt idx="0">
                  <c:v>50th-75th</c:v>
                </c:pt>
              </c:strCache>
            </c:strRef>
          </c:tx>
          <c:spPr>
            <a:solidFill>
              <a:srgbClr val="79C1D5"/>
            </a:solidFill>
            <a:ln w="25400">
              <a:noFill/>
              <a:prstDash val="solid"/>
            </a:ln>
            <a:effectLst/>
          </c:spPr>
          <c:cat>
            <c:numRef>
              <c:f>'Fan Chart'!$BL$41:$BS$41</c:f>
              <c:numCache>
                <c:formatCode>General</c:formatCode>
                <c:ptCount val="8"/>
                <c:pt idx="0">
                  <c:v>2016</c:v>
                </c:pt>
                <c:pt idx="1">
                  <c:v>2017</c:v>
                </c:pt>
                <c:pt idx="2">
                  <c:v>2018</c:v>
                </c:pt>
                <c:pt idx="3">
                  <c:v>2019</c:v>
                </c:pt>
                <c:pt idx="4">
                  <c:v>2020</c:v>
                </c:pt>
                <c:pt idx="5">
                  <c:v>2021</c:v>
                </c:pt>
                <c:pt idx="6">
                  <c:v>2022</c:v>
                </c:pt>
                <c:pt idx="7">
                  <c:v>2023</c:v>
                </c:pt>
              </c:numCache>
            </c:numRef>
          </c:cat>
          <c:val>
            <c:numRef>
              <c:f>'Fan Chart'!$BL$45:$BS$45</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3-3877-4701-94A1-B7B0F01AE205}"/>
            </c:ext>
          </c:extLst>
        </c:ser>
        <c:ser>
          <c:idx val="5"/>
          <c:order val="4"/>
          <c:tx>
            <c:strRef>
              <c:f>'Fan Chart'!$BG$46</c:f>
              <c:strCache>
                <c:ptCount val="1"/>
                <c:pt idx="0">
                  <c:v>75th-90th</c:v>
                </c:pt>
              </c:strCache>
            </c:strRef>
          </c:tx>
          <c:spPr>
            <a:solidFill>
              <a:schemeClr val="accent5">
                <a:lumMod val="40000"/>
                <a:lumOff val="60000"/>
              </a:schemeClr>
            </a:solidFill>
            <a:ln w="25400">
              <a:noFill/>
              <a:prstDash val="solid"/>
            </a:ln>
            <a:effectLst/>
          </c:spPr>
          <c:cat>
            <c:numRef>
              <c:f>'Fan Chart'!$BL$41:$BS$41</c:f>
              <c:numCache>
                <c:formatCode>General</c:formatCode>
                <c:ptCount val="8"/>
                <c:pt idx="0">
                  <c:v>2016</c:v>
                </c:pt>
                <c:pt idx="1">
                  <c:v>2017</c:v>
                </c:pt>
                <c:pt idx="2">
                  <c:v>2018</c:v>
                </c:pt>
                <c:pt idx="3">
                  <c:v>2019</c:v>
                </c:pt>
                <c:pt idx="4">
                  <c:v>2020</c:v>
                </c:pt>
                <c:pt idx="5">
                  <c:v>2021</c:v>
                </c:pt>
                <c:pt idx="6">
                  <c:v>2022</c:v>
                </c:pt>
                <c:pt idx="7">
                  <c:v>2023</c:v>
                </c:pt>
              </c:numCache>
            </c:numRef>
          </c:cat>
          <c:val>
            <c:numRef>
              <c:f>'Fan Chart'!$BL$46:$BS$46</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4-3877-4701-94A1-B7B0F01AE205}"/>
            </c:ext>
          </c:extLst>
        </c:ser>
        <c:dLbls>
          <c:showLegendKey val="0"/>
          <c:showVal val="0"/>
          <c:showCatName val="0"/>
          <c:showSerName val="0"/>
          <c:showPercent val="0"/>
          <c:showBubbleSize val="0"/>
        </c:dLbls>
        <c:axId val="545956240"/>
        <c:axId val="545956632"/>
      </c:areaChart>
      <c:lineChart>
        <c:grouping val="standard"/>
        <c:varyColors val="0"/>
        <c:ser>
          <c:idx val="1"/>
          <c:order val="5"/>
          <c:tx>
            <c:v>Baseline debt</c:v>
          </c:tx>
          <c:spPr>
            <a:ln w="38100">
              <a:solidFill>
                <a:schemeClr val="tx1"/>
              </a:solidFill>
            </a:ln>
          </c:spPr>
          <c:marker>
            <c:symbol val="none"/>
          </c:marker>
          <c:cat>
            <c:numRef>
              <c:f>'Fan Chart'!$R$52:$Y$52</c:f>
              <c:numCache>
                <c:formatCode>General</c:formatCode>
                <c:ptCount val="8"/>
                <c:pt idx="0">
                  <c:v>2016</c:v>
                </c:pt>
                <c:pt idx="1">
                  <c:v>2017</c:v>
                </c:pt>
                <c:pt idx="2">
                  <c:v>2018</c:v>
                </c:pt>
                <c:pt idx="3">
                  <c:v>2019</c:v>
                </c:pt>
                <c:pt idx="4">
                  <c:v>2020</c:v>
                </c:pt>
                <c:pt idx="5">
                  <c:v>2021</c:v>
                </c:pt>
                <c:pt idx="6">
                  <c:v>2022</c:v>
                </c:pt>
                <c:pt idx="7">
                  <c:v>2023</c:v>
                </c:pt>
              </c:numCache>
            </c:numRef>
          </c:cat>
          <c:val>
            <c:numRef>
              <c:f>'Fan Chart'!$R$53:$Y$53</c:f>
              <c:numCache>
                <c:formatCode>0.0</c:formatCode>
                <c:ptCount val="8"/>
                <c:pt idx="0">
                  <c:v>40.167456396322947</c:v>
                </c:pt>
                <c:pt idx="1">
                  <c:v>39.842702208732895</c:v>
                </c:pt>
                <c:pt idx="2">
                  <c:v>37.084342131638088</c:v>
                </c:pt>
                <c:pt idx="3">
                  <c:v>35.351552504862923</c:v>
                </c:pt>
                <c:pt idx="4">
                  <c:v>33.542090376828199</c:v>
                </c:pt>
                <c:pt idx="5">
                  <c:v>32.056160655910695</c:v>
                </c:pt>
                <c:pt idx="6">
                  <c:v>29.915873102736189</c:v>
                </c:pt>
                <c:pt idx="7">
                  <c:v>27.903074435380589</c:v>
                </c:pt>
              </c:numCache>
            </c:numRef>
          </c:val>
          <c:smooth val="0"/>
          <c:extLst>
            <c:ext xmlns:c16="http://schemas.microsoft.com/office/drawing/2014/chart" uri="{C3380CC4-5D6E-409C-BE32-E72D297353CC}">
              <c16:uniqueId val="{00000005-3877-4701-94A1-B7B0F01AE205}"/>
            </c:ext>
          </c:extLst>
        </c:ser>
        <c:dLbls>
          <c:showLegendKey val="0"/>
          <c:showVal val="0"/>
          <c:showCatName val="0"/>
          <c:showSerName val="0"/>
          <c:showPercent val="0"/>
          <c:showBubbleSize val="0"/>
        </c:dLbls>
        <c:marker val="1"/>
        <c:smooth val="0"/>
        <c:axId val="545956240"/>
        <c:axId val="545956632"/>
      </c:lineChart>
      <c:catAx>
        <c:axId val="545956240"/>
        <c:scaling>
          <c:orientation val="minMax"/>
        </c:scaling>
        <c:delete val="0"/>
        <c:axPos val="b"/>
        <c:numFmt formatCode="General" sourceLinked="1"/>
        <c:majorTickMark val="in"/>
        <c:minorTickMark val="none"/>
        <c:tickLblPos val="low"/>
        <c:spPr>
          <a:ln w="25400">
            <a:solidFill>
              <a:srgbClr val="C0C0C0"/>
            </a:solidFill>
            <a:prstDash val="solid"/>
          </a:ln>
        </c:spPr>
        <c:txPr>
          <a:bodyPr rot="0" vert="horz"/>
          <a:lstStyle/>
          <a:p>
            <a:pPr>
              <a:defRPr sz="1400">
                <a:latin typeface="Segoe UI"/>
                <a:ea typeface="Segoe UI"/>
                <a:cs typeface="Segoe UI"/>
              </a:defRPr>
            </a:pPr>
            <a:endParaRPr lang="en-US"/>
          </a:p>
        </c:txPr>
        <c:crossAx val="545956632"/>
        <c:crosses val="autoZero"/>
        <c:auto val="1"/>
        <c:lblAlgn val="ctr"/>
        <c:lblOffset val="100"/>
        <c:tickLblSkip val="1"/>
        <c:tickMarkSkip val="1"/>
        <c:noMultiLvlLbl val="0"/>
      </c:catAx>
      <c:valAx>
        <c:axId val="545956632"/>
        <c:scaling>
          <c:orientation val="minMax"/>
        </c:scaling>
        <c:delete val="0"/>
        <c:axPos val="l"/>
        <c:numFmt formatCode="#,##0" sourceLinked="0"/>
        <c:majorTickMark val="in"/>
        <c:minorTickMark val="none"/>
        <c:tickLblPos val="nextTo"/>
        <c:spPr>
          <a:ln w="25400">
            <a:solidFill>
              <a:srgbClr val="C0C0C0"/>
            </a:solidFill>
            <a:prstDash val="solid"/>
          </a:ln>
        </c:spPr>
        <c:txPr>
          <a:bodyPr rot="0" vert="horz"/>
          <a:lstStyle/>
          <a:p>
            <a:pPr>
              <a:defRPr sz="1400">
                <a:latin typeface="Segoe UI"/>
                <a:ea typeface="Segoe UI"/>
                <a:cs typeface="Segoe UI"/>
              </a:defRPr>
            </a:pPr>
            <a:endParaRPr lang="en-US"/>
          </a:p>
        </c:txPr>
        <c:crossAx val="545956240"/>
        <c:crosses val="autoZero"/>
        <c:crossBetween val="midCat"/>
      </c:valAx>
      <c:spPr>
        <a:noFill/>
        <a:ln w="25400">
          <a:solidFill>
            <a:srgbClr val="C0C0C0"/>
          </a:solidFill>
          <a:prstDash val="solid"/>
        </a:ln>
      </c:spPr>
    </c:plotArea>
    <c:plotVisOnly val="1"/>
    <c:dispBlanksAs val="zero"/>
    <c:showDLblsOverMax val="0"/>
  </c:chart>
  <c:spPr>
    <a:noFill/>
    <a:ln w="25400">
      <a:noFill/>
    </a:ln>
  </c:spPr>
  <c:txPr>
    <a:bodyPr/>
    <a:lstStyle/>
    <a:p>
      <a:pPr>
        <a:defRPr sz="1050" b="0" i="0" u="none" strike="noStrike" baseline="0">
          <a:solidFill>
            <a:srgbClr val="000000"/>
          </a:solidFill>
          <a:latin typeface="Calibri" pitchFamily="34" charset="0"/>
          <a:ea typeface="Times New Roman"/>
          <a:cs typeface="Times New Roman"/>
        </a:defRPr>
      </a:pPr>
      <a:endParaRPr lang="en-US"/>
    </a:p>
  </c:txPr>
  <c:printSettings>
    <c:headerFooter alignWithMargins="0"/>
    <c:pageMargins b="4.7699999999999996" l="0.75000000000001465" r="0.75000000000001465" t="1" header="0.5" footer="0.5"/>
    <c:pageSetup orientation="portrait"/>
  </c:printSettings>
  <c:userShapes r:id="rId1"/>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812243421495388"/>
          <c:y val="6.9444444444449029E-3"/>
          <c:w val="0.79170662561410665"/>
          <c:h val="0.95478291776028001"/>
        </c:manualLayout>
      </c:layout>
      <c:barChart>
        <c:barDir val="col"/>
        <c:grouping val="stacked"/>
        <c:varyColors val="0"/>
        <c:ser>
          <c:idx val="4"/>
          <c:order val="0"/>
          <c:tx>
            <c:strRef>
              <c:f>'Lists-Modules-ChartData'!$BN$29</c:f>
              <c:strCache>
                <c:ptCount val="1"/>
                <c:pt idx="0">
                  <c:v>Latvia</c:v>
                </c:pt>
              </c:strCache>
            </c:strRef>
          </c:tx>
          <c:spPr>
            <a:solidFill>
              <a:schemeClr val="accent5">
                <a:lumMod val="40000"/>
                <a:lumOff val="60000"/>
              </a:schemeClr>
            </a:solidFill>
            <a:ln w="12700">
              <a:solidFill>
                <a:schemeClr val="tx1"/>
              </a:solidFill>
              <a:prstDash val="solid"/>
            </a:ln>
            <a:effectLst/>
          </c:spPr>
          <c:invertIfNegative val="0"/>
          <c:val>
            <c:numRef>
              <c:f>'Lists-Modules-ChartData'!$BN$30:$BN$32</c:f>
              <c:numCache>
                <c:formatCode>0.00</c:formatCode>
                <c:ptCount val="3"/>
                <c:pt idx="0" formatCode="General">
                  <c:v>#N/A</c:v>
                </c:pt>
                <c:pt idx="1">
                  <c:v>112.66666666666666</c:v>
                </c:pt>
                <c:pt idx="2" formatCode="General">
                  <c:v>#N/A</c:v>
                </c:pt>
              </c:numCache>
            </c:numRef>
          </c:val>
          <c:extLst>
            <c:ext xmlns:c16="http://schemas.microsoft.com/office/drawing/2014/chart" uri="{C3380CC4-5D6E-409C-BE32-E72D297353CC}">
              <c16:uniqueId val="{00000000-6D2E-4778-830C-C1B6EDA8D63D}"/>
            </c:ext>
          </c:extLst>
        </c:ser>
        <c:dLbls>
          <c:showLegendKey val="0"/>
          <c:showVal val="0"/>
          <c:showCatName val="0"/>
          <c:showSerName val="0"/>
          <c:showPercent val="0"/>
          <c:showBubbleSize val="0"/>
        </c:dLbls>
        <c:gapWidth val="60"/>
        <c:overlap val="100"/>
        <c:axId val="675466056"/>
        <c:axId val="675464880"/>
      </c:barChart>
      <c:lineChart>
        <c:grouping val="standard"/>
        <c:varyColors val="0"/>
        <c:ser>
          <c:idx val="0"/>
          <c:order val="1"/>
          <c:tx>
            <c:strRef>
              <c:f>'Lists-Modules-ChartData'!$BP$29</c:f>
              <c:strCache>
                <c:ptCount val="1"/>
                <c:pt idx="0">
                  <c:v>15</c:v>
                </c:pt>
              </c:strCache>
            </c:strRef>
          </c:tx>
          <c:spPr>
            <a:ln>
              <a:prstDash val="dash"/>
            </a:ln>
          </c:spPr>
          <c:marker>
            <c:symbol val="none"/>
          </c:marker>
          <c:dLbls>
            <c:dLbl>
              <c:idx val="1"/>
              <c:delete val="1"/>
              <c:extLst>
                <c:ext xmlns:c15="http://schemas.microsoft.com/office/drawing/2012/chart" uri="{CE6537A1-D6FC-4f65-9D91-7224C49458BB}"/>
                <c:ext xmlns:c16="http://schemas.microsoft.com/office/drawing/2014/chart" uri="{C3380CC4-5D6E-409C-BE32-E72D297353CC}">
                  <c16:uniqueId val="{00000001-6D2E-4778-830C-C1B6EDA8D63D}"/>
                </c:ext>
              </c:extLst>
            </c:dLbl>
            <c:dLbl>
              <c:idx val="2"/>
              <c:delete val="1"/>
              <c:extLst>
                <c:ext xmlns:c15="http://schemas.microsoft.com/office/drawing/2012/chart" uri="{CE6537A1-D6FC-4f65-9D91-7224C49458BB}"/>
                <c:ext xmlns:c16="http://schemas.microsoft.com/office/drawing/2014/chart" uri="{C3380CC4-5D6E-409C-BE32-E72D297353CC}">
                  <c16:uniqueId val="{00000002-6D2E-4778-830C-C1B6EDA8D63D}"/>
                </c:ext>
              </c:extLst>
            </c:dLbl>
            <c:spPr>
              <a:noFill/>
              <a:ln>
                <a:noFill/>
              </a:ln>
              <a:effectLst/>
            </c:spPr>
            <c:txPr>
              <a:bodyPr/>
              <a:lstStyle/>
              <a:p>
                <a:pPr>
                  <a:defRPr sz="1200">
                    <a:latin typeface="Segoe UI" pitchFamily="34" charset="0"/>
                    <a:cs typeface="Segoe UI" pitchFamily="34" charset="0"/>
                  </a:defRPr>
                </a:pPr>
                <a:endParaRPr lang="en-US"/>
              </a:p>
            </c:txPr>
            <c:dLblPos val="l"/>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'Lists-Modules-ChartData'!$BP$30:$BP$32</c:f>
              <c:numCache>
                <c:formatCode>General</c:formatCode>
                <c:ptCount val="3"/>
                <c:pt idx="0">
                  <c:v>25</c:v>
                </c:pt>
                <c:pt idx="1">
                  <c:v>25</c:v>
                </c:pt>
                <c:pt idx="2">
                  <c:v>25</c:v>
                </c:pt>
              </c:numCache>
            </c:numRef>
          </c:val>
          <c:smooth val="0"/>
          <c:extLst>
            <c:ext xmlns:c16="http://schemas.microsoft.com/office/drawing/2014/chart" uri="{C3380CC4-5D6E-409C-BE32-E72D297353CC}">
              <c16:uniqueId val="{00000003-6D2E-4778-830C-C1B6EDA8D63D}"/>
            </c:ext>
          </c:extLst>
        </c:ser>
        <c:ser>
          <c:idx val="1"/>
          <c:order val="2"/>
          <c:tx>
            <c:strRef>
              <c:f>'Lists-Modules-ChartData'!$BQ$29</c:f>
              <c:strCache>
                <c:ptCount val="1"/>
                <c:pt idx="0">
                  <c:v>45</c:v>
                </c:pt>
              </c:strCache>
            </c:strRef>
          </c:tx>
          <c:spPr>
            <a:ln>
              <a:solidFill>
                <a:srgbClr val="002060"/>
              </a:solidFill>
              <a:prstDash val="dash"/>
            </a:ln>
          </c:spPr>
          <c:marker>
            <c:symbol val="none"/>
          </c:marker>
          <c:dLbls>
            <c:dLbl>
              <c:idx val="1"/>
              <c:delete val="1"/>
              <c:extLst>
                <c:ext xmlns:c15="http://schemas.microsoft.com/office/drawing/2012/chart" uri="{CE6537A1-D6FC-4f65-9D91-7224C49458BB}"/>
                <c:ext xmlns:c16="http://schemas.microsoft.com/office/drawing/2014/chart" uri="{C3380CC4-5D6E-409C-BE32-E72D297353CC}">
                  <c16:uniqueId val="{00000004-6D2E-4778-830C-C1B6EDA8D63D}"/>
                </c:ext>
              </c:extLst>
            </c:dLbl>
            <c:dLbl>
              <c:idx val="2"/>
              <c:delete val="1"/>
              <c:extLst>
                <c:ext xmlns:c15="http://schemas.microsoft.com/office/drawing/2012/chart" uri="{CE6537A1-D6FC-4f65-9D91-7224C49458BB}"/>
                <c:ext xmlns:c16="http://schemas.microsoft.com/office/drawing/2014/chart" uri="{C3380CC4-5D6E-409C-BE32-E72D297353CC}">
                  <c16:uniqueId val="{00000005-6D2E-4778-830C-C1B6EDA8D63D}"/>
                </c:ext>
              </c:extLst>
            </c:dLbl>
            <c:spPr>
              <a:noFill/>
              <a:ln>
                <a:noFill/>
              </a:ln>
              <a:effectLst/>
            </c:spPr>
            <c:txPr>
              <a:bodyPr/>
              <a:lstStyle/>
              <a:p>
                <a:pPr>
                  <a:defRPr sz="1200">
                    <a:latin typeface="Segoe UI" pitchFamily="34" charset="0"/>
                    <a:cs typeface="Segoe UI" pitchFamily="34" charset="0"/>
                  </a:defRPr>
                </a:pPr>
                <a:endParaRPr lang="en-US"/>
              </a:p>
            </c:txPr>
            <c:dLblPos val="l"/>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'Lists-Modules-ChartData'!$BQ$30:$BQ$32</c:f>
              <c:numCache>
                <c:formatCode>General</c:formatCode>
                <c:ptCount val="3"/>
                <c:pt idx="0">
                  <c:v>75</c:v>
                </c:pt>
                <c:pt idx="1">
                  <c:v>75</c:v>
                </c:pt>
                <c:pt idx="2">
                  <c:v>75</c:v>
                </c:pt>
              </c:numCache>
            </c:numRef>
          </c:val>
          <c:smooth val="0"/>
          <c:extLst>
            <c:ext xmlns:c16="http://schemas.microsoft.com/office/drawing/2014/chart" uri="{C3380CC4-5D6E-409C-BE32-E72D297353CC}">
              <c16:uniqueId val="{00000006-6D2E-4778-830C-C1B6EDA8D63D}"/>
            </c:ext>
          </c:extLst>
        </c:ser>
        <c:dLbls>
          <c:showLegendKey val="0"/>
          <c:showVal val="0"/>
          <c:showCatName val="0"/>
          <c:showSerName val="0"/>
          <c:showPercent val="0"/>
          <c:showBubbleSize val="0"/>
        </c:dLbls>
        <c:marker val="1"/>
        <c:smooth val="0"/>
        <c:axId val="675466056"/>
        <c:axId val="675464880"/>
      </c:lineChart>
      <c:scatterChart>
        <c:scatterStyle val="lineMarker"/>
        <c:varyColors val="0"/>
        <c:ser>
          <c:idx val="6"/>
          <c:order val="3"/>
          <c:tx>
            <c:strRef>
              <c:f>'Lists-Modules-ChartData'!$BS$31</c:f>
              <c:strCache>
                <c:ptCount val="1"/>
                <c:pt idx="0">
                  <c:v>68%</c:v>
                </c:pt>
              </c:strCache>
            </c:strRef>
          </c:tx>
          <c:spPr>
            <a:ln w="28575">
              <a:noFill/>
            </a:ln>
          </c:spPr>
          <c:marker>
            <c:symbol val="none"/>
          </c:marker>
          <c:dLbls>
            <c:spPr>
              <a:noFill/>
              <a:ln>
                <a:noFill/>
              </a:ln>
              <a:effectLst/>
            </c:spPr>
            <c:txPr>
              <a:bodyPr/>
              <a:lstStyle/>
              <a:p>
                <a:pPr>
                  <a:defRPr sz="1200" b="1">
                    <a:latin typeface="Segoe UI" pitchFamily="34" charset="0"/>
                    <a:cs typeface="Segoe UI" pitchFamily="34" charset="0"/>
                  </a:defRPr>
                </a:pPr>
                <a:endParaRPr lang="en-US"/>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'Lists-Modules-ChartData'!$BT$30:$BT$32</c:f>
              <c:numCache>
                <c:formatCode>General</c:formatCode>
                <c:ptCount val="3"/>
                <c:pt idx="0">
                  <c:v>#N/A</c:v>
                </c:pt>
                <c:pt idx="1">
                  <c:v>2</c:v>
                </c:pt>
                <c:pt idx="2">
                  <c:v>#N/A</c:v>
                </c:pt>
              </c:numCache>
            </c:numRef>
          </c:xVal>
          <c:yVal>
            <c:numRef>
              <c:f>'Lists-Modules-ChartData'!$BU$30:$BU$32</c:f>
              <c:numCache>
                <c:formatCode>0.00</c:formatCode>
                <c:ptCount val="3"/>
                <c:pt idx="0" formatCode="General">
                  <c:v>#N/A</c:v>
                </c:pt>
                <c:pt idx="1">
                  <c:v>112.66666666666666</c:v>
                </c:pt>
                <c:pt idx="2" formatCode="General">
                  <c:v>#N/A</c:v>
                </c:pt>
              </c:numCache>
            </c:numRef>
          </c:yVal>
          <c:smooth val="0"/>
          <c:extLst>
            <c:ext xmlns:c16="http://schemas.microsoft.com/office/drawing/2014/chart" uri="{C3380CC4-5D6E-409C-BE32-E72D297353CC}">
              <c16:uniqueId val="{00000007-6D2E-4778-830C-C1B6EDA8D63D}"/>
            </c:ext>
          </c:extLst>
        </c:ser>
        <c:ser>
          <c:idx val="2"/>
          <c:order val="4"/>
          <c:tx>
            <c:strRef>
              <c:f>'Lists-Modules-ChartData'!$BX$13</c:f>
              <c:strCache>
                <c:ptCount val="1"/>
                <c:pt idx="0">
                  <c:v>Max</c:v>
                </c:pt>
              </c:strCache>
            </c:strRef>
          </c:tx>
          <c:spPr>
            <a:ln w="28575">
              <a:noFill/>
            </a:ln>
          </c:spPr>
          <c:marker>
            <c:symbol val="none"/>
          </c:marker>
          <c:xVal>
            <c:numRef>
              <c:f>'Lists-Modules-ChartData'!$BW$30:$BW$32</c:f>
              <c:numCache>
                <c:formatCode>General</c:formatCode>
                <c:ptCount val="3"/>
                <c:pt idx="0">
                  <c:v>1</c:v>
                </c:pt>
                <c:pt idx="1">
                  <c:v>2</c:v>
                </c:pt>
                <c:pt idx="2">
                  <c:v>3</c:v>
                </c:pt>
              </c:numCache>
            </c:numRef>
          </c:xVal>
          <c:yVal>
            <c:numRef>
              <c:f>'Lists-Modules-ChartData'!$BX$30:$BX$32</c:f>
              <c:numCache>
                <c:formatCode>General</c:formatCode>
                <c:ptCount val="3"/>
                <c:pt idx="0">
                  <c:v>313</c:v>
                </c:pt>
                <c:pt idx="1">
                  <c:v>313</c:v>
                </c:pt>
                <c:pt idx="2">
                  <c:v>313</c:v>
                </c:pt>
              </c:numCache>
            </c:numRef>
          </c:yVal>
          <c:smooth val="0"/>
          <c:extLst>
            <c:ext xmlns:c16="http://schemas.microsoft.com/office/drawing/2014/chart" uri="{C3380CC4-5D6E-409C-BE32-E72D297353CC}">
              <c16:uniqueId val="{00000008-6D2E-4778-830C-C1B6EDA8D63D}"/>
            </c:ext>
          </c:extLst>
        </c:ser>
        <c:ser>
          <c:idx val="3"/>
          <c:order val="5"/>
          <c:tx>
            <c:strRef>
              <c:f>'Lists-Modules-ChartData'!$BY$13</c:f>
              <c:strCache>
                <c:ptCount val="1"/>
                <c:pt idx="0">
                  <c:v>Min</c:v>
                </c:pt>
              </c:strCache>
            </c:strRef>
          </c:tx>
          <c:spPr>
            <a:ln w="28575">
              <a:noFill/>
            </a:ln>
          </c:spPr>
          <c:marker>
            <c:symbol val="none"/>
          </c:marker>
          <c:xVal>
            <c:numRef>
              <c:f>'Lists-Modules-ChartData'!$BW$30:$BW$32</c:f>
              <c:numCache>
                <c:formatCode>General</c:formatCode>
                <c:ptCount val="3"/>
                <c:pt idx="0">
                  <c:v>1</c:v>
                </c:pt>
                <c:pt idx="1">
                  <c:v>2</c:v>
                </c:pt>
                <c:pt idx="2">
                  <c:v>3</c:v>
                </c:pt>
              </c:numCache>
            </c:numRef>
          </c:xVal>
          <c:yVal>
            <c:numRef>
              <c:f>'Lists-Modules-ChartData'!$BY$30:$BY$32</c:f>
              <c:numCache>
                <c:formatCode>General</c:formatCode>
                <c:ptCount val="3"/>
                <c:pt idx="0">
                  <c:v>0</c:v>
                </c:pt>
                <c:pt idx="1">
                  <c:v>0</c:v>
                </c:pt>
                <c:pt idx="2">
                  <c:v>0</c:v>
                </c:pt>
              </c:numCache>
            </c:numRef>
          </c:yVal>
          <c:smooth val="0"/>
          <c:extLst>
            <c:ext xmlns:c16="http://schemas.microsoft.com/office/drawing/2014/chart" uri="{C3380CC4-5D6E-409C-BE32-E72D297353CC}">
              <c16:uniqueId val="{00000009-6D2E-4778-830C-C1B6EDA8D63D}"/>
            </c:ext>
          </c:extLst>
        </c:ser>
        <c:dLbls>
          <c:showLegendKey val="0"/>
          <c:showVal val="0"/>
          <c:showCatName val="0"/>
          <c:showSerName val="0"/>
          <c:showPercent val="0"/>
          <c:showBubbleSize val="0"/>
        </c:dLbls>
        <c:axId val="675466056"/>
        <c:axId val="675464880"/>
      </c:scatterChart>
      <c:valAx>
        <c:axId val="675464880"/>
        <c:scaling>
          <c:orientation val="minMax"/>
        </c:scaling>
        <c:delete val="1"/>
        <c:axPos val="l"/>
        <c:numFmt formatCode="0" sourceLinked="0"/>
        <c:majorTickMark val="out"/>
        <c:minorTickMark val="none"/>
        <c:tickLblPos val="none"/>
        <c:crossAx val="675466056"/>
        <c:crosses val="autoZero"/>
        <c:crossBetween val="midCat"/>
      </c:valAx>
      <c:catAx>
        <c:axId val="675466056"/>
        <c:scaling>
          <c:orientation val="minMax"/>
        </c:scaling>
        <c:delete val="0"/>
        <c:axPos val="b"/>
        <c:numFmt formatCode="General" sourceLinked="1"/>
        <c:majorTickMark val="none"/>
        <c:minorTickMark val="none"/>
        <c:tickLblPos val="nextTo"/>
        <c:spPr>
          <a:ln>
            <a:solidFill>
              <a:srgbClr val="C0C0C0"/>
            </a:solidFill>
          </a:ln>
        </c:spPr>
        <c:txPr>
          <a:bodyPr/>
          <a:lstStyle/>
          <a:p>
            <a:pPr>
              <a:defRPr sz="600">
                <a:solidFill>
                  <a:schemeClr val="bg1"/>
                </a:solidFill>
              </a:defRPr>
            </a:pPr>
            <a:endParaRPr lang="en-US"/>
          </a:p>
        </c:txPr>
        <c:crossAx val="675464880"/>
        <c:crosses val="autoZero"/>
        <c:auto val="0"/>
        <c:lblAlgn val="r"/>
        <c:lblOffset val="100"/>
        <c:noMultiLvlLbl val="0"/>
      </c:catAx>
      <c:spPr>
        <a:solidFill>
          <a:srgbClr val="FFFFFF"/>
        </a:solidFill>
        <a:ln w="25400">
          <a:solidFill>
            <a:srgbClr val="C0C0C0"/>
          </a:solidFill>
          <a:prstDash val="solid"/>
        </a:ln>
      </c:spPr>
    </c:plotArea>
    <c:plotVisOnly val="1"/>
    <c:dispBlanksAs val="gap"/>
    <c:showDLblsOverMax val="0"/>
  </c:chart>
  <c:spPr>
    <a:noFill/>
    <a:ln w="25400">
      <a:noFill/>
    </a:ln>
  </c:spPr>
  <c:printSettings>
    <c:headerFooter/>
    <c:pageMargins b="0.75000000000001465" l="0.70000000000000062" r="0.70000000000000062" t="0.75000000000001465" header="0.30000000000000032" footer="0.30000000000000032"/>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033629344937744"/>
          <c:y val="7.5183957587328723E-2"/>
          <c:w val="0.79795906893061952"/>
          <c:h val="0.78324603200616194"/>
        </c:manualLayout>
      </c:layout>
      <c:lineChart>
        <c:grouping val="standard"/>
        <c:varyColors val="0"/>
        <c:ser>
          <c:idx val="0"/>
          <c:order val="0"/>
          <c:tx>
            <c:strRef>
              <c:f>'Lists-Modules-ChartData'!$R$6</c:f>
              <c:strCache>
                <c:ptCount val="1"/>
                <c:pt idx="0">
                  <c:v>Baseline</c:v>
                </c:pt>
              </c:strCache>
            </c:strRef>
          </c:tx>
          <c:marker>
            <c:symbol val="none"/>
          </c:marker>
          <c:cat>
            <c:numRef>
              <c:f>'Input 5 - Scenario Design'!$E$42:$J$42</c:f>
              <c:numCache>
                <c:formatCode>General</c:formatCode>
                <c:ptCount val="6"/>
                <c:pt idx="0">
                  <c:v>2018</c:v>
                </c:pt>
                <c:pt idx="1">
                  <c:v>2019</c:v>
                </c:pt>
                <c:pt idx="2">
                  <c:v>2020</c:v>
                </c:pt>
                <c:pt idx="3">
                  <c:v>2021</c:v>
                </c:pt>
                <c:pt idx="4">
                  <c:v>2022</c:v>
                </c:pt>
                <c:pt idx="5">
                  <c:v>2023</c:v>
                </c:pt>
              </c:numCache>
            </c:numRef>
          </c:cat>
          <c:val>
            <c:numRef>
              <c:f>'Lists-Modules-ChartData'!$U$7:$Z$7</c:f>
              <c:numCache>
                <c:formatCode>0.0</c:formatCode>
                <c:ptCount val="6"/>
                <c:pt idx="0">
                  <c:v>37.084342131638088</c:v>
                </c:pt>
                <c:pt idx="1">
                  <c:v>35.351552504862923</c:v>
                </c:pt>
                <c:pt idx="2">
                  <c:v>33.542090376828199</c:v>
                </c:pt>
                <c:pt idx="3">
                  <c:v>32.056160655910695</c:v>
                </c:pt>
                <c:pt idx="4">
                  <c:v>29.915873102736189</c:v>
                </c:pt>
                <c:pt idx="5">
                  <c:v>27.903074435380589</c:v>
                </c:pt>
              </c:numCache>
            </c:numRef>
          </c:val>
          <c:smooth val="0"/>
          <c:extLst>
            <c:ext xmlns:c16="http://schemas.microsoft.com/office/drawing/2014/chart" uri="{C3380CC4-5D6E-409C-BE32-E72D297353CC}">
              <c16:uniqueId val="{00000000-25B6-44A0-AFC9-48B5342E14A0}"/>
            </c:ext>
          </c:extLst>
        </c:ser>
        <c:ser>
          <c:idx val="1"/>
          <c:order val="1"/>
          <c:tx>
            <c:strRef>
              <c:f>'Lists-Modules-ChartData'!$R$36</c:f>
              <c:strCache>
                <c:ptCount val="1"/>
                <c:pt idx="0">
                  <c:v>Real GDP Growth Shock</c:v>
                </c:pt>
              </c:strCache>
            </c:strRef>
          </c:tx>
          <c:marker>
            <c:symbol val="none"/>
          </c:marker>
          <c:cat>
            <c:numRef>
              <c:f>'Input 5 - Scenario Design'!$E$42:$J$42</c:f>
              <c:numCache>
                <c:formatCode>General</c:formatCode>
                <c:ptCount val="6"/>
                <c:pt idx="0">
                  <c:v>2018</c:v>
                </c:pt>
                <c:pt idx="1">
                  <c:v>2019</c:v>
                </c:pt>
                <c:pt idx="2">
                  <c:v>2020</c:v>
                </c:pt>
                <c:pt idx="3">
                  <c:v>2021</c:v>
                </c:pt>
                <c:pt idx="4">
                  <c:v>2022</c:v>
                </c:pt>
                <c:pt idx="5">
                  <c:v>2023</c:v>
                </c:pt>
              </c:numCache>
            </c:numRef>
          </c:cat>
          <c:val>
            <c:numRef>
              <c:f>'Lists-Modules-ChartData'!$U$37:$Z$37</c:f>
              <c:numCache>
                <c:formatCode>0.0</c:formatCode>
                <c:ptCount val="6"/>
                <c:pt idx="0">
                  <c:v>37.094606570883371</c:v>
                </c:pt>
                <c:pt idx="1">
                  <c:v>39.454349298817441</c:v>
                </c:pt>
                <c:pt idx="2">
                  <c:v>41.484540959050896</c:v>
                </c:pt>
                <c:pt idx="3">
                  <c:v>39.976006759244903</c:v>
                </c:pt>
                <c:pt idx="4">
                  <c:v>38.714403333448963</c:v>
                </c:pt>
                <c:pt idx="5">
                  <c:v>37.528723078427156</c:v>
                </c:pt>
              </c:numCache>
            </c:numRef>
          </c:val>
          <c:smooth val="0"/>
          <c:extLst>
            <c:ext xmlns:c16="http://schemas.microsoft.com/office/drawing/2014/chart" uri="{C3380CC4-5D6E-409C-BE32-E72D297353CC}">
              <c16:uniqueId val="{00000001-25B6-44A0-AFC9-48B5342E14A0}"/>
            </c:ext>
          </c:extLst>
        </c:ser>
        <c:dLbls>
          <c:showLegendKey val="0"/>
          <c:showVal val="0"/>
          <c:showCatName val="0"/>
          <c:showSerName val="0"/>
          <c:showPercent val="0"/>
          <c:showBubbleSize val="0"/>
        </c:dLbls>
        <c:smooth val="0"/>
        <c:axId val="537240368"/>
        <c:axId val="537235664"/>
      </c:lineChart>
      <c:catAx>
        <c:axId val="537240368"/>
        <c:scaling>
          <c:orientation val="minMax"/>
        </c:scaling>
        <c:delete val="0"/>
        <c:axPos val="b"/>
        <c:numFmt formatCode="General" sourceLinked="1"/>
        <c:majorTickMark val="out"/>
        <c:minorTickMark val="none"/>
        <c:tickLblPos val="nextTo"/>
        <c:crossAx val="537235664"/>
        <c:crosses val="autoZero"/>
        <c:auto val="1"/>
        <c:lblAlgn val="ctr"/>
        <c:lblOffset val="100"/>
        <c:noMultiLvlLbl val="0"/>
      </c:catAx>
      <c:valAx>
        <c:axId val="537235664"/>
        <c:scaling>
          <c:orientation val="minMax"/>
        </c:scaling>
        <c:delete val="0"/>
        <c:axPos val="l"/>
        <c:numFmt formatCode="#,##0" sourceLinked="0"/>
        <c:majorTickMark val="out"/>
        <c:minorTickMark val="none"/>
        <c:tickLblPos val="nextTo"/>
        <c:crossAx val="537240368"/>
        <c:crosses val="autoZero"/>
        <c:crossBetween val="midCat"/>
      </c:valAx>
      <c:spPr>
        <a:ln>
          <a:solidFill>
            <a:schemeClr val="bg1">
              <a:lumMod val="50000"/>
            </a:schemeClr>
          </a:solidFill>
        </a:ln>
      </c:spPr>
    </c:plotArea>
    <c:legend>
      <c:legendPos val="b"/>
      <c:layout>
        <c:manualLayout>
          <c:xMode val="edge"/>
          <c:yMode val="edge"/>
          <c:x val="9.2024682850610398E-2"/>
          <c:y val="0.64694232898125847"/>
          <c:w val="0.86812615918222857"/>
          <c:h val="0.21181818397835644"/>
        </c:manualLayout>
      </c:layout>
      <c:overlay val="1"/>
      <c:spPr>
        <a:noFill/>
      </c:spPr>
      <c:txPr>
        <a:bodyPr/>
        <a:lstStyle/>
        <a:p>
          <a:pPr>
            <a:defRPr sz="1200" b="1"/>
          </a:pPr>
          <a:endParaRPr lang="en-US"/>
        </a:p>
      </c:txPr>
    </c:legend>
    <c:plotVisOnly val="1"/>
    <c:dispBlanksAs val="gap"/>
    <c:showDLblsOverMax val="0"/>
  </c:chart>
  <c:spPr>
    <a:ln>
      <a:noFill/>
    </a:ln>
  </c:spPr>
  <c:txPr>
    <a:bodyPr/>
    <a:lstStyle/>
    <a:p>
      <a:pPr algn="ctr">
        <a:defRPr lang="en-US" sz="1000" b="0" i="0" u="none" strike="noStrike" kern="1200" baseline="0">
          <a:solidFill>
            <a:sysClr val="windowText" lastClr="000000"/>
          </a:solidFill>
          <a:latin typeface="+mn-lt"/>
          <a:ea typeface="+mn-ea"/>
          <a:cs typeface="+mn-cs"/>
        </a:defRPr>
      </a:pPr>
      <a:endParaRPr lang="en-US"/>
    </a:p>
  </c:txPr>
  <c:printSettings>
    <c:headerFooter/>
    <c:pageMargins b="0.75000000000001465" l="0.70000000000000062" r="0.70000000000000062" t="0.75000000000001465"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033629344937744"/>
          <c:y val="6.1467589409810182E-2"/>
          <c:w val="0.79795906893061952"/>
          <c:h val="0.79696222865193656"/>
        </c:manualLayout>
      </c:layout>
      <c:lineChart>
        <c:grouping val="standard"/>
        <c:varyColors val="0"/>
        <c:ser>
          <c:idx val="0"/>
          <c:order val="0"/>
          <c:tx>
            <c:strRef>
              <c:f>'Lists-Modules-ChartData'!$R$6</c:f>
              <c:strCache>
                <c:ptCount val="1"/>
                <c:pt idx="0">
                  <c:v>Baseline</c:v>
                </c:pt>
              </c:strCache>
            </c:strRef>
          </c:tx>
          <c:marker>
            <c:symbol val="none"/>
          </c:marker>
          <c:cat>
            <c:numRef>
              <c:f>'Input 5 - Scenario Design'!$E$42:$J$42</c:f>
              <c:numCache>
                <c:formatCode>General</c:formatCode>
                <c:ptCount val="6"/>
                <c:pt idx="0">
                  <c:v>2018</c:v>
                </c:pt>
                <c:pt idx="1">
                  <c:v>2019</c:v>
                </c:pt>
                <c:pt idx="2">
                  <c:v>2020</c:v>
                </c:pt>
                <c:pt idx="3">
                  <c:v>2021</c:v>
                </c:pt>
                <c:pt idx="4">
                  <c:v>2022</c:v>
                </c:pt>
                <c:pt idx="5">
                  <c:v>2023</c:v>
                </c:pt>
              </c:numCache>
            </c:numRef>
          </c:cat>
          <c:val>
            <c:numRef>
              <c:f>'Lists-Modules-ChartData'!$U$9:$Z$9</c:f>
              <c:numCache>
                <c:formatCode>0.0</c:formatCode>
                <c:ptCount val="6"/>
                <c:pt idx="0">
                  <c:v>3.5984842323630626</c:v>
                </c:pt>
                <c:pt idx="1">
                  <c:v>2.736884117115657</c:v>
                </c:pt>
                <c:pt idx="2">
                  <c:v>2.3965618199100005</c:v>
                </c:pt>
                <c:pt idx="3">
                  <c:v>1.2003971380328871</c:v>
                </c:pt>
                <c:pt idx="4">
                  <c:v>-1.4862612076263433</c:v>
                </c:pt>
                <c:pt idx="5">
                  <c:v>-2.2506508944660197</c:v>
                </c:pt>
              </c:numCache>
            </c:numRef>
          </c:val>
          <c:smooth val="0"/>
          <c:extLst>
            <c:ext xmlns:c16="http://schemas.microsoft.com/office/drawing/2014/chart" uri="{C3380CC4-5D6E-409C-BE32-E72D297353CC}">
              <c16:uniqueId val="{00000000-4728-4051-8253-CDA20933E601}"/>
            </c:ext>
          </c:extLst>
        </c:ser>
        <c:ser>
          <c:idx val="1"/>
          <c:order val="1"/>
          <c:tx>
            <c:strRef>
              <c:f>'Lists-Modules-ChartData'!$R$36</c:f>
              <c:strCache>
                <c:ptCount val="1"/>
                <c:pt idx="0">
                  <c:v>Real GDP Growth Shock</c:v>
                </c:pt>
              </c:strCache>
            </c:strRef>
          </c:tx>
          <c:marker>
            <c:symbol val="none"/>
          </c:marker>
          <c:cat>
            <c:numRef>
              <c:f>'Input 5 - Scenario Design'!$E$42:$J$42</c:f>
              <c:numCache>
                <c:formatCode>General</c:formatCode>
                <c:ptCount val="6"/>
                <c:pt idx="0">
                  <c:v>2018</c:v>
                </c:pt>
                <c:pt idx="1">
                  <c:v>2019</c:v>
                </c:pt>
                <c:pt idx="2">
                  <c:v>2020</c:v>
                </c:pt>
                <c:pt idx="3">
                  <c:v>2021</c:v>
                </c:pt>
                <c:pt idx="4">
                  <c:v>2022</c:v>
                </c:pt>
                <c:pt idx="5">
                  <c:v>2023</c:v>
                </c:pt>
              </c:numCache>
            </c:numRef>
          </c:cat>
          <c:val>
            <c:numRef>
              <c:f>'Lists-Modules-ChartData'!$U$39:$Z$39</c:f>
              <c:numCache>
                <c:formatCode>0.0</c:formatCode>
                <c:ptCount val="6"/>
                <c:pt idx="0">
                  <c:v>3.5994671534530136</c:v>
                </c:pt>
                <c:pt idx="1">
                  <c:v>7.6640589946873048</c:v>
                </c:pt>
                <c:pt idx="2">
                  <c:v>13.168922635096822</c:v>
                </c:pt>
                <c:pt idx="3">
                  <c:v>17.680817519954925</c:v>
                </c:pt>
                <c:pt idx="4">
                  <c:v>18.409974092503905</c:v>
                </c:pt>
                <c:pt idx="5">
                  <c:v>18.178910235363414</c:v>
                </c:pt>
              </c:numCache>
            </c:numRef>
          </c:val>
          <c:smooth val="0"/>
          <c:extLst>
            <c:ext xmlns:c16="http://schemas.microsoft.com/office/drawing/2014/chart" uri="{C3380CC4-5D6E-409C-BE32-E72D297353CC}">
              <c16:uniqueId val="{00000001-4728-4051-8253-CDA20933E601}"/>
            </c:ext>
          </c:extLst>
        </c:ser>
        <c:dLbls>
          <c:showLegendKey val="0"/>
          <c:showVal val="0"/>
          <c:showCatName val="0"/>
          <c:showSerName val="0"/>
          <c:showPercent val="0"/>
          <c:showBubbleSize val="0"/>
        </c:dLbls>
        <c:smooth val="0"/>
        <c:axId val="537235272"/>
        <c:axId val="537238408"/>
      </c:lineChart>
      <c:catAx>
        <c:axId val="537235272"/>
        <c:scaling>
          <c:orientation val="minMax"/>
        </c:scaling>
        <c:delete val="0"/>
        <c:axPos val="b"/>
        <c:numFmt formatCode="General" sourceLinked="1"/>
        <c:majorTickMark val="out"/>
        <c:minorTickMark val="none"/>
        <c:tickLblPos val="nextTo"/>
        <c:crossAx val="537238408"/>
        <c:crosses val="autoZero"/>
        <c:auto val="1"/>
        <c:lblAlgn val="ctr"/>
        <c:lblOffset val="100"/>
        <c:noMultiLvlLbl val="0"/>
      </c:catAx>
      <c:valAx>
        <c:axId val="537238408"/>
        <c:scaling>
          <c:orientation val="minMax"/>
        </c:scaling>
        <c:delete val="0"/>
        <c:axPos val="l"/>
        <c:numFmt formatCode="#,##0" sourceLinked="0"/>
        <c:majorTickMark val="out"/>
        <c:minorTickMark val="none"/>
        <c:tickLblPos val="nextTo"/>
        <c:crossAx val="537235272"/>
        <c:crosses val="autoZero"/>
        <c:crossBetween val="midCat"/>
      </c:valAx>
      <c:spPr>
        <a:ln>
          <a:solidFill>
            <a:schemeClr val="bg1">
              <a:lumMod val="50000"/>
            </a:schemeClr>
          </a:solidFill>
        </a:ln>
      </c:spPr>
    </c:plotArea>
    <c:legend>
      <c:legendPos val="b"/>
      <c:layout>
        <c:manualLayout>
          <c:xMode val="edge"/>
          <c:yMode val="edge"/>
          <c:x val="9.9665604237641064E-2"/>
          <c:y val="0.64745599419153665"/>
          <c:w val="0.8580227714358527"/>
          <c:h val="0.20482504724050302"/>
        </c:manualLayout>
      </c:layout>
      <c:overlay val="1"/>
      <c:spPr>
        <a:noFill/>
      </c:spPr>
      <c:txPr>
        <a:bodyPr/>
        <a:lstStyle/>
        <a:p>
          <a:pPr>
            <a:defRPr sz="1200" b="1"/>
          </a:pPr>
          <a:endParaRPr lang="en-US"/>
        </a:p>
      </c:txPr>
    </c:legend>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033629344937744"/>
          <c:y val="7.5183957587328723E-2"/>
          <c:w val="0.79795906893061952"/>
          <c:h val="0.78324603200616194"/>
        </c:manualLayout>
      </c:layout>
      <c:lineChart>
        <c:grouping val="standard"/>
        <c:varyColors val="0"/>
        <c:ser>
          <c:idx val="0"/>
          <c:order val="0"/>
          <c:tx>
            <c:strRef>
              <c:f>'Lists-Modules-ChartData'!$R$6</c:f>
              <c:strCache>
                <c:ptCount val="1"/>
                <c:pt idx="0">
                  <c:v>Baseline</c:v>
                </c:pt>
              </c:strCache>
            </c:strRef>
          </c:tx>
          <c:marker>
            <c:symbol val="none"/>
          </c:marker>
          <c:cat>
            <c:numRef>
              <c:f>'Input 5 - Scenario Design'!$E$42:$J$42</c:f>
              <c:numCache>
                <c:formatCode>General</c:formatCode>
                <c:ptCount val="6"/>
                <c:pt idx="0">
                  <c:v>2018</c:v>
                </c:pt>
                <c:pt idx="1">
                  <c:v>2019</c:v>
                </c:pt>
                <c:pt idx="2">
                  <c:v>2020</c:v>
                </c:pt>
                <c:pt idx="3">
                  <c:v>2021</c:v>
                </c:pt>
                <c:pt idx="4">
                  <c:v>2022</c:v>
                </c:pt>
                <c:pt idx="5">
                  <c:v>2023</c:v>
                </c:pt>
              </c:numCache>
            </c:numRef>
          </c:cat>
          <c:val>
            <c:numRef>
              <c:f>'Lists-Modules-ChartData'!$U$7:$Z$7</c:f>
              <c:numCache>
                <c:formatCode>0.0</c:formatCode>
                <c:ptCount val="6"/>
                <c:pt idx="0">
                  <c:v>37.084342131638088</c:v>
                </c:pt>
                <c:pt idx="1">
                  <c:v>35.351552504862923</c:v>
                </c:pt>
                <c:pt idx="2">
                  <c:v>33.542090376828199</c:v>
                </c:pt>
                <c:pt idx="3">
                  <c:v>32.056160655910695</c:v>
                </c:pt>
                <c:pt idx="4">
                  <c:v>29.915873102736189</c:v>
                </c:pt>
                <c:pt idx="5">
                  <c:v>27.903074435380589</c:v>
                </c:pt>
              </c:numCache>
            </c:numRef>
          </c:val>
          <c:smooth val="0"/>
          <c:extLst>
            <c:ext xmlns:c16="http://schemas.microsoft.com/office/drawing/2014/chart" uri="{C3380CC4-5D6E-409C-BE32-E72D297353CC}">
              <c16:uniqueId val="{00000000-0D80-4BC2-AABA-22D6A7DA6CEB}"/>
            </c:ext>
          </c:extLst>
        </c:ser>
        <c:ser>
          <c:idx val="1"/>
          <c:order val="1"/>
          <c:tx>
            <c:strRef>
              <c:f>'Lists-Modules-ChartData'!$R$50</c:f>
              <c:strCache>
                <c:ptCount val="1"/>
                <c:pt idx="0">
                  <c:v>Real Interest Rate Shock</c:v>
                </c:pt>
              </c:strCache>
            </c:strRef>
          </c:tx>
          <c:marker>
            <c:symbol val="none"/>
          </c:marker>
          <c:cat>
            <c:numRef>
              <c:f>'Input 5 - Scenario Design'!$E$42:$J$42</c:f>
              <c:numCache>
                <c:formatCode>General</c:formatCode>
                <c:ptCount val="6"/>
                <c:pt idx="0">
                  <c:v>2018</c:v>
                </c:pt>
                <c:pt idx="1">
                  <c:v>2019</c:v>
                </c:pt>
                <c:pt idx="2">
                  <c:v>2020</c:v>
                </c:pt>
                <c:pt idx="3">
                  <c:v>2021</c:v>
                </c:pt>
                <c:pt idx="4">
                  <c:v>2022</c:v>
                </c:pt>
                <c:pt idx="5">
                  <c:v>2023</c:v>
                </c:pt>
              </c:numCache>
            </c:numRef>
          </c:cat>
          <c:val>
            <c:numRef>
              <c:f>'Lists-Modules-ChartData'!$U$51:$Z$51</c:f>
              <c:numCache>
                <c:formatCode>0.0</c:formatCode>
                <c:ptCount val="6"/>
                <c:pt idx="0">
                  <c:v>37.094606570883371</c:v>
                </c:pt>
                <c:pt idx="1">
                  <c:v>36.564685698719956</c:v>
                </c:pt>
                <c:pt idx="2">
                  <c:v>36.799396931371355</c:v>
                </c:pt>
                <c:pt idx="3">
                  <c:v>37.665139591309973</c:v>
                </c:pt>
                <c:pt idx="4">
                  <c:v>39.79464642811719</c:v>
                </c:pt>
                <c:pt idx="5">
                  <c:v>42.60683361230204</c:v>
                </c:pt>
              </c:numCache>
            </c:numRef>
          </c:val>
          <c:smooth val="0"/>
          <c:extLst>
            <c:ext xmlns:c16="http://schemas.microsoft.com/office/drawing/2014/chart" uri="{C3380CC4-5D6E-409C-BE32-E72D297353CC}">
              <c16:uniqueId val="{00000001-0D80-4BC2-AABA-22D6A7DA6CEB}"/>
            </c:ext>
          </c:extLst>
        </c:ser>
        <c:dLbls>
          <c:showLegendKey val="0"/>
          <c:showVal val="0"/>
          <c:showCatName val="0"/>
          <c:showSerName val="0"/>
          <c:showPercent val="0"/>
          <c:showBubbleSize val="0"/>
        </c:dLbls>
        <c:smooth val="0"/>
        <c:axId val="537241544"/>
        <c:axId val="537236840"/>
      </c:lineChart>
      <c:catAx>
        <c:axId val="537241544"/>
        <c:scaling>
          <c:orientation val="minMax"/>
        </c:scaling>
        <c:delete val="0"/>
        <c:axPos val="b"/>
        <c:numFmt formatCode="General" sourceLinked="1"/>
        <c:majorTickMark val="out"/>
        <c:minorTickMark val="none"/>
        <c:tickLblPos val="nextTo"/>
        <c:crossAx val="537236840"/>
        <c:crosses val="autoZero"/>
        <c:auto val="1"/>
        <c:lblAlgn val="ctr"/>
        <c:lblOffset val="100"/>
        <c:noMultiLvlLbl val="0"/>
      </c:catAx>
      <c:valAx>
        <c:axId val="537236840"/>
        <c:scaling>
          <c:orientation val="minMax"/>
        </c:scaling>
        <c:delete val="0"/>
        <c:axPos val="l"/>
        <c:numFmt formatCode="#,##0" sourceLinked="0"/>
        <c:majorTickMark val="out"/>
        <c:minorTickMark val="none"/>
        <c:tickLblPos val="nextTo"/>
        <c:crossAx val="537241544"/>
        <c:crosses val="autoZero"/>
        <c:crossBetween val="midCat"/>
      </c:valAx>
      <c:spPr>
        <a:ln>
          <a:solidFill>
            <a:sysClr val="window" lastClr="FFFFFF">
              <a:lumMod val="50000"/>
            </a:sysClr>
          </a:solidFill>
        </a:ln>
      </c:spPr>
    </c:plotArea>
    <c:legend>
      <c:legendPos val="b"/>
      <c:layout>
        <c:manualLayout>
          <c:xMode val="edge"/>
          <c:yMode val="edge"/>
          <c:x val="9.2024924708997868E-2"/>
          <c:y val="0.67802575059795156"/>
          <c:w val="0.89999981950683194"/>
          <c:h val="0.18082589364974647"/>
        </c:manualLayout>
      </c:layout>
      <c:overlay val="1"/>
      <c:txPr>
        <a:bodyPr/>
        <a:lstStyle/>
        <a:p>
          <a:pPr>
            <a:defRPr sz="1200" b="1"/>
          </a:pPr>
          <a:endParaRPr lang="en-US"/>
        </a:p>
      </c:txPr>
    </c:legend>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033629344937744"/>
          <c:y val="6.1467589409810182E-2"/>
          <c:w val="0.79795906893061952"/>
          <c:h val="0.79696222865193656"/>
        </c:manualLayout>
      </c:layout>
      <c:lineChart>
        <c:grouping val="standard"/>
        <c:varyColors val="0"/>
        <c:ser>
          <c:idx val="0"/>
          <c:order val="0"/>
          <c:tx>
            <c:strRef>
              <c:f>'Lists-Modules-ChartData'!$R$6</c:f>
              <c:strCache>
                <c:ptCount val="1"/>
                <c:pt idx="0">
                  <c:v>Baseline</c:v>
                </c:pt>
              </c:strCache>
            </c:strRef>
          </c:tx>
          <c:marker>
            <c:symbol val="none"/>
          </c:marker>
          <c:cat>
            <c:numRef>
              <c:f>'Input 5 - Scenario Design'!$E$42:$J$42</c:f>
              <c:numCache>
                <c:formatCode>General</c:formatCode>
                <c:ptCount val="6"/>
                <c:pt idx="0">
                  <c:v>2018</c:v>
                </c:pt>
                <c:pt idx="1">
                  <c:v>2019</c:v>
                </c:pt>
                <c:pt idx="2">
                  <c:v>2020</c:v>
                </c:pt>
                <c:pt idx="3">
                  <c:v>2021</c:v>
                </c:pt>
                <c:pt idx="4">
                  <c:v>2022</c:v>
                </c:pt>
                <c:pt idx="5">
                  <c:v>2023</c:v>
                </c:pt>
              </c:numCache>
            </c:numRef>
          </c:cat>
          <c:val>
            <c:numRef>
              <c:f>'Lists-Modules-ChartData'!$U$9:$Z$9</c:f>
              <c:numCache>
                <c:formatCode>0.0</c:formatCode>
                <c:ptCount val="6"/>
                <c:pt idx="0">
                  <c:v>3.5984842323630626</c:v>
                </c:pt>
                <c:pt idx="1">
                  <c:v>2.736884117115657</c:v>
                </c:pt>
                <c:pt idx="2">
                  <c:v>2.3965618199100005</c:v>
                </c:pt>
                <c:pt idx="3">
                  <c:v>1.2003971380328871</c:v>
                </c:pt>
                <c:pt idx="4">
                  <c:v>-1.4862612076263433</c:v>
                </c:pt>
                <c:pt idx="5">
                  <c:v>-2.2506508944660197</c:v>
                </c:pt>
              </c:numCache>
            </c:numRef>
          </c:val>
          <c:smooth val="0"/>
          <c:extLst>
            <c:ext xmlns:c16="http://schemas.microsoft.com/office/drawing/2014/chart" uri="{C3380CC4-5D6E-409C-BE32-E72D297353CC}">
              <c16:uniqueId val="{00000000-6579-4AAF-92FC-F066D9128900}"/>
            </c:ext>
          </c:extLst>
        </c:ser>
        <c:ser>
          <c:idx val="1"/>
          <c:order val="1"/>
          <c:tx>
            <c:strRef>
              <c:f>'Lists-Modules-ChartData'!$R$50</c:f>
              <c:strCache>
                <c:ptCount val="1"/>
                <c:pt idx="0">
                  <c:v>Real Interest Rate Shock</c:v>
                </c:pt>
              </c:strCache>
            </c:strRef>
          </c:tx>
          <c:marker>
            <c:symbol val="none"/>
          </c:marker>
          <c:cat>
            <c:numRef>
              <c:f>'Input 5 - Scenario Design'!$E$42:$J$42</c:f>
              <c:numCache>
                <c:formatCode>General</c:formatCode>
                <c:ptCount val="6"/>
                <c:pt idx="0">
                  <c:v>2018</c:v>
                </c:pt>
                <c:pt idx="1">
                  <c:v>2019</c:v>
                </c:pt>
                <c:pt idx="2">
                  <c:v>2020</c:v>
                </c:pt>
                <c:pt idx="3">
                  <c:v>2021</c:v>
                </c:pt>
                <c:pt idx="4">
                  <c:v>2022</c:v>
                </c:pt>
                <c:pt idx="5">
                  <c:v>2023</c:v>
                </c:pt>
              </c:numCache>
            </c:numRef>
          </c:cat>
          <c:val>
            <c:numRef>
              <c:f>'Lists-Modules-ChartData'!$U$53:$Z$53</c:f>
              <c:numCache>
                <c:formatCode>0.0</c:formatCode>
                <c:ptCount val="6"/>
                <c:pt idx="0">
                  <c:v>3.5994671534530136</c:v>
                </c:pt>
                <c:pt idx="1">
                  <c:v>7.1027380579709201</c:v>
                </c:pt>
                <c:pt idx="2">
                  <c:v>12.480881544424459</c:v>
                </c:pt>
                <c:pt idx="3">
                  <c:v>18.462620869326276</c:v>
                </c:pt>
                <c:pt idx="4">
                  <c:v>22.223832267570238</c:v>
                </c:pt>
                <c:pt idx="5">
                  <c:v>25.716851627295739</c:v>
                </c:pt>
              </c:numCache>
            </c:numRef>
          </c:val>
          <c:smooth val="0"/>
          <c:extLst>
            <c:ext xmlns:c16="http://schemas.microsoft.com/office/drawing/2014/chart" uri="{C3380CC4-5D6E-409C-BE32-E72D297353CC}">
              <c16:uniqueId val="{00000001-6579-4AAF-92FC-F066D9128900}"/>
            </c:ext>
          </c:extLst>
        </c:ser>
        <c:dLbls>
          <c:showLegendKey val="0"/>
          <c:showVal val="0"/>
          <c:showCatName val="0"/>
          <c:showSerName val="0"/>
          <c:showPercent val="0"/>
          <c:showBubbleSize val="0"/>
        </c:dLbls>
        <c:smooth val="0"/>
        <c:axId val="537236448"/>
        <c:axId val="537238800"/>
      </c:lineChart>
      <c:catAx>
        <c:axId val="537236448"/>
        <c:scaling>
          <c:orientation val="minMax"/>
        </c:scaling>
        <c:delete val="0"/>
        <c:axPos val="b"/>
        <c:numFmt formatCode="General" sourceLinked="1"/>
        <c:majorTickMark val="out"/>
        <c:minorTickMark val="none"/>
        <c:tickLblPos val="nextTo"/>
        <c:crossAx val="537238800"/>
        <c:crosses val="autoZero"/>
        <c:auto val="1"/>
        <c:lblAlgn val="ctr"/>
        <c:lblOffset val="100"/>
        <c:noMultiLvlLbl val="0"/>
      </c:catAx>
      <c:valAx>
        <c:axId val="537238800"/>
        <c:scaling>
          <c:orientation val="minMax"/>
        </c:scaling>
        <c:delete val="0"/>
        <c:axPos val="l"/>
        <c:numFmt formatCode="#,##0" sourceLinked="0"/>
        <c:majorTickMark val="out"/>
        <c:minorTickMark val="none"/>
        <c:tickLblPos val="nextTo"/>
        <c:crossAx val="537236448"/>
        <c:crosses val="autoZero"/>
        <c:crossBetween val="midCat"/>
      </c:valAx>
      <c:spPr>
        <a:ln>
          <a:solidFill>
            <a:sysClr val="window" lastClr="FFFFFF">
              <a:lumMod val="50000"/>
            </a:sysClr>
          </a:solidFill>
        </a:ln>
      </c:spPr>
    </c:plotArea>
    <c:legend>
      <c:legendPos val="b"/>
      <c:layout>
        <c:manualLayout>
          <c:xMode val="edge"/>
          <c:yMode val="edge"/>
          <c:x val="9.9665604237641064E-2"/>
          <c:y val="0.65336946217020064"/>
          <c:w val="0.86222048437641063"/>
          <c:h val="0.19900514349160153"/>
        </c:manualLayout>
      </c:layout>
      <c:overlay val="1"/>
      <c:txPr>
        <a:bodyPr/>
        <a:lstStyle/>
        <a:p>
          <a:pPr>
            <a:defRPr sz="1200" b="1"/>
          </a:pPr>
          <a:endParaRPr lang="en-US"/>
        </a:p>
      </c:txPr>
    </c:legend>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033629344937744"/>
          <c:y val="7.5183957587328723E-2"/>
          <c:w val="0.79795906893061952"/>
          <c:h val="0.78324603200616194"/>
        </c:manualLayout>
      </c:layout>
      <c:lineChart>
        <c:grouping val="standard"/>
        <c:varyColors val="0"/>
        <c:ser>
          <c:idx val="0"/>
          <c:order val="0"/>
          <c:tx>
            <c:strRef>
              <c:f>'Lists-Modules-ChartData'!$R$6</c:f>
              <c:strCache>
                <c:ptCount val="1"/>
                <c:pt idx="0">
                  <c:v>Baseline</c:v>
                </c:pt>
              </c:strCache>
            </c:strRef>
          </c:tx>
          <c:marker>
            <c:symbol val="none"/>
          </c:marker>
          <c:cat>
            <c:numRef>
              <c:f>'Input 5 - Scenario Design'!$E$42:$J$42</c:f>
              <c:numCache>
                <c:formatCode>General</c:formatCode>
                <c:ptCount val="6"/>
                <c:pt idx="0">
                  <c:v>2018</c:v>
                </c:pt>
                <c:pt idx="1">
                  <c:v>2019</c:v>
                </c:pt>
                <c:pt idx="2">
                  <c:v>2020</c:v>
                </c:pt>
                <c:pt idx="3">
                  <c:v>2021</c:v>
                </c:pt>
                <c:pt idx="4">
                  <c:v>2022</c:v>
                </c:pt>
                <c:pt idx="5">
                  <c:v>2023</c:v>
                </c:pt>
              </c:numCache>
            </c:numRef>
          </c:cat>
          <c:val>
            <c:numRef>
              <c:f>'Lists-Modules-ChartData'!$U$7:$Z$7</c:f>
              <c:numCache>
                <c:formatCode>0.0</c:formatCode>
                <c:ptCount val="6"/>
                <c:pt idx="0">
                  <c:v>37.084342131638088</c:v>
                </c:pt>
                <c:pt idx="1">
                  <c:v>35.351552504862923</c:v>
                </c:pt>
                <c:pt idx="2">
                  <c:v>33.542090376828199</c:v>
                </c:pt>
                <c:pt idx="3">
                  <c:v>32.056160655910695</c:v>
                </c:pt>
                <c:pt idx="4">
                  <c:v>29.915873102736189</c:v>
                </c:pt>
                <c:pt idx="5">
                  <c:v>27.903074435380589</c:v>
                </c:pt>
              </c:numCache>
            </c:numRef>
          </c:val>
          <c:smooth val="0"/>
          <c:extLst>
            <c:ext xmlns:c16="http://schemas.microsoft.com/office/drawing/2014/chart" uri="{C3380CC4-5D6E-409C-BE32-E72D297353CC}">
              <c16:uniqueId val="{00000000-57FE-4EB3-8BE3-8CD4F604033F}"/>
            </c:ext>
          </c:extLst>
        </c:ser>
        <c:ser>
          <c:idx val="1"/>
          <c:order val="1"/>
          <c:tx>
            <c:strRef>
              <c:f>'Lists-Modules-ChartData'!$R$64</c:f>
              <c:strCache>
                <c:ptCount val="1"/>
                <c:pt idx="0">
                  <c:v>Real Exchange Rate Shock</c:v>
                </c:pt>
              </c:strCache>
            </c:strRef>
          </c:tx>
          <c:marker>
            <c:symbol val="none"/>
          </c:marker>
          <c:cat>
            <c:numRef>
              <c:f>'Input 5 - Scenario Design'!$E$42:$J$42</c:f>
              <c:numCache>
                <c:formatCode>General</c:formatCode>
                <c:ptCount val="6"/>
                <c:pt idx="0">
                  <c:v>2018</c:v>
                </c:pt>
                <c:pt idx="1">
                  <c:v>2019</c:v>
                </c:pt>
                <c:pt idx="2">
                  <c:v>2020</c:v>
                </c:pt>
                <c:pt idx="3">
                  <c:v>2021</c:v>
                </c:pt>
                <c:pt idx="4">
                  <c:v>2022</c:v>
                </c:pt>
                <c:pt idx="5">
                  <c:v>2023</c:v>
                </c:pt>
              </c:numCache>
            </c:numRef>
          </c:cat>
          <c:val>
            <c:numRef>
              <c:f>'Lists-Modules-ChartData'!$U$65:$Z$65</c:f>
              <c:numCache>
                <c:formatCode>0.0</c:formatCode>
                <c:ptCount val="6"/>
                <c:pt idx="0">
                  <c:v>37.094606570883371</c:v>
                </c:pt>
                <c:pt idx="1">
                  <c:v>35.031052616552522</c:v>
                </c:pt>
                <c:pt idx="2">
                  <c:v>34.133935521940252</c:v>
                </c:pt>
                <c:pt idx="3">
                  <c:v>32.892605575059719</c:v>
                </c:pt>
                <c:pt idx="4">
                  <c:v>31.854434558541548</c:v>
                </c:pt>
                <c:pt idx="5">
                  <c:v>30.878738340041963</c:v>
                </c:pt>
              </c:numCache>
            </c:numRef>
          </c:val>
          <c:smooth val="0"/>
          <c:extLst>
            <c:ext xmlns:c16="http://schemas.microsoft.com/office/drawing/2014/chart" uri="{C3380CC4-5D6E-409C-BE32-E72D297353CC}">
              <c16:uniqueId val="{00000001-57FE-4EB3-8BE3-8CD4F604033F}"/>
            </c:ext>
          </c:extLst>
        </c:ser>
        <c:dLbls>
          <c:showLegendKey val="0"/>
          <c:showVal val="0"/>
          <c:showCatName val="0"/>
          <c:showSerName val="0"/>
          <c:showPercent val="0"/>
          <c:showBubbleSize val="0"/>
        </c:dLbls>
        <c:smooth val="0"/>
        <c:axId val="538171072"/>
        <c:axId val="538172640"/>
      </c:lineChart>
      <c:catAx>
        <c:axId val="538171072"/>
        <c:scaling>
          <c:orientation val="minMax"/>
        </c:scaling>
        <c:delete val="0"/>
        <c:axPos val="b"/>
        <c:numFmt formatCode="General" sourceLinked="1"/>
        <c:majorTickMark val="out"/>
        <c:minorTickMark val="none"/>
        <c:tickLblPos val="nextTo"/>
        <c:crossAx val="538172640"/>
        <c:crosses val="autoZero"/>
        <c:auto val="1"/>
        <c:lblAlgn val="ctr"/>
        <c:lblOffset val="100"/>
        <c:noMultiLvlLbl val="0"/>
      </c:catAx>
      <c:valAx>
        <c:axId val="538172640"/>
        <c:scaling>
          <c:orientation val="minMax"/>
        </c:scaling>
        <c:delete val="0"/>
        <c:axPos val="l"/>
        <c:numFmt formatCode="#,##0" sourceLinked="0"/>
        <c:majorTickMark val="out"/>
        <c:minorTickMark val="none"/>
        <c:tickLblPos val="nextTo"/>
        <c:crossAx val="538171072"/>
        <c:crosses val="autoZero"/>
        <c:crossBetween val="midCat"/>
      </c:valAx>
      <c:spPr>
        <a:ln>
          <a:solidFill>
            <a:sysClr val="window" lastClr="FFFFFF">
              <a:lumMod val="50000"/>
            </a:sysClr>
          </a:solidFill>
        </a:ln>
      </c:spPr>
    </c:plotArea>
    <c:legend>
      <c:legendPos val="b"/>
      <c:layout>
        <c:manualLayout>
          <c:xMode val="edge"/>
          <c:yMode val="edge"/>
          <c:x val="9.2024682850610398E-2"/>
          <c:y val="0.66049696149629877"/>
          <c:w val="0.85446604924881941"/>
          <c:h val="0.19835461713582225"/>
        </c:manualLayout>
      </c:layout>
      <c:overlay val="1"/>
      <c:txPr>
        <a:bodyPr/>
        <a:lstStyle/>
        <a:p>
          <a:pPr>
            <a:defRPr sz="1200" b="1"/>
          </a:pPr>
          <a:endParaRPr lang="en-US"/>
        </a:p>
      </c:txPr>
    </c:legend>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png"/><Relationship Id="rId3" Type="http://schemas.openxmlformats.org/officeDocument/2006/relationships/hyperlink" Target="#InstDownload"/><Relationship Id="rId7" Type="http://schemas.openxmlformats.org/officeDocument/2006/relationships/hyperlink" Target="#InstFan"/><Relationship Id="rId2" Type="http://schemas.openxmlformats.org/officeDocument/2006/relationships/hyperlink" Target="#InstBasics"/><Relationship Id="rId1" Type="http://schemas.openxmlformats.org/officeDocument/2006/relationships/hyperlink" Target="#InstOverview"/><Relationship Id="rId6" Type="http://schemas.openxmlformats.org/officeDocument/2006/relationships/hyperlink" Target="#InstDesign"/><Relationship Id="rId5" Type="http://schemas.openxmlformats.org/officeDocument/2006/relationships/hyperlink" Target="#InstForecast"/><Relationship Id="rId4" Type="http://schemas.openxmlformats.org/officeDocument/2006/relationships/hyperlink" Target="#InstDebt"/></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hyperlink" Target="#CLDesign"/><Relationship Id="rId3" Type="http://schemas.openxmlformats.org/officeDocument/2006/relationships/chart" Target="../charts/chart3.xml"/><Relationship Id="rId21" Type="http://schemas.openxmlformats.org/officeDocument/2006/relationships/hyperlink" Target="#PBDesign"/><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hyperlink" Target="#ComboDesign"/><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hyperlink" Target="#CPBDesign"/><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hyperlink" Target="#ExchangeDesign"/><Relationship Id="rId32" Type="http://schemas.openxmlformats.org/officeDocument/2006/relationships/hyperlink" Target="#Custom2Design"/><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hyperlink" Target="#InterestDesign"/><Relationship Id="rId28" Type="http://schemas.openxmlformats.org/officeDocument/2006/relationships/hyperlink" Target="#HistDesign"/><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22.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hyperlink" Target="#GDPDesign"/><Relationship Id="rId27" Type="http://schemas.openxmlformats.org/officeDocument/2006/relationships/hyperlink" Target="#Custom1Design"/><Relationship Id="rId30" Type="http://schemas.openxmlformats.org/officeDocument/2006/relationships/chart" Target="../charts/chart21.xml"/></Relationships>
</file>

<file path=xl/drawings/_rels/drawing25.xml.rels><?xml version="1.0" encoding="UTF-8" standalone="yes"?>
<Relationships xmlns="http://schemas.openxmlformats.org/package/2006/relationships"><Relationship Id="rId2" Type="http://schemas.openxmlformats.org/officeDocument/2006/relationships/chart" Target="../charts/chart24.xml"/><Relationship Id="rId1" Type="http://schemas.openxmlformats.org/officeDocument/2006/relationships/chart" Target="../charts/chart23.xml"/></Relationships>
</file>

<file path=xl/drawings/_rels/drawing26.xml.rels><?xml version="1.0" encoding="UTF-8" standalone="yes"?>
<Relationships xmlns="http://schemas.openxmlformats.org/package/2006/relationships"><Relationship Id="rId3" Type="http://schemas.openxmlformats.org/officeDocument/2006/relationships/hyperlink" Target="#InstOutputHeatMap"/><Relationship Id="rId2" Type="http://schemas.openxmlformats.org/officeDocument/2006/relationships/hyperlink" Target="#InstOutputShocks"/><Relationship Id="rId1" Type="http://schemas.openxmlformats.org/officeDocument/2006/relationships/hyperlink" Target="#InstOutputBasic"/><Relationship Id="rId6" Type="http://schemas.openxmlformats.org/officeDocument/2006/relationships/hyperlink" Target="#InstOutputRealism"/><Relationship Id="rId5" Type="http://schemas.openxmlformats.org/officeDocument/2006/relationships/hyperlink" Target="#InstClassification"/><Relationship Id="rId4" Type="http://schemas.openxmlformats.org/officeDocument/2006/relationships/hyperlink" Target="#InstOutputSubmit"/></Relationships>
</file>

<file path=xl/drawings/_rels/drawing27.xml.rels><?xml version="1.0" encoding="UTF-8" standalone="yes"?>
<Relationships xmlns="http://schemas.openxmlformats.org/package/2006/relationships"><Relationship Id="rId2" Type="http://schemas.openxmlformats.org/officeDocument/2006/relationships/chart" Target="../charts/chart26.xml"/><Relationship Id="rId1" Type="http://schemas.openxmlformats.org/officeDocument/2006/relationships/chart" Target="../charts/chart25.xml"/></Relationships>
</file>

<file path=xl/drawings/_rels/drawing29.xml.rels><?xml version="1.0" encoding="UTF-8" standalone="yes"?>
<Relationships xmlns="http://schemas.openxmlformats.org/package/2006/relationships"><Relationship Id="rId3" Type="http://schemas.openxmlformats.org/officeDocument/2006/relationships/chart" Target="../charts/chart29.xml"/><Relationship Id="rId2" Type="http://schemas.openxmlformats.org/officeDocument/2006/relationships/chart" Target="../charts/chart28.xml"/><Relationship Id="rId1" Type="http://schemas.openxmlformats.org/officeDocument/2006/relationships/chart" Target="../charts/chart27.xml"/><Relationship Id="rId4" Type="http://schemas.openxmlformats.org/officeDocument/2006/relationships/chart" Target="../charts/chart30.xml"/></Relationships>
</file>

<file path=xl/drawings/_rels/drawing34.xml.rels><?xml version="1.0" encoding="UTF-8" standalone="yes"?>
<Relationships xmlns="http://schemas.openxmlformats.org/package/2006/relationships"><Relationship Id="rId3" Type="http://schemas.openxmlformats.org/officeDocument/2006/relationships/chart" Target="../charts/chart33.xml"/><Relationship Id="rId2" Type="http://schemas.openxmlformats.org/officeDocument/2006/relationships/chart" Target="../charts/chart32.xml"/><Relationship Id="rId1" Type="http://schemas.openxmlformats.org/officeDocument/2006/relationships/chart" Target="../charts/chart31.xml"/><Relationship Id="rId6" Type="http://schemas.openxmlformats.org/officeDocument/2006/relationships/chart" Target="../charts/chart36.xml"/><Relationship Id="rId5" Type="http://schemas.openxmlformats.org/officeDocument/2006/relationships/chart" Target="../charts/chart35.xml"/><Relationship Id="rId4" Type="http://schemas.openxmlformats.org/officeDocument/2006/relationships/chart" Target="../charts/chart34.xml"/></Relationships>
</file>

<file path=xl/drawings/_rels/drawing41.xml.rels><?xml version="1.0" encoding="UTF-8" standalone="yes"?>
<Relationships xmlns="http://schemas.openxmlformats.org/package/2006/relationships"><Relationship Id="rId3" Type="http://schemas.openxmlformats.org/officeDocument/2006/relationships/chart" Target="../charts/chart39.xml"/><Relationship Id="rId2" Type="http://schemas.openxmlformats.org/officeDocument/2006/relationships/chart" Target="../charts/chart38.xml"/><Relationship Id="rId1" Type="http://schemas.openxmlformats.org/officeDocument/2006/relationships/chart" Target="../charts/chart37.xml"/><Relationship Id="rId6" Type="http://schemas.openxmlformats.org/officeDocument/2006/relationships/chart" Target="../charts/chart42.xml"/><Relationship Id="rId5" Type="http://schemas.openxmlformats.org/officeDocument/2006/relationships/chart" Target="../charts/chart41.xml"/><Relationship Id="rId4" Type="http://schemas.openxmlformats.org/officeDocument/2006/relationships/chart" Target="../charts/chart40.xml"/></Relationships>
</file>

<file path=xl/drawings/_rels/drawing48.xml.rels><?xml version="1.0" encoding="UTF-8" standalone="yes"?>
<Relationships xmlns="http://schemas.openxmlformats.org/package/2006/relationships"><Relationship Id="rId3" Type="http://schemas.openxmlformats.org/officeDocument/2006/relationships/chart" Target="../charts/chart45.xml"/><Relationship Id="rId7" Type="http://schemas.openxmlformats.org/officeDocument/2006/relationships/chart" Target="../charts/chart49.xml"/><Relationship Id="rId2" Type="http://schemas.openxmlformats.org/officeDocument/2006/relationships/chart" Target="../charts/chart44.xml"/><Relationship Id="rId1" Type="http://schemas.openxmlformats.org/officeDocument/2006/relationships/chart" Target="../charts/chart43.xml"/><Relationship Id="rId6" Type="http://schemas.openxmlformats.org/officeDocument/2006/relationships/chart" Target="../charts/chart48.xml"/><Relationship Id="rId5" Type="http://schemas.openxmlformats.org/officeDocument/2006/relationships/chart" Target="../charts/chart47.xml"/><Relationship Id="rId4" Type="http://schemas.openxmlformats.org/officeDocument/2006/relationships/chart" Target="../charts/chart46.xml"/></Relationships>
</file>

<file path=xl/drawings/_rels/vmlDrawing6.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3</xdr:col>
      <xdr:colOff>1366073</xdr:colOff>
      <xdr:row>0</xdr:row>
      <xdr:rowOff>66672</xdr:rowOff>
    </xdr:from>
    <xdr:to>
      <xdr:col>14</xdr:col>
      <xdr:colOff>25007</xdr:colOff>
      <xdr:row>1</xdr:row>
      <xdr:rowOff>150492</xdr:rowOff>
    </xdr:to>
    <xdr:sp macro="" textlink="">
      <xdr:nvSpPr>
        <xdr:cNvPr id="2" name="Rectangle 1">
          <a:extLst>
            <a:ext uri="{FF2B5EF4-FFF2-40B4-BE49-F238E27FC236}">
              <a16:creationId xmlns:a16="http://schemas.microsoft.com/office/drawing/2014/main" id="{00000000-0008-0000-0000-000002000000}"/>
            </a:ext>
          </a:extLst>
        </xdr:cNvPr>
        <xdr:cNvSpPr/>
      </xdr:nvSpPr>
      <xdr:spPr>
        <a:xfrm>
          <a:off x="2202912" y="66672"/>
          <a:ext cx="7333488" cy="274320"/>
        </a:xfrm>
        <a:prstGeom prst="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800" b="1"/>
            <a:t>Instructions for the Input</a:t>
          </a:r>
        </a:p>
      </xdr:txBody>
    </xdr:sp>
    <xdr:clientData/>
  </xdr:twoCellAnchor>
  <xdr:twoCellAnchor>
    <xdr:from>
      <xdr:col>0</xdr:col>
      <xdr:colOff>73479</xdr:colOff>
      <xdr:row>0</xdr:row>
      <xdr:rowOff>66671</xdr:rowOff>
    </xdr:from>
    <xdr:to>
      <xdr:col>3</xdr:col>
      <xdr:colOff>1291167</xdr:colOff>
      <xdr:row>3</xdr:row>
      <xdr:rowOff>132203</xdr:rowOff>
    </xdr:to>
    <xdr:sp macro="" textlink="">
      <xdr:nvSpPr>
        <xdr:cNvPr id="3" name="Rectangle 2">
          <a:hlinkClick xmlns:r="http://schemas.openxmlformats.org/officeDocument/2006/relationships" r:id="rId1"/>
          <a:extLst>
            <a:ext uri="{FF2B5EF4-FFF2-40B4-BE49-F238E27FC236}">
              <a16:creationId xmlns:a16="http://schemas.microsoft.com/office/drawing/2014/main" id="{00000000-0008-0000-0000-000003000000}"/>
            </a:ext>
          </a:extLst>
        </xdr:cNvPr>
        <xdr:cNvSpPr/>
      </xdr:nvSpPr>
      <xdr:spPr>
        <a:xfrm>
          <a:off x="73479" y="66671"/>
          <a:ext cx="2046363" cy="713232"/>
        </a:xfrm>
        <a:prstGeom prst="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600" b="1"/>
            <a:t>Overview of the MAC</a:t>
          </a:r>
          <a:r>
            <a:rPr lang="en-US" sz="1600" b="1" baseline="0"/>
            <a:t> DSA Framework</a:t>
          </a:r>
          <a:endParaRPr lang="en-US" sz="1600" b="1"/>
        </a:p>
      </xdr:txBody>
    </xdr:sp>
    <xdr:clientData/>
  </xdr:twoCellAnchor>
  <xdr:twoCellAnchor>
    <xdr:from>
      <xdr:col>3</xdr:col>
      <xdr:colOff>1366072</xdr:colOff>
      <xdr:row>1</xdr:row>
      <xdr:rowOff>160564</xdr:rowOff>
    </xdr:from>
    <xdr:to>
      <xdr:col>4</xdr:col>
      <xdr:colOff>31180</xdr:colOff>
      <xdr:row>3</xdr:row>
      <xdr:rowOff>142875</xdr:rowOff>
    </xdr:to>
    <xdr:sp macro="" textlink="">
      <xdr:nvSpPr>
        <xdr:cNvPr id="5" name="Rectangle 4">
          <a:hlinkClick xmlns:r="http://schemas.openxmlformats.org/officeDocument/2006/relationships" r:id="rId2"/>
          <a:extLst>
            <a:ext uri="{FF2B5EF4-FFF2-40B4-BE49-F238E27FC236}">
              <a16:creationId xmlns:a16="http://schemas.microsoft.com/office/drawing/2014/main" id="{00000000-0008-0000-0000-000005000000}"/>
            </a:ext>
          </a:extLst>
        </xdr:cNvPr>
        <xdr:cNvSpPr/>
      </xdr:nvSpPr>
      <xdr:spPr>
        <a:xfrm>
          <a:off x="2186050" y="351064"/>
          <a:ext cx="1216152" cy="437854"/>
        </a:xfrm>
        <a:prstGeom prst="rect">
          <a:avLst/>
        </a:prstGeom>
        <a:ln/>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b="1"/>
            <a:t>Input 1 - Basics</a:t>
          </a:r>
        </a:p>
      </xdr:txBody>
    </xdr:sp>
    <xdr:clientData/>
  </xdr:twoCellAnchor>
  <xdr:twoCellAnchor>
    <xdr:from>
      <xdr:col>4</xdr:col>
      <xdr:colOff>42115</xdr:colOff>
      <xdr:row>1</xdr:row>
      <xdr:rowOff>160564</xdr:rowOff>
    </xdr:from>
    <xdr:to>
      <xdr:col>6</xdr:col>
      <xdr:colOff>33329</xdr:colOff>
      <xdr:row>3</xdr:row>
      <xdr:rowOff>142276</xdr:rowOff>
    </xdr:to>
    <xdr:sp macro="" textlink="">
      <xdr:nvSpPr>
        <xdr:cNvPr id="6" name="Rectangle 5">
          <a:hlinkClick xmlns:r="http://schemas.openxmlformats.org/officeDocument/2006/relationships" r:id="rId3"/>
          <a:extLst>
            <a:ext uri="{FF2B5EF4-FFF2-40B4-BE49-F238E27FC236}">
              <a16:creationId xmlns:a16="http://schemas.microsoft.com/office/drawing/2014/main" id="{00000000-0008-0000-0000-000006000000}"/>
            </a:ext>
          </a:extLst>
        </xdr:cNvPr>
        <xdr:cNvSpPr/>
      </xdr:nvSpPr>
      <xdr:spPr>
        <a:xfrm>
          <a:off x="3430294" y="351064"/>
          <a:ext cx="1215856" cy="437551"/>
        </a:xfrm>
        <a:prstGeom prst="rect">
          <a:avLst/>
        </a:prstGeom>
        <a:ln/>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b="1"/>
            <a:t>Input 2 - Download</a:t>
          </a:r>
        </a:p>
      </xdr:txBody>
    </xdr:sp>
    <xdr:clientData/>
  </xdr:twoCellAnchor>
  <xdr:twoCellAnchor>
    <xdr:from>
      <xdr:col>6</xdr:col>
      <xdr:colOff>43496</xdr:colOff>
      <xdr:row>1</xdr:row>
      <xdr:rowOff>160564</xdr:rowOff>
    </xdr:from>
    <xdr:to>
      <xdr:col>8</xdr:col>
      <xdr:colOff>33822</xdr:colOff>
      <xdr:row>3</xdr:row>
      <xdr:rowOff>142276</xdr:rowOff>
    </xdr:to>
    <xdr:sp macro="" textlink="">
      <xdr:nvSpPr>
        <xdr:cNvPr id="7" name="Rectangle 6">
          <a:hlinkClick xmlns:r="http://schemas.openxmlformats.org/officeDocument/2006/relationships" r:id="rId4"/>
          <a:extLst>
            <a:ext uri="{FF2B5EF4-FFF2-40B4-BE49-F238E27FC236}">
              <a16:creationId xmlns:a16="http://schemas.microsoft.com/office/drawing/2014/main" id="{00000000-0008-0000-0000-000007000000}"/>
            </a:ext>
          </a:extLst>
        </xdr:cNvPr>
        <xdr:cNvSpPr/>
      </xdr:nvSpPr>
      <xdr:spPr>
        <a:xfrm>
          <a:off x="4656317" y="351064"/>
          <a:ext cx="1214969" cy="437551"/>
        </a:xfrm>
        <a:prstGeom prst="rect">
          <a:avLst/>
        </a:prstGeom>
        <a:ln/>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b="1"/>
            <a:t>Input 3 - Historical Debt</a:t>
          </a:r>
        </a:p>
      </xdr:txBody>
    </xdr:sp>
    <xdr:clientData/>
  </xdr:twoCellAnchor>
  <xdr:twoCellAnchor>
    <xdr:from>
      <xdr:col>8</xdr:col>
      <xdr:colOff>41694</xdr:colOff>
      <xdr:row>1</xdr:row>
      <xdr:rowOff>160564</xdr:rowOff>
    </xdr:from>
    <xdr:to>
      <xdr:col>10</xdr:col>
      <xdr:colOff>32020</xdr:colOff>
      <xdr:row>3</xdr:row>
      <xdr:rowOff>142276</xdr:rowOff>
    </xdr:to>
    <xdr:sp macro="" textlink="">
      <xdr:nvSpPr>
        <xdr:cNvPr id="8" name="Rectangle 7">
          <a:hlinkClick xmlns:r="http://schemas.openxmlformats.org/officeDocument/2006/relationships" r:id="rId5"/>
          <a:extLst>
            <a:ext uri="{FF2B5EF4-FFF2-40B4-BE49-F238E27FC236}">
              <a16:creationId xmlns:a16="http://schemas.microsoft.com/office/drawing/2014/main" id="{00000000-0008-0000-0000-000008000000}"/>
            </a:ext>
          </a:extLst>
        </xdr:cNvPr>
        <xdr:cNvSpPr/>
      </xdr:nvSpPr>
      <xdr:spPr>
        <a:xfrm>
          <a:off x="5879158" y="351064"/>
          <a:ext cx="1214969" cy="437551"/>
        </a:xfrm>
        <a:prstGeom prst="rect">
          <a:avLst/>
        </a:prstGeom>
        <a:ln/>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b="1"/>
            <a:t>Input 4 - Forecast</a:t>
          </a:r>
        </a:p>
      </xdr:txBody>
    </xdr:sp>
    <xdr:clientData/>
  </xdr:twoCellAnchor>
  <xdr:twoCellAnchor>
    <xdr:from>
      <xdr:col>10</xdr:col>
      <xdr:colOff>43157</xdr:colOff>
      <xdr:row>1</xdr:row>
      <xdr:rowOff>160564</xdr:rowOff>
    </xdr:from>
    <xdr:to>
      <xdr:col>12</xdr:col>
      <xdr:colOff>33483</xdr:colOff>
      <xdr:row>3</xdr:row>
      <xdr:rowOff>142276</xdr:rowOff>
    </xdr:to>
    <xdr:sp macro="" textlink="">
      <xdr:nvSpPr>
        <xdr:cNvPr id="9" name="Rectangle 8">
          <a:hlinkClick xmlns:r="http://schemas.openxmlformats.org/officeDocument/2006/relationships" r:id="rId6"/>
          <a:extLst>
            <a:ext uri="{FF2B5EF4-FFF2-40B4-BE49-F238E27FC236}">
              <a16:creationId xmlns:a16="http://schemas.microsoft.com/office/drawing/2014/main" id="{00000000-0008-0000-0000-000009000000}"/>
            </a:ext>
          </a:extLst>
        </xdr:cNvPr>
        <xdr:cNvSpPr/>
      </xdr:nvSpPr>
      <xdr:spPr>
        <a:xfrm>
          <a:off x="7105264" y="351064"/>
          <a:ext cx="1214969" cy="437551"/>
        </a:xfrm>
        <a:prstGeom prst="rect">
          <a:avLst/>
        </a:prstGeom>
        <a:ln/>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b="1"/>
            <a:t>Input 5 - Scenario Design</a:t>
          </a:r>
        </a:p>
      </xdr:txBody>
    </xdr:sp>
    <xdr:clientData/>
  </xdr:twoCellAnchor>
  <xdr:twoCellAnchor>
    <xdr:from>
      <xdr:col>12</xdr:col>
      <xdr:colOff>37922</xdr:colOff>
      <xdr:row>1</xdr:row>
      <xdr:rowOff>160564</xdr:rowOff>
    </xdr:from>
    <xdr:to>
      <xdr:col>14</xdr:col>
      <xdr:colOff>28247</xdr:colOff>
      <xdr:row>3</xdr:row>
      <xdr:rowOff>142276</xdr:rowOff>
    </xdr:to>
    <xdr:sp macro="" textlink="">
      <xdr:nvSpPr>
        <xdr:cNvPr id="10" name="Rectangle 9">
          <a:hlinkClick xmlns:r="http://schemas.openxmlformats.org/officeDocument/2006/relationships" r:id="rId7"/>
          <a:extLst>
            <a:ext uri="{FF2B5EF4-FFF2-40B4-BE49-F238E27FC236}">
              <a16:creationId xmlns:a16="http://schemas.microsoft.com/office/drawing/2014/main" id="{00000000-0008-0000-0000-00000A000000}"/>
            </a:ext>
          </a:extLst>
        </xdr:cNvPr>
        <xdr:cNvSpPr/>
      </xdr:nvSpPr>
      <xdr:spPr>
        <a:xfrm>
          <a:off x="8324672" y="351064"/>
          <a:ext cx="1214968" cy="437551"/>
        </a:xfrm>
        <a:prstGeom prst="rect">
          <a:avLst/>
        </a:prstGeom>
        <a:ln/>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b="1"/>
            <a:t>Fan Chart</a:t>
          </a:r>
        </a:p>
      </xdr:txBody>
    </xdr:sp>
    <xdr:clientData/>
  </xdr:twoCellAnchor>
  <xdr:twoCellAnchor>
    <xdr:from>
      <xdr:col>3</xdr:col>
      <xdr:colOff>1366073</xdr:colOff>
      <xdr:row>0</xdr:row>
      <xdr:rowOff>66672</xdr:rowOff>
    </xdr:from>
    <xdr:to>
      <xdr:col>14</xdr:col>
      <xdr:colOff>25007</xdr:colOff>
      <xdr:row>1</xdr:row>
      <xdr:rowOff>150492</xdr:rowOff>
    </xdr:to>
    <xdr:sp macro="" textlink="">
      <xdr:nvSpPr>
        <xdr:cNvPr id="11" name="Rectangle 10">
          <a:extLst>
            <a:ext uri="{FF2B5EF4-FFF2-40B4-BE49-F238E27FC236}">
              <a16:creationId xmlns:a16="http://schemas.microsoft.com/office/drawing/2014/main" id="{00000000-0008-0000-0000-00000B000000}"/>
            </a:ext>
          </a:extLst>
        </xdr:cNvPr>
        <xdr:cNvSpPr/>
      </xdr:nvSpPr>
      <xdr:spPr>
        <a:xfrm>
          <a:off x="2194748" y="66672"/>
          <a:ext cx="7307634" cy="274320"/>
        </a:xfrm>
        <a:prstGeom prst="rect">
          <a:avLst/>
        </a:prstGeom>
        <a:solidFill>
          <a:srgbClr val="FFFF00"/>
        </a:solidFill>
        <a:ln>
          <a:solidFill>
            <a:schemeClr val="bg1">
              <a:lumMod val="50000"/>
            </a:schemeClr>
          </a:solidFill>
        </a:ln>
      </xdr:spPr>
      <xdr:style>
        <a:lnRef idx="1">
          <a:schemeClr val="accent3"/>
        </a:lnRef>
        <a:fillRef idx="2">
          <a:schemeClr val="accent3"/>
        </a:fillRef>
        <a:effectRef idx="1">
          <a:schemeClr val="accent3"/>
        </a:effectRef>
        <a:fontRef idx="minor">
          <a:schemeClr val="dk1"/>
        </a:fontRef>
      </xdr:style>
      <xdr:txBody>
        <a:bodyPr vertOverflow="clip" rtlCol="0" anchor="ctr"/>
        <a:lstStyle/>
        <a:p>
          <a:pPr algn="ctr"/>
          <a:r>
            <a:rPr lang="en-US" sz="1800" b="1"/>
            <a:t>Instructions for the Input</a:t>
          </a:r>
        </a:p>
      </xdr:txBody>
    </xdr:sp>
    <xdr:clientData/>
  </xdr:twoCellAnchor>
  <xdr:twoCellAnchor>
    <xdr:from>
      <xdr:col>0</xdr:col>
      <xdr:colOff>73479</xdr:colOff>
      <xdr:row>0</xdr:row>
      <xdr:rowOff>66671</xdr:rowOff>
    </xdr:from>
    <xdr:to>
      <xdr:col>3</xdr:col>
      <xdr:colOff>1291167</xdr:colOff>
      <xdr:row>3</xdr:row>
      <xdr:rowOff>132203</xdr:rowOff>
    </xdr:to>
    <xdr:sp macro="" textlink="">
      <xdr:nvSpPr>
        <xdr:cNvPr id="12" name="Rectangle 11">
          <a:hlinkClick xmlns:r="http://schemas.openxmlformats.org/officeDocument/2006/relationships" r:id="rId1"/>
          <a:extLst>
            <a:ext uri="{FF2B5EF4-FFF2-40B4-BE49-F238E27FC236}">
              <a16:creationId xmlns:a16="http://schemas.microsoft.com/office/drawing/2014/main" id="{00000000-0008-0000-0000-00000C000000}"/>
            </a:ext>
          </a:extLst>
        </xdr:cNvPr>
        <xdr:cNvSpPr/>
      </xdr:nvSpPr>
      <xdr:spPr>
        <a:xfrm>
          <a:off x="73479" y="66671"/>
          <a:ext cx="2046363" cy="713232"/>
        </a:xfrm>
        <a:prstGeom prst="rect">
          <a:avLst/>
        </a:prstGeom>
        <a:ln>
          <a:solidFill>
            <a:schemeClr val="bg1">
              <a:lumMod val="50000"/>
            </a:schemeClr>
          </a:solidFill>
        </a:ln>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600" b="1"/>
            <a:t>Overview of the MAC</a:t>
          </a:r>
          <a:r>
            <a:rPr lang="en-US" sz="1600" b="1" baseline="0"/>
            <a:t> DSA Framework</a:t>
          </a:r>
          <a:endParaRPr lang="en-US" sz="1600" b="1"/>
        </a:p>
      </xdr:txBody>
    </xdr:sp>
    <xdr:clientData/>
  </xdr:twoCellAnchor>
  <xdr:twoCellAnchor>
    <xdr:from>
      <xdr:col>3</xdr:col>
      <xdr:colOff>1366072</xdr:colOff>
      <xdr:row>1</xdr:row>
      <xdr:rowOff>160564</xdr:rowOff>
    </xdr:from>
    <xdr:to>
      <xdr:col>4</xdr:col>
      <xdr:colOff>31180</xdr:colOff>
      <xdr:row>3</xdr:row>
      <xdr:rowOff>142875</xdr:rowOff>
    </xdr:to>
    <xdr:sp macro="" textlink="">
      <xdr:nvSpPr>
        <xdr:cNvPr id="13" name="Rectangle 12">
          <a:hlinkClick xmlns:r="http://schemas.openxmlformats.org/officeDocument/2006/relationships" r:id="rId2"/>
          <a:extLst>
            <a:ext uri="{FF2B5EF4-FFF2-40B4-BE49-F238E27FC236}">
              <a16:creationId xmlns:a16="http://schemas.microsoft.com/office/drawing/2014/main" id="{00000000-0008-0000-0000-00000D000000}"/>
            </a:ext>
          </a:extLst>
        </xdr:cNvPr>
        <xdr:cNvSpPr/>
      </xdr:nvSpPr>
      <xdr:spPr>
        <a:xfrm>
          <a:off x="2194747" y="351064"/>
          <a:ext cx="1217808" cy="439511"/>
        </a:xfrm>
        <a:prstGeom prst="rect">
          <a:avLst/>
        </a:prstGeom>
        <a:gradFill>
          <a:gsLst>
            <a:gs pos="0">
              <a:srgbClr val="FFFF99"/>
            </a:gs>
            <a:gs pos="35000">
              <a:srgbClr val="FFFFCC"/>
            </a:gs>
            <a:gs pos="100000">
              <a:srgbClr val="FFFFCC"/>
            </a:gs>
          </a:gsLst>
        </a:gradFill>
        <a:ln>
          <a:solidFill>
            <a:schemeClr val="bg1">
              <a:lumMod val="50000"/>
            </a:schemeClr>
          </a:solidFill>
        </a:ln>
      </xdr:spPr>
      <xdr:style>
        <a:lnRef idx="1">
          <a:schemeClr val="accent3"/>
        </a:lnRef>
        <a:fillRef idx="2">
          <a:schemeClr val="accent3"/>
        </a:fillRef>
        <a:effectRef idx="1">
          <a:schemeClr val="accent3"/>
        </a:effectRef>
        <a:fontRef idx="minor">
          <a:schemeClr val="dk1"/>
        </a:fontRef>
      </xdr:style>
      <xdr:txBody>
        <a:bodyPr vertOverflow="clip" rtlCol="0" anchor="ctr"/>
        <a:lstStyle/>
        <a:p>
          <a:pPr algn="ctr"/>
          <a:r>
            <a:rPr lang="en-US" sz="1100" b="1"/>
            <a:t>Input 1 - Basics</a:t>
          </a:r>
        </a:p>
      </xdr:txBody>
    </xdr:sp>
    <xdr:clientData/>
  </xdr:twoCellAnchor>
  <xdr:twoCellAnchor>
    <xdr:from>
      <xdr:col>4</xdr:col>
      <xdr:colOff>42115</xdr:colOff>
      <xdr:row>1</xdr:row>
      <xdr:rowOff>160564</xdr:rowOff>
    </xdr:from>
    <xdr:to>
      <xdr:col>6</xdr:col>
      <xdr:colOff>33329</xdr:colOff>
      <xdr:row>3</xdr:row>
      <xdr:rowOff>142276</xdr:rowOff>
    </xdr:to>
    <xdr:sp macro="" textlink="">
      <xdr:nvSpPr>
        <xdr:cNvPr id="14" name="Rectangle 13">
          <a:hlinkClick xmlns:r="http://schemas.openxmlformats.org/officeDocument/2006/relationships" r:id="rId3"/>
          <a:extLst>
            <a:ext uri="{FF2B5EF4-FFF2-40B4-BE49-F238E27FC236}">
              <a16:creationId xmlns:a16="http://schemas.microsoft.com/office/drawing/2014/main" id="{00000000-0008-0000-0000-00000E000000}"/>
            </a:ext>
          </a:extLst>
        </xdr:cNvPr>
        <xdr:cNvSpPr/>
      </xdr:nvSpPr>
      <xdr:spPr>
        <a:xfrm>
          <a:off x="3423490" y="351064"/>
          <a:ext cx="1210414" cy="438912"/>
        </a:xfrm>
        <a:prstGeom prst="rect">
          <a:avLst/>
        </a:prstGeom>
        <a:gradFill>
          <a:gsLst>
            <a:gs pos="0">
              <a:srgbClr val="FFFF99"/>
            </a:gs>
            <a:gs pos="35000">
              <a:srgbClr val="FFFFCC"/>
            </a:gs>
            <a:gs pos="100000">
              <a:srgbClr val="FFFFCC"/>
            </a:gs>
          </a:gsLst>
        </a:gradFill>
        <a:ln>
          <a:solidFill>
            <a:schemeClr val="bg1">
              <a:lumMod val="50000"/>
            </a:schemeClr>
          </a:solidFill>
        </a:ln>
      </xdr:spPr>
      <xdr:style>
        <a:lnRef idx="1">
          <a:schemeClr val="accent3"/>
        </a:lnRef>
        <a:fillRef idx="2">
          <a:schemeClr val="accent3"/>
        </a:fillRef>
        <a:effectRef idx="1">
          <a:schemeClr val="accent3"/>
        </a:effectRef>
        <a:fontRef idx="minor">
          <a:schemeClr val="dk1"/>
        </a:fontRef>
      </xdr:style>
      <xdr:txBody>
        <a:bodyPr vertOverflow="clip" rtlCol="0" anchor="ctr"/>
        <a:lstStyle/>
        <a:p>
          <a:pPr algn="ctr"/>
          <a:r>
            <a:rPr lang="en-US" sz="1100" b="1"/>
            <a:t>Input</a:t>
          </a:r>
          <a:r>
            <a:rPr lang="en-US" sz="1100" b="1" baseline="0"/>
            <a:t> 2</a:t>
          </a:r>
          <a:r>
            <a:rPr lang="en-US" sz="1100" b="1"/>
            <a:t> - Data</a:t>
          </a:r>
        </a:p>
      </xdr:txBody>
    </xdr:sp>
    <xdr:clientData/>
  </xdr:twoCellAnchor>
  <xdr:twoCellAnchor>
    <xdr:from>
      <xdr:col>6</xdr:col>
      <xdr:colOff>43496</xdr:colOff>
      <xdr:row>1</xdr:row>
      <xdr:rowOff>160564</xdr:rowOff>
    </xdr:from>
    <xdr:to>
      <xdr:col>8</xdr:col>
      <xdr:colOff>33822</xdr:colOff>
      <xdr:row>3</xdr:row>
      <xdr:rowOff>142276</xdr:rowOff>
    </xdr:to>
    <xdr:sp macro="" textlink="">
      <xdr:nvSpPr>
        <xdr:cNvPr id="15" name="Rectangle 14">
          <a:hlinkClick xmlns:r="http://schemas.openxmlformats.org/officeDocument/2006/relationships" r:id="rId4"/>
          <a:extLst>
            <a:ext uri="{FF2B5EF4-FFF2-40B4-BE49-F238E27FC236}">
              <a16:creationId xmlns:a16="http://schemas.microsoft.com/office/drawing/2014/main" id="{00000000-0008-0000-0000-00000F000000}"/>
            </a:ext>
          </a:extLst>
        </xdr:cNvPr>
        <xdr:cNvSpPr/>
      </xdr:nvSpPr>
      <xdr:spPr>
        <a:xfrm>
          <a:off x="4644071" y="351064"/>
          <a:ext cx="1209526" cy="438912"/>
        </a:xfrm>
        <a:prstGeom prst="rect">
          <a:avLst/>
        </a:prstGeom>
        <a:gradFill>
          <a:gsLst>
            <a:gs pos="0">
              <a:srgbClr val="FFFF99"/>
            </a:gs>
            <a:gs pos="35000">
              <a:srgbClr val="FFFFCC"/>
            </a:gs>
            <a:gs pos="100000">
              <a:srgbClr val="FFFFCC"/>
            </a:gs>
          </a:gsLst>
        </a:gradFill>
        <a:ln>
          <a:solidFill>
            <a:schemeClr val="bg1">
              <a:lumMod val="50000"/>
            </a:schemeClr>
          </a:solidFill>
        </a:ln>
      </xdr:spPr>
      <xdr:style>
        <a:lnRef idx="1">
          <a:schemeClr val="accent3"/>
        </a:lnRef>
        <a:fillRef idx="2">
          <a:schemeClr val="accent3"/>
        </a:fillRef>
        <a:effectRef idx="1">
          <a:schemeClr val="accent3"/>
        </a:effectRef>
        <a:fontRef idx="minor">
          <a:schemeClr val="dk1"/>
        </a:fontRef>
      </xdr:style>
      <xdr:txBody>
        <a:bodyPr vertOverflow="clip" rtlCol="0" anchor="ctr"/>
        <a:lstStyle/>
        <a:p>
          <a:pPr algn="ctr"/>
          <a:r>
            <a:rPr lang="en-US" sz="1100" b="1"/>
            <a:t>Input 3 - Debt and Banking</a:t>
          </a:r>
        </a:p>
      </xdr:txBody>
    </xdr:sp>
    <xdr:clientData/>
  </xdr:twoCellAnchor>
  <xdr:twoCellAnchor>
    <xdr:from>
      <xdr:col>8</xdr:col>
      <xdr:colOff>41694</xdr:colOff>
      <xdr:row>1</xdr:row>
      <xdr:rowOff>160564</xdr:rowOff>
    </xdr:from>
    <xdr:to>
      <xdr:col>10</xdr:col>
      <xdr:colOff>32020</xdr:colOff>
      <xdr:row>3</xdr:row>
      <xdr:rowOff>142276</xdr:rowOff>
    </xdr:to>
    <xdr:sp macro="" textlink="">
      <xdr:nvSpPr>
        <xdr:cNvPr id="16" name="Rectangle 15">
          <a:hlinkClick xmlns:r="http://schemas.openxmlformats.org/officeDocument/2006/relationships" r:id="rId5"/>
          <a:extLst>
            <a:ext uri="{FF2B5EF4-FFF2-40B4-BE49-F238E27FC236}">
              <a16:creationId xmlns:a16="http://schemas.microsoft.com/office/drawing/2014/main" id="{00000000-0008-0000-0000-000010000000}"/>
            </a:ext>
          </a:extLst>
        </xdr:cNvPr>
        <xdr:cNvSpPr/>
      </xdr:nvSpPr>
      <xdr:spPr>
        <a:xfrm>
          <a:off x="5861469" y="351064"/>
          <a:ext cx="1209526" cy="438912"/>
        </a:xfrm>
        <a:prstGeom prst="rect">
          <a:avLst/>
        </a:prstGeom>
        <a:gradFill>
          <a:gsLst>
            <a:gs pos="0">
              <a:srgbClr val="FFFF99"/>
            </a:gs>
            <a:gs pos="35000">
              <a:srgbClr val="FFFFCC"/>
            </a:gs>
            <a:gs pos="100000">
              <a:srgbClr val="FFFFCC"/>
            </a:gs>
          </a:gsLst>
        </a:gradFill>
        <a:ln>
          <a:solidFill>
            <a:schemeClr val="bg1">
              <a:lumMod val="50000"/>
            </a:schemeClr>
          </a:solidFill>
        </a:ln>
      </xdr:spPr>
      <xdr:style>
        <a:lnRef idx="1">
          <a:schemeClr val="accent3"/>
        </a:lnRef>
        <a:fillRef idx="2">
          <a:schemeClr val="accent3"/>
        </a:fillRef>
        <a:effectRef idx="1">
          <a:schemeClr val="accent3"/>
        </a:effectRef>
        <a:fontRef idx="minor">
          <a:schemeClr val="dk1"/>
        </a:fontRef>
      </xdr:style>
      <xdr:txBody>
        <a:bodyPr vertOverflow="clip" rtlCol="0" anchor="ctr"/>
        <a:lstStyle/>
        <a:p>
          <a:pPr algn="ctr"/>
          <a:r>
            <a:rPr lang="en-US" sz="1100" b="1"/>
            <a:t>Input 4 - Forecast</a:t>
          </a:r>
        </a:p>
      </xdr:txBody>
    </xdr:sp>
    <xdr:clientData/>
  </xdr:twoCellAnchor>
  <xdr:twoCellAnchor>
    <xdr:from>
      <xdr:col>10</xdr:col>
      <xdr:colOff>43157</xdr:colOff>
      <xdr:row>1</xdr:row>
      <xdr:rowOff>160564</xdr:rowOff>
    </xdr:from>
    <xdr:to>
      <xdr:col>12</xdr:col>
      <xdr:colOff>33483</xdr:colOff>
      <xdr:row>3</xdr:row>
      <xdr:rowOff>142276</xdr:rowOff>
    </xdr:to>
    <xdr:sp macro="" textlink="">
      <xdr:nvSpPr>
        <xdr:cNvPr id="17" name="Rectangle 16">
          <a:hlinkClick xmlns:r="http://schemas.openxmlformats.org/officeDocument/2006/relationships" r:id="rId6"/>
          <a:extLst>
            <a:ext uri="{FF2B5EF4-FFF2-40B4-BE49-F238E27FC236}">
              <a16:creationId xmlns:a16="http://schemas.microsoft.com/office/drawing/2014/main" id="{00000000-0008-0000-0000-000011000000}"/>
            </a:ext>
          </a:extLst>
        </xdr:cNvPr>
        <xdr:cNvSpPr/>
      </xdr:nvSpPr>
      <xdr:spPr>
        <a:xfrm>
          <a:off x="7082132" y="351064"/>
          <a:ext cx="1209526" cy="438912"/>
        </a:xfrm>
        <a:prstGeom prst="rect">
          <a:avLst/>
        </a:prstGeom>
        <a:gradFill>
          <a:gsLst>
            <a:gs pos="0">
              <a:srgbClr val="FFFF99"/>
            </a:gs>
            <a:gs pos="35000">
              <a:srgbClr val="FFFFCC"/>
            </a:gs>
            <a:gs pos="100000">
              <a:srgbClr val="FFFFCC"/>
            </a:gs>
          </a:gsLst>
        </a:gradFill>
        <a:ln>
          <a:solidFill>
            <a:schemeClr val="bg1">
              <a:lumMod val="50000"/>
            </a:schemeClr>
          </a:solidFill>
        </a:ln>
      </xdr:spPr>
      <xdr:style>
        <a:lnRef idx="1">
          <a:schemeClr val="accent3"/>
        </a:lnRef>
        <a:fillRef idx="2">
          <a:schemeClr val="accent3"/>
        </a:fillRef>
        <a:effectRef idx="1">
          <a:schemeClr val="accent3"/>
        </a:effectRef>
        <a:fontRef idx="minor">
          <a:schemeClr val="dk1"/>
        </a:fontRef>
      </xdr:style>
      <xdr:txBody>
        <a:bodyPr vertOverflow="clip" rtlCol="0" anchor="ctr"/>
        <a:lstStyle/>
        <a:p>
          <a:pPr algn="ctr"/>
          <a:r>
            <a:rPr lang="en-US" sz="1100" b="1"/>
            <a:t>Input 5 - Scenario Design</a:t>
          </a:r>
        </a:p>
      </xdr:txBody>
    </xdr:sp>
    <xdr:clientData/>
  </xdr:twoCellAnchor>
  <xdr:twoCellAnchor>
    <xdr:from>
      <xdr:col>12</xdr:col>
      <xdr:colOff>37922</xdr:colOff>
      <xdr:row>1</xdr:row>
      <xdr:rowOff>160564</xdr:rowOff>
    </xdr:from>
    <xdr:to>
      <xdr:col>14</xdr:col>
      <xdr:colOff>28247</xdr:colOff>
      <xdr:row>3</xdr:row>
      <xdr:rowOff>142276</xdr:rowOff>
    </xdr:to>
    <xdr:sp macro="" textlink="">
      <xdr:nvSpPr>
        <xdr:cNvPr id="18" name="Rectangle 17">
          <a:hlinkClick xmlns:r="http://schemas.openxmlformats.org/officeDocument/2006/relationships" r:id="rId7"/>
          <a:extLst>
            <a:ext uri="{FF2B5EF4-FFF2-40B4-BE49-F238E27FC236}">
              <a16:creationId xmlns:a16="http://schemas.microsoft.com/office/drawing/2014/main" id="{00000000-0008-0000-0000-000012000000}"/>
            </a:ext>
          </a:extLst>
        </xdr:cNvPr>
        <xdr:cNvSpPr/>
      </xdr:nvSpPr>
      <xdr:spPr>
        <a:xfrm>
          <a:off x="8296097" y="351064"/>
          <a:ext cx="1209525" cy="438912"/>
        </a:xfrm>
        <a:prstGeom prst="rect">
          <a:avLst/>
        </a:prstGeom>
        <a:gradFill>
          <a:gsLst>
            <a:gs pos="0">
              <a:srgbClr val="FFFF99"/>
            </a:gs>
            <a:gs pos="35000">
              <a:srgbClr val="FFFFCC"/>
            </a:gs>
            <a:gs pos="100000">
              <a:srgbClr val="FFFFCC"/>
            </a:gs>
          </a:gsLst>
        </a:gradFill>
        <a:ln>
          <a:solidFill>
            <a:schemeClr val="bg1">
              <a:lumMod val="50000"/>
            </a:schemeClr>
          </a:solidFill>
        </a:ln>
      </xdr:spPr>
      <xdr:style>
        <a:lnRef idx="1">
          <a:schemeClr val="accent3"/>
        </a:lnRef>
        <a:fillRef idx="2">
          <a:schemeClr val="accent3"/>
        </a:fillRef>
        <a:effectRef idx="1">
          <a:schemeClr val="accent3"/>
        </a:effectRef>
        <a:fontRef idx="minor">
          <a:schemeClr val="dk1"/>
        </a:fontRef>
      </xdr:style>
      <xdr:txBody>
        <a:bodyPr vertOverflow="clip" rtlCol="0" anchor="ctr"/>
        <a:lstStyle/>
        <a:p>
          <a:pPr algn="ctr"/>
          <a:r>
            <a:rPr lang="en-US" sz="1100" b="1"/>
            <a:t>Fan Chart</a:t>
          </a:r>
        </a:p>
      </xdr:txBody>
    </xdr:sp>
    <xdr:clientData/>
  </xdr:twoCellAnchor>
  <xdr:twoCellAnchor editAs="oneCell">
    <xdr:from>
      <xdr:col>8</xdr:col>
      <xdr:colOff>111125</xdr:colOff>
      <xdr:row>7</xdr:row>
      <xdr:rowOff>174625</xdr:rowOff>
    </xdr:from>
    <xdr:to>
      <xdr:col>17</xdr:col>
      <xdr:colOff>144212</xdr:colOff>
      <xdr:row>23</xdr:row>
      <xdr:rowOff>53975</xdr:rowOff>
    </xdr:to>
    <xdr:pic>
      <xdr:nvPicPr>
        <xdr:cNvPr id="243713" name="Picture 1">
          <a:extLst>
            <a:ext uri="{FF2B5EF4-FFF2-40B4-BE49-F238E27FC236}">
              <a16:creationId xmlns:a16="http://schemas.microsoft.com/office/drawing/2014/main" id="{00000000-0008-0000-0000-000001B80300}"/>
            </a:ext>
          </a:extLst>
        </xdr:cNvPr>
        <xdr:cNvPicPr>
          <a:picLocks noChangeAspect="1" noChangeArrowheads="1"/>
        </xdr:cNvPicPr>
      </xdr:nvPicPr>
      <xdr:blipFill>
        <a:blip xmlns:r="http://schemas.openxmlformats.org/officeDocument/2006/relationships" r:embed="rId8" cstate="print"/>
        <a:srcRect/>
        <a:stretch>
          <a:fillRect/>
        </a:stretch>
      </xdr:blipFill>
      <xdr:spPr bwMode="auto">
        <a:xfrm>
          <a:off x="5930900" y="1641475"/>
          <a:ext cx="5519487" cy="4137025"/>
        </a:xfrm>
        <a:prstGeom prst="rect">
          <a:avLst/>
        </a:prstGeom>
        <a:noFill/>
        <a:ln w="1">
          <a:noFill/>
          <a:miter lim="800000"/>
          <a:headEnd/>
          <a:tailEnd type="none" w="med" len="med"/>
        </a:ln>
        <a:effectLst/>
      </xdr:spPr>
    </xdr:pic>
    <xdr:clientData/>
  </xdr:twoCellAnchor>
</xdr:wsDr>
</file>

<file path=xl/drawings/drawing10.xml><?xml version="1.0" encoding="utf-8"?>
<c:userShapes xmlns:c="http://schemas.openxmlformats.org/drawingml/2006/chart">
  <cdr:relSizeAnchor xmlns:cdr="http://schemas.openxmlformats.org/drawingml/2006/chartDrawing">
    <cdr:from>
      <cdr:x>0.12593</cdr:x>
      <cdr:y>0.07175</cdr:y>
    </cdr:from>
    <cdr:to>
      <cdr:x>0.92131</cdr:x>
      <cdr:y>0.17666</cdr:y>
    </cdr:to>
    <cdr:sp macro="" textlink="'Input 5 - Scenario Design'!$R$31">
      <cdr:nvSpPr>
        <cdr:cNvPr id="2" name="TextBox 1">
          <a:extLst xmlns:a="http://schemas.openxmlformats.org/drawingml/2006/main">
            <a:ext uri="{FF2B5EF4-FFF2-40B4-BE49-F238E27FC236}">
              <a16:creationId xmlns:a16="http://schemas.microsoft.com/office/drawing/2014/main" id="{7F091D30-DCCA-4FD1-A3FB-7CB5A5D8950C}"/>
            </a:ext>
          </a:extLst>
        </cdr:cNvPr>
        <cdr:cNvSpPr txBox="1"/>
      </cdr:nvSpPr>
      <cdr:spPr>
        <a:xfrm xmlns:a="http://schemas.openxmlformats.org/drawingml/2006/main">
          <a:off x="381000" y="154782"/>
          <a:ext cx="2406387" cy="22629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53349BD-83E8-4EB8-BB5C-C7FFB9ADA5B1}" type="TxLink">
            <a:rPr lang="en-US" sz="1200" b="1" i="0" u="none" strike="noStrike">
              <a:solidFill>
                <a:srgbClr val="000000"/>
              </a:solidFill>
              <a:latin typeface="Calibri"/>
              <a:cs typeface="Calibri"/>
            </a:rPr>
            <a:pPr/>
            <a:t>Gross Financing Need-to-GDP</a:t>
          </a:fld>
          <a:endParaRPr lang="en-US" sz="1100"/>
        </a:p>
      </cdr:txBody>
    </cdr:sp>
  </cdr:relSizeAnchor>
</c:userShapes>
</file>

<file path=xl/drawings/drawing11.xml><?xml version="1.0" encoding="utf-8"?>
<c:userShapes xmlns:c="http://schemas.openxmlformats.org/drawingml/2006/chart">
  <cdr:relSizeAnchor xmlns:cdr="http://schemas.openxmlformats.org/drawingml/2006/chartDrawing">
    <cdr:from>
      <cdr:x>0.14514</cdr:x>
      <cdr:y>0.07138</cdr:y>
    </cdr:from>
    <cdr:to>
      <cdr:x>0.86656</cdr:x>
      <cdr:y>0.1812</cdr:y>
    </cdr:to>
    <cdr:sp macro="" textlink="'Input 5 - Scenario Design'!$M$31">
      <cdr:nvSpPr>
        <cdr:cNvPr id="2" name="TextBox 1">
          <a:extLst xmlns:a="http://schemas.openxmlformats.org/drawingml/2006/main">
            <a:ext uri="{FF2B5EF4-FFF2-40B4-BE49-F238E27FC236}">
              <a16:creationId xmlns:a16="http://schemas.microsoft.com/office/drawing/2014/main" id="{953E70AE-2A72-43A2-813A-3DB0FDC29B05}"/>
            </a:ext>
          </a:extLst>
        </cdr:cNvPr>
        <cdr:cNvSpPr txBox="1"/>
      </cdr:nvSpPr>
      <cdr:spPr>
        <a:xfrm xmlns:a="http://schemas.openxmlformats.org/drawingml/2006/main">
          <a:off x="404813" y="154781"/>
          <a:ext cx="2012157"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8D7C834-A6D5-4510-B9FF-85367A7A6C6B}" type="TxLink">
            <a:rPr lang="en-US" sz="1200" b="1" i="0" u="none" strike="noStrike">
              <a:solidFill>
                <a:srgbClr val="000000"/>
              </a:solidFill>
              <a:latin typeface="Calibri"/>
              <a:cs typeface="Calibri"/>
            </a:rPr>
            <a:pPr/>
            <a:t>Nominal Debt-to-GDP</a:t>
          </a:fld>
          <a:endParaRPr lang="en-US" sz="1100"/>
        </a:p>
      </cdr:txBody>
    </cdr:sp>
  </cdr:relSizeAnchor>
</c:userShapes>
</file>

<file path=xl/drawings/drawing12.xml><?xml version="1.0" encoding="utf-8"?>
<c:userShapes xmlns:c="http://schemas.openxmlformats.org/drawingml/2006/chart">
  <cdr:relSizeAnchor xmlns:cdr="http://schemas.openxmlformats.org/drawingml/2006/chartDrawing">
    <cdr:from>
      <cdr:x>0.12987</cdr:x>
      <cdr:y>0.06064</cdr:y>
    </cdr:from>
    <cdr:to>
      <cdr:x>0.92525</cdr:x>
      <cdr:y>0.16542</cdr:y>
    </cdr:to>
    <cdr:sp macro="" textlink="'Input 5 - Scenario Design'!$R$31">
      <cdr:nvSpPr>
        <cdr:cNvPr id="2" name="TextBox 1">
          <a:extLst xmlns:a="http://schemas.openxmlformats.org/drawingml/2006/main">
            <a:ext uri="{FF2B5EF4-FFF2-40B4-BE49-F238E27FC236}">
              <a16:creationId xmlns:a16="http://schemas.microsoft.com/office/drawing/2014/main" id="{5320550F-71C5-499A-8886-671860086A15}"/>
            </a:ext>
          </a:extLst>
        </cdr:cNvPr>
        <cdr:cNvSpPr txBox="1"/>
      </cdr:nvSpPr>
      <cdr:spPr>
        <a:xfrm xmlns:a="http://schemas.openxmlformats.org/drawingml/2006/main">
          <a:off x="392906" y="130969"/>
          <a:ext cx="2406387" cy="22629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6E8A738-0CFE-42CC-B9BF-EA4D55B842FF}" type="TxLink">
            <a:rPr lang="en-US" sz="1200" b="1" i="0" u="none" strike="noStrike">
              <a:solidFill>
                <a:srgbClr val="000000"/>
              </a:solidFill>
              <a:latin typeface="Calibri"/>
              <a:cs typeface="Calibri"/>
            </a:rPr>
            <a:pPr/>
            <a:t>Gross Financing Need-to-GDP</a:t>
          </a:fld>
          <a:endParaRPr lang="en-US" sz="1100"/>
        </a:p>
      </cdr:txBody>
    </cdr:sp>
  </cdr:relSizeAnchor>
</c:userShapes>
</file>

<file path=xl/drawings/drawing13.xml><?xml version="1.0" encoding="utf-8"?>
<c:userShapes xmlns:c="http://schemas.openxmlformats.org/drawingml/2006/chart">
  <cdr:relSizeAnchor xmlns:cdr="http://schemas.openxmlformats.org/drawingml/2006/chartDrawing">
    <cdr:from>
      <cdr:x>0.1528</cdr:x>
      <cdr:y>0.07687</cdr:y>
    </cdr:from>
    <cdr:to>
      <cdr:x>0.87012</cdr:x>
      <cdr:y>0.18669</cdr:y>
    </cdr:to>
    <cdr:sp macro="" textlink="'Input 5 - Scenario Design'!$M$31">
      <cdr:nvSpPr>
        <cdr:cNvPr id="2" name="TextBox 1">
          <a:extLst xmlns:a="http://schemas.openxmlformats.org/drawingml/2006/main">
            <a:ext uri="{FF2B5EF4-FFF2-40B4-BE49-F238E27FC236}">
              <a16:creationId xmlns:a16="http://schemas.microsoft.com/office/drawing/2014/main" id="{6EAE1633-4F58-4C26-97BE-C6ACED545824}"/>
            </a:ext>
          </a:extLst>
        </cdr:cNvPr>
        <cdr:cNvSpPr txBox="1"/>
      </cdr:nvSpPr>
      <cdr:spPr>
        <a:xfrm xmlns:a="http://schemas.openxmlformats.org/drawingml/2006/main">
          <a:off x="428625" y="166687"/>
          <a:ext cx="2012157"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AD0D89CC-9BE3-4839-B674-489498BAFF2D}" type="TxLink">
            <a:rPr lang="en-US" sz="1200" b="1" i="0" u="none" strike="noStrike">
              <a:solidFill>
                <a:srgbClr val="000000"/>
              </a:solidFill>
              <a:latin typeface="Calibri"/>
              <a:cs typeface="Calibri"/>
            </a:rPr>
            <a:pPr/>
            <a:t>Nominal Debt-to-GDP</a:t>
          </a:fld>
          <a:endParaRPr lang="en-US" sz="1100"/>
        </a:p>
      </cdr:txBody>
    </cdr:sp>
  </cdr:relSizeAnchor>
</c:userShapes>
</file>

<file path=xl/drawings/drawing14.xml><?xml version="1.0" encoding="utf-8"?>
<c:userShapes xmlns:c="http://schemas.openxmlformats.org/drawingml/2006/chart">
  <cdr:relSizeAnchor xmlns:cdr="http://schemas.openxmlformats.org/drawingml/2006/chartDrawing">
    <cdr:from>
      <cdr:x>0.12577</cdr:x>
      <cdr:y>0.06615</cdr:y>
    </cdr:from>
    <cdr:to>
      <cdr:x>0.9201</cdr:x>
      <cdr:y>0.17093</cdr:y>
    </cdr:to>
    <cdr:sp macro="" textlink="'Input 5 - Scenario Design'!$R$31">
      <cdr:nvSpPr>
        <cdr:cNvPr id="2" name="TextBox 1">
          <a:extLst xmlns:a="http://schemas.openxmlformats.org/drawingml/2006/main">
            <a:ext uri="{FF2B5EF4-FFF2-40B4-BE49-F238E27FC236}">
              <a16:creationId xmlns:a16="http://schemas.microsoft.com/office/drawing/2014/main" id="{5F081F1A-9611-42A7-BDFA-D05A90A159C9}"/>
            </a:ext>
          </a:extLst>
        </cdr:cNvPr>
        <cdr:cNvSpPr txBox="1"/>
      </cdr:nvSpPr>
      <cdr:spPr>
        <a:xfrm xmlns:a="http://schemas.openxmlformats.org/drawingml/2006/main">
          <a:off x="381000" y="142875"/>
          <a:ext cx="2406387" cy="22629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FE3DDEF-F8F1-4B37-98C4-D3ADBD49FD79}" type="TxLink">
            <a:rPr lang="en-US" sz="1200" b="1" i="0" u="none" strike="noStrike">
              <a:solidFill>
                <a:srgbClr val="000000"/>
              </a:solidFill>
              <a:latin typeface="Calibri"/>
              <a:cs typeface="Calibri"/>
            </a:rPr>
            <a:pPr/>
            <a:t>Gross Financing Need-to-GDP</a:t>
          </a:fld>
          <a:endParaRPr lang="en-US" sz="1100"/>
        </a:p>
      </cdr:txBody>
    </cdr:sp>
  </cdr:relSizeAnchor>
</c:userShapes>
</file>

<file path=xl/drawings/drawing15.xml><?xml version="1.0" encoding="utf-8"?>
<c:userShapes xmlns:c="http://schemas.openxmlformats.org/drawingml/2006/chart">
  <cdr:relSizeAnchor xmlns:cdr="http://schemas.openxmlformats.org/drawingml/2006/chartDrawing">
    <cdr:from>
      <cdr:x>0.14755</cdr:x>
      <cdr:y>0.08236</cdr:y>
    </cdr:from>
    <cdr:to>
      <cdr:x>0.86003</cdr:x>
      <cdr:y>0.19218</cdr:y>
    </cdr:to>
    <cdr:sp macro="" textlink="'Input 5 - Scenario Design'!$M$31">
      <cdr:nvSpPr>
        <cdr:cNvPr id="2" name="TextBox 1">
          <a:extLst xmlns:a="http://schemas.openxmlformats.org/drawingml/2006/main">
            <a:ext uri="{FF2B5EF4-FFF2-40B4-BE49-F238E27FC236}">
              <a16:creationId xmlns:a16="http://schemas.microsoft.com/office/drawing/2014/main" id="{7B37342E-285C-45EB-8C04-B076B9BD4348}"/>
            </a:ext>
          </a:extLst>
        </cdr:cNvPr>
        <cdr:cNvSpPr txBox="1"/>
      </cdr:nvSpPr>
      <cdr:spPr>
        <a:xfrm xmlns:a="http://schemas.openxmlformats.org/drawingml/2006/main">
          <a:off x="416719" y="178594"/>
          <a:ext cx="2012157"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2422C1C5-6A99-4074-9E1B-F15EF4F8000E}" type="TxLink">
            <a:rPr lang="en-US" sz="1200" b="1" i="0" u="none" strike="noStrike">
              <a:solidFill>
                <a:srgbClr val="000000"/>
              </a:solidFill>
              <a:latin typeface="Calibri"/>
              <a:cs typeface="Calibri"/>
            </a:rPr>
            <a:pPr/>
            <a:t>Nominal Debt-to-GDP</a:t>
          </a:fld>
          <a:endParaRPr lang="en-US" sz="1100"/>
        </a:p>
      </cdr:txBody>
    </cdr:sp>
  </cdr:relSizeAnchor>
</c:userShapes>
</file>

<file path=xl/drawings/drawing16.xml><?xml version="1.0" encoding="utf-8"?>
<c:userShapes xmlns:c="http://schemas.openxmlformats.org/drawingml/2006/chart">
  <cdr:relSizeAnchor xmlns:cdr="http://schemas.openxmlformats.org/drawingml/2006/chartDrawing">
    <cdr:from>
      <cdr:x>0.12992</cdr:x>
      <cdr:y>0.06078</cdr:y>
    </cdr:from>
    <cdr:to>
      <cdr:x>0.92565</cdr:x>
      <cdr:y>0.16579</cdr:y>
    </cdr:to>
    <cdr:sp macro="" textlink="'Input 5 - Scenario Design'!$R$31">
      <cdr:nvSpPr>
        <cdr:cNvPr id="2" name="TextBox 1">
          <a:extLst xmlns:a="http://schemas.openxmlformats.org/drawingml/2006/main">
            <a:ext uri="{FF2B5EF4-FFF2-40B4-BE49-F238E27FC236}">
              <a16:creationId xmlns:a16="http://schemas.microsoft.com/office/drawing/2014/main" id="{8825C104-FDB0-42D4-8711-CC9BA856EE35}"/>
            </a:ext>
          </a:extLst>
        </cdr:cNvPr>
        <cdr:cNvSpPr txBox="1"/>
      </cdr:nvSpPr>
      <cdr:spPr>
        <a:xfrm xmlns:a="http://schemas.openxmlformats.org/drawingml/2006/main">
          <a:off x="392907" y="130969"/>
          <a:ext cx="2406387" cy="22629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1C3161C-3EB0-4BA6-BD99-663DCB4966D8}" type="TxLink">
            <a:rPr lang="en-US" sz="1200" b="1" i="0" u="none" strike="noStrike">
              <a:solidFill>
                <a:srgbClr val="000000"/>
              </a:solidFill>
              <a:latin typeface="Calibri"/>
              <a:cs typeface="Calibri"/>
            </a:rPr>
            <a:pPr/>
            <a:t>Gross Financing Need-to-GDP</a:t>
          </a:fld>
          <a:endParaRPr lang="en-US" sz="1100"/>
        </a:p>
      </cdr:txBody>
    </cdr:sp>
  </cdr:relSizeAnchor>
</c:userShapes>
</file>

<file path=xl/drawings/drawing17.xml><?xml version="1.0" encoding="utf-8"?>
<c:userShapes xmlns:c="http://schemas.openxmlformats.org/drawingml/2006/chart">
  <cdr:relSizeAnchor xmlns:cdr="http://schemas.openxmlformats.org/drawingml/2006/chartDrawing">
    <cdr:from>
      <cdr:x>0.15377</cdr:x>
      <cdr:y>0.07138</cdr:y>
    </cdr:from>
    <cdr:to>
      <cdr:x>0.87563</cdr:x>
      <cdr:y>0.1812</cdr:y>
    </cdr:to>
    <cdr:sp macro="" textlink="'Input 5 - Scenario Design'!$M$31">
      <cdr:nvSpPr>
        <cdr:cNvPr id="2" name="TextBox 1">
          <a:extLst xmlns:a="http://schemas.openxmlformats.org/drawingml/2006/main">
            <a:ext uri="{FF2B5EF4-FFF2-40B4-BE49-F238E27FC236}">
              <a16:creationId xmlns:a16="http://schemas.microsoft.com/office/drawing/2014/main" id="{788264EE-DA2A-4678-9B9F-1C8740BF3810}"/>
            </a:ext>
          </a:extLst>
        </cdr:cNvPr>
        <cdr:cNvSpPr txBox="1"/>
      </cdr:nvSpPr>
      <cdr:spPr>
        <a:xfrm xmlns:a="http://schemas.openxmlformats.org/drawingml/2006/main">
          <a:off x="428625" y="154781"/>
          <a:ext cx="2012157"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5572583-B7B7-4658-AAA1-A289A67993BC}" type="TxLink">
            <a:rPr lang="en-US" sz="1200" b="1" i="0" u="none" strike="noStrike">
              <a:solidFill>
                <a:srgbClr val="000000"/>
              </a:solidFill>
              <a:latin typeface="Calibri"/>
              <a:cs typeface="Calibri"/>
            </a:rPr>
            <a:pPr/>
            <a:t>Nominal Debt-to-GDP</a:t>
          </a:fld>
          <a:endParaRPr lang="en-US" sz="1100"/>
        </a:p>
      </cdr:txBody>
    </cdr:sp>
  </cdr:relSizeAnchor>
</c:userShapes>
</file>

<file path=xl/drawings/drawing18.xml><?xml version="1.0" encoding="utf-8"?>
<c:userShapes xmlns:c="http://schemas.openxmlformats.org/drawingml/2006/chart">
  <cdr:relSizeAnchor xmlns:cdr="http://schemas.openxmlformats.org/drawingml/2006/chartDrawing">
    <cdr:from>
      <cdr:x>0.1297</cdr:x>
      <cdr:y>0.06615</cdr:y>
    </cdr:from>
    <cdr:to>
      <cdr:x>0.92403</cdr:x>
      <cdr:y>0.17093</cdr:y>
    </cdr:to>
    <cdr:sp macro="" textlink="'Input 5 - Scenario Design'!$R$31">
      <cdr:nvSpPr>
        <cdr:cNvPr id="2" name="TextBox 1">
          <a:extLst xmlns:a="http://schemas.openxmlformats.org/drawingml/2006/main">
            <a:ext uri="{FF2B5EF4-FFF2-40B4-BE49-F238E27FC236}">
              <a16:creationId xmlns:a16="http://schemas.microsoft.com/office/drawing/2014/main" id="{12400E00-47D8-4796-925C-12D3EA116705}"/>
            </a:ext>
          </a:extLst>
        </cdr:cNvPr>
        <cdr:cNvSpPr txBox="1"/>
      </cdr:nvSpPr>
      <cdr:spPr>
        <a:xfrm xmlns:a="http://schemas.openxmlformats.org/drawingml/2006/main">
          <a:off x="392906" y="142875"/>
          <a:ext cx="2406387" cy="22629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0AB9EAB-1820-402F-9BC5-D64EB4056FB9}" type="TxLink">
            <a:rPr lang="en-US" sz="1200" b="1" i="0" u="none" strike="noStrike">
              <a:solidFill>
                <a:srgbClr val="000000"/>
              </a:solidFill>
              <a:latin typeface="Calibri"/>
              <a:cs typeface="Calibri"/>
            </a:rPr>
            <a:pPr/>
            <a:t>Gross Financing Need-to-GDP</a:t>
          </a:fld>
          <a:endParaRPr lang="en-US" sz="1100"/>
        </a:p>
      </cdr:txBody>
    </cdr:sp>
  </cdr:relSizeAnchor>
</c:userShapes>
</file>

<file path=xl/drawings/drawing19.xml><?xml version="1.0" encoding="utf-8"?>
<c:userShapes xmlns:c="http://schemas.openxmlformats.org/drawingml/2006/chart">
  <cdr:relSizeAnchor xmlns:cdr="http://schemas.openxmlformats.org/drawingml/2006/chartDrawing">
    <cdr:from>
      <cdr:x>0.15804</cdr:x>
      <cdr:y>0.07687</cdr:y>
    </cdr:from>
    <cdr:to>
      <cdr:x>0.87991</cdr:x>
      <cdr:y>0.18669</cdr:y>
    </cdr:to>
    <cdr:sp macro="" textlink="'Input 5 - Scenario Design'!$M$31">
      <cdr:nvSpPr>
        <cdr:cNvPr id="2" name="TextBox 1">
          <a:extLst xmlns:a="http://schemas.openxmlformats.org/drawingml/2006/main">
            <a:ext uri="{FF2B5EF4-FFF2-40B4-BE49-F238E27FC236}">
              <a16:creationId xmlns:a16="http://schemas.microsoft.com/office/drawing/2014/main" id="{3E2ABFCC-3F97-4A5E-AFEB-0D1106536913}"/>
            </a:ext>
          </a:extLst>
        </cdr:cNvPr>
        <cdr:cNvSpPr txBox="1"/>
      </cdr:nvSpPr>
      <cdr:spPr>
        <a:xfrm xmlns:a="http://schemas.openxmlformats.org/drawingml/2006/main">
          <a:off x="440531" y="166688"/>
          <a:ext cx="2012157"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3D864E7-E82D-475B-9C84-06373E45F159}" type="TxLink">
            <a:rPr lang="en-US" sz="1200" b="1" i="0" u="none" strike="noStrike">
              <a:solidFill>
                <a:srgbClr val="000000"/>
              </a:solidFill>
              <a:latin typeface="Calibri"/>
              <a:cs typeface="Calibri"/>
            </a:rPr>
            <a:pPr/>
            <a:t>Nominal Debt-to-GDP</a:t>
          </a:fld>
          <a:endParaRPr lang="en-US" sz="1100"/>
        </a:p>
      </cdr:txBody>
    </cdr:sp>
  </cdr:relSizeAnchor>
</c:userShapes>
</file>

<file path=xl/drawings/drawing2.xml><?xml version="1.0" encoding="utf-8"?>
<xdr:wsDr xmlns:xdr="http://schemas.openxmlformats.org/drawingml/2006/spreadsheetDrawing" xmlns:a="http://schemas.openxmlformats.org/drawingml/2006/main">
  <xdr:twoCellAnchor>
    <xdr:from>
      <xdr:col>12</xdr:col>
      <xdr:colOff>15128</xdr:colOff>
      <xdr:row>31</xdr:row>
      <xdr:rowOff>9072</xdr:rowOff>
    </xdr:from>
    <xdr:to>
      <xdr:col>16</xdr:col>
      <xdr:colOff>446943</xdr:colOff>
      <xdr:row>39</xdr:row>
      <xdr:rowOff>23966</xdr:rowOff>
    </xdr:to>
    <xdr:graphicFrame macro="">
      <xdr:nvGraphicFramePr>
        <xdr:cNvPr id="4" name="Chart 3">
          <a:extLst>
            <a:ext uri="{FF2B5EF4-FFF2-40B4-BE49-F238E27FC236}">
              <a16:creationId xmlns:a16="http://schemas.microsoft.com/office/drawing/2014/main" id="{00000000-0008-0000-05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10582</xdr:colOff>
      <xdr:row>31</xdr:row>
      <xdr:rowOff>11827</xdr:rowOff>
    </xdr:from>
    <xdr:to>
      <xdr:col>22</xdr:col>
      <xdr:colOff>116417</xdr:colOff>
      <xdr:row>39</xdr:row>
      <xdr:rowOff>42333</xdr:rowOff>
    </xdr:to>
    <xdr:graphicFrame macro="">
      <xdr:nvGraphicFramePr>
        <xdr:cNvPr id="18" name="Chart 17">
          <a:extLst>
            <a:ext uri="{FF2B5EF4-FFF2-40B4-BE49-F238E27FC236}">
              <a16:creationId xmlns:a16="http://schemas.microsoft.com/office/drawing/2014/main" id="{00000000-0008-0000-05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11206</xdr:colOff>
      <xdr:row>41</xdr:row>
      <xdr:rowOff>33620</xdr:rowOff>
    </xdr:from>
    <xdr:to>
      <xdr:col>16</xdr:col>
      <xdr:colOff>466724</xdr:colOff>
      <xdr:row>49</xdr:row>
      <xdr:rowOff>145676</xdr:rowOff>
    </xdr:to>
    <xdr:graphicFrame macro="">
      <xdr:nvGraphicFramePr>
        <xdr:cNvPr id="20" name="Chart 19">
          <a:extLst>
            <a:ext uri="{FF2B5EF4-FFF2-40B4-BE49-F238E27FC236}">
              <a16:creationId xmlns:a16="http://schemas.microsoft.com/office/drawing/2014/main" id="{00000000-0008-0000-0500-00001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579903</xdr:colOff>
      <xdr:row>41</xdr:row>
      <xdr:rowOff>33618</xdr:rowOff>
    </xdr:from>
    <xdr:to>
      <xdr:col>22</xdr:col>
      <xdr:colOff>104923</xdr:colOff>
      <xdr:row>49</xdr:row>
      <xdr:rowOff>137302</xdr:rowOff>
    </xdr:to>
    <xdr:graphicFrame macro="">
      <xdr:nvGraphicFramePr>
        <xdr:cNvPr id="21" name="Chart 20">
          <a:extLst>
            <a:ext uri="{FF2B5EF4-FFF2-40B4-BE49-F238E27FC236}">
              <a16:creationId xmlns:a16="http://schemas.microsoft.com/office/drawing/2014/main" id="{00000000-0008-0000-0500-00001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0</xdr:colOff>
      <xdr:row>61</xdr:row>
      <xdr:rowOff>11205</xdr:rowOff>
    </xdr:from>
    <xdr:to>
      <xdr:col>16</xdr:col>
      <xdr:colOff>455518</xdr:colOff>
      <xdr:row>69</xdr:row>
      <xdr:rowOff>168087</xdr:rowOff>
    </xdr:to>
    <xdr:graphicFrame macro="">
      <xdr:nvGraphicFramePr>
        <xdr:cNvPr id="8" name="Chart 7">
          <a:extLst>
            <a:ext uri="{FF2B5EF4-FFF2-40B4-BE49-F238E27FC236}">
              <a16:creationId xmlns:a16="http://schemas.microsoft.com/office/drawing/2014/main" id="{00000000-0008-0000-05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16</xdr:col>
      <xdr:colOff>578222</xdr:colOff>
      <xdr:row>61</xdr:row>
      <xdr:rowOff>11203</xdr:rowOff>
    </xdr:from>
    <xdr:to>
      <xdr:col>22</xdr:col>
      <xdr:colOff>103242</xdr:colOff>
      <xdr:row>69</xdr:row>
      <xdr:rowOff>159533</xdr:rowOff>
    </xdr:to>
    <xdr:graphicFrame macro="">
      <xdr:nvGraphicFramePr>
        <xdr:cNvPr id="9" name="Chart 8">
          <a:extLst>
            <a:ext uri="{FF2B5EF4-FFF2-40B4-BE49-F238E27FC236}">
              <a16:creationId xmlns:a16="http://schemas.microsoft.com/office/drawing/2014/main" id="{00000000-0008-0000-05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238125</xdr:colOff>
      <xdr:row>71</xdr:row>
      <xdr:rowOff>0</xdr:rowOff>
    </xdr:from>
    <xdr:to>
      <xdr:col>16</xdr:col>
      <xdr:colOff>444311</xdr:colOff>
      <xdr:row>79</xdr:row>
      <xdr:rowOff>168088</xdr:rowOff>
    </xdr:to>
    <xdr:graphicFrame macro="">
      <xdr:nvGraphicFramePr>
        <xdr:cNvPr id="11" name="Chart 10">
          <a:extLst>
            <a:ext uri="{FF2B5EF4-FFF2-40B4-BE49-F238E27FC236}">
              <a16:creationId xmlns:a16="http://schemas.microsoft.com/office/drawing/2014/main" id="{00000000-0008-0000-05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576540</xdr:colOff>
      <xdr:row>70</xdr:row>
      <xdr:rowOff>74082</xdr:rowOff>
    </xdr:from>
    <xdr:to>
      <xdr:col>22</xdr:col>
      <xdr:colOff>101560</xdr:colOff>
      <xdr:row>79</xdr:row>
      <xdr:rowOff>159490</xdr:rowOff>
    </xdr:to>
    <xdr:graphicFrame macro="">
      <xdr:nvGraphicFramePr>
        <xdr:cNvPr id="12" name="Chart 11">
          <a:extLst>
            <a:ext uri="{FF2B5EF4-FFF2-40B4-BE49-F238E27FC236}">
              <a16:creationId xmlns:a16="http://schemas.microsoft.com/office/drawing/2014/main" id="{00000000-0008-0000-05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0</xdr:colOff>
      <xdr:row>81</xdr:row>
      <xdr:rowOff>11207</xdr:rowOff>
    </xdr:from>
    <xdr:to>
      <xdr:col>16</xdr:col>
      <xdr:colOff>455518</xdr:colOff>
      <xdr:row>89</xdr:row>
      <xdr:rowOff>179294</xdr:rowOff>
    </xdr:to>
    <xdr:graphicFrame macro="">
      <xdr:nvGraphicFramePr>
        <xdr:cNvPr id="14" name="Chart 13">
          <a:extLst>
            <a:ext uri="{FF2B5EF4-FFF2-40B4-BE49-F238E27FC236}">
              <a16:creationId xmlns:a16="http://schemas.microsoft.com/office/drawing/2014/main" id="{00000000-0008-0000-05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16</xdr:col>
      <xdr:colOff>578222</xdr:colOff>
      <xdr:row>81</xdr:row>
      <xdr:rowOff>11206</xdr:rowOff>
    </xdr:from>
    <xdr:to>
      <xdr:col>22</xdr:col>
      <xdr:colOff>103242</xdr:colOff>
      <xdr:row>89</xdr:row>
      <xdr:rowOff>170696</xdr:rowOff>
    </xdr:to>
    <xdr:graphicFrame macro="">
      <xdr:nvGraphicFramePr>
        <xdr:cNvPr id="15" name="Chart 14">
          <a:extLst>
            <a:ext uri="{FF2B5EF4-FFF2-40B4-BE49-F238E27FC236}">
              <a16:creationId xmlns:a16="http://schemas.microsoft.com/office/drawing/2014/main" id="{00000000-0008-0000-05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33338</xdr:colOff>
      <xdr:row>131</xdr:row>
      <xdr:rowOff>26195</xdr:rowOff>
    </xdr:from>
    <xdr:to>
      <xdr:col>16</xdr:col>
      <xdr:colOff>504826</xdr:colOff>
      <xdr:row>139</xdr:row>
      <xdr:rowOff>194282</xdr:rowOff>
    </xdr:to>
    <xdr:graphicFrame macro="">
      <xdr:nvGraphicFramePr>
        <xdr:cNvPr id="25" name="Chart 24">
          <a:extLst>
            <a:ext uri="{FF2B5EF4-FFF2-40B4-BE49-F238E27FC236}">
              <a16:creationId xmlns:a16="http://schemas.microsoft.com/office/drawing/2014/main" id="{00000000-0008-0000-0500-00001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31856</xdr:colOff>
      <xdr:row>131</xdr:row>
      <xdr:rowOff>26194</xdr:rowOff>
    </xdr:from>
    <xdr:to>
      <xdr:col>22</xdr:col>
      <xdr:colOff>144251</xdr:colOff>
      <xdr:row>139</xdr:row>
      <xdr:rowOff>185684</xdr:rowOff>
    </xdr:to>
    <xdr:graphicFrame macro="">
      <xdr:nvGraphicFramePr>
        <xdr:cNvPr id="26" name="Chart 25">
          <a:extLst>
            <a:ext uri="{FF2B5EF4-FFF2-40B4-BE49-F238E27FC236}">
              <a16:creationId xmlns:a16="http://schemas.microsoft.com/office/drawing/2014/main" id="{00000000-0008-0000-0500-00001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12</xdr:col>
      <xdr:colOff>33338</xdr:colOff>
      <xdr:row>141</xdr:row>
      <xdr:rowOff>2383</xdr:rowOff>
    </xdr:from>
    <xdr:to>
      <xdr:col>16</xdr:col>
      <xdr:colOff>523876</xdr:colOff>
      <xdr:row>149</xdr:row>
      <xdr:rowOff>170470</xdr:rowOff>
    </xdr:to>
    <xdr:graphicFrame macro="">
      <xdr:nvGraphicFramePr>
        <xdr:cNvPr id="28" name="Chart 27">
          <a:extLst>
            <a:ext uri="{FF2B5EF4-FFF2-40B4-BE49-F238E27FC236}">
              <a16:creationId xmlns:a16="http://schemas.microsoft.com/office/drawing/2014/main" id="{00000000-0008-0000-0500-00001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17</xdr:col>
      <xdr:colOff>31857</xdr:colOff>
      <xdr:row>140</xdr:row>
      <xdr:rowOff>69057</xdr:rowOff>
    </xdr:from>
    <xdr:to>
      <xdr:col>22</xdr:col>
      <xdr:colOff>138961</xdr:colOff>
      <xdr:row>149</xdr:row>
      <xdr:rowOff>152347</xdr:rowOff>
    </xdr:to>
    <xdr:graphicFrame macro="">
      <xdr:nvGraphicFramePr>
        <xdr:cNvPr id="29" name="Chart 28">
          <a:extLst>
            <a:ext uri="{FF2B5EF4-FFF2-40B4-BE49-F238E27FC236}">
              <a16:creationId xmlns:a16="http://schemas.microsoft.com/office/drawing/2014/main" id="{00000000-0008-0000-0500-00001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12</xdr:col>
      <xdr:colOff>27214</xdr:colOff>
      <xdr:row>101</xdr:row>
      <xdr:rowOff>13609</xdr:rowOff>
    </xdr:from>
    <xdr:to>
      <xdr:col>16</xdr:col>
      <xdr:colOff>481032</xdr:colOff>
      <xdr:row>109</xdr:row>
      <xdr:rowOff>181696</xdr:rowOff>
    </xdr:to>
    <xdr:graphicFrame macro="">
      <xdr:nvGraphicFramePr>
        <xdr:cNvPr id="16" name="Chart 15">
          <a:extLst>
            <a:ext uri="{FF2B5EF4-FFF2-40B4-BE49-F238E27FC236}">
              <a16:creationId xmlns:a16="http://schemas.microsoft.com/office/drawing/2014/main" id="{00000000-0008-0000-05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17</xdr:col>
      <xdr:colOff>6382</xdr:colOff>
      <xdr:row>101</xdr:row>
      <xdr:rowOff>13608</xdr:rowOff>
    </xdr:from>
    <xdr:to>
      <xdr:col>22</xdr:col>
      <xdr:colOff>118777</xdr:colOff>
      <xdr:row>109</xdr:row>
      <xdr:rowOff>173098</xdr:rowOff>
    </xdr:to>
    <xdr:graphicFrame macro="">
      <xdr:nvGraphicFramePr>
        <xdr:cNvPr id="17" name="Chart 16">
          <a:extLst>
            <a:ext uri="{FF2B5EF4-FFF2-40B4-BE49-F238E27FC236}">
              <a16:creationId xmlns:a16="http://schemas.microsoft.com/office/drawing/2014/main" id="{00000000-0008-0000-05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12</xdr:col>
      <xdr:colOff>27214</xdr:colOff>
      <xdr:row>91</xdr:row>
      <xdr:rowOff>13609</xdr:rowOff>
    </xdr:from>
    <xdr:to>
      <xdr:col>16</xdr:col>
      <xdr:colOff>481032</xdr:colOff>
      <xdr:row>99</xdr:row>
      <xdr:rowOff>181696</xdr:rowOff>
    </xdr:to>
    <xdr:graphicFrame macro="">
      <xdr:nvGraphicFramePr>
        <xdr:cNvPr id="19" name="Chart 18">
          <a:extLst>
            <a:ext uri="{FF2B5EF4-FFF2-40B4-BE49-F238E27FC236}">
              <a16:creationId xmlns:a16="http://schemas.microsoft.com/office/drawing/2014/main" id="{00000000-0008-0000-05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17</xdr:col>
      <xdr:colOff>6382</xdr:colOff>
      <xdr:row>91</xdr:row>
      <xdr:rowOff>13608</xdr:rowOff>
    </xdr:from>
    <xdr:to>
      <xdr:col>22</xdr:col>
      <xdr:colOff>113486</xdr:colOff>
      <xdr:row>99</xdr:row>
      <xdr:rowOff>173098</xdr:rowOff>
    </xdr:to>
    <xdr:graphicFrame macro="">
      <xdr:nvGraphicFramePr>
        <xdr:cNvPr id="22" name="Chart 21">
          <a:extLst>
            <a:ext uri="{FF2B5EF4-FFF2-40B4-BE49-F238E27FC236}">
              <a16:creationId xmlns:a16="http://schemas.microsoft.com/office/drawing/2014/main" id="{00000000-0008-0000-0500-00001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12</xdr:col>
      <xdr:colOff>27214</xdr:colOff>
      <xdr:row>111</xdr:row>
      <xdr:rowOff>13609</xdr:rowOff>
    </xdr:from>
    <xdr:to>
      <xdr:col>16</xdr:col>
      <xdr:colOff>481032</xdr:colOff>
      <xdr:row>119</xdr:row>
      <xdr:rowOff>181696</xdr:rowOff>
    </xdr:to>
    <xdr:graphicFrame macro="">
      <xdr:nvGraphicFramePr>
        <xdr:cNvPr id="23" name="Chart 22">
          <a:extLst>
            <a:ext uri="{FF2B5EF4-FFF2-40B4-BE49-F238E27FC236}">
              <a16:creationId xmlns:a16="http://schemas.microsoft.com/office/drawing/2014/main" id="{00000000-0008-0000-0500-00001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17</xdr:col>
      <xdr:colOff>6382</xdr:colOff>
      <xdr:row>111</xdr:row>
      <xdr:rowOff>13608</xdr:rowOff>
    </xdr:from>
    <xdr:to>
      <xdr:col>22</xdr:col>
      <xdr:colOff>113486</xdr:colOff>
      <xdr:row>119</xdr:row>
      <xdr:rowOff>173098</xdr:rowOff>
    </xdr:to>
    <xdr:graphicFrame macro="">
      <xdr:nvGraphicFramePr>
        <xdr:cNvPr id="24" name="Chart 23">
          <a:extLst>
            <a:ext uri="{FF2B5EF4-FFF2-40B4-BE49-F238E27FC236}">
              <a16:creationId xmlns:a16="http://schemas.microsoft.com/office/drawing/2014/main" id="{00000000-0008-0000-0500-00001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0</xdr:col>
      <xdr:colOff>95311</xdr:colOff>
      <xdr:row>15</xdr:row>
      <xdr:rowOff>0</xdr:rowOff>
    </xdr:from>
    <xdr:to>
      <xdr:col>2</xdr:col>
      <xdr:colOff>125791</xdr:colOff>
      <xdr:row>16</xdr:row>
      <xdr:rowOff>3048</xdr:rowOff>
    </xdr:to>
    <xdr:sp macro="" textlink="">
      <xdr:nvSpPr>
        <xdr:cNvPr id="27" name="Rectangle 26">
          <a:hlinkClick xmlns:r="http://schemas.openxmlformats.org/officeDocument/2006/relationships" r:id="rId21"/>
          <a:extLst>
            <a:ext uri="{FF2B5EF4-FFF2-40B4-BE49-F238E27FC236}">
              <a16:creationId xmlns:a16="http://schemas.microsoft.com/office/drawing/2014/main" id="{00000000-0008-0000-0500-00001B000000}"/>
            </a:ext>
          </a:extLst>
        </xdr:cNvPr>
        <xdr:cNvSpPr/>
      </xdr:nvSpPr>
      <xdr:spPr>
        <a:xfrm>
          <a:off x="95311" y="2895600"/>
          <a:ext cx="2468880" cy="384048"/>
        </a:xfrm>
        <a:prstGeom prst="rect">
          <a:avLst/>
        </a:prstGeom>
        <a:gradFill>
          <a:gsLst>
            <a:gs pos="0">
              <a:srgbClr val="FFC000"/>
            </a:gs>
            <a:gs pos="100000">
              <a:srgbClr val="FFF2C9"/>
            </a:gs>
          </a:gsLst>
        </a:gradFill>
      </xdr:spPr>
      <xdr:style>
        <a:lnRef idx="1">
          <a:schemeClr val="accent6"/>
        </a:lnRef>
        <a:fillRef idx="2">
          <a:schemeClr val="accent6"/>
        </a:fillRef>
        <a:effectRef idx="1">
          <a:schemeClr val="accent6"/>
        </a:effectRef>
        <a:fontRef idx="minor">
          <a:schemeClr val="dk1"/>
        </a:fontRef>
      </xdr:style>
      <xdr:txBody>
        <a:bodyPr vertOverflow="clip" rtlCol="0" anchor="ctr"/>
        <a:lstStyle/>
        <a:p>
          <a:pPr algn="l"/>
          <a:r>
            <a:rPr lang="en-US" sz="1400" b="1"/>
            <a:t>Primary Balance Shock</a:t>
          </a:r>
        </a:p>
      </xdr:txBody>
    </xdr:sp>
    <xdr:clientData/>
  </xdr:twoCellAnchor>
  <xdr:twoCellAnchor>
    <xdr:from>
      <xdr:col>0</xdr:col>
      <xdr:colOff>95311</xdr:colOff>
      <xdr:row>16</xdr:row>
      <xdr:rowOff>10582</xdr:rowOff>
    </xdr:from>
    <xdr:to>
      <xdr:col>2</xdr:col>
      <xdr:colOff>125791</xdr:colOff>
      <xdr:row>16</xdr:row>
      <xdr:rowOff>613833</xdr:rowOff>
    </xdr:to>
    <xdr:sp macro="" textlink="">
      <xdr:nvSpPr>
        <xdr:cNvPr id="30" name="Rectangle 29">
          <a:hlinkClick xmlns:r="http://schemas.openxmlformats.org/officeDocument/2006/relationships" r:id="rId22"/>
          <a:extLst>
            <a:ext uri="{FF2B5EF4-FFF2-40B4-BE49-F238E27FC236}">
              <a16:creationId xmlns:a16="http://schemas.microsoft.com/office/drawing/2014/main" id="{00000000-0008-0000-0500-00001E000000}"/>
            </a:ext>
          </a:extLst>
        </xdr:cNvPr>
        <xdr:cNvSpPr/>
      </xdr:nvSpPr>
      <xdr:spPr>
        <a:xfrm>
          <a:off x="95311" y="3287182"/>
          <a:ext cx="2468880" cy="603251"/>
        </a:xfrm>
        <a:prstGeom prst="rect">
          <a:avLst/>
        </a:prstGeom>
        <a:gradFill>
          <a:gsLst>
            <a:gs pos="0">
              <a:srgbClr val="FF0000"/>
            </a:gs>
            <a:gs pos="100000">
              <a:srgbClr val="FFC9C9"/>
            </a:gs>
          </a:gsLst>
          <a:lin ang="16200000" scaled="1"/>
        </a:gradFill>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l"/>
          <a:r>
            <a:rPr lang="en-US" sz="1400" b="1"/>
            <a:t>Real GDP Growth Shock</a:t>
          </a:r>
        </a:p>
      </xdr:txBody>
    </xdr:sp>
    <xdr:clientData/>
  </xdr:twoCellAnchor>
  <xdr:twoCellAnchor>
    <xdr:from>
      <xdr:col>0</xdr:col>
      <xdr:colOff>95311</xdr:colOff>
      <xdr:row>17</xdr:row>
      <xdr:rowOff>0</xdr:rowOff>
    </xdr:from>
    <xdr:to>
      <xdr:col>2</xdr:col>
      <xdr:colOff>125791</xdr:colOff>
      <xdr:row>18</xdr:row>
      <xdr:rowOff>3048</xdr:rowOff>
    </xdr:to>
    <xdr:sp macro="" textlink="">
      <xdr:nvSpPr>
        <xdr:cNvPr id="31" name="Rectangle 30">
          <a:hlinkClick xmlns:r="http://schemas.openxmlformats.org/officeDocument/2006/relationships" r:id="rId23"/>
          <a:extLst>
            <a:ext uri="{FF2B5EF4-FFF2-40B4-BE49-F238E27FC236}">
              <a16:creationId xmlns:a16="http://schemas.microsoft.com/office/drawing/2014/main" id="{00000000-0008-0000-0500-00001F000000}"/>
            </a:ext>
          </a:extLst>
        </xdr:cNvPr>
        <xdr:cNvSpPr/>
      </xdr:nvSpPr>
      <xdr:spPr>
        <a:xfrm>
          <a:off x="95311" y="3905250"/>
          <a:ext cx="2468880" cy="384048"/>
        </a:xfrm>
        <a:prstGeom prst="rect">
          <a:avLst/>
        </a:prstGeom>
        <a:gradFill>
          <a:gsLst>
            <a:gs pos="0">
              <a:srgbClr val="00D05E"/>
            </a:gs>
            <a:gs pos="100000">
              <a:srgbClr val="BDFFBD"/>
            </a:gs>
          </a:gsLst>
        </a:gradFill>
      </xdr:spPr>
      <xdr:style>
        <a:lnRef idx="1">
          <a:schemeClr val="accent3"/>
        </a:lnRef>
        <a:fillRef idx="2">
          <a:schemeClr val="accent3"/>
        </a:fillRef>
        <a:effectRef idx="1">
          <a:schemeClr val="accent3"/>
        </a:effectRef>
        <a:fontRef idx="minor">
          <a:schemeClr val="dk1"/>
        </a:fontRef>
      </xdr:style>
      <xdr:txBody>
        <a:bodyPr vertOverflow="clip" rtlCol="0" anchor="ctr"/>
        <a:lstStyle/>
        <a:p>
          <a:pPr algn="l"/>
          <a:r>
            <a:rPr lang="en-US" sz="1400" b="1"/>
            <a:t>Interest Rate Shock</a:t>
          </a:r>
        </a:p>
      </xdr:txBody>
    </xdr:sp>
    <xdr:clientData/>
  </xdr:twoCellAnchor>
  <xdr:twoCellAnchor>
    <xdr:from>
      <xdr:col>0</xdr:col>
      <xdr:colOff>95311</xdr:colOff>
      <xdr:row>18</xdr:row>
      <xdr:rowOff>0</xdr:rowOff>
    </xdr:from>
    <xdr:to>
      <xdr:col>2</xdr:col>
      <xdr:colOff>125791</xdr:colOff>
      <xdr:row>18</xdr:row>
      <xdr:rowOff>365760</xdr:rowOff>
    </xdr:to>
    <xdr:sp macro="" textlink="">
      <xdr:nvSpPr>
        <xdr:cNvPr id="32" name="Rectangle 31">
          <a:hlinkClick xmlns:r="http://schemas.openxmlformats.org/officeDocument/2006/relationships" r:id="rId24"/>
          <a:extLst>
            <a:ext uri="{FF2B5EF4-FFF2-40B4-BE49-F238E27FC236}">
              <a16:creationId xmlns:a16="http://schemas.microsoft.com/office/drawing/2014/main" id="{00000000-0008-0000-0500-000020000000}"/>
            </a:ext>
          </a:extLst>
        </xdr:cNvPr>
        <xdr:cNvSpPr/>
      </xdr:nvSpPr>
      <xdr:spPr>
        <a:xfrm>
          <a:off x="95311" y="4286250"/>
          <a:ext cx="2468880" cy="365760"/>
        </a:xfrm>
        <a:prstGeom prst="rect">
          <a:avLst/>
        </a:prstGeom>
        <a:gradFill>
          <a:gsLst>
            <a:gs pos="0">
              <a:srgbClr val="C081FF"/>
            </a:gs>
            <a:gs pos="100000">
              <a:schemeClr val="accent4">
                <a:lumMod val="20000"/>
                <a:lumOff val="80000"/>
              </a:schemeClr>
            </a:gs>
          </a:gsLst>
        </a:gradFill>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l"/>
          <a:r>
            <a:rPr lang="en-US" sz="1400" b="1"/>
            <a:t>Real Exchange Rate Shock</a:t>
          </a:r>
        </a:p>
      </xdr:txBody>
    </xdr:sp>
    <xdr:clientData/>
  </xdr:twoCellAnchor>
  <xdr:twoCellAnchor>
    <xdr:from>
      <xdr:col>0</xdr:col>
      <xdr:colOff>95311</xdr:colOff>
      <xdr:row>19</xdr:row>
      <xdr:rowOff>11206</xdr:rowOff>
    </xdr:from>
    <xdr:to>
      <xdr:col>2</xdr:col>
      <xdr:colOff>125791</xdr:colOff>
      <xdr:row>19</xdr:row>
      <xdr:rowOff>376966</xdr:rowOff>
    </xdr:to>
    <xdr:sp macro="" textlink="">
      <xdr:nvSpPr>
        <xdr:cNvPr id="33" name="Rectangle 32">
          <a:hlinkClick xmlns:r="http://schemas.openxmlformats.org/officeDocument/2006/relationships" r:id="rId25"/>
          <a:extLst>
            <a:ext uri="{FF2B5EF4-FFF2-40B4-BE49-F238E27FC236}">
              <a16:creationId xmlns:a16="http://schemas.microsoft.com/office/drawing/2014/main" id="{00000000-0008-0000-0500-000021000000}"/>
            </a:ext>
          </a:extLst>
        </xdr:cNvPr>
        <xdr:cNvSpPr/>
      </xdr:nvSpPr>
      <xdr:spPr>
        <a:xfrm>
          <a:off x="95311" y="4678456"/>
          <a:ext cx="2468880" cy="365760"/>
        </a:xfrm>
        <a:prstGeom prst="rect">
          <a:avLst/>
        </a:prstGeom>
        <a:gradFill>
          <a:gsLst>
            <a:gs pos="0">
              <a:schemeClr val="tx1">
                <a:lumMod val="65000"/>
                <a:lumOff val="35000"/>
              </a:schemeClr>
            </a:gs>
            <a:gs pos="35000">
              <a:schemeClr val="bg1">
                <a:lumMod val="50000"/>
              </a:schemeClr>
            </a:gs>
            <a:gs pos="100000">
              <a:schemeClr val="dk1">
                <a:tint val="15000"/>
                <a:satMod val="350000"/>
              </a:schemeClr>
            </a:gs>
          </a:gsLst>
        </a:gradFill>
      </xdr:spPr>
      <xdr:style>
        <a:lnRef idx="1">
          <a:schemeClr val="dk1"/>
        </a:lnRef>
        <a:fillRef idx="2">
          <a:schemeClr val="dk1"/>
        </a:fillRef>
        <a:effectRef idx="1">
          <a:schemeClr val="dk1"/>
        </a:effectRef>
        <a:fontRef idx="minor">
          <a:schemeClr val="dk1"/>
        </a:fontRef>
      </xdr:style>
      <xdr:txBody>
        <a:bodyPr vertOverflow="clip" rtlCol="0" anchor="ctr"/>
        <a:lstStyle/>
        <a:p>
          <a:pPr algn="l"/>
          <a:r>
            <a:rPr lang="en-US" sz="1400" b="1"/>
            <a:t>Combined Macro-Fiscal Shock</a:t>
          </a:r>
        </a:p>
      </xdr:txBody>
    </xdr:sp>
    <xdr:clientData/>
  </xdr:twoCellAnchor>
  <xdr:twoCellAnchor>
    <xdr:from>
      <xdr:col>0</xdr:col>
      <xdr:colOff>95311</xdr:colOff>
      <xdr:row>21</xdr:row>
      <xdr:rowOff>74083</xdr:rowOff>
    </xdr:from>
    <xdr:to>
      <xdr:col>2</xdr:col>
      <xdr:colOff>125791</xdr:colOff>
      <xdr:row>22</xdr:row>
      <xdr:rowOff>613832</xdr:rowOff>
    </xdr:to>
    <xdr:sp macro="" textlink="">
      <xdr:nvSpPr>
        <xdr:cNvPr id="34" name="Rectangle 33">
          <a:hlinkClick xmlns:r="http://schemas.openxmlformats.org/officeDocument/2006/relationships" r:id="rId26"/>
          <a:extLst>
            <a:ext uri="{FF2B5EF4-FFF2-40B4-BE49-F238E27FC236}">
              <a16:creationId xmlns:a16="http://schemas.microsoft.com/office/drawing/2014/main" id="{00000000-0008-0000-0500-000022000000}"/>
            </a:ext>
          </a:extLst>
        </xdr:cNvPr>
        <xdr:cNvSpPr/>
      </xdr:nvSpPr>
      <xdr:spPr>
        <a:xfrm>
          <a:off x="95311" y="5122333"/>
          <a:ext cx="2468880" cy="615949"/>
        </a:xfrm>
        <a:prstGeom prst="rect">
          <a:avLst/>
        </a:prstGeom>
        <a:gradFill>
          <a:gsLst>
            <a:gs pos="0">
              <a:srgbClr val="00B0F0"/>
            </a:gs>
            <a:gs pos="100000">
              <a:srgbClr val="A3E7FF"/>
            </a:gs>
          </a:gsLst>
        </a:gradFill>
      </xdr:spPr>
      <xdr:style>
        <a:lnRef idx="1">
          <a:schemeClr val="accent5"/>
        </a:lnRef>
        <a:fillRef idx="2">
          <a:schemeClr val="accent5"/>
        </a:fillRef>
        <a:effectRef idx="1">
          <a:schemeClr val="accent5"/>
        </a:effectRef>
        <a:fontRef idx="minor">
          <a:schemeClr val="dk1"/>
        </a:fontRef>
      </xdr:style>
      <xdr:txBody>
        <a:bodyPr vertOverflow="clip" rtlCol="0" anchor="ctr"/>
        <a:lstStyle/>
        <a:p>
          <a:pPr algn="l"/>
          <a:r>
            <a:rPr lang="en-US" sz="1400" b="1"/>
            <a:t>Financial</a:t>
          </a:r>
          <a:r>
            <a:rPr lang="en-US" sz="1400" b="1" baseline="0"/>
            <a:t> Sector </a:t>
          </a:r>
          <a:r>
            <a:rPr lang="en-US" sz="1400" b="1"/>
            <a:t>Contingent Liability</a:t>
          </a:r>
          <a:r>
            <a:rPr lang="en-US" sz="1400" b="1" baseline="0"/>
            <a:t> Shock</a:t>
          </a:r>
          <a:endParaRPr lang="en-US" sz="1400" b="1"/>
        </a:p>
      </xdr:txBody>
    </xdr:sp>
    <xdr:clientData/>
  </xdr:twoCellAnchor>
  <xdr:twoCellAnchor>
    <xdr:from>
      <xdr:col>0</xdr:col>
      <xdr:colOff>95311</xdr:colOff>
      <xdr:row>24</xdr:row>
      <xdr:rowOff>0</xdr:rowOff>
    </xdr:from>
    <xdr:to>
      <xdr:col>2</xdr:col>
      <xdr:colOff>125791</xdr:colOff>
      <xdr:row>24</xdr:row>
      <xdr:rowOff>365760</xdr:rowOff>
    </xdr:to>
    <xdr:sp macro="" textlink="$A$112">
      <xdr:nvSpPr>
        <xdr:cNvPr id="37" name="Rectangle 36">
          <a:hlinkClick xmlns:r="http://schemas.openxmlformats.org/officeDocument/2006/relationships" r:id="rId27"/>
          <a:extLst>
            <a:ext uri="{FF2B5EF4-FFF2-40B4-BE49-F238E27FC236}">
              <a16:creationId xmlns:a16="http://schemas.microsoft.com/office/drawing/2014/main" id="{00000000-0008-0000-0500-000025000000}"/>
            </a:ext>
          </a:extLst>
        </xdr:cNvPr>
        <xdr:cNvSpPr/>
      </xdr:nvSpPr>
      <xdr:spPr>
        <a:xfrm>
          <a:off x="95311" y="5829300"/>
          <a:ext cx="2468880" cy="365760"/>
        </a:xfrm>
        <a:prstGeom prst="rect">
          <a:avLst/>
        </a:prstGeom>
        <a:gradFill>
          <a:gsLst>
            <a:gs pos="0">
              <a:srgbClr val="94FE6A"/>
            </a:gs>
            <a:gs pos="100000">
              <a:srgbClr val="D3FFC1"/>
            </a:gs>
          </a:gsLst>
        </a:gradFill>
      </xdr:spPr>
      <xdr:style>
        <a:lnRef idx="1">
          <a:schemeClr val="accent3"/>
        </a:lnRef>
        <a:fillRef idx="2">
          <a:schemeClr val="accent3"/>
        </a:fillRef>
        <a:effectRef idx="1">
          <a:schemeClr val="accent3"/>
        </a:effectRef>
        <a:fontRef idx="minor">
          <a:schemeClr val="dk1"/>
        </a:fontRef>
      </xdr:style>
      <xdr:txBody>
        <a:bodyPr vertOverflow="clip" rtlCol="0" anchor="ctr"/>
        <a:lstStyle/>
        <a:p>
          <a:pPr algn="l"/>
          <a:fld id="{90754AA2-99BA-4E4F-B919-AB7386246988}" type="TxLink">
            <a:rPr lang="en-US" sz="1400" b="1" i="0" u="none" strike="noStrike">
              <a:solidFill>
                <a:srgbClr val="000000"/>
              </a:solidFill>
              <a:latin typeface="Calibri"/>
              <a:cs typeface="Calibri"/>
            </a:rPr>
            <a:pPr algn="l"/>
            <a:t>Customized Shock 1</a:t>
          </a:fld>
          <a:endParaRPr lang="en-US" sz="1400" b="1"/>
        </a:p>
      </xdr:txBody>
    </xdr:sp>
    <xdr:clientData/>
  </xdr:twoCellAnchor>
  <xdr:twoCellAnchor>
    <xdr:from>
      <xdr:col>0</xdr:col>
      <xdr:colOff>95311</xdr:colOff>
      <xdr:row>12</xdr:row>
      <xdr:rowOff>0</xdr:rowOff>
    </xdr:from>
    <xdr:to>
      <xdr:col>2</xdr:col>
      <xdr:colOff>125791</xdr:colOff>
      <xdr:row>13</xdr:row>
      <xdr:rowOff>3471</xdr:rowOff>
    </xdr:to>
    <xdr:sp macro="" textlink="">
      <xdr:nvSpPr>
        <xdr:cNvPr id="39" name="Rectangle 38">
          <a:hlinkClick xmlns:r="http://schemas.openxmlformats.org/officeDocument/2006/relationships" r:id="rId28"/>
          <a:extLst>
            <a:ext uri="{FF2B5EF4-FFF2-40B4-BE49-F238E27FC236}">
              <a16:creationId xmlns:a16="http://schemas.microsoft.com/office/drawing/2014/main" id="{00000000-0008-0000-0500-000027000000}"/>
            </a:ext>
          </a:extLst>
        </xdr:cNvPr>
        <xdr:cNvSpPr/>
      </xdr:nvSpPr>
      <xdr:spPr>
        <a:xfrm>
          <a:off x="95311" y="6743700"/>
          <a:ext cx="2468880" cy="384471"/>
        </a:xfrm>
        <a:prstGeom prst="rect">
          <a:avLst/>
        </a:prstGeom>
      </xdr:spPr>
      <xdr:style>
        <a:lnRef idx="1">
          <a:schemeClr val="dk1"/>
        </a:lnRef>
        <a:fillRef idx="2">
          <a:schemeClr val="dk1"/>
        </a:fillRef>
        <a:effectRef idx="1">
          <a:schemeClr val="dk1"/>
        </a:effectRef>
        <a:fontRef idx="minor">
          <a:schemeClr val="dk1"/>
        </a:fontRef>
      </xdr:style>
      <xdr:txBody>
        <a:bodyPr vertOverflow="clip" rtlCol="0" anchor="ctr"/>
        <a:lstStyle/>
        <a:p>
          <a:pPr algn="l"/>
          <a:r>
            <a:rPr lang="en-US" sz="1400" b="1"/>
            <a:t>Historical Scenario</a:t>
          </a:r>
        </a:p>
      </xdr:txBody>
    </xdr:sp>
    <xdr:clientData/>
  </xdr:twoCellAnchor>
  <xdr:twoCellAnchor>
    <xdr:from>
      <xdr:col>0</xdr:col>
      <xdr:colOff>95311</xdr:colOff>
      <xdr:row>13</xdr:row>
      <xdr:rowOff>0</xdr:rowOff>
    </xdr:from>
    <xdr:to>
      <xdr:col>2</xdr:col>
      <xdr:colOff>125791</xdr:colOff>
      <xdr:row>14</xdr:row>
      <xdr:rowOff>3471</xdr:rowOff>
    </xdr:to>
    <xdr:sp macro="" textlink="">
      <xdr:nvSpPr>
        <xdr:cNvPr id="40" name="Rectangle 39">
          <a:hlinkClick xmlns:r="http://schemas.openxmlformats.org/officeDocument/2006/relationships" r:id="rId29"/>
          <a:extLst>
            <a:ext uri="{FF2B5EF4-FFF2-40B4-BE49-F238E27FC236}">
              <a16:creationId xmlns:a16="http://schemas.microsoft.com/office/drawing/2014/main" id="{00000000-0008-0000-0500-000028000000}"/>
            </a:ext>
          </a:extLst>
        </xdr:cNvPr>
        <xdr:cNvSpPr/>
      </xdr:nvSpPr>
      <xdr:spPr>
        <a:xfrm>
          <a:off x="95311" y="7124700"/>
          <a:ext cx="2468880" cy="384471"/>
        </a:xfrm>
        <a:prstGeom prst="rect">
          <a:avLst/>
        </a:prstGeom>
        <a:gradFill>
          <a:gsLst>
            <a:gs pos="0">
              <a:srgbClr val="FEA0B6"/>
            </a:gs>
            <a:gs pos="35000">
              <a:srgbClr val="FEACE7"/>
            </a:gs>
            <a:gs pos="100000">
              <a:srgbClr val="FFD1F5"/>
            </a:gs>
          </a:gsLst>
        </a:gradFill>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l"/>
          <a:r>
            <a:rPr lang="en-US" sz="1400" b="1"/>
            <a:t>Constant</a:t>
          </a:r>
          <a:r>
            <a:rPr lang="en-US" sz="1400" b="1" baseline="0"/>
            <a:t> Primary Balance</a:t>
          </a:r>
        </a:p>
      </xdr:txBody>
    </xdr:sp>
    <xdr:clientData/>
  </xdr:twoCellAnchor>
  <xdr:twoCellAnchor>
    <xdr:from>
      <xdr:col>12</xdr:col>
      <xdr:colOff>27214</xdr:colOff>
      <xdr:row>121</xdr:row>
      <xdr:rowOff>13609</xdr:rowOff>
    </xdr:from>
    <xdr:to>
      <xdr:col>16</xdr:col>
      <xdr:colOff>481032</xdr:colOff>
      <xdr:row>129</xdr:row>
      <xdr:rowOff>181696</xdr:rowOff>
    </xdr:to>
    <xdr:graphicFrame macro="">
      <xdr:nvGraphicFramePr>
        <xdr:cNvPr id="35" name="Chart 34">
          <a:extLst>
            <a:ext uri="{FF2B5EF4-FFF2-40B4-BE49-F238E27FC236}">
              <a16:creationId xmlns:a16="http://schemas.microsoft.com/office/drawing/2014/main" id="{00000000-0008-0000-0500-00002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17</xdr:col>
      <xdr:colOff>6382</xdr:colOff>
      <xdr:row>121</xdr:row>
      <xdr:rowOff>13608</xdr:rowOff>
    </xdr:from>
    <xdr:to>
      <xdr:col>22</xdr:col>
      <xdr:colOff>113486</xdr:colOff>
      <xdr:row>129</xdr:row>
      <xdr:rowOff>173098</xdr:rowOff>
    </xdr:to>
    <xdr:graphicFrame macro="">
      <xdr:nvGraphicFramePr>
        <xdr:cNvPr id="36" name="Chart 35">
          <a:extLst>
            <a:ext uri="{FF2B5EF4-FFF2-40B4-BE49-F238E27FC236}">
              <a16:creationId xmlns:a16="http://schemas.microsoft.com/office/drawing/2014/main" id="{00000000-0008-0000-0500-00002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0</xdr:col>
      <xdr:colOff>95311</xdr:colOff>
      <xdr:row>26</xdr:row>
      <xdr:rowOff>0</xdr:rowOff>
    </xdr:from>
    <xdr:to>
      <xdr:col>2</xdr:col>
      <xdr:colOff>125791</xdr:colOff>
      <xdr:row>26</xdr:row>
      <xdr:rowOff>365760</xdr:rowOff>
    </xdr:to>
    <xdr:sp macro="" textlink="$A$122">
      <xdr:nvSpPr>
        <xdr:cNvPr id="38" name="Rectangle 37">
          <a:hlinkClick xmlns:r="http://schemas.openxmlformats.org/officeDocument/2006/relationships" r:id="rId32"/>
          <a:extLst>
            <a:ext uri="{FF2B5EF4-FFF2-40B4-BE49-F238E27FC236}">
              <a16:creationId xmlns:a16="http://schemas.microsoft.com/office/drawing/2014/main" id="{00000000-0008-0000-0500-000026000000}"/>
            </a:ext>
          </a:extLst>
        </xdr:cNvPr>
        <xdr:cNvSpPr/>
      </xdr:nvSpPr>
      <xdr:spPr>
        <a:xfrm>
          <a:off x="95311" y="6286500"/>
          <a:ext cx="2468880" cy="365760"/>
        </a:xfrm>
        <a:prstGeom prst="rect">
          <a:avLst/>
        </a:prstGeom>
        <a:gradFill>
          <a:gsLst>
            <a:gs pos="0">
              <a:srgbClr val="CC6600"/>
            </a:gs>
            <a:gs pos="100000">
              <a:srgbClr val="FF9B37"/>
            </a:gs>
          </a:gsLst>
        </a:gradFill>
        <a:ln>
          <a:solidFill>
            <a:srgbClr val="993300"/>
          </a:solidFill>
        </a:ln>
      </xdr:spPr>
      <xdr:style>
        <a:lnRef idx="1">
          <a:schemeClr val="accent3"/>
        </a:lnRef>
        <a:fillRef idx="2">
          <a:schemeClr val="accent3"/>
        </a:fillRef>
        <a:effectRef idx="1">
          <a:schemeClr val="accent3"/>
        </a:effectRef>
        <a:fontRef idx="minor">
          <a:schemeClr val="dk1"/>
        </a:fontRef>
      </xdr:style>
      <xdr:txBody>
        <a:bodyPr vertOverflow="clip" rtlCol="0" anchor="ctr"/>
        <a:lstStyle/>
        <a:p>
          <a:pPr algn="l"/>
          <a:fld id="{031BBD03-C032-48DE-B3EC-1C2C4D9A1C2F}" type="TxLink">
            <a:rPr lang="en-US" sz="1400" b="1" i="0" u="none" strike="noStrike">
              <a:solidFill>
                <a:srgbClr val="000000"/>
              </a:solidFill>
              <a:latin typeface="Calibri"/>
              <a:cs typeface="Calibri"/>
            </a:rPr>
            <a:pPr algn="l"/>
            <a:t>Customized Shock 2</a:t>
          </a:fld>
          <a:endParaRPr lang="en-US" sz="1400" b="1"/>
        </a:p>
      </xdr:txBody>
    </xdr:sp>
    <xdr:clientData/>
  </xdr:twoCellAnchor>
</xdr:wsDr>
</file>

<file path=xl/drawings/drawing20.xml><?xml version="1.0" encoding="utf-8"?>
<c:userShapes xmlns:c="http://schemas.openxmlformats.org/drawingml/2006/chart">
  <cdr:relSizeAnchor xmlns:cdr="http://schemas.openxmlformats.org/drawingml/2006/chartDrawing">
    <cdr:from>
      <cdr:x>0.12599</cdr:x>
      <cdr:y>0.06615</cdr:y>
    </cdr:from>
    <cdr:to>
      <cdr:x>0.92171</cdr:x>
      <cdr:y>0.17093</cdr:y>
    </cdr:to>
    <cdr:sp macro="" textlink="'Input 5 - Scenario Design'!$R$31">
      <cdr:nvSpPr>
        <cdr:cNvPr id="2" name="TextBox 1">
          <a:extLst xmlns:a="http://schemas.openxmlformats.org/drawingml/2006/main">
            <a:ext uri="{FF2B5EF4-FFF2-40B4-BE49-F238E27FC236}">
              <a16:creationId xmlns:a16="http://schemas.microsoft.com/office/drawing/2014/main" id="{0B6DC401-D2F3-4E2D-AB2E-C3C0F8F2C685}"/>
            </a:ext>
          </a:extLst>
        </cdr:cNvPr>
        <cdr:cNvSpPr txBox="1"/>
      </cdr:nvSpPr>
      <cdr:spPr>
        <a:xfrm xmlns:a="http://schemas.openxmlformats.org/drawingml/2006/main">
          <a:off x="381000" y="142875"/>
          <a:ext cx="2406387" cy="22629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CA74CEA-E8DB-4A09-813B-B89C2611C8FA}" type="TxLink">
            <a:rPr lang="en-US" sz="1200" b="1" i="0" u="none" strike="noStrike">
              <a:solidFill>
                <a:srgbClr val="000000"/>
              </a:solidFill>
              <a:latin typeface="Calibri"/>
              <a:cs typeface="Calibri"/>
            </a:rPr>
            <a:pPr/>
            <a:t>Gross Financing Need-to-GDP</a:t>
          </a:fld>
          <a:endParaRPr lang="en-US" sz="1100"/>
        </a:p>
      </cdr:txBody>
    </cdr:sp>
  </cdr:relSizeAnchor>
</c:userShapes>
</file>

<file path=xl/drawings/drawing21.xml><?xml version="1.0" encoding="utf-8"?>
<c:userShapes xmlns:c="http://schemas.openxmlformats.org/drawingml/2006/chart">
  <cdr:relSizeAnchor xmlns:cdr="http://schemas.openxmlformats.org/drawingml/2006/chartDrawing">
    <cdr:from>
      <cdr:x>0.15377</cdr:x>
      <cdr:y>0.07138</cdr:y>
    </cdr:from>
    <cdr:to>
      <cdr:x>0.87563</cdr:x>
      <cdr:y>0.1812</cdr:y>
    </cdr:to>
    <cdr:sp macro="" textlink="'Input 5 - Scenario Design'!$M$31">
      <cdr:nvSpPr>
        <cdr:cNvPr id="2" name="TextBox 1">
          <a:extLst xmlns:a="http://schemas.openxmlformats.org/drawingml/2006/main">
            <a:ext uri="{FF2B5EF4-FFF2-40B4-BE49-F238E27FC236}">
              <a16:creationId xmlns:a16="http://schemas.microsoft.com/office/drawing/2014/main" id="{813C121F-9F41-4BA8-BBCE-89BD076075DF}"/>
            </a:ext>
          </a:extLst>
        </cdr:cNvPr>
        <cdr:cNvSpPr txBox="1"/>
      </cdr:nvSpPr>
      <cdr:spPr>
        <a:xfrm xmlns:a="http://schemas.openxmlformats.org/drawingml/2006/main">
          <a:off x="428625" y="154781"/>
          <a:ext cx="2012157"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3B6520E4-E842-4DC8-8929-497B382CCE35}" type="TxLink">
            <a:rPr lang="en-US" sz="1200" b="1" i="0" u="none" strike="noStrike">
              <a:solidFill>
                <a:srgbClr val="000000"/>
              </a:solidFill>
              <a:latin typeface="Calibri"/>
              <a:cs typeface="Calibri"/>
            </a:rPr>
            <a:pPr/>
            <a:t>Nominal Debt-to-GDP</a:t>
          </a:fld>
          <a:endParaRPr lang="en-US" sz="1100"/>
        </a:p>
      </cdr:txBody>
    </cdr:sp>
  </cdr:relSizeAnchor>
</c:userShapes>
</file>

<file path=xl/drawings/drawing22.xml><?xml version="1.0" encoding="utf-8"?>
<c:userShapes xmlns:c="http://schemas.openxmlformats.org/drawingml/2006/chart">
  <cdr:relSizeAnchor xmlns:cdr="http://schemas.openxmlformats.org/drawingml/2006/chartDrawing">
    <cdr:from>
      <cdr:x>0.12599</cdr:x>
      <cdr:y>0.06064</cdr:y>
    </cdr:from>
    <cdr:to>
      <cdr:x>0.92171</cdr:x>
      <cdr:y>0.16542</cdr:y>
    </cdr:to>
    <cdr:sp macro="" textlink="'Input 5 - Scenario Design'!$R$31">
      <cdr:nvSpPr>
        <cdr:cNvPr id="2" name="TextBox 1">
          <a:extLst xmlns:a="http://schemas.openxmlformats.org/drawingml/2006/main">
            <a:ext uri="{FF2B5EF4-FFF2-40B4-BE49-F238E27FC236}">
              <a16:creationId xmlns:a16="http://schemas.microsoft.com/office/drawing/2014/main" id="{DF4A922C-C202-43C2-8258-97119FF34646}"/>
            </a:ext>
          </a:extLst>
        </cdr:cNvPr>
        <cdr:cNvSpPr txBox="1"/>
      </cdr:nvSpPr>
      <cdr:spPr>
        <a:xfrm xmlns:a="http://schemas.openxmlformats.org/drawingml/2006/main">
          <a:off x="381000" y="130969"/>
          <a:ext cx="2406387" cy="22629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E5E7A16-5F1A-4B04-9BA4-44D446554040}" type="TxLink">
            <a:rPr lang="en-US" sz="1200" b="1" i="0" u="none" strike="noStrike">
              <a:solidFill>
                <a:srgbClr val="000000"/>
              </a:solidFill>
              <a:latin typeface="Calibri"/>
              <a:cs typeface="Calibri"/>
            </a:rPr>
            <a:pPr/>
            <a:t>Gross Financing Need-to-GDP</a:t>
          </a:fld>
          <a:endParaRPr lang="en-US" sz="1100"/>
        </a:p>
      </cdr:txBody>
    </cdr:sp>
  </cdr:relSizeAnchor>
</c:userShapes>
</file>

<file path=xl/drawings/drawing23.xml><?xml version="1.0" encoding="utf-8"?>
<c:userShapes xmlns:c="http://schemas.openxmlformats.org/drawingml/2006/chart">
  <cdr:relSizeAnchor xmlns:cdr="http://schemas.openxmlformats.org/drawingml/2006/chartDrawing">
    <cdr:from>
      <cdr:x>0.15377</cdr:x>
      <cdr:y>0.07138</cdr:y>
    </cdr:from>
    <cdr:to>
      <cdr:x>0.87563</cdr:x>
      <cdr:y>0.1812</cdr:y>
    </cdr:to>
    <cdr:sp macro="" textlink="'Input 5 - Scenario Design'!$M$31">
      <cdr:nvSpPr>
        <cdr:cNvPr id="2" name="TextBox 1">
          <a:extLst xmlns:a="http://schemas.openxmlformats.org/drawingml/2006/main">
            <a:ext uri="{FF2B5EF4-FFF2-40B4-BE49-F238E27FC236}">
              <a16:creationId xmlns:a16="http://schemas.microsoft.com/office/drawing/2014/main" id="{D61CE9F1-845E-4B27-8AB7-0A596813388F}"/>
            </a:ext>
          </a:extLst>
        </cdr:cNvPr>
        <cdr:cNvSpPr txBox="1"/>
      </cdr:nvSpPr>
      <cdr:spPr>
        <a:xfrm xmlns:a="http://schemas.openxmlformats.org/drawingml/2006/main">
          <a:off x="428625" y="154781"/>
          <a:ext cx="2012157"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DAEC6E63-3C3B-4392-AD3D-E074AE284285}" type="TxLink">
            <a:rPr lang="en-US" sz="1200" b="1" i="0" u="none" strike="noStrike">
              <a:solidFill>
                <a:srgbClr val="000000"/>
              </a:solidFill>
              <a:latin typeface="Calibri"/>
              <a:cs typeface="Calibri"/>
            </a:rPr>
            <a:pPr/>
            <a:t>Nominal Debt-to-GDP</a:t>
          </a:fld>
          <a:endParaRPr lang="en-US" sz="1100"/>
        </a:p>
      </cdr:txBody>
    </cdr:sp>
  </cdr:relSizeAnchor>
</c:userShapes>
</file>

<file path=xl/drawings/drawing24.xml><?xml version="1.0" encoding="utf-8"?>
<c:userShapes xmlns:c="http://schemas.openxmlformats.org/drawingml/2006/chart">
  <cdr:relSizeAnchor xmlns:cdr="http://schemas.openxmlformats.org/drawingml/2006/chartDrawing">
    <cdr:from>
      <cdr:x>0.12599</cdr:x>
      <cdr:y>0.06064</cdr:y>
    </cdr:from>
    <cdr:to>
      <cdr:x>0.92171</cdr:x>
      <cdr:y>0.16542</cdr:y>
    </cdr:to>
    <cdr:sp macro="" textlink="'Input 5 - Scenario Design'!$R$31">
      <cdr:nvSpPr>
        <cdr:cNvPr id="2" name="TextBox 1">
          <a:extLst xmlns:a="http://schemas.openxmlformats.org/drawingml/2006/main">
            <a:ext uri="{FF2B5EF4-FFF2-40B4-BE49-F238E27FC236}">
              <a16:creationId xmlns:a16="http://schemas.microsoft.com/office/drawing/2014/main" id="{CFFA2852-6BA6-42B3-89D0-9D2FCC20ACAA}"/>
            </a:ext>
          </a:extLst>
        </cdr:cNvPr>
        <cdr:cNvSpPr txBox="1"/>
      </cdr:nvSpPr>
      <cdr:spPr>
        <a:xfrm xmlns:a="http://schemas.openxmlformats.org/drawingml/2006/main">
          <a:off x="381000" y="130969"/>
          <a:ext cx="2406387" cy="22629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609062B-EA40-4CC1-8D2E-9157459F61DB}" type="TxLink">
            <a:rPr lang="en-US" sz="1200" b="1" i="0" u="none" strike="noStrike">
              <a:solidFill>
                <a:srgbClr val="000000"/>
              </a:solidFill>
              <a:latin typeface="Calibri"/>
              <a:cs typeface="Calibri"/>
            </a:rPr>
            <a:pPr/>
            <a:t>Gross Financing Need-to-GDP</a:t>
          </a:fld>
          <a:endParaRPr lang="en-US" sz="1100"/>
        </a:p>
      </cdr:txBody>
    </cdr:sp>
  </cdr:relSizeAnchor>
</c:userShapes>
</file>

<file path=xl/drawings/drawing25.xml><?xml version="1.0" encoding="utf-8"?>
<xdr:wsDr xmlns:xdr="http://schemas.openxmlformats.org/drawingml/2006/spreadsheetDrawing" xmlns:a="http://schemas.openxmlformats.org/drawingml/2006/main">
  <xdr:twoCellAnchor>
    <xdr:from>
      <xdr:col>12</xdr:col>
      <xdr:colOff>136072</xdr:colOff>
      <xdr:row>27</xdr:row>
      <xdr:rowOff>138339</xdr:rowOff>
    </xdr:from>
    <xdr:to>
      <xdr:col>24</xdr:col>
      <xdr:colOff>233590</xdr:colOff>
      <xdr:row>45</xdr:row>
      <xdr:rowOff>68035</xdr:rowOff>
    </xdr:to>
    <xdr:graphicFrame macro="">
      <xdr:nvGraphicFramePr>
        <xdr:cNvPr id="2" name="Chart 8">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45</xdr:col>
      <xdr:colOff>136072</xdr:colOff>
      <xdr:row>27</xdr:row>
      <xdr:rowOff>138339</xdr:rowOff>
    </xdr:from>
    <xdr:to>
      <xdr:col>57</xdr:col>
      <xdr:colOff>233590</xdr:colOff>
      <xdr:row>45</xdr:row>
      <xdr:rowOff>68035</xdr:rowOff>
    </xdr:to>
    <xdr:graphicFrame macro="">
      <xdr:nvGraphicFramePr>
        <xdr:cNvPr id="3" name="Chart 8">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oneCell">
        <xdr:from>
          <xdr:col>1</xdr:col>
          <xdr:colOff>0</xdr:colOff>
          <xdr:row>29</xdr:row>
          <xdr:rowOff>200025</xdr:rowOff>
        </xdr:from>
        <xdr:to>
          <xdr:col>2</xdr:col>
          <xdr:colOff>0</xdr:colOff>
          <xdr:row>35</xdr:row>
          <xdr:rowOff>123825</xdr:rowOff>
        </xdr:to>
        <xdr:sp macro="" textlink="">
          <xdr:nvSpPr>
            <xdr:cNvPr id="167937" name="CommandButton1" hidden="1">
              <a:extLst>
                <a:ext uri="{63B3BB69-23CF-44E3-9099-C40C66FF867C}">
                  <a14:compatExt spid="_x0000_s167937"/>
                </a:ext>
                <a:ext uri="{FF2B5EF4-FFF2-40B4-BE49-F238E27FC236}">
                  <a16:creationId xmlns:a16="http://schemas.microsoft.com/office/drawing/2014/main" id="{00000000-0008-0000-0600-0000019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6.xml><?xml version="1.0" encoding="utf-8"?>
<xdr:wsDr xmlns:xdr="http://schemas.openxmlformats.org/drawingml/2006/spreadsheetDrawing" xmlns:a="http://schemas.openxmlformats.org/drawingml/2006/main">
  <xdr:twoCellAnchor>
    <xdr:from>
      <xdr:col>4</xdr:col>
      <xdr:colOff>43961</xdr:colOff>
      <xdr:row>0</xdr:row>
      <xdr:rowOff>67915</xdr:rowOff>
    </xdr:from>
    <xdr:to>
      <xdr:col>15</xdr:col>
      <xdr:colOff>367811</xdr:colOff>
      <xdr:row>1</xdr:row>
      <xdr:rowOff>151735</xdr:rowOff>
    </xdr:to>
    <xdr:sp macro="" textlink="">
      <xdr:nvSpPr>
        <xdr:cNvPr id="29" name="Rectangle 28">
          <a:extLst>
            <a:ext uri="{FF2B5EF4-FFF2-40B4-BE49-F238E27FC236}">
              <a16:creationId xmlns:a16="http://schemas.microsoft.com/office/drawing/2014/main" id="{00000000-0008-0000-0700-00001D000000}"/>
            </a:ext>
          </a:extLst>
        </xdr:cNvPr>
        <xdr:cNvSpPr/>
      </xdr:nvSpPr>
      <xdr:spPr>
        <a:xfrm>
          <a:off x="2415686" y="67915"/>
          <a:ext cx="7315200" cy="274320"/>
        </a:xfrm>
        <a:prstGeom prst="rect">
          <a:avLst/>
        </a:prstGeom>
        <a:solidFill>
          <a:srgbClr val="00B0F0"/>
        </a:solidFill>
        <a:ln>
          <a:solidFill>
            <a:schemeClr val="bg1">
              <a:lumMod val="50000"/>
            </a:schemeClr>
          </a:solidFill>
        </a:ln>
      </xdr:spPr>
      <xdr:style>
        <a:lnRef idx="1">
          <a:schemeClr val="accent5"/>
        </a:lnRef>
        <a:fillRef idx="2">
          <a:schemeClr val="accent5"/>
        </a:fillRef>
        <a:effectRef idx="1">
          <a:schemeClr val="accent5"/>
        </a:effectRef>
        <a:fontRef idx="minor">
          <a:schemeClr val="dk1"/>
        </a:fontRef>
      </xdr:style>
      <xdr:txBody>
        <a:bodyPr vertOverflow="clip" rtlCol="0" anchor="ctr"/>
        <a:lstStyle/>
        <a:p>
          <a:pPr algn="ctr"/>
          <a:r>
            <a:rPr lang="en-US" sz="1800" b="1"/>
            <a:t>Instructions for the Output</a:t>
          </a:r>
        </a:p>
      </xdr:txBody>
    </xdr:sp>
    <xdr:clientData/>
  </xdr:twoCellAnchor>
  <xdr:twoCellAnchor>
    <xdr:from>
      <xdr:col>4</xdr:col>
      <xdr:colOff>43961</xdr:colOff>
      <xdr:row>1</xdr:row>
      <xdr:rowOff>161925</xdr:rowOff>
    </xdr:from>
    <xdr:to>
      <xdr:col>6</xdr:col>
      <xdr:colOff>2051</xdr:colOff>
      <xdr:row>3</xdr:row>
      <xdr:rowOff>143637</xdr:rowOff>
    </xdr:to>
    <xdr:sp macro="" textlink="">
      <xdr:nvSpPr>
        <xdr:cNvPr id="30" name="Rectangle 29">
          <a:hlinkClick xmlns:r="http://schemas.openxmlformats.org/officeDocument/2006/relationships" r:id="rId1"/>
          <a:extLst>
            <a:ext uri="{FF2B5EF4-FFF2-40B4-BE49-F238E27FC236}">
              <a16:creationId xmlns:a16="http://schemas.microsoft.com/office/drawing/2014/main" id="{00000000-0008-0000-0700-00001E000000}"/>
            </a:ext>
          </a:extLst>
        </xdr:cNvPr>
        <xdr:cNvSpPr/>
      </xdr:nvSpPr>
      <xdr:spPr>
        <a:xfrm>
          <a:off x="2415686" y="352425"/>
          <a:ext cx="1463040" cy="438912"/>
        </a:xfrm>
        <a:prstGeom prst="rect">
          <a:avLst/>
        </a:prstGeom>
        <a:ln>
          <a:solidFill>
            <a:schemeClr val="bg1">
              <a:lumMod val="50000"/>
            </a:schemeClr>
          </a:solidFill>
        </a:ln>
      </xdr:spPr>
      <xdr:style>
        <a:lnRef idx="1">
          <a:schemeClr val="accent5"/>
        </a:lnRef>
        <a:fillRef idx="2">
          <a:schemeClr val="accent5"/>
        </a:fillRef>
        <a:effectRef idx="1">
          <a:schemeClr val="accent5"/>
        </a:effectRef>
        <a:fontRef idx="minor">
          <a:schemeClr val="dk1"/>
        </a:fontRef>
      </xdr:style>
      <xdr:txBody>
        <a:bodyPr vertOverflow="clip" rtlCol="0" anchor="ctr"/>
        <a:lstStyle/>
        <a:p>
          <a:pPr algn="ctr"/>
          <a:r>
            <a:rPr lang="en-US" sz="1100" b="1"/>
            <a:t>Output - Basic (1&amp;2)</a:t>
          </a:r>
        </a:p>
      </xdr:txBody>
    </xdr:sp>
    <xdr:clientData/>
  </xdr:twoCellAnchor>
  <xdr:twoCellAnchor>
    <xdr:from>
      <xdr:col>8</xdr:col>
      <xdr:colOff>239580</xdr:colOff>
      <xdr:row>1</xdr:row>
      <xdr:rowOff>161925</xdr:rowOff>
    </xdr:from>
    <xdr:to>
      <xdr:col>10</xdr:col>
      <xdr:colOff>483420</xdr:colOff>
      <xdr:row>3</xdr:row>
      <xdr:rowOff>143637</xdr:rowOff>
    </xdr:to>
    <xdr:sp macro="" textlink="">
      <xdr:nvSpPr>
        <xdr:cNvPr id="31" name="Rectangle 30">
          <a:hlinkClick xmlns:r="http://schemas.openxmlformats.org/officeDocument/2006/relationships" r:id="rId2"/>
          <a:extLst>
            <a:ext uri="{FF2B5EF4-FFF2-40B4-BE49-F238E27FC236}">
              <a16:creationId xmlns:a16="http://schemas.microsoft.com/office/drawing/2014/main" id="{00000000-0008-0000-0700-00001F000000}"/>
            </a:ext>
          </a:extLst>
        </xdr:cNvPr>
        <xdr:cNvSpPr/>
      </xdr:nvSpPr>
      <xdr:spPr>
        <a:xfrm>
          <a:off x="5335455" y="352425"/>
          <a:ext cx="1463040" cy="438912"/>
        </a:xfrm>
        <a:prstGeom prst="rect">
          <a:avLst/>
        </a:prstGeom>
        <a:ln>
          <a:solidFill>
            <a:schemeClr val="bg1">
              <a:lumMod val="50000"/>
            </a:schemeClr>
          </a:solidFill>
        </a:ln>
      </xdr:spPr>
      <xdr:style>
        <a:lnRef idx="1">
          <a:schemeClr val="accent5"/>
        </a:lnRef>
        <a:fillRef idx="2">
          <a:schemeClr val="accent5"/>
        </a:fillRef>
        <a:effectRef idx="1">
          <a:schemeClr val="accent5"/>
        </a:effectRef>
        <a:fontRef idx="minor">
          <a:schemeClr val="dk1"/>
        </a:fontRef>
      </xdr:style>
      <xdr:txBody>
        <a:bodyPr vertOverflow="clip" rtlCol="0" anchor="ctr"/>
        <a:lstStyle/>
        <a:p>
          <a:pPr algn="ctr"/>
          <a:r>
            <a:rPr lang="en-US" sz="1100" b="1"/>
            <a:t>Output - Shocks</a:t>
          </a:r>
        </a:p>
      </xdr:txBody>
    </xdr:sp>
    <xdr:clientData/>
  </xdr:twoCellAnchor>
  <xdr:twoCellAnchor>
    <xdr:from>
      <xdr:col>10</xdr:col>
      <xdr:colOff>489681</xdr:colOff>
      <xdr:row>1</xdr:row>
      <xdr:rowOff>161925</xdr:rowOff>
    </xdr:from>
    <xdr:to>
      <xdr:col>13</xdr:col>
      <xdr:colOff>123921</xdr:colOff>
      <xdr:row>3</xdr:row>
      <xdr:rowOff>143637</xdr:rowOff>
    </xdr:to>
    <xdr:sp macro="" textlink="">
      <xdr:nvSpPr>
        <xdr:cNvPr id="32" name="Rectangle 31">
          <a:hlinkClick xmlns:r="http://schemas.openxmlformats.org/officeDocument/2006/relationships" r:id="rId3"/>
          <a:extLst>
            <a:ext uri="{FF2B5EF4-FFF2-40B4-BE49-F238E27FC236}">
              <a16:creationId xmlns:a16="http://schemas.microsoft.com/office/drawing/2014/main" id="{00000000-0008-0000-0700-000020000000}"/>
            </a:ext>
          </a:extLst>
        </xdr:cNvPr>
        <xdr:cNvSpPr/>
      </xdr:nvSpPr>
      <xdr:spPr>
        <a:xfrm>
          <a:off x="6804756" y="352425"/>
          <a:ext cx="1463040" cy="438912"/>
        </a:xfrm>
        <a:prstGeom prst="rect">
          <a:avLst/>
        </a:prstGeom>
        <a:ln>
          <a:solidFill>
            <a:schemeClr val="bg1">
              <a:lumMod val="50000"/>
            </a:schemeClr>
          </a:solidFill>
        </a:ln>
      </xdr:spPr>
      <xdr:style>
        <a:lnRef idx="1">
          <a:schemeClr val="accent5"/>
        </a:lnRef>
        <a:fillRef idx="2">
          <a:schemeClr val="accent5"/>
        </a:fillRef>
        <a:effectRef idx="1">
          <a:schemeClr val="accent5"/>
        </a:effectRef>
        <a:fontRef idx="minor">
          <a:schemeClr val="dk1"/>
        </a:fontRef>
      </xdr:style>
      <xdr:txBody>
        <a:bodyPr vertOverflow="clip" rtlCol="0" anchor="ctr"/>
        <a:lstStyle/>
        <a:p>
          <a:pPr algn="ctr"/>
          <a:r>
            <a:rPr lang="en-US" sz="1100" b="1"/>
            <a:t>Output - Heat Map</a:t>
          </a:r>
        </a:p>
      </xdr:txBody>
    </xdr:sp>
    <xdr:clientData/>
  </xdr:twoCellAnchor>
  <xdr:twoCellAnchor>
    <xdr:from>
      <xdr:col>13</xdr:col>
      <xdr:colOff>123825</xdr:colOff>
      <xdr:row>1</xdr:row>
      <xdr:rowOff>161925</xdr:rowOff>
    </xdr:from>
    <xdr:to>
      <xdr:col>15</xdr:col>
      <xdr:colOff>367665</xdr:colOff>
      <xdr:row>3</xdr:row>
      <xdr:rowOff>143637</xdr:rowOff>
    </xdr:to>
    <xdr:sp macro="" textlink="">
      <xdr:nvSpPr>
        <xdr:cNvPr id="33" name="Rectangle 32">
          <a:hlinkClick xmlns:r="http://schemas.openxmlformats.org/officeDocument/2006/relationships" r:id="rId4"/>
          <a:extLst>
            <a:ext uri="{FF2B5EF4-FFF2-40B4-BE49-F238E27FC236}">
              <a16:creationId xmlns:a16="http://schemas.microsoft.com/office/drawing/2014/main" id="{00000000-0008-0000-0700-000021000000}"/>
            </a:ext>
          </a:extLst>
        </xdr:cNvPr>
        <xdr:cNvSpPr/>
      </xdr:nvSpPr>
      <xdr:spPr>
        <a:xfrm>
          <a:off x="8267700" y="352425"/>
          <a:ext cx="1463040" cy="438912"/>
        </a:xfrm>
        <a:prstGeom prst="rect">
          <a:avLst/>
        </a:prstGeom>
        <a:ln>
          <a:solidFill>
            <a:schemeClr val="bg1">
              <a:lumMod val="50000"/>
            </a:schemeClr>
          </a:solidFill>
        </a:ln>
      </xdr:spPr>
      <xdr:style>
        <a:lnRef idx="1">
          <a:schemeClr val="accent5"/>
        </a:lnRef>
        <a:fillRef idx="2">
          <a:schemeClr val="accent5"/>
        </a:fillRef>
        <a:effectRef idx="1">
          <a:schemeClr val="accent5"/>
        </a:effectRef>
        <a:fontRef idx="minor">
          <a:schemeClr val="dk1"/>
        </a:fontRef>
      </xdr:style>
      <xdr:txBody>
        <a:bodyPr vertOverflow="clip" rtlCol="0" anchor="ctr"/>
        <a:lstStyle/>
        <a:p>
          <a:pPr algn="ctr"/>
          <a:r>
            <a:rPr lang="en-US" sz="1100" b="1"/>
            <a:t>Output - Submit</a:t>
          </a:r>
        </a:p>
      </xdr:txBody>
    </xdr:sp>
    <xdr:clientData/>
  </xdr:twoCellAnchor>
  <xdr:twoCellAnchor>
    <xdr:from>
      <xdr:col>0</xdr:col>
      <xdr:colOff>76200</xdr:colOff>
      <xdr:row>0</xdr:row>
      <xdr:rowOff>74583</xdr:rowOff>
    </xdr:from>
    <xdr:to>
      <xdr:col>3</xdr:col>
      <xdr:colOff>1524000</xdr:colOff>
      <xdr:row>3</xdr:row>
      <xdr:rowOff>140115</xdr:rowOff>
    </xdr:to>
    <xdr:sp macro="" textlink="">
      <xdr:nvSpPr>
        <xdr:cNvPr id="34" name="Rectangle 33">
          <a:hlinkClick xmlns:r="http://schemas.openxmlformats.org/officeDocument/2006/relationships" r:id="rId5"/>
          <a:extLst>
            <a:ext uri="{FF2B5EF4-FFF2-40B4-BE49-F238E27FC236}">
              <a16:creationId xmlns:a16="http://schemas.microsoft.com/office/drawing/2014/main" id="{00000000-0008-0000-0700-000022000000}"/>
            </a:ext>
          </a:extLst>
        </xdr:cNvPr>
        <xdr:cNvSpPr/>
      </xdr:nvSpPr>
      <xdr:spPr>
        <a:xfrm>
          <a:off x="76200" y="74583"/>
          <a:ext cx="2276475" cy="713232"/>
        </a:xfrm>
        <a:prstGeom prst="rect">
          <a:avLst/>
        </a:prstGeom>
        <a:ln>
          <a:solidFill>
            <a:schemeClr val="bg1">
              <a:lumMod val="50000"/>
            </a:schemeClr>
          </a:solidFill>
        </a:ln>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600" b="1"/>
            <a:t>Classification and Outputs</a:t>
          </a:r>
        </a:p>
      </xdr:txBody>
    </xdr:sp>
    <xdr:clientData/>
  </xdr:twoCellAnchor>
  <xdr:twoCellAnchor>
    <xdr:from>
      <xdr:col>5</xdr:col>
      <xdr:colOff>1285875</xdr:colOff>
      <xdr:row>1</xdr:row>
      <xdr:rowOff>161925</xdr:rowOff>
    </xdr:from>
    <xdr:to>
      <xdr:col>8</xdr:col>
      <xdr:colOff>234315</xdr:colOff>
      <xdr:row>3</xdr:row>
      <xdr:rowOff>143637</xdr:rowOff>
    </xdr:to>
    <xdr:sp macro="" textlink="">
      <xdr:nvSpPr>
        <xdr:cNvPr id="35" name="Rectangle 34">
          <a:hlinkClick xmlns:r="http://schemas.openxmlformats.org/officeDocument/2006/relationships" r:id="rId6"/>
          <a:extLst>
            <a:ext uri="{FF2B5EF4-FFF2-40B4-BE49-F238E27FC236}">
              <a16:creationId xmlns:a16="http://schemas.microsoft.com/office/drawing/2014/main" id="{00000000-0008-0000-0700-000023000000}"/>
            </a:ext>
          </a:extLst>
        </xdr:cNvPr>
        <xdr:cNvSpPr/>
      </xdr:nvSpPr>
      <xdr:spPr>
        <a:xfrm>
          <a:off x="3867150" y="352425"/>
          <a:ext cx="1463040" cy="438912"/>
        </a:xfrm>
        <a:prstGeom prst="rect">
          <a:avLst/>
        </a:prstGeom>
        <a:ln>
          <a:solidFill>
            <a:schemeClr val="bg1">
              <a:lumMod val="50000"/>
            </a:schemeClr>
          </a:solidFill>
        </a:ln>
      </xdr:spPr>
      <xdr:style>
        <a:lnRef idx="1">
          <a:schemeClr val="accent5"/>
        </a:lnRef>
        <a:fillRef idx="2">
          <a:schemeClr val="accent5"/>
        </a:fillRef>
        <a:effectRef idx="1">
          <a:schemeClr val="accent5"/>
        </a:effectRef>
        <a:fontRef idx="minor">
          <a:schemeClr val="dk1"/>
        </a:fontRef>
      </xdr:style>
      <xdr:txBody>
        <a:bodyPr vertOverflow="clip" rtlCol="0" anchor="ctr"/>
        <a:lstStyle/>
        <a:p>
          <a:pPr algn="ctr"/>
          <a:r>
            <a:rPr lang="en-US" sz="1100" b="1"/>
            <a:t>Output - Realism</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xdr:col>
      <xdr:colOff>1</xdr:colOff>
      <xdr:row>42</xdr:row>
      <xdr:rowOff>166688</xdr:rowOff>
    </xdr:from>
    <xdr:to>
      <xdr:col>23</xdr:col>
      <xdr:colOff>571500</xdr:colOff>
      <xdr:row>63</xdr:row>
      <xdr:rowOff>0</xdr:rowOff>
    </xdr:to>
    <xdr:grpSp>
      <xdr:nvGrpSpPr>
        <xdr:cNvPr id="4" name="Group 3">
          <a:extLst>
            <a:ext uri="{FF2B5EF4-FFF2-40B4-BE49-F238E27FC236}">
              <a16:creationId xmlns:a16="http://schemas.microsoft.com/office/drawing/2014/main" id="{00000000-0008-0000-0800-000004000000}"/>
            </a:ext>
          </a:extLst>
        </xdr:cNvPr>
        <xdr:cNvGrpSpPr/>
      </xdr:nvGrpSpPr>
      <xdr:grpSpPr>
        <a:xfrm>
          <a:off x="178595" y="9489282"/>
          <a:ext cx="11620499" cy="5083968"/>
          <a:chOff x="174626" y="8882063"/>
          <a:chExt cx="13691506" cy="4179782"/>
        </a:xfrm>
      </xdr:grpSpPr>
      <xdr:sp macro="" textlink="">
        <xdr:nvSpPr>
          <xdr:cNvPr id="3" name="Rectangle 2">
            <a:extLst>
              <a:ext uri="{FF2B5EF4-FFF2-40B4-BE49-F238E27FC236}">
                <a16:creationId xmlns:a16="http://schemas.microsoft.com/office/drawing/2014/main" id="{00000000-0008-0000-0800-000003000000}"/>
              </a:ext>
            </a:extLst>
          </xdr:cNvPr>
          <xdr:cNvSpPr/>
        </xdr:nvSpPr>
        <xdr:spPr>
          <a:xfrm>
            <a:off x="7487693" y="9037104"/>
            <a:ext cx="3629421" cy="3075261"/>
          </a:xfrm>
          <a:prstGeom prst="rect">
            <a:avLst/>
          </a:prstGeom>
          <a:solidFill>
            <a:schemeClr val="bg1">
              <a:lumMod val="65000"/>
              <a:alpha val="34000"/>
            </a:schemeClr>
          </a:solidFill>
          <a:ln w="2540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endParaRPr lang="en-US"/>
          </a:p>
        </xdr:txBody>
      </xdr:sp>
      <xdr:graphicFrame macro="">
        <xdr:nvGraphicFramePr>
          <xdr:cNvPr id="7" name="Chart 6">
            <a:extLst>
              <a:ext uri="{FF2B5EF4-FFF2-40B4-BE49-F238E27FC236}">
                <a16:creationId xmlns:a16="http://schemas.microsoft.com/office/drawing/2014/main" id="{00000000-0008-0000-0800-000007000000}"/>
              </a:ext>
            </a:extLst>
          </xdr:cNvPr>
          <xdr:cNvGraphicFramePr/>
        </xdr:nvGraphicFramePr>
        <xdr:xfrm>
          <a:off x="174626" y="8882063"/>
          <a:ext cx="13691506" cy="4179782"/>
        </xdr:xfrm>
        <a:graphic>
          <a:graphicData uri="http://schemas.openxmlformats.org/drawingml/2006/chart">
            <c:chart xmlns:c="http://schemas.openxmlformats.org/drawingml/2006/chart" xmlns:r="http://schemas.openxmlformats.org/officeDocument/2006/relationships" r:id="rId1"/>
          </a:graphicData>
        </a:graphic>
      </xdr:graphicFrame>
    </xdr:grpSp>
    <xdr:clientData/>
  </xdr:twoCellAnchor>
  <xdr:twoCellAnchor>
    <xdr:from>
      <xdr:col>20</xdr:col>
      <xdr:colOff>359678</xdr:colOff>
      <xdr:row>42</xdr:row>
      <xdr:rowOff>189821</xdr:rowOff>
    </xdr:from>
    <xdr:to>
      <xdr:col>25</xdr:col>
      <xdr:colOff>478740</xdr:colOff>
      <xdr:row>63</xdr:row>
      <xdr:rowOff>9525</xdr:rowOff>
    </xdr:to>
    <xdr:grpSp>
      <xdr:nvGrpSpPr>
        <xdr:cNvPr id="8" name="Group 7">
          <a:extLst>
            <a:ext uri="{FF2B5EF4-FFF2-40B4-BE49-F238E27FC236}">
              <a16:creationId xmlns:a16="http://schemas.microsoft.com/office/drawing/2014/main" id="{00000000-0008-0000-0800-000008000000}"/>
            </a:ext>
          </a:extLst>
        </xdr:cNvPr>
        <xdr:cNvGrpSpPr/>
      </xdr:nvGrpSpPr>
      <xdr:grpSpPr>
        <a:xfrm>
          <a:off x="9884678" y="9512415"/>
          <a:ext cx="2619375" cy="5070360"/>
          <a:chOff x="13043806" y="8656254"/>
          <a:chExt cx="2405062" cy="5142933"/>
        </a:xfrm>
      </xdr:grpSpPr>
      <xdr:sp macro="" textlink="">
        <xdr:nvSpPr>
          <xdr:cNvPr id="6" name="Rectangle 5">
            <a:extLst>
              <a:ext uri="{FF2B5EF4-FFF2-40B4-BE49-F238E27FC236}">
                <a16:creationId xmlns:a16="http://schemas.microsoft.com/office/drawing/2014/main" id="{00000000-0008-0000-0800-000006000000}"/>
              </a:ext>
            </a:extLst>
          </xdr:cNvPr>
          <xdr:cNvSpPr/>
        </xdr:nvSpPr>
        <xdr:spPr>
          <a:xfrm>
            <a:off x="13609411" y="8852201"/>
            <a:ext cx="1280961" cy="3736426"/>
          </a:xfrm>
          <a:prstGeom prst="rect">
            <a:avLst/>
          </a:prstGeom>
          <a:solidFill>
            <a:sysClr val="window" lastClr="FFFFFF">
              <a:lumMod val="65000"/>
              <a:alpha val="34000"/>
            </a:sysClr>
          </a:solidFill>
          <a:ln w="2540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endParaRPr lang="en-US"/>
          </a:p>
        </xdr:txBody>
      </xdr:sp>
      <xdr:graphicFrame macro="">
        <xdr:nvGraphicFramePr>
          <xdr:cNvPr id="5" name="Chart 4">
            <a:extLst>
              <a:ext uri="{FF2B5EF4-FFF2-40B4-BE49-F238E27FC236}">
                <a16:creationId xmlns:a16="http://schemas.microsoft.com/office/drawing/2014/main" id="{00000000-0008-0000-0800-000005000000}"/>
              </a:ext>
            </a:extLst>
          </xdr:cNvPr>
          <xdr:cNvGraphicFramePr/>
        </xdr:nvGraphicFramePr>
        <xdr:xfrm>
          <a:off x="13043806" y="8656254"/>
          <a:ext cx="2405062" cy="5142933"/>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wsDr>
</file>

<file path=xl/drawings/drawing28.xml><?xml version="1.0" encoding="utf-8"?>
<c:userShapes xmlns:c="http://schemas.openxmlformats.org/drawingml/2006/chart">
  <cdr:relSizeAnchor xmlns:cdr="http://schemas.openxmlformats.org/drawingml/2006/chartDrawing">
    <cdr:from>
      <cdr:x>0.43113</cdr:x>
      <cdr:y>0.04724</cdr:y>
    </cdr:from>
    <cdr:to>
      <cdr:x>0.53378</cdr:x>
      <cdr:y>0.12544</cdr:y>
    </cdr:to>
    <cdr:sp macro="" textlink="">
      <cdr:nvSpPr>
        <cdr:cNvPr id="3" name="TextBox 1">
          <a:extLst xmlns:a="http://schemas.openxmlformats.org/drawingml/2006/main">
            <a:ext uri="{FF2B5EF4-FFF2-40B4-BE49-F238E27FC236}">
              <a16:creationId xmlns:a16="http://schemas.microsoft.com/office/drawing/2014/main" id="{5DFCD604-64B8-4623-9791-8E1554B65D1A}"/>
            </a:ext>
          </a:extLst>
        </cdr:cNvPr>
        <cdr:cNvSpPr txBox="1"/>
      </cdr:nvSpPr>
      <cdr:spPr>
        <a:xfrm xmlns:a="http://schemas.openxmlformats.org/drawingml/2006/main">
          <a:off x="4877650" y="234227"/>
          <a:ext cx="1161338" cy="387767"/>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ctr"/>
          <a:r>
            <a:rPr lang="en-US" sz="1400"/>
            <a:t>projection</a:t>
          </a:r>
        </a:p>
      </cdr:txBody>
    </cdr:sp>
  </cdr:relSizeAnchor>
  <cdr:relSizeAnchor xmlns:cdr="http://schemas.openxmlformats.org/drawingml/2006/chartDrawing">
    <cdr:from>
      <cdr:x>0.52043</cdr:x>
      <cdr:y>0.08849</cdr:y>
    </cdr:from>
    <cdr:to>
      <cdr:x>0.54559</cdr:x>
      <cdr:y>0.08849</cdr:y>
    </cdr:to>
    <cdr:sp macro="" textlink="">
      <cdr:nvSpPr>
        <cdr:cNvPr id="4" name="Straight Arrow Connector 3">
          <a:extLst xmlns:a="http://schemas.openxmlformats.org/drawingml/2006/main">
            <a:ext uri="{FF2B5EF4-FFF2-40B4-BE49-F238E27FC236}">
              <a16:creationId xmlns:a16="http://schemas.microsoft.com/office/drawing/2014/main" id="{9FF2C1CA-D85B-43D2-BC61-DF42336C7D60}"/>
            </a:ext>
          </a:extLst>
        </cdr:cNvPr>
        <cdr:cNvSpPr/>
      </cdr:nvSpPr>
      <cdr:spPr>
        <a:xfrm xmlns:a="http://schemas.openxmlformats.org/drawingml/2006/main">
          <a:off x="5887921" y="438772"/>
          <a:ext cx="284650" cy="0"/>
        </a:xfrm>
        <a:prstGeom xmlns:a="http://schemas.openxmlformats.org/drawingml/2006/main" prst="straightConnector1">
          <a:avLst/>
        </a:prstGeom>
        <a:noFill xmlns:a="http://schemas.openxmlformats.org/drawingml/2006/main"/>
        <a:ln xmlns:a="http://schemas.openxmlformats.org/drawingml/2006/main" w="9525" cap="flat" cmpd="sng" algn="ctr">
          <a:solidFill>
            <a:sysClr val="windowText" lastClr="000000">
              <a:shade val="95000"/>
              <a:satMod val="105000"/>
            </a:sysClr>
          </a:solidFill>
          <a:prstDash val="solid"/>
          <a:tailEnd type="arrow"/>
        </a:ln>
        <a:effectLst xmlns:a="http://schemas.openxmlformats.org/drawingml/2006/mai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endParaRPr lang="en-US"/>
        </a:p>
      </cdr:txBody>
    </cdr:sp>
  </cdr:relSizeAnchor>
  <cdr:relSizeAnchor xmlns:cdr="http://schemas.openxmlformats.org/drawingml/2006/chartDrawing">
    <cdr:from>
      <cdr:x>0.04961</cdr:x>
      <cdr:y>0.12038</cdr:y>
    </cdr:from>
    <cdr:to>
      <cdr:x>0.27668</cdr:x>
      <cdr:y>0.17673</cdr:y>
    </cdr:to>
    <cdr:sp macro="" textlink="">
      <cdr:nvSpPr>
        <cdr:cNvPr id="5" name="TextBox 4">
          <a:extLst xmlns:a="http://schemas.openxmlformats.org/drawingml/2006/main">
            <a:ext uri="{FF2B5EF4-FFF2-40B4-BE49-F238E27FC236}">
              <a16:creationId xmlns:a16="http://schemas.microsoft.com/office/drawing/2014/main" id="{D77E90F6-7D8C-498E-A74E-94F628A434E7}"/>
            </a:ext>
          </a:extLst>
        </cdr:cNvPr>
        <cdr:cNvSpPr txBox="1"/>
      </cdr:nvSpPr>
      <cdr:spPr>
        <a:xfrm xmlns:a="http://schemas.openxmlformats.org/drawingml/2006/main">
          <a:off x="549790" y="532564"/>
          <a:ext cx="2516416" cy="249293"/>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r>
            <a:rPr lang="en-US" sz="1400">
              <a:latin typeface="Segoe UI" pitchFamily="34" charset="0"/>
              <a:cs typeface="Segoe UI" pitchFamily="34" charset="0"/>
            </a:rPr>
            <a:t>(in percent of GDP)</a:t>
          </a:r>
        </a:p>
      </cdr:txBody>
    </cdr:sp>
  </cdr:relSizeAnchor>
</c:userShapes>
</file>

<file path=xl/drawings/drawing29.xml><?xml version="1.0" encoding="utf-8"?>
<xdr:wsDr xmlns:xdr="http://schemas.openxmlformats.org/drawingml/2006/spreadsheetDrawing" xmlns:a="http://schemas.openxmlformats.org/drawingml/2006/main">
  <xdr:twoCellAnchor>
    <xdr:from>
      <xdr:col>1</xdr:col>
      <xdr:colOff>903</xdr:colOff>
      <xdr:row>34</xdr:row>
      <xdr:rowOff>0</xdr:rowOff>
    </xdr:from>
    <xdr:to>
      <xdr:col>9</xdr:col>
      <xdr:colOff>307881</xdr:colOff>
      <xdr:row>51</xdr:row>
      <xdr:rowOff>197576</xdr:rowOff>
    </xdr:to>
    <xdr:grpSp>
      <xdr:nvGrpSpPr>
        <xdr:cNvPr id="7" name="Group 6">
          <a:extLst>
            <a:ext uri="{FF2B5EF4-FFF2-40B4-BE49-F238E27FC236}">
              <a16:creationId xmlns:a16="http://schemas.microsoft.com/office/drawing/2014/main" id="{00000000-0008-0000-0900-000007000000}"/>
            </a:ext>
          </a:extLst>
        </xdr:cNvPr>
        <xdr:cNvGrpSpPr/>
      </xdr:nvGrpSpPr>
      <xdr:grpSpPr>
        <a:xfrm>
          <a:off x="179497" y="6822281"/>
          <a:ext cx="5450478" cy="4448108"/>
          <a:chOff x="175528" y="1127125"/>
          <a:chExt cx="5386977" cy="4515575"/>
        </a:xfrm>
      </xdr:grpSpPr>
      <xdr:sp macro="" textlink="">
        <xdr:nvSpPr>
          <xdr:cNvPr id="6" name="Rectangle 5">
            <a:extLst>
              <a:ext uri="{FF2B5EF4-FFF2-40B4-BE49-F238E27FC236}">
                <a16:creationId xmlns:a16="http://schemas.microsoft.com/office/drawing/2014/main" id="{00000000-0008-0000-0900-000006000000}"/>
              </a:ext>
            </a:extLst>
          </xdr:cNvPr>
          <xdr:cNvSpPr/>
        </xdr:nvSpPr>
        <xdr:spPr>
          <a:xfrm>
            <a:off x="1984375" y="1905001"/>
            <a:ext cx="3280292" cy="3266252"/>
          </a:xfrm>
          <a:prstGeom prst="rect">
            <a:avLst/>
          </a:prstGeom>
          <a:solidFill>
            <a:schemeClr val="bg1">
              <a:lumMod val="65000"/>
              <a:alpha val="34000"/>
            </a:schemeClr>
          </a:solidFill>
          <a:ln w="2540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endParaRPr lang="en-US"/>
          </a:p>
        </xdr:txBody>
      </xdr:sp>
      <xdr:graphicFrame macro="">
        <xdr:nvGraphicFramePr>
          <xdr:cNvPr id="5" name="Chart 4">
            <a:extLst>
              <a:ext uri="{FF2B5EF4-FFF2-40B4-BE49-F238E27FC236}">
                <a16:creationId xmlns:a16="http://schemas.microsoft.com/office/drawing/2014/main" id="{00000000-0008-0000-0900-000005000000}"/>
              </a:ext>
            </a:extLst>
          </xdr:cNvPr>
          <xdr:cNvGraphicFramePr/>
        </xdr:nvGraphicFramePr>
        <xdr:xfrm>
          <a:off x="175528" y="1127125"/>
          <a:ext cx="5386977" cy="4515575"/>
        </xdr:xfrm>
        <a:graphic>
          <a:graphicData uri="http://schemas.openxmlformats.org/drawingml/2006/chart">
            <c:chart xmlns:c="http://schemas.openxmlformats.org/drawingml/2006/chart" xmlns:r="http://schemas.openxmlformats.org/officeDocument/2006/relationships" r:id="rId1"/>
          </a:graphicData>
        </a:graphic>
      </xdr:graphicFrame>
    </xdr:grpSp>
    <xdr:clientData/>
  </xdr:twoCellAnchor>
  <xdr:twoCellAnchor>
    <xdr:from>
      <xdr:col>10</xdr:col>
      <xdr:colOff>486335</xdr:colOff>
      <xdr:row>34</xdr:row>
      <xdr:rowOff>0</xdr:rowOff>
    </xdr:from>
    <xdr:to>
      <xdr:col>20</xdr:col>
      <xdr:colOff>114860</xdr:colOff>
      <xdr:row>51</xdr:row>
      <xdr:rowOff>197576</xdr:rowOff>
    </xdr:to>
    <xdr:grpSp>
      <xdr:nvGrpSpPr>
        <xdr:cNvPr id="9" name="Group 8">
          <a:extLst>
            <a:ext uri="{FF2B5EF4-FFF2-40B4-BE49-F238E27FC236}">
              <a16:creationId xmlns:a16="http://schemas.microsoft.com/office/drawing/2014/main" id="{00000000-0008-0000-0900-000009000000}"/>
            </a:ext>
          </a:extLst>
        </xdr:cNvPr>
        <xdr:cNvGrpSpPr/>
      </xdr:nvGrpSpPr>
      <xdr:grpSpPr>
        <a:xfrm>
          <a:off x="6451366" y="6822281"/>
          <a:ext cx="6022182" cy="4448108"/>
          <a:chOff x="5776679" y="1119188"/>
          <a:chExt cx="5561806" cy="4448107"/>
        </a:xfrm>
      </xdr:grpSpPr>
      <xdr:sp macro="" textlink="">
        <xdr:nvSpPr>
          <xdr:cNvPr id="8" name="Rectangle 7">
            <a:extLst>
              <a:ext uri="{FF2B5EF4-FFF2-40B4-BE49-F238E27FC236}">
                <a16:creationId xmlns:a16="http://schemas.microsoft.com/office/drawing/2014/main" id="{00000000-0008-0000-0900-000008000000}"/>
              </a:ext>
            </a:extLst>
          </xdr:cNvPr>
          <xdr:cNvSpPr/>
        </xdr:nvSpPr>
        <xdr:spPr>
          <a:xfrm>
            <a:off x="7671594" y="1877219"/>
            <a:ext cx="3392921" cy="3226986"/>
          </a:xfrm>
          <a:prstGeom prst="rect">
            <a:avLst/>
          </a:prstGeom>
          <a:solidFill>
            <a:schemeClr val="bg1">
              <a:lumMod val="65000"/>
              <a:alpha val="34000"/>
            </a:schemeClr>
          </a:solidFill>
          <a:ln w="2540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endParaRPr lang="en-US"/>
          </a:p>
        </xdr:txBody>
      </xdr:sp>
      <xdr:graphicFrame macro="">
        <xdr:nvGraphicFramePr>
          <xdr:cNvPr id="4" name="Chart 3">
            <a:extLst>
              <a:ext uri="{FF2B5EF4-FFF2-40B4-BE49-F238E27FC236}">
                <a16:creationId xmlns:a16="http://schemas.microsoft.com/office/drawing/2014/main" id="{00000000-0008-0000-0900-000004000000}"/>
              </a:ext>
            </a:extLst>
          </xdr:cNvPr>
          <xdr:cNvGraphicFramePr/>
        </xdr:nvGraphicFramePr>
        <xdr:xfrm>
          <a:off x="5776679" y="1119188"/>
          <a:ext cx="5561806" cy="4448107"/>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7</xdr:col>
      <xdr:colOff>624417</xdr:colOff>
      <xdr:row>27</xdr:row>
      <xdr:rowOff>21167</xdr:rowOff>
    </xdr:from>
    <xdr:to>
      <xdr:col>8</xdr:col>
      <xdr:colOff>623094</xdr:colOff>
      <xdr:row>27</xdr:row>
      <xdr:rowOff>21167</xdr:rowOff>
    </xdr:to>
    <xdr:cxnSp macro="">
      <xdr:nvCxnSpPr>
        <xdr:cNvPr id="12" name="Straight Connector 11">
          <a:extLst>
            <a:ext uri="{FF2B5EF4-FFF2-40B4-BE49-F238E27FC236}">
              <a16:creationId xmlns:a16="http://schemas.microsoft.com/office/drawing/2014/main" id="{00000000-0008-0000-0900-00000C000000}"/>
            </a:ext>
          </a:extLst>
        </xdr:cNvPr>
        <xdr:cNvCxnSpPr/>
      </xdr:nvCxnSpPr>
      <xdr:spPr>
        <a:xfrm>
          <a:off x="4614334" y="6328834"/>
          <a:ext cx="633677" cy="0"/>
        </a:xfrm>
        <a:prstGeom prst="line">
          <a:avLst/>
        </a:prstGeom>
        <a:ln w="38100">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10584</xdr:colOff>
      <xdr:row>27</xdr:row>
      <xdr:rowOff>31749</xdr:rowOff>
    </xdr:from>
    <xdr:to>
      <xdr:col>15</xdr:col>
      <xdr:colOff>9261</xdr:colOff>
      <xdr:row>27</xdr:row>
      <xdr:rowOff>31749</xdr:rowOff>
    </xdr:to>
    <xdr:cxnSp macro="">
      <xdr:nvCxnSpPr>
        <xdr:cNvPr id="13" name="Straight Connector 12">
          <a:extLst>
            <a:ext uri="{FF2B5EF4-FFF2-40B4-BE49-F238E27FC236}">
              <a16:creationId xmlns:a16="http://schemas.microsoft.com/office/drawing/2014/main" id="{00000000-0008-0000-0900-00000D000000}"/>
            </a:ext>
          </a:extLst>
        </xdr:cNvPr>
        <xdr:cNvCxnSpPr/>
      </xdr:nvCxnSpPr>
      <xdr:spPr>
        <a:xfrm>
          <a:off x="8445501" y="6339416"/>
          <a:ext cx="633677" cy="0"/>
        </a:xfrm>
        <a:prstGeom prst="line">
          <a:avLst/>
        </a:prstGeom>
        <a:ln w="38100">
          <a:solidFill>
            <a:srgbClr val="FF66FF"/>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902</xdr:colOff>
      <xdr:row>4</xdr:row>
      <xdr:rowOff>13039</xdr:rowOff>
    </xdr:from>
    <xdr:to>
      <xdr:col>9</xdr:col>
      <xdr:colOff>307879</xdr:colOff>
      <xdr:row>22</xdr:row>
      <xdr:rowOff>115364</xdr:rowOff>
    </xdr:to>
    <xdr:grpSp>
      <xdr:nvGrpSpPr>
        <xdr:cNvPr id="15" name="Group 14">
          <a:extLst>
            <a:ext uri="{FF2B5EF4-FFF2-40B4-BE49-F238E27FC236}">
              <a16:creationId xmlns:a16="http://schemas.microsoft.com/office/drawing/2014/main" id="{00000000-0008-0000-0900-00000F000000}"/>
            </a:ext>
          </a:extLst>
        </xdr:cNvPr>
        <xdr:cNvGrpSpPr/>
      </xdr:nvGrpSpPr>
      <xdr:grpSpPr>
        <a:xfrm>
          <a:off x="179496" y="1144133"/>
          <a:ext cx="5450477" cy="4412387"/>
          <a:chOff x="175527" y="1140164"/>
          <a:chExt cx="5386977" cy="4483825"/>
        </a:xfrm>
      </xdr:grpSpPr>
      <xdr:graphicFrame macro="">
        <xdr:nvGraphicFramePr>
          <xdr:cNvPr id="2" name="Chart 1">
            <a:extLst>
              <a:ext uri="{FF2B5EF4-FFF2-40B4-BE49-F238E27FC236}">
                <a16:creationId xmlns:a16="http://schemas.microsoft.com/office/drawing/2014/main" id="{00000000-0008-0000-0900-000002000000}"/>
              </a:ext>
            </a:extLst>
          </xdr:cNvPr>
          <xdr:cNvGraphicFramePr/>
        </xdr:nvGraphicFramePr>
        <xdr:xfrm>
          <a:off x="175527" y="1140164"/>
          <a:ext cx="5386977" cy="4483825"/>
        </xdr:xfrm>
        <a:graphic>
          <a:graphicData uri="http://schemas.openxmlformats.org/drawingml/2006/chart">
            <c:chart xmlns:c="http://schemas.openxmlformats.org/drawingml/2006/chart" xmlns:r="http://schemas.openxmlformats.org/officeDocument/2006/relationships" r:id="rId3"/>
          </a:graphicData>
        </a:graphic>
      </xdr:graphicFrame>
      <xdr:sp macro="" textlink="">
        <xdr:nvSpPr>
          <xdr:cNvPr id="14" name="Rectangle 13">
            <a:extLst>
              <a:ext uri="{FF2B5EF4-FFF2-40B4-BE49-F238E27FC236}">
                <a16:creationId xmlns:a16="http://schemas.microsoft.com/office/drawing/2014/main" id="{00000000-0008-0000-0900-00000E000000}"/>
              </a:ext>
            </a:extLst>
          </xdr:cNvPr>
          <xdr:cNvSpPr/>
        </xdr:nvSpPr>
        <xdr:spPr>
          <a:xfrm>
            <a:off x="3794125" y="1905000"/>
            <a:ext cx="1507168" cy="3260055"/>
          </a:xfrm>
          <a:prstGeom prst="rect">
            <a:avLst/>
          </a:prstGeom>
          <a:solidFill>
            <a:schemeClr val="bg1">
              <a:lumMod val="65000"/>
              <a:alpha val="34000"/>
            </a:schemeClr>
          </a:solidFill>
          <a:ln w="2540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endParaRPr lang="en-US"/>
          </a:p>
        </xdr:txBody>
      </xdr:sp>
    </xdr:grpSp>
    <xdr:clientData/>
  </xdr:twoCellAnchor>
  <xdr:twoCellAnchor>
    <xdr:from>
      <xdr:col>10</xdr:col>
      <xdr:colOff>549835</xdr:colOff>
      <xdr:row>4</xdr:row>
      <xdr:rowOff>18143</xdr:rowOff>
    </xdr:from>
    <xdr:to>
      <xdr:col>21</xdr:col>
      <xdr:colOff>3735</xdr:colOff>
      <xdr:row>22</xdr:row>
      <xdr:rowOff>120468</xdr:rowOff>
    </xdr:to>
    <xdr:grpSp>
      <xdr:nvGrpSpPr>
        <xdr:cNvPr id="17" name="Group 16">
          <a:extLst>
            <a:ext uri="{FF2B5EF4-FFF2-40B4-BE49-F238E27FC236}">
              <a16:creationId xmlns:a16="http://schemas.microsoft.com/office/drawing/2014/main" id="{00000000-0008-0000-0900-000011000000}"/>
            </a:ext>
          </a:extLst>
        </xdr:cNvPr>
        <xdr:cNvGrpSpPr/>
      </xdr:nvGrpSpPr>
      <xdr:grpSpPr>
        <a:xfrm>
          <a:off x="6514866" y="1149237"/>
          <a:ext cx="6026150" cy="4412387"/>
          <a:chOff x="6439460" y="1145268"/>
          <a:chExt cx="5946775" cy="4483825"/>
        </a:xfrm>
      </xdr:grpSpPr>
      <xdr:graphicFrame macro="">
        <xdr:nvGraphicFramePr>
          <xdr:cNvPr id="3" name="Chart 2">
            <a:extLst>
              <a:ext uri="{FF2B5EF4-FFF2-40B4-BE49-F238E27FC236}">
                <a16:creationId xmlns:a16="http://schemas.microsoft.com/office/drawing/2014/main" id="{00000000-0008-0000-0900-000003000000}"/>
              </a:ext>
            </a:extLst>
          </xdr:cNvPr>
          <xdr:cNvGraphicFramePr/>
        </xdr:nvGraphicFramePr>
        <xdr:xfrm>
          <a:off x="6439460" y="1145268"/>
          <a:ext cx="5946775" cy="4483825"/>
        </xdr:xfrm>
        <a:graphic>
          <a:graphicData uri="http://schemas.openxmlformats.org/drawingml/2006/chart">
            <c:chart xmlns:c="http://schemas.openxmlformats.org/drawingml/2006/chart" xmlns:r="http://schemas.openxmlformats.org/officeDocument/2006/relationships" r:id="rId4"/>
          </a:graphicData>
        </a:graphic>
      </xdr:graphicFrame>
      <xdr:sp macro="" textlink="">
        <xdr:nvSpPr>
          <xdr:cNvPr id="16" name="Rectangle 15">
            <a:extLst>
              <a:ext uri="{FF2B5EF4-FFF2-40B4-BE49-F238E27FC236}">
                <a16:creationId xmlns:a16="http://schemas.microsoft.com/office/drawing/2014/main" id="{00000000-0008-0000-0900-000010000000}"/>
              </a:ext>
            </a:extLst>
          </xdr:cNvPr>
          <xdr:cNvSpPr/>
        </xdr:nvSpPr>
        <xdr:spPr>
          <a:xfrm>
            <a:off x="10477500" y="1920875"/>
            <a:ext cx="1609613" cy="3232479"/>
          </a:xfrm>
          <a:prstGeom prst="rect">
            <a:avLst/>
          </a:prstGeom>
          <a:solidFill>
            <a:schemeClr val="bg1">
              <a:lumMod val="65000"/>
              <a:alpha val="34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endParaRPr lang="en-US"/>
          </a:p>
        </xdr:txBody>
      </xdr:sp>
    </xdr:grpSp>
    <xdr:clientData/>
  </xdr:twoCellAnchor>
</xdr:wsDr>
</file>

<file path=xl/drawings/drawing3.xml><?xml version="1.0" encoding="utf-8"?>
<c:userShapes xmlns:c="http://schemas.openxmlformats.org/drawingml/2006/chart">
  <cdr:relSizeAnchor xmlns:cdr="http://schemas.openxmlformats.org/drawingml/2006/chartDrawing">
    <cdr:from>
      <cdr:x>0.16244</cdr:x>
      <cdr:y>0.07231</cdr:y>
    </cdr:from>
    <cdr:to>
      <cdr:x>0.89005</cdr:x>
      <cdr:y>0.19047</cdr:y>
    </cdr:to>
    <cdr:sp macro="" textlink="'Input 5 - Scenario Design'!$M$31">
      <cdr:nvSpPr>
        <cdr:cNvPr id="2" name="TextBox 1">
          <a:extLst xmlns:a="http://schemas.openxmlformats.org/drawingml/2006/main">
            <a:ext uri="{FF2B5EF4-FFF2-40B4-BE49-F238E27FC236}">
              <a16:creationId xmlns:a16="http://schemas.microsoft.com/office/drawing/2014/main" id="{98EE93D9-E4A1-46F5-8009-0C5042495AF0}"/>
            </a:ext>
          </a:extLst>
        </cdr:cNvPr>
        <cdr:cNvSpPr txBox="1"/>
      </cdr:nvSpPr>
      <cdr:spPr>
        <a:xfrm xmlns:a="http://schemas.openxmlformats.org/drawingml/2006/main">
          <a:off x="449215" y="145709"/>
          <a:ext cx="2012157"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5B8745CF-0FEF-40B9-914C-CEFEAA8F7706}" type="TxLink">
            <a:rPr lang="en-US" sz="1200" b="1" i="0" u="none" strike="noStrike">
              <a:solidFill>
                <a:srgbClr val="000000"/>
              </a:solidFill>
              <a:latin typeface="Calibri"/>
              <a:cs typeface="Calibri"/>
            </a:rPr>
            <a:pPr/>
            <a:t>Nominal Debt-to-GDP</a:t>
          </a:fld>
          <a:endParaRPr lang="en-US" sz="1100"/>
        </a:p>
      </cdr:txBody>
    </cdr:sp>
  </cdr:relSizeAnchor>
</c:userShapes>
</file>

<file path=xl/drawings/drawing30.xml><?xml version="1.0" encoding="utf-8"?>
<c:userShapes xmlns:c="http://schemas.openxmlformats.org/drawingml/2006/chart">
  <cdr:relSizeAnchor xmlns:cdr="http://schemas.openxmlformats.org/drawingml/2006/chartDrawing">
    <cdr:from>
      <cdr:x>0</cdr:x>
      <cdr:y>0.06805</cdr:y>
    </cdr:from>
    <cdr:to>
      <cdr:x>0.61805</cdr:x>
      <cdr:y>0.1533</cdr:y>
    </cdr:to>
    <cdr:sp macro="" textlink="'Lists-Modules-ChartData'!$AD$4">
      <cdr:nvSpPr>
        <cdr:cNvPr id="2" name="TextBox 1">
          <a:extLst xmlns:a="http://schemas.openxmlformats.org/drawingml/2006/main">
            <a:ext uri="{FF2B5EF4-FFF2-40B4-BE49-F238E27FC236}">
              <a16:creationId xmlns:a16="http://schemas.microsoft.com/office/drawing/2014/main" id="{060F7920-0DD3-4A30-A884-6674193AE700}"/>
            </a:ext>
          </a:extLst>
        </cdr:cNvPr>
        <cdr:cNvSpPr txBox="1"/>
      </cdr:nvSpPr>
      <cdr:spPr>
        <a:xfrm xmlns:a="http://schemas.openxmlformats.org/drawingml/2006/main">
          <a:off x="0" y="262643"/>
          <a:ext cx="3279294" cy="329001"/>
        </a:xfrm>
        <a:prstGeom xmlns:a="http://schemas.openxmlformats.org/drawingml/2006/main" prst="rect">
          <a:avLst/>
        </a:prstGeom>
      </cdr:spPr>
      <cdr:txBody>
        <a:bodyPr xmlns:a="http://schemas.openxmlformats.org/drawingml/2006/main" wrap="square" lIns="45720" tIns="45720" rIns="45720" bIns="45720"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a:fld id="{95DD78B3-EF8B-43F8-9745-EB155865DEC8}" type="TxLink">
            <a:rPr lang="en-US" sz="1400" b="0" i="0" u="none" strike="noStrike">
              <a:solidFill>
                <a:srgbClr val="000000"/>
              </a:solidFill>
              <a:latin typeface="Segoe UI" pitchFamily="34" charset="0"/>
              <a:cs typeface="Segoe UI" pitchFamily="34" charset="0"/>
            </a:rPr>
            <a:pPr algn="l"/>
            <a:t>(in percent of GDP)</a:t>
          </a:fld>
          <a:endParaRPr lang="en-US" sz="1400" b="0">
            <a:latin typeface="Segoe UI" pitchFamily="34" charset="0"/>
            <a:cs typeface="Segoe UI" pitchFamily="34" charset="0"/>
          </a:endParaRPr>
        </a:p>
      </cdr:txBody>
    </cdr:sp>
  </cdr:relSizeAnchor>
  <cdr:relSizeAnchor xmlns:cdr="http://schemas.openxmlformats.org/drawingml/2006/chartDrawing">
    <cdr:from>
      <cdr:x>0.14076</cdr:x>
      <cdr:y>0.79625</cdr:y>
    </cdr:from>
    <cdr:to>
      <cdr:x>0.33409</cdr:x>
      <cdr:y>0.86636</cdr:y>
    </cdr:to>
    <cdr:sp macro="" textlink="">
      <cdr:nvSpPr>
        <cdr:cNvPr id="4" name="TextBox 1">
          <a:extLst xmlns:a="http://schemas.openxmlformats.org/drawingml/2006/main">
            <a:ext uri="{FF2B5EF4-FFF2-40B4-BE49-F238E27FC236}">
              <a16:creationId xmlns:a16="http://schemas.microsoft.com/office/drawing/2014/main" id="{214A0ECD-006F-4908-9272-081BB62F0E01}"/>
            </a:ext>
          </a:extLst>
        </cdr:cNvPr>
        <cdr:cNvSpPr txBox="1"/>
      </cdr:nvSpPr>
      <cdr:spPr>
        <a:xfrm xmlns:a="http://schemas.openxmlformats.org/drawingml/2006/main">
          <a:off x="753340" y="3039341"/>
          <a:ext cx="1034751" cy="267616"/>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ctr"/>
          <a:r>
            <a:rPr lang="en-US" sz="1400">
              <a:latin typeface="Segoe UI" pitchFamily="34" charset="0"/>
              <a:ea typeface="Segoe UI" pitchFamily="34" charset="0"/>
              <a:cs typeface="Segoe UI" pitchFamily="34" charset="0"/>
            </a:rPr>
            <a:t>projection</a:t>
          </a:r>
        </a:p>
      </cdr:txBody>
    </cdr:sp>
  </cdr:relSizeAnchor>
  <cdr:relSizeAnchor xmlns:cdr="http://schemas.openxmlformats.org/drawingml/2006/chartDrawing">
    <cdr:from>
      <cdr:x>0.31762</cdr:x>
      <cdr:y>0.8333</cdr:y>
    </cdr:from>
    <cdr:to>
      <cdr:x>0.37122</cdr:x>
      <cdr:y>0.8333</cdr:y>
    </cdr:to>
    <cdr:sp macro="" textlink="">
      <cdr:nvSpPr>
        <cdr:cNvPr id="5" name="Straight Arrow Connector 4">
          <a:extLst xmlns:a="http://schemas.openxmlformats.org/drawingml/2006/main">
            <a:ext uri="{FF2B5EF4-FFF2-40B4-BE49-F238E27FC236}">
              <a16:creationId xmlns:a16="http://schemas.microsoft.com/office/drawing/2014/main" id="{8B2DF5D8-00A8-4D92-80F8-04B8B2F4B37D}"/>
            </a:ext>
          </a:extLst>
        </cdr:cNvPr>
        <cdr:cNvSpPr/>
      </cdr:nvSpPr>
      <cdr:spPr>
        <a:xfrm xmlns:a="http://schemas.openxmlformats.org/drawingml/2006/main">
          <a:off x="1699930" y="3180785"/>
          <a:ext cx="286853" cy="0"/>
        </a:xfrm>
        <a:prstGeom xmlns:a="http://schemas.openxmlformats.org/drawingml/2006/main" prst="straightConnector1">
          <a:avLst/>
        </a:prstGeom>
        <a:noFill xmlns:a="http://schemas.openxmlformats.org/drawingml/2006/main"/>
        <a:ln xmlns:a="http://schemas.openxmlformats.org/drawingml/2006/main" w="9525" cap="flat" cmpd="sng" algn="ctr">
          <a:solidFill>
            <a:sysClr val="windowText" lastClr="000000">
              <a:shade val="95000"/>
              <a:satMod val="105000"/>
            </a:sysClr>
          </a:solidFill>
          <a:prstDash val="solid"/>
          <a:tailEnd type="arrow"/>
        </a:ln>
        <a:effectLst xmlns:a="http://schemas.openxmlformats.org/drawingml/2006/mai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endParaRPr lang="en-US"/>
        </a:p>
      </cdr:txBody>
    </cdr:sp>
  </cdr:relSizeAnchor>
</c:userShapes>
</file>

<file path=xl/drawings/drawing31.xml><?xml version="1.0" encoding="utf-8"?>
<c:userShapes xmlns:c="http://schemas.openxmlformats.org/drawingml/2006/chart">
  <cdr:relSizeAnchor xmlns:cdr="http://schemas.openxmlformats.org/drawingml/2006/chartDrawing">
    <cdr:from>
      <cdr:x>0</cdr:x>
      <cdr:y>0.0677</cdr:y>
    </cdr:from>
    <cdr:to>
      <cdr:x>0.69769</cdr:x>
      <cdr:y>0.15295</cdr:y>
    </cdr:to>
    <cdr:sp macro="" textlink="'Lists-Modules-ChartData'!$AD$8">
      <cdr:nvSpPr>
        <cdr:cNvPr id="2" name="TextBox 1">
          <a:extLst xmlns:a="http://schemas.openxmlformats.org/drawingml/2006/main">
            <a:ext uri="{FF2B5EF4-FFF2-40B4-BE49-F238E27FC236}">
              <a16:creationId xmlns:a16="http://schemas.microsoft.com/office/drawing/2014/main" id="{B14AFDFA-9E23-4A50-8CC7-F1E97BEBD360}"/>
            </a:ext>
          </a:extLst>
        </cdr:cNvPr>
        <cdr:cNvSpPr txBox="1"/>
      </cdr:nvSpPr>
      <cdr:spPr>
        <a:xfrm xmlns:a="http://schemas.openxmlformats.org/drawingml/2006/main">
          <a:off x="0" y="261279"/>
          <a:ext cx="3685702" cy="329002"/>
        </a:xfrm>
        <a:prstGeom xmlns:a="http://schemas.openxmlformats.org/drawingml/2006/main" prst="rect">
          <a:avLst/>
        </a:prstGeom>
      </cdr:spPr>
      <cdr:txBody>
        <a:bodyPr xmlns:a="http://schemas.openxmlformats.org/drawingml/2006/main" wrap="square" lIns="45720" tIns="45720" rIns="45720" bIns="45720"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a:fld id="{E7E55467-41C8-4B37-AECA-E55963A2D200}" type="TxLink">
            <a:rPr lang="en-US" sz="1400" b="0" i="0" u="none" strike="noStrike">
              <a:solidFill>
                <a:srgbClr val="000000"/>
              </a:solidFill>
              <a:latin typeface="Segoe UI" pitchFamily="34" charset="0"/>
              <a:cs typeface="Segoe UI" pitchFamily="34" charset="0"/>
            </a:rPr>
            <a:pPr algn="l"/>
            <a:t>(in percent of GDP)</a:t>
          </a:fld>
          <a:endParaRPr lang="en-US" sz="1400" b="0">
            <a:latin typeface="Segoe UI" pitchFamily="34" charset="0"/>
            <a:cs typeface="Segoe UI" pitchFamily="34" charset="0"/>
          </a:endParaRPr>
        </a:p>
      </cdr:txBody>
    </cdr:sp>
  </cdr:relSizeAnchor>
  <cdr:relSizeAnchor xmlns:cdr="http://schemas.openxmlformats.org/drawingml/2006/chartDrawing">
    <cdr:from>
      <cdr:x>0.1329</cdr:x>
      <cdr:y>0.80759</cdr:y>
    </cdr:from>
    <cdr:to>
      <cdr:x>0.32708</cdr:x>
      <cdr:y>0.8777</cdr:y>
    </cdr:to>
    <cdr:sp macro="" textlink="">
      <cdr:nvSpPr>
        <cdr:cNvPr id="5" name="TextBox 1">
          <a:extLst xmlns:a="http://schemas.openxmlformats.org/drawingml/2006/main">
            <a:ext uri="{FF2B5EF4-FFF2-40B4-BE49-F238E27FC236}">
              <a16:creationId xmlns:a16="http://schemas.microsoft.com/office/drawing/2014/main" id="{1F697770-7FC4-4245-A193-3E6756BD3510}"/>
            </a:ext>
          </a:extLst>
        </cdr:cNvPr>
        <cdr:cNvSpPr txBox="1"/>
      </cdr:nvSpPr>
      <cdr:spPr>
        <a:xfrm xmlns:a="http://schemas.openxmlformats.org/drawingml/2006/main">
          <a:off x="733939" y="3082636"/>
          <a:ext cx="1072323" cy="267616"/>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ctr"/>
          <a:r>
            <a:rPr lang="en-US" sz="1400">
              <a:latin typeface="Segoe UI" pitchFamily="34" charset="0"/>
              <a:ea typeface="Segoe UI" pitchFamily="34" charset="0"/>
              <a:cs typeface="Segoe UI" pitchFamily="34" charset="0"/>
            </a:rPr>
            <a:t>projection</a:t>
          </a:r>
        </a:p>
      </cdr:txBody>
    </cdr:sp>
  </cdr:relSizeAnchor>
  <cdr:relSizeAnchor xmlns:cdr="http://schemas.openxmlformats.org/drawingml/2006/chartDrawing">
    <cdr:from>
      <cdr:x>0.31053</cdr:x>
      <cdr:y>0.84465</cdr:y>
    </cdr:from>
    <cdr:to>
      <cdr:x>0.36436</cdr:x>
      <cdr:y>0.84465</cdr:y>
    </cdr:to>
    <cdr:sp macro="" textlink="">
      <cdr:nvSpPr>
        <cdr:cNvPr id="6" name="Straight Arrow Connector 5">
          <a:extLst xmlns:a="http://schemas.openxmlformats.org/drawingml/2006/main">
            <a:ext uri="{FF2B5EF4-FFF2-40B4-BE49-F238E27FC236}">
              <a16:creationId xmlns:a16="http://schemas.microsoft.com/office/drawing/2014/main" id="{88A2E900-5FEF-4684-AA08-EFF85F1EF95E}"/>
            </a:ext>
          </a:extLst>
        </cdr:cNvPr>
        <cdr:cNvSpPr/>
      </cdr:nvSpPr>
      <cdr:spPr>
        <a:xfrm xmlns:a="http://schemas.openxmlformats.org/drawingml/2006/main">
          <a:off x="1714900" y="3224080"/>
          <a:ext cx="297269" cy="0"/>
        </a:xfrm>
        <a:prstGeom xmlns:a="http://schemas.openxmlformats.org/drawingml/2006/main" prst="straightConnector1">
          <a:avLst/>
        </a:prstGeom>
        <a:noFill xmlns:a="http://schemas.openxmlformats.org/drawingml/2006/main"/>
        <a:ln xmlns:a="http://schemas.openxmlformats.org/drawingml/2006/main" w="9525" cap="flat" cmpd="sng" algn="ctr">
          <a:solidFill>
            <a:sysClr val="windowText" lastClr="000000">
              <a:shade val="95000"/>
              <a:satMod val="105000"/>
            </a:sysClr>
          </a:solidFill>
          <a:prstDash val="solid"/>
          <a:tailEnd type="arrow"/>
        </a:ln>
        <a:effectLst xmlns:a="http://schemas.openxmlformats.org/drawingml/2006/mai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endParaRPr lang="en-US"/>
        </a:p>
      </cdr:txBody>
    </cdr:sp>
  </cdr:relSizeAnchor>
</c:userShapes>
</file>

<file path=xl/drawings/drawing32.xml><?xml version="1.0" encoding="utf-8"?>
<c:userShapes xmlns:c="http://schemas.openxmlformats.org/drawingml/2006/chart">
  <cdr:relSizeAnchor xmlns:cdr="http://schemas.openxmlformats.org/drawingml/2006/chartDrawing">
    <cdr:from>
      <cdr:x>0.46938</cdr:x>
      <cdr:y>0.671</cdr:y>
    </cdr:from>
    <cdr:to>
      <cdr:x>0.65841</cdr:x>
      <cdr:y>0.74118</cdr:y>
    </cdr:to>
    <cdr:sp macro="" textlink="">
      <cdr:nvSpPr>
        <cdr:cNvPr id="3" name="TextBox 2">
          <a:extLst xmlns:a="http://schemas.openxmlformats.org/drawingml/2006/main">
            <a:ext uri="{FF2B5EF4-FFF2-40B4-BE49-F238E27FC236}">
              <a16:creationId xmlns:a16="http://schemas.microsoft.com/office/drawing/2014/main" id="{9D2C70D6-3944-43A2-AE1B-A6BA5E8BAE84}"/>
            </a:ext>
          </a:extLst>
        </cdr:cNvPr>
        <cdr:cNvSpPr txBox="1"/>
      </cdr:nvSpPr>
      <cdr:spPr>
        <a:xfrm xmlns:a="http://schemas.openxmlformats.org/drawingml/2006/main">
          <a:off x="2558364" y="2960712"/>
          <a:ext cx="1030304" cy="309661"/>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algn="ctr"/>
          <a:r>
            <a:rPr lang="en-US" sz="1400">
              <a:latin typeface="Segoe UI" pitchFamily="34" charset="0"/>
              <a:ea typeface="Segoe UI" pitchFamily="34" charset="0"/>
              <a:cs typeface="Segoe UI" pitchFamily="34" charset="0"/>
            </a:rPr>
            <a:t>projection</a:t>
          </a:r>
        </a:p>
      </cdr:txBody>
    </cdr:sp>
  </cdr:relSizeAnchor>
  <cdr:relSizeAnchor xmlns:cdr="http://schemas.openxmlformats.org/drawingml/2006/chartDrawing">
    <cdr:from>
      <cdr:x>0.64447</cdr:x>
      <cdr:y>0.71102</cdr:y>
    </cdr:from>
    <cdr:to>
      <cdr:x>0.69687</cdr:x>
      <cdr:y>0.71102</cdr:y>
    </cdr:to>
    <cdr:sp macro="" textlink="">
      <cdr:nvSpPr>
        <cdr:cNvPr id="5" name="Straight Arrow Connector 4">
          <a:extLst xmlns:a="http://schemas.openxmlformats.org/drawingml/2006/main">
            <a:ext uri="{FF2B5EF4-FFF2-40B4-BE49-F238E27FC236}">
              <a16:creationId xmlns:a16="http://schemas.microsoft.com/office/drawing/2014/main" id="{DACFBBD4-C9C7-4E81-A60B-620E81B4F898}"/>
            </a:ext>
          </a:extLst>
        </cdr:cNvPr>
        <cdr:cNvSpPr/>
      </cdr:nvSpPr>
      <cdr:spPr>
        <a:xfrm xmlns:a="http://schemas.openxmlformats.org/drawingml/2006/main">
          <a:off x="3512688" y="3137295"/>
          <a:ext cx="285605" cy="0"/>
        </a:xfrm>
        <a:prstGeom xmlns:a="http://schemas.openxmlformats.org/drawingml/2006/main" prst="straightConnector1">
          <a:avLst/>
        </a:prstGeom>
        <a:ln xmlns:a="http://schemas.openxmlformats.org/drawingml/2006/main">
          <a:tailEnd type="arrow"/>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cdr:x>
      <cdr:y>0.06683</cdr:y>
    </cdr:from>
    <cdr:to>
      <cdr:x>0.31952</cdr:x>
      <cdr:y>0.14065</cdr:y>
    </cdr:to>
    <cdr:sp macro="" textlink="">
      <cdr:nvSpPr>
        <cdr:cNvPr id="6" name="TextBox 5">
          <a:extLst xmlns:a="http://schemas.openxmlformats.org/drawingml/2006/main">
            <a:ext uri="{FF2B5EF4-FFF2-40B4-BE49-F238E27FC236}">
              <a16:creationId xmlns:a16="http://schemas.microsoft.com/office/drawing/2014/main" id="{E8F90812-F5DA-47F2-AE00-3652023F3BD9}"/>
            </a:ext>
          </a:extLst>
        </cdr:cNvPr>
        <cdr:cNvSpPr txBox="1"/>
      </cdr:nvSpPr>
      <cdr:spPr>
        <a:xfrm xmlns:a="http://schemas.openxmlformats.org/drawingml/2006/main">
          <a:off x="0" y="266526"/>
          <a:ext cx="1749136" cy="294409"/>
        </a:xfrm>
        <a:prstGeom xmlns:a="http://schemas.openxmlformats.org/drawingml/2006/main" prst="rect">
          <a:avLst/>
        </a:prstGeom>
      </cdr:spPr>
      <cdr:txBody>
        <a:bodyPr xmlns:a="http://schemas.openxmlformats.org/drawingml/2006/main" vertOverflow="clip" wrap="square" lIns="45720" tIns="45720" rIns="45720" bIns="45720" rtlCol="0" anchor="ctr"/>
        <a:lstStyle xmlns:a="http://schemas.openxmlformats.org/drawingml/2006/main"/>
        <a:p xmlns:a="http://schemas.openxmlformats.org/drawingml/2006/main">
          <a:pPr algn="l"/>
          <a:r>
            <a:rPr lang="en-US" sz="1400">
              <a:latin typeface="Segoe UI" pitchFamily="34" charset="0"/>
              <a:cs typeface="Segoe UI" pitchFamily="34" charset="0"/>
            </a:rPr>
            <a:t>(in percent of GDP)</a:t>
          </a:r>
        </a:p>
      </cdr:txBody>
    </cdr:sp>
  </cdr:relSizeAnchor>
</c:userShapes>
</file>

<file path=xl/drawings/drawing33.xml><?xml version="1.0" encoding="utf-8"?>
<c:userShapes xmlns:c="http://schemas.openxmlformats.org/drawingml/2006/chart">
  <cdr:relSizeAnchor xmlns:cdr="http://schemas.openxmlformats.org/drawingml/2006/chartDrawing">
    <cdr:from>
      <cdr:x>0.48137</cdr:x>
      <cdr:y>0.57793</cdr:y>
    </cdr:from>
    <cdr:to>
      <cdr:x>0.67057</cdr:x>
      <cdr:y>0.6482</cdr:y>
    </cdr:to>
    <cdr:sp macro="" textlink="">
      <cdr:nvSpPr>
        <cdr:cNvPr id="4" name="TextBox 1">
          <a:extLst xmlns:a="http://schemas.openxmlformats.org/drawingml/2006/main">
            <a:ext uri="{FF2B5EF4-FFF2-40B4-BE49-F238E27FC236}">
              <a16:creationId xmlns:a16="http://schemas.microsoft.com/office/drawing/2014/main" id="{64EC1235-D304-4374-854E-F8245770276E}"/>
            </a:ext>
          </a:extLst>
        </cdr:cNvPr>
        <cdr:cNvSpPr txBox="1"/>
      </cdr:nvSpPr>
      <cdr:spPr>
        <a:xfrm xmlns:a="http://schemas.openxmlformats.org/drawingml/2006/main">
          <a:off x="2677266" y="2550038"/>
          <a:ext cx="1052294" cy="310058"/>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ctr"/>
          <a:r>
            <a:rPr lang="en-US" sz="1400">
              <a:latin typeface="Segoe UI" pitchFamily="34" charset="0"/>
              <a:ea typeface="Segoe UI" pitchFamily="34" charset="0"/>
              <a:cs typeface="Segoe UI" pitchFamily="34" charset="0"/>
            </a:rPr>
            <a:t>projection</a:t>
          </a:r>
        </a:p>
      </cdr:txBody>
    </cdr:sp>
  </cdr:relSizeAnchor>
  <cdr:relSizeAnchor xmlns:cdr="http://schemas.openxmlformats.org/drawingml/2006/chartDrawing">
    <cdr:from>
      <cdr:x>0.65445</cdr:x>
      <cdr:y>0.61507</cdr:y>
    </cdr:from>
    <cdr:to>
      <cdr:x>0.7069</cdr:x>
      <cdr:y>0.61507</cdr:y>
    </cdr:to>
    <cdr:sp macro="" textlink="">
      <cdr:nvSpPr>
        <cdr:cNvPr id="5" name="Straight Arrow Connector 4">
          <a:extLst xmlns:a="http://schemas.openxmlformats.org/drawingml/2006/main">
            <a:ext uri="{FF2B5EF4-FFF2-40B4-BE49-F238E27FC236}">
              <a16:creationId xmlns:a16="http://schemas.microsoft.com/office/drawing/2014/main" id="{3966332F-371F-46E8-92CB-C5506A029647}"/>
            </a:ext>
          </a:extLst>
        </cdr:cNvPr>
        <cdr:cNvSpPr/>
      </cdr:nvSpPr>
      <cdr:spPr>
        <a:xfrm xmlns:a="http://schemas.openxmlformats.org/drawingml/2006/main">
          <a:off x="3639903" y="2713914"/>
          <a:ext cx="291717" cy="0"/>
        </a:xfrm>
        <a:prstGeom xmlns:a="http://schemas.openxmlformats.org/drawingml/2006/main" prst="straightConnector1">
          <a:avLst/>
        </a:prstGeom>
        <a:noFill xmlns:a="http://schemas.openxmlformats.org/drawingml/2006/main"/>
        <a:ln xmlns:a="http://schemas.openxmlformats.org/drawingml/2006/main" w="9525" cap="flat" cmpd="sng" algn="ctr">
          <a:solidFill>
            <a:sysClr val="windowText" lastClr="000000">
              <a:shade val="95000"/>
              <a:satMod val="105000"/>
            </a:sysClr>
          </a:solidFill>
          <a:prstDash val="solid"/>
          <a:tailEnd type="arrow"/>
        </a:ln>
        <a:effectLst xmlns:a="http://schemas.openxmlformats.org/drawingml/2006/mai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endParaRPr lang="en-US"/>
        </a:p>
      </cdr:txBody>
    </cdr:sp>
  </cdr:relSizeAnchor>
  <cdr:relSizeAnchor xmlns:cdr="http://schemas.openxmlformats.org/drawingml/2006/chartDrawing">
    <cdr:from>
      <cdr:x>0</cdr:x>
      <cdr:y>0.06739</cdr:y>
    </cdr:from>
    <cdr:to>
      <cdr:x>0.31982</cdr:x>
      <cdr:y>0.14131</cdr:y>
    </cdr:to>
    <cdr:sp macro="" textlink="">
      <cdr:nvSpPr>
        <cdr:cNvPr id="6" name="TextBox 1">
          <a:extLst xmlns:a="http://schemas.openxmlformats.org/drawingml/2006/main">
            <a:ext uri="{FF2B5EF4-FFF2-40B4-BE49-F238E27FC236}">
              <a16:creationId xmlns:a16="http://schemas.microsoft.com/office/drawing/2014/main" id="{99D6A917-349B-4759-B5E3-025DF067F734}"/>
            </a:ext>
          </a:extLst>
        </cdr:cNvPr>
        <cdr:cNvSpPr txBox="1"/>
      </cdr:nvSpPr>
      <cdr:spPr>
        <a:xfrm xmlns:a="http://schemas.openxmlformats.org/drawingml/2006/main">
          <a:off x="0" y="268431"/>
          <a:ext cx="1749136" cy="294409"/>
        </a:xfrm>
        <a:prstGeom xmlns:a="http://schemas.openxmlformats.org/drawingml/2006/main" prst="rect">
          <a:avLst/>
        </a:prstGeom>
      </cdr:spPr>
      <cdr:txBody>
        <a:bodyPr xmlns:a="http://schemas.openxmlformats.org/drawingml/2006/main" wrap="square" lIns="45720" tIns="45720" rIns="45720" bIns="45720"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a:r>
            <a:rPr lang="en-US" sz="1400">
              <a:latin typeface="Segoe UI" pitchFamily="34" charset="0"/>
              <a:cs typeface="Segoe UI" pitchFamily="34" charset="0"/>
            </a:rPr>
            <a:t>(in percent of GDP)</a:t>
          </a:r>
        </a:p>
      </cdr:txBody>
    </cdr:sp>
  </cdr:relSizeAnchor>
</c:userShapes>
</file>

<file path=xl/drawings/drawing34.xml><?xml version="1.0" encoding="utf-8"?>
<xdr:wsDr xmlns:xdr="http://schemas.openxmlformats.org/drawingml/2006/spreadsheetDrawing" xmlns:a="http://schemas.openxmlformats.org/drawingml/2006/main">
  <xdr:twoCellAnchor>
    <xdr:from>
      <xdr:col>7</xdr:col>
      <xdr:colOff>311942</xdr:colOff>
      <xdr:row>5</xdr:row>
      <xdr:rowOff>0</xdr:rowOff>
    </xdr:from>
    <xdr:to>
      <xdr:col>14</xdr:col>
      <xdr:colOff>377800</xdr:colOff>
      <xdr:row>23</xdr:row>
      <xdr:rowOff>1815</xdr:rowOff>
    </xdr:to>
    <xdr:graphicFrame macro="">
      <xdr:nvGraphicFramePr>
        <xdr:cNvPr id="2" name="Chart 1">
          <a:extLst>
            <a:ext uri="{FF2B5EF4-FFF2-40B4-BE49-F238E27FC236}">
              <a16:creationId xmlns:a16="http://schemas.microsoft.com/office/drawing/2014/main" id="{00000000-0008-0000-0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5</xdr:row>
      <xdr:rowOff>0</xdr:rowOff>
    </xdr:from>
    <xdr:to>
      <xdr:col>21</xdr:col>
      <xdr:colOff>378823</xdr:colOff>
      <xdr:row>23</xdr:row>
      <xdr:rowOff>1815</xdr:rowOff>
    </xdr:to>
    <xdr:graphicFrame macro="">
      <xdr:nvGraphicFramePr>
        <xdr:cNvPr id="3" name="Chart 2">
          <a:extLst>
            <a:ext uri="{FF2B5EF4-FFF2-40B4-BE49-F238E27FC236}">
              <a16:creationId xmlns:a16="http://schemas.microsoft.com/office/drawing/2014/main" id="{00000000-0008-0000-0A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21</xdr:col>
      <xdr:colOff>708817</xdr:colOff>
      <xdr:row>5</xdr:row>
      <xdr:rowOff>0</xdr:rowOff>
    </xdr:from>
    <xdr:to>
      <xdr:col>28</xdr:col>
      <xdr:colOff>373265</xdr:colOff>
      <xdr:row>23</xdr:row>
      <xdr:rowOff>1815</xdr:rowOff>
    </xdr:to>
    <xdr:graphicFrame macro="">
      <xdr:nvGraphicFramePr>
        <xdr:cNvPr id="4" name="Chart 3">
          <a:extLst>
            <a:ext uri="{FF2B5EF4-FFF2-40B4-BE49-F238E27FC236}">
              <a16:creationId xmlns:a16="http://schemas.microsoft.com/office/drawing/2014/main" id="{00000000-0008-0000-0A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166688</xdr:colOff>
      <xdr:row>9</xdr:row>
      <xdr:rowOff>178594</xdr:rowOff>
    </xdr:from>
    <xdr:to>
      <xdr:col>8</xdr:col>
      <xdr:colOff>107156</xdr:colOff>
      <xdr:row>18</xdr:row>
      <xdr:rowOff>83344</xdr:rowOff>
    </xdr:to>
    <xdr:grpSp>
      <xdr:nvGrpSpPr>
        <xdr:cNvPr id="5" name="Group 4">
          <a:extLst>
            <a:ext uri="{FF2B5EF4-FFF2-40B4-BE49-F238E27FC236}">
              <a16:creationId xmlns:a16="http://schemas.microsoft.com/office/drawing/2014/main" id="{00000000-0008-0000-0A00-000005000000}"/>
            </a:ext>
          </a:extLst>
        </xdr:cNvPr>
        <xdr:cNvGrpSpPr/>
      </xdr:nvGrpSpPr>
      <xdr:grpSpPr>
        <a:xfrm>
          <a:off x="4202907" y="1988344"/>
          <a:ext cx="250030" cy="2047875"/>
          <a:chOff x="4246563" y="4671219"/>
          <a:chExt cx="257968" cy="1905000"/>
        </a:xfrm>
      </xdr:grpSpPr>
      <xdr:sp macro="" textlink="">
        <xdr:nvSpPr>
          <xdr:cNvPr id="6" name="TextBox 5">
            <a:extLst>
              <a:ext uri="{FF2B5EF4-FFF2-40B4-BE49-F238E27FC236}">
                <a16:creationId xmlns:a16="http://schemas.microsoft.com/office/drawing/2014/main" id="{00000000-0008-0000-0A00-000006000000}"/>
              </a:ext>
            </a:extLst>
          </xdr:cNvPr>
          <xdr:cNvSpPr txBox="1"/>
        </xdr:nvSpPr>
        <xdr:spPr>
          <a:xfrm>
            <a:off x="4270375" y="4671219"/>
            <a:ext cx="234156" cy="841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vert="vert270" wrap="square" rtlCol="0" anchor="ctr" anchorCtr="0"/>
          <a:lstStyle/>
          <a:p>
            <a:r>
              <a:rPr lang="en-US" sz="1200">
                <a:latin typeface="Segoe UI" pitchFamily="34" charset="0"/>
                <a:ea typeface="Segoe UI" pitchFamily="34" charset="0"/>
                <a:cs typeface="Segoe UI" pitchFamily="34" charset="0"/>
              </a:rPr>
              <a:t>pessimistic</a:t>
            </a:r>
          </a:p>
        </xdr:txBody>
      </xdr:sp>
      <xdr:sp macro="" textlink="">
        <xdr:nvSpPr>
          <xdr:cNvPr id="7" name="TextBox 6">
            <a:extLst>
              <a:ext uri="{FF2B5EF4-FFF2-40B4-BE49-F238E27FC236}">
                <a16:creationId xmlns:a16="http://schemas.microsoft.com/office/drawing/2014/main" id="{00000000-0008-0000-0A00-000007000000}"/>
              </a:ext>
            </a:extLst>
          </xdr:cNvPr>
          <xdr:cNvSpPr txBox="1"/>
        </xdr:nvSpPr>
        <xdr:spPr>
          <a:xfrm>
            <a:off x="4270375" y="5734844"/>
            <a:ext cx="234156" cy="841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vert="vert270" wrap="square" rtlCol="0" anchor="ctr" anchorCtr="0"/>
          <a:lstStyle/>
          <a:p>
            <a:r>
              <a:rPr lang="en-US" sz="1200">
                <a:latin typeface="Segoe UI" pitchFamily="34" charset="0"/>
                <a:ea typeface="Segoe UI" pitchFamily="34" charset="0"/>
                <a:cs typeface="Segoe UI" pitchFamily="34" charset="0"/>
              </a:rPr>
              <a:t>optimistic</a:t>
            </a:r>
          </a:p>
        </xdr:txBody>
      </xdr:sp>
      <xdr:cxnSp macro="">
        <xdr:nvCxnSpPr>
          <xdr:cNvPr id="8" name="Straight Arrow Connector 7">
            <a:extLst>
              <a:ext uri="{FF2B5EF4-FFF2-40B4-BE49-F238E27FC236}">
                <a16:creationId xmlns:a16="http://schemas.microsoft.com/office/drawing/2014/main" id="{00000000-0008-0000-0A00-000008000000}"/>
              </a:ext>
            </a:extLst>
          </xdr:cNvPr>
          <xdr:cNvCxnSpPr/>
        </xdr:nvCxnSpPr>
        <xdr:spPr>
          <a:xfrm flipV="1">
            <a:off x="4258468" y="4726781"/>
            <a:ext cx="0" cy="762002"/>
          </a:xfrm>
          <a:prstGeom prst="straightConnector1">
            <a:avLst/>
          </a:prstGeom>
          <a:ln>
            <a:solidFill>
              <a:schemeClr val="bg1">
                <a:lumMod val="65000"/>
              </a:schemeClr>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9" name="Straight Arrow Connector 8">
            <a:extLst>
              <a:ext uri="{FF2B5EF4-FFF2-40B4-BE49-F238E27FC236}">
                <a16:creationId xmlns:a16="http://schemas.microsoft.com/office/drawing/2014/main" id="{00000000-0008-0000-0A00-000009000000}"/>
              </a:ext>
            </a:extLst>
          </xdr:cNvPr>
          <xdr:cNvCxnSpPr/>
        </xdr:nvCxnSpPr>
        <xdr:spPr>
          <a:xfrm>
            <a:off x="4246563" y="5861846"/>
            <a:ext cx="0" cy="642935"/>
          </a:xfrm>
          <a:prstGeom prst="straightConnector1">
            <a:avLst/>
          </a:prstGeom>
          <a:ln>
            <a:solidFill>
              <a:schemeClr val="bg1">
                <a:lumMod val="65000"/>
              </a:schemeClr>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21</xdr:col>
      <xdr:colOff>706438</xdr:colOff>
      <xdr:row>25</xdr:row>
      <xdr:rowOff>47625</xdr:rowOff>
    </xdr:from>
    <xdr:to>
      <xdr:col>29</xdr:col>
      <xdr:colOff>51594</xdr:colOff>
      <xdr:row>41</xdr:row>
      <xdr:rowOff>95250</xdr:rowOff>
    </xdr:to>
    <xdr:graphicFrame macro="">
      <xdr:nvGraphicFramePr>
        <xdr:cNvPr id="10" name="Chart 9">
          <a:extLst>
            <a:ext uri="{FF2B5EF4-FFF2-40B4-BE49-F238E27FC236}">
              <a16:creationId xmlns:a16="http://schemas.microsoft.com/office/drawing/2014/main" id="{00000000-0008-0000-0A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57150</xdr:colOff>
      <xdr:row>24</xdr:row>
      <xdr:rowOff>38100</xdr:rowOff>
    </xdr:from>
    <xdr:to>
      <xdr:col>14</xdr:col>
      <xdr:colOff>380989</xdr:colOff>
      <xdr:row>41</xdr:row>
      <xdr:rowOff>108222</xdr:rowOff>
    </xdr:to>
    <xdr:graphicFrame macro="">
      <xdr:nvGraphicFramePr>
        <xdr:cNvPr id="23" name="Chart 22">
          <a:extLst>
            <a:ext uri="{FF2B5EF4-FFF2-40B4-BE49-F238E27FC236}">
              <a16:creationId xmlns:a16="http://schemas.microsoft.com/office/drawing/2014/main" id="{00000000-0008-0000-0A00-00001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267306</xdr:colOff>
      <xdr:row>28</xdr:row>
      <xdr:rowOff>151976</xdr:rowOff>
    </xdr:from>
    <xdr:to>
      <xdr:col>14</xdr:col>
      <xdr:colOff>237396</xdr:colOff>
      <xdr:row>31</xdr:row>
      <xdr:rowOff>149982</xdr:rowOff>
    </xdr:to>
    <xdr:sp macro="" textlink="">
      <xdr:nvSpPr>
        <xdr:cNvPr id="24" name="TextBox 23">
          <a:extLst>
            <a:ext uri="{FF2B5EF4-FFF2-40B4-BE49-F238E27FC236}">
              <a16:creationId xmlns:a16="http://schemas.microsoft.com/office/drawing/2014/main" id="{00000000-0008-0000-0A00-000018000000}"/>
            </a:ext>
          </a:extLst>
        </xdr:cNvPr>
        <xdr:cNvSpPr txBox="1"/>
      </xdr:nvSpPr>
      <xdr:spPr>
        <a:xfrm>
          <a:off x="6620481" y="8676851"/>
          <a:ext cx="1941765" cy="68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en-US" sz="1100">
              <a:latin typeface="Segoe UI" pitchFamily="34" charset="0"/>
              <a:ea typeface="Segoe UI" pitchFamily="34" charset="0"/>
              <a:cs typeface="Segoe UI" pitchFamily="34" charset="0"/>
            </a:rPr>
            <a:t>3-year CAPB</a:t>
          </a:r>
          <a:r>
            <a:rPr lang="en-US" sz="1100" baseline="0">
              <a:latin typeface="Segoe UI" pitchFamily="34" charset="0"/>
              <a:ea typeface="Segoe UI" pitchFamily="34" charset="0"/>
              <a:cs typeface="Segoe UI" pitchFamily="34" charset="0"/>
            </a:rPr>
            <a:t> adjustment greater than 3 percent of GDP in approx. top quartile</a:t>
          </a:r>
          <a:endParaRPr lang="en-US" sz="1100">
            <a:latin typeface="Segoe UI" pitchFamily="34" charset="0"/>
            <a:ea typeface="Segoe UI" pitchFamily="34" charset="0"/>
            <a:cs typeface="Segoe UI" pitchFamily="34" charset="0"/>
          </a:endParaRPr>
        </a:p>
      </xdr:txBody>
    </xdr:sp>
    <xdr:clientData/>
  </xdr:twoCellAnchor>
  <xdr:twoCellAnchor>
    <xdr:from>
      <xdr:col>13</xdr:col>
      <xdr:colOff>42917</xdr:colOff>
      <xdr:row>29</xdr:row>
      <xdr:rowOff>21166</xdr:rowOff>
    </xdr:from>
    <xdr:to>
      <xdr:col>13</xdr:col>
      <xdr:colOff>254000</xdr:colOff>
      <xdr:row>35</xdr:row>
      <xdr:rowOff>23016</xdr:rowOff>
    </xdr:to>
    <xdr:sp macro="" textlink="">
      <xdr:nvSpPr>
        <xdr:cNvPr id="25" name="Left Brace 24">
          <a:extLst>
            <a:ext uri="{FF2B5EF4-FFF2-40B4-BE49-F238E27FC236}">
              <a16:creationId xmlns:a16="http://schemas.microsoft.com/office/drawing/2014/main" id="{00000000-0008-0000-0A00-000019000000}"/>
            </a:ext>
          </a:extLst>
        </xdr:cNvPr>
        <xdr:cNvSpPr/>
      </xdr:nvSpPr>
      <xdr:spPr>
        <a:xfrm>
          <a:off x="7694667" y="8858249"/>
          <a:ext cx="211083" cy="1398850"/>
        </a:xfrm>
        <a:prstGeom prst="leftBrace">
          <a:avLst/>
        </a:prstGeom>
        <a:noFill/>
        <a:ln>
          <a:solidFill>
            <a:schemeClr val="tx1"/>
          </a:solidFill>
        </a:ln>
        <a:scene3d>
          <a:camera prst="orthographicFront">
            <a:rot lat="0" lon="0" rev="16200000"/>
          </a:camera>
          <a:lightRig rig="threePt" dir="t"/>
        </a:scene3d>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8</xdr:col>
      <xdr:colOff>536272</xdr:colOff>
      <xdr:row>30</xdr:row>
      <xdr:rowOff>96006</xdr:rowOff>
    </xdr:from>
    <xdr:to>
      <xdr:col>10</xdr:col>
      <xdr:colOff>427567</xdr:colOff>
      <xdr:row>32</xdr:row>
      <xdr:rowOff>86481</xdr:rowOff>
    </xdr:to>
    <xdr:grpSp>
      <xdr:nvGrpSpPr>
        <xdr:cNvPr id="26" name="Group 25">
          <a:extLst>
            <a:ext uri="{FF2B5EF4-FFF2-40B4-BE49-F238E27FC236}">
              <a16:creationId xmlns:a16="http://schemas.microsoft.com/office/drawing/2014/main" id="{00000000-0008-0000-0A00-00001A000000}"/>
            </a:ext>
          </a:extLst>
        </xdr:cNvPr>
        <xdr:cNvGrpSpPr/>
      </xdr:nvGrpSpPr>
      <xdr:grpSpPr>
        <a:xfrm>
          <a:off x="4882053" y="6656350"/>
          <a:ext cx="1200983" cy="466725"/>
          <a:chOff x="4780491" y="19857508"/>
          <a:chExt cx="1209675" cy="447675"/>
        </a:xfrm>
      </xdr:grpSpPr>
      <xdr:sp macro="" textlink="">
        <xdr:nvSpPr>
          <xdr:cNvPr id="33" name="TextBox 1">
            <a:extLst>
              <a:ext uri="{FF2B5EF4-FFF2-40B4-BE49-F238E27FC236}">
                <a16:creationId xmlns:a16="http://schemas.microsoft.com/office/drawing/2014/main" id="{00000000-0008-0000-0A00-000021000000}"/>
              </a:ext>
            </a:extLst>
          </xdr:cNvPr>
          <xdr:cNvSpPr txBox="1"/>
        </xdr:nvSpPr>
        <xdr:spPr>
          <a:xfrm>
            <a:off x="4780491" y="19857508"/>
            <a:ext cx="1209675" cy="447675"/>
          </a:xfrm>
          <a:prstGeom prst="rect">
            <a:avLst/>
          </a:prstGeom>
          <a:noFill/>
          <a:ln>
            <a:noFill/>
          </a:ln>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US" sz="1100">
                <a:latin typeface="Segoe UI" pitchFamily="34" charset="0"/>
                <a:ea typeface="Segoe UI" pitchFamily="34" charset="0"/>
                <a:cs typeface="Segoe UI" pitchFamily="34" charset="0"/>
              </a:rPr>
              <a:t>has a percentile rank of</a:t>
            </a:r>
          </a:p>
        </xdr:txBody>
      </xdr:sp>
      <xdr:sp macro="" textlink="'Lists-Modules-ChartData'!DM21">
        <xdr:nvSpPr>
          <xdr:cNvPr id="36" name="TextBox 35">
            <a:extLst>
              <a:ext uri="{FF2B5EF4-FFF2-40B4-BE49-F238E27FC236}">
                <a16:creationId xmlns:a16="http://schemas.microsoft.com/office/drawing/2014/main" id="{00000000-0008-0000-0A00-000024000000}"/>
              </a:ext>
            </a:extLst>
          </xdr:cNvPr>
          <xdr:cNvSpPr txBox="1"/>
        </xdr:nvSpPr>
        <xdr:spPr>
          <a:xfrm>
            <a:off x="5258860" y="20040796"/>
            <a:ext cx="493183"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fld id="{6AC8F1A4-8EBB-44BD-84EB-C90E8D2D2EB5}" type="TxLink">
              <a:rPr lang="en-US" sz="1100" b="0" i="0" u="none" strike="noStrike">
                <a:solidFill>
                  <a:srgbClr val="000000"/>
                </a:solidFill>
                <a:latin typeface="Calibri"/>
                <a:ea typeface="Segoe UI" pitchFamily="34" charset="0"/>
                <a:cs typeface="Calibri"/>
              </a:rPr>
              <a:pPr/>
              <a:t>44%</a:t>
            </a:fld>
            <a:endParaRPr lang="en-US" sz="1100">
              <a:latin typeface="Segoe UI" pitchFamily="34" charset="0"/>
              <a:ea typeface="Segoe UI" pitchFamily="34" charset="0"/>
              <a:cs typeface="Segoe UI" pitchFamily="34" charset="0"/>
            </a:endParaRPr>
          </a:p>
        </xdr:txBody>
      </xdr:sp>
    </xdr:grpSp>
    <xdr:clientData/>
  </xdr:twoCellAnchor>
  <xdr:twoCellAnchor>
    <xdr:from>
      <xdr:col>15</xdr:col>
      <xdr:colOff>0</xdr:colOff>
      <xdr:row>24</xdr:row>
      <xdr:rowOff>28575</xdr:rowOff>
    </xdr:from>
    <xdr:to>
      <xdr:col>21</xdr:col>
      <xdr:colOff>365835</xdr:colOff>
      <xdr:row>41</xdr:row>
      <xdr:rowOff>115358</xdr:rowOff>
    </xdr:to>
    <xdr:graphicFrame macro="">
      <xdr:nvGraphicFramePr>
        <xdr:cNvPr id="41" name="Chart 40">
          <a:extLst>
            <a:ext uri="{FF2B5EF4-FFF2-40B4-BE49-F238E27FC236}">
              <a16:creationId xmlns:a16="http://schemas.microsoft.com/office/drawing/2014/main" id="{00000000-0008-0000-0A00-00002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20</xdr:col>
      <xdr:colOff>117979</xdr:colOff>
      <xdr:row>29</xdr:row>
      <xdr:rowOff>128967</xdr:rowOff>
    </xdr:from>
    <xdr:to>
      <xdr:col>20</xdr:col>
      <xdr:colOff>287426</xdr:colOff>
      <xdr:row>34</xdr:row>
      <xdr:rowOff>163642</xdr:rowOff>
    </xdr:to>
    <xdr:sp macro="" textlink="">
      <xdr:nvSpPr>
        <xdr:cNvPr id="42" name="Left Brace 41">
          <a:extLst>
            <a:ext uri="{FF2B5EF4-FFF2-40B4-BE49-F238E27FC236}">
              <a16:creationId xmlns:a16="http://schemas.microsoft.com/office/drawing/2014/main" id="{00000000-0008-0000-0A00-00002A000000}"/>
            </a:ext>
          </a:extLst>
        </xdr:cNvPr>
        <xdr:cNvSpPr/>
      </xdr:nvSpPr>
      <xdr:spPr>
        <a:xfrm>
          <a:off x="12386179" y="8882442"/>
          <a:ext cx="169447" cy="1177675"/>
        </a:xfrm>
        <a:prstGeom prst="leftBrace">
          <a:avLst/>
        </a:prstGeom>
        <a:noFill/>
        <a:ln>
          <a:solidFill>
            <a:schemeClr val="tx1"/>
          </a:solidFill>
        </a:ln>
        <a:scene3d>
          <a:camera prst="orthographicFront">
            <a:rot lat="0" lon="0" rev="16200000"/>
          </a:camera>
          <a:lightRig rig="threePt" dir="t"/>
        </a:scene3d>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18</xdr:col>
      <xdr:colOff>271401</xdr:colOff>
      <xdr:row>28</xdr:row>
      <xdr:rowOff>156483</xdr:rowOff>
    </xdr:from>
    <xdr:to>
      <xdr:col>21</xdr:col>
      <xdr:colOff>205433</xdr:colOff>
      <xdr:row>31</xdr:row>
      <xdr:rowOff>191861</xdr:rowOff>
    </xdr:to>
    <xdr:sp macro="" textlink="">
      <xdr:nvSpPr>
        <xdr:cNvPr id="43" name="TextBox 42">
          <a:extLst>
            <a:ext uri="{FF2B5EF4-FFF2-40B4-BE49-F238E27FC236}">
              <a16:creationId xmlns:a16="http://schemas.microsoft.com/office/drawing/2014/main" id="{00000000-0008-0000-0A00-00002B000000}"/>
            </a:ext>
          </a:extLst>
        </xdr:cNvPr>
        <xdr:cNvSpPr txBox="1"/>
      </xdr:nvSpPr>
      <xdr:spPr>
        <a:xfrm>
          <a:off x="11225151" y="8681358"/>
          <a:ext cx="1905707" cy="7211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en-US" sz="1100">
              <a:latin typeface="Segoe UI" pitchFamily="34" charset="0"/>
              <a:ea typeface="Segoe UI" pitchFamily="34" charset="0"/>
              <a:cs typeface="Segoe UI" pitchFamily="34" charset="0"/>
            </a:rPr>
            <a:t>3-year average</a:t>
          </a:r>
          <a:r>
            <a:rPr lang="en-US" sz="1100" baseline="0">
              <a:latin typeface="Segoe UI" pitchFamily="34" charset="0"/>
              <a:ea typeface="Segoe UI" pitchFamily="34" charset="0"/>
              <a:cs typeface="Segoe UI" pitchFamily="34" charset="0"/>
            </a:rPr>
            <a:t> CAPB level greater than 3.5 percent of GDP in approx. top quartile</a:t>
          </a:r>
          <a:endParaRPr lang="en-US" sz="1100">
            <a:latin typeface="Segoe UI" pitchFamily="34" charset="0"/>
            <a:ea typeface="Segoe UI" pitchFamily="34" charset="0"/>
            <a:cs typeface="Segoe UI" pitchFamily="34" charset="0"/>
          </a:endParaRPr>
        </a:p>
      </xdr:txBody>
    </xdr:sp>
    <xdr:clientData/>
  </xdr:twoCellAnchor>
  <xdr:twoCellAnchor>
    <xdr:from>
      <xdr:col>15</xdr:col>
      <xdr:colOff>438012</xdr:colOff>
      <xdr:row>30</xdr:row>
      <xdr:rowOff>84932</xdr:rowOff>
    </xdr:from>
    <xdr:to>
      <xdr:col>17</xdr:col>
      <xdr:colOff>384340</xdr:colOff>
      <xdr:row>32</xdr:row>
      <xdr:rowOff>75407</xdr:rowOff>
    </xdr:to>
    <xdr:grpSp>
      <xdr:nvGrpSpPr>
        <xdr:cNvPr id="44" name="Group 43">
          <a:extLst>
            <a:ext uri="{FF2B5EF4-FFF2-40B4-BE49-F238E27FC236}">
              <a16:creationId xmlns:a16="http://schemas.microsoft.com/office/drawing/2014/main" id="{00000000-0008-0000-0A00-00002C000000}"/>
            </a:ext>
          </a:extLst>
        </xdr:cNvPr>
        <xdr:cNvGrpSpPr/>
      </xdr:nvGrpSpPr>
      <xdr:grpSpPr>
        <a:xfrm>
          <a:off x="9367700" y="6645276"/>
          <a:ext cx="1256015" cy="466725"/>
          <a:chOff x="9464674" y="20221840"/>
          <a:chExt cx="1245659" cy="447675"/>
        </a:xfrm>
      </xdr:grpSpPr>
      <xdr:sp macro="" textlink="">
        <xdr:nvSpPr>
          <xdr:cNvPr id="45" name="TextBox 1">
            <a:extLst>
              <a:ext uri="{FF2B5EF4-FFF2-40B4-BE49-F238E27FC236}">
                <a16:creationId xmlns:a16="http://schemas.microsoft.com/office/drawing/2014/main" id="{00000000-0008-0000-0A00-00002D000000}"/>
              </a:ext>
            </a:extLst>
          </xdr:cNvPr>
          <xdr:cNvSpPr txBox="1"/>
        </xdr:nvSpPr>
        <xdr:spPr>
          <a:xfrm>
            <a:off x="9464674" y="20221840"/>
            <a:ext cx="1245659" cy="447675"/>
          </a:xfrm>
          <a:prstGeom prst="rect">
            <a:avLst/>
          </a:prstGeom>
          <a:noFill/>
          <a:ln>
            <a:noFill/>
          </a:ln>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US" sz="1100">
                <a:latin typeface="Segoe UI" pitchFamily="34" charset="0"/>
                <a:ea typeface="Segoe UI" pitchFamily="34" charset="0"/>
                <a:cs typeface="Segoe UI" pitchFamily="34" charset="0"/>
              </a:rPr>
              <a:t>has a percentile rank of</a:t>
            </a:r>
          </a:p>
        </xdr:txBody>
      </xdr:sp>
      <xdr:sp macro="" textlink="'Lists-Modules-ChartData'!DH22">
        <xdr:nvSpPr>
          <xdr:cNvPr id="46" name="TextBox 45">
            <a:extLst>
              <a:ext uri="{FF2B5EF4-FFF2-40B4-BE49-F238E27FC236}">
                <a16:creationId xmlns:a16="http://schemas.microsoft.com/office/drawing/2014/main" id="{00000000-0008-0000-0A00-00002E000000}"/>
              </a:ext>
            </a:extLst>
          </xdr:cNvPr>
          <xdr:cNvSpPr txBox="1"/>
        </xdr:nvSpPr>
        <xdr:spPr>
          <a:xfrm>
            <a:off x="9966327" y="20403806"/>
            <a:ext cx="491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fld id="{B44D9392-D5CB-4EC8-9FAD-46264C0A8724}" type="TxLink">
              <a:rPr lang="en-US" sz="1100" b="0" i="0" u="none" strike="noStrike">
                <a:solidFill>
                  <a:srgbClr val="000000"/>
                </a:solidFill>
                <a:latin typeface="Calibri"/>
                <a:ea typeface="Segoe UI" pitchFamily="34" charset="0"/>
                <a:cs typeface="Calibri"/>
              </a:rPr>
              <a:pPr/>
              <a:t>68%</a:t>
            </a:fld>
            <a:endParaRPr lang="en-US" sz="1100">
              <a:latin typeface="Segoe UI" pitchFamily="34" charset="0"/>
              <a:ea typeface="Segoe UI" pitchFamily="34" charset="0"/>
              <a:cs typeface="Segoe UI" pitchFamily="34" charset="0"/>
            </a:endParaRPr>
          </a:p>
        </xdr:txBody>
      </xdr:sp>
    </xdr:grpSp>
    <xdr:clientData/>
  </xdr:twoCellAnchor>
</xdr:wsDr>
</file>

<file path=xl/drawings/drawing35.xml><?xml version="1.0" encoding="utf-8"?>
<c:userShapes xmlns:c="http://schemas.openxmlformats.org/drawingml/2006/chart">
  <cdr:relSizeAnchor xmlns:cdr="http://schemas.openxmlformats.org/drawingml/2006/chartDrawing">
    <cdr:from>
      <cdr:x>0.8127</cdr:x>
      <cdr:y>0.11395</cdr:y>
    </cdr:from>
    <cdr:to>
      <cdr:x>0.96033</cdr:x>
      <cdr:y>0.17875</cdr:y>
    </cdr:to>
    <cdr:sp macro="" textlink="'Lists-Modules-ChartData'!$CU$11">
      <cdr:nvSpPr>
        <cdr:cNvPr id="9" name="Rectangle 8">
          <a:extLst xmlns:a="http://schemas.openxmlformats.org/drawingml/2006/main">
            <a:ext uri="{FF2B5EF4-FFF2-40B4-BE49-F238E27FC236}">
              <a16:creationId xmlns:a16="http://schemas.microsoft.com/office/drawing/2014/main" id="{F8133575-8BDE-445F-A065-E10D24A46035}"/>
            </a:ext>
          </a:extLst>
        </cdr:cNvPr>
        <cdr:cNvSpPr/>
      </cdr:nvSpPr>
      <cdr:spPr>
        <a:xfrm xmlns:a="http://schemas.openxmlformats.org/drawingml/2006/main">
          <a:off x="3440208" y="421253"/>
          <a:ext cx="624924" cy="239548"/>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algn="ctr"/>
          <a:fld id="{670041F0-C9CA-4EC5-B586-C4FECCB86552}" type="TxLink">
            <a:rPr lang="en-US" sz="1200" b="1" i="0" u="none" strike="noStrike">
              <a:solidFill>
                <a:srgbClr val="FF0000"/>
              </a:solidFill>
              <a:latin typeface="Segoe UI" pitchFamily="34" charset="0"/>
              <a:cs typeface="Segoe UI" pitchFamily="34" charset="0"/>
            </a:rPr>
            <a:pPr algn="ctr"/>
            <a:t>0.91</a:t>
          </a:fld>
          <a:endParaRPr lang="en-US" sz="1200" b="1">
            <a:solidFill>
              <a:srgbClr val="FF0000"/>
            </a:solidFill>
            <a:latin typeface="Segoe UI" pitchFamily="34" charset="0"/>
            <a:cs typeface="Segoe UI" pitchFamily="34" charset="0"/>
          </a:endParaRPr>
        </a:p>
      </cdr:txBody>
    </cdr:sp>
  </cdr:relSizeAnchor>
  <cdr:relSizeAnchor xmlns:cdr="http://schemas.openxmlformats.org/drawingml/2006/chartDrawing">
    <cdr:from>
      <cdr:x>0.82147</cdr:x>
      <cdr:y>0.16983</cdr:y>
    </cdr:from>
    <cdr:to>
      <cdr:x>0.95776</cdr:x>
      <cdr:y>0.23452</cdr:y>
    </cdr:to>
    <cdr:sp macro="" textlink="'Lists-Modules-ChartData'!$CV$11">
      <cdr:nvSpPr>
        <cdr:cNvPr id="10" name="Rectangle 9">
          <a:extLst xmlns:a="http://schemas.openxmlformats.org/drawingml/2006/main">
            <a:ext uri="{FF2B5EF4-FFF2-40B4-BE49-F238E27FC236}">
              <a16:creationId xmlns:a16="http://schemas.microsoft.com/office/drawing/2014/main" id="{7B28B89F-5D2D-4C58-B5AA-50171DA1BC2E}"/>
            </a:ext>
          </a:extLst>
        </cdr:cNvPr>
        <cdr:cNvSpPr/>
      </cdr:nvSpPr>
      <cdr:spPr>
        <a:xfrm xmlns:a="http://schemas.openxmlformats.org/drawingml/2006/main">
          <a:off x="3477320" y="627829"/>
          <a:ext cx="576922" cy="239141"/>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F4910C2F-4178-486D-87F5-D1EFC9E75ACA}" type="TxLink">
            <a:rPr lang="en-US" sz="1200" b="1" i="0" u="none" strike="noStrike">
              <a:solidFill>
                <a:srgbClr val="FF0000"/>
              </a:solidFill>
              <a:latin typeface="Segoe UI" pitchFamily="34" charset="0"/>
              <a:cs typeface="Segoe UI" pitchFamily="34" charset="0"/>
            </a:rPr>
            <a:pPr algn="ctr"/>
            <a:t>96%</a:t>
          </a:fld>
          <a:endParaRPr lang="en-US" sz="1200" b="1">
            <a:solidFill>
              <a:srgbClr val="FF0000"/>
            </a:solidFill>
            <a:latin typeface="Segoe UI" pitchFamily="34" charset="0"/>
            <a:cs typeface="Segoe UI" pitchFamily="34" charset="0"/>
          </a:endParaRPr>
        </a:p>
      </cdr:txBody>
    </cdr:sp>
  </cdr:relSizeAnchor>
  <cdr:relSizeAnchor xmlns:cdr="http://schemas.openxmlformats.org/drawingml/2006/chartDrawing">
    <cdr:from>
      <cdr:x>0</cdr:x>
      <cdr:y>0.16095</cdr:y>
    </cdr:from>
    <cdr:to>
      <cdr:x>0.72805</cdr:x>
      <cdr:y>0.22125</cdr:y>
    </cdr:to>
    <cdr:sp macro="" textlink="'Lists-Modules-ChartData'!$CT$27">
      <cdr:nvSpPr>
        <cdr:cNvPr id="11" name="Rectangle 10">
          <a:extLst xmlns:a="http://schemas.openxmlformats.org/drawingml/2006/main">
            <a:ext uri="{FF2B5EF4-FFF2-40B4-BE49-F238E27FC236}">
              <a16:creationId xmlns:a16="http://schemas.microsoft.com/office/drawing/2014/main" id="{781C3AEB-AC51-4537-AE19-5123DC87E17B}"/>
            </a:ext>
          </a:extLst>
        </cdr:cNvPr>
        <cdr:cNvSpPr/>
      </cdr:nvSpPr>
      <cdr:spPr>
        <a:xfrm xmlns:a="http://schemas.openxmlformats.org/drawingml/2006/main">
          <a:off x="0" y="594985"/>
          <a:ext cx="3081868" cy="222912"/>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fld id="{02248D68-3F15-41B9-9CEF-F1255AC2C7D2}" type="TxLink">
            <a:rPr lang="en-US" sz="1200" b="0" i="0" u="none" strike="noStrike">
              <a:solidFill>
                <a:srgbClr val="000000"/>
              </a:solidFill>
              <a:latin typeface="Segoe UI" pitchFamily="34" charset="0"/>
              <a:cs typeface="Segoe UI" pitchFamily="34" charset="0"/>
            </a:rPr>
            <a:pPr algn="l"/>
            <a:t>Has a percentile rank of:</a:t>
          </a:fld>
          <a:endParaRPr lang="en-US" sz="1200" b="0">
            <a:solidFill>
              <a:srgbClr val="FF0000"/>
            </a:solidFill>
            <a:latin typeface="Segoe UI" pitchFamily="34" charset="0"/>
            <a:cs typeface="Segoe UI" pitchFamily="34" charset="0"/>
          </a:endParaRPr>
        </a:p>
      </cdr:txBody>
    </cdr:sp>
  </cdr:relSizeAnchor>
  <cdr:relSizeAnchor xmlns:cdr="http://schemas.openxmlformats.org/drawingml/2006/chartDrawing">
    <cdr:from>
      <cdr:x>0</cdr:x>
      <cdr:y>0.11209</cdr:y>
    </cdr:from>
    <cdr:to>
      <cdr:x>0.75835</cdr:x>
      <cdr:y>0.18649</cdr:y>
    </cdr:to>
    <cdr:sp macro="" textlink="'Lists-Modules-ChartData'!$CT$26">
      <cdr:nvSpPr>
        <cdr:cNvPr id="7" name="Rectangle 6">
          <a:extLst xmlns:a="http://schemas.openxmlformats.org/drawingml/2006/main">
            <a:ext uri="{FF2B5EF4-FFF2-40B4-BE49-F238E27FC236}">
              <a16:creationId xmlns:a16="http://schemas.microsoft.com/office/drawing/2014/main" id="{AD45A3FC-F510-4455-A702-8854332043AA}"/>
            </a:ext>
          </a:extLst>
        </cdr:cNvPr>
        <cdr:cNvSpPr/>
      </cdr:nvSpPr>
      <cdr:spPr>
        <a:xfrm xmlns:a="http://schemas.openxmlformats.org/drawingml/2006/main">
          <a:off x="0" y="414365"/>
          <a:ext cx="3210129" cy="275036"/>
        </a:xfrm>
        <a:prstGeom xmlns:a="http://schemas.openxmlformats.org/drawingml/2006/main" prst="rect">
          <a:avLst/>
        </a:prstGeom>
        <a:noFill xmlns:a="http://schemas.openxmlformats.org/drawingml/2006/main"/>
        <a:ln xmlns:a="http://schemas.openxmlformats.org/drawingml/2006/main" w="25400" cap="flat" cmpd="sng" algn="ctr">
          <a:no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pPr algn="l"/>
          <a:fld id="{1E909405-B4CE-4F8D-A7DA-FF326D5DF36F}" type="TxLink">
            <a:rPr lang="en-US" sz="1200" b="0" i="0" u="none" strike="noStrike">
              <a:solidFill>
                <a:srgbClr val="000000"/>
              </a:solidFill>
              <a:latin typeface="Segoe UI" pitchFamily="34" charset="0"/>
              <a:cs typeface="Segoe UI" pitchFamily="34" charset="0"/>
            </a:rPr>
            <a:pPr algn="l"/>
            <a:t>Latvia median forecast error, 2009-2017:</a:t>
          </a:fld>
          <a:endParaRPr lang="en-US" sz="1200" b="0">
            <a:solidFill>
              <a:srgbClr val="FF0000"/>
            </a:solidFill>
            <a:latin typeface="Segoe UI" pitchFamily="34" charset="0"/>
            <a:cs typeface="Segoe UI" pitchFamily="34" charset="0"/>
          </a:endParaRPr>
        </a:p>
      </cdr:txBody>
    </cdr:sp>
  </cdr:relSizeAnchor>
  <cdr:relSizeAnchor xmlns:cdr="http://schemas.openxmlformats.org/drawingml/2006/chartDrawing">
    <cdr:from>
      <cdr:x>0.09196</cdr:x>
      <cdr:y>0.56508</cdr:y>
    </cdr:from>
    <cdr:to>
      <cdr:x>0.46856</cdr:x>
      <cdr:y>0.62354</cdr:y>
    </cdr:to>
    <cdr:sp macro="" textlink="">
      <cdr:nvSpPr>
        <cdr:cNvPr id="14" name="TextBox 1">
          <a:extLst xmlns:a="http://schemas.openxmlformats.org/drawingml/2006/main">
            <a:ext uri="{FF2B5EF4-FFF2-40B4-BE49-F238E27FC236}">
              <a16:creationId xmlns:a16="http://schemas.microsoft.com/office/drawing/2014/main" id="{BB6E3A96-56B8-4B86-AB45-BCA08528599F}"/>
            </a:ext>
          </a:extLst>
        </cdr:cNvPr>
        <cdr:cNvSpPr txBox="1"/>
      </cdr:nvSpPr>
      <cdr:spPr>
        <a:xfrm xmlns:a="http://schemas.openxmlformats.org/drawingml/2006/main">
          <a:off x="392337" y="2136047"/>
          <a:ext cx="1606719" cy="220982"/>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n-US" sz="1200" b="0" i="1" u="none" strike="noStrike">
              <a:solidFill>
                <a:srgbClr val="000000"/>
              </a:solidFill>
              <a:latin typeface="Segoe UI" pitchFamily="34" charset="0"/>
              <a:cs typeface="Segoe UI" pitchFamily="34" charset="0"/>
            </a:rPr>
            <a:t>Distribution of forecast errors: </a:t>
          </a:r>
          <a:r>
            <a:rPr lang="en-US" sz="1200" b="0" i="0" u="none" strike="noStrike" baseline="30000">
              <a:solidFill>
                <a:srgbClr val="000000"/>
              </a:solidFill>
              <a:latin typeface="Segoe UI" pitchFamily="34" charset="0"/>
              <a:cs typeface="Segoe UI" pitchFamily="34" charset="0"/>
            </a:rPr>
            <a:t>1/</a:t>
          </a:r>
        </a:p>
      </cdr:txBody>
    </cdr:sp>
  </cdr:relSizeAnchor>
  <cdr:relSizeAnchor xmlns:cdr="http://schemas.openxmlformats.org/drawingml/2006/chartDrawing">
    <cdr:from>
      <cdr:x>0</cdr:x>
      <cdr:y>0.05316</cdr:y>
    </cdr:from>
    <cdr:to>
      <cdr:x>0.68233</cdr:x>
      <cdr:y>0.14465</cdr:y>
    </cdr:to>
    <cdr:sp macro="" textlink="'Lists-Modules-ChartData'!$CT$23">
      <cdr:nvSpPr>
        <cdr:cNvPr id="15" name="TextBox 1">
          <a:extLst xmlns:a="http://schemas.openxmlformats.org/drawingml/2006/main">
            <a:ext uri="{FF2B5EF4-FFF2-40B4-BE49-F238E27FC236}">
              <a16:creationId xmlns:a16="http://schemas.microsoft.com/office/drawing/2014/main" id="{8334B040-5730-45CA-A1E4-C23BE2C2711D}"/>
            </a:ext>
          </a:extLst>
        </cdr:cNvPr>
        <cdr:cNvSpPr txBox="1"/>
      </cdr:nvSpPr>
      <cdr:spPr>
        <a:xfrm xmlns:a="http://schemas.openxmlformats.org/drawingml/2006/main">
          <a:off x="0" y="196518"/>
          <a:ext cx="2888333" cy="33821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3F02A8AC-2E94-4682-8112-60ED7200C7E9}" type="TxLink">
            <a:rPr lang="en-US" sz="1100" b="0" i="0" u="none" strike="noStrike">
              <a:solidFill>
                <a:srgbClr val="000000"/>
              </a:solidFill>
              <a:latin typeface="Segoe UI" pitchFamily="34" charset="0"/>
              <a:cs typeface="Segoe UI" pitchFamily="34" charset="0"/>
            </a:rPr>
            <a:pPr/>
            <a:t>(in percent, actual-projection)</a:t>
          </a:fld>
          <a:endParaRPr lang="en-US" sz="1100" b="0">
            <a:latin typeface="Segoe UI" pitchFamily="34" charset="0"/>
            <a:cs typeface="Segoe UI" pitchFamily="34" charset="0"/>
          </a:endParaRPr>
        </a:p>
      </cdr:txBody>
    </cdr:sp>
  </cdr:relSizeAnchor>
</c:userShapes>
</file>

<file path=xl/drawings/drawing36.xml><?xml version="1.0" encoding="utf-8"?>
<c:userShapes xmlns:c="http://schemas.openxmlformats.org/drawingml/2006/chart">
  <cdr:relSizeAnchor xmlns:cdr="http://schemas.openxmlformats.org/drawingml/2006/chartDrawing">
    <cdr:from>
      <cdr:x>0.8127</cdr:x>
      <cdr:y>0.11073</cdr:y>
    </cdr:from>
    <cdr:to>
      <cdr:x>0.96033</cdr:x>
      <cdr:y>0.17553</cdr:y>
    </cdr:to>
    <cdr:sp macro="" textlink="'Lists-Modules-ChartData'!$CU$12">
      <cdr:nvSpPr>
        <cdr:cNvPr id="9" name="Rectangle 8">
          <a:extLst xmlns:a="http://schemas.openxmlformats.org/drawingml/2006/main">
            <a:ext uri="{FF2B5EF4-FFF2-40B4-BE49-F238E27FC236}">
              <a16:creationId xmlns:a16="http://schemas.microsoft.com/office/drawing/2014/main" id="{F67B9CB8-5E6A-4D87-BD68-260AE7DB08AC}"/>
            </a:ext>
          </a:extLst>
        </cdr:cNvPr>
        <cdr:cNvSpPr/>
      </cdr:nvSpPr>
      <cdr:spPr>
        <a:xfrm xmlns:a="http://schemas.openxmlformats.org/drawingml/2006/main">
          <a:off x="3442964" y="409346"/>
          <a:ext cx="625427" cy="239548"/>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algn="ctr"/>
          <a:fld id="{CB820EAF-FA19-4854-8D84-9B2B5AB63EC7}" type="TxLink">
            <a:rPr lang="en-US" sz="1200" b="1" i="0" u="none" strike="noStrike">
              <a:solidFill>
                <a:srgbClr val="FF0000"/>
              </a:solidFill>
              <a:latin typeface="Segoe UI" pitchFamily="34" charset="0"/>
              <a:cs typeface="Segoe UI" pitchFamily="34" charset="0"/>
            </a:rPr>
            <a:pPr algn="ctr"/>
            <a:t>-0.90</a:t>
          </a:fld>
          <a:endParaRPr lang="en-US" sz="1200" b="1">
            <a:solidFill>
              <a:srgbClr val="FF0000"/>
            </a:solidFill>
            <a:latin typeface="Segoe UI" pitchFamily="34" charset="0"/>
            <a:cs typeface="Segoe UI" pitchFamily="34" charset="0"/>
          </a:endParaRPr>
        </a:p>
      </cdr:txBody>
    </cdr:sp>
  </cdr:relSizeAnchor>
  <cdr:relSizeAnchor xmlns:cdr="http://schemas.openxmlformats.org/drawingml/2006/chartDrawing">
    <cdr:from>
      <cdr:x>0.82709</cdr:x>
      <cdr:y>0.16661</cdr:y>
    </cdr:from>
    <cdr:to>
      <cdr:x>0.96338</cdr:x>
      <cdr:y>0.2313</cdr:y>
    </cdr:to>
    <cdr:sp macro="" textlink="'Lists-Modules-ChartData'!$CV$12">
      <cdr:nvSpPr>
        <cdr:cNvPr id="10" name="Rectangle 9">
          <a:extLst xmlns:a="http://schemas.openxmlformats.org/drawingml/2006/main">
            <a:ext uri="{FF2B5EF4-FFF2-40B4-BE49-F238E27FC236}">
              <a16:creationId xmlns:a16="http://schemas.microsoft.com/office/drawing/2014/main" id="{B51D18FE-8C73-4A3F-B615-40E94F88EDCD}"/>
            </a:ext>
          </a:extLst>
        </cdr:cNvPr>
        <cdr:cNvSpPr/>
      </cdr:nvSpPr>
      <cdr:spPr>
        <a:xfrm xmlns:a="http://schemas.openxmlformats.org/drawingml/2006/main">
          <a:off x="3503927" y="615923"/>
          <a:ext cx="577385" cy="239141"/>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9FBC7C14-B0E1-4A27-A4EA-375990D894FC}" type="TxLink">
            <a:rPr lang="en-US" sz="1200" b="1" i="0" u="none" strike="noStrike">
              <a:solidFill>
                <a:srgbClr val="FF0000"/>
              </a:solidFill>
              <a:latin typeface="Segoe UI" pitchFamily="34" charset="0"/>
              <a:cs typeface="Segoe UI" pitchFamily="34" charset="0"/>
            </a:rPr>
            <a:pPr algn="ctr"/>
            <a:t>40%</a:t>
          </a:fld>
          <a:endParaRPr lang="en-US" sz="1200" b="1">
            <a:solidFill>
              <a:srgbClr val="FF0000"/>
            </a:solidFill>
            <a:latin typeface="Segoe UI" pitchFamily="34" charset="0"/>
            <a:cs typeface="Segoe UI" pitchFamily="34" charset="0"/>
          </a:endParaRPr>
        </a:p>
      </cdr:txBody>
    </cdr:sp>
  </cdr:relSizeAnchor>
  <cdr:relSizeAnchor xmlns:cdr="http://schemas.openxmlformats.org/drawingml/2006/chartDrawing">
    <cdr:from>
      <cdr:x>0.0025</cdr:x>
      <cdr:y>0.15451</cdr:y>
    </cdr:from>
    <cdr:to>
      <cdr:x>0.73055</cdr:x>
      <cdr:y>0.21481</cdr:y>
    </cdr:to>
    <cdr:sp macro="" textlink="'Lists-Modules-ChartData'!$CT$27">
      <cdr:nvSpPr>
        <cdr:cNvPr id="11" name="Rectangle 10">
          <a:extLst xmlns:a="http://schemas.openxmlformats.org/drawingml/2006/main">
            <a:ext uri="{FF2B5EF4-FFF2-40B4-BE49-F238E27FC236}">
              <a16:creationId xmlns:a16="http://schemas.microsoft.com/office/drawing/2014/main" id="{DF737DED-ED26-49A9-B789-0D55E0893F97}"/>
            </a:ext>
          </a:extLst>
        </cdr:cNvPr>
        <cdr:cNvSpPr/>
      </cdr:nvSpPr>
      <cdr:spPr>
        <a:xfrm xmlns:a="http://schemas.openxmlformats.org/drawingml/2006/main">
          <a:off x="10576" y="571180"/>
          <a:ext cx="3084346" cy="222913"/>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fld id="{02248D68-3F15-41B9-9CEF-F1255AC2C7D2}" type="TxLink">
            <a:rPr lang="en-US" sz="1200" b="0" i="0" u="none" strike="noStrike">
              <a:solidFill>
                <a:srgbClr val="000000"/>
              </a:solidFill>
              <a:latin typeface="Segoe UI" pitchFamily="34" charset="0"/>
              <a:cs typeface="Segoe UI" pitchFamily="34" charset="0"/>
            </a:rPr>
            <a:pPr algn="l"/>
            <a:t>Has a percentile rank of:</a:t>
          </a:fld>
          <a:endParaRPr lang="en-US" sz="1200" b="0">
            <a:solidFill>
              <a:srgbClr val="FF0000"/>
            </a:solidFill>
            <a:latin typeface="Segoe UI" pitchFamily="34" charset="0"/>
            <a:cs typeface="Segoe UI" pitchFamily="34" charset="0"/>
          </a:endParaRPr>
        </a:p>
      </cdr:txBody>
    </cdr:sp>
  </cdr:relSizeAnchor>
  <cdr:relSizeAnchor xmlns:cdr="http://schemas.openxmlformats.org/drawingml/2006/chartDrawing">
    <cdr:from>
      <cdr:x>0.0025</cdr:x>
      <cdr:y>0.10243</cdr:y>
    </cdr:from>
    <cdr:to>
      <cdr:x>0.76085</cdr:x>
      <cdr:y>0.17683</cdr:y>
    </cdr:to>
    <cdr:sp macro="" textlink="'Lists-Modules-ChartData'!$CT$26">
      <cdr:nvSpPr>
        <cdr:cNvPr id="7" name="Rectangle 6">
          <a:extLst xmlns:a="http://schemas.openxmlformats.org/drawingml/2006/main">
            <a:ext uri="{FF2B5EF4-FFF2-40B4-BE49-F238E27FC236}">
              <a16:creationId xmlns:a16="http://schemas.microsoft.com/office/drawing/2014/main" id="{011CA688-3A7B-4002-9D54-81E7D3AF7CC3}"/>
            </a:ext>
          </a:extLst>
        </cdr:cNvPr>
        <cdr:cNvSpPr/>
      </cdr:nvSpPr>
      <cdr:spPr>
        <a:xfrm xmlns:a="http://schemas.openxmlformats.org/drawingml/2006/main">
          <a:off x="10576" y="378655"/>
          <a:ext cx="3212711" cy="275036"/>
        </a:xfrm>
        <a:prstGeom xmlns:a="http://schemas.openxmlformats.org/drawingml/2006/main" prst="rect">
          <a:avLst/>
        </a:prstGeom>
        <a:noFill xmlns:a="http://schemas.openxmlformats.org/drawingml/2006/main"/>
        <a:ln xmlns:a="http://schemas.openxmlformats.org/drawingml/2006/main" w="25400" cap="flat" cmpd="sng" algn="ctr">
          <a:no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pPr algn="l"/>
          <a:fld id="{1E909405-B4CE-4F8D-A7DA-FF326D5DF36F}" type="TxLink">
            <a:rPr lang="en-US" sz="1200" b="0" i="0" u="none" strike="noStrike">
              <a:solidFill>
                <a:srgbClr val="000000"/>
              </a:solidFill>
              <a:latin typeface="Segoe UI" pitchFamily="34" charset="0"/>
              <a:cs typeface="Segoe UI" pitchFamily="34" charset="0"/>
            </a:rPr>
            <a:pPr algn="l"/>
            <a:t>Latvia median forecast error, 2009-2017:</a:t>
          </a:fld>
          <a:endParaRPr lang="en-US" sz="1200" b="0">
            <a:solidFill>
              <a:srgbClr val="FF0000"/>
            </a:solidFill>
            <a:latin typeface="Segoe UI" pitchFamily="34" charset="0"/>
            <a:cs typeface="Segoe UI" pitchFamily="34" charset="0"/>
          </a:endParaRPr>
        </a:p>
      </cdr:txBody>
    </cdr:sp>
  </cdr:relSizeAnchor>
  <cdr:relSizeAnchor xmlns:cdr="http://schemas.openxmlformats.org/drawingml/2006/chartDrawing">
    <cdr:from>
      <cdr:x>0.09196</cdr:x>
      <cdr:y>0.55617</cdr:y>
    </cdr:from>
    <cdr:to>
      <cdr:x>0.46856</cdr:x>
      <cdr:y>0.61463</cdr:y>
    </cdr:to>
    <cdr:sp macro="" textlink="">
      <cdr:nvSpPr>
        <cdr:cNvPr id="14" name="TextBox 1">
          <a:extLst xmlns:a="http://schemas.openxmlformats.org/drawingml/2006/main">
            <a:ext uri="{FF2B5EF4-FFF2-40B4-BE49-F238E27FC236}">
              <a16:creationId xmlns:a16="http://schemas.microsoft.com/office/drawing/2014/main" id="{24E47B37-7DAD-407E-A224-705CC53CD790}"/>
            </a:ext>
          </a:extLst>
        </cdr:cNvPr>
        <cdr:cNvSpPr txBox="1"/>
      </cdr:nvSpPr>
      <cdr:spPr>
        <a:xfrm xmlns:a="http://schemas.openxmlformats.org/drawingml/2006/main">
          <a:off x="393168" y="2046986"/>
          <a:ext cx="1610120" cy="215161"/>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n-US" sz="1200" b="0" i="1" u="none" strike="noStrike">
              <a:solidFill>
                <a:srgbClr val="000000"/>
              </a:solidFill>
              <a:latin typeface="Segoe UI" pitchFamily="34" charset="0"/>
              <a:cs typeface="Segoe UI" pitchFamily="34" charset="0"/>
            </a:rPr>
            <a:t>Distribution of forecast errors: </a:t>
          </a:r>
          <a:r>
            <a:rPr lang="en-US" sz="1200" b="0" i="0" u="none" strike="noStrike" baseline="30000">
              <a:solidFill>
                <a:srgbClr val="000000"/>
              </a:solidFill>
              <a:latin typeface="Segoe UI" pitchFamily="34" charset="0"/>
              <a:cs typeface="Segoe UI" pitchFamily="34" charset="0"/>
            </a:rPr>
            <a:t>1/</a:t>
          </a:r>
        </a:p>
      </cdr:txBody>
    </cdr:sp>
  </cdr:relSizeAnchor>
  <cdr:relSizeAnchor xmlns:cdr="http://schemas.openxmlformats.org/drawingml/2006/chartDrawing">
    <cdr:from>
      <cdr:x>0</cdr:x>
      <cdr:y>0.04994</cdr:y>
    </cdr:from>
    <cdr:to>
      <cdr:x>0.79087</cdr:x>
      <cdr:y>0.14143</cdr:y>
    </cdr:to>
    <cdr:sp macro="" textlink="'Lists-Modules-ChartData'!$CT$24">
      <cdr:nvSpPr>
        <cdr:cNvPr id="15" name="TextBox 1">
          <a:extLst xmlns:a="http://schemas.openxmlformats.org/drawingml/2006/main">
            <a:ext uri="{FF2B5EF4-FFF2-40B4-BE49-F238E27FC236}">
              <a16:creationId xmlns:a16="http://schemas.microsoft.com/office/drawing/2014/main" id="{CC141763-0FBA-4CE0-B5A4-285B36A14AEF}"/>
            </a:ext>
          </a:extLst>
        </cdr:cNvPr>
        <cdr:cNvSpPr txBox="1"/>
      </cdr:nvSpPr>
      <cdr:spPr>
        <a:xfrm xmlns:a="http://schemas.openxmlformats.org/drawingml/2006/main">
          <a:off x="0" y="184614"/>
          <a:ext cx="3350480" cy="33821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677B466-C25D-4C87-8074-94F1C4E3E54B}" type="TxLink">
            <a:rPr lang="en-US" sz="1100" b="0" i="0" u="none" strike="noStrike">
              <a:solidFill>
                <a:srgbClr val="000000"/>
              </a:solidFill>
              <a:latin typeface="Segoe UI" pitchFamily="34" charset="0"/>
              <a:cs typeface="Segoe UI" pitchFamily="34" charset="0"/>
            </a:rPr>
            <a:pPr/>
            <a:t>(in percent of GDP, actual-projection)</a:t>
          </a:fld>
          <a:endParaRPr lang="en-US" sz="1100" b="0">
            <a:latin typeface="Segoe UI" pitchFamily="34" charset="0"/>
            <a:cs typeface="Segoe UI" pitchFamily="34" charset="0"/>
          </a:endParaRPr>
        </a:p>
      </cdr:txBody>
    </cdr:sp>
  </cdr:relSizeAnchor>
</c:userShapes>
</file>

<file path=xl/drawings/drawing37.xml><?xml version="1.0" encoding="utf-8"?>
<c:userShapes xmlns:c="http://schemas.openxmlformats.org/drawingml/2006/chart">
  <cdr:relSizeAnchor xmlns:cdr="http://schemas.openxmlformats.org/drawingml/2006/chartDrawing">
    <cdr:from>
      <cdr:x>0.80708</cdr:x>
      <cdr:y>0.11073</cdr:y>
    </cdr:from>
    <cdr:to>
      <cdr:x>0.95471</cdr:x>
      <cdr:y>0.17553</cdr:y>
    </cdr:to>
    <cdr:sp macro="" textlink="'Lists-Modules-ChartData'!$CU$13">
      <cdr:nvSpPr>
        <cdr:cNvPr id="9" name="Rectangle 8">
          <a:extLst xmlns:a="http://schemas.openxmlformats.org/drawingml/2006/main">
            <a:ext uri="{FF2B5EF4-FFF2-40B4-BE49-F238E27FC236}">
              <a16:creationId xmlns:a16="http://schemas.microsoft.com/office/drawing/2014/main" id="{3CEF400E-8471-4B9A-A55D-918A7D0F87E3}"/>
            </a:ext>
          </a:extLst>
        </cdr:cNvPr>
        <cdr:cNvSpPr/>
      </cdr:nvSpPr>
      <cdr:spPr>
        <a:xfrm xmlns:a="http://schemas.openxmlformats.org/drawingml/2006/main">
          <a:off x="3419151" y="409346"/>
          <a:ext cx="625427" cy="239548"/>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algn="ctr"/>
          <a:fld id="{BC9B489B-2D74-499B-863A-4A4D9893BB10}" type="TxLink">
            <a:rPr lang="en-US" sz="1200" b="1" i="0" u="none" strike="noStrike">
              <a:solidFill>
                <a:srgbClr val="FF0000"/>
              </a:solidFill>
              <a:latin typeface="Segoe UI" pitchFamily="34" charset="0"/>
              <a:cs typeface="Segoe UI" pitchFamily="34" charset="0"/>
            </a:rPr>
            <a:pPr algn="ctr"/>
            <a:t>-0.88</a:t>
          </a:fld>
          <a:endParaRPr lang="en-US" sz="1200" b="1">
            <a:solidFill>
              <a:srgbClr val="FF0000"/>
            </a:solidFill>
            <a:latin typeface="Segoe UI" pitchFamily="34" charset="0"/>
            <a:cs typeface="Segoe UI" pitchFamily="34" charset="0"/>
          </a:endParaRPr>
        </a:p>
      </cdr:txBody>
    </cdr:sp>
  </cdr:relSizeAnchor>
  <cdr:relSizeAnchor xmlns:cdr="http://schemas.openxmlformats.org/drawingml/2006/chartDrawing">
    <cdr:from>
      <cdr:x>0.82147</cdr:x>
      <cdr:y>0.16339</cdr:y>
    </cdr:from>
    <cdr:to>
      <cdr:x>0.95776</cdr:x>
      <cdr:y>0.22808</cdr:y>
    </cdr:to>
    <cdr:sp macro="" textlink="'Lists-Modules-ChartData'!$CV$13">
      <cdr:nvSpPr>
        <cdr:cNvPr id="10" name="Rectangle 9">
          <a:extLst xmlns:a="http://schemas.openxmlformats.org/drawingml/2006/main">
            <a:ext uri="{FF2B5EF4-FFF2-40B4-BE49-F238E27FC236}">
              <a16:creationId xmlns:a16="http://schemas.microsoft.com/office/drawing/2014/main" id="{F8E49F9A-AF77-420A-BD2E-8481451A0CFF}"/>
            </a:ext>
          </a:extLst>
        </cdr:cNvPr>
        <cdr:cNvSpPr/>
      </cdr:nvSpPr>
      <cdr:spPr>
        <a:xfrm xmlns:a="http://schemas.openxmlformats.org/drawingml/2006/main">
          <a:off x="3480116" y="604016"/>
          <a:ext cx="577385" cy="239141"/>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35A57960-98F4-4D80-8499-2F3ECF9B9C89}" type="TxLink">
            <a:rPr lang="en-US" sz="1200" b="1" i="0" u="none" strike="noStrike">
              <a:solidFill>
                <a:srgbClr val="FF0000"/>
              </a:solidFill>
              <a:latin typeface="Segoe UI" pitchFamily="34" charset="0"/>
              <a:cs typeface="Segoe UI" pitchFamily="34" charset="0"/>
            </a:rPr>
            <a:pPr algn="ctr"/>
            <a:t>29%</a:t>
          </a:fld>
          <a:endParaRPr lang="en-US" sz="1200" b="1">
            <a:solidFill>
              <a:srgbClr val="FF0000"/>
            </a:solidFill>
            <a:latin typeface="Segoe UI" pitchFamily="34" charset="0"/>
            <a:cs typeface="Segoe UI" pitchFamily="34" charset="0"/>
          </a:endParaRPr>
        </a:p>
      </cdr:txBody>
    </cdr:sp>
  </cdr:relSizeAnchor>
  <cdr:relSizeAnchor xmlns:cdr="http://schemas.openxmlformats.org/drawingml/2006/chartDrawing">
    <cdr:from>
      <cdr:x>0</cdr:x>
      <cdr:y>0.16417</cdr:y>
    </cdr:from>
    <cdr:to>
      <cdr:x>0.72805</cdr:x>
      <cdr:y>0.22447</cdr:y>
    </cdr:to>
    <cdr:sp macro="" textlink="'Lists-Modules-ChartData'!$CT$27">
      <cdr:nvSpPr>
        <cdr:cNvPr id="11" name="Rectangle 10">
          <a:extLst xmlns:a="http://schemas.openxmlformats.org/drawingml/2006/main">
            <a:ext uri="{FF2B5EF4-FFF2-40B4-BE49-F238E27FC236}">
              <a16:creationId xmlns:a16="http://schemas.microsoft.com/office/drawing/2014/main" id="{85552933-53DD-4EE1-A085-6F737E29B65E}"/>
            </a:ext>
          </a:extLst>
        </cdr:cNvPr>
        <cdr:cNvSpPr/>
      </cdr:nvSpPr>
      <cdr:spPr>
        <a:xfrm xmlns:a="http://schemas.openxmlformats.org/drawingml/2006/main">
          <a:off x="0" y="606891"/>
          <a:ext cx="3084346" cy="222912"/>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fld id="{02248D68-3F15-41B9-9CEF-F1255AC2C7D2}" type="TxLink">
            <a:rPr lang="en-US" sz="1200" b="0" i="0" u="none" strike="noStrike">
              <a:solidFill>
                <a:srgbClr val="000000"/>
              </a:solidFill>
              <a:latin typeface="Segoe UI" pitchFamily="34" charset="0"/>
              <a:cs typeface="Segoe UI" pitchFamily="34" charset="0"/>
            </a:rPr>
            <a:pPr algn="l"/>
            <a:t>Has a percentile rank of:</a:t>
          </a:fld>
          <a:endParaRPr lang="en-US" sz="1200" b="0">
            <a:solidFill>
              <a:srgbClr val="FF0000"/>
            </a:solidFill>
            <a:latin typeface="Segoe UI" pitchFamily="34" charset="0"/>
            <a:cs typeface="Segoe UI" pitchFamily="34" charset="0"/>
          </a:endParaRPr>
        </a:p>
      </cdr:txBody>
    </cdr:sp>
  </cdr:relSizeAnchor>
  <cdr:relSizeAnchor xmlns:cdr="http://schemas.openxmlformats.org/drawingml/2006/chartDrawing">
    <cdr:from>
      <cdr:x>0</cdr:x>
      <cdr:y>0.11209</cdr:y>
    </cdr:from>
    <cdr:to>
      <cdr:x>0.75835</cdr:x>
      <cdr:y>0.18649</cdr:y>
    </cdr:to>
    <cdr:sp macro="" textlink="'Lists-Modules-ChartData'!$CT$26">
      <cdr:nvSpPr>
        <cdr:cNvPr id="7" name="Rectangle 6">
          <a:extLst xmlns:a="http://schemas.openxmlformats.org/drawingml/2006/main">
            <a:ext uri="{FF2B5EF4-FFF2-40B4-BE49-F238E27FC236}">
              <a16:creationId xmlns:a16="http://schemas.microsoft.com/office/drawing/2014/main" id="{CBF1A9B8-6FFF-41D0-A56F-B34134DD2CB6}"/>
            </a:ext>
          </a:extLst>
        </cdr:cNvPr>
        <cdr:cNvSpPr/>
      </cdr:nvSpPr>
      <cdr:spPr>
        <a:xfrm xmlns:a="http://schemas.openxmlformats.org/drawingml/2006/main">
          <a:off x="0" y="414365"/>
          <a:ext cx="3212710" cy="275036"/>
        </a:xfrm>
        <a:prstGeom xmlns:a="http://schemas.openxmlformats.org/drawingml/2006/main" prst="rect">
          <a:avLst/>
        </a:prstGeom>
        <a:noFill xmlns:a="http://schemas.openxmlformats.org/drawingml/2006/main"/>
        <a:ln xmlns:a="http://schemas.openxmlformats.org/drawingml/2006/main" w="25400" cap="flat" cmpd="sng" algn="ctr">
          <a:no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pPr algn="l"/>
          <a:fld id="{1E909405-B4CE-4F8D-A7DA-FF326D5DF36F}" type="TxLink">
            <a:rPr lang="en-US" sz="1200" b="0" i="0" u="none" strike="noStrike">
              <a:solidFill>
                <a:srgbClr val="000000"/>
              </a:solidFill>
              <a:latin typeface="Segoe UI" pitchFamily="34" charset="0"/>
              <a:cs typeface="Segoe UI" pitchFamily="34" charset="0"/>
            </a:rPr>
            <a:pPr algn="l"/>
            <a:t>Latvia median forecast error, 2009-2017:</a:t>
          </a:fld>
          <a:endParaRPr lang="en-US" sz="1200" b="0">
            <a:solidFill>
              <a:srgbClr val="FF0000"/>
            </a:solidFill>
            <a:latin typeface="Segoe UI" pitchFamily="34" charset="0"/>
            <a:cs typeface="Segoe UI" pitchFamily="34" charset="0"/>
          </a:endParaRPr>
        </a:p>
      </cdr:txBody>
    </cdr:sp>
  </cdr:relSizeAnchor>
  <cdr:relSizeAnchor xmlns:cdr="http://schemas.openxmlformats.org/drawingml/2006/chartDrawing">
    <cdr:from>
      <cdr:x>0.0764</cdr:x>
      <cdr:y>0.56575</cdr:y>
    </cdr:from>
    <cdr:to>
      <cdr:x>0.453</cdr:x>
      <cdr:y>0.62421</cdr:y>
    </cdr:to>
    <cdr:sp macro="" textlink="">
      <cdr:nvSpPr>
        <cdr:cNvPr id="14" name="TextBox 1">
          <a:extLst xmlns:a="http://schemas.openxmlformats.org/drawingml/2006/main">
            <a:ext uri="{FF2B5EF4-FFF2-40B4-BE49-F238E27FC236}">
              <a16:creationId xmlns:a16="http://schemas.microsoft.com/office/drawing/2014/main" id="{9DFAEF7A-220E-4366-A105-E2FD73599C5D}"/>
            </a:ext>
          </a:extLst>
        </cdr:cNvPr>
        <cdr:cNvSpPr txBox="1"/>
      </cdr:nvSpPr>
      <cdr:spPr>
        <a:xfrm xmlns:a="http://schemas.openxmlformats.org/drawingml/2006/main">
          <a:off x="326642" y="2082237"/>
          <a:ext cx="1610120" cy="215161"/>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n-US" sz="1200" b="0" i="1" u="none" strike="noStrike">
              <a:solidFill>
                <a:srgbClr val="000000"/>
              </a:solidFill>
              <a:latin typeface="Segoe UI" pitchFamily="34" charset="0"/>
              <a:cs typeface="Segoe UI" pitchFamily="34" charset="0"/>
            </a:rPr>
            <a:t>Distribution of forecast errors: </a:t>
          </a:r>
          <a:r>
            <a:rPr lang="en-US" sz="1200" b="0" i="0" u="none" strike="noStrike" baseline="30000">
              <a:solidFill>
                <a:srgbClr val="000000"/>
              </a:solidFill>
              <a:latin typeface="Segoe UI" pitchFamily="34" charset="0"/>
              <a:cs typeface="Segoe UI" pitchFamily="34" charset="0"/>
            </a:rPr>
            <a:t>1/</a:t>
          </a:r>
        </a:p>
      </cdr:txBody>
    </cdr:sp>
  </cdr:relSizeAnchor>
  <cdr:relSizeAnchor xmlns:cdr="http://schemas.openxmlformats.org/drawingml/2006/chartDrawing">
    <cdr:from>
      <cdr:x>0</cdr:x>
      <cdr:y>0.05638</cdr:y>
    </cdr:from>
    <cdr:to>
      <cdr:x>0.68233</cdr:x>
      <cdr:y>0.14787</cdr:y>
    </cdr:to>
    <cdr:sp macro="" textlink="'Lists-Modules-ChartData'!$CT$23">
      <cdr:nvSpPr>
        <cdr:cNvPr id="15" name="TextBox 1">
          <a:extLst xmlns:a="http://schemas.openxmlformats.org/drawingml/2006/main">
            <a:ext uri="{FF2B5EF4-FFF2-40B4-BE49-F238E27FC236}">
              <a16:creationId xmlns:a16="http://schemas.microsoft.com/office/drawing/2014/main" id="{3E371467-47C4-4D46-BFF0-3D0573B4EE8A}"/>
            </a:ext>
          </a:extLst>
        </cdr:cNvPr>
        <cdr:cNvSpPr txBox="1"/>
      </cdr:nvSpPr>
      <cdr:spPr>
        <a:xfrm xmlns:a="http://schemas.openxmlformats.org/drawingml/2006/main">
          <a:off x="0" y="208421"/>
          <a:ext cx="2890656" cy="33821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3F02A8AC-2E94-4682-8112-60ED7200C7E9}" type="TxLink">
            <a:rPr lang="en-US" sz="1100" b="0" i="0" u="none" strike="noStrike">
              <a:solidFill>
                <a:srgbClr val="000000"/>
              </a:solidFill>
              <a:latin typeface="Segoe UI" pitchFamily="34" charset="0"/>
              <a:cs typeface="Segoe UI" pitchFamily="34" charset="0"/>
            </a:rPr>
            <a:pPr/>
            <a:t>(in percent, actual-projection)</a:t>
          </a:fld>
          <a:endParaRPr lang="en-US" sz="1100" b="0">
            <a:latin typeface="Segoe UI" pitchFamily="34" charset="0"/>
            <a:cs typeface="Segoe UI" pitchFamily="34" charset="0"/>
          </a:endParaRPr>
        </a:p>
      </cdr:txBody>
    </cdr:sp>
  </cdr:relSizeAnchor>
</c:userShapes>
</file>

<file path=xl/drawings/drawing38.xml><?xml version="1.0" encoding="utf-8"?>
<c:userShapes xmlns:c="http://schemas.openxmlformats.org/drawingml/2006/chart">
  <cdr:relSizeAnchor xmlns:cdr="http://schemas.openxmlformats.org/drawingml/2006/chartDrawing">
    <cdr:from>
      <cdr:x>0.54794</cdr:x>
      <cdr:y>0.05717</cdr:y>
    </cdr:from>
    <cdr:to>
      <cdr:x>0.54794</cdr:x>
      <cdr:y>0.88427</cdr:y>
    </cdr:to>
    <cdr:sp macro="" textlink="">
      <cdr:nvSpPr>
        <cdr:cNvPr id="7" name="Straight Connector 3">
          <a:extLst xmlns:a="http://schemas.openxmlformats.org/drawingml/2006/main">
            <a:ext uri="{FF2B5EF4-FFF2-40B4-BE49-F238E27FC236}">
              <a16:creationId xmlns:a16="http://schemas.microsoft.com/office/drawing/2014/main" id="{C838EDD2-08F3-4B40-A502-FCDA7B23673E}"/>
            </a:ext>
          </a:extLst>
        </cdr:cNvPr>
        <cdr:cNvSpPr/>
      </cdr:nvSpPr>
      <cdr:spPr>
        <a:xfrm xmlns:a="http://schemas.openxmlformats.org/drawingml/2006/main">
          <a:off x="3047971" y="183511"/>
          <a:ext cx="0" cy="2654929"/>
        </a:xfrm>
        <a:prstGeom xmlns:a="http://schemas.openxmlformats.org/drawingml/2006/main" prst="line">
          <a:avLst/>
        </a:prstGeom>
        <a:ln xmlns:a="http://schemas.openxmlformats.org/drawingml/2006/main" w="12700">
          <a:no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vertOverflow="clip"/>
        <a:lstStyle xmlns:a="http://schemas.openxmlformats.org/drawingml/2006/main"/>
        <a:p xmlns:a="http://schemas.openxmlformats.org/drawingml/2006/main">
          <a:endParaRPr lang="en-US">
            <a:ln>
              <a:noFill/>
            </a:ln>
          </a:endParaRPr>
        </a:p>
      </cdr:txBody>
    </cdr:sp>
  </cdr:relSizeAnchor>
  <cdr:relSizeAnchor xmlns:cdr="http://schemas.openxmlformats.org/drawingml/2006/chartDrawing">
    <cdr:from>
      <cdr:x>0.66017</cdr:x>
      <cdr:y>0.63049</cdr:y>
    </cdr:from>
    <cdr:to>
      <cdr:x>0.95014</cdr:x>
      <cdr:y>0.84117</cdr:y>
    </cdr:to>
    <cdr:sp macro="" textlink="'Lists-Modules-ChartData'!$EB$38">
      <cdr:nvSpPr>
        <cdr:cNvPr id="10" name="TextBox 1">
          <a:extLst xmlns:a="http://schemas.openxmlformats.org/drawingml/2006/main">
            <a:ext uri="{FF2B5EF4-FFF2-40B4-BE49-F238E27FC236}">
              <a16:creationId xmlns:a16="http://schemas.microsoft.com/office/drawing/2014/main" id="{41B15AB0-1E7D-437E-859F-75406AEFEB6E}"/>
            </a:ext>
          </a:extLst>
        </cdr:cNvPr>
        <cdr:cNvSpPr txBox="1"/>
      </cdr:nvSpPr>
      <cdr:spPr>
        <a:xfrm xmlns:a="http://schemas.openxmlformats.org/drawingml/2006/main">
          <a:off x="2837500" y="2154458"/>
          <a:ext cx="1246343" cy="71991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333F1A5-4A87-4A11-B0D4-AF3FC8E0196D}" type="TxLink">
            <a:rPr lang="en-US" sz="1100" b="0" i="0" u="none" strike="noStrike">
              <a:solidFill>
                <a:srgbClr val="4B82AD"/>
              </a:solidFill>
              <a:latin typeface="Segoe UI" pitchFamily="34" charset="0"/>
              <a:ea typeface="Segoe UI" pitchFamily="34" charset="0"/>
              <a:cs typeface="Segoe UI" pitchFamily="34" charset="0"/>
            </a:rPr>
            <a:pPr/>
            <a:t>#DIV/0!</a:t>
          </a:fld>
          <a:endParaRPr lang="en-US" sz="1100">
            <a:solidFill>
              <a:srgbClr val="4B82AD"/>
            </a:solidFill>
            <a:latin typeface="Segoe UI" pitchFamily="34" charset="0"/>
            <a:ea typeface="Segoe UI" pitchFamily="34" charset="0"/>
            <a:cs typeface="Segoe UI" pitchFamily="34" charset="0"/>
          </a:endParaRPr>
        </a:p>
      </cdr:txBody>
    </cdr:sp>
  </cdr:relSizeAnchor>
  <cdr:relSizeAnchor xmlns:cdr="http://schemas.openxmlformats.org/drawingml/2006/chartDrawing">
    <cdr:from>
      <cdr:x>0</cdr:x>
      <cdr:y>0.05482</cdr:y>
    </cdr:from>
    <cdr:to>
      <cdr:x>0.40784</cdr:x>
      <cdr:y>0.14169</cdr:y>
    </cdr:to>
    <cdr:sp macro="" textlink="">
      <cdr:nvSpPr>
        <cdr:cNvPr id="12" name="TextBox 1">
          <a:extLst xmlns:a="http://schemas.openxmlformats.org/drawingml/2006/main">
            <a:ext uri="{FF2B5EF4-FFF2-40B4-BE49-F238E27FC236}">
              <a16:creationId xmlns:a16="http://schemas.microsoft.com/office/drawing/2014/main" id="{201A8E12-22A2-4021-9F7B-D688F384175B}"/>
            </a:ext>
          </a:extLst>
        </cdr:cNvPr>
        <cdr:cNvSpPr txBox="1"/>
      </cdr:nvSpPr>
      <cdr:spPr>
        <a:xfrm xmlns:a="http://schemas.openxmlformats.org/drawingml/2006/main">
          <a:off x="0" y="199276"/>
          <a:ext cx="1772383" cy="31580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US" sz="1100" b="0">
              <a:latin typeface="Segoe UI" pitchFamily="34" charset="0"/>
              <a:cs typeface="Segoe UI" pitchFamily="34" charset="0"/>
            </a:rPr>
            <a:t>(in percent)</a:t>
          </a:r>
        </a:p>
      </cdr:txBody>
    </cdr:sp>
  </cdr:relSizeAnchor>
  <cdr:relSizeAnchor xmlns:cdr="http://schemas.openxmlformats.org/drawingml/2006/chartDrawing">
    <cdr:from>
      <cdr:x>0.15838</cdr:x>
      <cdr:y>0.28649</cdr:y>
    </cdr:from>
    <cdr:to>
      <cdr:x>0.85036</cdr:x>
      <cdr:y>0.73333</cdr:y>
    </cdr:to>
    <cdr:sp macro="" textlink="'Lists-Modules-ChartData'!$DQ$50">
      <cdr:nvSpPr>
        <cdr:cNvPr id="5" name="TextBox 4">
          <a:extLst xmlns:a="http://schemas.openxmlformats.org/drawingml/2006/main">
            <a:ext uri="{FF2B5EF4-FFF2-40B4-BE49-F238E27FC236}">
              <a16:creationId xmlns:a16="http://schemas.microsoft.com/office/drawing/2014/main" id="{C2983F27-91F5-46D6-B79E-BA8B0AF7DE14}"/>
            </a:ext>
          </a:extLst>
        </cdr:cNvPr>
        <cdr:cNvSpPr txBox="1"/>
      </cdr:nvSpPr>
      <cdr:spPr>
        <a:xfrm xmlns:a="http://schemas.openxmlformats.org/drawingml/2006/main">
          <a:off x="688295" y="1081768"/>
          <a:ext cx="3007178" cy="1687286"/>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algn="ctr"/>
          <a:fld id="{3324D353-924A-411A-A3CD-5BDCD08F38AB}" type="TxLink">
            <a:rPr lang="en-US" sz="1400" b="1" i="0" u="none" strike="noStrike">
              <a:solidFill>
                <a:srgbClr val="000000"/>
              </a:solidFill>
              <a:latin typeface="Segoe UI" pitchFamily="34" charset="0"/>
              <a:ea typeface="Segoe UI" pitchFamily="34" charset="0"/>
              <a:cs typeface="Segoe UI" pitchFamily="34" charset="0"/>
            </a:rPr>
            <a:pPr algn="ctr"/>
            <a:t>#DIV/0!</a:t>
          </a:fld>
          <a:endParaRPr lang="en-US" sz="1400" b="1">
            <a:latin typeface="Segoe UI" pitchFamily="34" charset="0"/>
            <a:ea typeface="Segoe UI" pitchFamily="34" charset="0"/>
            <a:cs typeface="Segoe UI" pitchFamily="34" charset="0"/>
          </a:endParaRPr>
        </a:p>
      </cdr:txBody>
    </cdr:sp>
  </cdr:relSizeAnchor>
</c:userShapes>
</file>

<file path=xl/drawings/drawing39.xml><?xml version="1.0" encoding="utf-8"?>
<c:userShapes xmlns:c="http://schemas.openxmlformats.org/drawingml/2006/chart">
  <cdr:relSizeAnchor xmlns:cdr="http://schemas.openxmlformats.org/drawingml/2006/chartDrawing">
    <cdr:from>
      <cdr:x>0</cdr:x>
      <cdr:y>0</cdr:y>
    </cdr:from>
    <cdr:to>
      <cdr:x>0.97449</cdr:x>
      <cdr:y>0.18666</cdr:y>
    </cdr:to>
    <cdr:sp macro="" textlink="">
      <cdr:nvSpPr>
        <cdr:cNvPr id="2" name="TextBox 57">
          <a:extLst xmlns:a="http://schemas.openxmlformats.org/drawingml/2006/main">
            <a:ext uri="{FF2B5EF4-FFF2-40B4-BE49-F238E27FC236}">
              <a16:creationId xmlns:a16="http://schemas.microsoft.com/office/drawing/2014/main" id="{5E897896-33AA-4327-9E45-CCB0EBF8B967}"/>
            </a:ext>
          </a:extLst>
        </cdr:cNvPr>
        <cdr:cNvSpPr txBox="1"/>
      </cdr:nvSpPr>
      <cdr:spPr>
        <a:xfrm xmlns:a="http://schemas.openxmlformats.org/drawingml/2006/main">
          <a:off x="0" y="0"/>
          <a:ext cx="4169832" cy="723672"/>
        </a:xfrm>
        <a:prstGeom xmlns:a="http://schemas.openxmlformats.org/drawingml/2006/main" prst="rect">
          <a:avLst/>
        </a:prstGeom>
        <a:noFill xmlns:a="http://schemas.openxmlformats.org/drawingml/2006/main"/>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pPr algn="l"/>
          <a:r>
            <a:rPr lang="en-US" sz="1300" b="1">
              <a:latin typeface="Segoe UI" pitchFamily="34" charset="0"/>
              <a:ea typeface="Segoe UI" pitchFamily="34" charset="0"/>
              <a:cs typeface="Segoe UI" pitchFamily="34" charset="0"/>
            </a:rPr>
            <a:t>3-Year</a:t>
          </a:r>
          <a:r>
            <a:rPr lang="en-US" sz="1300" b="1" baseline="0">
              <a:latin typeface="Segoe UI" pitchFamily="34" charset="0"/>
              <a:ea typeface="Segoe UI" pitchFamily="34" charset="0"/>
              <a:cs typeface="Segoe UI" pitchFamily="34" charset="0"/>
            </a:rPr>
            <a:t> Adjustment in Cyclically-Adjusted </a:t>
          </a:r>
          <a:br>
            <a:rPr lang="en-US" sz="1300" b="1" baseline="0">
              <a:latin typeface="Segoe UI" pitchFamily="34" charset="0"/>
              <a:ea typeface="Segoe UI" pitchFamily="34" charset="0"/>
              <a:cs typeface="Segoe UI" pitchFamily="34" charset="0"/>
            </a:rPr>
          </a:br>
          <a:r>
            <a:rPr lang="en-US" sz="1300" b="1" baseline="0">
              <a:latin typeface="Segoe UI" pitchFamily="34" charset="0"/>
              <a:ea typeface="Segoe UI" pitchFamily="34" charset="0"/>
              <a:cs typeface="Segoe UI" pitchFamily="34" charset="0"/>
            </a:rPr>
            <a:t>Primary Balance (CAPB)</a:t>
          </a:r>
        </a:p>
        <a:p xmlns:a="http://schemas.openxmlformats.org/drawingml/2006/main">
          <a:pPr algn="l"/>
          <a:r>
            <a:rPr lang="en-US" sz="1100" baseline="0">
              <a:latin typeface="Segoe UI" pitchFamily="34" charset="0"/>
              <a:ea typeface="Segoe UI" pitchFamily="34" charset="0"/>
              <a:cs typeface="Segoe UI" pitchFamily="34" charset="0"/>
            </a:rPr>
            <a:t>(Percent of GDP)</a:t>
          </a:r>
          <a:endParaRPr lang="en-US" sz="1100">
            <a:latin typeface="Segoe UI" pitchFamily="34" charset="0"/>
            <a:ea typeface="Segoe UI" pitchFamily="34" charset="0"/>
            <a:cs typeface="Segoe UI" pitchFamily="34" charset="0"/>
          </a:endParaRPr>
        </a:p>
      </cdr:txBody>
    </cdr:sp>
  </cdr:relSizeAnchor>
  <cdr:relSizeAnchor xmlns:cdr="http://schemas.openxmlformats.org/drawingml/2006/chartDrawing">
    <cdr:from>
      <cdr:x>0.92008</cdr:x>
      <cdr:y>0.84622</cdr:y>
    </cdr:from>
    <cdr:to>
      <cdr:x>0.98701</cdr:x>
      <cdr:y>0.99207</cdr:y>
    </cdr:to>
    <cdr:sp macro="" textlink="">
      <cdr:nvSpPr>
        <cdr:cNvPr id="3" name="TextBox 56">
          <a:extLst xmlns:a="http://schemas.openxmlformats.org/drawingml/2006/main">
            <a:ext uri="{FF2B5EF4-FFF2-40B4-BE49-F238E27FC236}">
              <a16:creationId xmlns:a16="http://schemas.microsoft.com/office/drawing/2014/main" id="{700C6C12-A05F-4322-9E8E-33AEFFD53926}"/>
            </a:ext>
          </a:extLst>
        </cdr:cNvPr>
        <cdr:cNvSpPr txBox="1"/>
      </cdr:nvSpPr>
      <cdr:spPr>
        <a:xfrm xmlns:a="http://schemas.openxmlformats.org/drawingml/2006/main" rot="16200000">
          <a:off x="3780717" y="3414080"/>
          <a:ext cx="564370" cy="285178"/>
        </a:xfrm>
        <a:prstGeom xmlns:a="http://schemas.openxmlformats.org/drawingml/2006/main" prst="rect">
          <a:avLst/>
        </a:prstGeom>
        <a:noFill xmlns:a="http://schemas.openxmlformats.org/drawingml/2006/main"/>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pPr algn="l"/>
          <a:r>
            <a:rPr lang="en-US" sz="1200">
              <a:latin typeface="Segoe UI" pitchFamily="34" charset="0"/>
              <a:ea typeface="Segoe UI" pitchFamily="34" charset="0"/>
              <a:cs typeface="Segoe UI" pitchFamily="34" charset="0"/>
            </a:rPr>
            <a:t>More</a:t>
          </a:r>
        </a:p>
      </cdr:txBody>
    </cdr:sp>
  </cdr:relSizeAnchor>
</c:userShapes>
</file>

<file path=xl/drawings/drawing4.xml><?xml version="1.0" encoding="utf-8"?>
<c:userShapes xmlns:c="http://schemas.openxmlformats.org/drawingml/2006/chart">
  <cdr:relSizeAnchor xmlns:cdr="http://schemas.openxmlformats.org/drawingml/2006/chartDrawing">
    <cdr:from>
      <cdr:x>0.12998</cdr:x>
      <cdr:y>0.05863</cdr:y>
    </cdr:from>
    <cdr:to>
      <cdr:x>0.92604</cdr:x>
      <cdr:y>0.17007</cdr:y>
    </cdr:to>
    <cdr:sp macro="" textlink="'Input 5 - Scenario Design'!$R$31">
      <cdr:nvSpPr>
        <cdr:cNvPr id="2" name="TextBox 1">
          <a:extLst xmlns:a="http://schemas.openxmlformats.org/drawingml/2006/main">
            <a:ext uri="{FF2B5EF4-FFF2-40B4-BE49-F238E27FC236}">
              <a16:creationId xmlns:a16="http://schemas.microsoft.com/office/drawing/2014/main" id="{075E8E6F-D33C-4431-A5B4-368B13290A4F}"/>
            </a:ext>
          </a:extLst>
        </cdr:cNvPr>
        <cdr:cNvSpPr txBox="1"/>
      </cdr:nvSpPr>
      <cdr:spPr>
        <a:xfrm xmlns:a="http://schemas.openxmlformats.org/drawingml/2006/main">
          <a:off x="392906" y="119063"/>
          <a:ext cx="2406387" cy="22629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3A08DF8-31AC-41DC-A843-854F5A82BD4E}" type="TxLink">
            <a:rPr lang="en-US" sz="1200" b="1" i="0" u="none" strike="noStrike">
              <a:solidFill>
                <a:srgbClr val="000000"/>
              </a:solidFill>
              <a:latin typeface="Calibri"/>
              <a:cs typeface="Calibri"/>
            </a:rPr>
            <a:pPr/>
            <a:t>Gross Financing Need-to-GDP</a:t>
          </a:fld>
          <a:endParaRPr lang="en-US" sz="1100"/>
        </a:p>
      </cdr:txBody>
    </cdr:sp>
  </cdr:relSizeAnchor>
</c:userShapes>
</file>

<file path=xl/drawings/drawing40.xml><?xml version="1.0" encoding="utf-8"?>
<c:userShapes xmlns:c="http://schemas.openxmlformats.org/drawingml/2006/chart">
  <cdr:relSizeAnchor xmlns:cdr="http://schemas.openxmlformats.org/drawingml/2006/chartDrawing">
    <cdr:from>
      <cdr:x>0.00483</cdr:x>
      <cdr:y>0</cdr:y>
    </cdr:from>
    <cdr:to>
      <cdr:x>0.93119</cdr:x>
      <cdr:y>0.18709</cdr:y>
    </cdr:to>
    <cdr:sp macro="" textlink="">
      <cdr:nvSpPr>
        <cdr:cNvPr id="2" name="TextBox 58">
          <a:extLst xmlns:a="http://schemas.openxmlformats.org/drawingml/2006/main">
            <a:ext uri="{FF2B5EF4-FFF2-40B4-BE49-F238E27FC236}">
              <a16:creationId xmlns:a16="http://schemas.microsoft.com/office/drawing/2014/main" id="{7A3D8BAA-E5C5-4512-A9B4-DCBEB138D2AA}"/>
            </a:ext>
          </a:extLst>
        </cdr:cNvPr>
        <cdr:cNvSpPr txBox="1"/>
      </cdr:nvSpPr>
      <cdr:spPr>
        <a:xfrm xmlns:a="http://schemas.openxmlformats.org/drawingml/2006/main">
          <a:off x="20576" y="0"/>
          <a:ext cx="3948434" cy="724917"/>
        </a:xfrm>
        <a:prstGeom xmlns:a="http://schemas.openxmlformats.org/drawingml/2006/main" prst="rect">
          <a:avLst/>
        </a:prstGeom>
        <a:noFill xmlns:a="http://schemas.openxmlformats.org/drawingml/2006/main"/>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pPr algn="l"/>
          <a:r>
            <a:rPr lang="en-US" sz="1300" b="1">
              <a:latin typeface="Segoe UI" pitchFamily="34" charset="0"/>
              <a:ea typeface="Segoe UI" pitchFamily="34" charset="0"/>
              <a:cs typeface="Segoe UI" pitchFamily="34" charset="0"/>
            </a:rPr>
            <a:t>3-Year</a:t>
          </a:r>
          <a:r>
            <a:rPr lang="en-US" sz="1300" b="1" baseline="0">
              <a:latin typeface="Segoe UI" pitchFamily="34" charset="0"/>
              <a:ea typeface="Segoe UI" pitchFamily="34" charset="0"/>
              <a:cs typeface="Segoe UI" pitchFamily="34" charset="0"/>
            </a:rPr>
            <a:t> Average Level of Cyclically-Adjusted Primary Balance (CAPB)</a:t>
          </a:r>
        </a:p>
        <a:p xmlns:a="http://schemas.openxmlformats.org/drawingml/2006/main">
          <a:pPr algn="l"/>
          <a:r>
            <a:rPr lang="en-US" sz="1100" baseline="0">
              <a:latin typeface="Segoe UI" pitchFamily="34" charset="0"/>
              <a:ea typeface="Segoe UI" pitchFamily="34" charset="0"/>
              <a:cs typeface="Segoe UI" pitchFamily="34" charset="0"/>
            </a:rPr>
            <a:t>(Percent of GDP)</a:t>
          </a:r>
          <a:endParaRPr lang="en-US" sz="1100">
            <a:latin typeface="Segoe UI" pitchFamily="34" charset="0"/>
            <a:ea typeface="Segoe UI" pitchFamily="34" charset="0"/>
            <a:cs typeface="Segoe UI" pitchFamily="34" charset="0"/>
          </a:endParaRPr>
        </a:p>
      </cdr:txBody>
    </cdr:sp>
  </cdr:relSizeAnchor>
  <cdr:relSizeAnchor xmlns:cdr="http://schemas.openxmlformats.org/drawingml/2006/chartDrawing">
    <cdr:from>
      <cdr:x>0.9133</cdr:x>
      <cdr:y>0.85049</cdr:y>
    </cdr:from>
    <cdr:to>
      <cdr:x>0.98049</cdr:x>
      <cdr:y>1</cdr:y>
    </cdr:to>
    <cdr:sp macro="" textlink="">
      <cdr:nvSpPr>
        <cdr:cNvPr id="3" name="TextBox 56">
          <a:extLst xmlns:a="http://schemas.openxmlformats.org/drawingml/2006/main">
            <a:ext uri="{FF2B5EF4-FFF2-40B4-BE49-F238E27FC236}">
              <a16:creationId xmlns:a16="http://schemas.microsoft.com/office/drawing/2014/main" id="{87494E95-5F28-43E2-8A00-17B0578B9927}"/>
            </a:ext>
          </a:extLst>
        </cdr:cNvPr>
        <cdr:cNvSpPr txBox="1"/>
      </cdr:nvSpPr>
      <cdr:spPr>
        <a:xfrm xmlns:a="http://schemas.openxmlformats.org/drawingml/2006/main" rot="16200000">
          <a:off x="3783821" y="3451133"/>
          <a:ext cx="581026" cy="289108"/>
        </a:xfrm>
        <a:prstGeom xmlns:a="http://schemas.openxmlformats.org/drawingml/2006/main" prst="rect">
          <a:avLst/>
        </a:prstGeom>
        <a:noFill xmlns:a="http://schemas.openxmlformats.org/drawingml/2006/main"/>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pPr algn="l"/>
          <a:r>
            <a:rPr lang="en-US" sz="1200">
              <a:latin typeface="Segoe UI" pitchFamily="34" charset="0"/>
              <a:ea typeface="Segoe UI" pitchFamily="34" charset="0"/>
              <a:cs typeface="Segoe UI" pitchFamily="34" charset="0"/>
            </a:rPr>
            <a:t>More</a:t>
          </a:r>
        </a:p>
      </cdr:txBody>
    </cdr:sp>
  </cdr:relSizeAnchor>
</c:userShapes>
</file>

<file path=xl/drawings/drawing41.xml><?xml version="1.0" encoding="utf-8"?>
<xdr:wsDr xmlns:xdr="http://schemas.openxmlformats.org/drawingml/2006/spreadsheetDrawing" xmlns:a="http://schemas.openxmlformats.org/drawingml/2006/main">
  <xdr:twoCellAnchor>
    <xdr:from>
      <xdr:col>1</xdr:col>
      <xdr:colOff>68033</xdr:colOff>
      <xdr:row>16</xdr:row>
      <xdr:rowOff>92868</xdr:rowOff>
    </xdr:from>
    <xdr:to>
      <xdr:col>7</xdr:col>
      <xdr:colOff>61502</xdr:colOff>
      <xdr:row>36</xdr:row>
      <xdr:rowOff>16668</xdr:rowOff>
    </xdr:to>
    <xdr:graphicFrame macro="">
      <xdr:nvGraphicFramePr>
        <xdr:cNvPr id="2" name="Chart 1">
          <a:extLst>
            <a:ext uri="{FF2B5EF4-FFF2-40B4-BE49-F238E27FC236}">
              <a16:creationId xmlns:a16="http://schemas.microsoft.com/office/drawing/2014/main" id="{00000000-0008-0000-0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301057</xdr:colOff>
      <xdr:row>16</xdr:row>
      <xdr:rowOff>92868</xdr:rowOff>
    </xdr:from>
    <xdr:to>
      <xdr:col>13</xdr:col>
      <xdr:colOff>294525</xdr:colOff>
      <xdr:row>36</xdr:row>
      <xdr:rowOff>16668</xdr:rowOff>
    </xdr:to>
    <xdr:graphicFrame macro="">
      <xdr:nvGraphicFramePr>
        <xdr:cNvPr id="3" name="Chart 2">
          <a:extLst>
            <a:ext uri="{FF2B5EF4-FFF2-40B4-BE49-F238E27FC236}">
              <a16:creationId xmlns:a16="http://schemas.microsoft.com/office/drawing/2014/main" id="{00000000-0008-0000-0B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571499</xdr:colOff>
      <xdr:row>16</xdr:row>
      <xdr:rowOff>106475</xdr:rowOff>
    </xdr:from>
    <xdr:to>
      <xdr:col>19</xdr:col>
      <xdr:colOff>564968</xdr:colOff>
      <xdr:row>36</xdr:row>
      <xdr:rowOff>30275</xdr:rowOff>
    </xdr:to>
    <xdr:graphicFrame macro="">
      <xdr:nvGraphicFramePr>
        <xdr:cNvPr id="4" name="Chart 3">
          <a:extLst>
            <a:ext uri="{FF2B5EF4-FFF2-40B4-BE49-F238E27FC236}">
              <a16:creationId xmlns:a16="http://schemas.microsoft.com/office/drawing/2014/main" id="{00000000-0008-0000-0B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11906</xdr:colOff>
      <xdr:row>40</xdr:row>
      <xdr:rowOff>11906</xdr:rowOff>
    </xdr:from>
    <xdr:to>
      <xdr:col>9</xdr:col>
      <xdr:colOff>0</xdr:colOff>
      <xdr:row>40</xdr:row>
      <xdr:rowOff>11906</xdr:rowOff>
    </xdr:to>
    <xdr:cxnSp macro="">
      <xdr:nvCxnSpPr>
        <xdr:cNvPr id="7" name="Straight Connector 6">
          <a:extLst>
            <a:ext uri="{FF2B5EF4-FFF2-40B4-BE49-F238E27FC236}">
              <a16:creationId xmlns:a16="http://schemas.microsoft.com/office/drawing/2014/main" id="{00000000-0008-0000-0B00-000007000000}"/>
            </a:ext>
          </a:extLst>
        </xdr:cNvPr>
        <xdr:cNvCxnSpPr/>
      </xdr:nvCxnSpPr>
      <xdr:spPr>
        <a:xfrm>
          <a:off x="7074013" y="4379799"/>
          <a:ext cx="614023" cy="0"/>
        </a:xfrm>
        <a:prstGeom prst="line">
          <a:avLst/>
        </a:prstGeom>
        <a:ln w="3810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68033</xdr:colOff>
      <xdr:row>46</xdr:row>
      <xdr:rowOff>92868</xdr:rowOff>
    </xdr:from>
    <xdr:to>
      <xdr:col>7</xdr:col>
      <xdr:colOff>61502</xdr:colOff>
      <xdr:row>66</xdr:row>
      <xdr:rowOff>16668</xdr:rowOff>
    </xdr:to>
    <xdr:graphicFrame macro="">
      <xdr:nvGraphicFramePr>
        <xdr:cNvPr id="10" name="Chart 9">
          <a:extLst>
            <a:ext uri="{FF2B5EF4-FFF2-40B4-BE49-F238E27FC236}">
              <a16:creationId xmlns:a16="http://schemas.microsoft.com/office/drawing/2014/main" id="{00000000-0008-0000-0B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301057</xdr:colOff>
      <xdr:row>46</xdr:row>
      <xdr:rowOff>92868</xdr:rowOff>
    </xdr:from>
    <xdr:to>
      <xdr:col>13</xdr:col>
      <xdr:colOff>294525</xdr:colOff>
      <xdr:row>66</xdr:row>
      <xdr:rowOff>16668</xdr:rowOff>
    </xdr:to>
    <xdr:graphicFrame macro="">
      <xdr:nvGraphicFramePr>
        <xdr:cNvPr id="11" name="Chart 10">
          <a:extLst>
            <a:ext uri="{FF2B5EF4-FFF2-40B4-BE49-F238E27FC236}">
              <a16:creationId xmlns:a16="http://schemas.microsoft.com/office/drawing/2014/main" id="{00000000-0008-0000-0B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13</xdr:col>
      <xdr:colOff>571499</xdr:colOff>
      <xdr:row>46</xdr:row>
      <xdr:rowOff>106475</xdr:rowOff>
    </xdr:from>
    <xdr:to>
      <xdr:col>19</xdr:col>
      <xdr:colOff>564968</xdr:colOff>
      <xdr:row>66</xdr:row>
      <xdr:rowOff>30275</xdr:rowOff>
    </xdr:to>
    <xdr:graphicFrame macro="">
      <xdr:nvGraphicFramePr>
        <xdr:cNvPr id="12" name="Chart 11">
          <a:extLst>
            <a:ext uri="{FF2B5EF4-FFF2-40B4-BE49-F238E27FC236}">
              <a16:creationId xmlns:a16="http://schemas.microsoft.com/office/drawing/2014/main" id="{00000000-0008-0000-0B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21167</xdr:colOff>
      <xdr:row>12</xdr:row>
      <xdr:rowOff>10584</xdr:rowOff>
    </xdr:from>
    <xdr:to>
      <xdr:col>9</xdr:col>
      <xdr:colOff>3969</xdr:colOff>
      <xdr:row>12</xdr:row>
      <xdr:rowOff>10584</xdr:rowOff>
    </xdr:to>
    <xdr:cxnSp macro="">
      <xdr:nvCxnSpPr>
        <xdr:cNvPr id="13" name="Straight Connector 12">
          <a:extLst>
            <a:ext uri="{FF2B5EF4-FFF2-40B4-BE49-F238E27FC236}">
              <a16:creationId xmlns:a16="http://schemas.microsoft.com/office/drawing/2014/main" id="{00000000-0008-0000-0B00-00000D000000}"/>
            </a:ext>
          </a:extLst>
        </xdr:cNvPr>
        <xdr:cNvCxnSpPr/>
      </xdr:nvCxnSpPr>
      <xdr:spPr>
        <a:xfrm>
          <a:off x="4572000" y="2688167"/>
          <a:ext cx="607219" cy="0"/>
        </a:xfrm>
        <a:prstGeom prst="line">
          <a:avLst/>
        </a:prstGeom>
        <a:ln w="38100">
          <a:solidFill>
            <a:srgbClr val="7030A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8</xdr:row>
      <xdr:rowOff>27215</xdr:rowOff>
    </xdr:from>
    <xdr:to>
      <xdr:col>14</xdr:col>
      <xdr:colOff>606256</xdr:colOff>
      <xdr:row>8</xdr:row>
      <xdr:rowOff>27215</xdr:rowOff>
    </xdr:to>
    <xdr:cxnSp macro="">
      <xdr:nvCxnSpPr>
        <xdr:cNvPr id="14" name="Straight Connector 13">
          <a:extLst>
            <a:ext uri="{FF2B5EF4-FFF2-40B4-BE49-F238E27FC236}">
              <a16:creationId xmlns:a16="http://schemas.microsoft.com/office/drawing/2014/main" id="{00000000-0008-0000-0B00-00000E000000}"/>
            </a:ext>
          </a:extLst>
        </xdr:cNvPr>
        <xdr:cNvCxnSpPr/>
      </xdr:nvCxnSpPr>
      <xdr:spPr>
        <a:xfrm>
          <a:off x="8572500" y="3953632"/>
          <a:ext cx="606256" cy="0"/>
        </a:xfrm>
        <a:prstGeom prst="line">
          <a:avLst/>
        </a:prstGeom>
        <a:ln w="28575">
          <a:solidFill>
            <a:srgbClr val="008000"/>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2.xml><?xml version="1.0" encoding="utf-8"?>
<c:userShapes xmlns:c="http://schemas.openxmlformats.org/drawingml/2006/chart">
  <cdr:relSizeAnchor xmlns:cdr="http://schemas.openxmlformats.org/drawingml/2006/chartDrawing">
    <cdr:from>
      <cdr:x>0.01953</cdr:x>
      <cdr:y>0.06393</cdr:y>
    </cdr:from>
    <cdr:to>
      <cdr:x>0.63644</cdr:x>
      <cdr:y>0.1555</cdr:y>
    </cdr:to>
    <cdr:sp macro="" textlink="'Lists-Modules-ChartData'!$AD$4">
      <cdr:nvSpPr>
        <cdr:cNvPr id="2" name="TextBox 1">
          <a:extLst xmlns:a="http://schemas.openxmlformats.org/drawingml/2006/main">
            <a:ext uri="{FF2B5EF4-FFF2-40B4-BE49-F238E27FC236}">
              <a16:creationId xmlns:a16="http://schemas.microsoft.com/office/drawing/2014/main" id="{5E7AE8DB-0C66-412A-946C-63667918574E}"/>
            </a:ext>
          </a:extLst>
        </cdr:cNvPr>
        <cdr:cNvSpPr txBox="1"/>
      </cdr:nvSpPr>
      <cdr:spPr>
        <a:xfrm xmlns:a="http://schemas.openxmlformats.org/drawingml/2006/main">
          <a:off x="107156" y="226219"/>
          <a:ext cx="3384585" cy="324039"/>
        </a:xfrm>
        <a:prstGeom xmlns:a="http://schemas.openxmlformats.org/drawingml/2006/main" prst="rect">
          <a:avLst/>
        </a:prstGeom>
      </cdr:spPr>
      <cdr:txBody>
        <a:bodyPr xmlns:a="http://schemas.openxmlformats.org/drawingml/2006/main" wrap="square" lIns="45720" tIns="45720" rIns="45720" bIns="45720"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a:fld id="{31AB566C-1E1F-41CA-962A-9C7081A23033}" type="TxLink">
            <a:rPr lang="en-US" sz="1400" b="0" i="0" u="none" strike="noStrike">
              <a:solidFill>
                <a:srgbClr val="000000"/>
              </a:solidFill>
              <a:latin typeface="Segoe UI" pitchFamily="34" charset="0"/>
              <a:cs typeface="Segoe UI" pitchFamily="34" charset="0"/>
            </a:rPr>
            <a:pPr algn="l"/>
            <a:t>(in percent of GDP)</a:t>
          </a:fld>
          <a:endParaRPr lang="en-US" sz="1400" b="0">
            <a:latin typeface="Segoe UI" pitchFamily="34" charset="0"/>
            <a:cs typeface="Segoe UI" pitchFamily="34" charset="0"/>
          </a:endParaRPr>
        </a:p>
      </cdr:txBody>
    </cdr:sp>
  </cdr:relSizeAnchor>
</c:userShapes>
</file>

<file path=xl/drawings/drawing43.xml><?xml version="1.0" encoding="utf-8"?>
<c:userShapes xmlns:c="http://schemas.openxmlformats.org/drawingml/2006/chart">
  <cdr:relSizeAnchor xmlns:cdr="http://schemas.openxmlformats.org/drawingml/2006/chartDrawing">
    <cdr:from>
      <cdr:x>0.02821</cdr:x>
      <cdr:y>0.06393</cdr:y>
    </cdr:from>
    <cdr:to>
      <cdr:x>0.64512</cdr:x>
      <cdr:y>0.1555</cdr:y>
    </cdr:to>
    <cdr:sp macro="" textlink="'Lists-Modules-ChartData'!$AJ$4">
      <cdr:nvSpPr>
        <cdr:cNvPr id="2" name="TextBox 1">
          <a:extLst xmlns:a="http://schemas.openxmlformats.org/drawingml/2006/main">
            <a:ext uri="{FF2B5EF4-FFF2-40B4-BE49-F238E27FC236}">
              <a16:creationId xmlns:a16="http://schemas.microsoft.com/office/drawing/2014/main" id="{94019BAB-5047-432B-B9A8-DCF042EFBA93}"/>
            </a:ext>
          </a:extLst>
        </cdr:cNvPr>
        <cdr:cNvSpPr txBox="1"/>
      </cdr:nvSpPr>
      <cdr:spPr>
        <a:xfrm xmlns:a="http://schemas.openxmlformats.org/drawingml/2006/main">
          <a:off x="154782" y="226219"/>
          <a:ext cx="3384585" cy="324039"/>
        </a:xfrm>
        <a:prstGeom xmlns:a="http://schemas.openxmlformats.org/drawingml/2006/main" prst="rect">
          <a:avLst/>
        </a:prstGeom>
      </cdr:spPr>
      <cdr:txBody>
        <a:bodyPr xmlns:a="http://schemas.openxmlformats.org/drawingml/2006/main" wrap="square" lIns="45720" tIns="45720" rIns="45720" bIns="45720"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a:fld id="{6C0AA5EC-B19F-4866-96EE-9700CEC313A0}" type="TxLink">
            <a:rPr lang="en-US" sz="1400" b="0" i="0" u="none" strike="noStrike">
              <a:solidFill>
                <a:srgbClr val="000000"/>
              </a:solidFill>
              <a:latin typeface="Segoe UI" pitchFamily="34" charset="0"/>
              <a:cs typeface="Segoe UI" pitchFamily="34" charset="0"/>
            </a:rPr>
            <a:pPr algn="l"/>
            <a:t>(in percent of Revenue)</a:t>
          </a:fld>
          <a:endParaRPr lang="en-US" sz="1400" b="0">
            <a:latin typeface="Segoe UI" pitchFamily="34" charset="0"/>
            <a:cs typeface="Segoe UI" pitchFamily="34" charset="0"/>
          </a:endParaRPr>
        </a:p>
      </cdr:txBody>
    </cdr:sp>
  </cdr:relSizeAnchor>
</c:userShapes>
</file>

<file path=xl/drawings/drawing44.xml><?xml version="1.0" encoding="utf-8"?>
<c:userShapes xmlns:c="http://schemas.openxmlformats.org/drawingml/2006/chart">
  <cdr:relSizeAnchor xmlns:cdr="http://schemas.openxmlformats.org/drawingml/2006/chartDrawing">
    <cdr:from>
      <cdr:x>0.0434</cdr:x>
      <cdr:y>0.07066</cdr:y>
    </cdr:from>
    <cdr:to>
      <cdr:x>0.66031</cdr:x>
      <cdr:y>0.16222</cdr:y>
    </cdr:to>
    <cdr:sp macro="" textlink="'Lists-Modules-ChartData'!$AD$8">
      <cdr:nvSpPr>
        <cdr:cNvPr id="2" name="TextBox 1">
          <a:extLst xmlns:a="http://schemas.openxmlformats.org/drawingml/2006/main">
            <a:ext uri="{FF2B5EF4-FFF2-40B4-BE49-F238E27FC236}">
              <a16:creationId xmlns:a16="http://schemas.microsoft.com/office/drawing/2014/main" id="{7D078074-23A1-43EE-822C-8F7F66CF9E77}"/>
            </a:ext>
          </a:extLst>
        </cdr:cNvPr>
        <cdr:cNvSpPr txBox="1"/>
      </cdr:nvSpPr>
      <cdr:spPr>
        <a:xfrm xmlns:a="http://schemas.openxmlformats.org/drawingml/2006/main">
          <a:off x="238125" y="250031"/>
          <a:ext cx="3384585" cy="324039"/>
        </a:xfrm>
        <a:prstGeom xmlns:a="http://schemas.openxmlformats.org/drawingml/2006/main" prst="rect">
          <a:avLst/>
        </a:prstGeom>
      </cdr:spPr>
      <cdr:txBody>
        <a:bodyPr xmlns:a="http://schemas.openxmlformats.org/drawingml/2006/main" wrap="square" lIns="45720" tIns="45720" rIns="45720" bIns="45720"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a:fld id="{D1B3C657-A8E0-42DA-9270-DF1D19C4F5FA}" type="TxLink">
            <a:rPr lang="en-US" sz="1400" b="0" i="0" u="none" strike="noStrike">
              <a:solidFill>
                <a:srgbClr val="000000"/>
              </a:solidFill>
              <a:latin typeface="Segoe UI" pitchFamily="34" charset="0"/>
              <a:cs typeface="Segoe UI" pitchFamily="34" charset="0"/>
            </a:rPr>
            <a:pPr algn="l"/>
            <a:t>(in percent of GDP)</a:t>
          </a:fld>
          <a:endParaRPr lang="en-US" sz="1400" b="0">
            <a:latin typeface="Segoe UI" pitchFamily="34" charset="0"/>
            <a:cs typeface="Segoe UI" pitchFamily="34" charset="0"/>
          </a:endParaRPr>
        </a:p>
      </cdr:txBody>
    </cdr:sp>
  </cdr:relSizeAnchor>
</c:userShapes>
</file>

<file path=xl/drawings/drawing45.xml><?xml version="1.0" encoding="utf-8"?>
<c:userShapes xmlns:c="http://schemas.openxmlformats.org/drawingml/2006/chart">
  <cdr:relSizeAnchor xmlns:cdr="http://schemas.openxmlformats.org/drawingml/2006/chartDrawing">
    <cdr:from>
      <cdr:x>0.01953</cdr:x>
      <cdr:y>0.06393</cdr:y>
    </cdr:from>
    <cdr:to>
      <cdr:x>0.63644</cdr:x>
      <cdr:y>0.1555</cdr:y>
    </cdr:to>
    <cdr:sp macro="" textlink="'Lists-Modules-ChartData'!$AD$4">
      <cdr:nvSpPr>
        <cdr:cNvPr id="2" name="TextBox 1">
          <a:extLst xmlns:a="http://schemas.openxmlformats.org/drawingml/2006/main">
            <a:ext uri="{FF2B5EF4-FFF2-40B4-BE49-F238E27FC236}">
              <a16:creationId xmlns:a16="http://schemas.microsoft.com/office/drawing/2014/main" id="{98938F1D-7065-4AEA-88E3-FB85AC25E593}"/>
            </a:ext>
          </a:extLst>
        </cdr:cNvPr>
        <cdr:cNvSpPr txBox="1"/>
      </cdr:nvSpPr>
      <cdr:spPr>
        <a:xfrm xmlns:a="http://schemas.openxmlformats.org/drawingml/2006/main">
          <a:off x="107156" y="226219"/>
          <a:ext cx="3384585" cy="324039"/>
        </a:xfrm>
        <a:prstGeom xmlns:a="http://schemas.openxmlformats.org/drawingml/2006/main" prst="rect">
          <a:avLst/>
        </a:prstGeom>
      </cdr:spPr>
      <cdr:txBody>
        <a:bodyPr xmlns:a="http://schemas.openxmlformats.org/drawingml/2006/main" wrap="square" lIns="45720" tIns="45720" rIns="45720" bIns="45720"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a:fld id="{31AB566C-1E1F-41CA-962A-9C7081A23033}" type="TxLink">
            <a:rPr lang="en-US" sz="1400" b="0" i="0" u="none" strike="noStrike">
              <a:solidFill>
                <a:srgbClr val="000000"/>
              </a:solidFill>
              <a:latin typeface="Segoe UI" pitchFamily="34" charset="0"/>
              <a:cs typeface="Segoe UI" pitchFamily="34" charset="0"/>
            </a:rPr>
            <a:pPr algn="l"/>
            <a:t>(in percent of GDP)</a:t>
          </a:fld>
          <a:endParaRPr lang="en-US" sz="1400" b="0">
            <a:latin typeface="Segoe UI" pitchFamily="34" charset="0"/>
            <a:cs typeface="Segoe UI" pitchFamily="34" charset="0"/>
          </a:endParaRPr>
        </a:p>
      </cdr:txBody>
    </cdr:sp>
  </cdr:relSizeAnchor>
</c:userShapes>
</file>

<file path=xl/drawings/drawing46.xml><?xml version="1.0" encoding="utf-8"?>
<c:userShapes xmlns:c="http://schemas.openxmlformats.org/drawingml/2006/chart">
  <cdr:relSizeAnchor xmlns:cdr="http://schemas.openxmlformats.org/drawingml/2006/chartDrawing">
    <cdr:from>
      <cdr:x>0.02821</cdr:x>
      <cdr:y>0.06393</cdr:y>
    </cdr:from>
    <cdr:to>
      <cdr:x>0.64512</cdr:x>
      <cdr:y>0.1555</cdr:y>
    </cdr:to>
    <cdr:sp macro="" textlink="'Lists-Modules-ChartData'!$AJ$4">
      <cdr:nvSpPr>
        <cdr:cNvPr id="2" name="TextBox 1">
          <a:extLst xmlns:a="http://schemas.openxmlformats.org/drawingml/2006/main">
            <a:ext uri="{FF2B5EF4-FFF2-40B4-BE49-F238E27FC236}">
              <a16:creationId xmlns:a16="http://schemas.microsoft.com/office/drawing/2014/main" id="{487A6A95-BA94-452A-9043-E20A7F989AC7}"/>
            </a:ext>
          </a:extLst>
        </cdr:cNvPr>
        <cdr:cNvSpPr txBox="1"/>
      </cdr:nvSpPr>
      <cdr:spPr>
        <a:xfrm xmlns:a="http://schemas.openxmlformats.org/drawingml/2006/main">
          <a:off x="154782" y="226219"/>
          <a:ext cx="3384585" cy="324039"/>
        </a:xfrm>
        <a:prstGeom xmlns:a="http://schemas.openxmlformats.org/drawingml/2006/main" prst="rect">
          <a:avLst/>
        </a:prstGeom>
      </cdr:spPr>
      <cdr:txBody>
        <a:bodyPr xmlns:a="http://schemas.openxmlformats.org/drawingml/2006/main" wrap="square" lIns="45720" tIns="45720" rIns="45720" bIns="45720"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a:fld id="{6C0AA5EC-B19F-4866-96EE-9700CEC313A0}" type="TxLink">
            <a:rPr lang="en-US" sz="1400" b="0" i="0" u="none" strike="noStrike">
              <a:solidFill>
                <a:srgbClr val="000000"/>
              </a:solidFill>
              <a:latin typeface="Segoe UI" pitchFamily="34" charset="0"/>
              <a:cs typeface="Segoe UI" pitchFamily="34" charset="0"/>
            </a:rPr>
            <a:pPr algn="l"/>
            <a:t>(in percent of Revenue)</a:t>
          </a:fld>
          <a:endParaRPr lang="en-US" sz="1400" b="0">
            <a:latin typeface="Segoe UI" pitchFamily="34" charset="0"/>
            <a:cs typeface="Segoe UI" pitchFamily="34" charset="0"/>
          </a:endParaRPr>
        </a:p>
      </cdr:txBody>
    </cdr:sp>
  </cdr:relSizeAnchor>
</c:userShapes>
</file>

<file path=xl/drawings/drawing47.xml><?xml version="1.0" encoding="utf-8"?>
<c:userShapes xmlns:c="http://schemas.openxmlformats.org/drawingml/2006/chart">
  <cdr:relSizeAnchor xmlns:cdr="http://schemas.openxmlformats.org/drawingml/2006/chartDrawing">
    <cdr:from>
      <cdr:x>0.0434</cdr:x>
      <cdr:y>0.07066</cdr:y>
    </cdr:from>
    <cdr:to>
      <cdr:x>0.66031</cdr:x>
      <cdr:y>0.16222</cdr:y>
    </cdr:to>
    <cdr:sp macro="" textlink="'Lists-Modules-ChartData'!$AD$8">
      <cdr:nvSpPr>
        <cdr:cNvPr id="2" name="TextBox 1">
          <a:extLst xmlns:a="http://schemas.openxmlformats.org/drawingml/2006/main">
            <a:ext uri="{FF2B5EF4-FFF2-40B4-BE49-F238E27FC236}">
              <a16:creationId xmlns:a16="http://schemas.microsoft.com/office/drawing/2014/main" id="{62F55A34-CF01-4C99-9EB7-1C1D79C1337F}"/>
            </a:ext>
          </a:extLst>
        </cdr:cNvPr>
        <cdr:cNvSpPr txBox="1"/>
      </cdr:nvSpPr>
      <cdr:spPr>
        <a:xfrm xmlns:a="http://schemas.openxmlformats.org/drawingml/2006/main">
          <a:off x="238125" y="250031"/>
          <a:ext cx="3384585" cy="324039"/>
        </a:xfrm>
        <a:prstGeom xmlns:a="http://schemas.openxmlformats.org/drawingml/2006/main" prst="rect">
          <a:avLst/>
        </a:prstGeom>
      </cdr:spPr>
      <cdr:txBody>
        <a:bodyPr xmlns:a="http://schemas.openxmlformats.org/drawingml/2006/main" wrap="square" lIns="45720" tIns="45720" rIns="45720" bIns="45720"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a:fld id="{D1B3C657-A8E0-42DA-9270-DF1D19C4F5FA}" type="TxLink">
            <a:rPr lang="en-US" sz="1400" b="0" i="0" u="none" strike="noStrike">
              <a:solidFill>
                <a:srgbClr val="000000"/>
              </a:solidFill>
              <a:latin typeface="Segoe UI" pitchFamily="34" charset="0"/>
              <a:cs typeface="Segoe UI" pitchFamily="34" charset="0"/>
            </a:rPr>
            <a:pPr algn="l"/>
            <a:t>(in percent of GDP)</a:t>
          </a:fld>
          <a:endParaRPr lang="en-US" sz="1400" b="0">
            <a:latin typeface="Segoe UI" pitchFamily="34" charset="0"/>
            <a:cs typeface="Segoe UI" pitchFamily="34" charset="0"/>
          </a:endParaRPr>
        </a:p>
      </cdr:txBody>
    </cdr:sp>
  </cdr:relSizeAnchor>
</c:userShapes>
</file>

<file path=xl/drawings/drawing48.xml><?xml version="1.0" encoding="utf-8"?>
<xdr:wsDr xmlns:xdr="http://schemas.openxmlformats.org/drawingml/2006/spreadsheetDrawing" xmlns:a="http://schemas.openxmlformats.org/drawingml/2006/main">
  <xdr:twoCellAnchor>
    <xdr:from>
      <xdr:col>61</xdr:col>
      <xdr:colOff>48646</xdr:colOff>
      <xdr:row>42</xdr:row>
      <xdr:rowOff>189178</xdr:rowOff>
    </xdr:from>
    <xdr:to>
      <xdr:col>71</xdr:col>
      <xdr:colOff>116682</xdr:colOff>
      <xdr:row>58</xdr:row>
      <xdr:rowOff>142611</xdr:rowOff>
    </xdr:to>
    <xdr:graphicFrame macro="">
      <xdr:nvGraphicFramePr>
        <xdr:cNvPr id="5" name="Chart 4">
          <a:extLst>
            <a:ext uri="{FF2B5EF4-FFF2-40B4-BE49-F238E27FC236}">
              <a16:creationId xmlns:a16="http://schemas.microsoft.com/office/drawing/2014/main" id="{00000000-0008-0000-0C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150355</xdr:colOff>
      <xdr:row>42</xdr:row>
      <xdr:rowOff>201084</xdr:rowOff>
    </xdr:from>
    <xdr:to>
      <xdr:col>5</xdr:col>
      <xdr:colOff>123141</xdr:colOff>
      <xdr:row>58</xdr:row>
      <xdr:rowOff>154517</xdr:rowOff>
    </xdr:to>
    <xdr:graphicFrame macro="">
      <xdr:nvGraphicFramePr>
        <xdr:cNvPr id="2" name="Chart 1">
          <a:extLst>
            <a:ext uri="{FF2B5EF4-FFF2-40B4-BE49-F238E27FC236}">
              <a16:creationId xmlns:a16="http://schemas.microsoft.com/office/drawing/2014/main" id="{00000000-0008-0000-0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44563</xdr:colOff>
      <xdr:row>42</xdr:row>
      <xdr:rowOff>201084</xdr:rowOff>
    </xdr:from>
    <xdr:to>
      <xdr:col>16</xdr:col>
      <xdr:colOff>17348</xdr:colOff>
      <xdr:row>58</xdr:row>
      <xdr:rowOff>154517</xdr:rowOff>
    </xdr:to>
    <xdr:graphicFrame macro="">
      <xdr:nvGraphicFramePr>
        <xdr:cNvPr id="3" name="Chart 2">
          <a:extLst>
            <a:ext uri="{FF2B5EF4-FFF2-40B4-BE49-F238E27FC236}">
              <a16:creationId xmlns:a16="http://schemas.microsoft.com/office/drawing/2014/main" id="{00000000-0008-0000-0C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38441</xdr:colOff>
      <xdr:row>42</xdr:row>
      <xdr:rowOff>189178</xdr:rowOff>
    </xdr:from>
    <xdr:to>
      <xdr:col>39</xdr:col>
      <xdr:colOff>38441</xdr:colOff>
      <xdr:row>58</xdr:row>
      <xdr:rowOff>142611</xdr:rowOff>
    </xdr:to>
    <xdr:graphicFrame macro="">
      <xdr:nvGraphicFramePr>
        <xdr:cNvPr id="4" name="Chart 3">
          <a:extLst>
            <a:ext uri="{FF2B5EF4-FFF2-40B4-BE49-F238E27FC236}">
              <a16:creationId xmlns:a16="http://schemas.microsoft.com/office/drawing/2014/main" id="{00000000-0008-0000-0C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246061</xdr:colOff>
      <xdr:row>58</xdr:row>
      <xdr:rowOff>3969</xdr:rowOff>
    </xdr:from>
    <xdr:to>
      <xdr:col>5</xdr:col>
      <xdr:colOff>40822</xdr:colOff>
      <xdr:row>62</xdr:row>
      <xdr:rowOff>10065</xdr:rowOff>
    </xdr:to>
    <xdr:sp macro="" textlink="'Lists-Modules-ChartData'!BL16">
      <xdr:nvSpPr>
        <xdr:cNvPr id="6" name="TextBox 5">
          <a:extLst>
            <a:ext uri="{FF2B5EF4-FFF2-40B4-BE49-F238E27FC236}">
              <a16:creationId xmlns:a16="http://schemas.microsoft.com/office/drawing/2014/main" id="{00000000-0008-0000-0C00-000006000000}"/>
            </a:ext>
          </a:extLst>
        </xdr:cNvPr>
        <xdr:cNvSpPr txBox="1"/>
      </xdr:nvSpPr>
      <xdr:spPr>
        <a:xfrm>
          <a:off x="497175" y="12975287"/>
          <a:ext cx="1838306" cy="768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fld id="{67DE7E9B-48E7-4D10-B84C-3CC4D20298D8}" type="TxLink">
            <a:rPr lang="en-US" sz="1400" b="1" i="0" u="none" strike="noStrike">
              <a:solidFill>
                <a:srgbClr val="000000"/>
              </a:solidFill>
              <a:latin typeface="Segoe UI" pitchFamily="34" charset="0"/>
              <a:cs typeface="Segoe UI" pitchFamily="34" charset="0"/>
            </a:rPr>
            <a:pPr algn="ctr"/>
            <a:t>Bond spread</a:t>
          </a:fld>
          <a:endParaRPr lang="en-US" sz="1400" b="1">
            <a:latin typeface="Segoe UI" pitchFamily="34" charset="0"/>
            <a:cs typeface="Segoe UI" pitchFamily="34" charset="0"/>
          </a:endParaRPr>
        </a:p>
      </xdr:txBody>
    </xdr:sp>
    <xdr:clientData/>
  </xdr:twoCellAnchor>
  <xdr:twoCellAnchor>
    <xdr:from>
      <xdr:col>5</xdr:col>
      <xdr:colOff>395176</xdr:colOff>
      <xdr:row>58</xdr:row>
      <xdr:rowOff>3969</xdr:rowOff>
    </xdr:from>
    <xdr:to>
      <xdr:col>15</xdr:col>
      <xdr:colOff>13607</xdr:colOff>
      <xdr:row>62</xdr:row>
      <xdr:rowOff>10065</xdr:rowOff>
    </xdr:to>
    <xdr:sp macro="" textlink="'Lists-Modules-ChartData'!BL21">
      <xdr:nvSpPr>
        <xdr:cNvPr id="7" name="TextBox 6">
          <a:extLst>
            <a:ext uri="{FF2B5EF4-FFF2-40B4-BE49-F238E27FC236}">
              <a16:creationId xmlns:a16="http://schemas.microsoft.com/office/drawing/2014/main" id="{00000000-0008-0000-0C00-000007000000}"/>
            </a:ext>
          </a:extLst>
        </xdr:cNvPr>
        <xdr:cNvSpPr txBox="1"/>
      </xdr:nvSpPr>
      <xdr:spPr>
        <a:xfrm>
          <a:off x="2689835" y="12975287"/>
          <a:ext cx="1817840" cy="768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fld id="{46E998B1-78FC-4A6A-A394-4D167064E647}" type="TxLink">
            <a:rPr lang="en-US" sz="1400" b="1" i="0" u="none" strike="noStrike">
              <a:solidFill>
                <a:srgbClr val="000000"/>
              </a:solidFill>
              <a:latin typeface="Segoe UI" pitchFamily="34" charset="0"/>
              <a:cs typeface="Segoe UI" pitchFamily="34" charset="0"/>
            </a:rPr>
            <a:pPr algn="ctr"/>
            <a:t>External Financing Requirement</a:t>
          </a:fld>
          <a:endParaRPr lang="en-US" sz="1400" b="1">
            <a:latin typeface="Segoe UI" pitchFamily="34" charset="0"/>
            <a:cs typeface="Segoe UI" pitchFamily="34" charset="0"/>
          </a:endParaRPr>
        </a:p>
      </xdr:txBody>
    </xdr:sp>
    <xdr:clientData/>
  </xdr:twoCellAnchor>
  <xdr:twoCellAnchor>
    <xdr:from>
      <xdr:col>19</xdr:col>
      <xdr:colOff>27215</xdr:colOff>
      <xdr:row>57</xdr:row>
      <xdr:rowOff>71437</xdr:rowOff>
    </xdr:from>
    <xdr:to>
      <xdr:col>38</xdr:col>
      <xdr:colOff>27215</xdr:colOff>
      <xdr:row>62</xdr:row>
      <xdr:rowOff>119063</xdr:rowOff>
    </xdr:to>
    <xdr:sp macro="" textlink="'Lists-Modules-ChartData'!BL26">
      <xdr:nvSpPr>
        <xdr:cNvPr id="8" name="TextBox 7">
          <a:extLst>
            <a:ext uri="{FF2B5EF4-FFF2-40B4-BE49-F238E27FC236}">
              <a16:creationId xmlns:a16="http://schemas.microsoft.com/office/drawing/2014/main" id="{00000000-0008-0000-0C00-000008000000}"/>
            </a:ext>
          </a:extLst>
        </xdr:cNvPr>
        <xdr:cNvSpPr txBox="1"/>
      </xdr:nvSpPr>
      <xdr:spPr>
        <a:xfrm>
          <a:off x="4939394" y="12875758"/>
          <a:ext cx="1809750" cy="10001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fld id="{7C0B139A-0A6E-4614-9B29-2E84A07234E2}" type="TxLink">
            <a:rPr lang="en-US" sz="1400" b="1" i="0" u="none" strike="noStrike">
              <a:solidFill>
                <a:srgbClr val="000000"/>
              </a:solidFill>
              <a:latin typeface="Segoe UI" pitchFamily="34" charset="0"/>
              <a:cs typeface="Segoe UI" pitchFamily="34" charset="0"/>
            </a:rPr>
            <a:pPr algn="ctr"/>
            <a:t>Annual Change in Short-Term Public Debt</a:t>
          </a:fld>
          <a:endParaRPr lang="en-US" sz="1400" b="1">
            <a:latin typeface="Segoe UI" pitchFamily="34" charset="0"/>
            <a:cs typeface="Segoe UI" pitchFamily="34" charset="0"/>
          </a:endParaRPr>
        </a:p>
      </xdr:txBody>
    </xdr:sp>
    <xdr:clientData/>
  </xdr:twoCellAnchor>
  <xdr:twoCellAnchor>
    <xdr:from>
      <xdr:col>65</xdr:col>
      <xdr:colOff>81641</xdr:colOff>
      <xdr:row>58</xdr:row>
      <xdr:rowOff>3969</xdr:rowOff>
    </xdr:from>
    <xdr:to>
      <xdr:col>71</xdr:col>
      <xdr:colOff>27212</xdr:colOff>
      <xdr:row>62</xdr:row>
      <xdr:rowOff>10065</xdr:rowOff>
    </xdr:to>
    <xdr:sp macro="" textlink="'Lists-Modules-ChartData'!BL36">
      <xdr:nvSpPr>
        <xdr:cNvPr id="9" name="TextBox 8">
          <a:extLst>
            <a:ext uri="{FF2B5EF4-FFF2-40B4-BE49-F238E27FC236}">
              <a16:creationId xmlns:a16="http://schemas.microsoft.com/office/drawing/2014/main" id="{00000000-0008-0000-0C00-000009000000}"/>
            </a:ext>
          </a:extLst>
        </xdr:cNvPr>
        <xdr:cNvSpPr txBox="1"/>
      </xdr:nvSpPr>
      <xdr:spPr>
        <a:xfrm>
          <a:off x="9338209" y="12975287"/>
          <a:ext cx="1763980" cy="768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fld id="{D1F635DB-1A29-4054-9ECD-D99866F22388}" type="TxLink">
            <a:rPr lang="en-US" sz="1400" b="1" i="0" u="none" strike="noStrike">
              <a:solidFill>
                <a:srgbClr val="000000"/>
              </a:solidFill>
              <a:latin typeface="Segoe UI" pitchFamily="34" charset="0"/>
              <a:cs typeface="Segoe UI" pitchFamily="34" charset="0"/>
            </a:rPr>
            <a:pPr algn="ctr"/>
            <a:t>Public Debt in Foreign Currency</a:t>
          </a:fld>
          <a:endParaRPr lang="en-US" sz="1400" b="1">
            <a:latin typeface="Segoe UI" pitchFamily="34" charset="0"/>
            <a:cs typeface="Segoe UI" pitchFamily="34" charset="0"/>
          </a:endParaRPr>
        </a:p>
      </xdr:txBody>
    </xdr:sp>
    <xdr:clientData/>
  </xdr:twoCellAnchor>
  <xdr:twoCellAnchor>
    <xdr:from>
      <xdr:col>1</xdr:col>
      <xdr:colOff>224896</xdr:colOff>
      <xdr:row>61</xdr:row>
      <xdr:rowOff>126547</xdr:rowOff>
    </xdr:from>
    <xdr:to>
      <xdr:col>5</xdr:col>
      <xdr:colOff>40822</xdr:colOff>
      <xdr:row>62</xdr:row>
      <xdr:rowOff>190500</xdr:rowOff>
    </xdr:to>
    <xdr:sp macro="" textlink="'Lists-Modules-ChartData'!BM16">
      <xdr:nvSpPr>
        <xdr:cNvPr id="10" name="TextBox 9">
          <a:extLst>
            <a:ext uri="{FF2B5EF4-FFF2-40B4-BE49-F238E27FC236}">
              <a16:creationId xmlns:a16="http://schemas.microsoft.com/office/drawing/2014/main" id="{00000000-0008-0000-0C00-00000A000000}"/>
            </a:ext>
          </a:extLst>
        </xdr:cNvPr>
        <xdr:cNvSpPr txBox="1"/>
      </xdr:nvSpPr>
      <xdr:spPr>
        <a:xfrm>
          <a:off x="469825" y="14373226"/>
          <a:ext cx="1884211" cy="268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fld id="{6C1EF347-0E19-4A22-ACFC-565D3D0EB0A2}" type="TxLink">
            <a:rPr lang="en-US" sz="1200" b="0" i="0" u="none" strike="noStrike">
              <a:solidFill>
                <a:srgbClr val="000000"/>
              </a:solidFill>
              <a:latin typeface="Segoe UI" pitchFamily="34" charset="0"/>
              <a:cs typeface="Segoe UI" pitchFamily="34" charset="0"/>
            </a:rPr>
            <a:pPr algn="ctr"/>
            <a:t>(in basis points) 4/</a:t>
          </a:fld>
          <a:endParaRPr lang="en-US" sz="1200">
            <a:latin typeface="Segoe UI" pitchFamily="34" charset="0"/>
            <a:cs typeface="Segoe UI" pitchFamily="34" charset="0"/>
          </a:endParaRPr>
        </a:p>
      </xdr:txBody>
    </xdr:sp>
    <xdr:clientData/>
  </xdr:twoCellAnchor>
  <xdr:twoCellAnchor>
    <xdr:from>
      <xdr:col>5</xdr:col>
      <xdr:colOff>386671</xdr:colOff>
      <xdr:row>61</xdr:row>
      <xdr:rowOff>140155</xdr:rowOff>
    </xdr:from>
    <xdr:to>
      <xdr:col>15</xdr:col>
      <xdr:colOff>13608</xdr:colOff>
      <xdr:row>62</xdr:row>
      <xdr:rowOff>190500</xdr:rowOff>
    </xdr:to>
    <xdr:sp macro="" textlink="'Lists-Modules-ChartData'!BM21">
      <xdr:nvSpPr>
        <xdr:cNvPr id="11" name="TextBox 10">
          <a:extLst>
            <a:ext uri="{FF2B5EF4-FFF2-40B4-BE49-F238E27FC236}">
              <a16:creationId xmlns:a16="http://schemas.microsoft.com/office/drawing/2014/main" id="{00000000-0008-0000-0C00-00000B000000}"/>
            </a:ext>
          </a:extLst>
        </xdr:cNvPr>
        <xdr:cNvSpPr txBox="1"/>
      </xdr:nvSpPr>
      <xdr:spPr>
        <a:xfrm>
          <a:off x="2699885" y="14386834"/>
          <a:ext cx="1844902" cy="2544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fld id="{C17EB3BE-27BA-43F3-B021-DEB092493194}" type="TxLink">
            <a:rPr lang="en-US" sz="1200" b="0" i="0" u="none" strike="noStrike">
              <a:solidFill>
                <a:srgbClr val="000000"/>
              </a:solidFill>
              <a:latin typeface="Segoe UI" pitchFamily="34" charset="0"/>
              <a:cs typeface="Segoe UI" pitchFamily="34" charset="0"/>
            </a:rPr>
            <a:pPr algn="ctr"/>
            <a:t>(in percent of GDP) 5/</a:t>
          </a:fld>
          <a:endParaRPr lang="en-US" sz="1200">
            <a:latin typeface="Segoe UI" pitchFamily="34" charset="0"/>
            <a:cs typeface="Segoe UI" pitchFamily="34" charset="0"/>
          </a:endParaRPr>
        </a:p>
      </xdr:txBody>
    </xdr:sp>
    <xdr:clientData/>
  </xdr:twoCellAnchor>
  <xdr:twoCellAnchor>
    <xdr:from>
      <xdr:col>19</xdr:col>
      <xdr:colOff>80584</xdr:colOff>
      <xdr:row>61</xdr:row>
      <xdr:rowOff>111237</xdr:rowOff>
    </xdr:from>
    <xdr:to>
      <xdr:col>38</xdr:col>
      <xdr:colOff>13607</xdr:colOff>
      <xdr:row>62</xdr:row>
      <xdr:rowOff>190500</xdr:rowOff>
    </xdr:to>
    <xdr:sp macro="" textlink="'Lists-Modules-ChartData'!BM26">
      <xdr:nvSpPr>
        <xdr:cNvPr id="12" name="TextBox 11">
          <a:extLst>
            <a:ext uri="{FF2B5EF4-FFF2-40B4-BE49-F238E27FC236}">
              <a16:creationId xmlns:a16="http://schemas.microsoft.com/office/drawing/2014/main" id="{00000000-0008-0000-0C00-00000C000000}"/>
            </a:ext>
          </a:extLst>
        </xdr:cNvPr>
        <xdr:cNvSpPr txBox="1"/>
      </xdr:nvSpPr>
      <xdr:spPr>
        <a:xfrm>
          <a:off x="4992763" y="14357916"/>
          <a:ext cx="1742773" cy="2833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fld id="{5E61599C-B8E0-46FE-BD4D-A2A6C97FD013}" type="TxLink">
            <a:rPr lang="en-US" sz="1200" b="0" i="0" u="none" strike="noStrike">
              <a:solidFill>
                <a:srgbClr val="000000"/>
              </a:solidFill>
              <a:latin typeface="Segoe UI" pitchFamily="34" charset="0"/>
              <a:cs typeface="Segoe UI" pitchFamily="34" charset="0"/>
            </a:rPr>
            <a:pPr algn="ctr"/>
            <a:t>(in percent of total)</a:t>
          </a:fld>
          <a:endParaRPr lang="en-US" sz="1200">
            <a:latin typeface="Segoe UI" pitchFamily="34" charset="0"/>
            <a:cs typeface="Segoe UI" pitchFamily="34" charset="0"/>
          </a:endParaRPr>
        </a:p>
      </xdr:txBody>
    </xdr:sp>
    <xdr:clientData/>
  </xdr:twoCellAnchor>
  <xdr:twoCellAnchor>
    <xdr:from>
      <xdr:col>65</xdr:col>
      <xdr:colOff>68035</xdr:colOff>
      <xdr:row>61</xdr:row>
      <xdr:rowOff>126548</xdr:rowOff>
    </xdr:from>
    <xdr:to>
      <xdr:col>71</xdr:col>
      <xdr:colOff>99311</xdr:colOff>
      <xdr:row>62</xdr:row>
      <xdr:rowOff>190500</xdr:rowOff>
    </xdr:to>
    <xdr:sp macro="" textlink="'Lists-Modules-ChartData'!BM36">
      <xdr:nvSpPr>
        <xdr:cNvPr id="13" name="TextBox 12">
          <a:extLst>
            <a:ext uri="{FF2B5EF4-FFF2-40B4-BE49-F238E27FC236}">
              <a16:creationId xmlns:a16="http://schemas.microsoft.com/office/drawing/2014/main" id="{00000000-0008-0000-0C00-00000D000000}"/>
            </a:ext>
          </a:extLst>
        </xdr:cNvPr>
        <xdr:cNvSpPr txBox="1"/>
      </xdr:nvSpPr>
      <xdr:spPr>
        <a:xfrm>
          <a:off x="9361714" y="14373227"/>
          <a:ext cx="1868240" cy="2680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fld id="{8FCD51B9-8C0B-49C3-ACA0-6807B301FA00}" type="TxLink">
            <a:rPr lang="en-US" sz="1200" b="0" i="0" u="none" strike="noStrike">
              <a:solidFill>
                <a:srgbClr val="000000"/>
              </a:solidFill>
              <a:latin typeface="Segoe UI" pitchFamily="34" charset="0"/>
              <a:cs typeface="Segoe UI" pitchFamily="34" charset="0"/>
            </a:rPr>
            <a:pPr algn="ctr"/>
            <a:t>(in percent of total)</a:t>
          </a:fld>
          <a:endParaRPr lang="en-US" sz="1200">
            <a:latin typeface="Segoe UI" pitchFamily="34" charset="0"/>
            <a:cs typeface="Segoe UI" pitchFamily="34" charset="0"/>
          </a:endParaRPr>
        </a:p>
      </xdr:txBody>
    </xdr:sp>
    <xdr:clientData/>
  </xdr:twoCellAnchor>
  <xdr:twoCellAnchor>
    <xdr:from>
      <xdr:col>3</xdr:col>
      <xdr:colOff>576792</xdr:colOff>
      <xdr:row>41</xdr:row>
      <xdr:rowOff>31750</xdr:rowOff>
    </xdr:from>
    <xdr:to>
      <xdr:col>5</xdr:col>
      <xdr:colOff>0</xdr:colOff>
      <xdr:row>42</xdr:row>
      <xdr:rowOff>0</xdr:rowOff>
    </xdr:to>
    <xdr:sp macro="" textlink="">
      <xdr:nvSpPr>
        <xdr:cNvPr id="14" name="Rectangle 13">
          <a:extLst>
            <a:ext uri="{FF2B5EF4-FFF2-40B4-BE49-F238E27FC236}">
              <a16:creationId xmlns:a16="http://schemas.microsoft.com/office/drawing/2014/main" id="{00000000-0008-0000-0C00-00000E000000}"/>
            </a:ext>
          </a:extLst>
        </xdr:cNvPr>
        <xdr:cNvSpPr/>
      </xdr:nvSpPr>
      <xdr:spPr>
        <a:xfrm>
          <a:off x="1996017" y="14862175"/>
          <a:ext cx="661458" cy="177800"/>
        </a:xfrm>
        <a:prstGeom prst="rect">
          <a:avLst/>
        </a:prstGeom>
        <a:solidFill>
          <a:schemeClr val="accent5">
            <a:lumMod val="40000"/>
            <a:lumOff val="60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13</xdr:col>
      <xdr:colOff>3969</xdr:colOff>
      <xdr:row>41</xdr:row>
      <xdr:rowOff>153699</xdr:rowOff>
    </xdr:from>
    <xdr:to>
      <xdr:col>15</xdr:col>
      <xdr:colOff>35719</xdr:colOff>
      <xdr:row>41</xdr:row>
      <xdr:rowOff>163309</xdr:rowOff>
    </xdr:to>
    <xdr:cxnSp macro="">
      <xdr:nvCxnSpPr>
        <xdr:cNvPr id="15" name="Straight Connector 14">
          <a:extLst>
            <a:ext uri="{FF2B5EF4-FFF2-40B4-BE49-F238E27FC236}">
              <a16:creationId xmlns:a16="http://schemas.microsoft.com/office/drawing/2014/main" id="{00000000-0008-0000-0C00-00000F000000}"/>
            </a:ext>
          </a:extLst>
        </xdr:cNvPr>
        <xdr:cNvCxnSpPr/>
      </xdr:nvCxnSpPr>
      <xdr:spPr>
        <a:xfrm flipV="1">
          <a:off x="4314032" y="7702262"/>
          <a:ext cx="222250" cy="9610"/>
        </a:xfrm>
        <a:prstGeom prst="line">
          <a:avLst/>
        </a:prstGeom>
        <a:ln w="19050">
          <a:solidFill>
            <a:srgbClr val="0070C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11905</xdr:colOff>
      <xdr:row>41</xdr:row>
      <xdr:rowOff>142876</xdr:rowOff>
    </xdr:from>
    <xdr:to>
      <xdr:col>54</xdr:col>
      <xdr:colOff>11906</xdr:colOff>
      <xdr:row>41</xdr:row>
      <xdr:rowOff>142877</xdr:rowOff>
    </xdr:to>
    <xdr:cxnSp macro="">
      <xdr:nvCxnSpPr>
        <xdr:cNvPr id="16" name="Straight Connector 15">
          <a:extLst>
            <a:ext uri="{FF2B5EF4-FFF2-40B4-BE49-F238E27FC236}">
              <a16:creationId xmlns:a16="http://schemas.microsoft.com/office/drawing/2014/main" id="{00000000-0008-0000-0C00-000010000000}"/>
            </a:ext>
          </a:extLst>
        </xdr:cNvPr>
        <xdr:cNvCxnSpPr/>
      </xdr:nvCxnSpPr>
      <xdr:spPr>
        <a:xfrm flipH="1" flipV="1">
          <a:off x="7972084" y="9790340"/>
          <a:ext cx="285751" cy="1"/>
        </a:xfrm>
        <a:prstGeom prst="line">
          <a:avLst/>
        </a:prstGeom>
        <a:ln w="19050">
          <a:solidFill>
            <a:srgbClr val="00206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21</xdr:row>
      <xdr:rowOff>0</xdr:rowOff>
    </xdr:from>
    <xdr:to>
      <xdr:col>68</xdr:col>
      <xdr:colOff>485775</xdr:colOff>
      <xdr:row>38</xdr:row>
      <xdr:rowOff>219075</xdr:rowOff>
    </xdr:to>
    <xdr:graphicFrame macro="">
      <xdr:nvGraphicFramePr>
        <xdr:cNvPr id="34" name="Chart 8">
          <a:extLst>
            <a:ext uri="{FF2B5EF4-FFF2-40B4-BE49-F238E27FC236}">
              <a16:creationId xmlns:a16="http://schemas.microsoft.com/office/drawing/2014/main" id="{00000000-0008-0000-0C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26</xdr:col>
      <xdr:colOff>66675</xdr:colOff>
      <xdr:row>22</xdr:row>
      <xdr:rowOff>161926</xdr:rowOff>
    </xdr:from>
    <xdr:to>
      <xdr:col>71</xdr:col>
      <xdr:colOff>114300</xdr:colOff>
      <xdr:row>38</xdr:row>
      <xdr:rowOff>171450</xdr:rowOff>
    </xdr:to>
    <xdr:graphicFrame macro="">
      <xdr:nvGraphicFramePr>
        <xdr:cNvPr id="35" name="Chart 8">
          <a:extLst>
            <a:ext uri="{FF2B5EF4-FFF2-40B4-BE49-F238E27FC236}">
              <a16:creationId xmlns:a16="http://schemas.microsoft.com/office/drawing/2014/main" id="{00000000-0008-0000-0C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38</xdr:col>
      <xdr:colOff>27214</xdr:colOff>
      <xdr:row>42</xdr:row>
      <xdr:rowOff>190500</xdr:rowOff>
    </xdr:from>
    <xdr:to>
      <xdr:col>62</xdr:col>
      <xdr:colOff>27214</xdr:colOff>
      <xdr:row>58</xdr:row>
      <xdr:rowOff>143933</xdr:rowOff>
    </xdr:to>
    <xdr:graphicFrame macro="">
      <xdr:nvGraphicFramePr>
        <xdr:cNvPr id="20" name="Chart 19">
          <a:extLst>
            <a:ext uri="{FF2B5EF4-FFF2-40B4-BE49-F238E27FC236}">
              <a16:creationId xmlns:a16="http://schemas.microsoft.com/office/drawing/2014/main" id="{00000000-0008-0000-0C00-00001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42</xdr:col>
      <xdr:colOff>27214</xdr:colOff>
      <xdr:row>58</xdr:row>
      <xdr:rowOff>3969</xdr:rowOff>
    </xdr:from>
    <xdr:to>
      <xdr:col>61</xdr:col>
      <xdr:colOff>27214</xdr:colOff>
      <xdr:row>62</xdr:row>
      <xdr:rowOff>8506</xdr:rowOff>
    </xdr:to>
    <xdr:sp macro="" textlink="'Lists-Modules-ChartData'!BL31">
      <xdr:nvSpPr>
        <xdr:cNvPr id="22" name="TextBox 21">
          <a:extLst>
            <a:ext uri="{FF2B5EF4-FFF2-40B4-BE49-F238E27FC236}">
              <a16:creationId xmlns:a16="http://schemas.microsoft.com/office/drawing/2014/main" id="{00000000-0008-0000-0C00-000016000000}"/>
            </a:ext>
          </a:extLst>
        </xdr:cNvPr>
        <xdr:cNvSpPr txBox="1"/>
      </xdr:nvSpPr>
      <xdr:spPr>
        <a:xfrm>
          <a:off x="7093032" y="12975287"/>
          <a:ext cx="1809750" cy="7665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fld id="{B8924B2A-3D0D-4A96-8F2B-A684706D9D7D}" type="TxLink">
            <a:rPr lang="en-US" sz="1400" b="1" i="0" u="none" strike="noStrike">
              <a:solidFill>
                <a:srgbClr val="000000"/>
              </a:solidFill>
              <a:latin typeface="Segoe UI" pitchFamily="34" charset="0"/>
              <a:ea typeface="Segoe UI" pitchFamily="34" charset="0"/>
              <a:cs typeface="Segoe UI" pitchFamily="34" charset="0"/>
            </a:rPr>
            <a:pPr algn="ctr"/>
            <a:t>Public Debt Held by Non-Residents</a:t>
          </a:fld>
          <a:endParaRPr lang="en-US" sz="1400" b="1">
            <a:latin typeface="Segoe UI" pitchFamily="34" charset="0"/>
            <a:ea typeface="Segoe UI" pitchFamily="34" charset="0"/>
            <a:cs typeface="Segoe UI" pitchFamily="34" charset="0"/>
          </a:endParaRPr>
        </a:p>
      </xdr:txBody>
    </xdr:sp>
    <xdr:clientData/>
  </xdr:twoCellAnchor>
  <xdr:twoCellAnchor>
    <xdr:from>
      <xdr:col>42</xdr:col>
      <xdr:colOff>80583</xdr:colOff>
      <xdr:row>61</xdr:row>
      <xdr:rowOff>115774</xdr:rowOff>
    </xdr:from>
    <xdr:to>
      <xdr:col>61</xdr:col>
      <xdr:colOff>13606</xdr:colOff>
      <xdr:row>62</xdr:row>
      <xdr:rowOff>195037</xdr:rowOff>
    </xdr:to>
    <xdr:sp macro="" textlink="'Lists-Modules-ChartData'!BM31">
      <xdr:nvSpPr>
        <xdr:cNvPr id="23" name="TextBox 22">
          <a:extLst>
            <a:ext uri="{FF2B5EF4-FFF2-40B4-BE49-F238E27FC236}">
              <a16:creationId xmlns:a16="http://schemas.microsoft.com/office/drawing/2014/main" id="{00000000-0008-0000-0C00-000017000000}"/>
            </a:ext>
          </a:extLst>
        </xdr:cNvPr>
        <xdr:cNvSpPr txBox="1"/>
      </xdr:nvSpPr>
      <xdr:spPr>
        <a:xfrm>
          <a:off x="7183512" y="14362453"/>
          <a:ext cx="1742773" cy="2833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fld id="{31B8D056-FB34-493B-A2F1-18AAA21392CC}" type="TxLink">
            <a:rPr lang="en-US" sz="1200" b="0" i="0" u="none" strike="noStrike">
              <a:solidFill>
                <a:srgbClr val="000000"/>
              </a:solidFill>
              <a:latin typeface="Segoe UI" pitchFamily="34" charset="0"/>
              <a:ea typeface="Segoe UI" pitchFamily="34" charset="0"/>
              <a:cs typeface="Segoe UI" pitchFamily="34" charset="0"/>
            </a:rPr>
            <a:pPr algn="ctr"/>
            <a:t>(in percent of total)</a:t>
          </a:fld>
          <a:endParaRPr lang="en-US" sz="1200">
            <a:latin typeface="Segoe UI" pitchFamily="34" charset="0"/>
            <a:ea typeface="Segoe UI" pitchFamily="34" charset="0"/>
            <a:cs typeface="Segoe UI" pitchFamily="34" charset="0"/>
          </a:endParaRPr>
        </a:p>
      </xdr:txBody>
    </xdr:sp>
    <xdr:clientData/>
  </xdr:twoCellAnchor>
</xdr:wsDr>
</file>

<file path=xl/drawings/drawing49.xml><?xml version="1.0" encoding="utf-8"?>
<c:userShapes xmlns:c="http://schemas.openxmlformats.org/drawingml/2006/chart">
  <cdr:relSizeAnchor xmlns:cdr="http://schemas.openxmlformats.org/drawingml/2006/chartDrawing">
    <cdr:from>
      <cdr:x>0.18609</cdr:x>
      <cdr:y>0.15914</cdr:y>
    </cdr:from>
    <cdr:to>
      <cdr:x>0.93047</cdr:x>
      <cdr:y>0.71181</cdr:y>
    </cdr:to>
    <cdr:sp macro="" textlink="'Lists-Modules-ChartData'!$BN$39">
      <cdr:nvSpPr>
        <cdr:cNvPr id="2" name="TextBox 1">
          <a:extLst xmlns:a="http://schemas.openxmlformats.org/drawingml/2006/main">
            <a:ext uri="{FF2B5EF4-FFF2-40B4-BE49-F238E27FC236}">
              <a16:creationId xmlns:a16="http://schemas.microsoft.com/office/drawing/2014/main" id="{8D9BBFD8-C3E8-4E5C-B012-ADDC87CC50B1}"/>
            </a:ext>
          </a:extLst>
        </cdr:cNvPr>
        <cdr:cNvSpPr txBox="1"/>
      </cdr:nvSpPr>
      <cdr:spPr>
        <a:xfrm xmlns:a="http://schemas.openxmlformats.org/drawingml/2006/main">
          <a:off x="425402" y="486310"/>
          <a:ext cx="1701652" cy="1688882"/>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algn="ctr"/>
          <a:fld id="{3F6768FB-1DBE-46D5-BF37-6149882C99A6}" type="TxLink">
            <a:rPr lang="en-US" sz="1400" b="1" i="0" u="none" strike="noStrike">
              <a:solidFill>
                <a:srgbClr val="000000"/>
              </a:solidFill>
              <a:latin typeface="Segoe UI" pitchFamily="34" charset="0"/>
              <a:ea typeface="Segoe UI" pitchFamily="34" charset="0"/>
              <a:cs typeface="Segoe UI" pitchFamily="34" charset="0"/>
            </a:rPr>
            <a:pPr algn="ctr"/>
            <a:t> </a:t>
          </a:fld>
          <a:endParaRPr lang="en-US" sz="1400" b="1">
            <a:latin typeface="Segoe UI" pitchFamily="34" charset="0"/>
            <a:ea typeface="Segoe UI" pitchFamily="34" charset="0"/>
            <a:cs typeface="Segoe UI"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0.14941</cdr:x>
      <cdr:y>0.07891</cdr:y>
    </cdr:from>
    <cdr:to>
      <cdr:x>0.87083</cdr:x>
      <cdr:y>0.19164</cdr:y>
    </cdr:to>
    <cdr:sp macro="" textlink="'Input 5 - Scenario Design'!$M$31">
      <cdr:nvSpPr>
        <cdr:cNvPr id="2" name="TextBox 1">
          <a:extLst xmlns:a="http://schemas.openxmlformats.org/drawingml/2006/main">
            <a:ext uri="{FF2B5EF4-FFF2-40B4-BE49-F238E27FC236}">
              <a16:creationId xmlns:a16="http://schemas.microsoft.com/office/drawing/2014/main" id="{F6601657-A5D6-4A63-A4CD-2E78BE1B18A3}"/>
            </a:ext>
          </a:extLst>
        </cdr:cNvPr>
        <cdr:cNvSpPr txBox="1"/>
      </cdr:nvSpPr>
      <cdr:spPr>
        <a:xfrm xmlns:a="http://schemas.openxmlformats.org/drawingml/2006/main">
          <a:off x="416719" y="166687"/>
          <a:ext cx="2012157"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D08E47DD-498E-434F-ABFE-1EB3026EB706}" type="TxLink">
            <a:rPr lang="en-US" sz="1200" b="1" i="0" u="none" strike="noStrike">
              <a:solidFill>
                <a:srgbClr val="000000"/>
              </a:solidFill>
              <a:latin typeface="Calibri"/>
              <a:cs typeface="Calibri"/>
            </a:rPr>
            <a:pPr/>
            <a:t>Nominal Debt-to-GDP</a:t>
          </a:fld>
          <a:endParaRPr lang="en-US" sz="1100"/>
        </a:p>
      </cdr:txBody>
    </cdr:sp>
  </cdr:relSizeAnchor>
</c:userShapes>
</file>

<file path=xl/drawings/drawing50.xml><?xml version="1.0" encoding="utf-8"?>
<c:userShapes xmlns:c="http://schemas.openxmlformats.org/drawingml/2006/chart">
  <cdr:relSizeAnchor xmlns:cdr="http://schemas.openxmlformats.org/drawingml/2006/chartDrawing">
    <cdr:from>
      <cdr:x>0.31778</cdr:x>
      <cdr:y>0</cdr:y>
    </cdr:from>
    <cdr:to>
      <cdr:x>0.47425</cdr:x>
      <cdr:y>0.0712</cdr:y>
    </cdr:to>
    <cdr:sp macro="" textlink="">
      <cdr:nvSpPr>
        <cdr:cNvPr id="5" name="TextBox 4">
          <a:extLst xmlns:a="http://schemas.openxmlformats.org/drawingml/2006/main">
            <a:ext uri="{FF2B5EF4-FFF2-40B4-BE49-F238E27FC236}">
              <a16:creationId xmlns:a16="http://schemas.microsoft.com/office/drawing/2014/main" id="{0867785A-9939-4514-ACC9-C180C20FDBD5}"/>
            </a:ext>
          </a:extLst>
        </cdr:cNvPr>
        <cdr:cNvSpPr txBox="1"/>
      </cdr:nvSpPr>
      <cdr:spPr>
        <a:xfrm xmlns:a="http://schemas.openxmlformats.org/drawingml/2006/main">
          <a:off x="3100508" y="0"/>
          <a:ext cx="1526643" cy="303825"/>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r>
            <a:rPr lang="en-US" sz="1400" b="0">
              <a:latin typeface="Segoe UI" pitchFamily="34" charset="0"/>
              <a:cs typeface="Segoe UI" pitchFamily="34" charset="0"/>
            </a:rPr>
            <a:t>Percentiles:</a:t>
          </a:r>
        </a:p>
      </cdr:txBody>
    </cdr:sp>
  </cdr:relSizeAnchor>
  <cdr:relSizeAnchor xmlns:cdr="http://schemas.openxmlformats.org/drawingml/2006/chartDrawing">
    <cdr:from>
      <cdr:x>0.05599</cdr:x>
      <cdr:y>0.03595</cdr:y>
    </cdr:from>
    <cdr:to>
      <cdr:x>0.10129</cdr:x>
      <cdr:y>0.03595</cdr:y>
    </cdr:to>
    <cdr:sp macro="" textlink="">
      <cdr:nvSpPr>
        <cdr:cNvPr id="7" name="Straight Connector 6">
          <a:extLst xmlns:a="http://schemas.openxmlformats.org/drawingml/2006/main">
            <a:ext uri="{FF2B5EF4-FFF2-40B4-BE49-F238E27FC236}">
              <a16:creationId xmlns:a16="http://schemas.microsoft.com/office/drawing/2014/main" id="{D5C92636-4895-40CF-8FA8-DF7D153500B0}"/>
            </a:ext>
          </a:extLst>
        </cdr:cNvPr>
        <cdr:cNvSpPr/>
      </cdr:nvSpPr>
      <cdr:spPr>
        <a:xfrm xmlns:a="http://schemas.openxmlformats.org/drawingml/2006/main">
          <a:off x="546282" y="153406"/>
          <a:ext cx="441982" cy="0"/>
        </a:xfrm>
        <a:prstGeom xmlns:a="http://schemas.openxmlformats.org/drawingml/2006/main" prst="line">
          <a:avLst/>
        </a:prstGeom>
        <a:ln xmlns:a="http://schemas.openxmlformats.org/drawingml/2006/main" w="28575">
          <a:solidFill>
            <a:sysClr val="windowText" lastClr="00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0.09784</cdr:x>
      <cdr:y>0</cdr:y>
    </cdr:from>
    <cdr:to>
      <cdr:x>0.27573</cdr:x>
      <cdr:y>0.0712</cdr:y>
    </cdr:to>
    <cdr:sp macro="" textlink="">
      <cdr:nvSpPr>
        <cdr:cNvPr id="8" name="TextBox 1">
          <a:extLst xmlns:a="http://schemas.openxmlformats.org/drawingml/2006/main">
            <a:ext uri="{FF2B5EF4-FFF2-40B4-BE49-F238E27FC236}">
              <a16:creationId xmlns:a16="http://schemas.microsoft.com/office/drawing/2014/main" id="{882D0C6C-4AA0-4108-8D40-EDA66BFF33A9}"/>
            </a:ext>
          </a:extLst>
        </cdr:cNvPr>
        <cdr:cNvSpPr txBox="1"/>
      </cdr:nvSpPr>
      <cdr:spPr>
        <a:xfrm xmlns:a="http://schemas.openxmlformats.org/drawingml/2006/main">
          <a:off x="954603" y="0"/>
          <a:ext cx="1735633" cy="303825"/>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US" sz="1400" b="0">
              <a:latin typeface="Segoe UI" pitchFamily="34" charset="0"/>
              <a:cs typeface="Segoe UI" pitchFamily="34" charset="0"/>
            </a:rPr>
            <a:t>Baseline</a:t>
          </a:r>
        </a:p>
      </cdr:txBody>
    </cdr:sp>
  </cdr:relSizeAnchor>
  <cdr:relSizeAnchor xmlns:cdr="http://schemas.openxmlformats.org/drawingml/2006/chartDrawing">
    <cdr:from>
      <cdr:x>0.01166</cdr:x>
      <cdr:y>0.10556</cdr:y>
    </cdr:from>
    <cdr:to>
      <cdr:x>0.47133</cdr:x>
      <cdr:y>0.18543</cdr:y>
    </cdr:to>
    <cdr:sp macro="" textlink="">
      <cdr:nvSpPr>
        <cdr:cNvPr id="9" name="TextBox 8">
          <a:extLst xmlns:a="http://schemas.openxmlformats.org/drawingml/2006/main">
            <a:ext uri="{FF2B5EF4-FFF2-40B4-BE49-F238E27FC236}">
              <a16:creationId xmlns:a16="http://schemas.microsoft.com/office/drawing/2014/main" id="{DF6180B2-222A-44DF-AC85-44DABADFAC09}"/>
            </a:ext>
          </a:extLst>
        </cdr:cNvPr>
        <cdr:cNvSpPr txBox="1"/>
      </cdr:nvSpPr>
      <cdr:spPr>
        <a:xfrm xmlns:a="http://schemas.openxmlformats.org/drawingml/2006/main">
          <a:off x="114522" y="462643"/>
          <a:ext cx="4514082" cy="35007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400" b="1">
              <a:latin typeface="Segoe UI" pitchFamily="34" charset="0"/>
              <a:ea typeface="Segoe UI" pitchFamily="34" charset="0"/>
              <a:cs typeface="Segoe UI" pitchFamily="34" charset="0"/>
            </a:rPr>
            <a:t>Symmetric Distribution</a:t>
          </a:r>
        </a:p>
      </cdr:txBody>
    </cdr:sp>
  </cdr:relSizeAnchor>
</c:userShapes>
</file>

<file path=xl/drawings/drawing51.xml><?xml version="1.0" encoding="utf-8"?>
<c:userShapes xmlns:c="http://schemas.openxmlformats.org/drawingml/2006/chart">
  <cdr:relSizeAnchor xmlns:cdr="http://schemas.openxmlformats.org/drawingml/2006/chartDrawing">
    <cdr:from>
      <cdr:x>0.01458</cdr:x>
      <cdr:y>0.02425</cdr:y>
    </cdr:from>
    <cdr:to>
      <cdr:x>0.82076</cdr:x>
      <cdr:y>0.11336</cdr:y>
    </cdr:to>
    <cdr:sp macro="" textlink="">
      <cdr:nvSpPr>
        <cdr:cNvPr id="9" name="TextBox 1">
          <a:extLst xmlns:a="http://schemas.openxmlformats.org/drawingml/2006/main">
            <a:ext uri="{FF2B5EF4-FFF2-40B4-BE49-F238E27FC236}">
              <a16:creationId xmlns:a16="http://schemas.microsoft.com/office/drawing/2014/main" id="{6E0EE483-7616-41A1-B2F7-D4904524579C}"/>
            </a:ext>
          </a:extLst>
        </cdr:cNvPr>
        <cdr:cNvSpPr txBox="1"/>
      </cdr:nvSpPr>
      <cdr:spPr>
        <a:xfrm xmlns:a="http://schemas.openxmlformats.org/drawingml/2006/main">
          <a:off x="81643" y="95250"/>
          <a:ext cx="4514082" cy="3500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US" sz="1400" b="1">
              <a:latin typeface="Segoe UI" pitchFamily="34" charset="0"/>
              <a:ea typeface="Segoe UI" pitchFamily="34" charset="0"/>
              <a:cs typeface="Segoe UI" pitchFamily="34" charset="0"/>
            </a:rPr>
            <a:t>Restricted (Asymmetric) Distribution</a:t>
          </a:r>
        </a:p>
      </cdr:txBody>
    </cdr:sp>
  </cdr:relSizeAnchor>
  <cdr:relSizeAnchor xmlns:cdr="http://schemas.openxmlformats.org/drawingml/2006/chartDrawing">
    <cdr:from>
      <cdr:x>0.33886</cdr:x>
      <cdr:y>0.67187</cdr:y>
    </cdr:from>
    <cdr:to>
      <cdr:x>0.92226</cdr:x>
      <cdr:y>0.74077</cdr:y>
    </cdr:to>
    <cdr:sp macro="" textlink="'Fan Chart'!$BU$43">
      <cdr:nvSpPr>
        <cdr:cNvPr id="4" name="TextBox 23">
          <a:extLst xmlns:a="http://schemas.openxmlformats.org/drawingml/2006/main">
            <a:ext uri="{FF2B5EF4-FFF2-40B4-BE49-F238E27FC236}">
              <a16:creationId xmlns:a16="http://schemas.microsoft.com/office/drawing/2014/main" id="{2F7183F6-DB0A-4212-BF36-74A4EA3046C7}"/>
            </a:ext>
          </a:extLst>
        </cdr:cNvPr>
        <cdr:cNvSpPr txBox="1"/>
      </cdr:nvSpPr>
      <cdr:spPr>
        <a:xfrm xmlns:a="http://schemas.openxmlformats.org/drawingml/2006/main">
          <a:off x="1891089" y="2612777"/>
          <a:ext cx="3255818" cy="267940"/>
        </a:xfrm>
        <a:prstGeom xmlns:a="http://schemas.openxmlformats.org/drawingml/2006/main" prst="rect">
          <a:avLst/>
        </a:prstGeom>
        <a:noFill xmlns:a="http://schemas.openxmlformats.org/drawingml/2006/main"/>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fld id="{BF9A65E2-0D18-41A3-A399-5E3D4558F208}" type="TxLink">
            <a:rPr lang="en-US" sz="1100" b="0" i="0" u="none" strike="noStrike">
              <a:solidFill>
                <a:srgbClr val="000000"/>
              </a:solidFill>
              <a:latin typeface="Segoe UI"/>
              <a:ea typeface="Segoe UI"/>
              <a:cs typeface="Segoe UI"/>
            </a:rPr>
            <a:pPr/>
            <a:t>no restriction on the growth rate shock</a:t>
          </a:fld>
          <a:endParaRPr lang="en-US" sz="1100">
            <a:latin typeface="Segoe UI" pitchFamily="34" charset="0"/>
            <a:ea typeface="Segoe UI" pitchFamily="34" charset="0"/>
            <a:cs typeface="Segoe UI" pitchFamily="34" charset="0"/>
          </a:endParaRPr>
        </a:p>
      </cdr:txBody>
    </cdr:sp>
  </cdr:relSizeAnchor>
  <cdr:relSizeAnchor xmlns:cdr="http://schemas.openxmlformats.org/drawingml/2006/chartDrawing">
    <cdr:from>
      <cdr:x>0.33886</cdr:x>
      <cdr:y>0.72879</cdr:y>
    </cdr:from>
    <cdr:to>
      <cdr:x>0.92226</cdr:x>
      <cdr:y>0.7977</cdr:y>
    </cdr:to>
    <cdr:sp macro="" textlink="'Fan Chart'!$BU$44">
      <cdr:nvSpPr>
        <cdr:cNvPr id="5" name="TextBox 23">
          <a:extLst xmlns:a="http://schemas.openxmlformats.org/drawingml/2006/main">
            <a:ext uri="{FF2B5EF4-FFF2-40B4-BE49-F238E27FC236}">
              <a16:creationId xmlns:a16="http://schemas.microsoft.com/office/drawing/2014/main" id="{A78C1FB6-EDE3-4390-8070-F52D2E8B5CD8}"/>
            </a:ext>
          </a:extLst>
        </cdr:cNvPr>
        <cdr:cNvSpPr txBox="1"/>
      </cdr:nvSpPr>
      <cdr:spPr>
        <a:xfrm xmlns:a="http://schemas.openxmlformats.org/drawingml/2006/main">
          <a:off x="1891089" y="2834119"/>
          <a:ext cx="3255818" cy="267986"/>
        </a:xfrm>
        <a:prstGeom xmlns:a="http://schemas.openxmlformats.org/drawingml/2006/main" prst="rect">
          <a:avLst/>
        </a:prstGeom>
        <a:noFill xmlns:a="http://schemas.openxmlformats.org/drawingml/2006/main"/>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fld id="{DE0A9256-6255-4BEC-91AD-6BC46258685D}" type="TxLink">
            <a:rPr lang="en-US" sz="1100" b="0" i="0" u="none" strike="noStrike">
              <a:solidFill>
                <a:srgbClr val="000000"/>
              </a:solidFill>
              <a:latin typeface="Segoe UI"/>
              <a:ea typeface="Segoe UI"/>
              <a:cs typeface="Segoe UI"/>
            </a:rPr>
            <a:pPr/>
            <a:t>no restriction on the interest rate shock</a:t>
          </a:fld>
          <a:endParaRPr lang="en-US" sz="1100">
            <a:latin typeface="Segoe UI" pitchFamily="34" charset="0"/>
            <a:ea typeface="Segoe UI" pitchFamily="34" charset="0"/>
            <a:cs typeface="Segoe UI" pitchFamily="34" charset="0"/>
          </a:endParaRPr>
        </a:p>
      </cdr:txBody>
    </cdr:sp>
  </cdr:relSizeAnchor>
  <cdr:relSizeAnchor xmlns:cdr="http://schemas.openxmlformats.org/drawingml/2006/chartDrawing">
    <cdr:from>
      <cdr:x>0.33886</cdr:x>
      <cdr:y>0.7803</cdr:y>
    </cdr:from>
    <cdr:to>
      <cdr:x>0.92226</cdr:x>
      <cdr:y>0.8492</cdr:y>
    </cdr:to>
    <cdr:sp macro="" textlink="'Fan Chart'!$BU$45">
      <cdr:nvSpPr>
        <cdr:cNvPr id="6" name="TextBox 23">
          <a:extLst xmlns:a="http://schemas.openxmlformats.org/drawingml/2006/main">
            <a:ext uri="{FF2B5EF4-FFF2-40B4-BE49-F238E27FC236}">
              <a16:creationId xmlns:a16="http://schemas.microsoft.com/office/drawing/2014/main" id="{FCB39C4B-5701-48AA-9AD1-D533F7A0E2BA}"/>
            </a:ext>
          </a:extLst>
        </cdr:cNvPr>
        <cdr:cNvSpPr txBox="1"/>
      </cdr:nvSpPr>
      <cdr:spPr>
        <a:xfrm xmlns:a="http://schemas.openxmlformats.org/drawingml/2006/main">
          <a:off x="1891089" y="3034439"/>
          <a:ext cx="3255818" cy="267940"/>
        </a:xfrm>
        <a:prstGeom xmlns:a="http://schemas.openxmlformats.org/drawingml/2006/main" prst="rect">
          <a:avLst/>
        </a:prstGeom>
        <a:noFill xmlns:a="http://schemas.openxmlformats.org/drawingml/2006/main"/>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fld id="{6764843B-BC6A-4BDB-8E46-9D5EB570F178}" type="TxLink">
            <a:rPr lang="en-US" sz="1100" b="0" i="0" u="none" strike="noStrike">
              <a:solidFill>
                <a:srgbClr val="000000"/>
              </a:solidFill>
              <a:latin typeface="Segoe UI" pitchFamily="34" charset="0"/>
              <a:ea typeface="Segoe UI" pitchFamily="34" charset="0"/>
              <a:cs typeface="Segoe UI" pitchFamily="34" charset="0"/>
            </a:rPr>
            <a:pPr/>
            <a:t>0 is the max positive pb shock (percent GDP)</a:t>
          </a:fld>
          <a:endParaRPr lang="en-US" sz="1100">
            <a:latin typeface="Segoe UI" pitchFamily="34" charset="0"/>
            <a:ea typeface="Segoe UI" pitchFamily="34" charset="0"/>
            <a:cs typeface="Segoe UI" pitchFamily="34" charset="0"/>
          </a:endParaRPr>
        </a:p>
      </cdr:txBody>
    </cdr:sp>
  </cdr:relSizeAnchor>
  <cdr:relSizeAnchor xmlns:cdr="http://schemas.openxmlformats.org/drawingml/2006/chartDrawing">
    <cdr:from>
      <cdr:x>0.33886</cdr:x>
      <cdr:y>0.8318</cdr:y>
    </cdr:from>
    <cdr:to>
      <cdr:x>0.92226</cdr:x>
      <cdr:y>0.90071</cdr:y>
    </cdr:to>
    <cdr:sp macro="" textlink="'Fan Chart'!$BU$46">
      <cdr:nvSpPr>
        <cdr:cNvPr id="7" name="TextBox 23">
          <a:extLst xmlns:a="http://schemas.openxmlformats.org/drawingml/2006/main">
            <a:ext uri="{FF2B5EF4-FFF2-40B4-BE49-F238E27FC236}">
              <a16:creationId xmlns:a16="http://schemas.microsoft.com/office/drawing/2014/main" id="{7D3DB525-C839-4F9E-B9B1-945734F489CA}"/>
            </a:ext>
          </a:extLst>
        </cdr:cNvPr>
        <cdr:cNvSpPr txBox="1"/>
      </cdr:nvSpPr>
      <cdr:spPr>
        <a:xfrm xmlns:a="http://schemas.openxmlformats.org/drawingml/2006/main">
          <a:off x="1891089" y="3234704"/>
          <a:ext cx="3255818" cy="267986"/>
        </a:xfrm>
        <a:prstGeom xmlns:a="http://schemas.openxmlformats.org/drawingml/2006/main" prst="rect">
          <a:avLst/>
        </a:prstGeom>
        <a:noFill xmlns:a="http://schemas.openxmlformats.org/drawingml/2006/main"/>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fld id="{86C428FD-0A06-4E55-8FBF-DE4AE86ED1FD}" type="TxLink">
            <a:rPr lang="en-US" sz="1100" b="0" i="0" u="none" strike="noStrike">
              <a:solidFill>
                <a:srgbClr val="000000"/>
              </a:solidFill>
              <a:latin typeface="Segoe UI"/>
              <a:ea typeface="Segoe UI"/>
              <a:cs typeface="Segoe UI"/>
            </a:rPr>
            <a:pPr/>
            <a:t>no restriction on the exchange rate shock</a:t>
          </a:fld>
          <a:endParaRPr lang="en-US" sz="1100">
            <a:latin typeface="Segoe UI" pitchFamily="34" charset="0"/>
            <a:ea typeface="Segoe UI" pitchFamily="34" charset="0"/>
            <a:cs typeface="Segoe UI" pitchFamily="34" charset="0"/>
          </a:endParaRPr>
        </a:p>
      </cdr:txBody>
    </cdr:sp>
  </cdr:relSizeAnchor>
  <cdr:relSizeAnchor xmlns:cdr="http://schemas.openxmlformats.org/drawingml/2006/chartDrawing">
    <cdr:from>
      <cdr:x>0.33886</cdr:x>
      <cdr:y>0.6166</cdr:y>
    </cdr:from>
    <cdr:to>
      <cdr:x>0.76946</cdr:x>
      <cdr:y>0.67624</cdr:y>
    </cdr:to>
    <cdr:sp macro="" textlink="'Fan Chart'!$BU$41">
      <cdr:nvSpPr>
        <cdr:cNvPr id="8" name="TextBox 23">
          <a:extLst xmlns:a="http://schemas.openxmlformats.org/drawingml/2006/main">
            <a:ext uri="{FF2B5EF4-FFF2-40B4-BE49-F238E27FC236}">
              <a16:creationId xmlns:a16="http://schemas.microsoft.com/office/drawing/2014/main" id="{1C566596-03BB-4A9B-A9C8-95392E479DF6}"/>
            </a:ext>
          </a:extLst>
        </cdr:cNvPr>
        <cdr:cNvSpPr txBox="1"/>
      </cdr:nvSpPr>
      <cdr:spPr>
        <a:xfrm xmlns:a="http://schemas.openxmlformats.org/drawingml/2006/main">
          <a:off x="1891089" y="2397831"/>
          <a:ext cx="2403086" cy="231928"/>
        </a:xfrm>
        <a:prstGeom xmlns:a="http://schemas.openxmlformats.org/drawingml/2006/main" prst="rect">
          <a:avLst/>
        </a:prstGeom>
        <a:noFill xmlns:a="http://schemas.openxmlformats.org/drawingml/2006/main"/>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fld id="{707E0D80-9F26-4E12-B805-C7267E7842CB}" type="TxLink">
            <a:rPr lang="en-US" sz="1100" b="1" i="0" u="none" strike="noStrike">
              <a:solidFill>
                <a:srgbClr val="000000"/>
              </a:solidFill>
              <a:latin typeface="Segoe UI"/>
              <a:ea typeface="Segoe UI"/>
              <a:cs typeface="Segoe UI"/>
            </a:rPr>
            <a:pPr/>
            <a:t>Restrictions on upside shocks:</a:t>
          </a:fld>
          <a:endParaRPr lang="en-US" sz="1100">
            <a:latin typeface="Segoe UI" pitchFamily="34" charset="0"/>
            <a:ea typeface="Segoe UI" pitchFamily="34" charset="0"/>
            <a:cs typeface="Segoe UI"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0.12593</cdr:x>
      <cdr:y>0.06225</cdr:y>
    </cdr:from>
    <cdr:to>
      <cdr:x>0.92131</cdr:x>
      <cdr:y>0.16981</cdr:y>
    </cdr:to>
    <cdr:sp macro="" textlink="'Input 5 - Scenario Design'!$R$31">
      <cdr:nvSpPr>
        <cdr:cNvPr id="2" name="TextBox 1">
          <a:extLst xmlns:a="http://schemas.openxmlformats.org/drawingml/2006/main">
            <a:ext uri="{FF2B5EF4-FFF2-40B4-BE49-F238E27FC236}">
              <a16:creationId xmlns:a16="http://schemas.microsoft.com/office/drawing/2014/main" id="{6C45206B-C732-4CB4-8E8D-DE5E7F832C9C}"/>
            </a:ext>
          </a:extLst>
        </cdr:cNvPr>
        <cdr:cNvSpPr txBox="1"/>
      </cdr:nvSpPr>
      <cdr:spPr>
        <a:xfrm xmlns:a="http://schemas.openxmlformats.org/drawingml/2006/main">
          <a:off x="381000" y="130968"/>
          <a:ext cx="2406387" cy="22629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D5290933-A249-4784-A848-992C055F67A9}" type="TxLink">
            <a:rPr lang="en-US" sz="1200" b="1" i="0" u="none" strike="noStrike">
              <a:solidFill>
                <a:srgbClr val="000000"/>
              </a:solidFill>
              <a:latin typeface="Calibri"/>
              <a:cs typeface="Calibri"/>
            </a:rPr>
            <a:pPr/>
            <a:t>Gross Financing Need-to-GDP</a:t>
          </a:fld>
          <a:endParaRPr lang="en-US" sz="1100"/>
        </a:p>
      </cdr:txBody>
    </cdr:sp>
  </cdr:relSizeAnchor>
</c:userShapes>
</file>

<file path=xl/drawings/drawing7.xml><?xml version="1.0" encoding="utf-8"?>
<c:userShapes xmlns:c="http://schemas.openxmlformats.org/drawingml/2006/chart">
  <cdr:relSizeAnchor xmlns:cdr="http://schemas.openxmlformats.org/drawingml/2006/chartDrawing">
    <cdr:from>
      <cdr:x>0.14941</cdr:x>
      <cdr:y>0.07727</cdr:y>
    </cdr:from>
    <cdr:to>
      <cdr:x>0.87083</cdr:x>
      <cdr:y>0.18766</cdr:y>
    </cdr:to>
    <cdr:sp macro="" textlink="'Input 5 - Scenario Design'!$M$31">
      <cdr:nvSpPr>
        <cdr:cNvPr id="2" name="TextBox 1">
          <a:extLst xmlns:a="http://schemas.openxmlformats.org/drawingml/2006/main">
            <a:ext uri="{FF2B5EF4-FFF2-40B4-BE49-F238E27FC236}">
              <a16:creationId xmlns:a16="http://schemas.microsoft.com/office/drawing/2014/main" id="{10AC82E0-D99F-463C-8A8C-D9D93253C549}"/>
            </a:ext>
          </a:extLst>
        </cdr:cNvPr>
        <cdr:cNvSpPr txBox="1"/>
      </cdr:nvSpPr>
      <cdr:spPr>
        <a:xfrm xmlns:a="http://schemas.openxmlformats.org/drawingml/2006/main">
          <a:off x="416718" y="166688"/>
          <a:ext cx="2012157"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0E7773F-37C2-4BBD-BCDE-F43BFD05FB1E}" type="TxLink">
            <a:rPr lang="en-US" sz="1200" b="1" i="0" u="none" strike="noStrike">
              <a:solidFill>
                <a:srgbClr val="000000"/>
              </a:solidFill>
              <a:latin typeface="Calibri"/>
              <a:cs typeface="Calibri"/>
            </a:rPr>
            <a:pPr/>
            <a:t>Nominal Debt-to-GDP</a:t>
          </a:fld>
          <a:endParaRPr lang="en-US" sz="1100"/>
        </a:p>
      </cdr:txBody>
    </cdr:sp>
  </cdr:relSizeAnchor>
</c:userShapes>
</file>

<file path=xl/drawings/drawing8.xml><?xml version="1.0" encoding="utf-8"?>
<c:userShapes xmlns:c="http://schemas.openxmlformats.org/drawingml/2006/chart">
  <cdr:relSizeAnchor xmlns:cdr="http://schemas.openxmlformats.org/drawingml/2006/chartDrawing">
    <cdr:from>
      <cdr:x>0.12593</cdr:x>
      <cdr:y>0.0665</cdr:y>
    </cdr:from>
    <cdr:to>
      <cdr:x>0.92131</cdr:x>
      <cdr:y>0.17182</cdr:y>
    </cdr:to>
    <cdr:sp macro="" textlink="'Input 5 - Scenario Design'!$R$31">
      <cdr:nvSpPr>
        <cdr:cNvPr id="2" name="TextBox 1">
          <a:extLst xmlns:a="http://schemas.openxmlformats.org/drawingml/2006/main">
            <a:ext uri="{FF2B5EF4-FFF2-40B4-BE49-F238E27FC236}">
              <a16:creationId xmlns:a16="http://schemas.microsoft.com/office/drawing/2014/main" id="{FF410671-5403-46D0-B34F-A1679C906672}"/>
            </a:ext>
          </a:extLst>
        </cdr:cNvPr>
        <cdr:cNvSpPr txBox="1"/>
      </cdr:nvSpPr>
      <cdr:spPr>
        <a:xfrm xmlns:a="http://schemas.openxmlformats.org/drawingml/2006/main">
          <a:off x="381000" y="142875"/>
          <a:ext cx="2406387" cy="22629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54D9599-E0EF-4145-80E7-032669CD7907}" type="TxLink">
            <a:rPr lang="en-US" sz="1200" b="1" i="0" u="none" strike="noStrike">
              <a:solidFill>
                <a:srgbClr val="000000"/>
              </a:solidFill>
              <a:latin typeface="Calibri"/>
              <a:cs typeface="Calibri"/>
            </a:rPr>
            <a:pPr/>
            <a:t>Gross Financing Need-to-GDP</a:t>
          </a:fld>
          <a:endParaRPr lang="en-US" sz="1100"/>
        </a:p>
      </cdr:txBody>
    </cdr:sp>
  </cdr:relSizeAnchor>
</c:userShapes>
</file>

<file path=xl/drawings/drawing9.xml><?xml version="1.0" encoding="utf-8"?>
<c:userShapes xmlns:c="http://schemas.openxmlformats.org/drawingml/2006/chart">
  <cdr:relSizeAnchor xmlns:cdr="http://schemas.openxmlformats.org/drawingml/2006/chartDrawing">
    <cdr:from>
      <cdr:x>0.15364</cdr:x>
      <cdr:y>0.08236</cdr:y>
    </cdr:from>
    <cdr:to>
      <cdr:x>0.87488</cdr:x>
      <cdr:y>0.19218</cdr:y>
    </cdr:to>
    <cdr:sp macro="" textlink="'Input 5 - Scenario Design'!$M$31">
      <cdr:nvSpPr>
        <cdr:cNvPr id="2" name="TextBox 1">
          <a:extLst xmlns:a="http://schemas.openxmlformats.org/drawingml/2006/main">
            <a:ext uri="{FF2B5EF4-FFF2-40B4-BE49-F238E27FC236}">
              <a16:creationId xmlns:a16="http://schemas.microsoft.com/office/drawing/2014/main" id="{F8D4EF10-6D05-471D-AE93-EF64B51BA9B2}"/>
            </a:ext>
          </a:extLst>
        </cdr:cNvPr>
        <cdr:cNvSpPr txBox="1"/>
      </cdr:nvSpPr>
      <cdr:spPr>
        <a:xfrm xmlns:a="http://schemas.openxmlformats.org/drawingml/2006/main">
          <a:off x="428625" y="178594"/>
          <a:ext cx="2012157"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FC7A74-9A88-4628-9D4D-06DC3BC2FCDF}" type="TxLink">
            <a:rPr lang="en-US" sz="1200" b="1" i="0" u="none" strike="noStrike">
              <a:solidFill>
                <a:srgbClr val="000000"/>
              </a:solidFill>
              <a:latin typeface="Calibri"/>
              <a:cs typeface="Calibri"/>
            </a:rPr>
            <a:pPr/>
            <a:t>Nominal Debt-to-GDP</a:t>
          </a:fld>
          <a:endParaRPr lang="en-US" sz="1100"/>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imf.org/external/np/pp/eng/2013/050913.pdf"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www.kase.gov.lv/sites/default/files/public/SSD/P%C4%81rskati/Ceturk%C5%A1%C5%86a%20bi%C4%BCetens/2018/Ceturk%C5%A1%C5%86a%20bi%C4%BCetens_4C_2018.pdf" TargetMode="External"/><Relationship Id="rId7" Type="http://schemas.openxmlformats.org/officeDocument/2006/relationships/vmlDrawing" Target="../drawings/vmlDrawing1.vml"/><Relationship Id="rId2" Type="http://schemas.openxmlformats.org/officeDocument/2006/relationships/hyperlink" Target="https://www.kase.gov.lv/valsts-parada-vadiba/kreditreitings" TargetMode="External"/><Relationship Id="rId1" Type="http://schemas.openxmlformats.org/officeDocument/2006/relationships/hyperlink" Target="https://www.imf.org/external/datamapper/NGDPDPC@WEO/OEMDC/ADVEC/WEOWORLD/LVA" TargetMode="External"/><Relationship Id="rId6" Type="http://schemas.openxmlformats.org/officeDocument/2006/relationships/printerSettings" Target="../printerSettings/printerSettings2.bin"/><Relationship Id="rId5" Type="http://schemas.openxmlformats.org/officeDocument/2006/relationships/hyperlink" Target="https://www.kase.gov.lv/sites/default/files/public/SSD/P%C4%81rskati/Ceturk%C5%A1%C5%86a%20bi%C4%BCetens/2018/Ceturk%C5%A1%C5%86a%20bi%C4%BCetens_4C_2018.pdf" TargetMode="External"/><Relationship Id="rId4" Type="http://schemas.openxmlformats.org/officeDocument/2006/relationships/hyperlink" Target="https://www.kase.gov.lv/sites/default/files/public/SSD/P%C4%81rskati/Ceturk%C5%A1%C5%86a%20bi%C4%BCetens/2018/Ceturk%C5%A1%C5%86a%20bi%C4%BCetens_4C_2018.pdf" TargetMode="External"/></Relationships>
</file>

<file path=xl/worksheets/_rels/sheet2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22.xml.rels><?xml version="1.0" encoding="UTF-8" standalone="yes"?>
<Relationships xmlns="http://schemas.openxmlformats.org/package/2006/relationships"><Relationship Id="rId2" Type="http://schemas.openxmlformats.org/officeDocument/2006/relationships/comments" Target="../comments13.xml"/><Relationship Id="rId1" Type="http://schemas.openxmlformats.org/officeDocument/2006/relationships/vmlDrawing" Target="../drawings/vmlDrawing13.vml"/></Relationships>
</file>

<file path=xl/worksheets/_rels/sheet23.xml.rels><?xml version="1.0" encoding="UTF-8" standalone="yes"?>
<Relationships xmlns="http://schemas.openxmlformats.org/package/2006/relationships"><Relationship Id="rId2" Type="http://schemas.openxmlformats.org/officeDocument/2006/relationships/comments" Target="../comments14.xml"/><Relationship Id="rId1" Type="http://schemas.openxmlformats.org/officeDocument/2006/relationships/vmlDrawing" Target="../drawings/vmlDrawing14.vml"/></Relationships>
</file>

<file path=xl/worksheets/_rels/sheet24.xml.rels><?xml version="1.0" encoding="UTF-8" standalone="yes"?>
<Relationships xmlns="http://schemas.openxmlformats.org/package/2006/relationships"><Relationship Id="rId2" Type="http://schemas.openxmlformats.org/officeDocument/2006/relationships/comments" Target="../comments15.xml"/><Relationship Id="rId1" Type="http://schemas.openxmlformats.org/officeDocument/2006/relationships/vmlDrawing" Target="../drawings/vmlDrawing15.vml"/></Relationships>
</file>

<file path=xl/worksheets/_rels/sheet25.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2" Type="http://schemas.openxmlformats.org/officeDocument/2006/relationships/comments" Target="../comments17.xml"/><Relationship Id="rId1" Type="http://schemas.openxmlformats.org/officeDocument/2006/relationships/vmlDrawing" Target="../drawings/vmlDrawing17.vml"/></Relationships>
</file>

<file path=xl/worksheets/_rels/sheet27.xml.rels><?xml version="1.0" encoding="UTF-8" standalone="yes"?>
<Relationships xmlns="http://schemas.openxmlformats.org/package/2006/relationships"><Relationship Id="rId2" Type="http://schemas.openxmlformats.org/officeDocument/2006/relationships/comments" Target="../comments18.xml"/><Relationship Id="rId1" Type="http://schemas.openxmlformats.org/officeDocument/2006/relationships/vmlDrawing" Target="../drawings/vmlDrawing18.vml"/></Relationships>
</file>

<file path=xl/worksheets/_rels/sheet28.xml.rels><?xml version="1.0" encoding="UTF-8" standalone="yes"?>
<Relationships xmlns="http://schemas.openxmlformats.org/package/2006/relationships"><Relationship Id="rId2" Type="http://schemas.openxmlformats.org/officeDocument/2006/relationships/comments" Target="../comments19.xml"/><Relationship Id="rId1" Type="http://schemas.openxmlformats.org/officeDocument/2006/relationships/vmlDrawing" Target="../drawings/vmlDrawing19.v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25.xml"/><Relationship Id="rId1" Type="http://schemas.openxmlformats.org/officeDocument/2006/relationships/printerSettings" Target="../printerSettings/printerSettings7.bin"/><Relationship Id="rId6" Type="http://schemas.openxmlformats.org/officeDocument/2006/relationships/comments" Target="../comments6.xml"/><Relationship Id="rId5" Type="http://schemas.openxmlformats.org/officeDocument/2006/relationships/image" Target="../media/image2.emf"/><Relationship Id="rId4" Type="http://schemas.openxmlformats.org/officeDocument/2006/relationships/control" Target="../activeX/activeX1.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sheetPr>
  <dimension ref="A2:AB128"/>
  <sheetViews>
    <sheetView zoomScaleNormal="100" zoomScaleSheetLayoutView="90" workbookViewId="0">
      <pane ySplit="4" topLeftCell="A5" activePane="bottomLeft" state="frozen"/>
      <selection activeCell="A107" sqref="A107:XFD137"/>
      <selection pane="bottomLeft" activeCell="A5" sqref="A5"/>
    </sheetView>
  </sheetViews>
  <sheetFormatPr defaultColWidth="9.140625" defaultRowHeight="15"/>
  <cols>
    <col min="1" max="1" width="4.140625" style="25" customWidth="1"/>
    <col min="2" max="2" width="4.140625" style="139" customWidth="1"/>
    <col min="3" max="3" width="4.140625" style="25" customWidth="1"/>
    <col min="4" max="4" width="38.28515625" style="25" customWidth="1"/>
    <col min="5" max="5" width="9.140625" style="25" customWidth="1"/>
    <col min="6" max="13" width="9.140625" style="25"/>
    <col min="14" max="14" width="9.140625" style="25" customWidth="1"/>
    <col min="15" max="16384" width="9.140625" style="25"/>
  </cols>
  <sheetData>
    <row r="2" spans="1:20" ht="21">
      <c r="L2" s="842" t="s">
        <v>531</v>
      </c>
    </row>
    <row r="3" spans="1:20">
      <c r="T3" s="903"/>
    </row>
    <row r="5" spans="1:20" s="873" customFormat="1" ht="30.2" customHeight="1" thickBot="1">
      <c r="A5" s="862" t="s">
        <v>532</v>
      </c>
    </row>
    <row r="6" spans="1:20" ht="5.0999999999999996" customHeight="1"/>
    <row r="7" spans="1:20">
      <c r="A7" s="1892" t="s">
        <v>1032</v>
      </c>
      <c r="B7" s="1892"/>
      <c r="C7" s="1892"/>
      <c r="D7" s="1892"/>
      <c r="E7" s="1892"/>
      <c r="F7" s="1892"/>
      <c r="G7" s="1892"/>
      <c r="H7" s="1892"/>
      <c r="I7" s="1778"/>
      <c r="J7" s="1778"/>
      <c r="K7" s="1778"/>
      <c r="L7" s="1778"/>
      <c r="M7" s="1778"/>
      <c r="N7" s="1778"/>
    </row>
    <row r="8" spans="1:20" ht="15" customHeight="1">
      <c r="A8" s="1890" t="s">
        <v>929</v>
      </c>
      <c r="B8" s="1890"/>
      <c r="C8" s="1890"/>
      <c r="D8" s="1890"/>
      <c r="E8" s="1890"/>
      <c r="F8" s="1893" t="s">
        <v>1030</v>
      </c>
      <c r="G8" s="1893"/>
      <c r="H8" s="1531"/>
      <c r="I8" s="1531"/>
      <c r="J8" s="1531"/>
      <c r="K8" s="1531"/>
      <c r="L8" s="1531"/>
      <c r="M8" s="1531"/>
      <c r="N8" s="1531"/>
    </row>
    <row r="9" spans="1:20" ht="15.75" customHeight="1">
      <c r="A9" s="1892" t="s">
        <v>1031</v>
      </c>
      <c r="B9" s="1892"/>
      <c r="C9" s="1892"/>
      <c r="D9" s="1892"/>
      <c r="E9" s="1892"/>
      <c r="F9" s="1892"/>
      <c r="G9" s="1892"/>
      <c r="H9" s="1892"/>
      <c r="I9" s="1778"/>
      <c r="J9" s="1778"/>
      <c r="K9" s="1778"/>
      <c r="L9" s="1778"/>
      <c r="M9" s="1778"/>
      <c r="N9" s="1778"/>
      <c r="S9" s="845"/>
    </row>
    <row r="10" spans="1:20" ht="15.75" customHeight="1">
      <c r="A10" s="1894" t="s">
        <v>1033</v>
      </c>
      <c r="B10" s="1894"/>
      <c r="C10" s="1894"/>
      <c r="D10" s="1894"/>
      <c r="E10" s="1894"/>
      <c r="F10" s="1894"/>
      <c r="G10" s="1894"/>
      <c r="H10" s="1894"/>
      <c r="I10" s="1779"/>
      <c r="J10" s="1779"/>
      <c r="K10" s="1779"/>
      <c r="L10" s="1779"/>
      <c r="M10" s="1779"/>
      <c r="N10" s="1779"/>
    </row>
    <row r="11" spans="1:20" ht="30.2" customHeight="1">
      <c r="A11" s="1891" t="s">
        <v>1196</v>
      </c>
      <c r="B11" s="1891"/>
      <c r="C11" s="1891"/>
      <c r="D11" s="1891"/>
      <c r="E11" s="1891"/>
      <c r="F11" s="1891"/>
      <c r="G11" s="1891"/>
      <c r="H11" s="1891"/>
      <c r="I11" s="836"/>
      <c r="J11" s="836"/>
      <c r="K11" s="836"/>
      <c r="L11" s="836"/>
      <c r="M11" s="836"/>
      <c r="N11" s="836"/>
    </row>
    <row r="12" spans="1:20" ht="15" customHeight="1">
      <c r="A12" s="1894" t="s">
        <v>1034</v>
      </c>
      <c r="B12" s="1894"/>
      <c r="C12" s="1894"/>
      <c r="D12" s="1894"/>
      <c r="E12" s="1894"/>
      <c r="F12" s="1894"/>
      <c r="G12" s="1894"/>
      <c r="H12" s="1894"/>
      <c r="I12" s="1779"/>
      <c r="J12" s="1779"/>
      <c r="K12" s="1779"/>
      <c r="L12" s="1779"/>
      <c r="M12" s="1779"/>
      <c r="N12" s="1779"/>
      <c r="S12" s="846"/>
    </row>
    <row r="13" spans="1:20" ht="30.2" customHeight="1">
      <c r="A13" s="1895" t="s">
        <v>1035</v>
      </c>
      <c r="B13" s="1895"/>
      <c r="C13" s="1895"/>
      <c r="D13" s="1895"/>
      <c r="E13" s="1895"/>
      <c r="F13" s="1895"/>
      <c r="G13" s="1895"/>
      <c r="H13" s="1895"/>
      <c r="I13" s="1780"/>
      <c r="J13" s="1780"/>
      <c r="K13" s="1780"/>
      <c r="L13" s="1780"/>
      <c r="M13" s="1780"/>
      <c r="N13" s="1780"/>
      <c r="S13" s="846"/>
    </row>
    <row r="14" spans="1:20" s="1781" customFormat="1" ht="60" customHeight="1">
      <c r="A14" s="1896" t="s">
        <v>1183</v>
      </c>
      <c r="B14" s="1896"/>
      <c r="C14" s="1896"/>
      <c r="D14" s="1896"/>
      <c r="E14" s="1896"/>
      <c r="F14" s="1896"/>
      <c r="G14" s="1896"/>
      <c r="H14" s="1896"/>
      <c r="I14" s="1769"/>
      <c r="J14" s="1769"/>
      <c r="K14" s="1769"/>
      <c r="L14" s="1769"/>
      <c r="M14" s="1769"/>
      <c r="N14" s="1769"/>
    </row>
    <row r="15" spans="1:20" ht="15.75" customHeight="1">
      <c r="A15" s="1887" t="s">
        <v>923</v>
      </c>
      <c r="B15" s="1887"/>
      <c r="C15" s="1887"/>
      <c r="D15" s="1887"/>
      <c r="E15" s="1887"/>
      <c r="F15" s="1887"/>
      <c r="G15" s="1887"/>
      <c r="H15" s="1887"/>
      <c r="I15" s="1782"/>
      <c r="J15" s="1782"/>
      <c r="K15" s="1782"/>
      <c r="L15" s="1782"/>
      <c r="M15" s="1782"/>
      <c r="N15" s="1782"/>
    </row>
    <row r="16" spans="1:20">
      <c r="A16" s="1885" t="s">
        <v>930</v>
      </c>
      <c r="B16" s="1885"/>
      <c r="C16" s="1885"/>
      <c r="D16" s="1885"/>
      <c r="E16" s="1885"/>
      <c r="F16" s="1885"/>
      <c r="G16" s="1885"/>
      <c r="H16" s="1885"/>
      <c r="I16" s="1779"/>
      <c r="J16" s="1779"/>
      <c r="K16" s="1779"/>
      <c r="L16" s="1779"/>
      <c r="M16" s="1779"/>
      <c r="N16" s="1779"/>
    </row>
    <row r="17" spans="1:28" ht="15.75" customHeight="1">
      <c r="A17" s="1888" t="s">
        <v>1036</v>
      </c>
      <c r="B17" s="1888"/>
      <c r="C17" s="1888"/>
      <c r="D17" s="1888"/>
      <c r="E17" s="1888"/>
      <c r="F17" s="1888"/>
      <c r="G17" s="1888"/>
      <c r="H17" s="1888"/>
      <c r="I17" s="719"/>
      <c r="J17" s="719"/>
      <c r="K17" s="719"/>
      <c r="L17" s="719"/>
      <c r="M17" s="719"/>
      <c r="N17" s="719"/>
      <c r="S17" s="847"/>
    </row>
    <row r="18" spans="1:28" s="1784" customFormat="1" ht="30.2" customHeight="1">
      <c r="A18" s="1889" t="s">
        <v>1037</v>
      </c>
      <c r="B18" s="1889"/>
      <c r="C18" s="1889"/>
      <c r="D18" s="1889"/>
      <c r="E18" s="1889"/>
      <c r="F18" s="1889"/>
      <c r="G18" s="1889"/>
      <c r="H18" s="1889"/>
      <c r="I18" s="1783"/>
      <c r="J18" s="1783"/>
      <c r="K18" s="1783"/>
      <c r="L18" s="1783"/>
      <c r="M18" s="1783"/>
      <c r="N18" s="1783"/>
      <c r="S18" s="1785"/>
    </row>
    <row r="19" spans="1:28" s="416" customFormat="1" ht="15.75" customHeight="1">
      <c r="A19" s="1885" t="s">
        <v>931</v>
      </c>
      <c r="B19" s="1885"/>
      <c r="C19" s="1885"/>
      <c r="D19" s="1885"/>
      <c r="E19" s="1885"/>
      <c r="F19" s="1885"/>
      <c r="G19" s="1885"/>
      <c r="H19" s="1885"/>
      <c r="I19" s="1779"/>
      <c r="J19" s="1779"/>
      <c r="K19" s="1779"/>
      <c r="L19" s="1779"/>
      <c r="M19" s="1779"/>
      <c r="N19" s="1779"/>
      <c r="S19" s="848"/>
    </row>
    <row r="20" spans="1:28" s="416" customFormat="1" ht="15.75" customHeight="1">
      <c r="A20" s="1888" t="s">
        <v>1038</v>
      </c>
      <c r="B20" s="1888"/>
      <c r="C20" s="1888"/>
      <c r="D20" s="1888"/>
      <c r="E20" s="1888"/>
      <c r="F20" s="1888"/>
      <c r="G20" s="1888"/>
      <c r="H20" s="1888"/>
      <c r="I20" s="719"/>
      <c r="J20" s="719"/>
      <c r="K20" s="719"/>
      <c r="L20" s="719"/>
      <c r="M20" s="719"/>
      <c r="N20" s="719"/>
      <c r="S20" s="848"/>
    </row>
    <row r="21" spans="1:28" ht="15" customHeight="1">
      <c r="A21" s="1884" t="s">
        <v>885</v>
      </c>
      <c r="B21" s="1884"/>
      <c r="C21" s="1884"/>
      <c r="D21" s="1884"/>
      <c r="E21" s="1884"/>
      <c r="F21" s="1884"/>
      <c r="G21" s="1884"/>
      <c r="H21" s="1884"/>
      <c r="I21" s="719"/>
      <c r="J21" s="719"/>
      <c r="K21" s="719"/>
      <c r="L21" s="719"/>
      <c r="M21" s="719"/>
      <c r="N21" s="719"/>
    </row>
    <row r="22" spans="1:28">
      <c r="A22" s="1884" t="s">
        <v>886</v>
      </c>
      <c r="B22" s="1884"/>
      <c r="C22" s="1884"/>
      <c r="D22" s="1884"/>
      <c r="E22" s="1884"/>
      <c r="F22" s="1884"/>
      <c r="G22" s="1884"/>
      <c r="H22" s="1884"/>
      <c r="I22" s="719"/>
      <c r="J22" s="719"/>
      <c r="K22" s="719"/>
      <c r="L22" s="719"/>
      <c r="M22" s="719"/>
      <c r="N22" s="719"/>
    </row>
    <row r="23" spans="1:28" ht="15.75" customHeight="1">
      <c r="A23" s="1884" t="s">
        <v>924</v>
      </c>
      <c r="B23" s="1884"/>
      <c r="C23" s="1884"/>
      <c r="D23" s="1884"/>
      <c r="E23" s="1884"/>
      <c r="F23" s="1884"/>
      <c r="G23" s="1884"/>
      <c r="H23" s="1884"/>
      <c r="I23" s="719"/>
      <c r="J23" s="719"/>
      <c r="K23" s="719"/>
      <c r="L23" s="719"/>
      <c r="M23" s="719"/>
      <c r="N23" s="719"/>
    </row>
    <row r="24" spans="1:28" s="416" customFormat="1" ht="15.75" customHeight="1">
      <c r="A24" s="1884" t="s">
        <v>887</v>
      </c>
      <c r="B24" s="1884"/>
      <c r="C24" s="1884"/>
      <c r="D24" s="1884"/>
      <c r="E24" s="1884"/>
      <c r="F24" s="1884"/>
      <c r="G24" s="1884"/>
      <c r="H24" s="1884"/>
      <c r="I24" s="719"/>
      <c r="J24" s="719"/>
      <c r="K24" s="719"/>
      <c r="L24" s="719"/>
      <c r="M24" s="719"/>
      <c r="N24" s="719"/>
    </row>
    <row r="25" spans="1:28" ht="15.75" customHeight="1">
      <c r="A25" s="1885" t="s">
        <v>932</v>
      </c>
      <c r="B25" s="1885"/>
      <c r="C25" s="1885"/>
      <c r="D25" s="1885"/>
      <c r="E25" s="1885"/>
      <c r="F25" s="1885"/>
      <c r="G25" s="1885"/>
      <c r="H25" s="1885"/>
      <c r="I25" s="1779"/>
      <c r="J25" s="1779"/>
      <c r="K25" s="1779"/>
      <c r="L25" s="1779"/>
      <c r="M25" s="1779"/>
      <c r="N25" s="1779"/>
    </row>
    <row r="26" spans="1:28" s="416" customFormat="1" ht="15.75" customHeight="1">
      <c r="A26" s="1886" t="s">
        <v>1041</v>
      </c>
      <c r="B26" s="1886"/>
      <c r="C26" s="1886"/>
      <c r="D26" s="1886"/>
      <c r="E26" s="1886"/>
      <c r="F26" s="1886"/>
      <c r="G26" s="1886"/>
      <c r="H26" s="1886"/>
      <c r="I26" s="872"/>
      <c r="J26" s="872"/>
      <c r="K26" s="872"/>
      <c r="L26" s="872"/>
      <c r="M26" s="872"/>
      <c r="N26" s="872"/>
    </row>
    <row r="27" spans="1:28" s="416" customFormat="1" ht="15.75" customHeight="1">
      <c r="A27" s="1886" t="s">
        <v>1040</v>
      </c>
      <c r="B27" s="1886"/>
      <c r="C27" s="1886"/>
      <c r="D27" s="1886"/>
      <c r="E27" s="1886"/>
      <c r="F27" s="1886"/>
      <c r="G27" s="1886"/>
      <c r="H27" s="1886"/>
      <c r="I27" s="872"/>
      <c r="J27" s="872"/>
      <c r="K27" s="872"/>
      <c r="L27" s="872"/>
      <c r="M27" s="872"/>
      <c r="N27" s="872"/>
    </row>
    <row r="28" spans="1:28" s="416" customFormat="1" ht="15.75" customHeight="1">
      <c r="A28" s="1886" t="s">
        <v>1039</v>
      </c>
      <c r="B28" s="1886"/>
      <c r="C28" s="1886"/>
      <c r="D28" s="1886"/>
      <c r="E28" s="1886"/>
      <c r="F28" s="1886"/>
      <c r="G28" s="1886"/>
      <c r="H28" s="1886"/>
      <c r="I28" s="872"/>
      <c r="J28" s="872"/>
      <c r="K28" s="872"/>
      <c r="L28" s="872"/>
      <c r="M28" s="872"/>
      <c r="N28" s="872"/>
    </row>
    <row r="29" spans="1:28" s="95" customFormat="1" ht="5.0999999999999996" customHeight="1" thickBot="1">
      <c r="B29" s="843"/>
      <c r="Q29" s="532"/>
      <c r="R29" s="532"/>
      <c r="S29" s="532"/>
      <c r="T29" s="532"/>
      <c r="U29" s="532"/>
      <c r="V29" s="532"/>
      <c r="W29" s="532"/>
      <c r="X29" s="532"/>
      <c r="Y29" s="532"/>
      <c r="Z29" s="532"/>
      <c r="AA29" s="532"/>
      <c r="AB29" s="532"/>
    </row>
    <row r="30" spans="1:28" s="854" customFormat="1" ht="30.2" customHeight="1" thickBot="1">
      <c r="A30" s="862" t="s">
        <v>530</v>
      </c>
    </row>
    <row r="31" spans="1:28" ht="6" customHeight="1">
      <c r="Q31" s="531"/>
      <c r="R31" s="531"/>
      <c r="S31" s="531"/>
      <c r="T31" s="531"/>
      <c r="U31" s="531"/>
      <c r="V31" s="531"/>
      <c r="W31" s="531"/>
      <c r="X31" s="531"/>
      <c r="Y31" s="531"/>
      <c r="Z31" s="531"/>
      <c r="AA31" s="531"/>
      <c r="AB31" s="531"/>
    </row>
    <row r="32" spans="1:28" s="678" customFormat="1">
      <c r="A32" s="1903" t="s">
        <v>888</v>
      </c>
      <c r="B32" s="1903"/>
      <c r="C32" s="1903"/>
      <c r="D32" s="1903"/>
      <c r="E32" s="1903"/>
      <c r="F32" s="1903"/>
      <c r="G32" s="1903"/>
      <c r="H32" s="1903"/>
      <c r="I32" s="1903"/>
      <c r="J32" s="1903"/>
      <c r="K32" s="1903"/>
      <c r="L32" s="1903"/>
      <c r="M32" s="1903"/>
      <c r="N32" s="1903"/>
    </row>
    <row r="33" spans="1:15" s="98" customFormat="1" ht="6.75" customHeight="1">
      <c r="A33" s="844"/>
      <c r="B33" s="845"/>
      <c r="C33" s="845"/>
      <c r="D33" s="845"/>
      <c r="E33" s="845"/>
      <c r="F33" s="845"/>
      <c r="G33" s="845"/>
      <c r="H33" s="845"/>
      <c r="I33" s="845"/>
      <c r="J33" s="845"/>
      <c r="K33" s="845"/>
      <c r="L33" s="845"/>
      <c r="M33" s="845"/>
      <c r="N33" s="845"/>
    </row>
    <row r="34" spans="1:15" s="98" customFormat="1" ht="15.75" customHeight="1">
      <c r="A34" s="844"/>
      <c r="B34" s="1897" t="s">
        <v>361</v>
      </c>
      <c r="C34" s="1897"/>
      <c r="D34" s="1897"/>
      <c r="E34" s="1897"/>
      <c r="F34" s="1897"/>
      <c r="G34" s="1897"/>
      <c r="H34" s="1897"/>
      <c r="I34" s="1897"/>
      <c r="J34" s="1897"/>
      <c r="K34" s="1897"/>
      <c r="L34" s="1897"/>
      <c r="M34" s="1897"/>
      <c r="N34" s="1897"/>
      <c r="O34" s="849"/>
    </row>
    <row r="35" spans="1:15" s="98" customFormat="1" ht="15.75" customHeight="1">
      <c r="A35" s="844"/>
      <c r="B35" s="845" t="s">
        <v>360</v>
      </c>
      <c r="C35" s="1897" t="s">
        <v>933</v>
      </c>
      <c r="D35" s="1897"/>
      <c r="E35" s="1897"/>
      <c r="F35" s="1897"/>
      <c r="G35" s="1897"/>
      <c r="H35" s="1897"/>
      <c r="I35" s="1897"/>
      <c r="J35" s="1897"/>
      <c r="K35" s="1897"/>
      <c r="L35" s="1897"/>
      <c r="M35" s="1897"/>
      <c r="N35" s="1897"/>
    </row>
    <row r="36" spans="1:15" s="98" customFormat="1" ht="15.75" customHeight="1">
      <c r="A36" s="844"/>
      <c r="B36" s="849" t="s">
        <v>889</v>
      </c>
      <c r="C36" s="1897" t="s">
        <v>934</v>
      </c>
      <c r="D36" s="1897"/>
      <c r="E36" s="1897"/>
      <c r="F36" s="1897"/>
      <c r="G36" s="1897"/>
      <c r="H36" s="1897"/>
      <c r="I36" s="1897"/>
      <c r="J36" s="1897"/>
      <c r="K36" s="1897"/>
      <c r="L36" s="1897"/>
      <c r="M36" s="1897"/>
      <c r="N36" s="1897"/>
    </row>
    <row r="37" spans="1:15" s="98" customFormat="1" ht="15.75" customHeight="1">
      <c r="A37" s="844"/>
      <c r="B37" s="849"/>
      <c r="C37" s="1897" t="s">
        <v>1071</v>
      </c>
      <c r="D37" s="1897"/>
      <c r="E37" s="1897"/>
      <c r="F37" s="1897"/>
      <c r="G37" s="1897"/>
      <c r="H37" s="1897"/>
      <c r="I37" s="1897"/>
      <c r="J37" s="1897"/>
      <c r="K37" s="1897"/>
      <c r="L37" s="1897"/>
      <c r="M37" s="1897"/>
      <c r="N37" s="1897"/>
    </row>
    <row r="38" spans="1:15" s="98" customFormat="1" ht="15.75" customHeight="1">
      <c r="A38" s="844"/>
      <c r="B38" s="849" t="s">
        <v>362</v>
      </c>
      <c r="C38" s="1897" t="s">
        <v>1149</v>
      </c>
      <c r="D38" s="1897"/>
      <c r="E38" s="1897"/>
      <c r="F38" s="1897"/>
      <c r="G38" s="1897"/>
      <c r="H38" s="1897"/>
      <c r="I38" s="1897"/>
      <c r="J38" s="1897"/>
      <c r="K38" s="1897"/>
      <c r="L38" s="1897"/>
      <c r="M38" s="1897"/>
      <c r="N38" s="1897"/>
    </row>
    <row r="39" spans="1:15" s="98" customFormat="1" ht="15.75" customHeight="1">
      <c r="A39" s="844"/>
      <c r="B39" s="849" t="s">
        <v>890</v>
      </c>
      <c r="C39" s="1814" t="s">
        <v>1188</v>
      </c>
      <c r="D39" s="1814"/>
      <c r="E39" s="1814"/>
      <c r="F39" s="1814"/>
      <c r="G39" s="1814"/>
      <c r="H39" s="1814"/>
      <c r="I39" s="1814"/>
      <c r="J39" s="1814"/>
      <c r="K39" s="1814"/>
      <c r="L39" s="1814"/>
      <c r="M39" s="1814"/>
      <c r="N39" s="1814"/>
    </row>
    <row r="40" spans="1:15" s="98" customFormat="1" ht="15.75" customHeight="1">
      <c r="A40" s="844"/>
      <c r="B40" s="259" t="s">
        <v>363</v>
      </c>
      <c r="C40" s="1897" t="s">
        <v>1072</v>
      </c>
      <c r="D40" s="1897"/>
      <c r="E40" s="1897"/>
      <c r="F40" s="1897"/>
      <c r="G40" s="1897"/>
      <c r="H40" s="1897"/>
      <c r="I40" s="1897"/>
      <c r="J40" s="1897"/>
      <c r="K40" s="1897"/>
      <c r="L40" s="1897"/>
      <c r="M40" s="1897"/>
      <c r="N40" s="1897"/>
    </row>
    <row r="41" spans="1:15" s="98" customFormat="1" ht="15.75" customHeight="1">
      <c r="A41" s="844"/>
      <c r="B41" s="259"/>
      <c r="C41" s="1899" t="s">
        <v>1078</v>
      </c>
      <c r="D41" s="1899"/>
      <c r="E41" s="1899"/>
      <c r="F41" s="1899"/>
      <c r="G41" s="1899"/>
      <c r="H41" s="1899"/>
      <c r="I41" s="1899"/>
      <c r="J41" s="1899"/>
      <c r="K41" s="1899"/>
      <c r="L41" s="1899"/>
      <c r="M41" s="1899"/>
      <c r="N41" s="1899"/>
    </row>
    <row r="42" spans="1:15" s="98" customFormat="1" ht="15.75" customHeight="1">
      <c r="A42" s="844"/>
      <c r="B42" s="259"/>
      <c r="C42" s="1899"/>
      <c r="D42" s="1899"/>
      <c r="E42" s="1899"/>
      <c r="F42" s="1899"/>
      <c r="G42" s="1899"/>
      <c r="H42" s="1899"/>
      <c r="I42" s="1899"/>
      <c r="J42" s="1899"/>
      <c r="K42" s="1899"/>
      <c r="L42" s="1899"/>
      <c r="M42" s="1899"/>
      <c r="N42" s="1899"/>
    </row>
    <row r="43" spans="1:15" s="98" customFormat="1" ht="15.75" customHeight="1">
      <c r="A43" s="844"/>
      <c r="B43" s="849" t="s">
        <v>364</v>
      </c>
      <c r="C43" s="1897" t="s">
        <v>891</v>
      </c>
      <c r="D43" s="1897"/>
      <c r="E43" s="1897"/>
      <c r="F43" s="1897"/>
      <c r="G43" s="1897"/>
      <c r="H43" s="1897"/>
      <c r="I43" s="1897"/>
      <c r="J43" s="1897"/>
      <c r="K43" s="1897"/>
      <c r="L43" s="1897"/>
      <c r="M43" s="1897"/>
      <c r="N43" s="1897"/>
    </row>
    <row r="44" spans="1:15" s="98" customFormat="1" ht="15.75" customHeight="1">
      <c r="A44" s="844"/>
      <c r="B44" s="845" t="s">
        <v>1184</v>
      </c>
      <c r="C44" s="1897" t="s">
        <v>892</v>
      </c>
      <c r="D44" s="1897"/>
      <c r="E44" s="1897"/>
      <c r="F44" s="1897"/>
      <c r="G44" s="1897"/>
      <c r="H44" s="1897"/>
      <c r="I44" s="1897"/>
      <c r="J44" s="1897"/>
      <c r="K44" s="1897"/>
      <c r="L44" s="1897"/>
      <c r="M44" s="1897"/>
      <c r="N44" s="1897"/>
    </row>
    <row r="45" spans="1:15" s="98" customFormat="1" ht="15.75" customHeight="1">
      <c r="A45" s="844"/>
      <c r="B45" s="845"/>
      <c r="C45" s="1897" t="s">
        <v>893</v>
      </c>
      <c r="D45" s="1897"/>
      <c r="E45" s="1897"/>
      <c r="F45" s="1897"/>
      <c r="G45" s="1897"/>
      <c r="H45" s="1897"/>
      <c r="I45" s="1897"/>
      <c r="J45" s="1897"/>
      <c r="K45" s="1897"/>
      <c r="L45" s="1897"/>
      <c r="M45" s="1897"/>
      <c r="N45" s="1897"/>
    </row>
    <row r="46" spans="1:15" s="98" customFormat="1" ht="15.75" customHeight="1">
      <c r="A46" s="844"/>
      <c r="B46" s="849" t="s">
        <v>375</v>
      </c>
      <c r="C46" s="1897" t="s">
        <v>376</v>
      </c>
      <c r="D46" s="1897"/>
      <c r="E46" s="1897"/>
      <c r="F46" s="1897"/>
      <c r="G46" s="1897"/>
      <c r="H46" s="1897"/>
      <c r="I46" s="1897"/>
      <c r="J46" s="1897"/>
      <c r="K46" s="1897"/>
      <c r="L46" s="1897"/>
      <c r="M46" s="1897"/>
      <c r="N46" s="1897"/>
    </row>
    <row r="47" spans="1:15" s="98" customFormat="1" ht="15.75" customHeight="1">
      <c r="A47" s="844"/>
      <c r="B47" s="849" t="s">
        <v>1150</v>
      </c>
      <c r="C47" s="1897" t="s">
        <v>935</v>
      </c>
      <c r="D47" s="1897"/>
      <c r="E47" s="1897"/>
      <c r="F47" s="1897"/>
      <c r="G47" s="1897"/>
      <c r="H47" s="1897"/>
      <c r="I47" s="1897"/>
      <c r="J47" s="1897"/>
      <c r="K47" s="1897"/>
      <c r="L47" s="1897"/>
      <c r="M47" s="1897"/>
      <c r="N47" s="1897"/>
    </row>
    <row r="48" spans="1:15" s="98" customFormat="1" ht="15.75" customHeight="1">
      <c r="A48" s="844"/>
      <c r="C48" s="1897" t="s">
        <v>894</v>
      </c>
      <c r="D48" s="1897"/>
      <c r="E48" s="1897"/>
      <c r="F48" s="1897"/>
      <c r="G48" s="1897"/>
      <c r="H48" s="1897"/>
      <c r="I48" s="1897"/>
      <c r="J48" s="1897"/>
      <c r="K48" s="1897"/>
      <c r="L48" s="1897"/>
      <c r="M48" s="1897"/>
      <c r="N48" s="1897"/>
    </row>
    <row r="49" spans="1:15" s="98" customFormat="1" ht="15.75" customHeight="1">
      <c r="A49" s="844"/>
      <c r="B49" s="98" t="s">
        <v>1185</v>
      </c>
      <c r="C49" s="1786" t="s">
        <v>1151</v>
      </c>
      <c r="D49" s="1786"/>
      <c r="E49" s="1786"/>
      <c r="F49" s="1786"/>
      <c r="G49" s="1786"/>
      <c r="H49" s="1786"/>
      <c r="I49" s="1786"/>
      <c r="J49" s="1786"/>
      <c r="K49" s="1786"/>
      <c r="L49" s="1786"/>
      <c r="M49" s="1786"/>
      <c r="N49" s="1786"/>
    </row>
    <row r="50" spans="1:15" s="98" customFormat="1" ht="6" customHeight="1">
      <c r="B50" s="246"/>
    </row>
    <row r="51" spans="1:15" s="678" customFormat="1">
      <c r="A51" s="1903" t="s">
        <v>1073</v>
      </c>
      <c r="B51" s="1903"/>
      <c r="C51" s="1903"/>
      <c r="D51" s="1903"/>
      <c r="E51" s="1903"/>
      <c r="F51" s="1903"/>
      <c r="G51" s="1903"/>
      <c r="H51" s="1903"/>
      <c r="I51" s="1903"/>
      <c r="J51" s="1903"/>
      <c r="K51" s="1903"/>
      <c r="L51" s="1903"/>
      <c r="M51" s="1903"/>
      <c r="N51" s="1903"/>
    </row>
    <row r="52" spans="1:15" s="98" customFormat="1" ht="6.75" customHeight="1">
      <c r="B52" s="246"/>
    </row>
    <row r="53" spans="1:15" s="98" customFormat="1" ht="15.75" customHeight="1">
      <c r="B53" s="1897" t="s">
        <v>361</v>
      </c>
      <c r="C53" s="1897"/>
      <c r="D53" s="1897"/>
      <c r="E53" s="1897"/>
      <c r="F53" s="1897"/>
      <c r="G53" s="1897"/>
      <c r="H53" s="1897"/>
      <c r="I53" s="1897"/>
      <c r="J53" s="1897"/>
      <c r="K53" s="1897"/>
      <c r="L53" s="1897"/>
      <c r="M53" s="1897"/>
      <c r="N53" s="1897"/>
      <c r="O53" s="845"/>
    </row>
    <row r="54" spans="1:15" s="98" customFormat="1" ht="15.75" customHeight="1">
      <c r="B54" s="845" t="s">
        <v>1074</v>
      </c>
      <c r="C54" s="1897" t="s">
        <v>350</v>
      </c>
      <c r="D54" s="1897"/>
      <c r="E54" s="1897"/>
      <c r="F54" s="1897"/>
      <c r="G54" s="1897"/>
      <c r="H54" s="1897"/>
      <c r="I54" s="1897"/>
      <c r="J54" s="1897"/>
      <c r="K54" s="1897"/>
      <c r="L54" s="1897"/>
      <c r="M54" s="1897"/>
      <c r="N54" s="1897"/>
      <c r="O54" s="845"/>
    </row>
    <row r="55" spans="1:15" s="98" customFormat="1" ht="15.75" customHeight="1">
      <c r="B55" s="845" t="s">
        <v>351</v>
      </c>
      <c r="C55" s="1897" t="s">
        <v>1075</v>
      </c>
      <c r="D55" s="1897"/>
      <c r="E55" s="1897"/>
      <c r="F55" s="1897"/>
      <c r="G55" s="1897"/>
      <c r="H55" s="1897"/>
      <c r="I55" s="1897"/>
      <c r="J55" s="1897"/>
      <c r="K55" s="1897"/>
      <c r="L55" s="1897"/>
      <c r="M55" s="1897"/>
      <c r="N55" s="1897"/>
      <c r="O55" s="447"/>
    </row>
    <row r="56" spans="1:15" s="98" customFormat="1" ht="31.7" customHeight="1">
      <c r="B56" s="845"/>
      <c r="C56" s="1899" t="s">
        <v>1076</v>
      </c>
      <c r="D56" s="1899"/>
      <c r="E56" s="1899"/>
      <c r="F56" s="1899"/>
      <c r="G56" s="1899"/>
      <c r="H56" s="1899"/>
      <c r="I56" s="1899"/>
      <c r="J56" s="1899"/>
      <c r="K56" s="1899"/>
      <c r="L56" s="1899"/>
      <c r="M56" s="1899"/>
      <c r="N56" s="1899"/>
      <c r="O56" s="447"/>
    </row>
    <row r="57" spans="1:15" s="98" customFormat="1" ht="6.75" customHeight="1">
      <c r="B57" s="246"/>
    </row>
    <row r="58" spans="1:15" s="678" customFormat="1">
      <c r="A58" s="1903" t="s">
        <v>982</v>
      </c>
      <c r="B58" s="1903"/>
      <c r="C58" s="1903"/>
      <c r="D58" s="1903"/>
      <c r="E58" s="1903"/>
      <c r="F58" s="1903"/>
      <c r="G58" s="1903"/>
      <c r="H58" s="1903"/>
      <c r="I58" s="1903"/>
      <c r="J58" s="1903"/>
      <c r="K58" s="1903"/>
      <c r="L58" s="1903"/>
      <c r="M58" s="1903"/>
      <c r="N58" s="1903"/>
    </row>
    <row r="59" spans="1:15" s="98" customFormat="1" ht="6.75" customHeight="1">
      <c r="A59" s="844"/>
      <c r="B59" s="845"/>
      <c r="C59" s="845"/>
    </row>
    <row r="60" spans="1:15" s="98" customFormat="1" ht="15.75" customHeight="1">
      <c r="A60" s="844"/>
      <c r="B60" s="1897" t="s">
        <v>361</v>
      </c>
      <c r="C60" s="1897"/>
      <c r="D60" s="1897"/>
      <c r="E60" s="1897"/>
      <c r="F60" s="1897"/>
      <c r="G60" s="1897"/>
      <c r="H60" s="1897"/>
      <c r="I60" s="1897"/>
      <c r="J60" s="1897"/>
      <c r="K60" s="1897"/>
      <c r="L60" s="1897"/>
      <c r="M60" s="1897"/>
      <c r="N60" s="1897"/>
    </row>
    <row r="61" spans="1:15" s="530" customFormat="1" ht="31.7" customHeight="1">
      <c r="A61" s="1761"/>
      <c r="B61" s="531" t="s">
        <v>895</v>
      </c>
      <c r="C61" s="1899" t="s">
        <v>1087</v>
      </c>
      <c r="D61" s="1899"/>
      <c r="E61" s="1899"/>
      <c r="F61" s="1899"/>
      <c r="G61" s="1899"/>
      <c r="H61" s="1899"/>
      <c r="I61" s="1899"/>
      <c r="J61" s="1899"/>
      <c r="K61" s="1899"/>
      <c r="L61" s="1899"/>
      <c r="M61" s="1899"/>
      <c r="N61" s="1899"/>
      <c r="O61" s="840"/>
    </row>
    <row r="62" spans="1:15" s="98" customFormat="1" ht="15.75" customHeight="1">
      <c r="A62" s="844"/>
      <c r="B62" s="849"/>
      <c r="C62" s="859"/>
      <c r="D62" s="1897" t="s">
        <v>925</v>
      </c>
      <c r="E62" s="1897"/>
      <c r="F62" s="1897"/>
      <c r="G62" s="1897"/>
      <c r="H62" s="1897"/>
      <c r="I62" s="1897"/>
      <c r="J62" s="1897"/>
      <c r="K62" s="1897"/>
      <c r="L62" s="1897"/>
      <c r="M62" s="1897"/>
      <c r="N62" s="1897"/>
      <c r="O62" s="840"/>
    </row>
    <row r="63" spans="1:15" s="98" customFormat="1" ht="15.75" customHeight="1">
      <c r="A63" s="844"/>
      <c r="B63" s="849"/>
      <c r="C63" s="859"/>
      <c r="D63" s="1897" t="s">
        <v>936</v>
      </c>
      <c r="E63" s="1897"/>
      <c r="F63" s="1897"/>
      <c r="G63" s="1897"/>
      <c r="H63" s="1897"/>
      <c r="I63" s="1897"/>
      <c r="J63" s="1897"/>
      <c r="K63" s="1897"/>
      <c r="L63" s="1897"/>
      <c r="M63" s="1897"/>
      <c r="N63" s="1897"/>
      <c r="O63" s="840"/>
    </row>
    <row r="64" spans="1:15" s="98" customFormat="1" ht="15.75" customHeight="1">
      <c r="A64" s="844"/>
      <c r="B64" s="849"/>
      <c r="C64" s="859"/>
      <c r="D64" s="1897" t="s">
        <v>1077</v>
      </c>
      <c r="E64" s="1897"/>
      <c r="F64" s="1897"/>
      <c r="G64" s="1897"/>
      <c r="H64" s="1897"/>
      <c r="I64" s="1897"/>
      <c r="J64" s="1897"/>
      <c r="K64" s="1897"/>
      <c r="L64" s="1897"/>
      <c r="M64" s="1897"/>
      <c r="N64" s="1897"/>
      <c r="O64" s="840"/>
    </row>
    <row r="65" spans="1:18" s="845" customFormat="1" ht="15.75" customHeight="1">
      <c r="A65" s="844"/>
      <c r="B65" s="849" t="s">
        <v>896</v>
      </c>
      <c r="C65" s="1898" t="s">
        <v>1079</v>
      </c>
      <c r="D65" s="1898"/>
      <c r="E65" s="1898"/>
      <c r="F65" s="1898"/>
      <c r="G65" s="1898"/>
      <c r="H65" s="1898"/>
      <c r="I65" s="1898"/>
      <c r="J65" s="1898"/>
      <c r="K65" s="1898"/>
      <c r="L65" s="1898"/>
      <c r="M65" s="1898"/>
      <c r="N65" s="1898"/>
      <c r="O65" s="447"/>
    </row>
    <row r="66" spans="1:18" s="845" customFormat="1" ht="15.75" customHeight="1">
      <c r="A66" s="844"/>
      <c r="B66" s="849"/>
      <c r="C66" s="1898"/>
      <c r="D66" s="1898"/>
      <c r="E66" s="1898"/>
      <c r="F66" s="1898"/>
      <c r="G66" s="1898"/>
      <c r="H66" s="1898"/>
      <c r="I66" s="1898"/>
      <c r="J66" s="1898"/>
      <c r="K66" s="1898"/>
      <c r="L66" s="1898"/>
      <c r="M66" s="1898"/>
      <c r="N66" s="1898"/>
      <c r="O66" s="447"/>
    </row>
    <row r="67" spans="1:18" s="98" customFormat="1" ht="15.75" customHeight="1">
      <c r="A67" s="844"/>
      <c r="B67" s="849" t="s">
        <v>1029</v>
      </c>
      <c r="C67" s="1897" t="s">
        <v>1080</v>
      </c>
      <c r="D67" s="1897"/>
      <c r="E67" s="1897"/>
      <c r="F67" s="1897"/>
      <c r="G67" s="1897"/>
      <c r="H67" s="1897"/>
      <c r="I67" s="1897"/>
      <c r="J67" s="1897"/>
      <c r="K67" s="1897"/>
      <c r="L67" s="1897"/>
      <c r="M67" s="1897"/>
      <c r="N67" s="1897"/>
      <c r="O67" s="840"/>
    </row>
    <row r="68" spans="1:18" s="98" customFormat="1" ht="15.75" customHeight="1">
      <c r="A68" s="844"/>
      <c r="B68" s="849"/>
      <c r="C68" s="1897" t="s">
        <v>937</v>
      </c>
      <c r="D68" s="1897"/>
      <c r="E68" s="1897"/>
      <c r="F68" s="1897"/>
      <c r="G68" s="1897"/>
      <c r="H68" s="1897"/>
      <c r="I68" s="1897"/>
      <c r="J68" s="1897"/>
      <c r="K68" s="1897"/>
      <c r="L68" s="1897"/>
      <c r="M68" s="1897"/>
      <c r="N68" s="1897"/>
      <c r="O68" s="840"/>
    </row>
    <row r="69" spans="1:18" s="98" customFormat="1" ht="15.75" customHeight="1">
      <c r="A69" s="844"/>
      <c r="C69" s="1897" t="s">
        <v>897</v>
      </c>
      <c r="D69" s="1897"/>
      <c r="E69" s="1897"/>
      <c r="F69" s="1897"/>
      <c r="G69" s="1897"/>
      <c r="H69" s="1897"/>
      <c r="I69" s="1897"/>
      <c r="J69" s="1897"/>
      <c r="K69" s="1897"/>
      <c r="L69" s="1897"/>
      <c r="M69" s="1897"/>
      <c r="N69" s="1897"/>
      <c r="O69" s="840"/>
    </row>
    <row r="70" spans="1:18" s="98" customFormat="1" ht="5.0999999999999996" customHeight="1"/>
    <row r="71" spans="1:18" s="678" customFormat="1" ht="15.75" customHeight="1">
      <c r="A71" s="1765" t="s">
        <v>898</v>
      </c>
      <c r="B71" s="1765"/>
      <c r="C71" s="1765"/>
      <c r="D71" s="1765"/>
      <c r="E71" s="1765"/>
      <c r="F71" s="1765"/>
      <c r="G71" s="1765"/>
      <c r="H71" s="1765"/>
      <c r="I71" s="1765"/>
      <c r="J71" s="1765"/>
      <c r="K71" s="1765"/>
      <c r="L71" s="1765"/>
      <c r="M71" s="1765"/>
      <c r="N71" s="1765"/>
    </row>
    <row r="72" spans="1:18" s="98" customFormat="1" ht="5.0999999999999996" customHeight="1">
      <c r="A72" s="844"/>
      <c r="B72" s="845"/>
      <c r="C72" s="845"/>
    </row>
    <row r="73" spans="1:18" s="98" customFormat="1" ht="15.75" customHeight="1">
      <c r="A73" s="844"/>
      <c r="B73" s="1897" t="s">
        <v>361</v>
      </c>
      <c r="C73" s="1897"/>
      <c r="D73" s="1897"/>
      <c r="E73" s="1897"/>
      <c r="F73" s="1897"/>
      <c r="G73" s="1897"/>
      <c r="H73" s="1897"/>
      <c r="I73" s="1897"/>
      <c r="J73" s="1897"/>
      <c r="K73" s="1897"/>
      <c r="L73" s="1897"/>
      <c r="M73" s="1897"/>
      <c r="N73" s="1897"/>
    </row>
    <row r="74" spans="1:18" s="98" customFormat="1" ht="15.75" customHeight="1">
      <c r="A74" s="844"/>
      <c r="B74" s="849" t="s">
        <v>899</v>
      </c>
      <c r="C74" s="1900" t="s">
        <v>1081</v>
      </c>
      <c r="D74" s="1900"/>
      <c r="E74" s="1900"/>
      <c r="F74" s="1900"/>
      <c r="G74" s="1900"/>
      <c r="H74" s="1900"/>
      <c r="I74" s="1900"/>
      <c r="J74" s="1900"/>
      <c r="K74" s="1900"/>
      <c r="L74" s="1900"/>
      <c r="M74" s="1900"/>
      <c r="N74" s="1900"/>
      <c r="O74" s="841"/>
      <c r="R74" s="529"/>
    </row>
    <row r="75" spans="1:18" s="98" customFormat="1" ht="15.75" customHeight="1">
      <c r="A75" s="844"/>
      <c r="B75" s="849"/>
      <c r="D75" s="1900" t="s">
        <v>900</v>
      </c>
      <c r="E75" s="1900"/>
      <c r="F75" s="1900"/>
      <c r="G75" s="1900"/>
      <c r="H75" s="1900"/>
      <c r="I75" s="1900"/>
      <c r="J75" s="1900"/>
      <c r="K75" s="1900"/>
      <c r="L75" s="1900"/>
      <c r="M75" s="1900"/>
      <c r="N75" s="1900"/>
      <c r="O75" s="841"/>
      <c r="R75" s="529"/>
    </row>
    <row r="76" spans="1:18" s="98" customFormat="1" ht="15.75" customHeight="1">
      <c r="A76" s="844"/>
      <c r="B76" s="849"/>
      <c r="D76" s="1900" t="s">
        <v>1082</v>
      </c>
      <c r="E76" s="1900"/>
      <c r="F76" s="1900"/>
      <c r="G76" s="1900"/>
      <c r="H76" s="1900"/>
      <c r="I76" s="1900"/>
      <c r="J76" s="1900"/>
      <c r="K76" s="1900"/>
      <c r="L76" s="1900"/>
      <c r="M76" s="1900"/>
      <c r="N76" s="1900"/>
      <c r="O76" s="841"/>
      <c r="R76" s="529"/>
    </row>
    <row r="77" spans="1:18" s="98" customFormat="1" ht="15.75" customHeight="1">
      <c r="A77" s="844"/>
      <c r="B77" s="849" t="s">
        <v>901</v>
      </c>
      <c r="C77" s="1900" t="s">
        <v>1083</v>
      </c>
      <c r="D77" s="1900"/>
      <c r="E77" s="1900"/>
      <c r="F77" s="1900"/>
      <c r="G77" s="1900"/>
      <c r="H77" s="1900"/>
      <c r="I77" s="1900"/>
      <c r="J77" s="1900"/>
      <c r="K77" s="1900"/>
      <c r="L77" s="1900"/>
      <c r="M77" s="1900"/>
      <c r="N77" s="1900"/>
      <c r="O77" s="841"/>
      <c r="R77" s="529"/>
    </row>
    <row r="78" spans="1:18" s="98" customFormat="1" ht="31.7" customHeight="1">
      <c r="A78" s="844"/>
      <c r="B78" s="849"/>
      <c r="C78" s="1901" t="s">
        <v>1089</v>
      </c>
      <c r="D78" s="1901"/>
      <c r="E78" s="1901"/>
      <c r="F78" s="1901"/>
      <c r="G78" s="1901"/>
      <c r="H78" s="1901"/>
      <c r="I78" s="1901"/>
      <c r="J78" s="1901"/>
      <c r="K78" s="1901"/>
      <c r="L78" s="1901"/>
      <c r="M78" s="1901"/>
      <c r="N78" s="1901"/>
      <c r="O78" s="841"/>
      <c r="R78" s="529"/>
    </row>
    <row r="79" spans="1:18" s="98" customFormat="1" ht="15.75" customHeight="1">
      <c r="A79" s="844"/>
      <c r="B79" s="849"/>
      <c r="C79" s="1900" t="s">
        <v>938</v>
      </c>
      <c r="D79" s="1900"/>
      <c r="E79" s="1900"/>
      <c r="F79" s="1900"/>
      <c r="G79" s="1900"/>
      <c r="H79" s="1900"/>
      <c r="I79" s="1900"/>
      <c r="J79" s="1900"/>
      <c r="K79" s="1900"/>
      <c r="L79" s="1900"/>
      <c r="M79" s="1900"/>
      <c r="N79" s="1900"/>
      <c r="O79" s="841"/>
      <c r="R79" s="529"/>
    </row>
    <row r="80" spans="1:18" s="98" customFormat="1" ht="31.7" customHeight="1">
      <c r="A80" s="844"/>
      <c r="B80" s="849"/>
      <c r="C80" s="1901" t="s">
        <v>1117</v>
      </c>
      <c r="D80" s="1901"/>
      <c r="E80" s="1901"/>
      <c r="F80" s="1901"/>
      <c r="G80" s="1901"/>
      <c r="H80" s="1901"/>
      <c r="I80" s="1901"/>
      <c r="J80" s="1901"/>
      <c r="K80" s="1901"/>
      <c r="L80" s="1901"/>
      <c r="M80" s="1901"/>
      <c r="N80" s="1901"/>
      <c r="O80" s="841"/>
      <c r="R80" s="529"/>
    </row>
    <row r="81" spans="1:18" s="98" customFormat="1" ht="15.75" customHeight="1">
      <c r="A81" s="844"/>
      <c r="B81" s="849"/>
      <c r="C81" s="1900" t="s">
        <v>939</v>
      </c>
      <c r="D81" s="1900"/>
      <c r="E81" s="1900"/>
      <c r="F81" s="1900"/>
      <c r="G81" s="1900"/>
      <c r="H81" s="1900"/>
      <c r="I81" s="1900"/>
      <c r="J81" s="1900"/>
      <c r="K81" s="1900"/>
      <c r="L81" s="1900"/>
      <c r="M81" s="1900"/>
      <c r="N81" s="1900"/>
      <c r="O81" s="841"/>
      <c r="R81" s="529"/>
    </row>
    <row r="82" spans="1:18" s="530" customFormat="1" ht="31.7" customHeight="1">
      <c r="A82" s="1761"/>
      <c r="B82" s="531"/>
      <c r="C82" s="1901" t="s">
        <v>1084</v>
      </c>
      <c r="D82" s="1901"/>
      <c r="E82" s="1901"/>
      <c r="F82" s="1901"/>
      <c r="G82" s="1901"/>
      <c r="H82" s="1901"/>
      <c r="I82" s="1901"/>
      <c r="J82" s="1901"/>
      <c r="K82" s="1901"/>
      <c r="L82" s="1901"/>
      <c r="M82" s="1901"/>
      <c r="N82" s="1901"/>
      <c r="O82" s="1722"/>
      <c r="R82" s="1762"/>
    </row>
    <row r="83" spans="1:18" s="98" customFormat="1" ht="15.75">
      <c r="A83" s="844"/>
      <c r="B83" s="849" t="s">
        <v>365</v>
      </c>
      <c r="C83" s="1897" t="s">
        <v>1090</v>
      </c>
      <c r="D83" s="1897"/>
      <c r="E83" s="1897"/>
      <c r="F83" s="1897"/>
      <c r="G83" s="1897"/>
      <c r="H83" s="1897"/>
      <c r="I83" s="1897"/>
      <c r="J83" s="1897"/>
      <c r="K83" s="1897"/>
      <c r="L83" s="1897"/>
      <c r="M83" s="1897"/>
      <c r="N83" s="1897"/>
      <c r="O83" s="840"/>
      <c r="R83" s="529"/>
    </row>
    <row r="84" spans="1:18" s="98" customFormat="1" ht="15" customHeight="1">
      <c r="A84" s="844"/>
      <c r="B84" s="849"/>
      <c r="C84" s="1899" t="s">
        <v>1186</v>
      </c>
      <c r="D84" s="1899"/>
      <c r="E84" s="1899"/>
      <c r="F84" s="1899"/>
      <c r="G84" s="1899"/>
      <c r="H84" s="1899"/>
      <c r="I84" s="1899"/>
      <c r="J84" s="1899"/>
      <c r="K84" s="1899"/>
      <c r="L84" s="1899"/>
      <c r="M84" s="1899"/>
      <c r="N84" s="1899"/>
      <c r="O84" s="840"/>
      <c r="R84" s="529"/>
    </row>
    <row r="85" spans="1:18" s="98" customFormat="1" ht="15.75" customHeight="1">
      <c r="A85" s="844"/>
      <c r="B85" s="849"/>
      <c r="C85" s="1899"/>
      <c r="D85" s="1899"/>
      <c r="E85" s="1899"/>
      <c r="F85" s="1899"/>
      <c r="G85" s="1899"/>
      <c r="H85" s="1899"/>
      <c r="I85" s="1899"/>
      <c r="J85" s="1899"/>
      <c r="K85" s="1899"/>
      <c r="L85" s="1899"/>
      <c r="M85" s="1899"/>
      <c r="N85" s="1899"/>
      <c r="O85" s="840"/>
      <c r="R85" s="529"/>
    </row>
    <row r="86" spans="1:18" s="530" customFormat="1" ht="31.7" customHeight="1">
      <c r="A86" s="1761"/>
      <c r="B86" s="531" t="s">
        <v>366</v>
      </c>
      <c r="C86" s="1899" t="s">
        <v>1187</v>
      </c>
      <c r="D86" s="1899"/>
      <c r="E86" s="1899"/>
      <c r="F86" s="1899"/>
      <c r="G86" s="1899"/>
      <c r="H86" s="1899"/>
      <c r="I86" s="1899"/>
      <c r="J86" s="1899"/>
      <c r="K86" s="1899"/>
      <c r="L86" s="1899"/>
      <c r="M86" s="1899"/>
      <c r="N86" s="1899"/>
      <c r="O86" s="840"/>
      <c r="R86" s="1762"/>
    </row>
    <row r="87" spans="1:18" s="98" customFormat="1" ht="15.75" customHeight="1">
      <c r="A87" s="844"/>
      <c r="B87" s="849"/>
      <c r="C87" s="1900" t="s">
        <v>1085</v>
      </c>
      <c r="D87" s="1900"/>
      <c r="E87" s="1900"/>
      <c r="F87" s="1900"/>
      <c r="G87" s="1900"/>
      <c r="H87" s="1900"/>
      <c r="I87" s="1900"/>
      <c r="J87" s="1900"/>
      <c r="K87" s="1900"/>
      <c r="L87" s="1900"/>
      <c r="M87" s="1900"/>
      <c r="N87" s="1900"/>
      <c r="O87" s="840"/>
      <c r="R87" s="529"/>
    </row>
    <row r="88" spans="1:18" s="98" customFormat="1" ht="15.75" customHeight="1">
      <c r="A88" s="844"/>
      <c r="B88" s="849"/>
      <c r="C88" s="1900" t="s">
        <v>1192</v>
      </c>
      <c r="D88" s="1900"/>
      <c r="E88" s="1900"/>
      <c r="F88" s="1900"/>
      <c r="G88" s="1900"/>
      <c r="H88" s="1900"/>
      <c r="I88" s="1900"/>
      <c r="J88" s="1900"/>
      <c r="K88" s="1900"/>
      <c r="L88" s="1900"/>
      <c r="M88" s="1900"/>
      <c r="N88" s="1900"/>
      <c r="O88" s="840"/>
      <c r="R88" s="529"/>
    </row>
    <row r="89" spans="1:18" s="98" customFormat="1" ht="15.75" customHeight="1">
      <c r="A89" s="844"/>
      <c r="B89" s="849"/>
      <c r="D89" s="1897" t="s">
        <v>1086</v>
      </c>
      <c r="E89" s="1897"/>
      <c r="F89" s="1897"/>
      <c r="G89" s="1897"/>
      <c r="H89" s="1897"/>
      <c r="I89" s="1897"/>
      <c r="J89" s="1897"/>
      <c r="K89" s="1897"/>
      <c r="L89" s="1897"/>
      <c r="M89" s="1897"/>
      <c r="N89" s="1897"/>
      <c r="O89" s="840"/>
      <c r="R89" s="529"/>
    </row>
    <row r="90" spans="1:18" s="98" customFormat="1" ht="29.25" customHeight="1">
      <c r="A90" s="844"/>
      <c r="B90" s="849"/>
      <c r="D90" s="1901" t="s">
        <v>1198</v>
      </c>
      <c r="E90" s="1901"/>
      <c r="F90" s="1901"/>
      <c r="G90" s="1901"/>
      <c r="H90" s="1901"/>
      <c r="I90" s="1901"/>
      <c r="J90" s="1901"/>
      <c r="K90" s="1901"/>
      <c r="L90" s="1901"/>
      <c r="M90" s="1901"/>
      <c r="N90" s="1901"/>
      <c r="O90" s="840"/>
      <c r="R90" s="529"/>
    </row>
    <row r="91" spans="1:18" s="98" customFormat="1" ht="14.25" customHeight="1">
      <c r="A91" s="844"/>
      <c r="B91" s="849"/>
      <c r="D91" s="1901"/>
      <c r="E91" s="1901"/>
      <c r="F91" s="1901"/>
      <c r="G91" s="1901"/>
      <c r="H91" s="1901"/>
      <c r="I91" s="1901"/>
      <c r="J91" s="1901"/>
      <c r="K91" s="1901"/>
      <c r="L91" s="1901"/>
      <c r="M91" s="1901"/>
      <c r="N91" s="1901"/>
      <c r="O91" s="840"/>
      <c r="R91" s="529"/>
    </row>
    <row r="92" spans="1:18" s="98" customFormat="1" ht="15.75" customHeight="1">
      <c r="A92" s="844"/>
      <c r="B92" s="849"/>
      <c r="D92" s="1900" t="s">
        <v>940</v>
      </c>
      <c r="E92" s="1900"/>
      <c r="F92" s="1900"/>
      <c r="G92" s="1900"/>
      <c r="H92" s="1900"/>
      <c r="I92" s="1900"/>
      <c r="J92" s="1900"/>
      <c r="K92" s="1900"/>
      <c r="L92" s="1900"/>
      <c r="M92" s="1900"/>
      <c r="N92" s="1900"/>
      <c r="O92" s="840"/>
      <c r="R92" s="529"/>
    </row>
    <row r="93" spans="1:18" s="530" customFormat="1" ht="31.7" customHeight="1">
      <c r="A93" s="1761"/>
      <c r="B93" s="531"/>
      <c r="C93" s="1901" t="s">
        <v>1088</v>
      </c>
      <c r="D93" s="1901"/>
      <c r="E93" s="1901"/>
      <c r="F93" s="1901"/>
      <c r="G93" s="1901"/>
      <c r="H93" s="1901"/>
      <c r="I93" s="1901"/>
      <c r="J93" s="1901"/>
      <c r="K93" s="1901"/>
      <c r="L93" s="1901"/>
      <c r="M93" s="1901"/>
      <c r="N93" s="1901"/>
      <c r="O93" s="840"/>
      <c r="R93" s="1762"/>
    </row>
    <row r="94" spans="1:18" s="98" customFormat="1" ht="47.25" customHeight="1">
      <c r="A94" s="844"/>
      <c r="B94" s="849" t="s">
        <v>367</v>
      </c>
      <c r="C94" s="1899" t="s">
        <v>1193</v>
      </c>
      <c r="D94" s="1899"/>
      <c r="E94" s="1899"/>
      <c r="F94" s="1899"/>
      <c r="G94" s="1899"/>
      <c r="H94" s="1899"/>
      <c r="I94" s="1899"/>
      <c r="J94" s="1899"/>
      <c r="K94" s="1899"/>
      <c r="L94" s="1899"/>
      <c r="M94" s="1899"/>
      <c r="N94" s="1899"/>
      <c r="O94" s="840"/>
      <c r="R94" s="529"/>
    </row>
    <row r="95" spans="1:18" s="98" customFormat="1" ht="5.0999999999999996" customHeight="1">
      <c r="B95" s="246"/>
    </row>
    <row r="96" spans="1:18" s="678" customFormat="1" ht="15.75" customHeight="1">
      <c r="A96" s="1903" t="s">
        <v>902</v>
      </c>
      <c r="B96" s="1903"/>
      <c r="C96" s="1903"/>
      <c r="D96" s="1903"/>
      <c r="E96" s="1903"/>
      <c r="F96" s="1903"/>
      <c r="G96" s="1903"/>
      <c r="H96" s="1903"/>
      <c r="I96" s="1903"/>
      <c r="J96" s="1903"/>
      <c r="K96" s="1903"/>
      <c r="L96" s="1903"/>
      <c r="M96" s="1903"/>
      <c r="N96" s="1903"/>
    </row>
    <row r="97" spans="1:15" s="98" customFormat="1" ht="5.0999999999999996" customHeight="1">
      <c r="A97" s="246"/>
    </row>
    <row r="98" spans="1:15" s="98" customFormat="1" ht="15.75" customHeight="1">
      <c r="A98" s="246"/>
      <c r="B98" s="1897" t="s">
        <v>776</v>
      </c>
      <c r="C98" s="1897"/>
      <c r="D98" s="1897"/>
      <c r="E98" s="1897"/>
      <c r="F98" s="1897"/>
      <c r="G98" s="1897"/>
      <c r="H98" s="1897"/>
      <c r="I98" s="1897"/>
      <c r="J98" s="1897"/>
      <c r="K98" s="1897"/>
      <c r="L98" s="1897"/>
      <c r="M98" s="1897"/>
      <c r="N98" s="1897"/>
      <c r="O98" s="840"/>
    </row>
    <row r="99" spans="1:15" s="98" customFormat="1" ht="15.75" customHeight="1">
      <c r="A99" s="246"/>
      <c r="B99" s="849" t="s">
        <v>368</v>
      </c>
      <c r="C99" s="1897" t="s">
        <v>1091</v>
      </c>
      <c r="D99" s="1897"/>
      <c r="E99" s="1897"/>
      <c r="F99" s="1897"/>
      <c r="G99" s="1897"/>
      <c r="H99" s="1897"/>
      <c r="I99" s="1897"/>
      <c r="J99" s="1897"/>
      <c r="K99" s="1897"/>
      <c r="L99" s="1897"/>
      <c r="M99" s="1897"/>
      <c r="N99" s="1897"/>
      <c r="O99" s="840"/>
    </row>
    <row r="100" spans="1:15" s="98" customFormat="1" ht="31.7" customHeight="1">
      <c r="A100" s="246"/>
      <c r="B100" s="849"/>
      <c r="C100" s="1899" t="s">
        <v>1092</v>
      </c>
      <c r="D100" s="1899"/>
      <c r="E100" s="1899"/>
      <c r="F100" s="1899"/>
      <c r="G100" s="1899"/>
      <c r="H100" s="1899"/>
      <c r="I100" s="1899"/>
      <c r="J100" s="1899"/>
      <c r="K100" s="1899"/>
      <c r="L100" s="1899"/>
      <c r="M100" s="1899"/>
      <c r="N100" s="1899"/>
      <c r="O100" s="840"/>
    </row>
    <row r="101" spans="1:15" s="98" customFormat="1" ht="31.7" customHeight="1">
      <c r="A101" s="246"/>
      <c r="B101" s="849" t="s">
        <v>369</v>
      </c>
      <c r="C101" s="1899" t="s">
        <v>1093</v>
      </c>
      <c r="D101" s="1899"/>
      <c r="E101" s="1899"/>
      <c r="F101" s="1899"/>
      <c r="G101" s="1899"/>
      <c r="H101" s="1899"/>
      <c r="I101" s="1899"/>
      <c r="J101" s="1899"/>
      <c r="K101" s="1899"/>
      <c r="L101" s="1899"/>
      <c r="M101" s="1899"/>
      <c r="N101" s="1899"/>
      <c r="O101" s="840"/>
    </row>
    <row r="102" spans="1:15" s="98" customFormat="1" ht="15.75" customHeight="1">
      <c r="A102" s="246"/>
      <c r="B102" s="849" t="s">
        <v>370</v>
      </c>
      <c r="C102" s="1897" t="s">
        <v>1094</v>
      </c>
      <c r="D102" s="1897"/>
      <c r="E102" s="1897"/>
      <c r="F102" s="1897"/>
      <c r="G102" s="1897"/>
      <c r="H102" s="1897"/>
      <c r="I102" s="1897"/>
      <c r="J102" s="1897"/>
      <c r="K102" s="1897"/>
      <c r="L102" s="1897"/>
      <c r="M102" s="1897"/>
      <c r="N102" s="1897"/>
      <c r="O102" s="840"/>
    </row>
    <row r="103" spans="1:15" s="98" customFormat="1" ht="15.75" customHeight="1">
      <c r="A103" s="246"/>
      <c r="B103" s="849"/>
      <c r="C103" s="1897" t="s">
        <v>1104</v>
      </c>
      <c r="D103" s="1897"/>
      <c r="E103" s="1897"/>
      <c r="F103" s="1897"/>
      <c r="G103" s="1897"/>
      <c r="H103" s="1897"/>
      <c r="I103" s="1897"/>
      <c r="J103" s="1897"/>
      <c r="K103" s="1897"/>
      <c r="L103" s="1897"/>
      <c r="M103" s="1897"/>
      <c r="N103" s="1897"/>
      <c r="O103" s="840"/>
    </row>
    <row r="104" spans="1:15" s="98" customFormat="1" ht="15.75" customHeight="1">
      <c r="A104" s="246"/>
      <c r="B104" s="849"/>
      <c r="C104" s="1897" t="s">
        <v>1095</v>
      </c>
      <c r="D104" s="1897"/>
      <c r="E104" s="1897"/>
      <c r="F104" s="1897"/>
      <c r="G104" s="1897"/>
      <c r="H104" s="1897"/>
      <c r="I104" s="1897"/>
      <c r="J104" s="1897"/>
      <c r="K104" s="1897"/>
      <c r="L104" s="1897"/>
      <c r="M104" s="1897"/>
      <c r="N104" s="1897"/>
      <c r="O104" s="840"/>
    </row>
    <row r="105" spans="1:15" s="98" customFormat="1" ht="15.75" customHeight="1">
      <c r="A105" s="246"/>
      <c r="B105" s="849" t="s">
        <v>903</v>
      </c>
      <c r="C105" s="1897" t="s">
        <v>1096</v>
      </c>
      <c r="D105" s="1897"/>
      <c r="E105" s="1897"/>
      <c r="F105" s="1897"/>
      <c r="G105" s="1897"/>
      <c r="H105" s="1897"/>
      <c r="I105" s="1897"/>
      <c r="J105" s="1897"/>
      <c r="K105" s="1897"/>
      <c r="L105" s="1897"/>
      <c r="M105" s="1897"/>
      <c r="N105" s="1897"/>
      <c r="O105" s="840"/>
    </row>
    <row r="106" spans="1:15" s="98" customFormat="1" ht="15.75" customHeight="1">
      <c r="A106" s="246"/>
      <c r="B106" s="849"/>
      <c r="C106" s="1897" t="s">
        <v>1097</v>
      </c>
      <c r="D106" s="1897"/>
      <c r="E106" s="1897"/>
      <c r="F106" s="1897"/>
      <c r="G106" s="1897"/>
      <c r="H106" s="1897"/>
      <c r="I106" s="1897"/>
      <c r="J106" s="1897"/>
      <c r="K106" s="1897"/>
      <c r="L106" s="1897"/>
      <c r="M106" s="1897"/>
      <c r="N106" s="1897"/>
      <c r="O106" s="840"/>
    </row>
    <row r="107" spans="1:15" s="98" customFormat="1" ht="15.75" customHeight="1">
      <c r="A107" s="246"/>
      <c r="B107" s="849"/>
      <c r="C107" s="1900" t="s">
        <v>1098</v>
      </c>
      <c r="D107" s="1900"/>
      <c r="E107" s="1900"/>
      <c r="F107" s="1900"/>
      <c r="G107" s="1900"/>
      <c r="H107" s="1900"/>
      <c r="I107" s="1900"/>
      <c r="J107" s="1900"/>
      <c r="K107" s="1900"/>
      <c r="L107" s="1900"/>
      <c r="M107" s="1900"/>
      <c r="N107" s="1900"/>
      <c r="O107" s="840"/>
    </row>
    <row r="108" spans="1:15" s="98" customFormat="1" ht="15.75" customHeight="1">
      <c r="A108" s="246"/>
      <c r="B108" s="849"/>
      <c r="D108" s="1900" t="s">
        <v>1100</v>
      </c>
      <c r="E108" s="1900"/>
      <c r="F108" s="1900"/>
      <c r="G108" s="1900"/>
      <c r="H108" s="1900"/>
      <c r="I108" s="1900"/>
      <c r="J108" s="1900"/>
      <c r="K108" s="1900"/>
      <c r="L108" s="1900"/>
      <c r="M108" s="1900"/>
      <c r="N108" s="1900"/>
      <c r="O108" s="840"/>
    </row>
    <row r="109" spans="1:15" s="98" customFormat="1" ht="15.75" customHeight="1">
      <c r="A109" s="246"/>
      <c r="B109" s="849"/>
      <c r="C109" s="859"/>
      <c r="D109" s="1897" t="s">
        <v>1101</v>
      </c>
      <c r="E109" s="1897"/>
      <c r="F109" s="1897"/>
      <c r="G109" s="1897"/>
      <c r="H109" s="1897"/>
      <c r="I109" s="1897"/>
      <c r="J109" s="1897"/>
      <c r="K109" s="1897"/>
      <c r="L109" s="1897"/>
      <c r="M109" s="1897"/>
      <c r="N109" s="1897"/>
      <c r="O109" s="840"/>
    </row>
    <row r="110" spans="1:15" s="98" customFormat="1" ht="15.75" customHeight="1">
      <c r="A110" s="246"/>
      <c r="B110" s="849"/>
      <c r="C110" s="859"/>
      <c r="D110" s="1897" t="s">
        <v>1102</v>
      </c>
      <c r="E110" s="1897"/>
      <c r="F110" s="1897"/>
      <c r="G110" s="1897"/>
      <c r="H110" s="1897"/>
      <c r="I110" s="1897"/>
      <c r="J110" s="1897"/>
      <c r="K110" s="1897"/>
      <c r="L110" s="1897"/>
      <c r="M110" s="1897"/>
      <c r="N110" s="1897"/>
      <c r="O110" s="840"/>
    </row>
    <row r="111" spans="1:15" s="98" customFormat="1" ht="15.75" customHeight="1">
      <c r="A111" s="246"/>
      <c r="B111" s="849"/>
      <c r="C111" s="859"/>
      <c r="D111" s="1897" t="s">
        <v>1103</v>
      </c>
      <c r="E111" s="1897"/>
      <c r="F111" s="1897"/>
      <c r="G111" s="1897"/>
      <c r="H111" s="1897"/>
      <c r="I111" s="1897"/>
      <c r="J111" s="1897"/>
      <c r="K111" s="1897"/>
      <c r="L111" s="1897"/>
      <c r="M111" s="1897"/>
      <c r="N111" s="1897"/>
      <c r="O111" s="840"/>
    </row>
    <row r="112" spans="1:15" s="98" customFormat="1" ht="15.75" customHeight="1">
      <c r="A112" s="246"/>
      <c r="B112" s="849"/>
      <c r="C112" s="859"/>
      <c r="D112" s="1897" t="s">
        <v>1099</v>
      </c>
      <c r="E112" s="1897"/>
      <c r="F112" s="1897"/>
      <c r="G112" s="1897"/>
      <c r="H112" s="1897"/>
      <c r="I112" s="1897"/>
      <c r="J112" s="1897"/>
      <c r="K112" s="1897"/>
      <c r="L112" s="1897"/>
      <c r="M112" s="1897"/>
      <c r="N112" s="1897"/>
      <c r="O112" s="840"/>
    </row>
    <row r="113" spans="1:18" s="98" customFormat="1" ht="15.75" customHeight="1">
      <c r="A113" s="246"/>
      <c r="B113" s="849" t="s">
        <v>371</v>
      </c>
      <c r="C113" s="1900" t="s">
        <v>941</v>
      </c>
      <c r="D113" s="1900"/>
      <c r="E113" s="1900"/>
      <c r="F113" s="1900"/>
      <c r="G113" s="1900"/>
      <c r="H113" s="1900"/>
      <c r="I113" s="1900"/>
      <c r="J113" s="1900"/>
      <c r="K113" s="1900"/>
      <c r="L113" s="1900"/>
      <c r="M113" s="1900"/>
      <c r="N113" s="1900"/>
      <c r="O113" s="840"/>
    </row>
    <row r="114" spans="1:18" s="1764" customFormat="1" ht="31.7" customHeight="1">
      <c r="A114" s="1763"/>
      <c r="C114" s="1901" t="s">
        <v>1107</v>
      </c>
      <c r="D114" s="1901"/>
      <c r="E114" s="1901"/>
      <c r="F114" s="1901"/>
      <c r="G114" s="1901"/>
      <c r="H114" s="1901"/>
      <c r="I114" s="1901"/>
      <c r="J114" s="1901"/>
      <c r="K114" s="1901"/>
      <c r="L114" s="1901"/>
      <c r="M114" s="1901"/>
      <c r="N114" s="1901"/>
    </row>
    <row r="115" spans="1:18" s="98" customFormat="1" ht="15.75" customHeight="1">
      <c r="A115" s="246"/>
      <c r="B115" s="98" t="s">
        <v>904</v>
      </c>
      <c r="C115" s="1897" t="s">
        <v>942</v>
      </c>
      <c r="D115" s="1897"/>
      <c r="E115" s="1897"/>
      <c r="F115" s="1897"/>
      <c r="G115" s="1897"/>
      <c r="H115" s="1897"/>
      <c r="I115" s="1897"/>
      <c r="J115" s="1897"/>
      <c r="K115" s="1897"/>
      <c r="L115" s="1897"/>
      <c r="M115" s="1897"/>
      <c r="N115" s="1897"/>
      <c r="O115" s="840"/>
    </row>
    <row r="116" spans="1:18" ht="15.75" customHeight="1">
      <c r="B116" s="25"/>
      <c r="C116" s="1904" t="s">
        <v>1106</v>
      </c>
      <c r="D116" s="1904"/>
      <c r="E116" s="1904"/>
      <c r="F116" s="1904"/>
      <c r="G116" s="1904"/>
      <c r="H116" s="1904"/>
      <c r="I116" s="1904"/>
      <c r="J116" s="1904"/>
      <c r="K116" s="1904"/>
      <c r="L116" s="1904"/>
      <c r="M116" s="1904"/>
      <c r="N116" s="1904"/>
    </row>
    <row r="117" spans="1:18" s="98" customFormat="1" ht="15.75" customHeight="1">
      <c r="A117" s="246"/>
      <c r="C117" s="1897" t="s">
        <v>1108</v>
      </c>
      <c r="D117" s="1897"/>
      <c r="E117" s="1897"/>
      <c r="F117" s="1897"/>
      <c r="G117" s="1897"/>
      <c r="H117" s="1897"/>
      <c r="I117" s="1897"/>
      <c r="J117" s="1897"/>
      <c r="K117" s="1897"/>
      <c r="L117" s="1897"/>
      <c r="M117" s="1897"/>
      <c r="N117" s="1897"/>
      <c r="O117" s="840"/>
    </row>
    <row r="118" spans="1:18" s="98" customFormat="1" ht="15.75" customHeight="1">
      <c r="A118" s="246"/>
      <c r="B118" s="849" t="s">
        <v>1105</v>
      </c>
      <c r="C118" s="1897" t="s">
        <v>1109</v>
      </c>
      <c r="D118" s="1897"/>
      <c r="E118" s="1897"/>
      <c r="F118" s="1897"/>
      <c r="G118" s="1897"/>
      <c r="H118" s="1897"/>
      <c r="I118" s="1897"/>
      <c r="J118" s="1897"/>
      <c r="K118" s="1897"/>
      <c r="L118" s="1897"/>
      <c r="M118" s="1897"/>
      <c r="N118" s="1897"/>
      <c r="O118" s="840"/>
    </row>
    <row r="119" spans="1:18" s="98" customFormat="1" ht="31.7" customHeight="1">
      <c r="A119" s="246"/>
      <c r="B119" s="849"/>
      <c r="C119" s="1899" t="s">
        <v>1110</v>
      </c>
      <c r="D119" s="1899"/>
      <c r="E119" s="1899"/>
      <c r="F119" s="1899"/>
      <c r="G119" s="1899"/>
      <c r="H119" s="1899"/>
      <c r="I119" s="1899"/>
      <c r="J119" s="1899"/>
      <c r="K119" s="1899"/>
      <c r="L119" s="1899"/>
      <c r="M119" s="1899"/>
      <c r="N119" s="1899"/>
      <c r="O119" s="840"/>
    </row>
    <row r="120" spans="1:18" s="98" customFormat="1" ht="47.25" customHeight="1">
      <c r="A120" s="246"/>
      <c r="B120" s="849"/>
      <c r="C120" s="1901" t="s">
        <v>1111</v>
      </c>
      <c r="D120" s="1901"/>
      <c r="E120" s="1901"/>
      <c r="F120" s="1901"/>
      <c r="G120" s="1901"/>
      <c r="H120" s="1901"/>
      <c r="I120" s="1901"/>
      <c r="J120" s="1901"/>
      <c r="K120" s="1901"/>
      <c r="L120" s="1901"/>
      <c r="M120" s="1901"/>
      <c r="N120" s="1901"/>
      <c r="O120" s="840"/>
    </row>
    <row r="121" spans="1:18" s="98" customFormat="1" ht="5.0999999999999996" customHeight="1"/>
    <row r="122" spans="1:18" s="678" customFormat="1" ht="15.75" customHeight="1">
      <c r="A122" s="1902" t="s">
        <v>1116</v>
      </c>
      <c r="B122" s="1902"/>
      <c r="C122" s="1902"/>
      <c r="D122" s="1902"/>
      <c r="E122" s="1902"/>
      <c r="F122" s="1902"/>
      <c r="G122" s="1902"/>
      <c r="H122" s="1902"/>
      <c r="I122" s="1902"/>
      <c r="J122" s="1902"/>
      <c r="K122" s="1902"/>
      <c r="L122" s="1902"/>
      <c r="M122" s="1902"/>
      <c r="N122" s="1902"/>
    </row>
    <row r="123" spans="1:18" s="98" customFormat="1" ht="5.0999999999999996" customHeight="1">
      <c r="A123" s="246"/>
    </row>
    <row r="124" spans="1:18" s="98" customFormat="1" ht="31.7" customHeight="1">
      <c r="A124" s="246"/>
      <c r="B124" s="849" t="s">
        <v>515</v>
      </c>
      <c r="C124" s="1899" t="s">
        <v>1112</v>
      </c>
      <c r="D124" s="1899"/>
      <c r="E124" s="1899"/>
      <c r="F124" s="1899"/>
      <c r="G124" s="1899"/>
      <c r="H124" s="1899"/>
      <c r="I124" s="1899"/>
      <c r="J124" s="1899"/>
      <c r="K124" s="1899"/>
      <c r="L124" s="1899"/>
      <c r="M124" s="1899"/>
      <c r="N124" s="1899"/>
      <c r="O124" s="840"/>
      <c r="R124" s="529"/>
    </row>
    <row r="125" spans="1:18" s="98" customFormat="1" ht="46.35" customHeight="1">
      <c r="A125" s="246"/>
      <c r="B125" s="849" t="s">
        <v>516</v>
      </c>
      <c r="C125" s="1899" t="s">
        <v>1113</v>
      </c>
      <c r="D125" s="1899"/>
      <c r="E125" s="1899"/>
      <c r="F125" s="1899"/>
      <c r="G125" s="1899"/>
      <c r="H125" s="1899"/>
      <c r="I125" s="1899"/>
      <c r="J125" s="1899"/>
      <c r="K125" s="1899"/>
      <c r="L125" s="1899"/>
      <c r="M125" s="1899"/>
      <c r="N125" s="1899"/>
      <c r="O125" s="840"/>
    </row>
    <row r="126" spans="1:18" s="98" customFormat="1" ht="31.7" customHeight="1">
      <c r="A126" s="246"/>
      <c r="B126" s="849" t="s">
        <v>517</v>
      </c>
      <c r="C126" s="1899" t="s">
        <v>1115</v>
      </c>
      <c r="D126" s="1899"/>
      <c r="E126" s="1899"/>
      <c r="F126" s="1899"/>
      <c r="G126" s="1899"/>
      <c r="H126" s="1899"/>
      <c r="I126" s="1899"/>
      <c r="J126" s="1899"/>
      <c r="K126" s="1899"/>
      <c r="L126" s="1899"/>
      <c r="M126" s="1899"/>
      <c r="N126" s="1899"/>
    </row>
    <row r="127" spans="1:18" s="98" customFormat="1" ht="15.75" customHeight="1">
      <c r="A127" s="246"/>
      <c r="B127" s="849" t="s">
        <v>518</v>
      </c>
      <c r="C127" s="1897" t="s">
        <v>1114</v>
      </c>
      <c r="D127" s="1897"/>
      <c r="E127" s="1897"/>
      <c r="F127" s="1897"/>
      <c r="G127" s="1897"/>
      <c r="H127" s="1897"/>
      <c r="I127" s="1897"/>
      <c r="J127" s="1897"/>
      <c r="K127" s="1897"/>
      <c r="L127" s="1897"/>
      <c r="M127" s="1897"/>
      <c r="N127" s="1897"/>
    </row>
    <row r="128" spans="1:18" s="95" customFormat="1" ht="15.75" thickBot="1">
      <c r="B128" s="843"/>
    </row>
  </sheetData>
  <mergeCells count="101">
    <mergeCell ref="A28:H28"/>
    <mergeCell ref="C126:N126"/>
    <mergeCell ref="C127:N127"/>
    <mergeCell ref="A122:N122"/>
    <mergeCell ref="A51:N51"/>
    <mergeCell ref="A32:N32"/>
    <mergeCell ref="C124:N124"/>
    <mergeCell ref="C125:N125"/>
    <mergeCell ref="C120:N120"/>
    <mergeCell ref="A96:N96"/>
    <mergeCell ref="A58:N58"/>
    <mergeCell ref="C115:N115"/>
    <mergeCell ref="C116:N116"/>
    <mergeCell ref="C117:N117"/>
    <mergeCell ref="C118:N118"/>
    <mergeCell ref="C119:N119"/>
    <mergeCell ref="D110:N110"/>
    <mergeCell ref="D111:N111"/>
    <mergeCell ref="D112:N112"/>
    <mergeCell ref="C113:N113"/>
    <mergeCell ref="C114:N114"/>
    <mergeCell ref="C105:N105"/>
    <mergeCell ref="C106:N106"/>
    <mergeCell ref="C107:N107"/>
    <mergeCell ref="D108:N108"/>
    <mergeCell ref="D109:N109"/>
    <mergeCell ref="C100:N100"/>
    <mergeCell ref="C101:N101"/>
    <mergeCell ref="C102:N102"/>
    <mergeCell ref="C103:N103"/>
    <mergeCell ref="C104:N104"/>
    <mergeCell ref="B98:N98"/>
    <mergeCell ref="C99:N99"/>
    <mergeCell ref="C94:N94"/>
    <mergeCell ref="C82:N82"/>
    <mergeCell ref="C83:N83"/>
    <mergeCell ref="C86:N86"/>
    <mergeCell ref="C87:N87"/>
    <mergeCell ref="C88:N88"/>
    <mergeCell ref="D90:N91"/>
    <mergeCell ref="C84:N85"/>
    <mergeCell ref="C77:N77"/>
    <mergeCell ref="C78:N78"/>
    <mergeCell ref="C79:N79"/>
    <mergeCell ref="C80:N80"/>
    <mergeCell ref="C81:N81"/>
    <mergeCell ref="C74:N74"/>
    <mergeCell ref="C67:N67"/>
    <mergeCell ref="C68:N68"/>
    <mergeCell ref="C69:N69"/>
    <mergeCell ref="D75:N75"/>
    <mergeCell ref="D76:N76"/>
    <mergeCell ref="D89:N89"/>
    <mergeCell ref="D92:N92"/>
    <mergeCell ref="C93:N93"/>
    <mergeCell ref="B34:N34"/>
    <mergeCell ref="C35:N35"/>
    <mergeCell ref="C36:N36"/>
    <mergeCell ref="C37:N37"/>
    <mergeCell ref="C38:N38"/>
    <mergeCell ref="C40:N40"/>
    <mergeCell ref="C43:N43"/>
    <mergeCell ref="C44:N44"/>
    <mergeCell ref="B73:N73"/>
    <mergeCell ref="C45:N45"/>
    <mergeCell ref="C46:N46"/>
    <mergeCell ref="C47:N47"/>
    <mergeCell ref="C48:N48"/>
    <mergeCell ref="B53:N53"/>
    <mergeCell ref="C65:N66"/>
    <mergeCell ref="C41:N42"/>
    <mergeCell ref="C54:N54"/>
    <mergeCell ref="C55:N55"/>
    <mergeCell ref="C56:N56"/>
    <mergeCell ref="B60:N60"/>
    <mergeCell ref="C61:N61"/>
    <mergeCell ref="D62:N62"/>
    <mergeCell ref="D63:N63"/>
    <mergeCell ref="D64:N64"/>
    <mergeCell ref="A8:E8"/>
    <mergeCell ref="A11:H11"/>
    <mergeCell ref="A7:H7"/>
    <mergeCell ref="F8:G8"/>
    <mergeCell ref="A9:H9"/>
    <mergeCell ref="A10:H10"/>
    <mergeCell ref="A12:H12"/>
    <mergeCell ref="A13:H13"/>
    <mergeCell ref="A14:H14"/>
    <mergeCell ref="A24:H24"/>
    <mergeCell ref="A25:H25"/>
    <mergeCell ref="A26:H26"/>
    <mergeCell ref="A27:H27"/>
    <mergeCell ref="A15:H15"/>
    <mergeCell ref="A16:H16"/>
    <mergeCell ref="A17:H17"/>
    <mergeCell ref="A18:H18"/>
    <mergeCell ref="A19:H19"/>
    <mergeCell ref="A20:H20"/>
    <mergeCell ref="A21:H21"/>
    <mergeCell ref="A22:H22"/>
    <mergeCell ref="A23:H23"/>
  </mergeCells>
  <hyperlinks>
    <hyperlink ref="F8" r:id="rId1" xr:uid="{00000000-0004-0000-0000-000000000000}"/>
  </hyperlinks>
  <pageMargins left="0.7" right="0.7" top="0.75" bottom="0.75" header="0.3" footer="0.3"/>
  <pageSetup scale="65" orientation="landscape" r:id="rId2"/>
  <rowBreaks count="3" manualBreakCount="3">
    <brk id="29" max="17" man="1"/>
    <brk id="56" max="17" man="1"/>
    <brk id="94" max="17" man="1"/>
  </rowBreaks>
  <colBreaks count="1" manualBreakCount="1">
    <brk id="19" max="143" man="1"/>
  </colBreak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6">
    <tabColor rgb="FF00B0F0"/>
    <pageSetUpPr fitToPage="1"/>
  </sheetPr>
  <dimension ref="A1:V223"/>
  <sheetViews>
    <sheetView zoomScale="80" zoomScaleNormal="80" zoomScaleSheetLayoutView="50" zoomScalePageLayoutView="80" workbookViewId="0"/>
  </sheetViews>
  <sheetFormatPr defaultColWidth="9.140625" defaultRowHeight="16.5" outlineLevelRow="1"/>
  <cols>
    <col min="1" max="1" width="2.7109375" style="563" customWidth="1"/>
    <col min="2" max="18" width="9.5703125" style="571" customWidth="1"/>
    <col min="19" max="19" width="9.5703125" style="572" customWidth="1"/>
    <col min="20" max="20" width="9.140625" style="571"/>
    <col min="21" max="21" width="2.7109375" style="571" customWidth="1"/>
    <col min="22" max="16384" width="9.140625" style="571"/>
  </cols>
  <sheetData>
    <row r="1" spans="1:21" s="564" customFormat="1" ht="15" customHeight="1">
      <c r="A1" s="563"/>
      <c r="B1" s="563"/>
      <c r="C1" s="563"/>
      <c r="D1" s="563"/>
      <c r="E1" s="563"/>
      <c r="F1" s="563"/>
      <c r="G1" s="563"/>
      <c r="H1" s="563"/>
      <c r="I1" s="563"/>
      <c r="J1" s="563"/>
      <c r="K1" s="563"/>
      <c r="L1" s="563"/>
      <c r="M1" s="563"/>
      <c r="N1" s="563"/>
      <c r="O1" s="563"/>
      <c r="P1" s="563"/>
      <c r="Q1" s="563"/>
      <c r="R1" s="563"/>
      <c r="S1" s="563"/>
    </row>
    <row r="2" spans="1:21" s="564" customFormat="1" ht="30.2" customHeight="1">
      <c r="A2" s="1949" t="str">
        <f>Country&amp;" Public DSA - Composition of Public Debt and Alternative Scenarios"</f>
        <v>Latvia Public DSA - Composition of Public Debt and Alternative Scenarios</v>
      </c>
      <c r="B2" s="1949"/>
      <c r="C2" s="1949"/>
      <c r="D2" s="1949"/>
      <c r="E2" s="1949"/>
      <c r="F2" s="1949"/>
      <c r="G2" s="1949"/>
      <c r="H2" s="1949"/>
      <c r="I2" s="1949"/>
      <c r="J2" s="1949"/>
      <c r="K2" s="1949"/>
      <c r="L2" s="1949"/>
      <c r="M2" s="1949"/>
      <c r="N2" s="1949"/>
      <c r="O2" s="1949"/>
      <c r="P2" s="1949"/>
      <c r="Q2" s="1949"/>
      <c r="R2" s="1949"/>
      <c r="S2" s="1949"/>
      <c r="T2" s="1949"/>
      <c r="U2" s="1949"/>
    </row>
    <row r="3" spans="1:21" s="586" customFormat="1" ht="14.25" customHeight="1">
      <c r="B3" s="1961"/>
      <c r="C3" s="1961"/>
      <c r="D3" s="1961"/>
      <c r="E3" s="1961"/>
      <c r="F3" s="1961"/>
      <c r="G3" s="1961"/>
      <c r="H3" s="1961"/>
      <c r="I3" s="1961"/>
      <c r="J3" s="1961"/>
      <c r="K3" s="1961"/>
      <c r="L3" s="1961"/>
      <c r="M3" s="1961"/>
      <c r="N3" s="1961"/>
      <c r="O3" s="1961"/>
      <c r="P3" s="1961"/>
      <c r="Q3" s="1961"/>
      <c r="R3" s="1961"/>
      <c r="S3" s="605"/>
    </row>
    <row r="4" spans="1:21" s="564" customFormat="1" ht="30.2" customHeight="1">
      <c r="B4" s="1956" t="s">
        <v>536</v>
      </c>
      <c r="C4" s="1956"/>
      <c r="D4" s="1956"/>
      <c r="E4" s="1956"/>
      <c r="F4" s="1956"/>
      <c r="G4" s="1956"/>
      <c r="H4" s="1956"/>
      <c r="I4" s="1956"/>
      <c r="J4" s="1956"/>
      <c r="K4" s="1956"/>
      <c r="L4" s="1956"/>
      <c r="M4" s="1956"/>
      <c r="N4" s="1956"/>
      <c r="O4" s="1956"/>
      <c r="P4" s="1956"/>
      <c r="Q4" s="1956"/>
      <c r="R4" s="1956"/>
      <c r="S4" s="1956"/>
      <c r="T4" s="1956"/>
    </row>
    <row r="5" spans="1:21" s="588" customFormat="1" ht="20.100000000000001" customHeight="1">
      <c r="A5" s="1069"/>
      <c r="B5" s="1069"/>
      <c r="C5" s="1069"/>
      <c r="D5" s="1069"/>
      <c r="E5" s="1069"/>
      <c r="F5" s="1069"/>
      <c r="G5" s="1069"/>
      <c r="H5" s="1069"/>
      <c r="I5" s="1069"/>
      <c r="J5" s="1069"/>
      <c r="K5" s="1069"/>
      <c r="L5" s="1069"/>
      <c r="M5" s="1069"/>
      <c r="N5" s="1069"/>
      <c r="O5" s="1069"/>
      <c r="P5" s="1069"/>
      <c r="Q5" s="1069"/>
      <c r="R5" s="1069"/>
      <c r="S5" s="587"/>
    </row>
    <row r="6" spans="1:21" s="564" customFormat="1" ht="4.7" customHeight="1">
      <c r="A6" s="563"/>
      <c r="C6" s="578"/>
      <c r="D6" s="578"/>
      <c r="E6" s="578"/>
      <c r="F6" s="578"/>
      <c r="G6" s="578"/>
      <c r="H6" s="578"/>
      <c r="I6" s="578"/>
      <c r="J6" s="578"/>
      <c r="K6" s="578"/>
      <c r="L6" s="578"/>
      <c r="M6" s="578"/>
      <c r="N6" s="578"/>
      <c r="O6" s="578"/>
      <c r="P6" s="578"/>
      <c r="Q6" s="578"/>
    </row>
    <row r="7" spans="1:21" s="564" customFormat="1" ht="20.100000000000001" customHeight="1">
      <c r="A7" s="563"/>
      <c r="F7" s="568"/>
      <c r="G7" s="568"/>
    </row>
    <row r="8" spans="1:21" s="564" customFormat="1" ht="20.100000000000001" customHeight="1">
      <c r="A8" s="563"/>
      <c r="S8" s="563"/>
    </row>
    <row r="9" spans="1:21" s="564" customFormat="1" ht="20.100000000000001" customHeight="1">
      <c r="A9" s="563"/>
      <c r="S9" s="563"/>
    </row>
    <row r="10" spans="1:21" s="564" customFormat="1" ht="20.100000000000001" customHeight="1">
      <c r="A10" s="563"/>
      <c r="S10" s="563"/>
    </row>
    <row r="11" spans="1:21" s="564" customFormat="1" ht="20.100000000000001" customHeight="1">
      <c r="A11" s="563"/>
      <c r="R11" s="570"/>
      <c r="S11" s="563"/>
    </row>
    <row r="12" spans="1:21" s="564" customFormat="1" ht="20.100000000000001" customHeight="1">
      <c r="A12" s="563"/>
      <c r="S12" s="563"/>
    </row>
    <row r="13" spans="1:21" s="564" customFormat="1" ht="20.100000000000001" customHeight="1">
      <c r="A13" s="563"/>
      <c r="S13" s="563"/>
    </row>
    <row r="14" spans="1:21" s="564" customFormat="1" ht="20.100000000000001" customHeight="1">
      <c r="A14" s="563"/>
      <c r="S14" s="563"/>
    </row>
    <row r="15" spans="1:21" s="564" customFormat="1" ht="20.100000000000001" customHeight="1">
      <c r="A15" s="563"/>
      <c r="S15" s="563"/>
    </row>
    <row r="16" spans="1:21" s="564" customFormat="1" ht="20.100000000000001" customHeight="1">
      <c r="A16" s="563"/>
      <c r="S16" s="563"/>
    </row>
    <row r="17" spans="1:22" s="564" customFormat="1" ht="20.100000000000001" customHeight="1">
      <c r="A17" s="563"/>
      <c r="S17" s="563"/>
    </row>
    <row r="18" spans="1:22" s="564" customFormat="1" ht="20.100000000000001" customHeight="1">
      <c r="A18" s="563"/>
      <c r="S18" s="563"/>
    </row>
    <row r="19" spans="1:22" s="564" customFormat="1" ht="20.100000000000001" customHeight="1">
      <c r="A19" s="563"/>
      <c r="S19" s="563"/>
    </row>
    <row r="20" spans="1:22" s="564" customFormat="1" ht="20.100000000000001" customHeight="1">
      <c r="A20" s="563"/>
      <c r="S20" s="563"/>
    </row>
    <row r="21" spans="1:22" s="564" customFormat="1" ht="20.100000000000001" customHeight="1">
      <c r="A21" s="563"/>
      <c r="S21" s="563"/>
    </row>
    <row r="22" spans="1:22" s="564" customFormat="1" ht="20.100000000000001" customHeight="1">
      <c r="A22" s="563"/>
      <c r="S22" s="563"/>
    </row>
    <row r="23" spans="1:22" s="564" customFormat="1" ht="20.100000000000001" customHeight="1">
      <c r="A23" s="563"/>
      <c r="S23" s="563"/>
    </row>
    <row r="24" spans="1:22" s="564" customFormat="1" ht="14.25" customHeight="1">
      <c r="B24" s="1067"/>
      <c r="C24" s="1067"/>
      <c r="D24" s="1067"/>
      <c r="E24" s="1067"/>
      <c r="F24" s="1067"/>
      <c r="G24" s="1067"/>
      <c r="H24" s="1067"/>
      <c r="I24" s="1067"/>
      <c r="J24" s="1067"/>
      <c r="K24" s="1067"/>
      <c r="L24" s="1067"/>
      <c r="M24" s="1067"/>
      <c r="N24" s="1067"/>
      <c r="O24" s="1067"/>
      <c r="P24" s="1067"/>
      <c r="Q24" s="1067"/>
      <c r="R24" s="1067"/>
      <c r="S24" s="1067"/>
      <c r="T24" s="563"/>
    </row>
    <row r="25" spans="1:22" s="586" customFormat="1" ht="24.95" customHeight="1">
      <c r="B25" s="1956" t="s">
        <v>747</v>
      </c>
      <c r="C25" s="1956"/>
      <c r="D25" s="1956"/>
      <c r="E25" s="1956"/>
      <c r="F25" s="1956"/>
      <c r="G25" s="1956"/>
      <c r="H25" s="1956"/>
      <c r="I25" s="1956"/>
      <c r="J25" s="1956"/>
      <c r="K25" s="1956"/>
      <c r="L25" s="1956"/>
      <c r="M25" s="1956"/>
      <c r="N25" s="1956"/>
      <c r="O25" s="1956"/>
      <c r="P25" s="1956"/>
      <c r="Q25" s="1956"/>
      <c r="R25" s="1956"/>
      <c r="S25" s="1956"/>
      <c r="T25" s="1956"/>
    </row>
    <row r="26" spans="1:22" s="564" customFormat="1" ht="15" customHeight="1">
      <c r="V26" s="569"/>
    </row>
    <row r="27" spans="1:22" s="564" customFormat="1" ht="5.0999999999999996" customHeight="1">
      <c r="C27" s="563"/>
      <c r="D27" s="1960" t="str">
        <f>'Lists-Modules-ChartData'!AQ8</f>
        <v>Baseline</v>
      </c>
      <c r="E27" s="1960"/>
      <c r="F27" s="1960"/>
      <c r="G27" s="1960"/>
      <c r="J27" s="1960" t="str">
        <f>'Lists-Modules-ChartData'!AQ18</f>
        <v>Historical</v>
      </c>
      <c r="K27" s="1960"/>
      <c r="L27" s="1960"/>
      <c r="M27" s="1960"/>
      <c r="P27" s="1960" t="str">
        <f>'Lists-Modules-ChartData'!AQ28</f>
        <v>Constant Primary Balance</v>
      </c>
      <c r="Q27" s="1960"/>
      <c r="R27" s="1960"/>
      <c r="S27" s="1960"/>
      <c r="V27" s="569"/>
    </row>
    <row r="28" spans="1:22" s="564" customFormat="1" ht="3.95" customHeight="1">
      <c r="C28" s="563"/>
      <c r="D28" s="1960"/>
      <c r="E28" s="1960"/>
      <c r="F28" s="1960"/>
      <c r="G28" s="1960"/>
      <c r="J28" s="1960"/>
      <c r="K28" s="1960"/>
      <c r="L28" s="1960"/>
      <c r="M28" s="1960"/>
      <c r="P28" s="1960"/>
      <c r="Q28" s="1960"/>
      <c r="R28" s="1960"/>
      <c r="S28" s="1960"/>
      <c r="V28" s="569"/>
    </row>
    <row r="29" spans="1:22" s="564" customFormat="1" ht="5.0999999999999996" customHeight="1">
      <c r="C29" s="563"/>
      <c r="D29" s="1960"/>
      <c r="E29" s="1960"/>
      <c r="F29" s="1960"/>
      <c r="G29" s="1960"/>
      <c r="J29" s="1960"/>
      <c r="K29" s="1960"/>
      <c r="L29" s="1960"/>
      <c r="M29" s="1960"/>
      <c r="P29" s="1960"/>
      <c r="Q29" s="1960"/>
      <c r="R29" s="1960"/>
      <c r="S29" s="1960"/>
      <c r="V29" s="569"/>
    </row>
    <row r="30" spans="1:22" s="564" customFormat="1" ht="5.0999999999999996" customHeight="1">
      <c r="I30" s="576"/>
      <c r="K30" s="576"/>
      <c r="P30" s="1394"/>
      <c r="Q30" s="1394"/>
      <c r="R30" s="1394"/>
      <c r="S30" s="1394"/>
      <c r="V30" s="569"/>
    </row>
    <row r="31" spans="1:22" s="564" customFormat="1" ht="5.0999999999999996" customHeight="1">
      <c r="B31" s="563"/>
      <c r="D31" s="1960" t="str">
        <f>IF(AND(ScrutinyClassification_Final="Lower",CLTrigger=1),'Lists-Modules-ChartData'!AQ41,"")</f>
        <v/>
      </c>
      <c r="E31" s="1960"/>
      <c r="F31" s="1960"/>
      <c r="G31" s="1960"/>
      <c r="H31" s="1960"/>
      <c r="J31" s="1960" t="str">
        <f>IF(AND(ScrutinyClassification_Final="Lower",Custom1Trigger=1),'Lists-Modules-ChartData'!AQ51,"")</f>
        <v/>
      </c>
      <c r="K31" s="1960"/>
      <c r="L31" s="1960"/>
      <c r="M31" s="1960"/>
      <c r="N31" s="1960"/>
      <c r="P31" s="1960" t="str">
        <f>IF(AND(ScrutinyClassification_Final="Lower",Custom2Trigger=1),'Lists-Modules-ChartData'!AQ61,"")</f>
        <v/>
      </c>
      <c r="Q31" s="1960"/>
      <c r="R31" s="1960"/>
      <c r="S31" s="1960"/>
      <c r="T31" s="1960"/>
      <c r="U31" s="1960"/>
    </row>
    <row r="32" spans="1:22" s="564" customFormat="1" ht="3.95" customHeight="1">
      <c r="B32" s="563"/>
      <c r="D32" s="1960"/>
      <c r="E32" s="1960"/>
      <c r="F32" s="1960"/>
      <c r="G32" s="1960"/>
      <c r="H32" s="1960"/>
      <c r="J32" s="1960"/>
      <c r="K32" s="1960"/>
      <c r="L32" s="1960"/>
      <c r="M32" s="1960"/>
      <c r="N32" s="1960"/>
      <c r="P32" s="1960"/>
      <c r="Q32" s="1960"/>
      <c r="R32" s="1960"/>
      <c r="S32" s="1960"/>
      <c r="T32" s="1960"/>
      <c r="U32" s="1960"/>
    </row>
    <row r="33" spans="1:21" s="564" customFormat="1" ht="5.0999999999999996" customHeight="1">
      <c r="B33" s="563"/>
      <c r="D33" s="1960"/>
      <c r="E33" s="1960"/>
      <c r="F33" s="1960"/>
      <c r="G33" s="1960"/>
      <c r="H33" s="1960"/>
      <c r="J33" s="1960"/>
      <c r="K33" s="1960"/>
      <c r="L33" s="1960"/>
      <c r="M33" s="1960"/>
      <c r="N33" s="1960"/>
      <c r="P33" s="1960"/>
      <c r="Q33" s="1960"/>
      <c r="R33" s="1960"/>
      <c r="S33" s="1960"/>
      <c r="T33" s="1960"/>
      <c r="U33" s="1960"/>
    </row>
    <row r="34" spans="1:21" s="564" customFormat="1" ht="5.0999999999999996" customHeight="1">
      <c r="B34" s="563"/>
      <c r="D34" s="1394"/>
      <c r="E34" s="1394"/>
      <c r="F34" s="1394"/>
      <c r="G34" s="1394"/>
      <c r="H34" s="1394"/>
      <c r="J34" s="1394"/>
      <c r="K34" s="1394"/>
      <c r="L34" s="1394"/>
      <c r="M34" s="1394"/>
      <c r="N34" s="1394"/>
      <c r="P34" s="1394"/>
      <c r="Q34" s="1394"/>
    </row>
    <row r="35" spans="1:21" s="564" customFormat="1" ht="20.100000000000001" customHeight="1">
      <c r="A35" s="563"/>
      <c r="S35" s="563"/>
    </row>
    <row r="36" spans="1:21" s="564" customFormat="1" ht="20.100000000000001" customHeight="1">
      <c r="A36" s="563"/>
      <c r="S36" s="563"/>
    </row>
    <row r="37" spans="1:21" s="564" customFormat="1" ht="20.100000000000001" customHeight="1">
      <c r="A37" s="563"/>
      <c r="S37" s="563"/>
    </row>
    <row r="38" spans="1:21" s="564" customFormat="1" ht="20.100000000000001" customHeight="1">
      <c r="A38" s="563"/>
      <c r="S38" s="563"/>
    </row>
    <row r="39" spans="1:21" s="564" customFormat="1" ht="20.100000000000001" customHeight="1">
      <c r="A39" s="563"/>
      <c r="S39" s="563"/>
    </row>
    <row r="40" spans="1:21" s="564" customFormat="1" ht="20.100000000000001" customHeight="1">
      <c r="A40" s="563"/>
      <c r="S40" s="563"/>
    </row>
    <row r="41" spans="1:21" s="564" customFormat="1" ht="20.100000000000001" customHeight="1">
      <c r="A41" s="563"/>
      <c r="S41" s="563"/>
    </row>
    <row r="42" spans="1:21" s="564" customFormat="1" ht="20.100000000000001" customHeight="1">
      <c r="A42" s="563"/>
      <c r="S42" s="563"/>
    </row>
    <row r="43" spans="1:21" s="564" customFormat="1" ht="20.100000000000001" customHeight="1">
      <c r="A43" s="563"/>
      <c r="S43" s="563"/>
    </row>
    <row r="44" spans="1:21" s="564" customFormat="1" ht="20.100000000000001" customHeight="1">
      <c r="A44" s="563"/>
      <c r="S44" s="563"/>
    </row>
    <row r="45" spans="1:21" s="564" customFormat="1" ht="20.100000000000001" customHeight="1">
      <c r="A45" s="563"/>
      <c r="S45" s="563"/>
    </row>
    <row r="46" spans="1:21" s="564" customFormat="1" ht="20.100000000000001" customHeight="1">
      <c r="A46" s="563"/>
      <c r="S46" s="563"/>
    </row>
    <row r="47" spans="1:21" s="564" customFormat="1" ht="20.100000000000001" customHeight="1">
      <c r="A47" s="563"/>
      <c r="S47" s="563"/>
    </row>
    <row r="48" spans="1:21" s="564" customFormat="1" ht="20.100000000000001" customHeight="1">
      <c r="A48" s="563"/>
      <c r="S48" s="563"/>
    </row>
    <row r="49" spans="1:22" s="564" customFormat="1" ht="20.100000000000001" customHeight="1">
      <c r="A49" s="563"/>
      <c r="S49" s="563"/>
    </row>
    <row r="50" spans="1:22" s="564" customFormat="1" ht="20.100000000000001" customHeight="1">
      <c r="A50" s="563"/>
      <c r="S50" s="563"/>
    </row>
    <row r="51" spans="1:22" s="564" customFormat="1" ht="20.100000000000001" customHeight="1">
      <c r="A51" s="563"/>
      <c r="S51" s="563"/>
    </row>
    <row r="52" spans="1:22" s="564" customFormat="1" ht="20.100000000000001" customHeight="1">
      <c r="S52" s="563"/>
    </row>
    <row r="53" spans="1:22" s="564" customFormat="1" ht="20.100000000000001" customHeight="1">
      <c r="S53" s="563"/>
    </row>
    <row r="54" spans="1:22" s="564" customFormat="1" ht="20.100000000000001" customHeight="1">
      <c r="C54" s="1958" t="s">
        <v>298</v>
      </c>
      <c r="D54" s="1958"/>
      <c r="E54" s="1958"/>
      <c r="F54" s="1958"/>
      <c r="G54" s="1958"/>
      <c r="H54" s="1958"/>
      <c r="I54" s="1958"/>
      <c r="J54" s="1958"/>
      <c r="K54" s="1958"/>
      <c r="L54" s="1958"/>
      <c r="M54" s="1958"/>
      <c r="N54" s="1958"/>
      <c r="O54" s="1958"/>
      <c r="P54" s="1958"/>
      <c r="Q54" s="1958"/>
      <c r="R54" s="1958"/>
      <c r="S54" s="1958"/>
      <c r="V54" s="569"/>
    </row>
    <row r="55" spans="1:22" s="588" customFormat="1" ht="20.100000000000001" customHeight="1">
      <c r="A55" s="587"/>
      <c r="B55" s="1959" t="s">
        <v>431</v>
      </c>
      <c r="C55" s="1959"/>
      <c r="D55" s="1959"/>
      <c r="E55" s="1959"/>
      <c r="F55" s="1959"/>
      <c r="G55" s="1959"/>
      <c r="H55" s="1959"/>
      <c r="I55" s="1959"/>
      <c r="J55" s="1959"/>
      <c r="K55" s="1959"/>
      <c r="L55" s="1959"/>
      <c r="M55" s="1959"/>
      <c r="N55" s="1959"/>
      <c r="O55" s="1959"/>
      <c r="P55" s="1959"/>
      <c r="Q55" s="1959"/>
      <c r="R55" s="1959"/>
      <c r="S55" s="1959"/>
      <c r="T55" s="1959"/>
    </row>
    <row r="56" spans="1:22" s="588" customFormat="1" ht="10.15" customHeight="1">
      <c r="A56" s="587"/>
      <c r="B56" s="1393"/>
      <c r="C56" s="1393"/>
      <c r="D56" s="1393"/>
      <c r="E56" s="1393"/>
      <c r="F56" s="1393"/>
      <c r="G56" s="1393"/>
      <c r="H56" s="1393"/>
      <c r="I56" s="1393"/>
      <c r="J56" s="1393"/>
      <c r="K56" s="1393"/>
      <c r="L56" s="1393"/>
      <c r="M56" s="1393"/>
      <c r="N56" s="1393"/>
      <c r="O56" s="1393"/>
      <c r="P56" s="1393"/>
      <c r="Q56" s="1393"/>
      <c r="R56" s="1393"/>
      <c r="S56" s="1393"/>
      <c r="T56" s="1393"/>
    </row>
    <row r="57" spans="1:22" s="584" customFormat="1" ht="18" customHeight="1">
      <c r="B57" s="1187" t="s">
        <v>129</v>
      </c>
      <c r="C57" s="1187"/>
      <c r="D57" s="1187"/>
      <c r="E57" s="1188">
        <f>FirstYear</f>
        <v>2018</v>
      </c>
      <c r="F57" s="1188">
        <f>E57+1</f>
        <v>2019</v>
      </c>
      <c r="G57" s="1188">
        <f>F57+1</f>
        <v>2020</v>
      </c>
      <c r="H57" s="1188">
        <f>G57+1</f>
        <v>2021</v>
      </c>
      <c r="I57" s="1188">
        <f>H57+1</f>
        <v>2022</v>
      </c>
      <c r="J57" s="1188">
        <f>I57+1</f>
        <v>2023</v>
      </c>
      <c r="K57" s="610"/>
      <c r="L57" s="1187" t="s">
        <v>148</v>
      </c>
      <c r="M57" s="1174"/>
      <c r="N57" s="1174"/>
      <c r="O57" s="1189">
        <f>FirstYear</f>
        <v>2018</v>
      </c>
      <c r="P57" s="1190">
        <f>O57+1</f>
        <v>2019</v>
      </c>
      <c r="Q57" s="1190">
        <f>P57+1</f>
        <v>2020</v>
      </c>
      <c r="R57" s="1190">
        <f>Q57+1</f>
        <v>2021</v>
      </c>
      <c r="S57" s="1190">
        <f>R57+1</f>
        <v>2022</v>
      </c>
      <c r="T57" s="1190">
        <f>S57+1</f>
        <v>2023</v>
      </c>
      <c r="V57" s="1191"/>
    </row>
    <row r="58" spans="1:22" s="564" customFormat="1" ht="18" customHeight="1">
      <c r="B58" s="625" t="s">
        <v>77</v>
      </c>
      <c r="C58" s="574"/>
      <c r="D58" s="574"/>
      <c r="E58" s="627">
        <f>'Lists-Modules-ChartData'!AT85</f>
        <v>4.7697166816344838</v>
      </c>
      <c r="F58" s="627">
        <f>'Lists-Modules-ChartData'!AU85</f>
        <v>3.1686434574876632</v>
      </c>
      <c r="G58" s="627">
        <f>'Lists-Modules-ChartData'!AV85</f>
        <v>2.9947102444823903</v>
      </c>
      <c r="H58" s="627">
        <f>'Lists-Modules-ChartData'!AW85</f>
        <v>2.8871442593204177</v>
      </c>
      <c r="I58" s="627">
        <f>'Lists-Modules-ChartData'!AX85</f>
        <v>2.933023694707515</v>
      </c>
      <c r="J58" s="627">
        <f>'Lists-Modules-ChartData'!AY85</f>
        <v>2.8000000000000025</v>
      </c>
      <c r="K58" s="576"/>
      <c r="L58" s="625" t="s">
        <v>77</v>
      </c>
      <c r="M58" s="577"/>
      <c r="N58" s="577"/>
      <c r="O58" s="627">
        <f>'Lists-Modules-ChartData'!AT23</f>
        <v>4.7697166816344838</v>
      </c>
      <c r="P58" s="627">
        <f>'Lists-Modules-ChartData'!AU23</f>
        <v>0.24863029297652051</v>
      </c>
      <c r="Q58" s="627">
        <f>'Lists-Modules-ChartData'!AV23</f>
        <v>0.24863029297652051</v>
      </c>
      <c r="R58" s="627">
        <f>'Lists-Modules-ChartData'!AW23</f>
        <v>0.24863029297652051</v>
      </c>
      <c r="S58" s="627">
        <f>'Lists-Modules-ChartData'!AX23</f>
        <v>0.24863029297652051</v>
      </c>
      <c r="T58" s="627">
        <f>'Lists-Modules-ChartData'!AY23</f>
        <v>0.24863029297652051</v>
      </c>
      <c r="V58" s="569"/>
    </row>
    <row r="59" spans="1:22" s="564" customFormat="1" ht="18" customHeight="1">
      <c r="B59" s="625" t="s">
        <v>78</v>
      </c>
      <c r="C59" s="574"/>
      <c r="D59" s="574"/>
      <c r="E59" s="627">
        <f>'Lists-Modules-ChartData'!AT86</f>
        <v>4.2122999157540031</v>
      </c>
      <c r="F59" s="627">
        <f>'Lists-Modules-ChartData'!AU86</f>
        <v>3.085754504401117</v>
      </c>
      <c r="G59" s="627">
        <f>'Lists-Modules-ChartData'!AV86</f>
        <v>2.7938359016816516</v>
      </c>
      <c r="H59" s="627">
        <f>'Lists-Modules-ChartData'!AW86</f>
        <v>2.5315565708619037</v>
      </c>
      <c r="I59" s="627">
        <f>'Lists-Modules-ChartData'!AX86</f>
        <v>2.4647711698661201</v>
      </c>
      <c r="J59" s="627">
        <f>'Lists-Modules-ChartData'!AY86</f>
        <v>2.5000000000000133</v>
      </c>
      <c r="K59" s="576"/>
      <c r="L59" s="625" t="s">
        <v>78</v>
      </c>
      <c r="M59" s="577"/>
      <c r="N59" s="577"/>
      <c r="O59" s="627">
        <f>'Lists-Modules-ChartData'!AT24</f>
        <v>4.2122999157540031</v>
      </c>
      <c r="P59" s="627">
        <f>'Lists-Modules-ChartData'!AU24</f>
        <v>3.085754504401117</v>
      </c>
      <c r="Q59" s="627">
        <f>'Lists-Modules-ChartData'!AV24</f>
        <v>2.7938359016816516</v>
      </c>
      <c r="R59" s="627">
        <f>'Lists-Modules-ChartData'!AW24</f>
        <v>2.5315565708619037</v>
      </c>
      <c r="S59" s="627">
        <f>'Lists-Modules-ChartData'!AX24</f>
        <v>2.4647711698661201</v>
      </c>
      <c r="T59" s="627">
        <f>'Lists-Modules-ChartData'!AY24</f>
        <v>2.5000000000000133</v>
      </c>
      <c r="V59" s="569"/>
    </row>
    <row r="60" spans="1:22" s="564" customFormat="1" ht="18" customHeight="1">
      <c r="B60" s="625" t="s">
        <v>81</v>
      </c>
      <c r="C60" s="577"/>
      <c r="D60" s="577"/>
      <c r="E60" s="627">
        <f>'Lists-Modules-ChartData'!AT87</f>
        <v>-5.2301873674015509E-2</v>
      </c>
      <c r="F60" s="627">
        <f>'Lists-Modules-ChartData'!AU87</f>
        <v>4.6597896115335713E-2</v>
      </c>
      <c r="G60" s="627">
        <f>'Lists-Modules-ChartData'!AV87</f>
        <v>0.30885252917781103</v>
      </c>
      <c r="H60" s="627">
        <f>'Lists-Modules-ChartData'!AW87</f>
        <v>0.22147723253581053</v>
      </c>
      <c r="I60" s="627">
        <f>'Lists-Modules-ChartData'!AX87</f>
        <v>0.87301076297996993</v>
      </c>
      <c r="J60" s="627">
        <f>'Lists-Modules-ChartData'!AY87</f>
        <v>0.87301076297997549</v>
      </c>
      <c r="K60" s="576"/>
      <c r="L60" s="625" t="s">
        <v>81</v>
      </c>
      <c r="M60" s="577"/>
      <c r="N60" s="577"/>
      <c r="O60" s="627">
        <f>'Lists-Modules-ChartData'!AT25</f>
        <v>-5.2301873674015509E-2</v>
      </c>
      <c r="P60" s="627">
        <f>'Lists-Modules-ChartData'!AU25</f>
        <v>-3.5403360745349088</v>
      </c>
      <c r="Q60" s="627">
        <f>'Lists-Modules-ChartData'!AV25</f>
        <v>-3.5403360745349088</v>
      </c>
      <c r="R60" s="627">
        <f>'Lists-Modules-ChartData'!AW25</f>
        <v>-3.5403360745349088</v>
      </c>
      <c r="S60" s="627">
        <f>'Lists-Modules-ChartData'!AX25</f>
        <v>-3.5403360745349088</v>
      </c>
      <c r="T60" s="627">
        <f>'Lists-Modules-ChartData'!AY25</f>
        <v>-3.5403360745349088</v>
      </c>
      <c r="V60" s="581"/>
    </row>
    <row r="61" spans="1:22" s="564" customFormat="1" ht="18" customHeight="1">
      <c r="B61" s="625" t="s">
        <v>304</v>
      </c>
      <c r="C61" s="577"/>
      <c r="D61" s="577"/>
      <c r="E61" s="627">
        <f>'Lists-Modules-ChartData'!AT88</f>
        <v>1.9586439007071743</v>
      </c>
      <c r="F61" s="627">
        <f>'Lists-Modules-ChartData'!AU88</f>
        <v>1.9875432898830547</v>
      </c>
      <c r="G61" s="627">
        <f>'Lists-Modules-ChartData'!AV88</f>
        <v>1.8677852623362263</v>
      </c>
      <c r="H61" s="627">
        <f>'Lists-Modules-ChartData'!AW88</f>
        <v>2.029232046171678</v>
      </c>
      <c r="I61" s="627">
        <f>'Lists-Modules-ChartData'!AX88</f>
        <v>1.8384784130669154</v>
      </c>
      <c r="J61" s="627">
        <f>'Lists-Modules-ChartData'!AY88</f>
        <v>1.9187244839005111</v>
      </c>
      <c r="K61" s="576"/>
      <c r="L61" s="625" t="s">
        <v>304</v>
      </c>
      <c r="M61" s="577"/>
      <c r="N61" s="577"/>
      <c r="O61" s="627">
        <f>'Lists-Modules-ChartData'!AT26</f>
        <v>1.9586439007071743</v>
      </c>
      <c r="P61" s="627">
        <f ca="1">'Lists-Modules-ChartData'!AU26</f>
        <v>2.4781166566290191</v>
      </c>
      <c r="Q61" s="627">
        <f ca="1">'Lists-Modules-ChartData'!AV26</f>
        <v>3.8229485917452037</v>
      </c>
      <c r="R61" s="627">
        <f ca="1">'Lists-Modules-ChartData'!AW26</f>
        <v>3.0643363287428316</v>
      </c>
      <c r="S61" s="627">
        <f ca="1">'Lists-Modules-ChartData'!AX26</f>
        <v>4.0723132015401582</v>
      </c>
      <c r="T61" s="627">
        <f ca="1">'Lists-Modules-ChartData'!AY26</f>
        <v>4.40032170441674</v>
      </c>
      <c r="V61" s="583"/>
    </row>
    <row r="62" spans="1:22" s="564" customFormat="1" ht="5.0999999999999996" customHeight="1">
      <c r="B62" s="576"/>
      <c r="C62" s="577"/>
      <c r="D62" s="577"/>
      <c r="E62" s="577"/>
      <c r="F62" s="573"/>
      <c r="G62" s="577"/>
      <c r="H62" s="577"/>
      <c r="I62" s="577"/>
      <c r="J62" s="624"/>
      <c r="K62" s="626"/>
      <c r="L62" s="626"/>
      <c r="M62" s="626"/>
      <c r="N62" s="626"/>
      <c r="O62" s="626"/>
      <c r="P62" s="575"/>
      <c r="Q62" s="575"/>
      <c r="R62" s="575"/>
      <c r="S62" s="575"/>
      <c r="T62" s="576"/>
      <c r="V62" s="583"/>
    </row>
    <row r="63" spans="1:22" s="564" customFormat="1" ht="18" customHeight="1">
      <c r="B63" s="573" t="s">
        <v>865</v>
      </c>
      <c r="C63" s="577"/>
      <c r="D63" s="577"/>
      <c r="E63" s="1471"/>
      <c r="F63" s="1471"/>
      <c r="G63" s="1471"/>
      <c r="H63" s="1471"/>
      <c r="I63" s="1471"/>
      <c r="J63" s="1471"/>
      <c r="K63" s="626"/>
      <c r="L63" s="573" t="str">
        <f>IF(AND(ScrutinyClassification_Final="Lower",CLTrigger=1),"Contingent Liability Shock","")</f>
        <v/>
      </c>
      <c r="M63" s="577"/>
      <c r="N63" s="577"/>
      <c r="O63" s="1186"/>
      <c r="P63" s="1186"/>
      <c r="Q63" s="1186"/>
      <c r="R63" s="1186"/>
      <c r="S63" s="1186"/>
      <c r="T63" s="1186"/>
      <c r="V63" s="583"/>
    </row>
    <row r="64" spans="1:22" s="564" customFormat="1" ht="18" customHeight="1">
      <c r="B64" s="625" t="s">
        <v>77</v>
      </c>
      <c r="C64" s="577"/>
      <c r="D64" s="577"/>
      <c r="E64" s="627">
        <f>'Lists-Modules-ChartData'!AT33</f>
        <v>4.7697166816344838</v>
      </c>
      <c r="F64" s="627">
        <f>'Lists-Modules-ChartData'!AU33</f>
        <v>3.1686434574876632</v>
      </c>
      <c r="G64" s="627">
        <f>'Lists-Modules-ChartData'!AV33</f>
        <v>2.9947102444823903</v>
      </c>
      <c r="H64" s="627">
        <f>'Lists-Modules-ChartData'!AW33</f>
        <v>2.8871442593204177</v>
      </c>
      <c r="I64" s="627">
        <f>'Lists-Modules-ChartData'!AX33</f>
        <v>2.933023694707515</v>
      </c>
      <c r="J64" s="627">
        <f>'Lists-Modules-ChartData'!AY33</f>
        <v>2.8000000000000025</v>
      </c>
      <c r="K64" s="576"/>
      <c r="L64" s="625" t="str">
        <f>IF(AND(ScrutinyClassification_Final="Lower",CLTrigger=1),L58,"")</f>
        <v/>
      </c>
      <c r="M64" s="577"/>
      <c r="N64" s="577"/>
      <c r="O64" s="627" t="str">
        <f>IF(AND(ScrutinyClassification_Final="Lower",CLTrigger=1),'Lists-Modules-ChartData'!AT46,"")</f>
        <v/>
      </c>
      <c r="P64" s="627" t="str">
        <f>IF(AND(ScrutinyClassification_Final="Lower",CLTrigger=1),'Lists-Modules-ChartData'!AU46,"")</f>
        <v/>
      </c>
      <c r="Q64" s="627" t="str">
        <f>IF(AND(ScrutinyClassification_Final="Lower",CLTrigger=1),'Lists-Modules-ChartData'!AV46,"")</f>
        <v/>
      </c>
      <c r="R64" s="627" t="str">
        <f>IF(AND(ScrutinyClassification_Final="Lower",CLTrigger=1),'Lists-Modules-ChartData'!AW46,"")</f>
        <v/>
      </c>
      <c r="S64" s="627" t="str">
        <f>IF(AND(ScrutinyClassification_Final="Lower",CLTrigger=1),'Lists-Modules-ChartData'!AX46,"")</f>
        <v/>
      </c>
      <c r="T64" s="627" t="str">
        <f>IF(AND(ScrutinyClassification_Final="Lower",CLTrigger=1),'Lists-Modules-ChartData'!AY46,"")</f>
        <v/>
      </c>
      <c r="V64" s="583"/>
    </row>
    <row r="65" spans="1:22" s="564" customFormat="1" ht="18" customHeight="1">
      <c r="B65" s="625" t="s">
        <v>78</v>
      </c>
      <c r="C65" s="577"/>
      <c r="D65" s="577"/>
      <c r="E65" s="627">
        <f>'Lists-Modules-ChartData'!AT34</f>
        <v>4.2122999157540031</v>
      </c>
      <c r="F65" s="627">
        <f>'Lists-Modules-ChartData'!AU34</f>
        <v>3.085754504401117</v>
      </c>
      <c r="G65" s="627">
        <f>'Lists-Modules-ChartData'!AV34</f>
        <v>2.7938359016816516</v>
      </c>
      <c r="H65" s="627">
        <f>'Lists-Modules-ChartData'!AW34</f>
        <v>2.5315565708619037</v>
      </c>
      <c r="I65" s="627">
        <f>'Lists-Modules-ChartData'!AX34</f>
        <v>2.4647711698661201</v>
      </c>
      <c r="J65" s="627">
        <f>'Lists-Modules-ChartData'!AY34</f>
        <v>2.5000000000000133</v>
      </c>
      <c r="K65" s="576"/>
      <c r="L65" s="625" t="str">
        <f>IF(AND(ScrutinyClassification_Final="Lower",CLTrigger=1),L59,"")</f>
        <v/>
      </c>
      <c r="M65" s="577"/>
      <c r="N65" s="577"/>
      <c r="O65" s="627" t="str">
        <f>IF(AND(ScrutinyClassification_Final="Lower",CLTrigger=1),'Lists-Modules-ChartData'!AT47,"")</f>
        <v/>
      </c>
      <c r="P65" s="627" t="str">
        <f>IF(AND(ScrutinyClassification_Final="Lower",CLTrigger=1),'Lists-Modules-ChartData'!AU47,"")</f>
        <v/>
      </c>
      <c r="Q65" s="627" t="str">
        <f>IF(AND(ScrutinyClassification_Final="Lower",CLTrigger=1),'Lists-Modules-ChartData'!AV47,"")</f>
        <v/>
      </c>
      <c r="R65" s="627" t="str">
        <f>IF(AND(ScrutinyClassification_Final="Lower",CLTrigger=1),'Lists-Modules-ChartData'!AW47,"")</f>
        <v/>
      </c>
      <c r="S65" s="627" t="str">
        <f>IF(AND(ScrutinyClassification_Final="Lower",CLTrigger=1),'Lists-Modules-ChartData'!AX47,"")</f>
        <v/>
      </c>
      <c r="T65" s="627" t="str">
        <f>IF(AND(ScrutinyClassification_Final="Lower",CLTrigger=1),'Lists-Modules-ChartData'!AY47,"")</f>
        <v/>
      </c>
    </row>
    <row r="66" spans="1:22" s="564" customFormat="1" ht="18" customHeight="1">
      <c r="B66" s="625" t="s">
        <v>81</v>
      </c>
      <c r="C66" s="577"/>
      <c r="D66" s="577"/>
      <c r="E66" s="627">
        <f>'Lists-Modules-ChartData'!AT35</f>
        <v>-5.2301873674015509E-2</v>
      </c>
      <c r="F66" s="627">
        <f>'Lists-Modules-ChartData'!AU35</f>
        <v>-5.2301873674015509E-2</v>
      </c>
      <c r="G66" s="627">
        <f>'Lists-Modules-ChartData'!AV35</f>
        <v>-5.2301873674015509E-2</v>
      </c>
      <c r="H66" s="627">
        <f>'Lists-Modules-ChartData'!AW35</f>
        <v>-5.2301873674015509E-2</v>
      </c>
      <c r="I66" s="627">
        <f>'Lists-Modules-ChartData'!AX35</f>
        <v>-5.2301873674015509E-2</v>
      </c>
      <c r="J66" s="627">
        <f>'Lists-Modules-ChartData'!AY35</f>
        <v>-5.2301873674015509E-2</v>
      </c>
      <c r="K66" s="576"/>
      <c r="L66" s="625" t="str">
        <f>IF(AND(ScrutinyClassification_Final="Lower",CLTrigger=1),L60,"")</f>
        <v/>
      </c>
      <c r="M66" s="577"/>
      <c r="N66" s="577"/>
      <c r="O66" s="627" t="str">
        <f>IF(AND(ScrutinyClassification_Final="Lower",CLTrigger=1),'Lists-Modules-ChartData'!AT48,"")</f>
        <v/>
      </c>
      <c r="P66" s="627" t="str">
        <f>IF(AND(ScrutinyClassification_Final="Lower",CLTrigger=1),'Lists-Modules-ChartData'!AU48,"")</f>
        <v/>
      </c>
      <c r="Q66" s="627" t="str">
        <f>IF(AND(ScrutinyClassification_Final="Lower",CLTrigger=1),'Lists-Modules-ChartData'!AV48,"")</f>
        <v/>
      </c>
      <c r="R66" s="627" t="str">
        <f>IF(AND(ScrutinyClassification_Final="Lower",CLTrigger=1),'Lists-Modules-ChartData'!AW48,"")</f>
        <v/>
      </c>
      <c r="S66" s="627" t="str">
        <f>IF(AND(ScrutinyClassification_Final="Lower",CLTrigger=1),'Lists-Modules-ChartData'!AX48,"")</f>
        <v/>
      </c>
      <c r="T66" s="627" t="str">
        <f>IF(AND(ScrutinyClassification_Final="Lower",CLTrigger=1),'Lists-Modules-ChartData'!AY48,"")</f>
        <v/>
      </c>
      <c r="V66" s="583"/>
    </row>
    <row r="67" spans="1:22" s="564" customFormat="1" ht="18" customHeight="1">
      <c r="B67" s="625" t="s">
        <v>304</v>
      </c>
      <c r="C67" s="577"/>
      <c r="D67" s="577"/>
      <c r="E67" s="627">
        <f>'Lists-Modules-ChartData'!AT36</f>
        <v>1.9586439007071743</v>
      </c>
      <c r="F67" s="627">
        <f ca="1">'Lists-Modules-ChartData'!AU36</f>
        <v>2.4781166566290191</v>
      </c>
      <c r="G67" s="627">
        <f ca="1">'Lists-Modules-ChartData'!AV36</f>
        <v>3.1221186569105042</v>
      </c>
      <c r="H67" s="627">
        <f ca="1">'Lists-Modules-ChartData'!AW36</f>
        <v>1.6841193966014807</v>
      </c>
      <c r="I67" s="627">
        <f ca="1">'Lists-Modules-ChartData'!AX36</f>
        <v>2.1911228022965714</v>
      </c>
      <c r="J67" s="627">
        <f ca="1">'Lists-Modules-ChartData'!AY36</f>
        <v>2.2895405406737046</v>
      </c>
      <c r="K67" s="577"/>
      <c r="L67" s="625" t="str">
        <f>IF(AND(ScrutinyClassification_Final="Lower",CLTrigger=1),L61,"")</f>
        <v/>
      </c>
      <c r="M67" s="577"/>
      <c r="N67" s="577"/>
      <c r="O67" s="627" t="str">
        <f>IF(AND(ScrutinyClassification_Final="Lower",CLTrigger=1),'Lists-Modules-ChartData'!AT49,"")</f>
        <v/>
      </c>
      <c r="P67" s="627" t="str">
        <f>IF(AND(ScrutinyClassification_Final="Lower",CLTrigger=1),'Lists-Modules-ChartData'!AU49,"")</f>
        <v/>
      </c>
      <c r="Q67" s="627" t="str">
        <f>IF(AND(ScrutinyClassification_Final="Lower",CLTrigger=1),'Lists-Modules-ChartData'!AV49,"")</f>
        <v/>
      </c>
      <c r="R67" s="627" t="str">
        <f>IF(AND(ScrutinyClassification_Final="Lower",CLTrigger=1),'Lists-Modules-ChartData'!AW49,"")</f>
        <v/>
      </c>
      <c r="S67" s="627" t="str">
        <f>IF(AND(ScrutinyClassification_Final="Lower",CLTrigger=1),'Lists-Modules-ChartData'!AX49,"")</f>
        <v/>
      </c>
      <c r="T67" s="627" t="str">
        <f>IF(AND(ScrutinyClassification_Final="Lower",CLTrigger=1),'Lists-Modules-ChartData'!AY49,"")</f>
        <v/>
      </c>
      <c r="V67" s="583"/>
    </row>
    <row r="68" spans="1:22" s="564" customFormat="1" ht="5.0999999999999996" customHeight="1">
      <c r="B68" s="576"/>
      <c r="C68" s="577"/>
      <c r="D68" s="577"/>
      <c r="E68" s="577"/>
      <c r="F68" s="573"/>
      <c r="G68" s="577"/>
      <c r="H68" s="577"/>
      <c r="I68" s="577"/>
      <c r="J68" s="624"/>
      <c r="K68" s="626"/>
      <c r="L68" s="626"/>
      <c r="M68" s="626"/>
      <c r="N68" s="626"/>
      <c r="O68" s="626"/>
      <c r="P68" s="575"/>
      <c r="Q68" s="575"/>
      <c r="R68" s="575"/>
      <c r="S68" s="575"/>
      <c r="T68" s="576"/>
      <c r="V68" s="583"/>
    </row>
    <row r="69" spans="1:22" s="564" customFormat="1" ht="18" customHeight="1" outlineLevel="1">
      <c r="B69" s="573" t="str">
        <f>IF(AND(ScrutinyClassification_Final="Lower",Custom1Trigger=1),'Lists-Modules-ChartData'!AQ51,"")</f>
        <v/>
      </c>
      <c r="C69" s="577"/>
      <c r="D69" s="577"/>
      <c r="E69" s="1186"/>
      <c r="F69" s="1186"/>
      <c r="G69" s="1186"/>
      <c r="H69" s="1186"/>
      <c r="I69" s="1186"/>
      <c r="J69" s="1186"/>
      <c r="K69" s="626"/>
      <c r="L69" s="573" t="str">
        <f>IF(AND(ScrutinyClassification_Final="Lower",Custom2Trigger=1),'Lists-Modules-ChartData'!AQ61,"")</f>
        <v/>
      </c>
      <c r="M69" s="577"/>
      <c r="N69" s="577"/>
      <c r="O69" s="1186"/>
      <c r="P69" s="1186"/>
      <c r="Q69" s="1186"/>
      <c r="R69" s="1186"/>
      <c r="S69" s="1186"/>
      <c r="T69" s="1186"/>
      <c r="V69" s="583"/>
    </row>
    <row r="70" spans="1:22" s="564" customFormat="1" ht="18" customHeight="1" outlineLevel="1">
      <c r="B70" s="625" t="str">
        <f>IF(AND(ScrutinyClassification_Final="Lower",Custom1Trigger=1),B64,"")</f>
        <v/>
      </c>
      <c r="C70" s="577"/>
      <c r="D70" s="577"/>
      <c r="E70" s="627" t="str">
        <f>IF(AND(ScrutinyClassification_Final="Lower",Custom1Trigger=1),'Lists-Modules-ChartData'!AT56,"")</f>
        <v/>
      </c>
      <c r="F70" s="627" t="str">
        <f>IF(AND(ScrutinyClassification_Final="Lower",Custom1Trigger=1),'Lists-Modules-ChartData'!AU56,"")</f>
        <v/>
      </c>
      <c r="G70" s="627" t="str">
        <f>IF(AND(ScrutinyClassification_Final="Lower",Custom1Trigger=1),'Lists-Modules-ChartData'!AV56,"")</f>
        <v/>
      </c>
      <c r="H70" s="627" t="str">
        <f>IF(AND(ScrutinyClassification_Final="Lower",Custom1Trigger=1),'Lists-Modules-ChartData'!AW56,"")</f>
        <v/>
      </c>
      <c r="I70" s="627" t="str">
        <f>IF(AND(ScrutinyClassification_Final="Lower",Custom1Trigger=1),'Lists-Modules-ChartData'!AX56,"")</f>
        <v/>
      </c>
      <c r="J70" s="627" t="str">
        <f>IF(AND(ScrutinyClassification_Final="Lower",Custom1Trigger=1),'Lists-Modules-ChartData'!AY56,"")</f>
        <v/>
      </c>
      <c r="K70" s="576"/>
      <c r="L70" s="625" t="str">
        <f>IF(AND(ScrutinyClassification_Final="Lower",Custom2Trigger=1),L64,"")</f>
        <v/>
      </c>
      <c r="M70" s="577"/>
      <c r="N70" s="577"/>
      <c r="O70" s="627" t="str">
        <f>IF(AND(ScrutinyClassification_Final="Lower",Custom2Trigger=1),'Lists-Modules-ChartData'!AT66,"")</f>
        <v/>
      </c>
      <c r="P70" s="627" t="str">
        <f>IF(AND(ScrutinyClassification_Final="Lower",Custom2Trigger=1),'Lists-Modules-ChartData'!AU66,"")</f>
        <v/>
      </c>
      <c r="Q70" s="627" t="str">
        <f>IF(AND(ScrutinyClassification_Final="Lower",Custom2Trigger=1),'Lists-Modules-ChartData'!AV66,"")</f>
        <v/>
      </c>
      <c r="R70" s="627" t="str">
        <f>IF(AND(ScrutinyClassification_Final="Lower",Custom2Trigger=1),'Lists-Modules-ChartData'!AW66,"")</f>
        <v/>
      </c>
      <c r="S70" s="627" t="str">
        <f>IF(AND(ScrutinyClassification_Final="Lower",Custom2Trigger=1),'Lists-Modules-ChartData'!AX66,"")</f>
        <v/>
      </c>
      <c r="T70" s="627" t="str">
        <f>IF(AND(ScrutinyClassification_Final="Lower",Custom2Trigger=1),'Lists-Modules-ChartData'!AY66,"")</f>
        <v/>
      </c>
      <c r="V70" s="583"/>
    </row>
    <row r="71" spans="1:22" s="564" customFormat="1" ht="18" customHeight="1" outlineLevel="1">
      <c r="B71" s="625" t="str">
        <f>IF(AND(ScrutinyClassification_Final="Lower",Custom1Trigger=1),B65,"")</f>
        <v/>
      </c>
      <c r="C71" s="577"/>
      <c r="D71" s="577"/>
      <c r="E71" s="627" t="str">
        <f>IF(AND(ScrutinyClassification_Final="Lower",Custom1Trigger=1),'Lists-Modules-ChartData'!AT57,"")</f>
        <v/>
      </c>
      <c r="F71" s="627" t="str">
        <f>IF(AND(ScrutinyClassification_Final="Lower",Custom1Trigger=1),'Lists-Modules-ChartData'!AU57,"")</f>
        <v/>
      </c>
      <c r="G71" s="627" t="str">
        <f>IF(AND(ScrutinyClassification_Final="Lower",Custom1Trigger=1),'Lists-Modules-ChartData'!AV57,"")</f>
        <v/>
      </c>
      <c r="H71" s="627" t="str">
        <f>IF(AND(ScrutinyClassification_Final="Lower",Custom1Trigger=1),'Lists-Modules-ChartData'!AW57,"")</f>
        <v/>
      </c>
      <c r="I71" s="627" t="str">
        <f>IF(AND(ScrutinyClassification_Final="Lower",Custom1Trigger=1),'Lists-Modules-ChartData'!AX57,"")</f>
        <v/>
      </c>
      <c r="J71" s="627" t="str">
        <f>IF(AND(ScrutinyClassification_Final="Lower",Custom1Trigger=1),'Lists-Modules-ChartData'!AY57,"")</f>
        <v/>
      </c>
      <c r="K71" s="576"/>
      <c r="L71" s="625" t="str">
        <f>IF(AND(ScrutinyClassification_Final="Lower",Custom2Trigger=1),L65,"")</f>
        <v/>
      </c>
      <c r="M71" s="577"/>
      <c r="N71" s="577"/>
      <c r="O71" s="627" t="str">
        <f>IF(AND(ScrutinyClassification_Final="Lower",Custom2Trigger=1),'Lists-Modules-ChartData'!AT67,"")</f>
        <v/>
      </c>
      <c r="P71" s="627" t="str">
        <f>IF(AND(ScrutinyClassification_Final="Lower",Custom2Trigger=1),'Lists-Modules-ChartData'!AU67,"")</f>
        <v/>
      </c>
      <c r="Q71" s="627" t="str">
        <f>IF(AND(ScrutinyClassification_Final="Lower",Custom2Trigger=1),'Lists-Modules-ChartData'!AV67,"")</f>
        <v/>
      </c>
      <c r="R71" s="627" t="str">
        <f>IF(AND(ScrutinyClassification_Final="Lower",Custom2Trigger=1),'Lists-Modules-ChartData'!AW67,"")</f>
        <v/>
      </c>
      <c r="S71" s="627" t="str">
        <f>IF(AND(ScrutinyClassification_Final="Lower",Custom2Trigger=1),'Lists-Modules-ChartData'!AX67,"")</f>
        <v/>
      </c>
      <c r="T71" s="627" t="str">
        <f>IF(AND(ScrutinyClassification_Final="Lower",Custom2Trigger=1),'Lists-Modules-ChartData'!AY67,"")</f>
        <v/>
      </c>
    </row>
    <row r="72" spans="1:22" s="564" customFormat="1" ht="18" customHeight="1" outlineLevel="1">
      <c r="B72" s="625" t="str">
        <f>IF(AND(ScrutinyClassification_Final="Lower",Custom1Trigger=1),B66,"")</f>
        <v/>
      </c>
      <c r="C72" s="577"/>
      <c r="D72" s="577"/>
      <c r="E72" s="627" t="str">
        <f>IF(AND(ScrutinyClassification_Final="Lower",Custom1Trigger=1),'Lists-Modules-ChartData'!AT58,"")</f>
        <v/>
      </c>
      <c r="F72" s="627" t="str">
        <f>IF(AND(ScrutinyClassification_Final="Lower",Custom1Trigger=1),'Lists-Modules-ChartData'!AU58,"")</f>
        <v/>
      </c>
      <c r="G72" s="627" t="str">
        <f>IF(AND(ScrutinyClassification_Final="Lower",Custom1Trigger=1),'Lists-Modules-ChartData'!AV58,"")</f>
        <v/>
      </c>
      <c r="H72" s="627" t="str">
        <f>IF(AND(ScrutinyClassification_Final="Lower",Custom1Trigger=1),'Lists-Modules-ChartData'!AW58,"")</f>
        <v/>
      </c>
      <c r="I72" s="627" t="str">
        <f>IF(AND(ScrutinyClassification_Final="Lower",Custom1Trigger=1),'Lists-Modules-ChartData'!AX58,"")</f>
        <v/>
      </c>
      <c r="J72" s="627" t="str">
        <f>IF(AND(ScrutinyClassification_Final="Lower",Custom1Trigger=1),'Lists-Modules-ChartData'!AY58,"")</f>
        <v/>
      </c>
      <c r="K72" s="576"/>
      <c r="L72" s="625" t="str">
        <f>IF(AND(ScrutinyClassification_Final="Lower",Custom2Trigger=1),L66,"")</f>
        <v/>
      </c>
      <c r="M72" s="577"/>
      <c r="N72" s="577"/>
      <c r="O72" s="627" t="str">
        <f>IF(AND(ScrutinyClassification_Final="Lower",Custom2Trigger=1),'Lists-Modules-ChartData'!AT68,"")</f>
        <v/>
      </c>
      <c r="P72" s="627" t="str">
        <f>IF(AND(ScrutinyClassification_Final="Lower",Custom2Trigger=1),'Lists-Modules-ChartData'!AU68,"")</f>
        <v/>
      </c>
      <c r="Q72" s="627" t="str">
        <f>IF(AND(ScrutinyClassification_Final="Lower",Custom2Trigger=1),'Lists-Modules-ChartData'!AV68,"")</f>
        <v/>
      </c>
      <c r="R72" s="627" t="str">
        <f>IF(AND(ScrutinyClassification_Final="Lower",Custom2Trigger=1),'Lists-Modules-ChartData'!AW68,"")</f>
        <v/>
      </c>
      <c r="S72" s="627" t="str">
        <f>IF(AND(ScrutinyClassification_Final="Lower",Custom2Trigger=1),'Lists-Modules-ChartData'!AX68,"")</f>
        <v/>
      </c>
      <c r="T72" s="627" t="str">
        <f>IF(AND(ScrutinyClassification_Final="Lower",Custom2Trigger=1),'Lists-Modules-ChartData'!AY68,"")</f>
        <v/>
      </c>
      <c r="V72" s="583"/>
    </row>
    <row r="73" spans="1:22" s="564" customFormat="1" ht="18" customHeight="1" outlineLevel="1">
      <c r="B73" s="625" t="str">
        <f>IF(AND(ScrutinyClassification_Final="Lower",Custom1Trigger=1),B67,"")</f>
        <v/>
      </c>
      <c r="C73" s="577"/>
      <c r="D73" s="577"/>
      <c r="E73" s="627" t="str">
        <f>IF(AND(ScrutinyClassification_Final="Lower",Custom1Trigger=1),'Lists-Modules-ChartData'!AT59,"")</f>
        <v/>
      </c>
      <c r="F73" s="627" t="str">
        <f>IF(AND(ScrutinyClassification_Final="Lower",Custom1Trigger=1),'Lists-Modules-ChartData'!AU59,"")</f>
        <v/>
      </c>
      <c r="G73" s="627" t="str">
        <f>IF(AND(ScrutinyClassification_Final="Lower",Custom1Trigger=1),'Lists-Modules-ChartData'!AV59,"")</f>
        <v/>
      </c>
      <c r="H73" s="627" t="str">
        <f>IF(AND(ScrutinyClassification_Final="Lower",Custom1Trigger=1),'Lists-Modules-ChartData'!AW59,"")</f>
        <v/>
      </c>
      <c r="I73" s="627" t="str">
        <f>IF(AND(ScrutinyClassification_Final="Lower",Custom1Trigger=1),'Lists-Modules-ChartData'!AX59,"")</f>
        <v/>
      </c>
      <c r="J73" s="627" t="str">
        <f>IF(AND(ScrutinyClassification_Final="Lower",Custom1Trigger=1),'Lists-Modules-ChartData'!AY59,"")</f>
        <v/>
      </c>
      <c r="K73" s="577"/>
      <c r="L73" s="625" t="str">
        <f>IF(AND(ScrutinyClassification_Final="Lower",Custom2Trigger=1),L67,"")</f>
        <v/>
      </c>
      <c r="M73" s="577"/>
      <c r="N73" s="577"/>
      <c r="O73" s="627" t="str">
        <f>IF(AND(ScrutinyClassification_Final="Lower",Custom2Trigger=1),'Lists-Modules-ChartData'!AT69,"")</f>
        <v/>
      </c>
      <c r="P73" s="627" t="str">
        <f>IF(AND(ScrutinyClassification_Final="Lower",Custom2Trigger=1),'Lists-Modules-ChartData'!AU69,"")</f>
        <v/>
      </c>
      <c r="Q73" s="627" t="str">
        <f>IF(AND(ScrutinyClassification_Final="Lower",Custom2Trigger=1),'Lists-Modules-ChartData'!AV69,"")</f>
        <v/>
      </c>
      <c r="R73" s="627" t="str">
        <f>IF(AND(ScrutinyClassification_Final="Lower",Custom2Trigger=1),'Lists-Modules-ChartData'!AW69,"")</f>
        <v/>
      </c>
      <c r="S73" s="627" t="str">
        <f>IF(AND(ScrutinyClassification_Final="Lower",Custom2Trigger=1),'Lists-Modules-ChartData'!AX69,"")</f>
        <v/>
      </c>
      <c r="T73" s="627" t="str">
        <f>IF(AND(ScrutinyClassification_Final="Lower",Custom2Trigger=1),'Lists-Modules-ChartData'!AY69,"")</f>
        <v/>
      </c>
      <c r="V73" s="583"/>
    </row>
    <row r="74" spans="1:22" s="564" customFormat="1" ht="18" customHeight="1">
      <c r="B74" s="1472"/>
      <c r="C74" s="1473"/>
      <c r="D74" s="1473"/>
      <c r="E74" s="1474"/>
      <c r="F74" s="1474"/>
      <c r="G74" s="1474"/>
      <c r="H74" s="1474"/>
      <c r="I74" s="1474"/>
      <c r="J74" s="1474"/>
      <c r="K74" s="577"/>
      <c r="L74" s="1472"/>
      <c r="M74" s="1473"/>
      <c r="N74" s="1473"/>
      <c r="O74" s="1474"/>
      <c r="P74" s="1474"/>
      <c r="Q74" s="1474"/>
      <c r="R74" s="1474"/>
      <c r="S74" s="1474"/>
      <c r="T74" s="1474"/>
      <c r="V74" s="583"/>
    </row>
    <row r="75" spans="1:22" s="564" customFormat="1" ht="17.25">
      <c r="A75" s="577" t="s">
        <v>960</v>
      </c>
      <c r="S75" s="563"/>
    </row>
    <row r="76" spans="1:22" s="564" customFormat="1" ht="17.25">
      <c r="A76" s="577"/>
      <c r="S76" s="563"/>
    </row>
    <row r="77" spans="1:22" s="564" customFormat="1">
      <c r="A77" s="563"/>
      <c r="S77" s="563"/>
    </row>
    <row r="78" spans="1:22" s="564" customFormat="1">
      <c r="A78" s="563"/>
      <c r="S78" s="563"/>
    </row>
    <row r="79" spans="1:22" s="564" customFormat="1">
      <c r="A79" s="563"/>
      <c r="S79" s="563"/>
    </row>
    <row r="80" spans="1:22" s="564" customFormat="1">
      <c r="A80" s="563"/>
      <c r="S80" s="563"/>
    </row>
    <row r="81" spans="1:19" s="564" customFormat="1">
      <c r="A81" s="563"/>
      <c r="S81" s="563"/>
    </row>
    <row r="82" spans="1:19" s="564" customFormat="1">
      <c r="A82" s="563"/>
      <c r="S82" s="563"/>
    </row>
    <row r="83" spans="1:19" s="564" customFormat="1">
      <c r="A83" s="563"/>
      <c r="S83" s="563"/>
    </row>
    <row r="84" spans="1:19" s="564" customFormat="1">
      <c r="A84" s="563"/>
      <c r="S84" s="563"/>
    </row>
    <row r="85" spans="1:19" s="564" customFormat="1">
      <c r="A85" s="563"/>
      <c r="S85" s="563"/>
    </row>
    <row r="86" spans="1:19" s="564" customFormat="1">
      <c r="A86" s="563"/>
      <c r="S86" s="563"/>
    </row>
    <row r="87" spans="1:19" s="564" customFormat="1">
      <c r="A87" s="563"/>
      <c r="S87" s="563"/>
    </row>
    <row r="88" spans="1:19" s="564" customFormat="1">
      <c r="A88" s="563"/>
      <c r="S88" s="563"/>
    </row>
    <row r="89" spans="1:19" s="564" customFormat="1">
      <c r="A89" s="563"/>
      <c r="S89" s="563"/>
    </row>
    <row r="90" spans="1:19" s="564" customFormat="1">
      <c r="A90" s="563"/>
      <c r="S90" s="563"/>
    </row>
    <row r="91" spans="1:19" s="564" customFormat="1">
      <c r="A91" s="563"/>
      <c r="S91" s="563"/>
    </row>
    <row r="92" spans="1:19" s="564" customFormat="1">
      <c r="A92" s="563"/>
      <c r="S92" s="563"/>
    </row>
    <row r="93" spans="1:19" s="564" customFormat="1">
      <c r="A93" s="563"/>
      <c r="S93" s="563"/>
    </row>
    <row r="94" spans="1:19" s="564" customFormat="1">
      <c r="A94" s="563"/>
      <c r="S94" s="563"/>
    </row>
    <row r="95" spans="1:19" s="564" customFormat="1">
      <c r="A95" s="563"/>
      <c r="S95" s="563"/>
    </row>
    <row r="96" spans="1:19" s="564" customFormat="1">
      <c r="A96" s="563"/>
      <c r="S96" s="563"/>
    </row>
    <row r="97" spans="1:19" s="564" customFormat="1">
      <c r="A97" s="563"/>
      <c r="S97" s="563"/>
    </row>
    <row r="98" spans="1:19" s="564" customFormat="1">
      <c r="A98" s="563"/>
      <c r="S98" s="563"/>
    </row>
    <row r="99" spans="1:19" s="564" customFormat="1">
      <c r="A99" s="563"/>
      <c r="S99" s="563"/>
    </row>
    <row r="100" spans="1:19" s="564" customFormat="1">
      <c r="A100" s="563"/>
      <c r="S100" s="563"/>
    </row>
    <row r="101" spans="1:19" s="564" customFormat="1">
      <c r="A101" s="563"/>
      <c r="S101" s="563"/>
    </row>
    <row r="102" spans="1:19" s="564" customFormat="1">
      <c r="A102" s="563"/>
      <c r="S102" s="563"/>
    </row>
    <row r="103" spans="1:19" s="564" customFormat="1">
      <c r="A103" s="563"/>
      <c r="S103" s="563"/>
    </row>
    <row r="104" spans="1:19" s="564" customFormat="1">
      <c r="A104" s="563"/>
      <c r="S104" s="563"/>
    </row>
    <row r="105" spans="1:19" s="564" customFormat="1">
      <c r="A105" s="563"/>
      <c r="S105" s="563"/>
    </row>
    <row r="106" spans="1:19" s="564" customFormat="1">
      <c r="A106" s="563"/>
      <c r="S106" s="563"/>
    </row>
    <row r="107" spans="1:19" s="564" customFormat="1">
      <c r="A107" s="563"/>
      <c r="S107" s="563"/>
    </row>
    <row r="108" spans="1:19" s="564" customFormat="1">
      <c r="A108" s="563"/>
      <c r="S108" s="563"/>
    </row>
    <row r="109" spans="1:19" s="564" customFormat="1">
      <c r="A109" s="563"/>
      <c r="S109" s="563"/>
    </row>
    <row r="110" spans="1:19" s="564" customFormat="1">
      <c r="A110" s="563"/>
      <c r="S110" s="563"/>
    </row>
    <row r="111" spans="1:19" s="564" customFormat="1">
      <c r="A111" s="563"/>
      <c r="S111" s="563"/>
    </row>
    <row r="112" spans="1:19" s="564" customFormat="1">
      <c r="A112" s="563"/>
      <c r="S112" s="563"/>
    </row>
    <row r="113" spans="1:19" s="564" customFormat="1">
      <c r="A113" s="563"/>
      <c r="S113" s="563"/>
    </row>
    <row r="114" spans="1:19" s="564" customFormat="1">
      <c r="A114" s="563"/>
      <c r="S114" s="563"/>
    </row>
    <row r="115" spans="1:19" s="564" customFormat="1">
      <c r="A115" s="563"/>
      <c r="S115" s="563"/>
    </row>
    <row r="116" spans="1:19" s="564" customFormat="1">
      <c r="A116" s="563"/>
      <c r="S116" s="563"/>
    </row>
    <row r="117" spans="1:19" s="564" customFormat="1">
      <c r="A117" s="563"/>
      <c r="S117" s="563"/>
    </row>
    <row r="118" spans="1:19" s="564" customFormat="1">
      <c r="A118" s="563"/>
      <c r="S118" s="563"/>
    </row>
    <row r="119" spans="1:19" s="564" customFormat="1">
      <c r="A119" s="563"/>
      <c r="S119" s="563"/>
    </row>
    <row r="120" spans="1:19" s="564" customFormat="1">
      <c r="A120" s="563"/>
      <c r="S120" s="563"/>
    </row>
    <row r="121" spans="1:19" s="564" customFormat="1">
      <c r="A121" s="563"/>
      <c r="S121" s="563"/>
    </row>
    <row r="122" spans="1:19" s="564" customFormat="1">
      <c r="A122" s="563"/>
      <c r="S122" s="563"/>
    </row>
    <row r="123" spans="1:19" s="564" customFormat="1">
      <c r="A123" s="563"/>
      <c r="S123" s="563"/>
    </row>
    <row r="124" spans="1:19" s="564" customFormat="1">
      <c r="A124" s="563"/>
      <c r="S124" s="563"/>
    </row>
    <row r="125" spans="1:19" s="564" customFormat="1">
      <c r="A125" s="563"/>
      <c r="S125" s="563"/>
    </row>
    <row r="126" spans="1:19" s="564" customFormat="1">
      <c r="A126" s="563"/>
      <c r="S126" s="563"/>
    </row>
    <row r="127" spans="1:19" s="564" customFormat="1">
      <c r="A127" s="563"/>
      <c r="S127" s="563"/>
    </row>
    <row r="128" spans="1:19" s="564" customFormat="1">
      <c r="A128" s="563"/>
      <c r="S128" s="563"/>
    </row>
    <row r="129" spans="1:19" s="564" customFormat="1">
      <c r="A129" s="563"/>
      <c r="S129" s="563"/>
    </row>
    <row r="130" spans="1:19" s="564" customFormat="1">
      <c r="A130" s="563"/>
      <c r="S130" s="563"/>
    </row>
    <row r="131" spans="1:19" s="564" customFormat="1">
      <c r="A131" s="563"/>
      <c r="S131" s="563"/>
    </row>
    <row r="132" spans="1:19" s="564" customFormat="1">
      <c r="A132" s="563"/>
      <c r="S132" s="563"/>
    </row>
    <row r="133" spans="1:19" s="564" customFormat="1">
      <c r="A133" s="563"/>
      <c r="S133" s="563"/>
    </row>
    <row r="134" spans="1:19" s="564" customFormat="1">
      <c r="A134" s="563"/>
      <c r="S134" s="563"/>
    </row>
    <row r="135" spans="1:19" s="564" customFormat="1">
      <c r="A135" s="563"/>
      <c r="S135" s="563"/>
    </row>
    <row r="136" spans="1:19" s="564" customFormat="1">
      <c r="A136" s="563"/>
      <c r="S136" s="563"/>
    </row>
    <row r="137" spans="1:19" s="564" customFormat="1">
      <c r="A137" s="563"/>
      <c r="S137" s="563"/>
    </row>
    <row r="138" spans="1:19" s="564" customFormat="1">
      <c r="A138" s="563"/>
      <c r="S138" s="563"/>
    </row>
    <row r="139" spans="1:19" s="564" customFormat="1">
      <c r="A139" s="563"/>
      <c r="S139" s="563"/>
    </row>
    <row r="140" spans="1:19" s="564" customFormat="1">
      <c r="A140" s="563"/>
      <c r="S140" s="563"/>
    </row>
    <row r="141" spans="1:19" s="564" customFormat="1">
      <c r="A141" s="563"/>
      <c r="S141" s="563"/>
    </row>
    <row r="142" spans="1:19" s="564" customFormat="1">
      <c r="A142" s="563"/>
      <c r="S142" s="563"/>
    </row>
    <row r="143" spans="1:19" s="564" customFormat="1">
      <c r="A143" s="563"/>
      <c r="S143" s="563"/>
    </row>
    <row r="144" spans="1:19" s="564" customFormat="1">
      <c r="A144" s="563"/>
      <c r="S144" s="563"/>
    </row>
    <row r="145" spans="1:19" s="564" customFormat="1">
      <c r="A145" s="563"/>
      <c r="S145" s="563"/>
    </row>
    <row r="146" spans="1:19" s="564" customFormat="1">
      <c r="A146" s="563"/>
      <c r="S146" s="563"/>
    </row>
    <row r="147" spans="1:19" s="564" customFormat="1">
      <c r="A147" s="563"/>
      <c r="S147" s="563"/>
    </row>
    <row r="148" spans="1:19" s="564" customFormat="1">
      <c r="A148" s="563"/>
      <c r="S148" s="563"/>
    </row>
    <row r="149" spans="1:19" s="564" customFormat="1">
      <c r="A149" s="563"/>
      <c r="S149" s="563"/>
    </row>
    <row r="150" spans="1:19" s="564" customFormat="1">
      <c r="A150" s="563"/>
      <c r="S150" s="563"/>
    </row>
    <row r="151" spans="1:19" s="564" customFormat="1">
      <c r="A151" s="563"/>
      <c r="S151" s="563"/>
    </row>
    <row r="152" spans="1:19" s="564" customFormat="1">
      <c r="A152" s="563"/>
      <c r="S152" s="563"/>
    </row>
    <row r="153" spans="1:19" s="564" customFormat="1">
      <c r="A153" s="563"/>
      <c r="S153" s="563"/>
    </row>
    <row r="154" spans="1:19" s="564" customFormat="1">
      <c r="A154" s="563"/>
      <c r="S154" s="563"/>
    </row>
    <row r="155" spans="1:19" s="564" customFormat="1">
      <c r="A155" s="563"/>
      <c r="S155" s="563"/>
    </row>
    <row r="156" spans="1:19" s="564" customFormat="1">
      <c r="A156" s="563"/>
      <c r="S156" s="563"/>
    </row>
    <row r="157" spans="1:19" s="564" customFormat="1">
      <c r="A157" s="563"/>
      <c r="S157" s="563"/>
    </row>
    <row r="158" spans="1:19" s="564" customFormat="1">
      <c r="A158" s="563"/>
      <c r="S158" s="563"/>
    </row>
    <row r="159" spans="1:19" s="564" customFormat="1">
      <c r="A159" s="563"/>
      <c r="S159" s="563"/>
    </row>
    <row r="160" spans="1:19" s="564" customFormat="1">
      <c r="A160" s="563"/>
      <c r="S160" s="563"/>
    </row>
    <row r="161" spans="1:19" s="564" customFormat="1">
      <c r="A161" s="563"/>
      <c r="S161" s="563"/>
    </row>
    <row r="162" spans="1:19" s="564" customFormat="1">
      <c r="A162" s="563"/>
      <c r="S162" s="563"/>
    </row>
    <row r="163" spans="1:19" s="564" customFormat="1">
      <c r="A163" s="563"/>
      <c r="S163" s="563"/>
    </row>
    <row r="164" spans="1:19" s="564" customFormat="1">
      <c r="A164" s="563"/>
      <c r="S164" s="563"/>
    </row>
    <row r="165" spans="1:19" s="564" customFormat="1">
      <c r="A165" s="563"/>
      <c r="S165" s="563"/>
    </row>
    <row r="166" spans="1:19" s="564" customFormat="1">
      <c r="A166" s="563"/>
      <c r="S166" s="563"/>
    </row>
    <row r="167" spans="1:19" s="564" customFormat="1">
      <c r="A167" s="563"/>
      <c r="S167" s="563"/>
    </row>
    <row r="168" spans="1:19" s="564" customFormat="1">
      <c r="A168" s="563"/>
      <c r="S168" s="563"/>
    </row>
    <row r="169" spans="1:19" s="564" customFormat="1">
      <c r="A169" s="563"/>
      <c r="S169" s="563"/>
    </row>
    <row r="170" spans="1:19" s="564" customFormat="1">
      <c r="A170" s="563"/>
      <c r="S170" s="563"/>
    </row>
    <row r="171" spans="1:19" s="564" customFormat="1">
      <c r="A171" s="563"/>
      <c r="S171" s="563"/>
    </row>
    <row r="172" spans="1:19" s="564" customFormat="1">
      <c r="A172" s="563"/>
      <c r="S172" s="563"/>
    </row>
    <row r="173" spans="1:19" s="564" customFormat="1">
      <c r="A173" s="563"/>
      <c r="S173" s="563"/>
    </row>
    <row r="174" spans="1:19" s="564" customFormat="1">
      <c r="A174" s="563"/>
      <c r="S174" s="563"/>
    </row>
    <row r="175" spans="1:19" s="564" customFormat="1">
      <c r="A175" s="563"/>
      <c r="S175" s="563"/>
    </row>
    <row r="176" spans="1:19" s="564" customFormat="1">
      <c r="A176" s="563"/>
      <c r="S176" s="563"/>
    </row>
    <row r="177" spans="1:19" s="564" customFormat="1">
      <c r="A177" s="563"/>
      <c r="S177" s="563"/>
    </row>
    <row r="178" spans="1:19" s="564" customFormat="1">
      <c r="A178" s="563"/>
      <c r="S178" s="563"/>
    </row>
    <row r="179" spans="1:19" s="564" customFormat="1">
      <c r="A179" s="563"/>
      <c r="S179" s="563"/>
    </row>
    <row r="180" spans="1:19" s="564" customFormat="1">
      <c r="A180" s="563"/>
      <c r="S180" s="563"/>
    </row>
    <row r="181" spans="1:19" s="564" customFormat="1">
      <c r="A181" s="563"/>
      <c r="S181" s="563"/>
    </row>
    <row r="182" spans="1:19" s="564" customFormat="1">
      <c r="A182" s="563"/>
      <c r="S182" s="563"/>
    </row>
    <row r="183" spans="1:19" s="564" customFormat="1">
      <c r="A183" s="563"/>
      <c r="S183" s="563"/>
    </row>
    <row r="184" spans="1:19" s="564" customFormat="1">
      <c r="A184" s="563"/>
      <c r="S184" s="563"/>
    </row>
    <row r="185" spans="1:19" s="564" customFormat="1">
      <c r="A185" s="563"/>
      <c r="S185" s="563"/>
    </row>
    <row r="186" spans="1:19" s="564" customFormat="1">
      <c r="A186" s="563"/>
      <c r="S186" s="563"/>
    </row>
    <row r="187" spans="1:19" s="564" customFormat="1">
      <c r="A187" s="563"/>
      <c r="S187" s="563"/>
    </row>
    <row r="188" spans="1:19" s="564" customFormat="1">
      <c r="A188" s="563"/>
      <c r="S188" s="563"/>
    </row>
    <row r="189" spans="1:19" s="564" customFormat="1">
      <c r="A189" s="563"/>
      <c r="S189" s="563"/>
    </row>
    <row r="190" spans="1:19" s="564" customFormat="1">
      <c r="A190" s="563"/>
      <c r="S190" s="563"/>
    </row>
    <row r="191" spans="1:19" s="564" customFormat="1">
      <c r="A191" s="563"/>
      <c r="S191" s="563"/>
    </row>
    <row r="192" spans="1:19" s="564" customFormat="1">
      <c r="A192" s="563"/>
      <c r="S192" s="563"/>
    </row>
    <row r="193" spans="1:19" s="564" customFormat="1">
      <c r="A193" s="563"/>
      <c r="S193" s="563"/>
    </row>
    <row r="194" spans="1:19" s="564" customFormat="1">
      <c r="A194" s="563"/>
      <c r="S194" s="563"/>
    </row>
    <row r="195" spans="1:19" s="564" customFormat="1">
      <c r="A195" s="563"/>
      <c r="S195" s="563"/>
    </row>
    <row r="196" spans="1:19" s="564" customFormat="1">
      <c r="A196" s="563"/>
      <c r="S196" s="563"/>
    </row>
    <row r="197" spans="1:19" s="564" customFormat="1">
      <c r="A197" s="563"/>
      <c r="S197" s="563"/>
    </row>
    <row r="198" spans="1:19" s="564" customFormat="1">
      <c r="A198" s="563"/>
      <c r="S198" s="563"/>
    </row>
    <row r="199" spans="1:19" s="564" customFormat="1">
      <c r="A199" s="563"/>
      <c r="S199" s="563"/>
    </row>
    <row r="200" spans="1:19" s="564" customFormat="1">
      <c r="A200" s="563"/>
      <c r="S200" s="563"/>
    </row>
    <row r="201" spans="1:19" s="564" customFormat="1">
      <c r="A201" s="563"/>
      <c r="S201" s="563"/>
    </row>
    <row r="202" spans="1:19" s="564" customFormat="1">
      <c r="A202" s="563"/>
      <c r="S202" s="563"/>
    </row>
    <row r="203" spans="1:19" s="564" customFormat="1">
      <c r="A203" s="563"/>
      <c r="S203" s="563"/>
    </row>
    <row r="204" spans="1:19" s="564" customFormat="1">
      <c r="A204" s="563"/>
      <c r="S204" s="563"/>
    </row>
    <row r="205" spans="1:19" s="564" customFormat="1">
      <c r="A205" s="563"/>
      <c r="S205" s="563"/>
    </row>
    <row r="206" spans="1:19" s="564" customFormat="1">
      <c r="A206" s="563"/>
      <c r="S206" s="563"/>
    </row>
    <row r="207" spans="1:19" s="564" customFormat="1">
      <c r="A207" s="563"/>
      <c r="S207" s="563"/>
    </row>
    <row r="208" spans="1:19" s="564" customFormat="1">
      <c r="A208" s="563"/>
      <c r="S208" s="563"/>
    </row>
    <row r="209" spans="1:19" s="564" customFormat="1">
      <c r="A209" s="563"/>
      <c r="S209" s="563"/>
    </row>
    <row r="210" spans="1:19" s="564" customFormat="1">
      <c r="A210" s="563"/>
      <c r="S210" s="563"/>
    </row>
    <row r="211" spans="1:19" s="564" customFormat="1">
      <c r="A211" s="563"/>
      <c r="S211" s="563"/>
    </row>
    <row r="212" spans="1:19" s="564" customFormat="1">
      <c r="A212" s="563"/>
      <c r="S212" s="563"/>
    </row>
    <row r="213" spans="1:19" s="564" customFormat="1">
      <c r="A213" s="563"/>
      <c r="S213" s="563"/>
    </row>
    <row r="214" spans="1:19" s="564" customFormat="1">
      <c r="A214" s="563"/>
      <c r="S214" s="563"/>
    </row>
    <row r="215" spans="1:19" s="564" customFormat="1">
      <c r="A215" s="563"/>
      <c r="S215" s="563"/>
    </row>
    <row r="216" spans="1:19" s="564" customFormat="1">
      <c r="A216" s="563"/>
      <c r="S216" s="563"/>
    </row>
    <row r="217" spans="1:19" s="564" customFormat="1">
      <c r="A217" s="563"/>
      <c r="S217" s="563"/>
    </row>
    <row r="218" spans="1:19" s="564" customFormat="1">
      <c r="A218" s="563"/>
      <c r="S218" s="563"/>
    </row>
    <row r="219" spans="1:19" s="564" customFormat="1">
      <c r="A219" s="563"/>
      <c r="S219" s="563"/>
    </row>
    <row r="220" spans="1:19" s="564" customFormat="1">
      <c r="A220" s="563"/>
      <c r="S220" s="563"/>
    </row>
    <row r="221" spans="1:19" s="564" customFormat="1">
      <c r="A221" s="563"/>
      <c r="S221" s="563"/>
    </row>
    <row r="222" spans="1:19" s="564" customFormat="1">
      <c r="A222" s="563"/>
      <c r="S222" s="563"/>
    </row>
    <row r="223" spans="1:19" s="564" customFormat="1">
      <c r="A223" s="563"/>
      <c r="S223" s="563"/>
    </row>
  </sheetData>
  <mergeCells count="12">
    <mergeCell ref="C54:S54"/>
    <mergeCell ref="B55:T55"/>
    <mergeCell ref="A2:U2"/>
    <mergeCell ref="B25:T25"/>
    <mergeCell ref="B4:T4"/>
    <mergeCell ref="D31:H33"/>
    <mergeCell ref="J31:N33"/>
    <mergeCell ref="P31:U33"/>
    <mergeCell ref="B3:R3"/>
    <mergeCell ref="D27:G29"/>
    <mergeCell ref="J27:M29"/>
    <mergeCell ref="P27:S29"/>
  </mergeCells>
  <conditionalFormatting sqref="C28">
    <cfRule type="expression" dxfId="73" priority="10">
      <formula>MFShock1</formula>
    </cfRule>
  </conditionalFormatting>
  <conditionalFormatting sqref="O63:T63 E69:J69 O69:T69">
    <cfRule type="expression" dxfId="72" priority="7">
      <formula>"MFShock3=1"</formula>
    </cfRule>
  </conditionalFormatting>
  <conditionalFormatting sqref="O63:T63 E69:J69 O69:T69">
    <cfRule type="expression" dxfId="71" priority="6">
      <formula>"MFShock4=1"</formula>
    </cfRule>
  </conditionalFormatting>
  <conditionalFormatting sqref="I32">
    <cfRule type="expression" dxfId="70" priority="3">
      <formula>Basic2Shock5</formula>
    </cfRule>
  </conditionalFormatting>
  <conditionalFormatting sqref="O32">
    <cfRule type="expression" dxfId="69" priority="2">
      <formula>Basic2Shock6</formula>
    </cfRule>
  </conditionalFormatting>
  <conditionalFormatting sqref="C32">
    <cfRule type="expression" dxfId="68" priority="1">
      <formula>Basic2Shock4</formula>
    </cfRule>
  </conditionalFormatting>
  <pageMargins left="0.7" right="0.7" top="0.75" bottom="0.75" header="0.3" footer="0.3"/>
  <pageSetup scale="48" orientation="portrait" r:id="rId1"/>
  <colBreaks count="1" manualBreakCount="1">
    <brk id="10" max="76"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00B0F0"/>
    <pageSetUpPr fitToPage="1"/>
  </sheetPr>
  <dimension ref="A1:AC91"/>
  <sheetViews>
    <sheetView zoomScale="80" zoomScaleNormal="80" zoomScaleSheetLayoutView="70" workbookViewId="0"/>
  </sheetViews>
  <sheetFormatPr defaultColWidth="9.140625" defaultRowHeight="15"/>
  <cols>
    <col min="1" max="1" width="2.7109375" style="25" customWidth="1"/>
    <col min="2" max="7" width="9.7109375" style="25" customWidth="1"/>
    <col min="8" max="8" width="4.7109375" style="25" customWidth="1"/>
    <col min="9" max="28" width="9.85546875" style="25" customWidth="1"/>
    <col min="29" max="29" width="5.7109375" style="25" customWidth="1"/>
    <col min="30" max="36" width="9.28515625" style="25" customWidth="1"/>
    <col min="37" max="16384" width="9.140625" style="25"/>
  </cols>
  <sheetData>
    <row r="1" spans="1:29" s="564" customFormat="1" ht="15" customHeight="1">
      <c r="V1" s="563"/>
      <c r="W1" s="563"/>
    </row>
    <row r="2" spans="1:29" s="564" customFormat="1" ht="30.2" customHeight="1">
      <c r="H2" s="1962" t="str">
        <f>Country&amp;" Public DSA - Realism of Baseline Assumptions"</f>
        <v>Latvia Public DSA - Realism of Baseline Assumptions</v>
      </c>
      <c r="I2" s="1962"/>
      <c r="J2" s="1962"/>
      <c r="K2" s="1962"/>
      <c r="L2" s="1962"/>
      <c r="M2" s="1962"/>
      <c r="N2" s="1962"/>
      <c r="O2" s="1962"/>
      <c r="P2" s="1962"/>
      <c r="Q2" s="1962"/>
      <c r="R2" s="1962"/>
      <c r="S2" s="1962"/>
      <c r="T2" s="1962"/>
      <c r="U2" s="1962"/>
      <c r="V2" s="1962"/>
      <c r="W2" s="1962"/>
      <c r="X2" s="1962"/>
      <c r="Y2" s="1962"/>
      <c r="Z2" s="1962"/>
      <c r="AA2" s="1962"/>
      <c r="AB2" s="1962"/>
      <c r="AC2" s="1962"/>
    </row>
    <row r="3" spans="1:29" s="564" customFormat="1" ht="10.15" customHeight="1">
      <c r="I3" s="563"/>
      <c r="J3" s="563"/>
      <c r="K3" s="563"/>
      <c r="L3" s="563"/>
      <c r="M3" s="563"/>
      <c r="N3" s="563"/>
      <c r="O3" s="563"/>
      <c r="P3" s="563"/>
      <c r="Q3" s="563"/>
      <c r="R3" s="563"/>
      <c r="S3" s="563"/>
      <c r="T3" s="563"/>
    </row>
    <row r="4" spans="1:29" s="564" customFormat="1" ht="24.95" customHeight="1">
      <c r="H4" s="1963" t="str">
        <f>"Forecast Track Record, versus "&amp;FTRGroup</f>
        <v>Forecast Track Record, versus all countries</v>
      </c>
      <c r="I4" s="1963"/>
      <c r="J4" s="1963"/>
      <c r="K4" s="1963"/>
      <c r="L4" s="1963"/>
      <c r="M4" s="1963"/>
      <c r="N4" s="1963"/>
      <c r="O4" s="1963"/>
      <c r="P4" s="1963"/>
      <c r="Q4" s="1963"/>
      <c r="R4" s="1963"/>
      <c r="S4" s="1963"/>
      <c r="T4" s="1963"/>
      <c r="U4" s="1963"/>
      <c r="V4" s="1963"/>
      <c r="W4" s="1963"/>
      <c r="X4" s="1963"/>
      <c r="Y4" s="1963"/>
      <c r="Z4" s="1963"/>
      <c r="AA4" s="1963"/>
      <c r="AB4" s="1963"/>
      <c r="AC4" s="1963"/>
    </row>
    <row r="5" spans="1:29" s="564" customFormat="1" ht="5.0999999999999996" customHeight="1">
      <c r="A5" s="565"/>
      <c r="B5" s="566"/>
      <c r="C5" s="566"/>
      <c r="D5" s="566"/>
      <c r="E5" s="566"/>
      <c r="F5" s="566"/>
      <c r="G5" s="566"/>
      <c r="H5" s="566"/>
      <c r="I5" s="566"/>
      <c r="J5" s="566"/>
      <c r="K5" s="566"/>
      <c r="L5" s="566"/>
      <c r="M5" s="566"/>
      <c r="N5" s="566"/>
      <c r="O5" s="566"/>
      <c r="P5" s="566"/>
      <c r="Q5" s="566"/>
      <c r="R5" s="566"/>
      <c r="S5" s="566"/>
      <c r="T5" s="563"/>
    </row>
    <row r="6" spans="1:29" ht="18" customHeight="1">
      <c r="B6" s="1970" t="s">
        <v>1118</v>
      </c>
      <c r="C6" s="1970"/>
      <c r="D6" s="1970"/>
      <c r="E6" s="1970"/>
      <c r="F6" s="1970"/>
      <c r="G6" s="1970"/>
    </row>
    <row r="7" spans="1:29" ht="18" customHeight="1">
      <c r="A7" s="484"/>
      <c r="B7" s="1970"/>
      <c r="C7" s="1970"/>
      <c r="D7" s="1970"/>
      <c r="E7" s="1970"/>
      <c r="F7" s="1970"/>
      <c r="G7" s="1970"/>
      <c r="H7" s="1021"/>
    </row>
    <row r="8" spans="1:29" ht="5.0999999999999996" customHeight="1" thickBot="1">
      <c r="A8" s="1021"/>
      <c r="H8" s="1021"/>
    </row>
    <row r="9" spans="1:29" ht="18.75" customHeight="1" thickBot="1">
      <c r="A9" s="563"/>
      <c r="B9" s="1964" t="s">
        <v>684</v>
      </c>
      <c r="C9" s="1965"/>
      <c r="D9" s="1965"/>
      <c r="E9" s="1965"/>
      <c r="F9" s="1966"/>
      <c r="G9" s="1224"/>
      <c r="H9" s="563"/>
    </row>
    <row r="10" spans="1:29" ht="18.75" customHeight="1"/>
    <row r="11" spans="1:29" ht="18.75" customHeight="1">
      <c r="B11" s="1767"/>
      <c r="C11" s="1767"/>
      <c r="D11" s="1767"/>
      <c r="E11" s="1767"/>
      <c r="F11" s="1767"/>
    </row>
    <row r="12" spans="1:29" ht="18.75" customHeight="1">
      <c r="B12" s="1767"/>
      <c r="C12" s="1767"/>
      <c r="D12" s="1767"/>
      <c r="E12" s="1767"/>
      <c r="F12" s="1767"/>
    </row>
    <row r="13" spans="1:29" ht="18.75" customHeight="1">
      <c r="B13" s="1767"/>
      <c r="C13" s="1767"/>
      <c r="D13" s="1767"/>
      <c r="E13" s="1767"/>
      <c r="F13" s="1767"/>
    </row>
    <row r="14" spans="1:29" ht="18.75" customHeight="1">
      <c r="B14" s="1767"/>
      <c r="C14" s="1767"/>
      <c r="D14" s="1767"/>
      <c r="E14" s="1767"/>
      <c r="F14" s="1767"/>
    </row>
    <row r="15" spans="1:29" ht="18.75" customHeight="1">
      <c r="B15" s="1767"/>
      <c r="C15" s="1767"/>
      <c r="D15" s="1767"/>
      <c r="E15" s="1767"/>
      <c r="F15" s="1767"/>
    </row>
    <row r="16" spans="1:29" ht="18.75" customHeight="1">
      <c r="B16" s="1767"/>
      <c r="C16" s="1767"/>
      <c r="D16" s="1767"/>
      <c r="E16" s="1767"/>
      <c r="F16" s="1767"/>
    </row>
    <row r="17" spans="2:29" ht="18.75" customHeight="1">
      <c r="B17" s="1767"/>
      <c r="C17" s="1767"/>
      <c r="D17" s="1767"/>
      <c r="E17" s="1767"/>
      <c r="F17" s="1767"/>
    </row>
    <row r="18" spans="2:29" ht="18.75" customHeight="1">
      <c r="B18" s="1767"/>
      <c r="C18" s="1767"/>
      <c r="D18" s="1767"/>
      <c r="E18" s="1767"/>
      <c r="F18" s="1767"/>
    </row>
    <row r="19" spans="2:29" ht="18.75" customHeight="1">
      <c r="B19" s="1767"/>
      <c r="C19" s="1767"/>
      <c r="D19" s="1767"/>
      <c r="E19" s="1767"/>
      <c r="F19" s="1767"/>
    </row>
    <row r="20" spans="2:29" ht="18.75" customHeight="1">
      <c r="B20" s="1767"/>
      <c r="C20" s="1767"/>
      <c r="D20" s="1767"/>
      <c r="E20" s="1767"/>
      <c r="F20" s="1767"/>
    </row>
    <row r="21" spans="2:29" ht="18.75" customHeight="1">
      <c r="B21" s="1767"/>
      <c r="C21" s="1767"/>
      <c r="D21" s="1767"/>
      <c r="E21" s="1767"/>
      <c r="F21" s="1767"/>
    </row>
    <row r="22" spans="2:29" ht="18.75" customHeight="1"/>
    <row r="23" spans="2:29" s="564" customFormat="1" ht="2.1" customHeight="1"/>
    <row r="24" spans="2:29" s="564" customFormat="1" ht="30.2" customHeight="1">
      <c r="H24" s="1968" t="str">
        <f>"Assessing the Realism of Projected Fiscal Adjustment"</f>
        <v>Assessing the Realism of Projected Fiscal Adjustment</v>
      </c>
      <c r="I24" s="1963"/>
      <c r="J24" s="1963"/>
      <c r="K24" s="1963"/>
      <c r="L24" s="1963"/>
      <c r="M24" s="1963"/>
      <c r="N24" s="1963"/>
      <c r="O24" s="1963"/>
      <c r="P24" s="1963"/>
      <c r="Q24" s="1963"/>
      <c r="R24" s="1963"/>
      <c r="S24" s="1963"/>
      <c r="T24" s="1963"/>
      <c r="U24" s="1963"/>
      <c r="V24" s="1963"/>
      <c r="W24" s="1967" t="s">
        <v>751</v>
      </c>
      <c r="X24" s="1967"/>
      <c r="Y24" s="1967"/>
      <c r="Z24" s="1967"/>
      <c r="AA24" s="1967"/>
      <c r="AB24" s="1967"/>
      <c r="AC24" s="1967"/>
    </row>
    <row r="25" spans="2:29" s="584" customFormat="1" ht="5.0999999999999996" customHeight="1">
      <c r="I25" s="1969"/>
      <c r="J25" s="1969"/>
      <c r="K25" s="1969"/>
      <c r="L25" s="1969"/>
      <c r="M25" s="1969"/>
      <c r="N25" s="1969"/>
      <c r="O25" s="1969"/>
      <c r="P25" s="1969"/>
      <c r="Q25" s="1969"/>
      <c r="R25" s="1969"/>
      <c r="S25" s="1969"/>
      <c r="T25" s="1969"/>
      <c r="U25" s="1969"/>
      <c r="V25" s="1969"/>
      <c r="W25" s="1967"/>
      <c r="X25" s="1967"/>
      <c r="Y25" s="1967"/>
      <c r="Z25" s="1967"/>
      <c r="AA25" s="1967"/>
      <c r="AB25" s="1967"/>
      <c r="AC25" s="1967"/>
    </row>
    <row r="26" spans="2:29" ht="18.75" customHeight="1">
      <c r="B26" s="1022"/>
      <c r="C26" s="1021"/>
      <c r="D26" s="1021"/>
      <c r="E26" s="1021"/>
    </row>
    <row r="27" spans="2:29" ht="18.75" customHeight="1">
      <c r="B27" s="1021"/>
      <c r="D27" s="709"/>
      <c r="E27" s="1021"/>
      <c r="G27" s="1224"/>
    </row>
    <row r="28" spans="2:29" ht="18.75" customHeight="1">
      <c r="B28" s="1021"/>
      <c r="D28" s="709"/>
      <c r="E28" s="1021"/>
      <c r="G28" s="1224"/>
    </row>
    <row r="29" spans="2:29" ht="18.75" customHeight="1">
      <c r="B29" s="1767"/>
      <c r="C29" s="1767"/>
      <c r="D29" s="1767"/>
      <c r="E29" s="1767"/>
      <c r="F29" s="1767"/>
      <c r="G29" s="1766"/>
    </row>
    <row r="30" spans="2:29" ht="18.75" customHeight="1">
      <c r="B30" s="1767"/>
      <c r="C30" s="1767"/>
      <c r="D30" s="1767"/>
      <c r="E30" s="1767"/>
      <c r="F30" s="1767"/>
      <c r="G30" s="1766"/>
    </row>
    <row r="31" spans="2:29" ht="18.75" customHeight="1">
      <c r="B31" s="1767"/>
      <c r="C31" s="1767"/>
      <c r="D31" s="1767"/>
      <c r="E31" s="1767"/>
      <c r="F31" s="1767"/>
      <c r="G31" s="1766"/>
    </row>
    <row r="32" spans="2:29" ht="18.75" customHeight="1">
      <c r="B32" s="1767"/>
      <c r="C32" s="1767"/>
      <c r="D32" s="1767"/>
      <c r="E32" s="1767"/>
      <c r="F32" s="1767"/>
      <c r="G32" s="1766"/>
    </row>
    <row r="33" spans="2:29" ht="18.75" customHeight="1">
      <c r="B33" s="1767"/>
      <c r="C33" s="1767"/>
      <c r="D33" s="1767"/>
      <c r="E33" s="1767"/>
      <c r="F33" s="1767"/>
    </row>
    <row r="34" spans="2:29" ht="18.75" customHeight="1">
      <c r="B34" s="1767"/>
      <c r="C34" s="1767"/>
      <c r="D34" s="1767"/>
      <c r="E34" s="1767"/>
      <c r="F34" s="1767"/>
    </row>
    <row r="35" spans="2:29" ht="18.75" customHeight="1"/>
    <row r="36" spans="2:29" ht="18.75" customHeight="1"/>
    <row r="37" spans="2:29" ht="18.75" customHeight="1"/>
    <row r="38" spans="2:29" ht="18.75" customHeight="1"/>
    <row r="39" spans="2:29" ht="18.75" customHeight="1"/>
    <row r="40" spans="2:29" ht="18.75" customHeight="1"/>
    <row r="41" spans="2:29" ht="18.75" customHeight="1"/>
    <row r="42" spans="2:29" ht="18.75" customHeight="1"/>
    <row r="43" spans="2:29" ht="16.5" customHeight="1">
      <c r="H43" s="1140" t="s">
        <v>962</v>
      </c>
      <c r="W43" s="1379"/>
      <c r="X43" s="1379"/>
      <c r="Y43" s="1379"/>
      <c r="Z43" s="1379"/>
      <c r="AA43" s="1379"/>
      <c r="AB43" s="1379"/>
      <c r="AC43" s="1379"/>
    </row>
    <row r="44" spans="2:29" ht="16.5" customHeight="1">
      <c r="H44" s="584" t="str">
        <f>"1/ Plotted distribution includes "&amp;FTRGroup&amp;", percentile rank refers to all countries."</f>
        <v>1/ Plotted distribution includes all countries, percentile rank refers to all countries.</v>
      </c>
      <c r="I44" s="1379"/>
      <c r="J44" s="1379"/>
      <c r="K44" s="1379"/>
      <c r="L44" s="1379"/>
      <c r="M44" s="1379"/>
      <c r="N44" s="1379"/>
      <c r="O44" s="1379"/>
      <c r="P44" s="1379"/>
      <c r="Q44" s="1379"/>
      <c r="R44" s="1379"/>
      <c r="S44" s="1379"/>
      <c r="T44" s="1379"/>
      <c r="U44" s="1379"/>
      <c r="V44" s="1379"/>
      <c r="W44" s="1379"/>
      <c r="X44" s="1379"/>
      <c r="Y44" s="1379"/>
      <c r="Z44" s="1379"/>
      <c r="AA44" s="1379"/>
      <c r="AB44" s="1379"/>
      <c r="AC44" s="1379"/>
    </row>
    <row r="45" spans="2:29" s="564" customFormat="1" ht="15" customHeight="1">
      <c r="H45" s="584" t="s">
        <v>963</v>
      </c>
      <c r="I45" s="1379"/>
      <c r="J45" s="1379"/>
      <c r="K45" s="1379"/>
      <c r="L45" s="1379"/>
      <c r="M45" s="1379"/>
      <c r="N45" s="1379"/>
      <c r="O45" s="1379"/>
      <c r="P45" s="1379"/>
      <c r="Q45" s="1379"/>
      <c r="R45" s="1379"/>
      <c r="S45" s="1379"/>
      <c r="T45" s="1379"/>
      <c r="U45" s="1379"/>
      <c r="V45" s="1379"/>
      <c r="W45" s="1379"/>
      <c r="X45" s="1379"/>
      <c r="Y45" s="1379"/>
      <c r="Z45" s="1379"/>
      <c r="AA45" s="1379"/>
      <c r="AB45" s="1379"/>
      <c r="AC45" s="1379"/>
    </row>
    <row r="46" spans="2:29" s="564" customFormat="1" ht="15" customHeight="1">
      <c r="H46" s="823" t="e">
        <f>IF(BoomBustTrigger=1,'Lists-Modules-ChartData'!DQ46&amp;'Lists-Modules-ChartData'!DQ47&amp;'Lists-Modules-ChartData'!DQ48&amp;" For "&amp;Country&amp;", t corresponds to "&amp;FirstYear&amp;"; for the distribution, t corresponds to the first year of the crisis.","3/ Not applicable for "&amp;Country&amp;", as it meets neither the positive output gap criterion nor the private credit growth criterion.")</f>
        <v>#DIV/0!</v>
      </c>
      <c r="I46" s="1379"/>
      <c r="J46" s="1379"/>
      <c r="K46" s="1379"/>
      <c r="L46" s="1379"/>
      <c r="M46" s="1379"/>
      <c r="N46" s="1379"/>
      <c r="O46" s="1379"/>
      <c r="P46" s="1379"/>
      <c r="Q46" s="1379"/>
      <c r="R46" s="1379"/>
      <c r="S46" s="1379"/>
      <c r="T46" s="1379"/>
      <c r="U46" s="1379"/>
      <c r="V46" s="1379"/>
    </row>
    <row r="47" spans="2:29" s="564" customFormat="1" ht="15" customHeight="1">
      <c r="H47" s="588" t="str">
        <f>"4/ Data cover annual obervations from 1990 to 2011 for advanced and emerging economies with debt greater than 60 percent of GDP. Percent of sample on vertical axis.
"</f>
        <v xml:space="preserve">4/ Data cover annual obervations from 1990 to 2011 for advanced and emerging economies with debt greater than 60 percent of GDP. Percent of sample on vertical axis.
</v>
      </c>
      <c r="I47" s="1379"/>
      <c r="J47" s="1379"/>
      <c r="K47" s="1379"/>
      <c r="L47" s="1379"/>
      <c r="M47" s="1379"/>
      <c r="N47" s="1379"/>
      <c r="O47" s="1379"/>
      <c r="P47" s="1379"/>
      <c r="Q47" s="1379"/>
      <c r="R47" s="1379"/>
      <c r="S47" s="1379"/>
      <c r="T47" s="1379"/>
      <c r="U47" s="1379"/>
      <c r="V47" s="1379"/>
    </row>
    <row r="48" spans="2:29" s="584" customFormat="1" ht="15" customHeight="1">
      <c r="I48" s="1380"/>
      <c r="J48" s="1380"/>
      <c r="K48" s="1380"/>
      <c r="L48" s="1380"/>
      <c r="M48" s="1380"/>
      <c r="N48" s="1380"/>
      <c r="O48" s="1380"/>
      <c r="P48" s="1380"/>
      <c r="Q48" s="1380"/>
      <c r="R48" s="1380"/>
      <c r="S48" s="1380"/>
      <c r="T48" s="1380"/>
      <c r="U48" s="1380"/>
      <c r="V48" s="1380"/>
      <c r="W48" s="1967"/>
      <c r="X48" s="1967"/>
      <c r="Y48" s="1967"/>
      <c r="Z48" s="1967"/>
      <c r="AA48" s="1967"/>
      <c r="AB48" s="1967"/>
      <c r="AC48" s="1967"/>
    </row>
    <row r="49" spans="2:29" ht="18.75" customHeight="1">
      <c r="B49" s="1022"/>
      <c r="C49" s="1021"/>
      <c r="D49" s="1021"/>
      <c r="E49" s="1021"/>
      <c r="F49" s="98"/>
      <c r="W49" s="1967"/>
      <c r="X49" s="1967"/>
      <c r="Y49" s="1967"/>
      <c r="Z49" s="1967"/>
      <c r="AA49" s="1967"/>
      <c r="AB49" s="1967"/>
      <c r="AC49" s="1967"/>
    </row>
    <row r="50" spans="2:29" ht="18.75" customHeight="1">
      <c r="B50" s="1021"/>
      <c r="D50" s="709"/>
      <c r="E50" s="1021"/>
      <c r="F50" s="1021"/>
      <c r="G50" s="1224"/>
    </row>
    <row r="51" spans="2:29" ht="18.75" customHeight="1">
      <c r="B51" s="1021"/>
      <c r="D51" s="709"/>
      <c r="E51" s="1021"/>
      <c r="F51" s="1021"/>
      <c r="G51" s="1224"/>
    </row>
    <row r="52" spans="2:29" ht="18.75" customHeight="1"/>
    <row r="53" spans="2:29" ht="18.75" customHeight="1"/>
    <row r="54" spans="2:29" ht="18.75" customHeight="1"/>
    <row r="55" spans="2:29" ht="18.75" customHeight="1"/>
    <row r="56" spans="2:29" ht="18.75" customHeight="1"/>
    <row r="57" spans="2:29" ht="18.75" customHeight="1"/>
    <row r="58" spans="2:29" ht="18.75" customHeight="1"/>
    <row r="59" spans="2:29" ht="18.75" customHeight="1"/>
    <row r="60" spans="2:29" ht="18.75" customHeight="1"/>
    <row r="61" spans="2:29" ht="18.75" customHeight="1"/>
    <row r="62" spans="2:29" ht="18.75" customHeight="1"/>
    <row r="63" spans="2:29" ht="18.75" customHeight="1"/>
    <row r="64" spans="2:29" ht="18.75" customHeight="1"/>
    <row r="65" spans="23:29" ht="12.2" customHeight="1"/>
    <row r="66" spans="23:29" s="564" customFormat="1" ht="30.2" customHeight="1"/>
    <row r="67" spans="23:29" s="584" customFormat="1" ht="10.15" customHeight="1">
      <c r="W67" s="25"/>
      <c r="X67" s="25"/>
      <c r="Y67" s="25"/>
      <c r="Z67" s="25"/>
      <c r="AA67" s="25"/>
      <c r="AB67" s="25"/>
      <c r="AC67" s="25"/>
    </row>
    <row r="89" spans="9:22" ht="15" customHeight="1">
      <c r="I89" s="564"/>
      <c r="J89" s="564"/>
      <c r="K89" s="564"/>
      <c r="L89" s="564"/>
      <c r="M89" s="564"/>
      <c r="N89" s="564"/>
      <c r="O89" s="564"/>
      <c r="P89" s="564"/>
      <c r="Q89" s="564"/>
      <c r="R89" s="564"/>
      <c r="S89" s="564"/>
      <c r="T89" s="564"/>
      <c r="U89" s="564"/>
      <c r="V89" s="564"/>
    </row>
    <row r="90" spans="9:22" ht="17.100000000000001" customHeight="1"/>
    <row r="91" spans="9:22" ht="17.100000000000001" customHeight="1"/>
  </sheetData>
  <mergeCells count="8">
    <mergeCell ref="H2:AC2"/>
    <mergeCell ref="H4:AC4"/>
    <mergeCell ref="B9:F9"/>
    <mergeCell ref="W24:AC25"/>
    <mergeCell ref="W48:AC49"/>
    <mergeCell ref="H24:V24"/>
    <mergeCell ref="I25:V25"/>
    <mergeCell ref="B6:G7"/>
  </mergeCells>
  <dataValidations count="1">
    <dataValidation type="list" allowBlank="1" showInputMessage="1" showErrorMessage="1" sqref="B9:F9" xr:uid="{00000000-0002-0000-0A00-000000000000}">
      <formula1>FTRComparator</formula1>
    </dataValidation>
  </dataValidations>
  <pageMargins left="0.7" right="0.7" top="0.75" bottom="0.75" header="0.3" footer="0.3"/>
  <pageSetup scale="5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1">
    <tabColor rgb="FF00B0F0"/>
    <pageSetUpPr fitToPage="1"/>
  </sheetPr>
  <dimension ref="A1:V102"/>
  <sheetViews>
    <sheetView zoomScale="80" zoomScaleNormal="80" zoomScaleSheetLayoutView="80" workbookViewId="0"/>
  </sheetViews>
  <sheetFormatPr defaultColWidth="9.140625" defaultRowHeight="16.5" outlineLevelRow="1"/>
  <cols>
    <col min="1" max="1" width="2.7109375" style="564" customWidth="1"/>
    <col min="2" max="20" width="9.7109375" style="564" customWidth="1"/>
    <col min="21" max="21" width="2.7109375" style="564" customWidth="1"/>
    <col min="22" max="22" width="21.85546875" style="564" customWidth="1"/>
    <col min="23" max="16384" width="9.140625" style="564"/>
  </cols>
  <sheetData>
    <row r="1" spans="1:22" ht="20.100000000000001" customHeight="1"/>
    <row r="2" spans="1:22" ht="15" customHeight="1"/>
    <row r="3" spans="1:22" ht="30.2" customHeight="1">
      <c r="A3" s="1971" t="str">
        <f>Country&amp;" Public DSA - Stress Tests"</f>
        <v>Latvia Public DSA - Stress Tests</v>
      </c>
      <c r="B3" s="1971"/>
      <c r="C3" s="1971"/>
      <c r="D3" s="1971"/>
      <c r="E3" s="1971"/>
      <c r="F3" s="1971"/>
      <c r="G3" s="1971"/>
      <c r="H3" s="1971"/>
      <c r="I3" s="1971"/>
      <c r="J3" s="1971"/>
      <c r="K3" s="1971"/>
      <c r="L3" s="1971"/>
      <c r="M3" s="1971"/>
      <c r="N3" s="1971"/>
      <c r="O3" s="1971"/>
      <c r="P3" s="1971"/>
      <c r="Q3" s="1971"/>
      <c r="R3" s="1971"/>
      <c r="S3" s="1971"/>
      <c r="T3" s="1971"/>
      <c r="U3" s="1971"/>
      <c r="V3" s="569"/>
    </row>
    <row r="4" spans="1:22" ht="14.25" customHeight="1">
      <c r="B4" s="1067"/>
      <c r="C4" s="1067"/>
      <c r="D4" s="1067"/>
      <c r="E4" s="1067"/>
      <c r="F4" s="1067"/>
      <c r="G4" s="1067"/>
      <c r="H4" s="1067"/>
      <c r="I4" s="1067"/>
      <c r="J4" s="1067"/>
      <c r="K4" s="1067"/>
      <c r="L4" s="1067"/>
      <c r="M4" s="1067"/>
      <c r="N4" s="1067"/>
      <c r="O4" s="1067"/>
      <c r="P4" s="1067"/>
      <c r="Q4" s="1067"/>
      <c r="R4" s="1067"/>
      <c r="S4" s="1067"/>
      <c r="T4" s="563"/>
    </row>
    <row r="5" spans="1:22" s="586" customFormat="1" ht="24.95" customHeight="1">
      <c r="B5" s="1956" t="s">
        <v>774</v>
      </c>
      <c r="C5" s="1956"/>
      <c r="D5" s="1956"/>
      <c r="E5" s="1956"/>
      <c r="F5" s="1956"/>
      <c r="G5" s="1956"/>
      <c r="H5" s="1956"/>
      <c r="I5" s="1956"/>
      <c r="J5" s="1956"/>
      <c r="K5" s="1956"/>
      <c r="L5" s="1956"/>
      <c r="M5" s="1956"/>
      <c r="N5" s="1956"/>
      <c r="O5" s="1956"/>
      <c r="P5" s="1956"/>
      <c r="Q5" s="1956"/>
      <c r="R5" s="1956"/>
      <c r="S5" s="1956"/>
      <c r="T5" s="1956"/>
    </row>
    <row r="6" spans="1:22" ht="5.0999999999999996" customHeight="1">
      <c r="A6" s="563"/>
      <c r="B6" s="579"/>
      <c r="C6" s="579"/>
      <c r="D6" s="579"/>
      <c r="E6" s="579"/>
      <c r="F6" s="579"/>
      <c r="G6" s="579"/>
      <c r="H6" s="579"/>
      <c r="I6" s="579"/>
      <c r="K6" s="579"/>
      <c r="L6" s="579"/>
      <c r="M6" s="579"/>
      <c r="N6" s="579"/>
      <c r="O6" s="579"/>
      <c r="P6" s="579"/>
      <c r="Q6" s="579"/>
      <c r="R6" s="579"/>
      <c r="S6" s="563"/>
    </row>
    <row r="7" spans="1:22" ht="15" customHeight="1">
      <c r="V7" s="569"/>
    </row>
    <row r="8" spans="1:22" ht="5.0999999999999996" customHeight="1">
      <c r="C8" s="563"/>
      <c r="D8" s="1960" t="str">
        <f>'Lists-Modules-ChartData'!AQ80</f>
        <v>Baseline</v>
      </c>
      <c r="E8" s="1960"/>
      <c r="F8" s="1960"/>
      <c r="G8" s="1960"/>
      <c r="J8" s="1960" t="str">
        <f>'Lists-Modules-ChartData'!AQ90</f>
        <v>Primary Balance Shock</v>
      </c>
      <c r="K8" s="1960"/>
      <c r="L8" s="1960"/>
      <c r="M8" s="1960"/>
      <c r="P8" s="1960" t="str">
        <f>'Lists-Modules-ChartData'!AQ100</f>
        <v>Real Interest Rate Shock</v>
      </c>
      <c r="Q8" s="1960"/>
      <c r="R8" s="1960"/>
      <c r="S8" s="1960"/>
      <c r="T8" s="1960"/>
      <c r="V8" s="569"/>
    </row>
    <row r="9" spans="1:22" ht="3.95" customHeight="1">
      <c r="C9" s="563"/>
      <c r="D9" s="1960"/>
      <c r="E9" s="1960"/>
      <c r="F9" s="1960"/>
      <c r="G9" s="1960"/>
      <c r="J9" s="1960"/>
      <c r="K9" s="1960"/>
      <c r="L9" s="1960"/>
      <c r="M9" s="1960"/>
      <c r="P9" s="1960"/>
      <c r="Q9" s="1960"/>
      <c r="R9" s="1960"/>
      <c r="S9" s="1960"/>
      <c r="T9" s="1960"/>
      <c r="V9" s="569"/>
    </row>
    <row r="10" spans="1:22" ht="5.0999999999999996" customHeight="1">
      <c r="C10" s="563"/>
      <c r="D10" s="1960"/>
      <c r="E10" s="1960"/>
      <c r="F10" s="1960"/>
      <c r="G10" s="1960"/>
      <c r="J10" s="1960"/>
      <c r="K10" s="1960"/>
      <c r="L10" s="1960"/>
      <c r="M10" s="1960"/>
      <c r="P10" s="1960"/>
      <c r="Q10" s="1960"/>
      <c r="R10" s="1960"/>
      <c r="S10" s="1960"/>
      <c r="T10" s="1960"/>
      <c r="V10" s="569"/>
    </row>
    <row r="11" spans="1:22" ht="5.0999999999999996" customHeight="1">
      <c r="I11" s="576"/>
      <c r="K11" s="576"/>
      <c r="P11" s="1394"/>
      <c r="Q11" s="1394"/>
      <c r="R11" s="1394"/>
      <c r="S11" s="1394"/>
      <c r="V11" s="569"/>
    </row>
    <row r="12" spans="1:22" ht="5.0999999999999996" customHeight="1">
      <c r="D12" s="1960" t="str">
        <f>'Lists-Modules-ChartData'!AQ112</f>
        <v>Real GDP Growth Shock</v>
      </c>
      <c r="E12" s="1960"/>
      <c r="F12" s="1960"/>
      <c r="G12" s="1960"/>
      <c r="J12" s="1960" t="str">
        <f>'Lists-Modules-ChartData'!AQ122</f>
        <v>Real Exchange Rate Shock</v>
      </c>
      <c r="K12" s="1960"/>
      <c r="L12" s="1960"/>
      <c r="M12" s="1960"/>
      <c r="V12" s="569"/>
    </row>
    <row r="13" spans="1:22" ht="3.95" customHeight="1">
      <c r="D13" s="1960"/>
      <c r="E13" s="1960"/>
      <c r="F13" s="1960"/>
      <c r="G13" s="1960"/>
      <c r="J13" s="1960"/>
      <c r="K13" s="1960"/>
      <c r="L13" s="1960"/>
      <c r="M13" s="1960"/>
      <c r="V13" s="569"/>
    </row>
    <row r="14" spans="1:22" ht="5.0999999999999996" customHeight="1">
      <c r="D14" s="1960"/>
      <c r="E14" s="1960"/>
      <c r="F14" s="1960"/>
      <c r="G14" s="1960"/>
      <c r="J14" s="1960"/>
      <c r="K14" s="1960"/>
      <c r="L14" s="1960"/>
      <c r="M14" s="1960"/>
      <c r="V14" s="569"/>
    </row>
    <row r="15" spans="1:22" ht="5.0999999999999996" customHeight="1">
      <c r="I15" s="576"/>
      <c r="K15" s="576"/>
      <c r="V15" s="569"/>
    </row>
    <row r="16" spans="1:22" ht="5.0999999999999996" customHeight="1">
      <c r="H16" s="576"/>
      <c r="V16" s="569"/>
    </row>
    <row r="17" spans="22:22" ht="15.95" customHeight="1">
      <c r="V17" s="569"/>
    </row>
    <row r="18" spans="22:22" ht="15.95" customHeight="1">
      <c r="V18" s="569"/>
    </row>
    <row r="19" spans="22:22" ht="15.95" customHeight="1">
      <c r="V19" s="569"/>
    </row>
    <row r="20" spans="22:22" ht="15.95" customHeight="1">
      <c r="V20" s="569"/>
    </row>
    <row r="21" spans="22:22" ht="15.95" customHeight="1">
      <c r="V21" s="569"/>
    </row>
    <row r="22" spans="22:22" ht="15.95" customHeight="1">
      <c r="V22" s="569"/>
    </row>
    <row r="23" spans="22:22" ht="15.95" customHeight="1">
      <c r="V23" s="569"/>
    </row>
    <row r="24" spans="22:22" ht="15.95" customHeight="1">
      <c r="V24" s="569"/>
    </row>
    <row r="25" spans="22:22" ht="15.95" customHeight="1">
      <c r="V25" s="569"/>
    </row>
    <row r="26" spans="22:22" ht="15.95" customHeight="1">
      <c r="V26" s="569"/>
    </row>
    <row r="27" spans="22:22" ht="15.95" customHeight="1">
      <c r="V27" s="569"/>
    </row>
    <row r="28" spans="22:22" ht="15.95" customHeight="1">
      <c r="V28" s="569"/>
    </row>
    <row r="29" spans="22:22" ht="15.95" customHeight="1">
      <c r="V29" s="569"/>
    </row>
    <row r="30" spans="22:22" ht="15.95" customHeight="1">
      <c r="V30" s="569"/>
    </row>
    <row r="31" spans="22:22" ht="15.95" customHeight="1">
      <c r="V31" s="569"/>
    </row>
    <row r="32" spans="22:22" ht="15.95" customHeight="1">
      <c r="V32" s="569"/>
    </row>
    <row r="33" spans="2:22" ht="15.95" customHeight="1">
      <c r="V33" s="569"/>
    </row>
    <row r="34" spans="2:22" ht="15.95" customHeight="1">
      <c r="V34" s="569"/>
    </row>
    <row r="35" spans="2:22" ht="15.95" customHeight="1">
      <c r="V35" s="569"/>
    </row>
    <row r="36" spans="2:22" ht="15.95" customHeight="1">
      <c r="V36" s="569"/>
    </row>
    <row r="37" spans="2:22" ht="15.95" customHeight="1">
      <c r="V37" s="569"/>
    </row>
    <row r="38" spans="2:22" s="586" customFormat="1" ht="24.95" customHeight="1">
      <c r="B38" s="1956" t="s">
        <v>141</v>
      </c>
      <c r="C38" s="1956"/>
      <c r="D38" s="1956"/>
      <c r="E38" s="1956"/>
      <c r="F38" s="1956"/>
      <c r="G38" s="1956"/>
      <c r="H38" s="1956"/>
      <c r="I38" s="1956"/>
      <c r="J38" s="1956"/>
      <c r="K38" s="1956"/>
      <c r="L38" s="1956"/>
      <c r="M38" s="1956"/>
      <c r="N38" s="1956"/>
      <c r="O38" s="1956"/>
      <c r="P38" s="1956"/>
      <c r="Q38" s="1956"/>
      <c r="R38" s="1956"/>
      <c r="S38" s="1956"/>
      <c r="T38" s="1956"/>
    </row>
    <row r="39" spans="2:22" s="586" customFormat="1" ht="15" customHeight="1">
      <c r="B39" s="1175"/>
      <c r="C39" s="1175"/>
      <c r="D39" s="1175"/>
      <c r="E39" s="1175"/>
      <c r="F39" s="1175"/>
      <c r="G39" s="1175"/>
      <c r="H39" s="1175"/>
      <c r="I39" s="1175"/>
      <c r="J39" s="1175"/>
      <c r="K39" s="1175"/>
      <c r="L39" s="1175"/>
      <c r="M39" s="1175"/>
      <c r="N39" s="1175"/>
      <c r="O39" s="1175"/>
      <c r="P39" s="1175"/>
      <c r="Q39" s="1175"/>
      <c r="R39" s="1175"/>
      <c r="S39" s="1175"/>
      <c r="T39" s="1175"/>
    </row>
    <row r="40" spans="2:22" ht="5.0999999999999996" customHeight="1">
      <c r="C40" s="563"/>
      <c r="D40" s="1960" t="str">
        <f>'Lists-Modules-ChartData'!AQ149</f>
        <v>Baseline</v>
      </c>
      <c r="E40" s="1960"/>
      <c r="F40" s="1960"/>
      <c r="G40" s="1960"/>
      <c r="J40" s="1960" t="s">
        <v>775</v>
      </c>
      <c r="K40" s="1960"/>
      <c r="L40" s="1960"/>
      <c r="M40" s="1960"/>
      <c r="O40" s="563"/>
      <c r="P40" s="1960" t="str">
        <f>IF(AND(ScrutinyClassification_Final="Higher",CLTrigger=1),'Lists-Modules-ChartData'!AQ169,"")</f>
        <v/>
      </c>
      <c r="Q40" s="1960"/>
      <c r="R40" s="1960"/>
      <c r="S40" s="1960"/>
      <c r="T40" s="1960"/>
      <c r="U40" s="1960"/>
      <c r="V40" s="1311"/>
    </row>
    <row r="41" spans="2:22" ht="3.95" customHeight="1">
      <c r="C41" s="563"/>
      <c r="D41" s="1960"/>
      <c r="E41" s="1960"/>
      <c r="F41" s="1960"/>
      <c r="G41" s="1960"/>
      <c r="J41" s="1960"/>
      <c r="K41" s="1960"/>
      <c r="L41" s="1960"/>
      <c r="M41" s="1960"/>
      <c r="P41" s="1960"/>
      <c r="Q41" s="1960"/>
      <c r="R41" s="1960"/>
      <c r="S41" s="1960"/>
      <c r="T41" s="1960"/>
      <c r="U41" s="1960"/>
      <c r="V41" s="1311"/>
    </row>
    <row r="42" spans="2:22" ht="5.0999999999999996" customHeight="1">
      <c r="C42" s="563"/>
      <c r="D42" s="1960"/>
      <c r="E42" s="1960"/>
      <c r="F42" s="1960"/>
      <c r="G42" s="1960"/>
      <c r="J42" s="1960"/>
      <c r="K42" s="1960"/>
      <c r="L42" s="1960"/>
      <c r="M42" s="1960"/>
      <c r="P42" s="1960"/>
      <c r="Q42" s="1960"/>
      <c r="R42" s="1960"/>
      <c r="S42" s="1960"/>
      <c r="T42" s="1960"/>
      <c r="U42" s="1960"/>
      <c r="V42" s="1311"/>
    </row>
    <row r="43" spans="2:22" ht="5.0999999999999996" customHeight="1">
      <c r="J43" s="1177"/>
      <c r="K43" s="1177"/>
      <c r="L43" s="1177"/>
      <c r="M43" s="1177"/>
    </row>
    <row r="44" spans="2:22" ht="5.0999999999999996" customHeight="1">
      <c r="B44" s="563"/>
      <c r="D44" s="1960" t="str">
        <f>IF(AND(ScrutinyClassification_Final="Higher",Custom1Trigger=1),'Lists-Modules-ChartData'!AQ179,"")</f>
        <v/>
      </c>
      <c r="E44" s="1960"/>
      <c r="F44" s="1960"/>
      <c r="G44" s="1960"/>
      <c r="H44" s="1960"/>
      <c r="J44" s="1960" t="str">
        <f>IF(AND(ScrutinyClassification_Final="Higher",Custom2Trigger=1),'Lists-Modules-ChartData'!AQ189,"")</f>
        <v/>
      </c>
      <c r="K44" s="1960"/>
      <c r="L44" s="1960"/>
      <c r="M44" s="1960"/>
      <c r="N44" s="1960"/>
      <c r="O44" s="1394"/>
      <c r="P44" s="1394"/>
      <c r="Q44" s="1394"/>
      <c r="V44" s="569"/>
    </row>
    <row r="45" spans="2:22" ht="3.95" customHeight="1">
      <c r="B45" s="563"/>
      <c r="D45" s="1960"/>
      <c r="E45" s="1960"/>
      <c r="F45" s="1960"/>
      <c r="G45" s="1960"/>
      <c r="H45" s="1960"/>
      <c r="J45" s="1960"/>
      <c r="K45" s="1960"/>
      <c r="L45" s="1960"/>
      <c r="M45" s="1960"/>
      <c r="N45" s="1960"/>
      <c r="O45" s="1394"/>
      <c r="P45" s="1394"/>
      <c r="Q45" s="1394"/>
      <c r="V45" s="569"/>
    </row>
    <row r="46" spans="2:22" ht="5.0999999999999996" customHeight="1">
      <c r="B46" s="563"/>
      <c r="D46" s="1960"/>
      <c r="E46" s="1960"/>
      <c r="F46" s="1960"/>
      <c r="G46" s="1960"/>
      <c r="H46" s="1960"/>
      <c r="J46" s="1960"/>
      <c r="K46" s="1960"/>
      <c r="L46" s="1960"/>
      <c r="M46" s="1960"/>
      <c r="N46" s="1960"/>
      <c r="O46" s="1394"/>
      <c r="P46" s="1394"/>
      <c r="Q46" s="1394"/>
      <c r="V46" s="569"/>
    </row>
    <row r="47" spans="2:22" ht="15.95" customHeight="1">
      <c r="V47" s="569"/>
    </row>
    <row r="48" spans="2:22" ht="15.95" customHeight="1">
      <c r="V48" s="569"/>
    </row>
    <row r="49" spans="22:22" ht="15.95" customHeight="1">
      <c r="V49" s="569"/>
    </row>
    <row r="50" spans="22:22" ht="15.95" customHeight="1">
      <c r="V50" s="569"/>
    </row>
    <row r="51" spans="22:22" ht="15.95" customHeight="1">
      <c r="V51" s="569"/>
    </row>
    <row r="52" spans="22:22" ht="15.95" customHeight="1">
      <c r="V52" s="569"/>
    </row>
    <row r="53" spans="22:22" ht="15.95" customHeight="1">
      <c r="V53" s="569"/>
    </row>
    <row r="54" spans="22:22" ht="15.95" customHeight="1">
      <c r="V54" s="569"/>
    </row>
    <row r="55" spans="22:22" ht="15.95" customHeight="1">
      <c r="V55" s="569"/>
    </row>
    <row r="56" spans="22:22" ht="15.95" customHeight="1">
      <c r="V56" s="569"/>
    </row>
    <row r="57" spans="22:22" ht="15.95" customHeight="1">
      <c r="V57" s="569"/>
    </row>
    <row r="58" spans="22:22" ht="15.95" customHeight="1">
      <c r="V58" s="569"/>
    </row>
    <row r="59" spans="22:22" ht="15.95" customHeight="1">
      <c r="V59" s="569"/>
    </row>
    <row r="60" spans="22:22" ht="15.95" customHeight="1">
      <c r="V60" s="569"/>
    </row>
    <row r="61" spans="22:22" ht="15.95" customHeight="1">
      <c r="V61" s="569"/>
    </row>
    <row r="62" spans="22:22" ht="15.95" customHeight="1">
      <c r="V62" s="569"/>
    </row>
    <row r="63" spans="22:22" ht="15.95" customHeight="1">
      <c r="V63" s="569"/>
    </row>
    <row r="64" spans="22:22" ht="15.95" customHeight="1">
      <c r="V64" s="569"/>
    </row>
    <row r="65" spans="1:22" ht="15.95" customHeight="1">
      <c r="V65" s="569"/>
    </row>
    <row r="66" spans="1:22" ht="15.95" customHeight="1">
      <c r="V66" s="569"/>
    </row>
    <row r="67" spans="1:22" ht="15.95" customHeight="1">
      <c r="V67" s="569"/>
    </row>
    <row r="68" spans="1:22" ht="14.25" customHeight="1">
      <c r="B68" s="563"/>
      <c r="C68" s="563"/>
      <c r="D68" s="563"/>
      <c r="E68" s="563"/>
      <c r="F68" s="563"/>
      <c r="G68" s="563"/>
      <c r="H68" s="563"/>
      <c r="I68" s="563"/>
      <c r="J68" s="563"/>
      <c r="K68" s="563"/>
      <c r="L68" s="563"/>
      <c r="M68" s="563"/>
      <c r="N68" s="563"/>
      <c r="O68" s="563"/>
      <c r="P68" s="563"/>
      <c r="Q68" s="563"/>
      <c r="R68" s="563"/>
      <c r="S68" s="563"/>
      <c r="T68" s="563"/>
      <c r="V68" s="569"/>
    </row>
    <row r="69" spans="1:22" ht="20.100000000000001" customHeight="1">
      <c r="C69" s="1958" t="s">
        <v>298</v>
      </c>
      <c r="D69" s="1958"/>
      <c r="E69" s="1958"/>
      <c r="F69" s="1958"/>
      <c r="G69" s="1958"/>
      <c r="H69" s="1958"/>
      <c r="I69" s="1958"/>
      <c r="J69" s="1958"/>
      <c r="K69" s="1958"/>
      <c r="L69" s="1958"/>
      <c r="M69" s="1958"/>
      <c r="N69" s="1958"/>
      <c r="O69" s="1958"/>
      <c r="P69" s="1958"/>
      <c r="Q69" s="1958"/>
      <c r="R69" s="1958"/>
      <c r="S69" s="1958"/>
      <c r="V69" s="569"/>
    </row>
    <row r="70" spans="1:22" s="588" customFormat="1" ht="20.100000000000001" customHeight="1">
      <c r="A70" s="587"/>
      <c r="B70" s="1959" t="s">
        <v>431</v>
      </c>
      <c r="C70" s="1959"/>
      <c r="D70" s="1959"/>
      <c r="E70" s="1959"/>
      <c r="F70" s="1959"/>
      <c r="G70" s="1959"/>
      <c r="H70" s="1959"/>
      <c r="I70" s="1959"/>
      <c r="J70" s="1959"/>
      <c r="K70" s="1959"/>
      <c r="L70" s="1959"/>
      <c r="M70" s="1959"/>
      <c r="N70" s="1959"/>
      <c r="O70" s="1959"/>
      <c r="P70" s="1959"/>
      <c r="Q70" s="1959"/>
      <c r="R70" s="1959"/>
      <c r="S70" s="1959"/>
      <c r="T70" s="1959"/>
    </row>
    <row r="71" spans="1:22" s="588" customFormat="1" ht="10.15" customHeight="1">
      <c r="A71" s="587"/>
      <c r="B71" s="1176"/>
      <c r="C71" s="1176"/>
      <c r="D71" s="1176"/>
      <c r="E71" s="1176"/>
      <c r="F71" s="1176"/>
      <c r="G71" s="1176"/>
      <c r="H71" s="1176"/>
      <c r="I71" s="1176"/>
      <c r="J71" s="1176"/>
      <c r="K71" s="1176"/>
      <c r="L71" s="1176"/>
      <c r="M71" s="1176"/>
      <c r="N71" s="1176"/>
      <c r="O71" s="1176"/>
      <c r="P71" s="1176"/>
      <c r="Q71" s="1176"/>
      <c r="R71" s="1176"/>
      <c r="S71" s="1176"/>
      <c r="T71" s="1176"/>
    </row>
    <row r="72" spans="1:22" s="584" customFormat="1" ht="18" customHeight="1">
      <c r="B72" s="1187" t="str">
        <f>'Lists-Modules-ChartData'!AQ90</f>
        <v>Primary Balance Shock</v>
      </c>
      <c r="C72" s="1187"/>
      <c r="D72" s="1187"/>
      <c r="E72" s="1188">
        <f>FirstYear</f>
        <v>2018</v>
      </c>
      <c r="F72" s="1188">
        <f>E72+1</f>
        <v>2019</v>
      </c>
      <c r="G72" s="1188">
        <f>F72+1</f>
        <v>2020</v>
      </c>
      <c r="H72" s="1188">
        <f>G72+1</f>
        <v>2021</v>
      </c>
      <c r="I72" s="1188">
        <f>H72+1</f>
        <v>2022</v>
      </c>
      <c r="J72" s="1188">
        <f>I72+1</f>
        <v>2023</v>
      </c>
      <c r="K72" s="610"/>
      <c r="L72" s="573" t="str">
        <f>'Lists-Modules-ChartData'!AQ112</f>
        <v>Real GDP Growth Shock</v>
      </c>
      <c r="M72" s="1174"/>
      <c r="N72" s="1174"/>
      <c r="O72" s="1189">
        <f>FirstYear</f>
        <v>2018</v>
      </c>
      <c r="P72" s="1190">
        <f>O72+1</f>
        <v>2019</v>
      </c>
      <c r="Q72" s="1190">
        <f>P72+1</f>
        <v>2020</v>
      </c>
      <c r="R72" s="1190">
        <f>Q72+1</f>
        <v>2021</v>
      </c>
      <c r="S72" s="1190">
        <f>R72+1</f>
        <v>2022</v>
      </c>
      <c r="T72" s="1190">
        <f>S72+1</f>
        <v>2023</v>
      </c>
      <c r="V72" s="1191"/>
    </row>
    <row r="73" spans="1:22" ht="18" customHeight="1">
      <c r="B73" s="625" t="s">
        <v>77</v>
      </c>
      <c r="C73" s="574"/>
      <c r="D73" s="574"/>
      <c r="E73" s="627">
        <f>'Lists-Modules-ChartData'!AT95</f>
        <v>4.7697166816344838</v>
      </c>
      <c r="F73" s="627">
        <f>'Lists-Modules-ChartData'!AU95</f>
        <v>3.1686434574876632</v>
      </c>
      <c r="G73" s="627">
        <f>'Lists-Modules-ChartData'!AV95</f>
        <v>2.9947102444823903</v>
      </c>
      <c r="H73" s="627">
        <f>'Lists-Modules-ChartData'!AW95</f>
        <v>2.8871442593204177</v>
      </c>
      <c r="I73" s="627">
        <f>'Lists-Modules-ChartData'!AX95</f>
        <v>2.933023694707515</v>
      </c>
      <c r="J73" s="627">
        <f>'Lists-Modules-ChartData'!AY95</f>
        <v>2.8000000000000025</v>
      </c>
      <c r="K73" s="576"/>
      <c r="L73" s="625" t="s">
        <v>77</v>
      </c>
      <c r="M73" s="577"/>
      <c r="N73" s="577"/>
      <c r="O73" s="627">
        <f>'Lists-Modules-ChartData'!AT117</f>
        <v>4.7697166816344838</v>
      </c>
      <c r="P73" s="627">
        <f>'Lists-Modules-ChartData'!AU117</f>
        <v>-2.9400730822444126</v>
      </c>
      <c r="Q73" s="627">
        <f>'Lists-Modules-ChartData'!AV117</f>
        <v>-3.1140062952496854</v>
      </c>
      <c r="R73" s="627">
        <f>'Lists-Modules-ChartData'!AW117</f>
        <v>2.8871442593204177</v>
      </c>
      <c r="S73" s="627">
        <f>'Lists-Modules-ChartData'!AX117</f>
        <v>2.933023694707515</v>
      </c>
      <c r="T73" s="627">
        <f>'Lists-Modules-ChartData'!AY117</f>
        <v>2.8000000000000025</v>
      </c>
      <c r="V73" s="569"/>
    </row>
    <row r="74" spans="1:22" ht="18" customHeight="1">
      <c r="B74" s="625" t="s">
        <v>78</v>
      </c>
      <c r="C74" s="574"/>
      <c r="D74" s="574"/>
      <c r="E74" s="627">
        <f>'Lists-Modules-ChartData'!AT96</f>
        <v>4.2122999157540031</v>
      </c>
      <c r="F74" s="627">
        <f>'Lists-Modules-ChartData'!AU96</f>
        <v>3.085754504401117</v>
      </c>
      <c r="G74" s="627">
        <f>'Lists-Modules-ChartData'!AV96</f>
        <v>2.7938359016816516</v>
      </c>
      <c r="H74" s="627">
        <f>'Lists-Modules-ChartData'!AW96</f>
        <v>2.5315565708619037</v>
      </c>
      <c r="I74" s="627">
        <f>'Lists-Modules-ChartData'!AX96</f>
        <v>2.4647711698661201</v>
      </c>
      <c r="J74" s="627">
        <f>'Lists-Modules-ChartData'!AY96</f>
        <v>2.5000000000000133</v>
      </c>
      <c r="K74" s="576"/>
      <c r="L74" s="625" t="s">
        <v>78</v>
      </c>
      <c r="M74" s="577"/>
      <c r="N74" s="577"/>
      <c r="O74" s="627">
        <f>'Lists-Modules-ChartData'!AT118</f>
        <v>4.2122999157540031</v>
      </c>
      <c r="P74" s="627">
        <f>'Lists-Modules-ChartData'!AU118</f>
        <v>1.5585753694680979</v>
      </c>
      <c r="Q74" s="627">
        <f>'Lists-Modules-ChartData'!AV118</f>
        <v>1.2666567667486326</v>
      </c>
      <c r="R74" s="627">
        <f>'Lists-Modules-ChartData'!AW118</f>
        <v>2.5315565708619037</v>
      </c>
      <c r="S74" s="627">
        <f>'Lists-Modules-ChartData'!AX118</f>
        <v>2.4647711698661201</v>
      </c>
      <c r="T74" s="627">
        <f>'Lists-Modules-ChartData'!AY118</f>
        <v>2.5000000000000133</v>
      </c>
      <c r="V74" s="569"/>
    </row>
    <row r="75" spans="1:22" ht="18" customHeight="1">
      <c r="B75" s="625" t="s">
        <v>147</v>
      </c>
      <c r="C75" s="577"/>
      <c r="D75" s="577"/>
      <c r="E75" s="627">
        <f>'Lists-Modules-ChartData'!AT97</f>
        <v>-5.2301873674015509E-2</v>
      </c>
      <c r="F75" s="627">
        <f>'Lists-Modules-ChartData'!AU97</f>
        <v>-1.6708596534666282</v>
      </c>
      <c r="G75" s="627">
        <f>'Lists-Modules-ChartData'!AV97</f>
        <v>-1.4086050204041529</v>
      </c>
      <c r="H75" s="627">
        <f>'Lists-Modules-ChartData'!AW97</f>
        <v>0.22147723253581053</v>
      </c>
      <c r="I75" s="627">
        <f>'Lists-Modules-ChartData'!AX97</f>
        <v>0.87301076297996993</v>
      </c>
      <c r="J75" s="627">
        <f>'Lists-Modules-ChartData'!AY97</f>
        <v>0.87301076297997549</v>
      </c>
      <c r="K75" s="576"/>
      <c r="L75" s="625" t="s">
        <v>147</v>
      </c>
      <c r="M75" s="577"/>
      <c r="N75" s="577"/>
      <c r="O75" s="627">
        <f>'Lists-Modules-ChartData'!AT119</f>
        <v>-5.2301873674015509E-2</v>
      </c>
      <c r="P75" s="627">
        <f>'Lists-Modules-ChartData'!AU119</f>
        <v>-2.7937023631175673</v>
      </c>
      <c r="Q75" s="627">
        <f>'Lists-Modules-ChartData'!AV119</f>
        <v>-5.5093300748827732</v>
      </c>
      <c r="R75" s="627">
        <f>'Lists-Modules-ChartData'!AW119</f>
        <v>0.22147723253581053</v>
      </c>
      <c r="S75" s="627">
        <f>'Lists-Modules-ChartData'!AX119</f>
        <v>0.87301076297996993</v>
      </c>
      <c r="T75" s="627">
        <f>'Lists-Modules-ChartData'!AY119</f>
        <v>0.87301076297997549</v>
      </c>
      <c r="V75" s="581"/>
    </row>
    <row r="76" spans="1:22" ht="18" customHeight="1">
      <c r="B76" s="625" t="s">
        <v>304</v>
      </c>
      <c r="C76" s="577"/>
      <c r="D76" s="577"/>
      <c r="E76" s="627">
        <f>'Lists-Modules-ChartData'!AT98</f>
        <v>1.9586439007071743</v>
      </c>
      <c r="F76" s="627">
        <f ca="1">'Lists-Modules-ChartData'!AU98</f>
        <v>2.4781166566290191</v>
      </c>
      <c r="G76" s="627">
        <f ca="1">'Lists-Modules-ChartData'!AV98</f>
        <v>3.2143786038961979</v>
      </c>
      <c r="H76" s="627">
        <f ca="1">'Lists-Modules-ChartData'!AW98</f>
        <v>1.9732061097271953</v>
      </c>
      <c r="I76" s="627">
        <f ca="1">'Lists-Modules-ChartData'!AX98</f>
        <v>2.3193824503916454</v>
      </c>
      <c r="J76" s="627">
        <f ca="1">'Lists-Modules-ChartData'!AY98</f>
        <v>2.4097978248006999</v>
      </c>
      <c r="K76" s="576"/>
      <c r="L76" s="625" t="s">
        <v>304</v>
      </c>
      <c r="M76" s="577"/>
      <c r="N76" s="577"/>
      <c r="O76" s="627">
        <f>'Lists-Modules-ChartData'!AT120</f>
        <v>1.9586439007071743</v>
      </c>
      <c r="P76" s="627">
        <f ca="1">'Lists-Modules-ChartData'!AU120</f>
        <v>2.4781166566290191</v>
      </c>
      <c r="Q76" s="627">
        <f ca="1">'Lists-Modules-ChartData'!AV120</f>
        <v>3.1221186569105042</v>
      </c>
      <c r="R76" s="627">
        <f ca="1">'Lists-Modules-ChartData'!AW120</f>
        <v>1.6841193966014807</v>
      </c>
      <c r="S76" s="627">
        <f ca="1">'Lists-Modules-ChartData'!AX120</f>
        <v>2.1911228022965714</v>
      </c>
      <c r="T76" s="627">
        <f ca="1">'Lists-Modules-ChartData'!AY120</f>
        <v>2.2895405406737046</v>
      </c>
      <c r="V76" s="583"/>
    </row>
    <row r="77" spans="1:22" ht="5.0999999999999996" customHeight="1">
      <c r="B77" s="576"/>
      <c r="C77" s="577"/>
      <c r="D77" s="577"/>
      <c r="E77" s="577"/>
      <c r="F77" s="573"/>
      <c r="G77" s="577"/>
      <c r="H77" s="577"/>
      <c r="I77" s="577"/>
      <c r="J77" s="624"/>
      <c r="K77" s="626"/>
      <c r="L77" s="626"/>
      <c r="M77" s="626"/>
      <c r="N77" s="626"/>
      <c r="O77" s="626"/>
      <c r="P77" s="575"/>
      <c r="Q77" s="575"/>
      <c r="R77" s="575"/>
      <c r="S77" s="575"/>
      <c r="T77" s="576"/>
      <c r="V77" s="583"/>
    </row>
    <row r="78" spans="1:22" ht="18" customHeight="1">
      <c r="B78" s="573" t="str">
        <f>'Lists-Modules-ChartData'!AQ100</f>
        <v>Real Interest Rate Shock</v>
      </c>
      <c r="C78" s="577"/>
      <c r="D78" s="577"/>
      <c r="E78" s="1186"/>
      <c r="F78" s="1186"/>
      <c r="G78" s="1186"/>
      <c r="H78" s="1186"/>
      <c r="I78" s="1186"/>
      <c r="J78" s="1186"/>
      <c r="K78" s="626"/>
      <c r="L78" s="573" t="str">
        <f>'Lists-Modules-ChartData'!AQ122</f>
        <v>Real Exchange Rate Shock</v>
      </c>
      <c r="M78" s="577"/>
      <c r="N78" s="577"/>
      <c r="O78" s="1186"/>
      <c r="P78" s="1186"/>
      <c r="Q78" s="1186"/>
      <c r="R78" s="1186"/>
      <c r="S78" s="1186"/>
      <c r="T78" s="1186"/>
      <c r="V78" s="583"/>
    </row>
    <row r="79" spans="1:22" ht="18" customHeight="1">
      <c r="B79" s="625" t="str">
        <f>IF(MFShock4=1,L73,"")</f>
        <v>Real GDP growth</v>
      </c>
      <c r="C79" s="577"/>
      <c r="D79" s="577"/>
      <c r="E79" s="627">
        <f>'Lists-Modules-ChartData'!AT105</f>
        <v>4.7697166816344838</v>
      </c>
      <c r="F79" s="627">
        <f>'Lists-Modules-ChartData'!AU105</f>
        <v>3.1686434574876632</v>
      </c>
      <c r="G79" s="627">
        <f>'Lists-Modules-ChartData'!AV105</f>
        <v>2.9947102444823903</v>
      </c>
      <c r="H79" s="627">
        <f>'Lists-Modules-ChartData'!AW105</f>
        <v>2.8871442593204177</v>
      </c>
      <c r="I79" s="627">
        <f>'Lists-Modules-ChartData'!AX105</f>
        <v>2.933023694707515</v>
      </c>
      <c r="J79" s="627">
        <f>'Lists-Modules-ChartData'!AY105</f>
        <v>2.8000000000000025</v>
      </c>
      <c r="K79" s="576"/>
      <c r="L79" s="625" t="str">
        <f>IF(MFShock3=1,B73,"")</f>
        <v>Real GDP growth</v>
      </c>
      <c r="M79" s="577"/>
      <c r="N79" s="577"/>
      <c r="O79" s="627">
        <f>'Lists-Modules-ChartData'!AT127</f>
        <v>4.7697166816344838</v>
      </c>
      <c r="P79" s="627">
        <f>'Lists-Modules-ChartData'!AU127</f>
        <v>3.1686434574876632</v>
      </c>
      <c r="Q79" s="627">
        <f>'Lists-Modules-ChartData'!AV127</f>
        <v>2.9947102444823903</v>
      </c>
      <c r="R79" s="627">
        <f>'Lists-Modules-ChartData'!AW127</f>
        <v>2.8871442593204177</v>
      </c>
      <c r="S79" s="627">
        <f>'Lists-Modules-ChartData'!AX127</f>
        <v>2.933023694707515</v>
      </c>
      <c r="T79" s="627">
        <f>'Lists-Modules-ChartData'!AY127</f>
        <v>2.8000000000000025</v>
      </c>
      <c r="V79" s="583"/>
    </row>
    <row r="80" spans="1:22" ht="18" customHeight="1">
      <c r="B80" s="625" t="str">
        <f>IF(MFShock4=1,L74,"")</f>
        <v>Inflation</v>
      </c>
      <c r="C80" s="577"/>
      <c r="D80" s="577"/>
      <c r="E80" s="627">
        <f>'Lists-Modules-ChartData'!AT106</f>
        <v>4.2122999157540031</v>
      </c>
      <c r="F80" s="627">
        <f>'Lists-Modules-ChartData'!AU106</f>
        <v>3.085754504401117</v>
      </c>
      <c r="G80" s="627">
        <f>'Lists-Modules-ChartData'!AV106</f>
        <v>2.7938359016816516</v>
      </c>
      <c r="H80" s="627">
        <f>'Lists-Modules-ChartData'!AW106</f>
        <v>2.5315565708619037</v>
      </c>
      <c r="I80" s="627">
        <f>'Lists-Modules-ChartData'!AX106</f>
        <v>2.4647711698661201</v>
      </c>
      <c r="J80" s="627">
        <f>'Lists-Modules-ChartData'!AY106</f>
        <v>2.5000000000000133</v>
      </c>
      <c r="K80" s="576"/>
      <c r="L80" s="625" t="str">
        <f>IF(MFShock3=1,B74,"")</f>
        <v>Inflation</v>
      </c>
      <c r="M80" s="577"/>
      <c r="N80" s="577"/>
      <c r="O80" s="627">
        <f>'Lists-Modules-ChartData'!AT128</f>
        <v>4.2122999157540031</v>
      </c>
      <c r="P80" s="627">
        <f>'Lists-Modules-ChartData'!AU128</f>
        <v>7.6773492297592449</v>
      </c>
      <c r="Q80" s="627">
        <f>'Lists-Modules-ChartData'!AV128</f>
        <v>2.7938359016816516</v>
      </c>
      <c r="R80" s="627">
        <f>'Lists-Modules-ChartData'!AW128</f>
        <v>2.5315565708619037</v>
      </c>
      <c r="S80" s="627">
        <f>'Lists-Modules-ChartData'!AX128</f>
        <v>2.4647711698661201</v>
      </c>
      <c r="T80" s="627">
        <f>'Lists-Modules-ChartData'!AY128</f>
        <v>2.5000000000000133</v>
      </c>
    </row>
    <row r="81" spans="1:22" ht="18" customHeight="1">
      <c r="B81" s="625" t="str">
        <f>IF(MFShock4=1,L75,"")</f>
        <v>Primary balance</v>
      </c>
      <c r="C81" s="577"/>
      <c r="D81" s="577"/>
      <c r="E81" s="627">
        <f>'Lists-Modules-ChartData'!AT107</f>
        <v>-5.2301873674015509E-2</v>
      </c>
      <c r="F81" s="627">
        <f>'Lists-Modules-ChartData'!AU107</f>
        <v>4.6597896115335713E-2</v>
      </c>
      <c r="G81" s="627">
        <f>'Lists-Modules-ChartData'!AV107</f>
        <v>0.30885252917781103</v>
      </c>
      <c r="H81" s="627">
        <f>'Lists-Modules-ChartData'!AW107</f>
        <v>0.22147723253581053</v>
      </c>
      <c r="I81" s="627">
        <f>'Lists-Modules-ChartData'!AX107</f>
        <v>0.87301076297996993</v>
      </c>
      <c r="J81" s="627">
        <f>'Lists-Modules-ChartData'!AY107</f>
        <v>0.87301076297997549</v>
      </c>
      <c r="K81" s="576"/>
      <c r="L81" s="625" t="str">
        <f>IF(MFShock3=1,B75,"")</f>
        <v>Primary balance</v>
      </c>
      <c r="M81" s="577"/>
      <c r="N81" s="577"/>
      <c r="O81" s="627">
        <f>'Lists-Modules-ChartData'!AT129</f>
        <v>-5.2301873674015509E-2</v>
      </c>
      <c r="P81" s="627">
        <f>'Lists-Modules-ChartData'!AU129</f>
        <v>4.6597896115335713E-2</v>
      </c>
      <c r="Q81" s="627">
        <f>'Lists-Modules-ChartData'!AV129</f>
        <v>0.30885252917781103</v>
      </c>
      <c r="R81" s="627">
        <f>'Lists-Modules-ChartData'!AW129</f>
        <v>0.22147723253581053</v>
      </c>
      <c r="S81" s="627">
        <f>'Lists-Modules-ChartData'!AX129</f>
        <v>0.87301076297996993</v>
      </c>
      <c r="T81" s="627">
        <f>'Lists-Modules-ChartData'!AY129</f>
        <v>0.87301076297997549</v>
      </c>
      <c r="V81" s="583"/>
    </row>
    <row r="82" spans="1:22" ht="18" customHeight="1">
      <c r="B82" s="625" t="str">
        <f>IF(MFShock4=1,L76,"")</f>
        <v>Effective interest rate</v>
      </c>
      <c r="C82" s="577"/>
      <c r="D82" s="577"/>
      <c r="E82" s="627">
        <f>'Lists-Modules-ChartData'!AT108</f>
        <v>1.9586439007071743</v>
      </c>
      <c r="F82" s="627">
        <f ca="1">'Lists-Modules-ChartData'!AU108</f>
        <v>2.4781166566290191</v>
      </c>
      <c r="G82" s="627">
        <f ca="1">'Lists-Modules-ChartData'!AV108</f>
        <v>6.5111885897248714</v>
      </c>
      <c r="H82" s="627">
        <f ca="1">'Lists-Modules-ChartData'!AW108</f>
        <v>8.0037638736025318</v>
      </c>
      <c r="I82" s="627">
        <f ca="1">'Lists-Modules-ChartData'!AX108</f>
        <v>11.48721828587329</v>
      </c>
      <c r="J82" s="627">
        <f ca="1">'Lists-Modules-ChartData'!AY108</f>
        <v>12.978191961087388</v>
      </c>
      <c r="K82" s="577"/>
      <c r="L82" s="625" t="str">
        <f>IF(MFShock3=1,B76,"")</f>
        <v>Effective interest rate</v>
      </c>
      <c r="M82" s="577"/>
      <c r="N82" s="577"/>
      <c r="O82" s="627">
        <f>'Lists-Modules-ChartData'!AT130</f>
        <v>1.9586439007071743</v>
      </c>
      <c r="P82" s="627">
        <f ca="1">'Lists-Modules-ChartData'!AU130</f>
        <v>2.4781166566290191</v>
      </c>
      <c r="Q82" s="627">
        <f ca="1">'Lists-Modules-ChartData'!AV130</f>
        <v>3.1215781749855784</v>
      </c>
      <c r="R82" s="627">
        <f ca="1">'Lists-Modules-ChartData'!AW130</f>
        <v>1.6838366775356981</v>
      </c>
      <c r="S82" s="627">
        <f ca="1">'Lists-Modules-ChartData'!AX130</f>
        <v>2.1907610618975508</v>
      </c>
      <c r="T82" s="627">
        <f ca="1">'Lists-Modules-ChartData'!AY130</f>
        <v>2.2891706554355862</v>
      </c>
      <c r="V82" s="583"/>
    </row>
    <row r="83" spans="1:22" ht="5.0999999999999996" customHeight="1">
      <c r="B83" s="576"/>
      <c r="C83" s="577"/>
      <c r="D83" s="577"/>
      <c r="E83" s="577"/>
      <c r="F83" s="573"/>
      <c r="G83" s="577"/>
      <c r="H83" s="577"/>
      <c r="I83" s="577"/>
      <c r="J83" s="624"/>
      <c r="K83" s="626"/>
      <c r="L83" s="626"/>
      <c r="M83" s="626"/>
      <c r="N83" s="626"/>
      <c r="O83" s="626"/>
      <c r="P83" s="575"/>
      <c r="Q83" s="575"/>
      <c r="R83" s="575"/>
      <c r="S83" s="575"/>
      <c r="T83" s="576"/>
      <c r="V83" s="583"/>
    </row>
    <row r="84" spans="1:22" ht="18" customHeight="1">
      <c r="B84" s="573" t="str">
        <f>'Lists-Modules-ChartData'!AQ159</f>
        <v>Combined Shock</v>
      </c>
      <c r="C84" s="577"/>
      <c r="D84" s="577"/>
      <c r="E84" s="1186"/>
      <c r="F84" s="1186"/>
      <c r="G84" s="1186"/>
      <c r="H84" s="1186"/>
      <c r="I84" s="1186"/>
      <c r="J84" s="1186"/>
      <c r="K84" s="626"/>
      <c r="L84" s="573" t="str">
        <f>IF(AND(ScrutinyClassification_Final="Higher",CLTrigger=1),"Contingent Liability Shock","")</f>
        <v/>
      </c>
      <c r="M84" s="577"/>
      <c r="N84" s="577"/>
      <c r="O84" s="1186"/>
      <c r="P84" s="1186"/>
      <c r="Q84" s="1186"/>
      <c r="R84" s="1186"/>
      <c r="S84" s="1186"/>
      <c r="T84" s="1186"/>
      <c r="V84" s="583"/>
    </row>
    <row r="85" spans="1:22" ht="18" customHeight="1">
      <c r="B85" s="625" t="str">
        <f>IF(MFShock4=1,L79,"")</f>
        <v>Real GDP growth</v>
      </c>
      <c r="E85" s="627">
        <f>'Lists-Modules-ChartData'!AT164</f>
        <v>4.7697166816344838</v>
      </c>
      <c r="F85" s="627">
        <f>'Lists-Modules-ChartData'!AU164</f>
        <v>-2.9400730822444126</v>
      </c>
      <c r="G85" s="627">
        <f>'Lists-Modules-ChartData'!AV164</f>
        <v>-3.1140062952496854</v>
      </c>
      <c r="H85" s="627">
        <f>'Lists-Modules-ChartData'!AW164</f>
        <v>2.8871442593204177</v>
      </c>
      <c r="I85" s="627">
        <f>'Lists-Modules-ChartData'!AX164</f>
        <v>2.933023694707515</v>
      </c>
      <c r="J85" s="627">
        <f>'Lists-Modules-ChartData'!AY164</f>
        <v>2.8000000000000025</v>
      </c>
      <c r="K85" s="576"/>
      <c r="L85" s="625" t="str">
        <f>IF(L$84="","",L73)</f>
        <v/>
      </c>
      <c r="O85" s="627" t="str">
        <f>IF(AND(ScrutinyClassification_Final="Higher",CLTrigger=1),'Lists-Modules-ChartData'!AT174,"")</f>
        <v/>
      </c>
      <c r="P85" s="627" t="str">
        <f>IF(AND(ScrutinyClassification_Final="Higher",CLTrigger=1),'Lists-Modules-ChartData'!AU174,"")</f>
        <v/>
      </c>
      <c r="Q85" s="627" t="str">
        <f>IF(AND(ScrutinyClassification_Final="Higher",CLTrigger=1),'Lists-Modules-ChartData'!AV174,"")</f>
        <v/>
      </c>
      <c r="R85" s="627" t="str">
        <f>IF(AND(ScrutinyClassification_Final="Higher",CLTrigger=1),'Lists-Modules-ChartData'!AW174,"")</f>
        <v/>
      </c>
      <c r="S85" s="627" t="str">
        <f>IF(AND(ScrutinyClassification_Final="Higher",CLTrigger=1),'Lists-Modules-ChartData'!AX174,"")</f>
        <v/>
      </c>
      <c r="T85" s="627" t="str">
        <f>IF(AND(ScrutinyClassification_Final="Higher",CLTrigger=1),'Lists-Modules-ChartData'!AY174,"")</f>
        <v/>
      </c>
      <c r="V85" s="583"/>
    </row>
    <row r="86" spans="1:22" ht="18" customHeight="1">
      <c r="B86" s="625" t="str">
        <f>IF(MFShock4=1,L80,"")</f>
        <v>Inflation</v>
      </c>
      <c r="C86" s="577"/>
      <c r="D86" s="577"/>
      <c r="E86" s="627">
        <f>'Lists-Modules-ChartData'!AT165</f>
        <v>4.2122999157540031</v>
      </c>
      <c r="F86" s="627">
        <f>'Lists-Modules-ChartData'!AU165</f>
        <v>1.5585753694680979</v>
      </c>
      <c r="G86" s="627">
        <f>'Lists-Modules-ChartData'!AV165</f>
        <v>1.2666567667486326</v>
      </c>
      <c r="H86" s="627">
        <f>'Lists-Modules-ChartData'!AW165</f>
        <v>2.5315565708619037</v>
      </c>
      <c r="I86" s="627">
        <f>'Lists-Modules-ChartData'!AX165</f>
        <v>2.4647711698661201</v>
      </c>
      <c r="J86" s="627">
        <f>'Lists-Modules-ChartData'!AY165</f>
        <v>2.5000000000000133</v>
      </c>
      <c r="K86" s="576"/>
      <c r="L86" s="625" t="str">
        <f>IF(L$84="","",L74)</f>
        <v/>
      </c>
      <c r="M86" s="577"/>
      <c r="N86" s="577"/>
      <c r="O86" s="627" t="str">
        <f>IF(AND(ScrutinyClassification_Final="Higher",CLTrigger=1),'Lists-Modules-ChartData'!AT175,"")</f>
        <v/>
      </c>
      <c r="P86" s="627" t="str">
        <f>IF(AND(ScrutinyClassification_Final="Higher",CLTrigger=1),'Lists-Modules-ChartData'!AU175,"")</f>
        <v/>
      </c>
      <c r="Q86" s="627" t="str">
        <f>IF(AND(ScrutinyClassification_Final="Higher",CLTrigger=1),'Lists-Modules-ChartData'!AV175,"")</f>
        <v/>
      </c>
      <c r="R86" s="627" t="str">
        <f>IF(AND(ScrutinyClassification_Final="Higher",CLTrigger=1),'Lists-Modules-ChartData'!AW175,"")</f>
        <v/>
      </c>
      <c r="S86" s="627" t="str">
        <f>IF(AND(ScrutinyClassification_Final="Higher",CLTrigger=1),'Lists-Modules-ChartData'!AX175,"")</f>
        <v/>
      </c>
      <c r="T86" s="627" t="str">
        <f>IF(AND(ScrutinyClassification_Final="Higher",CLTrigger=1),'Lists-Modules-ChartData'!AY175,"")</f>
        <v/>
      </c>
    </row>
    <row r="87" spans="1:22" ht="18" customHeight="1">
      <c r="B87" s="625" t="str">
        <f>IF(MFShock4=1,L81,"")</f>
        <v>Primary balance</v>
      </c>
      <c r="C87" s="577"/>
      <c r="D87" s="577"/>
      <c r="E87" s="627">
        <f>'Lists-Modules-ChartData'!AT166</f>
        <v>-5.2301873674015509E-2</v>
      </c>
      <c r="F87" s="627">
        <f>'Lists-Modules-ChartData'!AU166</f>
        <v>-3.6524311379085517</v>
      </c>
      <c r="G87" s="627">
        <f>'Lists-Modules-ChartData'!AV166</f>
        <v>-6.3680588496737576</v>
      </c>
      <c r="H87" s="627">
        <f>'Lists-Modules-ChartData'!AW166</f>
        <v>0.22147723253581053</v>
      </c>
      <c r="I87" s="627">
        <f>'Lists-Modules-ChartData'!AX166</f>
        <v>0.87301076297996993</v>
      </c>
      <c r="J87" s="627">
        <f>'Lists-Modules-ChartData'!AY166</f>
        <v>0.87301076297997549</v>
      </c>
      <c r="K87" s="576"/>
      <c r="L87" s="625" t="str">
        <f>IF(L$84="","",L75)</f>
        <v/>
      </c>
      <c r="M87" s="577"/>
      <c r="N87" s="577"/>
      <c r="O87" s="627" t="str">
        <f>IF(AND(ScrutinyClassification_Final="Higher",CLTrigger=1),'Lists-Modules-ChartData'!AT176,"")</f>
        <v/>
      </c>
      <c r="P87" s="627" t="str">
        <f>IF(AND(ScrutinyClassification_Final="Higher",CLTrigger=1),'Lists-Modules-ChartData'!AU176,"")</f>
        <v/>
      </c>
      <c r="Q87" s="627" t="str">
        <f>IF(AND(ScrutinyClassification_Final="Higher",CLTrigger=1),'Lists-Modules-ChartData'!AV176,"")</f>
        <v/>
      </c>
      <c r="R87" s="627" t="str">
        <f>IF(AND(ScrutinyClassification_Final="Higher",CLTrigger=1),'Lists-Modules-ChartData'!AW176,"")</f>
        <v/>
      </c>
      <c r="S87" s="627" t="str">
        <f>IF(AND(ScrutinyClassification_Final="Higher",CLTrigger=1),'Lists-Modules-ChartData'!AX176,"")</f>
        <v/>
      </c>
      <c r="T87" s="627" t="str">
        <f>IF(AND(ScrutinyClassification_Final="Higher",CLTrigger=1),'Lists-Modules-ChartData'!AY176,"")</f>
        <v/>
      </c>
      <c r="V87" s="583"/>
    </row>
    <row r="88" spans="1:22" ht="18" customHeight="1">
      <c r="B88" s="625" t="str">
        <f>IF(MFShock4=1,L82,"")</f>
        <v>Effective interest rate</v>
      </c>
      <c r="C88" s="577"/>
      <c r="D88" s="577"/>
      <c r="E88" s="627">
        <f>'Lists-Modules-ChartData'!AT167</f>
        <v>1.9586439007071743</v>
      </c>
      <c r="F88" s="627">
        <f ca="1">'Lists-Modules-ChartData'!AU167</f>
        <v>2.4781166566290191</v>
      </c>
      <c r="G88" s="627">
        <f ca="1">'Lists-Modules-ChartData'!AV167</f>
        <v>7.075202301934759</v>
      </c>
      <c r="H88" s="627">
        <f ca="1">'Lists-Modules-ChartData'!AW167</f>
        <v>9.0262753013879689</v>
      </c>
      <c r="I88" s="627">
        <f ca="1">'Lists-Modules-ChartData'!AX167</f>
        <v>12.349535011829886</v>
      </c>
      <c r="J88" s="627">
        <f ca="1">'Lists-Modules-ChartData'!AY167</f>
        <v>13.772893049484617</v>
      </c>
      <c r="K88" s="577"/>
      <c r="L88" s="625" t="str">
        <f>IF(L$84="","",L76)</f>
        <v/>
      </c>
      <c r="M88" s="577"/>
      <c r="N88" s="577"/>
      <c r="O88" s="627" t="str">
        <f>IF(AND(ScrutinyClassification_Final="Higher",CLTrigger=1),'Lists-Modules-ChartData'!AT177,"")</f>
        <v/>
      </c>
      <c r="P88" s="627" t="str">
        <f>IF(AND(ScrutinyClassification_Final="Higher",CLTrigger=1),'Lists-Modules-ChartData'!AU177,"")</f>
        <v/>
      </c>
      <c r="Q88" s="627" t="str">
        <f>IF(AND(ScrutinyClassification_Final="Higher",CLTrigger=1),'Lists-Modules-ChartData'!AV177,"")</f>
        <v/>
      </c>
      <c r="R88" s="627" t="str">
        <f>IF(AND(ScrutinyClassification_Final="Higher",CLTrigger=1),'Lists-Modules-ChartData'!AW177,"")</f>
        <v/>
      </c>
      <c r="S88" s="627" t="str">
        <f>IF(AND(ScrutinyClassification_Final="Higher",CLTrigger=1),'Lists-Modules-ChartData'!AX177,"")</f>
        <v/>
      </c>
      <c r="T88" s="627" t="str">
        <f>IF(AND(ScrutinyClassification_Final="Higher",CLTrigger=1),'Lists-Modules-ChartData'!AY177,"")</f>
        <v/>
      </c>
      <c r="V88" s="583"/>
    </row>
    <row r="89" spans="1:22" ht="5.0999999999999996" customHeight="1">
      <c r="B89" s="576"/>
      <c r="C89" s="577"/>
      <c r="D89" s="577"/>
      <c r="E89" s="577"/>
      <c r="F89" s="573"/>
      <c r="G89" s="577"/>
      <c r="H89" s="577"/>
      <c r="I89" s="577"/>
      <c r="J89" s="624"/>
      <c r="K89" s="626"/>
      <c r="L89" s="626"/>
      <c r="M89" s="626"/>
      <c r="N89" s="626"/>
      <c r="O89" s="626"/>
      <c r="P89" s="575"/>
      <c r="Q89" s="575"/>
      <c r="R89" s="575"/>
      <c r="S89" s="575"/>
      <c r="T89" s="576"/>
      <c r="V89" s="583"/>
    </row>
    <row r="90" spans="1:22" ht="18" hidden="1" customHeight="1" outlineLevel="1">
      <c r="B90" s="573" t="str">
        <f>IF(AND(ScrutinyClassification_Final="Higher",Custom1Trigger=1),'Lists-Modules-ChartData'!AQ179,"")</f>
        <v/>
      </c>
      <c r="C90" s="577"/>
      <c r="D90" s="577"/>
      <c r="E90" s="1186"/>
      <c r="F90" s="1186"/>
      <c r="G90" s="1186"/>
      <c r="H90" s="1186"/>
      <c r="I90" s="1186"/>
      <c r="J90" s="1186"/>
      <c r="K90" s="626"/>
      <c r="L90" s="573" t="str">
        <f>IF(AND(ScrutinyClassification_Final="Higher",Custom2Trigger=1),'Lists-Modules-ChartData'!AQ189,"")</f>
        <v/>
      </c>
      <c r="O90" s="1186"/>
      <c r="P90" s="1186"/>
      <c r="Q90" s="1186"/>
      <c r="R90" s="1186"/>
      <c r="S90" s="1186"/>
      <c r="T90" s="1186"/>
      <c r="V90" s="583"/>
    </row>
    <row r="91" spans="1:22" ht="18" hidden="1" customHeight="1" outlineLevel="1">
      <c r="B91" s="625" t="str">
        <f>IF(B$90="","",B85)</f>
        <v/>
      </c>
      <c r="E91" s="627" t="str">
        <f>IF(AND(ScrutinyClassification_Final="Higher",Custom1Trigger=1),'Lists-Modules-ChartData'!AT184,"")</f>
        <v/>
      </c>
      <c r="F91" s="627" t="str">
        <f>IF(AND(ScrutinyClassification_Final="Higher",Custom1Trigger=1),'Lists-Modules-ChartData'!AU184,"")</f>
        <v/>
      </c>
      <c r="G91" s="627" t="str">
        <f>IF(AND(ScrutinyClassification_Final="Higher",Custom1Trigger=1),'Lists-Modules-ChartData'!AV184,"")</f>
        <v/>
      </c>
      <c r="H91" s="627" t="str">
        <f>IF(AND(ScrutinyClassification_Final="Higher",Custom1Trigger=1),'Lists-Modules-ChartData'!AW184,"")</f>
        <v/>
      </c>
      <c r="I91" s="627" t="str">
        <f>IF(AND(ScrutinyClassification_Final="Higher",Custom1Trigger=1),'Lists-Modules-ChartData'!AX184,"")</f>
        <v/>
      </c>
      <c r="J91" s="627" t="str">
        <f>IF(AND(ScrutinyClassification_Final="Higher",Custom1Trigger=1),'Lists-Modules-ChartData'!AY184,"")</f>
        <v/>
      </c>
      <c r="K91" s="576"/>
      <c r="L91" s="625" t="str">
        <f>IF(L$90="","",L79)</f>
        <v/>
      </c>
      <c r="O91" s="627" t="str">
        <f>IF(AND(ScrutinyClassification_Final="Higher",Custom2Trigger=1),'Lists-Modules-ChartData'!AT194,"")</f>
        <v/>
      </c>
      <c r="P91" s="627" t="str">
        <f>IF(AND(ScrutinyClassification_Final="Higher",Custom2Trigger=1),'Lists-Modules-ChartData'!AU194,"")</f>
        <v/>
      </c>
      <c r="Q91" s="627" t="str">
        <f>IF(AND(ScrutinyClassification_Final="Higher",Custom2Trigger=1),'Lists-Modules-ChartData'!AV194,"")</f>
        <v/>
      </c>
      <c r="R91" s="627" t="str">
        <f>IF(AND(ScrutinyClassification_Final="Higher",Custom2Trigger=1),'Lists-Modules-ChartData'!AW194,"")</f>
        <v/>
      </c>
      <c r="S91" s="627" t="str">
        <f>IF(AND(ScrutinyClassification_Final="Higher",Custom2Trigger=1),'Lists-Modules-ChartData'!AX194,"")</f>
        <v/>
      </c>
      <c r="T91" s="627" t="str">
        <f>IF(AND(ScrutinyClassification_Final="Higher",Custom2Trigger=1),'Lists-Modules-ChartData'!AY194,"")</f>
        <v/>
      </c>
      <c r="V91" s="583"/>
    </row>
    <row r="92" spans="1:22" ht="18" hidden="1" customHeight="1" outlineLevel="1">
      <c r="B92" s="625" t="str">
        <f>IF(B$90="","",B86)</f>
        <v/>
      </c>
      <c r="C92" s="577"/>
      <c r="D92" s="577"/>
      <c r="E92" s="627" t="str">
        <f>IF(AND(ScrutinyClassification_Final="Higher",Custom1Trigger=1),'Lists-Modules-ChartData'!AT185,"")</f>
        <v/>
      </c>
      <c r="F92" s="627" t="str">
        <f>IF(AND(ScrutinyClassification_Final="Higher",Custom1Trigger=1),'Lists-Modules-ChartData'!AU185,"")</f>
        <v/>
      </c>
      <c r="G92" s="627" t="str">
        <f>IF(AND(ScrutinyClassification_Final="Higher",Custom1Trigger=1),'Lists-Modules-ChartData'!AV185,"")</f>
        <v/>
      </c>
      <c r="H92" s="627" t="str">
        <f>IF(AND(ScrutinyClassification_Final="Higher",Custom1Trigger=1),'Lists-Modules-ChartData'!AW185,"")</f>
        <v/>
      </c>
      <c r="I92" s="627" t="str">
        <f>IF(AND(ScrutinyClassification_Final="Higher",Custom1Trigger=1),'Lists-Modules-ChartData'!AX185,"")</f>
        <v/>
      </c>
      <c r="J92" s="627" t="str">
        <f>IF(AND(ScrutinyClassification_Final="Higher",Custom1Trigger=1),'Lists-Modules-ChartData'!AY185,"")</f>
        <v/>
      </c>
      <c r="K92" s="576"/>
      <c r="L92" s="625" t="str">
        <f>IF(L$90="","",L80)</f>
        <v/>
      </c>
      <c r="M92" s="577"/>
      <c r="N92" s="577"/>
      <c r="O92" s="627" t="str">
        <f>IF(AND(ScrutinyClassification_Final="Higher",Custom2Trigger=1),'Lists-Modules-ChartData'!AT195,"")</f>
        <v/>
      </c>
      <c r="P92" s="627" t="str">
        <f>IF(AND(ScrutinyClassification_Final="Higher",Custom2Trigger=1),'Lists-Modules-ChartData'!AU195,"")</f>
        <v/>
      </c>
      <c r="Q92" s="627" t="str">
        <f>IF(AND(ScrutinyClassification_Final="Higher",Custom2Trigger=1),'Lists-Modules-ChartData'!AV195,"")</f>
        <v/>
      </c>
      <c r="R92" s="627" t="str">
        <f>IF(AND(ScrutinyClassification_Final="Higher",Custom2Trigger=1),'Lists-Modules-ChartData'!AW195,"")</f>
        <v/>
      </c>
      <c r="S92" s="627" t="str">
        <f>IF(AND(ScrutinyClassification_Final="Higher",Custom2Trigger=1),'Lists-Modules-ChartData'!AX195,"")</f>
        <v/>
      </c>
      <c r="T92" s="627" t="str">
        <f>IF(AND(ScrutinyClassification_Final="Higher",Custom2Trigger=1),'Lists-Modules-ChartData'!AY195,"")</f>
        <v/>
      </c>
    </row>
    <row r="93" spans="1:22" ht="18" hidden="1" customHeight="1" outlineLevel="1">
      <c r="B93" s="625" t="str">
        <f>IF(B$90="","",B87)</f>
        <v/>
      </c>
      <c r="C93" s="577"/>
      <c r="D93" s="577"/>
      <c r="E93" s="627" t="str">
        <f>IF(AND(ScrutinyClassification_Final="Higher",Custom1Trigger=1),'Lists-Modules-ChartData'!AT186,"")</f>
        <v/>
      </c>
      <c r="F93" s="627" t="str">
        <f>IF(AND(ScrutinyClassification_Final="Higher",Custom1Trigger=1),'Lists-Modules-ChartData'!AU186,"")</f>
        <v/>
      </c>
      <c r="G93" s="627" t="str">
        <f>IF(AND(ScrutinyClassification_Final="Higher",Custom1Trigger=1),'Lists-Modules-ChartData'!AV186,"")</f>
        <v/>
      </c>
      <c r="H93" s="627" t="str">
        <f>IF(AND(ScrutinyClassification_Final="Higher",Custom1Trigger=1),'Lists-Modules-ChartData'!AW186,"")</f>
        <v/>
      </c>
      <c r="I93" s="627" t="str">
        <f>IF(AND(ScrutinyClassification_Final="Higher",Custom1Trigger=1),'Lists-Modules-ChartData'!AX186,"")</f>
        <v/>
      </c>
      <c r="J93" s="627" t="str">
        <f>IF(AND(ScrutinyClassification_Final="Higher",Custom1Trigger=1),'Lists-Modules-ChartData'!AY186,"")</f>
        <v/>
      </c>
      <c r="K93" s="576"/>
      <c r="L93" s="625" t="str">
        <f>IF(L$90="","",L81)</f>
        <v/>
      </c>
      <c r="M93" s="577"/>
      <c r="N93" s="577"/>
      <c r="O93" s="627" t="str">
        <f>IF(AND(ScrutinyClassification_Final="Higher",Custom2Trigger=1),'Lists-Modules-ChartData'!AT196,"")</f>
        <v/>
      </c>
      <c r="P93" s="627" t="str">
        <f>IF(AND(ScrutinyClassification_Final="Higher",Custom2Trigger=1),'Lists-Modules-ChartData'!AU196,"")</f>
        <v/>
      </c>
      <c r="Q93" s="627" t="str">
        <f>IF(AND(ScrutinyClassification_Final="Higher",Custom2Trigger=1),'Lists-Modules-ChartData'!AV196,"")</f>
        <v/>
      </c>
      <c r="R93" s="627" t="str">
        <f>IF(AND(ScrutinyClassification_Final="Higher",Custom2Trigger=1),'Lists-Modules-ChartData'!AW196,"")</f>
        <v/>
      </c>
      <c r="S93" s="627" t="str">
        <f>IF(AND(ScrutinyClassification_Final="Higher",Custom2Trigger=1),'Lists-Modules-ChartData'!AX196,"")</f>
        <v/>
      </c>
      <c r="T93" s="627" t="str">
        <f>IF(AND(ScrutinyClassification_Final="Higher",Custom2Trigger=1),'Lists-Modules-ChartData'!AY196,"")</f>
        <v/>
      </c>
      <c r="V93" s="583"/>
    </row>
    <row r="94" spans="1:22" ht="18" hidden="1" customHeight="1" outlineLevel="1">
      <c r="B94" s="625" t="str">
        <f>IF(B$90="","",B88)</f>
        <v/>
      </c>
      <c r="C94" s="577"/>
      <c r="D94" s="577"/>
      <c r="E94" s="627" t="str">
        <f>IF(AND(ScrutinyClassification_Final="Higher",Custom1Trigger=1),'Lists-Modules-ChartData'!AT187,"")</f>
        <v/>
      </c>
      <c r="F94" s="627" t="str">
        <f>IF(AND(ScrutinyClassification_Final="Higher",Custom1Trigger=1),'Lists-Modules-ChartData'!AU187,"")</f>
        <v/>
      </c>
      <c r="G94" s="627" t="str">
        <f>IF(AND(ScrutinyClassification_Final="Higher",Custom1Trigger=1),'Lists-Modules-ChartData'!AV187,"")</f>
        <v/>
      </c>
      <c r="H94" s="627" t="str">
        <f>IF(AND(ScrutinyClassification_Final="Higher",Custom1Trigger=1),'Lists-Modules-ChartData'!AW187,"")</f>
        <v/>
      </c>
      <c r="I94" s="627" t="str">
        <f>IF(AND(ScrutinyClassification_Final="Higher",Custom1Trigger=1),'Lists-Modules-ChartData'!AX187,"")</f>
        <v/>
      </c>
      <c r="J94" s="627" t="str">
        <f>IF(AND(ScrutinyClassification_Final="Higher",Custom1Trigger=1),'Lists-Modules-ChartData'!AY187,"")</f>
        <v/>
      </c>
      <c r="K94" s="577"/>
      <c r="L94" s="625" t="str">
        <f>IF(L$90="","",L82)</f>
        <v/>
      </c>
      <c r="M94" s="577"/>
      <c r="N94" s="577"/>
      <c r="O94" s="627" t="str">
        <f>IF(AND(ScrutinyClassification_Final="Higher",Custom2Trigger=1),'Lists-Modules-ChartData'!AT197,"")</f>
        <v/>
      </c>
      <c r="P94" s="627" t="str">
        <f>IF(AND(ScrutinyClassification_Final="Higher",Custom2Trigger=1),'Lists-Modules-ChartData'!AU197,"")</f>
        <v/>
      </c>
      <c r="Q94" s="627" t="str">
        <f>IF(AND(ScrutinyClassification_Final="Higher",Custom2Trigger=1),'Lists-Modules-ChartData'!AV197,"")</f>
        <v/>
      </c>
      <c r="R94" s="627" t="str">
        <f>IF(AND(ScrutinyClassification_Final="Higher",Custom2Trigger=1),'Lists-Modules-ChartData'!AW197,"")</f>
        <v/>
      </c>
      <c r="S94" s="627" t="str">
        <f>IF(AND(ScrutinyClassification_Final="Higher",Custom2Trigger=1),'Lists-Modules-ChartData'!AX197,"")</f>
        <v/>
      </c>
      <c r="T94" s="627" t="str">
        <f>IF(AND(ScrutinyClassification_Final="Higher",Custom2Trigger=1),'Lists-Modules-ChartData'!AY197,"")</f>
        <v/>
      </c>
      <c r="V94" s="583"/>
    </row>
    <row r="95" spans="1:22" collapsed="1">
      <c r="B95" s="1334"/>
      <c r="C95" s="1334"/>
      <c r="D95" s="1334"/>
      <c r="E95" s="1334"/>
      <c r="F95" s="1334"/>
      <c r="G95" s="1334"/>
      <c r="H95" s="1334"/>
      <c r="I95" s="1334"/>
      <c r="J95" s="1334"/>
      <c r="L95" s="1334"/>
      <c r="M95" s="1334"/>
      <c r="N95" s="1334"/>
      <c r="O95" s="1334"/>
      <c r="P95" s="1334"/>
      <c r="Q95" s="1334"/>
      <c r="R95" s="1334"/>
      <c r="S95" s="1334"/>
      <c r="T95" s="1334"/>
    </row>
    <row r="96" spans="1:22" ht="17.25">
      <c r="A96" s="577" t="s">
        <v>960</v>
      </c>
      <c r="L96" s="588"/>
      <c r="S96" s="563"/>
      <c r="U96" s="576"/>
      <c r="V96" s="576"/>
    </row>
    <row r="97" spans="1:21" ht="15" customHeight="1">
      <c r="A97" s="1070"/>
      <c r="B97" s="1070"/>
      <c r="C97" s="1070"/>
      <c r="D97" s="1070"/>
      <c r="E97" s="1070"/>
      <c r="F97" s="1070"/>
      <c r="G97" s="1070"/>
      <c r="H97" s="1070"/>
      <c r="I97" s="1070"/>
      <c r="J97" s="1070"/>
      <c r="K97" s="1070"/>
      <c r="L97" s="1070"/>
      <c r="M97" s="1070"/>
      <c r="N97" s="1070"/>
      <c r="O97" s="1070"/>
      <c r="P97" s="1070"/>
      <c r="Q97" s="1070"/>
      <c r="R97" s="1070"/>
      <c r="S97" s="1070"/>
      <c r="T97" s="1070"/>
      <c r="U97" s="1070"/>
    </row>
    <row r="98" spans="1:21" ht="16.5" customHeight="1">
      <c r="A98" s="1070"/>
      <c r="B98" s="1070"/>
      <c r="C98" s="1070"/>
      <c r="D98" s="1070"/>
      <c r="E98" s="1070"/>
      <c r="F98" s="1070"/>
      <c r="G98" s="1070"/>
      <c r="H98" s="1070"/>
      <c r="I98" s="1070"/>
      <c r="J98" s="1070"/>
      <c r="K98" s="1070"/>
      <c r="L98" s="1070"/>
      <c r="M98" s="1070"/>
      <c r="N98" s="1070"/>
      <c r="O98" s="1070"/>
      <c r="P98" s="1070"/>
      <c r="Q98" s="1070"/>
      <c r="R98" s="1070"/>
      <c r="S98" s="1070"/>
      <c r="T98" s="1070"/>
      <c r="U98" s="1070"/>
    </row>
    <row r="99" spans="1:21" ht="16.5" customHeight="1">
      <c r="A99" s="1070"/>
      <c r="B99" s="1070"/>
      <c r="C99" s="1070"/>
      <c r="D99" s="1070"/>
      <c r="E99" s="1070"/>
      <c r="F99" s="1070"/>
      <c r="G99" s="1070"/>
      <c r="H99" s="1070"/>
      <c r="I99" s="1070"/>
      <c r="J99" s="1070"/>
      <c r="K99" s="1070"/>
      <c r="L99" s="1070"/>
      <c r="M99" s="1070"/>
      <c r="N99" s="1070"/>
      <c r="O99" s="1070"/>
      <c r="P99" s="1070"/>
      <c r="Q99" s="1070"/>
      <c r="R99" s="1070"/>
      <c r="S99" s="1070"/>
      <c r="T99" s="1070"/>
      <c r="U99" s="1070"/>
    </row>
    <row r="100" spans="1:21" ht="16.5" customHeight="1">
      <c r="A100" s="1070"/>
      <c r="B100" s="1070"/>
      <c r="C100" s="1070"/>
      <c r="D100" s="1070"/>
      <c r="E100" s="1070"/>
      <c r="F100" s="1070"/>
      <c r="G100" s="1070"/>
      <c r="H100" s="1070"/>
      <c r="I100" s="1070"/>
      <c r="J100" s="1070"/>
      <c r="K100" s="1070"/>
      <c r="L100" s="1070"/>
      <c r="M100" s="1070"/>
      <c r="N100" s="1070"/>
      <c r="O100" s="1070"/>
      <c r="P100" s="1070"/>
      <c r="Q100" s="1070"/>
      <c r="R100" s="1070"/>
      <c r="S100" s="1070"/>
      <c r="T100" s="1070"/>
      <c r="U100" s="1070"/>
    </row>
    <row r="101" spans="1:21" ht="16.5" customHeight="1">
      <c r="A101" s="1070"/>
      <c r="B101" s="1070"/>
      <c r="C101" s="1070"/>
      <c r="D101" s="1070"/>
      <c r="E101" s="1070"/>
      <c r="F101" s="1070"/>
      <c r="G101" s="1070"/>
      <c r="H101" s="1070"/>
      <c r="I101" s="1070"/>
      <c r="J101" s="1070"/>
      <c r="K101" s="1070"/>
      <c r="L101" s="1070"/>
      <c r="M101" s="1070"/>
      <c r="N101" s="1070"/>
      <c r="O101" s="1070"/>
      <c r="P101" s="1070"/>
      <c r="Q101" s="1070"/>
      <c r="R101" s="1070"/>
      <c r="S101" s="1070"/>
      <c r="T101" s="1070"/>
      <c r="U101" s="1070"/>
    </row>
    <row r="102" spans="1:21" ht="16.5" customHeight="1">
      <c r="A102" s="1070"/>
      <c r="B102" s="1070"/>
      <c r="C102" s="1070"/>
      <c r="D102" s="1070"/>
      <c r="E102" s="1070"/>
      <c r="F102" s="1070"/>
      <c r="G102" s="1070"/>
      <c r="H102" s="1070"/>
      <c r="I102" s="1070"/>
      <c r="J102" s="1070"/>
      <c r="K102" s="1070"/>
      <c r="L102" s="1070"/>
      <c r="M102" s="1070"/>
      <c r="N102" s="1070"/>
      <c r="O102" s="1070"/>
      <c r="P102" s="1070"/>
      <c r="Q102" s="1070"/>
      <c r="R102" s="1070"/>
      <c r="S102" s="1070"/>
      <c r="T102" s="1070"/>
      <c r="U102" s="1070"/>
    </row>
  </sheetData>
  <mergeCells count="15">
    <mergeCell ref="B70:T70"/>
    <mergeCell ref="J12:M14"/>
    <mergeCell ref="J40:M42"/>
    <mergeCell ref="B38:T38"/>
    <mergeCell ref="D40:G42"/>
    <mergeCell ref="C69:S69"/>
    <mergeCell ref="P40:U42"/>
    <mergeCell ref="D44:H46"/>
    <mergeCell ref="J44:N46"/>
    <mergeCell ref="A3:U3"/>
    <mergeCell ref="B5:T5"/>
    <mergeCell ref="D8:G10"/>
    <mergeCell ref="J8:M10"/>
    <mergeCell ref="D12:G14"/>
    <mergeCell ref="P8:T10"/>
  </mergeCells>
  <conditionalFormatting sqref="C41 C9">
    <cfRule type="expression" dxfId="67" priority="24">
      <formula>MFShock1</formula>
    </cfRule>
  </conditionalFormatting>
  <conditionalFormatting sqref="C13">
    <cfRule type="expression" dxfId="66" priority="23">
      <formula>MFShock4</formula>
    </cfRule>
  </conditionalFormatting>
  <conditionalFormatting sqref="I9">
    <cfRule type="expression" dxfId="65" priority="21">
      <formula>MFShock2</formula>
    </cfRule>
  </conditionalFormatting>
  <conditionalFormatting sqref="O78:T78 O84:T84 O90:T90">
    <cfRule type="expression" dxfId="64" priority="20">
      <formula>"MFShock3=1"</formula>
    </cfRule>
  </conditionalFormatting>
  <conditionalFormatting sqref="E78:J78 O78:T78 E84:J84 O84:T84 E90:J90 O90:T90">
    <cfRule type="expression" dxfId="63" priority="19">
      <formula>"MFShock4=1"</formula>
    </cfRule>
  </conditionalFormatting>
  <conditionalFormatting sqref="O41">
    <cfRule type="expression" dxfId="62" priority="3">
      <formula>ExtraShock3</formula>
    </cfRule>
  </conditionalFormatting>
  <conditionalFormatting sqref="C45">
    <cfRule type="expression" dxfId="61" priority="2">
      <formula>ExtraShock4</formula>
    </cfRule>
  </conditionalFormatting>
  <conditionalFormatting sqref="I45">
    <cfRule type="expression" dxfId="60" priority="1">
      <formula>ExtraShock5</formula>
    </cfRule>
  </conditionalFormatting>
  <pageMargins left="0.7" right="0.7" top="0.75" bottom="0.75" header="0.3" footer="0.3"/>
  <pageSetup scale="48" orientation="portrait" r:id="rId1"/>
  <rowBreaks count="1" manualBreakCount="1">
    <brk id="96" max="20"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tabColor rgb="FF00B0F0"/>
    <pageSetUpPr fitToPage="1"/>
  </sheetPr>
  <dimension ref="A1:CY127"/>
  <sheetViews>
    <sheetView zoomScale="80" zoomScaleNormal="80" zoomScaleSheetLayoutView="70" workbookViewId="0"/>
  </sheetViews>
  <sheetFormatPr defaultColWidth="9.140625" defaultRowHeight="16.5"/>
  <cols>
    <col min="1" max="1" width="3.7109375" style="564" customWidth="1"/>
    <col min="2" max="8" width="7.7109375" style="564" customWidth="1"/>
    <col min="9" max="68" width="1.42578125" style="564" customWidth="1"/>
    <col min="69" max="71" width="7.7109375" style="564" customWidth="1"/>
    <col min="72" max="72" width="3.7109375" style="564" customWidth="1"/>
    <col min="73" max="81" width="9.140625" style="564"/>
    <col min="82" max="98" width="9.140625" style="564" customWidth="1"/>
    <col min="99" max="16384" width="9.140625" style="564"/>
  </cols>
  <sheetData>
    <row r="1" spans="1:103" s="611" customFormat="1" ht="15" customHeight="1">
      <c r="A1" s="563"/>
      <c r="B1" s="563"/>
      <c r="C1" s="563"/>
      <c r="D1" s="563"/>
      <c r="E1" s="563"/>
      <c r="F1" s="563"/>
      <c r="G1" s="563"/>
      <c r="H1" s="563"/>
      <c r="I1" s="563"/>
      <c r="J1" s="563"/>
      <c r="K1" s="563"/>
      <c r="L1" s="563"/>
      <c r="M1" s="563"/>
      <c r="N1" s="563"/>
      <c r="O1" s="563"/>
      <c r="P1" s="563"/>
      <c r="Q1" s="563"/>
      <c r="R1" s="563"/>
      <c r="S1" s="563"/>
      <c r="T1" s="563"/>
      <c r="U1" s="563"/>
      <c r="V1" s="563"/>
      <c r="W1" s="563"/>
      <c r="X1" s="563"/>
      <c r="Y1" s="563"/>
      <c r="Z1" s="563"/>
      <c r="AA1" s="563"/>
      <c r="AB1" s="563"/>
      <c r="AC1" s="563"/>
      <c r="AD1" s="563"/>
      <c r="AE1" s="563"/>
      <c r="AF1" s="563"/>
      <c r="AG1" s="563"/>
      <c r="AH1" s="563"/>
      <c r="AI1" s="563"/>
      <c r="AJ1" s="563"/>
      <c r="AK1" s="563"/>
      <c r="AL1" s="563"/>
      <c r="AM1" s="563"/>
      <c r="AN1" s="563"/>
      <c r="AO1" s="563"/>
      <c r="AP1" s="563"/>
      <c r="AQ1" s="563"/>
      <c r="AR1" s="563"/>
      <c r="AS1" s="563"/>
      <c r="AT1" s="563"/>
      <c r="AU1" s="563"/>
      <c r="AV1" s="563"/>
      <c r="AW1" s="563"/>
      <c r="AX1" s="563"/>
      <c r="AY1" s="563"/>
      <c r="AZ1" s="563"/>
      <c r="BA1" s="563"/>
      <c r="BB1" s="563"/>
      <c r="BC1" s="563"/>
      <c r="BD1" s="563"/>
      <c r="BE1" s="563"/>
      <c r="BF1" s="563"/>
      <c r="BG1" s="563"/>
      <c r="BH1" s="563"/>
      <c r="BI1" s="563"/>
      <c r="BJ1" s="563"/>
      <c r="BK1" s="563"/>
      <c r="BL1" s="563"/>
      <c r="BM1" s="563"/>
      <c r="BN1" s="563"/>
      <c r="BO1" s="563"/>
      <c r="BP1" s="563"/>
      <c r="BQ1" s="563"/>
      <c r="BR1" s="563"/>
      <c r="BS1" s="563"/>
      <c r="BT1" s="563"/>
      <c r="BU1" s="563"/>
      <c r="BV1" s="563"/>
      <c r="BW1" s="563"/>
      <c r="BX1" s="563"/>
      <c r="BY1" s="563"/>
      <c r="BZ1" s="563"/>
      <c r="CA1" s="563"/>
      <c r="CB1" s="563"/>
      <c r="CC1" s="563"/>
      <c r="CD1" s="563"/>
      <c r="CE1" s="563"/>
      <c r="CF1" s="563"/>
      <c r="CG1" s="563"/>
      <c r="CH1" s="563"/>
      <c r="CI1" s="563"/>
      <c r="CJ1" s="563"/>
      <c r="CK1" s="563"/>
      <c r="CL1" s="563"/>
      <c r="CM1" s="563"/>
      <c r="CN1" s="563"/>
      <c r="CO1" s="563"/>
      <c r="CP1" s="563"/>
      <c r="CQ1" s="563"/>
      <c r="CR1" s="563"/>
      <c r="CS1" s="563"/>
      <c r="CT1" s="563"/>
      <c r="CU1" s="563"/>
      <c r="CV1" s="563"/>
      <c r="CW1" s="563"/>
      <c r="CX1" s="563"/>
      <c r="CY1" s="563"/>
    </row>
    <row r="2" spans="1:103" s="612" customFormat="1" ht="15" customHeight="1">
      <c r="A2" s="1972" t="str">
        <f>Country&amp;" Public DSA Risk Assessment"</f>
        <v>Latvia Public DSA Risk Assessment</v>
      </c>
      <c r="B2" s="1972"/>
      <c r="C2" s="1972"/>
      <c r="D2" s="1972"/>
      <c r="E2" s="1972"/>
      <c r="F2" s="1972"/>
      <c r="G2" s="1972"/>
      <c r="H2" s="1972"/>
      <c r="I2" s="1972"/>
      <c r="J2" s="1972"/>
      <c r="K2" s="1972"/>
      <c r="L2" s="1972"/>
      <c r="M2" s="1972"/>
      <c r="N2" s="1972"/>
      <c r="O2" s="1972"/>
      <c r="P2" s="1972"/>
      <c r="Q2" s="1972"/>
      <c r="R2" s="1972"/>
      <c r="S2" s="1972"/>
      <c r="T2" s="1972"/>
      <c r="U2" s="1972"/>
      <c r="V2" s="1972"/>
      <c r="W2" s="1972"/>
      <c r="X2" s="1972"/>
      <c r="Y2" s="1972"/>
      <c r="Z2" s="1972"/>
      <c r="AA2" s="1972"/>
      <c r="AB2" s="1972"/>
      <c r="AC2" s="1972"/>
      <c r="AD2" s="1972"/>
      <c r="AE2" s="1972"/>
      <c r="AF2" s="1972"/>
      <c r="AG2" s="1972"/>
      <c r="AH2" s="1972"/>
      <c r="AI2" s="1972"/>
      <c r="AJ2" s="1972"/>
      <c r="AK2" s="1972"/>
      <c r="AL2" s="1972"/>
      <c r="AM2" s="1972"/>
      <c r="AN2" s="1972"/>
      <c r="AO2" s="1972"/>
      <c r="AP2" s="1972"/>
      <c r="AQ2" s="1972"/>
      <c r="AR2" s="1972"/>
      <c r="AS2" s="1972"/>
      <c r="AT2" s="1972"/>
      <c r="AU2" s="1972"/>
      <c r="AV2" s="1972"/>
      <c r="AW2" s="1972"/>
      <c r="AX2" s="1972"/>
      <c r="AY2" s="1972"/>
      <c r="AZ2" s="1972"/>
      <c r="BA2" s="1972"/>
      <c r="BB2" s="1972"/>
      <c r="BC2" s="1972"/>
      <c r="BD2" s="1972"/>
      <c r="BE2" s="1972"/>
      <c r="BF2" s="1972"/>
      <c r="BG2" s="1972"/>
      <c r="BH2" s="1972"/>
      <c r="BI2" s="1972"/>
      <c r="BJ2" s="1972"/>
      <c r="BK2" s="1972"/>
      <c r="BL2" s="1972"/>
      <c r="BM2" s="1972"/>
      <c r="BN2" s="1972"/>
      <c r="BO2" s="1972"/>
      <c r="BP2" s="1972"/>
      <c r="BQ2" s="1972"/>
      <c r="BR2" s="1972"/>
      <c r="BS2" s="1972"/>
      <c r="BT2" s="1972"/>
      <c r="BU2" s="564"/>
      <c r="BV2" s="564"/>
      <c r="BW2" s="564"/>
      <c r="BX2" s="564"/>
      <c r="BY2" s="564"/>
      <c r="BZ2" s="564"/>
      <c r="CA2" s="564"/>
      <c r="CB2" s="564"/>
      <c r="CC2" s="564"/>
      <c r="CD2" s="564"/>
      <c r="CE2" s="564"/>
      <c r="CF2" s="564"/>
      <c r="CG2" s="564"/>
      <c r="CH2" s="564"/>
      <c r="CI2" s="564"/>
      <c r="CJ2" s="564"/>
      <c r="CK2" s="564"/>
      <c r="CL2" s="564"/>
      <c r="CM2" s="564"/>
      <c r="CN2" s="564"/>
      <c r="CO2" s="564"/>
      <c r="CP2" s="564"/>
      <c r="CQ2" s="564"/>
      <c r="CR2" s="564"/>
      <c r="CS2" s="564"/>
      <c r="CT2" s="564"/>
      <c r="CU2" s="564"/>
      <c r="CV2" s="564"/>
      <c r="CW2" s="564"/>
      <c r="CX2" s="564"/>
      <c r="CY2" s="564"/>
    </row>
    <row r="3" spans="1:103" s="612" customFormat="1" ht="15" customHeight="1">
      <c r="A3" s="1972"/>
      <c r="B3" s="1972"/>
      <c r="C3" s="1972"/>
      <c r="D3" s="1972"/>
      <c r="E3" s="1972"/>
      <c r="F3" s="1972"/>
      <c r="G3" s="1972"/>
      <c r="H3" s="1972"/>
      <c r="I3" s="1972"/>
      <c r="J3" s="1972"/>
      <c r="K3" s="1972"/>
      <c r="L3" s="1972"/>
      <c r="M3" s="1972"/>
      <c r="N3" s="1972"/>
      <c r="O3" s="1972"/>
      <c r="P3" s="1972"/>
      <c r="Q3" s="1972"/>
      <c r="R3" s="1972"/>
      <c r="S3" s="1972"/>
      <c r="T3" s="1972"/>
      <c r="U3" s="1972"/>
      <c r="V3" s="1972"/>
      <c r="W3" s="1972"/>
      <c r="X3" s="1972"/>
      <c r="Y3" s="1972"/>
      <c r="Z3" s="1972"/>
      <c r="AA3" s="1972"/>
      <c r="AB3" s="1972"/>
      <c r="AC3" s="1972"/>
      <c r="AD3" s="1972"/>
      <c r="AE3" s="1972"/>
      <c r="AF3" s="1972"/>
      <c r="AG3" s="1972"/>
      <c r="AH3" s="1972"/>
      <c r="AI3" s="1972"/>
      <c r="AJ3" s="1972"/>
      <c r="AK3" s="1972"/>
      <c r="AL3" s="1972"/>
      <c r="AM3" s="1972"/>
      <c r="AN3" s="1972"/>
      <c r="AO3" s="1972"/>
      <c r="AP3" s="1972"/>
      <c r="AQ3" s="1972"/>
      <c r="AR3" s="1972"/>
      <c r="AS3" s="1972"/>
      <c r="AT3" s="1972"/>
      <c r="AU3" s="1972"/>
      <c r="AV3" s="1972"/>
      <c r="AW3" s="1972"/>
      <c r="AX3" s="1972"/>
      <c r="AY3" s="1972"/>
      <c r="AZ3" s="1972"/>
      <c r="BA3" s="1972"/>
      <c r="BB3" s="1972"/>
      <c r="BC3" s="1972"/>
      <c r="BD3" s="1972"/>
      <c r="BE3" s="1972"/>
      <c r="BF3" s="1972"/>
      <c r="BG3" s="1972"/>
      <c r="BH3" s="1972"/>
      <c r="BI3" s="1972"/>
      <c r="BJ3" s="1972"/>
      <c r="BK3" s="1972"/>
      <c r="BL3" s="1972"/>
      <c r="BM3" s="1972"/>
      <c r="BN3" s="1972"/>
      <c r="BO3" s="1972"/>
      <c r="BP3" s="1972"/>
      <c r="BQ3" s="1972"/>
      <c r="BR3" s="1972"/>
      <c r="BS3" s="1972"/>
      <c r="BT3" s="1972"/>
      <c r="BU3" s="564"/>
      <c r="BV3" s="564"/>
      <c r="BW3" s="564"/>
      <c r="BX3" s="564"/>
      <c r="BY3" s="564"/>
      <c r="BZ3" s="564"/>
      <c r="CA3" s="564"/>
      <c r="CB3" s="564"/>
      <c r="CC3" s="564"/>
      <c r="CD3" s="564"/>
      <c r="CE3" s="564"/>
      <c r="CF3" s="564"/>
      <c r="CG3" s="564"/>
      <c r="CH3" s="564"/>
      <c r="CI3" s="564"/>
      <c r="CJ3" s="564"/>
      <c r="CK3" s="564"/>
      <c r="CL3" s="564"/>
      <c r="CM3" s="564"/>
      <c r="CN3" s="564"/>
      <c r="CO3" s="564"/>
      <c r="CP3" s="564"/>
      <c r="CQ3" s="564"/>
      <c r="CR3" s="564"/>
      <c r="CS3" s="564"/>
      <c r="CT3" s="564"/>
      <c r="CU3" s="564"/>
      <c r="CV3" s="564"/>
      <c r="CW3" s="564"/>
      <c r="CX3" s="564"/>
      <c r="CY3" s="564"/>
    </row>
    <row r="4" spans="1:103" ht="10.15" customHeight="1">
      <c r="B4" s="1067"/>
      <c r="C4" s="1067"/>
      <c r="D4" s="1067"/>
      <c r="E4" s="1067"/>
      <c r="F4" s="1067"/>
      <c r="G4" s="1067"/>
      <c r="H4" s="1067"/>
      <c r="I4" s="1067"/>
      <c r="J4" s="1067"/>
      <c r="K4" s="1067"/>
      <c r="L4" s="1067"/>
      <c r="M4" s="1067"/>
      <c r="N4" s="1067"/>
      <c r="O4" s="1067"/>
      <c r="P4" s="1067"/>
      <c r="Q4" s="1067"/>
      <c r="R4" s="1067"/>
      <c r="S4" s="1067"/>
      <c r="T4" s="563"/>
    </row>
    <row r="5" spans="1:103" s="586" customFormat="1" ht="24.95" customHeight="1">
      <c r="B5" s="1956" t="s">
        <v>773</v>
      </c>
      <c r="C5" s="1956"/>
      <c r="D5" s="1956"/>
      <c r="E5" s="1956"/>
      <c r="F5" s="1956"/>
      <c r="G5" s="1956"/>
      <c r="H5" s="1956"/>
      <c r="I5" s="1956"/>
      <c r="J5" s="1956"/>
      <c r="K5" s="1956"/>
      <c r="L5" s="1956"/>
      <c r="M5" s="1956"/>
      <c r="N5" s="1956"/>
      <c r="O5" s="1956"/>
      <c r="P5" s="1956"/>
      <c r="Q5" s="1956"/>
      <c r="R5" s="1956"/>
      <c r="S5" s="1956"/>
      <c r="T5" s="1956"/>
      <c r="U5" s="1956"/>
      <c r="V5" s="1956"/>
      <c r="W5" s="1956"/>
      <c r="X5" s="1956"/>
      <c r="Y5" s="1956"/>
      <c r="Z5" s="1956"/>
      <c r="AA5" s="1956"/>
      <c r="AB5" s="1956"/>
      <c r="AC5" s="1956"/>
      <c r="AD5" s="1956"/>
      <c r="AE5" s="1956"/>
      <c r="AF5" s="1956"/>
      <c r="AG5" s="1956"/>
      <c r="AH5" s="1956"/>
      <c r="AI5" s="1956"/>
      <c r="AJ5" s="1956"/>
      <c r="AK5" s="1956"/>
      <c r="AL5" s="1956"/>
      <c r="AM5" s="1956"/>
      <c r="AN5" s="1956"/>
      <c r="AO5" s="1956"/>
      <c r="AP5" s="1956"/>
      <c r="AQ5" s="1956"/>
      <c r="AR5" s="1956"/>
      <c r="AS5" s="1956"/>
      <c r="AT5" s="1956"/>
      <c r="AU5" s="1956"/>
      <c r="AV5" s="1956"/>
      <c r="AW5" s="1956"/>
      <c r="AX5" s="1956"/>
      <c r="AY5" s="1956"/>
      <c r="AZ5" s="1956"/>
      <c r="BA5" s="1956"/>
      <c r="BB5" s="1956"/>
      <c r="BC5" s="1956"/>
      <c r="BD5" s="1956"/>
      <c r="BE5" s="1956"/>
      <c r="BF5" s="1956"/>
      <c r="BG5" s="1956"/>
      <c r="BH5" s="1956"/>
      <c r="BI5" s="1956"/>
      <c r="BJ5" s="1956"/>
      <c r="BK5" s="1956"/>
      <c r="BL5" s="1956"/>
      <c r="BM5" s="1956"/>
      <c r="BN5" s="1956"/>
      <c r="BO5" s="1956"/>
      <c r="BP5" s="1956"/>
      <c r="BQ5" s="1956"/>
      <c r="BR5" s="1956"/>
      <c r="BS5" s="1956"/>
    </row>
    <row r="6" spans="1:103" ht="20.100000000000001" customHeight="1" thickBot="1">
      <c r="C6" s="958"/>
      <c r="D6" s="1184"/>
      <c r="E6" s="958"/>
      <c r="F6" s="958"/>
      <c r="G6" s="958"/>
      <c r="H6" s="563"/>
      <c r="I6" s="973"/>
      <c r="J6" s="973"/>
      <c r="K6" s="973"/>
      <c r="L6" s="973"/>
      <c r="M6" s="973"/>
      <c r="N6" s="973"/>
      <c r="O6" s="973"/>
      <c r="P6" s="973"/>
      <c r="Q6" s="973"/>
      <c r="R6" s="973"/>
      <c r="S6" s="973"/>
      <c r="T6" s="973"/>
      <c r="U6" s="973"/>
      <c r="V6" s="973"/>
      <c r="W6" s="973"/>
      <c r="X6" s="974"/>
      <c r="Y6" s="974"/>
      <c r="Z6" s="974"/>
      <c r="AA6" s="974"/>
      <c r="AB6" s="974"/>
      <c r="AC6" s="974"/>
      <c r="AD6" s="974"/>
      <c r="AE6" s="974"/>
      <c r="AF6" s="974"/>
      <c r="AG6" s="974"/>
      <c r="AH6" s="974"/>
      <c r="AI6" s="974"/>
      <c r="AJ6" s="974"/>
      <c r="AK6" s="974"/>
      <c r="AL6" s="974"/>
      <c r="AM6" s="975"/>
      <c r="AN6" s="975"/>
      <c r="AO6" s="975"/>
      <c r="AP6" s="975"/>
      <c r="AQ6" s="975"/>
      <c r="AR6" s="975"/>
      <c r="AS6" s="975"/>
      <c r="AT6" s="975"/>
      <c r="AU6" s="975"/>
      <c r="AV6" s="975"/>
      <c r="AW6" s="975"/>
      <c r="AX6" s="975"/>
      <c r="AY6" s="975"/>
      <c r="AZ6" s="975"/>
      <c r="BA6" s="975"/>
      <c r="BB6" s="973"/>
      <c r="BC6" s="973"/>
      <c r="BD6" s="973"/>
      <c r="BE6" s="973"/>
      <c r="BF6" s="973"/>
      <c r="BG6" s="973"/>
      <c r="BH6" s="973"/>
      <c r="BI6" s="973"/>
      <c r="BJ6" s="973"/>
      <c r="BK6" s="973"/>
      <c r="BL6" s="973"/>
      <c r="BM6" s="973"/>
      <c r="BN6" s="973"/>
      <c r="BO6" s="973"/>
      <c r="BP6" s="973"/>
      <c r="BQ6" s="956"/>
      <c r="BR6" s="956"/>
    </row>
    <row r="7" spans="1:103" ht="15" customHeight="1">
      <c r="C7" s="1180"/>
      <c r="D7" s="1981" t="s">
        <v>779</v>
      </c>
      <c r="E7" s="1981"/>
      <c r="F7" s="1981"/>
      <c r="G7" s="1981"/>
      <c r="H7" s="1181"/>
      <c r="I7" s="1983" t="s">
        <v>107</v>
      </c>
      <c r="J7" s="1984"/>
      <c r="K7" s="1984"/>
      <c r="L7" s="1984"/>
      <c r="M7" s="1984"/>
      <c r="N7" s="1984"/>
      <c r="O7" s="1984"/>
      <c r="P7" s="1984"/>
      <c r="Q7" s="1984"/>
      <c r="R7" s="1984"/>
      <c r="S7" s="1984"/>
      <c r="T7" s="1984"/>
      <c r="U7" s="1974" t="s">
        <v>106</v>
      </c>
      <c r="V7" s="1974"/>
      <c r="W7" s="1974"/>
      <c r="X7" s="1974"/>
      <c r="Y7" s="1974"/>
      <c r="Z7" s="1974"/>
      <c r="AA7" s="1974"/>
      <c r="AB7" s="1974"/>
      <c r="AC7" s="1974"/>
      <c r="AD7" s="1974"/>
      <c r="AE7" s="1974"/>
      <c r="AF7" s="1974"/>
      <c r="AG7" s="1974" t="s">
        <v>299</v>
      </c>
      <c r="AH7" s="1974"/>
      <c r="AI7" s="1974"/>
      <c r="AJ7" s="1974"/>
      <c r="AK7" s="1974"/>
      <c r="AL7" s="1974"/>
      <c r="AM7" s="1974"/>
      <c r="AN7" s="1974"/>
      <c r="AO7" s="1974"/>
      <c r="AP7" s="1974"/>
      <c r="AQ7" s="1974"/>
      <c r="AR7" s="1974"/>
      <c r="AS7" s="1993" t="s">
        <v>84</v>
      </c>
      <c r="AT7" s="1993"/>
      <c r="AU7" s="1993"/>
      <c r="AV7" s="1993"/>
      <c r="AW7" s="1993"/>
      <c r="AX7" s="1993"/>
      <c r="AY7" s="1993"/>
      <c r="AZ7" s="1993"/>
      <c r="BA7" s="1993"/>
      <c r="BB7" s="1993"/>
      <c r="BC7" s="1993"/>
      <c r="BD7" s="1993"/>
      <c r="BE7" s="1974" t="s">
        <v>123</v>
      </c>
      <c r="BF7" s="1974"/>
      <c r="BG7" s="1974"/>
      <c r="BH7" s="1974"/>
      <c r="BI7" s="1974"/>
      <c r="BJ7" s="1974"/>
      <c r="BK7" s="1974"/>
      <c r="BL7" s="1974"/>
      <c r="BM7" s="1974"/>
      <c r="BN7" s="1974"/>
      <c r="BO7" s="1974"/>
      <c r="BP7" s="1994"/>
      <c r="BQ7" s="1979"/>
      <c r="BR7" s="1979"/>
    </row>
    <row r="8" spans="1:103" ht="15" customHeight="1">
      <c r="C8" s="1180"/>
      <c r="D8" s="1981"/>
      <c r="E8" s="1981"/>
      <c r="F8" s="1981"/>
      <c r="G8" s="1981"/>
      <c r="H8" s="1181"/>
      <c r="I8" s="1985"/>
      <c r="J8" s="1986"/>
      <c r="K8" s="1986"/>
      <c r="L8" s="1986"/>
      <c r="M8" s="1986"/>
      <c r="N8" s="1986"/>
      <c r="O8" s="1986"/>
      <c r="P8" s="1986"/>
      <c r="Q8" s="1986"/>
      <c r="R8" s="1986"/>
      <c r="S8" s="1986"/>
      <c r="T8" s="1986"/>
      <c r="U8" s="1975"/>
      <c r="V8" s="1975"/>
      <c r="W8" s="1975"/>
      <c r="X8" s="1975"/>
      <c r="Y8" s="1975"/>
      <c r="Z8" s="1975"/>
      <c r="AA8" s="1975"/>
      <c r="AB8" s="1975"/>
      <c r="AC8" s="1975"/>
      <c r="AD8" s="1975"/>
      <c r="AE8" s="1975"/>
      <c r="AF8" s="1975"/>
      <c r="AG8" s="1975"/>
      <c r="AH8" s="1975"/>
      <c r="AI8" s="1975"/>
      <c r="AJ8" s="1975"/>
      <c r="AK8" s="1975"/>
      <c r="AL8" s="1975"/>
      <c r="AM8" s="1975"/>
      <c r="AN8" s="1975"/>
      <c r="AO8" s="1975"/>
      <c r="AP8" s="1975"/>
      <c r="AQ8" s="1975"/>
      <c r="AR8" s="1975"/>
      <c r="AS8" s="1978"/>
      <c r="AT8" s="1978"/>
      <c r="AU8" s="1978"/>
      <c r="AV8" s="1978"/>
      <c r="AW8" s="1978"/>
      <c r="AX8" s="1978"/>
      <c r="AY8" s="1978"/>
      <c r="AZ8" s="1978"/>
      <c r="BA8" s="1978"/>
      <c r="BB8" s="1978"/>
      <c r="BC8" s="1978"/>
      <c r="BD8" s="1978"/>
      <c r="BE8" s="1975"/>
      <c r="BF8" s="1975"/>
      <c r="BG8" s="1975"/>
      <c r="BH8" s="1975"/>
      <c r="BI8" s="1975"/>
      <c r="BJ8" s="1975"/>
      <c r="BK8" s="1975"/>
      <c r="BL8" s="1975"/>
      <c r="BM8" s="1975"/>
      <c r="BN8" s="1975"/>
      <c r="BO8" s="1975"/>
      <c r="BP8" s="1992"/>
      <c r="BQ8" s="1979"/>
      <c r="BR8" s="1979"/>
    </row>
    <row r="9" spans="1:103" ht="15" customHeight="1">
      <c r="C9" s="1180"/>
      <c r="D9" s="1981"/>
      <c r="E9" s="1981"/>
      <c r="F9" s="1981"/>
      <c r="G9" s="1981"/>
      <c r="H9" s="1181"/>
      <c r="I9" s="1985"/>
      <c r="J9" s="1986"/>
      <c r="K9" s="1986"/>
      <c r="L9" s="1986"/>
      <c r="M9" s="1986"/>
      <c r="N9" s="1986"/>
      <c r="O9" s="1986"/>
      <c r="P9" s="1986"/>
      <c r="Q9" s="1986"/>
      <c r="R9" s="1986"/>
      <c r="S9" s="1986"/>
      <c r="T9" s="1986"/>
      <c r="U9" s="1975"/>
      <c r="V9" s="1975"/>
      <c r="W9" s="1975"/>
      <c r="X9" s="1975"/>
      <c r="Y9" s="1975"/>
      <c r="Z9" s="1975"/>
      <c r="AA9" s="1975"/>
      <c r="AB9" s="1975"/>
      <c r="AC9" s="1975"/>
      <c r="AD9" s="1975"/>
      <c r="AE9" s="1975"/>
      <c r="AF9" s="1975"/>
      <c r="AG9" s="1975"/>
      <c r="AH9" s="1975"/>
      <c r="AI9" s="1975"/>
      <c r="AJ9" s="1975"/>
      <c r="AK9" s="1975"/>
      <c r="AL9" s="1975"/>
      <c r="AM9" s="1975"/>
      <c r="AN9" s="1975"/>
      <c r="AO9" s="1975"/>
      <c r="AP9" s="1975"/>
      <c r="AQ9" s="1975"/>
      <c r="AR9" s="1975"/>
      <c r="AS9" s="1978"/>
      <c r="AT9" s="1978"/>
      <c r="AU9" s="1978"/>
      <c r="AV9" s="1978"/>
      <c r="AW9" s="1978"/>
      <c r="AX9" s="1978"/>
      <c r="AY9" s="1978"/>
      <c r="AZ9" s="1978"/>
      <c r="BA9" s="1978"/>
      <c r="BB9" s="1978"/>
      <c r="BC9" s="1978"/>
      <c r="BD9" s="1978"/>
      <c r="BE9" s="1975"/>
      <c r="BF9" s="1975"/>
      <c r="BG9" s="1975"/>
      <c r="BH9" s="1975"/>
      <c r="BI9" s="1975"/>
      <c r="BJ9" s="1975"/>
      <c r="BK9" s="1975"/>
      <c r="BL9" s="1975"/>
      <c r="BM9" s="1975"/>
      <c r="BN9" s="1975"/>
      <c r="BO9" s="1975"/>
      <c r="BP9" s="1992"/>
      <c r="BQ9" s="1979"/>
      <c r="BR9" s="1979"/>
    </row>
    <row r="10" spans="1:103" ht="15" customHeight="1">
      <c r="C10" s="1180"/>
      <c r="D10" s="1183"/>
      <c r="E10" s="1180"/>
      <c r="F10" s="1180"/>
      <c r="G10" s="1180"/>
      <c r="H10" s="1181"/>
      <c r="I10" s="1985"/>
      <c r="J10" s="1986"/>
      <c r="K10" s="1986"/>
      <c r="L10" s="1986"/>
      <c r="M10" s="1986"/>
      <c r="N10" s="1986"/>
      <c r="O10" s="1986"/>
      <c r="P10" s="1986"/>
      <c r="Q10" s="1986"/>
      <c r="R10" s="1986"/>
      <c r="S10" s="1986"/>
      <c r="T10" s="1986"/>
      <c r="U10" s="1975"/>
      <c r="V10" s="1975"/>
      <c r="W10" s="1975"/>
      <c r="X10" s="1975"/>
      <c r="Y10" s="1975"/>
      <c r="Z10" s="1975"/>
      <c r="AA10" s="1975"/>
      <c r="AB10" s="1975"/>
      <c r="AC10" s="1975"/>
      <c r="AD10" s="1975"/>
      <c r="AE10" s="1975"/>
      <c r="AF10" s="1975"/>
      <c r="AG10" s="1975"/>
      <c r="AH10" s="1975"/>
      <c r="AI10" s="1975"/>
      <c r="AJ10" s="1975"/>
      <c r="AK10" s="1975"/>
      <c r="AL10" s="1975"/>
      <c r="AM10" s="1975"/>
      <c r="AN10" s="1975"/>
      <c r="AO10" s="1975"/>
      <c r="AP10" s="1975"/>
      <c r="AQ10" s="1975"/>
      <c r="AR10" s="1975"/>
      <c r="AS10" s="1978"/>
      <c r="AT10" s="1978"/>
      <c r="AU10" s="1978"/>
      <c r="AV10" s="1978"/>
      <c r="AW10" s="1978"/>
      <c r="AX10" s="1978"/>
      <c r="AY10" s="1978"/>
      <c r="AZ10" s="1978"/>
      <c r="BA10" s="1978"/>
      <c r="BB10" s="1978"/>
      <c r="BC10" s="1978"/>
      <c r="BD10" s="1978"/>
      <c r="BE10" s="1975"/>
      <c r="BF10" s="1975"/>
      <c r="BG10" s="1975"/>
      <c r="BH10" s="1975"/>
      <c r="BI10" s="1975"/>
      <c r="BJ10" s="1975"/>
      <c r="BK10" s="1975"/>
      <c r="BL10" s="1975"/>
      <c r="BM10" s="1975"/>
      <c r="BN10" s="1975"/>
      <c r="BO10" s="1975"/>
      <c r="BP10" s="1992"/>
      <c r="BQ10" s="1979"/>
      <c r="BR10" s="1979"/>
    </row>
    <row r="11" spans="1:103" ht="15" customHeight="1">
      <c r="C11" s="1180"/>
      <c r="D11" s="1981" t="s">
        <v>780</v>
      </c>
      <c r="E11" s="1981"/>
      <c r="F11" s="1981"/>
      <c r="G11" s="1981"/>
      <c r="H11" s="1181"/>
      <c r="I11" s="1977" t="s">
        <v>107</v>
      </c>
      <c r="J11" s="1978"/>
      <c r="K11" s="1978"/>
      <c r="L11" s="1978"/>
      <c r="M11" s="1978"/>
      <c r="N11" s="1978"/>
      <c r="O11" s="1978"/>
      <c r="P11" s="1978"/>
      <c r="Q11" s="1978"/>
      <c r="R11" s="1978"/>
      <c r="S11" s="1978"/>
      <c r="T11" s="1978"/>
      <c r="U11" s="1975" t="s">
        <v>106</v>
      </c>
      <c r="V11" s="1975"/>
      <c r="W11" s="1975"/>
      <c r="X11" s="1975"/>
      <c r="Y11" s="1975"/>
      <c r="Z11" s="1975"/>
      <c r="AA11" s="1975"/>
      <c r="AB11" s="1975"/>
      <c r="AC11" s="1975"/>
      <c r="AD11" s="1975"/>
      <c r="AE11" s="1975"/>
      <c r="AF11" s="1975"/>
      <c r="AG11" s="1975" t="s">
        <v>299</v>
      </c>
      <c r="AH11" s="1975"/>
      <c r="AI11" s="1975"/>
      <c r="AJ11" s="1975"/>
      <c r="AK11" s="1975"/>
      <c r="AL11" s="1975"/>
      <c r="AM11" s="1975"/>
      <c r="AN11" s="1975"/>
      <c r="AO11" s="1975"/>
      <c r="AP11" s="1975"/>
      <c r="AQ11" s="1975"/>
      <c r="AR11" s="1975"/>
      <c r="AS11" s="1978" t="s">
        <v>84</v>
      </c>
      <c r="AT11" s="1978"/>
      <c r="AU11" s="1978"/>
      <c r="AV11" s="1978"/>
      <c r="AW11" s="1978"/>
      <c r="AX11" s="1978"/>
      <c r="AY11" s="1978"/>
      <c r="AZ11" s="1978"/>
      <c r="BA11" s="1978"/>
      <c r="BB11" s="1978"/>
      <c r="BC11" s="1978"/>
      <c r="BD11" s="1978"/>
      <c r="BE11" s="1975" t="s">
        <v>150</v>
      </c>
      <c r="BF11" s="1975"/>
      <c r="BG11" s="1975"/>
      <c r="BH11" s="1975"/>
      <c r="BI11" s="1975"/>
      <c r="BJ11" s="1975"/>
      <c r="BK11" s="1975"/>
      <c r="BL11" s="1975"/>
      <c r="BM11" s="1975"/>
      <c r="BN11" s="1975"/>
      <c r="BO11" s="1975"/>
      <c r="BP11" s="1992"/>
      <c r="BQ11" s="1979"/>
      <c r="BR11" s="1979"/>
    </row>
    <row r="12" spans="1:103" ht="15" customHeight="1">
      <c r="B12" s="1180"/>
      <c r="C12" s="1180"/>
      <c r="D12" s="1981"/>
      <c r="E12" s="1981"/>
      <c r="F12" s="1981"/>
      <c r="G12" s="1981"/>
      <c r="H12" s="1181"/>
      <c r="I12" s="1977"/>
      <c r="J12" s="1978"/>
      <c r="K12" s="1978"/>
      <c r="L12" s="1978"/>
      <c r="M12" s="1978"/>
      <c r="N12" s="1978"/>
      <c r="O12" s="1978"/>
      <c r="P12" s="1978"/>
      <c r="Q12" s="1978"/>
      <c r="R12" s="1978"/>
      <c r="S12" s="1978"/>
      <c r="T12" s="1978"/>
      <c r="U12" s="1975"/>
      <c r="V12" s="1975"/>
      <c r="W12" s="1975"/>
      <c r="X12" s="1975"/>
      <c r="Y12" s="1975"/>
      <c r="Z12" s="1975"/>
      <c r="AA12" s="1975"/>
      <c r="AB12" s="1975"/>
      <c r="AC12" s="1975"/>
      <c r="AD12" s="1975"/>
      <c r="AE12" s="1975"/>
      <c r="AF12" s="1975"/>
      <c r="AG12" s="1975"/>
      <c r="AH12" s="1975"/>
      <c r="AI12" s="1975"/>
      <c r="AJ12" s="1975"/>
      <c r="AK12" s="1975"/>
      <c r="AL12" s="1975"/>
      <c r="AM12" s="1975"/>
      <c r="AN12" s="1975"/>
      <c r="AO12" s="1975"/>
      <c r="AP12" s="1975"/>
      <c r="AQ12" s="1975"/>
      <c r="AR12" s="1975"/>
      <c r="AS12" s="1978"/>
      <c r="AT12" s="1978"/>
      <c r="AU12" s="1978"/>
      <c r="AV12" s="1978"/>
      <c r="AW12" s="1978"/>
      <c r="AX12" s="1978"/>
      <c r="AY12" s="1978"/>
      <c r="AZ12" s="1978"/>
      <c r="BA12" s="1978"/>
      <c r="BB12" s="1978"/>
      <c r="BC12" s="1978"/>
      <c r="BD12" s="1978"/>
      <c r="BE12" s="1975"/>
      <c r="BF12" s="1975"/>
      <c r="BG12" s="1975"/>
      <c r="BH12" s="1975"/>
      <c r="BI12" s="1975"/>
      <c r="BJ12" s="1975"/>
      <c r="BK12" s="1975"/>
      <c r="BL12" s="1975"/>
      <c r="BM12" s="1975"/>
      <c r="BN12" s="1975"/>
      <c r="BO12" s="1975"/>
      <c r="BP12" s="1992"/>
      <c r="BQ12" s="1979"/>
      <c r="BR12" s="1979"/>
    </row>
    <row r="13" spans="1:103" ht="15" customHeight="1">
      <c r="B13" s="1180"/>
      <c r="C13" s="1180"/>
      <c r="D13" s="1981"/>
      <c r="E13" s="1981"/>
      <c r="F13" s="1981"/>
      <c r="G13" s="1981"/>
      <c r="H13" s="1181"/>
      <c r="I13" s="1977"/>
      <c r="J13" s="1978"/>
      <c r="K13" s="1978"/>
      <c r="L13" s="1978"/>
      <c r="M13" s="1978"/>
      <c r="N13" s="1978"/>
      <c r="O13" s="1978"/>
      <c r="P13" s="1978"/>
      <c r="Q13" s="1978"/>
      <c r="R13" s="1978"/>
      <c r="S13" s="1978"/>
      <c r="T13" s="1978"/>
      <c r="U13" s="1975"/>
      <c r="V13" s="1975"/>
      <c r="W13" s="1975"/>
      <c r="X13" s="1975"/>
      <c r="Y13" s="1975"/>
      <c r="Z13" s="1975"/>
      <c r="AA13" s="1975"/>
      <c r="AB13" s="1975"/>
      <c r="AC13" s="1975"/>
      <c r="AD13" s="1975"/>
      <c r="AE13" s="1975"/>
      <c r="AF13" s="1975"/>
      <c r="AG13" s="1975"/>
      <c r="AH13" s="1975"/>
      <c r="AI13" s="1975"/>
      <c r="AJ13" s="1975"/>
      <c r="AK13" s="1975"/>
      <c r="AL13" s="1975"/>
      <c r="AM13" s="1975"/>
      <c r="AN13" s="1975"/>
      <c r="AO13" s="1975"/>
      <c r="AP13" s="1975"/>
      <c r="AQ13" s="1975"/>
      <c r="AR13" s="1975"/>
      <c r="AS13" s="1978"/>
      <c r="AT13" s="1978"/>
      <c r="AU13" s="1978"/>
      <c r="AV13" s="1978"/>
      <c r="AW13" s="1978"/>
      <c r="AX13" s="1978"/>
      <c r="AY13" s="1978"/>
      <c r="AZ13" s="1978"/>
      <c r="BA13" s="1978"/>
      <c r="BB13" s="1978"/>
      <c r="BC13" s="1978"/>
      <c r="BD13" s="1978"/>
      <c r="BE13" s="1975"/>
      <c r="BF13" s="1975"/>
      <c r="BG13" s="1975"/>
      <c r="BH13" s="1975"/>
      <c r="BI13" s="1975"/>
      <c r="BJ13" s="1975"/>
      <c r="BK13" s="1975"/>
      <c r="BL13" s="1975"/>
      <c r="BM13" s="1975"/>
      <c r="BN13" s="1975"/>
      <c r="BO13" s="1975"/>
      <c r="BP13" s="1992"/>
      <c r="BQ13" s="1979"/>
      <c r="BR13" s="1979"/>
    </row>
    <row r="14" spans="1:103" ht="15" customHeight="1">
      <c r="B14" s="1180"/>
      <c r="C14" s="1180"/>
      <c r="D14" s="1981"/>
      <c r="E14" s="1981"/>
      <c r="F14" s="1981"/>
      <c r="G14" s="1981"/>
      <c r="H14" s="1181"/>
      <c r="I14" s="1977"/>
      <c r="J14" s="1978"/>
      <c r="K14" s="1978"/>
      <c r="L14" s="1978"/>
      <c r="M14" s="1978"/>
      <c r="N14" s="1978"/>
      <c r="O14" s="1978"/>
      <c r="P14" s="1978"/>
      <c r="Q14" s="1978"/>
      <c r="R14" s="1978"/>
      <c r="S14" s="1978"/>
      <c r="T14" s="1978"/>
      <c r="U14" s="1975"/>
      <c r="V14" s="1975"/>
      <c r="W14" s="1975"/>
      <c r="X14" s="1975"/>
      <c r="Y14" s="1975"/>
      <c r="Z14" s="1975"/>
      <c r="AA14" s="1975"/>
      <c r="AB14" s="1975"/>
      <c r="AC14" s="1975"/>
      <c r="AD14" s="1975"/>
      <c r="AE14" s="1975"/>
      <c r="AF14" s="1975"/>
      <c r="AG14" s="1975"/>
      <c r="AH14" s="1975"/>
      <c r="AI14" s="1975"/>
      <c r="AJ14" s="1975"/>
      <c r="AK14" s="1975"/>
      <c r="AL14" s="1975"/>
      <c r="AM14" s="1975"/>
      <c r="AN14" s="1975"/>
      <c r="AO14" s="1975"/>
      <c r="AP14" s="1975"/>
      <c r="AQ14" s="1975"/>
      <c r="AR14" s="1975"/>
      <c r="AS14" s="1978"/>
      <c r="AT14" s="1978"/>
      <c r="AU14" s="1978"/>
      <c r="AV14" s="1978"/>
      <c r="AW14" s="1978"/>
      <c r="AX14" s="1978"/>
      <c r="AY14" s="1978"/>
      <c r="AZ14" s="1978"/>
      <c r="BA14" s="1978"/>
      <c r="BB14" s="1978"/>
      <c r="BC14" s="1978"/>
      <c r="BD14" s="1978"/>
      <c r="BE14" s="1975"/>
      <c r="BF14" s="1975"/>
      <c r="BG14" s="1975"/>
      <c r="BH14" s="1975"/>
      <c r="BI14" s="1975"/>
      <c r="BJ14" s="1975"/>
      <c r="BK14" s="1975"/>
      <c r="BL14" s="1975"/>
      <c r="BM14" s="1975"/>
      <c r="BN14" s="1975"/>
      <c r="BO14" s="1975"/>
      <c r="BP14" s="1992"/>
      <c r="BQ14" s="1979"/>
      <c r="BR14" s="1979"/>
    </row>
    <row r="15" spans="1:103" ht="15" customHeight="1">
      <c r="C15" s="1178"/>
      <c r="E15" s="1178"/>
      <c r="F15" s="1178"/>
      <c r="G15" s="1178"/>
      <c r="H15" s="1179"/>
      <c r="I15" s="1977" t="s">
        <v>437</v>
      </c>
      <c r="J15" s="1978"/>
      <c r="K15" s="1978"/>
      <c r="L15" s="1978"/>
      <c r="M15" s="1978"/>
      <c r="N15" s="1978"/>
      <c r="O15" s="1978"/>
      <c r="P15" s="1978"/>
      <c r="Q15" s="1978"/>
      <c r="R15" s="1978"/>
      <c r="S15" s="1978"/>
      <c r="T15" s="1978"/>
      <c r="U15" s="1975" t="s">
        <v>348</v>
      </c>
      <c r="V15" s="1975"/>
      <c r="W15" s="1975"/>
      <c r="X15" s="1975"/>
      <c r="Y15" s="1975"/>
      <c r="Z15" s="1975"/>
      <c r="AA15" s="1975"/>
      <c r="AB15" s="1975"/>
      <c r="AC15" s="1975"/>
      <c r="AD15" s="1975"/>
      <c r="AE15" s="1975"/>
      <c r="AF15" s="1975"/>
      <c r="AG15" s="1987" t="s">
        <v>519</v>
      </c>
      <c r="AH15" s="1987"/>
      <c r="AI15" s="1987"/>
      <c r="AJ15" s="1987"/>
      <c r="AK15" s="1987"/>
      <c r="AL15" s="1987"/>
      <c r="AM15" s="1987"/>
      <c r="AN15" s="1987"/>
      <c r="AO15" s="1987"/>
      <c r="AP15" s="1987"/>
      <c r="AQ15" s="1987"/>
      <c r="AR15" s="1987"/>
      <c r="AS15" s="1987" t="s">
        <v>781</v>
      </c>
      <c r="AT15" s="1987"/>
      <c r="AU15" s="1987"/>
      <c r="AV15" s="1987"/>
      <c r="AW15" s="1987"/>
      <c r="AX15" s="1987"/>
      <c r="AY15" s="1987"/>
      <c r="AZ15" s="1987"/>
      <c r="BA15" s="1987"/>
      <c r="BB15" s="1987"/>
      <c r="BC15" s="1987"/>
      <c r="BD15" s="1987"/>
      <c r="BE15" s="1978" t="s">
        <v>671</v>
      </c>
      <c r="BF15" s="1978"/>
      <c r="BG15" s="1978"/>
      <c r="BH15" s="1978"/>
      <c r="BI15" s="1978"/>
      <c r="BJ15" s="1978"/>
      <c r="BK15" s="1978"/>
      <c r="BL15" s="1978"/>
      <c r="BM15" s="1978"/>
      <c r="BN15" s="1978"/>
      <c r="BO15" s="1978"/>
      <c r="BP15" s="1989"/>
      <c r="BQ15" s="1979"/>
      <c r="BR15" s="1979"/>
    </row>
    <row r="16" spans="1:103" ht="15" customHeight="1">
      <c r="B16" s="1178"/>
      <c r="C16" s="1178"/>
      <c r="D16" s="1981" t="s">
        <v>961</v>
      </c>
      <c r="E16" s="1981"/>
      <c r="F16" s="1981"/>
      <c r="G16" s="1981"/>
      <c r="H16" s="1179"/>
      <c r="I16" s="1977"/>
      <c r="J16" s="1978"/>
      <c r="K16" s="1978"/>
      <c r="L16" s="1978"/>
      <c r="M16" s="1978"/>
      <c r="N16" s="1978"/>
      <c r="O16" s="1978"/>
      <c r="P16" s="1978"/>
      <c r="Q16" s="1978"/>
      <c r="R16" s="1978"/>
      <c r="S16" s="1978"/>
      <c r="T16" s="1978"/>
      <c r="U16" s="1975"/>
      <c r="V16" s="1975"/>
      <c r="W16" s="1975"/>
      <c r="X16" s="1975"/>
      <c r="Y16" s="1975"/>
      <c r="Z16" s="1975"/>
      <c r="AA16" s="1975"/>
      <c r="AB16" s="1975"/>
      <c r="AC16" s="1975"/>
      <c r="AD16" s="1975"/>
      <c r="AE16" s="1975"/>
      <c r="AF16" s="1975"/>
      <c r="AG16" s="1987"/>
      <c r="AH16" s="1987"/>
      <c r="AI16" s="1987"/>
      <c r="AJ16" s="1987"/>
      <c r="AK16" s="1987"/>
      <c r="AL16" s="1987"/>
      <c r="AM16" s="1987"/>
      <c r="AN16" s="1987"/>
      <c r="AO16" s="1987"/>
      <c r="AP16" s="1987"/>
      <c r="AQ16" s="1987"/>
      <c r="AR16" s="1987"/>
      <c r="AS16" s="1987"/>
      <c r="AT16" s="1987"/>
      <c r="AU16" s="1987"/>
      <c r="AV16" s="1987"/>
      <c r="AW16" s="1987"/>
      <c r="AX16" s="1987"/>
      <c r="AY16" s="1987"/>
      <c r="AZ16" s="1987"/>
      <c r="BA16" s="1987"/>
      <c r="BB16" s="1987"/>
      <c r="BC16" s="1987"/>
      <c r="BD16" s="1987"/>
      <c r="BE16" s="1978"/>
      <c r="BF16" s="1978"/>
      <c r="BG16" s="1978"/>
      <c r="BH16" s="1978"/>
      <c r="BI16" s="1978"/>
      <c r="BJ16" s="1978"/>
      <c r="BK16" s="1978"/>
      <c r="BL16" s="1978"/>
      <c r="BM16" s="1978"/>
      <c r="BN16" s="1978"/>
      <c r="BO16" s="1978"/>
      <c r="BP16" s="1989"/>
      <c r="BQ16" s="1979"/>
      <c r="BR16" s="1979"/>
    </row>
    <row r="17" spans="2:81" ht="15" customHeight="1">
      <c r="B17" s="1178"/>
      <c r="C17" s="1178"/>
      <c r="D17" s="1981"/>
      <c r="E17" s="1981"/>
      <c r="F17" s="1981"/>
      <c r="G17" s="1981"/>
      <c r="H17" s="1179"/>
      <c r="I17" s="1977"/>
      <c r="J17" s="1978"/>
      <c r="K17" s="1978"/>
      <c r="L17" s="1978"/>
      <c r="M17" s="1978"/>
      <c r="N17" s="1978"/>
      <c r="O17" s="1978"/>
      <c r="P17" s="1978"/>
      <c r="Q17" s="1978"/>
      <c r="R17" s="1978"/>
      <c r="S17" s="1978"/>
      <c r="T17" s="1978"/>
      <c r="U17" s="1975"/>
      <c r="V17" s="1975"/>
      <c r="W17" s="1975"/>
      <c r="X17" s="1975"/>
      <c r="Y17" s="1975"/>
      <c r="Z17" s="1975"/>
      <c r="AA17" s="1975"/>
      <c r="AB17" s="1975"/>
      <c r="AC17" s="1975"/>
      <c r="AD17" s="1975"/>
      <c r="AE17" s="1975"/>
      <c r="AF17" s="1975"/>
      <c r="AG17" s="1987"/>
      <c r="AH17" s="1987"/>
      <c r="AI17" s="1987"/>
      <c r="AJ17" s="1987"/>
      <c r="AK17" s="1987"/>
      <c r="AL17" s="1987"/>
      <c r="AM17" s="1987"/>
      <c r="AN17" s="1987"/>
      <c r="AO17" s="1987"/>
      <c r="AP17" s="1987"/>
      <c r="AQ17" s="1987"/>
      <c r="AR17" s="1987"/>
      <c r="AS17" s="1987"/>
      <c r="AT17" s="1987"/>
      <c r="AU17" s="1987"/>
      <c r="AV17" s="1987"/>
      <c r="AW17" s="1987"/>
      <c r="AX17" s="1987"/>
      <c r="AY17" s="1987"/>
      <c r="AZ17" s="1987"/>
      <c r="BA17" s="1987"/>
      <c r="BB17" s="1987"/>
      <c r="BC17" s="1987"/>
      <c r="BD17" s="1987"/>
      <c r="BE17" s="1978"/>
      <c r="BF17" s="1978"/>
      <c r="BG17" s="1978"/>
      <c r="BH17" s="1978"/>
      <c r="BI17" s="1978"/>
      <c r="BJ17" s="1978"/>
      <c r="BK17" s="1978"/>
      <c r="BL17" s="1978"/>
      <c r="BM17" s="1978"/>
      <c r="BN17" s="1978"/>
      <c r="BO17" s="1978"/>
      <c r="BP17" s="1989"/>
      <c r="BQ17" s="1979"/>
      <c r="BR17" s="1979"/>
    </row>
    <row r="18" spans="2:81" ht="15" customHeight="1" thickBot="1">
      <c r="B18" s="1178"/>
      <c r="C18" s="1178"/>
      <c r="D18" s="1178"/>
      <c r="E18" s="1178"/>
      <c r="F18" s="1178"/>
      <c r="G18" s="1178"/>
      <c r="H18" s="1179"/>
      <c r="I18" s="1995"/>
      <c r="J18" s="1990"/>
      <c r="K18" s="1990"/>
      <c r="L18" s="1990"/>
      <c r="M18" s="1990"/>
      <c r="N18" s="1990"/>
      <c r="O18" s="1990"/>
      <c r="P18" s="1990"/>
      <c r="Q18" s="1990"/>
      <c r="R18" s="1990"/>
      <c r="S18" s="1990"/>
      <c r="T18" s="1990"/>
      <c r="U18" s="1976"/>
      <c r="V18" s="1976"/>
      <c r="W18" s="1976"/>
      <c r="X18" s="1976"/>
      <c r="Y18" s="1976"/>
      <c r="Z18" s="1976"/>
      <c r="AA18" s="1976"/>
      <c r="AB18" s="1976"/>
      <c r="AC18" s="1976"/>
      <c r="AD18" s="1976"/>
      <c r="AE18" s="1976"/>
      <c r="AF18" s="1976"/>
      <c r="AG18" s="1988"/>
      <c r="AH18" s="1988"/>
      <c r="AI18" s="1988"/>
      <c r="AJ18" s="1988"/>
      <c r="AK18" s="1988"/>
      <c r="AL18" s="1988"/>
      <c r="AM18" s="1988"/>
      <c r="AN18" s="1988"/>
      <c r="AO18" s="1988"/>
      <c r="AP18" s="1988"/>
      <c r="AQ18" s="1988"/>
      <c r="AR18" s="1988"/>
      <c r="AS18" s="1988"/>
      <c r="AT18" s="1988"/>
      <c r="AU18" s="1988"/>
      <c r="AV18" s="1988"/>
      <c r="AW18" s="1988"/>
      <c r="AX18" s="1988"/>
      <c r="AY18" s="1988"/>
      <c r="AZ18" s="1988"/>
      <c r="BA18" s="1988"/>
      <c r="BB18" s="1988"/>
      <c r="BC18" s="1988"/>
      <c r="BD18" s="1988"/>
      <c r="BE18" s="1990"/>
      <c r="BF18" s="1990"/>
      <c r="BG18" s="1990"/>
      <c r="BH18" s="1990"/>
      <c r="BI18" s="1990"/>
      <c r="BJ18" s="1990"/>
      <c r="BK18" s="1990"/>
      <c r="BL18" s="1990"/>
      <c r="BM18" s="1990"/>
      <c r="BN18" s="1990"/>
      <c r="BO18" s="1990"/>
      <c r="BP18" s="1991"/>
      <c r="BQ18" s="1979"/>
      <c r="BR18" s="1979"/>
    </row>
    <row r="19" spans="2:81" ht="24.95" customHeight="1"/>
    <row r="20" spans="2:81" s="586" customFormat="1" ht="24.95" customHeight="1">
      <c r="B20" s="1956" t="s">
        <v>511</v>
      </c>
      <c r="C20" s="1956"/>
      <c r="D20" s="1956"/>
      <c r="E20" s="1956"/>
      <c r="F20" s="1956"/>
      <c r="G20" s="1956"/>
      <c r="H20" s="1956"/>
      <c r="I20" s="1956"/>
      <c r="J20" s="1956"/>
      <c r="K20" s="1956"/>
      <c r="L20" s="1956"/>
      <c r="M20" s="1956"/>
      <c r="N20" s="1956"/>
      <c r="O20" s="1956"/>
      <c r="P20" s="1956"/>
      <c r="Q20" s="1956"/>
      <c r="R20" s="1956"/>
      <c r="S20" s="1956"/>
      <c r="T20" s="1956"/>
      <c r="U20" s="1956"/>
      <c r="V20" s="1956"/>
      <c r="W20" s="1956"/>
      <c r="X20" s="1956"/>
      <c r="Y20" s="1956"/>
      <c r="Z20" s="1956"/>
      <c r="AA20" s="1956"/>
      <c r="AB20" s="1956"/>
      <c r="AC20" s="1956"/>
      <c r="AD20" s="1956"/>
      <c r="AE20" s="1956"/>
      <c r="AF20" s="1956"/>
      <c r="AG20" s="1956"/>
      <c r="AH20" s="1956"/>
      <c r="AI20" s="1956"/>
      <c r="AJ20" s="1956"/>
      <c r="AK20" s="1956"/>
      <c r="AL20" s="1956"/>
      <c r="AM20" s="1956"/>
      <c r="AN20" s="1956"/>
      <c r="AO20" s="1956"/>
      <c r="AP20" s="1956"/>
      <c r="AQ20" s="1956"/>
      <c r="AR20" s="1956"/>
      <c r="AS20" s="1956"/>
      <c r="AT20" s="1956"/>
      <c r="AU20" s="1956"/>
      <c r="AV20" s="1956"/>
      <c r="AW20" s="1956"/>
      <c r="AX20" s="1956"/>
      <c r="AY20" s="1956"/>
      <c r="AZ20" s="1956"/>
      <c r="BA20" s="1956"/>
      <c r="BB20" s="1956"/>
      <c r="BC20" s="1956"/>
      <c r="BD20" s="1956"/>
      <c r="BE20" s="1956"/>
      <c r="BF20" s="1956"/>
      <c r="BG20" s="1956"/>
      <c r="BH20" s="1956"/>
      <c r="BI20" s="1956"/>
      <c r="BJ20" s="1956"/>
      <c r="BK20" s="1956"/>
      <c r="BL20" s="1956"/>
      <c r="BM20" s="1956"/>
      <c r="BN20" s="1956"/>
      <c r="BO20" s="1956"/>
      <c r="BP20" s="1956"/>
      <c r="BQ20" s="1956"/>
      <c r="BR20" s="1956"/>
      <c r="BS20" s="1956"/>
    </row>
    <row r="21" spans="2:81" s="586" customFormat="1" ht="24.95" customHeight="1">
      <c r="B21" s="1959" t="s">
        <v>429</v>
      </c>
      <c r="C21" s="1959"/>
      <c r="D21" s="1959"/>
      <c r="E21" s="1959"/>
      <c r="F21" s="1959"/>
      <c r="G21" s="1959"/>
      <c r="H21" s="1959"/>
      <c r="I21" s="1959"/>
      <c r="J21" s="1959"/>
      <c r="K21" s="1959"/>
      <c r="L21" s="1959"/>
      <c r="M21" s="1959"/>
      <c r="N21" s="1959"/>
      <c r="O21" s="1959"/>
      <c r="P21" s="1959"/>
      <c r="Q21" s="1959"/>
      <c r="R21" s="1959"/>
      <c r="S21" s="1959"/>
      <c r="T21" s="1959"/>
      <c r="U21" s="1959"/>
      <c r="V21" s="1959"/>
      <c r="W21" s="1959"/>
      <c r="X21" s="1959"/>
      <c r="Y21" s="1959"/>
      <c r="Z21" s="1959"/>
      <c r="AA21" s="1959"/>
      <c r="AB21" s="1959"/>
      <c r="AC21" s="1959"/>
      <c r="AD21" s="1959"/>
      <c r="AE21" s="1959"/>
      <c r="AF21" s="1959"/>
      <c r="AG21" s="1959"/>
      <c r="AH21" s="1959"/>
      <c r="AI21" s="1959"/>
      <c r="AJ21" s="1959"/>
      <c r="AK21" s="1959"/>
      <c r="AL21" s="1959"/>
      <c r="AM21" s="1959"/>
      <c r="AN21" s="1959"/>
      <c r="AO21" s="1959"/>
      <c r="AP21" s="1959"/>
      <c r="AQ21" s="1959"/>
      <c r="AR21" s="1959"/>
      <c r="AS21" s="1959"/>
      <c r="AT21" s="1959"/>
      <c r="AU21" s="1959"/>
      <c r="AV21" s="1959"/>
      <c r="AW21" s="1959"/>
      <c r="AX21" s="1959"/>
      <c r="AY21" s="1959"/>
      <c r="AZ21" s="1959"/>
      <c r="BA21" s="1959"/>
      <c r="BB21" s="1959"/>
      <c r="BC21" s="1959"/>
      <c r="BD21" s="1959"/>
      <c r="BE21" s="1959"/>
      <c r="BF21" s="1959"/>
      <c r="BG21" s="1959"/>
      <c r="BH21" s="1959"/>
      <c r="BI21" s="1959"/>
      <c r="BJ21" s="1959"/>
      <c r="BK21" s="1959"/>
      <c r="BL21" s="1959"/>
      <c r="BM21" s="1959"/>
      <c r="BN21" s="1959"/>
      <c r="BO21" s="1959"/>
      <c r="BP21" s="1959"/>
      <c r="BQ21" s="1959"/>
      <c r="BR21" s="1959"/>
      <c r="BS21" s="1959"/>
    </row>
    <row r="22" spans="2:81" ht="19.149999999999999" customHeight="1"/>
    <row r="23" spans="2:81" ht="19.149999999999999" customHeight="1"/>
    <row r="24" spans="2:81" ht="19.149999999999999" customHeight="1"/>
    <row r="25" spans="2:81" ht="19.149999999999999" customHeight="1"/>
    <row r="26" spans="2:81" ht="19.149999999999999" customHeight="1"/>
    <row r="27" spans="2:81" ht="19.149999999999999" customHeight="1"/>
    <row r="28" spans="2:81" ht="19.149999999999999" customHeight="1"/>
    <row r="29" spans="2:81" ht="19.149999999999999" customHeight="1"/>
    <row r="30" spans="2:81" ht="19.149999999999999" customHeight="1"/>
    <row r="31" spans="2:81" ht="19.149999999999999" customHeight="1"/>
    <row r="32" spans="2:81" ht="19.149999999999999" customHeight="1">
      <c r="BY32" s="577"/>
      <c r="BZ32" s="577"/>
      <c r="CA32" s="577"/>
      <c r="CB32" s="577"/>
      <c r="CC32" s="577"/>
    </row>
    <row r="33" spans="1:81" ht="19.149999999999999" customHeight="1">
      <c r="BY33" s="577"/>
      <c r="BZ33" s="577"/>
      <c r="CA33" s="577"/>
      <c r="CB33" s="577"/>
      <c r="CC33" s="577"/>
    </row>
    <row r="34" spans="1:81" ht="19.149999999999999" customHeight="1">
      <c r="BY34" s="577"/>
      <c r="BZ34" s="577"/>
      <c r="CA34" s="577"/>
      <c r="CB34" s="577"/>
      <c r="CC34" s="577"/>
    </row>
    <row r="35" spans="1:81" ht="19.149999999999999" customHeight="1">
      <c r="BY35" s="577"/>
      <c r="BZ35" s="577"/>
      <c r="CA35" s="577"/>
      <c r="CB35" s="577"/>
      <c r="CC35" s="577"/>
    </row>
    <row r="36" spans="1:81" ht="19.149999999999999" customHeight="1">
      <c r="BY36" s="577"/>
      <c r="BZ36" s="577"/>
      <c r="CA36" s="577"/>
      <c r="CB36" s="577"/>
      <c r="CC36" s="577"/>
    </row>
    <row r="37" spans="1:81" ht="19.149999999999999" customHeight="1">
      <c r="BY37" s="577"/>
      <c r="BZ37" s="577"/>
      <c r="CA37" s="577"/>
      <c r="CB37" s="577"/>
      <c r="CC37" s="577"/>
    </row>
    <row r="38" spans="1:81" ht="19.149999999999999" customHeight="1"/>
    <row r="39" spans="1:81" ht="30.2" customHeight="1">
      <c r="B39" s="563"/>
      <c r="C39" s="563"/>
      <c r="D39" s="563"/>
      <c r="E39" s="563"/>
      <c r="F39" s="563"/>
      <c r="G39" s="563"/>
      <c r="H39" s="563"/>
      <c r="I39" s="563"/>
      <c r="J39" s="563"/>
      <c r="K39" s="563"/>
      <c r="M39" s="1068"/>
      <c r="N39" s="1068"/>
      <c r="O39" s="1068"/>
      <c r="P39" s="1068"/>
      <c r="Q39" s="1068"/>
      <c r="R39" s="1068"/>
      <c r="S39" s="1068"/>
      <c r="T39" s="1068"/>
      <c r="U39" s="1068"/>
      <c r="V39" s="1068"/>
      <c r="W39" s="1068"/>
      <c r="X39" s="1068"/>
      <c r="Y39" s="1068"/>
      <c r="Z39" s="1068"/>
      <c r="AA39" s="1068"/>
      <c r="AB39" s="1068"/>
      <c r="AC39" s="1068"/>
    </row>
    <row r="40" spans="1:81" ht="30.2" customHeight="1">
      <c r="B40" s="1956" t="s">
        <v>748</v>
      </c>
      <c r="C40" s="1956"/>
      <c r="D40" s="1956"/>
      <c r="E40" s="1956"/>
      <c r="F40" s="1956"/>
      <c r="G40" s="1956"/>
      <c r="H40" s="1956"/>
      <c r="I40" s="1956"/>
      <c r="J40" s="1956"/>
      <c r="K40" s="1956"/>
      <c r="L40" s="1956"/>
      <c r="M40" s="1956"/>
      <c r="N40" s="1956"/>
      <c r="O40" s="1956"/>
      <c r="P40" s="1956"/>
      <c r="Q40" s="1956"/>
      <c r="R40" s="1956"/>
      <c r="S40" s="1956"/>
      <c r="T40" s="1956"/>
      <c r="U40" s="1956"/>
      <c r="V40" s="1956"/>
      <c r="W40" s="1956"/>
      <c r="X40" s="1956"/>
      <c r="Y40" s="1956"/>
      <c r="Z40" s="1956"/>
      <c r="AA40" s="1956"/>
      <c r="AB40" s="1956"/>
      <c r="AC40" s="1956"/>
      <c r="AD40" s="1956"/>
      <c r="AE40" s="1956"/>
      <c r="AF40" s="1956"/>
      <c r="AG40" s="1956"/>
      <c r="AH40" s="1956"/>
      <c r="AI40" s="1956"/>
      <c r="AJ40" s="1956"/>
      <c r="AK40" s="1956"/>
      <c r="AL40" s="1956"/>
      <c r="AM40" s="1956"/>
      <c r="AN40" s="1956"/>
      <c r="AO40" s="1956"/>
      <c r="AP40" s="1956"/>
      <c r="AQ40" s="1956"/>
      <c r="AR40" s="1956"/>
      <c r="AS40" s="1956"/>
      <c r="AT40" s="1956"/>
      <c r="AU40" s="1956"/>
      <c r="AV40" s="1956"/>
      <c r="AW40" s="1956"/>
      <c r="AX40" s="1956"/>
      <c r="AY40" s="1956"/>
      <c r="AZ40" s="1956"/>
      <c r="BA40" s="1956"/>
      <c r="BB40" s="1956"/>
      <c r="BC40" s="1956"/>
      <c r="BD40" s="1956"/>
      <c r="BE40" s="1956"/>
      <c r="BF40" s="1956"/>
      <c r="BG40" s="1956"/>
      <c r="BH40" s="1956"/>
      <c r="BI40" s="1956"/>
      <c r="BJ40" s="1956"/>
      <c r="BK40" s="1956"/>
      <c r="BL40" s="1956"/>
      <c r="BM40" s="1956"/>
      <c r="BN40" s="1956"/>
      <c r="BO40" s="1956"/>
      <c r="BP40" s="1956"/>
      <c r="BQ40" s="1956"/>
      <c r="BR40" s="1956"/>
      <c r="BS40" s="1956"/>
    </row>
    <row r="41" spans="1:81" ht="19.5" customHeight="1">
      <c r="A41" s="1982" t="str">
        <f>"(Indicators vis-à-vis risk assessment benchmarks, in "&amp;FirstYear-1&amp;")"</f>
        <v>(Indicators vis-à-vis risk assessment benchmarks, in 2017)</v>
      </c>
      <c r="B41" s="1982"/>
      <c r="C41" s="1982"/>
      <c r="D41" s="1982"/>
      <c r="E41" s="1982"/>
      <c r="F41" s="1982"/>
      <c r="G41" s="1982"/>
      <c r="H41" s="1982"/>
      <c r="I41" s="1982"/>
      <c r="J41" s="1982"/>
      <c r="K41" s="1982"/>
      <c r="L41" s="1982"/>
      <c r="M41" s="1982"/>
      <c r="N41" s="1982"/>
      <c r="O41" s="1982"/>
      <c r="P41" s="1982"/>
      <c r="Q41" s="1982"/>
      <c r="R41" s="1982"/>
      <c r="S41" s="1982"/>
      <c r="T41" s="1982"/>
      <c r="U41" s="1982"/>
      <c r="V41" s="1982"/>
      <c r="W41" s="1982"/>
      <c r="X41" s="1982"/>
      <c r="Y41" s="1982"/>
      <c r="Z41" s="1982"/>
      <c r="AA41" s="1982"/>
      <c r="AB41" s="1982"/>
      <c r="AC41" s="1982"/>
      <c r="AD41" s="1982"/>
      <c r="AE41" s="1982"/>
      <c r="AF41" s="1982"/>
      <c r="AG41" s="1982"/>
      <c r="AH41" s="1982"/>
      <c r="AI41" s="1982"/>
      <c r="AJ41" s="1982"/>
      <c r="AK41" s="1982"/>
      <c r="AL41" s="1982"/>
      <c r="AM41" s="1982"/>
      <c r="AN41" s="1982"/>
      <c r="AO41" s="1982"/>
      <c r="AP41" s="1982"/>
      <c r="AQ41" s="1982"/>
      <c r="AR41" s="1982"/>
      <c r="AS41" s="1982"/>
      <c r="AT41" s="1982"/>
      <c r="AU41" s="1982"/>
      <c r="AV41" s="1982"/>
      <c r="AW41" s="1982"/>
      <c r="AX41" s="1982"/>
      <c r="AY41" s="1982"/>
      <c r="AZ41" s="1982"/>
      <c r="BA41" s="1982"/>
      <c r="BB41" s="1982"/>
      <c r="BC41" s="1982"/>
      <c r="BD41" s="1982"/>
      <c r="BE41" s="1982"/>
      <c r="BF41" s="1982"/>
      <c r="BG41" s="1982"/>
      <c r="BH41" s="1982"/>
      <c r="BI41" s="1982"/>
      <c r="BJ41" s="1982"/>
      <c r="BK41" s="1982"/>
      <c r="BL41" s="1982"/>
      <c r="BM41" s="1982"/>
      <c r="BN41" s="1982"/>
      <c r="BO41" s="1982"/>
      <c r="BP41" s="1982"/>
      <c r="BQ41" s="1982"/>
      <c r="BR41" s="1982"/>
      <c r="BS41" s="1982"/>
      <c r="BT41" s="1982"/>
    </row>
    <row r="42" spans="1:81" s="578" customFormat="1" ht="19.5" customHeight="1">
      <c r="A42" s="981"/>
      <c r="B42" s="981"/>
      <c r="C42" s="981"/>
      <c r="D42" s="981"/>
      <c r="F42" s="580" t="str">
        <f>Country</f>
        <v>Latvia</v>
      </c>
      <c r="Q42" s="1980" t="str">
        <f>'Lists-Modules-ChartData'!BP13</f>
        <v>Lower early warning</v>
      </c>
      <c r="R42" s="1980"/>
      <c r="S42" s="1980"/>
      <c r="T42" s="1980"/>
      <c r="U42" s="1980"/>
      <c r="V42" s="1980"/>
      <c r="W42" s="1980"/>
      <c r="X42" s="1980"/>
      <c r="Y42" s="1980"/>
      <c r="Z42" s="1980"/>
      <c r="AA42" s="1980"/>
      <c r="AB42" s="1980"/>
      <c r="AC42" s="1980"/>
      <c r="AD42" s="1980"/>
      <c r="AE42" s="1980"/>
      <c r="AF42" s="1980"/>
      <c r="AG42" s="1980"/>
      <c r="AH42" s="1980"/>
      <c r="AI42" s="1980"/>
      <c r="AJ42" s="1980"/>
      <c r="BD42" s="1980" t="str">
        <f>'Lists-Modules-ChartData'!BQ13</f>
        <v>Upper early warning</v>
      </c>
      <c r="BE42" s="1980"/>
      <c r="BF42" s="1980"/>
      <c r="BG42" s="1980"/>
      <c r="BH42" s="1980"/>
      <c r="BI42" s="1980"/>
      <c r="BJ42" s="1980"/>
      <c r="BK42" s="1980"/>
      <c r="BL42" s="1980"/>
      <c r="BM42" s="1980"/>
      <c r="BN42" s="1980"/>
      <c r="BO42" s="1980"/>
      <c r="BP42" s="1980"/>
      <c r="BQ42" s="1980"/>
      <c r="BR42" s="1980"/>
      <c r="BS42" s="1980"/>
    </row>
    <row r="43" spans="1:81" ht="20.100000000000001" customHeight="1">
      <c r="A43" s="981"/>
      <c r="B43" s="981"/>
      <c r="C43" s="981"/>
      <c r="D43" s="981"/>
      <c r="F43" s="580"/>
      <c r="P43" s="567"/>
      <c r="Q43" s="567"/>
      <c r="R43" s="567"/>
      <c r="S43" s="567"/>
    </row>
    <row r="44" spans="1:81" ht="15" customHeight="1">
      <c r="C44" s="563"/>
      <c r="D44" s="563"/>
      <c r="E44" s="563"/>
      <c r="L44" s="879"/>
      <c r="M44" s="879"/>
      <c r="N44" s="879"/>
      <c r="P44" s="567"/>
      <c r="Q44" s="582"/>
      <c r="R44" s="567"/>
      <c r="S44" s="567"/>
    </row>
    <row r="45" spans="1:81" ht="15" customHeight="1">
      <c r="C45" s="563"/>
      <c r="D45" s="563"/>
      <c r="E45" s="563"/>
      <c r="L45" s="879"/>
      <c r="M45" s="879"/>
      <c r="N45" s="879"/>
      <c r="P45" s="567"/>
      <c r="Q45" s="567"/>
      <c r="R45" s="567"/>
      <c r="S45" s="567"/>
    </row>
    <row r="46" spans="1:81" ht="15" customHeight="1">
      <c r="C46" s="563"/>
      <c r="D46" s="563"/>
      <c r="E46" s="563"/>
      <c r="F46" s="585"/>
      <c r="G46" s="580"/>
      <c r="H46" s="580"/>
      <c r="I46" s="580"/>
      <c r="J46" s="583"/>
      <c r="K46" s="583"/>
      <c r="L46" s="879"/>
      <c r="M46" s="879"/>
      <c r="N46" s="879"/>
      <c r="O46" s="583"/>
      <c r="P46" s="567"/>
      <c r="Q46" s="567"/>
      <c r="R46" s="567"/>
      <c r="S46" s="567"/>
    </row>
    <row r="47" spans="1:81" ht="15" customHeight="1">
      <c r="C47" s="563"/>
      <c r="D47" s="563"/>
      <c r="E47" s="563"/>
      <c r="L47" s="823"/>
      <c r="M47" s="824"/>
      <c r="N47" s="824"/>
      <c r="P47" s="567"/>
      <c r="Q47" s="567"/>
      <c r="R47" s="567"/>
      <c r="S47" s="567"/>
    </row>
    <row r="48" spans="1:81" ht="15" customHeight="1">
      <c r="C48" s="563"/>
      <c r="D48" s="563"/>
      <c r="E48" s="563"/>
      <c r="L48" s="879"/>
      <c r="M48" s="879"/>
      <c r="N48" s="879"/>
      <c r="P48" s="567"/>
      <c r="Q48" s="567"/>
      <c r="R48" s="567"/>
      <c r="S48" s="567"/>
    </row>
    <row r="49" spans="2:26" ht="15" customHeight="1">
      <c r="C49" s="563"/>
      <c r="D49" s="563"/>
      <c r="E49" s="563"/>
      <c r="L49" s="879"/>
      <c r="M49" s="879"/>
      <c r="N49" s="879"/>
      <c r="P49" s="567"/>
      <c r="Q49" s="567"/>
      <c r="R49" s="567"/>
      <c r="S49" s="567"/>
    </row>
    <row r="50" spans="2:26" ht="15" customHeight="1">
      <c r="C50" s="563"/>
      <c r="D50" s="563"/>
      <c r="E50" s="563"/>
      <c r="L50" s="825"/>
      <c r="M50" s="826"/>
      <c r="N50" s="826"/>
      <c r="P50" s="567"/>
      <c r="Q50" s="567"/>
      <c r="R50" s="567"/>
      <c r="S50" s="567"/>
    </row>
    <row r="51" spans="2:26" ht="15" customHeight="1">
      <c r="C51" s="563"/>
      <c r="D51" s="563"/>
      <c r="E51" s="563"/>
      <c r="L51" s="879"/>
      <c r="M51" s="879"/>
      <c r="N51" s="879"/>
      <c r="P51" s="567"/>
      <c r="Q51" s="567"/>
      <c r="R51" s="567"/>
      <c r="S51" s="567"/>
    </row>
    <row r="52" spans="2:26" ht="15" customHeight="1">
      <c r="C52" s="563"/>
      <c r="D52" s="563"/>
      <c r="E52" s="563"/>
      <c r="F52" s="563"/>
      <c r="G52" s="563"/>
      <c r="H52" s="563"/>
      <c r="I52" s="563"/>
      <c r="J52" s="563"/>
      <c r="K52" s="563"/>
      <c r="L52" s="879"/>
      <c r="M52" s="879"/>
      <c r="N52" s="879"/>
      <c r="O52" s="563"/>
      <c r="P52" s="563"/>
      <c r="Q52" s="563"/>
      <c r="R52" s="563"/>
      <c r="S52" s="563"/>
    </row>
    <row r="53" spans="2:26" ht="15" customHeight="1">
      <c r="L53" s="879"/>
      <c r="M53" s="879"/>
      <c r="N53" s="879"/>
    </row>
    <row r="54" spans="2:26" ht="15" customHeight="1">
      <c r="L54" s="823"/>
      <c r="M54" s="824"/>
      <c r="N54" s="824"/>
    </row>
    <row r="55" spans="2:26" ht="15" customHeight="1">
      <c r="L55" s="826"/>
      <c r="M55" s="824"/>
      <c r="N55" s="824"/>
    </row>
    <row r="56" spans="2:26" ht="15" customHeight="1">
      <c r="L56" s="986"/>
      <c r="M56" s="986"/>
      <c r="N56" s="986"/>
      <c r="O56" s="986"/>
      <c r="P56" s="986"/>
      <c r="Q56" s="982"/>
      <c r="R56" s="982"/>
      <c r="S56" s="982"/>
      <c r="T56" s="982"/>
    </row>
    <row r="57" spans="2:26" ht="15" customHeight="1">
      <c r="L57" s="986"/>
      <c r="M57" s="986"/>
      <c r="N57" s="986"/>
      <c r="O57" s="986"/>
      <c r="P57" s="986"/>
      <c r="Q57" s="982"/>
      <c r="R57" s="982"/>
      <c r="S57" s="982"/>
      <c r="T57" s="982"/>
    </row>
    <row r="58" spans="2:26" ht="15" customHeight="1">
      <c r="B58" s="983"/>
      <c r="C58" s="983"/>
      <c r="D58" s="983"/>
      <c r="E58" s="984"/>
      <c r="F58" s="984"/>
      <c r="G58" s="984"/>
      <c r="H58" s="984"/>
      <c r="I58" s="984"/>
      <c r="J58" s="984"/>
      <c r="L58" s="986"/>
      <c r="M58" s="986"/>
      <c r="N58" s="986"/>
      <c r="O58" s="986"/>
      <c r="P58" s="986"/>
      <c r="Q58" s="982"/>
      <c r="R58" s="982"/>
      <c r="S58" s="982"/>
      <c r="T58" s="982"/>
    </row>
    <row r="59" spans="2:26" ht="15" customHeight="1">
      <c r="L59" s="985"/>
      <c r="M59" s="985"/>
      <c r="N59" s="985"/>
      <c r="O59" s="985"/>
      <c r="P59" s="985"/>
      <c r="Q59" s="985"/>
      <c r="R59" s="985"/>
      <c r="S59" s="985"/>
      <c r="T59" s="985"/>
      <c r="Y59" s="606"/>
    </row>
    <row r="60" spans="2:26" ht="15" customHeight="1">
      <c r="M60" s="615"/>
      <c r="N60" s="615"/>
      <c r="O60" s="615"/>
    </row>
    <row r="61" spans="2:26" ht="15" customHeight="1">
      <c r="L61" s="588"/>
      <c r="M61" s="882"/>
      <c r="N61" s="882"/>
      <c r="O61" s="882"/>
      <c r="P61" s="882"/>
      <c r="Q61" s="882"/>
      <c r="R61" s="882"/>
      <c r="S61" s="882"/>
      <c r="T61" s="882"/>
      <c r="U61" s="576"/>
      <c r="V61" s="576"/>
      <c r="Z61" s="881"/>
    </row>
    <row r="62" spans="2:26" ht="15" customHeight="1">
      <c r="L62" s="588"/>
      <c r="M62" s="882"/>
      <c r="N62" s="882"/>
      <c r="O62" s="882"/>
      <c r="P62" s="882"/>
      <c r="Q62" s="882"/>
      <c r="R62" s="882"/>
      <c r="S62" s="882"/>
      <c r="T62" s="882"/>
      <c r="U62" s="576"/>
      <c r="V62" s="576"/>
      <c r="Y62" s="881"/>
      <c r="Z62" s="881"/>
    </row>
    <row r="63" spans="2:26" ht="15" customHeight="1">
      <c r="L63" s="588"/>
      <c r="M63" s="882"/>
      <c r="N63" s="882"/>
      <c r="O63" s="882"/>
      <c r="P63" s="882"/>
      <c r="Q63" s="882"/>
      <c r="R63" s="882"/>
      <c r="S63" s="882"/>
      <c r="T63" s="882"/>
      <c r="U63" s="576"/>
      <c r="V63" s="576"/>
      <c r="Y63" s="881"/>
      <c r="Z63" s="881"/>
    </row>
    <row r="64" spans="2:26" ht="15" customHeight="1">
      <c r="L64" s="588"/>
      <c r="M64" s="882"/>
      <c r="N64" s="882"/>
      <c r="O64" s="882"/>
      <c r="P64" s="882"/>
      <c r="Q64" s="882"/>
      <c r="R64" s="882"/>
      <c r="S64" s="882"/>
      <c r="T64" s="882"/>
      <c r="U64" s="576"/>
      <c r="V64" s="576"/>
      <c r="Y64" s="881"/>
      <c r="Z64" s="881"/>
    </row>
    <row r="65" spans="1:86" ht="15" customHeight="1">
      <c r="A65" s="576" t="s">
        <v>960</v>
      </c>
      <c r="B65" s="576"/>
      <c r="C65" s="576"/>
      <c r="D65" s="576"/>
      <c r="E65" s="576"/>
      <c r="F65" s="576"/>
      <c r="G65" s="576"/>
      <c r="H65" s="576"/>
      <c r="I65" s="576"/>
      <c r="J65" s="576"/>
      <c r="K65" s="576"/>
      <c r="L65" s="1602"/>
      <c r="M65" s="1603"/>
      <c r="N65" s="1603"/>
      <c r="O65" s="1603"/>
      <c r="P65" s="1603"/>
      <c r="Q65" s="1603"/>
      <c r="R65" s="1603"/>
      <c r="S65" s="1603"/>
      <c r="T65" s="1603"/>
      <c r="U65" s="576"/>
      <c r="V65" s="576"/>
      <c r="W65" s="576"/>
      <c r="X65" s="576"/>
      <c r="Y65" s="1604"/>
      <c r="Z65" s="1604"/>
      <c r="AA65" s="576"/>
      <c r="AB65" s="576"/>
      <c r="AC65" s="576"/>
      <c r="AD65" s="576"/>
      <c r="AE65" s="576"/>
      <c r="AF65" s="576"/>
      <c r="AG65" s="576"/>
      <c r="AH65" s="576"/>
      <c r="AI65" s="576"/>
      <c r="AJ65" s="576"/>
      <c r="AK65" s="576"/>
      <c r="AL65" s="576"/>
      <c r="AM65" s="576"/>
      <c r="AN65" s="576"/>
      <c r="AO65" s="576"/>
      <c r="AP65" s="576"/>
      <c r="AQ65" s="576"/>
      <c r="AR65" s="576"/>
      <c r="AS65" s="576"/>
      <c r="AT65" s="576"/>
      <c r="AU65" s="576"/>
      <c r="AV65" s="576"/>
      <c r="AW65" s="576"/>
      <c r="AX65" s="576"/>
      <c r="AY65" s="576"/>
      <c r="AZ65" s="576"/>
      <c r="BA65" s="576"/>
      <c r="BB65" s="576"/>
      <c r="BC65" s="576"/>
      <c r="BD65" s="576"/>
      <c r="BE65" s="576"/>
      <c r="BF65" s="576"/>
      <c r="BG65" s="576"/>
      <c r="BH65" s="576"/>
      <c r="BI65" s="576"/>
      <c r="BJ65" s="576"/>
      <c r="BK65" s="576"/>
      <c r="BL65" s="576"/>
      <c r="BM65" s="576"/>
      <c r="BN65" s="576"/>
      <c r="BO65" s="576"/>
      <c r="BP65" s="576"/>
      <c r="BQ65" s="576"/>
      <c r="BR65" s="576"/>
      <c r="BS65" s="576"/>
      <c r="BT65" s="576"/>
    </row>
    <row r="66" spans="1:86" s="613" customFormat="1" ht="39.950000000000003" customHeight="1">
      <c r="A66" s="1973" t="str">
        <f>IF(AEStatus=1,HeatMap!M4,HeatMap!M10)</f>
        <v>1/ The cell is highlighted in green if debt burden benchmark of 70% is not exceeded under the specific shock or baseline, yellow if exceeded under specific shock but not baseline, red if benchmark is exceeded under baseline, white if stress test is not relevant.</v>
      </c>
      <c r="B66" s="1973"/>
      <c r="C66" s="1973"/>
      <c r="D66" s="1973"/>
      <c r="E66" s="1973"/>
      <c r="F66" s="1973"/>
      <c r="G66" s="1973"/>
      <c r="H66" s="1973"/>
      <c r="I66" s="1973"/>
      <c r="J66" s="1973"/>
      <c r="K66" s="1973"/>
      <c r="L66" s="1973"/>
      <c r="M66" s="1973"/>
      <c r="N66" s="1973"/>
      <c r="O66" s="1973"/>
      <c r="P66" s="1973"/>
      <c r="Q66" s="1973"/>
      <c r="R66" s="1973"/>
      <c r="S66" s="1973"/>
      <c r="T66" s="1973"/>
      <c r="U66" s="1973"/>
      <c r="V66" s="1973"/>
      <c r="W66" s="1973"/>
      <c r="X66" s="1973"/>
      <c r="Y66" s="1973"/>
      <c r="Z66" s="1973"/>
      <c r="AA66" s="1973"/>
      <c r="AB66" s="1973"/>
      <c r="AC66" s="1973"/>
      <c r="AD66" s="1973"/>
      <c r="AE66" s="1973"/>
      <c r="AF66" s="1973"/>
      <c r="AG66" s="1973"/>
      <c r="AH66" s="1973"/>
      <c r="AI66" s="1973"/>
      <c r="AJ66" s="1973"/>
      <c r="AK66" s="1973"/>
      <c r="AL66" s="1973"/>
      <c r="AM66" s="1973"/>
      <c r="AN66" s="1973"/>
      <c r="AO66" s="1973"/>
      <c r="AP66" s="1973"/>
      <c r="AQ66" s="1973"/>
      <c r="AR66" s="1973"/>
      <c r="AS66" s="1973"/>
      <c r="AT66" s="1973"/>
      <c r="AU66" s="1973"/>
      <c r="AV66" s="1973"/>
      <c r="AW66" s="1973"/>
      <c r="AX66" s="1973"/>
      <c r="AY66" s="1973"/>
      <c r="AZ66" s="1973"/>
      <c r="BA66" s="1973"/>
      <c r="BB66" s="1973"/>
      <c r="BC66" s="1973"/>
      <c r="BD66" s="1973"/>
      <c r="BE66" s="1973"/>
      <c r="BF66" s="1973"/>
      <c r="BG66" s="1973"/>
      <c r="BH66" s="1973"/>
      <c r="BI66" s="1973"/>
      <c r="BJ66" s="1973"/>
      <c r="BK66" s="1973"/>
      <c r="BL66" s="1973"/>
      <c r="BM66" s="1973"/>
      <c r="BN66" s="1973"/>
      <c r="BO66" s="1973"/>
      <c r="BP66" s="1973"/>
      <c r="BQ66" s="1973"/>
      <c r="BR66" s="1973"/>
      <c r="BS66" s="1973"/>
      <c r="BT66" s="1973"/>
      <c r="BU66" s="1182"/>
      <c r="BV66" s="1182"/>
      <c r="BW66" s="1182"/>
      <c r="BX66" s="1182"/>
      <c r="BY66" s="1182"/>
      <c r="BZ66" s="1182"/>
      <c r="CA66" s="1182"/>
      <c r="CB66" s="1182"/>
      <c r="CC66" s="1182"/>
      <c r="CD66" s="1182"/>
      <c r="CE66" s="1182"/>
      <c r="CF66" s="1182"/>
      <c r="CG66" s="1182"/>
      <c r="CH66" s="1182"/>
    </row>
    <row r="67" spans="1:86" s="613" customFormat="1" ht="39.950000000000003" customHeight="1">
      <c r="A67" s="1973" t="str">
        <f>IF(AEStatus=1,HeatMap!M16,HeatMap!M24)</f>
        <v>2/ The cell is highlighted in green if gross financing needs benchmark of 15% is not exceeded under the specific shock or baseline, yellow if exceeded under specific shock but not baseline, red if benchmark is exceeded under baseline, white if stress test is not relevant.</v>
      </c>
      <c r="B67" s="1973"/>
      <c r="C67" s="1973"/>
      <c r="D67" s="1973"/>
      <c r="E67" s="1973"/>
      <c r="F67" s="1973"/>
      <c r="G67" s="1973"/>
      <c r="H67" s="1973"/>
      <c r="I67" s="1973"/>
      <c r="J67" s="1973"/>
      <c r="K67" s="1973"/>
      <c r="L67" s="1973"/>
      <c r="M67" s="1973"/>
      <c r="N67" s="1973"/>
      <c r="O67" s="1973"/>
      <c r="P67" s="1973"/>
      <c r="Q67" s="1973"/>
      <c r="R67" s="1973"/>
      <c r="S67" s="1973"/>
      <c r="T67" s="1973"/>
      <c r="U67" s="1973"/>
      <c r="V67" s="1973"/>
      <c r="W67" s="1973"/>
      <c r="X67" s="1973"/>
      <c r="Y67" s="1973"/>
      <c r="Z67" s="1973"/>
      <c r="AA67" s="1973"/>
      <c r="AB67" s="1973"/>
      <c r="AC67" s="1973"/>
      <c r="AD67" s="1973"/>
      <c r="AE67" s="1973"/>
      <c r="AF67" s="1973"/>
      <c r="AG67" s="1973"/>
      <c r="AH67" s="1973"/>
      <c r="AI67" s="1973"/>
      <c r="AJ67" s="1973"/>
      <c r="AK67" s="1973"/>
      <c r="AL67" s="1973"/>
      <c r="AM67" s="1973"/>
      <c r="AN67" s="1973"/>
      <c r="AO67" s="1973"/>
      <c r="AP67" s="1973"/>
      <c r="AQ67" s="1973"/>
      <c r="AR67" s="1973"/>
      <c r="AS67" s="1973"/>
      <c r="AT67" s="1973"/>
      <c r="AU67" s="1973"/>
      <c r="AV67" s="1973"/>
      <c r="AW67" s="1973"/>
      <c r="AX67" s="1973"/>
      <c r="AY67" s="1973"/>
      <c r="AZ67" s="1973"/>
      <c r="BA67" s="1973"/>
      <c r="BB67" s="1973"/>
      <c r="BC67" s="1973"/>
      <c r="BD67" s="1973"/>
      <c r="BE67" s="1973"/>
      <c r="BF67" s="1973"/>
      <c r="BG67" s="1973"/>
      <c r="BH67" s="1973"/>
      <c r="BI67" s="1973"/>
      <c r="BJ67" s="1973"/>
      <c r="BK67" s="1973"/>
      <c r="BL67" s="1973"/>
      <c r="BM67" s="1973"/>
      <c r="BN67" s="1973"/>
      <c r="BO67" s="1973"/>
      <c r="BP67" s="1973"/>
      <c r="BQ67" s="1973"/>
      <c r="BR67" s="1973"/>
      <c r="BS67" s="1973"/>
      <c r="BT67" s="1973"/>
      <c r="BU67" s="1182"/>
      <c r="BV67" s="1182"/>
      <c r="BW67" s="1182"/>
      <c r="BX67" s="1182"/>
      <c r="BY67" s="1182"/>
      <c r="BZ67" s="1182"/>
      <c r="CA67" s="1182"/>
      <c r="CB67" s="1182"/>
      <c r="CC67" s="1182"/>
      <c r="CD67" s="1182"/>
      <c r="CE67" s="1182"/>
      <c r="CF67" s="1182"/>
      <c r="CG67" s="1182"/>
      <c r="CH67" s="1182"/>
    </row>
    <row r="68" spans="1:86" s="613" customFormat="1" ht="60" customHeight="1">
      <c r="A68" s="1973" t="s">
        <v>964</v>
      </c>
      <c r="B68" s="1973"/>
      <c r="C68" s="1973"/>
      <c r="D68" s="1973"/>
      <c r="E68" s="1973"/>
      <c r="F68" s="1973"/>
      <c r="G68" s="1973"/>
      <c r="H68" s="1973"/>
      <c r="I68" s="1973"/>
      <c r="J68" s="1973"/>
      <c r="K68" s="1973"/>
      <c r="L68" s="1973"/>
      <c r="M68" s="1973"/>
      <c r="N68" s="1973"/>
      <c r="O68" s="1973"/>
      <c r="P68" s="1973"/>
      <c r="Q68" s="1973"/>
      <c r="R68" s="1973"/>
      <c r="S68" s="1973"/>
      <c r="T68" s="1973"/>
      <c r="U68" s="1973"/>
      <c r="V68" s="1973"/>
      <c r="W68" s="1973"/>
      <c r="X68" s="1973"/>
      <c r="Y68" s="1973"/>
      <c r="Z68" s="1973"/>
      <c r="AA68" s="1973"/>
      <c r="AB68" s="1973"/>
      <c r="AC68" s="1973"/>
      <c r="AD68" s="1973"/>
      <c r="AE68" s="1973"/>
      <c r="AF68" s="1973"/>
      <c r="AG68" s="1973"/>
      <c r="AH68" s="1973"/>
      <c r="AI68" s="1973"/>
      <c r="AJ68" s="1973"/>
      <c r="AK68" s="1973"/>
      <c r="AL68" s="1973"/>
      <c r="AM68" s="1973"/>
      <c r="AN68" s="1973"/>
      <c r="AO68" s="1973"/>
      <c r="AP68" s="1973"/>
      <c r="AQ68" s="1973"/>
      <c r="AR68" s="1973"/>
      <c r="AS68" s="1973"/>
      <c r="AT68" s="1973"/>
      <c r="AU68" s="1973"/>
      <c r="AV68" s="1973"/>
      <c r="AW68" s="1973"/>
      <c r="AX68" s="1973"/>
      <c r="AY68" s="1973"/>
      <c r="AZ68" s="1973"/>
      <c r="BA68" s="1973"/>
      <c r="BB68" s="1973"/>
      <c r="BC68" s="1973"/>
      <c r="BD68" s="1973"/>
      <c r="BE68" s="1973"/>
      <c r="BF68" s="1973"/>
      <c r="BG68" s="1973"/>
      <c r="BH68" s="1973"/>
      <c r="BI68" s="1973"/>
      <c r="BJ68" s="1973"/>
      <c r="BK68" s="1973"/>
      <c r="BL68" s="1973"/>
      <c r="BM68" s="1973"/>
      <c r="BN68" s="1973"/>
      <c r="BO68" s="1973"/>
      <c r="BP68" s="1973"/>
      <c r="BQ68" s="1973"/>
      <c r="BR68" s="1973"/>
      <c r="BS68" s="1973"/>
      <c r="BT68" s="1973"/>
    </row>
    <row r="69" spans="1:86" s="613" customFormat="1" ht="39.950000000000003" customHeight="1">
      <c r="A69" s="1973" t="str">
        <f>IF(AEStatus=1,HeatMap!M34,HeatMap!M40)</f>
        <v>200 and 600 basis points for bond spreads; 5 and 15 percent of GDP for external financing requirement; 0,5 and 1 percent for change in the share of short-term debt; 15 and 45 percent for the public debt held by non-residents; and 20 and 60 percent for the share of foreign-currency denominated debt.</v>
      </c>
      <c r="B69" s="1973"/>
      <c r="C69" s="1973"/>
      <c r="D69" s="1973"/>
      <c r="E69" s="1973"/>
      <c r="F69" s="1973"/>
      <c r="G69" s="1973"/>
      <c r="H69" s="1973"/>
      <c r="I69" s="1973"/>
      <c r="J69" s="1973"/>
      <c r="K69" s="1973"/>
      <c r="L69" s="1973"/>
      <c r="M69" s="1973"/>
      <c r="N69" s="1973"/>
      <c r="O69" s="1973"/>
      <c r="P69" s="1973"/>
      <c r="Q69" s="1973"/>
      <c r="R69" s="1973"/>
      <c r="S69" s="1973"/>
      <c r="T69" s="1973"/>
      <c r="U69" s="1973"/>
      <c r="V69" s="1973"/>
      <c r="W69" s="1973"/>
      <c r="X69" s="1973"/>
      <c r="Y69" s="1973"/>
      <c r="Z69" s="1973"/>
      <c r="AA69" s="1973"/>
      <c r="AB69" s="1973"/>
      <c r="AC69" s="1973"/>
      <c r="AD69" s="1973"/>
      <c r="AE69" s="1973"/>
      <c r="AF69" s="1973"/>
      <c r="AG69" s="1973"/>
      <c r="AH69" s="1973"/>
      <c r="AI69" s="1973"/>
      <c r="AJ69" s="1973"/>
      <c r="AK69" s="1973"/>
      <c r="AL69" s="1973"/>
      <c r="AM69" s="1973"/>
      <c r="AN69" s="1973"/>
      <c r="AO69" s="1973"/>
      <c r="AP69" s="1973"/>
      <c r="AQ69" s="1973"/>
      <c r="AR69" s="1973"/>
      <c r="AS69" s="1973"/>
      <c r="AT69" s="1973"/>
      <c r="AU69" s="1973"/>
      <c r="AV69" s="1973"/>
      <c r="AW69" s="1973"/>
      <c r="AX69" s="1973"/>
      <c r="AY69" s="1973"/>
      <c r="AZ69" s="1973"/>
      <c r="BA69" s="1973"/>
      <c r="BB69" s="1973"/>
      <c r="BC69" s="1973"/>
      <c r="BD69" s="1973"/>
      <c r="BE69" s="1973"/>
      <c r="BF69" s="1973"/>
      <c r="BG69" s="1973"/>
      <c r="BH69" s="1973"/>
      <c r="BI69" s="1973"/>
      <c r="BJ69" s="1973"/>
      <c r="BK69" s="1973"/>
      <c r="BL69" s="1973"/>
      <c r="BM69" s="1973"/>
      <c r="BN69" s="1973"/>
      <c r="BO69" s="1973"/>
      <c r="BP69" s="1973"/>
      <c r="BQ69" s="1973"/>
      <c r="BR69" s="1973"/>
      <c r="BS69" s="1973"/>
      <c r="BT69" s="1973"/>
    </row>
    <row r="70" spans="1:86" ht="17.25">
      <c r="A70" s="1973" t="str">
        <f>"4/ "&amp;SpreadDefinition&amp;", an average over the last 3 months, "&amp;'Input 1 - Basics'!D36&amp;"."</f>
        <v>4/ Long-term bond spread over German bonds (bp), an average over the last 3 months, 25-12-18 through 25-03-19.</v>
      </c>
      <c r="B70" s="1973"/>
      <c r="C70" s="1973"/>
      <c r="D70" s="1973"/>
      <c r="E70" s="1973"/>
      <c r="F70" s="1973"/>
      <c r="G70" s="1973"/>
      <c r="H70" s="1973"/>
      <c r="I70" s="1973"/>
      <c r="J70" s="1973"/>
      <c r="K70" s="1973"/>
      <c r="L70" s="1973"/>
      <c r="M70" s="1973"/>
      <c r="N70" s="1973"/>
      <c r="O70" s="1973"/>
      <c r="P70" s="1973"/>
      <c r="Q70" s="1973"/>
      <c r="R70" s="1973"/>
      <c r="S70" s="1973"/>
      <c r="T70" s="1973"/>
      <c r="U70" s="1973"/>
      <c r="V70" s="1973"/>
      <c r="W70" s="1973"/>
      <c r="X70" s="1973"/>
      <c r="Y70" s="1973"/>
      <c r="Z70" s="1973"/>
      <c r="AA70" s="1973"/>
      <c r="AB70" s="1973"/>
      <c r="AC70" s="1973"/>
      <c r="AD70" s="1973"/>
      <c r="AE70" s="1973"/>
      <c r="AF70" s="1973"/>
      <c r="AG70" s="1973"/>
      <c r="AH70" s="1973"/>
      <c r="AI70" s="1973"/>
      <c r="AJ70" s="1973"/>
      <c r="AK70" s="1973"/>
      <c r="AL70" s="1973"/>
      <c r="AM70" s="1973"/>
      <c r="AN70" s="1973"/>
      <c r="AO70" s="1973"/>
      <c r="AP70" s="1973"/>
      <c r="AQ70" s="1973"/>
      <c r="AR70" s="1973"/>
      <c r="AS70" s="1973"/>
      <c r="AT70" s="1973"/>
      <c r="AU70" s="1973"/>
      <c r="AV70" s="1973"/>
      <c r="AW70" s="1973"/>
      <c r="AX70" s="1973"/>
      <c r="AY70" s="1973"/>
      <c r="AZ70" s="1973"/>
      <c r="BA70" s="1973"/>
      <c r="BB70" s="1973"/>
      <c r="BC70" s="1973"/>
      <c r="BD70" s="1973"/>
      <c r="BE70" s="1973"/>
      <c r="BF70" s="1973"/>
      <c r="BG70" s="1973"/>
      <c r="BH70" s="1973"/>
      <c r="BI70" s="1973"/>
      <c r="BJ70" s="1973"/>
      <c r="BK70" s="1973"/>
      <c r="BL70" s="1973"/>
      <c r="BM70" s="1973"/>
      <c r="BN70" s="1973"/>
      <c r="BO70" s="1973"/>
      <c r="BP70" s="1973"/>
      <c r="BQ70" s="1973"/>
      <c r="BR70" s="1973"/>
      <c r="BS70" s="1973"/>
      <c r="BT70" s="1973"/>
    </row>
    <row r="71" spans="1:86" ht="39.950000000000003" customHeight="1">
      <c r="A71" s="1973" t="str">
        <f>"5/ External financing requirement is defined as the sum of current account deficit, amortization of medium and long-term total external debt, and short-term total external debt at the end of previous period."</f>
        <v>5/ External financing requirement is defined as the sum of current account deficit, amortization of medium and long-term total external debt, and short-term total external debt at the end of previous period.</v>
      </c>
      <c r="B71" s="1973"/>
      <c r="C71" s="1973"/>
      <c r="D71" s="1973"/>
      <c r="E71" s="1973"/>
      <c r="F71" s="1973"/>
      <c r="G71" s="1973"/>
      <c r="H71" s="1973"/>
      <c r="I71" s="1973"/>
      <c r="J71" s="1973"/>
      <c r="K71" s="1973"/>
      <c r="L71" s="1973"/>
      <c r="M71" s="1973"/>
      <c r="N71" s="1973"/>
      <c r="O71" s="1973"/>
      <c r="P71" s="1973"/>
      <c r="Q71" s="1973"/>
      <c r="R71" s="1973"/>
      <c r="S71" s="1973"/>
      <c r="T71" s="1973"/>
      <c r="U71" s="1973"/>
      <c r="V71" s="1973"/>
      <c r="W71" s="1973"/>
      <c r="X71" s="1973"/>
      <c r="Y71" s="1973"/>
      <c r="Z71" s="1973"/>
      <c r="AA71" s="1973"/>
      <c r="AB71" s="1973"/>
      <c r="AC71" s="1973"/>
      <c r="AD71" s="1973"/>
      <c r="AE71" s="1973"/>
      <c r="AF71" s="1973"/>
      <c r="AG71" s="1973"/>
      <c r="AH71" s="1973"/>
      <c r="AI71" s="1973"/>
      <c r="AJ71" s="1973"/>
      <c r="AK71" s="1973"/>
      <c r="AL71" s="1973"/>
      <c r="AM71" s="1973"/>
      <c r="AN71" s="1973"/>
      <c r="AO71" s="1973"/>
      <c r="AP71" s="1973"/>
      <c r="AQ71" s="1973"/>
      <c r="AR71" s="1973"/>
      <c r="AS71" s="1973"/>
      <c r="AT71" s="1973"/>
      <c r="AU71" s="1973"/>
      <c r="AV71" s="1973"/>
      <c r="AW71" s="1973"/>
      <c r="AX71" s="1973"/>
      <c r="AY71" s="1973"/>
      <c r="AZ71" s="1973"/>
      <c r="BA71" s="1973"/>
      <c r="BB71" s="1973"/>
      <c r="BC71" s="1973"/>
      <c r="BD71" s="1973"/>
      <c r="BE71" s="1973"/>
      <c r="BF71" s="1973"/>
      <c r="BG71" s="1973"/>
      <c r="BH71" s="1973"/>
      <c r="BI71" s="1973"/>
      <c r="BJ71" s="1973"/>
      <c r="BK71" s="1973"/>
      <c r="BL71" s="1973"/>
      <c r="BM71" s="1973"/>
      <c r="BN71" s="1973"/>
      <c r="BO71" s="1973"/>
      <c r="BP71" s="1973"/>
      <c r="BQ71" s="1973"/>
      <c r="BR71" s="1973"/>
      <c r="BS71" s="1973"/>
      <c r="BT71" s="1973"/>
    </row>
    <row r="72" spans="1:86" ht="15" customHeight="1">
      <c r="B72" s="1182"/>
      <c r="C72" s="1182"/>
      <c r="D72" s="1182"/>
      <c r="E72" s="1182"/>
      <c r="F72" s="1182"/>
      <c r="G72" s="1182"/>
      <c r="H72" s="1182"/>
      <c r="I72" s="1182"/>
      <c r="J72" s="1182"/>
      <c r="K72" s="1182"/>
      <c r="L72" s="1182"/>
      <c r="M72" s="1182"/>
      <c r="N72" s="1182"/>
      <c r="O72" s="1182"/>
      <c r="P72" s="1182"/>
      <c r="Q72" s="1182"/>
      <c r="R72" s="1182"/>
      <c r="S72" s="1182"/>
      <c r="T72" s="1182"/>
      <c r="U72" s="1182"/>
      <c r="V72" s="1182"/>
      <c r="W72" s="1182"/>
      <c r="X72" s="1182"/>
      <c r="Y72" s="1182"/>
      <c r="Z72" s="1182"/>
      <c r="AA72" s="1182"/>
      <c r="AB72" s="1182"/>
      <c r="AC72" s="1182"/>
      <c r="AD72" s="1182"/>
      <c r="AE72" s="1182"/>
      <c r="AF72" s="1182"/>
      <c r="AG72" s="1182"/>
      <c r="AH72" s="1182"/>
      <c r="AI72" s="1182"/>
      <c r="AJ72" s="1182"/>
      <c r="AK72" s="1182"/>
      <c r="AL72" s="1182"/>
      <c r="AM72" s="1182"/>
      <c r="AN72" s="1182"/>
      <c r="AO72" s="1182"/>
      <c r="AP72" s="1182"/>
      <c r="AQ72" s="1182"/>
      <c r="AR72" s="1182"/>
      <c r="AS72" s="1182"/>
      <c r="AT72" s="1182"/>
      <c r="AU72" s="1182"/>
      <c r="AV72" s="1182"/>
      <c r="AW72" s="1182"/>
      <c r="AX72" s="1182"/>
      <c r="AY72" s="1182"/>
      <c r="AZ72" s="1182"/>
      <c r="BA72" s="1182"/>
      <c r="BB72" s="1182"/>
      <c r="BC72" s="1182"/>
      <c r="BD72" s="1182"/>
      <c r="BE72" s="1182"/>
      <c r="BF72" s="1182"/>
      <c r="BG72" s="1182"/>
      <c r="BH72" s="1182"/>
      <c r="BI72" s="1182"/>
      <c r="BJ72" s="1182"/>
      <c r="BK72" s="1182"/>
      <c r="BL72" s="1182"/>
      <c r="BM72" s="1182"/>
      <c r="BN72" s="1182"/>
      <c r="BO72" s="1182"/>
      <c r="BP72" s="1182"/>
    </row>
    <row r="73" spans="1:86" ht="15" customHeight="1">
      <c r="B73" s="1182"/>
      <c r="C73" s="1182"/>
      <c r="D73" s="1182"/>
      <c r="E73" s="1182"/>
      <c r="F73" s="1182"/>
      <c r="G73" s="1182"/>
      <c r="H73" s="1182"/>
      <c r="I73" s="1182"/>
      <c r="J73" s="1182"/>
      <c r="K73" s="1182"/>
      <c r="L73" s="1182"/>
      <c r="M73" s="1182"/>
      <c r="N73" s="1182"/>
      <c r="O73" s="1182"/>
      <c r="P73" s="1182"/>
      <c r="Q73" s="1182"/>
      <c r="R73" s="1182"/>
      <c r="S73" s="1182"/>
      <c r="T73" s="1182"/>
      <c r="U73" s="1182"/>
      <c r="V73" s="1182"/>
      <c r="W73" s="1182"/>
      <c r="X73" s="1182"/>
      <c r="Y73" s="1182"/>
      <c r="Z73" s="1182"/>
      <c r="AA73" s="1182"/>
      <c r="AB73" s="1182"/>
      <c r="AC73" s="1182"/>
      <c r="AD73" s="1182"/>
      <c r="AE73" s="1182"/>
      <c r="AF73" s="1182"/>
      <c r="AG73" s="1182"/>
      <c r="AH73" s="1182"/>
      <c r="AI73" s="1182"/>
      <c r="AJ73" s="1182"/>
      <c r="AK73" s="1182"/>
      <c r="AL73" s="1182"/>
      <c r="AM73" s="1182"/>
      <c r="AN73" s="1182"/>
      <c r="AO73" s="1182"/>
      <c r="AP73" s="1182"/>
      <c r="AQ73" s="1182"/>
      <c r="AR73" s="1182"/>
      <c r="AS73" s="1182"/>
      <c r="AT73" s="1182"/>
      <c r="AU73" s="1182"/>
      <c r="AV73" s="1182"/>
      <c r="AW73" s="1182"/>
      <c r="AX73" s="1182"/>
      <c r="AY73" s="1182"/>
      <c r="AZ73" s="1182"/>
      <c r="BA73" s="1182"/>
      <c r="BB73" s="1182"/>
      <c r="BC73" s="1182"/>
      <c r="BD73" s="1182"/>
      <c r="BE73" s="1182"/>
      <c r="BF73" s="1182"/>
      <c r="BG73" s="1182"/>
      <c r="BH73" s="1182"/>
      <c r="BI73" s="1182"/>
      <c r="BJ73" s="1182"/>
      <c r="BK73" s="1182"/>
      <c r="BL73" s="1182"/>
      <c r="BM73" s="1182"/>
      <c r="BN73" s="1182"/>
      <c r="BO73" s="1182"/>
      <c r="BP73" s="1182"/>
    </row>
    <row r="74" spans="1:86" ht="15" customHeight="1">
      <c r="G74" s="980"/>
      <c r="H74" s="980"/>
      <c r="I74" s="957"/>
      <c r="J74" s="957"/>
      <c r="K74" s="957"/>
      <c r="L74" s="957"/>
      <c r="M74" s="957"/>
      <c r="N74" s="957"/>
      <c r="O74" s="957"/>
      <c r="P74" s="957"/>
      <c r="Q74" s="957"/>
      <c r="R74" s="957"/>
      <c r="S74" s="957"/>
      <c r="T74" s="957"/>
      <c r="U74" s="957"/>
      <c r="V74" s="957"/>
      <c r="W74" s="957"/>
      <c r="X74" s="957"/>
      <c r="Y74" s="957"/>
      <c r="Z74" s="957"/>
      <c r="AA74" s="957"/>
      <c r="AB74" s="957"/>
      <c r="AC74" s="957"/>
      <c r="AD74" s="957"/>
      <c r="AE74" s="957"/>
      <c r="AF74" s="957"/>
      <c r="AG74" s="957"/>
      <c r="AH74" s="957"/>
      <c r="AI74" s="957"/>
      <c r="AJ74" s="957"/>
      <c r="AK74" s="957"/>
      <c r="AL74" s="957"/>
      <c r="AM74" s="957"/>
      <c r="AN74" s="957"/>
      <c r="AO74" s="957"/>
      <c r="AP74" s="957"/>
      <c r="AQ74" s="957"/>
      <c r="AR74" s="957"/>
      <c r="AS74" s="957"/>
      <c r="AT74" s="957"/>
      <c r="AU74" s="957"/>
      <c r="AV74" s="957"/>
      <c r="AW74" s="957"/>
      <c r="AX74" s="957"/>
      <c r="AY74" s="957"/>
      <c r="AZ74" s="957"/>
      <c r="BA74" s="957"/>
      <c r="BB74" s="957"/>
      <c r="BC74" s="957"/>
      <c r="BD74" s="957"/>
      <c r="BE74" s="957"/>
      <c r="BF74" s="957"/>
      <c r="BG74" s="957"/>
      <c r="BH74" s="957"/>
      <c r="BI74" s="957"/>
      <c r="BJ74" s="957"/>
      <c r="BK74" s="957"/>
      <c r="BL74" s="957"/>
      <c r="BM74" s="957"/>
      <c r="BN74" s="957"/>
      <c r="BO74" s="957"/>
      <c r="BP74" s="957"/>
    </row>
    <row r="75" spans="1:86" ht="15" customHeight="1"/>
    <row r="76" spans="1:86" ht="15" customHeight="1"/>
    <row r="77" spans="1:86" ht="15" customHeight="1"/>
    <row r="78" spans="1:86" ht="15" customHeight="1"/>
    <row r="79" spans="1:86" ht="15" customHeight="1"/>
    <row r="80" spans="1:86" ht="15" customHeight="1">
      <c r="B80" s="1182"/>
      <c r="C80" s="1182"/>
      <c r="D80" s="1182"/>
      <c r="E80" s="1182"/>
      <c r="F80" s="1182"/>
      <c r="G80" s="1182"/>
      <c r="H80" s="1182"/>
      <c r="I80" s="1182"/>
      <c r="J80" s="1182"/>
      <c r="K80" s="1182"/>
      <c r="L80" s="1182"/>
      <c r="M80" s="1182"/>
      <c r="N80" s="1182"/>
      <c r="O80" s="1182"/>
      <c r="P80" s="1182"/>
      <c r="Q80" s="1182"/>
      <c r="R80" s="1182"/>
      <c r="S80" s="1182"/>
      <c r="T80" s="1182"/>
      <c r="U80" s="1182"/>
      <c r="V80" s="1182"/>
      <c r="W80" s="1182"/>
      <c r="X80" s="1182"/>
      <c r="Y80" s="1182"/>
      <c r="Z80" s="1182"/>
      <c r="AA80" s="1182"/>
      <c r="AB80" s="1182"/>
      <c r="AC80" s="1182"/>
      <c r="AD80" s="1182"/>
      <c r="AE80" s="1182"/>
      <c r="AF80" s="1182"/>
      <c r="AG80" s="1182"/>
      <c r="AH80" s="1182"/>
      <c r="AI80" s="1182"/>
      <c r="AJ80" s="1182"/>
      <c r="AK80" s="1182"/>
      <c r="AL80" s="1182"/>
      <c r="AM80" s="1182"/>
      <c r="AN80" s="1182"/>
      <c r="AO80" s="1182"/>
      <c r="AP80" s="1182"/>
      <c r="AQ80" s="1182"/>
      <c r="AR80" s="1182"/>
      <c r="AS80" s="1182"/>
      <c r="AT80" s="1182"/>
      <c r="AU80" s="1182"/>
      <c r="AV80" s="1182"/>
      <c r="AW80" s="1182"/>
      <c r="AX80" s="1182"/>
      <c r="AY80" s="1182"/>
      <c r="AZ80" s="1182"/>
      <c r="BA80" s="1182"/>
      <c r="BB80" s="1182"/>
      <c r="BC80" s="1182"/>
      <c r="BD80" s="1182"/>
      <c r="BE80" s="1182"/>
      <c r="BF80" s="1182"/>
      <c r="BG80" s="1182"/>
      <c r="BH80" s="1182"/>
      <c r="BI80" s="1182"/>
      <c r="BJ80" s="1182"/>
      <c r="BK80" s="1182"/>
      <c r="BL80" s="1182"/>
      <c r="BM80" s="1182"/>
      <c r="BN80" s="1182"/>
      <c r="BO80" s="1182"/>
      <c r="BP80" s="1182"/>
    </row>
    <row r="81" spans="2:92" ht="15" customHeight="1">
      <c r="B81" s="1182"/>
      <c r="C81" s="1182"/>
      <c r="D81" s="1182"/>
      <c r="E81" s="1182"/>
      <c r="F81" s="1182"/>
      <c r="G81" s="1182"/>
      <c r="H81" s="1182"/>
      <c r="I81" s="1182"/>
      <c r="J81" s="1182"/>
      <c r="K81" s="1182"/>
      <c r="L81" s="1182"/>
      <c r="M81" s="1182"/>
      <c r="N81" s="1182"/>
      <c r="O81" s="1182"/>
      <c r="P81" s="1182"/>
      <c r="Q81" s="1182"/>
      <c r="R81" s="1182"/>
      <c r="S81" s="1182"/>
      <c r="T81" s="1182"/>
      <c r="U81" s="1182"/>
      <c r="V81" s="1182"/>
      <c r="W81" s="1182"/>
      <c r="X81" s="1182"/>
      <c r="Y81" s="1182"/>
      <c r="Z81" s="1182"/>
      <c r="AA81" s="1182"/>
      <c r="AB81" s="1182"/>
      <c r="AC81" s="1182"/>
      <c r="AD81" s="1182"/>
      <c r="AE81" s="1182"/>
      <c r="AF81" s="1182"/>
      <c r="AG81" s="1182"/>
      <c r="AH81" s="1182"/>
      <c r="AI81" s="1182"/>
      <c r="AJ81" s="1182"/>
      <c r="AK81" s="1182"/>
      <c r="AL81" s="1182"/>
      <c r="AM81" s="1182"/>
      <c r="AN81" s="1182"/>
      <c r="AO81" s="1182"/>
      <c r="AP81" s="1182"/>
      <c r="AQ81" s="1182"/>
      <c r="AR81" s="1182"/>
      <c r="AS81" s="1182"/>
      <c r="AT81" s="1182"/>
      <c r="AU81" s="1182"/>
      <c r="AV81" s="1182"/>
      <c r="AW81" s="1182"/>
      <c r="AX81" s="1182"/>
      <c r="AY81" s="1182"/>
      <c r="AZ81" s="1182"/>
      <c r="BA81" s="1182"/>
      <c r="BB81" s="1182"/>
      <c r="BC81" s="1182"/>
      <c r="BD81" s="1182"/>
      <c r="BE81" s="1182"/>
      <c r="BF81" s="1182"/>
      <c r="BG81" s="1182"/>
      <c r="BH81" s="1182"/>
      <c r="BI81" s="1182"/>
      <c r="BJ81" s="1182"/>
      <c r="BK81" s="1182"/>
      <c r="BL81" s="1182"/>
      <c r="BM81" s="1182"/>
      <c r="BN81" s="1182"/>
      <c r="BO81" s="1182"/>
      <c r="BP81" s="1182"/>
    </row>
    <row r="88" spans="2:92">
      <c r="BS88" s="563"/>
      <c r="BT88" s="563"/>
      <c r="BU88" s="563"/>
      <c r="BV88" s="563"/>
      <c r="BW88" s="563"/>
      <c r="BX88" s="563"/>
      <c r="BY88" s="563"/>
      <c r="BZ88" s="563"/>
      <c r="CA88" s="563"/>
      <c r="CB88" s="563"/>
      <c r="CC88" s="563"/>
      <c r="CD88" s="563"/>
      <c r="CE88" s="563"/>
      <c r="CF88" s="563"/>
      <c r="CG88" s="563"/>
      <c r="CH88" s="563"/>
      <c r="CI88" s="563"/>
      <c r="CJ88" s="563"/>
      <c r="CK88" s="563"/>
      <c r="CL88" s="563"/>
      <c r="CM88" s="563"/>
      <c r="CN88" s="563"/>
    </row>
    <row r="89" spans="2:92" ht="17.25">
      <c r="BS89" s="577"/>
      <c r="BT89" s="577"/>
      <c r="BU89" s="577"/>
      <c r="BV89" s="577"/>
      <c r="BW89" s="577"/>
      <c r="BX89" s="577"/>
      <c r="BY89" s="577"/>
      <c r="BZ89" s="563"/>
      <c r="CA89" s="563"/>
      <c r="CB89" s="563"/>
      <c r="CC89" s="563"/>
      <c r="CD89" s="563"/>
      <c r="CE89" s="563"/>
      <c r="CF89" s="563"/>
      <c r="CG89" s="563"/>
      <c r="CH89" s="563"/>
      <c r="CI89" s="563"/>
      <c r="CJ89" s="563"/>
      <c r="CK89" s="563"/>
      <c r="CL89" s="563"/>
      <c r="CM89" s="563"/>
      <c r="CN89" s="563"/>
    </row>
    <row r="97" spans="89:103">
      <c r="CK97" s="1210"/>
      <c r="CL97" s="1210"/>
      <c r="CM97" s="1210"/>
      <c r="CN97" s="1210"/>
      <c r="CO97" s="614"/>
      <c r="CP97" s="614"/>
      <c r="CQ97" s="614"/>
      <c r="CR97" s="614"/>
      <c r="CS97" s="614"/>
      <c r="CT97" s="614"/>
      <c r="CU97" s="614"/>
      <c r="CV97" s="614"/>
      <c r="CW97" s="614"/>
      <c r="CX97" s="614"/>
      <c r="CY97" s="614"/>
    </row>
    <row r="113" spans="1:103" s="612" customFormat="1">
      <c r="A113" s="564"/>
      <c r="B113" s="564"/>
      <c r="C113" s="564"/>
      <c r="D113" s="564"/>
      <c r="E113" s="564"/>
      <c r="F113" s="564"/>
      <c r="G113" s="564"/>
      <c r="H113" s="564"/>
      <c r="I113" s="564"/>
      <c r="J113" s="564"/>
      <c r="K113" s="564"/>
      <c r="L113" s="564"/>
      <c r="M113" s="564"/>
      <c r="N113" s="564"/>
      <c r="O113" s="564"/>
      <c r="P113" s="564"/>
      <c r="Q113" s="564"/>
      <c r="R113" s="564"/>
      <c r="S113" s="564"/>
      <c r="T113" s="564"/>
      <c r="U113" s="564"/>
      <c r="V113" s="564"/>
      <c r="W113" s="564"/>
      <c r="X113" s="564"/>
      <c r="Y113" s="564"/>
      <c r="Z113" s="564"/>
      <c r="AA113" s="564"/>
      <c r="AB113" s="564"/>
      <c r="AC113" s="564"/>
      <c r="AD113" s="564"/>
      <c r="AE113" s="564"/>
      <c r="AF113" s="564"/>
      <c r="AG113" s="564"/>
      <c r="AH113" s="564"/>
      <c r="AI113" s="564"/>
      <c r="AJ113" s="564"/>
      <c r="AK113" s="564"/>
      <c r="AL113" s="564"/>
      <c r="AM113" s="564"/>
      <c r="AN113" s="564"/>
      <c r="AO113" s="564"/>
      <c r="AP113" s="564"/>
      <c r="AQ113" s="564"/>
      <c r="AR113" s="564"/>
      <c r="AS113" s="564"/>
      <c r="AT113" s="564"/>
      <c r="AU113" s="564"/>
      <c r="AV113" s="564"/>
      <c r="AW113" s="564"/>
      <c r="AX113" s="564"/>
      <c r="AY113" s="564"/>
      <c r="AZ113" s="564"/>
      <c r="BA113" s="564"/>
      <c r="BB113" s="564"/>
      <c r="BC113" s="564"/>
      <c r="BD113" s="564"/>
      <c r="BE113" s="564"/>
      <c r="BF113" s="564"/>
      <c r="BG113" s="564"/>
      <c r="BH113" s="564"/>
      <c r="BI113" s="564"/>
      <c r="BJ113" s="564"/>
      <c r="BK113" s="564"/>
      <c r="BL113" s="564"/>
      <c r="BM113" s="564"/>
      <c r="BN113" s="564"/>
      <c r="BO113" s="564"/>
      <c r="BP113" s="564"/>
      <c r="BQ113" s="564"/>
      <c r="BR113" s="564"/>
      <c r="BS113" s="564"/>
      <c r="BT113" s="564"/>
      <c r="BU113" s="564"/>
      <c r="BV113" s="564"/>
      <c r="BW113" s="564"/>
      <c r="BX113" s="564"/>
      <c r="BY113" s="564"/>
      <c r="BZ113" s="564"/>
      <c r="CA113" s="564"/>
      <c r="CB113" s="564"/>
      <c r="CC113" s="564"/>
      <c r="CD113" s="564"/>
      <c r="CE113" s="564"/>
      <c r="CF113" s="564"/>
      <c r="CG113" s="564"/>
      <c r="CH113" s="564"/>
      <c r="CI113" s="564"/>
      <c r="CJ113" s="564"/>
      <c r="CK113" s="564"/>
      <c r="CL113" s="564"/>
      <c r="CM113" s="564"/>
      <c r="CN113" s="564"/>
      <c r="CO113" s="564"/>
      <c r="CP113" s="564"/>
      <c r="CQ113" s="564"/>
      <c r="CR113" s="564"/>
      <c r="CS113" s="564"/>
      <c r="CT113" s="564"/>
      <c r="CU113" s="564"/>
      <c r="CV113" s="564"/>
      <c r="CW113" s="564"/>
      <c r="CX113" s="564"/>
      <c r="CY113" s="564"/>
    </row>
    <row r="114" spans="1:103" s="612" customFormat="1">
      <c r="A114" s="564"/>
      <c r="B114" s="564"/>
      <c r="C114" s="564"/>
      <c r="D114" s="564"/>
      <c r="E114" s="564"/>
      <c r="F114" s="564"/>
      <c r="G114" s="564"/>
      <c r="H114" s="564"/>
      <c r="I114" s="564"/>
      <c r="J114" s="564"/>
      <c r="K114" s="564"/>
      <c r="L114" s="564"/>
      <c r="M114" s="564"/>
      <c r="N114" s="564"/>
      <c r="O114" s="564"/>
      <c r="P114" s="564"/>
      <c r="Q114" s="564"/>
      <c r="R114" s="564"/>
      <c r="S114" s="564"/>
      <c r="T114" s="564"/>
      <c r="U114" s="564"/>
      <c r="V114" s="564"/>
      <c r="W114" s="564"/>
      <c r="X114" s="564"/>
      <c r="Y114" s="564"/>
      <c r="Z114" s="564"/>
      <c r="AA114" s="564"/>
      <c r="AB114" s="564"/>
      <c r="AC114" s="564"/>
      <c r="AD114" s="564"/>
      <c r="AE114" s="564"/>
      <c r="AF114" s="564"/>
      <c r="AG114" s="564"/>
      <c r="AH114" s="564"/>
      <c r="AI114" s="564"/>
      <c r="AJ114" s="564"/>
      <c r="AK114" s="564"/>
      <c r="AL114" s="564"/>
      <c r="AM114" s="564"/>
      <c r="AN114" s="564"/>
      <c r="AO114" s="564"/>
      <c r="AP114" s="564"/>
      <c r="AQ114" s="564"/>
      <c r="AR114" s="564"/>
      <c r="AS114" s="564"/>
      <c r="AT114" s="564"/>
      <c r="AU114" s="564"/>
      <c r="AV114" s="564"/>
      <c r="AW114" s="564"/>
      <c r="AX114" s="564"/>
      <c r="AY114" s="564"/>
      <c r="AZ114" s="564"/>
      <c r="BA114" s="564"/>
      <c r="BB114" s="564"/>
      <c r="BC114" s="564"/>
      <c r="BD114" s="564"/>
      <c r="BE114" s="564"/>
      <c r="BF114" s="564"/>
      <c r="BG114" s="564"/>
      <c r="BH114" s="564"/>
      <c r="BI114" s="564"/>
      <c r="BJ114" s="564"/>
      <c r="BK114" s="564"/>
      <c r="BL114" s="564"/>
      <c r="BM114" s="564"/>
      <c r="BN114" s="564"/>
      <c r="BO114" s="564"/>
      <c r="BP114" s="564"/>
      <c r="BQ114" s="564"/>
      <c r="BR114" s="564"/>
      <c r="BS114" s="564"/>
      <c r="BT114" s="564"/>
      <c r="BU114" s="564"/>
      <c r="BV114" s="564"/>
      <c r="BW114" s="564"/>
      <c r="BX114" s="564"/>
      <c r="BY114" s="564"/>
      <c r="BZ114" s="564"/>
      <c r="CA114" s="564"/>
      <c r="CB114" s="564"/>
      <c r="CC114" s="564"/>
      <c r="CD114" s="564"/>
      <c r="CE114" s="564"/>
      <c r="CF114" s="564"/>
      <c r="CG114" s="564"/>
      <c r="CH114" s="564"/>
      <c r="CI114" s="564"/>
      <c r="CJ114" s="564"/>
      <c r="CK114" s="564"/>
      <c r="CL114" s="564"/>
      <c r="CM114" s="564"/>
      <c r="CN114" s="564"/>
      <c r="CO114" s="564"/>
      <c r="CP114" s="564"/>
      <c r="CQ114" s="564"/>
      <c r="CR114" s="564"/>
      <c r="CS114" s="564"/>
      <c r="CT114" s="564"/>
      <c r="CU114" s="564"/>
      <c r="CV114" s="564"/>
      <c r="CW114" s="564"/>
      <c r="CX114" s="564"/>
      <c r="CY114" s="564"/>
    </row>
    <row r="115" spans="1:103" s="612" customFormat="1">
      <c r="A115" s="564"/>
      <c r="B115" s="564"/>
      <c r="C115" s="564"/>
      <c r="D115" s="564"/>
      <c r="E115" s="564"/>
      <c r="F115" s="564"/>
      <c r="G115" s="564"/>
      <c r="H115" s="564"/>
      <c r="I115" s="564"/>
      <c r="J115" s="564"/>
      <c r="K115" s="564"/>
      <c r="L115" s="564"/>
      <c r="M115" s="564"/>
      <c r="N115" s="564"/>
      <c r="O115" s="564"/>
      <c r="P115" s="564"/>
      <c r="Q115" s="564"/>
      <c r="R115" s="564"/>
      <c r="S115" s="564"/>
      <c r="T115" s="564"/>
      <c r="U115" s="564"/>
      <c r="V115" s="564"/>
      <c r="W115" s="564"/>
      <c r="X115" s="564"/>
      <c r="Y115" s="564"/>
      <c r="Z115" s="564"/>
      <c r="AA115" s="564"/>
      <c r="AB115" s="564"/>
      <c r="AC115" s="564"/>
      <c r="AD115" s="564"/>
      <c r="AE115" s="564"/>
      <c r="AF115" s="564"/>
      <c r="AG115" s="564"/>
      <c r="AH115" s="564"/>
      <c r="AI115" s="564"/>
      <c r="AJ115" s="564"/>
      <c r="AK115" s="564"/>
      <c r="AL115" s="564"/>
      <c r="AM115" s="564"/>
      <c r="AN115" s="564"/>
      <c r="AO115" s="564"/>
      <c r="AP115" s="564"/>
      <c r="AQ115" s="564"/>
      <c r="AR115" s="564"/>
      <c r="AS115" s="564"/>
      <c r="AT115" s="564"/>
      <c r="AU115" s="564"/>
      <c r="AV115" s="564"/>
      <c r="AW115" s="564"/>
      <c r="AX115" s="564"/>
      <c r="AY115" s="564"/>
      <c r="AZ115" s="564"/>
      <c r="BA115" s="564"/>
      <c r="BB115" s="564"/>
      <c r="BC115" s="564"/>
      <c r="BD115" s="564"/>
      <c r="BE115" s="564"/>
      <c r="BF115" s="564"/>
      <c r="BG115" s="564"/>
      <c r="BH115" s="564"/>
      <c r="BI115" s="564"/>
      <c r="BJ115" s="564"/>
      <c r="BK115" s="564"/>
      <c r="BL115" s="564"/>
      <c r="BM115" s="564"/>
      <c r="BN115" s="564"/>
      <c r="BO115" s="564"/>
      <c r="BP115" s="564"/>
      <c r="BQ115" s="564"/>
      <c r="BR115" s="564"/>
      <c r="BS115" s="564"/>
      <c r="BT115" s="564"/>
      <c r="BU115" s="564"/>
      <c r="BV115" s="564"/>
      <c r="BW115" s="564"/>
      <c r="BX115" s="564"/>
      <c r="BY115" s="564"/>
      <c r="BZ115" s="564"/>
      <c r="CA115" s="564"/>
      <c r="CB115" s="564"/>
      <c r="CC115" s="564"/>
      <c r="CD115" s="564"/>
      <c r="CE115" s="564"/>
      <c r="CF115" s="564"/>
      <c r="CG115" s="564"/>
      <c r="CH115" s="564"/>
      <c r="CI115" s="564"/>
      <c r="CJ115" s="564"/>
      <c r="CK115" s="564"/>
      <c r="CL115" s="564"/>
      <c r="CM115" s="564"/>
      <c r="CN115" s="564"/>
      <c r="CO115" s="564"/>
      <c r="CP115" s="564"/>
      <c r="CQ115" s="564"/>
      <c r="CR115" s="564"/>
      <c r="CS115" s="564"/>
      <c r="CT115" s="564"/>
      <c r="CU115" s="564"/>
      <c r="CV115" s="564"/>
      <c r="CW115" s="564"/>
      <c r="CX115" s="564"/>
      <c r="CY115" s="564"/>
    </row>
    <row r="116" spans="1:103" s="612" customFormat="1">
      <c r="A116" s="564"/>
      <c r="B116" s="564"/>
      <c r="C116" s="564"/>
      <c r="D116" s="564"/>
      <c r="E116" s="564"/>
      <c r="F116" s="564"/>
      <c r="G116" s="564"/>
      <c r="H116" s="564"/>
      <c r="I116" s="564"/>
      <c r="J116" s="564"/>
      <c r="K116" s="564"/>
      <c r="L116" s="564"/>
      <c r="M116" s="564"/>
      <c r="N116" s="564"/>
      <c r="O116" s="564"/>
      <c r="P116" s="564"/>
      <c r="Q116" s="564"/>
      <c r="R116" s="564"/>
      <c r="S116" s="564"/>
      <c r="T116" s="564"/>
      <c r="U116" s="564"/>
      <c r="V116" s="564"/>
      <c r="W116" s="564"/>
      <c r="X116" s="564"/>
      <c r="Y116" s="564"/>
      <c r="Z116" s="564"/>
      <c r="AA116" s="564"/>
      <c r="AB116" s="564"/>
      <c r="AC116" s="564"/>
      <c r="AD116" s="564"/>
      <c r="AE116" s="564"/>
      <c r="AF116" s="564"/>
      <c r="AG116" s="564"/>
      <c r="AH116" s="564"/>
      <c r="AI116" s="564"/>
      <c r="AJ116" s="564"/>
      <c r="AK116" s="564"/>
      <c r="AL116" s="564"/>
      <c r="AM116" s="564"/>
      <c r="AN116" s="564"/>
      <c r="AO116" s="564"/>
      <c r="AP116" s="564"/>
      <c r="AQ116" s="564"/>
      <c r="AR116" s="564"/>
      <c r="AS116" s="564"/>
      <c r="AT116" s="564"/>
      <c r="AU116" s="564"/>
      <c r="AV116" s="564"/>
      <c r="AW116" s="564"/>
      <c r="AX116" s="564"/>
      <c r="AY116" s="564"/>
      <c r="AZ116" s="564"/>
      <c r="BA116" s="564"/>
      <c r="BB116" s="564"/>
      <c r="BC116" s="564"/>
      <c r="BD116" s="564"/>
      <c r="BE116" s="564"/>
      <c r="BF116" s="564"/>
      <c r="BG116" s="564"/>
      <c r="BH116" s="564"/>
      <c r="BI116" s="564"/>
      <c r="BJ116" s="564"/>
      <c r="BK116" s="564"/>
      <c r="BL116" s="564"/>
      <c r="BM116" s="564"/>
      <c r="BN116" s="564"/>
      <c r="BO116" s="564"/>
      <c r="BP116" s="564"/>
      <c r="BQ116" s="564"/>
      <c r="BR116" s="564"/>
      <c r="BS116" s="564"/>
      <c r="BT116" s="564"/>
      <c r="BU116" s="564"/>
      <c r="BV116" s="564"/>
      <c r="BW116" s="564"/>
      <c r="BX116" s="564"/>
      <c r="BY116" s="564"/>
      <c r="BZ116" s="564"/>
      <c r="CA116" s="564"/>
      <c r="CB116" s="564"/>
      <c r="CC116" s="564"/>
      <c r="CD116" s="564"/>
      <c r="CE116" s="564"/>
      <c r="CF116" s="564"/>
      <c r="CG116" s="564"/>
      <c r="CH116" s="564"/>
      <c r="CI116" s="564"/>
      <c r="CJ116" s="564"/>
      <c r="CK116" s="564"/>
      <c r="CL116" s="564"/>
      <c r="CM116" s="564"/>
      <c r="CN116" s="564"/>
      <c r="CO116" s="564"/>
      <c r="CP116" s="564"/>
      <c r="CQ116" s="564"/>
      <c r="CR116" s="564"/>
      <c r="CS116" s="564"/>
      <c r="CT116" s="564"/>
      <c r="CU116" s="564"/>
      <c r="CV116" s="564"/>
      <c r="CW116" s="564"/>
      <c r="CX116" s="564"/>
      <c r="CY116" s="564"/>
    </row>
    <row r="117" spans="1:103" s="612" customFormat="1">
      <c r="A117" s="564"/>
      <c r="B117" s="564"/>
      <c r="C117" s="564"/>
      <c r="D117" s="564"/>
      <c r="E117" s="564"/>
      <c r="F117" s="564"/>
      <c r="G117" s="564"/>
      <c r="H117" s="564"/>
      <c r="I117" s="564"/>
      <c r="J117" s="564"/>
      <c r="K117" s="564"/>
      <c r="L117" s="564"/>
      <c r="M117" s="564"/>
      <c r="N117" s="564"/>
      <c r="O117" s="564"/>
      <c r="P117" s="564"/>
      <c r="Q117" s="564"/>
      <c r="R117" s="564"/>
      <c r="S117" s="564"/>
      <c r="T117" s="564"/>
      <c r="U117" s="564"/>
      <c r="V117" s="564"/>
      <c r="W117" s="564"/>
      <c r="X117" s="564"/>
      <c r="Y117" s="564"/>
      <c r="Z117" s="564"/>
      <c r="AA117" s="564"/>
      <c r="AB117" s="564"/>
      <c r="AC117" s="564"/>
      <c r="AD117" s="564"/>
      <c r="AE117" s="564"/>
      <c r="AF117" s="564"/>
      <c r="AG117" s="564"/>
      <c r="AH117" s="564"/>
      <c r="AI117" s="564"/>
      <c r="AJ117" s="564"/>
      <c r="AK117" s="564"/>
      <c r="AL117" s="564"/>
      <c r="AM117" s="564"/>
      <c r="AN117" s="564"/>
      <c r="AO117" s="564"/>
      <c r="AP117" s="564"/>
      <c r="AQ117" s="564"/>
      <c r="AR117" s="564"/>
      <c r="AS117" s="564"/>
      <c r="AT117" s="564"/>
      <c r="AU117" s="564"/>
      <c r="AV117" s="564"/>
      <c r="AW117" s="564"/>
      <c r="AX117" s="564"/>
      <c r="AY117" s="564"/>
      <c r="AZ117" s="564"/>
      <c r="BA117" s="564"/>
      <c r="BB117" s="564"/>
      <c r="BC117" s="564"/>
      <c r="BD117" s="564"/>
      <c r="BE117" s="564"/>
      <c r="BF117" s="564"/>
      <c r="BG117" s="564"/>
      <c r="BH117" s="564"/>
      <c r="BI117" s="564"/>
      <c r="BJ117" s="564"/>
      <c r="BK117" s="564"/>
      <c r="BL117" s="564"/>
      <c r="BM117" s="564"/>
      <c r="BN117" s="564"/>
      <c r="BO117" s="564"/>
      <c r="BP117" s="564"/>
      <c r="BQ117" s="564"/>
      <c r="BR117" s="564"/>
      <c r="BS117" s="564"/>
      <c r="BT117" s="564"/>
      <c r="BU117" s="564"/>
      <c r="BV117" s="564"/>
      <c r="BW117" s="564"/>
      <c r="BX117" s="564"/>
      <c r="BY117" s="564"/>
      <c r="BZ117" s="564"/>
      <c r="CA117" s="564"/>
      <c r="CB117" s="564"/>
      <c r="CC117" s="564"/>
      <c r="CD117" s="564"/>
      <c r="CE117" s="564"/>
      <c r="CF117" s="564"/>
      <c r="CG117" s="564"/>
      <c r="CH117" s="564"/>
      <c r="CI117" s="564"/>
      <c r="CJ117" s="564"/>
      <c r="CK117" s="564"/>
      <c r="CL117" s="564"/>
      <c r="CM117" s="564"/>
      <c r="CN117" s="564"/>
      <c r="CO117" s="564"/>
      <c r="CP117" s="564"/>
      <c r="CQ117" s="564"/>
      <c r="CR117" s="564"/>
      <c r="CS117" s="564"/>
      <c r="CT117" s="564"/>
      <c r="CU117" s="564"/>
      <c r="CV117" s="564"/>
      <c r="CW117" s="564"/>
      <c r="CX117" s="564"/>
      <c r="CY117" s="564"/>
    </row>
    <row r="118" spans="1:103" s="612" customFormat="1">
      <c r="A118" s="564"/>
      <c r="B118" s="564"/>
      <c r="C118" s="564"/>
      <c r="D118" s="564"/>
      <c r="E118" s="564"/>
      <c r="F118" s="564"/>
      <c r="G118" s="564"/>
      <c r="H118" s="564"/>
      <c r="I118" s="564"/>
      <c r="J118" s="564"/>
      <c r="K118" s="564"/>
      <c r="L118" s="564"/>
      <c r="M118" s="564"/>
      <c r="N118" s="564"/>
      <c r="O118" s="564"/>
      <c r="P118" s="564"/>
      <c r="Q118" s="564"/>
      <c r="R118" s="564"/>
      <c r="S118" s="564"/>
      <c r="T118" s="564"/>
      <c r="U118" s="564"/>
      <c r="V118" s="564"/>
      <c r="W118" s="564"/>
      <c r="X118" s="564"/>
      <c r="Y118" s="564"/>
      <c r="Z118" s="564"/>
      <c r="AA118" s="564"/>
      <c r="AB118" s="564"/>
      <c r="AC118" s="564"/>
      <c r="AD118" s="564"/>
      <c r="AE118" s="564"/>
      <c r="AF118" s="564"/>
      <c r="AG118" s="564"/>
      <c r="AH118" s="564"/>
      <c r="AI118" s="564"/>
      <c r="AJ118" s="564"/>
      <c r="AK118" s="564"/>
      <c r="AL118" s="564"/>
      <c r="AM118" s="564"/>
      <c r="AN118" s="564"/>
      <c r="AO118" s="564"/>
      <c r="AP118" s="564"/>
      <c r="AQ118" s="564"/>
      <c r="AR118" s="564"/>
      <c r="AS118" s="564"/>
      <c r="AT118" s="564"/>
      <c r="AU118" s="564"/>
      <c r="AV118" s="564"/>
      <c r="AW118" s="564"/>
      <c r="AX118" s="564"/>
      <c r="AY118" s="564"/>
      <c r="AZ118" s="564"/>
      <c r="BA118" s="564"/>
      <c r="BB118" s="564"/>
      <c r="BC118" s="564"/>
      <c r="BD118" s="564"/>
      <c r="BE118" s="564"/>
      <c r="BF118" s="564"/>
      <c r="BG118" s="564"/>
      <c r="BH118" s="564"/>
      <c r="BI118" s="564"/>
      <c r="BJ118" s="564"/>
      <c r="BK118" s="564"/>
      <c r="BL118" s="564"/>
      <c r="BM118" s="564"/>
      <c r="BN118" s="564"/>
      <c r="BO118" s="564"/>
      <c r="BP118" s="564"/>
      <c r="BQ118" s="564"/>
      <c r="BR118" s="564"/>
      <c r="BS118" s="564"/>
      <c r="BT118" s="564"/>
      <c r="BU118" s="564"/>
      <c r="BV118" s="564"/>
      <c r="BW118" s="564"/>
      <c r="BX118" s="564"/>
      <c r="BY118" s="564"/>
      <c r="BZ118" s="564"/>
      <c r="CA118" s="564"/>
      <c r="CB118" s="564"/>
      <c r="CC118" s="564"/>
      <c r="CD118" s="564"/>
      <c r="CE118" s="564"/>
      <c r="CF118" s="564"/>
      <c r="CG118" s="564"/>
      <c r="CH118" s="564"/>
      <c r="CI118" s="564"/>
      <c r="CJ118" s="564"/>
      <c r="CK118" s="564"/>
      <c r="CL118" s="564"/>
      <c r="CM118" s="564"/>
      <c r="CN118" s="564"/>
      <c r="CO118" s="564"/>
      <c r="CP118" s="564"/>
      <c r="CQ118" s="564"/>
      <c r="CR118" s="564"/>
      <c r="CS118" s="564"/>
      <c r="CT118" s="564"/>
      <c r="CU118" s="564"/>
      <c r="CV118" s="564"/>
      <c r="CW118" s="564"/>
      <c r="CX118" s="564"/>
      <c r="CY118" s="564"/>
    </row>
    <row r="125" spans="1:103" s="612" customFormat="1">
      <c r="A125" s="564"/>
      <c r="B125" s="564"/>
      <c r="C125" s="564"/>
      <c r="D125" s="564"/>
      <c r="E125" s="564"/>
      <c r="F125" s="564"/>
      <c r="G125" s="564"/>
      <c r="H125" s="564"/>
      <c r="I125" s="564"/>
      <c r="J125" s="564"/>
      <c r="K125" s="564"/>
      <c r="L125" s="564"/>
      <c r="M125" s="564"/>
      <c r="N125" s="564"/>
      <c r="O125" s="564"/>
      <c r="P125" s="564"/>
      <c r="Q125" s="564"/>
      <c r="R125" s="564"/>
      <c r="S125" s="564"/>
      <c r="T125" s="564"/>
      <c r="U125" s="564"/>
      <c r="V125" s="564"/>
      <c r="W125" s="564"/>
      <c r="X125" s="564"/>
      <c r="Y125" s="564"/>
      <c r="Z125" s="564"/>
      <c r="AA125" s="564"/>
      <c r="AB125" s="564"/>
      <c r="AC125" s="564"/>
      <c r="AD125" s="564"/>
      <c r="AE125" s="564"/>
      <c r="AF125" s="564"/>
      <c r="AG125" s="564"/>
      <c r="AH125" s="564"/>
      <c r="AI125" s="564"/>
      <c r="AJ125" s="564"/>
      <c r="AK125" s="564"/>
      <c r="AL125" s="564"/>
      <c r="AM125" s="564"/>
      <c r="AN125" s="564"/>
      <c r="AO125" s="564"/>
      <c r="AP125" s="564"/>
      <c r="AQ125" s="564"/>
      <c r="AR125" s="564"/>
      <c r="AS125" s="564"/>
      <c r="AT125" s="564"/>
      <c r="AU125" s="564"/>
      <c r="AV125" s="564"/>
      <c r="AW125" s="564"/>
      <c r="AX125" s="564"/>
      <c r="AY125" s="564"/>
      <c r="AZ125" s="564"/>
      <c r="BA125" s="564"/>
      <c r="BB125" s="564"/>
      <c r="BC125" s="564"/>
      <c r="BD125" s="564"/>
      <c r="BE125" s="564"/>
      <c r="BF125" s="564"/>
      <c r="BG125" s="564"/>
      <c r="BH125" s="564"/>
      <c r="BI125" s="564"/>
      <c r="BJ125" s="564"/>
      <c r="BK125" s="564"/>
      <c r="BL125" s="564"/>
      <c r="BM125" s="564"/>
      <c r="BN125" s="564"/>
      <c r="BO125" s="564"/>
      <c r="BP125" s="564"/>
      <c r="BQ125" s="564"/>
      <c r="BR125" s="564"/>
      <c r="BS125" s="564"/>
      <c r="BT125" s="564"/>
      <c r="BU125" s="564"/>
      <c r="BV125" s="564"/>
      <c r="BW125" s="564"/>
      <c r="BX125" s="564"/>
      <c r="BY125" s="564"/>
      <c r="BZ125" s="564"/>
      <c r="CA125" s="564"/>
      <c r="CB125" s="564"/>
      <c r="CC125" s="564"/>
      <c r="CD125" s="564"/>
      <c r="CE125" s="564"/>
      <c r="CF125" s="564"/>
      <c r="CG125" s="564"/>
      <c r="CH125" s="564"/>
      <c r="CI125" s="564"/>
      <c r="CJ125" s="564"/>
      <c r="CK125" s="564"/>
      <c r="CL125" s="564"/>
      <c r="CM125" s="564"/>
      <c r="CN125" s="564"/>
      <c r="CO125" s="564"/>
      <c r="CP125" s="564"/>
      <c r="CQ125" s="564"/>
      <c r="CR125" s="564"/>
      <c r="CS125" s="564"/>
      <c r="CT125" s="564"/>
      <c r="CU125" s="564"/>
      <c r="CV125" s="564"/>
      <c r="CW125" s="564"/>
      <c r="CX125" s="564"/>
      <c r="CY125" s="564"/>
    </row>
    <row r="127" spans="1:103" s="612" customFormat="1">
      <c r="A127" s="564"/>
      <c r="B127" s="564"/>
      <c r="C127" s="564"/>
      <c r="D127" s="564"/>
      <c r="E127" s="564"/>
      <c r="F127" s="564"/>
      <c r="G127" s="564"/>
      <c r="H127" s="564"/>
      <c r="I127" s="564"/>
      <c r="J127" s="564"/>
      <c r="K127" s="564"/>
      <c r="L127" s="564"/>
      <c r="M127" s="564"/>
      <c r="N127" s="564"/>
      <c r="O127" s="564"/>
      <c r="P127" s="564"/>
      <c r="Q127" s="564"/>
      <c r="R127" s="564"/>
      <c r="S127" s="564"/>
      <c r="T127" s="564"/>
      <c r="U127" s="564"/>
      <c r="V127" s="564"/>
      <c r="W127" s="564"/>
      <c r="X127" s="564"/>
      <c r="Y127" s="564"/>
      <c r="Z127" s="564"/>
      <c r="AA127" s="564"/>
      <c r="AB127" s="564"/>
      <c r="AC127" s="564"/>
      <c r="AD127" s="564"/>
      <c r="AE127" s="564"/>
      <c r="AF127" s="564"/>
      <c r="AG127" s="564"/>
      <c r="AH127" s="564"/>
      <c r="AI127" s="564"/>
      <c r="AJ127" s="564"/>
      <c r="AK127" s="564"/>
      <c r="AL127" s="564"/>
      <c r="AM127" s="564"/>
      <c r="AN127" s="564"/>
      <c r="AO127" s="564"/>
      <c r="AP127" s="564"/>
      <c r="AQ127" s="564"/>
      <c r="AR127" s="564"/>
      <c r="AS127" s="564"/>
      <c r="AT127" s="564"/>
      <c r="AU127" s="564"/>
      <c r="AV127" s="564"/>
      <c r="AW127" s="564"/>
      <c r="AX127" s="564"/>
      <c r="AY127" s="564"/>
      <c r="AZ127" s="564"/>
      <c r="BA127" s="564"/>
      <c r="BB127" s="564"/>
      <c r="BC127" s="564"/>
      <c r="BD127" s="564"/>
      <c r="BE127" s="564"/>
      <c r="BF127" s="564"/>
      <c r="BG127" s="564"/>
      <c r="BH127" s="564"/>
      <c r="BI127" s="564"/>
      <c r="BJ127" s="564"/>
      <c r="BK127" s="564"/>
      <c r="BL127" s="564"/>
      <c r="BM127" s="564"/>
      <c r="BN127" s="564"/>
      <c r="BO127" s="564"/>
      <c r="BP127" s="564"/>
      <c r="BQ127" s="564"/>
      <c r="BR127" s="564"/>
      <c r="BS127" s="564"/>
      <c r="BT127" s="564"/>
      <c r="BU127" s="564"/>
      <c r="BV127" s="564"/>
      <c r="BW127" s="564"/>
      <c r="BX127" s="564"/>
      <c r="BY127" s="564"/>
      <c r="BZ127" s="564"/>
      <c r="CA127" s="564"/>
      <c r="CB127" s="564"/>
      <c r="CC127" s="564"/>
      <c r="CD127" s="564"/>
      <c r="CE127" s="564"/>
      <c r="CF127" s="564"/>
      <c r="CG127" s="564"/>
      <c r="CH127" s="564"/>
      <c r="CI127" s="564"/>
      <c r="CJ127" s="564"/>
      <c r="CK127" s="564"/>
      <c r="CL127" s="564"/>
      <c r="CM127" s="564"/>
      <c r="CN127" s="564"/>
      <c r="CO127" s="564"/>
      <c r="CP127" s="564"/>
      <c r="CQ127" s="564"/>
      <c r="CR127" s="564"/>
      <c r="CS127" s="564"/>
      <c r="CT127" s="564"/>
      <c r="CU127" s="564"/>
      <c r="CV127" s="564"/>
      <c r="CW127" s="564"/>
      <c r="CX127" s="564"/>
      <c r="CY127" s="564"/>
    </row>
  </sheetData>
  <mergeCells count="35">
    <mergeCell ref="A71:BT71"/>
    <mergeCell ref="A70:BT70"/>
    <mergeCell ref="A67:BT67"/>
    <mergeCell ref="A69:BT69"/>
    <mergeCell ref="I15:T18"/>
    <mergeCell ref="D7:G9"/>
    <mergeCell ref="BQ7:BR10"/>
    <mergeCell ref="I7:T10"/>
    <mergeCell ref="U7:AF10"/>
    <mergeCell ref="A68:BT68"/>
    <mergeCell ref="AG15:AR18"/>
    <mergeCell ref="BE15:BP18"/>
    <mergeCell ref="AS15:BD18"/>
    <mergeCell ref="U11:AF14"/>
    <mergeCell ref="AG11:AR14"/>
    <mergeCell ref="AS11:BD14"/>
    <mergeCell ref="BE11:BP14"/>
    <mergeCell ref="AS7:BD10"/>
    <mergeCell ref="BE7:BP10"/>
    <mergeCell ref="A2:BT3"/>
    <mergeCell ref="A66:BT66"/>
    <mergeCell ref="AG7:AR10"/>
    <mergeCell ref="U15:AF18"/>
    <mergeCell ref="I11:T14"/>
    <mergeCell ref="BQ15:BR18"/>
    <mergeCell ref="B5:BS5"/>
    <mergeCell ref="BD42:BS42"/>
    <mergeCell ref="B20:BS20"/>
    <mergeCell ref="B21:BS21"/>
    <mergeCell ref="D16:G17"/>
    <mergeCell ref="Q42:AJ42"/>
    <mergeCell ref="BQ11:BR14"/>
    <mergeCell ref="A41:BT41"/>
    <mergeCell ref="B40:BS40"/>
    <mergeCell ref="D11:G14"/>
  </mergeCells>
  <conditionalFormatting sqref="I15">
    <cfRule type="expression" dxfId="59" priority="85">
      <formula>DPVMarket=3</formula>
    </cfRule>
    <cfRule type="expression" dxfId="58" priority="86">
      <formula>DPVMarket=2</formula>
    </cfRule>
    <cfRule type="expression" dxfId="57" priority="87">
      <formula>DPVMarket=1</formula>
    </cfRule>
    <cfRule type="expression" dxfId="56" priority="88">
      <formula>DPVMarket=0</formula>
    </cfRule>
  </conditionalFormatting>
  <conditionalFormatting sqref="I11">
    <cfRule type="expression" dxfId="55" priority="81">
      <formula>GFNGrowth=3</formula>
    </cfRule>
    <cfRule type="expression" dxfId="54" priority="82">
      <formula>GFNGrowth=2</formula>
    </cfRule>
    <cfRule type="expression" dxfId="53" priority="83">
      <formula>GFNGrowth=1</formula>
    </cfRule>
    <cfRule type="expression" dxfId="52" priority="84">
      <formula>GFNGrowth=0</formula>
    </cfRule>
  </conditionalFormatting>
  <conditionalFormatting sqref="I7">
    <cfRule type="expression" dxfId="51" priority="73">
      <formula>DebtGrowth=3</formula>
    </cfRule>
    <cfRule type="expression" dxfId="50" priority="74">
      <formula>DebtGrowth=2</formula>
    </cfRule>
    <cfRule type="expression" dxfId="49" priority="75">
      <formula>DebtGrowth=1</formula>
    </cfRule>
    <cfRule type="expression" dxfId="48" priority="76">
      <formula>DebtGrowth=0</formula>
    </cfRule>
  </conditionalFormatting>
  <conditionalFormatting sqref="AS7">
    <cfRule type="expression" dxfId="47" priority="93">
      <formula>DebtExchange=3</formula>
    </cfRule>
    <cfRule type="expression" dxfId="46" priority="94">
      <formula>DebtExchange=2</formula>
    </cfRule>
    <cfRule type="expression" dxfId="45" priority="95">
      <formula>DebtExchange=1</formula>
    </cfRule>
    <cfRule type="expression" dxfId="44" priority="96">
      <formula>DebtExchange=0</formula>
    </cfRule>
  </conditionalFormatting>
  <conditionalFormatting sqref="AG7">
    <cfRule type="expression" dxfId="43" priority="105">
      <formula>DebtInterest=3</formula>
    </cfRule>
    <cfRule type="expression" dxfId="42" priority="106">
      <formula>DebtInterest=2</formula>
    </cfRule>
    <cfRule type="expression" dxfId="41" priority="107">
      <formula>DebtInterest=1</formula>
    </cfRule>
    <cfRule type="expression" dxfId="40" priority="108">
      <formula>DebtInterest=0</formula>
    </cfRule>
  </conditionalFormatting>
  <conditionalFormatting sqref="BE7">
    <cfRule type="expression" dxfId="39" priority="121">
      <formula>DebtContingent=3</formula>
    </cfRule>
    <cfRule type="expression" dxfId="38" priority="122">
      <formula>DebtContingent=2</formula>
    </cfRule>
    <cfRule type="expression" dxfId="37" priority="123">
      <formula>DebtContingent=1</formula>
    </cfRule>
    <cfRule type="expression" dxfId="36" priority="124">
      <formula>DebtContingent=0</formula>
    </cfRule>
  </conditionalFormatting>
  <conditionalFormatting sqref="U7">
    <cfRule type="expression" dxfId="35" priority="137">
      <formula>DebtPrimary=3</formula>
    </cfRule>
    <cfRule type="expression" dxfId="34" priority="138">
      <formula>DebtPrimary=2</formula>
    </cfRule>
    <cfRule type="expression" dxfId="33" priority="139">
      <formula>DebtPrimary=1</formula>
    </cfRule>
    <cfRule type="expression" dxfId="32" priority="140">
      <formula>DebtPrimary=0</formula>
    </cfRule>
  </conditionalFormatting>
  <conditionalFormatting sqref="AS11">
    <cfRule type="expression" dxfId="31" priority="205">
      <formula>GFNExchange=3</formula>
    </cfRule>
    <cfRule type="expression" dxfId="30" priority="206">
      <formula>GFNExchange=2</formula>
    </cfRule>
    <cfRule type="expression" dxfId="29" priority="207">
      <formula>GFNExchange=1</formula>
    </cfRule>
    <cfRule type="expression" dxfId="28" priority="208">
      <formula>GFNExchange=0</formula>
    </cfRule>
  </conditionalFormatting>
  <conditionalFormatting sqref="AG11">
    <cfRule type="expression" dxfId="27" priority="213">
      <formula>GFNInterest=3</formula>
    </cfRule>
    <cfRule type="expression" dxfId="26" priority="214">
      <formula>GFNInterest=2</formula>
    </cfRule>
    <cfRule type="expression" dxfId="25" priority="215">
      <formula>GFNInterest=1</formula>
    </cfRule>
    <cfRule type="expression" dxfId="24" priority="216">
      <formula>GFNInterest=0</formula>
    </cfRule>
  </conditionalFormatting>
  <conditionalFormatting sqref="BE11">
    <cfRule type="expression" dxfId="23" priority="237">
      <formula>GFNContingent=3</formula>
    </cfRule>
    <cfRule type="expression" dxfId="22" priority="238">
      <formula>GFNContingent=2</formula>
    </cfRule>
    <cfRule type="expression" dxfId="21" priority="239">
      <formula>GFNContingent=1</formula>
    </cfRule>
    <cfRule type="expression" dxfId="20" priority="240">
      <formula>GFNContingent=0</formula>
    </cfRule>
  </conditionalFormatting>
  <conditionalFormatting sqref="AG15">
    <cfRule type="expression" dxfId="19" priority="241">
      <formula>DPVShort=3</formula>
    </cfRule>
    <cfRule type="expression" dxfId="18" priority="242">
      <formula>DPVShort=2</formula>
    </cfRule>
    <cfRule type="expression" dxfId="17" priority="243">
      <formula>DPVShort=1</formula>
    </cfRule>
    <cfRule type="expression" dxfId="16" priority="244">
      <formula>DPVShort=0</formula>
    </cfRule>
  </conditionalFormatting>
  <conditionalFormatting sqref="U11">
    <cfRule type="expression" dxfId="15" priority="249">
      <formula>GFNPrimary=3</formula>
    </cfRule>
    <cfRule type="expression" dxfId="14" priority="250">
      <formula>GFNPrimary=2</formula>
    </cfRule>
    <cfRule type="expression" dxfId="13" priority="251">
      <formula>GFNPrimary=1</formula>
    </cfRule>
    <cfRule type="expression" dxfId="12" priority="252">
      <formula>GFNPrimary=0</formula>
    </cfRule>
  </conditionalFormatting>
  <conditionalFormatting sqref="BE15">
    <cfRule type="expression" dxfId="11" priority="253">
      <formula>DPVForex=3</formula>
    </cfRule>
    <cfRule type="expression" dxfId="10" priority="254">
      <formula>DPVForex=2</formula>
    </cfRule>
    <cfRule type="expression" dxfId="9" priority="255">
      <formula>DPVForex=1</formula>
    </cfRule>
    <cfRule type="expression" dxfId="8" priority="256">
      <formula>DPVForex=0</formula>
    </cfRule>
  </conditionalFormatting>
  <conditionalFormatting sqref="U15">
    <cfRule type="expression" dxfId="7" priority="257">
      <formula>DPVExternal=3</formula>
    </cfRule>
    <cfRule type="expression" dxfId="6" priority="258">
      <formula>DPVExternal=2</formula>
    </cfRule>
    <cfRule type="expression" dxfId="5" priority="259">
      <formula>DPVExternal=1</formula>
    </cfRule>
    <cfRule type="expression" dxfId="4" priority="260">
      <formula>DPVExternal=0</formula>
    </cfRule>
  </conditionalFormatting>
  <conditionalFormatting sqref="AS15">
    <cfRule type="expression" dxfId="3" priority="1">
      <formula>DPVNonRes=3</formula>
    </cfRule>
    <cfRule type="expression" dxfId="2" priority="2">
      <formula>DPVNonRes=2</formula>
    </cfRule>
    <cfRule type="expression" dxfId="1" priority="3">
      <formula>DPVNonRes=1</formula>
    </cfRule>
    <cfRule type="expression" dxfId="0" priority="4">
      <formula>DPVNonRes=0</formula>
    </cfRule>
  </conditionalFormatting>
  <pageMargins left="0.7" right="0.7" top="0.75" bottom="0.75" header="0.3" footer="0.3"/>
  <pageSetup scale="51" orientation="portrait" r:id="rId1"/>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6">
    <tabColor theme="8" tint="0.39997558519241921"/>
  </sheetPr>
  <dimension ref="A1:AH291"/>
  <sheetViews>
    <sheetView zoomScale="80" zoomScaleNormal="80" workbookViewId="0"/>
  </sheetViews>
  <sheetFormatPr defaultColWidth="9.140625" defaultRowHeight="15"/>
  <cols>
    <col min="1" max="1" width="79.28515625" style="6" customWidth="1"/>
    <col min="2" max="2" width="13.7109375" style="281" customWidth="1"/>
    <col min="3" max="27" width="13.7109375" style="6" customWidth="1"/>
    <col min="28" max="16384" width="9.140625" style="6"/>
  </cols>
  <sheetData>
    <row r="1" spans="1:18" s="25" customFormat="1" ht="6" customHeight="1" thickBot="1">
      <c r="D1" s="26"/>
      <c r="E1" s="26"/>
      <c r="F1" s="26"/>
      <c r="G1" s="26"/>
      <c r="H1" s="26"/>
      <c r="I1" s="26"/>
      <c r="K1" s="27"/>
      <c r="L1" s="27"/>
      <c r="M1" s="27"/>
      <c r="N1" s="27"/>
      <c r="O1" s="27"/>
      <c r="P1" s="27"/>
      <c r="Q1" s="27"/>
      <c r="R1" s="27"/>
    </row>
    <row r="2" spans="1:18" s="25" customFormat="1" ht="33" customHeight="1" thickBot="1">
      <c r="A2" s="117" t="s">
        <v>104</v>
      </c>
      <c r="B2" s="53" t="s">
        <v>16</v>
      </c>
      <c r="C2" s="26"/>
      <c r="D2" s="26"/>
      <c r="E2" s="26"/>
      <c r="F2" s="26"/>
      <c r="G2" s="26"/>
      <c r="I2" s="27"/>
      <c r="J2" s="27"/>
      <c r="K2" s="27"/>
      <c r="L2" s="27"/>
      <c r="M2" s="27"/>
      <c r="N2" s="27"/>
      <c r="O2" s="27"/>
      <c r="P2" s="27"/>
    </row>
    <row r="3" spans="1:18" s="25" customFormat="1" ht="15" customHeight="1" thickBot="1">
      <c r="B3" s="54">
        <f>FirstYear</f>
        <v>2018</v>
      </c>
      <c r="C3" s="55">
        <f>B3+1</f>
        <v>2019</v>
      </c>
      <c r="D3" s="56">
        <f>C3+1</f>
        <v>2020</v>
      </c>
      <c r="E3" s="56">
        <f>D3+1</f>
        <v>2021</v>
      </c>
      <c r="F3" s="56">
        <f>E3+1</f>
        <v>2022</v>
      </c>
      <c r="G3" s="57">
        <f>F3+1</f>
        <v>2023</v>
      </c>
      <c r="I3" s="27"/>
      <c r="J3" s="27"/>
      <c r="K3" s="27"/>
      <c r="L3" s="27"/>
      <c r="M3" s="27"/>
      <c r="N3" s="27"/>
      <c r="O3" s="27"/>
      <c r="P3" s="27"/>
    </row>
    <row r="4" spans="1:18" s="25" customFormat="1" ht="6" customHeight="1" thickBot="1">
      <c r="B4" s="26"/>
      <c r="C4" s="26"/>
      <c r="D4" s="26"/>
      <c r="E4" s="26"/>
      <c r="F4" s="26"/>
      <c r="G4" s="26"/>
      <c r="I4" s="27"/>
      <c r="J4" s="27"/>
      <c r="K4" s="27"/>
      <c r="L4" s="27"/>
      <c r="M4" s="27"/>
      <c r="N4" s="27"/>
      <c r="O4" s="27"/>
      <c r="P4" s="27"/>
    </row>
    <row r="5" spans="1:18" s="25" customFormat="1" ht="15" customHeight="1">
      <c r="A5" s="28" t="s">
        <v>9</v>
      </c>
      <c r="B5" s="29">
        <f>'Input 4 - Forecast'!C14</f>
        <v>23864.203000000001</v>
      </c>
      <c r="C5" s="30">
        <f>'Input 4 - Forecast'!D14</f>
        <v>24620.374507041077</v>
      </c>
      <c r="D5" s="30">
        <f>'Input 4 - Forecast'!E14</f>
        <v>25357.683384633368</v>
      </c>
      <c r="E5" s="30">
        <f>'Input 4 - Forecast'!F14</f>
        <v>26089.796284769458</v>
      </c>
      <c r="F5" s="30">
        <f>'Input 4 - Forecast'!G14</f>
        <v>26855.016191702667</v>
      </c>
      <c r="G5" s="31">
        <f>'Input 4 - Forecast'!H14</f>
        <v>27606.956645070342</v>
      </c>
    </row>
    <row r="6" spans="1:18" s="25" customFormat="1" ht="15" customHeight="1">
      <c r="A6" s="32" t="s">
        <v>1128</v>
      </c>
      <c r="B6" s="33">
        <f>'Input 4 - Forecast'!C15</f>
        <v>123.70000000000002</v>
      </c>
      <c r="C6" s="34">
        <f>'Input 4 - Forecast'!D15</f>
        <v>127.51707832194421</v>
      </c>
      <c r="D6" s="34">
        <f>'Input 4 - Forecast'!E15</f>
        <v>131.07969623687819</v>
      </c>
      <c r="E6" s="34">
        <f>'Input 4 - Forecast'!F15</f>
        <v>134.39805290002872</v>
      </c>
      <c r="F6" s="34">
        <f>'Input 4 - Forecast'!G15</f>
        <v>137.71065736077003</v>
      </c>
      <c r="G6" s="35">
        <f>'Input 4 - Forecast'!H15</f>
        <v>141.15342379478929</v>
      </c>
    </row>
    <row r="7" spans="1:18" s="25" customFormat="1" ht="15" customHeight="1">
      <c r="A7" s="32" t="s">
        <v>10</v>
      </c>
      <c r="B7" s="33">
        <f>'Input 4 - Forecast'!C16</f>
        <v>29523.664000000001</v>
      </c>
      <c r="C7" s="34">
        <f>'Input 4 - Forecast'!D16</f>
        <v>31399.058662009902</v>
      </c>
      <c r="D7" s="34">
        <f>'Input 4 - Forecast'!E16</f>
        <v>33242.878403577437</v>
      </c>
      <c r="E7" s="34">
        <f>'Input 4 - Forecast'!F16</f>
        <v>35068.507648449682</v>
      </c>
      <c r="F7" s="34">
        <f>'Input 4 - Forecast'!G16</f>
        <v>36986.785592001797</v>
      </c>
      <c r="G7" s="35">
        <f>'Input 4 - Forecast'!H16</f>
        <v>38968.164510059883</v>
      </c>
      <c r="I7" s="448"/>
      <c r="J7" s="448"/>
      <c r="K7" s="448"/>
      <c r="L7" s="448"/>
      <c r="M7" s="448"/>
      <c r="N7" s="448"/>
      <c r="O7" s="448"/>
      <c r="P7" s="448"/>
      <c r="Q7" s="448"/>
    </row>
    <row r="8" spans="1:18" s="25" customFormat="1" ht="15" customHeight="1">
      <c r="A8" s="32" t="s">
        <v>1129</v>
      </c>
      <c r="B8" s="33">
        <f>'Input 4 - Forecast'!C17</f>
        <v>1.18</v>
      </c>
      <c r="C8" s="34">
        <f>'Input 4 - Forecast'!D17</f>
        <v>1.1399999999999999</v>
      </c>
      <c r="D8" s="34">
        <f>'Input 4 - Forecast'!E17</f>
        <v>1.1399999999999999</v>
      </c>
      <c r="E8" s="34">
        <f>'Input 4 - Forecast'!F17</f>
        <v>1.1399999999999999</v>
      </c>
      <c r="F8" s="34">
        <f>'Input 4 - Forecast'!G17</f>
        <v>1.1399999999999999</v>
      </c>
      <c r="G8" s="35">
        <f>'Input 4 - Forecast'!H17</f>
        <v>1.1399999999999999</v>
      </c>
      <c r="I8" s="448"/>
      <c r="J8" s="448"/>
      <c r="K8" s="448"/>
      <c r="L8" s="448"/>
      <c r="M8" s="448"/>
      <c r="N8" s="448"/>
      <c r="O8" s="448"/>
      <c r="P8" s="448"/>
      <c r="Q8" s="448"/>
    </row>
    <row r="9" spans="1:18" s="25" customFormat="1" ht="15.75" customHeight="1" thickBot="1">
      <c r="A9" s="36" t="s">
        <v>1130</v>
      </c>
      <c r="B9" s="37">
        <f>'Input 4 - Forecast'!C18</f>
        <v>1.18</v>
      </c>
      <c r="C9" s="38">
        <f>'Input 4 - Forecast'!D18</f>
        <v>1.1399999999999999</v>
      </c>
      <c r="D9" s="38">
        <f>'Input 4 - Forecast'!E18</f>
        <v>1.1399999999999999</v>
      </c>
      <c r="E9" s="38">
        <f>'Input 4 - Forecast'!F18</f>
        <v>1.1399999999999999</v>
      </c>
      <c r="F9" s="38">
        <f>'Input 4 - Forecast'!G18</f>
        <v>1.1399999999999999</v>
      </c>
      <c r="G9" s="39">
        <f>'Input 4 - Forecast'!H18</f>
        <v>1.1399999999999999</v>
      </c>
      <c r="I9" s="448"/>
      <c r="J9" s="448"/>
      <c r="K9" s="448"/>
      <c r="L9" s="448"/>
      <c r="M9" s="448"/>
      <c r="N9" s="448"/>
      <c r="O9" s="448"/>
      <c r="P9" s="448"/>
      <c r="Q9" s="448"/>
    </row>
    <row r="10" spans="1:18" s="25" customFormat="1" ht="6" customHeight="1" thickBot="1">
      <c r="B10" s="40"/>
      <c r="C10" s="40"/>
      <c r="D10" s="40"/>
      <c r="E10" s="40"/>
      <c r="F10" s="40"/>
      <c r="G10" s="40"/>
      <c r="I10" s="448"/>
      <c r="J10" s="448"/>
      <c r="K10" s="448"/>
      <c r="L10" s="448"/>
      <c r="M10" s="448"/>
      <c r="N10" s="448"/>
      <c r="O10" s="448"/>
      <c r="P10" s="448"/>
      <c r="Q10" s="448"/>
    </row>
    <row r="11" spans="1:18" s="25" customFormat="1" ht="15" customHeight="1">
      <c r="A11" s="1384" t="s">
        <v>830</v>
      </c>
      <c r="B11" s="29">
        <f>'Input 4 - Forecast'!C20</f>
        <v>10859.344779327483</v>
      </c>
      <c r="C11" s="30">
        <f>'Input 4 - Forecast'!D20</f>
        <v>11272.170578573834</v>
      </c>
      <c r="D11" s="30">
        <f>'Input 4 - Forecast'!E20</f>
        <v>11855.480543366153</v>
      </c>
      <c r="E11" s="30">
        <f>'Input 4 - Forecast'!F20</f>
        <v>12312.951138840668</v>
      </c>
      <c r="F11" s="30">
        <f>'Input 4 - Forecast'!G20</f>
        <v>12792.114757908214</v>
      </c>
      <c r="G11" s="31">
        <f>'Input 4 - Forecast'!H20</f>
        <v>13477.387243554547</v>
      </c>
      <c r="I11" s="448"/>
      <c r="J11" s="448"/>
      <c r="K11" s="448"/>
      <c r="L11" s="448"/>
      <c r="M11" s="448"/>
      <c r="N11" s="448"/>
      <c r="O11" s="448"/>
      <c r="P11" s="448"/>
      <c r="Q11" s="448"/>
    </row>
    <row r="12" spans="1:18" s="25" customFormat="1" ht="15" customHeight="1">
      <c r="A12" s="1385" t="s">
        <v>824</v>
      </c>
      <c r="B12" s="33">
        <f>'Input 4 - Forecast'!C21</f>
        <v>48.271190640000007</v>
      </c>
      <c r="C12" s="34">
        <f>'Input 4 - Forecast'!D21</f>
        <v>51.337460912386192</v>
      </c>
      <c r="D12" s="34">
        <f>'Input 4 - Forecast'!E21</f>
        <v>54.35210618984911</v>
      </c>
      <c r="E12" s="34">
        <f>'Input 4 - Forecast'!F21</f>
        <v>57.337010005215234</v>
      </c>
      <c r="F12" s="34">
        <f>'Input 4 - Forecast'!G21</f>
        <v>60.473394442922938</v>
      </c>
      <c r="G12" s="35">
        <f>'Input 4 - Forecast'!H21</f>
        <v>63.71294897394791</v>
      </c>
      <c r="I12" s="448"/>
      <c r="J12" s="448"/>
      <c r="K12" s="448"/>
      <c r="L12" s="448"/>
      <c r="M12" s="448"/>
      <c r="N12" s="448"/>
      <c r="O12" s="448"/>
      <c r="P12" s="448"/>
      <c r="Q12" s="448"/>
    </row>
    <row r="13" spans="1:18" s="25" customFormat="1" ht="15" customHeight="1">
      <c r="A13" s="1385" t="s">
        <v>69</v>
      </c>
      <c r="B13" s="33">
        <f>'Input 4 - Forecast'!C22</f>
        <v>10874.786208776703</v>
      </c>
      <c r="C13" s="34">
        <f>'Input 4 - Forecast'!D22</f>
        <v>11257.539277837317</v>
      </c>
      <c r="D13" s="34">
        <f>'Input 4 - Forecast'!E22</f>
        <v>11752.809072645199</v>
      </c>
      <c r="E13" s="34">
        <f>'Input 4 - Forecast'!F22</f>
        <v>12235.282378609274</v>
      </c>
      <c r="F13" s="34">
        <f>'Input 4 - Forecast'!G22</f>
        <v>12469.216138809714</v>
      </c>
      <c r="G13" s="35">
        <f>'Input 4 - Forecast'!H22</f>
        <v>13137.190973245981</v>
      </c>
      <c r="I13" s="448"/>
      <c r="J13" s="448"/>
      <c r="K13" s="448"/>
      <c r="L13" s="448"/>
      <c r="M13" s="448"/>
      <c r="N13" s="448"/>
      <c r="O13" s="448"/>
      <c r="P13" s="448"/>
      <c r="Q13" s="448"/>
    </row>
    <row r="14" spans="1:18" s="25" customFormat="1" ht="15" customHeight="1">
      <c r="A14" s="32" t="s">
        <v>66</v>
      </c>
      <c r="B14" s="33">
        <f>'Input 4 - Forecast'!C24</f>
        <v>174.85657659911266</v>
      </c>
      <c r="C14" s="34">
        <f>'Input 4 - Forecast'!D24</f>
        <v>162.29082986591305</v>
      </c>
      <c r="D14" s="34">
        <f>'Input 4 - Forecast'!E24</f>
        <v>139.59781983027952</v>
      </c>
      <c r="E14" s="34">
        <f>'Input 4 - Forecast'!F24</f>
        <v>135.40250794027952</v>
      </c>
      <c r="F14" s="34">
        <f>'Input 4 - Forecast'!G24</f>
        <v>103.26669278984103</v>
      </c>
      <c r="G14" s="35">
        <f>'Input 4 - Forecast'!H24</f>
        <v>95.657544050000013</v>
      </c>
      <c r="I14" s="2002"/>
      <c r="J14" s="2002"/>
      <c r="K14" s="2002"/>
      <c r="L14" s="2002"/>
      <c r="M14" s="2002"/>
      <c r="N14" s="2002"/>
      <c r="O14" s="2002"/>
      <c r="P14" s="2002"/>
      <c r="Q14" s="2002"/>
    </row>
    <row r="15" spans="1:18" s="25" customFormat="1" ht="15" customHeight="1" thickBot="1">
      <c r="A15" s="43" t="s">
        <v>65</v>
      </c>
      <c r="B15" s="37">
        <f>'Input 4 - Forecast'!C25</f>
        <v>36.103082014354982</v>
      </c>
      <c r="C15" s="38">
        <f>'Input 4 - Forecast'!D25</f>
        <v>36.793459074872004</v>
      </c>
      <c r="D15" s="38">
        <f>'Input 4 - Forecast'!E25</f>
        <v>28.352366134432003</v>
      </c>
      <c r="E15" s="38">
        <f>'Input 4 - Forecast'!F25</f>
        <v>10.689095726641995</v>
      </c>
      <c r="F15" s="38">
        <f>'Input 4 - Forecast'!G25</f>
        <v>0.23301181859500275</v>
      </c>
      <c r="G15" s="39">
        <f>'Input 4 - Forecast'!H25</f>
        <v>0.22278209171348351</v>
      </c>
      <c r="I15" s="2002"/>
      <c r="J15" s="2002"/>
      <c r="K15" s="2002"/>
      <c r="L15" s="2002"/>
      <c r="M15" s="2002"/>
      <c r="N15" s="2002"/>
      <c r="O15" s="2002"/>
      <c r="P15" s="2002"/>
      <c r="Q15" s="2002"/>
    </row>
    <row r="16" spans="1:18" s="25" customFormat="1" ht="6" customHeight="1" thickBot="1">
      <c r="B16" s="40"/>
      <c r="C16" s="40"/>
      <c r="D16" s="40"/>
      <c r="E16" s="40"/>
      <c r="F16" s="40"/>
      <c r="G16" s="40"/>
      <c r="I16" s="27"/>
      <c r="J16" s="27"/>
      <c r="K16" s="27"/>
      <c r="L16" s="27"/>
      <c r="M16" s="27"/>
      <c r="N16" s="27"/>
      <c r="O16" s="27"/>
      <c r="P16" s="27"/>
    </row>
    <row r="17" spans="1:16" s="25" customFormat="1">
      <c r="A17" s="41" t="s">
        <v>67</v>
      </c>
      <c r="B17" s="29">
        <f>'Input 4 - Forecast'!C27</f>
        <v>880.82751076386637</v>
      </c>
      <c r="C17" s="30">
        <f>'Input 4 - Forecast'!D27</f>
        <v>974.88479061012663</v>
      </c>
      <c r="D17" s="30">
        <f>'Input 4 - Forecast'!E27</f>
        <v>693.56222634999995</v>
      </c>
      <c r="E17" s="30">
        <f>'Input 4 - Forecast'!F27</f>
        <v>1100.0445500352976</v>
      </c>
      <c r="F17" s="30">
        <f>'Input 4 - Forecast'!G27</f>
        <v>305.67470971030548</v>
      </c>
      <c r="G17" s="31">
        <f>'Input 4 - Forecast'!H27</f>
        <v>259.28679624</v>
      </c>
      <c r="I17" s="27"/>
      <c r="J17" s="27"/>
      <c r="K17" s="27"/>
      <c r="L17" s="27"/>
      <c r="M17" s="27"/>
      <c r="N17" s="27"/>
      <c r="O17" s="27"/>
      <c r="P17" s="27"/>
    </row>
    <row r="18" spans="1:16" s="25" customFormat="1" ht="15.75" thickBot="1">
      <c r="A18" s="43" t="s">
        <v>68</v>
      </c>
      <c r="B18" s="37">
        <f>'Input 4 - Forecast'!C28</f>
        <v>3.4469856692949747</v>
      </c>
      <c r="C18" s="38">
        <f>'Input 4 - Forecast'!D28</f>
        <v>0.42613768651699502</v>
      </c>
      <c r="D18" s="38">
        <f>'Input 4 - Forecast'!E28</f>
        <v>613.46644681095995</v>
      </c>
      <c r="E18" s="38">
        <f>'Input 4 - Forecast'!F28</f>
        <v>352.96984703798012</v>
      </c>
      <c r="F18" s="38">
        <f>'Input 4 - Forecast'!G28</f>
        <v>0.34099085799599038</v>
      </c>
      <c r="G18" s="39">
        <f>'Input 4 - Forecast'!H28</f>
        <v>0</v>
      </c>
      <c r="I18" s="27"/>
      <c r="J18" s="27"/>
      <c r="K18" s="27"/>
      <c r="L18" s="27"/>
      <c r="M18" s="27"/>
      <c r="N18" s="27"/>
      <c r="O18" s="27"/>
      <c r="P18" s="27"/>
    </row>
    <row r="19" spans="1:16" s="25" customFormat="1" ht="6" customHeight="1" thickBot="1">
      <c r="B19" s="40"/>
      <c r="C19" s="40"/>
      <c r="D19" s="40"/>
      <c r="E19" s="40"/>
      <c r="F19" s="40"/>
      <c r="G19" s="40"/>
      <c r="I19" s="27"/>
      <c r="J19" s="27"/>
      <c r="K19" s="27"/>
      <c r="L19" s="27"/>
      <c r="M19" s="27"/>
      <c r="N19" s="27"/>
      <c r="O19" s="27"/>
      <c r="P19" s="27"/>
    </row>
    <row r="20" spans="1:16" s="25" customFormat="1" ht="15.75" thickBot="1">
      <c r="A20" s="44" t="s">
        <v>5</v>
      </c>
      <c r="B20" s="45">
        <f>'Input 4 - Forecast'!C30</f>
        <v>0</v>
      </c>
      <c r="C20" s="46">
        <f>'Input 4 - Forecast'!D30</f>
        <v>0</v>
      </c>
      <c r="D20" s="46">
        <f>'Input 4 - Forecast'!E30</f>
        <v>0</v>
      </c>
      <c r="E20" s="46">
        <f>'Input 4 - Forecast'!F30</f>
        <v>0</v>
      </c>
      <c r="F20" s="46">
        <f>'Input 4 - Forecast'!G30</f>
        <v>0</v>
      </c>
      <c r="G20" s="47">
        <f>'Input 4 - Forecast'!H30</f>
        <v>0</v>
      </c>
      <c r="I20" s="27"/>
      <c r="J20" s="27"/>
      <c r="K20" s="27"/>
      <c r="L20" s="27"/>
      <c r="M20" s="27"/>
      <c r="N20" s="27"/>
      <c r="O20" s="27"/>
      <c r="P20" s="27"/>
    </row>
    <row r="21" spans="1:16" s="25" customFormat="1" ht="6" customHeight="1" thickBot="1">
      <c r="B21" s="40"/>
      <c r="C21" s="40"/>
      <c r="D21" s="40"/>
      <c r="E21" s="40"/>
      <c r="F21" s="40"/>
      <c r="G21" s="40"/>
      <c r="I21" s="27"/>
      <c r="J21" s="27"/>
      <c r="K21" s="27"/>
      <c r="L21" s="27"/>
      <c r="M21" s="27"/>
      <c r="N21" s="27"/>
      <c r="O21" s="27"/>
      <c r="P21" s="27"/>
    </row>
    <row r="22" spans="1:16" s="25" customFormat="1">
      <c r="A22" s="41" t="s">
        <v>47</v>
      </c>
      <c r="B22" s="1403">
        <f t="shared" ref="B22:G22" si="0">SUM(V85:V90,V104:V137,V180:V185,V199:V232,V273:V279)</f>
        <v>0</v>
      </c>
      <c r="C22" s="1404">
        <f t="shared" si="0"/>
        <v>18.524999999999999</v>
      </c>
      <c r="D22" s="1404">
        <f t="shared" si="0"/>
        <v>39.375</v>
      </c>
      <c r="E22" s="1404">
        <f t="shared" si="0"/>
        <v>80.174999999999997</v>
      </c>
      <c r="F22" s="1404">
        <f t="shared" si="0"/>
        <v>103.175</v>
      </c>
      <c r="G22" s="1405">
        <f t="shared" si="0"/>
        <v>116.425</v>
      </c>
      <c r="I22" s="27"/>
      <c r="J22" s="27"/>
      <c r="K22" s="27"/>
      <c r="L22" s="27"/>
      <c r="M22" s="27"/>
      <c r="N22" s="27"/>
      <c r="O22" s="27"/>
      <c r="P22" s="27"/>
    </row>
    <row r="23" spans="1:16" s="25" customFormat="1">
      <c r="A23" s="42" t="s">
        <v>48</v>
      </c>
      <c r="B23" s="1397">
        <f t="shared" ref="B23:G23" si="1">SUM(V94:V99,V141:V174,V189:V194,V236:V269)*B8</f>
        <v>0</v>
      </c>
      <c r="C23" s="1398">
        <f t="shared" si="1"/>
        <v>0</v>
      </c>
      <c r="D23" s="1398">
        <f t="shared" si="1"/>
        <v>0</v>
      </c>
      <c r="E23" s="1398">
        <f t="shared" si="1"/>
        <v>0</v>
      </c>
      <c r="F23" s="1398">
        <f t="shared" si="1"/>
        <v>0</v>
      </c>
      <c r="G23" s="1399">
        <f t="shared" si="1"/>
        <v>0</v>
      </c>
      <c r="I23" s="27"/>
      <c r="J23" s="27"/>
      <c r="K23" s="27"/>
      <c r="L23" s="27"/>
      <c r="M23" s="27"/>
      <c r="N23" s="27"/>
      <c r="O23" s="27"/>
      <c r="P23" s="27"/>
    </row>
    <row r="24" spans="1:16" s="25" customFormat="1">
      <c r="A24" s="42" t="s">
        <v>49</v>
      </c>
      <c r="B24" s="1397">
        <f t="shared" ref="B24:G24" si="2">SUM(O85:O90,O104:O137,O180:O185,O199:O232,O273:O278)</f>
        <v>0</v>
      </c>
      <c r="C24" s="1398">
        <f>SUM(P85:P90,P104:P137,P180:P185,P199:P232,P273:P278)</f>
        <v>-267.59560614415022</v>
      </c>
      <c r="D24" s="1398">
        <f t="shared" si="2"/>
        <v>-560.64415055562313</v>
      </c>
      <c r="E24" s="1398">
        <f t="shared" si="2"/>
        <v>-1123.313868340756</v>
      </c>
      <c r="F24" s="1398">
        <f>SUM(S85:S90,S104:S137,S180:S185,S199:S232,S273:S278)</f>
        <v>-679.03863783716588</v>
      </c>
      <c r="G24" s="1399">
        <f t="shared" si="2"/>
        <v>-944.72024620185221</v>
      </c>
      <c r="I24" s="27"/>
      <c r="J24" s="27"/>
      <c r="K24" s="27"/>
      <c r="L24" s="27"/>
      <c r="M24" s="27"/>
      <c r="N24" s="27"/>
      <c r="O24" s="27"/>
      <c r="P24" s="27"/>
    </row>
    <row r="25" spans="1:16" s="25" customFormat="1" ht="15.75" thickBot="1">
      <c r="A25" s="43" t="s">
        <v>50</v>
      </c>
      <c r="B25" s="1400">
        <f t="shared" ref="B25:G25" si="3">SUM(O94:O100,O141:O176,O189:O195,O236:O269)*B8</f>
        <v>0</v>
      </c>
      <c r="C25" s="1401">
        <f t="shared" si="3"/>
        <v>0</v>
      </c>
      <c r="D25" s="1401">
        <f t="shared" si="3"/>
        <v>0</v>
      </c>
      <c r="E25" s="1401">
        <f t="shared" si="3"/>
        <v>0</v>
      </c>
      <c r="F25" s="1401">
        <f t="shared" si="3"/>
        <v>0</v>
      </c>
      <c r="G25" s="1402">
        <f t="shared" si="3"/>
        <v>0</v>
      </c>
      <c r="I25" s="27"/>
      <c r="J25" s="27"/>
      <c r="K25" s="27"/>
      <c r="L25" s="27"/>
      <c r="M25" s="27"/>
      <c r="N25" s="27"/>
      <c r="O25" s="27"/>
      <c r="P25" s="27"/>
    </row>
    <row r="26" spans="1:16" s="25" customFormat="1" ht="6" customHeight="1" thickBot="1">
      <c r="B26" s="40"/>
      <c r="C26" s="40"/>
      <c r="D26" s="40"/>
      <c r="E26" s="40"/>
      <c r="F26" s="40"/>
      <c r="G26" s="40"/>
      <c r="I26" s="27"/>
      <c r="J26" s="27"/>
      <c r="K26" s="27"/>
      <c r="L26" s="27"/>
      <c r="M26" s="27"/>
      <c r="N26" s="27"/>
      <c r="O26" s="27"/>
      <c r="P26" s="27"/>
    </row>
    <row r="27" spans="1:16" s="25" customFormat="1" ht="15.75" thickBot="1">
      <c r="A27" s="936" t="s">
        <v>4</v>
      </c>
      <c r="B27" s="46">
        <f t="shared" ref="B27:G27" si="4">SUM(B13:B15,B17:B18,B20,B22:B25)-SUM(B11:B12)</f>
        <v>1062.4043938558498</v>
      </c>
      <c r="C27" s="46">
        <f t="shared" si="4"/>
        <v>859.35584944437687</v>
      </c>
      <c r="D27" s="46">
        <f t="shared" si="4"/>
        <v>796.68613165924398</v>
      </c>
      <c r="E27" s="46">
        <f>SUM(E13:E15,E17:E18,E20,E22:E25)-SUM(E11:E12)</f>
        <v>420.96136216283412</v>
      </c>
      <c r="F27" s="46">
        <f t="shared" si="4"/>
        <v>-549.72024620185221</v>
      </c>
      <c r="G27" s="47">
        <f t="shared" si="4"/>
        <v>-877.03734310265281</v>
      </c>
      <c r="I27" s="91"/>
      <c r="J27" s="92"/>
      <c r="K27" s="27"/>
      <c r="L27" s="27"/>
      <c r="M27" s="27"/>
      <c r="N27" s="27"/>
      <c r="O27" s="27"/>
      <c r="P27" s="27"/>
    </row>
    <row r="28" spans="1:16" s="25" customFormat="1" ht="6" customHeight="1" thickBot="1">
      <c r="B28" s="40"/>
      <c r="C28" s="40"/>
      <c r="D28" s="40"/>
      <c r="E28" s="40"/>
      <c r="F28" s="40"/>
      <c r="G28" s="40"/>
      <c r="I28" s="27"/>
      <c r="J28" s="27"/>
      <c r="K28" s="27"/>
      <c r="L28" s="27"/>
      <c r="M28" s="27"/>
      <c r="N28" s="27"/>
      <c r="O28" s="27"/>
      <c r="P28" s="27"/>
    </row>
    <row r="29" spans="1:16" s="25" customFormat="1">
      <c r="A29" s="512" t="s">
        <v>1137</v>
      </c>
      <c r="B29" s="30">
        <f>'Input 4 - Forecast'!C39</f>
        <v>0</v>
      </c>
      <c r="C29" s="30">
        <f>'Input 4 - Forecast'!D39</f>
        <v>0</v>
      </c>
      <c r="D29" s="30">
        <f>'Input 4 - Forecast'!E39</f>
        <v>0</v>
      </c>
      <c r="E29" s="30">
        <f>'Input 4 - Forecast'!F39</f>
        <v>0</v>
      </c>
      <c r="F29" s="30">
        <f>'Input 4 - Forecast'!G39</f>
        <v>0</v>
      </c>
      <c r="G29" s="31">
        <f>'Input 4 - Forecast'!H39</f>
        <v>0</v>
      </c>
      <c r="I29" s="27"/>
      <c r="J29" s="27"/>
      <c r="K29" s="27"/>
      <c r="L29" s="27"/>
      <c r="M29" s="27"/>
      <c r="N29" s="27"/>
      <c r="O29" s="27"/>
      <c r="P29" s="27"/>
    </row>
    <row r="30" spans="1:16" s="25" customFormat="1">
      <c r="A30" s="513" t="s">
        <v>1138</v>
      </c>
      <c r="B30" s="34">
        <f>'Input 4 - Forecast'!C40</f>
        <v>0</v>
      </c>
      <c r="C30" s="34">
        <f>'Input 4 - Forecast'!D40</f>
        <v>0</v>
      </c>
      <c r="D30" s="34">
        <f>'Input 4 - Forecast'!E40</f>
        <v>0</v>
      </c>
      <c r="E30" s="34">
        <f>'Input 4 - Forecast'!F40</f>
        <v>0</v>
      </c>
      <c r="F30" s="34">
        <f>'Input 4 - Forecast'!G40</f>
        <v>0</v>
      </c>
      <c r="G30" s="35">
        <f>'Input 4 - Forecast'!H40</f>
        <v>0</v>
      </c>
      <c r="I30" s="27"/>
      <c r="J30" s="27"/>
      <c r="K30" s="27"/>
      <c r="L30" s="27"/>
      <c r="M30" s="27"/>
      <c r="N30" s="27"/>
      <c r="O30" s="27"/>
      <c r="P30" s="27"/>
    </row>
    <row r="31" spans="1:16" s="25" customFormat="1">
      <c r="A31" s="513" t="s">
        <v>8</v>
      </c>
      <c r="B31" s="34">
        <f>'Input 4 - Forecast'!C41</f>
        <v>0</v>
      </c>
      <c r="C31" s="34">
        <f>'Input 4 - Forecast'!D41</f>
        <v>0</v>
      </c>
      <c r="D31" s="34">
        <f>'Input 4 - Forecast'!E41</f>
        <v>0</v>
      </c>
      <c r="E31" s="34">
        <f>'Input 4 - Forecast'!F41</f>
        <v>0</v>
      </c>
      <c r="F31" s="34">
        <f>'Input 4 - Forecast'!G41</f>
        <v>0</v>
      </c>
      <c r="G31" s="35">
        <f>'Input 4 - Forecast'!H41</f>
        <v>0</v>
      </c>
      <c r="I31" s="27"/>
      <c r="J31" s="27"/>
      <c r="K31" s="27"/>
      <c r="L31" s="27"/>
      <c r="M31" s="27"/>
      <c r="N31" s="27"/>
      <c r="O31" s="27"/>
      <c r="P31" s="27"/>
    </row>
    <row r="32" spans="1:16" s="25" customFormat="1">
      <c r="A32" s="513" t="str">
        <f>'Input 2 - Data'!D31</f>
        <v>Please specify (1) (e.g., privatization receipts) (+ reduces financing needs)</v>
      </c>
      <c r="B32" s="34">
        <f>'Input 4 - Forecast'!C42</f>
        <v>0</v>
      </c>
      <c r="C32" s="34">
        <f>'Input 4 - Forecast'!D42</f>
        <v>0</v>
      </c>
      <c r="D32" s="34">
        <f>'Input 4 - Forecast'!E42</f>
        <v>0</v>
      </c>
      <c r="E32" s="34">
        <f>'Input 4 - Forecast'!F42</f>
        <v>0</v>
      </c>
      <c r="F32" s="34">
        <f>'Input 4 - Forecast'!G42</f>
        <v>0</v>
      </c>
      <c r="G32" s="35">
        <f>'Input 4 - Forecast'!H42</f>
        <v>0</v>
      </c>
      <c r="I32" s="27"/>
      <c r="J32" s="27"/>
      <c r="K32" s="27"/>
      <c r="L32" s="27"/>
      <c r="M32" s="27"/>
      <c r="N32" s="27"/>
      <c r="O32" s="27"/>
      <c r="P32" s="27"/>
    </row>
    <row r="33" spans="1:17" s="25" customFormat="1" ht="15.75" thickBot="1">
      <c r="A33" s="514" t="str">
        <f>'Input 2 - Data'!D32</f>
        <v>Please specify (2) (e.g., other debt flows) (+ increases financing needs)</v>
      </c>
      <c r="B33" s="38">
        <f>'Input 4 - Forecast'!C43</f>
        <v>0</v>
      </c>
      <c r="C33" s="38">
        <f>'Input 4 - Forecast'!D43</f>
        <v>0</v>
      </c>
      <c r="D33" s="38">
        <f>'Input 4 - Forecast'!E43</f>
        <v>0</v>
      </c>
      <c r="E33" s="38">
        <f>'Input 4 - Forecast'!F43</f>
        <v>0</v>
      </c>
      <c r="F33" s="38">
        <f>'Input 4 - Forecast'!G43</f>
        <v>0</v>
      </c>
      <c r="G33" s="39">
        <f>'Input 4 - Forecast'!H43</f>
        <v>0</v>
      </c>
      <c r="I33" s="27"/>
      <c r="J33" s="27"/>
      <c r="K33" s="27"/>
      <c r="L33" s="27"/>
      <c r="M33" s="27"/>
      <c r="N33" s="27"/>
      <c r="O33" s="27"/>
      <c r="P33" s="27"/>
    </row>
    <row r="34" spans="1:17" s="25" customFormat="1" ht="6" customHeight="1" thickBot="1">
      <c r="B34" s="40"/>
      <c r="C34" s="40"/>
      <c r="D34" s="40"/>
      <c r="E34" s="40"/>
      <c r="F34" s="40"/>
      <c r="G34" s="40"/>
      <c r="I34" s="27"/>
      <c r="J34" s="27"/>
      <c r="K34" s="27"/>
      <c r="L34" s="27"/>
      <c r="M34" s="27"/>
      <c r="N34" s="27"/>
      <c r="O34" s="27"/>
      <c r="P34" s="27"/>
    </row>
    <row r="35" spans="1:17" s="25" customFormat="1" ht="15.75" thickBot="1">
      <c r="A35" s="44" t="s">
        <v>1141</v>
      </c>
      <c r="B35" s="46">
        <f t="shared" ref="B35:G35" si="5">B27-B29-B30-B31-B32+B33</f>
        <v>1062.4043938558498</v>
      </c>
      <c r="C35" s="46">
        <f t="shared" si="5"/>
        <v>859.35584944437687</v>
      </c>
      <c r="D35" s="46">
        <f>D27-D29-D30-D31-D32+D33</f>
        <v>796.68613165924398</v>
      </c>
      <c r="E35" s="46">
        <f t="shared" si="5"/>
        <v>420.96136216283412</v>
      </c>
      <c r="F35" s="46">
        <f t="shared" si="5"/>
        <v>-549.72024620185221</v>
      </c>
      <c r="G35" s="47">
        <f t="shared" si="5"/>
        <v>-877.03734310265281</v>
      </c>
      <c r="I35" s="27"/>
      <c r="J35" s="27"/>
      <c r="K35" s="27"/>
      <c r="L35" s="27"/>
      <c r="M35" s="27"/>
      <c r="N35" s="27"/>
      <c r="O35" s="27"/>
      <c r="P35" s="27"/>
    </row>
    <row r="36" spans="1:17" s="25" customFormat="1" ht="6" customHeight="1" thickBot="1">
      <c r="A36" s="115"/>
      <c r="B36" s="34"/>
      <c r="C36" s="34"/>
      <c r="D36" s="34"/>
      <c r="E36" s="34"/>
      <c r="F36" s="34"/>
      <c r="G36" s="34"/>
      <c r="I36" s="27"/>
      <c r="J36" s="27"/>
      <c r="K36" s="27"/>
      <c r="L36" s="27"/>
      <c r="M36" s="27"/>
      <c r="N36" s="27"/>
      <c r="O36" s="27"/>
      <c r="P36" s="27"/>
    </row>
    <row r="37" spans="1:17" s="25" customFormat="1" ht="81" customHeight="1" thickBot="1">
      <c r="A37" s="28" t="s">
        <v>1139</v>
      </c>
      <c r="B37" s="2003" t="s">
        <v>1182</v>
      </c>
      <c r="C37" s="2004"/>
      <c r="D37" s="2004"/>
      <c r="E37" s="2004"/>
      <c r="F37" s="2004"/>
      <c r="G37" s="2005"/>
      <c r="I37" s="83" t="s">
        <v>459</v>
      </c>
      <c r="J37" s="83" t="s">
        <v>38</v>
      </c>
      <c r="K37" s="84" t="s">
        <v>39</v>
      </c>
      <c r="L37" s="83" t="str">
        <f t="shared" ref="L37:Q37" si="6">CONCATENATE("Interest Rate on debt issued in ",B3)</f>
        <v>Interest Rate on debt issued in 2018</v>
      </c>
      <c r="M37" s="83" t="str">
        <f t="shared" si="6"/>
        <v>Interest Rate on debt issued in 2019</v>
      </c>
      <c r="N37" s="83" t="str">
        <f t="shared" si="6"/>
        <v>Interest Rate on debt issued in 2020</v>
      </c>
      <c r="O37" s="83" t="str">
        <f t="shared" si="6"/>
        <v>Interest Rate on debt issued in 2021</v>
      </c>
      <c r="P37" s="83" t="str">
        <f t="shared" si="6"/>
        <v>Interest Rate on debt issued in 2022</v>
      </c>
      <c r="Q37" s="83" t="str">
        <f t="shared" si="6"/>
        <v>Interest Rate on debt issued in 2023</v>
      </c>
    </row>
    <row r="38" spans="1:17" s="25" customFormat="1">
      <c r="A38" s="48" t="s">
        <v>13</v>
      </c>
      <c r="B38" s="29"/>
      <c r="C38" s="30"/>
      <c r="D38" s="30"/>
      <c r="E38" s="30"/>
      <c r="F38" s="30"/>
      <c r="G38" s="31"/>
      <c r="I38" s="75"/>
      <c r="J38" s="76"/>
      <c r="K38" s="76"/>
      <c r="L38" s="76"/>
      <c r="M38" s="76"/>
      <c r="N38" s="76"/>
      <c r="O38" s="76"/>
      <c r="P38" s="76"/>
      <c r="Q38" s="77"/>
    </row>
    <row r="39" spans="1:17" s="25" customFormat="1">
      <c r="A39" s="49" t="s">
        <v>0</v>
      </c>
      <c r="B39" s="33">
        <f>'Input 4 - Forecast'!C56</f>
        <v>0</v>
      </c>
      <c r="C39" s="34">
        <f>'Input 4 - Forecast'!D56</f>
        <v>0</v>
      </c>
      <c r="D39" s="34">
        <f>'Input 4 - Forecast'!E56</f>
        <v>0</v>
      </c>
      <c r="E39" s="34">
        <f>'Input 4 - Forecast'!F56</f>
        <v>0</v>
      </c>
      <c r="F39" s="34">
        <f>'Input 4 - Forecast'!G56</f>
        <v>0</v>
      </c>
      <c r="G39" s="35">
        <f>'Input 4 - Forecast'!H56</f>
        <v>0</v>
      </c>
      <c r="I39" s="78" t="str">
        <f>'Input 4 - Forecast'!J56</f>
        <v>Semi-annual</v>
      </c>
      <c r="J39" s="79">
        <f>'Input 4 - Forecast'!K56</f>
        <v>0</v>
      </c>
      <c r="K39" s="79">
        <f>'Input 4 - Forecast'!L56</f>
        <v>0</v>
      </c>
      <c r="L39" s="80">
        <f>'Input 4 - Forecast'!M56</f>
        <v>0</v>
      </c>
      <c r="M39" s="80">
        <f>'Input 4 - Forecast'!N56</f>
        <v>0</v>
      </c>
      <c r="N39" s="80">
        <f>'Input 4 - Forecast'!O56</f>
        <v>0</v>
      </c>
      <c r="O39" s="80">
        <f>'Input 4 - Forecast'!P56</f>
        <v>0</v>
      </c>
      <c r="P39" s="80">
        <f>'Input 4 - Forecast'!Q56</f>
        <v>0</v>
      </c>
      <c r="Q39" s="81">
        <f>'Input 4 - Forecast'!R56</f>
        <v>0</v>
      </c>
    </row>
    <row r="40" spans="1:17" s="25" customFormat="1">
      <c r="A40" s="49" t="s">
        <v>1</v>
      </c>
      <c r="B40" s="33">
        <f>'Input 4 - Forecast'!C57</f>
        <v>0</v>
      </c>
      <c r="C40" s="34">
        <f>'Input 4 - Forecast'!D57</f>
        <v>0</v>
      </c>
      <c r="D40" s="34">
        <f>'Input 4 - Forecast'!E57</f>
        <v>0</v>
      </c>
      <c r="E40" s="34">
        <f>'Input 4 - Forecast'!F57</f>
        <v>0</v>
      </c>
      <c r="F40" s="34">
        <f>'Input 4 - Forecast'!G57</f>
        <v>0</v>
      </c>
      <c r="G40" s="35">
        <f>'Input 4 - Forecast'!H57</f>
        <v>0</v>
      </c>
      <c r="I40" s="78" t="str">
        <f>'Input 4 - Forecast'!J57</f>
        <v>Semi-annual</v>
      </c>
      <c r="J40" s="79">
        <f>'Input 4 - Forecast'!K57</f>
        <v>0</v>
      </c>
      <c r="K40" s="79">
        <f>'Input 4 - Forecast'!L57</f>
        <v>0</v>
      </c>
      <c r="L40" s="80">
        <f>'Input 4 - Forecast'!M57</f>
        <v>0</v>
      </c>
      <c r="M40" s="80">
        <f>'Input 4 - Forecast'!N57</f>
        <v>0</v>
      </c>
      <c r="N40" s="80">
        <f>'Input 4 - Forecast'!O57</f>
        <v>0</v>
      </c>
      <c r="O40" s="80">
        <f>'Input 4 - Forecast'!P57</f>
        <v>0</v>
      </c>
      <c r="P40" s="80">
        <f>'Input 4 - Forecast'!Q57</f>
        <v>0</v>
      </c>
      <c r="Q40" s="81">
        <f>'Input 4 - Forecast'!R57</f>
        <v>0</v>
      </c>
    </row>
    <row r="41" spans="1:17" s="25" customFormat="1">
      <c r="A41" s="48" t="s">
        <v>14</v>
      </c>
      <c r="B41" s="33"/>
      <c r="C41" s="34"/>
      <c r="D41" s="34"/>
      <c r="E41" s="34"/>
      <c r="F41" s="34"/>
      <c r="G41" s="35"/>
      <c r="I41" s="78"/>
      <c r="J41" s="79"/>
      <c r="K41" s="79"/>
      <c r="L41" s="79"/>
      <c r="M41" s="79"/>
      <c r="N41" s="79"/>
      <c r="O41" s="79"/>
      <c r="P41" s="79"/>
      <c r="Q41" s="82"/>
    </row>
    <row r="42" spans="1:17" s="25" customFormat="1">
      <c r="A42" s="49" t="s">
        <v>0</v>
      </c>
      <c r="B42" s="33"/>
      <c r="C42" s="34"/>
      <c r="D42" s="34"/>
      <c r="E42" s="34"/>
      <c r="F42" s="34"/>
      <c r="G42" s="35"/>
      <c r="I42" s="78"/>
      <c r="J42" s="79"/>
      <c r="K42" s="79"/>
      <c r="L42" s="79"/>
      <c r="M42" s="79"/>
      <c r="N42" s="79"/>
      <c r="O42" s="79"/>
      <c r="P42" s="79"/>
      <c r="Q42" s="82"/>
    </row>
    <row r="43" spans="1:17" s="25" customFormat="1">
      <c r="A43" s="50" t="str">
        <f>'Input 4 - Forecast'!A60</f>
        <v>Type 1</v>
      </c>
      <c r="B43" s="33">
        <f>'Input 4 - Forecast'!C60</f>
        <v>330</v>
      </c>
      <c r="C43" s="34">
        <f>'Input 4 - Forecast'!D60</f>
        <v>420</v>
      </c>
      <c r="D43" s="34">
        <f>'Input 4 - Forecast'!E60</f>
        <v>120</v>
      </c>
      <c r="E43" s="34">
        <f>'Input 4 - Forecast'!F60</f>
        <v>100</v>
      </c>
      <c r="F43" s="34">
        <f>'Input 4 - Forecast'!G60</f>
        <v>225</v>
      </c>
      <c r="G43" s="35">
        <f>'Input 4 - Forecast'!H60</f>
        <v>250</v>
      </c>
      <c r="I43" s="78" t="str">
        <f>'Input 4 - Forecast'!J60</f>
        <v>Annual</v>
      </c>
      <c r="J43" s="79">
        <f>'Input 4 - Forecast'!K60</f>
        <v>5</v>
      </c>
      <c r="K43" s="79">
        <f>'Input 4 - Forecast'!L60</f>
        <v>5</v>
      </c>
      <c r="L43" s="80">
        <f>'Input 4 - Forecast'!M60</f>
        <v>5.0000000000000001E-3</v>
      </c>
      <c r="M43" s="80">
        <f>'Input 4 - Forecast'!N60</f>
        <v>5.0000000000000001E-3</v>
      </c>
      <c r="N43" s="80">
        <f>'Input 4 - Forecast'!O60</f>
        <v>0.01</v>
      </c>
      <c r="O43" s="80">
        <f>'Input 4 - Forecast'!P60</f>
        <v>0.01</v>
      </c>
      <c r="P43" s="80">
        <f>'Input 4 - Forecast'!Q60</f>
        <v>0.01</v>
      </c>
      <c r="Q43" s="81">
        <f>'Input 4 - Forecast'!R60</f>
        <v>0.01</v>
      </c>
    </row>
    <row r="44" spans="1:17" s="25" customFormat="1">
      <c r="A44" s="50" t="str">
        <f>'Input 4 - Forecast'!A61</f>
        <v>Type 2</v>
      </c>
      <c r="B44" s="33">
        <f>'Input 4 - Forecast'!C61</f>
        <v>0</v>
      </c>
      <c r="C44" s="34">
        <f>'Input 4 - Forecast'!D61</f>
        <v>0</v>
      </c>
      <c r="D44" s="34">
        <f>'Input 4 - Forecast'!E61</f>
        <v>0</v>
      </c>
      <c r="E44" s="34">
        <f>'Input 4 - Forecast'!F61</f>
        <v>0</v>
      </c>
      <c r="F44" s="34">
        <f>'Input 4 - Forecast'!G61</f>
        <v>0</v>
      </c>
      <c r="G44" s="35">
        <f>'Input 4 - Forecast'!H61</f>
        <v>0</v>
      </c>
      <c r="I44" s="78" t="str">
        <f>'Input 4 - Forecast'!J61</f>
        <v>Annual</v>
      </c>
      <c r="J44" s="79">
        <f>'Input 4 - Forecast'!K61</f>
        <v>0</v>
      </c>
      <c r="K44" s="79">
        <f>'Input 4 - Forecast'!L61</f>
        <v>0</v>
      </c>
      <c r="L44" s="80">
        <f>'Input 4 - Forecast'!M61</f>
        <v>0</v>
      </c>
      <c r="M44" s="80">
        <f>'Input 4 - Forecast'!N61</f>
        <v>0</v>
      </c>
      <c r="N44" s="80">
        <f>'Input 4 - Forecast'!O61</f>
        <v>0</v>
      </c>
      <c r="O44" s="80">
        <f>'Input 4 - Forecast'!P61</f>
        <v>0</v>
      </c>
      <c r="P44" s="80">
        <f>'Input 4 - Forecast'!Q61</f>
        <v>0</v>
      </c>
      <c r="Q44" s="81">
        <f>'Input 4 - Forecast'!R61</f>
        <v>0</v>
      </c>
    </row>
    <row r="45" spans="1:17" s="25" customFormat="1">
      <c r="A45" s="50" t="str">
        <f>'Input 4 - Forecast'!A62</f>
        <v>Type 3</v>
      </c>
      <c r="B45" s="33">
        <f>'Input 4 - Forecast'!C62</f>
        <v>0</v>
      </c>
      <c r="C45" s="34">
        <f>'Input 4 - Forecast'!D62</f>
        <v>0</v>
      </c>
      <c r="D45" s="34">
        <f>'Input 4 - Forecast'!E62</f>
        <v>0</v>
      </c>
      <c r="E45" s="34">
        <f>'Input 4 - Forecast'!F62</f>
        <v>0</v>
      </c>
      <c r="F45" s="34">
        <f>'Input 4 - Forecast'!G62</f>
        <v>0</v>
      </c>
      <c r="G45" s="35">
        <f>'Input 4 - Forecast'!H62</f>
        <v>0</v>
      </c>
      <c r="I45" s="78" t="str">
        <f>'Input 4 - Forecast'!J62</f>
        <v>Annual</v>
      </c>
      <c r="J45" s="79">
        <f>'Input 4 - Forecast'!K62</f>
        <v>0</v>
      </c>
      <c r="K45" s="79">
        <f>'Input 4 - Forecast'!L62</f>
        <v>0</v>
      </c>
      <c r="L45" s="80">
        <f>'Input 4 - Forecast'!M62</f>
        <v>0</v>
      </c>
      <c r="M45" s="80">
        <f>'Input 4 - Forecast'!N62</f>
        <v>0</v>
      </c>
      <c r="N45" s="80">
        <f>'Input 4 - Forecast'!O62</f>
        <v>0</v>
      </c>
      <c r="O45" s="80">
        <f>'Input 4 - Forecast'!P62</f>
        <v>0</v>
      </c>
      <c r="P45" s="80">
        <f>'Input 4 - Forecast'!Q62</f>
        <v>0</v>
      </c>
      <c r="Q45" s="81">
        <f>'Input 4 - Forecast'!R62</f>
        <v>0</v>
      </c>
    </row>
    <row r="46" spans="1:17" s="25" customFormat="1">
      <c r="A46" s="50" t="str">
        <f>'Input 4 - Forecast'!A63</f>
        <v>Type 4</v>
      </c>
      <c r="B46" s="33">
        <f>'Input 4 - Forecast'!C63</f>
        <v>0</v>
      </c>
      <c r="C46" s="34">
        <f>'Input 4 - Forecast'!D63</f>
        <v>0</v>
      </c>
      <c r="D46" s="34">
        <f>'Input 4 - Forecast'!E63</f>
        <v>0</v>
      </c>
      <c r="E46" s="34">
        <f>'Input 4 - Forecast'!F63</f>
        <v>0</v>
      </c>
      <c r="F46" s="34">
        <f>'Input 4 - Forecast'!G63</f>
        <v>0</v>
      </c>
      <c r="G46" s="35">
        <f>'Input 4 - Forecast'!H63</f>
        <v>0</v>
      </c>
      <c r="I46" s="78" t="str">
        <f>'Input 4 - Forecast'!J63</f>
        <v>Annual</v>
      </c>
      <c r="J46" s="79">
        <f>'Input 4 - Forecast'!K63</f>
        <v>0</v>
      </c>
      <c r="K46" s="79">
        <f>'Input 4 - Forecast'!L63</f>
        <v>0</v>
      </c>
      <c r="L46" s="80">
        <f>'Input 4 - Forecast'!M63</f>
        <v>0</v>
      </c>
      <c r="M46" s="80">
        <f>'Input 4 - Forecast'!N63</f>
        <v>0</v>
      </c>
      <c r="N46" s="80">
        <f>'Input 4 - Forecast'!O63</f>
        <v>0</v>
      </c>
      <c r="O46" s="80">
        <f>'Input 4 - Forecast'!P63</f>
        <v>0</v>
      </c>
      <c r="P46" s="80">
        <f>'Input 4 - Forecast'!Q63</f>
        <v>0</v>
      </c>
      <c r="Q46" s="81">
        <f>'Input 4 - Forecast'!R63</f>
        <v>0</v>
      </c>
    </row>
    <row r="47" spans="1:17" s="903" customFormat="1">
      <c r="A47" s="1352" t="str">
        <f>'Input 4 - Forecast'!A64</f>
        <v>ZERO-COUPON BOND</v>
      </c>
      <c r="B47" s="1353">
        <f>'Input 4 - Forecast'!C64</f>
        <v>0</v>
      </c>
      <c r="C47" s="1354">
        <f>'Input 4 - Forecast'!D64</f>
        <v>0</v>
      </c>
      <c r="D47" s="1354">
        <f>'Input 4 - Forecast'!E64</f>
        <v>0</v>
      </c>
      <c r="E47" s="1354">
        <f>'Input 4 - Forecast'!F64</f>
        <v>0</v>
      </c>
      <c r="F47" s="1354">
        <f>'Input 4 - Forecast'!G64</f>
        <v>0</v>
      </c>
      <c r="G47" s="1355">
        <f>'Input 4 - Forecast'!H64</f>
        <v>0</v>
      </c>
      <c r="I47" s="1356">
        <f>'Input 4 - Forecast'!J64</f>
        <v>0</v>
      </c>
      <c r="J47" s="1357">
        <f>'Input 4 - Forecast'!K64</f>
        <v>0</v>
      </c>
      <c r="K47" s="1357">
        <f>'Input 4 - Forecast'!L64</f>
        <v>0</v>
      </c>
      <c r="L47" s="1358">
        <f>'Input 4 - Forecast'!M64</f>
        <v>0</v>
      </c>
      <c r="M47" s="1358">
        <f>'Input 4 - Forecast'!N64</f>
        <v>0</v>
      </c>
      <c r="N47" s="1358">
        <f>'Input 4 - Forecast'!O64</f>
        <v>0</v>
      </c>
      <c r="O47" s="1358">
        <f>'Input 4 - Forecast'!P64</f>
        <v>0</v>
      </c>
      <c r="P47" s="1358">
        <f>'Input 4 - Forecast'!Q64</f>
        <v>0</v>
      </c>
      <c r="Q47" s="1359">
        <f>'Input 4 - Forecast'!R64</f>
        <v>0</v>
      </c>
    </row>
    <row r="48" spans="1:17" s="25" customFormat="1">
      <c r="A48" s="49" t="s">
        <v>1</v>
      </c>
      <c r="B48" s="33"/>
      <c r="C48" s="34"/>
      <c r="D48" s="34"/>
      <c r="E48" s="34"/>
      <c r="F48" s="34"/>
      <c r="G48" s="35"/>
      <c r="I48" s="78"/>
      <c r="J48" s="79"/>
      <c r="K48" s="79"/>
      <c r="L48" s="79"/>
      <c r="M48" s="79"/>
      <c r="N48" s="79"/>
      <c r="O48" s="79"/>
      <c r="P48" s="79"/>
      <c r="Q48" s="82"/>
    </row>
    <row r="49" spans="1:17" s="25" customFormat="1">
      <c r="A49" s="50" t="str">
        <f>'Input 4 - Forecast'!A66</f>
        <v>Type 6</v>
      </c>
      <c r="B49" s="33">
        <f>'Input 4 - Forecast'!C66</f>
        <v>0</v>
      </c>
      <c r="C49" s="34">
        <f>'Input 4 - Forecast'!D66</f>
        <v>0</v>
      </c>
      <c r="D49" s="34">
        <f>'Input 4 - Forecast'!E66</f>
        <v>0</v>
      </c>
      <c r="E49" s="34">
        <f>'Input 4 - Forecast'!F66</f>
        <v>0</v>
      </c>
      <c r="F49" s="34">
        <f>'Input 4 - Forecast'!G66</f>
        <v>0</v>
      </c>
      <c r="G49" s="35">
        <f>'Input 4 - Forecast'!H66</f>
        <v>0</v>
      </c>
      <c r="I49" s="78" t="str">
        <f>'Input 4 - Forecast'!J66</f>
        <v>Annual</v>
      </c>
      <c r="J49" s="79">
        <f>'Input 4 - Forecast'!K66</f>
        <v>0</v>
      </c>
      <c r="K49" s="79">
        <f>'Input 4 - Forecast'!L66</f>
        <v>0</v>
      </c>
      <c r="L49" s="80">
        <f>'Input 4 - Forecast'!M66</f>
        <v>0</v>
      </c>
      <c r="M49" s="80">
        <f>'Input 4 - Forecast'!N66</f>
        <v>0</v>
      </c>
      <c r="N49" s="80">
        <f>'Input 4 - Forecast'!O66</f>
        <v>0</v>
      </c>
      <c r="O49" s="80">
        <f>'Input 4 - Forecast'!P66</f>
        <v>0</v>
      </c>
      <c r="P49" s="80">
        <f>'Input 4 - Forecast'!Q66</f>
        <v>0</v>
      </c>
      <c r="Q49" s="81">
        <f>'Input 4 - Forecast'!R66</f>
        <v>0</v>
      </c>
    </row>
    <row r="50" spans="1:17" s="25" customFormat="1">
      <c r="A50" s="50" t="str">
        <f>'Input 4 - Forecast'!A67</f>
        <v>Type 7</v>
      </c>
      <c r="B50" s="33">
        <f>'Input 4 - Forecast'!C67</f>
        <v>0</v>
      </c>
      <c r="C50" s="34">
        <f>'Input 4 - Forecast'!D67</f>
        <v>0</v>
      </c>
      <c r="D50" s="34">
        <f>'Input 4 - Forecast'!E67</f>
        <v>0</v>
      </c>
      <c r="E50" s="34">
        <f>'Input 4 - Forecast'!F67</f>
        <v>0</v>
      </c>
      <c r="F50" s="34">
        <f>'Input 4 - Forecast'!G67</f>
        <v>0</v>
      </c>
      <c r="G50" s="35">
        <f>'Input 4 - Forecast'!H67</f>
        <v>0</v>
      </c>
      <c r="I50" s="78" t="str">
        <f>'Input 4 - Forecast'!J67</f>
        <v>Annual</v>
      </c>
      <c r="J50" s="79">
        <f>'Input 4 - Forecast'!K67</f>
        <v>0</v>
      </c>
      <c r="K50" s="79">
        <f>'Input 4 - Forecast'!L67</f>
        <v>0</v>
      </c>
      <c r="L50" s="80">
        <f>'Input 4 - Forecast'!M67</f>
        <v>0</v>
      </c>
      <c r="M50" s="80">
        <f>'Input 4 - Forecast'!N67</f>
        <v>0</v>
      </c>
      <c r="N50" s="80">
        <f>'Input 4 - Forecast'!O67</f>
        <v>0</v>
      </c>
      <c r="O50" s="80">
        <f>'Input 4 - Forecast'!P67</f>
        <v>0</v>
      </c>
      <c r="P50" s="80">
        <f>'Input 4 - Forecast'!Q67</f>
        <v>0</v>
      </c>
      <c r="Q50" s="81">
        <f>'Input 4 - Forecast'!R67</f>
        <v>0</v>
      </c>
    </row>
    <row r="51" spans="1:17" s="25" customFormat="1">
      <c r="A51" s="50" t="str">
        <f>'Input 4 - Forecast'!A68</f>
        <v>Type 8</v>
      </c>
      <c r="B51" s="33">
        <f>'Input 4 - Forecast'!C68</f>
        <v>0</v>
      </c>
      <c r="C51" s="34">
        <f>'Input 4 - Forecast'!D68</f>
        <v>0</v>
      </c>
      <c r="D51" s="34">
        <f>'Input 4 - Forecast'!E68</f>
        <v>0</v>
      </c>
      <c r="E51" s="34">
        <f>'Input 4 - Forecast'!F68</f>
        <v>0</v>
      </c>
      <c r="F51" s="34">
        <f>'Input 4 - Forecast'!G68</f>
        <v>0</v>
      </c>
      <c r="G51" s="35">
        <f>'Input 4 - Forecast'!H68</f>
        <v>0</v>
      </c>
      <c r="I51" s="78" t="str">
        <f>'Input 4 - Forecast'!J68</f>
        <v>Annual</v>
      </c>
      <c r="J51" s="79">
        <f>'Input 4 - Forecast'!K68</f>
        <v>0</v>
      </c>
      <c r="K51" s="79">
        <f>'Input 4 - Forecast'!L68</f>
        <v>0</v>
      </c>
      <c r="L51" s="80">
        <f>'Input 4 - Forecast'!M68</f>
        <v>0</v>
      </c>
      <c r="M51" s="80">
        <f>'Input 4 - Forecast'!N68</f>
        <v>0</v>
      </c>
      <c r="N51" s="80">
        <f>'Input 4 - Forecast'!O68</f>
        <v>0</v>
      </c>
      <c r="O51" s="80">
        <f>'Input 4 - Forecast'!P68</f>
        <v>0</v>
      </c>
      <c r="P51" s="80">
        <f>'Input 4 - Forecast'!Q68</f>
        <v>0</v>
      </c>
      <c r="Q51" s="81">
        <f>'Input 4 - Forecast'!R68</f>
        <v>0</v>
      </c>
    </row>
    <row r="52" spans="1:17" s="25" customFormat="1">
      <c r="A52" s="50" t="str">
        <f>'Input 4 - Forecast'!A69</f>
        <v>Type 9</v>
      </c>
      <c r="B52" s="33">
        <f>'Input 4 - Forecast'!C69</f>
        <v>0</v>
      </c>
      <c r="C52" s="34">
        <f>'Input 4 - Forecast'!D69</f>
        <v>0</v>
      </c>
      <c r="D52" s="34">
        <f>'Input 4 - Forecast'!E69</f>
        <v>0</v>
      </c>
      <c r="E52" s="34">
        <f>'Input 4 - Forecast'!F69</f>
        <v>0</v>
      </c>
      <c r="F52" s="34">
        <f>'Input 4 - Forecast'!G69</f>
        <v>0</v>
      </c>
      <c r="G52" s="35">
        <f>'Input 4 - Forecast'!H69</f>
        <v>0</v>
      </c>
      <c r="I52" s="78" t="str">
        <f>'Input 4 - Forecast'!J69</f>
        <v>Annual</v>
      </c>
      <c r="J52" s="79">
        <f>'Input 4 - Forecast'!K69</f>
        <v>0</v>
      </c>
      <c r="K52" s="79">
        <f>'Input 4 - Forecast'!L69</f>
        <v>0</v>
      </c>
      <c r="L52" s="80">
        <f>'Input 4 - Forecast'!M69</f>
        <v>0</v>
      </c>
      <c r="M52" s="80">
        <f>'Input 4 - Forecast'!N69</f>
        <v>0</v>
      </c>
      <c r="N52" s="80">
        <f>'Input 4 - Forecast'!O69</f>
        <v>0</v>
      </c>
      <c r="O52" s="80">
        <f>'Input 4 - Forecast'!P69</f>
        <v>0</v>
      </c>
      <c r="P52" s="80">
        <f>'Input 4 - Forecast'!Q69</f>
        <v>0</v>
      </c>
      <c r="Q52" s="81">
        <f>'Input 4 - Forecast'!R69</f>
        <v>0</v>
      </c>
    </row>
    <row r="53" spans="1:17" s="903" customFormat="1">
      <c r="A53" s="1352" t="str">
        <f>'Input 4 - Forecast'!A70</f>
        <v>ZERO-COUPON BOND</v>
      </c>
      <c r="B53" s="1353">
        <f>'Input 4 - Forecast'!C70</f>
        <v>0</v>
      </c>
      <c r="C53" s="1354">
        <f>'Input 4 - Forecast'!D70</f>
        <v>0</v>
      </c>
      <c r="D53" s="1354">
        <f>'Input 4 - Forecast'!E70</f>
        <v>0</v>
      </c>
      <c r="E53" s="1354">
        <f>'Input 4 - Forecast'!F70</f>
        <v>0</v>
      </c>
      <c r="F53" s="1354">
        <f>'Input 4 - Forecast'!G70</f>
        <v>0</v>
      </c>
      <c r="G53" s="1355">
        <f>'Input 4 - Forecast'!H70</f>
        <v>0</v>
      </c>
      <c r="I53" s="1356">
        <f>'Input 4 - Forecast'!J70</f>
        <v>0</v>
      </c>
      <c r="J53" s="1357">
        <f>'Input 4 - Forecast'!K70</f>
        <v>0</v>
      </c>
      <c r="K53" s="1357">
        <f>'Input 4 - Forecast'!L70</f>
        <v>0</v>
      </c>
      <c r="L53" s="1358">
        <f>'Input 4 - Forecast'!M70</f>
        <v>0</v>
      </c>
      <c r="M53" s="1358">
        <f>'Input 4 - Forecast'!N70</f>
        <v>0</v>
      </c>
      <c r="N53" s="1358">
        <f>'Input 4 - Forecast'!O70</f>
        <v>0</v>
      </c>
      <c r="O53" s="1358">
        <f>'Input 4 - Forecast'!P70</f>
        <v>0</v>
      </c>
      <c r="P53" s="1358">
        <f>'Input 4 - Forecast'!Q70</f>
        <v>0</v>
      </c>
      <c r="Q53" s="1359">
        <f>'Input 4 - Forecast'!R70</f>
        <v>0</v>
      </c>
    </row>
    <row r="54" spans="1:17" s="25" customFormat="1">
      <c r="A54" s="32" t="s">
        <v>1142</v>
      </c>
      <c r="B54" s="33"/>
      <c r="C54" s="34"/>
      <c r="D54" s="34"/>
      <c r="E54" s="34"/>
      <c r="F54" s="34"/>
      <c r="G54" s="35"/>
      <c r="I54" s="78"/>
      <c r="J54" s="79"/>
      <c r="K54" s="79"/>
      <c r="L54" s="79"/>
      <c r="M54" s="79"/>
      <c r="N54" s="79"/>
      <c r="O54" s="79"/>
      <c r="P54" s="79"/>
      <c r="Q54" s="82"/>
    </row>
    <row r="55" spans="1:17" s="25" customFormat="1">
      <c r="A55" s="48" t="s">
        <v>13</v>
      </c>
      <c r="B55" s="33"/>
      <c r="C55" s="34"/>
      <c r="D55" s="34"/>
      <c r="E55" s="34"/>
      <c r="F55" s="34"/>
      <c r="G55" s="35"/>
      <c r="I55" s="78"/>
      <c r="J55" s="79"/>
      <c r="K55" s="79"/>
      <c r="L55" s="79"/>
      <c r="M55" s="79"/>
      <c r="N55" s="79"/>
      <c r="O55" s="79"/>
      <c r="P55" s="79"/>
      <c r="Q55" s="82"/>
    </row>
    <row r="56" spans="1:17" s="25" customFormat="1">
      <c r="A56" s="49" t="s">
        <v>0</v>
      </c>
      <c r="B56" s="33">
        <f>'Input 4 - Forecast'!C73</f>
        <v>0</v>
      </c>
      <c r="C56" s="34">
        <f>'Input 4 - Forecast'!D73</f>
        <v>0</v>
      </c>
      <c r="D56" s="34">
        <f>'Input 4 - Forecast'!E73</f>
        <v>0</v>
      </c>
      <c r="E56" s="34">
        <f>'Input 4 - Forecast'!F73</f>
        <v>0</v>
      </c>
      <c r="F56" s="34">
        <f>'Input 4 - Forecast'!G73</f>
        <v>0</v>
      </c>
      <c r="G56" s="35">
        <f>'Input 4 - Forecast'!H73</f>
        <v>0</v>
      </c>
      <c r="I56" s="78" t="str">
        <f>'Input 4 - Forecast'!J73</f>
        <v>Semi-annual</v>
      </c>
      <c r="J56" s="79">
        <f>'Input 4 - Forecast'!K73</f>
        <v>0</v>
      </c>
      <c r="K56" s="79">
        <f>'Input 4 - Forecast'!L73</f>
        <v>0</v>
      </c>
      <c r="L56" s="80">
        <f>'Input 4 - Forecast'!M73</f>
        <v>0</v>
      </c>
      <c r="M56" s="80">
        <f>'Input 4 - Forecast'!N73</f>
        <v>0</v>
      </c>
      <c r="N56" s="80">
        <f>'Input 4 - Forecast'!O73</f>
        <v>0</v>
      </c>
      <c r="O56" s="80">
        <f>'Input 4 - Forecast'!P73</f>
        <v>0</v>
      </c>
      <c r="P56" s="80">
        <f>'Input 4 - Forecast'!Q73</f>
        <v>0</v>
      </c>
      <c r="Q56" s="81">
        <f>'Input 4 - Forecast'!R73</f>
        <v>0</v>
      </c>
    </row>
    <row r="57" spans="1:17" s="25" customFormat="1">
      <c r="A57" s="49" t="s">
        <v>1</v>
      </c>
      <c r="B57" s="33">
        <f>'Input 4 - Forecast'!C74</f>
        <v>0</v>
      </c>
      <c r="C57" s="34">
        <f>'Input 4 - Forecast'!D74</f>
        <v>0</v>
      </c>
      <c r="D57" s="34">
        <f>'Input 4 - Forecast'!E74</f>
        <v>0</v>
      </c>
      <c r="E57" s="34">
        <f>'Input 4 - Forecast'!F74</f>
        <v>0</v>
      </c>
      <c r="F57" s="34">
        <f>'Input 4 - Forecast'!G74</f>
        <v>0</v>
      </c>
      <c r="G57" s="35">
        <f>'Input 4 - Forecast'!H74</f>
        <v>0</v>
      </c>
      <c r="I57" s="78" t="str">
        <f>'Input 4 - Forecast'!J74</f>
        <v>Semi-annual</v>
      </c>
      <c r="J57" s="79">
        <f>'Input 4 - Forecast'!K74</f>
        <v>0</v>
      </c>
      <c r="K57" s="79">
        <f>'Input 4 - Forecast'!L74</f>
        <v>0</v>
      </c>
      <c r="L57" s="80">
        <f>'Input 4 - Forecast'!M74</f>
        <v>0</v>
      </c>
      <c r="M57" s="80">
        <f>'Input 4 - Forecast'!N74</f>
        <v>0</v>
      </c>
      <c r="N57" s="80">
        <f>'Input 4 - Forecast'!O74</f>
        <v>0</v>
      </c>
      <c r="O57" s="80">
        <f>'Input 4 - Forecast'!P74</f>
        <v>0</v>
      </c>
      <c r="P57" s="80">
        <f>'Input 4 - Forecast'!Q74</f>
        <v>0</v>
      </c>
      <c r="Q57" s="81">
        <f>'Input 4 - Forecast'!R74</f>
        <v>0</v>
      </c>
    </row>
    <row r="58" spans="1:17" s="25" customFormat="1">
      <c r="A58" s="48" t="s">
        <v>14</v>
      </c>
      <c r="B58" s="33"/>
      <c r="C58" s="34"/>
      <c r="D58" s="34"/>
      <c r="E58" s="34"/>
      <c r="F58" s="34"/>
      <c r="G58" s="35"/>
      <c r="I58" s="78"/>
      <c r="J58" s="79"/>
      <c r="K58" s="79"/>
      <c r="L58" s="79"/>
      <c r="M58" s="79"/>
      <c r="N58" s="79"/>
      <c r="O58" s="79"/>
      <c r="P58" s="79"/>
      <c r="Q58" s="82"/>
    </row>
    <row r="59" spans="1:17" s="25" customFormat="1">
      <c r="A59" s="49" t="s">
        <v>0</v>
      </c>
      <c r="B59" s="33"/>
      <c r="C59" s="34"/>
      <c r="D59" s="34"/>
      <c r="E59" s="34"/>
      <c r="F59" s="34"/>
      <c r="G59" s="35"/>
      <c r="I59" s="78"/>
      <c r="J59" s="79"/>
      <c r="K59" s="79"/>
      <c r="L59" s="79"/>
      <c r="M59" s="79"/>
      <c r="N59" s="79"/>
      <c r="O59" s="79"/>
      <c r="P59" s="79"/>
      <c r="Q59" s="82"/>
    </row>
    <row r="60" spans="1:17" s="25" customFormat="1">
      <c r="A60" s="50" t="str">
        <f>'Input 4 - Forecast'!A77</f>
        <v>Type 11</v>
      </c>
      <c r="B60" s="33">
        <f>'Input 4 - Forecast'!C77</f>
        <v>500</v>
      </c>
      <c r="C60" s="34">
        <f>'Input 4 - Forecast'!D77</f>
        <v>1000</v>
      </c>
      <c r="D60" s="34">
        <f>'Input 4 - Forecast'!E77</f>
        <v>1800</v>
      </c>
      <c r="E60" s="34">
        <f>'Input 4 - Forecast'!F77</f>
        <v>1000</v>
      </c>
      <c r="F60" s="34">
        <f>'Input 4 - Forecast'!G77</f>
        <v>500</v>
      </c>
      <c r="G60" s="35">
        <f>'Input 4 - Forecast'!H77</f>
        <v>500</v>
      </c>
      <c r="I60" s="78" t="str">
        <f>'Input 4 - Forecast'!J77</f>
        <v>Annual</v>
      </c>
      <c r="J60" s="79">
        <f>'Input 4 - Forecast'!K77</f>
        <v>10</v>
      </c>
      <c r="K60" s="79">
        <f>'Input 4 - Forecast'!L77</f>
        <v>10</v>
      </c>
      <c r="L60" s="80">
        <f>'Input 4 - Forecast'!M77</f>
        <v>1.125E-2</v>
      </c>
      <c r="M60" s="80">
        <f>'Input 4 - Forecast'!N77</f>
        <v>1.8749999999999999E-2</v>
      </c>
      <c r="N60" s="80">
        <f>'Input 4 - Forecast'!O77</f>
        <v>2.1999999999999999E-2</v>
      </c>
      <c r="O60" s="80">
        <f>'Input 4 - Forecast'!P77</f>
        <v>2.1999999999999999E-2</v>
      </c>
      <c r="P60" s="80">
        <f>'Input 4 - Forecast'!Q77</f>
        <v>2.1999999999999999E-2</v>
      </c>
      <c r="Q60" s="81">
        <f>'Input 4 - Forecast'!R77</f>
        <v>2.1999999999999999E-2</v>
      </c>
    </row>
    <row r="61" spans="1:17" s="25" customFormat="1">
      <c r="A61" s="50" t="str">
        <f>'Input 4 - Forecast'!A78</f>
        <v>Type 12</v>
      </c>
      <c r="B61" s="33">
        <f>'Input 4 - Forecast'!C78</f>
        <v>500</v>
      </c>
      <c r="C61" s="34">
        <f>'Input 4 - Forecast'!D78</f>
        <v>0</v>
      </c>
      <c r="D61" s="34">
        <f>'Input 4 - Forecast'!E78</f>
        <v>0</v>
      </c>
      <c r="E61" s="34">
        <f>'Input 4 - Forecast'!F78</f>
        <v>0</v>
      </c>
      <c r="F61" s="34">
        <f>'Input 4 - Forecast'!G78</f>
        <v>0</v>
      </c>
      <c r="G61" s="35">
        <f>'Input 4 - Forecast'!H78</f>
        <v>0</v>
      </c>
      <c r="I61" s="78" t="str">
        <f>'Input 4 - Forecast'!J78</f>
        <v>Annual</v>
      </c>
      <c r="J61" s="79">
        <f>'Input 4 - Forecast'!K78</f>
        <v>30</v>
      </c>
      <c r="K61" s="79">
        <f>'Input 4 - Forecast'!L78</f>
        <v>30</v>
      </c>
      <c r="L61" s="80">
        <f>'Input 4 - Forecast'!M78</f>
        <v>2.2499999999999999E-2</v>
      </c>
      <c r="M61" s="80">
        <f>'Input 4 - Forecast'!N78</f>
        <v>0</v>
      </c>
      <c r="N61" s="80">
        <f>'Input 4 - Forecast'!O78</f>
        <v>0</v>
      </c>
      <c r="O61" s="80">
        <f>'Input 4 - Forecast'!P78</f>
        <v>0</v>
      </c>
      <c r="P61" s="80">
        <f>'Input 4 - Forecast'!Q78</f>
        <v>0</v>
      </c>
      <c r="Q61" s="81">
        <f>'Input 4 - Forecast'!R78</f>
        <v>0</v>
      </c>
    </row>
    <row r="62" spans="1:17" s="25" customFormat="1">
      <c r="A62" s="50" t="str">
        <f>'Input 4 - Forecast'!A79</f>
        <v>Type 13</v>
      </c>
      <c r="B62" s="33">
        <f>'Input 4 - Forecast'!C79</f>
        <v>0</v>
      </c>
      <c r="C62" s="34">
        <f>'Input 4 - Forecast'!D79</f>
        <v>0</v>
      </c>
      <c r="D62" s="34">
        <f>'Input 4 - Forecast'!E79</f>
        <v>0</v>
      </c>
      <c r="E62" s="34">
        <f>'Input 4 - Forecast'!F79</f>
        <v>0</v>
      </c>
      <c r="F62" s="34">
        <f>'Input 4 - Forecast'!G79</f>
        <v>0</v>
      </c>
      <c r="G62" s="35">
        <f>'Input 4 - Forecast'!H79</f>
        <v>0</v>
      </c>
      <c r="I62" s="78" t="str">
        <f>'Input 4 - Forecast'!J79</f>
        <v>Annual</v>
      </c>
      <c r="J62" s="79">
        <f>'Input 4 - Forecast'!K79</f>
        <v>0</v>
      </c>
      <c r="K62" s="79">
        <f>'Input 4 - Forecast'!L79</f>
        <v>0</v>
      </c>
      <c r="L62" s="80">
        <f>'Input 4 - Forecast'!M79</f>
        <v>0</v>
      </c>
      <c r="M62" s="80">
        <f>'Input 4 - Forecast'!N79</f>
        <v>0</v>
      </c>
      <c r="N62" s="80">
        <f>'Input 4 - Forecast'!O79</f>
        <v>0</v>
      </c>
      <c r="O62" s="80">
        <f>'Input 4 - Forecast'!P79</f>
        <v>0</v>
      </c>
      <c r="P62" s="80">
        <f>'Input 4 - Forecast'!Q79</f>
        <v>0</v>
      </c>
      <c r="Q62" s="81">
        <f>'Input 4 - Forecast'!R79</f>
        <v>0</v>
      </c>
    </row>
    <row r="63" spans="1:17" s="25" customFormat="1">
      <c r="A63" s="50" t="str">
        <f>'Input 4 - Forecast'!A80</f>
        <v>Type 14</v>
      </c>
      <c r="B63" s="33">
        <f>'Input 4 - Forecast'!C80</f>
        <v>0</v>
      </c>
      <c r="C63" s="34">
        <f>'Input 4 - Forecast'!D80</f>
        <v>0</v>
      </c>
      <c r="D63" s="34">
        <f>'Input 4 - Forecast'!E80</f>
        <v>0</v>
      </c>
      <c r="E63" s="34">
        <f>'Input 4 - Forecast'!F80</f>
        <v>0</v>
      </c>
      <c r="F63" s="34">
        <f>'Input 4 - Forecast'!G80</f>
        <v>0</v>
      </c>
      <c r="G63" s="35">
        <f>'Input 4 - Forecast'!H80</f>
        <v>0</v>
      </c>
      <c r="I63" s="78" t="str">
        <f>'Input 4 - Forecast'!J80</f>
        <v>Annual</v>
      </c>
      <c r="J63" s="79">
        <f>'Input 4 - Forecast'!K80</f>
        <v>0</v>
      </c>
      <c r="K63" s="79">
        <f>'Input 4 - Forecast'!L80</f>
        <v>0</v>
      </c>
      <c r="L63" s="80">
        <f>'Input 4 - Forecast'!M80</f>
        <v>0</v>
      </c>
      <c r="M63" s="80">
        <f>'Input 4 - Forecast'!N80</f>
        <v>0</v>
      </c>
      <c r="N63" s="80">
        <f>'Input 4 - Forecast'!O80</f>
        <v>0</v>
      </c>
      <c r="O63" s="80">
        <f>'Input 4 - Forecast'!P80</f>
        <v>0</v>
      </c>
      <c r="P63" s="80">
        <f>'Input 4 - Forecast'!Q80</f>
        <v>0</v>
      </c>
      <c r="Q63" s="81">
        <f>'Input 4 - Forecast'!R80</f>
        <v>0</v>
      </c>
    </row>
    <row r="64" spans="1:17" s="903" customFormat="1">
      <c r="A64" s="1352" t="str">
        <f>'Input 4 - Forecast'!A81</f>
        <v>ZERO-COUPON BOND</v>
      </c>
      <c r="B64" s="1353">
        <f>'Input 4 - Forecast'!C81</f>
        <v>0</v>
      </c>
      <c r="C64" s="1354">
        <f>'Input 4 - Forecast'!D81</f>
        <v>0</v>
      </c>
      <c r="D64" s="1354">
        <f>'Input 4 - Forecast'!E81</f>
        <v>0</v>
      </c>
      <c r="E64" s="1354">
        <f>'Input 4 - Forecast'!F81</f>
        <v>0</v>
      </c>
      <c r="F64" s="1354">
        <f>'Input 4 - Forecast'!G81</f>
        <v>0</v>
      </c>
      <c r="G64" s="1355">
        <f>'Input 4 - Forecast'!H81</f>
        <v>0</v>
      </c>
      <c r="I64" s="1356">
        <f>'Input 4 - Forecast'!J81</f>
        <v>0</v>
      </c>
      <c r="J64" s="1357">
        <f>'Input 4 - Forecast'!K81</f>
        <v>0</v>
      </c>
      <c r="K64" s="1357">
        <f>'Input 4 - Forecast'!L81</f>
        <v>0</v>
      </c>
      <c r="L64" s="1358">
        <f>'Input 4 - Forecast'!M81</f>
        <v>0</v>
      </c>
      <c r="M64" s="1358">
        <f>'Input 4 - Forecast'!N81</f>
        <v>0</v>
      </c>
      <c r="N64" s="1358">
        <f>'Input 4 - Forecast'!O81</f>
        <v>0</v>
      </c>
      <c r="O64" s="1358">
        <f>'Input 4 - Forecast'!P81</f>
        <v>0</v>
      </c>
      <c r="P64" s="1358">
        <f>'Input 4 - Forecast'!Q81</f>
        <v>0</v>
      </c>
      <c r="Q64" s="1359">
        <f>'Input 4 - Forecast'!R81</f>
        <v>0</v>
      </c>
    </row>
    <row r="65" spans="1:27" s="25" customFormat="1">
      <c r="A65" s="49" t="s">
        <v>1</v>
      </c>
      <c r="B65" s="33"/>
      <c r="C65" s="34"/>
      <c r="D65" s="34"/>
      <c r="E65" s="34"/>
      <c r="F65" s="34"/>
      <c r="G65" s="35"/>
      <c r="I65" s="78"/>
      <c r="J65" s="79"/>
      <c r="K65" s="79"/>
      <c r="L65" s="79"/>
      <c r="M65" s="79"/>
      <c r="N65" s="79"/>
      <c r="O65" s="79"/>
      <c r="P65" s="79"/>
      <c r="Q65" s="82"/>
    </row>
    <row r="66" spans="1:27" s="25" customFormat="1">
      <c r="A66" s="50" t="str">
        <f>'Input 4 - Forecast'!A83</f>
        <v>Type 16</v>
      </c>
      <c r="B66" s="33">
        <f>'Input 4 - Forecast'!C83</f>
        <v>0</v>
      </c>
      <c r="C66" s="34">
        <f>'Input 4 - Forecast'!D83</f>
        <v>0</v>
      </c>
      <c r="D66" s="34">
        <f>'Input 4 - Forecast'!E83</f>
        <v>0</v>
      </c>
      <c r="E66" s="34">
        <f>'Input 4 - Forecast'!F83</f>
        <v>0</v>
      </c>
      <c r="F66" s="34">
        <f>'Input 4 - Forecast'!G83</f>
        <v>0</v>
      </c>
      <c r="G66" s="35">
        <f>'Input 4 - Forecast'!H83</f>
        <v>0</v>
      </c>
      <c r="I66" s="78" t="str">
        <f>'Input 4 - Forecast'!J83</f>
        <v>Annual</v>
      </c>
      <c r="J66" s="79">
        <f>'Input 4 - Forecast'!K83</f>
        <v>0</v>
      </c>
      <c r="K66" s="79">
        <f>'Input 4 - Forecast'!L83</f>
        <v>0</v>
      </c>
      <c r="L66" s="80">
        <f>'Input 4 - Forecast'!M83</f>
        <v>0</v>
      </c>
      <c r="M66" s="80">
        <f>'Input 4 - Forecast'!N83</f>
        <v>0</v>
      </c>
      <c r="N66" s="80">
        <f>'Input 4 - Forecast'!O83</f>
        <v>0</v>
      </c>
      <c r="O66" s="80">
        <f>'Input 4 - Forecast'!P83</f>
        <v>0</v>
      </c>
      <c r="P66" s="80">
        <f>'Input 4 - Forecast'!Q83</f>
        <v>0</v>
      </c>
      <c r="Q66" s="81">
        <f>'Input 4 - Forecast'!R83</f>
        <v>0</v>
      </c>
    </row>
    <row r="67" spans="1:27" s="25" customFormat="1">
      <c r="A67" s="50" t="str">
        <f>'Input 4 - Forecast'!A84</f>
        <v>Type 17</v>
      </c>
      <c r="B67" s="33">
        <f>'Input 4 - Forecast'!C84</f>
        <v>0</v>
      </c>
      <c r="C67" s="34">
        <f>'Input 4 - Forecast'!D84</f>
        <v>0</v>
      </c>
      <c r="D67" s="34">
        <f>'Input 4 - Forecast'!E84</f>
        <v>0</v>
      </c>
      <c r="E67" s="34">
        <f>'Input 4 - Forecast'!F84</f>
        <v>0</v>
      </c>
      <c r="F67" s="34">
        <f>'Input 4 - Forecast'!G84</f>
        <v>0</v>
      </c>
      <c r="G67" s="35">
        <f>'Input 4 - Forecast'!H84</f>
        <v>0</v>
      </c>
      <c r="I67" s="78" t="str">
        <f>'Input 4 - Forecast'!J84</f>
        <v>Annual</v>
      </c>
      <c r="J67" s="79">
        <f>'Input 4 - Forecast'!K84</f>
        <v>0</v>
      </c>
      <c r="K67" s="79">
        <f>'Input 4 - Forecast'!L84</f>
        <v>0</v>
      </c>
      <c r="L67" s="80">
        <f>'Input 4 - Forecast'!M84</f>
        <v>0</v>
      </c>
      <c r="M67" s="80">
        <f>'Input 4 - Forecast'!N84</f>
        <v>0</v>
      </c>
      <c r="N67" s="80">
        <f>'Input 4 - Forecast'!O84</f>
        <v>0</v>
      </c>
      <c r="O67" s="80">
        <f>'Input 4 - Forecast'!P84</f>
        <v>0</v>
      </c>
      <c r="P67" s="80">
        <f>'Input 4 - Forecast'!Q84</f>
        <v>0</v>
      </c>
      <c r="Q67" s="81">
        <f>'Input 4 - Forecast'!R84</f>
        <v>0</v>
      </c>
    </row>
    <row r="68" spans="1:27" s="25" customFormat="1">
      <c r="A68" s="50" t="str">
        <f>'Input 4 - Forecast'!A85</f>
        <v>Type 18</v>
      </c>
      <c r="B68" s="33">
        <f>'Input 4 - Forecast'!C85</f>
        <v>0</v>
      </c>
      <c r="C68" s="34">
        <f>'Input 4 - Forecast'!D85</f>
        <v>0</v>
      </c>
      <c r="D68" s="34">
        <f>'Input 4 - Forecast'!E85</f>
        <v>0</v>
      </c>
      <c r="E68" s="34">
        <f>'Input 4 - Forecast'!F85</f>
        <v>0</v>
      </c>
      <c r="F68" s="34">
        <f>'Input 4 - Forecast'!G85</f>
        <v>0</v>
      </c>
      <c r="G68" s="35">
        <f>'Input 4 - Forecast'!H85</f>
        <v>0</v>
      </c>
      <c r="I68" s="78" t="str">
        <f>'Input 4 - Forecast'!J85</f>
        <v>Annual</v>
      </c>
      <c r="J68" s="79">
        <f>'Input 4 - Forecast'!K85</f>
        <v>0</v>
      </c>
      <c r="K68" s="79">
        <f>'Input 4 - Forecast'!L85</f>
        <v>0</v>
      </c>
      <c r="L68" s="80">
        <f>'Input 4 - Forecast'!M85</f>
        <v>0</v>
      </c>
      <c r="M68" s="80">
        <f>'Input 4 - Forecast'!N85</f>
        <v>0</v>
      </c>
      <c r="N68" s="80">
        <f>'Input 4 - Forecast'!O85</f>
        <v>0</v>
      </c>
      <c r="O68" s="80">
        <f>'Input 4 - Forecast'!P85</f>
        <v>0</v>
      </c>
      <c r="P68" s="80">
        <f>'Input 4 - Forecast'!Q85</f>
        <v>0</v>
      </c>
      <c r="Q68" s="81">
        <f>'Input 4 - Forecast'!R85</f>
        <v>0</v>
      </c>
    </row>
    <row r="69" spans="1:27" s="25" customFormat="1">
      <c r="A69" s="50" t="str">
        <f>'Input 4 - Forecast'!A86</f>
        <v>Type 19</v>
      </c>
      <c r="B69" s="33">
        <f>'Input 4 - Forecast'!C86</f>
        <v>0</v>
      </c>
      <c r="C69" s="34">
        <f>'Input 4 - Forecast'!D86</f>
        <v>0</v>
      </c>
      <c r="D69" s="34">
        <f>'Input 4 - Forecast'!E86</f>
        <v>0</v>
      </c>
      <c r="E69" s="34">
        <f>'Input 4 - Forecast'!F86</f>
        <v>0</v>
      </c>
      <c r="F69" s="34">
        <f>'Input 4 - Forecast'!G86</f>
        <v>0</v>
      </c>
      <c r="G69" s="35">
        <f>'Input 4 - Forecast'!H86</f>
        <v>0</v>
      </c>
      <c r="I69" s="78" t="str">
        <f>'Input 4 - Forecast'!J86</f>
        <v>Annual</v>
      </c>
      <c r="J69" s="79">
        <f>'Input 4 - Forecast'!K86</f>
        <v>0</v>
      </c>
      <c r="K69" s="79">
        <f>'Input 4 - Forecast'!L86</f>
        <v>0</v>
      </c>
      <c r="L69" s="80">
        <f>'Input 4 - Forecast'!M86</f>
        <v>0</v>
      </c>
      <c r="M69" s="80">
        <f>'Input 4 - Forecast'!N86</f>
        <v>0</v>
      </c>
      <c r="N69" s="80">
        <f>'Input 4 - Forecast'!O86</f>
        <v>0</v>
      </c>
      <c r="O69" s="80">
        <f>'Input 4 - Forecast'!P86</f>
        <v>0</v>
      </c>
      <c r="P69" s="80">
        <f>'Input 4 - Forecast'!Q86</f>
        <v>0</v>
      </c>
      <c r="Q69" s="81">
        <f>'Input 4 - Forecast'!R86</f>
        <v>0</v>
      </c>
    </row>
    <row r="70" spans="1:27" s="903" customFormat="1" ht="15.75" thickBot="1">
      <c r="A70" s="1360" t="str">
        <f>'Input 4 - Forecast'!A87</f>
        <v>ZERO-COUPON BOND</v>
      </c>
      <c r="B70" s="1361">
        <f>'Input 4 - Forecast'!C87</f>
        <v>0</v>
      </c>
      <c r="C70" s="1362">
        <f>'Input 4 - Forecast'!D87</f>
        <v>0</v>
      </c>
      <c r="D70" s="1362">
        <f>'Input 4 - Forecast'!E87</f>
        <v>0</v>
      </c>
      <c r="E70" s="1362">
        <f>'Input 4 - Forecast'!F87</f>
        <v>0</v>
      </c>
      <c r="F70" s="1362">
        <f>'Input 4 - Forecast'!G87</f>
        <v>0</v>
      </c>
      <c r="G70" s="1363">
        <f>'Input 4 - Forecast'!H87</f>
        <v>0</v>
      </c>
      <c r="I70" s="1364">
        <f>'Input 4 - Forecast'!J87</f>
        <v>0</v>
      </c>
      <c r="J70" s="1365">
        <f>'Input 4 - Forecast'!K87</f>
        <v>0</v>
      </c>
      <c r="K70" s="1365">
        <f>'Input 4 - Forecast'!L87</f>
        <v>0</v>
      </c>
      <c r="L70" s="1366">
        <f>'Input 4 - Forecast'!M87</f>
        <v>0</v>
      </c>
      <c r="M70" s="1366">
        <f>'Input 4 - Forecast'!N87</f>
        <v>0</v>
      </c>
      <c r="N70" s="1366">
        <f>'Input 4 - Forecast'!O87</f>
        <v>0</v>
      </c>
      <c r="O70" s="1366">
        <f>'Input 4 - Forecast'!P87</f>
        <v>0</v>
      </c>
      <c r="P70" s="1366">
        <f>'Input 4 - Forecast'!Q87</f>
        <v>0</v>
      </c>
      <c r="Q70" s="1367">
        <f>'Input 4 - Forecast'!R87</f>
        <v>0</v>
      </c>
    </row>
    <row r="71" spans="1:27" s="25" customFormat="1" ht="6.75" customHeight="1" thickBot="1">
      <c r="B71" s="40"/>
      <c r="C71" s="40"/>
      <c r="D71" s="40"/>
      <c r="E71" s="40"/>
      <c r="F71" s="40"/>
      <c r="G71" s="40"/>
      <c r="I71" s="79"/>
      <c r="J71" s="27"/>
      <c r="K71" s="27"/>
      <c r="L71" s="27"/>
      <c r="M71" s="27"/>
      <c r="N71" s="27"/>
      <c r="O71" s="27"/>
      <c r="P71" s="27"/>
      <c r="Q71" s="27"/>
    </row>
    <row r="72" spans="1:27" s="25" customFormat="1" ht="15.75" thickBot="1">
      <c r="A72" s="44" t="s">
        <v>53</v>
      </c>
      <c r="B72" s="45">
        <f>'Input 4 - Forecast'!C89</f>
        <v>-267.59560614415022</v>
      </c>
      <c r="C72" s="46">
        <f>'Input 4 - Forecast'!D89</f>
        <v>-560.64415055562313</v>
      </c>
      <c r="D72" s="46">
        <f>'Input 4 - Forecast'!E89</f>
        <v>-1123.313868340756</v>
      </c>
      <c r="E72" s="46">
        <f>'Input 4 - Forecast'!F89</f>
        <v>-679.03863783716588</v>
      </c>
      <c r="F72" s="46">
        <f>'Input 4 - Forecast'!G89</f>
        <v>-1274.7202462018522</v>
      </c>
      <c r="G72" s="47">
        <f>'Input 4 - Forecast'!H89</f>
        <v>-1627.0373431026528</v>
      </c>
      <c r="I72" s="51">
        <f>'Input 4 - Forecast'!J89</f>
        <v>0</v>
      </c>
      <c r="J72" s="52">
        <f>'Input 4 - Forecast'!K89</f>
        <v>1</v>
      </c>
      <c r="K72" s="52">
        <f>'Input 4 - Forecast'!L89</f>
        <v>1</v>
      </c>
      <c r="L72" s="85">
        <f>'Input 4 - Forecast'!M89</f>
        <v>0</v>
      </c>
      <c r="M72" s="85">
        <f>'Input 4 - Forecast'!N89</f>
        <v>0</v>
      </c>
      <c r="N72" s="85">
        <f>'Input 4 - Forecast'!O89</f>
        <v>0</v>
      </c>
      <c r="O72" s="85">
        <f>'Input 4 - Forecast'!P89</f>
        <v>0</v>
      </c>
      <c r="P72" s="85">
        <f>'Input 4 - Forecast'!Q89</f>
        <v>0</v>
      </c>
      <c r="Q72" s="88">
        <f>'Input 4 - Forecast'!R89</f>
        <v>0</v>
      </c>
    </row>
    <row r="73" spans="1:27" s="25" customFormat="1">
      <c r="D73" s="26"/>
      <c r="E73" s="26"/>
      <c r="F73" s="26"/>
      <c r="G73" s="26"/>
      <c r="H73" s="26"/>
      <c r="I73" s="26"/>
      <c r="K73" s="27"/>
      <c r="L73" s="27"/>
      <c r="M73" s="27"/>
      <c r="N73" s="27"/>
      <c r="O73" s="27"/>
      <c r="P73" s="27"/>
      <c r="Q73" s="27"/>
      <c r="R73" s="27"/>
    </row>
    <row r="74" spans="1:27" ht="15.75" thickBot="1"/>
    <row r="75" spans="1:27" ht="42" customHeight="1" thickBot="1">
      <c r="A75" s="58"/>
      <c r="B75" s="58"/>
      <c r="C75" s="2006" t="s">
        <v>93</v>
      </c>
      <c r="D75" s="2007"/>
      <c r="E75" s="2007"/>
      <c r="F75" s="2007"/>
      <c r="G75" s="2007"/>
      <c r="H75" s="2007"/>
      <c r="I75" s="2007"/>
      <c r="J75" s="2007"/>
      <c r="K75" s="2007"/>
      <c r="L75" s="2007"/>
      <c r="M75" s="2007"/>
      <c r="N75" s="2007"/>
      <c r="O75" s="2007"/>
      <c r="P75" s="2007"/>
      <c r="Q75" s="2007"/>
      <c r="R75" s="2007"/>
      <c r="S75" s="2007"/>
      <c r="T75" s="2007"/>
      <c r="U75" s="2007"/>
      <c r="V75" s="2007"/>
      <c r="W75" s="2007"/>
      <c r="X75" s="2007"/>
      <c r="Y75" s="2007"/>
      <c r="Z75" s="2007"/>
      <c r="AA75" s="2008"/>
    </row>
    <row r="77" spans="1:27" ht="15.75" thickBot="1">
      <c r="H77" s="7">
        <f>'Input 4 - Forecast'!C9</f>
        <v>2018</v>
      </c>
      <c r="I77" s="7">
        <f>H77+1</f>
        <v>2019</v>
      </c>
      <c r="J77" s="7">
        <f>I77+1</f>
        <v>2020</v>
      </c>
      <c r="K77" s="7">
        <f>J77+1</f>
        <v>2021</v>
      </c>
      <c r="L77" s="7">
        <f>K77+1</f>
        <v>2022</v>
      </c>
      <c r="M77" s="7">
        <f>L77+1</f>
        <v>2023</v>
      </c>
      <c r="O77" s="7">
        <f t="shared" ref="O77:T77" si="7">H77</f>
        <v>2018</v>
      </c>
      <c r="P77" s="7">
        <f t="shared" si="7"/>
        <v>2019</v>
      </c>
      <c r="Q77" s="7">
        <f t="shared" si="7"/>
        <v>2020</v>
      </c>
      <c r="R77" s="7">
        <f t="shared" si="7"/>
        <v>2021</v>
      </c>
      <c r="S77" s="7">
        <f t="shared" si="7"/>
        <v>2022</v>
      </c>
      <c r="T77" s="7">
        <f t="shared" si="7"/>
        <v>2023</v>
      </c>
      <c r="V77" s="7">
        <f t="shared" ref="V77:AA77" si="8">O77</f>
        <v>2018</v>
      </c>
      <c r="W77" s="7">
        <f t="shared" si="8"/>
        <v>2019</v>
      </c>
      <c r="X77" s="7">
        <f t="shared" si="8"/>
        <v>2020</v>
      </c>
      <c r="Y77" s="7">
        <f t="shared" si="8"/>
        <v>2021</v>
      </c>
      <c r="Z77" s="7">
        <f t="shared" si="8"/>
        <v>2022</v>
      </c>
      <c r="AA77" s="7">
        <f t="shared" si="8"/>
        <v>2023</v>
      </c>
    </row>
    <row r="78" spans="1:27" ht="15.75" thickBot="1">
      <c r="C78" s="2009" t="s">
        <v>44</v>
      </c>
      <c r="D78" s="2010"/>
      <c r="E78" s="2010"/>
      <c r="F78" s="2011"/>
      <c r="H78" s="2012" t="s">
        <v>40</v>
      </c>
      <c r="I78" s="2013"/>
      <c r="J78" s="2013"/>
      <c r="K78" s="2013"/>
      <c r="L78" s="2013"/>
      <c r="M78" s="2014"/>
      <c r="O78" s="2015" t="s">
        <v>46</v>
      </c>
      <c r="P78" s="2016"/>
      <c r="Q78" s="2016"/>
      <c r="R78" s="2016"/>
      <c r="S78" s="2016"/>
      <c r="T78" s="2017"/>
      <c r="V78" s="1996" t="s">
        <v>42</v>
      </c>
      <c r="W78" s="1997"/>
      <c r="X78" s="1997"/>
      <c r="Y78" s="1997"/>
      <c r="Z78" s="1997"/>
      <c r="AA78" s="1998"/>
    </row>
    <row r="79" spans="1:27">
      <c r="A79" s="17"/>
      <c r="B79" s="7" t="s">
        <v>45</v>
      </c>
      <c r="C79" s="281" t="s">
        <v>1068</v>
      </c>
      <c r="D79" s="7" t="s">
        <v>43</v>
      </c>
      <c r="E79" s="7" t="s">
        <v>39</v>
      </c>
      <c r="F79" s="7" t="s">
        <v>41</v>
      </c>
    </row>
    <row r="80" spans="1:27">
      <c r="A80" s="17"/>
      <c r="B80" s="7"/>
      <c r="D80" s="7"/>
      <c r="E80" s="7"/>
      <c r="F80" s="7"/>
    </row>
    <row r="81" spans="1:27">
      <c r="A81" s="20" t="str">
        <f>A37</f>
        <v>New Issuance of Domestic Debt (new debt) 1/</v>
      </c>
      <c r="B81" s="6"/>
    </row>
    <row r="82" spans="1:27" customFormat="1" ht="15.75" customHeight="1" thickBot="1">
      <c r="A82" s="21" t="str">
        <f>A38</f>
        <v>Short-term debt 2/</v>
      </c>
      <c r="B82" s="18"/>
      <c r="C82" s="6"/>
      <c r="D82" s="13"/>
      <c r="E82" s="13"/>
      <c r="F82" s="13"/>
      <c r="G82" s="13"/>
      <c r="H82" s="13"/>
      <c r="I82" s="13"/>
      <c r="J82" s="13"/>
      <c r="K82" s="13"/>
      <c r="L82" s="13"/>
      <c r="M82" s="13"/>
      <c r="N82" s="19"/>
      <c r="O82" s="13"/>
      <c r="P82" s="13"/>
      <c r="Q82" s="13"/>
      <c r="R82" s="13"/>
      <c r="S82" s="13"/>
      <c r="T82" s="13"/>
      <c r="V82" s="13"/>
      <c r="W82" s="13"/>
      <c r="X82" s="13"/>
      <c r="Y82" s="13"/>
      <c r="Z82" s="13"/>
      <c r="AA82" s="13"/>
    </row>
    <row r="83" spans="1:27" customFormat="1" ht="15.75" customHeight="1" thickBot="1">
      <c r="A83" s="22" t="str">
        <f>A39</f>
        <v>Denominated in local currency</v>
      </c>
      <c r="B83" s="18"/>
      <c r="C83" s="1999" t="s">
        <v>51</v>
      </c>
      <c r="D83" s="2000"/>
      <c r="E83" s="2000"/>
      <c r="F83" s="2000"/>
      <c r="G83" s="2000"/>
      <c r="H83" s="2000"/>
      <c r="I83" s="2000"/>
      <c r="J83" s="2000"/>
      <c r="K83" s="2000"/>
      <c r="L83" s="2000"/>
      <c r="M83" s="2000"/>
      <c r="N83" s="2000"/>
      <c r="O83" s="2000"/>
      <c r="P83" s="2000"/>
      <c r="Q83" s="2000"/>
      <c r="R83" s="2000"/>
      <c r="S83" s="2000"/>
      <c r="T83" s="2000"/>
      <c r="U83" s="2000"/>
      <c r="V83" s="2000"/>
      <c r="W83" s="2000"/>
      <c r="X83" s="2000"/>
      <c r="Y83" s="2000"/>
      <c r="Z83" s="2000"/>
      <c r="AA83" s="2001"/>
    </row>
    <row r="84" spans="1:27" ht="6.75" customHeight="1">
      <c r="B84" s="6"/>
      <c r="F84" s="15"/>
      <c r="H84" s="10"/>
      <c r="I84" s="10"/>
      <c r="J84" s="10"/>
      <c r="K84" s="10"/>
      <c r="L84" s="10"/>
      <c r="M84" s="10"/>
      <c r="N84" s="10"/>
      <c r="O84" s="10"/>
      <c r="P84" s="10"/>
      <c r="Q84" s="10"/>
      <c r="R84" s="10"/>
      <c r="S84" s="10"/>
      <c r="T84" s="10"/>
      <c r="U84" s="10"/>
      <c r="V84" s="10"/>
      <c r="W84" s="10"/>
      <c r="X84" s="10"/>
      <c r="Y84" s="10"/>
      <c r="Z84" s="10"/>
      <c r="AA84" s="10"/>
    </row>
    <row r="85" spans="1:27" customFormat="1" ht="15" customHeight="1">
      <c r="A85" s="23"/>
      <c r="B85" s="7">
        <f>H77</f>
        <v>2018</v>
      </c>
      <c r="C85" s="13" t="str">
        <f>$I39</f>
        <v>Semi-annual</v>
      </c>
      <c r="D85" s="1346">
        <f>$J39</f>
        <v>0</v>
      </c>
      <c r="E85" s="1346">
        <f>$K39</f>
        <v>0</v>
      </c>
      <c r="F85" s="14">
        <f>$L$39</f>
        <v>0</v>
      </c>
      <c r="G85" s="13"/>
      <c r="H85" s="9">
        <f>$B$39</f>
        <v>0</v>
      </c>
      <c r="I85" s="9">
        <f>H85-P85</f>
        <v>0</v>
      </c>
      <c r="J85" s="9">
        <f>I85-Q85</f>
        <v>0</v>
      </c>
      <c r="K85" s="9">
        <f>J85-R85</f>
        <v>0</v>
      </c>
      <c r="L85" s="9">
        <f>K85-S85</f>
        <v>0</v>
      </c>
      <c r="M85" s="9">
        <f>L85-T85</f>
        <v>0</v>
      </c>
      <c r="N85" s="9"/>
      <c r="O85" s="9">
        <v>0</v>
      </c>
      <c r="P85" s="9">
        <f>H85</f>
        <v>0</v>
      </c>
      <c r="Q85" s="9">
        <v>0</v>
      </c>
      <c r="R85" s="9">
        <v>0</v>
      </c>
      <c r="S85" s="9">
        <v>0</v>
      </c>
      <c r="T85" s="9">
        <v>0</v>
      </c>
      <c r="U85" s="9"/>
      <c r="V85" s="9">
        <f>IF($C85="annual",IF(V$77=$B85,0,G85*$F85),IF(V$77-$B85=0,H85*$F85/2,IF((V$77-$B85)&lt;$E85,AVERAGE(G85,H85)*$F85,IF((V$77-$B85)=$E85,G85*$F85/2,0))))</f>
        <v>0</v>
      </c>
      <c r="W85" s="9">
        <f t="shared" ref="W85:AA88" si="9">IF($C85="annual",IF(W$77=$B85,0,H85*$F85),IF(W$77-$B85=0,I85*$F85/2,IF((W$77-$B85)&lt;$E85,AVERAGE(H85,I85)*$F85,IF((W$77-$B85)=$E85,H85*$F85/2,0))))</f>
        <v>0</v>
      </c>
      <c r="X85" s="9">
        <f t="shared" si="9"/>
        <v>0</v>
      </c>
      <c r="Y85" s="9">
        <f t="shared" si="9"/>
        <v>0</v>
      </c>
      <c r="Z85" s="9">
        <f t="shared" si="9"/>
        <v>0</v>
      </c>
      <c r="AA85" s="9">
        <f t="shared" si="9"/>
        <v>0</v>
      </c>
    </row>
    <row r="86" spans="1:27" customFormat="1" ht="15" customHeight="1">
      <c r="A86" s="23"/>
      <c r="B86" s="7">
        <f>B85+1</f>
        <v>2019</v>
      </c>
      <c r="C86" s="13" t="str">
        <f>C85</f>
        <v>Semi-annual</v>
      </c>
      <c r="D86" s="1346">
        <f>D85</f>
        <v>0</v>
      </c>
      <c r="E86" s="1346">
        <f>E85</f>
        <v>0</v>
      </c>
      <c r="F86" s="14">
        <f>$M$39</f>
        <v>0</v>
      </c>
      <c r="G86" s="13"/>
      <c r="H86" s="9"/>
      <c r="I86" s="9">
        <f>$C$39</f>
        <v>0</v>
      </c>
      <c r="J86" s="9">
        <f>I86-Q86</f>
        <v>0</v>
      </c>
      <c r="K86" s="9">
        <f>J86-R86</f>
        <v>0</v>
      </c>
      <c r="L86" s="9">
        <f>K86-S86</f>
        <v>0</v>
      </c>
      <c r="M86" s="9">
        <f>L86-T86</f>
        <v>0</v>
      </c>
      <c r="N86" s="9"/>
      <c r="O86" s="9"/>
      <c r="P86" s="9">
        <v>0</v>
      </c>
      <c r="Q86" s="9">
        <f>I86</f>
        <v>0</v>
      </c>
      <c r="R86" s="9">
        <v>0</v>
      </c>
      <c r="S86" s="9">
        <v>0</v>
      </c>
      <c r="T86" s="9">
        <v>0</v>
      </c>
      <c r="U86" s="9"/>
      <c r="V86" s="9"/>
      <c r="W86" s="9">
        <f>IF($C86="annual",IF(W$77=$B86,0,H86*$F86),IF(W$77-$B86=0,I86*$F86/2,IF((W$77-$B86)&lt;$E86,AVERAGE(H86,I86)*$F86,IF((W$77-$B86)=$E86,H86*$F86/2,0))))</f>
        <v>0</v>
      </c>
      <c r="X86" s="9">
        <f t="shared" si="9"/>
        <v>0</v>
      </c>
      <c r="Y86" s="9">
        <f t="shared" si="9"/>
        <v>0</v>
      </c>
      <c r="Z86" s="9">
        <f t="shared" si="9"/>
        <v>0</v>
      </c>
      <c r="AA86" s="9">
        <f t="shared" si="9"/>
        <v>0</v>
      </c>
    </row>
    <row r="87" spans="1:27" customFormat="1" ht="15" customHeight="1">
      <c r="A87" s="23"/>
      <c r="B87" s="7">
        <f>B86+1</f>
        <v>2020</v>
      </c>
      <c r="C87" s="13" t="str">
        <f>C86</f>
        <v>Semi-annual</v>
      </c>
      <c r="D87" s="1346">
        <f t="shared" ref="D87:E90" si="10">D86</f>
        <v>0</v>
      </c>
      <c r="E87" s="1346">
        <f t="shared" si="10"/>
        <v>0</v>
      </c>
      <c r="F87" s="14">
        <f>$N$39</f>
        <v>0</v>
      </c>
      <c r="G87" s="13"/>
      <c r="H87" s="9"/>
      <c r="I87" s="9"/>
      <c r="J87" s="9">
        <f>$D$39</f>
        <v>0</v>
      </c>
      <c r="K87" s="9">
        <f>J87-R87</f>
        <v>0</v>
      </c>
      <c r="L87" s="9">
        <f>K87-S87</f>
        <v>0</v>
      </c>
      <c r="M87" s="9">
        <f>L87-T87</f>
        <v>0</v>
      </c>
      <c r="N87" s="9"/>
      <c r="O87" s="9"/>
      <c r="P87" s="9"/>
      <c r="Q87" s="9">
        <v>0</v>
      </c>
      <c r="R87" s="9">
        <f>J87</f>
        <v>0</v>
      </c>
      <c r="S87" s="9">
        <v>0</v>
      </c>
      <c r="T87" s="9">
        <v>0</v>
      </c>
      <c r="U87" s="9"/>
      <c r="V87" s="9"/>
      <c r="W87" s="9"/>
      <c r="X87" s="9">
        <f>IF($C87="annual",IF(X$77=$B87,0,I87*$F87),IF(X$77-$B87=0,J87*$F87/2,IF((X$77-$B87)&lt;$E87,AVERAGE(I87,J87)*$F87,IF((X$77-$B87)=$E87,I87*$F87/2,0))))</f>
        <v>0</v>
      </c>
      <c r="Y87" s="9">
        <f t="shared" si="9"/>
        <v>0</v>
      </c>
      <c r="Z87" s="9">
        <f t="shared" si="9"/>
        <v>0</v>
      </c>
      <c r="AA87" s="9">
        <f t="shared" si="9"/>
        <v>0</v>
      </c>
    </row>
    <row r="88" spans="1:27" customFormat="1" ht="15" customHeight="1">
      <c r="A88" s="23"/>
      <c r="B88" s="7">
        <f>B87+1</f>
        <v>2021</v>
      </c>
      <c r="C88" s="13" t="str">
        <f>C87</f>
        <v>Semi-annual</v>
      </c>
      <c r="D88" s="1346">
        <f t="shared" si="10"/>
        <v>0</v>
      </c>
      <c r="E88" s="1346">
        <f t="shared" si="10"/>
        <v>0</v>
      </c>
      <c r="F88" s="14">
        <f>$O$39</f>
        <v>0</v>
      </c>
      <c r="G88" s="13"/>
      <c r="H88" s="9"/>
      <c r="I88" s="9"/>
      <c r="J88" s="9"/>
      <c r="K88" s="9">
        <f>$E$39</f>
        <v>0</v>
      </c>
      <c r="L88" s="9">
        <f>K88-S88</f>
        <v>0</v>
      </c>
      <c r="M88" s="9">
        <f>L88-T88</f>
        <v>0</v>
      </c>
      <c r="N88" s="9"/>
      <c r="O88" s="9"/>
      <c r="P88" s="9"/>
      <c r="Q88" s="9"/>
      <c r="R88" s="9">
        <v>0</v>
      </c>
      <c r="S88" s="9">
        <f>K88</f>
        <v>0</v>
      </c>
      <c r="T88" s="9">
        <v>0</v>
      </c>
      <c r="U88" s="9"/>
      <c r="V88" s="9"/>
      <c r="W88" s="9"/>
      <c r="X88" s="9"/>
      <c r="Y88" s="9">
        <f>IF($C88="annual",IF(Y$77=$B88,0,J88*$F88),IF(Y$77-$B88=0,K88*$F88/2,IF((Y$77-$B88)&lt;$E88,AVERAGE(J88,K88)*$F88,IF((Y$77-$B88)=$E88,J88*$F88/2,0))))</f>
        <v>0</v>
      </c>
      <c r="Z88" s="9">
        <f t="shared" si="9"/>
        <v>0</v>
      </c>
      <c r="AA88" s="9">
        <f t="shared" si="9"/>
        <v>0</v>
      </c>
    </row>
    <row r="89" spans="1:27" customFormat="1" ht="15" customHeight="1">
      <c r="A89" s="23"/>
      <c r="B89" s="7">
        <f>B88+1</f>
        <v>2022</v>
      </c>
      <c r="C89" s="13" t="str">
        <f>C88</f>
        <v>Semi-annual</v>
      </c>
      <c r="D89" s="1346">
        <f t="shared" si="10"/>
        <v>0</v>
      </c>
      <c r="E89" s="1346">
        <f t="shared" si="10"/>
        <v>0</v>
      </c>
      <c r="F89" s="14">
        <f>$P$39</f>
        <v>0</v>
      </c>
      <c r="G89" s="13"/>
      <c r="H89" s="9"/>
      <c r="I89" s="9"/>
      <c r="J89" s="9"/>
      <c r="K89" s="9"/>
      <c r="L89" s="9">
        <f>$F$39</f>
        <v>0</v>
      </c>
      <c r="M89" s="9">
        <f>L89-T89</f>
        <v>0</v>
      </c>
      <c r="N89" s="9"/>
      <c r="O89" s="9"/>
      <c r="P89" s="9"/>
      <c r="Q89" s="9"/>
      <c r="R89" s="9"/>
      <c r="S89" s="9">
        <v>0</v>
      </c>
      <c r="T89" s="9">
        <f>L89</f>
        <v>0</v>
      </c>
      <c r="U89" s="9"/>
      <c r="V89" s="9"/>
      <c r="W89" s="9"/>
      <c r="X89" s="9"/>
      <c r="Y89" s="9"/>
      <c r="Z89" s="9">
        <f>IF($C89="annual",IF(Z$77=$B89,0,K89*$F89),IF(Z$77-$B89=0,L89*$F89/2,IF((Z$77-$B89)&lt;$E89,AVERAGE(K89,L89)*$F89,IF((Z$77-$B89)=$E89,K89*$F89/2,0))))</f>
        <v>0</v>
      </c>
      <c r="AA89" s="9">
        <f>IF($C89="annual",IF(AA$77=$B89,0,L89*$F89),IF(AA$77-$B89=0,M89*$F89/2,IF((AA$77-$B89)&lt;$E89,AVERAGE(L89,M89)*$F89,IF((AA$77-$B89)=$E89,L89*$F89/2,0))))</f>
        <v>0</v>
      </c>
    </row>
    <row r="90" spans="1:27" customFormat="1" ht="15" customHeight="1">
      <c r="A90" s="23"/>
      <c r="B90" s="7">
        <f>B89+1</f>
        <v>2023</v>
      </c>
      <c r="C90" s="13" t="str">
        <f>C89</f>
        <v>Semi-annual</v>
      </c>
      <c r="D90" s="1346">
        <f t="shared" si="10"/>
        <v>0</v>
      </c>
      <c r="E90" s="1346">
        <f t="shared" si="10"/>
        <v>0</v>
      </c>
      <c r="F90" s="14">
        <f>$Q$39</f>
        <v>0</v>
      </c>
      <c r="G90" s="13"/>
      <c r="H90" s="9"/>
      <c r="I90" s="9"/>
      <c r="J90" s="9"/>
      <c r="K90" s="9"/>
      <c r="L90" s="9"/>
      <c r="M90" s="9">
        <f>$G$39</f>
        <v>0</v>
      </c>
      <c r="N90" s="9"/>
      <c r="O90" s="9"/>
      <c r="P90" s="9"/>
      <c r="Q90" s="9"/>
      <c r="R90" s="9"/>
      <c r="S90" s="9"/>
      <c r="T90" s="9">
        <v>0</v>
      </c>
      <c r="U90" s="9"/>
      <c r="V90" s="9"/>
      <c r="W90" s="9"/>
      <c r="X90" s="9"/>
      <c r="Y90" s="9"/>
      <c r="Z90" s="9"/>
      <c r="AA90" s="9">
        <f>IF($C90="annual",IF(AA$77=$B90,0,L90*$F90),IF(AA$77-$B90=0,M90*$F90/2,IF((AA$77-$B90)&lt;$E90,AVERAGE(L90,M90)*$F90,IF((AA$77-$B90)=$E90,L90*$F90/2,0))))</f>
        <v>0</v>
      </c>
    </row>
    <row r="91" spans="1:27" ht="6.75" customHeight="1" thickBot="1">
      <c r="B91" s="6"/>
      <c r="F91" s="15"/>
      <c r="H91" s="10"/>
      <c r="I91" s="10"/>
      <c r="J91" s="10"/>
      <c r="K91" s="10"/>
      <c r="L91" s="10"/>
      <c r="M91" s="10"/>
      <c r="N91" s="10"/>
      <c r="O91" s="10"/>
      <c r="P91" s="10"/>
      <c r="Q91" s="10"/>
      <c r="R91" s="10"/>
      <c r="S91" s="10"/>
      <c r="T91" s="10"/>
      <c r="U91" s="10"/>
      <c r="V91" s="10"/>
      <c r="W91" s="10"/>
      <c r="X91" s="10"/>
      <c r="Y91" s="10"/>
      <c r="Z91" s="10"/>
      <c r="AA91" s="10"/>
    </row>
    <row r="92" spans="1:27" customFormat="1" ht="15.75" customHeight="1" thickBot="1">
      <c r="A92" s="22" t="str">
        <f>A48</f>
        <v>Denominated in foreign currency</v>
      </c>
      <c r="B92" s="18"/>
      <c r="C92" s="1999" t="s">
        <v>52</v>
      </c>
      <c r="D92" s="2000"/>
      <c r="E92" s="2000"/>
      <c r="F92" s="2000"/>
      <c r="G92" s="2000"/>
      <c r="H92" s="2000"/>
      <c r="I92" s="2000"/>
      <c r="J92" s="2000"/>
      <c r="K92" s="2000"/>
      <c r="L92" s="2000"/>
      <c r="M92" s="2000"/>
      <c r="N92" s="2000"/>
      <c r="O92" s="2000"/>
      <c r="P92" s="2000"/>
      <c r="Q92" s="2000"/>
      <c r="R92" s="2000"/>
      <c r="S92" s="2000"/>
      <c r="T92" s="2000"/>
      <c r="U92" s="2000"/>
      <c r="V92" s="2000"/>
      <c r="W92" s="2000"/>
      <c r="X92" s="2000"/>
      <c r="Y92" s="2000"/>
      <c r="Z92" s="2000"/>
      <c r="AA92" s="2001"/>
    </row>
    <row r="93" spans="1:27" ht="6.75" customHeight="1">
      <c r="B93" s="6"/>
      <c r="F93" s="15"/>
      <c r="H93" s="10"/>
      <c r="I93" s="10"/>
      <c r="J93" s="10"/>
      <c r="K93" s="10"/>
      <c r="L93" s="10"/>
      <c r="M93" s="10"/>
      <c r="N93" s="10"/>
      <c r="O93" s="10"/>
      <c r="P93" s="10"/>
      <c r="Q93" s="10"/>
      <c r="R93" s="10"/>
      <c r="S93" s="10"/>
      <c r="T93" s="10"/>
      <c r="U93" s="10"/>
      <c r="V93" s="10"/>
      <c r="W93" s="10"/>
      <c r="X93" s="10"/>
      <c r="Y93" s="10"/>
      <c r="Z93" s="10"/>
      <c r="AA93" s="10"/>
    </row>
    <row r="94" spans="1:27" customFormat="1" ht="15" customHeight="1">
      <c r="A94" s="23"/>
      <c r="B94" s="7">
        <f>B85</f>
        <v>2018</v>
      </c>
      <c r="C94" s="13" t="str">
        <f>$I40</f>
        <v>Semi-annual</v>
      </c>
      <c r="D94" s="1346">
        <f>$J40</f>
        <v>0</v>
      </c>
      <c r="E94" s="1346">
        <f>$K40</f>
        <v>0</v>
      </c>
      <c r="F94" s="14">
        <f>$L$40</f>
        <v>0</v>
      </c>
      <c r="G94" s="13"/>
      <c r="H94" s="9">
        <f>$B$40/B$8</f>
        <v>0</v>
      </c>
      <c r="I94" s="9">
        <f>H94-P94</f>
        <v>0</v>
      </c>
      <c r="J94" s="9">
        <f>I94-Q94</f>
        <v>0</v>
      </c>
      <c r="K94" s="9">
        <f>J94-R94</f>
        <v>0</v>
      </c>
      <c r="L94" s="9">
        <f>K94-S94</f>
        <v>0</v>
      </c>
      <c r="M94" s="9">
        <f>L94-T94</f>
        <v>0</v>
      </c>
      <c r="N94" s="9"/>
      <c r="O94" s="9">
        <v>0</v>
      </c>
      <c r="P94" s="9">
        <f>H94</f>
        <v>0</v>
      </c>
      <c r="Q94" s="9">
        <v>0</v>
      </c>
      <c r="R94" s="9">
        <v>0</v>
      </c>
      <c r="S94" s="9">
        <v>0</v>
      </c>
      <c r="T94" s="9">
        <v>0</v>
      </c>
      <c r="U94" s="9"/>
      <c r="V94" s="9">
        <f>IF($C94="annual",IF(V$77=$B94,0,G94*$F94),IF(V$77-$B94=0,H94*$F94/2,IF((V$77-$B94)&lt;$E94,AVERAGE(G94,H94)*$F94,IF((V$77-$B94)=$E94,G94*$F94/2,0))))</f>
        <v>0</v>
      </c>
      <c r="W94" s="9">
        <f t="shared" ref="W94:AA97" si="11">IF($C94="annual",IF(W$77=$B94,0,H94*$F94),IF(W$77-$B94=0,I94*$F94/2,IF((W$77-$B94)&lt;$E94,AVERAGE(H94,I94)*$F94,IF((W$77-$B94)=$E94,H94*$F94/2,0))))</f>
        <v>0</v>
      </c>
      <c r="X94" s="9">
        <f t="shared" si="11"/>
        <v>0</v>
      </c>
      <c r="Y94" s="9">
        <f t="shared" si="11"/>
        <v>0</v>
      </c>
      <c r="Z94" s="9">
        <f t="shared" si="11"/>
        <v>0</v>
      </c>
      <c r="AA94" s="9">
        <f t="shared" si="11"/>
        <v>0</v>
      </c>
    </row>
    <row r="95" spans="1:27" customFormat="1" ht="15" customHeight="1">
      <c r="A95" s="23"/>
      <c r="B95" s="7">
        <f>B94+1</f>
        <v>2019</v>
      </c>
      <c r="C95" s="13" t="str">
        <f>C94</f>
        <v>Semi-annual</v>
      </c>
      <c r="D95" s="1346">
        <f>D94</f>
        <v>0</v>
      </c>
      <c r="E95" s="1346">
        <f>E94</f>
        <v>0</v>
      </c>
      <c r="F95" s="14">
        <f>$M$40</f>
        <v>0</v>
      </c>
      <c r="G95" s="13"/>
      <c r="H95" s="9"/>
      <c r="I95" s="9">
        <f>$C$40/C$8</f>
        <v>0</v>
      </c>
      <c r="J95" s="9">
        <f>I95-Q95</f>
        <v>0</v>
      </c>
      <c r="K95" s="9">
        <f>J95-R95</f>
        <v>0</v>
      </c>
      <c r="L95" s="9">
        <f>K95-S95</f>
        <v>0</v>
      </c>
      <c r="M95" s="9">
        <f>L95-T95</f>
        <v>0</v>
      </c>
      <c r="N95" s="9"/>
      <c r="O95" s="9"/>
      <c r="P95" s="9">
        <v>0</v>
      </c>
      <c r="Q95" s="9">
        <f>I95</f>
        <v>0</v>
      </c>
      <c r="R95" s="9">
        <v>0</v>
      </c>
      <c r="S95" s="9">
        <v>0</v>
      </c>
      <c r="T95" s="9">
        <v>0</v>
      </c>
      <c r="U95" s="9"/>
      <c r="V95" s="9"/>
      <c r="W95" s="9">
        <f>IF($C95="annual",IF(W$77=$B95,0,H95*$F95),IF(W$77-$B95=0,I95*$F95/2,IF((W$77-$B95)&lt;$E95,AVERAGE(H95,I95)*$F95,IF((W$77-$B95)=$E95,H95*$F95/2,0))))</f>
        <v>0</v>
      </c>
      <c r="X95" s="9">
        <f t="shared" si="11"/>
        <v>0</v>
      </c>
      <c r="Y95" s="9">
        <f t="shared" si="11"/>
        <v>0</v>
      </c>
      <c r="Z95" s="9">
        <f t="shared" si="11"/>
        <v>0</v>
      </c>
      <c r="AA95" s="9">
        <f t="shared" si="11"/>
        <v>0</v>
      </c>
    </row>
    <row r="96" spans="1:27" customFormat="1" ht="15" customHeight="1">
      <c r="A96" s="23"/>
      <c r="B96" s="7">
        <f>B95+1</f>
        <v>2020</v>
      </c>
      <c r="C96" s="13" t="str">
        <f>C95</f>
        <v>Semi-annual</v>
      </c>
      <c r="D96" s="1346">
        <f t="shared" ref="D96:E99" si="12">D95</f>
        <v>0</v>
      </c>
      <c r="E96" s="1346">
        <f t="shared" si="12"/>
        <v>0</v>
      </c>
      <c r="F96" s="14">
        <f>$N$40</f>
        <v>0</v>
      </c>
      <c r="G96" s="13"/>
      <c r="H96" s="9"/>
      <c r="I96" s="9"/>
      <c r="J96" s="9">
        <f>$D$40/D$8</f>
        <v>0</v>
      </c>
      <c r="K96" s="9">
        <f>J96-R96</f>
        <v>0</v>
      </c>
      <c r="L96" s="9">
        <f>K96-S96</f>
        <v>0</v>
      </c>
      <c r="M96" s="9">
        <f>L96-T96</f>
        <v>0</v>
      </c>
      <c r="N96" s="9"/>
      <c r="O96" s="9"/>
      <c r="P96" s="9"/>
      <c r="Q96" s="9">
        <v>0</v>
      </c>
      <c r="R96" s="9">
        <f>J96</f>
        <v>0</v>
      </c>
      <c r="S96" s="9">
        <v>0</v>
      </c>
      <c r="T96" s="9">
        <v>0</v>
      </c>
      <c r="U96" s="9"/>
      <c r="V96" s="9"/>
      <c r="W96" s="9"/>
      <c r="X96" s="9">
        <f>IF($C96="annual",IF(X$77=$B96,0,I96*$F96),IF(X$77-$B96=0,J96*$F96/2,IF((X$77-$B96)&lt;$E96,AVERAGE(I96,J96)*$F96,IF((X$77-$B96)=$E96,I96*$F96/2,0))))</f>
        <v>0</v>
      </c>
      <c r="Y96" s="9">
        <f t="shared" si="11"/>
        <v>0</v>
      </c>
      <c r="Z96" s="9">
        <f t="shared" si="11"/>
        <v>0</v>
      </c>
      <c r="AA96" s="9">
        <f t="shared" si="11"/>
        <v>0</v>
      </c>
    </row>
    <row r="97" spans="1:28" customFormat="1" ht="15" customHeight="1">
      <c r="A97" s="23"/>
      <c r="B97" s="7">
        <f>B96+1</f>
        <v>2021</v>
      </c>
      <c r="C97" s="13" t="str">
        <f>C96</f>
        <v>Semi-annual</v>
      </c>
      <c r="D97" s="1346">
        <f t="shared" si="12"/>
        <v>0</v>
      </c>
      <c r="E97" s="1346">
        <f t="shared" si="12"/>
        <v>0</v>
      </c>
      <c r="F97" s="14">
        <f>$O$40</f>
        <v>0</v>
      </c>
      <c r="G97" s="13"/>
      <c r="H97" s="9"/>
      <c r="I97" s="9"/>
      <c r="J97" s="9"/>
      <c r="K97" s="9">
        <f>$E$40/E$8</f>
        <v>0</v>
      </c>
      <c r="L97" s="9">
        <f>K97-S97</f>
        <v>0</v>
      </c>
      <c r="M97" s="9">
        <f>L97-T97</f>
        <v>0</v>
      </c>
      <c r="N97" s="9"/>
      <c r="O97" s="9"/>
      <c r="P97" s="9"/>
      <c r="Q97" s="9"/>
      <c r="R97" s="9">
        <v>0</v>
      </c>
      <c r="S97" s="9">
        <f>K97</f>
        <v>0</v>
      </c>
      <c r="T97" s="9">
        <v>0</v>
      </c>
      <c r="U97" s="9"/>
      <c r="V97" s="9"/>
      <c r="W97" s="9"/>
      <c r="X97" s="9"/>
      <c r="Y97" s="9">
        <f>IF($C97="annual",IF(Y$77=$B97,0,J97*$F97),IF(Y$77-$B97=0,K97*$F97/2,IF((Y$77-$B97)&lt;$E97,AVERAGE(J97,K97)*$F97,IF((Y$77-$B97)=$E97,J97*$F97/2,0))))</f>
        <v>0</v>
      </c>
      <c r="Z97" s="9">
        <f t="shared" si="11"/>
        <v>0</v>
      </c>
      <c r="AA97" s="9">
        <f t="shared" si="11"/>
        <v>0</v>
      </c>
    </row>
    <row r="98" spans="1:28" customFormat="1" ht="15" customHeight="1">
      <c r="A98" s="23"/>
      <c r="B98" s="7">
        <f>B97+1</f>
        <v>2022</v>
      </c>
      <c r="C98" s="13" t="str">
        <f>C97</f>
        <v>Semi-annual</v>
      </c>
      <c r="D98" s="1346">
        <f t="shared" si="12"/>
        <v>0</v>
      </c>
      <c r="E98" s="1346">
        <f t="shared" si="12"/>
        <v>0</v>
      </c>
      <c r="F98" s="14">
        <f>$P$40</f>
        <v>0</v>
      </c>
      <c r="G98" s="13"/>
      <c r="H98" s="9"/>
      <c r="I98" s="9"/>
      <c r="J98" s="9"/>
      <c r="K98" s="9"/>
      <c r="L98" s="9">
        <f>$F$40/F$8</f>
        <v>0</v>
      </c>
      <c r="M98" s="9">
        <f>L98-T98</f>
        <v>0</v>
      </c>
      <c r="N98" s="9"/>
      <c r="O98" s="9"/>
      <c r="P98" s="9"/>
      <c r="Q98" s="9"/>
      <c r="R98" s="9"/>
      <c r="S98" s="9">
        <v>0</v>
      </c>
      <c r="T98" s="9">
        <f>L98</f>
        <v>0</v>
      </c>
      <c r="U98" s="9"/>
      <c r="V98" s="9"/>
      <c r="W98" s="9"/>
      <c r="X98" s="9"/>
      <c r="Y98" s="9"/>
      <c r="Z98" s="9">
        <f>IF($C98="annual",IF(Z$77=$B98,0,K98*$F98),IF(Z$77-$B98=0,L98*$F98/2,IF((Z$77-$B98)&lt;$E98,AVERAGE(K98,L98)*$F98,IF((Z$77-$B98)=$E98,K98*$F98/2,0))))</f>
        <v>0</v>
      </c>
      <c r="AA98" s="9">
        <f>IF($C98="annual",IF(AA$77=$B98,0,L98*$F98),IF(AA$77-$B98=0,M98*$F98/2,IF((AA$77-$B98)&lt;$E98,AVERAGE(L98,M98)*$F98,IF((AA$77-$B98)=$E98,L98*$F98/2,0))))</f>
        <v>0</v>
      </c>
    </row>
    <row r="99" spans="1:28" customFormat="1" ht="15" customHeight="1">
      <c r="A99" s="23"/>
      <c r="B99" s="7">
        <f>B98+1</f>
        <v>2023</v>
      </c>
      <c r="C99" s="13" t="str">
        <f>C98</f>
        <v>Semi-annual</v>
      </c>
      <c r="D99" s="1346">
        <f t="shared" si="12"/>
        <v>0</v>
      </c>
      <c r="E99" s="1346">
        <f t="shared" si="12"/>
        <v>0</v>
      </c>
      <c r="F99" s="14">
        <f>$Q$40</f>
        <v>0</v>
      </c>
      <c r="G99" s="13"/>
      <c r="H99" s="9"/>
      <c r="I99" s="9"/>
      <c r="J99" s="9"/>
      <c r="K99" s="9"/>
      <c r="L99" s="9"/>
      <c r="M99" s="9">
        <f>$G$40/G$8</f>
        <v>0</v>
      </c>
      <c r="N99" s="9"/>
      <c r="O99" s="9"/>
      <c r="P99" s="9"/>
      <c r="Q99" s="9"/>
      <c r="R99" s="9"/>
      <c r="S99" s="9"/>
      <c r="T99" s="9">
        <v>0</v>
      </c>
      <c r="U99" s="9"/>
      <c r="V99" s="9"/>
      <c r="W99" s="9"/>
      <c r="X99" s="9"/>
      <c r="Y99" s="9"/>
      <c r="Z99" s="9"/>
      <c r="AA99" s="9">
        <f>IF($C99="annual",IF(AA$77=$B99,0,L99*$F99),IF(AA$77-$B99=0,M99*$F99/2,IF((AA$77-$B99)&lt;$E99,AVERAGE(L99,M99)*$F99,IF((AA$77-$B99)=$E99,L99*$F99/2,0))))</f>
        <v>0</v>
      </c>
    </row>
    <row r="100" spans="1:28" ht="6.75" customHeight="1">
      <c r="B100" s="6"/>
    </row>
    <row r="101" spans="1:28" ht="15.75" customHeight="1" thickBot="1">
      <c r="A101" s="11" t="str">
        <f>A41</f>
        <v>Long-term debt 3/</v>
      </c>
      <c r="B101" s="6"/>
      <c r="D101" s="13"/>
      <c r="E101" s="13"/>
      <c r="F101" s="13"/>
      <c r="G101" s="13"/>
      <c r="H101" s="13"/>
      <c r="I101" s="13"/>
      <c r="J101" s="13"/>
      <c r="K101" s="13"/>
      <c r="L101" s="13"/>
      <c r="M101" s="13"/>
      <c r="N101" s="19"/>
      <c r="O101" s="13"/>
      <c r="P101" s="13"/>
      <c r="Q101" s="13"/>
      <c r="R101" s="13"/>
      <c r="S101" s="13"/>
      <c r="T101" s="13"/>
      <c r="U101" s="284"/>
      <c r="V101" s="13"/>
      <c r="W101" s="13"/>
      <c r="X101" s="13"/>
      <c r="Y101" s="13"/>
      <c r="Z101" s="13"/>
      <c r="AA101" s="13"/>
    </row>
    <row r="102" spans="1:28" ht="15.75" customHeight="1" thickBot="1">
      <c r="A102" s="12" t="str">
        <f>A42</f>
        <v>Denominated in local currency</v>
      </c>
      <c r="B102" s="6"/>
      <c r="C102" s="1999" t="s">
        <v>51</v>
      </c>
      <c r="D102" s="2000"/>
      <c r="E102" s="2000"/>
      <c r="F102" s="2000"/>
      <c r="G102" s="2000"/>
      <c r="H102" s="2000"/>
      <c r="I102" s="2000"/>
      <c r="J102" s="2000"/>
      <c r="K102" s="2000"/>
      <c r="L102" s="2000"/>
      <c r="M102" s="2000"/>
      <c r="N102" s="2000"/>
      <c r="O102" s="2000"/>
      <c r="P102" s="2000"/>
      <c r="Q102" s="2000"/>
      <c r="R102" s="2000"/>
      <c r="S102" s="2000"/>
      <c r="T102" s="2000"/>
      <c r="U102" s="2000"/>
      <c r="V102" s="2000"/>
      <c r="W102" s="2000"/>
      <c r="X102" s="2000"/>
      <c r="Y102" s="2000"/>
      <c r="Z102" s="2000"/>
      <c r="AA102" s="2001"/>
    </row>
    <row r="103" spans="1:28" ht="6.75" customHeight="1">
      <c r="B103" s="6"/>
    </row>
    <row r="104" spans="1:28" ht="15" customHeight="1">
      <c r="A104" s="8" t="str">
        <f>A43</f>
        <v>Type 1</v>
      </c>
      <c r="B104" s="7">
        <f>B85</f>
        <v>2018</v>
      </c>
      <c r="C104" s="7" t="str">
        <f>$I43</f>
        <v>Annual</v>
      </c>
      <c r="D104" s="7">
        <f>$J43</f>
        <v>5</v>
      </c>
      <c r="E104" s="7">
        <f>$K43</f>
        <v>5</v>
      </c>
      <c r="F104" s="14">
        <f>$L$43</f>
        <v>5.0000000000000001E-3</v>
      </c>
      <c r="H104" s="1633">
        <f>$B$43</f>
        <v>330</v>
      </c>
      <c r="I104" s="1633">
        <f>H104-P104</f>
        <v>330</v>
      </c>
      <c r="J104" s="1633">
        <f>I104-Q104</f>
        <v>330</v>
      </c>
      <c r="K104" s="1633">
        <f>J104-R104</f>
        <v>330</v>
      </c>
      <c r="L104" s="1633">
        <f>K104-S104</f>
        <v>330</v>
      </c>
      <c r="M104" s="1633">
        <f>L104-T104</f>
        <v>0</v>
      </c>
      <c r="N104" s="1633"/>
      <c r="O104" s="1633">
        <f t="shared" ref="O104:T104" si="13">IF(OR($C104="Annual",$D104=$E104),IF(AND($D104=$E104,O$77=$B104+$D104),$H104,IF(AND(O$77&gt;$B104+$D104,O$77&lt;=$B104+$E104), $H104/($E104-$D104),0)), IF(OR(O$77=$B104+$D104,O$77=$B104+$E104),$H104/(($E104-$D104)*2),IF(AND(O$77&gt;$B104+$D104,O$77&lt;$B104+$E104),$H104/($E104-$D104),0)))</f>
        <v>0</v>
      </c>
      <c r="P104" s="1633">
        <f t="shared" si="13"/>
        <v>0</v>
      </c>
      <c r="Q104" s="1633">
        <f t="shared" si="13"/>
        <v>0</v>
      </c>
      <c r="R104" s="1633">
        <f t="shared" si="13"/>
        <v>0</v>
      </c>
      <c r="S104" s="1633">
        <f t="shared" si="13"/>
        <v>0</v>
      </c>
      <c r="T104" s="1633">
        <f t="shared" si="13"/>
        <v>330</v>
      </c>
      <c r="U104" s="9"/>
      <c r="V104" s="1633">
        <f>IF($C104="annual",IF(V$77=$B104,0,G104*$F104),IF(V$77-$B104=0,H104*$F104/2,IF((V$77-$B104)&lt;$E104,AVERAGE(G104,H104)*$F104,IF((V$77-$B104)=$E104,G104*$F104/2,0))))</f>
        <v>0</v>
      </c>
      <c r="W104" s="1633">
        <f t="shared" ref="W104:AA107" si="14">IF($C104="annual",IF(W$77=$B104,0,H104*$F104),IF(W$77-$B104=0,I104*$F104/2,IF((W$77-$B104)&lt;$E104,AVERAGE(H104,I104)*$F104,IF((W$77-$B104)=$E104,H104*$F104/2,0))))</f>
        <v>1.6500000000000001</v>
      </c>
      <c r="X104" s="1633">
        <f>IF($C104="annual",IF(X$77=$B104,0,I104*$F104),IF(X$77-$B104=0,J104*$F104/2,IF((X$77-$B104)&lt;$E104,AVERAGE(I104,J104)*$F104,IF((X$77-$B104)=$E104,I104*$F104/2,0))))</f>
        <v>1.6500000000000001</v>
      </c>
      <c r="Y104" s="1633">
        <f t="shared" si="14"/>
        <v>1.6500000000000001</v>
      </c>
      <c r="Z104" s="1633">
        <f t="shared" si="14"/>
        <v>1.6500000000000001</v>
      </c>
      <c r="AA104" s="1633">
        <f>IF($C104="annual",IF(AA$77=$B104,0,L104*$F104),IF(AA$77-$B104=0,M104*$F104/2,IF((AA$77-$B104)&lt;$E104,AVERAGE(L104,M104)*$F104,IF((AA$77-$B104)=$E104,L104*$F104/2,0))))</f>
        <v>1.6500000000000001</v>
      </c>
      <c r="AB104" s="1634"/>
    </row>
    <row r="105" spans="1:28" ht="15" customHeight="1">
      <c r="A105" s="8" t="str">
        <f>A104</f>
        <v>Type 1</v>
      </c>
      <c r="B105" s="7">
        <f>B104+1</f>
        <v>2019</v>
      </c>
      <c r="C105" s="7" t="str">
        <f>C104</f>
        <v>Annual</v>
      </c>
      <c r="D105" s="7">
        <f>D104</f>
        <v>5</v>
      </c>
      <c r="E105" s="7">
        <f>E104</f>
        <v>5</v>
      </c>
      <c r="F105" s="14">
        <f>$M$43</f>
        <v>5.0000000000000001E-3</v>
      </c>
      <c r="H105" s="1633"/>
      <c r="I105" s="1633">
        <f>$C$43</f>
        <v>420</v>
      </c>
      <c r="J105" s="1633">
        <f>I105-Q105</f>
        <v>420</v>
      </c>
      <c r="K105" s="1633">
        <f>J105-R105</f>
        <v>420</v>
      </c>
      <c r="L105" s="1633">
        <f>K105-S105</f>
        <v>420</v>
      </c>
      <c r="M105" s="1633">
        <f>L105-T105</f>
        <v>420</v>
      </c>
      <c r="N105" s="1633"/>
      <c r="O105" s="1633"/>
      <c r="P105" s="1633">
        <f>IF(OR($C105="Annual",$D105=$E105),IF(AND($D105=$E105,P$77=$B105+$D105),$I105,IF(AND(P$77&gt;$B105+$D105,P$77&lt;=$B105+$E105), $I105/($E105-$D105),0)), IF(OR(P$77=$B105+$D105,P$77=$B105+$E105),$I105/(($E105-$D105)*2),IF(AND(P$77&gt;$B105+$D105,P$77&lt;$B105+$E105),$I105/($E105-$D105),0)))</f>
        <v>0</v>
      </c>
      <c r="Q105" s="1633">
        <f>IF(OR($C105="Annual",$D105=$E105),IF(AND($D105=$E105,Q$77=$B105+$D105),$I105,IF(AND(Q$77&gt;$B105+$D105,Q$77&lt;=$B105+$E105), $I105/($E105-$D105),0)), IF(OR(Q$77=$B105+$D105,Q$77=$B105+$E105),$I105/(($E105-$D105)*2),IF(AND(Q$77&gt;$B105+$D105,Q$77&lt;$B105+$E105),$I105/($E105-$D105),0)))</f>
        <v>0</v>
      </c>
      <c r="R105" s="1633">
        <f>IF(OR($C105="Annual",$D105=$E105),IF(AND($D105=$E105,R$77=$B105+$D105),$I105,IF(AND(R$77&gt;$B105+$D105,R$77&lt;=$B105+$E105), $I105/($E105-$D105),0)), IF(OR(R$77=$B105+$D105,R$77=$B105+$E105),$I105/(($E105-$D105)*2),IF(AND(R$77&gt;$B105+$D105,R$77&lt;$B105+$E105),$I105/($E105-$D105),0)))</f>
        <v>0</v>
      </c>
      <c r="S105" s="1633">
        <f>IF(OR($C105="Annual",$D105=$E105),IF(AND($D105=$E105,S$77=$B105+$D105),$I105,IF(AND(S$77&gt;$B105+$D105,S$77&lt;=$B105+$E105), $I105/($E105-$D105),0)), IF(OR(S$77=$B105+$D105,S$77=$B105+$E105),$I105/(($E105-$D105)*2),IF(AND(S$77&gt;$B105+$D105,S$77&lt;$B105+$E105),$I105/($E105-$D105),0)))</f>
        <v>0</v>
      </c>
      <c r="T105" s="1633">
        <f>IF(OR($C105="Annual",$D105=$E105),IF(AND($D105=$E105,T$77=$B105+$D105),$I105,IF(AND(T$77&gt;$B105+$D105,T$77&lt;=$B105+$E105), $I105/($E105-$D105),0)), IF(OR(T$77=$B105+$D105,T$77=$B105+$E105),$I105/(($E105-$D105)*2),IF(AND(T$77&gt;$B105+$D105,T$77&lt;$B105+$E105),$I105/($E105-$D105),0)))</f>
        <v>0</v>
      </c>
      <c r="U105" s="9"/>
      <c r="V105" s="1633"/>
      <c r="W105" s="1633">
        <f>IF($C105="annual",IF(W$77=$B105,0,H105*$F105),IF(W$77-$B105=0,I105*$F105/2,IF((W$77-$B105)&lt;$E105,AVERAGE(H105,I105)*$F105,IF((W$77-$B105)=$E105,H105*$F105/2,0))))</f>
        <v>0</v>
      </c>
      <c r="X105" s="1633">
        <f t="shared" si="14"/>
        <v>2.1</v>
      </c>
      <c r="Y105" s="1633">
        <f t="shared" si="14"/>
        <v>2.1</v>
      </c>
      <c r="Z105" s="1633">
        <f t="shared" si="14"/>
        <v>2.1</v>
      </c>
      <c r="AA105" s="1633">
        <f t="shared" si="14"/>
        <v>2.1</v>
      </c>
    </row>
    <row r="106" spans="1:28" ht="15" customHeight="1">
      <c r="A106" s="8" t="str">
        <f>A105</f>
        <v>Type 1</v>
      </c>
      <c r="B106" s="7">
        <f>B105+1</f>
        <v>2020</v>
      </c>
      <c r="C106" s="7" t="str">
        <f>C105</f>
        <v>Annual</v>
      </c>
      <c r="D106" s="7">
        <f t="shared" ref="D106:E109" si="15">D105</f>
        <v>5</v>
      </c>
      <c r="E106" s="7">
        <f t="shared" si="15"/>
        <v>5</v>
      </c>
      <c r="F106" s="14">
        <f>$N$43</f>
        <v>0.01</v>
      </c>
      <c r="H106" s="1633"/>
      <c r="I106" s="1633"/>
      <c r="J106" s="1633">
        <f>$D$43</f>
        <v>120</v>
      </c>
      <c r="K106" s="1633">
        <f>J106-R106</f>
        <v>120</v>
      </c>
      <c r="L106" s="1633">
        <f>K106-S106</f>
        <v>120</v>
      </c>
      <c r="M106" s="1633">
        <f>L106-T106</f>
        <v>120</v>
      </c>
      <c r="N106" s="1633"/>
      <c r="O106" s="1633"/>
      <c r="P106" s="1633"/>
      <c r="Q106" s="1633">
        <f>IF(OR($C106="Annual",$D106=$E106),IF(AND($D106=$E106,Q$77=$B106+$D106),$J106,IF(AND(Q$77&gt;$B106+$D106,Q$77&lt;=$B106+$E106), $J106/($E106-$D106),0)), IF(OR(Q$77=$B106+$D106,Q$77=$B106+$E106),$J106/(($E106-$D106)*2),IF(AND(Q$77&gt;$B106+$D106,Q$77&lt;$B106+$E106),$J106/($E106-$D106),0)))</f>
        <v>0</v>
      </c>
      <c r="R106" s="1633">
        <f>IF(OR($C106="Annual",$D106=$E106),IF(AND($D106=$E106,R$77=$B106+$D106),$J106,IF(AND(R$77&gt;$B106+$D106,R$77&lt;=$B106+$E106), $J106/($E106-$D106),0)), IF(OR(R$77=$B106+$D106,R$77=$B106+$E106),$J106/(($E106-$D106)*2),IF(AND(R$77&gt;$B106+$D106,R$77&lt;$B106+$E106),$J106/($E106-$D106),0)))</f>
        <v>0</v>
      </c>
      <c r="S106" s="1633">
        <f>IF(OR($C106="Annual",$D106=$E106),IF(AND($D106=$E106,S$77=$B106+$D106),$J106,IF(AND(S$77&gt;$B106+$D106,S$77&lt;=$B106+$E106), $J106/($E106-$D106),0)), IF(OR(S$77=$B106+$D106,S$77=$B106+$E106),$J106/(($E106-$D106)*2),IF(AND(S$77&gt;$B106+$D106,S$77&lt;$B106+$E106),$J106/($E106-$D106),0)))</f>
        <v>0</v>
      </c>
      <c r="T106" s="1633">
        <f>IF(OR($C106="Annual",$D106=$E106),IF(AND($D106=$E106,T$77=$B106+$D106),$J106,IF(AND(T$77&gt;$B106+$D106,T$77&lt;=$B106+$E106), $J106/($E106-$D106),0)), IF(OR(T$77=$B106+$D106,T$77=$B106+$E106),$J106/(($E106-$D106)*2),IF(AND(T$77&gt;$B106+$D106,T$77&lt;$B106+$E106),$J106/($E106-$D106),0)))</f>
        <v>0</v>
      </c>
      <c r="U106" s="9"/>
      <c r="V106" s="1633"/>
      <c r="W106" s="1633"/>
      <c r="X106" s="1633">
        <f>IF($C106="annual",IF(X$77=$B106,0,I106*$F106),IF(X$77-$B106=0,J106*$F106/2,IF((X$77-$B106)&lt;$E106,AVERAGE(I106,J106)*$F106,IF((X$77-$B106)=$E106,I106*$F106/2,0))))</f>
        <v>0</v>
      </c>
      <c r="Y106" s="1633">
        <f t="shared" si="14"/>
        <v>1.2</v>
      </c>
      <c r="Z106" s="1633">
        <f t="shared" si="14"/>
        <v>1.2</v>
      </c>
      <c r="AA106" s="1633">
        <f t="shared" si="14"/>
        <v>1.2</v>
      </c>
    </row>
    <row r="107" spans="1:28" ht="15" customHeight="1">
      <c r="A107" s="8" t="str">
        <f>A106</f>
        <v>Type 1</v>
      </c>
      <c r="B107" s="7">
        <f>B106+1</f>
        <v>2021</v>
      </c>
      <c r="C107" s="7" t="str">
        <f>C106</f>
        <v>Annual</v>
      </c>
      <c r="D107" s="7">
        <f t="shared" si="15"/>
        <v>5</v>
      </c>
      <c r="E107" s="7">
        <f t="shared" si="15"/>
        <v>5</v>
      </c>
      <c r="F107" s="14">
        <f>$O$43</f>
        <v>0.01</v>
      </c>
      <c r="H107" s="1633"/>
      <c r="I107" s="1633"/>
      <c r="J107" s="1633"/>
      <c r="K107" s="1633">
        <f>$E$43</f>
        <v>100</v>
      </c>
      <c r="L107" s="1633">
        <f>K107-S107</f>
        <v>100</v>
      </c>
      <c r="M107" s="1633">
        <f>L107-T107</f>
        <v>100</v>
      </c>
      <c r="N107" s="1633"/>
      <c r="O107" s="1633"/>
      <c r="P107" s="1633"/>
      <c r="Q107" s="1633"/>
      <c r="R107" s="1633">
        <f>IF(OR($C107="Annual",$D107=$E107),IF(AND($D107=$E107,R$77=$B107+$D107),$K107,IF(AND(R$77&gt;$B107+$D107,R$77&lt;=$B107+$E107), $K107/($E107-$D107),0)), IF(OR(R$77=$B107+$D107,R$77=$B107+$E107),$K107/(($E107-$D107)*2),IF(AND(R$77&gt;$B107+$D107,R$77&lt;$B107+$E107),$K107/($E107-$D107),0)))</f>
        <v>0</v>
      </c>
      <c r="S107" s="1633">
        <f>IF(OR($C107="Annual",$D107=$E107),IF(AND($D107=$E107,S$77=$B107+$D107),$K107,IF(AND(S$77&gt;$B107+$D107,S$77&lt;=$B107+$E107), $K107/($E107-$D107),0)), IF(OR(S$77=$B107+$D107,S$77=$B107+$E107),$K107/(($E107-$D107)*2),IF(AND(S$77&gt;$B107+$D107,S$77&lt;$B107+$E107),$K107/($E107-$D107),0)))</f>
        <v>0</v>
      </c>
      <c r="T107" s="1633">
        <f>IF(OR($C107="Annual",$D107=$E107),IF(AND($D107=$E107,T$77=$B107+$D107),$K107,IF(AND(T$77&gt;$B107+$D107,T$77&lt;=$B107+$E107), $K107/($E107-$D107),0)), IF(OR(T$77=$B107+$D107,T$77=$B107+$E107),$K107/(($E107-$D107)*2),IF(AND(T$77&gt;$B107+$D107,T$77&lt;$B107+$E107),$K107/($E107-$D107),0)))</f>
        <v>0</v>
      </c>
      <c r="U107" s="9"/>
      <c r="V107" s="1633"/>
      <c r="W107" s="1633"/>
      <c r="X107" s="1633"/>
      <c r="Y107" s="1633">
        <f>IF($C107="annual",IF(Y$77=$B107,0,J107*$F107),IF(Y$77-$B107=0,K107*$F107/2,IF((Y$77-$B107)&lt;$E107,AVERAGE(J107,K107)*$F107,IF((Y$77-$B107)=$E107,J107*$F107/2,0))))</f>
        <v>0</v>
      </c>
      <c r="Z107" s="1633">
        <f t="shared" si="14"/>
        <v>1</v>
      </c>
      <c r="AA107" s="1633">
        <f t="shared" si="14"/>
        <v>1</v>
      </c>
    </row>
    <row r="108" spans="1:28" ht="15" customHeight="1">
      <c r="A108" s="8" t="str">
        <f>A107</f>
        <v>Type 1</v>
      </c>
      <c r="B108" s="7">
        <f>B107+1</f>
        <v>2022</v>
      </c>
      <c r="C108" s="7" t="str">
        <f>C107</f>
        <v>Annual</v>
      </c>
      <c r="D108" s="7">
        <f t="shared" si="15"/>
        <v>5</v>
      </c>
      <c r="E108" s="7">
        <f t="shared" si="15"/>
        <v>5</v>
      </c>
      <c r="F108" s="14">
        <f>$P$43</f>
        <v>0.01</v>
      </c>
      <c r="H108" s="1633"/>
      <c r="I108" s="1633"/>
      <c r="J108" s="1633"/>
      <c r="K108" s="1633"/>
      <c r="L108" s="1633">
        <f>$F$43</f>
        <v>225</v>
      </c>
      <c r="M108" s="1633">
        <f>L108-T108</f>
        <v>225</v>
      </c>
      <c r="N108" s="1633"/>
      <c r="O108" s="1633"/>
      <c r="P108" s="1633"/>
      <c r="Q108" s="1633"/>
      <c r="R108" s="1633"/>
      <c r="S108" s="1633">
        <f>IF(OR($C108="Annual",$D108=$E108),IF(AND($D108=$E108,S$77=$B108+$D108),$L108,IF(AND(S$77&gt;$B108+$D108,S$77&lt;=$B108+$E108), $L108/($E108-$D108),0)), IF(OR(S$77=$B108+$D108,S$77=$B108+$E108),$L108/(($E108-$D108)*2),IF(AND(S$77&gt;$B108+$D108,S$77&lt;$B108+$E108),$L108/($E108-$D108),0)))</f>
        <v>0</v>
      </c>
      <c r="T108" s="1633">
        <f>IF(OR($C108="Annual",$D108=$E108),IF(AND($D108=$E108,T$77=$B108+$D108),$L108,IF(AND(T$77&gt;$B108+$D108,T$77&lt;=$B108+$E108), $L108/($E108-$D108),0)), IF(OR(T$77=$B108+$D108,T$77=$B108+$E108),$L108/(($E108-$D108)*2),IF(AND(T$77&gt;$B108+$D108,T$77&lt;$B108+$E108),$L108/($E108-$D108),0)))</f>
        <v>0</v>
      </c>
      <c r="U108" s="9"/>
      <c r="V108" s="1633"/>
      <c r="W108" s="1633"/>
      <c r="X108" s="1633"/>
      <c r="Y108" s="1633"/>
      <c r="Z108" s="1633">
        <f>IF($C108="annual",IF(Z$77=$B108,0,K108*$F108),IF(Z$77-$B108=0,L108*$F108/2,IF((Z$77-$B108)&lt;$E108,AVERAGE(K108,L108)*$F108,IF((Z$77-$B108)=$E108,K108*$F108/2,0))))</f>
        <v>0</v>
      </c>
      <c r="AA108" s="1633">
        <f>IF($C108="annual",IF(AA$77=$B108,0,L108*$F108),IF(AA$77-$B108=0,M108*$F108/2,IF((AA$77-$B108)&lt;$E108,AVERAGE(L108,M108)*$F108,IF((AA$77-$B108)=$E108,L108*$F108/2,0))))</f>
        <v>2.25</v>
      </c>
    </row>
    <row r="109" spans="1:28" ht="15" customHeight="1">
      <c r="A109" s="8" t="str">
        <f>A108</f>
        <v>Type 1</v>
      </c>
      <c r="B109" s="7">
        <f>B108+1</f>
        <v>2023</v>
      </c>
      <c r="C109" s="7" t="str">
        <f>C108</f>
        <v>Annual</v>
      </c>
      <c r="D109" s="7">
        <f t="shared" si="15"/>
        <v>5</v>
      </c>
      <c r="E109" s="7">
        <f t="shared" si="15"/>
        <v>5</v>
      </c>
      <c r="F109" s="14">
        <f>$Q$43</f>
        <v>0.01</v>
      </c>
      <c r="H109" s="1633"/>
      <c r="I109" s="1633"/>
      <c r="J109" s="1633"/>
      <c r="K109" s="1633"/>
      <c r="L109" s="1633"/>
      <c r="M109" s="1633">
        <f>$G$43</f>
        <v>250</v>
      </c>
      <c r="N109" s="1633"/>
      <c r="O109" s="1633"/>
      <c r="P109" s="1633"/>
      <c r="Q109" s="1633"/>
      <c r="R109" s="1633"/>
      <c r="S109" s="1633"/>
      <c r="T109" s="1633">
        <f>IF(OR($C109="Annual",$D109=$E109),IF(AND($D109=$E109,T$77=$B109+$D109),$M109,IF(AND(T$77&gt;$B109+$D109,T$77&lt;=$B109+$E109), $M109/($E109-$D109),0)), IF(OR(T$77=$B109+$D109,T$77=$B109+$E109),$M109/(($E109-$D109)*2),IF(AND(T$77&gt;$B109+$D109,T$77&lt;$B109+$E109),$M109/($E109-$D109),0)))</f>
        <v>0</v>
      </c>
      <c r="U109" s="9"/>
      <c r="V109" s="1633"/>
      <c r="W109" s="1633"/>
      <c r="X109" s="1633"/>
      <c r="Y109" s="1633"/>
      <c r="Z109" s="1633"/>
      <c r="AA109" s="1633">
        <f>IF($C109="annual",IF(AA$77=$B109,0,L109*$F109),IF(AA$77-$B109=0,M109*$F109/2,IF((AA$77-$B109)&lt;$E109,AVERAGE(L109,M109)*$F109,IF((AA$77-$B109)=$E109,L109*$F109/2,0))))</f>
        <v>0</v>
      </c>
    </row>
    <row r="110" spans="1:28" ht="6.75" customHeight="1">
      <c r="B110" s="6"/>
      <c r="C110" s="281"/>
      <c r="F110" s="15"/>
      <c r="H110" s="1634"/>
      <c r="I110" s="1634"/>
      <c r="J110" s="1634"/>
      <c r="K110" s="1634"/>
      <c r="L110" s="1634"/>
      <c r="M110" s="1634"/>
      <c r="N110" s="1634"/>
      <c r="O110" s="1634"/>
      <c r="P110" s="1634"/>
      <c r="Q110" s="1634"/>
      <c r="R110" s="1634"/>
      <c r="S110" s="1634"/>
      <c r="T110" s="1634"/>
      <c r="U110" s="10"/>
      <c r="V110" s="1633"/>
      <c r="W110" s="1633"/>
      <c r="X110" s="1633"/>
      <c r="Y110" s="1633"/>
      <c r="Z110" s="1633"/>
      <c r="AA110" s="1633"/>
    </row>
    <row r="111" spans="1:28" ht="15" customHeight="1">
      <c r="A111" s="8" t="str">
        <f>A44</f>
        <v>Type 2</v>
      </c>
      <c r="B111" s="7">
        <f>B85</f>
        <v>2018</v>
      </c>
      <c r="C111" s="7" t="str">
        <f>$I44</f>
        <v>Annual</v>
      </c>
      <c r="D111" s="7">
        <f>$J44</f>
        <v>0</v>
      </c>
      <c r="E111" s="7">
        <f>$K44</f>
        <v>0</v>
      </c>
      <c r="F111" s="14">
        <f>$L$44</f>
        <v>0</v>
      </c>
      <c r="H111" s="1633">
        <f>$B$44</f>
        <v>0</v>
      </c>
      <c r="I111" s="1633">
        <f>H111-P111</f>
        <v>0</v>
      </c>
      <c r="J111" s="1633">
        <f>I111-Q111</f>
        <v>0</v>
      </c>
      <c r="K111" s="1633">
        <f>J111-R111</f>
        <v>0</v>
      </c>
      <c r="L111" s="1633">
        <f>K111-S111</f>
        <v>0</v>
      </c>
      <c r="M111" s="1633">
        <f>L111-T111</f>
        <v>0</v>
      </c>
      <c r="N111" s="1633"/>
      <c r="O111" s="1633">
        <f t="shared" ref="O111:T111" si="16">IF(OR($C111="Annual",$D111=$E111),IF(AND($D111=$E111,O$77=$B111+$D111),$H111,IF(AND(O$77&gt;$B111+$D111,O$77&lt;=$B111+$E111), $H111/($E111-$D111),0)), IF(OR(O$77=$B111+$D111,O$77=$B111+$E111),$H111/(($E111-$D111)*2),IF(AND(O$77&gt;$B111+$D111,O$77&lt;$B111+$E111),$H111/($E111-$D111),0)))</f>
        <v>0</v>
      </c>
      <c r="P111" s="1633">
        <f t="shared" si="16"/>
        <v>0</v>
      </c>
      <c r="Q111" s="1633">
        <f t="shared" si="16"/>
        <v>0</v>
      </c>
      <c r="R111" s="1633">
        <f t="shared" si="16"/>
        <v>0</v>
      </c>
      <c r="S111" s="1633">
        <f t="shared" si="16"/>
        <v>0</v>
      </c>
      <c r="T111" s="1633">
        <f t="shared" si="16"/>
        <v>0</v>
      </c>
      <c r="U111" s="658"/>
      <c r="V111" s="1633">
        <f t="shared" ref="V111:AA111" si="17">IF($C111="annual",IF(V$77=$B111,0,G111*$F111),IF(V$77-$B111=0,H111*$F111/2,IF((V$77-$B111)&lt;$E111,AVERAGE(G111,H111)*$F111,IF((V$77-$B111)=$E111,G111*$F111/2,0))))</f>
        <v>0</v>
      </c>
      <c r="W111" s="1633">
        <f t="shared" si="17"/>
        <v>0</v>
      </c>
      <c r="X111" s="1633">
        <f t="shared" si="17"/>
        <v>0</v>
      </c>
      <c r="Y111" s="1633">
        <f t="shared" si="17"/>
        <v>0</v>
      </c>
      <c r="Z111" s="1633">
        <f t="shared" si="17"/>
        <v>0</v>
      </c>
      <c r="AA111" s="1633">
        <f t="shared" si="17"/>
        <v>0</v>
      </c>
    </row>
    <row r="112" spans="1:28" ht="15" customHeight="1">
      <c r="A112" s="8" t="str">
        <f>A111</f>
        <v>Type 2</v>
      </c>
      <c r="B112" s="7">
        <f>B111+1</f>
        <v>2019</v>
      </c>
      <c r="C112" s="7" t="str">
        <f>C111</f>
        <v>Annual</v>
      </c>
      <c r="D112" s="7">
        <f t="shared" ref="D112:E116" si="18">D111</f>
        <v>0</v>
      </c>
      <c r="E112" s="7">
        <f t="shared" si="18"/>
        <v>0</v>
      </c>
      <c r="F112" s="14">
        <f>$M$44</f>
        <v>0</v>
      </c>
      <c r="H112" s="1633"/>
      <c r="I112" s="1633">
        <f>$C$44</f>
        <v>0</v>
      </c>
      <c r="J112" s="1633">
        <f>I112-Q112</f>
        <v>0</v>
      </c>
      <c r="K112" s="1633">
        <f>J112-R112</f>
        <v>0</v>
      </c>
      <c r="L112" s="1633">
        <f>K112-S112</f>
        <v>0</v>
      </c>
      <c r="M112" s="1633">
        <f>L112-T112</f>
        <v>0</v>
      </c>
      <c r="N112" s="1633"/>
      <c r="O112" s="1633"/>
      <c r="P112" s="1633">
        <f>IF(OR($C112="Annual",$D112=$E112),IF(AND($D112=$E112,P$77=$B112+$D112),$I112,IF(AND(P$77&gt;$B112+$D112,P$77&lt;=$B112+$E112), $I112/($E112-$D112),0)), IF(OR(P$77=$B112+$D112,P$77=$B112+$E112),$I112/(($E112-$D112)*2),IF(AND(P$77&gt;$B112+$D112,P$77&lt;$B112+$E112),$I112/($E112-$D112),0)))</f>
        <v>0</v>
      </c>
      <c r="Q112" s="1633">
        <f>IF(OR($C112="Annual",$D112=$E112),IF(AND($D112=$E112,Q$77=$B112+$D112),$I112,IF(AND(Q$77&gt;$B112+$D112,Q$77&lt;=$B112+$E112), $I112/($E112-$D112),0)), IF(OR(Q$77=$B112+$D112,Q$77=$B112+$E112),$I112/(($E112-$D112)*2),IF(AND(Q$77&gt;$B112+$D112,Q$77&lt;$B112+$E112),$I112/($E112-$D112),0)))</f>
        <v>0</v>
      </c>
      <c r="R112" s="1633">
        <f>IF(OR($C112="Annual",$D112=$E112),IF(AND($D112=$E112,R$77=$B112+$D112),$I112,IF(AND(R$77&gt;$B112+$D112,R$77&lt;=$B112+$E112), $I112/($E112-$D112),0)), IF(OR(R$77=$B112+$D112,R$77=$B112+$E112),$I112/(($E112-$D112)*2),IF(AND(R$77&gt;$B112+$D112,R$77&lt;$B112+$E112),$I112/($E112-$D112),0)))</f>
        <v>0</v>
      </c>
      <c r="S112" s="1633">
        <f>IF(OR($C112="Annual",$D112=$E112),IF(AND($D112=$E112,S$77=$B112+$D112),$I112,IF(AND(S$77&gt;$B112+$D112,S$77&lt;=$B112+$E112), $I112/($E112-$D112),0)), IF(OR(S$77=$B112+$D112,S$77=$B112+$E112),$I112/(($E112-$D112)*2),IF(AND(S$77&gt;$B112+$D112,S$77&lt;$B112+$E112),$I112/($E112-$D112),0)))</f>
        <v>0</v>
      </c>
      <c r="T112" s="1633">
        <f>IF(OR($C112="Annual",$D112=$E112),IF(AND($D112=$E112,T$77=$B112+$D112),$I112,IF(AND(T$77&gt;$B112+$D112,T$77&lt;=$B112+$E112), $I112/($E112-$D112),0)), IF(OR(T$77=$B112+$D112,T$77=$B112+$E112),$I112/(($E112-$D112)*2),IF(AND(T$77&gt;$B112+$D112,T$77&lt;$B112+$E112),$I112/($E112-$D112),0)))</f>
        <v>0</v>
      </c>
      <c r="U112" s="658"/>
      <c r="V112" s="1633"/>
      <c r="W112" s="1633">
        <f>IF($C112="annual",IF(W$77=$B112,0,H112*$F112),IF(W$77-$B112=0,I112*$F112/2,IF((W$77-$B112)&lt;$E112,AVERAGE(H112,I112)*$F112,IF((W$77-$B112)=$E112,H112*$F112/2,0))))</f>
        <v>0</v>
      </c>
      <c r="X112" s="1633">
        <f>IF($C112="annual",IF(X$77=$B112,0,I112*$F112),IF(X$77-$B112=0,J112*$F112/2,IF((X$77-$B112)&lt;$E112,AVERAGE(I112,J112)*$F112,IF((X$77-$B112)=$E112,I112*$F112/2,0))))</f>
        <v>0</v>
      </c>
      <c r="Y112" s="1633">
        <f>IF($C112="annual",IF(Y$77=$B112,0,J112*$F112),IF(Y$77-$B112=0,K112*$F112/2,IF((Y$77-$B112)&lt;$E112,AVERAGE(J112,K112)*$F112,IF((Y$77-$B112)=$E112,J112*$F112/2,0))))</f>
        <v>0</v>
      </c>
      <c r="Z112" s="1633">
        <f>IF($C112="annual",IF(Z$77=$B112,0,K112*$F112),IF(Z$77-$B112=0,L112*$F112/2,IF((Z$77-$B112)&lt;$E112,AVERAGE(K112,L112)*$F112,IF((Z$77-$B112)=$E112,K112*$F112/2,0))))</f>
        <v>0</v>
      </c>
      <c r="AA112" s="1633">
        <f>IF($C112="annual",IF(AA$77=$B112,0,L112*$F112),IF(AA$77-$B112=0,M112*$F112/2,IF((AA$77-$B112)&lt;$E112,AVERAGE(L112,M112)*$F112,IF((AA$77-$B112)=$E112,L112*$F112/2,0))))</f>
        <v>0</v>
      </c>
    </row>
    <row r="113" spans="1:27" ht="15" customHeight="1">
      <c r="A113" s="8" t="str">
        <f>A112</f>
        <v>Type 2</v>
      </c>
      <c r="B113" s="7">
        <f>B112+1</f>
        <v>2020</v>
      </c>
      <c r="C113" s="7" t="str">
        <f>C112</f>
        <v>Annual</v>
      </c>
      <c r="D113" s="7">
        <f t="shared" si="18"/>
        <v>0</v>
      </c>
      <c r="E113" s="7">
        <f t="shared" si="18"/>
        <v>0</v>
      </c>
      <c r="F113" s="14">
        <f>$N$44</f>
        <v>0</v>
      </c>
      <c r="H113" s="1633"/>
      <c r="I113" s="1633"/>
      <c r="J113" s="1633">
        <f>$D$44</f>
        <v>0</v>
      </c>
      <c r="K113" s="1633">
        <f>J113-R113</f>
        <v>0</v>
      </c>
      <c r="L113" s="1633">
        <f>K113-S113</f>
        <v>0</v>
      </c>
      <c r="M113" s="1633">
        <f>L113-T113</f>
        <v>0</v>
      </c>
      <c r="N113" s="1633"/>
      <c r="O113" s="1633"/>
      <c r="P113" s="1633"/>
      <c r="Q113" s="1633">
        <f>IF(OR($C113="Annual",$D113=$E113),IF(AND($D113=$E113,Q$77=$B113+$D113),$J113,IF(AND(Q$77&gt;$B113+$D113,Q$77&lt;=$B113+$E113), $J113/($E113-$D113),0)), IF(OR(Q$77=$B113+$D113,Q$77=$B113+$E113),$J113/(($E113-$D113)*2),IF(AND(Q$77&gt;$B113+$D113,Q$77&lt;$B113+$E113),$J113/($E113-$D113),0)))</f>
        <v>0</v>
      </c>
      <c r="R113" s="1633">
        <f>IF(OR($C113="Annual",$D113=$E113),IF(AND($D113=$E113,R$77=$B113+$D113),$J113,IF(AND(R$77&gt;$B113+$D113,R$77&lt;=$B113+$E113), $J113/($E113-$D113),0)), IF(OR(R$77=$B113+$D113,R$77=$B113+$E113),$J113/(($E113-$D113)*2),IF(AND(R$77&gt;$B113+$D113,R$77&lt;$B113+$E113),$J113/($E113-$D113),0)))</f>
        <v>0</v>
      </c>
      <c r="S113" s="1633">
        <f>IF(OR($C113="Annual",$D113=$E113),IF(AND($D113=$E113,S$77=$B113+$D113),$J113,IF(AND(S$77&gt;$B113+$D113,S$77&lt;=$B113+$E113), $J113/($E113-$D113),0)), IF(OR(S$77=$B113+$D113,S$77=$B113+$E113),$J113/(($E113-$D113)*2),IF(AND(S$77&gt;$B113+$D113,S$77&lt;$B113+$E113),$J113/($E113-$D113),0)))</f>
        <v>0</v>
      </c>
      <c r="T113" s="1633">
        <f>IF(OR($C113="Annual",$D113=$E113),IF(AND($D113=$E113,T$77=$B113+$D113),$J113,IF(AND(T$77&gt;$B113+$D113,T$77&lt;=$B113+$E113), $J113/($E113-$D113),0)), IF(OR(T$77=$B113+$D113,T$77=$B113+$E113),$J113/(($E113-$D113)*2),IF(AND(T$77&gt;$B113+$D113,T$77&lt;$B113+$E113),$J113/($E113-$D113),0)))</f>
        <v>0</v>
      </c>
      <c r="U113" s="658"/>
      <c r="V113" s="1633"/>
      <c r="W113" s="1633"/>
      <c r="X113" s="1633">
        <f>IF($C113="annual",IF(X$77=$B113,0,I113*$F113),IF(X$77-$B113=0,J113*$F113/2,IF((X$77-$B113)&lt;$E113,AVERAGE(I113,J113)*$F113,IF((X$77-$B113)=$E113,I113*$F113/2,0))))</f>
        <v>0</v>
      </c>
      <c r="Y113" s="1633">
        <f>IF($C113="annual",IF(Y$77=$B113,0,J113*$F113),IF(Y$77-$B113=0,K113*$F113/2,IF((Y$77-$B113)&lt;$E113,AVERAGE(J113,K113)*$F113,IF((Y$77-$B113)=$E113,J113*$F113/2,0))))</f>
        <v>0</v>
      </c>
      <c r="Z113" s="1633">
        <f>IF($C113="annual",IF(Z$77=$B113,0,K113*$F113),IF(Z$77-$B113=0,L113*$F113/2,IF((Z$77-$B113)&lt;$E113,AVERAGE(K113,L113)*$F113,IF((Z$77-$B113)=$E113,K113*$F113/2,0))))</f>
        <v>0</v>
      </c>
      <c r="AA113" s="1633">
        <f>IF($C113="annual",IF(AA$77=$B113,0,L113*$F113),IF(AA$77-$B113=0,M113*$F113/2,IF((AA$77-$B113)&lt;$E113,AVERAGE(L113,M113)*$F113,IF((AA$77-$B113)=$E113,L113*$F113/2,0))))</f>
        <v>0</v>
      </c>
    </row>
    <row r="114" spans="1:27" ht="15" customHeight="1">
      <c r="A114" s="8" t="str">
        <f>A113</f>
        <v>Type 2</v>
      </c>
      <c r="B114" s="7">
        <f>B113+1</f>
        <v>2021</v>
      </c>
      <c r="C114" s="7" t="str">
        <f>C113</f>
        <v>Annual</v>
      </c>
      <c r="D114" s="7">
        <f t="shared" si="18"/>
        <v>0</v>
      </c>
      <c r="E114" s="7">
        <f t="shared" si="18"/>
        <v>0</v>
      </c>
      <c r="F114" s="14">
        <f>$O$44</f>
        <v>0</v>
      </c>
      <c r="H114" s="1633"/>
      <c r="I114" s="1633"/>
      <c r="J114" s="1633"/>
      <c r="K114" s="1633">
        <f>$E$44</f>
        <v>0</v>
      </c>
      <c r="L114" s="1633">
        <f>K114-S114</f>
        <v>0</v>
      </c>
      <c r="M114" s="1633">
        <f>L114-T114</f>
        <v>0</v>
      </c>
      <c r="N114" s="1633"/>
      <c r="O114" s="1633"/>
      <c r="P114" s="1633"/>
      <c r="Q114" s="1633"/>
      <c r="R114" s="1633">
        <f>IF(OR($C114="Annual",$D114=$E114),IF(AND($D114=$E114,R$77=$B114+$D114),$K114,IF(AND(R$77&gt;$B114+$D114,R$77&lt;=$B114+$E114), $K114/($E114-$D114),0)), IF(OR(R$77=$B114+$D114,R$77=$B114+$E114),$K114/(($E114-$D114)*2),IF(AND(R$77&gt;$B114+$D114,R$77&lt;$B114+$E114),$K114/($E114-$D114),0)))</f>
        <v>0</v>
      </c>
      <c r="S114" s="1633">
        <f>IF(OR($C114="Annual",$D114=$E114),IF(AND($D114=$E114,S$77=$B114+$D114),$K114,IF(AND(S$77&gt;$B114+$D114,S$77&lt;=$B114+$E114), $K114/($E114-$D114),0)), IF(OR(S$77=$B114+$D114,S$77=$B114+$E114),$K114/(($E114-$D114)*2),IF(AND(S$77&gt;$B114+$D114,S$77&lt;$B114+$E114),$K114/($E114-$D114),0)))</f>
        <v>0</v>
      </c>
      <c r="T114" s="1633">
        <f>IF(OR($C114="Annual",$D114=$E114),IF(AND($D114=$E114,T$77=$B114+$D114),$K114,IF(AND(T$77&gt;$B114+$D114,T$77&lt;=$B114+$E114), $K114/($E114-$D114),0)), IF(OR(T$77=$B114+$D114,T$77=$B114+$E114),$K114/(($E114-$D114)*2),IF(AND(T$77&gt;$B114+$D114,T$77&lt;$B114+$E114),$K114/($E114-$D114),0)))</f>
        <v>0</v>
      </c>
      <c r="U114" s="658"/>
      <c r="V114" s="1633"/>
      <c r="W114" s="1633"/>
      <c r="X114" s="1633"/>
      <c r="Y114" s="1633">
        <f>IF($C114="annual",IF(Y$77=$B114,0,J114*$F114),IF(Y$77-$B114=0,K114*$F114/2,IF((Y$77-$B114)&lt;$E114,AVERAGE(J114,K114)*$F114,IF((Y$77-$B114)=$E114,J114*$F114/2,0))))</f>
        <v>0</v>
      </c>
      <c r="Z114" s="1633">
        <f>IF($C114="annual",IF(Z$77=$B114,0,K114*$F114),IF(Z$77-$B114=0,L114*$F114/2,IF((Z$77-$B114)&lt;$E114,AVERAGE(K114,L114)*$F114,IF((Z$77-$B114)=$E114,K114*$F114/2,0))))</f>
        <v>0</v>
      </c>
      <c r="AA114" s="1633">
        <f>IF($C114="annual",IF(AA$77=$B114,0,L114*$F114),IF(AA$77-$B114=0,M114*$F114/2,IF((AA$77-$B114)&lt;$E114,AVERAGE(L114,M114)*$F114,IF((AA$77-$B114)=$E114,L114*$F114/2,0))))</f>
        <v>0</v>
      </c>
    </row>
    <row r="115" spans="1:27" ht="15" customHeight="1">
      <c r="A115" s="8" t="str">
        <f>A114</f>
        <v>Type 2</v>
      </c>
      <c r="B115" s="7">
        <f>B114+1</f>
        <v>2022</v>
      </c>
      <c r="C115" s="7" t="str">
        <f>C114</f>
        <v>Annual</v>
      </c>
      <c r="D115" s="7">
        <f t="shared" si="18"/>
        <v>0</v>
      </c>
      <c r="E115" s="7">
        <f t="shared" si="18"/>
        <v>0</v>
      </c>
      <c r="F115" s="14">
        <f>$P$44</f>
        <v>0</v>
      </c>
      <c r="H115" s="1633"/>
      <c r="I115" s="1633"/>
      <c r="J115" s="1633"/>
      <c r="K115" s="1633"/>
      <c r="L115" s="1633">
        <f>$F$44</f>
        <v>0</v>
      </c>
      <c r="M115" s="1633">
        <f>L115-T115</f>
        <v>0</v>
      </c>
      <c r="N115" s="1633"/>
      <c r="O115" s="1633"/>
      <c r="P115" s="1633"/>
      <c r="Q115" s="1633"/>
      <c r="R115" s="1633"/>
      <c r="S115" s="1633">
        <f>IF(OR($C115="Annual",$D115=$E115),IF(AND($D115=$E115,S$77=$B115+$D115),$L115,IF(AND(S$77&gt;$B115+$D115,S$77&lt;=$B115+$E115), $L115/($E115-$D115),0)), IF(OR(S$77=$B115+$D115,S$77=$B115+$E115),$L115/(($E115-$D115)*2),IF(AND(S$77&gt;$B115+$D115,S$77&lt;$B115+$E115),$L115/($E115-$D115),0)))</f>
        <v>0</v>
      </c>
      <c r="T115" s="1633">
        <f>IF(OR($C115="Annual",$D115=$E115),IF(AND($D115=$E115,T$77=$B115+$D115),$L115,IF(AND(T$77&gt;$B115+$D115,T$77&lt;=$B115+$E115), $L115/($E115-$D115),0)), IF(OR(T$77=$B115+$D115,T$77=$B115+$E115),$L115/(($E115-$D115)*2),IF(AND(T$77&gt;$B115+$D115,T$77&lt;$B115+$E115),$L115/($E115-$D115),0)))</f>
        <v>0</v>
      </c>
      <c r="U115" s="658"/>
      <c r="V115" s="1633"/>
      <c r="W115" s="1633"/>
      <c r="X115" s="1633"/>
      <c r="Y115" s="1633"/>
      <c r="Z115" s="1633">
        <f>IF($C115="annual",IF(Z$77=$B115,0,K115*$F115),IF(Z$77-$B115=0,L115*$F115/2,IF((Z$77-$B115)&lt;$E115,AVERAGE(K115,L115)*$F115,IF((Z$77-$B115)=$E115,K115*$F115/2,0))))</f>
        <v>0</v>
      </c>
      <c r="AA115" s="1633">
        <f>IF($C115="annual",IF(AA$77=$B115,0,L115*$F115),IF(AA$77-$B115=0,M115*$F115/2,IF((AA$77-$B115)&lt;$E115,AVERAGE(L115,M115)*$F115,IF((AA$77-$B115)=$E115,L115*$F115/2,0))))</f>
        <v>0</v>
      </c>
    </row>
    <row r="116" spans="1:27">
      <c r="A116" s="8" t="str">
        <f>A115</f>
        <v>Type 2</v>
      </c>
      <c r="B116" s="7">
        <f>B115+1</f>
        <v>2023</v>
      </c>
      <c r="C116" s="7" t="str">
        <f>C115</f>
        <v>Annual</v>
      </c>
      <c r="D116" s="7">
        <f t="shared" si="18"/>
        <v>0</v>
      </c>
      <c r="E116" s="7">
        <f t="shared" si="18"/>
        <v>0</v>
      </c>
      <c r="F116" s="14">
        <f>$Q$44</f>
        <v>0</v>
      </c>
      <c r="H116" s="1633"/>
      <c r="I116" s="1633"/>
      <c r="J116" s="1633"/>
      <c r="K116" s="1633"/>
      <c r="L116" s="1633"/>
      <c r="M116" s="1633">
        <f>$G$44</f>
        <v>0</v>
      </c>
      <c r="N116" s="1633"/>
      <c r="O116" s="1633"/>
      <c r="P116" s="1633"/>
      <c r="Q116" s="1633"/>
      <c r="R116" s="1633"/>
      <c r="S116" s="1633"/>
      <c r="T116" s="1633">
        <f>IF(OR($C116="Annual",$D116=$E116),IF(AND($D116=$E116,T$77=$B116+$D116),$M116,IF(AND(T$77&gt;$B116+$D116,T$77&lt;=$B116+$E116), $M116/($E116-$D116),0)), IF(OR(T$77=$B116+$D116,T$77=$B116+$E116),$M116/(($E116-$D116)*2),IF(AND(T$77&gt;$B116+$D116,T$77&lt;$B116+$E116),$M116/($E116-$D116),0)))</f>
        <v>0</v>
      </c>
      <c r="U116" s="658"/>
      <c r="V116" s="1633"/>
      <c r="W116" s="1633"/>
      <c r="X116" s="1633"/>
      <c r="Y116" s="1633"/>
      <c r="Z116" s="1633"/>
      <c r="AA116" s="1633">
        <f>IF($C116="annual",IF(AA$77=$B116,0,L116*$F116),IF(AA$77-$B116=0,M116*$F116/2,IF((AA$77-$B116)&lt;$E116,AVERAGE(L116,M116)*$F116,IF((AA$77-$B116)=$E116,L116*$F116/2,0))))</f>
        <v>0</v>
      </c>
    </row>
    <row r="117" spans="1:27" ht="6.75" customHeight="1">
      <c r="B117" s="6"/>
      <c r="C117" s="281"/>
      <c r="F117" s="15"/>
      <c r="H117" s="10"/>
      <c r="I117" s="10"/>
      <c r="J117" s="10"/>
      <c r="K117" s="10"/>
      <c r="L117" s="10"/>
      <c r="M117" s="10"/>
      <c r="N117" s="10"/>
      <c r="O117" s="10"/>
      <c r="P117" s="10"/>
      <c r="Q117" s="10"/>
      <c r="R117" s="10"/>
      <c r="S117" s="10"/>
      <c r="T117" s="10"/>
      <c r="U117" s="10"/>
      <c r="V117" s="9"/>
      <c r="W117" s="9"/>
      <c r="X117" s="9"/>
      <c r="Y117" s="9"/>
      <c r="Z117" s="9"/>
      <c r="AA117" s="9"/>
    </row>
    <row r="118" spans="1:27">
      <c r="A118" s="8" t="str">
        <f>A45</f>
        <v>Type 3</v>
      </c>
      <c r="B118" s="7">
        <f>B85</f>
        <v>2018</v>
      </c>
      <c r="C118" s="7" t="str">
        <f>$I45</f>
        <v>Annual</v>
      </c>
      <c r="D118" s="7">
        <f>$J45</f>
        <v>0</v>
      </c>
      <c r="E118" s="7">
        <f>$K45</f>
        <v>0</v>
      </c>
      <c r="F118" s="14">
        <f>$L$45</f>
        <v>0</v>
      </c>
      <c r="H118" s="9">
        <f>$B$45</f>
        <v>0</v>
      </c>
      <c r="I118" s="9">
        <f>H118-P118</f>
        <v>0</v>
      </c>
      <c r="J118" s="9">
        <f>I118-Q118</f>
        <v>0</v>
      </c>
      <c r="K118" s="9">
        <f>J118-R118</f>
        <v>0</v>
      </c>
      <c r="L118" s="9">
        <f>K118-S118</f>
        <v>0</v>
      </c>
      <c r="M118" s="9">
        <f>L118-T118</f>
        <v>0</v>
      </c>
      <c r="N118" s="9"/>
      <c r="O118" s="9">
        <f t="shared" ref="O118:T118" si="19">IF(OR($C118="Annual",$D118=$E118),IF(AND($D118=$E118,O$77=$B118+$D118),$H118,IF(AND(O$77&gt;$B118+$D118,O$77&lt;=$B118+$E118), $H118/($E118-$D118),0)), IF(OR(O$77=$B118+$D118,O$77=$B118+$E118),$H118/(($E118-$D118)*2),IF(AND(O$77&gt;$B118+$D118,O$77&lt;$B118+$E118),$H118/($E118-$D118),0)))</f>
        <v>0</v>
      </c>
      <c r="P118" s="9">
        <f t="shared" si="19"/>
        <v>0</v>
      </c>
      <c r="Q118" s="9">
        <f t="shared" si="19"/>
        <v>0</v>
      </c>
      <c r="R118" s="9">
        <f t="shared" si="19"/>
        <v>0</v>
      </c>
      <c r="S118" s="9">
        <f t="shared" si="19"/>
        <v>0</v>
      </c>
      <c r="T118" s="9">
        <f t="shared" si="19"/>
        <v>0</v>
      </c>
      <c r="U118" s="9"/>
      <c r="V118" s="9">
        <f t="shared" ref="V118:AA118" si="20">IF($C118="annual",IF(V$77=$B118,0,G118*$F118),IF(V$77-$B118=0,H118*$F118/2,IF((V$77-$B118)&lt;$E118,AVERAGE(G118,H118)*$F118,IF((V$77-$B118)=$E118,G118*$F118/2,0))))</f>
        <v>0</v>
      </c>
      <c r="W118" s="9">
        <f t="shared" si="20"/>
        <v>0</v>
      </c>
      <c r="X118" s="9">
        <f t="shared" si="20"/>
        <v>0</v>
      </c>
      <c r="Y118" s="9">
        <f t="shared" si="20"/>
        <v>0</v>
      </c>
      <c r="Z118" s="9">
        <f t="shared" si="20"/>
        <v>0</v>
      </c>
      <c r="AA118" s="9">
        <f t="shared" si="20"/>
        <v>0</v>
      </c>
    </row>
    <row r="119" spans="1:27">
      <c r="A119" s="8" t="str">
        <f>A118</f>
        <v>Type 3</v>
      </c>
      <c r="B119" s="7">
        <f>B118+1</f>
        <v>2019</v>
      </c>
      <c r="C119" s="7" t="str">
        <f>C118</f>
        <v>Annual</v>
      </c>
      <c r="D119" s="7">
        <f t="shared" ref="D119:E123" si="21">D118</f>
        <v>0</v>
      </c>
      <c r="E119" s="7">
        <f t="shared" si="21"/>
        <v>0</v>
      </c>
      <c r="F119" s="14">
        <f>$M$45</f>
        <v>0</v>
      </c>
      <c r="H119" s="9"/>
      <c r="I119" s="9">
        <f>$C$45</f>
        <v>0</v>
      </c>
      <c r="J119" s="9">
        <f>I119-Q119</f>
        <v>0</v>
      </c>
      <c r="K119" s="9">
        <f>J119-R119</f>
        <v>0</v>
      </c>
      <c r="L119" s="9">
        <f>K119-S119</f>
        <v>0</v>
      </c>
      <c r="M119" s="9">
        <f>L119-T119</f>
        <v>0</v>
      </c>
      <c r="N119" s="9"/>
      <c r="O119" s="9"/>
      <c r="P119" s="9">
        <f>IF(OR($C119="Annual",$D119=$E119),IF(AND($D119=$E119,P$77=$B119+$D119),$I119,IF(AND(P$77&gt;$B119+$D119,P$77&lt;=$B119+$E119), $I119/($E119-$D119),0)), IF(OR(P$77=$B119+$D119,P$77=$B119+$E119),$I119/(($E119-$D119)*2),IF(AND(P$77&gt;$B119+$D119,P$77&lt;$B119+$E119),$I119/($E119-$D119),0)))</f>
        <v>0</v>
      </c>
      <c r="Q119" s="9">
        <f>IF(OR($C119="Annual",$D119=$E119),IF(AND($D119=$E119,Q$77=$B119+$D119),$I119,IF(AND(Q$77&gt;$B119+$D119,Q$77&lt;=$B119+$E119), $I119/($E119-$D119),0)), IF(OR(Q$77=$B119+$D119,Q$77=$B119+$E119),$I119/(($E119-$D119)*2),IF(AND(Q$77&gt;$B119+$D119,Q$77&lt;$B119+$E119),$I119/($E119-$D119),0)))</f>
        <v>0</v>
      </c>
      <c r="R119" s="9">
        <f>IF(OR($C119="Annual",$D119=$E119),IF(AND($D119=$E119,R$77=$B119+$D119),$I119,IF(AND(R$77&gt;$B119+$D119,R$77&lt;=$B119+$E119), $I119/($E119-$D119),0)), IF(OR(R$77=$B119+$D119,R$77=$B119+$E119),$I119/(($E119-$D119)*2),IF(AND(R$77&gt;$B119+$D119,R$77&lt;$B119+$E119),$I119/($E119-$D119),0)))</f>
        <v>0</v>
      </c>
      <c r="S119" s="9">
        <f>IF(OR($C119="Annual",$D119=$E119),IF(AND($D119=$E119,S$77=$B119+$D119),$I119,IF(AND(S$77&gt;$B119+$D119,S$77&lt;=$B119+$E119), $I119/($E119-$D119),0)), IF(OR(S$77=$B119+$D119,S$77=$B119+$E119),$I119/(($E119-$D119)*2),IF(AND(S$77&gt;$B119+$D119,S$77&lt;$B119+$E119),$I119/($E119-$D119),0)))</f>
        <v>0</v>
      </c>
      <c r="T119" s="9">
        <f>IF(OR($C119="Annual",$D119=$E119),IF(AND($D119=$E119,T$77=$B119+$D119),$I119,IF(AND(T$77&gt;$B119+$D119,T$77&lt;=$B119+$E119), $I119/($E119-$D119),0)), IF(OR(T$77=$B119+$D119,T$77=$B119+$E119),$I119/(($E119-$D119)*2),IF(AND(T$77&gt;$B119+$D119,T$77&lt;$B119+$E119),$I119/($E119-$D119),0)))</f>
        <v>0</v>
      </c>
      <c r="U119" s="9"/>
      <c r="V119" s="9"/>
      <c r="W119" s="9">
        <f>IF($C119="annual",IF(W$77=$B119,0,H119*$F119),IF(W$77-$B119=0,I119*$F119/2,IF((W$77-$B119)&lt;$E119,AVERAGE(H119,I119)*$F119,IF((W$77-$B119)=$E119,H119*$F119/2,0))))</f>
        <v>0</v>
      </c>
      <c r="X119" s="9">
        <f>IF($C119="annual",IF(X$77=$B119,0,I119*$F119),IF(X$77-$B119=0,J119*$F119/2,IF((X$77-$B119)&lt;$E119,AVERAGE(I119,J119)*$F119,IF((X$77-$B119)=$E119,I119*$F119/2,0))))</f>
        <v>0</v>
      </c>
      <c r="Y119" s="9">
        <f>IF($C119="annual",IF(Y$77=$B119,0,J119*$F119),IF(Y$77-$B119=0,K119*$F119/2,IF((Y$77-$B119)&lt;$E119,AVERAGE(J119,K119)*$F119,IF((Y$77-$B119)=$E119,J119*$F119/2,0))))</f>
        <v>0</v>
      </c>
      <c r="Z119" s="9">
        <f>IF($C119="annual",IF(Z$77=$B119,0,K119*$F119),IF(Z$77-$B119=0,L119*$F119/2,IF((Z$77-$B119)&lt;$E119,AVERAGE(K119,L119)*$F119,IF((Z$77-$B119)=$E119,K119*$F119/2,0))))</f>
        <v>0</v>
      </c>
      <c r="AA119" s="9">
        <f>IF($C119="annual",IF(AA$77=$B119,0,L119*$F119),IF(AA$77-$B119=0,M119*$F119/2,IF((AA$77-$B119)&lt;$E119,AVERAGE(L119,M119)*$F119,IF((AA$77-$B119)=$E119,L119*$F119/2,0))))</f>
        <v>0</v>
      </c>
    </row>
    <row r="120" spans="1:27">
      <c r="A120" s="8" t="str">
        <f>A119</f>
        <v>Type 3</v>
      </c>
      <c r="B120" s="7">
        <f>B119+1</f>
        <v>2020</v>
      </c>
      <c r="C120" s="7" t="str">
        <f>C119</f>
        <v>Annual</v>
      </c>
      <c r="D120" s="7">
        <f t="shared" si="21"/>
        <v>0</v>
      </c>
      <c r="E120" s="7">
        <f t="shared" si="21"/>
        <v>0</v>
      </c>
      <c r="F120" s="14">
        <f>$N$45</f>
        <v>0</v>
      </c>
      <c r="H120" s="9"/>
      <c r="I120" s="9"/>
      <c r="J120" s="9">
        <f>$D$45</f>
        <v>0</v>
      </c>
      <c r="K120" s="9">
        <f>J120-R120</f>
        <v>0</v>
      </c>
      <c r="L120" s="9">
        <f>K120-S120</f>
        <v>0</v>
      </c>
      <c r="M120" s="9">
        <f>L120-T120</f>
        <v>0</v>
      </c>
      <c r="N120" s="9"/>
      <c r="O120" s="9"/>
      <c r="P120" s="9"/>
      <c r="Q120" s="9">
        <f>IF(OR($C120="Annual",$D120=$E120),IF(AND($D120=$E120,Q$77=$B120+$D120),$J120,IF(AND(Q$77&gt;$B120+$D120,Q$77&lt;=$B120+$E120), $J120/($E120-$D120),0)), IF(OR(Q$77=$B120+$D120,Q$77=$B120+$E120),$J120/(($E120-$D120)*2),IF(AND(Q$77&gt;$B120+$D120,Q$77&lt;$B120+$E120),$J120/($E120-$D120),0)))</f>
        <v>0</v>
      </c>
      <c r="R120" s="9">
        <f>IF(OR($C120="Annual",$D120=$E120),IF(AND($D120=$E120,R$77=$B120+$D120),$J120,IF(AND(R$77&gt;$B120+$D120,R$77&lt;=$B120+$E120), $J120/($E120-$D120),0)), IF(OR(R$77=$B120+$D120,R$77=$B120+$E120),$J120/(($E120-$D120)*2),IF(AND(R$77&gt;$B120+$D120,R$77&lt;$B120+$E120),$J120/($E120-$D120),0)))</f>
        <v>0</v>
      </c>
      <c r="S120" s="9">
        <f>IF(OR($C120="Annual",$D120=$E120),IF(AND($D120=$E120,S$77=$B120+$D120),$J120,IF(AND(S$77&gt;$B120+$D120,S$77&lt;=$B120+$E120), $J120/($E120-$D120),0)), IF(OR(S$77=$B120+$D120,S$77=$B120+$E120),$J120/(($E120-$D120)*2),IF(AND(S$77&gt;$B120+$D120,S$77&lt;$B120+$E120),$J120/($E120-$D120),0)))</f>
        <v>0</v>
      </c>
      <c r="T120" s="9">
        <f>IF(OR($C120="Annual",$D120=$E120),IF(AND($D120=$E120,T$77=$B120+$D120),$J120,IF(AND(T$77&gt;$B120+$D120,T$77&lt;=$B120+$E120), $J120/($E120-$D120),0)), IF(OR(T$77=$B120+$D120,T$77=$B120+$E120),$J120/(($E120-$D120)*2),IF(AND(T$77&gt;$B120+$D120,T$77&lt;$B120+$E120),$J120/($E120-$D120),0)))</f>
        <v>0</v>
      </c>
      <c r="U120" s="9"/>
      <c r="V120" s="9"/>
      <c r="W120" s="9"/>
      <c r="X120" s="9">
        <f>IF($C120="annual",IF(X$77=$B120,0,I120*$F120),IF(X$77-$B120=0,J120*$F120/2,IF((X$77-$B120)&lt;$E120,AVERAGE(I120,J120)*$F120,IF((X$77-$B120)=$E120,I120*$F120/2,0))))</f>
        <v>0</v>
      </c>
      <c r="Y120" s="9">
        <f>IF($C120="annual",IF(Y$77=$B120,0,J120*$F120),IF(Y$77-$B120=0,K120*$F120/2,IF((Y$77-$B120)&lt;$E120,AVERAGE(J120,K120)*$F120,IF((Y$77-$B120)=$E120,J120*$F120/2,0))))</f>
        <v>0</v>
      </c>
      <c r="Z120" s="9">
        <f>IF($C120="annual",IF(Z$77=$B120,0,K120*$F120),IF(Z$77-$B120=0,L120*$F120/2,IF((Z$77-$B120)&lt;$E120,AVERAGE(K120,L120)*$F120,IF((Z$77-$B120)=$E120,K120*$F120/2,0))))</f>
        <v>0</v>
      </c>
      <c r="AA120" s="9">
        <f>IF($C120="annual",IF(AA$77=$B120,0,L120*$F120),IF(AA$77-$B120=0,M120*$F120/2,IF((AA$77-$B120)&lt;$E120,AVERAGE(L120,M120)*$F120,IF((AA$77-$B120)=$E120,L120*$F120/2,0))))</f>
        <v>0</v>
      </c>
    </row>
    <row r="121" spans="1:27">
      <c r="A121" s="8" t="str">
        <f>A120</f>
        <v>Type 3</v>
      </c>
      <c r="B121" s="7">
        <f>B120+1</f>
        <v>2021</v>
      </c>
      <c r="C121" s="7" t="str">
        <f>C120</f>
        <v>Annual</v>
      </c>
      <c r="D121" s="7">
        <f t="shared" si="21"/>
        <v>0</v>
      </c>
      <c r="E121" s="7">
        <f t="shared" si="21"/>
        <v>0</v>
      </c>
      <c r="F121" s="14">
        <f>$O$45</f>
        <v>0</v>
      </c>
      <c r="H121" s="9"/>
      <c r="I121" s="9"/>
      <c r="J121" s="9"/>
      <c r="K121" s="9">
        <f>$E$45</f>
        <v>0</v>
      </c>
      <c r="L121" s="9">
        <f>K121-S121</f>
        <v>0</v>
      </c>
      <c r="M121" s="9">
        <f>L121-T121</f>
        <v>0</v>
      </c>
      <c r="N121" s="9"/>
      <c r="O121" s="9"/>
      <c r="P121" s="9"/>
      <c r="Q121" s="9"/>
      <c r="R121" s="9">
        <f>IF(OR($C121="Annual",$D121=$E121),IF(AND($D121=$E121,R$77=$B121+$D121),$K121,IF(AND(R$77&gt;$B121+$D121,R$77&lt;=$B121+$E121), $K121/($E121-$D121),0)), IF(OR(R$77=$B121+$D121,R$77=$B121+$E121),$K121/(($E121-$D121)*2),IF(AND(R$77&gt;$B121+$D121,R$77&lt;$B121+$E121),$K121/($E121-$D121),0)))</f>
        <v>0</v>
      </c>
      <c r="S121" s="9">
        <f>IF(OR($C121="Annual",$D121=$E121),IF(AND($D121=$E121,S$77=$B121+$D121),$K121,IF(AND(S$77&gt;$B121+$D121,S$77&lt;=$B121+$E121), $K121/($E121-$D121),0)), IF(OR(S$77=$B121+$D121,S$77=$B121+$E121),$K121/(($E121-$D121)*2),IF(AND(S$77&gt;$B121+$D121,S$77&lt;$B121+$E121),$K121/($E121-$D121),0)))</f>
        <v>0</v>
      </c>
      <c r="T121" s="9">
        <f>IF(OR($C121="Annual",$D121=$E121),IF(AND($D121=$E121,T$77=$B121+$D121),$K121,IF(AND(T$77&gt;$B121+$D121,T$77&lt;=$B121+$E121), $K121/($E121-$D121),0)), IF(OR(T$77=$B121+$D121,T$77=$B121+$E121),$K121/(($E121-$D121)*2),IF(AND(T$77&gt;$B121+$D121,T$77&lt;$B121+$E121),$K121/($E121-$D121),0)))</f>
        <v>0</v>
      </c>
      <c r="U121" s="9"/>
      <c r="V121" s="9"/>
      <c r="W121" s="9"/>
      <c r="X121" s="9"/>
      <c r="Y121" s="9">
        <f>IF($C121="annual",IF(Y$77=$B121,0,J121*$F121),IF(Y$77-$B121=0,K121*$F121/2,IF((Y$77-$B121)&lt;$E121,AVERAGE(J121,K121)*$F121,IF((Y$77-$B121)=$E121,J121*$F121/2,0))))</f>
        <v>0</v>
      </c>
      <c r="Z121" s="9">
        <f>IF($C121="annual",IF(Z$77=$B121,0,K121*$F121),IF(Z$77-$B121=0,L121*$F121/2,IF((Z$77-$B121)&lt;$E121,AVERAGE(K121,L121)*$F121,IF((Z$77-$B121)=$E121,K121*$F121/2,0))))</f>
        <v>0</v>
      </c>
      <c r="AA121" s="9">
        <f>IF($C121="annual",IF(AA$77=$B121,0,L121*$F121),IF(AA$77-$B121=0,M121*$F121/2,IF((AA$77-$B121)&lt;$E121,AVERAGE(L121,M121)*$F121,IF((AA$77-$B121)=$E121,L121*$F121/2,0))))</f>
        <v>0</v>
      </c>
    </row>
    <row r="122" spans="1:27">
      <c r="A122" s="8" t="str">
        <f>A121</f>
        <v>Type 3</v>
      </c>
      <c r="B122" s="7">
        <f>B121+1</f>
        <v>2022</v>
      </c>
      <c r="C122" s="7" t="str">
        <f>C121</f>
        <v>Annual</v>
      </c>
      <c r="D122" s="7">
        <f t="shared" si="21"/>
        <v>0</v>
      </c>
      <c r="E122" s="7">
        <f t="shared" si="21"/>
        <v>0</v>
      </c>
      <c r="F122" s="14">
        <f>$P$45</f>
        <v>0</v>
      </c>
      <c r="H122" s="9"/>
      <c r="I122" s="9"/>
      <c r="J122" s="9"/>
      <c r="K122" s="9"/>
      <c r="L122" s="9">
        <f>$F$45</f>
        <v>0</v>
      </c>
      <c r="M122" s="9">
        <f>L122-T122</f>
        <v>0</v>
      </c>
      <c r="N122" s="9"/>
      <c r="O122" s="9"/>
      <c r="P122" s="9"/>
      <c r="Q122" s="9"/>
      <c r="R122" s="9"/>
      <c r="S122" s="9">
        <f>IF(OR($C122="Annual",$D122=$E122),IF(AND($D122=$E122,S$77=$B122+$D122),$L122,IF(AND(S$77&gt;$B122+$D122,S$77&lt;=$B122+$E122), $L122/($E122-$D122),0)), IF(OR(S$77=$B122+$D122,S$77=$B122+$E122),$L122/(($E122-$D122)*2),IF(AND(S$77&gt;$B122+$D122,S$77&lt;$B122+$E122),$L122/($E122-$D122),0)))</f>
        <v>0</v>
      </c>
      <c r="T122" s="9">
        <f>IF(OR($C122="Annual",$D122=$E122),IF(AND($D122=$E122,T$77=$B122+$D122),$L122,IF(AND(T$77&gt;$B122+$D122,T$77&lt;=$B122+$E122), $L122/($E122-$D122),0)), IF(OR(T$77=$B122+$D122,T$77=$B122+$E122),$L122/(($E122-$D122)*2),IF(AND(T$77&gt;$B122+$D122,T$77&lt;$B122+$E122),$L122/($E122-$D122),0)))</f>
        <v>0</v>
      </c>
      <c r="U122" s="9"/>
      <c r="V122" s="9"/>
      <c r="W122" s="9"/>
      <c r="X122" s="9"/>
      <c r="Y122" s="9"/>
      <c r="Z122" s="9">
        <f>IF($C122="annual",IF(Z$77=$B122,0,K122*$F122),IF(Z$77-$B122=0,L122*$F122/2,IF((Z$77-$B122)&lt;$E122,AVERAGE(K122,L122)*$F122,IF((Z$77-$B122)=$E122,K122*$F122/2,0))))</f>
        <v>0</v>
      </c>
      <c r="AA122" s="9">
        <f>IF($C122="annual",IF(AA$77=$B122,0,L122*$F122),IF(AA$77-$B122=0,M122*$F122/2,IF((AA$77-$B122)&lt;$E122,AVERAGE(L122,M122)*$F122,IF((AA$77-$B122)=$E122,L122*$F122/2,0))))</f>
        <v>0</v>
      </c>
    </row>
    <row r="123" spans="1:27">
      <c r="A123" s="8" t="str">
        <f>A122</f>
        <v>Type 3</v>
      </c>
      <c r="B123" s="7">
        <f>B122+1</f>
        <v>2023</v>
      </c>
      <c r="C123" s="7" t="str">
        <f>C122</f>
        <v>Annual</v>
      </c>
      <c r="D123" s="7">
        <f t="shared" si="21"/>
        <v>0</v>
      </c>
      <c r="E123" s="7">
        <f t="shared" si="21"/>
        <v>0</v>
      </c>
      <c r="F123" s="14">
        <f>$Q$45</f>
        <v>0</v>
      </c>
      <c r="H123" s="9"/>
      <c r="I123" s="9"/>
      <c r="J123" s="9"/>
      <c r="K123" s="9"/>
      <c r="L123" s="9"/>
      <c r="M123" s="9">
        <f>$G$45</f>
        <v>0</v>
      </c>
      <c r="N123" s="9"/>
      <c r="O123" s="9"/>
      <c r="P123" s="9"/>
      <c r="Q123" s="9"/>
      <c r="R123" s="9"/>
      <c r="S123" s="9"/>
      <c r="T123" s="9">
        <f>IF(OR($C123="Annual",$D123=$E123),IF(AND($D123=$E123,T$77=$B123+$D123),$M123,IF(AND(T$77&gt;$B123+$D123,T$77&lt;=$B123+$E123), $M123/($E123-$D123),0)), IF(OR(T$77=$B123+$D123,T$77=$B123+$E123),$M123/(($E123-$D123)*2),IF(AND(T$77&gt;$B123+$D123,T$77&lt;$B123+$E123),$M123/($E123-$D123),0)))</f>
        <v>0</v>
      </c>
      <c r="U123" s="9"/>
      <c r="V123" s="9"/>
      <c r="W123" s="9"/>
      <c r="X123" s="9"/>
      <c r="Y123" s="9"/>
      <c r="Z123" s="9"/>
      <c r="AA123" s="9">
        <f>IF($C123="annual",IF(AA$77=$B123,0,L123*$F123),IF(AA$77-$B123=0,M123*$F123/2,IF((AA$77-$B123)&lt;$E123,AVERAGE(L123,M123)*$F123,IF((AA$77-$B123)=$E123,L123*$F123/2,0))))</f>
        <v>0</v>
      </c>
    </row>
    <row r="124" spans="1:27" ht="6.75" customHeight="1">
      <c r="B124" s="6"/>
      <c r="C124" s="281"/>
      <c r="F124" s="15"/>
      <c r="H124" s="10"/>
      <c r="I124" s="10"/>
      <c r="J124" s="10"/>
      <c r="K124" s="10"/>
      <c r="L124" s="10"/>
      <c r="M124" s="10"/>
      <c r="N124" s="10"/>
      <c r="O124" s="10"/>
      <c r="P124" s="10"/>
      <c r="Q124" s="10"/>
      <c r="R124" s="10"/>
      <c r="S124" s="10"/>
      <c r="T124" s="10"/>
      <c r="U124" s="10"/>
      <c r="V124" s="9"/>
      <c r="W124" s="9"/>
      <c r="X124" s="9"/>
      <c r="Y124" s="9"/>
      <c r="Z124" s="9"/>
      <c r="AA124" s="9"/>
    </row>
    <row r="125" spans="1:27">
      <c r="A125" s="8" t="str">
        <f>A46</f>
        <v>Type 4</v>
      </c>
      <c r="B125" s="7">
        <f>B85</f>
        <v>2018</v>
      </c>
      <c r="C125" s="7" t="str">
        <f>$I46</f>
        <v>Annual</v>
      </c>
      <c r="D125" s="7">
        <f>$J46</f>
        <v>0</v>
      </c>
      <c r="E125" s="7">
        <f>$K46</f>
        <v>0</v>
      </c>
      <c r="F125" s="14">
        <f>$L$46</f>
        <v>0</v>
      </c>
      <c r="H125" s="9">
        <f>$B$46</f>
        <v>0</v>
      </c>
      <c r="I125" s="9">
        <f>H125-P125</f>
        <v>0</v>
      </c>
      <c r="J125" s="9">
        <f>I125-Q125</f>
        <v>0</v>
      </c>
      <c r="K125" s="9">
        <f>J125-R125</f>
        <v>0</v>
      </c>
      <c r="L125" s="9">
        <f>K125-S125</f>
        <v>0</v>
      </c>
      <c r="M125" s="9">
        <f>L125-T125</f>
        <v>0</v>
      </c>
      <c r="N125" s="9"/>
      <c r="O125" s="9">
        <f t="shared" ref="O125:T125" si="22">IF(OR($C125="Annual",$D125=$E125),IF(AND($D125=$E125,O$77=$B125+$D125),$H125,IF(AND(O$77&gt;$B125+$D125,O$77&lt;=$B125+$E125), $H125/($E125-$D125),0)), IF(OR(O$77=$B125+$D125,O$77=$B125+$E125),$H125/(($E125-$D125)*2),IF(AND(O$77&gt;$B125+$D125,O$77&lt;$B125+$E125),$H125/($E125-$D125),0)))</f>
        <v>0</v>
      </c>
      <c r="P125" s="9">
        <f t="shared" si="22"/>
        <v>0</v>
      </c>
      <c r="Q125" s="9">
        <f t="shared" si="22"/>
        <v>0</v>
      </c>
      <c r="R125" s="9">
        <f t="shared" si="22"/>
        <v>0</v>
      </c>
      <c r="S125" s="9">
        <f t="shared" si="22"/>
        <v>0</v>
      </c>
      <c r="T125" s="9">
        <f t="shared" si="22"/>
        <v>0</v>
      </c>
      <c r="U125" s="9"/>
      <c r="V125" s="9">
        <f t="shared" ref="V125:AA125" si="23">IF($C125="annual",IF(V$77=$B125,0,G125*$F125),IF(V$77-$B125=0,H125*$F125/2,IF((V$77-$B125)&lt;$E125,AVERAGE(G125,H125)*$F125,IF((V$77-$B125)=$E125,G125*$F125/2,0))))</f>
        <v>0</v>
      </c>
      <c r="W125" s="9">
        <f t="shared" si="23"/>
        <v>0</v>
      </c>
      <c r="X125" s="9">
        <f t="shared" si="23"/>
        <v>0</v>
      </c>
      <c r="Y125" s="9">
        <f t="shared" si="23"/>
        <v>0</v>
      </c>
      <c r="Z125" s="9">
        <f t="shared" si="23"/>
        <v>0</v>
      </c>
      <c r="AA125" s="9">
        <f t="shared" si="23"/>
        <v>0</v>
      </c>
    </row>
    <row r="126" spans="1:27">
      <c r="A126" s="8" t="str">
        <f>A125</f>
        <v>Type 4</v>
      </c>
      <c r="B126" s="7">
        <f>B125+1</f>
        <v>2019</v>
      </c>
      <c r="C126" s="7" t="str">
        <f>C125</f>
        <v>Annual</v>
      </c>
      <c r="D126" s="7">
        <f t="shared" ref="D126:E130" si="24">D125</f>
        <v>0</v>
      </c>
      <c r="E126" s="7">
        <f t="shared" si="24"/>
        <v>0</v>
      </c>
      <c r="F126" s="14">
        <f>$M$46</f>
        <v>0</v>
      </c>
      <c r="H126" s="9"/>
      <c r="I126" s="9">
        <f>$C$46</f>
        <v>0</v>
      </c>
      <c r="J126" s="9">
        <f>I126-Q126</f>
        <v>0</v>
      </c>
      <c r="K126" s="9">
        <f>J126-R126</f>
        <v>0</v>
      </c>
      <c r="L126" s="9">
        <f>K126-S126</f>
        <v>0</v>
      </c>
      <c r="M126" s="9">
        <f>L126-T126</f>
        <v>0</v>
      </c>
      <c r="N126" s="9"/>
      <c r="O126" s="9"/>
      <c r="P126" s="9">
        <f>IF(OR($C126="Annual",$D126=$E126),IF(AND($D126=$E126,P$77=$B126+$D126),$I126,IF(AND(P$77&gt;$B126+$D126,P$77&lt;=$B126+$E126), $I126/($E126-$D126),0)), IF(OR(P$77=$B126+$D126,P$77=$B126+$E126),$I126/(($E126-$D126)*2),IF(AND(P$77&gt;$B126+$D126,P$77&lt;$B126+$E126),$I126/($E126-$D126),0)))</f>
        <v>0</v>
      </c>
      <c r="Q126" s="9">
        <f>IF(OR($C126="Annual",$D126=$E126),IF(AND($D126=$E126,Q$77=$B126+$D126),$I126,IF(AND(Q$77&gt;$B126+$D126,Q$77&lt;=$B126+$E126), $I126/($E126-$D126),0)), IF(OR(Q$77=$B126+$D126,Q$77=$B126+$E126),$I126/(($E126-$D126)*2),IF(AND(Q$77&gt;$B126+$D126,Q$77&lt;$B126+$E126),$I126/($E126-$D126),0)))</f>
        <v>0</v>
      </c>
      <c r="R126" s="9">
        <f>IF(OR($C126="Annual",$D126=$E126),IF(AND($D126=$E126,R$77=$B126+$D126),$I126,IF(AND(R$77&gt;$B126+$D126,R$77&lt;=$B126+$E126), $I126/($E126-$D126),0)), IF(OR(R$77=$B126+$D126,R$77=$B126+$E126),$I126/(($E126-$D126)*2),IF(AND(R$77&gt;$B126+$D126,R$77&lt;$B126+$E126),$I126/($E126-$D126),0)))</f>
        <v>0</v>
      </c>
      <c r="S126" s="9">
        <f>IF(OR($C126="Annual",$D126=$E126),IF(AND($D126=$E126,S$77=$B126+$D126),$I126,IF(AND(S$77&gt;$B126+$D126,S$77&lt;=$B126+$E126), $I126/($E126-$D126),0)), IF(OR(S$77=$B126+$D126,S$77=$B126+$E126),$I126/(($E126-$D126)*2),IF(AND(S$77&gt;$B126+$D126,S$77&lt;$B126+$E126),$I126/($E126-$D126),0)))</f>
        <v>0</v>
      </c>
      <c r="T126" s="9">
        <f>IF(OR($C126="Annual",$D126=$E126),IF(AND($D126=$E126,T$77=$B126+$D126),$I126,IF(AND(T$77&gt;$B126+$D126,T$77&lt;=$B126+$E126), $I126/($E126-$D126),0)), IF(OR(T$77=$B126+$D126,T$77=$B126+$E126),$I126/(($E126-$D126)*2),IF(AND(T$77&gt;$B126+$D126,T$77&lt;$B126+$E126),$I126/($E126-$D126),0)))</f>
        <v>0</v>
      </c>
      <c r="U126" s="9"/>
      <c r="V126" s="9"/>
      <c r="W126" s="9">
        <f>IF($C126="annual",IF(W$77=$B126,0,H126*$F126),IF(W$77-$B126=0,I126*$F126/2,IF((W$77-$B126)&lt;$E126,AVERAGE(H126,I126)*$F126,IF((W$77-$B126)=$E126,H126*$F126/2,0))))</f>
        <v>0</v>
      </c>
      <c r="X126" s="9">
        <f>IF($C126="annual",IF(X$77=$B126,0,I126*$F126),IF(X$77-$B126=0,J126*$F126/2,IF((X$77-$B126)&lt;$E126,AVERAGE(I126,J126)*$F126,IF((X$77-$B126)=$E126,I126*$F126/2,0))))</f>
        <v>0</v>
      </c>
      <c r="Y126" s="9">
        <f>IF($C126="annual",IF(Y$77=$B126,0,J126*$F126),IF(Y$77-$B126=0,K126*$F126/2,IF((Y$77-$B126)&lt;$E126,AVERAGE(J126,K126)*$F126,IF((Y$77-$B126)=$E126,J126*$F126/2,0))))</f>
        <v>0</v>
      </c>
      <c r="Z126" s="9">
        <f>IF($C126="annual",IF(Z$77=$B126,0,K126*$F126),IF(Z$77-$B126=0,L126*$F126/2,IF((Z$77-$B126)&lt;$E126,AVERAGE(K126,L126)*$F126,IF((Z$77-$B126)=$E126,K126*$F126/2,0))))</f>
        <v>0</v>
      </c>
      <c r="AA126" s="9">
        <f>IF($C126="annual",IF(AA$77=$B126,0,L126*$F126),IF(AA$77-$B126=0,M126*$F126/2,IF((AA$77-$B126)&lt;$E126,AVERAGE(L126,M126)*$F126,IF((AA$77-$B126)=$E126,L126*$F126/2,0))))</f>
        <v>0</v>
      </c>
    </row>
    <row r="127" spans="1:27">
      <c r="A127" s="8" t="str">
        <f>A126</f>
        <v>Type 4</v>
      </c>
      <c r="B127" s="7">
        <f>B126+1</f>
        <v>2020</v>
      </c>
      <c r="C127" s="7" t="str">
        <f>C126</f>
        <v>Annual</v>
      </c>
      <c r="D127" s="7">
        <f t="shared" si="24"/>
        <v>0</v>
      </c>
      <c r="E127" s="7">
        <f t="shared" si="24"/>
        <v>0</v>
      </c>
      <c r="F127" s="14">
        <f>$N$46</f>
        <v>0</v>
      </c>
      <c r="H127" s="9"/>
      <c r="I127" s="9"/>
      <c r="J127" s="9">
        <f>$D$46</f>
        <v>0</v>
      </c>
      <c r="K127" s="9">
        <f>J127-R127</f>
        <v>0</v>
      </c>
      <c r="L127" s="9">
        <f>K127-S127</f>
        <v>0</v>
      </c>
      <c r="M127" s="9">
        <f>L127-T127</f>
        <v>0</v>
      </c>
      <c r="N127" s="9"/>
      <c r="O127" s="9"/>
      <c r="P127" s="9"/>
      <c r="Q127" s="9">
        <f>IF(OR($C127="Annual",$D127=$E127),IF(AND($D127=$E127,Q$77=$B127+$D127),$J127,IF(AND(Q$77&gt;$B127+$D127,Q$77&lt;=$B127+$E127), $J127/($E127-$D127),0)), IF(OR(Q$77=$B127+$D127,Q$77=$B127+$E127),$J127/(($E127-$D127)*2),IF(AND(Q$77&gt;$B127+$D127,Q$77&lt;$B127+$E127),$J127/($E127-$D127),0)))</f>
        <v>0</v>
      </c>
      <c r="R127" s="9">
        <f>IF(OR($C127="Annual",$D127=$E127),IF(AND($D127=$E127,R$77=$B127+$D127),$J127,IF(AND(R$77&gt;$B127+$D127,R$77&lt;=$B127+$E127), $J127/($E127-$D127),0)), IF(OR(R$77=$B127+$D127,R$77=$B127+$E127),$J127/(($E127-$D127)*2),IF(AND(R$77&gt;$B127+$D127,R$77&lt;$B127+$E127),$J127/($E127-$D127),0)))</f>
        <v>0</v>
      </c>
      <c r="S127" s="9">
        <f>IF(OR($C127="Annual",$D127=$E127),IF(AND($D127=$E127,S$77=$B127+$D127),$J127,IF(AND(S$77&gt;$B127+$D127,S$77&lt;=$B127+$E127), $J127/($E127-$D127),0)), IF(OR(S$77=$B127+$D127,S$77=$B127+$E127),$J127/(($E127-$D127)*2),IF(AND(S$77&gt;$B127+$D127,S$77&lt;$B127+$E127),$J127/($E127-$D127),0)))</f>
        <v>0</v>
      </c>
      <c r="T127" s="9">
        <f>IF(OR($C127="Annual",$D127=$E127),IF(AND($D127=$E127,T$77=$B127+$D127),$J127,IF(AND(T$77&gt;$B127+$D127,T$77&lt;=$B127+$E127), $J127/($E127-$D127),0)), IF(OR(T$77=$B127+$D127,T$77=$B127+$E127),$J127/(($E127-$D127)*2),IF(AND(T$77&gt;$B127+$D127,T$77&lt;$B127+$E127),$J127/($E127-$D127),0)))</f>
        <v>0</v>
      </c>
      <c r="U127" s="9"/>
      <c r="V127" s="9"/>
      <c r="W127" s="9"/>
      <c r="X127" s="9">
        <f>IF($C127="annual",IF(X$77=$B127,0,I127*$F127),IF(X$77-$B127=0,J127*$F127/2,IF((X$77-$B127)&lt;$E127,AVERAGE(I127,J127)*$F127,IF((X$77-$B127)=$E127,I127*$F127/2,0))))</f>
        <v>0</v>
      </c>
      <c r="Y127" s="9">
        <f>IF($C127="annual",IF(Y$77=$B127,0,J127*$F127),IF(Y$77-$B127=0,K127*$F127/2,IF((Y$77-$B127)&lt;$E127,AVERAGE(J127,K127)*$F127,IF((Y$77-$B127)=$E127,J127*$F127/2,0))))</f>
        <v>0</v>
      </c>
      <c r="Z127" s="9">
        <f>IF($C127="annual",IF(Z$77=$B127,0,K127*$F127),IF(Z$77-$B127=0,L127*$F127/2,IF((Z$77-$B127)&lt;$E127,AVERAGE(K127,L127)*$F127,IF((Z$77-$B127)=$E127,K127*$F127/2,0))))</f>
        <v>0</v>
      </c>
      <c r="AA127" s="9">
        <f>IF($C127="annual",IF(AA$77=$B127,0,L127*$F127),IF(AA$77-$B127=0,M127*$F127/2,IF((AA$77-$B127)&lt;$E127,AVERAGE(L127,M127)*$F127,IF((AA$77-$B127)=$E127,L127*$F127/2,0))))</f>
        <v>0</v>
      </c>
    </row>
    <row r="128" spans="1:27">
      <c r="A128" s="8" t="str">
        <f>A127</f>
        <v>Type 4</v>
      </c>
      <c r="B128" s="7">
        <f>B127+1</f>
        <v>2021</v>
      </c>
      <c r="C128" s="7" t="str">
        <f>C127</f>
        <v>Annual</v>
      </c>
      <c r="D128" s="7">
        <f t="shared" si="24"/>
        <v>0</v>
      </c>
      <c r="E128" s="7">
        <f t="shared" si="24"/>
        <v>0</v>
      </c>
      <c r="F128" s="14">
        <f>$O$46</f>
        <v>0</v>
      </c>
      <c r="H128" s="9"/>
      <c r="I128" s="9"/>
      <c r="J128" s="9"/>
      <c r="K128" s="9">
        <f>$E$46</f>
        <v>0</v>
      </c>
      <c r="L128" s="9">
        <f>K128-S128</f>
        <v>0</v>
      </c>
      <c r="M128" s="9">
        <f>L128-T128</f>
        <v>0</v>
      </c>
      <c r="N128" s="9"/>
      <c r="O128" s="9"/>
      <c r="P128" s="9"/>
      <c r="Q128" s="9"/>
      <c r="R128" s="9">
        <f>IF(OR($C128="Annual",$D128=$E128),IF(AND($D128=$E128,R$77=$B128+$D128),$K128,IF(AND(R$77&gt;$B128+$D128,R$77&lt;=$B128+$E128), $K128/($E128-$D128),0)), IF(OR(R$77=$B128+$D128,R$77=$B128+$E128),$K128/(($E128-$D128)*2),IF(AND(R$77&gt;$B128+$D128,R$77&lt;$B128+$E128),$K128/($E128-$D128),0)))</f>
        <v>0</v>
      </c>
      <c r="S128" s="9">
        <f>IF(OR($C128="Annual",$D128=$E128),IF(AND($D128=$E128,S$77=$B128+$D128),$K128,IF(AND(S$77&gt;$B128+$D128,S$77&lt;=$B128+$E128), $K128/($E128-$D128),0)), IF(OR(S$77=$B128+$D128,S$77=$B128+$E128),$K128/(($E128-$D128)*2),IF(AND(S$77&gt;$B128+$D128,S$77&lt;$B128+$E128),$K128/($E128-$D128),0)))</f>
        <v>0</v>
      </c>
      <c r="T128" s="9">
        <f>IF(OR($C128="Annual",$D128=$E128),IF(AND($D128=$E128,T$77=$B128+$D128),$K128,IF(AND(T$77&gt;$B128+$D128,T$77&lt;=$B128+$E128), $K128/($E128-$D128),0)), IF(OR(T$77=$B128+$D128,T$77=$B128+$E128),$K128/(($E128-$D128)*2),IF(AND(T$77&gt;$B128+$D128,T$77&lt;$B128+$E128),$K128/($E128-$D128),0)))</f>
        <v>0</v>
      </c>
      <c r="U128" s="9"/>
      <c r="V128" s="9"/>
      <c r="W128" s="9"/>
      <c r="X128" s="9"/>
      <c r="Y128" s="9">
        <f>IF($C128="annual",IF(Y$77=$B128,0,J128*$F128),IF(Y$77-$B128=0,K128*$F128/2,IF((Y$77-$B128)&lt;$E128,AVERAGE(J128,K128)*$F128,IF((Y$77-$B128)=$E128,J128*$F128/2,0))))</f>
        <v>0</v>
      </c>
      <c r="Z128" s="9">
        <f>IF($C128="annual",IF(Z$77=$B128,0,K128*$F128),IF(Z$77-$B128=0,L128*$F128/2,IF((Z$77-$B128)&lt;$E128,AVERAGE(K128,L128)*$F128,IF((Z$77-$B128)=$E128,K128*$F128/2,0))))</f>
        <v>0</v>
      </c>
      <c r="AA128" s="9">
        <f>IF($C128="annual",IF(AA$77=$B128,0,L128*$F128),IF(AA$77-$B128=0,M128*$F128/2,IF((AA$77-$B128)&lt;$E128,AVERAGE(L128,M128)*$F128,IF((AA$77-$B128)=$E128,L128*$F128/2,0))))</f>
        <v>0</v>
      </c>
    </row>
    <row r="129" spans="1:27">
      <c r="A129" s="8" t="str">
        <f>A128</f>
        <v>Type 4</v>
      </c>
      <c r="B129" s="7">
        <f>B128+1</f>
        <v>2022</v>
      </c>
      <c r="C129" s="7" t="str">
        <f>C128</f>
        <v>Annual</v>
      </c>
      <c r="D129" s="7">
        <f t="shared" si="24"/>
        <v>0</v>
      </c>
      <c r="E129" s="7">
        <f t="shared" si="24"/>
        <v>0</v>
      </c>
      <c r="F129" s="14">
        <f>$P$46</f>
        <v>0</v>
      </c>
      <c r="H129" s="9"/>
      <c r="I129" s="9"/>
      <c r="J129" s="9"/>
      <c r="K129" s="9"/>
      <c r="L129" s="9">
        <f>$F$46</f>
        <v>0</v>
      </c>
      <c r="M129" s="9">
        <f>L129-T129</f>
        <v>0</v>
      </c>
      <c r="N129" s="9"/>
      <c r="O129" s="9"/>
      <c r="P129" s="9"/>
      <c r="Q129" s="9"/>
      <c r="R129" s="9"/>
      <c r="S129" s="9">
        <f>IF(OR($C129="Annual",$D129=$E129),IF(AND($D129=$E129,S$77=$B129+$D129),$L129,IF(AND(S$77&gt;$B129+$D129,S$77&lt;=$B129+$E129), $L129/($E129-$D129),0)), IF(OR(S$77=$B129+$D129,S$77=$B129+$E129),$L129/(($E129-$D129)*2),IF(AND(S$77&gt;$B129+$D129,S$77&lt;$B129+$E129),$L129/($E129-$D129),0)))</f>
        <v>0</v>
      </c>
      <c r="T129" s="9">
        <f>IF(OR($C129="Annual",$D129=$E129),IF(AND($D129=$E129,T$77=$B129+$D129),$L129,IF(AND(T$77&gt;$B129+$D129,T$77&lt;=$B129+$E129), $L129/($E129-$D129),0)), IF(OR(T$77=$B129+$D129,T$77=$B129+$E129),$L129/(($E129-$D129)*2),IF(AND(T$77&gt;$B129+$D129,T$77&lt;$B129+$E129),$L129/($E129-$D129),0)))</f>
        <v>0</v>
      </c>
      <c r="U129" s="9"/>
      <c r="V129" s="9"/>
      <c r="W129" s="9"/>
      <c r="X129" s="9"/>
      <c r="Y129" s="9"/>
      <c r="Z129" s="9">
        <f>IF($C129="annual",IF(Z$77=$B129,0,K129*$F129),IF(Z$77-$B129=0,L129*$F129/2,IF((Z$77-$B129)&lt;$E129,AVERAGE(K129,L129)*$F129,IF((Z$77-$B129)=$E129,K129*$F129/2,0))))</f>
        <v>0</v>
      </c>
      <c r="AA129" s="9">
        <f>IF($C129="annual",IF(AA$77=$B129,0,L129*$F129),IF(AA$77-$B129=0,M129*$F129/2,IF((AA$77-$B129)&lt;$E129,AVERAGE(L129,M129)*$F129,IF((AA$77-$B129)=$E129,L129*$F129/2,0))))</f>
        <v>0</v>
      </c>
    </row>
    <row r="130" spans="1:27">
      <c r="A130" s="8" t="str">
        <f>A129</f>
        <v>Type 4</v>
      </c>
      <c r="B130" s="7">
        <f>B129+1</f>
        <v>2023</v>
      </c>
      <c r="C130" s="7" t="str">
        <f>C129</f>
        <v>Annual</v>
      </c>
      <c r="D130" s="7">
        <f t="shared" si="24"/>
        <v>0</v>
      </c>
      <c r="E130" s="7">
        <f t="shared" si="24"/>
        <v>0</v>
      </c>
      <c r="F130" s="14">
        <f>$Q$46</f>
        <v>0</v>
      </c>
      <c r="H130" s="9"/>
      <c r="I130" s="9"/>
      <c r="J130" s="9"/>
      <c r="K130" s="9"/>
      <c r="L130" s="9"/>
      <c r="M130" s="9">
        <f>$G$46</f>
        <v>0</v>
      </c>
      <c r="N130" s="9"/>
      <c r="O130" s="9"/>
      <c r="P130" s="9"/>
      <c r="Q130" s="9"/>
      <c r="R130" s="9"/>
      <c r="S130" s="9"/>
      <c r="T130" s="9">
        <f>IF(OR($C130="Annual",$D130=$E130),IF(AND($D130=$E130,T$77=$B130+$D130),$M130,IF(AND(T$77&gt;$B130+$D130,T$77&lt;=$B130+$E130), $M130/($E130-$D130),0)), IF(OR(T$77=$B130+$D130,T$77=$B130+$E130),$M130/(($E130-$D130)*2),IF(AND(T$77&gt;$B130+$D130,T$77&lt;$B130+$E130),$M130/($E130-$D130),0)))</f>
        <v>0</v>
      </c>
      <c r="U130" s="9"/>
      <c r="V130" s="9"/>
      <c r="W130" s="9"/>
      <c r="X130" s="9"/>
      <c r="Y130" s="9"/>
      <c r="Z130" s="9"/>
      <c r="AA130" s="9">
        <f>IF($C130="annual",IF(AA$77=$B130,0,L130*$F130),IF(AA$77-$B130=0,M130*$F130/2,IF((AA$77-$B130)&lt;$E130,AVERAGE(L130,M130)*$F130,IF((AA$77-$B130)=$E130,L130*$F130/2,0))))</f>
        <v>0</v>
      </c>
    </row>
    <row r="131" spans="1:27" ht="6.75" customHeight="1">
      <c r="B131" s="6"/>
      <c r="C131" s="281"/>
      <c r="F131" s="15"/>
      <c r="H131" s="10"/>
      <c r="I131" s="10"/>
      <c r="J131" s="10"/>
      <c r="K131" s="10"/>
      <c r="L131" s="10"/>
      <c r="M131" s="10"/>
      <c r="N131" s="10"/>
      <c r="O131" s="10"/>
      <c r="P131" s="10"/>
      <c r="Q131" s="10"/>
      <c r="R131" s="10"/>
      <c r="S131" s="10"/>
      <c r="T131" s="10"/>
      <c r="U131" s="10"/>
      <c r="V131" s="10"/>
      <c r="W131" s="10"/>
      <c r="X131" s="10"/>
      <c r="Y131" s="10"/>
      <c r="Z131" s="10"/>
      <c r="AA131" s="10"/>
    </row>
    <row r="132" spans="1:27" s="1150" customFormat="1">
      <c r="A132" s="1347" t="str">
        <f>A47</f>
        <v>ZERO-COUPON BOND</v>
      </c>
      <c r="B132" s="1348">
        <f>B85</f>
        <v>2018</v>
      </c>
      <c r="C132" s="1348"/>
      <c r="D132" s="1348">
        <f>$J47</f>
        <v>0</v>
      </c>
      <c r="E132" s="1348">
        <f>$K47</f>
        <v>0</v>
      </c>
      <c r="F132" s="1349">
        <f>$L$47</f>
        <v>0</v>
      </c>
      <c r="H132" s="1350">
        <f>$B$47</f>
        <v>0</v>
      </c>
      <c r="I132" s="1350">
        <f>H132-P132</f>
        <v>0</v>
      </c>
      <c r="J132" s="1350">
        <f>I132-Q132</f>
        <v>0</v>
      </c>
      <c r="K132" s="1350">
        <f>J132-R132</f>
        <v>0</v>
      </c>
      <c r="L132" s="1350">
        <f>K132-S132</f>
        <v>0</v>
      </c>
      <c r="M132" s="1350">
        <f>L132-T132</f>
        <v>0</v>
      </c>
      <c r="N132" s="1350"/>
      <c r="O132" s="1350">
        <f t="shared" ref="O132:T132" si="25">IF($D132=$E132,IF(O$77=$B132+$E132,$H132,0),0)</f>
        <v>0</v>
      </c>
      <c r="P132" s="1350">
        <f t="shared" si="25"/>
        <v>0</v>
      </c>
      <c r="Q132" s="1350">
        <f t="shared" si="25"/>
        <v>0</v>
      </c>
      <c r="R132" s="1350">
        <f t="shared" si="25"/>
        <v>0</v>
      </c>
      <c r="S132" s="1350">
        <f t="shared" si="25"/>
        <v>0</v>
      </c>
      <c r="T132" s="1350">
        <f t="shared" si="25"/>
        <v>0</v>
      </c>
      <c r="U132" s="1350"/>
      <c r="V132" s="1350">
        <f t="shared" ref="V132:AA132" si="26">IF(V$77-$B132=$D132,$H132*(((1+$F132)^$D132)-1),0)</f>
        <v>0</v>
      </c>
      <c r="W132" s="1350">
        <f t="shared" si="26"/>
        <v>0</v>
      </c>
      <c r="X132" s="1350">
        <f t="shared" si="26"/>
        <v>0</v>
      </c>
      <c r="Y132" s="1350">
        <f t="shared" si="26"/>
        <v>0</v>
      </c>
      <c r="Z132" s="1350">
        <f t="shared" si="26"/>
        <v>0</v>
      </c>
      <c r="AA132" s="1350">
        <f t="shared" si="26"/>
        <v>0</v>
      </c>
    </row>
    <row r="133" spans="1:27" s="1150" customFormat="1">
      <c r="A133" s="1347" t="str">
        <f>A132</f>
        <v>ZERO-COUPON BOND</v>
      </c>
      <c r="B133" s="1348">
        <f>B132+1</f>
        <v>2019</v>
      </c>
      <c r="C133" s="1348"/>
      <c r="D133" s="1348">
        <f t="shared" ref="D133:E137" si="27">D132</f>
        <v>0</v>
      </c>
      <c r="E133" s="1348">
        <f t="shared" si="27"/>
        <v>0</v>
      </c>
      <c r="F133" s="1349">
        <f>$M$47</f>
        <v>0</v>
      </c>
      <c r="H133" s="1350"/>
      <c r="I133" s="1350">
        <f>$C$47</f>
        <v>0</v>
      </c>
      <c r="J133" s="1350">
        <f>I133-Q133</f>
        <v>0</v>
      </c>
      <c r="K133" s="1350">
        <f>J133-R133</f>
        <v>0</v>
      </c>
      <c r="L133" s="1350">
        <f>K133-S133</f>
        <v>0</v>
      </c>
      <c r="M133" s="1350">
        <f>L133-T133</f>
        <v>0</v>
      </c>
      <c r="N133" s="1350"/>
      <c r="O133" s="1351"/>
      <c r="P133" s="1350">
        <f>IF($D133=$E133,IF(P$77=$B133+$E133,$I133,0),0)</f>
        <v>0</v>
      </c>
      <c r="Q133" s="1350">
        <f>IF($D133=$E133,IF(Q$77=$B133+$E133,$I133,0),0)</f>
        <v>0</v>
      </c>
      <c r="R133" s="1350">
        <f>IF($D133=$E133,IF(R$77=$B133+$E133,$I133,0),0)</f>
        <v>0</v>
      </c>
      <c r="S133" s="1350">
        <f>IF($D133=$E133,IF(S$77=$B133+$E133,$I133,0),0)</f>
        <v>0</v>
      </c>
      <c r="T133" s="1350">
        <f>IF($D133=$E133,IF(T$77=$B133+$E133,$I133,0),0)</f>
        <v>0</v>
      </c>
      <c r="U133" s="1350"/>
      <c r="V133" s="1350"/>
      <c r="W133" s="1350">
        <f>IF(W$77-$B133=$D133,$I133*(((1+$F133)^$D133)-1),0)</f>
        <v>0</v>
      </c>
      <c r="X133" s="1350">
        <f>IF(X$77-$B133=$D133,$I133*(((1+$F133)^$D133)-1),0)</f>
        <v>0</v>
      </c>
      <c r="Y133" s="1350">
        <f>IF(Y$77-$B133=$D133,$I133*(((1+$F133)^$D133)-1),0)</f>
        <v>0</v>
      </c>
      <c r="Z133" s="1350">
        <f>IF(Z$77-$B133=$D133,$I133*(((1+$F133)^$D133)-1),0)</f>
        <v>0</v>
      </c>
      <c r="AA133" s="1350">
        <f>IF(AA$77-$B133=$D133,$I133*(((1+$F133)^$D133)-1),0)</f>
        <v>0</v>
      </c>
    </row>
    <row r="134" spans="1:27" s="1150" customFormat="1">
      <c r="A134" s="1347" t="str">
        <f>A133</f>
        <v>ZERO-COUPON BOND</v>
      </c>
      <c r="B134" s="1348">
        <f>B133+1</f>
        <v>2020</v>
      </c>
      <c r="C134" s="1348"/>
      <c r="D134" s="1348">
        <f t="shared" si="27"/>
        <v>0</v>
      </c>
      <c r="E134" s="1348">
        <f t="shared" si="27"/>
        <v>0</v>
      </c>
      <c r="F134" s="1349">
        <f>$N$47</f>
        <v>0</v>
      </c>
      <c r="H134" s="1350"/>
      <c r="I134" s="1350"/>
      <c r="J134" s="1350">
        <f>$D$47</f>
        <v>0</v>
      </c>
      <c r="K134" s="1350">
        <f>J134-R134</f>
        <v>0</v>
      </c>
      <c r="L134" s="1350">
        <f>K134-S134</f>
        <v>0</v>
      </c>
      <c r="M134" s="1350">
        <f>L134-T134</f>
        <v>0</v>
      </c>
      <c r="N134" s="1350"/>
      <c r="O134" s="1351"/>
      <c r="P134" s="1350"/>
      <c r="Q134" s="1350">
        <f>IF($D134=$E134,IF(Q$77=$B134+$E134,$J134,0),0)</f>
        <v>0</v>
      </c>
      <c r="R134" s="1350">
        <f>IF($D134=$E134,IF(R$77=$B134+$E134,$J134,0),0)</f>
        <v>0</v>
      </c>
      <c r="S134" s="1350">
        <f>IF($D134=$E134,IF(S$77=$B134+$E134,$J134,0),0)</f>
        <v>0</v>
      </c>
      <c r="T134" s="1350">
        <f>IF($D134=$E134,IF(T$77=$B134+$E134,$J134,0),0)</f>
        <v>0</v>
      </c>
      <c r="U134" s="1350"/>
      <c r="V134" s="1350"/>
      <c r="W134" s="1350"/>
      <c r="X134" s="1350">
        <f>IF(X$77-$B134=$D134,$J134*(((1+$F134)^$D134)-1),0)</f>
        <v>0</v>
      </c>
      <c r="Y134" s="1350">
        <f>IF(Y$77-$B134=$D134,$J134*(((1+$F134)^$D134)-1),0)</f>
        <v>0</v>
      </c>
      <c r="Z134" s="1350">
        <f>IF(Z$77-$B134=$D134,$J134*(((1+$F134)^$D134)-1),0)</f>
        <v>0</v>
      </c>
      <c r="AA134" s="1350">
        <f>IF(AA$77-$B134=$D134,$J134*(((1+$F134)^$D134)-1),0)</f>
        <v>0</v>
      </c>
    </row>
    <row r="135" spans="1:27" s="1150" customFormat="1">
      <c r="A135" s="1347" t="str">
        <f>A134</f>
        <v>ZERO-COUPON BOND</v>
      </c>
      <c r="B135" s="1348">
        <f>B134+1</f>
        <v>2021</v>
      </c>
      <c r="C135" s="1348"/>
      <c r="D135" s="1348">
        <f t="shared" si="27"/>
        <v>0</v>
      </c>
      <c r="E135" s="1348">
        <f t="shared" si="27"/>
        <v>0</v>
      </c>
      <c r="F135" s="1349">
        <f>$O$47</f>
        <v>0</v>
      </c>
      <c r="H135" s="1350"/>
      <c r="I135" s="1350"/>
      <c r="J135" s="1350"/>
      <c r="K135" s="1350">
        <f>$E$47</f>
        <v>0</v>
      </c>
      <c r="L135" s="1350">
        <f>K135-S135</f>
        <v>0</v>
      </c>
      <c r="M135" s="1350">
        <f>L135-T135</f>
        <v>0</v>
      </c>
      <c r="N135" s="1350"/>
      <c r="O135" s="1351"/>
      <c r="P135" s="1350"/>
      <c r="Q135" s="1350"/>
      <c r="R135" s="1350">
        <f>IF($D135=$E135,IF(R$77=$B135+$E135,$K135,0),0)</f>
        <v>0</v>
      </c>
      <c r="S135" s="1350">
        <f>IF($D135=$E135,IF(S$77=$B135+$E135,$K135,0),0)</f>
        <v>0</v>
      </c>
      <c r="T135" s="1350">
        <f>IF($D135=$E135,IF(T$77=$B135+$E135,$K135,0),0)</f>
        <v>0</v>
      </c>
      <c r="U135" s="1350"/>
      <c r="V135" s="1350"/>
      <c r="W135" s="1350"/>
      <c r="X135" s="1350"/>
      <c r="Y135" s="1350">
        <f>IF(Y$77-$B135=$D135,$K135*(((1+$F135)^$D135)-1),0)</f>
        <v>0</v>
      </c>
      <c r="Z135" s="1350">
        <f>IF(Z$77-$B135=$D135,$K135*(((1+$F135)^$D135)-1),0)</f>
        <v>0</v>
      </c>
      <c r="AA135" s="1350">
        <f>IF(AA$77-$B135=$D135,$K135*(((1+$F135)^$D135)-1),0)</f>
        <v>0</v>
      </c>
    </row>
    <row r="136" spans="1:27" s="1150" customFormat="1">
      <c r="A136" s="1347" t="str">
        <f>A135</f>
        <v>ZERO-COUPON BOND</v>
      </c>
      <c r="B136" s="1348">
        <f>B135+1</f>
        <v>2022</v>
      </c>
      <c r="C136" s="1348"/>
      <c r="D136" s="1348">
        <f t="shared" si="27"/>
        <v>0</v>
      </c>
      <c r="E136" s="1348">
        <f t="shared" si="27"/>
        <v>0</v>
      </c>
      <c r="F136" s="1349">
        <f>$P$47</f>
        <v>0</v>
      </c>
      <c r="H136" s="1350"/>
      <c r="I136" s="1350"/>
      <c r="J136" s="1350"/>
      <c r="K136" s="1350"/>
      <c r="L136" s="1350">
        <f>$F$47</f>
        <v>0</v>
      </c>
      <c r="M136" s="1350">
        <f>L136-T136</f>
        <v>0</v>
      </c>
      <c r="N136" s="1350"/>
      <c r="O136" s="1351"/>
      <c r="P136" s="1350"/>
      <c r="Q136" s="1350"/>
      <c r="R136" s="1350"/>
      <c r="S136" s="1350">
        <f>IF($D136=$E136,IF(S$77=$B136+$E136,$L136,0),0)</f>
        <v>0</v>
      </c>
      <c r="T136" s="1350">
        <f>IF($D136=$E136,IF(T$77=$B136+$E136,$L136,0),0)</f>
        <v>0</v>
      </c>
      <c r="U136" s="1350"/>
      <c r="V136" s="1350"/>
      <c r="W136" s="1350"/>
      <c r="X136" s="1350"/>
      <c r="Y136" s="1350"/>
      <c r="Z136" s="1350">
        <f>IF(Z$77-$B136=$D136,$L136*(((1+$F136)^$D136)-1),0)</f>
        <v>0</v>
      </c>
      <c r="AA136" s="1350">
        <f>IF(AA$77-$B136=$D136,$L136*(((1+$F136)^$D136)-1),0)</f>
        <v>0</v>
      </c>
    </row>
    <row r="137" spans="1:27" s="1150" customFormat="1">
      <c r="A137" s="1347" t="str">
        <f>A136</f>
        <v>ZERO-COUPON BOND</v>
      </c>
      <c r="B137" s="1348">
        <f>B136+1</f>
        <v>2023</v>
      </c>
      <c r="C137" s="1348"/>
      <c r="D137" s="1348">
        <f t="shared" si="27"/>
        <v>0</v>
      </c>
      <c r="E137" s="1348">
        <f t="shared" si="27"/>
        <v>0</v>
      </c>
      <c r="F137" s="1349">
        <f>$Q$47</f>
        <v>0</v>
      </c>
      <c r="H137" s="1350"/>
      <c r="I137" s="1350"/>
      <c r="J137" s="1350"/>
      <c r="K137" s="1350"/>
      <c r="L137" s="1350"/>
      <c r="M137" s="1350">
        <f>$G$47</f>
        <v>0</v>
      </c>
      <c r="N137" s="1350"/>
      <c r="O137" s="1351"/>
      <c r="P137" s="1350"/>
      <c r="Q137" s="1350"/>
      <c r="R137" s="1350"/>
      <c r="S137" s="1350"/>
      <c r="T137" s="1350">
        <f>IF($D137=$E137,IF(T$77=$B137+$E137,$M137,0),0)</f>
        <v>0</v>
      </c>
      <c r="U137" s="1350"/>
      <c r="V137" s="1350"/>
      <c r="W137" s="1350"/>
      <c r="X137" s="1350"/>
      <c r="Y137" s="1350"/>
      <c r="Z137" s="1350"/>
      <c r="AA137" s="1350">
        <f>IF(AA$77-$B137=$D137,$M137*(((1+$F137)^$D137)-1),0)</f>
        <v>0</v>
      </c>
    </row>
    <row r="138" spans="1:27" ht="6.75" customHeight="1" thickBot="1">
      <c r="B138" s="6"/>
      <c r="H138" s="10"/>
      <c r="I138" s="10"/>
      <c r="J138" s="10"/>
      <c r="K138" s="10"/>
      <c r="L138" s="10"/>
      <c r="M138" s="10"/>
      <c r="N138" s="10"/>
      <c r="O138" s="10"/>
      <c r="P138" s="10"/>
      <c r="Q138" s="10"/>
      <c r="R138" s="10"/>
      <c r="S138" s="10"/>
      <c r="T138" s="10"/>
      <c r="U138" s="10"/>
      <c r="V138" s="10"/>
      <c r="W138" s="10"/>
      <c r="X138" s="10"/>
      <c r="Y138" s="10"/>
      <c r="Z138" s="10"/>
      <c r="AA138" s="10"/>
    </row>
    <row r="139" spans="1:27" ht="15.75" customHeight="1" thickBot="1">
      <c r="A139" s="12" t="str">
        <f>A48</f>
        <v>Denominated in foreign currency</v>
      </c>
      <c r="B139" s="6"/>
      <c r="C139" s="1999" t="s">
        <v>52</v>
      </c>
      <c r="D139" s="2000"/>
      <c r="E139" s="2000"/>
      <c r="F139" s="2000"/>
      <c r="G139" s="2000"/>
      <c r="H139" s="2000"/>
      <c r="I139" s="2000"/>
      <c r="J139" s="2000"/>
      <c r="K139" s="2000"/>
      <c r="L139" s="2000"/>
      <c r="M139" s="2000"/>
      <c r="N139" s="2000"/>
      <c r="O139" s="2000"/>
      <c r="P139" s="2000"/>
      <c r="Q139" s="2000"/>
      <c r="R139" s="2000"/>
      <c r="S139" s="2000"/>
      <c r="T139" s="2000"/>
      <c r="U139" s="2000"/>
      <c r="V139" s="2000"/>
      <c r="W139" s="2000"/>
      <c r="X139" s="2000"/>
      <c r="Y139" s="2000"/>
      <c r="Z139" s="2000"/>
      <c r="AA139" s="2001"/>
    </row>
    <row r="140" spans="1:27" ht="8.4499999999999993" customHeight="1">
      <c r="B140" s="6"/>
      <c r="H140" s="10"/>
      <c r="I140" s="10"/>
      <c r="J140" s="10"/>
      <c r="K140" s="10"/>
      <c r="L140" s="10"/>
      <c r="M140" s="10"/>
      <c r="N140" s="10"/>
      <c r="O140" s="10"/>
      <c r="P140" s="10"/>
      <c r="Q140" s="10"/>
      <c r="R140" s="10"/>
      <c r="S140" s="10"/>
      <c r="T140" s="10"/>
      <c r="U140" s="10"/>
      <c r="V140" s="10"/>
      <c r="W140" s="10"/>
      <c r="X140" s="10"/>
      <c r="Y140" s="10"/>
      <c r="Z140" s="10"/>
      <c r="AA140" s="10"/>
    </row>
    <row r="141" spans="1:27">
      <c r="A141" s="8" t="str">
        <f>A49</f>
        <v>Type 6</v>
      </c>
      <c r="B141" s="7">
        <f>B85</f>
        <v>2018</v>
      </c>
      <c r="C141" s="7" t="str">
        <f>$I49</f>
        <v>Annual</v>
      </c>
      <c r="D141" s="7">
        <f>$J49</f>
        <v>0</v>
      </c>
      <c r="E141" s="7">
        <f>$K49</f>
        <v>0</v>
      </c>
      <c r="F141" s="14">
        <f>$L$49</f>
        <v>0</v>
      </c>
      <c r="H141" s="9">
        <f>B$49/B$8</f>
        <v>0</v>
      </c>
      <c r="I141" s="9">
        <f>H141-P141</f>
        <v>0</v>
      </c>
      <c r="J141" s="9">
        <f>I141-Q141</f>
        <v>0</v>
      </c>
      <c r="K141" s="9">
        <f>J141-R141</f>
        <v>0</v>
      </c>
      <c r="L141" s="9">
        <f>K141-S141</f>
        <v>0</v>
      </c>
      <c r="M141" s="9">
        <f>L141-T141</f>
        <v>0</v>
      </c>
      <c r="N141" s="9"/>
      <c r="O141" s="9">
        <f t="shared" ref="O141:T141" si="28">IF(OR($C141="Annual",$D141=$E141),IF(AND($D141=$E141,O$77=$B141+$D141),$H141,IF(AND(O$77&gt;$B141+$D141,O$77&lt;=$B141+$E141), $H141/($E141-$D141),0)), IF(OR(O$77=$B141+$D141,O$77=$B141+$E141),$H141/(($E141-$D141)*2),IF(AND(O$77&gt;$B141+$D141,O$77&lt;$B141+$E141),$H141/($E141-$D141),0)))</f>
        <v>0</v>
      </c>
      <c r="P141" s="9">
        <f t="shared" si="28"/>
        <v>0</v>
      </c>
      <c r="Q141" s="9">
        <f t="shared" si="28"/>
        <v>0</v>
      </c>
      <c r="R141" s="9">
        <f t="shared" si="28"/>
        <v>0</v>
      </c>
      <c r="S141" s="9">
        <f t="shared" si="28"/>
        <v>0</v>
      </c>
      <c r="T141" s="9">
        <f t="shared" si="28"/>
        <v>0</v>
      </c>
      <c r="U141" s="9"/>
      <c r="V141" s="9">
        <f>IF($C141="annual",IF(V$77=$B141,0,G141*$F141),IF(V$77-$B141=0,H141*$F141/2,IF((V$77-$B141)&lt;$E141,AVERAGE(G141,H141)*$F141,IF((V$77-$B141)=$E141,G141*$F141/2,0))))</f>
        <v>0</v>
      </c>
      <c r="W141" s="9">
        <f>IF($C141="annual",IF(W$77=$B141,0,H141*$F141),IF(W$77-$B141=0,I141*$F141/2,IF((W$77-$B141)&lt;$E141,AVERAGE(H141,I141)*$F141,IF((W$77-$B141)=$E141,H141*$F141/2,0))))</f>
        <v>0</v>
      </c>
      <c r="X141" s="9">
        <f>IF($C141="annual",IF(X$77=$B141,0,I141*$F141),IF(X$77-$B141=0,J141*$F141/2,IF((X$77-$B141)&lt;$E141,AVERAGE(I141,J141)*$F141,IF((X$77-$B141)=$E141,I141*$F141/2,0))))</f>
        <v>0</v>
      </c>
      <c r="Y141" s="9">
        <f>IF($C141="annual",IF(Y$77=$B141,0,J141*$F141),IF(Y$77-$B141=0,K141*$F141/2,IF((Y$77-$B141)&lt;$E141,AVERAGE(J141,K141)*$F141,IF((Y$77-$B141)=$E141,J141*$F141/2,0))))</f>
        <v>0</v>
      </c>
      <c r="Z141" s="9">
        <f t="shared" ref="Z141:AA146" si="29">IF($C141="annual",IF(Z$77=$B141,0,K141*$F141),IF(Z$77-$B141=0,L141*$F141/2,IF((Z$77-$B141)&lt;$E141,AVERAGE(K141,L141)*$F141,IF((Z$77-$B141)=$E141,K141*$F141/2,0))))</f>
        <v>0</v>
      </c>
      <c r="AA141" s="9">
        <f>IF($C141="annual",IF(AA$77=$B141,0,L141*$F141),IF(AA$77-$B141=0,M141*$F141/2,IF((AA$77-$B141)&lt;$E141,AVERAGE(L141,M141)*$F141,IF((AA$77-$B141)=$E141,L141*$F141/2,0))))</f>
        <v>0</v>
      </c>
    </row>
    <row r="142" spans="1:27">
      <c r="A142" s="8" t="str">
        <f>A141</f>
        <v>Type 6</v>
      </c>
      <c r="B142" s="7">
        <f>B141+1</f>
        <v>2019</v>
      </c>
      <c r="C142" s="7" t="str">
        <f>C141</f>
        <v>Annual</v>
      </c>
      <c r="D142" s="7">
        <f t="shared" ref="D142:E146" si="30">D141</f>
        <v>0</v>
      </c>
      <c r="E142" s="7">
        <f t="shared" si="30"/>
        <v>0</v>
      </c>
      <c r="F142" s="14">
        <f>$M$49</f>
        <v>0</v>
      </c>
      <c r="H142" s="9"/>
      <c r="I142" s="9">
        <f>C$49/C$8</f>
        <v>0</v>
      </c>
      <c r="J142" s="9">
        <f>I142-Q142</f>
        <v>0</v>
      </c>
      <c r="K142" s="9">
        <f>J142-R142</f>
        <v>0</v>
      </c>
      <c r="L142" s="9">
        <f>K142-S142</f>
        <v>0</v>
      </c>
      <c r="M142" s="9">
        <f>L142-T142</f>
        <v>0</v>
      </c>
      <c r="N142" s="9"/>
      <c r="O142" s="9"/>
      <c r="P142" s="9">
        <f>IF(OR($C142="Annual",$D142=$E142),IF(AND($D142=$E142,P$77=$B142+$D142),$I142,IF(AND(P$77&gt;$B142+$D142,P$77&lt;=$B142+$E142), $I142/($E142-$D142),0)), IF(OR(P$77=$B142+$D142,P$77=$B142+$E142),$I142/(($E142-$D142)*2),IF(AND(P$77&gt;$B142+$D142,P$77&lt;$B142+$E142),$I142/($E142-$D142),0)))</f>
        <v>0</v>
      </c>
      <c r="Q142" s="9">
        <f>IF(OR($C142="Annual",$D142=$E142),IF(AND($D142=$E142,Q$77=$B142+$D142),$I142,IF(AND(Q$77&gt;$B142+$D142,Q$77&lt;=$B142+$E142), $I142/($E142-$D142),0)), IF(OR(Q$77=$B142+$D142,Q$77=$B142+$E142),$I142/(($E142-$D142)*2),IF(AND(Q$77&gt;$B142+$D142,Q$77&lt;$B142+$E142),$I142/($E142-$D142),0)))</f>
        <v>0</v>
      </c>
      <c r="R142" s="9">
        <f>IF(OR($C142="Annual",$D142=$E142),IF(AND($D142=$E142,R$77=$B142+$D142),$I142,IF(AND(R$77&gt;$B142+$D142,R$77&lt;=$B142+$E142), $I142/($E142-$D142),0)), IF(OR(R$77=$B142+$D142,R$77=$B142+$E142),$I142/(($E142-$D142)*2),IF(AND(R$77&gt;$B142+$D142,R$77&lt;$B142+$E142),$I142/($E142-$D142),0)))</f>
        <v>0</v>
      </c>
      <c r="S142" s="9">
        <f>IF(OR($C142="Annual",$D142=$E142),IF(AND($D142=$E142,S$77=$B142+$D142),$I142,IF(AND(S$77&gt;$B142+$D142,S$77&lt;=$B142+$E142), $I142/($E142-$D142),0)), IF(OR(S$77=$B142+$D142,S$77=$B142+$E142),$I142/(($E142-$D142)*2),IF(AND(S$77&gt;$B142+$D142,S$77&lt;$B142+$E142),$I142/($E142-$D142),0)))</f>
        <v>0</v>
      </c>
      <c r="T142" s="9">
        <f>IF(OR($C142="Annual",$D142=$E142),IF(AND($D142=$E142,T$77=$B142+$D142),$I142,IF(AND(T$77&gt;$B142+$D142,T$77&lt;=$B142+$E142), $I142/($E142-$D142),0)), IF(OR(T$77=$B142+$D142,T$77=$B142+$E142),$I142/(($E142-$D142)*2),IF(AND(T$77&gt;$B142+$D142,T$77&lt;$B142+$E142),$I142/($E142-$D142),0)))</f>
        <v>0</v>
      </c>
      <c r="U142" s="9"/>
      <c r="V142" s="9"/>
      <c r="W142" s="9">
        <f>IF($C142="annual",IF(W$77=$B142,0,H142*$F142),IF(W$77-$B142=0,I142*$F142/2,IF((W$77-$B142)&lt;$E142,AVERAGE(H142,I142)*$F142,IF((W$77-$B142)=$E142,H142*$F142/2,0))))</f>
        <v>0</v>
      </c>
      <c r="X142" s="9">
        <f>IF($C142="annual",IF(X$77=$B142,0,I142*$F142),IF(X$77-$B142=0,J142*$F142/2,IF((X$77-$B142)&lt;$E142,AVERAGE(I142,J142)*$F142,IF((X$77-$B142)=$E142,I142*$F142/2,0))))</f>
        <v>0</v>
      </c>
      <c r="Y142" s="9">
        <f>IF($C142="annual",IF(Y$77=$B142,0,J142*$F142),IF(Y$77-$B142=0,K142*$F142/2,IF((Y$77-$B142)&lt;$E142,AVERAGE(J142,K142)*$F142,IF((Y$77-$B142)=$E142,J142*$F142/2,0))))</f>
        <v>0</v>
      </c>
      <c r="Z142" s="9">
        <f t="shared" si="29"/>
        <v>0</v>
      </c>
      <c r="AA142" s="9">
        <f>IF($C142="annual",IF(AA$77=$B142,0,L142*$F142),IF(AA$77-$B142=0,M142*$F142/2,IF((AA$77-$B142)&lt;$E142,AVERAGE(L142,M142)*$F142,IF((AA$77-$B142)=$E142,L142*$F142/2,0))))</f>
        <v>0</v>
      </c>
    </row>
    <row r="143" spans="1:27">
      <c r="A143" s="8" t="str">
        <f>A142</f>
        <v>Type 6</v>
      </c>
      <c r="B143" s="7">
        <f>B142+1</f>
        <v>2020</v>
      </c>
      <c r="C143" s="7" t="str">
        <f>C142</f>
        <v>Annual</v>
      </c>
      <c r="D143" s="7">
        <f t="shared" si="30"/>
        <v>0</v>
      </c>
      <c r="E143" s="7">
        <f t="shared" si="30"/>
        <v>0</v>
      </c>
      <c r="F143" s="14">
        <f>$N$49</f>
        <v>0</v>
      </c>
      <c r="H143" s="9"/>
      <c r="I143" s="9"/>
      <c r="J143" s="9">
        <f>D$49/D$8</f>
        <v>0</v>
      </c>
      <c r="K143" s="9">
        <f>J143-R143</f>
        <v>0</v>
      </c>
      <c r="L143" s="9">
        <f>K143-S143</f>
        <v>0</v>
      </c>
      <c r="M143" s="9">
        <f>L143-T143</f>
        <v>0</v>
      </c>
      <c r="N143" s="9"/>
      <c r="O143" s="9"/>
      <c r="P143" s="9"/>
      <c r="Q143" s="9">
        <f>IF(OR($C143="Annual",$D143=$E143),IF(AND($D143=$E143,Q$77=$B143+$D143),$J143,IF(AND(Q$77&gt;$B143+$D143,Q$77&lt;=$B143+$E143), $J143/($E143-$D143),0)), IF(OR(Q$77=$B143+$D143,Q$77=$B143+$E143),$J143/(($E143-$D143)*2),IF(AND(Q$77&gt;$B143+$D143,Q$77&lt;$B143+$E143),$J143/($E143-$D143),0)))</f>
        <v>0</v>
      </c>
      <c r="R143" s="9">
        <f>IF(OR($C143="Annual",$D143=$E143),IF(AND($D143=$E143,R$77=$B143+$D143),$J143,IF(AND(R$77&gt;$B143+$D143,R$77&lt;=$B143+$E143), $J143/($E143-$D143),0)), IF(OR(R$77=$B143+$D143,R$77=$B143+$E143),$J143/(($E143-$D143)*2),IF(AND(R$77&gt;$B143+$D143,R$77&lt;$B143+$E143),$J143/($E143-$D143),0)))</f>
        <v>0</v>
      </c>
      <c r="S143" s="9">
        <f>IF(OR($C143="Annual",$D143=$E143),IF(AND($D143=$E143,S$77=$B143+$D143),$J143,IF(AND(S$77&gt;$B143+$D143,S$77&lt;=$B143+$E143), $J143/($E143-$D143),0)), IF(OR(S$77=$B143+$D143,S$77=$B143+$E143),$J143/(($E143-$D143)*2),IF(AND(S$77&gt;$B143+$D143,S$77&lt;$B143+$E143),$J143/($E143-$D143),0)))</f>
        <v>0</v>
      </c>
      <c r="T143" s="9">
        <f>IF(OR($C143="Annual",$D143=$E143),IF(AND($D143=$E143,T$77=$B143+$D143),$J143,IF(AND(T$77&gt;$B143+$D143,T$77&lt;=$B143+$E143), $J143/($E143-$D143),0)), IF(OR(T$77=$B143+$D143,T$77=$B143+$E143),$J143/(($E143-$D143)*2),IF(AND(T$77&gt;$B143+$D143,T$77&lt;$B143+$E143),$J143/($E143-$D143),0)))</f>
        <v>0</v>
      </c>
      <c r="U143" s="9"/>
      <c r="V143" s="9"/>
      <c r="W143" s="9"/>
      <c r="X143" s="9">
        <f>IF($C143="annual",IF(X$77=$B143,0,I143*$F143),IF(X$77-$B143=0,J143*$F143/2,IF((X$77-$B143)&lt;$E143,AVERAGE(I143,J143)*$F143,IF((X$77-$B143)=$E143,I143*$F143/2,0))))</f>
        <v>0</v>
      </c>
      <c r="Y143" s="9">
        <f>IF($C143="annual",IF(Y$77=$B143,0,J143*$F143),IF(Y$77-$B143=0,K143*$F143/2,IF((Y$77-$B143)&lt;$E143,AVERAGE(J143,K143)*$F143,IF((Y$77-$B143)=$E143,J143*$F143/2,0))))</f>
        <v>0</v>
      </c>
      <c r="Z143" s="9">
        <f t="shared" si="29"/>
        <v>0</v>
      </c>
      <c r="AA143" s="9">
        <f>IF($C143="annual",IF(AA$77=$B143,0,L143*$F143),IF(AA$77-$B143=0,M143*$F143/2,IF((AA$77-$B143)&lt;$E143,AVERAGE(L143,M143)*$F143,IF((AA$77-$B143)=$E143,L143*$F143/2,0))))</f>
        <v>0</v>
      </c>
    </row>
    <row r="144" spans="1:27">
      <c r="A144" s="8" t="str">
        <f>A143</f>
        <v>Type 6</v>
      </c>
      <c r="B144" s="7">
        <f>B143+1</f>
        <v>2021</v>
      </c>
      <c r="C144" s="7" t="str">
        <f>C143</f>
        <v>Annual</v>
      </c>
      <c r="D144" s="7">
        <f t="shared" si="30"/>
        <v>0</v>
      </c>
      <c r="E144" s="7">
        <f t="shared" si="30"/>
        <v>0</v>
      </c>
      <c r="F144" s="14">
        <f>$O$49</f>
        <v>0</v>
      </c>
      <c r="H144" s="9"/>
      <c r="I144" s="9"/>
      <c r="J144" s="9"/>
      <c r="K144" s="9">
        <f>E$49/E$8</f>
        <v>0</v>
      </c>
      <c r="L144" s="9">
        <f>K144-S144</f>
        <v>0</v>
      </c>
      <c r="M144" s="9">
        <f>L144-T144</f>
        <v>0</v>
      </c>
      <c r="N144" s="9"/>
      <c r="O144" s="9"/>
      <c r="P144" s="9"/>
      <c r="Q144" s="9"/>
      <c r="R144" s="9">
        <f>IF(OR($C144="Annual",$D144=$E144),IF(AND($D144=$E144,R$77=$B144+$D144),$K144,IF(AND(R$77&gt;$B144+$D144,R$77&lt;=$B144+$E144), $K144/($E144-$D144),0)), IF(OR(R$77=$B144+$D144,R$77=$B144+$E144),$K144/(($E144-$D144)*2),IF(AND(R$77&gt;$B144+$D144,R$77&lt;$B144+$E144),$K144/($E144-$D144),0)))</f>
        <v>0</v>
      </c>
      <c r="S144" s="9">
        <f>IF(OR($C144="Annual",$D144=$E144),IF(AND($D144=$E144,S$77=$B144+$D144),$K144,IF(AND(S$77&gt;$B144+$D144,S$77&lt;=$B144+$E144), $K144/($E144-$D144),0)), IF(OR(S$77=$B144+$D144,S$77=$B144+$E144),$K144/(($E144-$D144)*2),IF(AND(S$77&gt;$B144+$D144,S$77&lt;$B144+$E144),$K144/($E144-$D144),0)))</f>
        <v>0</v>
      </c>
      <c r="T144" s="9">
        <f>IF(OR($C144="Annual",$D144=$E144),IF(AND($D144=$E144,T$77=$B144+$D144),$K144,IF(AND(T$77&gt;$B144+$D144,T$77&lt;=$B144+$E144), $K144/($E144-$D144),0)), IF(OR(T$77=$B144+$D144,T$77=$B144+$E144),$K144/(($E144-$D144)*2),IF(AND(T$77&gt;$B144+$D144,T$77&lt;$B144+$E144),$K144/($E144-$D144),0)))</f>
        <v>0</v>
      </c>
      <c r="U144" s="9"/>
      <c r="V144" s="9"/>
      <c r="W144" s="9"/>
      <c r="X144" s="9"/>
      <c r="Y144" s="9">
        <f>IF($C144="annual",IF(Y$77=$B144,0,J144*$F144),IF(Y$77-$B144=0,K144*$F144/2,IF((Y$77-$B144)&lt;$E144,AVERAGE(J144,K144)*$F144,IF((Y$77-$B144)=$E144,J144*$F144/2,0))))</f>
        <v>0</v>
      </c>
      <c r="Z144" s="9">
        <f t="shared" si="29"/>
        <v>0</v>
      </c>
      <c r="AA144" s="9">
        <f>IF($C144="annual",IF(AA$77=$B144,0,L144*$F144),IF(AA$77-$B144=0,M144*$F144/2,IF((AA$77-$B144)&lt;$E144,AVERAGE(L144,M144)*$F144,IF((AA$77-$B144)=$E144,L144*$F144/2,0))))</f>
        <v>0</v>
      </c>
    </row>
    <row r="145" spans="1:34">
      <c r="A145" s="8" t="str">
        <f>A144</f>
        <v>Type 6</v>
      </c>
      <c r="B145" s="7">
        <f>B144+1</f>
        <v>2022</v>
      </c>
      <c r="C145" s="7" t="str">
        <f>C144</f>
        <v>Annual</v>
      </c>
      <c r="D145" s="7">
        <f t="shared" si="30"/>
        <v>0</v>
      </c>
      <c r="E145" s="7">
        <f t="shared" si="30"/>
        <v>0</v>
      </c>
      <c r="F145" s="14">
        <f>$P$49</f>
        <v>0</v>
      </c>
      <c r="H145" s="9"/>
      <c r="I145" s="9"/>
      <c r="J145" s="9"/>
      <c r="K145" s="9"/>
      <c r="L145" s="9">
        <f>F$49/F$8</f>
        <v>0</v>
      </c>
      <c r="M145" s="9">
        <f>L145-T145</f>
        <v>0</v>
      </c>
      <c r="N145" s="9"/>
      <c r="O145" s="9"/>
      <c r="P145" s="9"/>
      <c r="Q145" s="9"/>
      <c r="R145" s="9"/>
      <c r="S145" s="9">
        <f>IF(OR($C145="Annual",$D145=$E145),IF(AND($D145=$E145,S$77=$B145+$D145),$L145,IF(AND(S$77&gt;$B145+$D145,S$77&lt;=$B145+$E145), $L145/($E145-$D145),0)), IF(OR(S$77=$B145+$D145,S$77=$B145+$E145),$L145/(($E145-$D145)*2),IF(AND(S$77&gt;$B145+$D145,S$77&lt;$B145+$E145),$L145/($E145-$D145),0)))</f>
        <v>0</v>
      </c>
      <c r="T145" s="9">
        <f>IF(OR($C145="Annual",$D145=$E145),IF(AND($D145=$E145,T$77=$B145+$D145),$L145,IF(AND(T$77&gt;$B145+$D145,T$77&lt;=$B145+$E145), $L145/($E145-$D145),0)), IF(OR(T$77=$B145+$D145,T$77=$B145+$E145),$L145/(($E145-$D145)*2),IF(AND(T$77&gt;$B145+$D145,T$77&lt;$B145+$E145),$L145/($E145-$D145),0)))</f>
        <v>0</v>
      </c>
      <c r="U145" s="9"/>
      <c r="V145" s="9"/>
      <c r="W145" s="9"/>
      <c r="X145" s="9"/>
      <c r="Y145" s="9"/>
      <c r="Z145" s="9">
        <f t="shared" si="29"/>
        <v>0</v>
      </c>
      <c r="AA145" s="9">
        <f t="shared" si="29"/>
        <v>0</v>
      </c>
    </row>
    <row r="146" spans="1:34">
      <c r="A146" s="8" t="str">
        <f>A145</f>
        <v>Type 6</v>
      </c>
      <c r="B146" s="7">
        <f>B145+1</f>
        <v>2023</v>
      </c>
      <c r="C146" s="7" t="str">
        <f>C145</f>
        <v>Annual</v>
      </c>
      <c r="D146" s="7">
        <f t="shared" si="30"/>
        <v>0</v>
      </c>
      <c r="E146" s="7">
        <f t="shared" si="30"/>
        <v>0</v>
      </c>
      <c r="F146" s="14">
        <f>$Q$49</f>
        <v>0</v>
      </c>
      <c r="H146" s="9"/>
      <c r="I146" s="9"/>
      <c r="J146" s="9"/>
      <c r="K146" s="9"/>
      <c r="L146" s="9"/>
      <c r="M146" s="9">
        <f>G$49/G$8</f>
        <v>0</v>
      </c>
      <c r="N146" s="9"/>
      <c r="O146" s="9"/>
      <c r="P146" s="9"/>
      <c r="Q146" s="9"/>
      <c r="R146" s="9"/>
      <c r="S146" s="9"/>
      <c r="T146" s="9">
        <f>IF(OR($C146="Annual",$D146=$E146),IF(AND($D146=$E146,T$77=$B146+$D146),$M146,IF(AND(T$77&gt;$B146+$D146,T$77&lt;=$B146+$E146), $M146/($E146-$D146),0)), IF(OR(T$77=$B146+$D146,T$77=$B146+$E146),$M146/(($E146-$D146)*2),IF(AND(T$77&gt;$B146+$D146,T$77&lt;$B146+$E146),$M146/($E146-$D146),0)))</f>
        <v>0</v>
      </c>
      <c r="U146" s="9"/>
      <c r="V146" s="9"/>
      <c r="W146" s="9"/>
      <c r="X146" s="9"/>
      <c r="Y146" s="9"/>
      <c r="Z146" s="9"/>
      <c r="AA146" s="9">
        <f t="shared" si="29"/>
        <v>0</v>
      </c>
    </row>
    <row r="147" spans="1:34">
      <c r="A147" s="8"/>
      <c r="B147" s="7"/>
      <c r="C147" s="7"/>
      <c r="D147" s="7"/>
      <c r="E147" s="7"/>
      <c r="F147" s="15"/>
      <c r="H147" s="9"/>
      <c r="I147" s="9"/>
      <c r="J147" s="9"/>
      <c r="K147" s="9"/>
      <c r="L147" s="9"/>
      <c r="M147" s="9"/>
      <c r="N147" s="9"/>
      <c r="O147" s="10"/>
      <c r="P147" s="10"/>
      <c r="Q147" s="10"/>
      <c r="R147" s="10"/>
      <c r="S147" s="10"/>
      <c r="T147" s="10"/>
      <c r="U147" s="9"/>
      <c r="V147" s="9"/>
      <c r="W147" s="9"/>
      <c r="X147" s="9"/>
      <c r="Y147" s="9"/>
      <c r="Z147" s="9"/>
      <c r="AA147" s="9"/>
    </row>
    <row r="148" spans="1:34">
      <c r="A148" s="8" t="str">
        <f>A50</f>
        <v>Type 7</v>
      </c>
      <c r="B148" s="7">
        <f>B85</f>
        <v>2018</v>
      </c>
      <c r="C148" s="7" t="str">
        <f>$I50</f>
        <v>Annual</v>
      </c>
      <c r="D148" s="7">
        <f>$J50</f>
        <v>0</v>
      </c>
      <c r="E148" s="7">
        <f>$K50</f>
        <v>0</v>
      </c>
      <c r="F148" s="14">
        <f>$L$50</f>
        <v>0</v>
      </c>
      <c r="H148" s="9">
        <f>B$50/B$8</f>
        <v>0</v>
      </c>
      <c r="I148" s="9">
        <f>H148-P148</f>
        <v>0</v>
      </c>
      <c r="J148" s="9">
        <f>I148-Q148</f>
        <v>0</v>
      </c>
      <c r="K148" s="9">
        <f>J148-R148</f>
        <v>0</v>
      </c>
      <c r="L148" s="9">
        <f>K148-S148</f>
        <v>0</v>
      </c>
      <c r="M148" s="9">
        <f>L148-T148</f>
        <v>0</v>
      </c>
      <c r="N148" s="9"/>
      <c r="O148" s="9">
        <f t="shared" ref="O148:T148" si="31">IF(OR($C148="Annual",$D148=$E148),IF(AND($D148=$E148,O$77=$B148+$D148),$H148,IF(AND(O$77&gt;$B148+$D148,O$77&lt;=$B148+$E148), $H148/($E148-$D148),0)), IF(OR(O$77=$B148+$D148,O$77=$B148+$E148),$H148/(($E148-$D148)*2),IF(AND(O$77&gt;$B148+$D148,O$77&lt;$B148+$E148),$H148/($E148-$D148),0)))</f>
        <v>0</v>
      </c>
      <c r="P148" s="9">
        <f t="shared" si="31"/>
        <v>0</v>
      </c>
      <c r="Q148" s="9">
        <f t="shared" si="31"/>
        <v>0</v>
      </c>
      <c r="R148" s="9">
        <f t="shared" si="31"/>
        <v>0</v>
      </c>
      <c r="S148" s="9">
        <f t="shared" si="31"/>
        <v>0</v>
      </c>
      <c r="T148" s="9">
        <f t="shared" si="31"/>
        <v>0</v>
      </c>
      <c r="U148" s="9"/>
      <c r="V148" s="9">
        <f>IF($C148="annual",IF(V$77=$B148,0,G148*$F148),IF(V$77-$B148=0,H148*$F148/2,IF((V$77-$B148)&lt;$E148,AVERAGE(G148,H148)*$F148,IF((V$77-$B148)=$E148,G148*$F148/2,0))))</f>
        <v>0</v>
      </c>
      <c r="W148" s="9">
        <f>IF($C148="annual",IF(W$77=$B148,0,H148*$F148),IF(W$77-$B148=0,I148*$F148/2,IF((W$77-$B148)&lt;$E148,AVERAGE(H148,I148)*$F148,IF((W$77-$B148)=$E148,H148*$F148/2,0))))</f>
        <v>0</v>
      </c>
      <c r="X148" s="9">
        <f>IF($C148="annual",IF(X$77=$B148,0,I148*$F148),IF(X$77-$B148=0,J148*$F148/2,IF((X$77-$B148)&lt;$E148,AVERAGE(I148,J148)*$F148,IF((X$77-$B148)=$E148,I148*$F148/2,0))))</f>
        <v>0</v>
      </c>
      <c r="Y148" s="9">
        <f>IF($C148="annual",IF(Y$77=$B148,0,J148*$F148),IF(Y$77-$B148=0,K148*$F148/2,IF((Y$77-$B148)&lt;$E148,AVERAGE(J148,K148)*$F148,IF((Y$77-$B148)=$E148,J148*$F148/2,0))))</f>
        <v>0</v>
      </c>
      <c r="Z148" s="9">
        <f>IF($C148="annual",IF(Z$77=$B148,0,K148*$F148),IF(Z$77-$B148=0,L148*$F148/2,IF((Z$77-$B148)&lt;$E148,AVERAGE(K148,L148)*$F148,IF((Z$77-$B148)=$E148,K148*$F148/2,0))))</f>
        <v>0</v>
      </c>
      <c r="AA148" s="9">
        <f t="shared" ref="AA148:AA153" si="32">IF($C148="annual",IF(AA$77=$B148,0,L148*$F148),IF(AA$77-$B148=0,M148*$F148/2,IF((AA$77-$B148)&lt;$E148,AVERAGE(L148,M148)*$F148,IF((AA$77-$B148)=$E148,L148*$F148/2,0))))</f>
        <v>0</v>
      </c>
      <c r="AC148" s="658"/>
      <c r="AD148" s="658"/>
      <c r="AE148" s="658"/>
      <c r="AF148" s="658"/>
      <c r="AG148" s="658"/>
      <c r="AH148" s="658"/>
    </row>
    <row r="149" spans="1:34">
      <c r="A149" s="8" t="str">
        <f>A148</f>
        <v>Type 7</v>
      </c>
      <c r="B149" s="7">
        <f>B148+1</f>
        <v>2019</v>
      </c>
      <c r="C149" s="7" t="str">
        <f>C148</f>
        <v>Annual</v>
      </c>
      <c r="D149" s="7">
        <f>D148</f>
        <v>0</v>
      </c>
      <c r="E149" s="7">
        <f>E148</f>
        <v>0</v>
      </c>
      <c r="F149" s="14">
        <f>$M$50</f>
        <v>0</v>
      </c>
      <c r="H149" s="9"/>
      <c r="I149" s="9">
        <f>C$50/C$8</f>
        <v>0</v>
      </c>
      <c r="J149" s="9">
        <f>I149-Q149</f>
        <v>0</v>
      </c>
      <c r="K149" s="9">
        <f>J149-R149</f>
        <v>0</v>
      </c>
      <c r="L149" s="9">
        <f>K149-S149</f>
        <v>0</v>
      </c>
      <c r="M149" s="9">
        <f>L149-T149</f>
        <v>0</v>
      </c>
      <c r="N149" s="9"/>
      <c r="O149" s="9"/>
      <c r="P149" s="9">
        <f>IF(OR($C149="Annual",$D149=$E149),IF(AND($D149=$E149,P$77=$B149+$D149),$I149,IF(AND(P$77&gt;$B149+$D149,P$77&lt;=$B149+$E149), $I149/($E149-$D149),0)), IF(OR(P$77=$B149+$D149,P$77=$B149+$E149),$I149/(($E149-$D149)*2),IF(AND(P$77&gt;$B149+$D149,P$77&lt;$B149+$E149),$I149/($E149-$D149),0)))</f>
        <v>0</v>
      </c>
      <c r="Q149" s="9">
        <f>IF(OR($C149="Annual",$D149=$E149),IF(AND($D149=$E149,Q$77=$B149+$D149),$I149,IF(AND(Q$77&gt;$B149+$D149,Q$77&lt;=$B149+$E149), $I149/($E149-$D149),0)), IF(OR(Q$77=$B149+$D149,Q$77=$B149+$E149),$I149/(($E149-$D149)*2),IF(AND(Q$77&gt;$B149+$D149,Q$77&lt;$B149+$E149),$I149/($E149-$D149),0)))</f>
        <v>0</v>
      </c>
      <c r="R149" s="9">
        <f>IF(OR($C149="Annual",$D149=$E149),IF(AND($D149=$E149,R$77=$B149+$D149),$I149,IF(AND(R$77&gt;$B149+$D149,R$77&lt;=$B149+$E149), $I149/($E149-$D149),0)), IF(OR(R$77=$B149+$D149,R$77=$B149+$E149),$I149/(($E149-$D149)*2),IF(AND(R$77&gt;$B149+$D149,R$77&lt;$B149+$E149),$I149/($E149-$D149),0)))</f>
        <v>0</v>
      </c>
      <c r="S149" s="9">
        <f>IF(OR($C149="Annual",$D149=$E149),IF(AND($D149=$E149,S$77=$B149+$D149),$I149,IF(AND(S$77&gt;$B149+$D149,S$77&lt;=$B149+$E149), $I149/($E149-$D149),0)), IF(OR(S$77=$B149+$D149,S$77=$B149+$E149),$I149/(($E149-$D149)*2),IF(AND(S$77&gt;$B149+$D149,S$77&lt;$B149+$E149),$I149/($E149-$D149),0)))</f>
        <v>0</v>
      </c>
      <c r="T149" s="9">
        <f>IF(OR($C149="Annual",$D149=$E149),IF(AND($D149=$E149,T$77=$B149+$D149),$I149,IF(AND(T$77&gt;$B149+$D149,T$77&lt;=$B149+$E149), $I149/($E149-$D149),0)), IF(OR(T$77=$B149+$D149,T$77=$B149+$E149),$I149/(($E149-$D149)*2),IF(AND(T$77&gt;$B149+$D149,T$77&lt;$B149+$E149),$I149/($E149-$D149),0)))</f>
        <v>0</v>
      </c>
      <c r="U149" s="9"/>
      <c r="V149" s="9"/>
      <c r="W149" s="9">
        <f>IF($C149="annual",IF(W$77=$B149,0,H149*$F149),IF(W$77-$B149=0,I149*$F149/2,IF((W$77-$B149)&lt;$E149,AVERAGE(H149,I149)*$F149,IF((W$77-$B149)=$E149,H149*$F149/2,0))))</f>
        <v>0</v>
      </c>
      <c r="X149" s="9">
        <f>IF($C149="annual",IF(X$77=$B149,0,I149*$F149),IF(X$77-$B149=0,J149*$F149/2,IF((X$77-$B149)&lt;$E149,AVERAGE(I149,J149)*$F149,IF((X$77-$B149)=$E149,I149*$F149/2,0))))</f>
        <v>0</v>
      </c>
      <c r="Y149" s="9">
        <f>IF($C149="annual",IF(Y$77=$B149,0,J149*$F149),IF(Y$77-$B149=0,K149*$F149/2,IF((Y$77-$B149)&lt;$E149,AVERAGE(J149,K149)*$F149,IF((Y$77-$B149)=$E149,J149*$F149/2,0))))</f>
        <v>0</v>
      </c>
      <c r="Z149" s="9">
        <f>IF($C149="annual",IF(Z$77=$B149,0,K149*$F149),IF(Z$77-$B149=0,L149*$F149/2,IF((Z$77-$B149)&lt;$E149,AVERAGE(K149,L149)*$F149,IF((Z$77-$B149)=$E149,K149*$F149/2,0))))</f>
        <v>0</v>
      </c>
      <c r="AA149" s="9">
        <f t="shared" si="32"/>
        <v>0</v>
      </c>
      <c r="AC149" s="658"/>
      <c r="AD149" s="658"/>
      <c r="AE149" s="658"/>
      <c r="AF149" s="658"/>
      <c r="AG149" s="658"/>
      <c r="AH149" s="658"/>
    </row>
    <row r="150" spans="1:34">
      <c r="A150" s="8" t="str">
        <f>A149</f>
        <v>Type 7</v>
      </c>
      <c r="B150" s="7">
        <f>B149+1</f>
        <v>2020</v>
      </c>
      <c r="C150" s="7" t="str">
        <f>C149</f>
        <v>Annual</v>
      </c>
      <c r="D150" s="7">
        <f t="shared" ref="D150:E153" si="33">D149</f>
        <v>0</v>
      </c>
      <c r="E150" s="7">
        <f t="shared" si="33"/>
        <v>0</v>
      </c>
      <c r="F150" s="14">
        <f>$N$50</f>
        <v>0</v>
      </c>
      <c r="H150" s="9"/>
      <c r="I150" s="9"/>
      <c r="J150" s="9">
        <f>D$50/D$8</f>
        <v>0</v>
      </c>
      <c r="K150" s="9">
        <f>J150-R150</f>
        <v>0</v>
      </c>
      <c r="L150" s="9">
        <f>K150-S150</f>
        <v>0</v>
      </c>
      <c r="M150" s="9">
        <f>L150-T150</f>
        <v>0</v>
      </c>
      <c r="N150" s="9"/>
      <c r="O150" s="9"/>
      <c r="P150" s="9"/>
      <c r="Q150" s="9">
        <f>IF(OR($C150="Annual",$D150=$E150),IF(AND($D150=$E150,Q$77=$B150+$D150),$J150,IF(AND(Q$77&gt;$B150+$D150,Q$77&lt;=$B150+$E150), $J150/($E150-$D150),0)), IF(OR(Q$77=$B150+$D150,Q$77=$B150+$E150),$J150/(($E150-$D150)*2),IF(AND(Q$77&gt;$B150+$D150,Q$77&lt;$B150+$E150),$J150/($E150-$D150),0)))</f>
        <v>0</v>
      </c>
      <c r="R150" s="9">
        <f>IF(OR($C150="Annual",$D150=$E150),IF(AND($D150=$E150,R$77=$B150+$D150),$J150,IF(AND(R$77&gt;$B150+$D150,R$77&lt;=$B150+$E150), $J150/($E150-$D150),0)), IF(OR(R$77=$B150+$D150,R$77=$B150+$E150),$J150/(($E150-$D150)*2),IF(AND(R$77&gt;$B150+$D150,R$77&lt;$B150+$E150),$J150/($E150-$D150),0)))</f>
        <v>0</v>
      </c>
      <c r="S150" s="9">
        <f>IF(OR($C150="Annual",$D150=$E150),IF(AND($D150=$E150,S$77=$B150+$D150),$J150,IF(AND(S$77&gt;$B150+$D150,S$77&lt;=$B150+$E150), $J150/($E150-$D150),0)), IF(OR(S$77=$B150+$D150,S$77=$B150+$E150),$J150/(($E150-$D150)*2),IF(AND(S$77&gt;$B150+$D150,S$77&lt;$B150+$E150),$J150/($E150-$D150),0)))</f>
        <v>0</v>
      </c>
      <c r="T150" s="9">
        <f>IF(OR($C150="Annual",$D150=$E150),IF(AND($D150=$E150,T$77=$B150+$D150),$J150,IF(AND(T$77&gt;$B150+$D150,T$77&lt;=$B150+$E150), $J150/($E150-$D150),0)), IF(OR(T$77=$B150+$D150,T$77=$B150+$E150),$J150/(($E150-$D150)*2),IF(AND(T$77&gt;$B150+$D150,T$77&lt;$B150+$E150),$J150/($E150-$D150),0)))</f>
        <v>0</v>
      </c>
      <c r="U150" s="9"/>
      <c r="V150" s="9"/>
      <c r="W150" s="9"/>
      <c r="X150" s="9">
        <f>IF($C150="annual",IF(X$77=$B150,0,I150*$F150),IF(X$77-$B150=0,J150*$F150/2,IF((X$77-$B150)&lt;$E150,AVERAGE(I150,J150)*$F150,IF((X$77-$B150)=$E150,I150*$F150/2,0))))</f>
        <v>0</v>
      </c>
      <c r="Y150" s="9">
        <f>IF($C150="annual",IF(Y$77=$B150,0,J150*$F150),IF(Y$77-$B150=0,K150*$F150/2,IF((Y$77-$B150)&lt;$E150,AVERAGE(J150,K150)*$F150,IF((Y$77-$B150)=$E150,J150*$F150/2,0))))</f>
        <v>0</v>
      </c>
      <c r="Z150" s="9">
        <f>IF($C150="annual",IF(Z$77=$B150,0,K150*$F150),IF(Z$77-$B150=0,L150*$F150/2,IF((Z$77-$B150)&lt;$E150,AVERAGE(K150,L150)*$F150,IF((Z$77-$B150)=$E150,K150*$F150/2,0))))</f>
        <v>0</v>
      </c>
      <c r="AA150" s="9">
        <f t="shared" si="32"/>
        <v>0</v>
      </c>
      <c r="AC150" s="658"/>
      <c r="AD150" s="658"/>
      <c r="AE150" s="658"/>
      <c r="AF150" s="658"/>
      <c r="AG150" s="658"/>
      <c r="AH150" s="658"/>
    </row>
    <row r="151" spans="1:34">
      <c r="A151" s="8" t="str">
        <f>A150</f>
        <v>Type 7</v>
      </c>
      <c r="B151" s="7">
        <f>B150+1</f>
        <v>2021</v>
      </c>
      <c r="C151" s="7" t="str">
        <f>C150</f>
        <v>Annual</v>
      </c>
      <c r="D151" s="7">
        <f t="shared" si="33"/>
        <v>0</v>
      </c>
      <c r="E151" s="7">
        <f t="shared" si="33"/>
        <v>0</v>
      </c>
      <c r="F151" s="14">
        <f>$O$50</f>
        <v>0</v>
      </c>
      <c r="H151" s="9"/>
      <c r="I151" s="9"/>
      <c r="J151" s="9"/>
      <c r="K151" s="9">
        <f>E$50/E$8</f>
        <v>0</v>
      </c>
      <c r="L151" s="9">
        <f>K151-S151</f>
        <v>0</v>
      </c>
      <c r="M151" s="9">
        <f>L151-T151</f>
        <v>0</v>
      </c>
      <c r="N151" s="9"/>
      <c r="O151" s="9"/>
      <c r="P151" s="9"/>
      <c r="Q151" s="9"/>
      <c r="R151" s="9">
        <f>IF(OR($C151="Annual",$D151=$E151),IF(AND($D151=$E151,R$77=$B151+$D151),$K151,IF(AND(R$77&gt;$B151+$D151,R$77&lt;=$B151+$E151), $K151/($E151-$D151),0)), IF(OR(R$77=$B151+$D151,R$77=$B151+$E151),$K151/(($E151-$D151)*2),IF(AND(R$77&gt;$B151+$D151,R$77&lt;$B151+$E151),$K151/($E151-$D151),0)))</f>
        <v>0</v>
      </c>
      <c r="S151" s="9">
        <f>IF(OR($C151="Annual",$D151=$E151),IF(AND($D151=$E151,S$77=$B151+$D151),$K151,IF(AND(S$77&gt;$B151+$D151,S$77&lt;=$B151+$E151), $K151/($E151-$D151),0)), IF(OR(S$77=$B151+$D151,S$77=$B151+$E151),$K151/(($E151-$D151)*2),IF(AND(S$77&gt;$B151+$D151,S$77&lt;$B151+$E151),$K151/($E151-$D151),0)))</f>
        <v>0</v>
      </c>
      <c r="T151" s="9">
        <f>IF(OR($C151="Annual",$D151=$E151),IF(AND($D151=$E151,T$77=$B151+$D151),$K151,IF(AND(T$77&gt;$B151+$D151,T$77&lt;=$B151+$E151), $K151/($E151-$D151),0)), IF(OR(T$77=$B151+$D151,T$77=$B151+$E151),$K151/(($E151-$D151)*2),IF(AND(T$77&gt;$B151+$D151,T$77&lt;$B151+$E151),$K151/($E151-$D151),0)))</f>
        <v>0</v>
      </c>
      <c r="U151" s="9"/>
      <c r="V151" s="9"/>
      <c r="W151" s="9"/>
      <c r="X151" s="9"/>
      <c r="Y151" s="9">
        <f>IF($C151="annual",IF(Y$77=$B151,0,J151*$F151),IF(Y$77-$B151=0,K151*$F151/2,IF((Y$77-$B151)&lt;$E151,AVERAGE(J151,K151)*$F151,IF((Y$77-$B151)=$E151,J151*$F151/2,0))))</f>
        <v>0</v>
      </c>
      <c r="Z151" s="9">
        <f>IF($C151="annual",IF(Z$77=$B151,0,K151*$F151),IF(Z$77-$B151=0,L151*$F151/2,IF((Z$77-$B151)&lt;$E151,AVERAGE(K151,L151)*$F151,IF((Z$77-$B151)=$E151,K151*$F151/2,0))))</f>
        <v>0</v>
      </c>
      <c r="AA151" s="9">
        <f t="shared" si="32"/>
        <v>0</v>
      </c>
      <c r="AC151" s="658"/>
      <c r="AD151" s="658"/>
      <c r="AE151" s="658"/>
      <c r="AF151" s="658"/>
      <c r="AG151" s="658"/>
      <c r="AH151" s="658"/>
    </row>
    <row r="152" spans="1:34">
      <c r="A152" s="8" t="str">
        <f>A151</f>
        <v>Type 7</v>
      </c>
      <c r="B152" s="7">
        <f>B151+1</f>
        <v>2022</v>
      </c>
      <c r="C152" s="7" t="str">
        <f>C151</f>
        <v>Annual</v>
      </c>
      <c r="D152" s="7">
        <f t="shared" si="33"/>
        <v>0</v>
      </c>
      <c r="E152" s="7">
        <f t="shared" si="33"/>
        <v>0</v>
      </c>
      <c r="F152" s="14">
        <f>$P$50</f>
        <v>0</v>
      </c>
      <c r="H152" s="9"/>
      <c r="I152" s="9"/>
      <c r="J152" s="9"/>
      <c r="K152" s="9"/>
      <c r="L152" s="9">
        <f>F$50/F$8</f>
        <v>0</v>
      </c>
      <c r="M152" s="9">
        <f>L152-T152</f>
        <v>0</v>
      </c>
      <c r="N152" s="9"/>
      <c r="O152" s="9"/>
      <c r="P152" s="9"/>
      <c r="Q152" s="9"/>
      <c r="R152" s="9"/>
      <c r="S152" s="9">
        <f>IF(OR($C152="Annual",$D152=$E152),IF(AND($D152=$E152,S$77=$B152+$D152),$L152,IF(AND(S$77&gt;$B152+$D152,S$77&lt;=$B152+$E152), $L152/($E152-$D152),0)), IF(OR(S$77=$B152+$D152,S$77=$B152+$E152),$L152/(($E152-$D152)*2),IF(AND(S$77&gt;$B152+$D152,S$77&lt;$B152+$E152),$L152/($E152-$D152),0)))</f>
        <v>0</v>
      </c>
      <c r="T152" s="9">
        <f>IF(OR($C152="Annual",$D152=$E152),IF(AND($D152=$E152,T$77=$B152+$D152),$L152,IF(AND(T$77&gt;$B152+$D152,T$77&lt;=$B152+$E152), $L152/($E152-$D152),0)), IF(OR(T$77=$B152+$D152,T$77=$B152+$E152),$L152/(($E152-$D152)*2),IF(AND(T$77&gt;$B152+$D152,T$77&lt;$B152+$E152),$L152/($E152-$D152),0)))</f>
        <v>0</v>
      </c>
      <c r="U152" s="9"/>
      <c r="V152" s="9"/>
      <c r="W152" s="9"/>
      <c r="X152" s="9"/>
      <c r="Y152" s="9"/>
      <c r="Z152" s="9">
        <f>IF($C152="annual",IF(Z$77=$B152,0,K152*$F152),IF(Z$77-$B152=0,L152*$F152/2,IF((Z$77-$B152)&lt;$E152,AVERAGE(K152,L152)*$F152,IF((Z$77-$B152)=$E152,K152*$F152/2,0))))</f>
        <v>0</v>
      </c>
      <c r="AA152" s="9">
        <f t="shared" si="32"/>
        <v>0</v>
      </c>
      <c r="AC152" s="658"/>
      <c r="AD152" s="658"/>
      <c r="AE152" s="658"/>
      <c r="AF152" s="658"/>
      <c r="AG152" s="658"/>
      <c r="AH152" s="658"/>
    </row>
    <row r="153" spans="1:34">
      <c r="A153" s="8" t="str">
        <f>A152</f>
        <v>Type 7</v>
      </c>
      <c r="B153" s="7">
        <f>B152+1</f>
        <v>2023</v>
      </c>
      <c r="C153" s="7" t="str">
        <f>C152</f>
        <v>Annual</v>
      </c>
      <c r="D153" s="7">
        <f t="shared" si="33"/>
        <v>0</v>
      </c>
      <c r="E153" s="7">
        <f t="shared" si="33"/>
        <v>0</v>
      </c>
      <c r="F153" s="14">
        <f>$Q$50</f>
        <v>0</v>
      </c>
      <c r="H153" s="9"/>
      <c r="I153" s="9"/>
      <c r="J153" s="9"/>
      <c r="K153" s="9"/>
      <c r="L153" s="9"/>
      <c r="M153" s="9">
        <f>G$50/G$8</f>
        <v>0</v>
      </c>
      <c r="N153" s="9"/>
      <c r="O153" s="9"/>
      <c r="P153" s="9"/>
      <c r="Q153" s="9"/>
      <c r="R153" s="9"/>
      <c r="S153" s="9"/>
      <c r="T153" s="9">
        <f>IF(OR($C153="Annual",$D153=$E153),IF(AND($D153=$E153,T$77=$B153+$D153),$M153,IF(AND(T$77&gt;$B153+$D153,T$77&lt;=$B153+$E153), $M153/($E153-$D153),0)), IF(OR(T$77=$B153+$D153,T$77=$B153+$E153),$M153/(($E153-$D153)*2),IF(AND(T$77&gt;$B153+$D153,T$77&lt;$B153+$E153),$M153/($E153-$D153),0)))</f>
        <v>0</v>
      </c>
      <c r="U153" s="9"/>
      <c r="V153" s="9"/>
      <c r="W153" s="9"/>
      <c r="X153" s="9"/>
      <c r="Y153" s="9"/>
      <c r="Z153" s="9"/>
      <c r="AA153" s="9">
        <f t="shared" si="32"/>
        <v>0</v>
      </c>
      <c r="AC153" s="658"/>
      <c r="AD153" s="658"/>
      <c r="AE153" s="658"/>
      <c r="AF153" s="658"/>
      <c r="AG153" s="658"/>
      <c r="AH153" s="658"/>
    </row>
    <row r="154" spans="1:34">
      <c r="A154" s="8"/>
      <c r="B154" s="7"/>
      <c r="C154" s="7"/>
      <c r="D154" s="7"/>
      <c r="E154" s="7"/>
      <c r="F154" s="15"/>
      <c r="H154" s="9"/>
      <c r="I154" s="9"/>
      <c r="J154" s="9"/>
      <c r="K154" s="9"/>
      <c r="L154" s="9"/>
      <c r="M154" s="9"/>
      <c r="N154" s="9"/>
      <c r="O154" s="10"/>
      <c r="P154" s="10"/>
      <c r="Q154" s="10"/>
      <c r="R154" s="10"/>
      <c r="S154" s="10"/>
      <c r="T154" s="10"/>
      <c r="U154" s="9"/>
      <c r="V154" s="9"/>
      <c r="W154" s="9"/>
      <c r="X154" s="9"/>
      <c r="Y154" s="9"/>
      <c r="Z154" s="9"/>
      <c r="AA154" s="9"/>
    </row>
    <row r="155" spans="1:34">
      <c r="A155" s="8" t="str">
        <f>A51</f>
        <v>Type 8</v>
      </c>
      <c r="B155" s="7">
        <f>B85</f>
        <v>2018</v>
      </c>
      <c r="C155" s="7" t="str">
        <f>$I51</f>
        <v>Annual</v>
      </c>
      <c r="D155" s="7">
        <f>$J51</f>
        <v>0</v>
      </c>
      <c r="E155" s="7">
        <f>$K51</f>
        <v>0</v>
      </c>
      <c r="F155" s="14">
        <f>$L$51</f>
        <v>0</v>
      </c>
      <c r="H155" s="9">
        <f>B$51/B$8</f>
        <v>0</v>
      </c>
      <c r="I155" s="9">
        <f>H155-P155</f>
        <v>0</v>
      </c>
      <c r="J155" s="9">
        <f>I155-Q155</f>
        <v>0</v>
      </c>
      <c r="K155" s="9">
        <f>J155-R155</f>
        <v>0</v>
      </c>
      <c r="L155" s="9">
        <f>K155-S155</f>
        <v>0</v>
      </c>
      <c r="M155" s="9">
        <f>L155-T155</f>
        <v>0</v>
      </c>
      <c r="N155" s="9"/>
      <c r="O155" s="9">
        <f t="shared" ref="O155:T155" si="34">IF(OR($C155="Annual",$D155=$E155),IF(AND($D155=$E155,O$77=$B155+$D155),$H155,IF(AND(O$77&gt;$B155+$D155,O$77&lt;=$B155+$E155), $H155/($E155-$D155),0)), IF(OR(O$77=$B155+$D155,O$77=$B155+$E155),$H155/(($E155-$D155)*2),IF(AND(O$77&gt;$B155+$D155,O$77&lt;$B155+$E155),$H155/($E155-$D155),0)))</f>
        <v>0</v>
      </c>
      <c r="P155" s="9">
        <f t="shared" si="34"/>
        <v>0</v>
      </c>
      <c r="Q155" s="9">
        <f t="shared" si="34"/>
        <v>0</v>
      </c>
      <c r="R155" s="9">
        <f t="shared" si="34"/>
        <v>0</v>
      </c>
      <c r="S155" s="9">
        <f t="shared" si="34"/>
        <v>0</v>
      </c>
      <c r="T155" s="9">
        <f t="shared" si="34"/>
        <v>0</v>
      </c>
      <c r="U155" s="9"/>
      <c r="V155" s="9">
        <f>IF($C155="annual",IF(V$77=$B155,0,G155*$F155),IF(V$77-$B155=0,H155*$F155/2,IF((V$77-$B155)&lt;$E155,AVERAGE(G155,H155)*$F155,IF((V$77-$B155)=$E155,G155*$F155/2,0))))</f>
        <v>0</v>
      </c>
      <c r="W155" s="9">
        <f>IF($C155="annual",IF(W$77=$B155,0,H155*$F155),IF(W$77-$B155=0,I155*$F155/2,IF((W$77-$B155)&lt;$E155,AVERAGE(H155,I155)*$F155,IF((W$77-$B155)=$E155,H155*$F155/2,0))))</f>
        <v>0</v>
      </c>
      <c r="X155" s="9">
        <f>IF($C155="annual",IF(X$77=$B155,0,I155*$F155),IF(X$77-$B155=0,J155*$F155/2,IF((X$77-$B155)&lt;$E155,AVERAGE(I155,J155)*$F155,IF((X$77-$B155)=$E155,I155*$F155/2,0))))</f>
        <v>0</v>
      </c>
      <c r="Y155" s="9">
        <f>IF($C155="annual",IF(Y$77=$B155,0,J155*$F155),IF(Y$77-$B155=0,K155*$F155/2,IF((Y$77-$B155)&lt;$E155,AVERAGE(J155,K155)*$F155,IF((Y$77-$B155)=$E155,J155*$F155/2,0))))</f>
        <v>0</v>
      </c>
      <c r="Z155" s="9">
        <f>IF($C155="annual",IF(Z$77=$B155,0,K155*$F155),IF(Z$77-$B155=0,L155*$F155/2,IF((Z$77-$B155)&lt;$E155,AVERAGE(K155,L155)*$F155,IF((Z$77-$B155)=$E155,K155*$F155/2,0))))</f>
        <v>0</v>
      </c>
      <c r="AA155" s="9">
        <f t="shared" ref="AA155:AA160" si="35">IF($C155="annual",IF(AA$77=$B155,0,L155*$F155),IF(AA$77-$B155=0,M155*$F155/2,IF((AA$77-$B155)&lt;$E155,AVERAGE(L155,M155)*$F155,IF((AA$77-$B155)=$E155,L155*$F155/2,0))))</f>
        <v>0</v>
      </c>
    </row>
    <row r="156" spans="1:34">
      <c r="A156" s="8" t="str">
        <f>A155</f>
        <v>Type 8</v>
      </c>
      <c r="B156" s="7">
        <f>B155+1</f>
        <v>2019</v>
      </c>
      <c r="C156" s="7" t="str">
        <f>C155</f>
        <v>Annual</v>
      </c>
      <c r="D156" s="7">
        <f t="shared" ref="D156:E160" si="36">D155</f>
        <v>0</v>
      </c>
      <c r="E156" s="7">
        <f t="shared" si="36"/>
        <v>0</v>
      </c>
      <c r="F156" s="14">
        <f>$M$51</f>
        <v>0</v>
      </c>
      <c r="H156" s="9"/>
      <c r="I156" s="9">
        <f>C$51/C$8</f>
        <v>0</v>
      </c>
      <c r="J156" s="9">
        <f>I156-Q156</f>
        <v>0</v>
      </c>
      <c r="K156" s="9">
        <f>J156-R156</f>
        <v>0</v>
      </c>
      <c r="L156" s="9">
        <f>K156-S156</f>
        <v>0</v>
      </c>
      <c r="M156" s="9">
        <f>L156-T156</f>
        <v>0</v>
      </c>
      <c r="N156" s="9"/>
      <c r="O156" s="9"/>
      <c r="P156" s="9">
        <f>IF(OR($C156="Annual",$D156=$E156),IF(AND($D156=$E156,P$77=$B156+$D156),$I156,IF(AND(P$77&gt;$B156+$D156,P$77&lt;=$B156+$E156), $I156/($E156-$D156),0)), IF(OR(P$77=$B156+$D156,P$77=$B156+$E156),$I156/(($E156-$D156)*2),IF(AND(P$77&gt;$B156+$D156,P$77&lt;$B156+$E156),$I156/($E156-$D156),0)))</f>
        <v>0</v>
      </c>
      <c r="Q156" s="9">
        <f>IF(OR($C156="Annual",$D156=$E156),IF(AND($D156=$E156,Q$77=$B156+$D156),$I156,IF(AND(Q$77&gt;$B156+$D156,Q$77&lt;=$B156+$E156), $I156/($E156-$D156),0)), IF(OR(Q$77=$B156+$D156,Q$77=$B156+$E156),$I156/(($E156-$D156)*2),IF(AND(Q$77&gt;$B156+$D156,Q$77&lt;$B156+$E156),$I156/($E156-$D156),0)))</f>
        <v>0</v>
      </c>
      <c r="R156" s="9">
        <f>IF(OR($C156="Annual",$D156=$E156),IF(AND($D156=$E156,R$77=$B156+$D156),$I156,IF(AND(R$77&gt;$B156+$D156,R$77&lt;=$B156+$E156), $I156/($E156-$D156),0)), IF(OR(R$77=$B156+$D156,R$77=$B156+$E156),$I156/(($E156-$D156)*2),IF(AND(R$77&gt;$B156+$D156,R$77&lt;$B156+$E156),$I156/($E156-$D156),0)))</f>
        <v>0</v>
      </c>
      <c r="S156" s="9">
        <f>IF(OR($C156="Annual",$D156=$E156),IF(AND($D156=$E156,S$77=$B156+$D156),$I156,IF(AND(S$77&gt;$B156+$D156,S$77&lt;=$B156+$E156), $I156/($E156-$D156),0)), IF(OR(S$77=$B156+$D156,S$77=$B156+$E156),$I156/(($E156-$D156)*2),IF(AND(S$77&gt;$B156+$D156,S$77&lt;$B156+$E156),$I156/($E156-$D156),0)))</f>
        <v>0</v>
      </c>
      <c r="T156" s="9">
        <f>IF(OR($C156="Annual",$D156=$E156),IF(AND($D156=$E156,T$77=$B156+$D156),$I156,IF(AND(T$77&gt;$B156+$D156,T$77&lt;=$B156+$E156), $I156/($E156-$D156),0)), IF(OR(T$77=$B156+$D156,T$77=$B156+$E156),$I156/(($E156-$D156)*2),IF(AND(T$77&gt;$B156+$D156,T$77&lt;$B156+$E156),$I156/($E156-$D156),0)))</f>
        <v>0</v>
      </c>
      <c r="U156" s="9"/>
      <c r="V156" s="9"/>
      <c r="W156" s="9">
        <f>IF($C156="annual",IF(W$77=$B156,0,H156*$F156),IF(W$77-$B156=0,I156*$F156/2,IF((W$77-$B156)&lt;$E156,AVERAGE(H156,I156)*$F156,IF((W$77-$B156)=$E156,H156*$F156/2,0))))</f>
        <v>0</v>
      </c>
      <c r="X156" s="9">
        <f>IF($C156="annual",IF(X$77=$B156,0,I156*$F156),IF(X$77-$B156=0,J156*$F156/2,IF((X$77-$B156)&lt;$E156,AVERAGE(I156,J156)*$F156,IF((X$77-$B156)=$E156,I156*$F156/2,0))))</f>
        <v>0</v>
      </c>
      <c r="Y156" s="9">
        <f>IF($C156="annual",IF(Y$77=$B156,0,J156*$F156),IF(Y$77-$B156=0,K156*$F156/2,IF((Y$77-$B156)&lt;$E156,AVERAGE(J156,K156)*$F156,IF((Y$77-$B156)=$E156,J156*$F156/2,0))))</f>
        <v>0</v>
      </c>
      <c r="Z156" s="9">
        <f>IF($C156="annual",IF(Z$77=$B156,0,K156*$F156),IF(Z$77-$B156=0,L156*$F156/2,IF((Z$77-$B156)&lt;$E156,AVERAGE(K156,L156)*$F156,IF((Z$77-$B156)=$E156,K156*$F156/2,0))))</f>
        <v>0</v>
      </c>
      <c r="AA156" s="9">
        <f t="shared" si="35"/>
        <v>0</v>
      </c>
    </row>
    <row r="157" spans="1:34">
      <c r="A157" s="8" t="str">
        <f>A156</f>
        <v>Type 8</v>
      </c>
      <c r="B157" s="7">
        <f>B156+1</f>
        <v>2020</v>
      </c>
      <c r="C157" s="7" t="str">
        <f>C156</f>
        <v>Annual</v>
      </c>
      <c r="D157" s="7">
        <f t="shared" si="36"/>
        <v>0</v>
      </c>
      <c r="E157" s="7">
        <f t="shared" si="36"/>
        <v>0</v>
      </c>
      <c r="F157" s="14">
        <f>$N$51</f>
        <v>0</v>
      </c>
      <c r="H157" s="9"/>
      <c r="I157" s="9"/>
      <c r="J157" s="9">
        <f>D$51/D$8</f>
        <v>0</v>
      </c>
      <c r="K157" s="9">
        <f>J157-R157</f>
        <v>0</v>
      </c>
      <c r="L157" s="9">
        <f>K157-S157</f>
        <v>0</v>
      </c>
      <c r="M157" s="9">
        <f>L157-T157</f>
        <v>0</v>
      </c>
      <c r="N157" s="9"/>
      <c r="O157" s="9"/>
      <c r="P157" s="9"/>
      <c r="Q157" s="9">
        <f>IF(OR($C157="Annual",$D157=$E157),IF(AND($D157=$E157,Q$77=$B157+$D157),$J157,IF(AND(Q$77&gt;$B157+$D157,Q$77&lt;=$B157+$E157), $J157/($E157-$D157),0)), IF(OR(Q$77=$B157+$D157,Q$77=$B157+$E157),$J157/(($E157-$D157)*2),IF(AND(Q$77&gt;$B157+$D157,Q$77&lt;$B157+$E157),$J157/($E157-$D157),0)))</f>
        <v>0</v>
      </c>
      <c r="R157" s="9">
        <f>IF(OR($C157="Annual",$D157=$E157),IF(AND($D157=$E157,R$77=$B157+$D157),$J157,IF(AND(R$77&gt;$B157+$D157,R$77&lt;=$B157+$E157), $J157/($E157-$D157),0)), IF(OR(R$77=$B157+$D157,R$77=$B157+$E157),$J157/(($E157-$D157)*2),IF(AND(R$77&gt;$B157+$D157,R$77&lt;$B157+$E157),$J157/($E157-$D157),0)))</f>
        <v>0</v>
      </c>
      <c r="S157" s="9">
        <f>IF(OR($C157="Annual",$D157=$E157),IF(AND($D157=$E157,S$77=$B157+$D157),$J157,IF(AND(S$77&gt;$B157+$D157,S$77&lt;=$B157+$E157), $J157/($E157-$D157),0)), IF(OR(S$77=$B157+$D157,S$77=$B157+$E157),$J157/(($E157-$D157)*2),IF(AND(S$77&gt;$B157+$D157,S$77&lt;$B157+$E157),$J157/($E157-$D157),0)))</f>
        <v>0</v>
      </c>
      <c r="T157" s="9">
        <f>IF(OR($C157="Annual",$D157=$E157),IF(AND($D157=$E157,T$77=$B157+$D157),$J157,IF(AND(T$77&gt;$B157+$D157,T$77&lt;=$B157+$E157), $J157/($E157-$D157),0)), IF(OR(T$77=$B157+$D157,T$77=$B157+$E157),$J157/(($E157-$D157)*2),IF(AND(T$77&gt;$B157+$D157,T$77&lt;$B157+$E157),$J157/($E157-$D157),0)))</f>
        <v>0</v>
      </c>
      <c r="U157" s="9"/>
      <c r="V157" s="9"/>
      <c r="W157" s="9"/>
      <c r="X157" s="9">
        <f>IF($C157="annual",IF(X$77=$B157,0,I157*$F157),IF(X$77-$B157=0,J157*$F157/2,IF((X$77-$B157)&lt;$E157,AVERAGE(I157,J157)*$F157,IF((X$77-$B157)=$E157,I157*$F157/2,0))))</f>
        <v>0</v>
      </c>
      <c r="Y157" s="9">
        <f>IF($C157="annual",IF(Y$77=$B157,0,J157*$F157),IF(Y$77-$B157=0,K157*$F157/2,IF((Y$77-$B157)&lt;$E157,AVERAGE(J157,K157)*$F157,IF((Y$77-$B157)=$E157,J157*$F157/2,0))))</f>
        <v>0</v>
      </c>
      <c r="Z157" s="9">
        <f>IF($C157="annual",IF(Z$77=$B157,0,K157*$F157),IF(Z$77-$B157=0,L157*$F157/2,IF((Z$77-$B157)&lt;$E157,AVERAGE(K157,L157)*$F157,IF((Z$77-$B157)=$E157,K157*$F157/2,0))))</f>
        <v>0</v>
      </c>
      <c r="AA157" s="9">
        <f t="shared" si="35"/>
        <v>0</v>
      </c>
    </row>
    <row r="158" spans="1:34">
      <c r="A158" s="8" t="str">
        <f>A157</f>
        <v>Type 8</v>
      </c>
      <c r="B158" s="7">
        <f>B157+1</f>
        <v>2021</v>
      </c>
      <c r="C158" s="7" t="str">
        <f>C157</f>
        <v>Annual</v>
      </c>
      <c r="D158" s="7">
        <f t="shared" si="36"/>
        <v>0</v>
      </c>
      <c r="E158" s="7">
        <f t="shared" si="36"/>
        <v>0</v>
      </c>
      <c r="F158" s="14">
        <f>$O$51</f>
        <v>0</v>
      </c>
      <c r="H158" s="9"/>
      <c r="I158" s="9"/>
      <c r="J158" s="9"/>
      <c r="K158" s="9">
        <f>E$51/E$8</f>
        <v>0</v>
      </c>
      <c r="L158" s="9">
        <f>K158-S158</f>
        <v>0</v>
      </c>
      <c r="M158" s="9">
        <f>L158-T158</f>
        <v>0</v>
      </c>
      <c r="N158" s="9"/>
      <c r="O158" s="9"/>
      <c r="P158" s="9"/>
      <c r="Q158" s="9"/>
      <c r="R158" s="9">
        <f>IF(OR($C158="Annual",$D158=$E158),IF(AND($D158=$E158,R$77=$B158+$D158),$K158,IF(AND(R$77&gt;$B158+$D158,R$77&lt;=$B158+$E158), $K158/($E158-$D158),0)), IF(OR(R$77=$B158+$D158,R$77=$B158+$E158),$K158/(($E158-$D158)*2),IF(AND(R$77&gt;$B158+$D158,R$77&lt;$B158+$E158),$K158/($E158-$D158),0)))</f>
        <v>0</v>
      </c>
      <c r="S158" s="9">
        <f>IF(OR($C158="Annual",$D158=$E158),IF(AND($D158=$E158,S$77=$B158+$D158),$K158,IF(AND(S$77&gt;$B158+$D158,S$77&lt;=$B158+$E158), $K158/($E158-$D158),0)), IF(OR(S$77=$B158+$D158,S$77=$B158+$E158),$K158/(($E158-$D158)*2),IF(AND(S$77&gt;$B158+$D158,S$77&lt;$B158+$E158),$K158/($E158-$D158),0)))</f>
        <v>0</v>
      </c>
      <c r="T158" s="9">
        <f>IF(OR($C158="Annual",$D158=$E158),IF(AND($D158=$E158,T$77=$B158+$D158),$K158,IF(AND(T$77&gt;$B158+$D158,T$77&lt;=$B158+$E158), $K158/($E158-$D158),0)), IF(OR(T$77=$B158+$D158,T$77=$B158+$E158),$K158/(($E158-$D158)*2),IF(AND(T$77&gt;$B158+$D158,T$77&lt;$B158+$E158),$K158/($E158-$D158),0)))</f>
        <v>0</v>
      </c>
      <c r="U158" s="9"/>
      <c r="V158" s="9"/>
      <c r="W158" s="9"/>
      <c r="X158" s="9"/>
      <c r="Y158" s="9">
        <f>IF($C158="annual",IF(Y$77=$B158,0,J158*$F158),IF(Y$77-$B158=0,K158*$F158/2,IF((Y$77-$B158)&lt;$E158,AVERAGE(J158,K158)*$F158,IF((Y$77-$B158)=$E158,J158*$F158/2,0))))</f>
        <v>0</v>
      </c>
      <c r="Z158" s="9">
        <f>IF($C158="annual",IF(Z$77=$B158,0,K158*$F158),IF(Z$77-$B158=0,L158*$F158/2,IF((Z$77-$B158)&lt;$E158,AVERAGE(K158,L158)*$F158,IF((Z$77-$B158)=$E158,K158*$F158/2,0))))</f>
        <v>0</v>
      </c>
      <c r="AA158" s="9">
        <f t="shared" si="35"/>
        <v>0</v>
      </c>
    </row>
    <row r="159" spans="1:34">
      <c r="A159" s="8" t="str">
        <f>A158</f>
        <v>Type 8</v>
      </c>
      <c r="B159" s="7">
        <f>B158+1</f>
        <v>2022</v>
      </c>
      <c r="C159" s="7" t="str">
        <f>C158</f>
        <v>Annual</v>
      </c>
      <c r="D159" s="7">
        <f t="shared" si="36"/>
        <v>0</v>
      </c>
      <c r="E159" s="7">
        <f t="shared" si="36"/>
        <v>0</v>
      </c>
      <c r="F159" s="14">
        <f>$P$51</f>
        <v>0</v>
      </c>
      <c r="H159" s="9"/>
      <c r="I159" s="9"/>
      <c r="J159" s="9"/>
      <c r="K159" s="9"/>
      <c r="L159" s="9">
        <f>F$51/F$8</f>
        <v>0</v>
      </c>
      <c r="M159" s="9">
        <f>L159-T159</f>
        <v>0</v>
      </c>
      <c r="N159" s="9"/>
      <c r="O159" s="9"/>
      <c r="P159" s="9"/>
      <c r="Q159" s="9"/>
      <c r="R159" s="9"/>
      <c r="S159" s="9">
        <f>IF(OR($C159="Annual",$D159=$E159),IF(AND($D159=$E159,S$77=$B159+$D159),$L159,IF(AND(S$77&gt;$B159+$D159,S$77&lt;=$B159+$E159), $L159/($E159-$D159),0)), IF(OR(S$77=$B159+$D159,S$77=$B159+$E159),$L159/(($E159-$D159)*2),IF(AND(S$77&gt;$B159+$D159,S$77&lt;$B159+$E159),$L159/($E159-$D159),0)))</f>
        <v>0</v>
      </c>
      <c r="T159" s="9">
        <f>IF(OR($C159="Annual",$D159=$E159),IF(AND($D159=$E159,T$77=$B159+$D159),$L159,IF(AND(T$77&gt;$B159+$D159,T$77&lt;=$B159+$E159), $L159/($E159-$D159),0)), IF(OR(T$77=$B159+$D159,T$77=$B159+$E159),$L159/(($E159-$D159)*2),IF(AND(T$77&gt;$B159+$D159,T$77&lt;$B159+$E159),$L159/($E159-$D159),0)))</f>
        <v>0</v>
      </c>
      <c r="U159" s="9"/>
      <c r="V159" s="9"/>
      <c r="W159" s="9"/>
      <c r="X159" s="9"/>
      <c r="Y159" s="9"/>
      <c r="Z159" s="9">
        <f>IF($C159="annual",IF(Z$77=$B159,0,K159*$F159),IF(Z$77-$B159=0,L159*$F159/2,IF((Z$77-$B159)&lt;$E159,AVERAGE(K159,L159)*$F159,IF((Z$77-$B159)=$E159,K159*$F159/2,0))))</f>
        <v>0</v>
      </c>
      <c r="AA159" s="9">
        <f t="shared" si="35"/>
        <v>0</v>
      </c>
    </row>
    <row r="160" spans="1:34">
      <c r="A160" s="8" t="str">
        <f>A159</f>
        <v>Type 8</v>
      </c>
      <c r="B160" s="7">
        <f>B159+1</f>
        <v>2023</v>
      </c>
      <c r="C160" s="7" t="str">
        <f>C159</f>
        <v>Annual</v>
      </c>
      <c r="D160" s="7">
        <f t="shared" si="36"/>
        <v>0</v>
      </c>
      <c r="E160" s="7">
        <f t="shared" si="36"/>
        <v>0</v>
      </c>
      <c r="F160" s="14">
        <f>$Q$51</f>
        <v>0</v>
      </c>
      <c r="H160" s="9"/>
      <c r="I160" s="9"/>
      <c r="J160" s="9"/>
      <c r="K160" s="9"/>
      <c r="L160" s="9"/>
      <c r="M160" s="9">
        <f>G$51/G$8</f>
        <v>0</v>
      </c>
      <c r="N160" s="9"/>
      <c r="O160" s="9"/>
      <c r="P160" s="9"/>
      <c r="Q160" s="9"/>
      <c r="R160" s="9"/>
      <c r="S160" s="9"/>
      <c r="T160" s="9">
        <f>IF(OR($C160="Annual",$D160=$E160),IF(AND($D160=$E160,T$77=$B160+$D160),$M160,IF(AND(T$77&gt;$B160+$D160,T$77&lt;=$B160+$E160), $M160/($E160-$D160),0)), IF(OR(T$77=$B160+$D160,T$77=$B160+$E160),$M160/(($E160-$D160)*2),IF(AND(T$77&gt;$B160+$D160,T$77&lt;$B160+$E160),$M160/($E160-$D160),0)))</f>
        <v>0</v>
      </c>
      <c r="U160" s="9"/>
      <c r="V160" s="9"/>
      <c r="W160" s="9"/>
      <c r="X160" s="9"/>
      <c r="Y160" s="9"/>
      <c r="Z160" s="9"/>
      <c r="AA160" s="9">
        <f t="shared" si="35"/>
        <v>0</v>
      </c>
    </row>
    <row r="161" spans="1:27">
      <c r="A161" s="8"/>
      <c r="B161" s="7"/>
      <c r="C161" s="7"/>
      <c r="D161" s="7"/>
      <c r="E161" s="7"/>
      <c r="F161" s="15"/>
      <c r="H161" s="9"/>
      <c r="I161" s="9"/>
      <c r="J161" s="9"/>
      <c r="K161" s="9"/>
      <c r="L161" s="9"/>
      <c r="M161" s="9"/>
      <c r="N161" s="9"/>
      <c r="O161" s="10"/>
      <c r="P161" s="10"/>
      <c r="Q161" s="10"/>
      <c r="R161" s="10"/>
      <c r="S161" s="10"/>
      <c r="T161" s="10"/>
      <c r="U161" s="9"/>
      <c r="V161" s="9"/>
      <c r="W161" s="9"/>
      <c r="X161" s="9"/>
      <c r="Y161" s="9"/>
      <c r="Z161" s="9"/>
      <c r="AA161" s="9"/>
    </row>
    <row r="162" spans="1:27">
      <c r="A162" s="8" t="str">
        <f>A52</f>
        <v>Type 9</v>
      </c>
      <c r="B162" s="7">
        <f>B85</f>
        <v>2018</v>
      </c>
      <c r="C162" s="7" t="str">
        <f>$I52</f>
        <v>Annual</v>
      </c>
      <c r="D162" s="7">
        <f>$J52</f>
        <v>0</v>
      </c>
      <c r="E162" s="7">
        <f>$K52</f>
        <v>0</v>
      </c>
      <c r="F162" s="14">
        <f>$L$52</f>
        <v>0</v>
      </c>
      <c r="H162" s="9">
        <f>B$52/B$8</f>
        <v>0</v>
      </c>
      <c r="I162" s="9">
        <f>H162-P162</f>
        <v>0</v>
      </c>
      <c r="J162" s="9">
        <f>I162-Q162</f>
        <v>0</v>
      </c>
      <c r="K162" s="9">
        <f>J162-R162</f>
        <v>0</v>
      </c>
      <c r="L162" s="9">
        <f>K162-S162</f>
        <v>0</v>
      </c>
      <c r="M162" s="9">
        <f>L162-T162</f>
        <v>0</v>
      </c>
      <c r="N162" s="9"/>
      <c r="O162" s="9">
        <f t="shared" ref="O162:T162" si="37">IF(OR($C162="Annual",$D162=$E162),IF(AND($D162=$E162,O$77=$B162+$D162),$H162,IF(AND(O$77&gt;$B162+$D162,O$77&lt;=$B162+$E162), $H162/($E162-$D162),0)), IF(OR(O$77=$B162+$D162,O$77=$B162+$E162),$H162/(($E162-$D162)*2),IF(AND(O$77&gt;$B162+$D162,O$77&lt;$B162+$E162),$H162/($E162-$D162),0)))</f>
        <v>0</v>
      </c>
      <c r="P162" s="9">
        <f t="shared" si="37"/>
        <v>0</v>
      </c>
      <c r="Q162" s="9">
        <f t="shared" si="37"/>
        <v>0</v>
      </c>
      <c r="R162" s="9">
        <f t="shared" si="37"/>
        <v>0</v>
      </c>
      <c r="S162" s="9">
        <f t="shared" si="37"/>
        <v>0</v>
      </c>
      <c r="T162" s="9">
        <f t="shared" si="37"/>
        <v>0</v>
      </c>
      <c r="U162" s="9"/>
      <c r="V162" s="9">
        <f>IF($C162="annual",IF(V$77=$B162,0,G162*$F162),IF(V$77-$B162=0,H162*$F162/2,IF((V$77-$B162)&lt;$E162,AVERAGE(G162,H162)*$F162,IF((V$77-$B162)=$E162,G162*$F162/2,0))))</f>
        <v>0</v>
      </c>
      <c r="W162" s="9">
        <f>IF($C162="annual",IF(W$77=$B162,0,H162*$F162),IF(W$77-$B162=0,I162*$F162/2,IF((W$77-$B162)&lt;$E162,AVERAGE(H162,I162)*$F162,IF((W$77-$B162)=$E162,H162*$F162/2,0))))</f>
        <v>0</v>
      </c>
      <c r="X162" s="9">
        <f>IF($C162="annual",IF(X$77=$B162,0,I162*$F162),IF(X$77-$B162=0,J162*$F162/2,IF((X$77-$B162)&lt;$E162,AVERAGE(I162,J162)*$F162,IF((X$77-$B162)=$E162,I162*$F162/2,0))))</f>
        <v>0</v>
      </c>
      <c r="Y162" s="9">
        <f>IF($C162="annual",IF(Y$77=$B162,0,J162*$F162),IF(Y$77-$B162=0,K162*$F162/2,IF((Y$77-$B162)&lt;$E162,AVERAGE(J162,K162)*$F162,IF((Y$77-$B162)=$E162,J162*$F162/2,0))))</f>
        <v>0</v>
      </c>
      <c r="Z162" s="9">
        <f>IF($C162="annual",IF(Z$77=$B162,0,K162*$F162),IF(Z$77-$B162=0,L162*$F162/2,IF((Z$77-$B162)&lt;$E162,AVERAGE(K162,L162)*$F162,IF((Z$77-$B162)=$E162,K162*$F162/2,0))))</f>
        <v>0</v>
      </c>
      <c r="AA162" s="9">
        <f t="shared" ref="AA162:AA167" si="38">IF($C162="annual",IF(AA$77=$B162,0,L162*$F162),IF(AA$77-$B162=0,M162*$F162/2,IF((AA$77-$B162)&lt;$E162,AVERAGE(L162,M162)*$F162,IF((AA$77-$B162)=$E162,L162*$F162/2,0))))</f>
        <v>0</v>
      </c>
    </row>
    <row r="163" spans="1:27">
      <c r="A163" s="8" t="str">
        <f>A162</f>
        <v>Type 9</v>
      </c>
      <c r="B163" s="7">
        <f>B162+1</f>
        <v>2019</v>
      </c>
      <c r="C163" s="7" t="str">
        <f>C162</f>
        <v>Annual</v>
      </c>
      <c r="D163" s="7">
        <f t="shared" ref="D163:E167" si="39">D162</f>
        <v>0</v>
      </c>
      <c r="E163" s="7">
        <f t="shared" si="39"/>
        <v>0</v>
      </c>
      <c r="F163" s="14">
        <f>$M$52</f>
        <v>0</v>
      </c>
      <c r="H163" s="9"/>
      <c r="I163" s="9">
        <f>C$52/C$8</f>
        <v>0</v>
      </c>
      <c r="J163" s="9">
        <f>I163-Q163</f>
        <v>0</v>
      </c>
      <c r="K163" s="9">
        <f>J163-R163</f>
        <v>0</v>
      </c>
      <c r="L163" s="9">
        <f>K163-S163</f>
        <v>0</v>
      </c>
      <c r="M163" s="9">
        <f>L163-T163</f>
        <v>0</v>
      </c>
      <c r="N163" s="9"/>
      <c r="O163" s="9"/>
      <c r="P163" s="9">
        <f>IF(OR($C163="Annual",$D163=$E163),IF(AND($D163=$E163,P$77=$B163+$D163),$I163,IF(AND(P$77&gt;$B163+$D163,P$77&lt;=$B163+$E163), $I163/($E163-$D163),0)), IF(OR(P$77=$B163+$D163,P$77=$B163+$E163),$I163/(($E163-$D163)*2),IF(AND(P$77&gt;$B163+$D163,P$77&lt;$B163+$E163),$I163/($E163-$D163),0)))</f>
        <v>0</v>
      </c>
      <c r="Q163" s="9">
        <f>IF(OR($C163="Annual",$D163=$E163),IF(AND($D163=$E163,Q$77=$B163+$D163),$I163,IF(AND(Q$77&gt;$B163+$D163,Q$77&lt;=$B163+$E163), $I163/($E163-$D163),0)), IF(OR(Q$77=$B163+$D163,Q$77=$B163+$E163),$I163/(($E163-$D163)*2),IF(AND(Q$77&gt;$B163+$D163,Q$77&lt;$B163+$E163),$I163/($E163-$D163),0)))</f>
        <v>0</v>
      </c>
      <c r="R163" s="9">
        <f>IF(OR($C163="Annual",$D163=$E163),IF(AND($D163=$E163,R$77=$B163+$D163),$I163,IF(AND(R$77&gt;$B163+$D163,R$77&lt;=$B163+$E163), $I163/($E163-$D163),0)), IF(OR(R$77=$B163+$D163,R$77=$B163+$E163),$I163/(($E163-$D163)*2),IF(AND(R$77&gt;$B163+$D163,R$77&lt;$B163+$E163),$I163/($E163-$D163),0)))</f>
        <v>0</v>
      </c>
      <c r="S163" s="9">
        <f>IF(OR($C163="Annual",$D163=$E163),IF(AND($D163=$E163,S$77=$B163+$D163),$I163,IF(AND(S$77&gt;$B163+$D163,S$77&lt;=$B163+$E163), $I163/($E163-$D163),0)), IF(OR(S$77=$B163+$D163,S$77=$B163+$E163),$I163/(($E163-$D163)*2),IF(AND(S$77&gt;$B163+$D163,S$77&lt;$B163+$E163),$I163/($E163-$D163),0)))</f>
        <v>0</v>
      </c>
      <c r="T163" s="9">
        <f>IF(OR($C163="Annual",$D163=$E163),IF(AND($D163=$E163,T$77=$B163+$D163),$I163,IF(AND(T$77&gt;$B163+$D163,T$77&lt;=$B163+$E163), $I163/($E163-$D163),0)), IF(OR(T$77=$B163+$D163,T$77=$B163+$E163),$I163/(($E163-$D163)*2),IF(AND(T$77&gt;$B163+$D163,T$77&lt;$B163+$E163),$I163/($E163-$D163),0)))</f>
        <v>0</v>
      </c>
      <c r="U163" s="9"/>
      <c r="V163" s="9"/>
      <c r="W163" s="9">
        <f>IF($C163="annual",IF(W$77=$B163,0,H163*$F163),IF(W$77-$B163=0,I163*$F163/2,IF((W$77-$B163)&lt;$E163,AVERAGE(H163,I163)*$F163,IF((W$77-$B163)=$E163,H163*$F163/2,0))))</f>
        <v>0</v>
      </c>
      <c r="X163" s="9">
        <f>IF($C163="annual",IF(X$77=$B163,0,I163*$F163),IF(X$77-$B163=0,J163*$F163/2,IF((X$77-$B163)&lt;$E163,AVERAGE(I163,J163)*$F163,IF((X$77-$B163)=$E163,I163*$F163/2,0))))</f>
        <v>0</v>
      </c>
      <c r="Y163" s="9">
        <f>IF($C163="annual",IF(Y$77=$B163,0,J163*$F163),IF(Y$77-$B163=0,K163*$F163/2,IF((Y$77-$B163)&lt;$E163,AVERAGE(J163,K163)*$F163,IF((Y$77-$B163)=$E163,J163*$F163/2,0))))</f>
        <v>0</v>
      </c>
      <c r="Z163" s="9">
        <f>IF($C163="annual",IF(Z$77=$B163,0,K163*$F163),IF(Z$77-$B163=0,L163*$F163/2,IF((Z$77-$B163)&lt;$E163,AVERAGE(K163,L163)*$F163,IF((Z$77-$B163)=$E163,K163*$F163/2,0))))</f>
        <v>0</v>
      </c>
      <c r="AA163" s="9">
        <f t="shared" si="38"/>
        <v>0</v>
      </c>
    </row>
    <row r="164" spans="1:27">
      <c r="A164" s="8" t="str">
        <f>A163</f>
        <v>Type 9</v>
      </c>
      <c r="B164" s="7">
        <f>B163+1</f>
        <v>2020</v>
      </c>
      <c r="C164" s="7" t="str">
        <f>C163</f>
        <v>Annual</v>
      </c>
      <c r="D164" s="7">
        <f t="shared" si="39"/>
        <v>0</v>
      </c>
      <c r="E164" s="7">
        <f t="shared" si="39"/>
        <v>0</v>
      </c>
      <c r="F164" s="14">
        <f>$N$52</f>
        <v>0</v>
      </c>
      <c r="H164" s="9"/>
      <c r="I164" s="9"/>
      <c r="J164" s="9">
        <f>D$52/D$8</f>
        <v>0</v>
      </c>
      <c r="K164" s="9">
        <f>J164-R164</f>
        <v>0</v>
      </c>
      <c r="L164" s="9">
        <f>K164-S164</f>
        <v>0</v>
      </c>
      <c r="M164" s="9">
        <f>L164-T164</f>
        <v>0</v>
      </c>
      <c r="N164" s="9"/>
      <c r="O164" s="9"/>
      <c r="P164" s="9"/>
      <c r="Q164" s="9">
        <f>IF(OR($C164="Annual",$D164=$E164),IF(AND($D164=$E164,Q$77=$B164+$D164),$J164,IF(AND(Q$77&gt;$B164+$D164,Q$77&lt;=$B164+$E164), $J164/($E164-$D164),0)), IF(OR(Q$77=$B164+$D164,Q$77=$B164+$E164),$J164/(($E164-$D164)*2),IF(AND(Q$77&gt;$B164+$D164,Q$77&lt;$B164+$E164),$J164/($E164-$D164),0)))</f>
        <v>0</v>
      </c>
      <c r="R164" s="9">
        <f>IF(OR($C164="Annual",$D164=$E164),IF(AND($D164=$E164,R$77=$B164+$D164),$J164,IF(AND(R$77&gt;$B164+$D164,R$77&lt;=$B164+$E164), $J164/($E164-$D164),0)), IF(OR(R$77=$B164+$D164,R$77=$B164+$E164),$J164/(($E164-$D164)*2),IF(AND(R$77&gt;$B164+$D164,R$77&lt;$B164+$E164),$J164/($E164-$D164),0)))</f>
        <v>0</v>
      </c>
      <c r="S164" s="9">
        <f>IF(OR($C164="Annual",$D164=$E164),IF(AND($D164=$E164,S$77=$B164+$D164),$J164,IF(AND(S$77&gt;$B164+$D164,S$77&lt;=$B164+$E164), $J164/($E164-$D164),0)), IF(OR(S$77=$B164+$D164,S$77=$B164+$E164),$J164/(($E164-$D164)*2),IF(AND(S$77&gt;$B164+$D164,S$77&lt;$B164+$E164),$J164/($E164-$D164),0)))</f>
        <v>0</v>
      </c>
      <c r="T164" s="9">
        <f>IF(OR($C164="Annual",$D164=$E164),IF(AND($D164=$E164,T$77=$B164+$D164),$J164,IF(AND(T$77&gt;$B164+$D164,T$77&lt;=$B164+$E164), $J164/($E164-$D164),0)), IF(OR(T$77=$B164+$D164,T$77=$B164+$E164),$J164/(($E164-$D164)*2),IF(AND(T$77&gt;$B164+$D164,T$77&lt;$B164+$E164),$J164/($E164-$D164),0)))</f>
        <v>0</v>
      </c>
      <c r="U164" s="9"/>
      <c r="V164" s="9"/>
      <c r="W164" s="9"/>
      <c r="X164" s="9">
        <f>IF($C164="annual",IF(X$77=$B164,0,I164*$F164),IF(X$77-$B164=0,J164*$F164/2,IF((X$77-$B164)&lt;$E164,AVERAGE(I164,J164)*$F164,IF((X$77-$B164)=$E164,I164*$F164/2,0))))</f>
        <v>0</v>
      </c>
      <c r="Y164" s="9">
        <f>IF($C164="annual",IF(Y$77=$B164,0,J164*$F164),IF(Y$77-$B164=0,K164*$F164/2,IF((Y$77-$B164)&lt;$E164,AVERAGE(J164,K164)*$F164,IF((Y$77-$B164)=$E164,J164*$F164/2,0))))</f>
        <v>0</v>
      </c>
      <c r="Z164" s="9">
        <f>IF($C164="annual",IF(Z$77=$B164,0,K164*$F164),IF(Z$77-$B164=0,L164*$F164/2,IF((Z$77-$B164)&lt;$E164,AVERAGE(K164,L164)*$F164,IF((Z$77-$B164)=$E164,K164*$F164/2,0))))</f>
        <v>0</v>
      </c>
      <c r="AA164" s="9">
        <f t="shared" si="38"/>
        <v>0</v>
      </c>
    </row>
    <row r="165" spans="1:27">
      <c r="A165" s="8" t="str">
        <f>A164</f>
        <v>Type 9</v>
      </c>
      <c r="B165" s="7">
        <f>B164+1</f>
        <v>2021</v>
      </c>
      <c r="C165" s="7" t="str">
        <f>C164</f>
        <v>Annual</v>
      </c>
      <c r="D165" s="7">
        <f t="shared" si="39"/>
        <v>0</v>
      </c>
      <c r="E165" s="7">
        <f t="shared" si="39"/>
        <v>0</v>
      </c>
      <c r="F165" s="14">
        <f>$O$52</f>
        <v>0</v>
      </c>
      <c r="H165" s="9"/>
      <c r="I165" s="9"/>
      <c r="J165" s="9"/>
      <c r="K165" s="9">
        <f>E$52/E$8</f>
        <v>0</v>
      </c>
      <c r="L165" s="9">
        <f>K165-S165</f>
        <v>0</v>
      </c>
      <c r="M165" s="9">
        <f>L165-T165</f>
        <v>0</v>
      </c>
      <c r="N165" s="9"/>
      <c r="O165" s="9"/>
      <c r="P165" s="9"/>
      <c r="Q165" s="9"/>
      <c r="R165" s="9">
        <f>IF(OR($C165="Annual",$D165=$E165),IF(AND($D165=$E165,R$77=$B165+$D165),$K165,IF(AND(R$77&gt;$B165+$D165,R$77&lt;=$B165+$E165), $K165/($E165-$D165),0)), IF(OR(R$77=$B165+$D165,R$77=$B165+$E165),$K165/(($E165-$D165)*2),IF(AND(R$77&gt;$B165+$D165,R$77&lt;$B165+$E165),$K165/($E165-$D165),0)))</f>
        <v>0</v>
      </c>
      <c r="S165" s="9">
        <f>IF(OR($C165="Annual",$D165=$E165),IF(AND($D165=$E165,S$77=$B165+$D165),$K165,IF(AND(S$77&gt;$B165+$D165,S$77&lt;=$B165+$E165), $K165/($E165-$D165),0)), IF(OR(S$77=$B165+$D165,S$77=$B165+$E165),$K165/(($E165-$D165)*2),IF(AND(S$77&gt;$B165+$D165,S$77&lt;$B165+$E165),$K165/($E165-$D165),0)))</f>
        <v>0</v>
      </c>
      <c r="T165" s="9">
        <f>IF(OR($C165="Annual",$D165=$E165),IF(AND($D165=$E165,T$77=$B165+$D165),$K165,IF(AND(T$77&gt;$B165+$D165,T$77&lt;=$B165+$E165), $K165/($E165-$D165),0)), IF(OR(T$77=$B165+$D165,T$77=$B165+$E165),$K165/(($E165-$D165)*2),IF(AND(T$77&gt;$B165+$D165,T$77&lt;$B165+$E165),$K165/($E165-$D165),0)))</f>
        <v>0</v>
      </c>
      <c r="U165" s="9"/>
      <c r="V165" s="9"/>
      <c r="W165" s="9"/>
      <c r="X165" s="9"/>
      <c r="Y165" s="9">
        <f>IF($C165="annual",IF(Y$77=$B165,0,J165*$F165),IF(Y$77-$B165=0,K165*$F165/2,IF((Y$77-$B165)&lt;$E165,AVERAGE(J165,K165)*$F165,IF((Y$77-$B165)=$E165,J165*$F165/2,0))))</f>
        <v>0</v>
      </c>
      <c r="Z165" s="9">
        <f>IF($C165="annual",IF(Z$77=$B165,0,K165*$F165),IF(Z$77-$B165=0,L165*$F165/2,IF((Z$77-$B165)&lt;$E165,AVERAGE(K165,L165)*$F165,IF((Z$77-$B165)=$E165,K165*$F165/2,0))))</f>
        <v>0</v>
      </c>
      <c r="AA165" s="9">
        <f t="shared" si="38"/>
        <v>0</v>
      </c>
    </row>
    <row r="166" spans="1:27">
      <c r="A166" s="8" t="str">
        <f>A165</f>
        <v>Type 9</v>
      </c>
      <c r="B166" s="7">
        <f>B165+1</f>
        <v>2022</v>
      </c>
      <c r="C166" s="7" t="str">
        <f>C165</f>
        <v>Annual</v>
      </c>
      <c r="D166" s="7">
        <f t="shared" si="39"/>
        <v>0</v>
      </c>
      <c r="E166" s="7">
        <f t="shared" si="39"/>
        <v>0</v>
      </c>
      <c r="F166" s="14">
        <f>$P$52</f>
        <v>0</v>
      </c>
      <c r="H166" s="9"/>
      <c r="I166" s="9"/>
      <c r="J166" s="9"/>
      <c r="K166" s="9"/>
      <c r="L166" s="9">
        <f>F$52/F$8</f>
        <v>0</v>
      </c>
      <c r="M166" s="9">
        <f>L166-T166</f>
        <v>0</v>
      </c>
      <c r="N166" s="9"/>
      <c r="O166" s="9"/>
      <c r="P166" s="9"/>
      <c r="Q166" s="9"/>
      <c r="R166" s="9"/>
      <c r="S166" s="9">
        <f>IF(OR($C166="Annual",$D166=$E166),IF(AND($D166=$E166,S$77=$B166+$D166),$L166,IF(AND(S$77&gt;$B166+$D166,S$77&lt;=$B166+$E166), $L166/($E166-$D166),0)), IF(OR(S$77=$B166+$D166,S$77=$B166+$E166),$L166/(($E166-$D166)*2),IF(AND(S$77&gt;$B166+$D166,S$77&lt;$B166+$E166),$L166/($E166-$D166),0)))</f>
        <v>0</v>
      </c>
      <c r="T166" s="9">
        <f>IF(OR($C166="Annual",$D166=$E166),IF(AND($D166=$E166,T$77=$B166+$D166),$L166,IF(AND(T$77&gt;$B166+$D166,T$77&lt;=$B166+$E166), $L166/($E166-$D166),0)), IF(OR(T$77=$B166+$D166,T$77=$B166+$E166),$L166/(($E166-$D166)*2),IF(AND(T$77&gt;$B166+$D166,T$77&lt;$B166+$E166),$L166/($E166-$D166),0)))</f>
        <v>0</v>
      </c>
      <c r="U166" s="9"/>
      <c r="V166" s="9"/>
      <c r="W166" s="9"/>
      <c r="X166" s="9"/>
      <c r="Y166" s="9"/>
      <c r="Z166" s="9">
        <f>IF($C166="annual",IF(Z$77=$B166,0,K166*$F166),IF(Z$77-$B166=0,L166*$F166/2,IF((Z$77-$B166)&lt;$E166,AVERAGE(K166,L166)*$F166,IF((Z$77-$B166)=$E166,K166*$F166/2,0))))</f>
        <v>0</v>
      </c>
      <c r="AA166" s="9">
        <f t="shared" si="38"/>
        <v>0</v>
      </c>
    </row>
    <row r="167" spans="1:27">
      <c r="A167" s="8" t="str">
        <f>A166</f>
        <v>Type 9</v>
      </c>
      <c r="B167" s="7">
        <f>B166+1</f>
        <v>2023</v>
      </c>
      <c r="C167" s="7" t="str">
        <f>C166</f>
        <v>Annual</v>
      </c>
      <c r="D167" s="7">
        <f t="shared" si="39"/>
        <v>0</v>
      </c>
      <c r="E167" s="7">
        <f t="shared" si="39"/>
        <v>0</v>
      </c>
      <c r="F167" s="14">
        <f>$Q$52</f>
        <v>0</v>
      </c>
      <c r="H167" s="9"/>
      <c r="I167" s="9"/>
      <c r="J167" s="9"/>
      <c r="K167" s="9"/>
      <c r="L167" s="9"/>
      <c r="M167" s="9">
        <f>G$52/G$8</f>
        <v>0</v>
      </c>
      <c r="N167" s="9"/>
      <c r="O167" s="9"/>
      <c r="P167" s="9"/>
      <c r="Q167" s="9"/>
      <c r="R167" s="9"/>
      <c r="S167" s="9"/>
      <c r="T167" s="9">
        <f>IF(OR($C167="Annual",$D167=$E167),IF(AND($D167=$E167,T$77=$B167+$D167),$M167,IF(AND(T$77&gt;$B167+$D167,T$77&lt;=$B167+$E167), $M167/($E167-$D167),0)), IF(OR(T$77=$B167+$D167,T$77=$B167+$E167),$M167/(($E167-$D167)*2),IF(AND(T$77&gt;$B167+$D167,T$77&lt;$B167+$E167),$M167/($E167-$D167),0)))</f>
        <v>0</v>
      </c>
      <c r="U167" s="9"/>
      <c r="V167" s="9"/>
      <c r="W167" s="9"/>
      <c r="X167" s="9"/>
      <c r="Y167" s="9"/>
      <c r="Z167" s="9"/>
      <c r="AA167" s="9">
        <f t="shared" si="38"/>
        <v>0</v>
      </c>
    </row>
    <row r="168" spans="1:27">
      <c r="A168" s="8"/>
      <c r="B168" s="7"/>
      <c r="C168" s="7"/>
      <c r="D168" s="7"/>
      <c r="E168" s="7"/>
      <c r="F168" s="15"/>
      <c r="H168" s="9"/>
      <c r="I168" s="9"/>
      <c r="J168" s="9"/>
      <c r="K168" s="9"/>
      <c r="L168" s="9"/>
      <c r="M168" s="9"/>
      <c r="N168" s="9"/>
      <c r="O168" s="10"/>
      <c r="P168" s="10"/>
      <c r="Q168" s="10"/>
      <c r="R168" s="10"/>
      <c r="S168" s="10"/>
      <c r="T168" s="10"/>
      <c r="U168" s="9"/>
      <c r="V168" s="9"/>
      <c r="W168" s="9"/>
      <c r="X168" s="9"/>
      <c r="Y168" s="9"/>
      <c r="Z168" s="9"/>
      <c r="AA168" s="9"/>
    </row>
    <row r="169" spans="1:27" s="1150" customFormat="1">
      <c r="A169" s="1347" t="str">
        <f>A53</f>
        <v>ZERO-COUPON BOND</v>
      </c>
      <c r="B169" s="1348">
        <f>B85</f>
        <v>2018</v>
      </c>
      <c r="C169" s="1348"/>
      <c r="D169" s="1348">
        <f>$J53</f>
        <v>0</v>
      </c>
      <c r="E169" s="1348">
        <f>$K53</f>
        <v>0</v>
      </c>
      <c r="F169" s="1349">
        <f>$L$53</f>
        <v>0</v>
      </c>
      <c r="H169" s="1350">
        <f>B$53/B$8</f>
        <v>0</v>
      </c>
      <c r="I169" s="1350">
        <f>H169-P169</f>
        <v>0</v>
      </c>
      <c r="J169" s="1350">
        <f>I169-Q169</f>
        <v>0</v>
      </c>
      <c r="K169" s="1350">
        <f>J169-R169</f>
        <v>0</v>
      </c>
      <c r="L169" s="1350">
        <f>K169-S169</f>
        <v>0</v>
      </c>
      <c r="M169" s="1350">
        <f>L169-T169</f>
        <v>0</v>
      </c>
      <c r="N169" s="1350"/>
      <c r="O169" s="1350">
        <f t="shared" ref="O169:T169" si="40">IF($D169=$E169,IF(O$77=$B169+$E169,$H169,0),0)</f>
        <v>0</v>
      </c>
      <c r="P169" s="1350">
        <f t="shared" si="40"/>
        <v>0</v>
      </c>
      <c r="Q169" s="1350">
        <f t="shared" si="40"/>
        <v>0</v>
      </c>
      <c r="R169" s="1350">
        <f t="shared" si="40"/>
        <v>0</v>
      </c>
      <c r="S169" s="1350">
        <f t="shared" si="40"/>
        <v>0</v>
      </c>
      <c r="T169" s="1350">
        <f t="shared" si="40"/>
        <v>0</v>
      </c>
      <c r="U169" s="1350"/>
      <c r="V169" s="1350">
        <f t="shared" ref="V169:AA169" si="41">IF(V$77-$B169=$D169,$H169*(((1+$F169)^$D169)-1),0)</f>
        <v>0</v>
      </c>
      <c r="W169" s="1350">
        <f t="shared" si="41"/>
        <v>0</v>
      </c>
      <c r="X169" s="1350">
        <f>IF(X$77-$B169=$D169,$H169*(((1+$F169)^$D169)-1),0)</f>
        <v>0</v>
      </c>
      <c r="Y169" s="1350">
        <f t="shared" si="41"/>
        <v>0</v>
      </c>
      <c r="Z169" s="1350">
        <f t="shared" si="41"/>
        <v>0</v>
      </c>
      <c r="AA169" s="1350">
        <f t="shared" si="41"/>
        <v>0</v>
      </c>
    </row>
    <row r="170" spans="1:27" s="1150" customFormat="1">
      <c r="A170" s="1347" t="str">
        <f>A169</f>
        <v>ZERO-COUPON BOND</v>
      </c>
      <c r="B170" s="1348">
        <f>B169+1</f>
        <v>2019</v>
      </c>
      <c r="C170" s="1348"/>
      <c r="D170" s="1348">
        <f t="shared" ref="D170:E174" si="42">D169</f>
        <v>0</v>
      </c>
      <c r="E170" s="1348">
        <f t="shared" si="42"/>
        <v>0</v>
      </c>
      <c r="F170" s="1349">
        <f>$M$53</f>
        <v>0</v>
      </c>
      <c r="H170" s="1350"/>
      <c r="I170" s="1350">
        <f>C$53/C$8</f>
        <v>0</v>
      </c>
      <c r="J170" s="1350">
        <f>I170-Q170</f>
        <v>0</v>
      </c>
      <c r="K170" s="1350">
        <f>J170-R170</f>
        <v>0</v>
      </c>
      <c r="L170" s="1350">
        <f>K170-S170</f>
        <v>0</v>
      </c>
      <c r="M170" s="1350">
        <f>L170-T170</f>
        <v>0</v>
      </c>
      <c r="N170" s="1350"/>
      <c r="O170" s="1351"/>
      <c r="P170" s="1350">
        <f>IF($D170=$E170,IF(P$77=$B170+$E170,$I170,0),0)</f>
        <v>0</v>
      </c>
      <c r="Q170" s="1350">
        <f>IF($D170=$E170,IF(Q$77=$B170+$E170,$I170,0),0)</f>
        <v>0</v>
      </c>
      <c r="R170" s="1350">
        <f>IF($D170=$E170,IF(R$77=$B170+$E170,$I170,0),0)</f>
        <v>0</v>
      </c>
      <c r="S170" s="1350">
        <f>IF($D170=$E170,IF(S$77=$B170+$E170,$I170,0),0)</f>
        <v>0</v>
      </c>
      <c r="T170" s="1350">
        <f>IF($D170=$E170,IF(T$77=$B170+$E170,$I170,0),0)</f>
        <v>0</v>
      </c>
      <c r="U170" s="1350"/>
      <c r="V170" s="1350"/>
      <c r="W170" s="1350">
        <f>IF(W$77-$B170=$D170,$I170*(((1+$F170)^$D170)-1),0)</f>
        <v>0</v>
      </c>
      <c r="X170" s="1350">
        <f>IF(X$77-$B170=$D170,$I170*(((1+$F170)^$D170)-1),0)</f>
        <v>0</v>
      </c>
      <c r="Y170" s="1350">
        <f>IF(Y$77-$B170=$D170,$I170*(((1+$F170)^$D170)-1),0)</f>
        <v>0</v>
      </c>
      <c r="Z170" s="1350">
        <f>IF(Z$77-$B170=$D170,$I170*(((1+$F170)^$D170)-1),0)</f>
        <v>0</v>
      </c>
      <c r="AA170" s="1350">
        <f>IF(AA$77-$B170=$D170,$I170*(((1+$F170)^$D170)-1),0)</f>
        <v>0</v>
      </c>
    </row>
    <row r="171" spans="1:27" s="1150" customFormat="1">
      <c r="A171" s="1347" t="str">
        <f>A170</f>
        <v>ZERO-COUPON BOND</v>
      </c>
      <c r="B171" s="1348">
        <f>B170+1</f>
        <v>2020</v>
      </c>
      <c r="C171" s="1348"/>
      <c r="D171" s="1348">
        <f t="shared" si="42"/>
        <v>0</v>
      </c>
      <c r="E171" s="1348">
        <f t="shared" si="42"/>
        <v>0</v>
      </c>
      <c r="F171" s="1349">
        <f>$N$53</f>
        <v>0</v>
      </c>
      <c r="H171" s="1350"/>
      <c r="I171" s="1350"/>
      <c r="J171" s="1350">
        <f>D$53/D$8</f>
        <v>0</v>
      </c>
      <c r="K171" s="1350">
        <f>J171-R171</f>
        <v>0</v>
      </c>
      <c r="L171" s="1350">
        <f>K171-S171</f>
        <v>0</v>
      </c>
      <c r="M171" s="1350">
        <f>L171-T171</f>
        <v>0</v>
      </c>
      <c r="N171" s="1350"/>
      <c r="O171" s="1351"/>
      <c r="P171" s="1350"/>
      <c r="Q171" s="1350">
        <f>IF($D171=$E171,IF(Q$77=$B171+$E171,$J171,0),0)</f>
        <v>0</v>
      </c>
      <c r="R171" s="1350">
        <f>IF($D171=$E171,IF(R$77=$B171+$E171,$J171,0),0)</f>
        <v>0</v>
      </c>
      <c r="S171" s="1350">
        <f>IF($D171=$E171,IF(S$77=$B171+$E171,$J171,0),0)</f>
        <v>0</v>
      </c>
      <c r="T171" s="1350">
        <f>IF($D171=$E171,IF(T$77=$B171+$E171,$J171,0),0)</f>
        <v>0</v>
      </c>
      <c r="U171" s="1350"/>
      <c r="V171" s="1350"/>
      <c r="W171" s="1350"/>
      <c r="X171" s="1350">
        <f>IF(X$77-$B171=$D171,$J171*(((1+$F171)^$D171)-1),0)</f>
        <v>0</v>
      </c>
      <c r="Y171" s="1350">
        <f>IF(Y$77-$B171=$D171,$J171*(((1+$F171)^$D171)-1),0)</f>
        <v>0</v>
      </c>
      <c r="Z171" s="1350">
        <f>IF(Z$77-$B171=$D171,$J171*(((1+$F171)^$D171)-1),0)</f>
        <v>0</v>
      </c>
      <c r="AA171" s="1350">
        <f>IF(AA$77-$B171=$D171,$J171*(((1+$F171)^$D171)-1),0)</f>
        <v>0</v>
      </c>
    </row>
    <row r="172" spans="1:27" s="1150" customFormat="1">
      <c r="A172" s="1347" t="str">
        <f>A171</f>
        <v>ZERO-COUPON BOND</v>
      </c>
      <c r="B172" s="1348">
        <f>B171+1</f>
        <v>2021</v>
      </c>
      <c r="C172" s="1348"/>
      <c r="D172" s="1348">
        <f t="shared" si="42"/>
        <v>0</v>
      </c>
      <c r="E172" s="1348">
        <f t="shared" si="42"/>
        <v>0</v>
      </c>
      <c r="F172" s="1349">
        <f>$O$53</f>
        <v>0</v>
      </c>
      <c r="H172" s="1350"/>
      <c r="I172" s="1350"/>
      <c r="J172" s="1350"/>
      <c r="K172" s="1350">
        <f>E$53/E$8</f>
        <v>0</v>
      </c>
      <c r="L172" s="1350">
        <f>K172-S172</f>
        <v>0</v>
      </c>
      <c r="M172" s="1350">
        <f>L172-T172</f>
        <v>0</v>
      </c>
      <c r="N172" s="1350"/>
      <c r="O172" s="1351"/>
      <c r="P172" s="1350"/>
      <c r="Q172" s="1350"/>
      <c r="R172" s="1350">
        <f>IF($D172=$E172,IF(R$77=$B172+$E172,$K172,0),0)</f>
        <v>0</v>
      </c>
      <c r="S172" s="1350">
        <f>IF($D172=$E172,IF(S$77=$B172+$E172,$K172,0),0)</f>
        <v>0</v>
      </c>
      <c r="T172" s="1350">
        <f>IF($D172=$E172,IF(T$77=$B172+$E172,$K172,0),0)</f>
        <v>0</v>
      </c>
      <c r="U172" s="1350"/>
      <c r="V172" s="1350"/>
      <c r="W172" s="1350"/>
      <c r="X172" s="1350"/>
      <c r="Y172" s="1350">
        <f>IF(Y$77-$B172=$D172,$K172*(((1+$F172)^$D172)-1),0)</f>
        <v>0</v>
      </c>
      <c r="Z172" s="1350">
        <f>IF(Z$77-$B172=$D172,$K172*(((1+$F172)^$D172)-1),0)</f>
        <v>0</v>
      </c>
      <c r="AA172" s="1350">
        <f>IF(AA$77-$B172=$D172,$K172*(((1+$F172)^$D172)-1),0)</f>
        <v>0</v>
      </c>
    </row>
    <row r="173" spans="1:27" s="1150" customFormat="1">
      <c r="A173" s="1347" t="str">
        <f>A172</f>
        <v>ZERO-COUPON BOND</v>
      </c>
      <c r="B173" s="1348">
        <f>B172+1</f>
        <v>2022</v>
      </c>
      <c r="C173" s="1348"/>
      <c r="D173" s="1348">
        <f t="shared" si="42"/>
        <v>0</v>
      </c>
      <c r="E173" s="1348">
        <f t="shared" si="42"/>
        <v>0</v>
      </c>
      <c r="F173" s="1349">
        <f>$P$53</f>
        <v>0</v>
      </c>
      <c r="H173" s="1350"/>
      <c r="I173" s="1350"/>
      <c r="J173" s="1350"/>
      <c r="K173" s="1350"/>
      <c r="L173" s="1350">
        <f>F$53/F$8</f>
        <v>0</v>
      </c>
      <c r="M173" s="1350">
        <f>L173-T173</f>
        <v>0</v>
      </c>
      <c r="N173" s="1350"/>
      <c r="O173" s="1351"/>
      <c r="P173" s="1350"/>
      <c r="Q173" s="1350"/>
      <c r="R173" s="1350"/>
      <c r="S173" s="1350">
        <f>IF($D173=$E173,IF(S$77=$B173+$E173,$L173,0),0)</f>
        <v>0</v>
      </c>
      <c r="T173" s="1350">
        <f>IF($D173=$E173,IF(T$77=$B173+$E173,$L173,0),0)</f>
        <v>0</v>
      </c>
      <c r="U173" s="1350"/>
      <c r="V173" s="1350"/>
      <c r="W173" s="1350"/>
      <c r="X173" s="1350"/>
      <c r="Y173" s="1350"/>
      <c r="Z173" s="1350">
        <f>IF(Z$77-$B173=$D173,$L173*(((1+$F173)^$D173)-1),0)</f>
        <v>0</v>
      </c>
      <c r="AA173" s="1350">
        <f>IF(AA$77-$B173=$D173,$L173*(((1+$F173)^$D173)-1),0)</f>
        <v>0</v>
      </c>
    </row>
    <row r="174" spans="1:27" s="1150" customFormat="1">
      <c r="A174" s="1347" t="str">
        <f>A173</f>
        <v>ZERO-COUPON BOND</v>
      </c>
      <c r="B174" s="1348">
        <f>B173+1</f>
        <v>2023</v>
      </c>
      <c r="C174" s="1348"/>
      <c r="D174" s="1348">
        <f t="shared" si="42"/>
        <v>0</v>
      </c>
      <c r="E174" s="1348">
        <f t="shared" si="42"/>
        <v>0</v>
      </c>
      <c r="F174" s="1349">
        <f>$Q$53</f>
        <v>0</v>
      </c>
      <c r="H174" s="1350"/>
      <c r="I174" s="1350"/>
      <c r="J174" s="1350"/>
      <c r="K174" s="1350"/>
      <c r="L174" s="1350"/>
      <c r="M174" s="1350">
        <f>G$53/G$8</f>
        <v>0</v>
      </c>
      <c r="N174" s="1350"/>
      <c r="O174" s="1351"/>
      <c r="P174" s="1350"/>
      <c r="Q174" s="1350"/>
      <c r="R174" s="1350"/>
      <c r="S174" s="1350"/>
      <c r="T174" s="1350">
        <f>IF($D174=$E174,IF(T$77=$B174+$E174,$M174,0),0)</f>
        <v>0</v>
      </c>
      <c r="U174" s="1350"/>
      <c r="V174" s="1350"/>
      <c r="W174" s="1350"/>
      <c r="X174" s="1350"/>
      <c r="Y174" s="1350"/>
      <c r="Z174" s="1350"/>
      <c r="AA174" s="1350">
        <f>IF(AA$77-$B174=$D174,$M174*(((1+$F174)^$D174)-1),0)</f>
        <v>0</v>
      </c>
    </row>
    <row r="175" spans="1:27">
      <c r="A175" s="17"/>
      <c r="B175" s="7"/>
      <c r="D175" s="7"/>
      <c r="E175" s="7"/>
      <c r="F175" s="7"/>
    </row>
    <row r="176" spans="1:27">
      <c r="A176" s="20" t="str">
        <f>A54</f>
        <v>New Issuance of Foreign Debt (new debt) 1/</v>
      </c>
      <c r="B176" s="6"/>
    </row>
    <row r="177" spans="1:27" customFormat="1" ht="15.75" thickBot="1">
      <c r="A177" s="21" t="str">
        <f>A55</f>
        <v>Short-term debt 2/</v>
      </c>
      <c r="B177" s="18"/>
      <c r="C177" s="6"/>
      <c r="D177" s="13"/>
      <c r="E177" s="13"/>
      <c r="F177" s="13"/>
      <c r="G177" s="13"/>
      <c r="H177" s="13"/>
      <c r="I177" s="13"/>
      <c r="J177" s="13"/>
      <c r="K177" s="13"/>
      <c r="L177" s="13"/>
      <c r="M177" s="13"/>
      <c r="N177" s="19"/>
      <c r="O177" s="13"/>
      <c r="P177" s="13"/>
      <c r="Q177" s="13"/>
      <c r="R177" s="13"/>
      <c r="S177" s="13"/>
      <c r="T177" s="13"/>
      <c r="U177" s="284"/>
      <c r="V177" s="13"/>
      <c r="W177" s="13"/>
      <c r="X177" s="13"/>
      <c r="Y177" s="13"/>
      <c r="Z177" s="13"/>
      <c r="AA177" s="13"/>
    </row>
    <row r="178" spans="1:27" customFormat="1" ht="15.75" thickBot="1">
      <c r="A178" s="22" t="str">
        <f>A56</f>
        <v>Denominated in local currency</v>
      </c>
      <c r="B178" s="18"/>
      <c r="C178" s="1999" t="s">
        <v>51</v>
      </c>
      <c r="D178" s="2000"/>
      <c r="E178" s="2000"/>
      <c r="F178" s="2000"/>
      <c r="G178" s="2000"/>
      <c r="H178" s="2000"/>
      <c r="I178" s="2000"/>
      <c r="J178" s="2000"/>
      <c r="K178" s="2000"/>
      <c r="L178" s="2000"/>
      <c r="M178" s="2000"/>
      <c r="N178" s="2000"/>
      <c r="O178" s="2000"/>
      <c r="P178" s="2000"/>
      <c r="Q178" s="2000"/>
      <c r="R178" s="2000"/>
      <c r="S178" s="2000"/>
      <c r="T178" s="2000"/>
      <c r="U178" s="2000"/>
      <c r="V178" s="2000"/>
      <c r="W178" s="2000"/>
      <c r="X178" s="2000"/>
      <c r="Y178" s="2000"/>
      <c r="Z178" s="2000"/>
      <c r="AA178" s="2001"/>
    </row>
    <row r="179" spans="1:27" ht="6.75" customHeight="1">
      <c r="B179" s="6"/>
      <c r="F179" s="15"/>
      <c r="H179" s="10"/>
      <c r="I179" s="10"/>
      <c r="J179" s="10"/>
      <c r="K179" s="10"/>
      <c r="L179" s="10"/>
      <c r="M179" s="10"/>
      <c r="N179" s="10"/>
      <c r="O179" s="10"/>
      <c r="P179" s="10"/>
      <c r="Q179" s="10"/>
      <c r="R179" s="10"/>
      <c r="S179" s="10"/>
      <c r="T179" s="10"/>
      <c r="U179" s="10"/>
      <c r="V179" s="10"/>
      <c r="W179" s="10"/>
      <c r="X179" s="10"/>
      <c r="Y179" s="10"/>
      <c r="Z179" s="10"/>
      <c r="AA179" s="10"/>
    </row>
    <row r="180" spans="1:27" customFormat="1">
      <c r="A180" s="23"/>
      <c r="B180" s="7">
        <f>B85</f>
        <v>2018</v>
      </c>
      <c r="C180" s="13" t="str">
        <f>$I56</f>
        <v>Semi-annual</v>
      </c>
      <c r="D180" s="13">
        <f>$J56</f>
        <v>0</v>
      </c>
      <c r="E180" s="13">
        <f>$K56</f>
        <v>0</v>
      </c>
      <c r="F180" s="14">
        <f>$L$56</f>
        <v>0</v>
      </c>
      <c r="G180" s="13"/>
      <c r="H180" s="9">
        <f>$B$56</f>
        <v>0</v>
      </c>
      <c r="I180" s="9">
        <f>H180-P180</f>
        <v>0</v>
      </c>
      <c r="J180" s="9">
        <f>I180-Q180</f>
        <v>0</v>
      </c>
      <c r="K180" s="9">
        <f>J180-R180</f>
        <v>0</v>
      </c>
      <c r="L180" s="9">
        <f>K180-S180</f>
        <v>0</v>
      </c>
      <c r="M180" s="9">
        <f>L180-T180</f>
        <v>0</v>
      </c>
      <c r="N180" s="9"/>
      <c r="O180" s="9">
        <v>0</v>
      </c>
      <c r="P180" s="9">
        <f>H180</f>
        <v>0</v>
      </c>
      <c r="Q180" s="9">
        <v>0</v>
      </c>
      <c r="R180" s="9">
        <v>0</v>
      </c>
      <c r="S180" s="9">
        <v>0</v>
      </c>
      <c r="T180" s="9">
        <v>0</v>
      </c>
      <c r="U180" s="9"/>
      <c r="V180" s="9">
        <f>IF($C180="annual",IF(V$77=$B180,0,G180*$F180),IF(V$77-$B180=0,H180*$F180/2,IF((V$77-$B180)&lt;$E180,AVERAGE(G180,H180)*$F180,IF((V$77-$B180)=$E180,G180*$F180/2,0))))</f>
        <v>0</v>
      </c>
      <c r="W180" s="9">
        <f t="shared" ref="W180:AA181" si="43">IF($C180="annual",IF(W$77=$B180,0,H180*$F180),IF(W$77-$B180=0,I180*$F180/2,IF((W$77-$B180)&lt;$E180,AVERAGE(H180,I180)*$F180,IF((W$77-$B180)=$E180,H180*$F180/2,0))))</f>
        <v>0</v>
      </c>
      <c r="X180" s="9">
        <f t="shared" si="43"/>
        <v>0</v>
      </c>
      <c r="Y180" s="9">
        <f t="shared" si="43"/>
        <v>0</v>
      </c>
      <c r="Z180" s="9">
        <f t="shared" si="43"/>
        <v>0</v>
      </c>
      <c r="AA180" s="9">
        <f t="shared" si="43"/>
        <v>0</v>
      </c>
    </row>
    <row r="181" spans="1:27" customFormat="1">
      <c r="A181" s="23"/>
      <c r="B181" s="7">
        <f>B180+1</f>
        <v>2019</v>
      </c>
      <c r="C181" s="13" t="str">
        <f>C180</f>
        <v>Semi-annual</v>
      </c>
      <c r="D181" s="13">
        <f>D180</f>
        <v>0</v>
      </c>
      <c r="E181" s="13">
        <f>E180</f>
        <v>0</v>
      </c>
      <c r="F181" s="14">
        <f>$M$56</f>
        <v>0</v>
      </c>
      <c r="G181" s="13"/>
      <c r="H181" s="9"/>
      <c r="I181" s="9">
        <f>$C$56</f>
        <v>0</v>
      </c>
      <c r="J181" s="9">
        <f>I181-Q181</f>
        <v>0</v>
      </c>
      <c r="K181" s="9">
        <f>J181-R181</f>
        <v>0</v>
      </c>
      <c r="L181" s="9">
        <f>K181-S181</f>
        <v>0</v>
      </c>
      <c r="M181" s="9">
        <f>L181-T181</f>
        <v>0</v>
      </c>
      <c r="N181" s="9"/>
      <c r="O181" s="9"/>
      <c r="P181" s="9">
        <v>0</v>
      </c>
      <c r="Q181" s="9">
        <f>I181</f>
        <v>0</v>
      </c>
      <c r="R181" s="9">
        <v>0</v>
      </c>
      <c r="S181" s="9">
        <v>0</v>
      </c>
      <c r="T181" s="9">
        <v>0</v>
      </c>
      <c r="U181" s="9"/>
      <c r="V181" s="9"/>
      <c r="W181" s="9">
        <f t="shared" si="43"/>
        <v>0</v>
      </c>
      <c r="X181" s="9">
        <f>IF($C181="annual",IF(X$77=$B181,0,I181*$F181),IF(X$77-$B181=0,J181*$F181/2,IF((X$77-$B181)&lt;$E181,AVERAGE(I181,J181)*$F181,IF((X$77-$B181)=$E181,I181*$F181/2,0))))</f>
        <v>0</v>
      </c>
      <c r="Y181" s="9">
        <f>IF($C181="annual",IF(Y$77=$B181,0,J181*$F181),IF(Y$77-$B181=0,K181*$F181/2,IF((Y$77-$B181)&lt;$E181,AVERAGE(J181,K181)*$F181,IF((Y$77-$B181)=$E181,J181*$F181/2,0))))</f>
        <v>0</v>
      </c>
      <c r="Z181" s="9">
        <f t="shared" ref="Z181:AA185" si="44">IF($C181="annual",IF(Z$77=$B181,0,K181*$F181),IF(Z$77-$B181=0,L181*$F181/2,IF((Z$77-$B181)&lt;$E181,AVERAGE(K181,L181)*$F181,IF((Z$77-$B181)=$E181,K181*$F181/2,0))))</f>
        <v>0</v>
      </c>
      <c r="AA181" s="9">
        <f>IF($C181="annual",IF(AA$77=$B181,0,L181*$F181),IF(AA$77-$B181=0,M181*$F181/2,IF((AA$77-$B181)&lt;$E181,AVERAGE(L181,M181)*$F181,IF((AA$77-$B181)=$E181,L181*$F181/2,0))))</f>
        <v>0</v>
      </c>
    </row>
    <row r="182" spans="1:27" customFormat="1">
      <c r="A182" s="23"/>
      <c r="B182" s="7">
        <f>B181+1</f>
        <v>2020</v>
      </c>
      <c r="C182" s="13" t="str">
        <f>C181</f>
        <v>Semi-annual</v>
      </c>
      <c r="D182" s="13">
        <f t="shared" ref="D182:E185" si="45">D181</f>
        <v>0</v>
      </c>
      <c r="E182" s="13">
        <f t="shared" si="45"/>
        <v>0</v>
      </c>
      <c r="F182" s="14">
        <f>$N$56</f>
        <v>0</v>
      </c>
      <c r="G182" s="13"/>
      <c r="H182" s="9"/>
      <c r="I182" s="9"/>
      <c r="J182" s="9">
        <f>$D$56</f>
        <v>0</v>
      </c>
      <c r="K182" s="9">
        <f>J182-R182</f>
        <v>0</v>
      </c>
      <c r="L182" s="9">
        <f>K182-S182</f>
        <v>0</v>
      </c>
      <c r="M182" s="9">
        <f>L182-T182</f>
        <v>0</v>
      </c>
      <c r="N182" s="9"/>
      <c r="O182" s="9"/>
      <c r="P182" s="9"/>
      <c r="Q182" s="9">
        <v>0</v>
      </c>
      <c r="R182" s="9">
        <f>J182</f>
        <v>0</v>
      </c>
      <c r="S182" s="9">
        <v>0</v>
      </c>
      <c r="T182" s="9">
        <v>0</v>
      </c>
      <c r="U182" s="9"/>
      <c r="V182" s="9"/>
      <c r="W182" s="9"/>
      <c r="X182" s="9">
        <f>IF($C182="annual",IF(X$77=$B182,0,I182*$F182),IF(X$77-$B182=0,J182*$F182/2,IF((X$77-$B182)&lt;$E182,AVERAGE(I182,J182)*$F182,IF((X$77-$B182)=$E182,I182*$F182/2,0))))</f>
        <v>0</v>
      </c>
      <c r="Y182" s="9">
        <f>IF($C182="annual",IF(Y$77=$B182,0,J182*$F182),IF(Y$77-$B182=0,K182*$F182/2,IF((Y$77-$B182)&lt;$E182,AVERAGE(J182,K182)*$F182,IF((Y$77-$B182)=$E182,J182*$F182/2,0))))</f>
        <v>0</v>
      </c>
      <c r="Z182" s="9">
        <f t="shared" si="44"/>
        <v>0</v>
      </c>
      <c r="AA182" s="9">
        <f>IF($C182="annual",IF(AA$77=$B182,0,L182*$F182),IF(AA$77-$B182=0,M182*$F182/2,IF((AA$77-$B182)&lt;$E182,AVERAGE(L182,M182)*$F182,IF((AA$77-$B182)=$E182,L182*$F182/2,0))))</f>
        <v>0</v>
      </c>
    </row>
    <row r="183" spans="1:27" customFormat="1">
      <c r="A183" s="23"/>
      <c r="B183" s="7">
        <f>B182+1</f>
        <v>2021</v>
      </c>
      <c r="C183" s="13" t="str">
        <f>C182</f>
        <v>Semi-annual</v>
      </c>
      <c r="D183" s="13">
        <f t="shared" si="45"/>
        <v>0</v>
      </c>
      <c r="E183" s="13">
        <f t="shared" si="45"/>
        <v>0</v>
      </c>
      <c r="F183" s="14">
        <f>$O$56</f>
        <v>0</v>
      </c>
      <c r="G183" s="13"/>
      <c r="H183" s="9"/>
      <c r="I183" s="9"/>
      <c r="J183" s="9"/>
      <c r="K183" s="9">
        <f>$E$56</f>
        <v>0</v>
      </c>
      <c r="L183" s="9">
        <f>K183-S183</f>
        <v>0</v>
      </c>
      <c r="M183" s="9">
        <f>L183-T183</f>
        <v>0</v>
      </c>
      <c r="N183" s="9"/>
      <c r="O183" s="9"/>
      <c r="P183" s="9"/>
      <c r="Q183" s="9"/>
      <c r="R183" s="9">
        <v>0</v>
      </c>
      <c r="S183" s="9">
        <f>K183</f>
        <v>0</v>
      </c>
      <c r="T183" s="9">
        <v>0</v>
      </c>
      <c r="U183" s="9"/>
      <c r="V183" s="9"/>
      <c r="W183" s="9"/>
      <c r="X183" s="9"/>
      <c r="Y183" s="9">
        <f>IF($C183="annual",IF(Y$77=$B183,0,J183*$F183),IF(Y$77-$B183=0,K183*$F183/2,IF((Y$77-$B183)&lt;$E183,AVERAGE(J183,K183)*$F183,IF((Y$77-$B183)=$E183,J183*$F183/2,0))))</f>
        <v>0</v>
      </c>
      <c r="Z183" s="9">
        <f t="shared" si="44"/>
        <v>0</v>
      </c>
      <c r="AA183" s="9">
        <f>IF($C183="annual",IF(AA$77=$B183,0,L183*$F183),IF(AA$77-$B183=0,M183*$F183/2,IF((AA$77-$B183)&lt;$E183,AVERAGE(L183,M183)*$F183,IF((AA$77-$B183)=$E183,L183*$F183/2,0))))</f>
        <v>0</v>
      </c>
    </row>
    <row r="184" spans="1:27" customFormat="1">
      <c r="A184" s="23"/>
      <c r="B184" s="7">
        <f>B183+1</f>
        <v>2022</v>
      </c>
      <c r="C184" s="13" t="str">
        <f>C183</f>
        <v>Semi-annual</v>
      </c>
      <c r="D184" s="13">
        <f t="shared" si="45"/>
        <v>0</v>
      </c>
      <c r="E184" s="13">
        <f t="shared" si="45"/>
        <v>0</v>
      </c>
      <c r="F184" s="14">
        <f>$P$56</f>
        <v>0</v>
      </c>
      <c r="G184" s="13"/>
      <c r="H184" s="9"/>
      <c r="I184" s="9"/>
      <c r="J184" s="9"/>
      <c r="K184" s="9"/>
      <c r="L184" s="9">
        <f>$F$56</f>
        <v>0</v>
      </c>
      <c r="M184" s="9">
        <f>L184-T184</f>
        <v>0</v>
      </c>
      <c r="N184" s="9"/>
      <c r="O184" s="9"/>
      <c r="P184" s="9"/>
      <c r="Q184" s="9"/>
      <c r="R184" s="9"/>
      <c r="S184" s="9">
        <v>0</v>
      </c>
      <c r="T184" s="9">
        <f>L184</f>
        <v>0</v>
      </c>
      <c r="U184" s="9"/>
      <c r="V184" s="9"/>
      <c r="W184" s="9"/>
      <c r="X184" s="9"/>
      <c r="Y184" s="9"/>
      <c r="Z184" s="9">
        <f t="shared" si="44"/>
        <v>0</v>
      </c>
      <c r="AA184" s="9">
        <f t="shared" si="44"/>
        <v>0</v>
      </c>
    </row>
    <row r="185" spans="1:27" customFormat="1">
      <c r="A185" s="23"/>
      <c r="B185" s="7">
        <f>B184+1</f>
        <v>2023</v>
      </c>
      <c r="C185" s="13" t="str">
        <f>C184</f>
        <v>Semi-annual</v>
      </c>
      <c r="D185" s="13">
        <f t="shared" si="45"/>
        <v>0</v>
      </c>
      <c r="E185" s="13">
        <f t="shared" si="45"/>
        <v>0</v>
      </c>
      <c r="F185" s="14">
        <f>$Q$56</f>
        <v>0</v>
      </c>
      <c r="G185" s="13"/>
      <c r="H185" s="9"/>
      <c r="I185" s="9"/>
      <c r="J185" s="9"/>
      <c r="K185" s="9"/>
      <c r="L185" s="9"/>
      <c r="M185" s="9">
        <f>$G$56</f>
        <v>0</v>
      </c>
      <c r="N185" s="9"/>
      <c r="O185" s="9"/>
      <c r="P185" s="9"/>
      <c r="Q185" s="9"/>
      <c r="R185" s="9"/>
      <c r="S185" s="9"/>
      <c r="T185" s="9">
        <v>0</v>
      </c>
      <c r="U185" s="9"/>
      <c r="V185" s="9"/>
      <c r="W185" s="9"/>
      <c r="X185" s="9"/>
      <c r="Y185" s="9"/>
      <c r="Z185" s="9"/>
      <c r="AA185" s="9">
        <f t="shared" si="44"/>
        <v>0</v>
      </c>
    </row>
    <row r="186" spans="1:27" ht="6.75" customHeight="1" thickBot="1">
      <c r="B186" s="7"/>
      <c r="F186" s="15"/>
      <c r="H186" s="10"/>
      <c r="I186" s="10"/>
      <c r="J186" s="10"/>
      <c r="K186" s="10"/>
      <c r="L186" s="10"/>
      <c r="M186" s="10"/>
      <c r="N186" s="10"/>
      <c r="O186" s="10"/>
      <c r="P186" s="10"/>
      <c r="Q186" s="10"/>
      <c r="R186" s="10"/>
      <c r="S186" s="10"/>
      <c r="T186" s="10"/>
      <c r="U186" s="10"/>
      <c r="V186" s="10"/>
      <c r="W186" s="10"/>
      <c r="X186" s="10"/>
      <c r="Y186" s="10"/>
      <c r="Z186" s="10"/>
      <c r="AA186" s="10"/>
    </row>
    <row r="187" spans="1:27" customFormat="1" ht="15.75" thickBot="1">
      <c r="A187" s="22" t="str">
        <f>A65</f>
        <v>Denominated in foreign currency</v>
      </c>
      <c r="B187" s="18"/>
      <c r="C187" s="1999" t="s">
        <v>52</v>
      </c>
      <c r="D187" s="2000"/>
      <c r="E187" s="2000"/>
      <c r="F187" s="2000"/>
      <c r="G187" s="2000"/>
      <c r="H187" s="2000"/>
      <c r="I187" s="2000"/>
      <c r="J187" s="2000"/>
      <c r="K187" s="2000"/>
      <c r="L187" s="2000"/>
      <c r="M187" s="2000"/>
      <c r="N187" s="2000"/>
      <c r="O187" s="2000"/>
      <c r="P187" s="2000"/>
      <c r="Q187" s="2000"/>
      <c r="R187" s="2000"/>
      <c r="S187" s="2000"/>
      <c r="T187" s="2000"/>
      <c r="U187" s="2000"/>
      <c r="V187" s="2000"/>
      <c r="W187" s="2000"/>
      <c r="X187" s="2000"/>
      <c r="Y187" s="2000"/>
      <c r="Z187" s="2000"/>
      <c r="AA187" s="2001"/>
    </row>
    <row r="188" spans="1:27" ht="6.75" customHeight="1">
      <c r="B188" s="6"/>
      <c r="F188" s="15"/>
      <c r="H188" s="10"/>
      <c r="I188" s="10"/>
      <c r="J188" s="10"/>
      <c r="K188" s="10"/>
      <c r="L188" s="10"/>
      <c r="M188" s="10"/>
      <c r="N188" s="10"/>
      <c r="O188" s="10"/>
      <c r="P188" s="10"/>
      <c r="Q188" s="10"/>
      <c r="R188" s="10"/>
      <c r="S188" s="10"/>
      <c r="T188" s="10"/>
      <c r="U188" s="10"/>
      <c r="V188" s="10"/>
      <c r="W188" s="10"/>
      <c r="X188" s="10"/>
      <c r="Y188" s="10"/>
      <c r="Z188" s="10"/>
      <c r="AA188" s="10"/>
    </row>
    <row r="189" spans="1:27" customFormat="1">
      <c r="A189" s="23"/>
      <c r="B189" s="7">
        <f>B85</f>
        <v>2018</v>
      </c>
      <c r="C189" s="13" t="str">
        <f>$I57</f>
        <v>Semi-annual</v>
      </c>
      <c r="D189" s="13">
        <f>$J57</f>
        <v>0</v>
      </c>
      <c r="E189" s="13">
        <f>$K57</f>
        <v>0</v>
      </c>
      <c r="F189" s="14">
        <f>$L$57</f>
        <v>0</v>
      </c>
      <c r="G189" s="13"/>
      <c r="H189" s="9">
        <f>B$57/B$8</f>
        <v>0</v>
      </c>
      <c r="I189" s="9">
        <f>H189-P189</f>
        <v>0</v>
      </c>
      <c r="J189" s="9">
        <f>I189-Q189</f>
        <v>0</v>
      </c>
      <c r="K189" s="9">
        <f>J189-R189</f>
        <v>0</v>
      </c>
      <c r="L189" s="9">
        <f>K189-S189</f>
        <v>0</v>
      </c>
      <c r="M189" s="9">
        <f>L189-T189</f>
        <v>0</v>
      </c>
      <c r="N189" s="9"/>
      <c r="O189" s="9">
        <v>0</v>
      </c>
      <c r="P189" s="9">
        <f>H189</f>
        <v>0</v>
      </c>
      <c r="Q189" s="9">
        <v>0</v>
      </c>
      <c r="R189" s="9">
        <v>0</v>
      </c>
      <c r="S189" s="9">
        <v>0</v>
      </c>
      <c r="T189" s="9">
        <v>0</v>
      </c>
      <c r="U189" s="9"/>
      <c r="V189" s="9">
        <f>IF($C189="annual",IF(V$77=$B189,0,G189*$F189),IF(V$77-$B189=0,H189*$F189/2,IF((V$77-$B189)&lt;$E189,AVERAGE(G189,H189)*$F189,IF((V$77-$B189)=$E189,G189*$F189/2,0))))</f>
        <v>0</v>
      </c>
      <c r="W189" s="9">
        <f t="shared" ref="W189:AA190" si="46">IF($C189="annual",IF(W$77=$B189,0,H189*$F189),IF(W$77-$B189=0,I189*$F189/2,IF((W$77-$B189)&lt;$E189,AVERAGE(H189,I189)*$F189,IF((W$77-$B189)=$E189,H189*$F189/2,0))))</f>
        <v>0</v>
      </c>
      <c r="X189" s="9">
        <f t="shared" si="46"/>
        <v>0</v>
      </c>
      <c r="Y189" s="9">
        <f t="shared" si="46"/>
        <v>0</v>
      </c>
      <c r="Z189" s="9">
        <f t="shared" si="46"/>
        <v>0</v>
      </c>
      <c r="AA189" s="9">
        <f t="shared" si="46"/>
        <v>0</v>
      </c>
    </row>
    <row r="190" spans="1:27" customFormat="1">
      <c r="A190" s="23"/>
      <c r="B190" s="7">
        <f>B189+1</f>
        <v>2019</v>
      </c>
      <c r="C190" s="13" t="str">
        <f>C189</f>
        <v>Semi-annual</v>
      </c>
      <c r="D190" s="13">
        <f>D189</f>
        <v>0</v>
      </c>
      <c r="E190" s="13">
        <f>E189</f>
        <v>0</v>
      </c>
      <c r="F190" s="14">
        <f>$M$57</f>
        <v>0</v>
      </c>
      <c r="G190" s="13"/>
      <c r="H190" s="9"/>
      <c r="I190" s="9">
        <f>C$57/C$8</f>
        <v>0</v>
      </c>
      <c r="J190" s="9">
        <f>I190-Q190</f>
        <v>0</v>
      </c>
      <c r="K190" s="9">
        <f>J190-R190</f>
        <v>0</v>
      </c>
      <c r="L190" s="9">
        <f>K190-S190</f>
        <v>0</v>
      </c>
      <c r="M190" s="9">
        <f>L190-T190</f>
        <v>0</v>
      </c>
      <c r="N190" s="9"/>
      <c r="O190" s="9"/>
      <c r="P190" s="9">
        <v>0</v>
      </c>
      <c r="Q190" s="9">
        <f>I190</f>
        <v>0</v>
      </c>
      <c r="R190" s="9">
        <v>0</v>
      </c>
      <c r="S190" s="9">
        <v>0</v>
      </c>
      <c r="T190" s="9">
        <v>0</v>
      </c>
      <c r="U190" s="9"/>
      <c r="V190" s="9"/>
      <c r="W190" s="9">
        <f t="shared" si="46"/>
        <v>0</v>
      </c>
      <c r="X190" s="9">
        <f>IF($C190="annual",IF(X$77=$B190,0,I190*$F190),IF(X$77-$B190=0,J190*$F190/2,IF((X$77-$B190)&lt;$E190,AVERAGE(I190,J190)*$F190,IF((X$77-$B190)=$E190,I190*$F190/2,0))))</f>
        <v>0</v>
      </c>
      <c r="Y190" s="9">
        <f>IF($C190="annual",IF(Y$77=$B190,0,J190*$F190),IF(Y$77-$B190=0,K190*$F190/2,IF((Y$77-$B190)&lt;$E190,AVERAGE(J190,K190)*$F190,IF((Y$77-$B190)=$E190,J190*$F190/2,0))))</f>
        <v>0</v>
      </c>
      <c r="Z190" s="9">
        <f t="shared" ref="Z190:AA194" si="47">IF($C190="annual",IF(Z$77=$B190,0,K190*$F190),IF(Z$77-$B190=0,L190*$F190/2,IF((Z$77-$B190)&lt;$E190,AVERAGE(K190,L190)*$F190,IF((Z$77-$B190)=$E190,K190*$F190/2,0))))</f>
        <v>0</v>
      </c>
      <c r="AA190" s="9">
        <f>IF($C190="annual",IF(AA$77=$B190,0,L190*$F190),IF(AA$77-$B190=0,M190*$F190/2,IF((AA$77-$B190)&lt;$E190,AVERAGE(L190,M190)*$F190,IF((AA$77-$B190)=$E190,L190*$F190/2,0))))</f>
        <v>0</v>
      </c>
    </row>
    <row r="191" spans="1:27" customFormat="1">
      <c r="A191" s="23"/>
      <c r="B191" s="7">
        <f>B190+1</f>
        <v>2020</v>
      </c>
      <c r="C191" s="13" t="str">
        <f>C190</f>
        <v>Semi-annual</v>
      </c>
      <c r="D191" s="13">
        <f t="shared" ref="D191:E194" si="48">D190</f>
        <v>0</v>
      </c>
      <c r="E191" s="13">
        <f t="shared" si="48"/>
        <v>0</v>
      </c>
      <c r="F191" s="14">
        <f>$N$57</f>
        <v>0</v>
      </c>
      <c r="G191" s="13"/>
      <c r="H191" s="9"/>
      <c r="I191" s="9"/>
      <c r="J191" s="9">
        <f>D$57/D$8</f>
        <v>0</v>
      </c>
      <c r="K191" s="9">
        <f>J191-R191</f>
        <v>0</v>
      </c>
      <c r="L191" s="9">
        <f>K191-S191</f>
        <v>0</v>
      </c>
      <c r="M191" s="9">
        <f>L191-T191</f>
        <v>0</v>
      </c>
      <c r="N191" s="9"/>
      <c r="O191" s="9"/>
      <c r="P191" s="9"/>
      <c r="Q191" s="9">
        <v>0</v>
      </c>
      <c r="R191" s="9">
        <f>J191</f>
        <v>0</v>
      </c>
      <c r="S191" s="9">
        <v>0</v>
      </c>
      <c r="T191" s="9">
        <v>0</v>
      </c>
      <c r="U191" s="9"/>
      <c r="V191" s="9"/>
      <c r="W191" s="9"/>
      <c r="X191" s="9">
        <f>IF($C191="annual",IF(X$77=$B191,0,I191*$F191),IF(X$77-$B191=0,J191*$F191/2,IF((X$77-$B191)&lt;$E191,AVERAGE(I191,J191)*$F191,IF((X$77-$B191)=$E191,I191*$F191/2,0))))</f>
        <v>0</v>
      </c>
      <c r="Y191" s="9">
        <f>IF($C191="annual",IF(Y$77=$B191,0,J191*$F191),IF(Y$77-$B191=0,K191*$F191/2,IF((Y$77-$B191)&lt;$E191,AVERAGE(J191,K191)*$F191,IF((Y$77-$B191)=$E191,J191*$F191/2,0))))</f>
        <v>0</v>
      </c>
      <c r="Z191" s="9">
        <f t="shared" si="47"/>
        <v>0</v>
      </c>
      <c r="AA191" s="9">
        <f>IF($C191="annual",IF(AA$77=$B191,0,L191*$F191),IF(AA$77-$B191=0,M191*$F191/2,IF((AA$77-$B191)&lt;$E191,AVERAGE(L191,M191)*$F191,IF((AA$77-$B191)=$E191,L191*$F191/2,0))))</f>
        <v>0</v>
      </c>
    </row>
    <row r="192" spans="1:27" customFormat="1">
      <c r="A192" s="23"/>
      <c r="B192" s="7">
        <f>B191+1</f>
        <v>2021</v>
      </c>
      <c r="C192" s="13" t="str">
        <f>C191</f>
        <v>Semi-annual</v>
      </c>
      <c r="D192" s="13">
        <f t="shared" si="48"/>
        <v>0</v>
      </c>
      <c r="E192" s="13">
        <f t="shared" si="48"/>
        <v>0</v>
      </c>
      <c r="F192" s="14">
        <f>$O$57</f>
        <v>0</v>
      </c>
      <c r="G192" s="13"/>
      <c r="H192" s="9"/>
      <c r="I192" s="9"/>
      <c r="J192" s="9"/>
      <c r="K192" s="9">
        <f>E$57/E$8</f>
        <v>0</v>
      </c>
      <c r="L192" s="9">
        <f>K192-S192</f>
        <v>0</v>
      </c>
      <c r="M192" s="9">
        <f>L192-T192</f>
        <v>0</v>
      </c>
      <c r="N192" s="9"/>
      <c r="O192" s="9"/>
      <c r="P192" s="9"/>
      <c r="Q192" s="9"/>
      <c r="R192" s="9">
        <v>0</v>
      </c>
      <c r="S192" s="9">
        <f>K192</f>
        <v>0</v>
      </c>
      <c r="T192" s="9">
        <v>0</v>
      </c>
      <c r="U192" s="9"/>
      <c r="V192" s="9"/>
      <c r="W192" s="9"/>
      <c r="X192" s="9"/>
      <c r="Y192" s="9">
        <f>IF($C192="annual",IF(Y$77=$B192,0,J192*$F192),IF(Y$77-$B192=0,K192*$F192/2,IF((Y$77-$B192)&lt;$E192,AVERAGE(J192,K192)*$F192,IF((Y$77-$B192)=$E192,J192*$F192/2,0))))</f>
        <v>0</v>
      </c>
      <c r="Z192" s="9">
        <f t="shared" si="47"/>
        <v>0</v>
      </c>
      <c r="AA192" s="9">
        <f>IF($C192="annual",IF(AA$77=$B192,0,L192*$F192),IF(AA$77-$B192=0,M192*$F192/2,IF((AA$77-$B192)&lt;$E192,AVERAGE(L192,M192)*$F192,IF((AA$77-$B192)=$E192,L192*$F192/2,0))))</f>
        <v>0</v>
      </c>
    </row>
    <row r="193" spans="1:28" customFormat="1">
      <c r="A193" s="23"/>
      <c r="B193" s="7">
        <f>B192+1</f>
        <v>2022</v>
      </c>
      <c r="C193" s="13" t="str">
        <f>C192</f>
        <v>Semi-annual</v>
      </c>
      <c r="D193" s="13">
        <f t="shared" si="48"/>
        <v>0</v>
      </c>
      <c r="E193" s="13">
        <f t="shared" si="48"/>
        <v>0</v>
      </c>
      <c r="F193" s="14">
        <f>$P$57</f>
        <v>0</v>
      </c>
      <c r="G193" s="13"/>
      <c r="H193" s="9"/>
      <c r="I193" s="9"/>
      <c r="J193" s="9"/>
      <c r="K193" s="9"/>
      <c r="L193" s="9">
        <f>F$57/F$8</f>
        <v>0</v>
      </c>
      <c r="M193" s="9">
        <f>L193-T193</f>
        <v>0</v>
      </c>
      <c r="N193" s="9"/>
      <c r="O193" s="9"/>
      <c r="P193" s="9"/>
      <c r="Q193" s="9"/>
      <c r="R193" s="9"/>
      <c r="S193" s="9">
        <v>0</v>
      </c>
      <c r="T193" s="9">
        <f>L193</f>
        <v>0</v>
      </c>
      <c r="U193" s="9"/>
      <c r="V193" s="9"/>
      <c r="W193" s="9"/>
      <c r="X193" s="9"/>
      <c r="Y193" s="9"/>
      <c r="Z193" s="9">
        <f t="shared" si="47"/>
        <v>0</v>
      </c>
      <c r="AA193" s="9">
        <f t="shared" si="47"/>
        <v>0</v>
      </c>
    </row>
    <row r="194" spans="1:28" customFormat="1">
      <c r="A194" s="23"/>
      <c r="B194" s="7">
        <f>B193+1</f>
        <v>2023</v>
      </c>
      <c r="C194" s="13" t="str">
        <f>C193</f>
        <v>Semi-annual</v>
      </c>
      <c r="D194" s="13">
        <f t="shared" si="48"/>
        <v>0</v>
      </c>
      <c r="E194" s="13">
        <f t="shared" si="48"/>
        <v>0</v>
      </c>
      <c r="F194" s="14">
        <f>$Q$57</f>
        <v>0</v>
      </c>
      <c r="G194" s="13"/>
      <c r="H194" s="9"/>
      <c r="I194" s="9"/>
      <c r="J194" s="9"/>
      <c r="K194" s="9"/>
      <c r="L194" s="9"/>
      <c r="M194" s="9">
        <f>G$57/G$8</f>
        <v>0</v>
      </c>
      <c r="N194" s="9"/>
      <c r="O194" s="9"/>
      <c r="P194" s="9"/>
      <c r="Q194" s="9"/>
      <c r="R194" s="9"/>
      <c r="S194" s="9"/>
      <c r="T194" s="9">
        <v>0</v>
      </c>
      <c r="U194" s="9"/>
      <c r="V194" s="9"/>
      <c r="W194" s="9"/>
      <c r="X194" s="9"/>
      <c r="Y194" s="9"/>
      <c r="Z194" s="9"/>
      <c r="AA194" s="9">
        <f t="shared" si="47"/>
        <v>0</v>
      </c>
    </row>
    <row r="195" spans="1:28" ht="6.75" customHeight="1">
      <c r="B195" s="6"/>
    </row>
    <row r="196" spans="1:28" ht="15.75" thickBot="1">
      <c r="A196" s="11" t="str">
        <f>A58</f>
        <v>Long-term debt 3/</v>
      </c>
      <c r="B196" s="6"/>
      <c r="D196" s="13"/>
      <c r="E196" s="13"/>
      <c r="F196" s="13"/>
      <c r="G196" s="13"/>
      <c r="H196" s="13"/>
      <c r="I196" s="13"/>
      <c r="J196" s="13"/>
      <c r="K196" s="13"/>
      <c r="L196" s="13"/>
      <c r="M196" s="13"/>
      <c r="N196" s="19"/>
      <c r="O196" s="13"/>
      <c r="P196" s="13"/>
      <c r="Q196" s="13"/>
      <c r="R196" s="13"/>
      <c r="S196" s="13"/>
      <c r="T196" s="13"/>
      <c r="U196" s="284"/>
      <c r="V196" s="13"/>
      <c r="W196" s="13"/>
      <c r="X196" s="13"/>
      <c r="Y196" s="13"/>
      <c r="Z196" s="13"/>
      <c r="AA196" s="13"/>
    </row>
    <row r="197" spans="1:28" ht="15.75" customHeight="1" thickBot="1">
      <c r="A197" s="12" t="str">
        <f>A59</f>
        <v>Denominated in local currency</v>
      </c>
      <c r="B197" s="6"/>
      <c r="C197" s="1999" t="s">
        <v>51</v>
      </c>
      <c r="D197" s="2000"/>
      <c r="E197" s="2000"/>
      <c r="F197" s="2000"/>
      <c r="G197" s="2000"/>
      <c r="H197" s="2000"/>
      <c r="I197" s="2000"/>
      <c r="J197" s="2000"/>
      <c r="K197" s="2000"/>
      <c r="L197" s="2000"/>
      <c r="M197" s="2000"/>
      <c r="N197" s="2000"/>
      <c r="O197" s="2000"/>
      <c r="P197" s="2000"/>
      <c r="Q197" s="2000"/>
      <c r="R197" s="2000"/>
      <c r="S197" s="2000"/>
      <c r="T197" s="2000"/>
      <c r="U197" s="2000"/>
      <c r="V197" s="2000"/>
      <c r="W197" s="2000"/>
      <c r="X197" s="2000"/>
      <c r="Y197" s="2000"/>
      <c r="Z197" s="2000"/>
      <c r="AA197" s="2001"/>
    </row>
    <row r="198" spans="1:28" ht="6.75" customHeight="1" thickBot="1">
      <c r="B198" s="6"/>
    </row>
    <row r="199" spans="1:28">
      <c r="A199" s="8" t="str">
        <f>A60</f>
        <v>Type 11</v>
      </c>
      <c r="B199" s="7">
        <f>B85</f>
        <v>2018</v>
      </c>
      <c r="C199" s="7" t="str">
        <f>$I60</f>
        <v>Annual</v>
      </c>
      <c r="D199" s="7">
        <f>$J60</f>
        <v>10</v>
      </c>
      <c r="E199" s="7">
        <f>$K60</f>
        <v>10</v>
      </c>
      <c r="F199" s="14">
        <f>$L$60</f>
        <v>1.125E-2</v>
      </c>
      <c r="G199" s="1150"/>
      <c r="H199" s="1834">
        <f>$B$60</f>
        <v>500</v>
      </c>
      <c r="I199" s="1834">
        <f>H199-P199</f>
        <v>500</v>
      </c>
      <c r="J199" s="1834">
        <f>I199-Q199</f>
        <v>500</v>
      </c>
      <c r="K199" s="1834">
        <f>J199-R199</f>
        <v>500</v>
      </c>
      <c r="L199" s="1834">
        <f>K199-S199</f>
        <v>500</v>
      </c>
      <c r="M199" s="1834">
        <f>L199-T199</f>
        <v>500</v>
      </c>
      <c r="N199" s="1350"/>
      <c r="O199" s="1835">
        <f t="shared" ref="O199:T199" si="49">IF(OR($C199="Annual",$D199=$E199),IF(AND($D199=$E199,O$77=$B199+$D199),$H199,IF(AND(O$77&gt;$B199+$D199,O$77&lt;=$B199+$E199), $H199/($E199-$D199),0)), IF(OR(O$77=$B199+$D199,O$77=$B199+$E199),$H199/(($E199-$D199)*2),IF(AND(O$77&gt;$B199+$D199,O$77&lt;$B199+$E199),$H199/($E199-$D199),0)))</f>
        <v>0</v>
      </c>
      <c r="P199" s="1836">
        <f t="shared" si="49"/>
        <v>0</v>
      </c>
      <c r="Q199" s="1836">
        <f t="shared" si="49"/>
        <v>0</v>
      </c>
      <c r="R199" s="1836">
        <f t="shared" si="49"/>
        <v>0</v>
      </c>
      <c r="S199" s="1836">
        <f t="shared" si="49"/>
        <v>0</v>
      </c>
      <c r="T199" s="1837">
        <f t="shared" si="49"/>
        <v>0</v>
      </c>
      <c r="U199" s="1350"/>
      <c r="V199" s="1834">
        <f>IF($C199="annual",IF(V$77=$B199,0,G199*$F199),IF(V$77-$B199=0,H199*$F199/2,IF((V$77-$B199)&lt;$E199,AVERAGE(G199,H199)*$F199,IF((V$77-$B199)=$E199,G199*$F199/2,0))))</f>
        <v>0</v>
      </c>
      <c r="W199" s="1834">
        <f>IF($C199="annual",IF(W$77=$B199,0,H199*$F199),IF(W$77-$B199=0,I199*$F199/2,IF((W$77-$B199)&lt;$E199,AVERAGE(H199,I199)*$F199,IF((W$77-$B199)=$E199,H199*$F199/2,0))))</f>
        <v>5.625</v>
      </c>
      <c r="X199" s="1834">
        <f t="shared" ref="W199:AA200" si="50">IF($C199="annual",IF(X$77=$B199,0,I199*$F199),IF(X$77-$B199=0,J199*$F199/2,IF((X$77-$B199)&lt;$E199,AVERAGE(I199,J199)*$F199,IF((X$77-$B199)=$E199,I199*$F199/2,0))))</f>
        <v>5.625</v>
      </c>
      <c r="Y199" s="1834">
        <f t="shared" si="50"/>
        <v>5.625</v>
      </c>
      <c r="Z199" s="1834">
        <f t="shared" si="50"/>
        <v>5.625</v>
      </c>
      <c r="AA199" s="1834">
        <f t="shared" si="50"/>
        <v>5.625</v>
      </c>
      <c r="AB199" s="1150"/>
    </row>
    <row r="200" spans="1:28">
      <c r="A200" s="8" t="str">
        <f>A199</f>
        <v>Type 11</v>
      </c>
      <c r="B200" s="7">
        <f>B199+1</f>
        <v>2019</v>
      </c>
      <c r="C200" s="7" t="str">
        <f>C199</f>
        <v>Annual</v>
      </c>
      <c r="D200" s="7">
        <f t="shared" ref="D200:E204" si="51">D199</f>
        <v>10</v>
      </c>
      <c r="E200" s="7">
        <f t="shared" si="51"/>
        <v>10</v>
      </c>
      <c r="F200" s="14">
        <f>$M$60</f>
        <v>1.8749999999999999E-2</v>
      </c>
      <c r="G200" s="1150"/>
      <c r="H200" s="1834"/>
      <c r="I200" s="1834">
        <f>$C$60</f>
        <v>1000</v>
      </c>
      <c r="J200" s="1834">
        <f>I200-Q200</f>
        <v>1000</v>
      </c>
      <c r="K200" s="1834">
        <f>J200-R200</f>
        <v>1000</v>
      </c>
      <c r="L200" s="1834">
        <f>K200-S200</f>
        <v>1000</v>
      </c>
      <c r="M200" s="1834">
        <f>L200-T200</f>
        <v>1000</v>
      </c>
      <c r="N200" s="1350"/>
      <c r="O200" s="1838"/>
      <c r="P200" s="1844">
        <f>IF(OR($C200="Annual",$D200=$E200),IF(AND($D200=$E200,P$77=$B200+$D200),$I200,IF(AND(P$77&gt;$B200+$D200,P$77&lt;=$B200+$E200), $I200/($E200-$D200),0)), IF(OR(P$77=$B200+$D200,P$77=$B200+$E200),$I200/(($E200-$D200)*2),IF(AND(P$77&gt;$B200+$D200,P$77&lt;$B200+$E200),$I200/($E200-$D200),0)))</f>
        <v>0</v>
      </c>
      <c r="Q200" s="1839">
        <f>IF(OR($C200="Annual",$D200=$E200),IF(AND($D200=$E200,Q$77=$B200+$D200),$I200,IF(AND(Q$77&gt;$B200+$D200,Q$77&lt;=$B200+$E200), $I200/($E200-$D200),0)), IF(OR(Q$77=$B200+$D200,Q$77=$B200+$E200),$I200/(($E200-$D200)*2),IF(AND(Q$77&gt;$B200+$D200,Q$77&lt;$B200+$E200),$I200/($E200-$D200),0)))</f>
        <v>0</v>
      </c>
      <c r="R200" s="1839">
        <f>IF(OR($C200="Annual",$D200=$E200),IF(AND($D200=$E200,R$77=$B200+$D200),$I200,IF(AND(R$77&gt;$B200+$D200,R$77&lt;=$B200+$E200), $I200/($E200-$D200),0)), IF(OR(R$77=$B200+$D200,R$77=$B200+$E200),$I200/(($E200-$D200)*2),IF(AND(R$77&gt;$B200+$D200,R$77&lt;$B200+$E200),$I200/($E200-$D200),0)))</f>
        <v>0</v>
      </c>
      <c r="S200" s="1839">
        <f>IF(OR($C200="Annual",$D200=$E200),IF(AND($D200=$E200,S$77=$B200+$D200),$I200,IF(AND(S$77&gt;$B200+$D200,S$77&lt;=$B200+$E200), $I200/($E200-$D200),0)), IF(OR(S$77=$B200+$D200,S$77=$B200+$E200),$I200/(($E200-$D200)*2),IF(AND(S$77&gt;$B200+$D200,S$77&lt;$B200+$E200),$I200/($E200-$D200),0)))</f>
        <v>0</v>
      </c>
      <c r="T200" s="1840">
        <f>IF(OR($C200="Annual",$D200=$E200),IF(AND($D200=$E200,T$77=$B200+$D200),$I200,IF(AND(T$77&gt;$B200+$D200,T$77&lt;=$B200+$E200), $I200/($E200-$D200),0)), IF(OR(T$77=$B200+$D200,T$77=$B200+$E200),$I200/(($E200-$D200)*2),IF(AND(T$77&gt;$B200+$D200,T$77&lt;$B200+$E200),$I200/($E200-$D200),0)))</f>
        <v>0</v>
      </c>
      <c r="U200" s="1350"/>
      <c r="V200" s="1834"/>
      <c r="W200" s="1834">
        <f t="shared" si="50"/>
        <v>0</v>
      </c>
      <c r="X200" s="1834">
        <f>IF($C200="annual",IF(X$77=$B200,0,I200*$F200),IF(X$77-$B200=0,J200*$F200/2,IF((X$77-$B200)&lt;$E200,AVERAGE(I200,J200)*$F200,IF((X$77-$B200)=$E200,I200*$F200/2,0))))</f>
        <v>18.75</v>
      </c>
      <c r="Y200" s="1834">
        <f>IF($C200="annual",IF(Y$77=$B200,0,J200*$F200),IF(Y$77-$B200=0,K200*$F200/2,IF((Y$77-$B200)&lt;$E200,AVERAGE(J200,K200)*$F200,IF((Y$77-$B200)=$E200,J200*$F200/2,0))))</f>
        <v>18.75</v>
      </c>
      <c r="Z200" s="1834">
        <f t="shared" ref="Z200:AA204" si="52">IF($C200="annual",IF(Z$77=$B200,0,K200*$F200),IF(Z$77-$B200=0,L200*$F200/2,IF((Z$77-$B200)&lt;$E200,AVERAGE(K200,L200)*$F200,IF((Z$77-$B200)=$E200,K200*$F200/2,0))))</f>
        <v>18.75</v>
      </c>
      <c r="AA200" s="1834">
        <f>IF($C200="annual",IF(AA$77=$B200,0,L200*$F200),IF(AA$77-$B200=0,M200*$F200/2,IF((AA$77-$B200)&lt;$E200,AVERAGE(L200,M200)*$F200,IF((AA$77-$B200)=$E200,L200*$F200/2,0))))</f>
        <v>18.75</v>
      </c>
      <c r="AB200" s="1150"/>
    </row>
    <row r="201" spans="1:28">
      <c r="A201" s="8" t="str">
        <f>A200</f>
        <v>Type 11</v>
      </c>
      <c r="B201" s="7">
        <f>B200+1</f>
        <v>2020</v>
      </c>
      <c r="C201" s="7" t="str">
        <f>C200</f>
        <v>Annual</v>
      </c>
      <c r="D201" s="7">
        <f t="shared" si="51"/>
        <v>10</v>
      </c>
      <c r="E201" s="7">
        <f t="shared" si="51"/>
        <v>10</v>
      </c>
      <c r="F201" s="14">
        <f>$N$60</f>
        <v>2.1999999999999999E-2</v>
      </c>
      <c r="G201" s="1150"/>
      <c r="H201" s="1834"/>
      <c r="I201" s="1834"/>
      <c r="J201" s="1834">
        <f>$D$60</f>
        <v>1800</v>
      </c>
      <c r="K201" s="1834">
        <f>J201-R201</f>
        <v>1800</v>
      </c>
      <c r="L201" s="1834">
        <f>K201-S201</f>
        <v>1800</v>
      </c>
      <c r="M201" s="1834">
        <f>L201-T201</f>
        <v>1800</v>
      </c>
      <c r="N201" s="1350"/>
      <c r="O201" s="1838"/>
      <c r="P201" s="1839"/>
      <c r="Q201" s="1844">
        <f>IF(OR($C201="Annual",$D201=$E201),IF(AND($D201=$E201,Q$77=$B201+$D201),$J201,IF(AND(Q$77&gt;$B201+$D201,Q$77&lt;=$B201+$E201), $J201/($E201-$D201),0)), IF(OR(Q$77=$B201+$D201,Q$77=$B201+$E201),$J201/(($E201-$D201)*2),IF(AND(Q$77&gt;$B201+$D201,Q$77&lt;$B201+$E201),$J201/($E201-$D201),0)))</f>
        <v>0</v>
      </c>
      <c r="R201" s="1839">
        <f>IF(OR($C201="Annual",$D201=$E201),IF(AND($D201=$E201,R$77=$B201+$D201),$J201,IF(AND(R$77&gt;$B201+$D201,R$77&lt;=$B201+$E201), $J201/($E201-$D201),0)), IF(OR(R$77=$B201+$D201,R$77=$B201+$E201),$J201/(($E201-$D201)*2),IF(AND(R$77&gt;$B201+$D201,R$77&lt;$B201+$E201),$J201/($E201-$D201),0)))</f>
        <v>0</v>
      </c>
      <c r="S201" s="1839">
        <f>IF(OR($C201="Annual",$D201=$E201),IF(AND($D201=$E201,S$77=$B201+$D201),$J201,IF(AND(S$77&gt;$B201+$D201,S$77&lt;=$B201+$E201), $J201/($E201-$D201),0)), IF(OR(S$77=$B201+$D201,S$77=$B201+$E201),$J201/(($E201-$D201)*2),IF(AND(S$77&gt;$B201+$D201,S$77&lt;$B201+$E201),$J201/($E201-$D201),0)))</f>
        <v>0</v>
      </c>
      <c r="T201" s="1840">
        <f>IF(OR($C201="Annual",$D201=$E201),IF(AND($D201=$E201,T$77=$B201+$D201),$J201,IF(AND(T$77&gt;$B201+$D201,T$77&lt;=$B201+$E201), $J201/($E201-$D201),0)), IF(OR(T$77=$B201+$D201,T$77=$B201+$E201),$J201/(($E201-$D201)*2),IF(AND(T$77&gt;$B201+$D201,T$77&lt;$B201+$E201),$J201/($E201-$D201),0)))</f>
        <v>0</v>
      </c>
      <c r="U201" s="1350"/>
      <c r="V201" s="1834"/>
      <c r="W201" s="1834"/>
      <c r="X201" s="1834">
        <f>IF($C201="annual",IF(X$77=$B201,0,I201*$F201),IF(X$77-$B201=0,J201*$F201/2,IF((X$77-$B201)&lt;$E201,AVERAGE(I201,J201)*$F201,IF((X$77-$B201)=$E201,I201*$F201/2,0))))</f>
        <v>0</v>
      </c>
      <c r="Y201" s="1834">
        <f>IF($C201="annual",IF(Y$77=$B201,0,J201*$F201),IF(Y$77-$B201=0,K201*$F201/2,IF((Y$77-$B201)&lt;$E201,AVERAGE(J201,K201)*$F201,IF((Y$77-$B201)=$E201,J201*$F201/2,0))))</f>
        <v>39.599999999999994</v>
      </c>
      <c r="Z201" s="1834">
        <f t="shared" si="52"/>
        <v>39.599999999999994</v>
      </c>
      <c r="AA201" s="1834">
        <f>IF($C201="annual",IF(AA$77=$B201,0,L201*$F201),IF(AA$77-$B201=0,M201*$F201/2,IF((AA$77-$B201)&lt;$E201,AVERAGE(L201,M201)*$F201,IF((AA$77-$B201)=$E201,L201*$F201/2,0))))</f>
        <v>39.599999999999994</v>
      </c>
      <c r="AB201" s="1150"/>
    </row>
    <row r="202" spans="1:28">
      <c r="A202" s="8" t="str">
        <f>A201</f>
        <v>Type 11</v>
      </c>
      <c r="B202" s="7">
        <f>B201+1</f>
        <v>2021</v>
      </c>
      <c r="C202" s="7" t="str">
        <f>C201</f>
        <v>Annual</v>
      </c>
      <c r="D202" s="7">
        <f t="shared" si="51"/>
        <v>10</v>
      </c>
      <c r="E202" s="7">
        <f t="shared" si="51"/>
        <v>10</v>
      </c>
      <c r="F202" s="14">
        <f>$O$60</f>
        <v>2.1999999999999999E-2</v>
      </c>
      <c r="G202" s="1150"/>
      <c r="H202" s="1834"/>
      <c r="I202" s="1834"/>
      <c r="J202" s="1834"/>
      <c r="K202" s="1834">
        <f>$E$60</f>
        <v>1000</v>
      </c>
      <c r="L202" s="1834">
        <f>K202-S202</f>
        <v>1000</v>
      </c>
      <c r="M202" s="1834">
        <f>L202-T202</f>
        <v>1000</v>
      </c>
      <c r="N202" s="1350"/>
      <c r="O202" s="1838"/>
      <c r="P202" s="1839"/>
      <c r="Q202" s="1839"/>
      <c r="R202" s="1844">
        <f>IF(OR($C202="Annual",$D202=$E202),IF(AND($D202=$E202,R$77=$B202+$D202),$K202,IF(AND(R$77&gt;$B202+$D202,R$77&lt;=$B202+$E202), $K202/($E202-$D202),0)), IF(OR(R$77=$B202+$D202,R$77=$B202+$E202),$K202/(($E202-$D202)*2),IF(AND(R$77&gt;$B202+$D202,R$77&lt;$B202+$E202),$K202/($E202-$D202),0)))</f>
        <v>0</v>
      </c>
      <c r="S202" s="1839">
        <f>IF(OR($C202="Annual",$D202=$E202),IF(AND($D202=$E202,S$77=$B202+$D202),$K202,IF(AND(S$77&gt;$B202+$D202,S$77&lt;=$B202+$E202), $K202/($E202-$D202),0)), IF(OR(S$77=$B202+$D202,S$77=$B202+$E202),$K202/(($E202-$D202)*2),IF(AND(S$77&gt;$B202+$D202,S$77&lt;$B202+$E202),$K202/($E202-$D202),0)))</f>
        <v>0</v>
      </c>
      <c r="T202" s="1840">
        <f>IF(OR($C202="Annual",$D202=$E202),IF(AND($D202=$E202,T$77=$B202+$D202),$K202,IF(AND(T$77&gt;$B202+$D202,T$77&lt;=$B202+$E202), $K202/($E202-$D202),0)), IF(OR(T$77=$B202+$D202,T$77=$B202+$E202),$K202/(($E202-$D202)*2),IF(AND(T$77&gt;$B202+$D202,T$77&lt;$B202+$E202),$K202/($E202-$D202),0)))</f>
        <v>0</v>
      </c>
      <c r="U202" s="1350"/>
      <c r="V202" s="1834"/>
      <c r="W202" s="1834"/>
      <c r="X202" s="1834"/>
      <c r="Y202" s="1834">
        <f>IF($C202="annual",IF(Y$77=$B202,0,J202*$F202),IF(Y$77-$B202=0,K202*$F202/2,IF((Y$77-$B202)&lt;$E202,AVERAGE(J202,K202)*$F202,IF((Y$77-$B202)=$E202,J202*$F202/2,0))))</f>
        <v>0</v>
      </c>
      <c r="Z202" s="1834">
        <f t="shared" si="52"/>
        <v>22</v>
      </c>
      <c r="AA202" s="1834">
        <f>IF($C202="annual",IF(AA$77=$B202,0,L202*$F202),IF(AA$77-$B202=0,M202*$F202/2,IF((AA$77-$B202)&lt;$E202,AVERAGE(L202,M202)*$F202,IF((AA$77-$B202)=$E202,L202*$F202/2,0))))</f>
        <v>22</v>
      </c>
      <c r="AB202" s="1150"/>
    </row>
    <row r="203" spans="1:28" ht="15.75" thickBot="1">
      <c r="A203" s="8" t="str">
        <f>A202</f>
        <v>Type 11</v>
      </c>
      <c r="B203" s="7">
        <f>B202+1</f>
        <v>2022</v>
      </c>
      <c r="C203" s="7" t="str">
        <f>C202</f>
        <v>Annual</v>
      </c>
      <c r="D203" s="7">
        <f t="shared" si="51"/>
        <v>10</v>
      </c>
      <c r="E203" s="7">
        <f t="shared" si="51"/>
        <v>10</v>
      </c>
      <c r="F203" s="14">
        <f>$P$60</f>
        <v>2.1999999999999999E-2</v>
      </c>
      <c r="G203" s="1150"/>
      <c r="H203" s="1834"/>
      <c r="I203" s="1834"/>
      <c r="J203" s="1834"/>
      <c r="K203" s="1834"/>
      <c r="L203" s="1834">
        <f>$F$60</f>
        <v>500</v>
      </c>
      <c r="M203" s="1834">
        <f>L203-T203</f>
        <v>500</v>
      </c>
      <c r="N203" s="1350"/>
      <c r="O203" s="1841"/>
      <c r="P203" s="1842"/>
      <c r="Q203" s="1842"/>
      <c r="R203" s="1842"/>
      <c r="S203" s="1845">
        <f>IF(OR($C203="Annual",$D203=$E203),IF(AND($D203=$E203,S$77=$B203+$D203),$L203,IF(AND(S$77&gt;$B203+$D203,S$77&lt;=$B203+$E203), $L203/($E203-$D203),0)), IF(OR(S$77=$B203+$D203,S$77=$B203+$E203),$L203/(($E203-$D203)*2),IF(AND(S$77&gt;$B203+$D203,S$77&lt;$B203+$E203),$L203/($E203-$D203),0)))</f>
        <v>0</v>
      </c>
      <c r="T203" s="1843">
        <f>IF(OR($C203="Annual",$D203=$E203),IF(AND($D203=$E203,T$77=$B203+$D203),$L203,IF(AND(T$77&gt;$B203+$D203,T$77&lt;=$B203+$E203), $L203/($E203-$D203),0)), IF(OR(T$77=$B203+$D203,T$77=$B203+$E203),$L203/(($E203-$D203)*2),IF(AND(T$77&gt;$B203+$D203,T$77&lt;$B203+$E203),$L203/($E203-$D203),0)))</f>
        <v>0</v>
      </c>
      <c r="U203" s="1350"/>
      <c r="V203" s="1834"/>
      <c r="W203" s="1834"/>
      <c r="X203" s="1834"/>
      <c r="Y203" s="1834"/>
      <c r="Z203" s="1834">
        <f t="shared" si="52"/>
        <v>0</v>
      </c>
      <c r="AA203" s="1834">
        <f t="shared" si="52"/>
        <v>11</v>
      </c>
      <c r="AB203" s="1150"/>
    </row>
    <row r="204" spans="1:28">
      <c r="A204" s="8" t="str">
        <f>A203</f>
        <v>Type 11</v>
      </c>
      <c r="B204" s="7">
        <f>B203+1</f>
        <v>2023</v>
      </c>
      <c r="C204" s="7" t="str">
        <f>C203</f>
        <v>Annual</v>
      </c>
      <c r="D204" s="7">
        <f t="shared" si="51"/>
        <v>10</v>
      </c>
      <c r="E204" s="7">
        <f t="shared" si="51"/>
        <v>10</v>
      </c>
      <c r="F204" s="14">
        <f>$Q$60</f>
        <v>2.1999999999999999E-2</v>
      </c>
      <c r="H204" s="9"/>
      <c r="I204" s="9"/>
      <c r="J204" s="9"/>
      <c r="K204" s="9"/>
      <c r="L204" s="9"/>
      <c r="M204" s="9">
        <f>$G$60</f>
        <v>500</v>
      </c>
      <c r="N204" s="9"/>
      <c r="O204" s="9"/>
      <c r="P204" s="9"/>
      <c r="Q204" s="9"/>
      <c r="R204" s="9"/>
      <c r="S204" s="9"/>
      <c r="T204" s="9">
        <f>IF(OR($C204="Annual",$D204=$E204),IF(AND($D204=$E204,T$77=$B204+$D204),$M204,IF(AND(T$77&gt;$B204+$D204,T$77&lt;=$B204+$E204), $M204/($E204-$D204),0)), IF(OR(T$77=$B204+$D204,T$77=$B204+$E204),$M204/(($E204-$D204)*2),IF(AND(T$77&gt;$B204+$D204,T$77&lt;$B204+$E204),$M204/($E204-$D204),0)))</f>
        <v>0</v>
      </c>
      <c r="U204" s="9"/>
      <c r="V204" s="9"/>
      <c r="W204" s="9"/>
      <c r="X204" s="9"/>
      <c r="Y204" s="9"/>
      <c r="Z204" s="9"/>
      <c r="AA204" s="9">
        <f t="shared" si="52"/>
        <v>0</v>
      </c>
    </row>
    <row r="205" spans="1:28" ht="6.75" customHeight="1">
      <c r="B205" s="6"/>
      <c r="C205" s="281"/>
      <c r="F205" s="15"/>
      <c r="H205" s="10"/>
      <c r="I205" s="10"/>
      <c r="J205" s="10"/>
      <c r="K205" s="10"/>
      <c r="L205" s="10"/>
      <c r="M205" s="10"/>
      <c r="N205" s="10"/>
      <c r="O205" s="10"/>
      <c r="P205" s="10"/>
      <c r="Q205" s="10"/>
      <c r="R205" s="10"/>
      <c r="S205" s="10"/>
      <c r="T205" s="10"/>
      <c r="U205" s="10"/>
      <c r="V205" s="9"/>
      <c r="W205" s="9"/>
      <c r="X205" s="9"/>
      <c r="Y205" s="9"/>
      <c r="Z205" s="9"/>
      <c r="AA205" s="9"/>
    </row>
    <row r="206" spans="1:28">
      <c r="A206" s="8" t="str">
        <f>A61</f>
        <v>Type 12</v>
      </c>
      <c r="B206" s="7">
        <f>B85</f>
        <v>2018</v>
      </c>
      <c r="C206" s="7" t="str">
        <f>$I61</f>
        <v>Annual</v>
      </c>
      <c r="D206" s="7">
        <f>$J61</f>
        <v>30</v>
      </c>
      <c r="E206" s="7">
        <f>$K61</f>
        <v>30</v>
      </c>
      <c r="F206" s="14">
        <f>$L$61</f>
        <v>2.2499999999999999E-2</v>
      </c>
      <c r="H206" s="9">
        <f>$B$61</f>
        <v>500</v>
      </c>
      <c r="I206" s="9">
        <f>H206-P206</f>
        <v>500</v>
      </c>
      <c r="J206" s="9">
        <f>I206-Q206</f>
        <v>500</v>
      </c>
      <c r="K206" s="9">
        <f>J206-R206</f>
        <v>500</v>
      </c>
      <c r="L206" s="9">
        <f>K206-S206</f>
        <v>500</v>
      </c>
      <c r="M206" s="9">
        <f>L206-T206</f>
        <v>500</v>
      </c>
      <c r="N206" s="9"/>
      <c r="O206" s="9">
        <f t="shared" ref="O206:T206" si="53">IF(OR($C206="Annual",$D206=$E206),IF(AND($D206=$E206,O$77=$B206+$D206),$H206,IF(AND(O$77&gt;$B206+$D206,O$77&lt;=$B206+$E206), $H206/($E206-$D206),0)), IF(OR(O$77=$B206+$D206,O$77=$B206+$E206),$H206/(($E206-$D206)*2),IF(AND(O$77&gt;$B206+$D206,O$77&lt;$B206+$E206),$H206/($E206-$D206),0)))</f>
        <v>0</v>
      </c>
      <c r="P206" s="9">
        <f t="shared" si="53"/>
        <v>0</v>
      </c>
      <c r="Q206" s="9">
        <f t="shared" si="53"/>
        <v>0</v>
      </c>
      <c r="R206" s="9">
        <f t="shared" si="53"/>
        <v>0</v>
      </c>
      <c r="S206" s="9">
        <f t="shared" si="53"/>
        <v>0</v>
      </c>
      <c r="T206" s="9">
        <f t="shared" si="53"/>
        <v>0</v>
      </c>
      <c r="U206" s="9"/>
      <c r="V206" s="9">
        <f>IF($C206="annual",IF(V$77=$B206,0,G206*$F206),IF(V$77-$B206=0,H206*$F206/2,IF((V$77-$B206)&lt;$E206,AVERAGE(G206,H206)*$F206,IF((V$77-$B206)=$E206,G206*$F206/2,0))))</f>
        <v>0</v>
      </c>
      <c r="W206" s="9">
        <f>IF($C206="annual",IF(W$77=$B206,0,H206*$F206),IF(W$77-$B206=0,I206*$F206/2,IF((W$77-$B206)&lt;$E206,AVERAGE(H206,I206)*$F206,IF((W$77-$B206)=$E206,H206*$F206/2,0))))</f>
        <v>11.25</v>
      </c>
      <c r="X206" s="9">
        <f>IF($C206="annual",IF(X$77=$B206,0,I206*$F206),IF(X$77-$B206=0,J206*$F206/2,IF((X$77-$B206)&lt;$E206,AVERAGE(I206,J206)*$F206,IF((X$77-$B206)=$E206,I206*$F206/2,0))))</f>
        <v>11.25</v>
      </c>
      <c r="Y206" s="9">
        <f>IF($C206="annual",IF(Y$77=$B206,0,J206*$F206),IF(Y$77-$B206=0,K206*$F206/2,IF((Y$77-$B206)&lt;$E206,AVERAGE(J206,K206)*$F206,IF((Y$77-$B206)=$E206,J206*$F206/2,0))))</f>
        <v>11.25</v>
      </c>
      <c r="Z206" s="9">
        <f>IF($C206="annual",IF(Z$77=$B206,0,K206*$F206),IF(Z$77-$B206=0,L206*$F206/2,IF((Z$77-$B206)&lt;$E206,AVERAGE(K206,L206)*$F206,IF((Z$77-$B206)=$E206,K206*$F206/2,0))))</f>
        <v>11.25</v>
      </c>
      <c r="AA206" s="9">
        <f t="shared" ref="AA206:AA211" si="54">IF($C206="annual",IF(AA$77=$B206,0,L206*$F206),IF(AA$77-$B206=0,M206*$F206/2,IF((AA$77-$B206)&lt;$E206,AVERAGE(L206,M206)*$F206,IF((AA$77-$B206)=$E206,L206*$F206/2,0))))</f>
        <v>11.25</v>
      </c>
    </row>
    <row r="207" spans="1:28">
      <c r="A207" s="8" t="str">
        <f>A206</f>
        <v>Type 12</v>
      </c>
      <c r="B207" s="7">
        <f>B206+1</f>
        <v>2019</v>
      </c>
      <c r="C207" s="7" t="str">
        <f>C206</f>
        <v>Annual</v>
      </c>
      <c r="D207" s="7">
        <f>D206</f>
        <v>30</v>
      </c>
      <c r="E207" s="7">
        <f>E206</f>
        <v>30</v>
      </c>
      <c r="F207" s="14">
        <f>$M$61</f>
        <v>0</v>
      </c>
      <c r="H207" s="9"/>
      <c r="I207" s="9">
        <f>$C$61</f>
        <v>0</v>
      </c>
      <c r="J207" s="9">
        <f>I207-Q207</f>
        <v>0</v>
      </c>
      <c r="K207" s="9">
        <f>J207-R207</f>
        <v>0</v>
      </c>
      <c r="L207" s="9">
        <f>K207-S207</f>
        <v>0</v>
      </c>
      <c r="M207" s="9">
        <f>L207-T207</f>
        <v>0</v>
      </c>
      <c r="N207" s="9"/>
      <c r="O207" s="9"/>
      <c r="P207" s="9">
        <f>IF(OR($C207="Annual",$D207=$E207),IF(AND($D207=$E207,P$77=$B207+$D207),$I207,IF(AND(P$77&gt;$B207+$D207,P$77&lt;=$B207+$E207), $I207/($E207-$D207),0)), IF(OR(P$77=$B207+$D207,P$77=$B207+$E207),$I207/(($E207-$D207)*2),IF(AND(P$77&gt;$B207+$D207,P$77&lt;$B207+$E207),$I207/($E207-$D207),0)))</f>
        <v>0</v>
      </c>
      <c r="Q207" s="9">
        <f>IF(OR($C207="Annual",$D207=$E207),IF(AND($D207=$E207,Q$77=$B207+$D207),$I207,IF(AND(Q$77&gt;$B207+$D207,Q$77&lt;=$B207+$E207), $I207/($E207-$D207),0)), IF(OR(Q$77=$B207+$D207,Q$77=$B207+$E207),$I207/(($E207-$D207)*2),IF(AND(Q$77&gt;$B207+$D207,Q$77&lt;$B207+$E207),$I207/($E207-$D207),0)))</f>
        <v>0</v>
      </c>
      <c r="R207" s="9">
        <f>IF(OR($C207="Annual",$D207=$E207),IF(AND($D207=$E207,R$77=$B207+$D207),$I207,IF(AND(R$77&gt;$B207+$D207,R$77&lt;=$B207+$E207), $I207/($E207-$D207),0)), IF(OR(R$77=$B207+$D207,R$77=$B207+$E207),$I207/(($E207-$D207)*2),IF(AND(R$77&gt;$B207+$D207,R$77&lt;$B207+$E207),$I207/($E207-$D207),0)))</f>
        <v>0</v>
      </c>
      <c r="S207" s="9">
        <f>IF(OR($C207="Annual",$D207=$E207),IF(AND($D207=$E207,S$77=$B207+$D207),$I207,IF(AND(S$77&gt;$B207+$D207,S$77&lt;=$B207+$E207), $I207/($E207-$D207),0)), IF(OR(S$77=$B207+$D207,S$77=$B207+$E207),$I207/(($E207-$D207)*2),IF(AND(S$77&gt;$B207+$D207,S$77&lt;$B207+$E207),$I207/($E207-$D207),0)))</f>
        <v>0</v>
      </c>
      <c r="T207" s="9">
        <f>IF(OR($C207="Annual",$D207=$E207),IF(AND($D207=$E207,T$77=$B207+$D207),$I207,IF(AND(T$77&gt;$B207+$D207,T$77&lt;=$B207+$E207), $I207/($E207-$D207),0)), IF(OR(T$77=$B207+$D207,T$77=$B207+$E207),$I207/(($E207-$D207)*2),IF(AND(T$77&gt;$B207+$D207,T$77&lt;$B207+$E207),$I207/($E207-$D207),0)))</f>
        <v>0</v>
      </c>
      <c r="U207" s="9"/>
      <c r="V207" s="9"/>
      <c r="W207" s="9">
        <f>IF($C207="annual",IF(W$77=$B207,0,H207*$F207),IF(W$77-$B207=0,I207*$F207/2,IF((W$77-$B207)&lt;$E207,AVERAGE(H207,I207)*$F207,IF((W$77-$B207)=$E207,H207*$F207/2,0))))</f>
        <v>0</v>
      </c>
      <c r="X207" s="9">
        <f>IF($C207="annual",IF(X$77=$B207,0,I207*$F207),IF(X$77-$B207=0,J207*$F207/2,IF((X$77-$B207)&lt;$E207,AVERAGE(I207,J207)*$F207,IF((X$77-$B207)=$E207,I207*$F207/2,0))))</f>
        <v>0</v>
      </c>
      <c r="Y207" s="9">
        <f>IF($C207="annual",IF(Y$77=$B207,0,J207*$F207),IF(Y$77-$B207=0,K207*$F207/2,IF((Y$77-$B207)&lt;$E207,AVERAGE(J207,K207)*$F207,IF((Y$77-$B207)=$E207,J207*$F207/2,0))))</f>
        <v>0</v>
      </c>
      <c r="Z207" s="9">
        <f>IF($C207="annual",IF(Z$77=$B207,0,K207*$F207),IF(Z$77-$B207=0,L207*$F207/2,IF((Z$77-$B207)&lt;$E207,AVERAGE(K207,L207)*$F207,IF((Z$77-$B207)=$E207,K207*$F207/2,0))))</f>
        <v>0</v>
      </c>
      <c r="AA207" s="9">
        <f t="shared" si="54"/>
        <v>0</v>
      </c>
    </row>
    <row r="208" spans="1:28">
      <c r="A208" s="8" t="str">
        <f>A207</f>
        <v>Type 12</v>
      </c>
      <c r="B208" s="7">
        <f>B207+1</f>
        <v>2020</v>
      </c>
      <c r="C208" s="7" t="str">
        <f>C207</f>
        <v>Annual</v>
      </c>
      <c r="D208" s="7">
        <f t="shared" ref="D208:E211" si="55">D207</f>
        <v>30</v>
      </c>
      <c r="E208" s="7">
        <f t="shared" si="55"/>
        <v>30</v>
      </c>
      <c r="F208" s="14">
        <f>$N$61</f>
        <v>0</v>
      </c>
      <c r="H208" s="9"/>
      <c r="I208" s="9"/>
      <c r="J208" s="9">
        <f>$D$61</f>
        <v>0</v>
      </c>
      <c r="K208" s="9">
        <f>J208-R208</f>
        <v>0</v>
      </c>
      <c r="L208" s="9">
        <f>K208-S208</f>
        <v>0</v>
      </c>
      <c r="M208" s="9">
        <f>L208-T208</f>
        <v>0</v>
      </c>
      <c r="N208" s="9"/>
      <c r="O208" s="9"/>
      <c r="P208" s="9"/>
      <c r="Q208" s="9">
        <f>IF(OR($C208="Annual",$D208=$E208),IF(AND($D208=$E208,Q$77=$B208+$D208),$J208,IF(AND(Q$77&gt;$B208+$D208,Q$77&lt;=$B208+$E208), $J208/($E208-$D208),0)), IF(OR(Q$77=$B208+$D208,Q$77=$B208+$E208),$J208/(($E208-$D208)*2),IF(AND(Q$77&gt;$B208+$D208,Q$77&lt;$B208+$E208),$J208/($E208-$D208),0)))</f>
        <v>0</v>
      </c>
      <c r="R208" s="9">
        <f>IF(OR($C208="Annual",$D208=$E208),IF(AND($D208=$E208,R$77=$B208+$D208),$J208,IF(AND(R$77&gt;$B208+$D208,R$77&lt;=$B208+$E208), $J208/($E208-$D208),0)), IF(OR(R$77=$B208+$D208,R$77=$B208+$E208),$J208/(($E208-$D208)*2),IF(AND(R$77&gt;$B208+$D208,R$77&lt;$B208+$E208),$J208/($E208-$D208),0)))</f>
        <v>0</v>
      </c>
      <c r="S208" s="9">
        <f>IF(OR($C208="Annual",$D208=$E208),IF(AND($D208=$E208,S$77=$B208+$D208),$J208,IF(AND(S$77&gt;$B208+$D208,S$77&lt;=$B208+$E208), $J208/($E208-$D208),0)), IF(OR(S$77=$B208+$D208,S$77=$B208+$E208),$J208/(($E208-$D208)*2),IF(AND(S$77&gt;$B208+$D208,S$77&lt;$B208+$E208),$J208/($E208-$D208),0)))</f>
        <v>0</v>
      </c>
      <c r="T208" s="9">
        <f>IF(OR($C208="Annual",$D208=$E208),IF(AND($D208=$E208,T$77=$B208+$D208),$J208,IF(AND(T$77&gt;$B208+$D208,T$77&lt;=$B208+$E208), $J208/($E208-$D208),0)), IF(OR(T$77=$B208+$D208,T$77=$B208+$E208),$J208/(($E208-$D208)*2),IF(AND(T$77&gt;$B208+$D208,T$77&lt;$B208+$E208),$J208/($E208-$D208),0)))</f>
        <v>0</v>
      </c>
      <c r="U208" s="9"/>
      <c r="V208" s="9"/>
      <c r="W208" s="9"/>
      <c r="X208" s="9">
        <f>IF($C208="annual",IF(X$77=$B208,0,I208*$F208),IF(X$77-$B208=0,J208*$F208/2,IF((X$77-$B208)&lt;$E208,AVERAGE(I208,J208)*$F208,IF((X$77-$B208)=$E208,I208*$F208/2,0))))</f>
        <v>0</v>
      </c>
      <c r="Y208" s="9">
        <f>IF($C208="annual",IF(Y$77=$B208,0,J208*$F208),IF(Y$77-$B208=0,K208*$F208/2,IF((Y$77-$B208)&lt;$E208,AVERAGE(J208,K208)*$F208,IF((Y$77-$B208)=$E208,J208*$F208/2,0))))</f>
        <v>0</v>
      </c>
      <c r="Z208" s="9">
        <f>IF($C208="annual",IF(Z$77=$B208,0,K208*$F208),IF(Z$77-$B208=0,L208*$F208/2,IF((Z$77-$B208)&lt;$E208,AVERAGE(K208,L208)*$F208,IF((Z$77-$B208)=$E208,K208*$F208/2,0))))</f>
        <v>0</v>
      </c>
      <c r="AA208" s="9">
        <f t="shared" si="54"/>
        <v>0</v>
      </c>
    </row>
    <row r="209" spans="1:27">
      <c r="A209" s="8" t="str">
        <f>A208</f>
        <v>Type 12</v>
      </c>
      <c r="B209" s="7">
        <f>B208+1</f>
        <v>2021</v>
      </c>
      <c r="C209" s="7" t="str">
        <f>C208</f>
        <v>Annual</v>
      </c>
      <c r="D209" s="7">
        <f t="shared" si="55"/>
        <v>30</v>
      </c>
      <c r="E209" s="7">
        <f t="shared" si="55"/>
        <v>30</v>
      </c>
      <c r="F209" s="14">
        <f>$O$61</f>
        <v>0</v>
      </c>
      <c r="H209" s="9"/>
      <c r="I209" s="9"/>
      <c r="J209" s="9"/>
      <c r="K209" s="9">
        <f>$E$61</f>
        <v>0</v>
      </c>
      <c r="L209" s="9">
        <f>K209-S209</f>
        <v>0</v>
      </c>
      <c r="M209" s="9">
        <f>L209-T209</f>
        <v>0</v>
      </c>
      <c r="N209" s="9"/>
      <c r="O209" s="9"/>
      <c r="P209" s="9"/>
      <c r="Q209" s="9"/>
      <c r="R209" s="9">
        <f>IF(OR($C209="Annual",$D209=$E209),IF(AND($D209=$E209,R$77=$B209+$D209),$K209,IF(AND(R$77&gt;$B209+$D209,R$77&lt;=$B209+$E209), $K209/($E209-$D209),0)), IF(OR(R$77=$B209+$D209,R$77=$B209+$E209),$K209/(($E209-$D209)*2),IF(AND(R$77&gt;$B209+$D209,R$77&lt;$B209+$E209),$K209/($E209-$D209),0)))</f>
        <v>0</v>
      </c>
      <c r="S209" s="9">
        <f>IF(OR($C209="Annual",$D209=$E209),IF(AND($D209=$E209,S$77=$B209+$D209),$K209,IF(AND(S$77&gt;$B209+$D209,S$77&lt;=$B209+$E209), $K209/($E209-$D209),0)), IF(OR(S$77=$B209+$D209,S$77=$B209+$E209),$K209/(($E209-$D209)*2),IF(AND(S$77&gt;$B209+$D209,S$77&lt;$B209+$E209),$K209/($E209-$D209),0)))</f>
        <v>0</v>
      </c>
      <c r="T209" s="9">
        <f>IF(OR($C209="Annual",$D209=$E209),IF(AND($D209=$E209,T$77=$B209+$D209),$K209,IF(AND(T$77&gt;$B209+$D209,T$77&lt;=$B209+$E209), $K209/($E209-$D209),0)), IF(OR(T$77=$B209+$D209,T$77=$B209+$E209),$K209/(($E209-$D209)*2),IF(AND(T$77&gt;$B209+$D209,T$77&lt;$B209+$E209),$K209/($E209-$D209),0)))</f>
        <v>0</v>
      </c>
      <c r="U209" s="9"/>
      <c r="V209" s="9"/>
      <c r="W209" s="9"/>
      <c r="X209" s="9"/>
      <c r="Y209" s="9">
        <f>IF($C209="annual",IF(Y$77=$B209,0,J209*$F209),IF(Y$77-$B209=0,K209*$F209/2,IF((Y$77-$B209)&lt;$E209,AVERAGE(J209,K209)*$F209,IF((Y$77-$B209)=$E209,J209*$F209/2,0))))</f>
        <v>0</v>
      </c>
      <c r="Z209" s="9">
        <f>IF($C209="annual",IF(Z$77=$B209,0,K209*$F209),IF(Z$77-$B209=0,L209*$F209/2,IF((Z$77-$B209)&lt;$E209,AVERAGE(K209,L209)*$F209,IF((Z$77-$B209)=$E209,K209*$F209/2,0))))</f>
        <v>0</v>
      </c>
      <c r="AA209" s="9">
        <f t="shared" si="54"/>
        <v>0</v>
      </c>
    </row>
    <row r="210" spans="1:27">
      <c r="A210" s="8" t="str">
        <f>A209</f>
        <v>Type 12</v>
      </c>
      <c r="B210" s="7">
        <f>B209+1</f>
        <v>2022</v>
      </c>
      <c r="C210" s="7" t="str">
        <f>C209</f>
        <v>Annual</v>
      </c>
      <c r="D210" s="7">
        <f t="shared" si="55"/>
        <v>30</v>
      </c>
      <c r="E210" s="7">
        <f t="shared" si="55"/>
        <v>30</v>
      </c>
      <c r="F210" s="14">
        <f>$P$61</f>
        <v>0</v>
      </c>
      <c r="H210" s="9"/>
      <c r="I210" s="9"/>
      <c r="J210" s="9"/>
      <c r="K210" s="9"/>
      <c r="L210" s="9">
        <f>$F$61</f>
        <v>0</v>
      </c>
      <c r="M210" s="9">
        <f>L210-T210</f>
        <v>0</v>
      </c>
      <c r="N210" s="9"/>
      <c r="O210" s="9"/>
      <c r="P210" s="9"/>
      <c r="Q210" s="9"/>
      <c r="R210" s="9"/>
      <c r="S210" s="9">
        <f>IF(OR($C210="Annual",$D210=$E210),IF(AND($D210=$E210,S$77=$B210+$D210),$L210,IF(AND(S$77&gt;$B210+$D210,S$77&lt;=$B210+$E210), $L210/($E210-$D210),0)), IF(OR(S$77=$B210+$D210,S$77=$B210+$E210),$L210/(($E210-$D210)*2),IF(AND(S$77&gt;$B210+$D210,S$77&lt;$B210+$E210),$L210/($E210-$D210),0)))</f>
        <v>0</v>
      </c>
      <c r="T210" s="9">
        <f>IF(OR($C210="Annual",$D210=$E210),IF(AND($D210=$E210,T$77=$B210+$D210),$L210,IF(AND(T$77&gt;$B210+$D210,T$77&lt;=$B210+$E210), $L210/($E210-$D210),0)), IF(OR(T$77=$B210+$D210,T$77=$B210+$E210),$L210/(($E210-$D210)*2),IF(AND(T$77&gt;$B210+$D210,T$77&lt;$B210+$E210),$L210/($E210-$D210),0)))</f>
        <v>0</v>
      </c>
      <c r="U210" s="9"/>
      <c r="V210" s="9"/>
      <c r="W210" s="9"/>
      <c r="X210" s="9"/>
      <c r="Y210" s="9"/>
      <c r="Z210" s="9">
        <f>IF($C210="annual",IF(Z$77=$B210,0,K210*$F210),IF(Z$77-$B210=0,L210*$F210/2,IF((Z$77-$B210)&lt;$E210,AVERAGE(K210,L210)*$F210,IF((Z$77-$B210)=$E210,K210*$F210/2,0))))</f>
        <v>0</v>
      </c>
      <c r="AA210" s="9">
        <f t="shared" si="54"/>
        <v>0</v>
      </c>
    </row>
    <row r="211" spans="1:27">
      <c r="A211" s="8" t="str">
        <f>A210</f>
        <v>Type 12</v>
      </c>
      <c r="B211" s="7">
        <f>B210+1</f>
        <v>2023</v>
      </c>
      <c r="C211" s="7" t="str">
        <f>C210</f>
        <v>Annual</v>
      </c>
      <c r="D211" s="7">
        <f t="shared" si="55"/>
        <v>30</v>
      </c>
      <c r="E211" s="7">
        <f t="shared" si="55"/>
        <v>30</v>
      </c>
      <c r="F211" s="14">
        <f>$Q$61</f>
        <v>0</v>
      </c>
      <c r="H211" s="9"/>
      <c r="I211" s="9"/>
      <c r="J211" s="9"/>
      <c r="K211" s="9"/>
      <c r="L211" s="9"/>
      <c r="M211" s="9">
        <f>$G$61</f>
        <v>0</v>
      </c>
      <c r="N211" s="9"/>
      <c r="O211" s="9"/>
      <c r="P211" s="9"/>
      <c r="Q211" s="9"/>
      <c r="R211" s="9"/>
      <c r="S211" s="9"/>
      <c r="T211" s="9">
        <f>IF(OR($C211="Annual",$D211=$E211),IF(AND($D211=$E211,T$77=$B211+$D211),$M211,IF(AND(T$77&gt;$B211+$D211,T$77&lt;=$B211+$E211), $M211/($E211-$D211),0)), IF(OR(T$77=$B211+$D211,T$77=$B211+$E211),$M211/(($E211-$D211)*2),IF(AND(T$77&gt;$B211+$D211,T$77&lt;$B211+$E211),$M211/($E211-$D211),0)))</f>
        <v>0</v>
      </c>
      <c r="U211" s="9"/>
      <c r="V211" s="9"/>
      <c r="W211" s="9"/>
      <c r="X211" s="9"/>
      <c r="Y211" s="9"/>
      <c r="Z211" s="9"/>
      <c r="AA211" s="9">
        <f t="shared" si="54"/>
        <v>0</v>
      </c>
    </row>
    <row r="212" spans="1:27" ht="6.75" customHeight="1">
      <c r="B212" s="6"/>
      <c r="C212" s="281"/>
      <c r="F212" s="15"/>
      <c r="H212" s="10"/>
      <c r="I212" s="10"/>
      <c r="J212" s="10"/>
      <c r="K212" s="10"/>
      <c r="L212" s="10"/>
      <c r="M212" s="10"/>
      <c r="N212" s="10"/>
      <c r="O212" s="10"/>
      <c r="P212" s="10"/>
      <c r="Q212" s="10"/>
      <c r="R212" s="10"/>
      <c r="S212" s="10"/>
      <c r="T212" s="10"/>
      <c r="U212" s="10"/>
      <c r="V212" s="9"/>
      <c r="W212" s="9"/>
      <c r="X212" s="9"/>
      <c r="Y212" s="9"/>
      <c r="Z212" s="9"/>
      <c r="AA212" s="9"/>
    </row>
    <row r="213" spans="1:27">
      <c r="A213" s="8" t="str">
        <f>A62</f>
        <v>Type 13</v>
      </c>
      <c r="B213" s="7">
        <f>B85</f>
        <v>2018</v>
      </c>
      <c r="C213" s="7" t="str">
        <f>$I62</f>
        <v>Annual</v>
      </c>
      <c r="D213" s="7">
        <f>$J62</f>
        <v>0</v>
      </c>
      <c r="E213" s="7">
        <f>$K62</f>
        <v>0</v>
      </c>
      <c r="F213" s="14">
        <f>$L$62</f>
        <v>0</v>
      </c>
      <c r="H213" s="9">
        <f>$B$62</f>
        <v>0</v>
      </c>
      <c r="I213" s="9">
        <f>H213-P213</f>
        <v>0</v>
      </c>
      <c r="J213" s="9">
        <f>I213-Q213</f>
        <v>0</v>
      </c>
      <c r="K213" s="9">
        <f>J213-R213</f>
        <v>0</v>
      </c>
      <c r="L213" s="9">
        <f>K213-S213</f>
        <v>0</v>
      </c>
      <c r="M213" s="9">
        <f>L213-T213</f>
        <v>0</v>
      </c>
      <c r="N213" s="9"/>
      <c r="O213" s="9">
        <f t="shared" ref="O213:T213" si="56">IF(OR($C213="Annual",$D213=$E213),IF(AND($D213=$E213,O$77=$B213+$D213),$H213,IF(AND(O$77&gt;$B213+$D213,O$77&lt;=$B213+$E213), $H213/($E213-$D213),0)), IF(OR(O$77=$B213+$D213,O$77=$B213+$E213),$H213/(($E213-$D213)*2),IF(AND(O$77&gt;$B213+$D213,O$77&lt;$B213+$E213),$H213/($E213-$D213),0)))</f>
        <v>0</v>
      </c>
      <c r="P213" s="9">
        <f t="shared" si="56"/>
        <v>0</v>
      </c>
      <c r="Q213" s="9">
        <f t="shared" si="56"/>
        <v>0</v>
      </c>
      <c r="R213" s="9">
        <f t="shared" si="56"/>
        <v>0</v>
      </c>
      <c r="S213" s="9">
        <f t="shared" si="56"/>
        <v>0</v>
      </c>
      <c r="T213" s="9">
        <f t="shared" si="56"/>
        <v>0</v>
      </c>
      <c r="U213" s="9"/>
      <c r="V213" s="9">
        <f>IF($C213="annual",IF(V$77=$B213,0,G213*$F213),IF(V$77-$B213=0,H213*$F213/2,IF((V$77-$B213)&lt;$E213,AVERAGE(G213,H213)*$F213,IF((V$77-$B213)=$E213,G213*$F213/2,0))))</f>
        <v>0</v>
      </c>
      <c r="W213" s="9">
        <f>IF($C213="annual",IF(W$77=$B213,0,H213*$F213),IF(W$77-$B213=0,I213*$F213/2,IF((W$77-$B213)&lt;$E213,AVERAGE(H213,I213)*$F213,IF((W$77-$B213)=$E213,H213*$F213/2,0))))</f>
        <v>0</v>
      </c>
      <c r="X213" s="9">
        <f>IF($C213="annual",IF(X$77=$B213,0,I213*$F213),IF(X$77-$B213=0,J213*$F213/2,IF((X$77-$B213)&lt;$E213,AVERAGE(I213,J213)*$F213,IF((X$77-$B213)=$E213,I213*$F213/2,0))))</f>
        <v>0</v>
      </c>
      <c r="Y213" s="9">
        <f>IF($C213="annual",IF(Y$77=$B213,0,J213*$F213),IF(Y$77-$B213=0,K213*$F213/2,IF((Y$77-$B213)&lt;$E213,AVERAGE(J213,K213)*$F213,IF((Y$77-$B213)=$E213,J213*$F213/2,0))))</f>
        <v>0</v>
      </c>
      <c r="Z213" s="9">
        <f>IF($C213="annual",IF(Z$77=$B213,0,K213*$F213),IF(Z$77-$B213=0,L213*$F213/2,IF((Z$77-$B213)&lt;$E213,AVERAGE(K213,L213)*$F213,IF((Z$77-$B213)=$E213,K213*$F213/2,0))))</f>
        <v>0</v>
      </c>
      <c r="AA213" s="9">
        <f t="shared" ref="AA213:AA218" si="57">IF($C213="annual",IF(AA$77=$B213,0,L213*$F213),IF(AA$77-$B213=0,M213*$F213/2,IF((AA$77-$B213)&lt;$E213,AVERAGE(L213,M213)*$F213,IF((AA$77-$B213)=$E213,L213*$F213/2,0))))</f>
        <v>0</v>
      </c>
    </row>
    <row r="214" spans="1:27">
      <c r="A214" s="8" t="str">
        <f>A213</f>
        <v>Type 13</v>
      </c>
      <c r="B214" s="7">
        <f>B213+1</f>
        <v>2019</v>
      </c>
      <c r="C214" s="7" t="str">
        <f>C213</f>
        <v>Annual</v>
      </c>
      <c r="D214" s="7">
        <f t="shared" ref="D214:E218" si="58">D213</f>
        <v>0</v>
      </c>
      <c r="E214" s="7">
        <f t="shared" si="58"/>
        <v>0</v>
      </c>
      <c r="F214" s="14">
        <f>$M$62</f>
        <v>0</v>
      </c>
      <c r="H214" s="9"/>
      <c r="I214" s="9">
        <f>$C$62</f>
        <v>0</v>
      </c>
      <c r="J214" s="9">
        <f>I214-Q214</f>
        <v>0</v>
      </c>
      <c r="K214" s="9">
        <f>J214-R214</f>
        <v>0</v>
      </c>
      <c r="L214" s="9">
        <f>K214-S214</f>
        <v>0</v>
      </c>
      <c r="M214" s="9">
        <f>L214-T214</f>
        <v>0</v>
      </c>
      <c r="N214" s="9"/>
      <c r="O214" s="9"/>
      <c r="P214" s="9">
        <f>IF(OR($C214="Annual",$D214=$E214),IF(AND($D214=$E214,P$77=$B214+$D214),$I214,IF(AND(P$77&gt;$B214+$D214,P$77&lt;=$B214+$E214), $I214/($E214-$D214),0)), IF(OR(P$77=$B214+$D214,P$77=$B214+$E214),$I214/(($E214-$D214)*2),IF(AND(P$77&gt;$B214+$D214,P$77&lt;$B214+$E214),$I214/($E214-$D214),0)))</f>
        <v>0</v>
      </c>
      <c r="Q214" s="9">
        <f>IF(OR($C214="Annual",$D214=$E214),IF(AND($D214=$E214,Q$77=$B214+$D214),$I214,IF(AND(Q$77&gt;$B214+$D214,Q$77&lt;=$B214+$E214), $I214/($E214-$D214),0)), IF(OR(Q$77=$B214+$D214,Q$77=$B214+$E214),$I214/(($E214-$D214)*2),IF(AND(Q$77&gt;$B214+$D214,Q$77&lt;$B214+$E214),$I214/($E214-$D214),0)))</f>
        <v>0</v>
      </c>
      <c r="R214" s="9">
        <f>IF(OR($C214="Annual",$D214=$E214),IF(AND($D214=$E214,R$77=$B214+$D214),$I214,IF(AND(R$77&gt;$B214+$D214,R$77&lt;=$B214+$E214), $I214/($E214-$D214),0)), IF(OR(R$77=$B214+$D214,R$77=$B214+$E214),$I214/(($E214-$D214)*2),IF(AND(R$77&gt;$B214+$D214,R$77&lt;$B214+$E214),$I214/($E214-$D214),0)))</f>
        <v>0</v>
      </c>
      <c r="S214" s="9">
        <f>IF(OR($C214="Annual",$D214=$E214),IF(AND($D214=$E214,S$77=$B214+$D214),$I214,IF(AND(S$77&gt;$B214+$D214,S$77&lt;=$B214+$E214), $I214/($E214-$D214),0)), IF(OR(S$77=$B214+$D214,S$77=$B214+$E214),$I214/(($E214-$D214)*2),IF(AND(S$77&gt;$B214+$D214,S$77&lt;$B214+$E214),$I214/($E214-$D214),0)))</f>
        <v>0</v>
      </c>
      <c r="T214" s="9">
        <f>IF(OR($C214="Annual",$D214=$E214),IF(AND($D214=$E214,T$77=$B214+$D214),$I214,IF(AND(T$77&gt;$B214+$D214,T$77&lt;=$B214+$E214), $I214/($E214-$D214),0)), IF(OR(T$77=$B214+$D214,T$77=$B214+$E214),$I214/(($E214-$D214)*2),IF(AND(T$77&gt;$B214+$D214,T$77&lt;$B214+$E214),$I214/($E214-$D214),0)))</f>
        <v>0</v>
      </c>
      <c r="U214" s="9"/>
      <c r="V214" s="9"/>
      <c r="W214" s="9">
        <f>IF($C214="annual",IF(W$77=$B214,0,H214*$F214),IF(W$77-$B214=0,I214*$F214/2,IF((W$77-$B214)&lt;$E214,AVERAGE(H214,I214)*$F214,IF((W$77-$B214)=$E214,H214*$F214/2,0))))</f>
        <v>0</v>
      </c>
      <c r="X214" s="9">
        <f>IF($C214="annual",IF(X$77=$B214,0,I214*$F214),IF(X$77-$B214=0,J214*$F214/2,IF((X$77-$B214)&lt;$E214,AVERAGE(I214,J214)*$F214,IF((X$77-$B214)=$E214,I214*$F214/2,0))))</f>
        <v>0</v>
      </c>
      <c r="Y214" s="9">
        <f>IF($C214="annual",IF(Y$77=$B214,0,J214*$F214),IF(Y$77-$B214=0,K214*$F214/2,IF((Y$77-$B214)&lt;$E214,AVERAGE(J214,K214)*$F214,IF((Y$77-$B214)=$E214,J214*$F214/2,0))))</f>
        <v>0</v>
      </c>
      <c r="Z214" s="9">
        <f>IF($C214="annual",IF(Z$77=$B214,0,K214*$F214),IF(Z$77-$B214=0,L214*$F214/2,IF((Z$77-$B214)&lt;$E214,AVERAGE(K214,L214)*$F214,IF((Z$77-$B214)=$E214,K214*$F214/2,0))))</f>
        <v>0</v>
      </c>
      <c r="AA214" s="9">
        <f t="shared" si="57"/>
        <v>0</v>
      </c>
    </row>
    <row r="215" spans="1:27">
      <c r="A215" s="8" t="str">
        <f>A214</f>
        <v>Type 13</v>
      </c>
      <c r="B215" s="7">
        <f>B214+1</f>
        <v>2020</v>
      </c>
      <c r="C215" s="7" t="str">
        <f>C214</f>
        <v>Annual</v>
      </c>
      <c r="D215" s="7">
        <f t="shared" si="58"/>
        <v>0</v>
      </c>
      <c r="E215" s="7">
        <f t="shared" si="58"/>
        <v>0</v>
      </c>
      <c r="F215" s="14">
        <f>$N$62</f>
        <v>0</v>
      </c>
      <c r="H215" s="9"/>
      <c r="I215" s="9"/>
      <c r="J215" s="9">
        <f>$D$62</f>
        <v>0</v>
      </c>
      <c r="K215" s="9">
        <f>J215-R215</f>
        <v>0</v>
      </c>
      <c r="L215" s="9">
        <f>K215-S215</f>
        <v>0</v>
      </c>
      <c r="M215" s="9">
        <f>L215-T215</f>
        <v>0</v>
      </c>
      <c r="N215" s="9"/>
      <c r="O215" s="9"/>
      <c r="P215" s="9"/>
      <c r="Q215" s="9">
        <f>IF(OR($C215="Annual",$D215=$E215),IF(AND($D215=$E215,Q$77=$B215+$D215),$J215,IF(AND(Q$77&gt;$B215+$D215,Q$77&lt;=$B215+$E215), $J215/($E215-$D215),0)), IF(OR(Q$77=$B215+$D215,Q$77=$B215+$E215),$J215/(($E215-$D215)*2),IF(AND(Q$77&gt;$B215+$D215,Q$77&lt;$B215+$E215),$J215/($E215-$D215),0)))</f>
        <v>0</v>
      </c>
      <c r="R215" s="9">
        <f>IF(OR($C215="Annual",$D215=$E215),IF(AND($D215=$E215,R$77=$B215+$D215),$J215,IF(AND(R$77&gt;$B215+$D215,R$77&lt;=$B215+$E215), $J215/($E215-$D215),0)), IF(OR(R$77=$B215+$D215,R$77=$B215+$E215),$J215/(($E215-$D215)*2),IF(AND(R$77&gt;$B215+$D215,R$77&lt;$B215+$E215),$J215/($E215-$D215),0)))</f>
        <v>0</v>
      </c>
      <c r="S215" s="9">
        <f>IF(OR($C215="Annual",$D215=$E215),IF(AND($D215=$E215,S$77=$B215+$D215),$J215,IF(AND(S$77&gt;$B215+$D215,S$77&lt;=$B215+$E215), $J215/($E215-$D215),0)), IF(OR(S$77=$B215+$D215,S$77=$B215+$E215),$J215/(($E215-$D215)*2),IF(AND(S$77&gt;$B215+$D215,S$77&lt;$B215+$E215),$J215/($E215-$D215),0)))</f>
        <v>0</v>
      </c>
      <c r="T215" s="9">
        <f>IF(OR($C215="Annual",$D215=$E215),IF(AND($D215=$E215,T$77=$B215+$D215),$J215,IF(AND(T$77&gt;$B215+$D215,T$77&lt;=$B215+$E215), $J215/($E215-$D215),0)), IF(OR(T$77=$B215+$D215,T$77=$B215+$E215),$J215/(($E215-$D215)*2),IF(AND(T$77&gt;$B215+$D215,T$77&lt;$B215+$E215),$J215/($E215-$D215),0)))</f>
        <v>0</v>
      </c>
      <c r="U215" s="9"/>
      <c r="V215" s="9"/>
      <c r="W215" s="9"/>
      <c r="X215" s="9">
        <f>IF($C215="annual",IF(X$77=$B215,0,I215*$F215),IF(X$77-$B215=0,J215*$F215/2,IF((X$77-$B215)&lt;$E215,AVERAGE(I215,J215)*$F215,IF((X$77-$B215)=$E215,I215*$F215/2,0))))</f>
        <v>0</v>
      </c>
      <c r="Y215" s="9">
        <f>IF($C215="annual",IF(Y$77=$B215,0,J215*$F215),IF(Y$77-$B215=0,K215*$F215/2,IF((Y$77-$B215)&lt;$E215,AVERAGE(J215,K215)*$F215,IF((Y$77-$B215)=$E215,J215*$F215/2,0))))</f>
        <v>0</v>
      </c>
      <c r="Z215" s="9">
        <f>IF($C215="annual",IF(Z$77=$B215,0,K215*$F215),IF(Z$77-$B215=0,L215*$F215/2,IF((Z$77-$B215)&lt;$E215,AVERAGE(K215,L215)*$F215,IF((Z$77-$B215)=$E215,K215*$F215/2,0))))</f>
        <v>0</v>
      </c>
      <c r="AA215" s="9">
        <f t="shared" si="57"/>
        <v>0</v>
      </c>
    </row>
    <row r="216" spans="1:27">
      <c r="A216" s="8" t="str">
        <f>A215</f>
        <v>Type 13</v>
      </c>
      <c r="B216" s="7">
        <f>B215+1</f>
        <v>2021</v>
      </c>
      <c r="C216" s="7" t="str">
        <f>C215</f>
        <v>Annual</v>
      </c>
      <c r="D216" s="7">
        <f t="shared" si="58"/>
        <v>0</v>
      </c>
      <c r="E216" s="7">
        <f t="shared" si="58"/>
        <v>0</v>
      </c>
      <c r="F216" s="14">
        <f>$O$62</f>
        <v>0</v>
      </c>
      <c r="H216" s="9"/>
      <c r="I216" s="9"/>
      <c r="J216" s="9"/>
      <c r="K216" s="9">
        <f>$E$62</f>
        <v>0</v>
      </c>
      <c r="L216" s="9">
        <f>K216-S216</f>
        <v>0</v>
      </c>
      <c r="M216" s="9">
        <f>L216-T216</f>
        <v>0</v>
      </c>
      <c r="N216" s="9"/>
      <c r="O216" s="9"/>
      <c r="P216" s="9"/>
      <c r="Q216" s="9"/>
      <c r="R216" s="9">
        <f>IF(OR($C216="Annual",$D216=$E216),IF(AND($D216=$E216,R$77=$B216+$D216),$K216,IF(AND(R$77&gt;$B216+$D216,R$77&lt;=$B216+$E216), $K216/($E216-$D216),0)), IF(OR(R$77=$B216+$D216,R$77=$B216+$E216),$K216/(($E216-$D216)*2),IF(AND(R$77&gt;$B216+$D216,R$77&lt;$B216+$E216),$K216/($E216-$D216),0)))</f>
        <v>0</v>
      </c>
      <c r="S216" s="9">
        <f>IF(OR($C216="Annual",$D216=$E216),IF(AND($D216=$E216,S$77=$B216+$D216),$K216,IF(AND(S$77&gt;$B216+$D216,S$77&lt;=$B216+$E216), $K216/($E216-$D216),0)), IF(OR(S$77=$B216+$D216,S$77=$B216+$E216),$K216/(($E216-$D216)*2),IF(AND(S$77&gt;$B216+$D216,S$77&lt;$B216+$E216),$K216/($E216-$D216),0)))</f>
        <v>0</v>
      </c>
      <c r="T216" s="9">
        <f>IF(OR($C216="Annual",$D216=$E216),IF(AND($D216=$E216,T$77=$B216+$D216),$K216,IF(AND(T$77&gt;$B216+$D216,T$77&lt;=$B216+$E216), $K216/($E216-$D216),0)), IF(OR(T$77=$B216+$D216,T$77=$B216+$E216),$K216/(($E216-$D216)*2),IF(AND(T$77&gt;$B216+$D216,T$77&lt;$B216+$E216),$K216/($E216-$D216),0)))</f>
        <v>0</v>
      </c>
      <c r="U216" s="9"/>
      <c r="V216" s="9"/>
      <c r="W216" s="9"/>
      <c r="X216" s="9"/>
      <c r="Y216" s="9">
        <f>IF($C216="annual",IF(Y$77=$B216,0,J216*$F216),IF(Y$77-$B216=0,K216*$F216/2,IF((Y$77-$B216)&lt;$E216,AVERAGE(J216,K216)*$F216,IF((Y$77-$B216)=$E216,J216*$F216/2,0))))</f>
        <v>0</v>
      </c>
      <c r="Z216" s="9">
        <f>IF($C216="annual",IF(Z$77=$B216,0,K216*$F216),IF(Z$77-$B216=0,L216*$F216/2,IF((Z$77-$B216)&lt;$E216,AVERAGE(K216,L216)*$F216,IF((Z$77-$B216)=$E216,K216*$F216/2,0))))</f>
        <v>0</v>
      </c>
      <c r="AA216" s="9">
        <f t="shared" si="57"/>
        <v>0</v>
      </c>
    </row>
    <row r="217" spans="1:27">
      <c r="A217" s="8" t="str">
        <f>A216</f>
        <v>Type 13</v>
      </c>
      <c r="B217" s="7">
        <f>B216+1</f>
        <v>2022</v>
      </c>
      <c r="C217" s="7" t="str">
        <f>C216</f>
        <v>Annual</v>
      </c>
      <c r="D217" s="7">
        <f t="shared" si="58"/>
        <v>0</v>
      </c>
      <c r="E217" s="7">
        <f t="shared" si="58"/>
        <v>0</v>
      </c>
      <c r="F217" s="14">
        <f>$P$62</f>
        <v>0</v>
      </c>
      <c r="H217" s="9"/>
      <c r="I217" s="9"/>
      <c r="J217" s="9"/>
      <c r="K217" s="9"/>
      <c r="L217" s="9">
        <f>$F$62</f>
        <v>0</v>
      </c>
      <c r="M217" s="9">
        <f>L217-T217</f>
        <v>0</v>
      </c>
      <c r="N217" s="9"/>
      <c r="O217" s="9"/>
      <c r="P217" s="9"/>
      <c r="Q217" s="9"/>
      <c r="R217" s="9"/>
      <c r="S217" s="9">
        <f>IF(OR($C217="Annual",$D217=$E217),IF(AND($D217=$E217,S$77=$B217+$D217),$L217,IF(AND(S$77&gt;$B217+$D217,S$77&lt;=$B217+$E217), $L217/($E217-$D217),0)), IF(OR(S$77=$B217+$D217,S$77=$B217+$E217),$L217/(($E217-$D217)*2),IF(AND(S$77&gt;$B217+$D217,S$77&lt;$B217+$E217),$L217/($E217-$D217),0)))</f>
        <v>0</v>
      </c>
      <c r="T217" s="9">
        <f>IF(OR($C217="Annual",$D217=$E217),IF(AND($D217=$E217,T$77=$B217+$D217),$L217,IF(AND(T$77&gt;$B217+$D217,T$77&lt;=$B217+$E217), $L217/($E217-$D217),0)), IF(OR(T$77=$B217+$D217,T$77=$B217+$E217),$L217/(($E217-$D217)*2),IF(AND(T$77&gt;$B217+$D217,T$77&lt;$B217+$E217),$L217/($E217-$D217),0)))</f>
        <v>0</v>
      </c>
      <c r="U217" s="9"/>
      <c r="V217" s="9"/>
      <c r="W217" s="9"/>
      <c r="X217" s="9"/>
      <c r="Y217" s="9"/>
      <c r="Z217" s="9">
        <f>IF($C217="annual",IF(Z$77=$B217,0,K217*$F217),IF(Z$77-$B217=0,L217*$F217/2,IF((Z$77-$B217)&lt;$E217,AVERAGE(K217,L217)*$F217,IF((Z$77-$B217)=$E217,K217*$F217/2,0))))</f>
        <v>0</v>
      </c>
      <c r="AA217" s="9">
        <f t="shared" si="57"/>
        <v>0</v>
      </c>
    </row>
    <row r="218" spans="1:27">
      <c r="A218" s="8" t="str">
        <f>A217</f>
        <v>Type 13</v>
      </c>
      <c r="B218" s="7">
        <f>B217+1</f>
        <v>2023</v>
      </c>
      <c r="C218" s="7" t="str">
        <f>C217</f>
        <v>Annual</v>
      </c>
      <c r="D218" s="7">
        <f t="shared" si="58"/>
        <v>0</v>
      </c>
      <c r="E218" s="7">
        <f t="shared" si="58"/>
        <v>0</v>
      </c>
      <c r="F218" s="14">
        <f>$Q$62</f>
        <v>0</v>
      </c>
      <c r="H218" s="9"/>
      <c r="I218" s="9"/>
      <c r="J218" s="9"/>
      <c r="K218" s="9"/>
      <c r="L218" s="9"/>
      <c r="M218" s="9">
        <f>$G$62</f>
        <v>0</v>
      </c>
      <c r="N218" s="9"/>
      <c r="O218" s="9"/>
      <c r="P218" s="9"/>
      <c r="Q218" s="9"/>
      <c r="R218" s="9"/>
      <c r="S218" s="9"/>
      <c r="T218" s="9">
        <f>IF(OR($C218="Annual",$D218=$E218),IF(AND($D218=$E218,T$77=$B218+$D218),$M218,IF(AND(T$77&gt;$B218+$D218,T$77&lt;=$B218+$E218), $M218/($E218-$D218),0)), IF(OR(T$77=$B218+$D218,T$77=$B218+$E218),$M218/(($E218-$D218)*2),IF(AND(T$77&gt;$B218+$D218,T$77&lt;$B218+$E218),$M218/($E218-$D218),0)))</f>
        <v>0</v>
      </c>
      <c r="U218" s="9"/>
      <c r="V218" s="9"/>
      <c r="W218" s="9"/>
      <c r="X218" s="9"/>
      <c r="Y218" s="9"/>
      <c r="Z218" s="9"/>
      <c r="AA218" s="9">
        <f t="shared" si="57"/>
        <v>0</v>
      </c>
    </row>
    <row r="219" spans="1:27" ht="6.75" customHeight="1">
      <c r="B219" s="6"/>
      <c r="C219" s="281"/>
      <c r="F219" s="15"/>
      <c r="H219" s="10"/>
      <c r="I219" s="10"/>
      <c r="J219" s="10"/>
      <c r="K219" s="10"/>
      <c r="L219" s="10"/>
      <c r="M219" s="10"/>
      <c r="N219" s="10"/>
      <c r="O219" s="10"/>
      <c r="P219" s="10"/>
      <c r="Q219" s="10"/>
      <c r="R219" s="10"/>
      <c r="S219" s="10"/>
      <c r="T219" s="10"/>
      <c r="U219" s="10"/>
      <c r="V219" s="9"/>
      <c r="W219" s="9"/>
      <c r="X219" s="9"/>
      <c r="Y219" s="9"/>
      <c r="Z219" s="9"/>
      <c r="AA219" s="9"/>
    </row>
    <row r="220" spans="1:27">
      <c r="A220" s="8" t="str">
        <f>A63</f>
        <v>Type 14</v>
      </c>
      <c r="B220" s="7">
        <f>B85</f>
        <v>2018</v>
      </c>
      <c r="C220" s="7" t="str">
        <f>$I63</f>
        <v>Annual</v>
      </c>
      <c r="D220" s="7">
        <f>$J63</f>
        <v>0</v>
      </c>
      <c r="E220" s="7">
        <f>$K63</f>
        <v>0</v>
      </c>
      <c r="F220" s="14">
        <f>$L$63</f>
        <v>0</v>
      </c>
      <c r="H220" s="9">
        <f>$B$63</f>
        <v>0</v>
      </c>
      <c r="I220" s="9">
        <f>H220-P220</f>
        <v>0</v>
      </c>
      <c r="J220" s="9">
        <f>I220-Q220</f>
        <v>0</v>
      </c>
      <c r="K220" s="9">
        <f>J220-R220</f>
        <v>0</v>
      </c>
      <c r="L220" s="9">
        <f>K220-S220</f>
        <v>0</v>
      </c>
      <c r="M220" s="9">
        <f>L220-T220</f>
        <v>0</v>
      </c>
      <c r="N220" s="9"/>
      <c r="O220" s="9">
        <f t="shared" ref="O220:T220" si="59">IF(OR($C220="Annual",$D220=$E220),IF(AND($D220=$E220,O$77=$B220+$D220),$H220,IF(AND(O$77&gt;$B220+$D220,O$77&lt;=$B220+$E220), $H220/($E220-$D220),0)), IF(OR(O$77=$B220+$D220,O$77=$B220+$E220),$H220/(($E220-$D220)*2),IF(AND(O$77&gt;$B220+$D220,O$77&lt;$B220+$E220),$H220/($E220-$D220),0)))</f>
        <v>0</v>
      </c>
      <c r="P220" s="9">
        <f t="shared" si="59"/>
        <v>0</v>
      </c>
      <c r="Q220" s="9">
        <f t="shared" si="59"/>
        <v>0</v>
      </c>
      <c r="R220" s="9">
        <f t="shared" si="59"/>
        <v>0</v>
      </c>
      <c r="S220" s="9">
        <f t="shared" si="59"/>
        <v>0</v>
      </c>
      <c r="T220" s="9">
        <f t="shared" si="59"/>
        <v>0</v>
      </c>
      <c r="U220" s="9"/>
      <c r="V220" s="9">
        <f>IF($C220="annual",IF(V$77=$B220,0,G220*$F220),IF(V$77-$B220=0,H220*$F220/2,IF((V$77-$B220)&lt;$E220,AVERAGE(G220,H220)*$F220,IF((V$77-$B220)=$E220,G220*$F220/2,0))))</f>
        <v>0</v>
      </c>
      <c r="W220" s="9">
        <f>IF($C220="annual",IF(W$77=$B220,0,H220*$F220),IF(W$77-$B220=0,I220*$F220/2,IF((W$77-$B220)&lt;$E220,AVERAGE(H220,I220)*$F220,IF((W$77-$B220)=$E220,H220*$F220/2,0))))</f>
        <v>0</v>
      </c>
      <c r="X220" s="9">
        <f>IF($C220="annual",IF(X$77=$B220,0,I220*$F220),IF(X$77-$B220=0,J220*$F220/2,IF((X$77-$B220)&lt;$E220,AVERAGE(I220,J220)*$F220,IF((X$77-$B220)=$E220,I220*$F220/2,0))))</f>
        <v>0</v>
      </c>
      <c r="Y220" s="9">
        <f>IF($C220="annual",IF(Y$77=$B220,0,J220*$F220),IF(Y$77-$B220=0,K220*$F220/2,IF((Y$77-$B220)&lt;$E220,AVERAGE(J220,K220)*$F220,IF((Y$77-$B220)=$E220,J220*$F220/2,0))))</f>
        <v>0</v>
      </c>
      <c r="Z220" s="9">
        <f>IF($C220="annual",IF(Z$77=$B220,0,K220*$F220),IF(Z$77-$B220=0,L220*$F220/2,IF((Z$77-$B220)&lt;$E220,AVERAGE(K220,L220)*$F220,IF((Z$77-$B220)=$E220,K220*$F220/2,0))))</f>
        <v>0</v>
      </c>
      <c r="AA220" s="9">
        <f t="shared" ref="AA220:AA225" si="60">IF($C220="annual",IF(AA$77=$B220,0,L220*$F220),IF(AA$77-$B220=0,M220*$F220/2,IF((AA$77-$B220)&lt;$E220,AVERAGE(L220,M220)*$F220,IF((AA$77-$B220)=$E220,L220*$F220/2,0))))</f>
        <v>0</v>
      </c>
    </row>
    <row r="221" spans="1:27">
      <c r="A221" s="8" t="str">
        <f>A220</f>
        <v>Type 14</v>
      </c>
      <c r="B221" s="7">
        <f>B220+1</f>
        <v>2019</v>
      </c>
      <c r="C221" s="7" t="str">
        <f>C220</f>
        <v>Annual</v>
      </c>
      <c r="D221" s="7">
        <f t="shared" ref="D221:E225" si="61">D220</f>
        <v>0</v>
      </c>
      <c r="E221" s="7">
        <f t="shared" si="61"/>
        <v>0</v>
      </c>
      <c r="F221" s="14">
        <f>$M$63</f>
        <v>0</v>
      </c>
      <c r="H221" s="9"/>
      <c r="I221" s="9">
        <f>$C$63</f>
        <v>0</v>
      </c>
      <c r="J221" s="9">
        <f>I221-Q221</f>
        <v>0</v>
      </c>
      <c r="K221" s="9">
        <f>J221-R221</f>
        <v>0</v>
      </c>
      <c r="L221" s="9">
        <f>K221-S221</f>
        <v>0</v>
      </c>
      <c r="M221" s="9">
        <f>L221-T221</f>
        <v>0</v>
      </c>
      <c r="N221" s="9"/>
      <c r="O221" s="9"/>
      <c r="P221" s="9">
        <f>IF(OR($C221="Annual",$D221=$E221),IF(AND($D221=$E221,P$77=$B221+$D221),$I221,IF(AND(P$77&gt;$B221+$D221,P$77&lt;=$B221+$E221), $I221/($E221-$D221),0)), IF(OR(P$77=$B221+$D221,P$77=$B221+$E221),$I221/(($E221-$D221)*2),IF(AND(P$77&gt;$B221+$D221,P$77&lt;$B221+$E221),$I221/($E221-$D221),0)))</f>
        <v>0</v>
      </c>
      <c r="Q221" s="9">
        <f>IF(OR($C221="Annual",$D221=$E221),IF(AND($D221=$E221,Q$77=$B221+$D221),$I221,IF(AND(Q$77&gt;$B221+$D221,Q$77&lt;=$B221+$E221), $I221/($E221-$D221),0)), IF(OR(Q$77=$B221+$D221,Q$77=$B221+$E221),$I221/(($E221-$D221)*2),IF(AND(Q$77&gt;$B221+$D221,Q$77&lt;$B221+$E221),$I221/($E221-$D221),0)))</f>
        <v>0</v>
      </c>
      <c r="R221" s="9">
        <f>IF(OR($C221="Annual",$D221=$E221),IF(AND($D221=$E221,R$77=$B221+$D221),$I221,IF(AND(R$77&gt;$B221+$D221,R$77&lt;=$B221+$E221), $I221/($E221-$D221),0)), IF(OR(R$77=$B221+$D221,R$77=$B221+$E221),$I221/(($E221-$D221)*2),IF(AND(R$77&gt;$B221+$D221,R$77&lt;$B221+$E221),$I221/($E221-$D221),0)))</f>
        <v>0</v>
      </c>
      <c r="S221" s="9">
        <f>IF(OR($C221="Annual",$D221=$E221),IF(AND($D221=$E221,S$77=$B221+$D221),$I221,IF(AND(S$77&gt;$B221+$D221,S$77&lt;=$B221+$E221), $I221/($E221-$D221),0)), IF(OR(S$77=$B221+$D221,S$77=$B221+$E221),$I221/(($E221-$D221)*2),IF(AND(S$77&gt;$B221+$D221,S$77&lt;$B221+$E221),$I221/($E221-$D221),0)))</f>
        <v>0</v>
      </c>
      <c r="T221" s="9">
        <f>IF(OR($C221="Annual",$D221=$E221),IF(AND($D221=$E221,T$77=$B221+$D221),$I221,IF(AND(T$77&gt;$B221+$D221,T$77&lt;=$B221+$E221), $I221/($E221-$D221),0)), IF(OR(T$77=$B221+$D221,T$77=$B221+$E221),$I221/(($E221-$D221)*2),IF(AND(T$77&gt;$B221+$D221,T$77&lt;$B221+$E221),$I221/($E221-$D221),0)))</f>
        <v>0</v>
      </c>
      <c r="U221" s="9"/>
      <c r="V221" s="9"/>
      <c r="W221" s="9">
        <f>IF($C221="annual",IF(W$77=$B221,0,H221*$F221),IF(W$77-$B221=0,I221*$F221/2,IF((W$77-$B221)&lt;$E221,AVERAGE(H221,I221)*$F221,IF((W$77-$B221)=$E221,H221*$F221/2,0))))</f>
        <v>0</v>
      </c>
      <c r="X221" s="9">
        <f>IF($C221="annual",IF(X$77=$B221,0,I221*$F221),IF(X$77-$B221=0,J221*$F221/2,IF((X$77-$B221)&lt;$E221,AVERAGE(I221,J221)*$F221,IF((X$77-$B221)=$E221,I221*$F221/2,0))))</f>
        <v>0</v>
      </c>
      <c r="Y221" s="9">
        <f>IF($C221="annual",IF(Y$77=$B221,0,J221*$F221),IF(Y$77-$B221=0,K221*$F221/2,IF((Y$77-$B221)&lt;$E221,AVERAGE(J221,K221)*$F221,IF((Y$77-$B221)=$E221,J221*$F221/2,0))))</f>
        <v>0</v>
      </c>
      <c r="Z221" s="9">
        <f>IF($C221="annual",IF(Z$77=$B221,0,K221*$F221),IF(Z$77-$B221=0,L221*$F221/2,IF((Z$77-$B221)&lt;$E221,AVERAGE(K221,L221)*$F221,IF((Z$77-$B221)=$E221,K221*$F221/2,0))))</f>
        <v>0</v>
      </c>
      <c r="AA221" s="9">
        <f t="shared" si="60"/>
        <v>0</v>
      </c>
    </row>
    <row r="222" spans="1:27">
      <c r="A222" s="8" t="str">
        <f>A221</f>
        <v>Type 14</v>
      </c>
      <c r="B222" s="7">
        <f>B221+1</f>
        <v>2020</v>
      </c>
      <c r="C222" s="7" t="str">
        <f>C221</f>
        <v>Annual</v>
      </c>
      <c r="D222" s="7">
        <f t="shared" si="61"/>
        <v>0</v>
      </c>
      <c r="E222" s="7">
        <f t="shared" si="61"/>
        <v>0</v>
      </c>
      <c r="F222" s="14">
        <f>$N$63</f>
        <v>0</v>
      </c>
      <c r="H222" s="9"/>
      <c r="I222" s="9"/>
      <c r="J222" s="9">
        <f>$D$63</f>
        <v>0</v>
      </c>
      <c r="K222" s="9">
        <f>J222-R222</f>
        <v>0</v>
      </c>
      <c r="L222" s="9">
        <f>K222-S222</f>
        <v>0</v>
      </c>
      <c r="M222" s="9">
        <f>L222-T222</f>
        <v>0</v>
      </c>
      <c r="N222" s="9"/>
      <c r="O222" s="9"/>
      <c r="P222" s="9"/>
      <c r="Q222" s="9">
        <f>IF(OR($C222="Annual",$D222=$E222),IF(AND($D222=$E222,Q$77=$B222+$D222),$J222,IF(AND(Q$77&gt;$B222+$D222,Q$77&lt;=$B222+$E222), $J222/($E222-$D222),0)), IF(OR(Q$77=$B222+$D222,Q$77=$B222+$E222),$J222/(($E222-$D222)*2),IF(AND(Q$77&gt;$B222+$D222,Q$77&lt;$B222+$E222),$J222/($E222-$D222),0)))</f>
        <v>0</v>
      </c>
      <c r="R222" s="9">
        <f>IF(OR($C222="Annual",$D222=$E222),IF(AND($D222=$E222,R$77=$B222+$D222),$J222,IF(AND(R$77&gt;$B222+$D222,R$77&lt;=$B222+$E222), $J222/($E222-$D222),0)), IF(OR(R$77=$B222+$D222,R$77=$B222+$E222),$J222/(($E222-$D222)*2),IF(AND(R$77&gt;$B222+$D222,R$77&lt;$B222+$E222),$J222/($E222-$D222),0)))</f>
        <v>0</v>
      </c>
      <c r="S222" s="9">
        <f>IF(OR($C222="Annual",$D222=$E222),IF(AND($D222=$E222,S$77=$B222+$D222),$J222,IF(AND(S$77&gt;$B222+$D222,S$77&lt;=$B222+$E222), $J222/($E222-$D222),0)), IF(OR(S$77=$B222+$D222,S$77=$B222+$E222),$J222/(($E222-$D222)*2),IF(AND(S$77&gt;$B222+$D222,S$77&lt;$B222+$E222),$J222/($E222-$D222),0)))</f>
        <v>0</v>
      </c>
      <c r="T222" s="9">
        <f>IF(OR($C222="Annual",$D222=$E222),IF(AND($D222=$E222,T$77=$B222+$D222),$J222,IF(AND(T$77&gt;$B222+$D222,T$77&lt;=$B222+$E222), $J222/($E222-$D222),0)), IF(OR(T$77=$B222+$D222,T$77=$B222+$E222),$J222/(($E222-$D222)*2),IF(AND(T$77&gt;$B222+$D222,T$77&lt;$B222+$E222),$J222/($E222-$D222),0)))</f>
        <v>0</v>
      </c>
      <c r="U222" s="9"/>
      <c r="V222" s="9"/>
      <c r="W222" s="9"/>
      <c r="X222" s="9">
        <f>IF($C222="annual",IF(X$77=$B222,0,I222*$F222),IF(X$77-$B222=0,J222*$F222/2,IF((X$77-$B222)&lt;$E222,AVERAGE(I222,J222)*$F222,IF((X$77-$B222)=$E222,I222*$F222/2,0))))</f>
        <v>0</v>
      </c>
      <c r="Y222" s="9">
        <f>IF($C222="annual",IF(Y$77=$B222,0,J222*$F222),IF(Y$77-$B222=0,K222*$F222/2,IF((Y$77-$B222)&lt;$E222,AVERAGE(J222,K222)*$F222,IF((Y$77-$B222)=$E222,J222*$F222/2,0))))</f>
        <v>0</v>
      </c>
      <c r="Z222" s="9">
        <f>IF($C222="annual",IF(Z$77=$B222,0,K222*$F222),IF(Z$77-$B222=0,L222*$F222/2,IF((Z$77-$B222)&lt;$E222,AVERAGE(K222,L222)*$F222,IF((Z$77-$B222)=$E222,K222*$F222/2,0))))</f>
        <v>0</v>
      </c>
      <c r="AA222" s="9">
        <f t="shared" si="60"/>
        <v>0</v>
      </c>
    </row>
    <row r="223" spans="1:27">
      <c r="A223" s="8" t="str">
        <f>A222</f>
        <v>Type 14</v>
      </c>
      <c r="B223" s="7">
        <f>B222+1</f>
        <v>2021</v>
      </c>
      <c r="C223" s="7" t="str">
        <f>C222</f>
        <v>Annual</v>
      </c>
      <c r="D223" s="7">
        <f t="shared" si="61"/>
        <v>0</v>
      </c>
      <c r="E223" s="7">
        <f t="shared" si="61"/>
        <v>0</v>
      </c>
      <c r="F223" s="14">
        <f>$O$63</f>
        <v>0</v>
      </c>
      <c r="H223" s="9"/>
      <c r="I223" s="9"/>
      <c r="J223" s="9"/>
      <c r="K223" s="9">
        <f>$E$63</f>
        <v>0</v>
      </c>
      <c r="L223" s="9">
        <f>K223-S223</f>
        <v>0</v>
      </c>
      <c r="M223" s="9">
        <f>L223-T223</f>
        <v>0</v>
      </c>
      <c r="N223" s="9"/>
      <c r="O223" s="9"/>
      <c r="P223" s="9"/>
      <c r="Q223" s="9"/>
      <c r="R223" s="9">
        <f>IF(OR($C223="Annual",$D223=$E223),IF(AND($D223=$E223,R$77=$B223+$D223),$K223,IF(AND(R$77&gt;$B223+$D223,R$77&lt;=$B223+$E223), $K223/($E223-$D223),0)), IF(OR(R$77=$B223+$D223,R$77=$B223+$E223),$K223/(($E223-$D223)*2),IF(AND(R$77&gt;$B223+$D223,R$77&lt;$B223+$E223),$K223/($E223-$D223),0)))</f>
        <v>0</v>
      </c>
      <c r="S223" s="9">
        <f>IF(OR($C223="Annual",$D223=$E223),IF(AND($D223=$E223,S$77=$B223+$D223),$K223,IF(AND(S$77&gt;$B223+$D223,S$77&lt;=$B223+$E223), $K223/($E223-$D223),0)), IF(OR(S$77=$B223+$D223,S$77=$B223+$E223),$K223/(($E223-$D223)*2),IF(AND(S$77&gt;$B223+$D223,S$77&lt;$B223+$E223),$K223/($E223-$D223),0)))</f>
        <v>0</v>
      </c>
      <c r="T223" s="9">
        <f>IF(OR($C223="Annual",$D223=$E223),IF(AND($D223=$E223,T$77=$B223+$D223),$K223,IF(AND(T$77&gt;$B223+$D223,T$77&lt;=$B223+$E223), $K223/($E223-$D223),0)), IF(OR(T$77=$B223+$D223,T$77=$B223+$E223),$K223/(($E223-$D223)*2),IF(AND(T$77&gt;$B223+$D223,T$77&lt;$B223+$E223),$K223/($E223-$D223),0)))</f>
        <v>0</v>
      </c>
      <c r="U223" s="9"/>
      <c r="V223" s="9"/>
      <c r="W223" s="9"/>
      <c r="X223" s="9"/>
      <c r="Y223" s="9">
        <f>IF($C223="annual",IF(Y$77=$B223,0,J223*$F223),IF(Y$77-$B223=0,K223*$F223/2,IF((Y$77-$B223)&lt;$E223,AVERAGE(J223,K223)*$F223,IF((Y$77-$B223)=$E223,J223*$F223/2,0))))</f>
        <v>0</v>
      </c>
      <c r="Z223" s="9">
        <f>IF($C223="annual",IF(Z$77=$B223,0,K223*$F223),IF(Z$77-$B223=0,L223*$F223/2,IF((Z$77-$B223)&lt;$E223,AVERAGE(K223,L223)*$F223,IF((Z$77-$B223)=$E223,K223*$F223/2,0))))</f>
        <v>0</v>
      </c>
      <c r="AA223" s="9">
        <f t="shared" si="60"/>
        <v>0</v>
      </c>
    </row>
    <row r="224" spans="1:27">
      <c r="A224" s="8" t="str">
        <f>A223</f>
        <v>Type 14</v>
      </c>
      <c r="B224" s="7">
        <f>B223+1</f>
        <v>2022</v>
      </c>
      <c r="C224" s="7" t="str">
        <f>C223</f>
        <v>Annual</v>
      </c>
      <c r="D224" s="7">
        <f t="shared" si="61"/>
        <v>0</v>
      </c>
      <c r="E224" s="7">
        <f t="shared" si="61"/>
        <v>0</v>
      </c>
      <c r="F224" s="14">
        <f>$P$63</f>
        <v>0</v>
      </c>
      <c r="H224" s="9"/>
      <c r="I224" s="9"/>
      <c r="J224" s="9"/>
      <c r="K224" s="9"/>
      <c r="L224" s="9">
        <f>$F$63</f>
        <v>0</v>
      </c>
      <c r="M224" s="9">
        <f>L224-T224</f>
        <v>0</v>
      </c>
      <c r="N224" s="9"/>
      <c r="O224" s="9"/>
      <c r="P224" s="9"/>
      <c r="Q224" s="9"/>
      <c r="R224" s="9"/>
      <c r="S224" s="9">
        <f>IF(OR($C224="Annual",$D224=$E224),IF(AND($D224=$E224,S$77=$B224+$D224),$L224,IF(AND(S$77&gt;$B224+$D224,S$77&lt;=$B224+$E224), $L224/($E224-$D224),0)), IF(OR(S$77=$B224+$D224,S$77=$B224+$E224),$L224/(($E224-$D224)*2),IF(AND(S$77&gt;$B224+$D224,S$77&lt;$B224+$E224),$L224/($E224-$D224),0)))</f>
        <v>0</v>
      </c>
      <c r="T224" s="9">
        <f>IF(OR($C224="Annual",$D224=$E224),IF(AND($D224=$E224,T$77=$B224+$D224),$L224,IF(AND(T$77&gt;$B224+$D224,T$77&lt;=$B224+$E224), $L224/($E224-$D224),0)), IF(OR(T$77=$B224+$D224,T$77=$B224+$E224),$L224/(($E224-$D224)*2),IF(AND(T$77&gt;$B224+$D224,T$77&lt;$B224+$E224),$L224/($E224-$D224),0)))</f>
        <v>0</v>
      </c>
      <c r="U224" s="9"/>
      <c r="V224" s="9"/>
      <c r="W224" s="9"/>
      <c r="X224" s="9"/>
      <c r="Y224" s="9"/>
      <c r="Z224" s="9">
        <f>IF($C224="annual",IF(Z$77=$B224,0,K224*$F224),IF(Z$77-$B224=0,L224*$F224/2,IF((Z$77-$B224)&lt;$E224,AVERAGE(K224,L224)*$F224,IF((Z$77-$B224)=$E224,K224*$F224/2,0))))</f>
        <v>0</v>
      </c>
      <c r="AA224" s="9">
        <f t="shared" si="60"/>
        <v>0</v>
      </c>
    </row>
    <row r="225" spans="1:27">
      <c r="A225" s="8" t="str">
        <f>A224</f>
        <v>Type 14</v>
      </c>
      <c r="B225" s="7">
        <f>B224+1</f>
        <v>2023</v>
      </c>
      <c r="C225" s="7" t="str">
        <f>C224</f>
        <v>Annual</v>
      </c>
      <c r="D225" s="7">
        <f t="shared" si="61"/>
        <v>0</v>
      </c>
      <c r="E225" s="7">
        <f t="shared" si="61"/>
        <v>0</v>
      </c>
      <c r="F225" s="14">
        <f>$Q$63</f>
        <v>0</v>
      </c>
      <c r="H225" s="9"/>
      <c r="I225" s="9"/>
      <c r="J225" s="9"/>
      <c r="K225" s="9"/>
      <c r="L225" s="9"/>
      <c r="M225" s="9">
        <f>$G$63</f>
        <v>0</v>
      </c>
      <c r="N225" s="9"/>
      <c r="O225" s="9"/>
      <c r="P225" s="9"/>
      <c r="Q225" s="9"/>
      <c r="R225" s="9"/>
      <c r="S225" s="9"/>
      <c r="T225" s="9">
        <f>IF(OR($C225="Annual",$D225=$E225),IF(AND($D225=$E225,T$77=$B225+$D225),$M225,IF(AND(T$77&gt;$B225+$D225,T$77&lt;=$B225+$E225), $M225/($E225-$D225),0)), IF(OR(T$77=$B225+$D225,T$77=$B225+$E225),$M225/(($E225-$D225)*2),IF(AND(T$77&gt;$B225+$D225,T$77&lt;$B225+$E225),$M225/($E225-$D225),0)))</f>
        <v>0</v>
      </c>
      <c r="U225" s="9"/>
      <c r="V225" s="9"/>
      <c r="W225" s="9"/>
      <c r="X225" s="9"/>
      <c r="Y225" s="9"/>
      <c r="Z225" s="9"/>
      <c r="AA225" s="9">
        <f t="shared" si="60"/>
        <v>0</v>
      </c>
    </row>
    <row r="226" spans="1:27" ht="6.75" customHeight="1">
      <c r="B226" s="6"/>
      <c r="C226" s="281"/>
      <c r="F226" s="15"/>
      <c r="H226" s="10"/>
      <c r="I226" s="10"/>
      <c r="J226" s="10"/>
      <c r="K226" s="10"/>
      <c r="L226" s="10"/>
      <c r="M226" s="10"/>
      <c r="N226" s="10"/>
      <c r="O226" s="10"/>
      <c r="P226" s="10"/>
      <c r="Q226" s="10"/>
      <c r="R226" s="10"/>
      <c r="S226" s="10"/>
      <c r="T226" s="10"/>
      <c r="U226" s="10"/>
      <c r="V226" s="10"/>
      <c r="W226" s="10"/>
      <c r="X226" s="10"/>
      <c r="Y226" s="10"/>
      <c r="Z226" s="10"/>
      <c r="AA226" s="10"/>
    </row>
    <row r="227" spans="1:27" s="1150" customFormat="1">
      <c r="A227" s="1347" t="str">
        <f>A64</f>
        <v>ZERO-COUPON BOND</v>
      </c>
      <c r="B227" s="1348">
        <f>B85</f>
        <v>2018</v>
      </c>
      <c r="C227" s="1348"/>
      <c r="D227" s="1348">
        <f>$J64</f>
        <v>0</v>
      </c>
      <c r="E227" s="1348">
        <f>$K64</f>
        <v>0</v>
      </c>
      <c r="F227" s="1349">
        <f>$L$64</f>
        <v>0</v>
      </c>
      <c r="H227" s="1350">
        <f>$B$64</f>
        <v>0</v>
      </c>
      <c r="I227" s="1350">
        <f>H227-P227</f>
        <v>0</v>
      </c>
      <c r="J227" s="1350">
        <f>I227-Q227</f>
        <v>0</v>
      </c>
      <c r="K227" s="1350">
        <f>J227-R227</f>
        <v>0</v>
      </c>
      <c r="L227" s="1350">
        <f>K227-S227</f>
        <v>0</v>
      </c>
      <c r="M227" s="1350">
        <f>L227-T227</f>
        <v>0</v>
      </c>
      <c r="N227" s="1350"/>
      <c r="O227" s="1350">
        <f t="shared" ref="O227:T227" si="62">IF($D227=$E227,IF(O$77=$B227+$E227,$H227,0),0)</f>
        <v>0</v>
      </c>
      <c r="P227" s="1350">
        <f t="shared" si="62"/>
        <v>0</v>
      </c>
      <c r="Q227" s="1350">
        <f t="shared" si="62"/>
        <v>0</v>
      </c>
      <c r="R227" s="1350">
        <f t="shared" si="62"/>
        <v>0</v>
      </c>
      <c r="S227" s="1350">
        <f t="shared" si="62"/>
        <v>0</v>
      </c>
      <c r="T227" s="1350">
        <f t="shared" si="62"/>
        <v>0</v>
      </c>
      <c r="U227" s="1350"/>
      <c r="V227" s="1350">
        <f t="shared" ref="V227:AA227" si="63">IF(V$77-$B227=$D227,$H227*(((1+$F227)^$D227)-1),0)</f>
        <v>0</v>
      </c>
      <c r="W227" s="1350">
        <f t="shared" si="63"/>
        <v>0</v>
      </c>
      <c r="X227" s="1350">
        <f t="shared" si="63"/>
        <v>0</v>
      </c>
      <c r="Y227" s="1350">
        <f t="shared" si="63"/>
        <v>0</v>
      </c>
      <c r="Z227" s="1350">
        <f t="shared" si="63"/>
        <v>0</v>
      </c>
      <c r="AA227" s="1350">
        <f t="shared" si="63"/>
        <v>0</v>
      </c>
    </row>
    <row r="228" spans="1:27" s="1150" customFormat="1">
      <c r="A228" s="1347" t="str">
        <f>A227</f>
        <v>ZERO-COUPON BOND</v>
      </c>
      <c r="B228" s="1348">
        <f>B227+1</f>
        <v>2019</v>
      </c>
      <c r="C228" s="1348"/>
      <c r="D228" s="1348">
        <f t="shared" ref="D228:E232" si="64">D227</f>
        <v>0</v>
      </c>
      <c r="E228" s="1348">
        <f t="shared" si="64"/>
        <v>0</v>
      </c>
      <c r="F228" s="1349">
        <f>$M$64</f>
        <v>0</v>
      </c>
      <c r="H228" s="1350"/>
      <c r="I228" s="1350">
        <f>$C$64</f>
        <v>0</v>
      </c>
      <c r="J228" s="1350">
        <f>I228-Q228</f>
        <v>0</v>
      </c>
      <c r="K228" s="1350">
        <f>J228-R228</f>
        <v>0</v>
      </c>
      <c r="L228" s="1350">
        <f>K228-S228</f>
        <v>0</v>
      </c>
      <c r="M228" s="1350">
        <f>L228-T228</f>
        <v>0</v>
      </c>
      <c r="N228" s="1350"/>
      <c r="O228" s="1351"/>
      <c r="P228" s="1350">
        <f>IF($D228=$E228,IF(P$77=$B228+$E228,$I228,0),0)</f>
        <v>0</v>
      </c>
      <c r="Q228" s="1350">
        <f>IF($D228=$E228,IF(Q$77=$B228+$E228,$I228,0),0)</f>
        <v>0</v>
      </c>
      <c r="R228" s="1350">
        <f>IF($D228=$E228,IF(R$77=$B228+$E228,$I228,0),0)</f>
        <v>0</v>
      </c>
      <c r="S228" s="1350">
        <f>IF($D228=$E228,IF(S$77=$B228+$E228,$I228,0),0)</f>
        <v>0</v>
      </c>
      <c r="T228" s="1350">
        <f>IF($D228=$E228,IF(T$77=$B228+$E228,$I228,0),0)</f>
        <v>0</v>
      </c>
      <c r="U228" s="1350"/>
      <c r="V228" s="1350"/>
      <c r="W228" s="1350">
        <f>IF(W$77-$B228=$D228,$I228*(((1+$F228)^$D228)-1),0)</f>
        <v>0</v>
      </c>
      <c r="X228" s="1350">
        <f>IF(X$77-$B228=$D228,$I228*(((1+$F228)^$D228)-1),0)</f>
        <v>0</v>
      </c>
      <c r="Y228" s="1350">
        <f>IF(Y$77-$B228=$D228,$I228*(((1+$F228)^$D228)-1),0)</f>
        <v>0</v>
      </c>
      <c r="Z228" s="1350">
        <f>IF(Z$77-$B228=$D228,$I228*(((1+$F228)^$D228)-1),0)</f>
        <v>0</v>
      </c>
      <c r="AA228" s="1350">
        <f>IF(AA$77-$B228=$D228,$I228*(((1+$F228)^$D228)-1),0)</f>
        <v>0</v>
      </c>
    </row>
    <row r="229" spans="1:27" s="1150" customFormat="1">
      <c r="A229" s="1347" t="str">
        <f>A228</f>
        <v>ZERO-COUPON BOND</v>
      </c>
      <c r="B229" s="1348">
        <f>B228+1</f>
        <v>2020</v>
      </c>
      <c r="C229" s="1348"/>
      <c r="D229" s="1348">
        <f t="shared" si="64"/>
        <v>0</v>
      </c>
      <c r="E229" s="1348">
        <f t="shared" si="64"/>
        <v>0</v>
      </c>
      <c r="F229" s="1349">
        <f>$N$64</f>
        <v>0</v>
      </c>
      <c r="H229" s="1350"/>
      <c r="I229" s="1350"/>
      <c r="J229" s="1350">
        <f>$D$64</f>
        <v>0</v>
      </c>
      <c r="K229" s="1350">
        <f>J229-R229</f>
        <v>0</v>
      </c>
      <c r="L229" s="1350">
        <f>K229-S229</f>
        <v>0</v>
      </c>
      <c r="M229" s="1350">
        <f>L229-T229</f>
        <v>0</v>
      </c>
      <c r="N229" s="1350"/>
      <c r="O229" s="1351"/>
      <c r="P229" s="1350"/>
      <c r="Q229" s="1350">
        <f>IF($D229=$E229,IF(Q$77=$B229+$E229,$J229,0),0)</f>
        <v>0</v>
      </c>
      <c r="R229" s="1350">
        <f>IF($D229=$E229,IF(R$77=$B229+$E229,$J229,0),0)</f>
        <v>0</v>
      </c>
      <c r="S229" s="1350">
        <f>IF($D229=$E229,IF(S$77=$B229+$E229,$J229,0),0)</f>
        <v>0</v>
      </c>
      <c r="T229" s="1350">
        <f>IF($D229=$E229,IF(T$77=$B229+$E229,$J229,0),0)</f>
        <v>0</v>
      </c>
      <c r="U229" s="1350"/>
      <c r="V229" s="1350"/>
      <c r="W229" s="1350"/>
      <c r="X229" s="1350">
        <f>IF(X$77-$B229=$D229,$J229*(((1+$F229)^$D229)-1),0)</f>
        <v>0</v>
      </c>
      <c r="Y229" s="1350">
        <f>IF(Y$77-$B229=$D229,$J229*(((1+$F229)^$D229)-1),0)</f>
        <v>0</v>
      </c>
      <c r="Z229" s="1350">
        <f>IF(Z$77-$B229=$D229,$J229*(((1+$F229)^$D229)-1),0)</f>
        <v>0</v>
      </c>
      <c r="AA229" s="1350">
        <f>IF(AA$77-$B229=$D229,$J229*(((1+$F229)^$D229)-1),0)</f>
        <v>0</v>
      </c>
    </row>
    <row r="230" spans="1:27" s="1150" customFormat="1">
      <c r="A230" s="1347" t="str">
        <f>A229</f>
        <v>ZERO-COUPON BOND</v>
      </c>
      <c r="B230" s="1348">
        <f>B229+1</f>
        <v>2021</v>
      </c>
      <c r="C230" s="1348"/>
      <c r="D230" s="1348">
        <f t="shared" si="64"/>
        <v>0</v>
      </c>
      <c r="E230" s="1348">
        <f t="shared" si="64"/>
        <v>0</v>
      </c>
      <c r="F230" s="1349">
        <f>$O$64</f>
        <v>0</v>
      </c>
      <c r="H230" s="1350"/>
      <c r="I230" s="1350"/>
      <c r="J230" s="1350"/>
      <c r="K230" s="1350">
        <f>$E$64</f>
        <v>0</v>
      </c>
      <c r="L230" s="1350">
        <f>K230-S230</f>
        <v>0</v>
      </c>
      <c r="M230" s="1350">
        <f>L230-T230</f>
        <v>0</v>
      </c>
      <c r="N230" s="1350"/>
      <c r="O230" s="1351"/>
      <c r="P230" s="1350"/>
      <c r="Q230" s="1350"/>
      <c r="R230" s="1350">
        <f>IF($D230=$E230,IF(R$77=$B230+$E230,$K230,0),0)</f>
        <v>0</v>
      </c>
      <c r="S230" s="1350">
        <f>IF($D230=$E230,IF(S$77=$B230+$E230,$K230,0),0)</f>
        <v>0</v>
      </c>
      <c r="T230" s="1350">
        <f>IF($D230=$E230,IF(T$77=$B230+$E230,$K230,0),0)</f>
        <v>0</v>
      </c>
      <c r="U230" s="1350"/>
      <c r="V230" s="1350"/>
      <c r="W230" s="1350"/>
      <c r="X230" s="1350"/>
      <c r="Y230" s="1350">
        <f>IF(Y$77-$B230=$D230,$K230*(((1+$F230)^$D230)-1),0)</f>
        <v>0</v>
      </c>
      <c r="Z230" s="1350">
        <f>IF(Z$77-$B230=$D230,$K230*(((1+$F230)^$D230)-1),0)</f>
        <v>0</v>
      </c>
      <c r="AA230" s="1350">
        <f>IF(AA$77-$B230=$D230,$K230*(((1+$F230)^$D230)-1),0)</f>
        <v>0</v>
      </c>
    </row>
    <row r="231" spans="1:27" s="1150" customFormat="1">
      <c r="A231" s="1347" t="str">
        <f>A230</f>
        <v>ZERO-COUPON BOND</v>
      </c>
      <c r="B231" s="1348">
        <f>B230+1</f>
        <v>2022</v>
      </c>
      <c r="C231" s="1348"/>
      <c r="D231" s="1348">
        <f t="shared" si="64"/>
        <v>0</v>
      </c>
      <c r="E231" s="1348">
        <f t="shared" si="64"/>
        <v>0</v>
      </c>
      <c r="F231" s="1349">
        <f>$P$64</f>
        <v>0</v>
      </c>
      <c r="H231" s="1350"/>
      <c r="I231" s="1350"/>
      <c r="J231" s="1350"/>
      <c r="K231" s="1350"/>
      <c r="L231" s="1350">
        <f>$F$64</f>
        <v>0</v>
      </c>
      <c r="M231" s="1350">
        <f>L231-T231</f>
        <v>0</v>
      </c>
      <c r="N231" s="1350"/>
      <c r="O231" s="1351"/>
      <c r="P231" s="1350"/>
      <c r="Q231" s="1350"/>
      <c r="R231" s="1350"/>
      <c r="S231" s="1350">
        <f>IF($D231=$E231,IF(S$77=$B231+$E231,$L231,0),0)</f>
        <v>0</v>
      </c>
      <c r="T231" s="1350">
        <f>IF($D231=$E231,IF(T$77=$B231+$E231,$L231,0),0)</f>
        <v>0</v>
      </c>
      <c r="U231" s="1350"/>
      <c r="V231" s="1350"/>
      <c r="W231" s="1350"/>
      <c r="X231" s="1350"/>
      <c r="Y231" s="1350"/>
      <c r="Z231" s="1350">
        <f>IF(Z$77-$B231=$D231,$L231*(((1+$F231)^$D231)-1),0)</f>
        <v>0</v>
      </c>
      <c r="AA231" s="1350">
        <f>IF(AA$77-$B231=$D231,$L231*(((1+$F231)^$D231)-1),0)</f>
        <v>0</v>
      </c>
    </row>
    <row r="232" spans="1:27" s="1150" customFormat="1">
      <c r="A232" s="1347" t="str">
        <f>A231</f>
        <v>ZERO-COUPON BOND</v>
      </c>
      <c r="B232" s="1348">
        <f>B231+1</f>
        <v>2023</v>
      </c>
      <c r="C232" s="1348"/>
      <c r="D232" s="1348">
        <f t="shared" si="64"/>
        <v>0</v>
      </c>
      <c r="E232" s="1348">
        <f t="shared" si="64"/>
        <v>0</v>
      </c>
      <c r="F232" s="1349">
        <f>$Q$64</f>
        <v>0</v>
      </c>
      <c r="H232" s="1350"/>
      <c r="I232" s="1350"/>
      <c r="J232" s="1350"/>
      <c r="K232" s="1350"/>
      <c r="L232" s="1350"/>
      <c r="M232" s="1350">
        <f>$G$64</f>
        <v>0</v>
      </c>
      <c r="N232" s="1350"/>
      <c r="O232" s="1351"/>
      <c r="P232" s="1350"/>
      <c r="Q232" s="1350"/>
      <c r="R232" s="1350"/>
      <c r="S232" s="1350"/>
      <c r="T232" s="1350">
        <f>IF($D232=$E232,IF(T$77=$B232+$E232,$M232,0),0)</f>
        <v>0</v>
      </c>
      <c r="U232" s="1350"/>
      <c r="V232" s="1350"/>
      <c r="W232" s="1350"/>
      <c r="X232" s="1350"/>
      <c r="Y232" s="1350"/>
      <c r="Z232" s="1350"/>
      <c r="AA232" s="1350">
        <f>IF(AA$77-$B232=$D232,$M232*(((1+$F232)^$D232)-1),0)</f>
        <v>0</v>
      </c>
    </row>
    <row r="233" spans="1:27" ht="6.75" customHeight="1" thickBot="1">
      <c r="B233" s="6"/>
      <c r="H233" s="10"/>
      <c r="I233" s="10"/>
      <c r="J233" s="10"/>
      <c r="K233" s="10"/>
      <c r="L233" s="10"/>
      <c r="M233" s="10"/>
      <c r="N233" s="10"/>
      <c r="O233" s="10"/>
      <c r="P233" s="10"/>
      <c r="Q233" s="10"/>
      <c r="R233" s="10"/>
      <c r="S233" s="10"/>
      <c r="T233" s="10"/>
      <c r="U233" s="10"/>
      <c r="V233" s="10"/>
      <c r="W233" s="10"/>
      <c r="X233" s="10"/>
      <c r="Y233" s="10"/>
      <c r="Z233" s="10"/>
      <c r="AA233" s="10"/>
    </row>
    <row r="234" spans="1:27" ht="15.75" customHeight="1" thickBot="1">
      <c r="A234" s="12" t="str">
        <f>A65</f>
        <v>Denominated in foreign currency</v>
      </c>
      <c r="B234" s="6"/>
      <c r="C234" s="1999" t="s">
        <v>52</v>
      </c>
      <c r="D234" s="2000"/>
      <c r="E234" s="2000"/>
      <c r="F234" s="2000"/>
      <c r="G234" s="2000"/>
      <c r="H234" s="2000"/>
      <c r="I234" s="2000"/>
      <c r="J234" s="2000"/>
      <c r="K234" s="2000"/>
      <c r="L234" s="2000"/>
      <c r="M234" s="2000"/>
      <c r="N234" s="2000"/>
      <c r="O234" s="2000"/>
      <c r="P234" s="2000"/>
      <c r="Q234" s="2000"/>
      <c r="R234" s="2000"/>
      <c r="S234" s="2000"/>
      <c r="T234" s="2000"/>
      <c r="U234" s="2000"/>
      <c r="V234" s="2000"/>
      <c r="W234" s="2000"/>
      <c r="X234" s="2000"/>
      <c r="Y234" s="2000"/>
      <c r="Z234" s="2000"/>
      <c r="AA234" s="2001"/>
    </row>
    <row r="235" spans="1:27" ht="6.75" customHeight="1">
      <c r="B235" s="6"/>
      <c r="H235" s="10"/>
      <c r="I235" s="10"/>
      <c r="J235" s="10"/>
      <c r="K235" s="10"/>
      <c r="L235" s="10"/>
      <c r="M235" s="10"/>
      <c r="N235" s="10"/>
      <c r="O235" s="10"/>
      <c r="P235" s="10"/>
      <c r="Q235" s="10"/>
      <c r="R235" s="10"/>
      <c r="S235" s="10"/>
      <c r="T235" s="10"/>
      <c r="U235" s="10"/>
      <c r="V235" s="10"/>
      <c r="W235" s="10"/>
      <c r="X235" s="10"/>
      <c r="Y235" s="10"/>
      <c r="Z235" s="10"/>
      <c r="AA235" s="10"/>
    </row>
    <row r="236" spans="1:27">
      <c r="A236" s="8" t="str">
        <f>A66</f>
        <v>Type 16</v>
      </c>
      <c r="B236" s="7">
        <f>B85</f>
        <v>2018</v>
      </c>
      <c r="C236" s="7" t="str">
        <f>$I66</f>
        <v>Annual</v>
      </c>
      <c r="D236" s="7">
        <f>$J66</f>
        <v>0</v>
      </c>
      <c r="E236" s="7">
        <f>$K66</f>
        <v>0</v>
      </c>
      <c r="F236" s="14">
        <f>$L$66</f>
        <v>0</v>
      </c>
      <c r="H236" s="9">
        <f>B$66/B$8</f>
        <v>0</v>
      </c>
      <c r="I236" s="9">
        <f>H236-P236</f>
        <v>0</v>
      </c>
      <c r="J236" s="9">
        <f>I236-Q236</f>
        <v>0</v>
      </c>
      <c r="K236" s="9">
        <f>J236-R236</f>
        <v>0</v>
      </c>
      <c r="L236" s="9">
        <f>K236-S236</f>
        <v>0</v>
      </c>
      <c r="M236" s="9">
        <f>L236-T236</f>
        <v>0</v>
      </c>
      <c r="N236" s="9"/>
      <c r="O236" s="9">
        <f t="shared" ref="O236:T236" si="65">IF(OR($C236="Annual",$D236=$E236),IF(AND($D236=$E236,O$77=$B236+$D236),$H236,IF(AND(O$77&gt;$B236+$D236,O$77&lt;=$B236+$E236), $H236/($E236-$D236),0)), IF(OR(O$77=$B236+$D236,O$77=$B236+$E236),$H236/(($E236-$D236)*2),IF(AND(O$77&gt;$B236+$D236,O$77&lt;$B236+$E236),$H236/($E236-$D236),0)))</f>
        <v>0</v>
      </c>
      <c r="P236" s="9">
        <f t="shared" si="65"/>
        <v>0</v>
      </c>
      <c r="Q236" s="9">
        <f t="shared" si="65"/>
        <v>0</v>
      </c>
      <c r="R236" s="9">
        <f t="shared" si="65"/>
        <v>0</v>
      </c>
      <c r="S236" s="9">
        <f t="shared" si="65"/>
        <v>0</v>
      </c>
      <c r="T236" s="9">
        <f t="shared" si="65"/>
        <v>0</v>
      </c>
      <c r="U236" s="9"/>
      <c r="V236" s="9">
        <f>IF($C236="annual",IF(V$77=$B236,0,G236*$F236),IF(V$77-$B236=0,H236*$F236/2,IF((V$77-$B236)&lt;$E236,AVERAGE(G236,H236)*$F236,IF((V$77-$B236)=$E236,G236*$F236/2,0))))</f>
        <v>0</v>
      </c>
      <c r="W236" s="9">
        <f>IF($C236="annual",IF(W$77=$B236,0,H236*$F236),IF(W$77-$B236=0,I236*$F236/2,IF((W$77-$B236)&lt;$E236,AVERAGE(H236,I236)*$F236,IF((W$77-$B236)=$E236,H236*$F236/2,0))))</f>
        <v>0</v>
      </c>
      <c r="X236" s="9">
        <f t="shared" ref="W236:AA237" si="66">IF($C236="annual",IF(X$77=$B236,0,I236*$F236),IF(X$77-$B236=0,J236*$F236/2,IF((X$77-$B236)&lt;$E236,AVERAGE(I236,J236)*$F236,IF((X$77-$B236)=$E236,I236*$F236/2,0))))</f>
        <v>0</v>
      </c>
      <c r="Y236" s="9">
        <f t="shared" si="66"/>
        <v>0</v>
      </c>
      <c r="Z236" s="9">
        <f t="shared" si="66"/>
        <v>0</v>
      </c>
      <c r="AA236" s="9">
        <f t="shared" si="66"/>
        <v>0</v>
      </c>
    </row>
    <row r="237" spans="1:27">
      <c r="A237" s="8" t="str">
        <f>A236</f>
        <v>Type 16</v>
      </c>
      <c r="B237" s="7">
        <f>B236+1</f>
        <v>2019</v>
      </c>
      <c r="C237" s="7" t="str">
        <f>C236</f>
        <v>Annual</v>
      </c>
      <c r="D237" s="7">
        <f t="shared" ref="D237:E241" si="67">D236</f>
        <v>0</v>
      </c>
      <c r="E237" s="7">
        <f t="shared" si="67"/>
        <v>0</v>
      </c>
      <c r="F237" s="14">
        <f>$M$66</f>
        <v>0</v>
      </c>
      <c r="H237" s="9"/>
      <c r="I237" s="9">
        <f>C$66/C$8</f>
        <v>0</v>
      </c>
      <c r="J237" s="9">
        <f>I237-Q237</f>
        <v>0</v>
      </c>
      <c r="K237" s="9">
        <f>J237-R237</f>
        <v>0</v>
      </c>
      <c r="L237" s="9">
        <f>K237-S237</f>
        <v>0</v>
      </c>
      <c r="M237" s="9">
        <f>L237-T237</f>
        <v>0</v>
      </c>
      <c r="N237" s="9"/>
      <c r="O237" s="9"/>
      <c r="P237" s="9">
        <f>IF(OR($C237="Annual",$D237=$E237),IF(AND($D237=$E237,P$77=$B237+$D237),$I237,IF(AND(P$77&gt;$B237+$D237,P$77&lt;=$B237+$E237), $I237/($E237-$D237),0)), IF(OR(P$77=$B237+$D237,P$77=$B237+$E237),$I237/(($E237-$D237)*2),IF(AND(P$77&gt;$B237+$D237,P$77&lt;$B237+$E237),$I237/($E237-$D237),0)))</f>
        <v>0</v>
      </c>
      <c r="Q237" s="9">
        <f>IF(OR($C237="Annual",$D237=$E237),IF(AND($D237=$E237,Q$77=$B237+$D237),$I237,IF(AND(Q$77&gt;$B237+$D237,Q$77&lt;=$B237+$E237), $I237/($E237-$D237),0)), IF(OR(Q$77=$B237+$D237,Q$77=$B237+$E237),$I237/(($E237-$D237)*2),IF(AND(Q$77&gt;$B237+$D237,Q$77&lt;$B237+$E237),$I237/($E237-$D237),0)))</f>
        <v>0</v>
      </c>
      <c r="R237" s="9">
        <f>IF(OR($C237="Annual",$D237=$E237),IF(AND($D237=$E237,R$77=$B237+$D237),$I237,IF(AND(R$77&gt;$B237+$D237,R$77&lt;=$B237+$E237), $I237/($E237-$D237),0)), IF(OR(R$77=$B237+$D237,R$77=$B237+$E237),$I237/(($E237-$D237)*2),IF(AND(R$77&gt;$B237+$D237,R$77&lt;$B237+$E237),$I237/($E237-$D237),0)))</f>
        <v>0</v>
      </c>
      <c r="S237" s="9">
        <f>IF(OR($C237="Annual",$D237=$E237),IF(AND($D237=$E237,S$77=$B237+$D237),$I237,IF(AND(S$77&gt;$B237+$D237,S$77&lt;=$B237+$E237), $I237/($E237-$D237),0)), IF(OR(S$77=$B237+$D237,S$77=$B237+$E237),$I237/(($E237-$D237)*2),IF(AND(S$77&gt;$B237+$D237,S$77&lt;$B237+$E237),$I237/($E237-$D237),0)))</f>
        <v>0</v>
      </c>
      <c r="T237" s="9">
        <f>IF(OR($C237="Annual",$D237=$E237),IF(AND($D237=$E237,T$77=$B237+$D237),$I237,IF(AND(T$77&gt;$B237+$D237,T$77&lt;=$B237+$E237), $I237/($E237-$D237),0)), IF(OR(T$77=$B237+$D237,T$77=$B237+$E237),$I237/(($E237-$D237)*2),IF(AND(T$77&gt;$B237+$D237,T$77&lt;$B237+$E237),$I237/($E237-$D237),0)))</f>
        <v>0</v>
      </c>
      <c r="U237" s="9"/>
      <c r="V237" s="9"/>
      <c r="W237" s="9">
        <f t="shared" si="66"/>
        <v>0</v>
      </c>
      <c r="X237" s="9">
        <f>IF($C237="annual",IF(X$77=$B237,0,I237*$F237),IF(X$77-$B237=0,J237*$F237/2,IF((X$77-$B237)&lt;$E237,AVERAGE(I237,J237)*$F237,IF((X$77-$B237)=$E237,I237*$F237/2,0))))</f>
        <v>0</v>
      </c>
      <c r="Y237" s="9">
        <f>IF($C237="annual",IF(Y$77=$B237,0,J237*$F237),IF(Y$77-$B237=0,K237*$F237/2,IF((Y$77-$B237)&lt;$E237,AVERAGE(J237,K237)*$F237,IF((Y$77-$B237)=$E237,J237*$F237/2,0))))</f>
        <v>0</v>
      </c>
      <c r="Z237" s="9">
        <f t="shared" ref="Z237:AA241" si="68">IF($C237="annual",IF(Z$77=$B237,0,K237*$F237),IF(Z$77-$B237=0,L237*$F237/2,IF((Z$77-$B237)&lt;$E237,AVERAGE(K237,L237)*$F237,IF((Z$77-$B237)=$E237,K237*$F237/2,0))))</f>
        <v>0</v>
      </c>
      <c r="AA237" s="9">
        <f>IF($C237="annual",IF(AA$77=$B237,0,L237*$F237),IF(AA$77-$B237=0,M237*$F237/2,IF((AA$77-$B237)&lt;$E237,AVERAGE(L237,M237)*$F237,IF((AA$77-$B237)=$E237,L237*$F237/2,0))))</f>
        <v>0</v>
      </c>
    </row>
    <row r="238" spans="1:27">
      <c r="A238" s="8" t="str">
        <f>A237</f>
        <v>Type 16</v>
      </c>
      <c r="B238" s="7">
        <f>B237+1</f>
        <v>2020</v>
      </c>
      <c r="C238" s="7" t="str">
        <f>C237</f>
        <v>Annual</v>
      </c>
      <c r="D238" s="7">
        <f t="shared" si="67"/>
        <v>0</v>
      </c>
      <c r="E238" s="7">
        <f t="shared" si="67"/>
        <v>0</v>
      </c>
      <c r="F238" s="14">
        <f>$N$66</f>
        <v>0</v>
      </c>
      <c r="H238" s="9"/>
      <c r="I238" s="9"/>
      <c r="J238" s="9">
        <f>D$66/D$8</f>
        <v>0</v>
      </c>
      <c r="K238" s="9">
        <f>J238-R238</f>
        <v>0</v>
      </c>
      <c r="L238" s="9">
        <f>K238-S238</f>
        <v>0</v>
      </c>
      <c r="M238" s="9">
        <f>L238-T238</f>
        <v>0</v>
      </c>
      <c r="N238" s="9"/>
      <c r="O238" s="9"/>
      <c r="P238" s="9"/>
      <c r="Q238" s="9">
        <f>IF(OR($C238="Annual",$D238=$E238),IF(AND($D238=$E238,Q$77=$B238+$D238),$J238,IF(AND(Q$77&gt;$B238+$D238,Q$77&lt;=$B238+$E238), $J238/($E238-$D238),0)), IF(OR(Q$77=$B238+$D238,Q$77=$B238+$E238),$J238/(($E238-$D238)*2),IF(AND(Q$77&gt;$B238+$D238,Q$77&lt;$B238+$E238),$J238/($E238-$D238),0)))</f>
        <v>0</v>
      </c>
      <c r="R238" s="9">
        <f>IF(OR($C238="Annual",$D238=$E238),IF(AND($D238=$E238,R$77=$B238+$D238),$J238,IF(AND(R$77&gt;$B238+$D238,R$77&lt;=$B238+$E238), $J238/($E238-$D238),0)), IF(OR(R$77=$B238+$D238,R$77=$B238+$E238),$J238/(($E238-$D238)*2),IF(AND(R$77&gt;$B238+$D238,R$77&lt;$B238+$E238),$J238/($E238-$D238),0)))</f>
        <v>0</v>
      </c>
      <c r="S238" s="9">
        <f>IF(OR($C238="Annual",$D238=$E238),IF(AND($D238=$E238,S$77=$B238+$D238),$J238,IF(AND(S$77&gt;$B238+$D238,S$77&lt;=$B238+$E238), $J238/($E238-$D238),0)), IF(OR(S$77=$B238+$D238,S$77=$B238+$E238),$J238/(($E238-$D238)*2),IF(AND(S$77&gt;$B238+$D238,S$77&lt;$B238+$E238),$J238/($E238-$D238),0)))</f>
        <v>0</v>
      </c>
      <c r="T238" s="9">
        <f>IF(OR($C238="Annual",$D238=$E238),IF(AND($D238=$E238,T$77=$B238+$D238),$J238,IF(AND(T$77&gt;$B238+$D238,T$77&lt;=$B238+$E238), $J238/($E238-$D238),0)), IF(OR(T$77=$B238+$D238,T$77=$B238+$E238),$J238/(($E238-$D238)*2),IF(AND(T$77&gt;$B238+$D238,T$77&lt;$B238+$E238),$J238/($E238-$D238),0)))</f>
        <v>0</v>
      </c>
      <c r="U238" s="9"/>
      <c r="V238" s="9"/>
      <c r="W238" s="9"/>
      <c r="X238" s="9">
        <f>IF($C238="annual",IF(X$77=$B238,0,I238*$F238),IF(X$77-$B238=0,J238*$F238/2,IF((X$77-$B238)&lt;$E238,AVERAGE(I238,J238)*$F238,IF((X$77-$B238)=$E238,I238*$F238/2,0))))</f>
        <v>0</v>
      </c>
      <c r="Y238" s="9">
        <f>IF($C238="annual",IF(Y$77=$B238,0,J238*$F238),IF(Y$77-$B238=0,K238*$F238/2,IF((Y$77-$B238)&lt;$E238,AVERAGE(J238,K238)*$F238,IF((Y$77-$B238)=$E238,J238*$F238/2,0))))</f>
        <v>0</v>
      </c>
      <c r="Z238" s="9">
        <f t="shared" si="68"/>
        <v>0</v>
      </c>
      <c r="AA238" s="9">
        <f>IF($C238="annual",IF(AA$77=$B238,0,L238*$F238),IF(AA$77-$B238=0,M238*$F238/2,IF((AA$77-$B238)&lt;$E238,AVERAGE(L238,M238)*$F238,IF((AA$77-$B238)=$E238,L238*$F238/2,0))))</f>
        <v>0</v>
      </c>
    </row>
    <row r="239" spans="1:27">
      <c r="A239" s="8" t="str">
        <f>A238</f>
        <v>Type 16</v>
      </c>
      <c r="B239" s="7">
        <f>B238+1</f>
        <v>2021</v>
      </c>
      <c r="C239" s="7" t="str">
        <f>C238</f>
        <v>Annual</v>
      </c>
      <c r="D239" s="7">
        <f t="shared" si="67"/>
        <v>0</v>
      </c>
      <c r="E239" s="7">
        <f t="shared" si="67"/>
        <v>0</v>
      </c>
      <c r="F239" s="14">
        <f>$O$66</f>
        <v>0</v>
      </c>
      <c r="H239" s="9"/>
      <c r="I239" s="9"/>
      <c r="J239" s="9"/>
      <c r="K239" s="9">
        <f>E$66/E$8</f>
        <v>0</v>
      </c>
      <c r="L239" s="9">
        <f>K239-S239</f>
        <v>0</v>
      </c>
      <c r="M239" s="9">
        <f>L239-T239</f>
        <v>0</v>
      </c>
      <c r="N239" s="9"/>
      <c r="O239" s="9"/>
      <c r="P239" s="9"/>
      <c r="Q239" s="9"/>
      <c r="R239" s="9">
        <f>IF(OR($C239="Annual",$D239=$E239),IF(AND($D239=$E239,R$77=$B239+$D239),$K239,IF(AND(R$77&gt;$B239+$D239,R$77&lt;=$B239+$E239), $K239/($E239-$D239),0)), IF(OR(R$77=$B239+$D239,R$77=$B239+$E239),$K239/(($E239-$D239)*2),IF(AND(R$77&gt;$B239+$D239,R$77&lt;$B239+$E239),$K239/($E239-$D239),0)))</f>
        <v>0</v>
      </c>
      <c r="S239" s="9">
        <f>IF(OR($C239="Annual",$D239=$E239),IF(AND($D239=$E239,S$77=$B239+$D239),$K239,IF(AND(S$77&gt;$B239+$D239,S$77&lt;=$B239+$E239), $K239/($E239-$D239),0)), IF(OR(S$77=$B239+$D239,S$77=$B239+$E239),$K239/(($E239-$D239)*2),IF(AND(S$77&gt;$B239+$D239,S$77&lt;$B239+$E239),$K239/($E239-$D239),0)))</f>
        <v>0</v>
      </c>
      <c r="T239" s="9">
        <f>IF(OR($C239="Annual",$D239=$E239),IF(AND($D239=$E239,T$77=$B239+$D239),$K239,IF(AND(T$77&gt;$B239+$D239,T$77&lt;=$B239+$E239), $K239/($E239-$D239),0)), IF(OR(T$77=$B239+$D239,T$77=$B239+$E239),$K239/(($E239-$D239)*2),IF(AND(T$77&gt;$B239+$D239,T$77&lt;$B239+$E239),$K239/($E239-$D239),0)))</f>
        <v>0</v>
      </c>
      <c r="U239" s="9"/>
      <c r="V239" s="9"/>
      <c r="W239" s="9"/>
      <c r="X239" s="9"/>
      <c r="Y239" s="9">
        <f>IF($C239="annual",IF(Y$77=$B239,0,J239*$F239),IF(Y$77-$B239=0,K239*$F239/2,IF((Y$77-$B239)&lt;$E239,AVERAGE(J239,K239)*$F239,IF((Y$77-$B239)=$E239,J239*$F239/2,0))))</f>
        <v>0</v>
      </c>
      <c r="Z239" s="9">
        <f t="shared" si="68"/>
        <v>0</v>
      </c>
      <c r="AA239" s="9">
        <f>IF($C239="annual",IF(AA$77=$B239,0,L239*$F239),IF(AA$77-$B239=0,M239*$F239/2,IF((AA$77-$B239)&lt;$E239,AVERAGE(L239,M239)*$F239,IF((AA$77-$B239)=$E239,L239*$F239/2,0))))</f>
        <v>0</v>
      </c>
    </row>
    <row r="240" spans="1:27">
      <c r="A240" s="8" t="str">
        <f>A239</f>
        <v>Type 16</v>
      </c>
      <c r="B240" s="7">
        <f>B239+1</f>
        <v>2022</v>
      </c>
      <c r="C240" s="7" t="str">
        <f>C239</f>
        <v>Annual</v>
      </c>
      <c r="D240" s="7">
        <f t="shared" si="67"/>
        <v>0</v>
      </c>
      <c r="E240" s="7">
        <f t="shared" si="67"/>
        <v>0</v>
      </c>
      <c r="F240" s="14">
        <f>$P$66</f>
        <v>0</v>
      </c>
      <c r="H240" s="9"/>
      <c r="I240" s="9"/>
      <c r="J240" s="9"/>
      <c r="K240" s="9"/>
      <c r="L240" s="9">
        <f>F$66/F$8</f>
        <v>0</v>
      </c>
      <c r="M240" s="9">
        <f>L240-T240</f>
        <v>0</v>
      </c>
      <c r="N240" s="9"/>
      <c r="O240" s="9"/>
      <c r="P240" s="9"/>
      <c r="Q240" s="9"/>
      <c r="R240" s="9"/>
      <c r="S240" s="9">
        <f>IF(OR($C240="Annual",$D240=$E240),IF(AND($D240=$E240,S$77=$B240+$D240),$L240,IF(AND(S$77&gt;$B240+$D240,S$77&lt;=$B240+$E240), $L240/($E240-$D240),0)), IF(OR(S$77=$B240+$D240,S$77=$B240+$E240),$L240/(($E240-$D240)*2),IF(AND(S$77&gt;$B240+$D240,S$77&lt;$B240+$E240),$L240/($E240-$D240),0)))</f>
        <v>0</v>
      </c>
      <c r="T240" s="9">
        <f>IF(OR($C240="Annual",$D240=$E240),IF(AND($D240=$E240,T$77=$B240+$D240),$L240,IF(AND(T$77&gt;$B240+$D240,T$77&lt;=$B240+$E240), $L240/($E240-$D240),0)), IF(OR(T$77=$B240+$D240,T$77=$B240+$E240),$L240/(($E240-$D240)*2),IF(AND(T$77&gt;$B240+$D240,T$77&lt;$B240+$E240),$L240/($E240-$D240),0)))</f>
        <v>0</v>
      </c>
      <c r="U240" s="9"/>
      <c r="V240" s="9"/>
      <c r="W240" s="9"/>
      <c r="X240" s="9"/>
      <c r="Y240" s="9"/>
      <c r="Z240" s="9">
        <f t="shared" si="68"/>
        <v>0</v>
      </c>
      <c r="AA240" s="9">
        <f t="shared" si="68"/>
        <v>0</v>
      </c>
    </row>
    <row r="241" spans="1:27">
      <c r="A241" s="8" t="str">
        <f>A240</f>
        <v>Type 16</v>
      </c>
      <c r="B241" s="7">
        <f>B240+1</f>
        <v>2023</v>
      </c>
      <c r="C241" s="7" t="str">
        <f>C240</f>
        <v>Annual</v>
      </c>
      <c r="D241" s="7">
        <f t="shared" si="67"/>
        <v>0</v>
      </c>
      <c r="E241" s="7">
        <f t="shared" si="67"/>
        <v>0</v>
      </c>
      <c r="F241" s="14">
        <f>$Q$66</f>
        <v>0</v>
      </c>
      <c r="H241" s="9"/>
      <c r="I241" s="9"/>
      <c r="J241" s="9"/>
      <c r="K241" s="9"/>
      <c r="L241" s="9"/>
      <c r="M241" s="9">
        <f>G$66/G$8</f>
        <v>0</v>
      </c>
      <c r="N241" s="9"/>
      <c r="O241" s="9"/>
      <c r="P241" s="9"/>
      <c r="Q241" s="9"/>
      <c r="R241" s="9"/>
      <c r="S241" s="9"/>
      <c r="T241" s="9">
        <f>IF(OR($C241="Annual",$D241=$E241),IF(AND($D241=$E241,T$77=$B241+$D241),$M241,IF(AND(T$77&gt;$B241+$D241,T$77&lt;=$B241+$E241), $M241/($E241-$D241),0)), IF(OR(T$77=$B241+$D241,T$77=$B241+$E241),$M241/(($E241-$D241)*2),IF(AND(T$77&gt;$B241+$D241,T$77&lt;$B241+$E241),$M241/($E241-$D241),0)))</f>
        <v>0</v>
      </c>
      <c r="U241" s="9"/>
      <c r="V241" s="9"/>
      <c r="W241" s="9"/>
      <c r="X241" s="9"/>
      <c r="Y241" s="9"/>
      <c r="Z241" s="9"/>
      <c r="AA241" s="9">
        <f t="shared" si="68"/>
        <v>0</v>
      </c>
    </row>
    <row r="242" spans="1:27">
      <c r="A242" s="8"/>
      <c r="B242" s="7"/>
      <c r="C242" s="7"/>
      <c r="D242" s="7"/>
      <c r="E242" s="7"/>
      <c r="F242" s="15"/>
      <c r="H242" s="9"/>
      <c r="I242" s="9"/>
      <c r="J242" s="9"/>
      <c r="K242" s="9"/>
      <c r="L242" s="9"/>
      <c r="M242" s="9"/>
      <c r="N242" s="9"/>
      <c r="O242" s="10"/>
      <c r="P242" s="10"/>
      <c r="Q242" s="10"/>
      <c r="R242" s="10"/>
      <c r="S242" s="10"/>
      <c r="T242" s="10"/>
      <c r="U242" s="9"/>
      <c r="V242" s="9"/>
      <c r="W242" s="9"/>
      <c r="X242" s="9"/>
      <c r="Y242" s="9"/>
      <c r="Z242" s="9"/>
      <c r="AA242" s="9"/>
    </row>
    <row r="243" spans="1:27">
      <c r="A243" s="8" t="str">
        <f>A67</f>
        <v>Type 17</v>
      </c>
      <c r="B243" s="7">
        <f>B85</f>
        <v>2018</v>
      </c>
      <c r="C243" s="7" t="str">
        <f>$I67</f>
        <v>Annual</v>
      </c>
      <c r="D243" s="7">
        <f>$J67</f>
        <v>0</v>
      </c>
      <c r="E243" s="7">
        <f>$K67</f>
        <v>0</v>
      </c>
      <c r="F243" s="14">
        <f>$L$67</f>
        <v>0</v>
      </c>
      <c r="H243" s="9">
        <f>B$67/B$8</f>
        <v>0</v>
      </c>
      <c r="I243" s="9">
        <f>H243-P243</f>
        <v>0</v>
      </c>
      <c r="J243" s="9">
        <f>I243-Q243</f>
        <v>0</v>
      </c>
      <c r="K243" s="9">
        <f>J243-R243</f>
        <v>0</v>
      </c>
      <c r="L243" s="9">
        <f>K243-S243</f>
        <v>0</v>
      </c>
      <c r="M243" s="9">
        <f>L243-T243</f>
        <v>0</v>
      </c>
      <c r="N243" s="9"/>
      <c r="O243" s="9">
        <f t="shared" ref="O243:T243" si="69">IF(OR($C243="Annual",$D243=$E243),IF(AND($D243=$E243,O$77=$B243+$D243),$H243,IF(AND(O$77&gt;$B243+$D243,O$77&lt;=$B243+$E243), $H243/($E243-$D243),0)), IF(OR(O$77=$B243+$D243,O$77=$B243+$E243),$H243/(($E243-$D243)*2),IF(AND(O$77&gt;$B243+$D243,O$77&lt;$B243+$E243),$H243/($E243-$D243),0)))</f>
        <v>0</v>
      </c>
      <c r="P243" s="9">
        <f t="shared" si="69"/>
        <v>0</v>
      </c>
      <c r="Q243" s="9">
        <f t="shared" si="69"/>
        <v>0</v>
      </c>
      <c r="R243" s="9">
        <f t="shared" si="69"/>
        <v>0</v>
      </c>
      <c r="S243" s="9">
        <f t="shared" si="69"/>
        <v>0</v>
      </c>
      <c r="T243" s="9">
        <f t="shared" si="69"/>
        <v>0</v>
      </c>
      <c r="U243" s="9"/>
      <c r="V243" s="9">
        <f>IF($C243="annual",IF(V$77=$B243,0,G243*$F243),IF(V$77-$B243=0,H243*$F243/2,IF((V$77-$B243)&lt;$E243,AVERAGE(G243,H243)*$F243,IF((V$77-$B243)=$E243,G243*$F243/2,0))))</f>
        <v>0</v>
      </c>
      <c r="W243" s="9">
        <f>IF($C243="annual",IF(W$77=$B243,0,H243*$F243),IF(W$77-$B243=0,I243*$F243/2,IF((W$77-$B243)&lt;$E243,AVERAGE(H243,I243)*$F243,IF((W$77-$B243)=$E243,H243*$F243/2,0))))</f>
        <v>0</v>
      </c>
      <c r="X243" s="9">
        <f>IF($C243="annual",IF(X$77=$B243,0,I243*$F243),IF(X$77-$B243=0,J243*$F243/2,IF((X$77-$B243)&lt;$E243,AVERAGE(I243,J243)*$F243,IF((X$77-$B243)=$E243,I243*$F243/2,0))))</f>
        <v>0</v>
      </c>
      <c r="Y243" s="9">
        <f>IF($C243="annual",IF(Y$77=$B243,0,J243*$F243),IF(Y$77-$B243=0,K243*$F243/2,IF((Y$77-$B243)&lt;$E243,AVERAGE(J243,K243)*$F243,IF((Y$77-$B243)=$E243,J243*$F243/2,0))))</f>
        <v>0</v>
      </c>
      <c r="Z243" s="9">
        <f>IF($C243="annual",IF(Z$77=$B243,0,K243*$F243),IF(Z$77-$B243=0,L243*$F243/2,IF((Z$77-$B243)&lt;$E243,AVERAGE(K243,L243)*$F243,IF((Z$77-$B243)=$E243,K243*$F243/2,0))))</f>
        <v>0</v>
      </c>
      <c r="AA243" s="9">
        <f t="shared" ref="AA243:AA248" si="70">IF($C243="annual",IF(AA$77=$B243,0,L243*$F243),IF(AA$77-$B243=0,M243*$F243/2,IF((AA$77-$B243)&lt;$E243,AVERAGE(L243,M243)*$F243,IF((AA$77-$B243)=$E243,L243*$F243/2,0))))</f>
        <v>0</v>
      </c>
    </row>
    <row r="244" spans="1:27">
      <c r="A244" s="8" t="str">
        <f>A243</f>
        <v>Type 17</v>
      </c>
      <c r="B244" s="7">
        <f>B243+1</f>
        <v>2019</v>
      </c>
      <c r="C244" s="7" t="str">
        <f>C243</f>
        <v>Annual</v>
      </c>
      <c r="D244" s="7">
        <f t="shared" ref="D244:E248" si="71">D243</f>
        <v>0</v>
      </c>
      <c r="E244" s="7">
        <f t="shared" si="71"/>
        <v>0</v>
      </c>
      <c r="F244" s="14">
        <f>$M$67</f>
        <v>0</v>
      </c>
      <c r="H244" s="9"/>
      <c r="I244" s="9">
        <f>C$67/C$8</f>
        <v>0</v>
      </c>
      <c r="J244" s="9">
        <f>I244-Q244</f>
        <v>0</v>
      </c>
      <c r="K244" s="9">
        <f>J244-R244</f>
        <v>0</v>
      </c>
      <c r="L244" s="9">
        <f>K244-S244</f>
        <v>0</v>
      </c>
      <c r="M244" s="9">
        <f>L244-T244</f>
        <v>0</v>
      </c>
      <c r="N244" s="9"/>
      <c r="O244" s="9"/>
      <c r="P244" s="9">
        <f>IF(OR($C244="Annual",$D244=$E244),IF(AND($D244=$E244,P$77=$B244+$D244),$I244,IF(AND(P$77&gt;$B244+$D244,P$77&lt;=$B244+$E244), $I244/($E244-$D244),0)), IF(OR(P$77=$B244+$D244,P$77=$B244+$E244),$I244/(($E244-$D244)*2),IF(AND(P$77&gt;$B244+$D244,P$77&lt;$B244+$E244),$I244/($E244-$D244),0)))</f>
        <v>0</v>
      </c>
      <c r="Q244" s="9">
        <f>IF(OR($C244="Annual",$D244=$E244),IF(AND($D244=$E244,Q$77=$B244+$D244),$I244,IF(AND(Q$77&gt;$B244+$D244,Q$77&lt;=$B244+$E244), $I244/($E244-$D244),0)), IF(OR(Q$77=$B244+$D244,Q$77=$B244+$E244),$I244/(($E244-$D244)*2),IF(AND(Q$77&gt;$B244+$D244,Q$77&lt;$B244+$E244),$I244/($E244-$D244),0)))</f>
        <v>0</v>
      </c>
      <c r="R244" s="9">
        <f>IF(OR($C244="Annual",$D244=$E244),IF(AND($D244=$E244,R$77=$B244+$D244),$I244,IF(AND(R$77&gt;$B244+$D244,R$77&lt;=$B244+$E244), $I244/($E244-$D244),0)), IF(OR(R$77=$B244+$D244,R$77=$B244+$E244),$I244/(($E244-$D244)*2),IF(AND(R$77&gt;$B244+$D244,R$77&lt;$B244+$E244),$I244/($E244-$D244),0)))</f>
        <v>0</v>
      </c>
      <c r="S244" s="9">
        <f>IF(OR($C244="Annual",$D244=$E244),IF(AND($D244=$E244,S$77=$B244+$D244),$I244,IF(AND(S$77&gt;$B244+$D244,S$77&lt;=$B244+$E244), $I244/($E244-$D244),0)), IF(OR(S$77=$B244+$D244,S$77=$B244+$E244),$I244/(($E244-$D244)*2),IF(AND(S$77&gt;$B244+$D244,S$77&lt;$B244+$E244),$I244/($E244-$D244),0)))</f>
        <v>0</v>
      </c>
      <c r="T244" s="9">
        <f>IF(OR($C244="Annual",$D244=$E244),IF(AND($D244=$E244,T$77=$B244+$D244),$I244,IF(AND(T$77&gt;$B244+$D244,T$77&lt;=$B244+$E244), $I244/($E244-$D244),0)), IF(OR(T$77=$B244+$D244,T$77=$B244+$E244),$I244/(($E244-$D244)*2),IF(AND(T$77&gt;$B244+$D244,T$77&lt;$B244+$E244),$I244/($E244-$D244),0)))</f>
        <v>0</v>
      </c>
      <c r="U244" s="9"/>
      <c r="V244" s="9"/>
      <c r="W244" s="9">
        <f>IF($C244="annual",IF(W$77=$B244,0,H244*$F244),IF(W$77-$B244=0,I244*$F244/2,IF((W$77-$B244)&lt;$E244,AVERAGE(H244,I244)*$F244,IF((W$77-$B244)=$E244,H244*$F244/2,0))))</f>
        <v>0</v>
      </c>
      <c r="X244" s="9">
        <f>IF($C244="annual",IF(X$77=$B244,0,I244*$F244),IF(X$77-$B244=0,J244*$F244/2,IF((X$77-$B244)&lt;$E244,AVERAGE(I244,J244)*$F244,IF((X$77-$B244)=$E244,I244*$F244/2,0))))</f>
        <v>0</v>
      </c>
      <c r="Y244" s="9">
        <f>IF($C244="annual",IF(Y$77=$B244,0,J244*$F244),IF(Y$77-$B244=0,K244*$F244/2,IF((Y$77-$B244)&lt;$E244,AVERAGE(J244,K244)*$F244,IF((Y$77-$B244)=$E244,J244*$F244/2,0))))</f>
        <v>0</v>
      </c>
      <c r="Z244" s="9">
        <f>IF($C244="annual",IF(Z$77=$B244,0,K244*$F244),IF(Z$77-$B244=0,L244*$F244/2,IF((Z$77-$B244)&lt;$E244,AVERAGE(K244,L244)*$F244,IF((Z$77-$B244)=$E244,K244*$F244/2,0))))</f>
        <v>0</v>
      </c>
      <c r="AA244" s="9">
        <f t="shared" si="70"/>
        <v>0</v>
      </c>
    </row>
    <row r="245" spans="1:27">
      <c r="A245" s="8" t="str">
        <f>A244</f>
        <v>Type 17</v>
      </c>
      <c r="B245" s="7">
        <f>B244+1</f>
        <v>2020</v>
      </c>
      <c r="C245" s="7" t="str">
        <f>C244</f>
        <v>Annual</v>
      </c>
      <c r="D245" s="7">
        <f t="shared" si="71"/>
        <v>0</v>
      </c>
      <c r="E245" s="7">
        <f t="shared" si="71"/>
        <v>0</v>
      </c>
      <c r="F245" s="14">
        <f>$N$67</f>
        <v>0</v>
      </c>
      <c r="H245" s="9"/>
      <c r="I245" s="9"/>
      <c r="J245" s="9">
        <f>D$67/D$8</f>
        <v>0</v>
      </c>
      <c r="K245" s="9">
        <f>J245-R245</f>
        <v>0</v>
      </c>
      <c r="L245" s="9">
        <f>K245-S245</f>
        <v>0</v>
      </c>
      <c r="M245" s="9">
        <f>L245-T245</f>
        <v>0</v>
      </c>
      <c r="N245" s="9"/>
      <c r="O245" s="9"/>
      <c r="P245" s="9"/>
      <c r="Q245" s="9">
        <f>IF(OR($C245="Annual",$D245=$E245),IF(AND($D245=$E245,Q$77=$B245+$D245),$J245,IF(AND(Q$77&gt;$B245+$D245,Q$77&lt;=$B245+$E245), $J245/($E245-$D245),0)), IF(OR(Q$77=$B245+$D245,Q$77=$B245+$E245),$J245/(($E245-$D245)*2),IF(AND(Q$77&gt;$B245+$D245,Q$77&lt;$B245+$E245),$J245/($E245-$D245),0)))</f>
        <v>0</v>
      </c>
      <c r="R245" s="9">
        <f>IF(OR($C245="Annual",$D245=$E245),IF(AND($D245=$E245,R$77=$B245+$D245),$J245,IF(AND(R$77&gt;$B245+$D245,R$77&lt;=$B245+$E245), $J245/($E245-$D245),0)), IF(OR(R$77=$B245+$D245,R$77=$B245+$E245),$J245/(($E245-$D245)*2),IF(AND(R$77&gt;$B245+$D245,R$77&lt;$B245+$E245),$J245/($E245-$D245),0)))</f>
        <v>0</v>
      </c>
      <c r="S245" s="9">
        <f>IF(OR($C245="Annual",$D245=$E245),IF(AND($D245=$E245,S$77=$B245+$D245),$J245,IF(AND(S$77&gt;$B245+$D245,S$77&lt;=$B245+$E245), $J245/($E245-$D245),0)), IF(OR(S$77=$B245+$D245,S$77=$B245+$E245),$J245/(($E245-$D245)*2),IF(AND(S$77&gt;$B245+$D245,S$77&lt;$B245+$E245),$J245/($E245-$D245),0)))</f>
        <v>0</v>
      </c>
      <c r="T245" s="9">
        <f>IF(OR($C245="Annual",$D245=$E245),IF(AND($D245=$E245,T$77=$B245+$D245),$J245,IF(AND(T$77&gt;$B245+$D245,T$77&lt;=$B245+$E245), $J245/($E245-$D245),0)), IF(OR(T$77=$B245+$D245,T$77=$B245+$E245),$J245/(($E245-$D245)*2),IF(AND(T$77&gt;$B245+$D245,T$77&lt;$B245+$E245),$J245/($E245-$D245),0)))</f>
        <v>0</v>
      </c>
      <c r="U245" s="9"/>
      <c r="V245" s="9"/>
      <c r="W245" s="9"/>
      <c r="X245" s="9">
        <f>IF($C245="annual",IF(X$77=$B245,0,I245*$F245),IF(X$77-$B245=0,J245*$F245/2,IF((X$77-$B245)&lt;$E245,AVERAGE(I245,J245)*$F245,IF((X$77-$B245)=$E245,I245*$F245/2,0))))</f>
        <v>0</v>
      </c>
      <c r="Y245" s="9">
        <f>IF($C245="annual",IF(Y$77=$B245,0,J245*$F245),IF(Y$77-$B245=0,K245*$F245/2,IF((Y$77-$B245)&lt;$E245,AVERAGE(J245,K245)*$F245,IF((Y$77-$B245)=$E245,J245*$F245/2,0))))</f>
        <v>0</v>
      </c>
      <c r="Z245" s="9">
        <f>IF($C245="annual",IF(Z$77=$B245,0,K245*$F245),IF(Z$77-$B245=0,L245*$F245/2,IF((Z$77-$B245)&lt;$E245,AVERAGE(K245,L245)*$F245,IF((Z$77-$B245)=$E245,K245*$F245/2,0))))</f>
        <v>0</v>
      </c>
      <c r="AA245" s="9">
        <f t="shared" si="70"/>
        <v>0</v>
      </c>
    </row>
    <row r="246" spans="1:27">
      <c r="A246" s="8" t="str">
        <f>A245</f>
        <v>Type 17</v>
      </c>
      <c r="B246" s="7">
        <f>B245+1</f>
        <v>2021</v>
      </c>
      <c r="C246" s="7" t="str">
        <f>C245</f>
        <v>Annual</v>
      </c>
      <c r="D246" s="7">
        <f t="shared" si="71"/>
        <v>0</v>
      </c>
      <c r="E246" s="7">
        <f t="shared" si="71"/>
        <v>0</v>
      </c>
      <c r="F246" s="14">
        <f>$O$67</f>
        <v>0</v>
      </c>
      <c r="H246" s="9"/>
      <c r="I246" s="9"/>
      <c r="J246" s="9"/>
      <c r="K246" s="9">
        <f>E$67/E$8</f>
        <v>0</v>
      </c>
      <c r="L246" s="9">
        <f>K246-S246</f>
        <v>0</v>
      </c>
      <c r="M246" s="9">
        <f>L246-T246</f>
        <v>0</v>
      </c>
      <c r="N246" s="9"/>
      <c r="O246" s="9"/>
      <c r="P246" s="9"/>
      <c r="Q246" s="9"/>
      <c r="R246" s="9">
        <f>IF(OR($C246="Annual",$D246=$E246),IF(AND($D246=$E246,R$77=$B246+$D246),$K246,IF(AND(R$77&gt;$B246+$D246,R$77&lt;=$B246+$E246), $K246/($E246-$D246),0)), IF(OR(R$77=$B246+$D246,R$77=$B246+$E246),$K246/(($E246-$D246)*2),IF(AND(R$77&gt;$B246+$D246,R$77&lt;$B246+$E246),$K246/($E246-$D246),0)))</f>
        <v>0</v>
      </c>
      <c r="S246" s="9">
        <f>IF(OR($C246="Annual",$D246=$E246),IF(AND($D246=$E246,S$77=$B246+$D246),$K246,IF(AND(S$77&gt;$B246+$D246,S$77&lt;=$B246+$E246), $K246/($E246-$D246),0)), IF(OR(S$77=$B246+$D246,S$77=$B246+$E246),$K246/(($E246-$D246)*2),IF(AND(S$77&gt;$B246+$D246,S$77&lt;$B246+$E246),$K246/($E246-$D246),0)))</f>
        <v>0</v>
      </c>
      <c r="T246" s="9">
        <f>IF(OR($C246="Annual",$D246=$E246),IF(AND($D246=$E246,T$77=$B246+$D246),$K246,IF(AND(T$77&gt;$B246+$D246,T$77&lt;=$B246+$E246), $K246/($E246-$D246),0)), IF(OR(T$77=$B246+$D246,T$77=$B246+$E246),$K246/(($E246-$D246)*2),IF(AND(T$77&gt;$B246+$D246,T$77&lt;$B246+$E246),$K246/($E246-$D246),0)))</f>
        <v>0</v>
      </c>
      <c r="U246" s="9"/>
      <c r="V246" s="9"/>
      <c r="W246" s="9"/>
      <c r="X246" s="9"/>
      <c r="Y246" s="9">
        <f>IF($C246="annual",IF(Y$77=$B246,0,J246*$F246),IF(Y$77-$B246=0,K246*$F246/2,IF((Y$77-$B246)&lt;$E246,AVERAGE(J246,K246)*$F246,IF((Y$77-$B246)=$E246,J246*$F246/2,0))))</f>
        <v>0</v>
      </c>
      <c r="Z246" s="9">
        <f>IF($C246="annual",IF(Z$77=$B246,0,K246*$F246),IF(Z$77-$B246=0,L246*$F246/2,IF((Z$77-$B246)&lt;$E246,AVERAGE(K246,L246)*$F246,IF((Z$77-$B246)=$E246,K246*$F246/2,0))))</f>
        <v>0</v>
      </c>
      <c r="AA246" s="9">
        <f t="shared" si="70"/>
        <v>0</v>
      </c>
    </row>
    <row r="247" spans="1:27">
      <c r="A247" s="8" t="str">
        <f>A246</f>
        <v>Type 17</v>
      </c>
      <c r="B247" s="7">
        <f>B246+1</f>
        <v>2022</v>
      </c>
      <c r="C247" s="7" t="str">
        <f>C246</f>
        <v>Annual</v>
      </c>
      <c r="D247" s="7">
        <f t="shared" si="71"/>
        <v>0</v>
      </c>
      <c r="E247" s="7">
        <f t="shared" si="71"/>
        <v>0</v>
      </c>
      <c r="F247" s="14">
        <f>$P$67</f>
        <v>0</v>
      </c>
      <c r="H247" s="9"/>
      <c r="I247" s="9"/>
      <c r="J247" s="9"/>
      <c r="K247" s="9"/>
      <c r="L247" s="9">
        <f>F$67/F$8</f>
        <v>0</v>
      </c>
      <c r="M247" s="9">
        <f>L247-T247</f>
        <v>0</v>
      </c>
      <c r="N247" s="9"/>
      <c r="O247" s="9"/>
      <c r="P247" s="9"/>
      <c r="Q247" s="9"/>
      <c r="R247" s="9"/>
      <c r="S247" s="9">
        <f>IF(OR($C247="Annual",$D247=$E247),IF(AND($D247=$E247,S$77=$B247+$D247),$L247,IF(AND(S$77&gt;$B247+$D247,S$77&lt;=$B247+$E247), $L247/($E247-$D247),0)), IF(OR(S$77=$B247+$D247,S$77=$B247+$E247),$L247/(($E247-$D247)*2),IF(AND(S$77&gt;$B247+$D247,S$77&lt;$B247+$E247),$L247/($E247-$D247),0)))</f>
        <v>0</v>
      </c>
      <c r="T247" s="9">
        <f>IF(OR($C247="Annual",$D247=$E247),IF(AND($D247=$E247,T$77=$B247+$D247),$L247,IF(AND(T$77&gt;$B247+$D247,T$77&lt;=$B247+$E247), $L247/($E247-$D247),0)), IF(OR(T$77=$B247+$D247,T$77=$B247+$E247),$L247/(($E247-$D247)*2),IF(AND(T$77&gt;$B247+$D247,T$77&lt;$B247+$E247),$L247/($E247-$D247),0)))</f>
        <v>0</v>
      </c>
      <c r="U247" s="9"/>
      <c r="V247" s="9"/>
      <c r="W247" s="9"/>
      <c r="X247" s="9"/>
      <c r="Y247" s="9"/>
      <c r="Z247" s="9">
        <f>IF($C247="annual",IF(Z$77=$B247,0,K247*$F247),IF(Z$77-$B247=0,L247*$F247/2,IF((Z$77-$B247)&lt;$E247,AVERAGE(K247,L247)*$F247,IF((Z$77-$B247)=$E247,K247*$F247/2,0))))</f>
        <v>0</v>
      </c>
      <c r="AA247" s="9">
        <f t="shared" si="70"/>
        <v>0</v>
      </c>
    </row>
    <row r="248" spans="1:27">
      <c r="A248" s="8" t="str">
        <f>A247</f>
        <v>Type 17</v>
      </c>
      <c r="B248" s="7">
        <f>B247+1</f>
        <v>2023</v>
      </c>
      <c r="C248" s="7" t="str">
        <f>C247</f>
        <v>Annual</v>
      </c>
      <c r="D248" s="7">
        <f t="shared" si="71"/>
        <v>0</v>
      </c>
      <c r="E248" s="7">
        <f t="shared" si="71"/>
        <v>0</v>
      </c>
      <c r="F248" s="14">
        <f>$Q$67</f>
        <v>0</v>
      </c>
      <c r="H248" s="9"/>
      <c r="I248" s="9"/>
      <c r="J248" s="9"/>
      <c r="K248" s="9"/>
      <c r="L248" s="9"/>
      <c r="M248" s="9">
        <f>G$67/G$8</f>
        <v>0</v>
      </c>
      <c r="N248" s="9"/>
      <c r="O248" s="9"/>
      <c r="P248" s="9"/>
      <c r="Q248" s="9"/>
      <c r="R248" s="9"/>
      <c r="S248" s="9"/>
      <c r="T248" s="9">
        <f>IF(OR($C248="Annual",$D248=$E248),IF(AND($D248=$E248,T$77=$B248+$D248),$M248,IF(AND(T$77&gt;$B248+$D248,T$77&lt;=$B248+$E248), $M248/($E248-$D248),0)), IF(OR(T$77=$B248+$D248,T$77=$B248+$E248),$M248/(($E248-$D248)*2),IF(AND(T$77&gt;$B248+$D248,T$77&lt;$B248+$E248),$M248/($E248-$D248),0)))</f>
        <v>0</v>
      </c>
      <c r="U248" s="9"/>
      <c r="V248" s="9"/>
      <c r="W248" s="9"/>
      <c r="X248" s="9"/>
      <c r="Y248" s="9"/>
      <c r="Z248" s="9"/>
      <c r="AA248" s="9">
        <f t="shared" si="70"/>
        <v>0</v>
      </c>
    </row>
    <row r="249" spans="1:27">
      <c r="A249" s="8"/>
      <c r="B249" s="7"/>
      <c r="C249" s="7"/>
      <c r="D249" s="7"/>
      <c r="E249" s="7"/>
      <c r="F249" s="15"/>
      <c r="H249" s="9"/>
      <c r="I249" s="9"/>
      <c r="J249" s="9"/>
      <c r="K249" s="9"/>
      <c r="L249" s="9"/>
      <c r="M249" s="9"/>
      <c r="N249" s="9"/>
      <c r="O249" s="10"/>
      <c r="P249" s="10"/>
      <c r="Q249" s="10"/>
      <c r="R249" s="10"/>
      <c r="S249" s="10"/>
      <c r="T249" s="10"/>
      <c r="U249" s="9"/>
      <c r="V249" s="9"/>
      <c r="W249" s="9"/>
      <c r="X249" s="9"/>
      <c r="Y249" s="9"/>
      <c r="Z249" s="9"/>
      <c r="AA249" s="9"/>
    </row>
    <row r="250" spans="1:27">
      <c r="A250" s="8" t="str">
        <f>A68</f>
        <v>Type 18</v>
      </c>
      <c r="B250" s="7">
        <f>B85</f>
        <v>2018</v>
      </c>
      <c r="C250" s="7" t="str">
        <f>$I68</f>
        <v>Annual</v>
      </c>
      <c r="D250" s="7">
        <f>$J68</f>
        <v>0</v>
      </c>
      <c r="E250" s="7">
        <f>$K68</f>
        <v>0</v>
      </c>
      <c r="F250" s="14">
        <f>$L$68</f>
        <v>0</v>
      </c>
      <c r="H250" s="9">
        <f>B$68/B$8</f>
        <v>0</v>
      </c>
      <c r="I250" s="9">
        <f>H250-P250</f>
        <v>0</v>
      </c>
      <c r="J250" s="9">
        <f>I250-Q250</f>
        <v>0</v>
      </c>
      <c r="K250" s="9">
        <f>J250-R250</f>
        <v>0</v>
      </c>
      <c r="L250" s="9">
        <f>K250-S250</f>
        <v>0</v>
      </c>
      <c r="M250" s="9">
        <f>L250-T250</f>
        <v>0</v>
      </c>
      <c r="N250" s="9"/>
      <c r="O250" s="9">
        <f t="shared" ref="O250:T250" si="72">IF(OR($C250="Annual",$D250=$E250),IF(AND($D250=$E250,O$77=$B250+$D250),$H250,IF(AND(O$77&gt;$B250+$D250,O$77&lt;=$B250+$E250), $H250/($E250-$D250),0)), IF(OR(O$77=$B250+$D250,O$77=$B250+$E250),$H250/(($E250-$D250)*2),IF(AND(O$77&gt;$B250+$D250,O$77&lt;$B250+$E250),$H250/($E250-$D250),0)))</f>
        <v>0</v>
      </c>
      <c r="P250" s="9">
        <f t="shared" si="72"/>
        <v>0</v>
      </c>
      <c r="Q250" s="9">
        <f t="shared" si="72"/>
        <v>0</v>
      </c>
      <c r="R250" s="9">
        <f t="shared" si="72"/>
        <v>0</v>
      </c>
      <c r="S250" s="9">
        <f t="shared" si="72"/>
        <v>0</v>
      </c>
      <c r="T250" s="9">
        <f t="shared" si="72"/>
        <v>0</v>
      </c>
      <c r="U250" s="9"/>
      <c r="V250" s="9">
        <f>IF($C250="annual",IF(V$77=$B250,0,G250*$F250),IF(V$77-$B250=0,H250*$F250/2,IF((V$77-$B250)&lt;$E250,AVERAGE(G250,H250)*$F250,IF((V$77-$B250)=$E250,G250*$F250/2,0))))</f>
        <v>0</v>
      </c>
      <c r="W250" s="9">
        <f>IF($C250="annual",IF(W$77=$B250,0,H250*$F250),IF(W$77-$B250=0,I250*$F250/2,IF((W$77-$B250)&lt;$E250,AVERAGE(H250,I250)*$F250,IF((W$77-$B250)=$E250,H250*$F250/2,0))))</f>
        <v>0</v>
      </c>
      <c r="X250" s="9">
        <f>IF($C250="annual",IF(X$77=$B250,0,I250*$F250),IF(X$77-$B250=0,J250*$F250/2,IF((X$77-$B250)&lt;$E250,AVERAGE(I250,J250)*$F250,IF((X$77-$B250)=$E250,I250*$F250/2,0))))</f>
        <v>0</v>
      </c>
      <c r="Y250" s="9">
        <f>IF($C250="annual",IF(Y$77=$B250,0,J250*$F250),IF(Y$77-$B250=0,K250*$F250/2,IF((Y$77-$B250)&lt;$E250,AVERAGE(J250,K250)*$F250,IF((Y$77-$B250)=$E250,J250*$F250/2,0))))</f>
        <v>0</v>
      </c>
      <c r="Z250" s="9">
        <f>IF($C250="annual",IF(Z$77=$B250,0,K250*$F250),IF(Z$77-$B250=0,L250*$F250/2,IF((Z$77-$B250)&lt;$E250,AVERAGE(K250,L250)*$F250,IF((Z$77-$B250)=$E250,K250*$F250/2,0))))</f>
        <v>0</v>
      </c>
      <c r="AA250" s="9">
        <f t="shared" ref="AA250:AA255" si="73">IF($C250="annual",IF(AA$77=$B250,0,L250*$F250),IF(AA$77-$B250=0,M250*$F250/2,IF((AA$77-$B250)&lt;$E250,AVERAGE(L250,M250)*$F250,IF((AA$77-$B250)=$E250,L250*$F250/2,0))))</f>
        <v>0</v>
      </c>
    </row>
    <row r="251" spans="1:27">
      <c r="A251" s="8" t="str">
        <f>A250</f>
        <v>Type 18</v>
      </c>
      <c r="B251" s="7">
        <f>B250+1</f>
        <v>2019</v>
      </c>
      <c r="C251" s="7" t="str">
        <f>C250</f>
        <v>Annual</v>
      </c>
      <c r="D251" s="7">
        <f t="shared" ref="D251:E255" si="74">D250</f>
        <v>0</v>
      </c>
      <c r="E251" s="7">
        <f t="shared" si="74"/>
        <v>0</v>
      </c>
      <c r="F251" s="14">
        <f>$M$68</f>
        <v>0</v>
      </c>
      <c r="H251" s="9"/>
      <c r="I251" s="9">
        <f>C$68/C$8</f>
        <v>0</v>
      </c>
      <c r="J251" s="9">
        <f>I251-Q251</f>
        <v>0</v>
      </c>
      <c r="K251" s="9">
        <f>J251-R251</f>
        <v>0</v>
      </c>
      <c r="L251" s="9">
        <f>K251-S251</f>
        <v>0</v>
      </c>
      <c r="M251" s="9">
        <f>L251-T251</f>
        <v>0</v>
      </c>
      <c r="N251" s="9"/>
      <c r="O251" s="9"/>
      <c r="P251" s="9">
        <f>IF(OR($C251="Annual",$D251=$E251),IF(AND($D251=$E251,P$77=$B251+$D251),$I251,IF(AND(P$77&gt;$B251+$D251,P$77&lt;=$B251+$E251), $I251/($E251-$D251),0)), IF(OR(P$77=$B251+$D251,P$77=$B251+$E251),$I251/(($E251-$D251)*2),IF(AND(P$77&gt;$B251+$D251,P$77&lt;$B251+$E251),$I251/($E251-$D251),0)))</f>
        <v>0</v>
      </c>
      <c r="Q251" s="9">
        <f>IF(OR($C251="Annual",$D251=$E251),IF(AND($D251=$E251,Q$77=$B251+$D251),$I251,IF(AND(Q$77&gt;$B251+$D251,Q$77&lt;=$B251+$E251), $I251/($E251-$D251),0)), IF(OR(Q$77=$B251+$D251,Q$77=$B251+$E251),$I251/(($E251-$D251)*2),IF(AND(Q$77&gt;$B251+$D251,Q$77&lt;$B251+$E251),$I251/($E251-$D251),0)))</f>
        <v>0</v>
      </c>
      <c r="R251" s="9">
        <f>IF(OR($C251="Annual",$D251=$E251),IF(AND($D251=$E251,R$77=$B251+$D251),$I251,IF(AND(R$77&gt;$B251+$D251,R$77&lt;=$B251+$E251), $I251/($E251-$D251),0)), IF(OR(R$77=$B251+$D251,R$77=$B251+$E251),$I251/(($E251-$D251)*2),IF(AND(R$77&gt;$B251+$D251,R$77&lt;$B251+$E251),$I251/($E251-$D251),0)))</f>
        <v>0</v>
      </c>
      <c r="S251" s="9">
        <f>IF(OR($C251="Annual",$D251=$E251),IF(AND($D251=$E251,S$77=$B251+$D251),$I251,IF(AND(S$77&gt;$B251+$D251,S$77&lt;=$B251+$E251), $I251/($E251-$D251),0)), IF(OR(S$77=$B251+$D251,S$77=$B251+$E251),$I251/(($E251-$D251)*2),IF(AND(S$77&gt;$B251+$D251,S$77&lt;$B251+$E251),$I251/($E251-$D251),0)))</f>
        <v>0</v>
      </c>
      <c r="T251" s="9">
        <f>IF(OR($C251="Annual",$D251=$E251),IF(AND($D251=$E251,T$77=$B251+$D251),$I251,IF(AND(T$77&gt;$B251+$D251,T$77&lt;=$B251+$E251), $I251/($E251-$D251),0)), IF(OR(T$77=$B251+$D251,T$77=$B251+$E251),$I251/(($E251-$D251)*2),IF(AND(T$77&gt;$B251+$D251,T$77&lt;$B251+$E251),$I251/($E251-$D251),0)))</f>
        <v>0</v>
      </c>
      <c r="U251" s="9"/>
      <c r="V251" s="9"/>
      <c r="W251" s="9">
        <f>IF($C251="annual",IF(W$77=$B251,0,H251*$F251),IF(W$77-$B251=0,I251*$F251/2,IF((W$77-$B251)&lt;$E251,AVERAGE(H251,I251)*$F251,IF((W$77-$B251)=$E251,H251*$F251/2,0))))</f>
        <v>0</v>
      </c>
      <c r="X251" s="9">
        <f>IF($C251="annual",IF(X$77=$B251,0,I251*$F251),IF(X$77-$B251=0,J251*$F251/2,IF((X$77-$B251)&lt;$E251,AVERAGE(I251,J251)*$F251,IF((X$77-$B251)=$E251,I251*$F251/2,0))))</f>
        <v>0</v>
      </c>
      <c r="Y251" s="9">
        <f>IF($C251="annual",IF(Y$77=$B251,0,J251*$F251),IF(Y$77-$B251=0,K251*$F251/2,IF((Y$77-$B251)&lt;$E251,AVERAGE(J251,K251)*$F251,IF((Y$77-$B251)=$E251,J251*$F251/2,0))))</f>
        <v>0</v>
      </c>
      <c r="Z251" s="9">
        <f>IF($C251="annual",IF(Z$77=$B251,0,K251*$F251),IF(Z$77-$B251=0,L251*$F251/2,IF((Z$77-$B251)&lt;$E251,AVERAGE(K251,L251)*$F251,IF((Z$77-$B251)=$E251,K251*$F251/2,0))))</f>
        <v>0</v>
      </c>
      <c r="AA251" s="9">
        <f t="shared" si="73"/>
        <v>0</v>
      </c>
    </row>
    <row r="252" spans="1:27">
      <c r="A252" s="8" t="str">
        <f>A251</f>
        <v>Type 18</v>
      </c>
      <c r="B252" s="7">
        <f>B251+1</f>
        <v>2020</v>
      </c>
      <c r="C252" s="7" t="str">
        <f>C251</f>
        <v>Annual</v>
      </c>
      <c r="D252" s="7">
        <f t="shared" si="74"/>
        <v>0</v>
      </c>
      <c r="E252" s="7">
        <f t="shared" si="74"/>
        <v>0</v>
      </c>
      <c r="F252" s="14">
        <f>$N$68</f>
        <v>0</v>
      </c>
      <c r="H252" s="9"/>
      <c r="I252" s="9"/>
      <c r="J252" s="9">
        <f>D$68/D$8</f>
        <v>0</v>
      </c>
      <c r="K252" s="9">
        <f>J252-R252</f>
        <v>0</v>
      </c>
      <c r="L252" s="9">
        <f>K252-S252</f>
        <v>0</v>
      </c>
      <c r="M252" s="9">
        <f>L252-T252</f>
        <v>0</v>
      </c>
      <c r="N252" s="9"/>
      <c r="O252" s="9"/>
      <c r="P252" s="9"/>
      <c r="Q252" s="9">
        <f>IF(OR($C252="Annual",$D252=$E252),IF(AND($D252=$E252,Q$77=$B252+$D252),$J252,IF(AND(Q$77&gt;$B252+$D252,Q$77&lt;=$B252+$E252), $J252/($E252-$D252),0)), IF(OR(Q$77=$B252+$D252,Q$77=$B252+$E252),$J252/(($E252-$D252)*2),IF(AND(Q$77&gt;$B252+$D252,Q$77&lt;$B252+$E252),$J252/($E252-$D252),0)))</f>
        <v>0</v>
      </c>
      <c r="R252" s="9">
        <f>IF(OR($C252="Annual",$D252=$E252),IF(AND($D252=$E252,R$77=$B252+$D252),$J252,IF(AND(R$77&gt;$B252+$D252,R$77&lt;=$B252+$E252), $J252/($E252-$D252),0)), IF(OR(R$77=$B252+$D252,R$77=$B252+$E252),$J252/(($E252-$D252)*2),IF(AND(R$77&gt;$B252+$D252,R$77&lt;$B252+$E252),$J252/($E252-$D252),0)))</f>
        <v>0</v>
      </c>
      <c r="S252" s="9">
        <f>IF(OR($C252="Annual",$D252=$E252),IF(AND($D252=$E252,S$77=$B252+$D252),$J252,IF(AND(S$77&gt;$B252+$D252,S$77&lt;=$B252+$E252), $J252/($E252-$D252),0)), IF(OR(S$77=$B252+$D252,S$77=$B252+$E252),$J252/(($E252-$D252)*2),IF(AND(S$77&gt;$B252+$D252,S$77&lt;$B252+$E252),$J252/($E252-$D252),0)))</f>
        <v>0</v>
      </c>
      <c r="T252" s="9">
        <f>IF(OR($C252="Annual",$D252=$E252),IF(AND($D252=$E252,T$77=$B252+$D252),$J252,IF(AND(T$77&gt;$B252+$D252,T$77&lt;=$B252+$E252), $J252/($E252-$D252),0)), IF(OR(T$77=$B252+$D252,T$77=$B252+$E252),$J252/(($E252-$D252)*2),IF(AND(T$77&gt;$B252+$D252,T$77&lt;$B252+$E252),$J252/($E252-$D252),0)))</f>
        <v>0</v>
      </c>
      <c r="U252" s="9"/>
      <c r="V252" s="9"/>
      <c r="W252" s="9"/>
      <c r="X252" s="9">
        <f>IF($C252="annual",IF(X$77=$B252,0,I252*$F252),IF(X$77-$B252=0,J252*$F252/2,IF((X$77-$B252)&lt;$E252,AVERAGE(I252,J252)*$F252,IF((X$77-$B252)=$E252,I252*$F252/2,0))))</f>
        <v>0</v>
      </c>
      <c r="Y252" s="9">
        <f>IF($C252="annual",IF(Y$77=$B252,0,J252*$F252),IF(Y$77-$B252=0,K252*$F252/2,IF((Y$77-$B252)&lt;$E252,AVERAGE(J252,K252)*$F252,IF((Y$77-$B252)=$E252,J252*$F252/2,0))))</f>
        <v>0</v>
      </c>
      <c r="Z252" s="9">
        <f>IF($C252="annual",IF(Z$77=$B252,0,K252*$F252),IF(Z$77-$B252=0,L252*$F252/2,IF((Z$77-$B252)&lt;$E252,AVERAGE(K252,L252)*$F252,IF((Z$77-$B252)=$E252,K252*$F252/2,0))))</f>
        <v>0</v>
      </c>
      <c r="AA252" s="9">
        <f t="shared" si="73"/>
        <v>0</v>
      </c>
    </row>
    <row r="253" spans="1:27">
      <c r="A253" s="8" t="str">
        <f>A252</f>
        <v>Type 18</v>
      </c>
      <c r="B253" s="7">
        <f>B252+1</f>
        <v>2021</v>
      </c>
      <c r="C253" s="7" t="str">
        <f>C252</f>
        <v>Annual</v>
      </c>
      <c r="D253" s="7">
        <f t="shared" si="74"/>
        <v>0</v>
      </c>
      <c r="E253" s="7">
        <f t="shared" si="74"/>
        <v>0</v>
      </c>
      <c r="F253" s="14">
        <f>$O$68</f>
        <v>0</v>
      </c>
      <c r="H253" s="9"/>
      <c r="I253" s="9"/>
      <c r="J253" s="9"/>
      <c r="K253" s="9">
        <f>E$68/E$8</f>
        <v>0</v>
      </c>
      <c r="L253" s="9">
        <f>K253-S253</f>
        <v>0</v>
      </c>
      <c r="M253" s="9">
        <f>L253-T253</f>
        <v>0</v>
      </c>
      <c r="N253" s="9"/>
      <c r="O253" s="9"/>
      <c r="P253" s="9"/>
      <c r="Q253" s="9"/>
      <c r="R253" s="9">
        <f>IF(OR($C253="Annual",$D253=$E253),IF(AND($D253=$E253,R$77=$B253+$D253),$K253,IF(AND(R$77&gt;$B253+$D253,R$77&lt;=$B253+$E253), $K253/($E253-$D253),0)), IF(OR(R$77=$B253+$D253,R$77=$B253+$E253),$K253/(($E253-$D253)*2),IF(AND(R$77&gt;$B253+$D253,R$77&lt;$B253+$E253),$K253/($E253-$D253),0)))</f>
        <v>0</v>
      </c>
      <c r="S253" s="9">
        <f>IF(OR($C253="Annual",$D253=$E253),IF(AND($D253=$E253,S$77=$B253+$D253),$K253,IF(AND(S$77&gt;$B253+$D253,S$77&lt;=$B253+$E253), $K253/($E253-$D253),0)), IF(OR(S$77=$B253+$D253,S$77=$B253+$E253),$K253/(($E253-$D253)*2),IF(AND(S$77&gt;$B253+$D253,S$77&lt;$B253+$E253),$K253/($E253-$D253),0)))</f>
        <v>0</v>
      </c>
      <c r="T253" s="9">
        <f>IF(OR($C253="Annual",$D253=$E253),IF(AND($D253=$E253,T$77=$B253+$D253),$K253,IF(AND(T$77&gt;$B253+$D253,T$77&lt;=$B253+$E253), $K253/($E253-$D253),0)), IF(OR(T$77=$B253+$D253,T$77=$B253+$E253),$K253/(($E253-$D253)*2),IF(AND(T$77&gt;$B253+$D253,T$77&lt;$B253+$E253),$K253/($E253-$D253),0)))</f>
        <v>0</v>
      </c>
      <c r="U253" s="9"/>
      <c r="V253" s="9"/>
      <c r="W253" s="9"/>
      <c r="X253" s="9"/>
      <c r="Y253" s="9">
        <f>IF($C253="annual",IF(Y$77=$B253,0,J253*$F253),IF(Y$77-$B253=0,K253*$F253/2,IF((Y$77-$B253)&lt;$E253,AVERAGE(J253,K253)*$F253,IF((Y$77-$B253)=$E253,J253*$F253/2,0))))</f>
        <v>0</v>
      </c>
      <c r="Z253" s="9">
        <f>IF($C253="annual",IF(Z$77=$B253,0,K253*$F253),IF(Z$77-$B253=0,L253*$F253/2,IF((Z$77-$B253)&lt;$E253,AVERAGE(K253,L253)*$F253,IF((Z$77-$B253)=$E253,K253*$F253/2,0))))</f>
        <v>0</v>
      </c>
      <c r="AA253" s="9">
        <f t="shared" si="73"/>
        <v>0</v>
      </c>
    </row>
    <row r="254" spans="1:27">
      <c r="A254" s="8" t="str">
        <f>A253</f>
        <v>Type 18</v>
      </c>
      <c r="B254" s="7">
        <f>B253+1</f>
        <v>2022</v>
      </c>
      <c r="C254" s="7" t="str">
        <f>C253</f>
        <v>Annual</v>
      </c>
      <c r="D254" s="7">
        <f t="shared" si="74"/>
        <v>0</v>
      </c>
      <c r="E254" s="7">
        <f t="shared" si="74"/>
        <v>0</v>
      </c>
      <c r="F254" s="14">
        <f>$P$68</f>
        <v>0</v>
      </c>
      <c r="H254" s="9"/>
      <c r="I254" s="9"/>
      <c r="J254" s="9"/>
      <c r="K254" s="9"/>
      <c r="L254" s="9">
        <f>F$68/F$8</f>
        <v>0</v>
      </c>
      <c r="M254" s="9">
        <f>L254-T254</f>
        <v>0</v>
      </c>
      <c r="N254" s="9"/>
      <c r="O254" s="9"/>
      <c r="P254" s="9"/>
      <c r="Q254" s="9"/>
      <c r="R254" s="9"/>
      <c r="S254" s="9">
        <f>IF(OR($C254="Annual",$D254=$E254),IF(AND($D254=$E254,S$77=$B254+$D254),$L254,IF(AND(S$77&gt;$B254+$D254,S$77&lt;=$B254+$E254), $L254/($E254-$D254),0)), IF(OR(S$77=$B254+$D254,S$77=$B254+$E254),$L254/(($E254-$D254)*2),IF(AND(S$77&gt;$B254+$D254,S$77&lt;$B254+$E254),$L254/($E254-$D254),0)))</f>
        <v>0</v>
      </c>
      <c r="T254" s="9">
        <f>IF(OR($C254="Annual",$D254=$E254),IF(AND($D254=$E254,T$77=$B254+$D254),$L254,IF(AND(T$77&gt;$B254+$D254,T$77&lt;=$B254+$E254), $L254/($E254-$D254),0)), IF(OR(T$77=$B254+$D254,T$77=$B254+$E254),$L254/(($E254-$D254)*2),IF(AND(T$77&gt;$B254+$D254,T$77&lt;$B254+$E254),$L254/($E254-$D254),0)))</f>
        <v>0</v>
      </c>
      <c r="U254" s="9"/>
      <c r="V254" s="9"/>
      <c r="W254" s="9"/>
      <c r="X254" s="9"/>
      <c r="Y254" s="9"/>
      <c r="Z254" s="9">
        <f>IF($C254="annual",IF(Z$77=$B254,0,K254*$F254),IF(Z$77-$B254=0,L254*$F254/2,IF((Z$77-$B254)&lt;$E254,AVERAGE(K254,L254)*$F254,IF((Z$77-$B254)=$E254,K254*$F254/2,0))))</f>
        <v>0</v>
      </c>
      <c r="AA254" s="9">
        <f t="shared" si="73"/>
        <v>0</v>
      </c>
    </row>
    <row r="255" spans="1:27">
      <c r="A255" s="8" t="str">
        <f>A254</f>
        <v>Type 18</v>
      </c>
      <c r="B255" s="7">
        <f>B254+1</f>
        <v>2023</v>
      </c>
      <c r="C255" s="7" t="str">
        <f>C254</f>
        <v>Annual</v>
      </c>
      <c r="D255" s="7">
        <f t="shared" si="74"/>
        <v>0</v>
      </c>
      <c r="E255" s="7">
        <f t="shared" si="74"/>
        <v>0</v>
      </c>
      <c r="F255" s="14">
        <f>$Q$68</f>
        <v>0</v>
      </c>
      <c r="H255" s="9"/>
      <c r="I255" s="9"/>
      <c r="J255" s="9"/>
      <c r="K255" s="9"/>
      <c r="L255" s="9"/>
      <c r="M255" s="9">
        <f>G$68/G$8</f>
        <v>0</v>
      </c>
      <c r="N255" s="9"/>
      <c r="O255" s="9"/>
      <c r="P255" s="9"/>
      <c r="Q255" s="9"/>
      <c r="R255" s="9"/>
      <c r="S255" s="9"/>
      <c r="T255" s="9">
        <f>IF(OR($C255="Annual",$D255=$E255),IF(AND($D255=$E255,T$77=$B255+$D255),$M255,IF(AND(T$77&gt;$B255+$D255,T$77&lt;=$B255+$E255), $M255/($E255-$D255),0)), IF(OR(T$77=$B255+$D255,T$77=$B255+$E255),$M255/(($E255-$D255)*2),IF(AND(T$77&gt;$B255+$D255,T$77&lt;$B255+$E255),$M255/($E255-$D255),0)))</f>
        <v>0</v>
      </c>
      <c r="U255" s="9"/>
      <c r="V255" s="9"/>
      <c r="W255" s="9"/>
      <c r="X255" s="9"/>
      <c r="Y255" s="9"/>
      <c r="Z255" s="9"/>
      <c r="AA255" s="9">
        <f t="shared" si="73"/>
        <v>0</v>
      </c>
    </row>
    <row r="256" spans="1:27">
      <c r="A256" s="8"/>
      <c r="B256" s="7"/>
      <c r="C256" s="7"/>
      <c r="D256" s="7"/>
      <c r="E256" s="7"/>
      <c r="F256" s="15"/>
      <c r="H256" s="9"/>
      <c r="I256" s="9"/>
      <c r="J256" s="9"/>
      <c r="K256" s="9"/>
      <c r="L256" s="9"/>
      <c r="M256" s="9"/>
      <c r="N256" s="9"/>
      <c r="O256" s="10"/>
      <c r="P256" s="10"/>
      <c r="Q256" s="10"/>
      <c r="R256" s="10"/>
      <c r="S256" s="10"/>
      <c r="T256" s="10"/>
      <c r="U256" s="9"/>
      <c r="V256" s="9"/>
      <c r="W256" s="9"/>
      <c r="X256" s="9"/>
      <c r="Y256" s="9"/>
      <c r="Z256" s="9"/>
      <c r="AA256" s="9"/>
    </row>
    <row r="257" spans="1:27">
      <c r="A257" s="8" t="str">
        <f>A69</f>
        <v>Type 19</v>
      </c>
      <c r="B257" s="7">
        <f>B85</f>
        <v>2018</v>
      </c>
      <c r="C257" s="7" t="str">
        <f>$I69</f>
        <v>Annual</v>
      </c>
      <c r="D257" s="7">
        <f>$J69</f>
        <v>0</v>
      </c>
      <c r="E257" s="7">
        <f>$K69</f>
        <v>0</v>
      </c>
      <c r="F257" s="14">
        <f>$L$69</f>
        <v>0</v>
      </c>
      <c r="H257" s="9">
        <f>B$69/B$8</f>
        <v>0</v>
      </c>
      <c r="I257" s="9">
        <f>H257-P257</f>
        <v>0</v>
      </c>
      <c r="J257" s="9">
        <f>I257-Q257</f>
        <v>0</v>
      </c>
      <c r="K257" s="9">
        <f>J257-R257</f>
        <v>0</v>
      </c>
      <c r="L257" s="9">
        <f>K257-S257</f>
        <v>0</v>
      </c>
      <c r="M257" s="9">
        <f>L257-T257</f>
        <v>0</v>
      </c>
      <c r="N257" s="9"/>
      <c r="O257" s="9">
        <f t="shared" ref="O257:T257" si="75">IF(OR($C257="Annual",$D257=$E257),IF(AND($D257=$E257,O$77=$B257+$D257),$H257,IF(AND(O$77&gt;$B257+$D257,O$77&lt;=$B257+$E257), $H257/($E257-$D257),0)), IF(OR(O$77=$B257+$D257,O$77=$B257+$E257),$H257/(($E257-$D257)*2),IF(AND(O$77&gt;$B257+$D257,O$77&lt;$B257+$E257),$H257/($E257-$D257),0)))</f>
        <v>0</v>
      </c>
      <c r="P257" s="9">
        <f t="shared" si="75"/>
        <v>0</v>
      </c>
      <c r="Q257" s="9">
        <f t="shared" si="75"/>
        <v>0</v>
      </c>
      <c r="R257" s="9">
        <f t="shared" si="75"/>
        <v>0</v>
      </c>
      <c r="S257" s="9">
        <f t="shared" si="75"/>
        <v>0</v>
      </c>
      <c r="T257" s="9">
        <f t="shared" si="75"/>
        <v>0</v>
      </c>
      <c r="U257" s="9"/>
      <c r="V257" s="9">
        <f>IF($C257="annual",IF(V$77=$B257,0,G257*$F257),IF(V$77-$B257=0,H257*$F257/2,IF((V$77-$B257)&lt;$E257,AVERAGE(G257,H257)*$F257,IF((V$77-$B257)=$E257,G257*$F257/2,0))))</f>
        <v>0</v>
      </c>
      <c r="W257" s="9">
        <f>IF($C257="annual",IF(W$77=$B257,0,H257*$F257),IF(W$77-$B257=0,I257*$F257/2,IF((W$77-$B257)&lt;$E257,AVERAGE(H257,I257)*$F257,IF((W$77-$B257)=$E257,H257*$F257/2,0))))</f>
        <v>0</v>
      </c>
      <c r="X257" s="9">
        <f>IF($C257="annual",IF(X$77=$B257,0,I257*$F257),IF(X$77-$B257=0,J257*$F257/2,IF((X$77-$B257)&lt;$E257,AVERAGE(I257,J257)*$F257,IF((X$77-$B257)=$E257,I257*$F257/2,0))))</f>
        <v>0</v>
      </c>
      <c r="Y257" s="9">
        <f>IF($C257="annual",IF(Y$77=$B257,0,J257*$F257),IF(Y$77-$B257=0,K257*$F257/2,IF((Y$77-$B257)&lt;$E257,AVERAGE(J257,K257)*$F257,IF((Y$77-$B257)=$E257,J257*$F257/2,0))))</f>
        <v>0</v>
      </c>
      <c r="Z257" s="9">
        <f>IF($C257="annual",IF(Z$77=$B257,0,K257*$F257),IF(Z$77-$B257=0,L257*$F257/2,IF((Z$77-$B257)&lt;$E257,AVERAGE(K257,L257)*$F257,IF((Z$77-$B257)=$E257,K257*$F257/2,0))))</f>
        <v>0</v>
      </c>
      <c r="AA257" s="9">
        <f t="shared" ref="AA257:AA262" si="76">IF($C257="annual",IF(AA$77=$B257,0,L257*$F257),IF(AA$77-$B257=0,M257*$F257/2,IF((AA$77-$B257)&lt;$E257,AVERAGE(L257,M257)*$F257,IF((AA$77-$B257)=$E257,L257*$F257/2,0))))</f>
        <v>0</v>
      </c>
    </row>
    <row r="258" spans="1:27">
      <c r="A258" s="8" t="str">
        <f>A257</f>
        <v>Type 19</v>
      </c>
      <c r="B258" s="7">
        <f>B257+1</f>
        <v>2019</v>
      </c>
      <c r="C258" s="7" t="str">
        <f>C257</f>
        <v>Annual</v>
      </c>
      <c r="D258" s="7">
        <f t="shared" ref="D258:E262" si="77">D257</f>
        <v>0</v>
      </c>
      <c r="E258" s="7">
        <f t="shared" si="77"/>
        <v>0</v>
      </c>
      <c r="F258" s="14">
        <f>$M$69</f>
        <v>0</v>
      </c>
      <c r="H258" s="9"/>
      <c r="I258" s="9">
        <f>C$69/C$8</f>
        <v>0</v>
      </c>
      <c r="J258" s="9">
        <f>I258-Q258</f>
        <v>0</v>
      </c>
      <c r="K258" s="9">
        <f>J258-R258</f>
        <v>0</v>
      </c>
      <c r="L258" s="9">
        <f>K258-S258</f>
        <v>0</v>
      </c>
      <c r="M258" s="9">
        <f>L258-T258</f>
        <v>0</v>
      </c>
      <c r="N258" s="9"/>
      <c r="O258" s="9"/>
      <c r="P258" s="9">
        <f>IF(OR($C258="Annual",$D258=$E258),IF(AND($D258=$E258,P$77=$B258+$D258),$I258,IF(AND(P$77&gt;$B258+$D258,P$77&lt;=$B258+$E258), $I258/($E258-$D258),0)), IF(OR(P$77=$B258+$D258,P$77=$B258+$E258),$I258/(($E258-$D258)*2),IF(AND(P$77&gt;$B258+$D258,P$77&lt;$B258+$E258),$I258/($E258-$D258),0)))</f>
        <v>0</v>
      </c>
      <c r="Q258" s="9">
        <f>IF(OR($C258="Annual",$D258=$E258),IF(AND($D258=$E258,Q$77=$B258+$D258),$I258,IF(AND(Q$77&gt;$B258+$D258,Q$77&lt;=$B258+$E258), $I258/($E258-$D258),0)), IF(OR(Q$77=$B258+$D258,Q$77=$B258+$E258),$I258/(($E258-$D258)*2),IF(AND(Q$77&gt;$B258+$D258,Q$77&lt;$B258+$E258),$I258/($E258-$D258),0)))</f>
        <v>0</v>
      </c>
      <c r="R258" s="9">
        <f>IF(OR($C258="Annual",$D258=$E258),IF(AND($D258=$E258,R$77=$B258+$D258),$I258,IF(AND(R$77&gt;$B258+$D258,R$77&lt;=$B258+$E258), $I258/($E258-$D258),0)), IF(OR(R$77=$B258+$D258,R$77=$B258+$E258),$I258/(($E258-$D258)*2),IF(AND(R$77&gt;$B258+$D258,R$77&lt;$B258+$E258),$I258/($E258-$D258),0)))</f>
        <v>0</v>
      </c>
      <c r="S258" s="9">
        <f>IF(OR($C258="Annual",$D258=$E258),IF(AND($D258=$E258,S$77=$B258+$D258),$I258,IF(AND(S$77&gt;$B258+$D258,S$77&lt;=$B258+$E258), $I258/($E258-$D258),0)), IF(OR(S$77=$B258+$D258,S$77=$B258+$E258),$I258/(($E258-$D258)*2),IF(AND(S$77&gt;$B258+$D258,S$77&lt;$B258+$E258),$I258/($E258-$D258),0)))</f>
        <v>0</v>
      </c>
      <c r="T258" s="9">
        <f>IF(OR($C258="Annual",$D258=$E258),IF(AND($D258=$E258,T$77=$B258+$D258),$I258,IF(AND(T$77&gt;$B258+$D258,T$77&lt;=$B258+$E258), $I258/($E258-$D258),0)), IF(OR(T$77=$B258+$D258,T$77=$B258+$E258),$I258/(($E258-$D258)*2),IF(AND(T$77&gt;$B258+$D258,T$77&lt;$B258+$E258),$I258/($E258-$D258),0)))</f>
        <v>0</v>
      </c>
      <c r="U258" s="9"/>
      <c r="V258" s="9"/>
      <c r="W258" s="9">
        <f>IF($C258="annual",IF(W$77=$B258,0,H258*$F258),IF(W$77-$B258=0,I258*$F258/2,IF((W$77-$B258)&lt;$E258,AVERAGE(H258,I258)*$F258,IF((W$77-$B258)=$E258,H258*$F258/2,0))))</f>
        <v>0</v>
      </c>
      <c r="X258" s="9">
        <f>IF($C258="annual",IF(X$77=$B258,0,I258*$F258),IF(X$77-$B258=0,J258*$F258/2,IF((X$77-$B258)&lt;$E258,AVERAGE(I258,J258)*$F258,IF((X$77-$B258)=$E258,I258*$F258/2,0))))</f>
        <v>0</v>
      </c>
      <c r="Y258" s="9">
        <f>IF($C258="annual",IF(Y$77=$B258,0,J258*$F258),IF(Y$77-$B258=0,K258*$F258/2,IF((Y$77-$B258)&lt;$E258,AVERAGE(J258,K258)*$F258,IF((Y$77-$B258)=$E258,J258*$F258/2,0))))</f>
        <v>0</v>
      </c>
      <c r="Z258" s="9">
        <f>IF($C258="annual",IF(Z$77=$B258,0,K258*$F258),IF(Z$77-$B258=0,L258*$F258/2,IF((Z$77-$B258)&lt;$E258,AVERAGE(K258,L258)*$F258,IF((Z$77-$B258)=$E258,K258*$F258/2,0))))</f>
        <v>0</v>
      </c>
      <c r="AA258" s="9">
        <f t="shared" si="76"/>
        <v>0</v>
      </c>
    </row>
    <row r="259" spans="1:27">
      <c r="A259" s="8" t="str">
        <f>A258</f>
        <v>Type 19</v>
      </c>
      <c r="B259" s="7">
        <f>B258+1</f>
        <v>2020</v>
      </c>
      <c r="C259" s="7" t="str">
        <f>C258</f>
        <v>Annual</v>
      </c>
      <c r="D259" s="7">
        <f t="shared" si="77"/>
        <v>0</v>
      </c>
      <c r="E259" s="7">
        <f t="shared" si="77"/>
        <v>0</v>
      </c>
      <c r="F259" s="14">
        <f>$N$69</f>
        <v>0</v>
      </c>
      <c r="H259" s="9"/>
      <c r="I259" s="9"/>
      <c r="J259" s="9">
        <f>D$69/D$8</f>
        <v>0</v>
      </c>
      <c r="K259" s="9">
        <f>J259-R259</f>
        <v>0</v>
      </c>
      <c r="L259" s="9">
        <f>K259-S259</f>
        <v>0</v>
      </c>
      <c r="M259" s="9">
        <f>L259-T259</f>
        <v>0</v>
      </c>
      <c r="N259" s="9"/>
      <c r="O259" s="9"/>
      <c r="P259" s="9"/>
      <c r="Q259" s="9">
        <f>IF(OR($C259="Annual",$D259=$E259),IF(AND($D259=$E259,Q$77=$B259+$D259),$J259,IF(AND(Q$77&gt;$B259+$D259,Q$77&lt;=$B259+$E259), $J259/($E259-$D259),0)), IF(OR(Q$77=$B259+$D259,Q$77=$B259+$E259),$J259/(($E259-$D259)*2),IF(AND(Q$77&gt;$B259+$D259,Q$77&lt;$B259+$E259),$J259/($E259-$D259),0)))</f>
        <v>0</v>
      </c>
      <c r="R259" s="9">
        <f>IF(OR($C259="Annual",$D259=$E259),IF(AND($D259=$E259,R$77=$B259+$D259),$J259,IF(AND(R$77&gt;$B259+$D259,R$77&lt;=$B259+$E259), $J259/($E259-$D259),0)), IF(OR(R$77=$B259+$D259,R$77=$B259+$E259),$J259/(($E259-$D259)*2),IF(AND(R$77&gt;$B259+$D259,R$77&lt;$B259+$E259),$J259/($E259-$D259),0)))</f>
        <v>0</v>
      </c>
      <c r="S259" s="9">
        <f>IF(OR($C259="Annual",$D259=$E259),IF(AND($D259=$E259,S$77=$B259+$D259),$J259,IF(AND(S$77&gt;$B259+$D259,S$77&lt;=$B259+$E259), $J259/($E259-$D259),0)), IF(OR(S$77=$B259+$D259,S$77=$B259+$E259),$J259/(($E259-$D259)*2),IF(AND(S$77&gt;$B259+$D259,S$77&lt;$B259+$E259),$J259/($E259-$D259),0)))</f>
        <v>0</v>
      </c>
      <c r="T259" s="9">
        <f>IF(OR($C259="Annual",$D259=$E259),IF(AND($D259=$E259,T$77=$B259+$D259),$J259,IF(AND(T$77&gt;$B259+$D259,T$77&lt;=$B259+$E259), $J259/($E259-$D259),0)), IF(OR(T$77=$B259+$D259,T$77=$B259+$E259),$J259/(($E259-$D259)*2),IF(AND(T$77&gt;$B259+$D259,T$77&lt;$B259+$E259),$J259/($E259-$D259),0)))</f>
        <v>0</v>
      </c>
      <c r="U259" s="9"/>
      <c r="V259" s="9"/>
      <c r="W259" s="9"/>
      <c r="X259" s="9">
        <f>IF($C259="annual",IF(X$77=$B259,0,I259*$F259),IF(X$77-$B259=0,J259*$F259/2,IF((X$77-$B259)&lt;$E259,AVERAGE(I259,J259)*$F259,IF((X$77-$B259)=$E259,I259*$F259/2,0))))</f>
        <v>0</v>
      </c>
      <c r="Y259" s="9">
        <f>IF($C259="annual",IF(Y$77=$B259,0,J259*$F259),IF(Y$77-$B259=0,K259*$F259/2,IF((Y$77-$B259)&lt;$E259,AVERAGE(J259,K259)*$F259,IF((Y$77-$B259)=$E259,J259*$F259/2,0))))</f>
        <v>0</v>
      </c>
      <c r="Z259" s="9">
        <f>IF($C259="annual",IF(Z$77=$B259,0,K259*$F259),IF(Z$77-$B259=0,L259*$F259/2,IF((Z$77-$B259)&lt;$E259,AVERAGE(K259,L259)*$F259,IF((Z$77-$B259)=$E259,K259*$F259/2,0))))</f>
        <v>0</v>
      </c>
      <c r="AA259" s="9">
        <f t="shared" si="76"/>
        <v>0</v>
      </c>
    </row>
    <row r="260" spans="1:27">
      <c r="A260" s="8" t="str">
        <f>A259</f>
        <v>Type 19</v>
      </c>
      <c r="B260" s="7">
        <f>B259+1</f>
        <v>2021</v>
      </c>
      <c r="C260" s="7" t="str">
        <f>C259</f>
        <v>Annual</v>
      </c>
      <c r="D260" s="7">
        <f t="shared" si="77"/>
        <v>0</v>
      </c>
      <c r="E260" s="7">
        <f t="shared" si="77"/>
        <v>0</v>
      </c>
      <c r="F260" s="14">
        <f>$O$69</f>
        <v>0</v>
      </c>
      <c r="H260" s="9"/>
      <c r="I260" s="9"/>
      <c r="J260" s="9"/>
      <c r="K260" s="9">
        <f>E$69/E$8</f>
        <v>0</v>
      </c>
      <c r="L260" s="9">
        <f>K260-S260</f>
        <v>0</v>
      </c>
      <c r="M260" s="9">
        <f>L260-T260</f>
        <v>0</v>
      </c>
      <c r="N260" s="9"/>
      <c r="O260" s="9"/>
      <c r="P260" s="9"/>
      <c r="Q260" s="9"/>
      <c r="R260" s="9">
        <f>IF(OR($C260="Annual",$D260=$E260),IF(AND($D260=$E260,R$77=$B260+$D260),$K260,IF(AND(R$77&gt;$B260+$D260,R$77&lt;=$B260+$E260), $K260/($E260-$D260),0)), IF(OR(R$77=$B260+$D260,R$77=$B260+$E260),$K260/(($E260-$D260)*2),IF(AND(R$77&gt;$B260+$D260,R$77&lt;$B260+$E260),$K260/($E260-$D260),0)))</f>
        <v>0</v>
      </c>
      <c r="S260" s="9">
        <f>IF(OR($C260="Annual",$D260=$E260),IF(AND($D260=$E260,S$77=$B260+$D260),$K260,IF(AND(S$77&gt;$B260+$D260,S$77&lt;=$B260+$E260), $K260/($E260-$D260),0)), IF(OR(S$77=$B260+$D260,S$77=$B260+$E260),$K260/(($E260-$D260)*2),IF(AND(S$77&gt;$B260+$D260,S$77&lt;$B260+$E260),$K260/($E260-$D260),0)))</f>
        <v>0</v>
      </c>
      <c r="T260" s="9">
        <f>IF(OR($C260="Annual",$D260=$E260),IF(AND($D260=$E260,T$77=$B260+$D260),$K260,IF(AND(T$77&gt;$B260+$D260,T$77&lt;=$B260+$E260), $K260/($E260-$D260),0)), IF(OR(T$77=$B260+$D260,T$77=$B260+$E260),$K260/(($E260-$D260)*2),IF(AND(T$77&gt;$B260+$D260,T$77&lt;$B260+$E260),$K260/($E260-$D260),0)))</f>
        <v>0</v>
      </c>
      <c r="U260" s="9"/>
      <c r="V260" s="9"/>
      <c r="W260" s="9"/>
      <c r="X260" s="9"/>
      <c r="Y260" s="9">
        <f>IF($C260="annual",IF(Y$77=$B260,0,J260*$F260),IF(Y$77-$B260=0,K260*$F260/2,IF((Y$77-$B260)&lt;$E260,AVERAGE(J260,K260)*$F260,IF((Y$77-$B260)=$E260,J260*$F260/2,0))))</f>
        <v>0</v>
      </c>
      <c r="Z260" s="9">
        <f>IF($C260="annual",IF(Z$77=$B260,0,K260*$F260),IF(Z$77-$B260=0,L260*$F260/2,IF((Z$77-$B260)&lt;$E260,AVERAGE(K260,L260)*$F260,IF((Z$77-$B260)=$E260,K260*$F260/2,0))))</f>
        <v>0</v>
      </c>
      <c r="AA260" s="9">
        <f t="shared" si="76"/>
        <v>0</v>
      </c>
    </row>
    <row r="261" spans="1:27">
      <c r="A261" s="8" t="str">
        <f>A260</f>
        <v>Type 19</v>
      </c>
      <c r="B261" s="7">
        <f>B260+1</f>
        <v>2022</v>
      </c>
      <c r="C261" s="7" t="str">
        <f>C260</f>
        <v>Annual</v>
      </c>
      <c r="D261" s="7">
        <f t="shared" si="77"/>
        <v>0</v>
      </c>
      <c r="E261" s="7">
        <f t="shared" si="77"/>
        <v>0</v>
      </c>
      <c r="F261" s="14">
        <f>$P$69</f>
        <v>0</v>
      </c>
      <c r="H261" s="9"/>
      <c r="I261" s="9"/>
      <c r="J261" s="9"/>
      <c r="K261" s="9"/>
      <c r="L261" s="9">
        <f>F$69/F$8</f>
        <v>0</v>
      </c>
      <c r="M261" s="9">
        <f>L261-T261</f>
        <v>0</v>
      </c>
      <c r="N261" s="9"/>
      <c r="O261" s="9"/>
      <c r="P261" s="9"/>
      <c r="Q261" s="9"/>
      <c r="R261" s="9"/>
      <c r="S261" s="9">
        <f>IF(OR($C261="Annual",$D261=$E261),IF(AND($D261=$E261,S$77=$B261+$D261),$L261,IF(AND(S$77&gt;$B261+$D261,S$77&lt;=$B261+$E261), $L261/($E261-$D261),0)), IF(OR(S$77=$B261+$D261,S$77=$B261+$E261),$L261/(($E261-$D261)*2),IF(AND(S$77&gt;$B261+$D261,S$77&lt;$B261+$E261),$L261/($E261-$D261),0)))</f>
        <v>0</v>
      </c>
      <c r="T261" s="9">
        <f>IF(OR($C261="Annual",$D261=$E261),IF(AND($D261=$E261,T$77=$B261+$D261),$L261,IF(AND(T$77&gt;$B261+$D261,T$77&lt;=$B261+$E261), $L261/($E261-$D261),0)), IF(OR(T$77=$B261+$D261,T$77=$B261+$E261),$L261/(($E261-$D261)*2),IF(AND(T$77&gt;$B261+$D261,T$77&lt;$B261+$E261),$L261/($E261-$D261),0)))</f>
        <v>0</v>
      </c>
      <c r="U261" s="9"/>
      <c r="V261" s="9"/>
      <c r="W261" s="9"/>
      <c r="X261" s="9"/>
      <c r="Y261" s="9"/>
      <c r="Z261" s="9">
        <f>IF($C261="annual",IF(Z$77=$B261,0,K261*$F261),IF(Z$77-$B261=0,L261*$F261/2,IF((Z$77-$B261)&lt;$E261,AVERAGE(K261,L261)*$F261,IF((Z$77-$B261)=$E261,K261*$F261/2,0))))</f>
        <v>0</v>
      </c>
      <c r="AA261" s="9">
        <f t="shared" si="76"/>
        <v>0</v>
      </c>
    </row>
    <row r="262" spans="1:27">
      <c r="A262" s="8" t="str">
        <f>A261</f>
        <v>Type 19</v>
      </c>
      <c r="B262" s="7">
        <f>B261+1</f>
        <v>2023</v>
      </c>
      <c r="C262" s="7" t="str">
        <f>C261</f>
        <v>Annual</v>
      </c>
      <c r="D262" s="7">
        <f t="shared" si="77"/>
        <v>0</v>
      </c>
      <c r="E262" s="7">
        <f t="shared" si="77"/>
        <v>0</v>
      </c>
      <c r="F262" s="14">
        <f>$Q$69</f>
        <v>0</v>
      </c>
      <c r="H262" s="9"/>
      <c r="I262" s="9"/>
      <c r="J262" s="9"/>
      <c r="K262" s="9"/>
      <c r="L262" s="9"/>
      <c r="M262" s="9">
        <f>G$69/G$8</f>
        <v>0</v>
      </c>
      <c r="N262" s="9"/>
      <c r="O262" s="9"/>
      <c r="P262" s="9"/>
      <c r="Q262" s="9"/>
      <c r="R262" s="9"/>
      <c r="S262" s="9"/>
      <c r="T262" s="9">
        <f>IF(OR($C262="Annual",$D262=$E262),IF(AND($D262=$E262,T$77=$B262+$D262),$M262,IF(AND(T$77&gt;$B262+$D262,T$77&lt;=$B262+$E262), $M262/($E262-$D262),0)), IF(OR(T$77=$B262+$D262,T$77=$B262+$E262),$M262/(($E262-$D262)*2),IF(AND(T$77&gt;$B262+$D262,T$77&lt;$B262+$E262),$M262/($E262-$D262),0)))</f>
        <v>0</v>
      </c>
      <c r="U262" s="9"/>
      <c r="V262" s="9"/>
      <c r="W262" s="9"/>
      <c r="X262" s="9"/>
      <c r="Y262" s="9"/>
      <c r="Z262" s="9"/>
      <c r="AA262" s="9">
        <f t="shared" si="76"/>
        <v>0</v>
      </c>
    </row>
    <row r="263" spans="1:27">
      <c r="A263" s="8"/>
      <c r="B263" s="7"/>
      <c r="C263" s="7"/>
      <c r="D263" s="7"/>
      <c r="E263" s="7"/>
      <c r="F263" s="15"/>
      <c r="H263" s="9"/>
      <c r="I263" s="9"/>
      <c r="J263" s="9"/>
      <c r="K263" s="9"/>
      <c r="L263" s="9"/>
      <c r="M263" s="9"/>
      <c r="N263" s="9"/>
      <c r="O263" s="10"/>
      <c r="P263" s="10"/>
      <c r="Q263" s="10"/>
      <c r="R263" s="10"/>
      <c r="S263" s="10"/>
      <c r="T263" s="10"/>
      <c r="U263" s="9"/>
      <c r="V263" s="9"/>
      <c r="W263" s="9"/>
      <c r="X263" s="9"/>
      <c r="Y263" s="9"/>
      <c r="Z263" s="9"/>
      <c r="AA263" s="9"/>
    </row>
    <row r="264" spans="1:27" s="1150" customFormat="1">
      <c r="A264" s="1347" t="str">
        <f>A70</f>
        <v>ZERO-COUPON BOND</v>
      </c>
      <c r="B264" s="1348">
        <f>B85</f>
        <v>2018</v>
      </c>
      <c r="C264" s="1348"/>
      <c r="D264" s="1348">
        <f>$J70</f>
        <v>0</v>
      </c>
      <c r="E264" s="1348">
        <f>$K70</f>
        <v>0</v>
      </c>
      <c r="F264" s="1349">
        <f>$L$70</f>
        <v>0</v>
      </c>
      <c r="H264" s="1350">
        <f>B$70/B$8</f>
        <v>0</v>
      </c>
      <c r="I264" s="1350">
        <f>H264-P264</f>
        <v>0</v>
      </c>
      <c r="J264" s="1350">
        <f>I264-Q264</f>
        <v>0</v>
      </c>
      <c r="K264" s="1350">
        <f>J264-R264</f>
        <v>0</v>
      </c>
      <c r="L264" s="1350">
        <f>K264-S264</f>
        <v>0</v>
      </c>
      <c r="M264" s="1350">
        <f>L264-T264</f>
        <v>0</v>
      </c>
      <c r="N264" s="1350"/>
      <c r="O264" s="1350">
        <f t="shared" ref="O264:T264" si="78">IF($D264=$E264,IF(O$77=$B264+$E264,$H264,0),0)</f>
        <v>0</v>
      </c>
      <c r="P264" s="1350">
        <f t="shared" si="78"/>
        <v>0</v>
      </c>
      <c r="Q264" s="1350">
        <f t="shared" si="78"/>
        <v>0</v>
      </c>
      <c r="R264" s="1350">
        <f t="shared" si="78"/>
        <v>0</v>
      </c>
      <c r="S264" s="1350">
        <f t="shared" si="78"/>
        <v>0</v>
      </c>
      <c r="T264" s="1350">
        <f t="shared" si="78"/>
        <v>0</v>
      </c>
      <c r="U264" s="1350"/>
      <c r="V264" s="1350">
        <f t="shared" ref="V264:AA264" si="79">IF(V$77-$B264=$D264,$H264*(((1+$F264)^$D264)-1),0)</f>
        <v>0</v>
      </c>
      <c r="W264" s="1350">
        <f t="shared" si="79"/>
        <v>0</v>
      </c>
      <c r="X264" s="1350">
        <f t="shared" si="79"/>
        <v>0</v>
      </c>
      <c r="Y264" s="1350">
        <f t="shared" si="79"/>
        <v>0</v>
      </c>
      <c r="Z264" s="1350">
        <f t="shared" si="79"/>
        <v>0</v>
      </c>
      <c r="AA264" s="1350">
        <f t="shared" si="79"/>
        <v>0</v>
      </c>
    </row>
    <row r="265" spans="1:27" s="1150" customFormat="1">
      <c r="A265" s="1347" t="str">
        <f>A264</f>
        <v>ZERO-COUPON BOND</v>
      </c>
      <c r="B265" s="1348">
        <f>B264+1</f>
        <v>2019</v>
      </c>
      <c r="C265" s="1348"/>
      <c r="D265" s="1348">
        <f t="shared" ref="D265:E269" si="80">D264</f>
        <v>0</v>
      </c>
      <c r="E265" s="1348">
        <f t="shared" si="80"/>
        <v>0</v>
      </c>
      <c r="F265" s="1349">
        <f>$M$70</f>
        <v>0</v>
      </c>
      <c r="H265" s="1350"/>
      <c r="I265" s="1350">
        <f>C$70/C$8</f>
        <v>0</v>
      </c>
      <c r="J265" s="1350">
        <f>I265-Q265</f>
        <v>0</v>
      </c>
      <c r="K265" s="1350">
        <f>J265-R265</f>
        <v>0</v>
      </c>
      <c r="L265" s="1350">
        <f>K265-S265</f>
        <v>0</v>
      </c>
      <c r="M265" s="1350">
        <f>L265-T265</f>
        <v>0</v>
      </c>
      <c r="N265" s="1350"/>
      <c r="O265" s="1351"/>
      <c r="P265" s="1350">
        <f>IF($D265=$E265,IF(P$77=$B265+$E265,$I265,0),0)</f>
        <v>0</v>
      </c>
      <c r="Q265" s="1350">
        <f>IF($D265=$E265,IF(Q$77=$B265+$E265,$I265,0),0)</f>
        <v>0</v>
      </c>
      <c r="R265" s="1350">
        <f>IF($D265=$E265,IF(R$77=$B265+$E265,$I265,0),0)</f>
        <v>0</v>
      </c>
      <c r="S265" s="1350">
        <f>IF($D265=$E265,IF(S$77=$B265+$E265,$I265,0),0)</f>
        <v>0</v>
      </c>
      <c r="T265" s="1350">
        <f>IF($D265=$E265,IF(T$77=$B265+$E265,$I265,0),0)</f>
        <v>0</v>
      </c>
      <c r="U265" s="1350"/>
      <c r="V265" s="1350"/>
      <c r="W265" s="1350">
        <f>IF(W$77-$B265=$D265,$I265*(((1+$F265)^$D265)-1),0)</f>
        <v>0</v>
      </c>
      <c r="X265" s="1350">
        <f>IF(X$77-$B265=$D265,$I265*(((1+$F265)^$D265)-1),0)</f>
        <v>0</v>
      </c>
      <c r="Y265" s="1350">
        <f>IF(Y$77-$B265=$D265,$I265*(((1+$F265)^$D265)-1),0)</f>
        <v>0</v>
      </c>
      <c r="Z265" s="1350">
        <f>IF(Z$77-$B265=$D265,$I265*(((1+$F265)^$D265)-1),0)</f>
        <v>0</v>
      </c>
      <c r="AA265" s="1350">
        <f>IF(AA$77-$B265=$D265,$I265*(((1+$F265)^$D265)-1),0)</f>
        <v>0</v>
      </c>
    </row>
    <row r="266" spans="1:27" s="1150" customFormat="1">
      <c r="A266" s="1347" t="str">
        <f>A265</f>
        <v>ZERO-COUPON BOND</v>
      </c>
      <c r="B266" s="1348">
        <f>B265+1</f>
        <v>2020</v>
      </c>
      <c r="C266" s="1348"/>
      <c r="D266" s="1348">
        <f t="shared" si="80"/>
        <v>0</v>
      </c>
      <c r="E266" s="1348">
        <f t="shared" si="80"/>
        <v>0</v>
      </c>
      <c r="F266" s="1349">
        <f>$N$70</f>
        <v>0</v>
      </c>
      <c r="H266" s="1350"/>
      <c r="I266" s="1350"/>
      <c r="J266" s="1350">
        <f>D$70/D$8</f>
        <v>0</v>
      </c>
      <c r="K266" s="1350">
        <f>J266-R266</f>
        <v>0</v>
      </c>
      <c r="L266" s="1350">
        <f>K266-S266</f>
        <v>0</v>
      </c>
      <c r="M266" s="1350">
        <f>L266-T266</f>
        <v>0</v>
      </c>
      <c r="N266" s="1350"/>
      <c r="O266" s="1351"/>
      <c r="P266" s="1350"/>
      <c r="Q266" s="1350">
        <f>IF($D266=$E266,IF(Q$77=$B266+$E266,$J266,0),0)</f>
        <v>0</v>
      </c>
      <c r="R266" s="1350">
        <f>IF($D266=$E266,IF(R$77=$B266+$E266,$J266,0),0)</f>
        <v>0</v>
      </c>
      <c r="S266" s="1350">
        <f>IF($D266=$E266,IF(S$77=$B266+$E266,$J266,0),0)</f>
        <v>0</v>
      </c>
      <c r="T266" s="1350">
        <f>IF($D266=$E266,IF(T$77=$B266+$E266,$J266,0),0)</f>
        <v>0</v>
      </c>
      <c r="U266" s="1350"/>
      <c r="V266" s="1350"/>
      <c r="W266" s="1350"/>
      <c r="X266" s="1350">
        <f>IF(X$77-$B266=$D266,$J266*(((1+$F266)^$D266)-1),0)</f>
        <v>0</v>
      </c>
      <c r="Y266" s="1350">
        <f>IF(Y$77-$B266=$D266,$J266*(((1+$F266)^$D266)-1),0)</f>
        <v>0</v>
      </c>
      <c r="Z266" s="1350">
        <f>IF(Z$77-$B266=$D266,$J266*(((1+$F266)^$D266)-1),0)</f>
        <v>0</v>
      </c>
      <c r="AA266" s="1350">
        <f>IF(AA$77-$B266=$D266,$J266*(((1+$F266)^$D266)-1),0)</f>
        <v>0</v>
      </c>
    </row>
    <row r="267" spans="1:27" s="1150" customFormat="1">
      <c r="A267" s="1347" t="str">
        <f>A266</f>
        <v>ZERO-COUPON BOND</v>
      </c>
      <c r="B267" s="1348">
        <f>B266+1</f>
        <v>2021</v>
      </c>
      <c r="C267" s="1348"/>
      <c r="D267" s="1348">
        <f t="shared" si="80"/>
        <v>0</v>
      </c>
      <c r="E267" s="1348">
        <f t="shared" si="80"/>
        <v>0</v>
      </c>
      <c r="F267" s="1349">
        <f>$O$70</f>
        <v>0</v>
      </c>
      <c r="H267" s="1350"/>
      <c r="I267" s="1350"/>
      <c r="J267" s="1350"/>
      <c r="K267" s="1350">
        <f>E$70/E$8</f>
        <v>0</v>
      </c>
      <c r="L267" s="1350">
        <f>K267-S267</f>
        <v>0</v>
      </c>
      <c r="M267" s="1350">
        <f>L267-T267</f>
        <v>0</v>
      </c>
      <c r="N267" s="1350"/>
      <c r="O267" s="1351"/>
      <c r="P267" s="1350"/>
      <c r="Q267" s="1350"/>
      <c r="R267" s="1350">
        <f>IF($D267=$E267,IF(R$77=$B267+$E267,$K267,0),0)</f>
        <v>0</v>
      </c>
      <c r="S267" s="1350">
        <f>IF($D267=$E267,IF(S$77=$B267+$E267,$K267,0),0)</f>
        <v>0</v>
      </c>
      <c r="T267" s="1350">
        <f>IF($D267=$E267,IF(T$77=$B267+$E267,$K267,0),0)</f>
        <v>0</v>
      </c>
      <c r="U267" s="1350"/>
      <c r="V267" s="1350"/>
      <c r="W267" s="1350"/>
      <c r="X267" s="1350"/>
      <c r="Y267" s="1350">
        <f>IF(Y$77-$B267=$D267,$K267*(((1+$F267)^$D267)-1),0)</f>
        <v>0</v>
      </c>
      <c r="Z267" s="1350">
        <f>IF(Z$77-$B267=$D267,$K267*(((1+$F267)^$D267)-1),0)</f>
        <v>0</v>
      </c>
      <c r="AA267" s="1350">
        <f>IF(AA$77-$B267=$D267,$K267*(((1+$F267)^$D267)-1),0)</f>
        <v>0</v>
      </c>
    </row>
    <row r="268" spans="1:27" s="1150" customFormat="1">
      <c r="A268" s="1347" t="str">
        <f>A267</f>
        <v>ZERO-COUPON BOND</v>
      </c>
      <c r="B268" s="1348">
        <f>B267+1</f>
        <v>2022</v>
      </c>
      <c r="C268" s="1348"/>
      <c r="D268" s="1348">
        <f t="shared" si="80"/>
        <v>0</v>
      </c>
      <c r="E268" s="1348">
        <f t="shared" si="80"/>
        <v>0</v>
      </c>
      <c r="F268" s="1349">
        <f>$P$70</f>
        <v>0</v>
      </c>
      <c r="H268" s="1350"/>
      <c r="I268" s="1350"/>
      <c r="J268" s="1350"/>
      <c r="K268" s="1350"/>
      <c r="L268" s="1350">
        <f>F$70/F$8</f>
        <v>0</v>
      </c>
      <c r="M268" s="1350">
        <f>L268-T268</f>
        <v>0</v>
      </c>
      <c r="N268" s="1350"/>
      <c r="O268" s="1351"/>
      <c r="P268" s="1350"/>
      <c r="Q268" s="1350"/>
      <c r="R268" s="1350"/>
      <c r="S268" s="1350">
        <f>IF($D268=$E268,IF(S$77=$B268+$E268,$L268,0),0)</f>
        <v>0</v>
      </c>
      <c r="T268" s="1350">
        <f>IF($D268=$E268,IF(T$77=$B268+$E268,$L268,0),0)</f>
        <v>0</v>
      </c>
      <c r="U268" s="1350"/>
      <c r="V268" s="1350"/>
      <c r="W268" s="1350"/>
      <c r="X268" s="1350"/>
      <c r="Y268" s="1350"/>
      <c r="Z268" s="1350">
        <f>IF(Z$77-$B268=$D268,$L268*(((1+$F268)^$D268)-1),0)</f>
        <v>0</v>
      </c>
      <c r="AA268" s="1350">
        <f>IF(AA$77-$B268=$D268,$L268*(((1+$F268)^$D268)-1),0)</f>
        <v>0</v>
      </c>
    </row>
    <row r="269" spans="1:27" s="1150" customFormat="1">
      <c r="A269" s="1347" t="str">
        <f>A268</f>
        <v>ZERO-COUPON BOND</v>
      </c>
      <c r="B269" s="1348">
        <f>B268+1</f>
        <v>2023</v>
      </c>
      <c r="C269" s="1348"/>
      <c r="D269" s="1348">
        <f t="shared" si="80"/>
        <v>0</v>
      </c>
      <c r="E269" s="1348">
        <f t="shared" si="80"/>
        <v>0</v>
      </c>
      <c r="F269" s="1349">
        <f>$Q$70</f>
        <v>0</v>
      </c>
      <c r="H269" s="1350"/>
      <c r="I269" s="1350"/>
      <c r="J269" s="1350"/>
      <c r="K269" s="1350"/>
      <c r="L269" s="1350"/>
      <c r="M269" s="1350">
        <f>G$70/G$8</f>
        <v>0</v>
      </c>
      <c r="N269" s="1350"/>
      <c r="O269" s="1351"/>
      <c r="P269" s="1350"/>
      <c r="Q269" s="1350"/>
      <c r="R269" s="1350"/>
      <c r="S269" s="1350"/>
      <c r="T269" s="1350">
        <f>IF($D269=$E269,IF(T$77=$B269+$E269,$M269,0),0)</f>
        <v>0</v>
      </c>
      <c r="U269" s="1350"/>
      <c r="V269" s="1350"/>
      <c r="W269" s="1350"/>
      <c r="X269" s="1350"/>
      <c r="Y269" s="1350"/>
      <c r="Z269" s="1350"/>
      <c r="AA269" s="1350">
        <f>IF(AA$77-$B269=$D269,$M269*(((1+$F269)^$D269)-1),0)</f>
        <v>0</v>
      </c>
    </row>
    <row r="270" spans="1:27" ht="6.75" customHeight="1" thickBot="1">
      <c r="B270" s="6"/>
      <c r="H270" s="10"/>
      <c r="I270" s="10"/>
      <c r="J270" s="10"/>
      <c r="K270" s="10"/>
      <c r="L270" s="10"/>
      <c r="M270" s="10"/>
      <c r="N270" s="10"/>
      <c r="O270" s="10"/>
      <c r="P270" s="10"/>
      <c r="Q270" s="10"/>
      <c r="R270" s="10"/>
      <c r="S270" s="10"/>
      <c r="T270" s="10"/>
      <c r="U270" s="10"/>
      <c r="V270" s="10"/>
      <c r="W270" s="10"/>
      <c r="X270" s="10"/>
      <c r="Y270" s="10"/>
      <c r="Z270" s="10"/>
      <c r="AA270" s="10"/>
    </row>
    <row r="271" spans="1:27" ht="15.75" thickBot="1">
      <c r="B271" s="6"/>
      <c r="C271" s="1999" t="s">
        <v>51</v>
      </c>
      <c r="D271" s="2000"/>
      <c r="E271" s="2000"/>
      <c r="F271" s="2000"/>
      <c r="G271" s="2000"/>
      <c r="H271" s="2000"/>
      <c r="I271" s="2000"/>
      <c r="J271" s="2000"/>
      <c r="K271" s="2000"/>
      <c r="L271" s="2000"/>
      <c r="M271" s="2000"/>
      <c r="N271" s="2000"/>
      <c r="O271" s="2000"/>
      <c r="P271" s="2000"/>
      <c r="Q271" s="2000"/>
      <c r="R271" s="2000"/>
      <c r="S271" s="2000"/>
      <c r="T271" s="2000"/>
      <c r="U271" s="2000"/>
      <c r="V271" s="2000"/>
      <c r="W271" s="2000"/>
      <c r="X271" s="2000"/>
      <c r="Y271" s="2000"/>
      <c r="Z271" s="2000"/>
      <c r="AA271" s="2001"/>
    </row>
    <row r="272" spans="1:27" ht="6.75" customHeight="1">
      <c r="B272" s="6"/>
      <c r="H272" s="10"/>
      <c r="I272" s="10"/>
      <c r="J272" s="10"/>
      <c r="K272" s="10"/>
      <c r="L272" s="10"/>
      <c r="M272" s="10"/>
      <c r="N272" s="10"/>
      <c r="O272" s="10"/>
      <c r="P272" s="10"/>
      <c r="Q272" s="10"/>
      <c r="R272" s="10"/>
      <c r="S272" s="10"/>
      <c r="T272" s="10"/>
      <c r="U272" s="10"/>
      <c r="V272" s="10"/>
      <c r="W272" s="10"/>
      <c r="X272" s="10"/>
      <c r="Y272" s="10"/>
      <c r="Z272" s="10"/>
      <c r="AA272" s="10"/>
    </row>
    <row r="273" spans="1:27">
      <c r="A273" s="16" t="str">
        <f>A72</f>
        <v>Domestic Residual Financing (annual payments, no interest or amortization in current year)</v>
      </c>
      <c r="B273" s="7">
        <f>B85</f>
        <v>2018</v>
      </c>
      <c r="C273" s="7"/>
      <c r="D273" s="7">
        <f>$J72</f>
        <v>1</v>
      </c>
      <c r="E273" s="7">
        <f>$K72</f>
        <v>1</v>
      </c>
      <c r="F273" s="14">
        <f>$L$72</f>
        <v>0</v>
      </c>
      <c r="H273" s="9">
        <f>$B$72</f>
        <v>-267.59560614415022</v>
      </c>
      <c r="I273" s="9">
        <f>H273-P273</f>
        <v>0</v>
      </c>
      <c r="J273" s="9">
        <f>I273-Q273</f>
        <v>0</v>
      </c>
      <c r="K273" s="9">
        <f>J273-R273</f>
        <v>0</v>
      </c>
      <c r="L273" s="9">
        <f>K273-S273</f>
        <v>0</v>
      </c>
      <c r="M273" s="9">
        <f>L273-T273</f>
        <v>0</v>
      </c>
      <c r="N273" s="9"/>
      <c r="O273" s="89">
        <v>0</v>
      </c>
      <c r="P273" s="9">
        <f>IF($D273=$E273,IF(P$77=$B273+$D273,$H273,0),IF(P$77=$B273+$D273,$H273/(($E273-$D273)*2),IF(AND(P$77&gt;$B273+$D273,P$77&lt;$B273+$E273),$H273/($E273-$D273),IF(P$77=$B273+$E273,$H273/(($E273-$D273)*2),0))))</f>
        <v>-267.59560614415022</v>
      </c>
      <c r="Q273" s="9">
        <f>IF($D273=$E273,IF(Q$77=$B273+$D273,$H273,0),IF(Q$77=$B273+$D273,$H273/(($E273-$D273)*2),IF(AND(Q$77&gt;$B273+$D273,Q$77&lt;$B273+$E273),$H273/($E273-$D273),IF(Q$77=$B273+$E273,$H273/(($E273-$D273)*2),0))))</f>
        <v>0</v>
      </c>
      <c r="R273" s="9">
        <f>IF($D273=$E273,IF(R$77=$B273+$D273,$H273,0),IF(R$77=$B273+$D273,$H273/(($E273-$D273)*2),IF(AND(R$77&gt;$B273+$D273,R$77&lt;$B273+$E273),$H273/($E273-$D273),IF(R$77=$B273+$E273,$H273/(($E273-$D273)*2),0))))</f>
        <v>0</v>
      </c>
      <c r="S273" s="9">
        <f>IF($D273=$E273,IF(S$77=$B273+$D273,$H273,0),IF(S$77=$B273+$D273,$H273/(($E273-$D273)*2),IF(AND(S$77&gt;$B273+$D273,S$77&lt;$B273+$E273),$H273/($E273-$D273),IF(S$77=$B273+$E273,$H273/(($E273-$D273)*2),0))))</f>
        <v>0</v>
      </c>
      <c r="T273" s="9">
        <f>IF($D273=$E273,IF(T$77=$B273+$D273,$H273,0),IF(T$77=$B273+$D273,$H273/(($E273-$D273)*2),IF(AND(T$77&gt;$B273+$D273,T$77&lt;$B273+$E273),$H273/($E273-$D273),IF(T$77=$B273+$E273,$H273/(($E273-$D273)*2),0))))</f>
        <v>0</v>
      </c>
      <c r="U273" s="9"/>
      <c r="V273" s="24">
        <v>0</v>
      </c>
      <c r="W273" s="24">
        <f>H273*$F273</f>
        <v>0</v>
      </c>
      <c r="X273" s="9">
        <f>I273*$F273</f>
        <v>0</v>
      </c>
      <c r="Y273" s="9">
        <f>J273*$F273</f>
        <v>0</v>
      </c>
      <c r="Z273" s="9">
        <f t="shared" ref="Y273:AA276" si="81">K273*$F273</f>
        <v>0</v>
      </c>
      <c r="AA273" s="9">
        <f t="shared" si="81"/>
        <v>0</v>
      </c>
    </row>
    <row r="274" spans="1:27">
      <c r="B274" s="7">
        <f>B273+1</f>
        <v>2019</v>
      </c>
      <c r="C274" s="7"/>
      <c r="D274" s="7">
        <f t="shared" ref="D274:E278" si="82">D273</f>
        <v>1</v>
      </c>
      <c r="E274" s="7">
        <f t="shared" si="82"/>
        <v>1</v>
      </c>
      <c r="F274" s="14">
        <f>$M$72</f>
        <v>0</v>
      </c>
      <c r="H274" s="9"/>
      <c r="I274" s="9">
        <f>$C$72</f>
        <v>-560.64415055562313</v>
      </c>
      <c r="J274" s="9">
        <f>I274-Q274</f>
        <v>0</v>
      </c>
      <c r="K274" s="9">
        <f>J274-R274</f>
        <v>0</v>
      </c>
      <c r="L274" s="9">
        <f>K274-S274</f>
        <v>0</v>
      </c>
      <c r="M274" s="9">
        <f>L274-T274</f>
        <v>0</v>
      </c>
      <c r="O274" s="89"/>
      <c r="P274" s="9">
        <v>0</v>
      </c>
      <c r="Q274" s="9">
        <f>IF($D274=$E274,IF(Q$77=$B274+$D274,$I274,0),IF(Q$77=$B274+$D274,$I274/(($E274-$D274)*2),IF(AND(Q$77&gt;$B274+$D274,Q$77&lt;$B274+$E274),$I274/($E274-$D274),IF(Q$77=$B274+$E274,$I274/(($E274-$D274)*2),0))))</f>
        <v>-560.64415055562313</v>
      </c>
      <c r="R274" s="9">
        <f>IF($D274=$E274,IF(R$77=$B274+$D274,$I274,0),IF(R$77=$B274+$D274,$I274/(($E274-$D274)*2),IF(AND(R$77&gt;$B274+$D274,R$77&lt;$B274+$E274),$I274/($E274-$D274),IF(R$77=$B274+$E274,$I274/(($E274-$D274)*2),0))))</f>
        <v>0</v>
      </c>
      <c r="S274" s="9">
        <f>IF($D274=$E274,IF(S$77=$B274+$D274,$I274,0),IF(S$77=$B274+$D274,$I274/(($E274-$D274)*2),IF(AND(S$77&gt;$B274+$D274,S$77&lt;$B274+$E274),$I274/($E274-$D274),IF(S$77=$B274+$E274,$I274/(($E274-$D274)*2),0))))</f>
        <v>0</v>
      </c>
      <c r="T274" s="9">
        <f>IF($D274=$E274,IF(T$77=$B274+$D274,$I274,0),IF(T$77=$B274+$D274,$I274/(($E274-$D274)*2),IF(AND(T$77&gt;$B274+$D274,T$77&lt;$B274+$E274),$I274/($E274-$D274),IF(T$77=$B274+$E274,$I274/(($E274-$D274)*2),0))))</f>
        <v>0</v>
      </c>
      <c r="V274" s="9"/>
      <c r="W274" s="24">
        <v>0</v>
      </c>
      <c r="X274" s="24">
        <f>I274*$F274</f>
        <v>0</v>
      </c>
      <c r="Y274" s="9">
        <f t="shared" si="81"/>
        <v>0</v>
      </c>
      <c r="Z274" s="9">
        <f t="shared" si="81"/>
        <v>0</v>
      </c>
      <c r="AA274" s="9">
        <f t="shared" si="81"/>
        <v>0</v>
      </c>
    </row>
    <row r="275" spans="1:27">
      <c r="B275" s="7">
        <f>B274+1</f>
        <v>2020</v>
      </c>
      <c r="C275" s="7"/>
      <c r="D275" s="7">
        <f t="shared" si="82"/>
        <v>1</v>
      </c>
      <c r="E275" s="7">
        <f t="shared" si="82"/>
        <v>1</v>
      </c>
      <c r="F275" s="14">
        <f>$N$72</f>
        <v>0</v>
      </c>
      <c r="H275" s="9"/>
      <c r="I275" s="9"/>
      <c r="J275" s="9">
        <f>$D$72</f>
        <v>-1123.313868340756</v>
      </c>
      <c r="K275" s="9">
        <f>J275-R275</f>
        <v>0</v>
      </c>
      <c r="L275" s="9">
        <f>K275-S275</f>
        <v>0</v>
      </c>
      <c r="M275" s="9">
        <f>L275-T275</f>
        <v>0</v>
      </c>
      <c r="O275" s="89"/>
      <c r="P275" s="9"/>
      <c r="Q275" s="9">
        <v>0</v>
      </c>
      <c r="R275" s="9">
        <f>IF($D275=$E275,IF(R$77=$B275+$D275,$J275,0),IF(R$77=$B275+$D275,$J275/(($E275-$D275)*2),IF(AND(R$77&gt;$B275+$D275,R$77&lt;$B275+$E275),$J275/($E275-$D275),IF(R$77=$B275+$E275,$J275/(($E275-$D275)*2),0))))</f>
        <v>-1123.313868340756</v>
      </c>
      <c r="S275" s="9">
        <f>IF($D275=$E275,IF(S$77=$B275+$D275,$J275,0),IF(S$77=$B275+$D275,$J275/(($E275-$D275)*2),IF(AND(S$77&gt;$B275+$D275,S$77&lt;$B275+$E275),$J275/($E275-$D275),IF(S$77=$B275+$E275,$J275/(($E275-$D275)*2),0))))</f>
        <v>0</v>
      </c>
      <c r="T275" s="9">
        <f>IF($D275=$E275,IF(T$77=$B275+$D275,$J275,0),IF(T$77=$B275+$D275,$J275/(($E275-$D275)*2),IF(AND(T$77&gt;$B275+$D275,T$77&lt;$B275+$E275),$J275/($E275-$D275),IF(T$77=$B275+$E275,$J275/(($E275-$D275)*2),0))))</f>
        <v>0</v>
      </c>
      <c r="V275" s="9"/>
      <c r="W275" s="9"/>
      <c r="X275" s="24">
        <v>0</v>
      </c>
      <c r="Y275" s="24">
        <f>J275*$F275</f>
        <v>0</v>
      </c>
      <c r="Z275" s="9">
        <f t="shared" si="81"/>
        <v>0</v>
      </c>
      <c r="AA275" s="9">
        <f t="shared" si="81"/>
        <v>0</v>
      </c>
    </row>
    <row r="276" spans="1:27">
      <c r="B276" s="7">
        <f>B275+1</f>
        <v>2021</v>
      </c>
      <c r="C276" s="7"/>
      <c r="D276" s="7">
        <f t="shared" si="82"/>
        <v>1</v>
      </c>
      <c r="E276" s="7">
        <f t="shared" si="82"/>
        <v>1</v>
      </c>
      <c r="F276" s="14">
        <f>$O$72</f>
        <v>0</v>
      </c>
      <c r="H276" s="9"/>
      <c r="I276" s="9"/>
      <c r="J276" s="9"/>
      <c r="K276" s="9">
        <f>$E$72</f>
        <v>-679.03863783716588</v>
      </c>
      <c r="L276" s="9">
        <f>K276-S276</f>
        <v>0</v>
      </c>
      <c r="M276" s="9">
        <f>L276-T276</f>
        <v>0</v>
      </c>
      <c r="O276" s="89"/>
      <c r="P276" s="9"/>
      <c r="Q276" s="9"/>
      <c r="R276" s="9">
        <v>0</v>
      </c>
      <c r="S276" s="9">
        <f>IF($D276=$E276,IF(S$77=$B276+$D276,$K276,0),IF(S$77=$B276+$D276,$K276/(($E276-$D276)*2),IF(AND(S$77&gt;$B276+$D276,S$77&lt;$B276+$E276),$K276/($E276-$D276),IF(S$77=$B276+$E276,$K276/(($E276-$D276)*2),0))))</f>
        <v>-679.03863783716588</v>
      </c>
      <c r="T276" s="9">
        <f>IF($D276=$E276,IF(T$77=$B276+$D276,$K276,0),IF(T$77=$B276+$D276,$K276/(($E276-$D276)*2),IF(AND(T$77&gt;$B276+$D276,T$77&lt;$B276+$E276),$K276/($E276-$D276),IF(T$77=$B276+$E276,$K276/(($E276-$D276)*2),0))))</f>
        <v>0</v>
      </c>
      <c r="V276" s="9"/>
      <c r="W276" s="9"/>
      <c r="X276" s="9"/>
      <c r="Y276" s="24">
        <v>0</v>
      </c>
      <c r="Z276" s="24">
        <f>K276*$F276</f>
        <v>0</v>
      </c>
      <c r="AA276" s="9">
        <f t="shared" si="81"/>
        <v>0</v>
      </c>
    </row>
    <row r="277" spans="1:27">
      <c r="B277" s="7">
        <f>B276+1</f>
        <v>2022</v>
      </c>
      <c r="C277" s="7"/>
      <c r="D277" s="7">
        <f t="shared" si="82"/>
        <v>1</v>
      </c>
      <c r="E277" s="7">
        <f t="shared" si="82"/>
        <v>1</v>
      </c>
      <c r="F277" s="14">
        <f>$P$72</f>
        <v>0</v>
      </c>
      <c r="H277" s="9"/>
      <c r="I277" s="9"/>
      <c r="J277" s="9"/>
      <c r="K277" s="9"/>
      <c r="L277" s="9">
        <f>$F$72</f>
        <v>-1274.7202462018522</v>
      </c>
      <c r="M277" s="9">
        <f>L277-T277</f>
        <v>0</v>
      </c>
      <c r="O277" s="89"/>
      <c r="P277" s="9"/>
      <c r="Q277" s="9"/>
      <c r="R277" s="9"/>
      <c r="S277" s="9">
        <v>0</v>
      </c>
      <c r="T277" s="9">
        <f>IF($D277=$E277,IF(T$77=$B277+$D277,$L277,0),IF(T$77=$B277+$D277,$L277/(($E277-$D277)*2),IF(AND(T$77&gt;$B277+$D277,T$77&lt;$B277+$E277),$L277/($E277-$D277),IF(T$77=$B277+$E277,$L277/(($E277-$D277)*2),0))))</f>
        <v>-1274.7202462018522</v>
      </c>
      <c r="V277" s="9"/>
      <c r="W277" s="9"/>
      <c r="X277" s="9"/>
      <c r="Y277" s="9"/>
      <c r="Z277" s="24">
        <v>0</v>
      </c>
      <c r="AA277" s="24">
        <f>L277*$F277</f>
        <v>0</v>
      </c>
    </row>
    <row r="278" spans="1:27">
      <c r="B278" s="7">
        <f>B277+1</f>
        <v>2023</v>
      </c>
      <c r="C278" s="7"/>
      <c r="D278" s="7">
        <f t="shared" si="82"/>
        <v>1</v>
      </c>
      <c r="E278" s="7">
        <f t="shared" si="82"/>
        <v>1</v>
      </c>
      <c r="F278" s="14">
        <f>$Q$72</f>
        <v>0</v>
      </c>
      <c r="H278" s="9"/>
      <c r="I278" s="9"/>
      <c r="J278" s="9"/>
      <c r="K278" s="9"/>
      <c r="L278" s="9"/>
      <c r="M278" s="9">
        <f>$G$72</f>
        <v>-1627.0373431026528</v>
      </c>
      <c r="O278" s="89"/>
      <c r="P278" s="9"/>
      <c r="Q278" s="9"/>
      <c r="R278" s="9"/>
      <c r="S278" s="9"/>
      <c r="T278" s="9">
        <v>0</v>
      </c>
      <c r="V278" s="9"/>
      <c r="W278" s="9"/>
      <c r="X278" s="9"/>
      <c r="Y278" s="9"/>
      <c r="Z278" s="9"/>
      <c r="AA278" s="24">
        <v>0</v>
      </c>
    </row>
    <row r="279" spans="1:27">
      <c r="C279" s="7"/>
      <c r="D279" s="7"/>
      <c r="E279" s="7"/>
      <c r="F279" s="14"/>
      <c r="H279" s="9"/>
      <c r="I279" s="9"/>
      <c r="J279" s="9"/>
      <c r="K279" s="9"/>
      <c r="L279" s="9"/>
      <c r="M279" s="9"/>
      <c r="O279" s="89"/>
      <c r="P279" s="9"/>
      <c r="Q279" s="9"/>
      <c r="R279" s="9"/>
      <c r="S279" s="9"/>
      <c r="T279" s="9"/>
      <c r="V279" s="9"/>
      <c r="W279" s="9"/>
      <c r="X279" s="9"/>
      <c r="Y279" s="9"/>
      <c r="Z279" s="9"/>
      <c r="AA279" s="9"/>
    </row>
    <row r="280" spans="1:27">
      <c r="C280" s="7"/>
      <c r="D280" s="7"/>
      <c r="E280" s="7"/>
      <c r="F280" s="14"/>
      <c r="H280" s="9"/>
      <c r="I280" s="9"/>
      <c r="J280" s="9"/>
      <c r="K280" s="9"/>
      <c r="L280" s="9"/>
      <c r="M280" s="9"/>
      <c r="O280" s="89"/>
      <c r="P280" s="9"/>
      <c r="Q280" s="9"/>
      <c r="R280" s="9"/>
      <c r="S280" s="9"/>
      <c r="T280" s="9"/>
      <c r="V280" s="9"/>
      <c r="W280" s="9"/>
      <c r="X280" s="9"/>
      <c r="Y280" s="9"/>
      <c r="Z280" s="9"/>
      <c r="AA280" s="9"/>
    </row>
    <row r="281" spans="1:27">
      <c r="A281" s="8"/>
      <c r="B281" s="8"/>
      <c r="C281" s="7"/>
      <c r="D281" s="7"/>
      <c r="E281" s="7"/>
      <c r="F281" s="14"/>
      <c r="H281" s="9"/>
      <c r="I281" s="9"/>
      <c r="J281" s="9"/>
      <c r="K281" s="9"/>
      <c r="L281" s="9"/>
      <c r="M281" s="9"/>
      <c r="N281" s="9"/>
      <c r="O281" s="9"/>
      <c r="P281" s="9"/>
      <c r="Q281" s="9"/>
      <c r="R281" s="9"/>
      <c r="S281" s="9"/>
      <c r="T281" s="9"/>
      <c r="U281" s="9"/>
      <c r="V281" s="9"/>
      <c r="W281" s="9"/>
      <c r="X281" s="9"/>
      <c r="Y281" s="9"/>
      <c r="Z281" s="9"/>
      <c r="AA281" s="9"/>
    </row>
    <row r="282" spans="1:27">
      <c r="A282" s="6" t="s">
        <v>94</v>
      </c>
      <c r="C282" s="7"/>
      <c r="D282" s="7"/>
      <c r="E282" s="7"/>
      <c r="F282" s="14"/>
      <c r="H282" s="9"/>
      <c r="I282" s="9"/>
      <c r="J282" s="9"/>
      <c r="K282" s="9"/>
      <c r="L282" s="9"/>
      <c r="M282" s="9"/>
      <c r="O282" s="89"/>
      <c r="P282" s="9"/>
      <c r="Q282" s="9"/>
      <c r="R282" s="9"/>
      <c r="S282" s="9"/>
      <c r="T282" s="9"/>
      <c r="V282" s="9">
        <f>V85+V104+V111+V118+V125+V132+V180+V199+V206+V213+V220+V227+V273</f>
        <v>0</v>
      </c>
      <c r="W282" s="9">
        <f>W86+W105+W112+W119+W126+W133+W181+W200+W207+W214+W221+W228+W274</f>
        <v>0</v>
      </c>
      <c r="X282" s="9">
        <f>X87+X106+X113+X120+X127+X134+X182+X201+X208+X215+X222+X229+X275</f>
        <v>0</v>
      </c>
      <c r="Y282" s="9">
        <f>Y88+Y107+Y114+Y121+Y128+Y135+Y183+Y202+Y209+Y216+Y223+Y230+Y276</f>
        <v>0</v>
      </c>
      <c r="Z282" s="9">
        <f>Z89+Z108+Z115+Z122+Z129+Z136+Z184+Z203+Z210+Z217+Z224+Z231+Z277</f>
        <v>0</v>
      </c>
      <c r="AA282" s="9">
        <f>AA90+AA109+AA116+AA123+AA130+AA137+AA185+AA204+AA211+AA218+AA225+AA232+AA278</f>
        <v>0</v>
      </c>
    </row>
    <row r="283" spans="1:27">
      <c r="A283" s="6" t="s">
        <v>95</v>
      </c>
      <c r="C283" s="7"/>
      <c r="D283" s="7"/>
      <c r="E283" s="7"/>
      <c r="F283" s="14"/>
      <c r="H283" s="9"/>
      <c r="I283" s="9"/>
      <c r="J283" s="9"/>
      <c r="K283" s="9"/>
      <c r="L283" s="9"/>
      <c r="M283" s="9"/>
      <c r="O283" s="89"/>
      <c r="P283" s="9"/>
      <c r="Q283" s="9"/>
      <c r="R283" s="9"/>
      <c r="S283" s="9"/>
      <c r="T283" s="9"/>
      <c r="V283" s="9">
        <f>V94+V141+V148+V155+V162+V169+V189+V236+V243+V250+V257+V264</f>
        <v>0</v>
      </c>
      <c r="W283" s="9">
        <f>W95+W142+W149+W156+W163+W170+W190+W237+W244+W251+W258+W265</f>
        <v>0</v>
      </c>
      <c r="X283" s="9">
        <f>X96+X143+X150+X157+X164+X171+X191+X238+X245+X252+X259+X266</f>
        <v>0</v>
      </c>
      <c r="Y283" s="9">
        <f>Y97+Y144+Y151+Y158+Y165+Y172+Y192+Y239+Y246+Y253+Y260+Y267</f>
        <v>0</v>
      </c>
      <c r="Z283" s="9">
        <f>Z98+Z145+Z152+Z159+Z166+Z173+Z193+Z240+Z247+Z254+Z261+Z268</f>
        <v>0</v>
      </c>
      <c r="AA283" s="9">
        <f>AA99+AA146+AA153+AA160+AA167+AA174+AA194+AA241+AA248+AA255+AA262+AA269</f>
        <v>0</v>
      </c>
    </row>
    <row r="284" spans="1:27">
      <c r="C284" s="7"/>
      <c r="D284" s="7"/>
      <c r="E284" s="7"/>
      <c r="F284" s="14"/>
      <c r="H284" s="9"/>
      <c r="I284" s="9"/>
      <c r="J284" s="9"/>
      <c r="K284" s="9"/>
      <c r="L284" s="9"/>
      <c r="M284" s="9"/>
      <c r="O284" s="89"/>
      <c r="P284" s="9"/>
      <c r="Q284" s="9"/>
      <c r="R284" s="9"/>
      <c r="S284" s="9"/>
      <c r="T284" s="9"/>
      <c r="V284" s="9"/>
      <c r="W284" s="9"/>
      <c r="X284" s="9"/>
      <c r="Y284" s="9"/>
      <c r="Z284" s="9"/>
      <c r="AA284" s="9"/>
    </row>
    <row r="285" spans="1:27">
      <c r="C285" s="7"/>
      <c r="D285" s="7"/>
      <c r="E285" s="7"/>
      <c r="F285" s="14"/>
      <c r="H285" s="9"/>
      <c r="I285" s="9"/>
      <c r="J285" s="9"/>
      <c r="K285" s="9"/>
      <c r="L285" s="9"/>
      <c r="M285" s="9"/>
      <c r="O285" s="89"/>
      <c r="P285" s="9"/>
      <c r="Q285" s="9"/>
      <c r="R285" s="9"/>
      <c r="S285" s="9"/>
      <c r="T285" s="9"/>
      <c r="V285" s="9"/>
    </row>
    <row r="290" spans="22:27">
      <c r="V290" s="242"/>
      <c r="W290" s="242"/>
      <c r="X290" s="242"/>
      <c r="Y290" s="242"/>
      <c r="Z290" s="242"/>
      <c r="AA290" s="242"/>
    </row>
    <row r="291" spans="22:27">
      <c r="V291" s="242"/>
      <c r="W291" s="242"/>
      <c r="X291" s="242"/>
      <c r="Y291" s="242"/>
      <c r="Z291" s="242"/>
      <c r="AA291" s="242"/>
    </row>
  </sheetData>
  <mergeCells count="16">
    <mergeCell ref="C271:AA271"/>
    <mergeCell ref="C139:AA139"/>
    <mergeCell ref="C178:AA178"/>
    <mergeCell ref="C187:AA187"/>
    <mergeCell ref="C197:AA197"/>
    <mergeCell ref="C234:AA234"/>
    <mergeCell ref="V78:AA78"/>
    <mergeCell ref="C83:AA83"/>
    <mergeCell ref="C92:AA92"/>
    <mergeCell ref="C102:AA102"/>
    <mergeCell ref="I14:Q15"/>
    <mergeCell ref="B37:G37"/>
    <mergeCell ref="C75:AA75"/>
    <mergeCell ref="C78:F78"/>
    <mergeCell ref="H78:M78"/>
    <mergeCell ref="O78:T78"/>
  </mergeCells>
  <pageMargins left="0.7" right="0.7" top="0.75" bottom="0.75" header="0.3" footer="0.3"/>
  <pageSetup orientation="portrait"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7">
    <tabColor theme="8" tint="0.39997558519241921"/>
  </sheetPr>
  <dimension ref="A1:W167"/>
  <sheetViews>
    <sheetView zoomScale="80" zoomScaleNormal="80" workbookViewId="0">
      <pane xSplit="2" ySplit="3" topLeftCell="C4" activePane="bottomRight" state="frozen"/>
      <selection activeCell="A107" sqref="A107:XFD137"/>
      <selection pane="topRight" activeCell="A107" sqref="A107:XFD137"/>
      <selection pane="bottomLeft" activeCell="A107" sqref="A107:XFD137"/>
      <selection pane="bottomRight" activeCell="C4" sqref="C4"/>
    </sheetView>
  </sheetViews>
  <sheetFormatPr defaultRowHeight="15"/>
  <cols>
    <col min="1" max="1" width="4" customWidth="1"/>
    <col min="2" max="2" width="61.5703125" customWidth="1"/>
    <col min="3" max="3" width="21.140625" style="284" customWidth="1"/>
    <col min="4" max="6" width="10.7109375" style="1" customWidth="1"/>
    <col min="7" max="13" width="10.7109375" style="60" customWidth="1"/>
    <col min="14" max="15" width="10.7109375" style="1" customWidth="1"/>
    <col min="16" max="16" width="15.7109375" style="1" customWidth="1"/>
    <col min="17" max="21" width="14.5703125" style="1" customWidth="1"/>
    <col min="22" max="22" width="14.5703125" customWidth="1"/>
    <col min="239" max="239" width="4" customWidth="1"/>
    <col min="240" max="240" width="61.5703125" customWidth="1"/>
    <col min="241" max="246" width="0" hidden="1" customWidth="1"/>
    <col min="247" max="251" width="8.42578125" bestFit="1" customWidth="1"/>
    <col min="252" max="252" width="1.7109375" customWidth="1"/>
    <col min="254" max="254" width="1.5703125" customWidth="1"/>
    <col min="255" max="255" width="7.85546875" customWidth="1"/>
    <col min="256" max="256" width="1.85546875" customWidth="1"/>
    <col min="257" max="262" width="8.42578125" bestFit="1" customWidth="1"/>
    <col min="263" max="263" width="0" hidden="1" customWidth="1"/>
    <col min="264" max="264" width="1.42578125" customWidth="1"/>
    <col min="265" max="265" width="12.85546875" customWidth="1"/>
    <col min="495" max="495" width="4" customWidth="1"/>
    <col min="496" max="496" width="61.5703125" customWidth="1"/>
    <col min="497" max="502" width="0" hidden="1" customWidth="1"/>
    <col min="503" max="507" width="8.42578125" bestFit="1" customWidth="1"/>
    <col min="508" max="508" width="1.7109375" customWidth="1"/>
    <col min="510" max="510" width="1.5703125" customWidth="1"/>
    <col min="511" max="511" width="7.85546875" customWidth="1"/>
    <col min="512" max="512" width="1.85546875" customWidth="1"/>
    <col min="513" max="518" width="8.42578125" bestFit="1" customWidth="1"/>
    <col min="519" max="519" width="0" hidden="1" customWidth="1"/>
    <col min="520" max="520" width="1.42578125" customWidth="1"/>
    <col min="521" max="521" width="12.85546875" customWidth="1"/>
    <col min="751" max="751" width="4" customWidth="1"/>
    <col min="752" max="752" width="61.5703125" customWidth="1"/>
    <col min="753" max="758" width="0" hidden="1" customWidth="1"/>
    <col min="759" max="763" width="8.42578125" bestFit="1" customWidth="1"/>
    <col min="764" max="764" width="1.7109375" customWidth="1"/>
    <col min="766" max="766" width="1.5703125" customWidth="1"/>
    <col min="767" max="767" width="7.85546875" customWidth="1"/>
    <col min="768" max="768" width="1.85546875" customWidth="1"/>
    <col min="769" max="774" width="8.42578125" bestFit="1" customWidth="1"/>
    <col min="775" max="775" width="0" hidden="1" customWidth="1"/>
    <col min="776" max="776" width="1.42578125" customWidth="1"/>
    <col min="777" max="777" width="12.85546875" customWidth="1"/>
    <col min="1007" max="1007" width="4" customWidth="1"/>
    <col min="1008" max="1008" width="61.5703125" customWidth="1"/>
    <col min="1009" max="1014" width="0" hidden="1" customWidth="1"/>
    <col min="1015" max="1019" width="8.42578125" bestFit="1" customWidth="1"/>
    <col min="1020" max="1020" width="1.7109375" customWidth="1"/>
    <col min="1022" max="1022" width="1.5703125" customWidth="1"/>
    <col min="1023" max="1023" width="7.85546875" customWidth="1"/>
    <col min="1024" max="1024" width="1.85546875" customWidth="1"/>
    <col min="1025" max="1030" width="8.42578125" bestFit="1" customWidth="1"/>
    <col min="1031" max="1031" width="0" hidden="1" customWidth="1"/>
    <col min="1032" max="1032" width="1.42578125" customWidth="1"/>
    <col min="1033" max="1033" width="12.85546875" customWidth="1"/>
    <col min="1263" max="1263" width="4" customWidth="1"/>
    <col min="1264" max="1264" width="61.5703125" customWidth="1"/>
    <col min="1265" max="1270" width="0" hidden="1" customWidth="1"/>
    <col min="1271" max="1275" width="8.42578125" bestFit="1" customWidth="1"/>
    <col min="1276" max="1276" width="1.7109375" customWidth="1"/>
    <col min="1278" max="1278" width="1.5703125" customWidth="1"/>
    <col min="1279" max="1279" width="7.85546875" customWidth="1"/>
    <col min="1280" max="1280" width="1.85546875" customWidth="1"/>
    <col min="1281" max="1286" width="8.42578125" bestFit="1" customWidth="1"/>
    <col min="1287" max="1287" width="0" hidden="1" customWidth="1"/>
    <col min="1288" max="1288" width="1.42578125" customWidth="1"/>
    <col min="1289" max="1289" width="12.85546875" customWidth="1"/>
    <col min="1519" max="1519" width="4" customWidth="1"/>
    <col min="1520" max="1520" width="61.5703125" customWidth="1"/>
    <col min="1521" max="1526" width="0" hidden="1" customWidth="1"/>
    <col min="1527" max="1531" width="8.42578125" bestFit="1" customWidth="1"/>
    <col min="1532" max="1532" width="1.7109375" customWidth="1"/>
    <col min="1534" max="1534" width="1.5703125" customWidth="1"/>
    <col min="1535" max="1535" width="7.85546875" customWidth="1"/>
    <col min="1536" max="1536" width="1.85546875" customWidth="1"/>
    <col min="1537" max="1542" width="8.42578125" bestFit="1" customWidth="1"/>
    <col min="1543" max="1543" width="0" hidden="1" customWidth="1"/>
    <col min="1544" max="1544" width="1.42578125" customWidth="1"/>
    <col min="1545" max="1545" width="12.85546875" customWidth="1"/>
    <col min="1775" max="1775" width="4" customWidth="1"/>
    <col min="1776" max="1776" width="61.5703125" customWidth="1"/>
    <col min="1777" max="1782" width="0" hidden="1" customWidth="1"/>
    <col min="1783" max="1787" width="8.42578125" bestFit="1" customWidth="1"/>
    <col min="1788" max="1788" width="1.7109375" customWidth="1"/>
    <col min="1790" max="1790" width="1.5703125" customWidth="1"/>
    <col min="1791" max="1791" width="7.85546875" customWidth="1"/>
    <col min="1792" max="1792" width="1.85546875" customWidth="1"/>
    <col min="1793" max="1798" width="8.42578125" bestFit="1" customWidth="1"/>
    <col min="1799" max="1799" width="0" hidden="1" customWidth="1"/>
    <col min="1800" max="1800" width="1.42578125" customWidth="1"/>
    <col min="1801" max="1801" width="12.85546875" customWidth="1"/>
    <col min="2031" max="2031" width="4" customWidth="1"/>
    <col min="2032" max="2032" width="61.5703125" customWidth="1"/>
    <col min="2033" max="2038" width="0" hidden="1" customWidth="1"/>
    <col min="2039" max="2043" width="8.42578125" bestFit="1" customWidth="1"/>
    <col min="2044" max="2044" width="1.7109375" customWidth="1"/>
    <col min="2046" max="2046" width="1.5703125" customWidth="1"/>
    <col min="2047" max="2047" width="7.85546875" customWidth="1"/>
    <col min="2048" max="2048" width="1.85546875" customWidth="1"/>
    <col min="2049" max="2054" width="8.42578125" bestFit="1" customWidth="1"/>
    <col min="2055" max="2055" width="0" hidden="1" customWidth="1"/>
    <col min="2056" max="2056" width="1.42578125" customWidth="1"/>
    <col min="2057" max="2057" width="12.85546875" customWidth="1"/>
    <col min="2287" max="2287" width="4" customWidth="1"/>
    <col min="2288" max="2288" width="61.5703125" customWidth="1"/>
    <col min="2289" max="2294" width="0" hidden="1" customWidth="1"/>
    <col min="2295" max="2299" width="8.42578125" bestFit="1" customWidth="1"/>
    <col min="2300" max="2300" width="1.7109375" customWidth="1"/>
    <col min="2302" max="2302" width="1.5703125" customWidth="1"/>
    <col min="2303" max="2303" width="7.85546875" customWidth="1"/>
    <col min="2304" max="2304" width="1.85546875" customWidth="1"/>
    <col min="2305" max="2310" width="8.42578125" bestFit="1" customWidth="1"/>
    <col min="2311" max="2311" width="0" hidden="1" customWidth="1"/>
    <col min="2312" max="2312" width="1.42578125" customWidth="1"/>
    <col min="2313" max="2313" width="12.85546875" customWidth="1"/>
    <col min="2543" max="2543" width="4" customWidth="1"/>
    <col min="2544" max="2544" width="61.5703125" customWidth="1"/>
    <col min="2545" max="2550" width="0" hidden="1" customWidth="1"/>
    <col min="2551" max="2555" width="8.42578125" bestFit="1" customWidth="1"/>
    <col min="2556" max="2556" width="1.7109375" customWidth="1"/>
    <col min="2558" max="2558" width="1.5703125" customWidth="1"/>
    <col min="2559" max="2559" width="7.85546875" customWidth="1"/>
    <col min="2560" max="2560" width="1.85546875" customWidth="1"/>
    <col min="2561" max="2566" width="8.42578125" bestFit="1" customWidth="1"/>
    <col min="2567" max="2567" width="0" hidden="1" customWidth="1"/>
    <col min="2568" max="2568" width="1.42578125" customWidth="1"/>
    <col min="2569" max="2569" width="12.85546875" customWidth="1"/>
    <col min="2799" max="2799" width="4" customWidth="1"/>
    <col min="2800" max="2800" width="61.5703125" customWidth="1"/>
    <col min="2801" max="2806" width="0" hidden="1" customWidth="1"/>
    <col min="2807" max="2811" width="8.42578125" bestFit="1" customWidth="1"/>
    <col min="2812" max="2812" width="1.7109375" customWidth="1"/>
    <col min="2814" max="2814" width="1.5703125" customWidth="1"/>
    <col min="2815" max="2815" width="7.85546875" customWidth="1"/>
    <col min="2816" max="2816" width="1.85546875" customWidth="1"/>
    <col min="2817" max="2822" width="8.42578125" bestFit="1" customWidth="1"/>
    <col min="2823" max="2823" width="0" hidden="1" customWidth="1"/>
    <col min="2824" max="2824" width="1.42578125" customWidth="1"/>
    <col min="2825" max="2825" width="12.85546875" customWidth="1"/>
    <col min="3055" max="3055" width="4" customWidth="1"/>
    <col min="3056" max="3056" width="61.5703125" customWidth="1"/>
    <col min="3057" max="3062" width="0" hidden="1" customWidth="1"/>
    <col min="3063" max="3067" width="8.42578125" bestFit="1" customWidth="1"/>
    <col min="3068" max="3068" width="1.7109375" customWidth="1"/>
    <col min="3070" max="3070" width="1.5703125" customWidth="1"/>
    <col min="3071" max="3071" width="7.85546875" customWidth="1"/>
    <col min="3072" max="3072" width="1.85546875" customWidth="1"/>
    <col min="3073" max="3078" width="8.42578125" bestFit="1" customWidth="1"/>
    <col min="3079" max="3079" width="0" hidden="1" customWidth="1"/>
    <col min="3080" max="3080" width="1.42578125" customWidth="1"/>
    <col min="3081" max="3081" width="12.85546875" customWidth="1"/>
    <col min="3311" max="3311" width="4" customWidth="1"/>
    <col min="3312" max="3312" width="61.5703125" customWidth="1"/>
    <col min="3313" max="3318" width="0" hidden="1" customWidth="1"/>
    <col min="3319" max="3323" width="8.42578125" bestFit="1" customWidth="1"/>
    <col min="3324" max="3324" width="1.7109375" customWidth="1"/>
    <col min="3326" max="3326" width="1.5703125" customWidth="1"/>
    <col min="3327" max="3327" width="7.85546875" customWidth="1"/>
    <col min="3328" max="3328" width="1.85546875" customWidth="1"/>
    <col min="3329" max="3334" width="8.42578125" bestFit="1" customWidth="1"/>
    <col min="3335" max="3335" width="0" hidden="1" customWidth="1"/>
    <col min="3336" max="3336" width="1.42578125" customWidth="1"/>
    <col min="3337" max="3337" width="12.85546875" customWidth="1"/>
    <col min="3567" max="3567" width="4" customWidth="1"/>
    <col min="3568" max="3568" width="61.5703125" customWidth="1"/>
    <col min="3569" max="3574" width="0" hidden="1" customWidth="1"/>
    <col min="3575" max="3579" width="8.42578125" bestFit="1" customWidth="1"/>
    <col min="3580" max="3580" width="1.7109375" customWidth="1"/>
    <col min="3582" max="3582" width="1.5703125" customWidth="1"/>
    <col min="3583" max="3583" width="7.85546875" customWidth="1"/>
    <col min="3584" max="3584" width="1.85546875" customWidth="1"/>
    <col min="3585" max="3590" width="8.42578125" bestFit="1" customWidth="1"/>
    <col min="3591" max="3591" width="0" hidden="1" customWidth="1"/>
    <col min="3592" max="3592" width="1.42578125" customWidth="1"/>
    <col min="3593" max="3593" width="12.85546875" customWidth="1"/>
    <col min="3823" max="3823" width="4" customWidth="1"/>
    <col min="3824" max="3824" width="61.5703125" customWidth="1"/>
    <col min="3825" max="3830" width="0" hidden="1" customWidth="1"/>
    <col min="3831" max="3835" width="8.42578125" bestFit="1" customWidth="1"/>
    <col min="3836" max="3836" width="1.7109375" customWidth="1"/>
    <col min="3838" max="3838" width="1.5703125" customWidth="1"/>
    <col min="3839" max="3839" width="7.85546875" customWidth="1"/>
    <col min="3840" max="3840" width="1.85546875" customWidth="1"/>
    <col min="3841" max="3846" width="8.42578125" bestFit="1" customWidth="1"/>
    <col min="3847" max="3847" width="0" hidden="1" customWidth="1"/>
    <col min="3848" max="3848" width="1.42578125" customWidth="1"/>
    <col min="3849" max="3849" width="12.85546875" customWidth="1"/>
    <col min="4079" max="4079" width="4" customWidth="1"/>
    <col min="4080" max="4080" width="61.5703125" customWidth="1"/>
    <col min="4081" max="4086" width="0" hidden="1" customWidth="1"/>
    <col min="4087" max="4091" width="8.42578125" bestFit="1" customWidth="1"/>
    <col min="4092" max="4092" width="1.7109375" customWidth="1"/>
    <col min="4094" max="4094" width="1.5703125" customWidth="1"/>
    <col min="4095" max="4095" width="7.85546875" customWidth="1"/>
    <col min="4096" max="4096" width="1.85546875" customWidth="1"/>
    <col min="4097" max="4102" width="8.42578125" bestFit="1" customWidth="1"/>
    <col min="4103" max="4103" width="0" hidden="1" customWidth="1"/>
    <col min="4104" max="4104" width="1.42578125" customWidth="1"/>
    <col min="4105" max="4105" width="12.85546875" customWidth="1"/>
    <col min="4335" max="4335" width="4" customWidth="1"/>
    <col min="4336" max="4336" width="61.5703125" customWidth="1"/>
    <col min="4337" max="4342" width="0" hidden="1" customWidth="1"/>
    <col min="4343" max="4347" width="8.42578125" bestFit="1" customWidth="1"/>
    <col min="4348" max="4348" width="1.7109375" customWidth="1"/>
    <col min="4350" max="4350" width="1.5703125" customWidth="1"/>
    <col min="4351" max="4351" width="7.85546875" customWidth="1"/>
    <col min="4352" max="4352" width="1.85546875" customWidth="1"/>
    <col min="4353" max="4358" width="8.42578125" bestFit="1" customWidth="1"/>
    <col min="4359" max="4359" width="0" hidden="1" customWidth="1"/>
    <col min="4360" max="4360" width="1.42578125" customWidth="1"/>
    <col min="4361" max="4361" width="12.85546875" customWidth="1"/>
    <col min="4591" max="4591" width="4" customWidth="1"/>
    <col min="4592" max="4592" width="61.5703125" customWidth="1"/>
    <col min="4593" max="4598" width="0" hidden="1" customWidth="1"/>
    <col min="4599" max="4603" width="8.42578125" bestFit="1" customWidth="1"/>
    <col min="4604" max="4604" width="1.7109375" customWidth="1"/>
    <col min="4606" max="4606" width="1.5703125" customWidth="1"/>
    <col min="4607" max="4607" width="7.85546875" customWidth="1"/>
    <col min="4608" max="4608" width="1.85546875" customWidth="1"/>
    <col min="4609" max="4614" width="8.42578125" bestFit="1" customWidth="1"/>
    <col min="4615" max="4615" width="0" hidden="1" customWidth="1"/>
    <col min="4616" max="4616" width="1.42578125" customWidth="1"/>
    <col min="4617" max="4617" width="12.85546875" customWidth="1"/>
    <col min="4847" max="4847" width="4" customWidth="1"/>
    <col min="4848" max="4848" width="61.5703125" customWidth="1"/>
    <col min="4849" max="4854" width="0" hidden="1" customWidth="1"/>
    <col min="4855" max="4859" width="8.42578125" bestFit="1" customWidth="1"/>
    <col min="4860" max="4860" width="1.7109375" customWidth="1"/>
    <col min="4862" max="4862" width="1.5703125" customWidth="1"/>
    <col min="4863" max="4863" width="7.85546875" customWidth="1"/>
    <col min="4864" max="4864" width="1.85546875" customWidth="1"/>
    <col min="4865" max="4870" width="8.42578125" bestFit="1" customWidth="1"/>
    <col min="4871" max="4871" width="0" hidden="1" customWidth="1"/>
    <col min="4872" max="4872" width="1.42578125" customWidth="1"/>
    <col min="4873" max="4873" width="12.85546875" customWidth="1"/>
    <col min="5103" max="5103" width="4" customWidth="1"/>
    <col min="5104" max="5104" width="61.5703125" customWidth="1"/>
    <col min="5105" max="5110" width="0" hidden="1" customWidth="1"/>
    <col min="5111" max="5115" width="8.42578125" bestFit="1" customWidth="1"/>
    <col min="5116" max="5116" width="1.7109375" customWidth="1"/>
    <col min="5118" max="5118" width="1.5703125" customWidth="1"/>
    <col min="5119" max="5119" width="7.85546875" customWidth="1"/>
    <col min="5120" max="5120" width="1.85546875" customWidth="1"/>
    <col min="5121" max="5126" width="8.42578125" bestFit="1" customWidth="1"/>
    <col min="5127" max="5127" width="0" hidden="1" customWidth="1"/>
    <col min="5128" max="5128" width="1.42578125" customWidth="1"/>
    <col min="5129" max="5129" width="12.85546875" customWidth="1"/>
    <col min="5359" max="5359" width="4" customWidth="1"/>
    <col min="5360" max="5360" width="61.5703125" customWidth="1"/>
    <col min="5361" max="5366" width="0" hidden="1" customWidth="1"/>
    <col min="5367" max="5371" width="8.42578125" bestFit="1" customWidth="1"/>
    <col min="5372" max="5372" width="1.7109375" customWidth="1"/>
    <col min="5374" max="5374" width="1.5703125" customWidth="1"/>
    <col min="5375" max="5375" width="7.85546875" customWidth="1"/>
    <col min="5376" max="5376" width="1.85546875" customWidth="1"/>
    <col min="5377" max="5382" width="8.42578125" bestFit="1" customWidth="1"/>
    <col min="5383" max="5383" width="0" hidden="1" customWidth="1"/>
    <col min="5384" max="5384" width="1.42578125" customWidth="1"/>
    <col min="5385" max="5385" width="12.85546875" customWidth="1"/>
    <col min="5615" max="5615" width="4" customWidth="1"/>
    <col min="5616" max="5616" width="61.5703125" customWidth="1"/>
    <col min="5617" max="5622" width="0" hidden="1" customWidth="1"/>
    <col min="5623" max="5627" width="8.42578125" bestFit="1" customWidth="1"/>
    <col min="5628" max="5628" width="1.7109375" customWidth="1"/>
    <col min="5630" max="5630" width="1.5703125" customWidth="1"/>
    <col min="5631" max="5631" width="7.85546875" customWidth="1"/>
    <col min="5632" max="5632" width="1.85546875" customWidth="1"/>
    <col min="5633" max="5638" width="8.42578125" bestFit="1" customWidth="1"/>
    <col min="5639" max="5639" width="0" hidden="1" customWidth="1"/>
    <col min="5640" max="5640" width="1.42578125" customWidth="1"/>
    <col min="5641" max="5641" width="12.85546875" customWidth="1"/>
    <col min="5871" max="5871" width="4" customWidth="1"/>
    <col min="5872" max="5872" width="61.5703125" customWidth="1"/>
    <col min="5873" max="5878" width="0" hidden="1" customWidth="1"/>
    <col min="5879" max="5883" width="8.42578125" bestFit="1" customWidth="1"/>
    <col min="5884" max="5884" width="1.7109375" customWidth="1"/>
    <col min="5886" max="5886" width="1.5703125" customWidth="1"/>
    <col min="5887" max="5887" width="7.85546875" customWidth="1"/>
    <col min="5888" max="5888" width="1.85546875" customWidth="1"/>
    <col min="5889" max="5894" width="8.42578125" bestFit="1" customWidth="1"/>
    <col min="5895" max="5895" width="0" hidden="1" customWidth="1"/>
    <col min="5896" max="5896" width="1.42578125" customWidth="1"/>
    <col min="5897" max="5897" width="12.85546875" customWidth="1"/>
    <col min="6127" max="6127" width="4" customWidth="1"/>
    <col min="6128" max="6128" width="61.5703125" customWidth="1"/>
    <col min="6129" max="6134" width="0" hidden="1" customWidth="1"/>
    <col min="6135" max="6139" width="8.42578125" bestFit="1" customWidth="1"/>
    <col min="6140" max="6140" width="1.7109375" customWidth="1"/>
    <col min="6142" max="6142" width="1.5703125" customWidth="1"/>
    <col min="6143" max="6143" width="7.85546875" customWidth="1"/>
    <col min="6144" max="6144" width="1.85546875" customWidth="1"/>
    <col min="6145" max="6150" width="8.42578125" bestFit="1" customWidth="1"/>
    <col min="6151" max="6151" width="0" hidden="1" customWidth="1"/>
    <col min="6152" max="6152" width="1.42578125" customWidth="1"/>
    <col min="6153" max="6153" width="12.85546875" customWidth="1"/>
    <col min="6383" max="6383" width="4" customWidth="1"/>
    <col min="6384" max="6384" width="61.5703125" customWidth="1"/>
    <col min="6385" max="6390" width="0" hidden="1" customWidth="1"/>
    <col min="6391" max="6395" width="8.42578125" bestFit="1" customWidth="1"/>
    <col min="6396" max="6396" width="1.7109375" customWidth="1"/>
    <col min="6398" max="6398" width="1.5703125" customWidth="1"/>
    <col min="6399" max="6399" width="7.85546875" customWidth="1"/>
    <col min="6400" max="6400" width="1.85546875" customWidth="1"/>
    <col min="6401" max="6406" width="8.42578125" bestFit="1" customWidth="1"/>
    <col min="6407" max="6407" width="0" hidden="1" customWidth="1"/>
    <col min="6408" max="6408" width="1.42578125" customWidth="1"/>
    <col min="6409" max="6409" width="12.85546875" customWidth="1"/>
    <col min="6639" max="6639" width="4" customWidth="1"/>
    <col min="6640" max="6640" width="61.5703125" customWidth="1"/>
    <col min="6641" max="6646" width="0" hidden="1" customWidth="1"/>
    <col min="6647" max="6651" width="8.42578125" bestFit="1" customWidth="1"/>
    <col min="6652" max="6652" width="1.7109375" customWidth="1"/>
    <col min="6654" max="6654" width="1.5703125" customWidth="1"/>
    <col min="6655" max="6655" width="7.85546875" customWidth="1"/>
    <col min="6656" max="6656" width="1.85546875" customWidth="1"/>
    <col min="6657" max="6662" width="8.42578125" bestFit="1" customWidth="1"/>
    <col min="6663" max="6663" width="0" hidden="1" customWidth="1"/>
    <col min="6664" max="6664" width="1.42578125" customWidth="1"/>
    <col min="6665" max="6665" width="12.85546875" customWidth="1"/>
    <col min="6895" max="6895" width="4" customWidth="1"/>
    <col min="6896" max="6896" width="61.5703125" customWidth="1"/>
    <col min="6897" max="6902" width="0" hidden="1" customWidth="1"/>
    <col min="6903" max="6907" width="8.42578125" bestFit="1" customWidth="1"/>
    <col min="6908" max="6908" width="1.7109375" customWidth="1"/>
    <col min="6910" max="6910" width="1.5703125" customWidth="1"/>
    <col min="6911" max="6911" width="7.85546875" customWidth="1"/>
    <col min="6912" max="6912" width="1.85546875" customWidth="1"/>
    <col min="6913" max="6918" width="8.42578125" bestFit="1" customWidth="1"/>
    <col min="6919" max="6919" width="0" hidden="1" customWidth="1"/>
    <col min="6920" max="6920" width="1.42578125" customWidth="1"/>
    <col min="6921" max="6921" width="12.85546875" customWidth="1"/>
    <col min="7151" max="7151" width="4" customWidth="1"/>
    <col min="7152" max="7152" width="61.5703125" customWidth="1"/>
    <col min="7153" max="7158" width="0" hidden="1" customWidth="1"/>
    <col min="7159" max="7163" width="8.42578125" bestFit="1" customWidth="1"/>
    <col min="7164" max="7164" width="1.7109375" customWidth="1"/>
    <col min="7166" max="7166" width="1.5703125" customWidth="1"/>
    <col min="7167" max="7167" width="7.85546875" customWidth="1"/>
    <col min="7168" max="7168" width="1.85546875" customWidth="1"/>
    <col min="7169" max="7174" width="8.42578125" bestFit="1" customWidth="1"/>
    <col min="7175" max="7175" width="0" hidden="1" customWidth="1"/>
    <col min="7176" max="7176" width="1.42578125" customWidth="1"/>
    <col min="7177" max="7177" width="12.85546875" customWidth="1"/>
    <col min="7407" max="7407" width="4" customWidth="1"/>
    <col min="7408" max="7408" width="61.5703125" customWidth="1"/>
    <col min="7409" max="7414" width="0" hidden="1" customWidth="1"/>
    <col min="7415" max="7419" width="8.42578125" bestFit="1" customWidth="1"/>
    <col min="7420" max="7420" width="1.7109375" customWidth="1"/>
    <col min="7422" max="7422" width="1.5703125" customWidth="1"/>
    <col min="7423" max="7423" width="7.85546875" customWidth="1"/>
    <col min="7424" max="7424" width="1.85546875" customWidth="1"/>
    <col min="7425" max="7430" width="8.42578125" bestFit="1" customWidth="1"/>
    <col min="7431" max="7431" width="0" hidden="1" customWidth="1"/>
    <col min="7432" max="7432" width="1.42578125" customWidth="1"/>
    <col min="7433" max="7433" width="12.85546875" customWidth="1"/>
    <col min="7663" max="7663" width="4" customWidth="1"/>
    <col min="7664" max="7664" width="61.5703125" customWidth="1"/>
    <col min="7665" max="7670" width="0" hidden="1" customWidth="1"/>
    <col min="7671" max="7675" width="8.42578125" bestFit="1" customWidth="1"/>
    <col min="7676" max="7676" width="1.7109375" customWidth="1"/>
    <col min="7678" max="7678" width="1.5703125" customWidth="1"/>
    <col min="7679" max="7679" width="7.85546875" customWidth="1"/>
    <col min="7680" max="7680" width="1.85546875" customWidth="1"/>
    <col min="7681" max="7686" width="8.42578125" bestFit="1" customWidth="1"/>
    <col min="7687" max="7687" width="0" hidden="1" customWidth="1"/>
    <col min="7688" max="7688" width="1.42578125" customWidth="1"/>
    <col min="7689" max="7689" width="12.85546875" customWidth="1"/>
    <col min="7919" max="7919" width="4" customWidth="1"/>
    <col min="7920" max="7920" width="61.5703125" customWidth="1"/>
    <col min="7921" max="7926" width="0" hidden="1" customWidth="1"/>
    <col min="7927" max="7931" width="8.42578125" bestFit="1" customWidth="1"/>
    <col min="7932" max="7932" width="1.7109375" customWidth="1"/>
    <col min="7934" max="7934" width="1.5703125" customWidth="1"/>
    <col min="7935" max="7935" width="7.85546875" customWidth="1"/>
    <col min="7936" max="7936" width="1.85546875" customWidth="1"/>
    <col min="7937" max="7942" width="8.42578125" bestFit="1" customWidth="1"/>
    <col min="7943" max="7943" width="0" hidden="1" customWidth="1"/>
    <col min="7944" max="7944" width="1.42578125" customWidth="1"/>
    <col min="7945" max="7945" width="12.85546875" customWidth="1"/>
    <col min="8175" max="8175" width="4" customWidth="1"/>
    <col min="8176" max="8176" width="61.5703125" customWidth="1"/>
    <col min="8177" max="8182" width="0" hidden="1" customWidth="1"/>
    <col min="8183" max="8187" width="8.42578125" bestFit="1" customWidth="1"/>
    <col min="8188" max="8188" width="1.7109375" customWidth="1"/>
    <col min="8190" max="8190" width="1.5703125" customWidth="1"/>
    <col min="8191" max="8191" width="7.85546875" customWidth="1"/>
    <col min="8192" max="8192" width="1.85546875" customWidth="1"/>
    <col min="8193" max="8198" width="8.42578125" bestFit="1" customWidth="1"/>
    <col min="8199" max="8199" width="0" hidden="1" customWidth="1"/>
    <col min="8200" max="8200" width="1.42578125" customWidth="1"/>
    <col min="8201" max="8201" width="12.85546875" customWidth="1"/>
    <col min="8431" max="8431" width="4" customWidth="1"/>
    <col min="8432" max="8432" width="61.5703125" customWidth="1"/>
    <col min="8433" max="8438" width="0" hidden="1" customWidth="1"/>
    <col min="8439" max="8443" width="8.42578125" bestFit="1" customWidth="1"/>
    <col min="8444" max="8444" width="1.7109375" customWidth="1"/>
    <col min="8446" max="8446" width="1.5703125" customWidth="1"/>
    <col min="8447" max="8447" width="7.85546875" customWidth="1"/>
    <col min="8448" max="8448" width="1.85546875" customWidth="1"/>
    <col min="8449" max="8454" width="8.42578125" bestFit="1" customWidth="1"/>
    <col min="8455" max="8455" width="0" hidden="1" customWidth="1"/>
    <col min="8456" max="8456" width="1.42578125" customWidth="1"/>
    <col min="8457" max="8457" width="12.85546875" customWidth="1"/>
    <col min="8687" max="8687" width="4" customWidth="1"/>
    <col min="8688" max="8688" width="61.5703125" customWidth="1"/>
    <col min="8689" max="8694" width="0" hidden="1" customWidth="1"/>
    <col min="8695" max="8699" width="8.42578125" bestFit="1" customWidth="1"/>
    <col min="8700" max="8700" width="1.7109375" customWidth="1"/>
    <col min="8702" max="8702" width="1.5703125" customWidth="1"/>
    <col min="8703" max="8703" width="7.85546875" customWidth="1"/>
    <col min="8704" max="8704" width="1.85546875" customWidth="1"/>
    <col min="8705" max="8710" width="8.42578125" bestFit="1" customWidth="1"/>
    <col min="8711" max="8711" width="0" hidden="1" customWidth="1"/>
    <col min="8712" max="8712" width="1.42578125" customWidth="1"/>
    <col min="8713" max="8713" width="12.85546875" customWidth="1"/>
    <col min="8943" max="8943" width="4" customWidth="1"/>
    <col min="8944" max="8944" width="61.5703125" customWidth="1"/>
    <col min="8945" max="8950" width="0" hidden="1" customWidth="1"/>
    <col min="8951" max="8955" width="8.42578125" bestFit="1" customWidth="1"/>
    <col min="8956" max="8956" width="1.7109375" customWidth="1"/>
    <col min="8958" max="8958" width="1.5703125" customWidth="1"/>
    <col min="8959" max="8959" width="7.85546875" customWidth="1"/>
    <col min="8960" max="8960" width="1.85546875" customWidth="1"/>
    <col min="8961" max="8966" width="8.42578125" bestFit="1" customWidth="1"/>
    <col min="8967" max="8967" width="0" hidden="1" customWidth="1"/>
    <col min="8968" max="8968" width="1.42578125" customWidth="1"/>
    <col min="8969" max="8969" width="12.85546875" customWidth="1"/>
    <col min="9199" max="9199" width="4" customWidth="1"/>
    <col min="9200" max="9200" width="61.5703125" customWidth="1"/>
    <col min="9201" max="9206" width="0" hidden="1" customWidth="1"/>
    <col min="9207" max="9211" width="8.42578125" bestFit="1" customWidth="1"/>
    <col min="9212" max="9212" width="1.7109375" customWidth="1"/>
    <col min="9214" max="9214" width="1.5703125" customWidth="1"/>
    <col min="9215" max="9215" width="7.85546875" customWidth="1"/>
    <col min="9216" max="9216" width="1.85546875" customWidth="1"/>
    <col min="9217" max="9222" width="8.42578125" bestFit="1" customWidth="1"/>
    <col min="9223" max="9223" width="0" hidden="1" customWidth="1"/>
    <col min="9224" max="9224" width="1.42578125" customWidth="1"/>
    <col min="9225" max="9225" width="12.85546875" customWidth="1"/>
    <col min="9455" max="9455" width="4" customWidth="1"/>
    <col min="9456" max="9456" width="61.5703125" customWidth="1"/>
    <col min="9457" max="9462" width="0" hidden="1" customWidth="1"/>
    <col min="9463" max="9467" width="8.42578125" bestFit="1" customWidth="1"/>
    <col min="9468" max="9468" width="1.7109375" customWidth="1"/>
    <col min="9470" max="9470" width="1.5703125" customWidth="1"/>
    <col min="9471" max="9471" width="7.85546875" customWidth="1"/>
    <col min="9472" max="9472" width="1.85546875" customWidth="1"/>
    <col min="9473" max="9478" width="8.42578125" bestFit="1" customWidth="1"/>
    <col min="9479" max="9479" width="0" hidden="1" customWidth="1"/>
    <col min="9480" max="9480" width="1.42578125" customWidth="1"/>
    <col min="9481" max="9481" width="12.85546875" customWidth="1"/>
    <col min="9711" max="9711" width="4" customWidth="1"/>
    <col min="9712" max="9712" width="61.5703125" customWidth="1"/>
    <col min="9713" max="9718" width="0" hidden="1" customWidth="1"/>
    <col min="9719" max="9723" width="8.42578125" bestFit="1" customWidth="1"/>
    <col min="9724" max="9724" width="1.7109375" customWidth="1"/>
    <col min="9726" max="9726" width="1.5703125" customWidth="1"/>
    <col min="9727" max="9727" width="7.85546875" customWidth="1"/>
    <col min="9728" max="9728" width="1.85546875" customWidth="1"/>
    <col min="9729" max="9734" width="8.42578125" bestFit="1" customWidth="1"/>
    <col min="9735" max="9735" width="0" hidden="1" customWidth="1"/>
    <col min="9736" max="9736" width="1.42578125" customWidth="1"/>
    <col min="9737" max="9737" width="12.85546875" customWidth="1"/>
    <col min="9967" max="9967" width="4" customWidth="1"/>
    <col min="9968" max="9968" width="61.5703125" customWidth="1"/>
    <col min="9969" max="9974" width="0" hidden="1" customWidth="1"/>
    <col min="9975" max="9979" width="8.42578125" bestFit="1" customWidth="1"/>
    <col min="9980" max="9980" width="1.7109375" customWidth="1"/>
    <col min="9982" max="9982" width="1.5703125" customWidth="1"/>
    <col min="9983" max="9983" width="7.85546875" customWidth="1"/>
    <col min="9984" max="9984" width="1.85546875" customWidth="1"/>
    <col min="9985" max="9990" width="8.42578125" bestFit="1" customWidth="1"/>
    <col min="9991" max="9991" width="0" hidden="1" customWidth="1"/>
    <col min="9992" max="9992" width="1.42578125" customWidth="1"/>
    <col min="9993" max="9993" width="12.85546875" customWidth="1"/>
    <col min="10223" max="10223" width="4" customWidth="1"/>
    <col min="10224" max="10224" width="61.5703125" customWidth="1"/>
    <col min="10225" max="10230" width="0" hidden="1" customWidth="1"/>
    <col min="10231" max="10235" width="8.42578125" bestFit="1" customWidth="1"/>
    <col min="10236" max="10236" width="1.7109375" customWidth="1"/>
    <col min="10238" max="10238" width="1.5703125" customWidth="1"/>
    <col min="10239" max="10239" width="7.85546875" customWidth="1"/>
    <col min="10240" max="10240" width="1.85546875" customWidth="1"/>
    <col min="10241" max="10246" width="8.42578125" bestFit="1" customWidth="1"/>
    <col min="10247" max="10247" width="0" hidden="1" customWidth="1"/>
    <col min="10248" max="10248" width="1.42578125" customWidth="1"/>
    <col min="10249" max="10249" width="12.85546875" customWidth="1"/>
    <col min="10479" max="10479" width="4" customWidth="1"/>
    <col min="10480" max="10480" width="61.5703125" customWidth="1"/>
    <col min="10481" max="10486" width="0" hidden="1" customWidth="1"/>
    <col min="10487" max="10491" width="8.42578125" bestFit="1" customWidth="1"/>
    <col min="10492" max="10492" width="1.7109375" customWidth="1"/>
    <col min="10494" max="10494" width="1.5703125" customWidth="1"/>
    <col min="10495" max="10495" width="7.85546875" customWidth="1"/>
    <col min="10496" max="10496" width="1.85546875" customWidth="1"/>
    <col min="10497" max="10502" width="8.42578125" bestFit="1" customWidth="1"/>
    <col min="10503" max="10503" width="0" hidden="1" customWidth="1"/>
    <col min="10504" max="10504" width="1.42578125" customWidth="1"/>
    <col min="10505" max="10505" width="12.85546875" customWidth="1"/>
    <col min="10735" max="10735" width="4" customWidth="1"/>
    <col min="10736" max="10736" width="61.5703125" customWidth="1"/>
    <col min="10737" max="10742" width="0" hidden="1" customWidth="1"/>
    <col min="10743" max="10747" width="8.42578125" bestFit="1" customWidth="1"/>
    <col min="10748" max="10748" width="1.7109375" customWidth="1"/>
    <col min="10750" max="10750" width="1.5703125" customWidth="1"/>
    <col min="10751" max="10751" width="7.85546875" customWidth="1"/>
    <col min="10752" max="10752" width="1.85546875" customWidth="1"/>
    <col min="10753" max="10758" width="8.42578125" bestFit="1" customWidth="1"/>
    <col min="10759" max="10759" width="0" hidden="1" customWidth="1"/>
    <col min="10760" max="10760" width="1.42578125" customWidth="1"/>
    <col min="10761" max="10761" width="12.85546875" customWidth="1"/>
    <col min="10991" max="10991" width="4" customWidth="1"/>
    <col min="10992" max="10992" width="61.5703125" customWidth="1"/>
    <col min="10993" max="10998" width="0" hidden="1" customWidth="1"/>
    <col min="10999" max="11003" width="8.42578125" bestFit="1" customWidth="1"/>
    <col min="11004" max="11004" width="1.7109375" customWidth="1"/>
    <col min="11006" max="11006" width="1.5703125" customWidth="1"/>
    <col min="11007" max="11007" width="7.85546875" customWidth="1"/>
    <col min="11008" max="11008" width="1.85546875" customWidth="1"/>
    <col min="11009" max="11014" width="8.42578125" bestFit="1" customWidth="1"/>
    <col min="11015" max="11015" width="0" hidden="1" customWidth="1"/>
    <col min="11016" max="11016" width="1.42578125" customWidth="1"/>
    <col min="11017" max="11017" width="12.85546875" customWidth="1"/>
    <col min="11247" max="11247" width="4" customWidth="1"/>
    <col min="11248" max="11248" width="61.5703125" customWidth="1"/>
    <col min="11249" max="11254" width="0" hidden="1" customWidth="1"/>
    <col min="11255" max="11259" width="8.42578125" bestFit="1" customWidth="1"/>
    <col min="11260" max="11260" width="1.7109375" customWidth="1"/>
    <col min="11262" max="11262" width="1.5703125" customWidth="1"/>
    <col min="11263" max="11263" width="7.85546875" customWidth="1"/>
    <col min="11264" max="11264" width="1.85546875" customWidth="1"/>
    <col min="11265" max="11270" width="8.42578125" bestFit="1" customWidth="1"/>
    <col min="11271" max="11271" width="0" hidden="1" customWidth="1"/>
    <col min="11272" max="11272" width="1.42578125" customWidth="1"/>
    <col min="11273" max="11273" width="12.85546875" customWidth="1"/>
    <col min="11503" max="11503" width="4" customWidth="1"/>
    <col min="11504" max="11504" width="61.5703125" customWidth="1"/>
    <col min="11505" max="11510" width="0" hidden="1" customWidth="1"/>
    <col min="11511" max="11515" width="8.42578125" bestFit="1" customWidth="1"/>
    <col min="11516" max="11516" width="1.7109375" customWidth="1"/>
    <col min="11518" max="11518" width="1.5703125" customWidth="1"/>
    <col min="11519" max="11519" width="7.85546875" customWidth="1"/>
    <col min="11520" max="11520" width="1.85546875" customWidth="1"/>
    <col min="11521" max="11526" width="8.42578125" bestFit="1" customWidth="1"/>
    <col min="11527" max="11527" width="0" hidden="1" customWidth="1"/>
    <col min="11528" max="11528" width="1.42578125" customWidth="1"/>
    <col min="11529" max="11529" width="12.85546875" customWidth="1"/>
    <col min="11759" max="11759" width="4" customWidth="1"/>
    <col min="11760" max="11760" width="61.5703125" customWidth="1"/>
    <col min="11761" max="11766" width="0" hidden="1" customWidth="1"/>
    <col min="11767" max="11771" width="8.42578125" bestFit="1" customWidth="1"/>
    <col min="11772" max="11772" width="1.7109375" customWidth="1"/>
    <col min="11774" max="11774" width="1.5703125" customWidth="1"/>
    <col min="11775" max="11775" width="7.85546875" customWidth="1"/>
    <col min="11776" max="11776" width="1.85546875" customWidth="1"/>
    <col min="11777" max="11782" width="8.42578125" bestFit="1" customWidth="1"/>
    <col min="11783" max="11783" width="0" hidden="1" customWidth="1"/>
    <col min="11784" max="11784" width="1.42578125" customWidth="1"/>
    <col min="11785" max="11785" width="12.85546875" customWidth="1"/>
    <col min="12015" max="12015" width="4" customWidth="1"/>
    <col min="12016" max="12016" width="61.5703125" customWidth="1"/>
    <col min="12017" max="12022" width="0" hidden="1" customWidth="1"/>
    <col min="12023" max="12027" width="8.42578125" bestFit="1" customWidth="1"/>
    <col min="12028" max="12028" width="1.7109375" customWidth="1"/>
    <col min="12030" max="12030" width="1.5703125" customWidth="1"/>
    <col min="12031" max="12031" width="7.85546875" customWidth="1"/>
    <col min="12032" max="12032" width="1.85546875" customWidth="1"/>
    <col min="12033" max="12038" width="8.42578125" bestFit="1" customWidth="1"/>
    <col min="12039" max="12039" width="0" hidden="1" customWidth="1"/>
    <col min="12040" max="12040" width="1.42578125" customWidth="1"/>
    <col min="12041" max="12041" width="12.85546875" customWidth="1"/>
    <col min="12271" max="12271" width="4" customWidth="1"/>
    <col min="12272" max="12272" width="61.5703125" customWidth="1"/>
    <col min="12273" max="12278" width="0" hidden="1" customWidth="1"/>
    <col min="12279" max="12283" width="8.42578125" bestFit="1" customWidth="1"/>
    <col min="12284" max="12284" width="1.7109375" customWidth="1"/>
    <col min="12286" max="12286" width="1.5703125" customWidth="1"/>
    <col min="12287" max="12287" width="7.85546875" customWidth="1"/>
    <col min="12288" max="12288" width="1.85546875" customWidth="1"/>
    <col min="12289" max="12294" width="8.42578125" bestFit="1" customWidth="1"/>
    <col min="12295" max="12295" width="0" hidden="1" customWidth="1"/>
    <col min="12296" max="12296" width="1.42578125" customWidth="1"/>
    <col min="12297" max="12297" width="12.85546875" customWidth="1"/>
    <col min="12527" max="12527" width="4" customWidth="1"/>
    <col min="12528" max="12528" width="61.5703125" customWidth="1"/>
    <col min="12529" max="12534" width="0" hidden="1" customWidth="1"/>
    <col min="12535" max="12539" width="8.42578125" bestFit="1" customWidth="1"/>
    <col min="12540" max="12540" width="1.7109375" customWidth="1"/>
    <col min="12542" max="12542" width="1.5703125" customWidth="1"/>
    <col min="12543" max="12543" width="7.85546875" customWidth="1"/>
    <col min="12544" max="12544" width="1.85546875" customWidth="1"/>
    <col min="12545" max="12550" width="8.42578125" bestFit="1" customWidth="1"/>
    <col min="12551" max="12551" width="0" hidden="1" customWidth="1"/>
    <col min="12552" max="12552" width="1.42578125" customWidth="1"/>
    <col min="12553" max="12553" width="12.85546875" customWidth="1"/>
    <col min="12783" max="12783" width="4" customWidth="1"/>
    <col min="12784" max="12784" width="61.5703125" customWidth="1"/>
    <col min="12785" max="12790" width="0" hidden="1" customWidth="1"/>
    <col min="12791" max="12795" width="8.42578125" bestFit="1" customWidth="1"/>
    <col min="12796" max="12796" width="1.7109375" customWidth="1"/>
    <col min="12798" max="12798" width="1.5703125" customWidth="1"/>
    <col min="12799" max="12799" width="7.85546875" customWidth="1"/>
    <col min="12800" max="12800" width="1.85546875" customWidth="1"/>
    <col min="12801" max="12806" width="8.42578125" bestFit="1" customWidth="1"/>
    <col min="12807" max="12807" width="0" hidden="1" customWidth="1"/>
    <col min="12808" max="12808" width="1.42578125" customWidth="1"/>
    <col min="12809" max="12809" width="12.85546875" customWidth="1"/>
    <col min="13039" max="13039" width="4" customWidth="1"/>
    <col min="13040" max="13040" width="61.5703125" customWidth="1"/>
    <col min="13041" max="13046" width="0" hidden="1" customWidth="1"/>
    <col min="13047" max="13051" width="8.42578125" bestFit="1" customWidth="1"/>
    <col min="13052" max="13052" width="1.7109375" customWidth="1"/>
    <col min="13054" max="13054" width="1.5703125" customWidth="1"/>
    <col min="13055" max="13055" width="7.85546875" customWidth="1"/>
    <col min="13056" max="13056" width="1.85546875" customWidth="1"/>
    <col min="13057" max="13062" width="8.42578125" bestFit="1" customWidth="1"/>
    <col min="13063" max="13063" width="0" hidden="1" customWidth="1"/>
    <col min="13064" max="13064" width="1.42578125" customWidth="1"/>
    <col min="13065" max="13065" width="12.85546875" customWidth="1"/>
    <col min="13295" max="13295" width="4" customWidth="1"/>
    <col min="13296" max="13296" width="61.5703125" customWidth="1"/>
    <col min="13297" max="13302" width="0" hidden="1" customWidth="1"/>
    <col min="13303" max="13307" width="8.42578125" bestFit="1" customWidth="1"/>
    <col min="13308" max="13308" width="1.7109375" customWidth="1"/>
    <col min="13310" max="13310" width="1.5703125" customWidth="1"/>
    <col min="13311" max="13311" width="7.85546875" customWidth="1"/>
    <col min="13312" max="13312" width="1.85546875" customWidth="1"/>
    <col min="13313" max="13318" width="8.42578125" bestFit="1" customWidth="1"/>
    <col min="13319" max="13319" width="0" hidden="1" customWidth="1"/>
    <col min="13320" max="13320" width="1.42578125" customWidth="1"/>
    <col min="13321" max="13321" width="12.85546875" customWidth="1"/>
    <col min="13551" max="13551" width="4" customWidth="1"/>
    <col min="13552" max="13552" width="61.5703125" customWidth="1"/>
    <col min="13553" max="13558" width="0" hidden="1" customWidth="1"/>
    <col min="13559" max="13563" width="8.42578125" bestFit="1" customWidth="1"/>
    <col min="13564" max="13564" width="1.7109375" customWidth="1"/>
    <col min="13566" max="13566" width="1.5703125" customWidth="1"/>
    <col min="13567" max="13567" width="7.85546875" customWidth="1"/>
    <col min="13568" max="13568" width="1.85546875" customWidth="1"/>
    <col min="13569" max="13574" width="8.42578125" bestFit="1" customWidth="1"/>
    <col min="13575" max="13575" width="0" hidden="1" customWidth="1"/>
    <col min="13576" max="13576" width="1.42578125" customWidth="1"/>
    <col min="13577" max="13577" width="12.85546875" customWidth="1"/>
    <col min="13807" max="13807" width="4" customWidth="1"/>
    <col min="13808" max="13808" width="61.5703125" customWidth="1"/>
    <col min="13809" max="13814" width="0" hidden="1" customWidth="1"/>
    <col min="13815" max="13819" width="8.42578125" bestFit="1" customWidth="1"/>
    <col min="13820" max="13820" width="1.7109375" customWidth="1"/>
    <col min="13822" max="13822" width="1.5703125" customWidth="1"/>
    <col min="13823" max="13823" width="7.85546875" customWidth="1"/>
    <col min="13824" max="13824" width="1.85546875" customWidth="1"/>
    <col min="13825" max="13830" width="8.42578125" bestFit="1" customWidth="1"/>
    <col min="13831" max="13831" width="0" hidden="1" customWidth="1"/>
    <col min="13832" max="13832" width="1.42578125" customWidth="1"/>
    <col min="13833" max="13833" width="12.85546875" customWidth="1"/>
    <col min="14063" max="14063" width="4" customWidth="1"/>
    <col min="14064" max="14064" width="61.5703125" customWidth="1"/>
    <col min="14065" max="14070" width="0" hidden="1" customWidth="1"/>
    <col min="14071" max="14075" width="8.42578125" bestFit="1" customWidth="1"/>
    <col min="14076" max="14076" width="1.7109375" customWidth="1"/>
    <col min="14078" max="14078" width="1.5703125" customWidth="1"/>
    <col min="14079" max="14079" width="7.85546875" customWidth="1"/>
    <col min="14080" max="14080" width="1.85546875" customWidth="1"/>
    <col min="14081" max="14086" width="8.42578125" bestFit="1" customWidth="1"/>
    <col min="14087" max="14087" width="0" hidden="1" customWidth="1"/>
    <col min="14088" max="14088" width="1.42578125" customWidth="1"/>
    <col min="14089" max="14089" width="12.85546875" customWidth="1"/>
    <col min="14319" max="14319" width="4" customWidth="1"/>
    <col min="14320" max="14320" width="61.5703125" customWidth="1"/>
    <col min="14321" max="14326" width="0" hidden="1" customWidth="1"/>
    <col min="14327" max="14331" width="8.42578125" bestFit="1" customWidth="1"/>
    <col min="14332" max="14332" width="1.7109375" customWidth="1"/>
    <col min="14334" max="14334" width="1.5703125" customWidth="1"/>
    <col min="14335" max="14335" width="7.85546875" customWidth="1"/>
    <col min="14336" max="14336" width="1.85546875" customWidth="1"/>
    <col min="14337" max="14342" width="8.42578125" bestFit="1" customWidth="1"/>
    <col min="14343" max="14343" width="0" hidden="1" customWidth="1"/>
    <col min="14344" max="14344" width="1.42578125" customWidth="1"/>
    <col min="14345" max="14345" width="12.85546875" customWidth="1"/>
    <col min="14575" max="14575" width="4" customWidth="1"/>
    <col min="14576" max="14576" width="61.5703125" customWidth="1"/>
    <col min="14577" max="14582" width="0" hidden="1" customWidth="1"/>
    <col min="14583" max="14587" width="8.42578125" bestFit="1" customWidth="1"/>
    <col min="14588" max="14588" width="1.7109375" customWidth="1"/>
    <col min="14590" max="14590" width="1.5703125" customWidth="1"/>
    <col min="14591" max="14591" width="7.85546875" customWidth="1"/>
    <col min="14592" max="14592" width="1.85546875" customWidth="1"/>
    <col min="14593" max="14598" width="8.42578125" bestFit="1" customWidth="1"/>
    <col min="14599" max="14599" width="0" hidden="1" customWidth="1"/>
    <col min="14600" max="14600" width="1.42578125" customWidth="1"/>
    <col min="14601" max="14601" width="12.85546875" customWidth="1"/>
    <col min="14831" max="14831" width="4" customWidth="1"/>
    <col min="14832" max="14832" width="61.5703125" customWidth="1"/>
    <col min="14833" max="14838" width="0" hidden="1" customWidth="1"/>
    <col min="14839" max="14843" width="8.42578125" bestFit="1" customWidth="1"/>
    <col min="14844" max="14844" width="1.7109375" customWidth="1"/>
    <col min="14846" max="14846" width="1.5703125" customWidth="1"/>
    <col min="14847" max="14847" width="7.85546875" customWidth="1"/>
    <col min="14848" max="14848" width="1.85546875" customWidth="1"/>
    <col min="14849" max="14854" width="8.42578125" bestFit="1" customWidth="1"/>
    <col min="14855" max="14855" width="0" hidden="1" customWidth="1"/>
    <col min="14856" max="14856" width="1.42578125" customWidth="1"/>
    <col min="14857" max="14857" width="12.85546875" customWidth="1"/>
    <col min="15087" max="15087" width="4" customWidth="1"/>
    <col min="15088" max="15088" width="61.5703125" customWidth="1"/>
    <col min="15089" max="15094" width="0" hidden="1" customWidth="1"/>
    <col min="15095" max="15099" width="8.42578125" bestFit="1" customWidth="1"/>
    <col min="15100" max="15100" width="1.7109375" customWidth="1"/>
    <col min="15102" max="15102" width="1.5703125" customWidth="1"/>
    <col min="15103" max="15103" width="7.85546875" customWidth="1"/>
    <col min="15104" max="15104" width="1.85546875" customWidth="1"/>
    <col min="15105" max="15110" width="8.42578125" bestFit="1" customWidth="1"/>
    <col min="15111" max="15111" width="0" hidden="1" customWidth="1"/>
    <col min="15112" max="15112" width="1.42578125" customWidth="1"/>
    <col min="15113" max="15113" width="12.85546875" customWidth="1"/>
    <col min="15343" max="15343" width="4" customWidth="1"/>
    <col min="15344" max="15344" width="61.5703125" customWidth="1"/>
    <col min="15345" max="15350" width="0" hidden="1" customWidth="1"/>
    <col min="15351" max="15355" width="8.42578125" bestFit="1" customWidth="1"/>
    <col min="15356" max="15356" width="1.7109375" customWidth="1"/>
    <col min="15358" max="15358" width="1.5703125" customWidth="1"/>
    <col min="15359" max="15359" width="7.85546875" customWidth="1"/>
    <col min="15360" max="15360" width="1.85546875" customWidth="1"/>
    <col min="15361" max="15366" width="8.42578125" bestFit="1" customWidth="1"/>
    <col min="15367" max="15367" width="0" hidden="1" customWidth="1"/>
    <col min="15368" max="15368" width="1.42578125" customWidth="1"/>
    <col min="15369" max="15369" width="12.85546875" customWidth="1"/>
    <col min="15599" max="15599" width="4" customWidth="1"/>
    <col min="15600" max="15600" width="61.5703125" customWidth="1"/>
    <col min="15601" max="15606" width="0" hidden="1" customWidth="1"/>
    <col min="15607" max="15611" width="8.42578125" bestFit="1" customWidth="1"/>
    <col min="15612" max="15612" width="1.7109375" customWidth="1"/>
    <col min="15614" max="15614" width="1.5703125" customWidth="1"/>
    <col min="15615" max="15615" width="7.85546875" customWidth="1"/>
    <col min="15616" max="15616" width="1.85546875" customWidth="1"/>
    <col min="15617" max="15622" width="8.42578125" bestFit="1" customWidth="1"/>
    <col min="15623" max="15623" width="0" hidden="1" customWidth="1"/>
    <col min="15624" max="15624" width="1.42578125" customWidth="1"/>
    <col min="15625" max="15625" width="12.85546875" customWidth="1"/>
    <col min="15855" max="15855" width="4" customWidth="1"/>
    <col min="15856" max="15856" width="61.5703125" customWidth="1"/>
    <col min="15857" max="15862" width="0" hidden="1" customWidth="1"/>
    <col min="15863" max="15867" width="8.42578125" bestFit="1" customWidth="1"/>
    <col min="15868" max="15868" width="1.7109375" customWidth="1"/>
    <col min="15870" max="15870" width="1.5703125" customWidth="1"/>
    <col min="15871" max="15871" width="7.85546875" customWidth="1"/>
    <col min="15872" max="15872" width="1.85546875" customWidth="1"/>
    <col min="15873" max="15878" width="8.42578125" bestFit="1" customWidth="1"/>
    <col min="15879" max="15879" width="0" hidden="1" customWidth="1"/>
    <col min="15880" max="15880" width="1.42578125" customWidth="1"/>
    <col min="15881" max="15881" width="12.85546875" customWidth="1"/>
    <col min="16111" max="16111" width="4" customWidth="1"/>
    <col min="16112" max="16112" width="61.5703125" customWidth="1"/>
    <col min="16113" max="16118" width="0" hidden="1" customWidth="1"/>
    <col min="16119" max="16123" width="8.42578125" bestFit="1" customWidth="1"/>
    <col min="16124" max="16124" width="1.7109375" customWidth="1"/>
    <col min="16126" max="16126" width="1.5703125" customWidth="1"/>
    <col min="16127" max="16127" width="7.85546875" customWidth="1"/>
    <col min="16128" max="16128" width="1.85546875" customWidth="1"/>
    <col min="16129" max="16134" width="8.42578125" bestFit="1" customWidth="1"/>
    <col min="16135" max="16135" width="0" hidden="1" customWidth="1"/>
    <col min="16136" max="16136" width="1.42578125" customWidth="1"/>
    <col min="16137" max="16137" width="12.85546875" customWidth="1"/>
  </cols>
  <sheetData>
    <row r="1" spans="2:21" ht="15.75" thickBot="1"/>
    <row r="2" spans="2:21" ht="30.75" thickBot="1">
      <c r="B2" s="117" t="s">
        <v>1127</v>
      </c>
      <c r="C2" s="887"/>
      <c r="D2" s="62"/>
      <c r="P2" s="118" t="s">
        <v>16</v>
      </c>
    </row>
    <row r="3" spans="2:21" ht="15.75" thickBot="1">
      <c r="B3" s="17"/>
      <c r="C3" s="63" t="s">
        <v>540</v>
      </c>
      <c r="D3" s="119">
        <f t="shared" ref="D3:N3" si="0">E3-1</f>
        <v>2006</v>
      </c>
      <c r="E3" s="120">
        <f t="shared" si="0"/>
        <v>2007</v>
      </c>
      <c r="F3" s="120">
        <f t="shared" si="0"/>
        <v>2008</v>
      </c>
      <c r="G3" s="120">
        <f t="shared" si="0"/>
        <v>2009</v>
      </c>
      <c r="H3" s="120">
        <f t="shared" si="0"/>
        <v>2010</v>
      </c>
      <c r="I3" s="120">
        <f t="shared" si="0"/>
        <v>2011</v>
      </c>
      <c r="J3" s="120">
        <f t="shared" si="0"/>
        <v>2012</v>
      </c>
      <c r="K3" s="120">
        <f t="shared" si="0"/>
        <v>2013</v>
      </c>
      <c r="L3" s="120">
        <f t="shared" si="0"/>
        <v>2014</v>
      </c>
      <c r="M3" s="120">
        <f t="shared" si="0"/>
        <v>2015</v>
      </c>
      <c r="N3" s="120">
        <f t="shared" si="0"/>
        <v>2016</v>
      </c>
      <c r="O3" s="120">
        <f>P3-1</f>
        <v>2017</v>
      </c>
      <c r="P3" s="915">
        <f>FirstYear</f>
        <v>2018</v>
      </c>
      <c r="Q3" s="916">
        <f>'Input 4 - Forecast'!D9</f>
        <v>2019</v>
      </c>
      <c r="R3" s="916">
        <f>'Input 4 - Forecast'!E9</f>
        <v>2020</v>
      </c>
      <c r="S3" s="916">
        <f>'Input 4 - Forecast'!F9</f>
        <v>2021</v>
      </c>
      <c r="T3" s="916">
        <f>'Input 4 - Forecast'!G9</f>
        <v>2022</v>
      </c>
      <c r="U3" s="917">
        <f>'Input 4 - Forecast'!H9</f>
        <v>2023</v>
      </c>
    </row>
    <row r="4" spans="2:21">
      <c r="B4" s="17"/>
      <c r="C4" s="17"/>
      <c r="G4" s="1"/>
      <c r="H4" s="1"/>
      <c r="I4" s="1"/>
      <c r="J4" s="1"/>
      <c r="K4" s="1"/>
      <c r="L4" s="1"/>
      <c r="M4" s="1"/>
      <c r="P4" s="918"/>
      <c r="Q4" s="919"/>
      <c r="R4" s="919"/>
      <c r="S4" s="919"/>
      <c r="T4" s="919"/>
      <c r="U4" s="920"/>
    </row>
    <row r="5" spans="2:21" s="284" customFormat="1" ht="21.75" thickBot="1">
      <c r="B5" s="910" t="s">
        <v>546</v>
      </c>
      <c r="C5" s="911"/>
      <c r="D5" s="912"/>
      <c r="E5" s="912"/>
      <c r="F5" s="912"/>
      <c r="G5" s="912"/>
      <c r="H5" s="912"/>
      <c r="I5" s="912"/>
      <c r="J5" s="912"/>
      <c r="K5" s="912"/>
      <c r="L5" s="912"/>
      <c r="M5" s="912"/>
      <c r="N5" s="912"/>
      <c r="O5" s="912"/>
      <c r="P5" s="913"/>
      <c r="Q5" s="912"/>
      <c r="R5" s="912"/>
      <c r="S5" s="912"/>
      <c r="T5" s="912"/>
      <c r="U5" s="914"/>
    </row>
    <row r="6" spans="2:21" s="284" customFormat="1" ht="6.75" customHeight="1">
      <c r="B6" s="17"/>
      <c r="C6" s="17"/>
      <c r="D6" s="1"/>
      <c r="E6" s="1"/>
      <c r="F6" s="1"/>
      <c r="G6" s="1"/>
      <c r="H6" s="1"/>
      <c r="I6" s="1"/>
      <c r="J6" s="1"/>
      <c r="K6" s="1"/>
      <c r="L6" s="1"/>
      <c r="M6" s="1"/>
      <c r="N6" s="1"/>
      <c r="O6" s="1"/>
      <c r="P6" s="918"/>
      <c r="Q6" s="919"/>
      <c r="R6" s="919"/>
      <c r="S6" s="919"/>
      <c r="T6" s="919"/>
      <c r="U6" s="920"/>
    </row>
    <row r="7" spans="2:21">
      <c r="B7" s="63" t="s">
        <v>495</v>
      </c>
      <c r="C7" s="424" t="str">
        <f>Scale&amp;" LCU"</f>
        <v>Millions LCU</v>
      </c>
      <c r="D7" s="60">
        <f>D10+D18</f>
        <v>1698.6910000000003</v>
      </c>
      <c r="E7" s="60">
        <f t="shared" ref="E7:T7" si="1">E10+E18</f>
        <v>1904.5160000000001</v>
      </c>
      <c r="F7" s="60">
        <f t="shared" si="1"/>
        <v>4545.8819999999996</v>
      </c>
      <c r="G7" s="60">
        <f t="shared" si="1"/>
        <v>6887.857</v>
      </c>
      <c r="H7" s="60">
        <f t="shared" si="1"/>
        <v>8508.4940000000006</v>
      </c>
      <c r="I7" s="60">
        <f t="shared" si="1"/>
        <v>8666.9719999999998</v>
      </c>
      <c r="J7" s="60">
        <f t="shared" si="1"/>
        <v>9020.0460000000003</v>
      </c>
      <c r="K7" s="60">
        <f t="shared" si="1"/>
        <v>8892.7170000000006</v>
      </c>
      <c r="L7" s="60">
        <f t="shared" si="1"/>
        <v>9660.0619999999999</v>
      </c>
      <c r="M7" s="60">
        <f t="shared" si="1"/>
        <v>8898.7849999999999</v>
      </c>
      <c r="N7" s="60">
        <f t="shared" si="1"/>
        <v>10057</v>
      </c>
      <c r="O7" s="60">
        <f>O10+O18</f>
        <v>10770.7</v>
      </c>
      <c r="P7" s="921">
        <f>P10+P18</f>
        <v>10948.656567555267</v>
      </c>
      <c r="Q7" s="922">
        <f>Q10+Q18</f>
        <v>11100.054708933141</v>
      </c>
      <c r="R7" s="922">
        <f t="shared" si="1"/>
        <v>11150.356317987047</v>
      </c>
      <c r="S7" s="922">
        <f t="shared" si="1"/>
        <v>11241.617151417358</v>
      </c>
      <c r="T7" s="922">
        <f t="shared" si="1"/>
        <v>11064.919842484371</v>
      </c>
      <c r="U7" s="923">
        <f>U10+U18</f>
        <v>10873.315949343571</v>
      </c>
    </row>
    <row r="8" spans="2:21" s="284" customFormat="1">
      <c r="B8" s="1000" t="s">
        <v>992</v>
      </c>
      <c r="C8" s="424" t="str">
        <f>Scale&amp;" LCU"</f>
        <v>Millions LCU</v>
      </c>
      <c r="D8" s="60" t="str">
        <f t="shared" ref="D8:P8" si="2">IF(Guarantees="Yes",SUM(D12,D14),"")</f>
        <v/>
      </c>
      <c r="E8" s="60" t="str">
        <f t="shared" si="2"/>
        <v/>
      </c>
      <c r="F8" s="60" t="str">
        <f t="shared" si="2"/>
        <v/>
      </c>
      <c r="G8" s="60" t="str">
        <f t="shared" si="2"/>
        <v/>
      </c>
      <c r="H8" s="60" t="str">
        <f t="shared" si="2"/>
        <v/>
      </c>
      <c r="I8" s="60" t="str">
        <f t="shared" si="2"/>
        <v/>
      </c>
      <c r="J8" s="60" t="str">
        <f t="shared" si="2"/>
        <v/>
      </c>
      <c r="K8" s="60" t="str">
        <f t="shared" si="2"/>
        <v/>
      </c>
      <c r="L8" s="60" t="str">
        <f t="shared" si="2"/>
        <v/>
      </c>
      <c r="M8" s="60" t="str">
        <f t="shared" si="2"/>
        <v/>
      </c>
      <c r="N8" s="60" t="str">
        <f t="shared" si="2"/>
        <v/>
      </c>
      <c r="O8" s="60" t="str">
        <f t="shared" si="2"/>
        <v/>
      </c>
      <c r="P8" s="921" t="str">
        <f t="shared" si="2"/>
        <v/>
      </c>
      <c r="Q8" s="922" t="str">
        <f>$P$8</f>
        <v/>
      </c>
      <c r="R8" s="922" t="str">
        <f>$P$8</f>
        <v/>
      </c>
      <c r="S8" s="922" t="str">
        <f>$P$8</f>
        <v/>
      </c>
      <c r="T8" s="922" t="str">
        <f>$P$8</f>
        <v/>
      </c>
      <c r="U8" s="923" t="str">
        <f>$P$8</f>
        <v/>
      </c>
    </row>
    <row r="9" spans="2:21" s="284" customFormat="1" ht="6.75" customHeight="1">
      <c r="D9" s="60"/>
      <c r="E9" s="60"/>
      <c r="F9" s="60"/>
      <c r="G9" s="60"/>
      <c r="H9" s="60"/>
      <c r="I9" s="60"/>
      <c r="J9" s="60"/>
      <c r="K9" s="60"/>
      <c r="L9" s="60"/>
      <c r="M9" s="60"/>
      <c r="N9" s="60"/>
      <c r="O9" s="60"/>
      <c r="P9" s="921"/>
      <c r="Q9" s="922"/>
      <c r="R9" s="922"/>
      <c r="S9" s="922"/>
      <c r="T9" s="922"/>
      <c r="U9" s="923"/>
    </row>
    <row r="10" spans="2:21">
      <c r="B10" s="21" t="s">
        <v>70</v>
      </c>
      <c r="C10" s="424" t="str">
        <f t="shared" ref="C10:C16" si="3">Scale&amp;" LCU"</f>
        <v>Millions LCU</v>
      </c>
      <c r="D10" s="60">
        <f>'Input 3 - Debt and Banking'!C5</f>
        <v>1698.6910000000003</v>
      </c>
      <c r="E10" s="60">
        <f>'Input 3 - Debt and Banking'!D5</f>
        <v>1904.5160000000001</v>
      </c>
      <c r="F10" s="60">
        <f>'Input 3 - Debt and Banking'!E5</f>
        <v>4545.8819999999996</v>
      </c>
      <c r="G10" s="60">
        <f>'Input 3 - Debt and Banking'!F5</f>
        <v>6887.857</v>
      </c>
      <c r="H10" s="60">
        <f>'Input 3 - Debt and Banking'!G5</f>
        <v>8508.4940000000006</v>
      </c>
      <c r="I10" s="60">
        <f>'Input 3 - Debt and Banking'!H5</f>
        <v>8666.9719999999998</v>
      </c>
      <c r="J10" s="60">
        <f>'Input 3 - Debt and Banking'!I5</f>
        <v>9020.0460000000003</v>
      </c>
      <c r="K10" s="60">
        <f>'Input 3 - Debt and Banking'!J5</f>
        <v>8892.7170000000006</v>
      </c>
      <c r="L10" s="60">
        <f>'Input 3 - Debt and Banking'!K5</f>
        <v>9660.0619999999999</v>
      </c>
      <c r="M10" s="60">
        <f>'Input 3 - Debt and Banking'!L5</f>
        <v>8898.7849999999999</v>
      </c>
      <c r="N10" s="60">
        <f>'Input 3 - Debt and Banking'!M5</f>
        <v>10057</v>
      </c>
      <c r="O10" s="60">
        <f>'Input 3 - Debt and Banking'!N5</f>
        <v>10770.7</v>
      </c>
      <c r="P10" s="921">
        <f t="shared" ref="P10:U10" si="4">P11+P13</f>
        <v>9886.2521736994167</v>
      </c>
      <c r="Q10" s="922">
        <f t="shared" si="4"/>
        <v>8910.6988594887644</v>
      </c>
      <c r="R10" s="922">
        <f t="shared" si="4"/>
        <v>7603.6701863278031</v>
      </c>
      <c r="S10" s="922">
        <f t="shared" si="4"/>
        <v>6150.6557892545252</v>
      </c>
      <c r="T10" s="922">
        <f t="shared" si="4"/>
        <v>5844.6400886862239</v>
      </c>
      <c r="U10" s="923">
        <f t="shared" si="4"/>
        <v>5585.3532924462243</v>
      </c>
    </row>
    <row r="11" spans="2:21">
      <c r="B11" s="18" t="s">
        <v>436</v>
      </c>
      <c r="C11" s="424" t="str">
        <f t="shared" si="3"/>
        <v>Millions LCU</v>
      </c>
      <c r="D11" s="60">
        <f>'Input 3 - Debt and Banking'!C11</f>
        <v>1650.4141945179597</v>
      </c>
      <c r="E11" s="60">
        <f>'Input 3 - Debt and Banking'!D11</f>
        <v>1864.8490786392792</v>
      </c>
      <c r="F11" s="60">
        <f>'Input 3 - Debt and Banking'!E11</f>
        <v>3921.8232297027334</v>
      </c>
      <c r="G11" s="60">
        <f>'Input 3 - Debt and Banking'!F11</f>
        <v>6043.1173834781821</v>
      </c>
      <c r="H11" s="60">
        <f>'Input 3 - Debt and Banking'!G11</f>
        <v>7340.1836152554633</v>
      </c>
      <c r="I11" s="60">
        <f>'Input 3 - Debt and Banking'!H11</f>
        <v>7196.5341723837655</v>
      </c>
      <c r="J11" s="60">
        <f>'Input 3 - Debt and Banking'!I11</f>
        <v>6949.307939317363</v>
      </c>
      <c r="K11" s="60">
        <f>'Input 3 - Debt and Banking'!J11</f>
        <v>6809.49389085435</v>
      </c>
      <c r="L11" s="60">
        <f>'Input 3 - Debt and Banking'!K11</f>
        <v>7614.0315758832057</v>
      </c>
      <c r="M11" s="60">
        <f>'Input 3 - Debt and Banking'!L11</f>
        <v>7325.8220000000001</v>
      </c>
      <c r="N11" s="60">
        <f>'Input 3 - Debt and Banking'!M11</f>
        <v>10026.829</v>
      </c>
      <c r="O11" s="60">
        <f>'Input 3 - Debt and Banking'!N11</f>
        <v>10759.929300000002</v>
      </c>
      <c r="P11" s="921">
        <f>O11-'Input 4 - Forecast'!C27</f>
        <v>9879.101789236136</v>
      </c>
      <c r="Q11" s="922">
        <f>P11-'Input 4 - Forecast'!D27</f>
        <v>8904.2169986260087</v>
      </c>
      <c r="R11" s="922">
        <f>Q11-'Input 4 - Forecast'!E27</f>
        <v>8210.6547722760079</v>
      </c>
      <c r="S11" s="922">
        <f>R11-'Input 4 - Forecast'!F27</f>
        <v>7110.6102222407098</v>
      </c>
      <c r="T11" s="922">
        <f>S11-'Input 4 - Forecast'!G27</f>
        <v>6804.9355125304046</v>
      </c>
      <c r="U11" s="923">
        <f>T11-'Input 4 - Forecast'!H27</f>
        <v>6545.648716290405</v>
      </c>
    </row>
    <row r="12" spans="2:21" s="284" customFormat="1">
      <c r="B12" s="228" t="s">
        <v>1026</v>
      </c>
      <c r="C12" s="424" t="str">
        <f t="shared" si="3"/>
        <v>Millions LCU</v>
      </c>
      <c r="D12" s="60" t="str">
        <f>IF(Guarantees="Yes",'Input 3 - Debt and Banking'!C12,"")</f>
        <v/>
      </c>
      <c r="E12" s="60" t="str">
        <f>IF(Guarantees="Yes",'Input 3 - Debt and Banking'!D12,"")</f>
        <v/>
      </c>
      <c r="F12" s="60" t="str">
        <f>IF(Guarantees="Yes",'Input 3 - Debt and Banking'!E12,"")</f>
        <v/>
      </c>
      <c r="G12" s="60" t="str">
        <f>IF(Guarantees="Yes",'Input 3 - Debt and Banking'!F12,"")</f>
        <v/>
      </c>
      <c r="H12" s="60" t="str">
        <f>IF(Guarantees="Yes",'Input 3 - Debt and Banking'!G12,"")</f>
        <v/>
      </c>
      <c r="I12" s="60" t="str">
        <f>IF(Guarantees="Yes",'Input 3 - Debt and Banking'!H12,"")</f>
        <v/>
      </c>
      <c r="J12" s="60" t="str">
        <f>IF(Guarantees="Yes",'Input 3 - Debt and Banking'!I12,"")</f>
        <v/>
      </c>
      <c r="K12" s="60" t="str">
        <f>IF(Guarantees="Yes",'Input 3 - Debt and Banking'!J12,"")</f>
        <v/>
      </c>
      <c r="L12" s="60" t="str">
        <f>IF(Guarantees="Yes",'Input 3 - Debt and Banking'!K12,"")</f>
        <v/>
      </c>
      <c r="M12" s="60" t="str">
        <f>IF(Guarantees="Yes",'Input 3 - Debt and Banking'!L12,"")</f>
        <v/>
      </c>
      <c r="N12" s="60" t="str">
        <f>IF(Guarantees="Yes",'Input 3 - Debt and Banking'!M12,"")</f>
        <v/>
      </c>
      <c r="O12" s="60" t="str">
        <f>IF(Guarantees="Yes",'Input 3 - Debt and Banking'!N12,"")</f>
        <v/>
      </c>
      <c r="P12" s="921" t="str">
        <f>IF(Guarantees="Yes",IF(ISNUMBER('Input 3 - Debt and Banking'!O12),'Input 3 - Debt and Banking'!O12,O12),"")</f>
        <v/>
      </c>
      <c r="Q12" s="922" t="str">
        <f>$P$12</f>
        <v/>
      </c>
      <c r="R12" s="922" t="str">
        <f>$P$12</f>
        <v/>
      </c>
      <c r="S12" s="922" t="str">
        <f>$P$12</f>
        <v/>
      </c>
      <c r="T12" s="922" t="str">
        <f>$P$12</f>
        <v/>
      </c>
      <c r="U12" s="923" t="str">
        <f>$P$12</f>
        <v/>
      </c>
    </row>
    <row r="13" spans="2:21">
      <c r="B13" s="18" t="s">
        <v>63</v>
      </c>
      <c r="C13" s="424" t="str">
        <f t="shared" si="3"/>
        <v>Millions LCU</v>
      </c>
      <c r="D13" s="60">
        <f>'Input 3 - Debt and Banking'!C13</f>
        <v>48.276805482040515</v>
      </c>
      <c r="E13" s="60">
        <f>'Input 3 - Debt and Banking'!D13</f>
        <v>39.666921360720771</v>
      </c>
      <c r="F13" s="60">
        <f>'Input 3 - Debt and Banking'!E13</f>
        <v>624.05877029726639</v>
      </c>
      <c r="G13" s="60">
        <f>'Input 3 - Debt and Banking'!F13</f>
        <v>844.73961652181833</v>
      </c>
      <c r="H13" s="60">
        <f>'Input 3 - Debt and Banking'!G13</f>
        <v>1168.3103847445375</v>
      </c>
      <c r="I13" s="60">
        <f>'Input 3 - Debt and Banking'!H13</f>
        <v>1470.4378276162342</v>
      </c>
      <c r="J13" s="60">
        <f>'Input 3 - Debt and Banking'!I13</f>
        <v>2070.7380606826368</v>
      </c>
      <c r="K13" s="60">
        <f>'Input 3 - Debt and Banking'!J13</f>
        <v>2083.2231091456511</v>
      </c>
      <c r="L13" s="60">
        <f>'Input 3 - Debt and Banking'!K13</f>
        <v>2046.0304241167942</v>
      </c>
      <c r="M13" s="60">
        <f>'Input 3 - Debt and Banking'!L13</f>
        <v>1572.963</v>
      </c>
      <c r="N13" s="60">
        <f>'Input 3 - Debt and Banking'!M13</f>
        <v>30.171000000000276</v>
      </c>
      <c r="O13" s="60">
        <f>'Input 3 - Debt and Banking'!N13</f>
        <v>10.770699999999124</v>
      </c>
      <c r="P13" s="921">
        <f>((O13/O73)-('Input 4 - Forecast'!C28/P72))*P73</f>
        <v>7.1503844632814992</v>
      </c>
      <c r="Q13" s="922">
        <f>((P13/P73)-('Input 4 - Forecast'!D28/Q72))*Q73</f>
        <v>6.481860862754961</v>
      </c>
      <c r="R13" s="922">
        <f>((Q13/Q73)-('Input 4 - Forecast'!E28/R72))*R73</f>
        <v>-606.98458594820488</v>
      </c>
      <c r="S13" s="922">
        <f>((R13/R73)-('Input 4 - Forecast'!F28/S72))*S73</f>
        <v>-959.954432986185</v>
      </c>
      <c r="T13" s="922">
        <f>((S13/S73)-('Input 4 - Forecast'!G28/T72))*T73</f>
        <v>-960.29542384418096</v>
      </c>
      <c r="U13" s="923">
        <f>((T13/T73)-('Input 4 - Forecast'!H28/U72))*U73</f>
        <v>-960.29542384418096</v>
      </c>
    </row>
    <row r="14" spans="2:21" s="284" customFormat="1">
      <c r="B14" s="228" t="s">
        <v>1026</v>
      </c>
      <c r="C14" s="424" t="str">
        <f t="shared" si="3"/>
        <v>Millions LCU</v>
      </c>
      <c r="D14" s="60" t="str">
        <f>IF(Guarantees="Yes",'Input 3 - Debt and Banking'!C14,"")</f>
        <v/>
      </c>
      <c r="E14" s="60" t="str">
        <f>IF(Guarantees="Yes",'Input 3 - Debt and Banking'!D14,"")</f>
        <v/>
      </c>
      <c r="F14" s="60" t="str">
        <f>IF(Guarantees="Yes",'Input 3 - Debt and Banking'!E14,"")</f>
        <v/>
      </c>
      <c r="G14" s="60" t="str">
        <f>IF(Guarantees="Yes",'Input 3 - Debt and Banking'!F14,"")</f>
        <v/>
      </c>
      <c r="H14" s="60" t="str">
        <f>IF(Guarantees="Yes",'Input 3 - Debt and Banking'!G14,"")</f>
        <v/>
      </c>
      <c r="I14" s="60" t="str">
        <f>IF(Guarantees="Yes",'Input 3 - Debt and Banking'!H14,"")</f>
        <v/>
      </c>
      <c r="J14" s="60" t="str">
        <f>IF(Guarantees="Yes",'Input 3 - Debt and Banking'!I14,"")</f>
        <v/>
      </c>
      <c r="K14" s="60" t="str">
        <f>IF(Guarantees="Yes",'Input 3 - Debt and Banking'!J14,"")</f>
        <v/>
      </c>
      <c r="L14" s="60" t="str">
        <f>IF(Guarantees="Yes",'Input 3 - Debt and Banking'!K14,"")</f>
        <v/>
      </c>
      <c r="M14" s="60" t="str">
        <f>IF(Guarantees="Yes",'Input 3 - Debt and Banking'!L14,"")</f>
        <v/>
      </c>
      <c r="N14" s="60" t="str">
        <f>IF(Guarantees="Yes",'Input 3 - Debt and Banking'!M14,"")</f>
        <v/>
      </c>
      <c r="O14" s="60" t="str">
        <f>IF(Guarantees="Yes",'Input 3 - Debt and Banking'!N14,"")</f>
        <v/>
      </c>
      <c r="P14" s="921" t="str">
        <f>IF(Guarantees="Yes",IF(ISNUMBER('Input 3 - Debt and Banking'!O14),'Input 3 - Debt and Banking'!O14,O14),"")</f>
        <v/>
      </c>
      <c r="Q14" s="922" t="str">
        <f>$P$14</f>
        <v/>
      </c>
      <c r="R14" s="922" t="str">
        <f>$P$14</f>
        <v/>
      </c>
      <c r="S14" s="922" t="str">
        <f>$P$14</f>
        <v/>
      </c>
      <c r="T14" s="922" t="str">
        <f>$P$14</f>
        <v/>
      </c>
      <c r="U14" s="923" t="str">
        <f>$P$14</f>
        <v/>
      </c>
    </row>
    <row r="15" spans="2:21">
      <c r="B15" s="61" t="s">
        <v>60</v>
      </c>
      <c r="C15" s="424" t="str">
        <f t="shared" si="3"/>
        <v>Millions LCU</v>
      </c>
      <c r="D15" s="60">
        <f>'Input 3 - Debt and Banking'!C8</f>
        <v>111.55799999999999</v>
      </c>
      <c r="E15" s="60">
        <f>'Input 3 - Debt and Banking'!D8</f>
        <v>145.13299999999998</v>
      </c>
      <c r="F15" s="60">
        <f>'Input 3 - Debt and Banking'!E8</f>
        <v>1626.5609999999999</v>
      </c>
      <c r="G15" s="60">
        <f>'Input 3 - Debt and Banking'!F8</f>
        <v>1002.93</v>
      </c>
      <c r="H15" s="60">
        <f>'Input 3 - Debt and Banking'!G8</f>
        <v>880.52499999999998</v>
      </c>
      <c r="I15" s="60">
        <f>'Input 3 - Debt and Banking'!H8</f>
        <v>805.98399999999992</v>
      </c>
      <c r="J15" s="60">
        <f>'Input 3 - Debt and Banking'!I8</f>
        <v>550.85199999999998</v>
      </c>
      <c r="K15" s="60">
        <f>'Input 3 - Debt and Banking'!J8</f>
        <v>458.42400000000004</v>
      </c>
      <c r="L15" s="60">
        <f>'Input 3 - Debt and Banking'!K8</f>
        <v>512.33000000000004</v>
      </c>
      <c r="M15" s="60">
        <f>'Input 3 - Debt and Banking'!L8</f>
        <v>426.07299999999998</v>
      </c>
      <c r="N15" s="60">
        <f>'Input 3 - Debt and Banking'!M8</f>
        <v>410.79</v>
      </c>
      <c r="O15" s="60">
        <f>'Input 3 - Debt and Banking'!N8</f>
        <v>921.55500000000006</v>
      </c>
      <c r="P15" s="921">
        <v>0</v>
      </c>
      <c r="Q15" s="922">
        <v>0</v>
      </c>
      <c r="R15" s="922">
        <v>0</v>
      </c>
      <c r="S15" s="922">
        <v>0</v>
      </c>
      <c r="T15" s="922">
        <v>0</v>
      </c>
      <c r="U15" s="923">
        <v>0</v>
      </c>
    </row>
    <row r="16" spans="2:21">
      <c r="B16" s="61" t="s">
        <v>73</v>
      </c>
      <c r="C16" s="424" t="str">
        <f t="shared" si="3"/>
        <v>Millions LCU</v>
      </c>
      <c r="D16" s="60">
        <f>'Input 3 - Debt and Banking'!C9</f>
        <v>1522.9690000000001</v>
      </c>
      <c r="E16" s="60">
        <f>'Input 3 - Debt and Banking'!D9</f>
        <v>1672.748</v>
      </c>
      <c r="F16" s="60">
        <f>'Input 3 - Debt and Banking'!E9</f>
        <v>2800.2080000000005</v>
      </c>
      <c r="G16" s="60">
        <f>'Input 3 - Debt and Banking'!F9</f>
        <v>5735.7719999999999</v>
      </c>
      <c r="H16" s="60">
        <f>'Input 3 - Debt and Banking'!G9</f>
        <v>7521.01</v>
      </c>
      <c r="I16" s="60">
        <f>'Input 3 - Debt and Banking'!H9</f>
        <v>7856.7880000000005</v>
      </c>
      <c r="J16" s="60">
        <f>'Input 3 - Debt and Banking'!I9</f>
        <v>8469.1939999999995</v>
      </c>
      <c r="K16" s="60">
        <f>'Input 3 - Debt and Banking'!J9</f>
        <v>8434.2909999999993</v>
      </c>
      <c r="L16" s="60">
        <f>'Input 3 - Debt and Banking'!K9</f>
        <v>9156.2170000000006</v>
      </c>
      <c r="M16" s="60">
        <f>'Input 3 - Debt and Banking'!L9</f>
        <v>8527.271999999999</v>
      </c>
      <c r="N16" s="60">
        <f>'Input 3 - Debt and Banking'!M9</f>
        <v>9680.8319999999985</v>
      </c>
      <c r="O16" s="60">
        <f>'Input 3 - Debt and Banking'!N9</f>
        <v>9885.2510000000002</v>
      </c>
      <c r="P16" s="921">
        <f t="shared" ref="P16:U16" si="5">P11+P13</f>
        <v>9886.2521736994167</v>
      </c>
      <c r="Q16" s="922">
        <f t="shared" si="5"/>
        <v>8910.6988594887644</v>
      </c>
      <c r="R16" s="922">
        <f t="shared" si="5"/>
        <v>7603.6701863278031</v>
      </c>
      <c r="S16" s="922">
        <f t="shared" si="5"/>
        <v>6150.6557892545252</v>
      </c>
      <c r="T16" s="922">
        <f t="shared" si="5"/>
        <v>5844.6400886862239</v>
      </c>
      <c r="U16" s="923">
        <f t="shared" si="5"/>
        <v>5585.3532924462243</v>
      </c>
    </row>
    <row r="17" spans="2:22" ht="6.75" customHeight="1">
      <c r="D17" s="60"/>
      <c r="E17" s="60"/>
      <c r="F17" s="60"/>
      <c r="N17" s="60"/>
      <c r="O17" s="60"/>
      <c r="P17" s="921"/>
      <c r="Q17" s="922"/>
      <c r="R17" s="922"/>
      <c r="S17" s="922"/>
      <c r="T17" s="922"/>
      <c r="U17" s="923"/>
    </row>
    <row r="18" spans="2:22">
      <c r="B18" s="64" t="s">
        <v>71</v>
      </c>
      <c r="C18" s="424" t="str">
        <f>Scale&amp;" LCU"</f>
        <v>Millions LCU</v>
      </c>
      <c r="D18" s="60">
        <v>0</v>
      </c>
      <c r="E18" s="60">
        <v>0</v>
      </c>
      <c r="F18" s="60">
        <v>0</v>
      </c>
      <c r="G18" s="60">
        <v>0</v>
      </c>
      <c r="H18" s="60">
        <v>0</v>
      </c>
      <c r="I18" s="60">
        <v>0</v>
      </c>
      <c r="J18" s="60">
        <v>0</v>
      </c>
      <c r="K18" s="60">
        <v>0</v>
      </c>
      <c r="L18" s="60">
        <v>0</v>
      </c>
      <c r="M18" s="60">
        <v>0</v>
      </c>
      <c r="N18" s="60">
        <v>0</v>
      </c>
      <c r="O18" s="60">
        <v>0</v>
      </c>
      <c r="P18" s="921">
        <f t="shared" ref="P18:U18" si="6">P19+P20</f>
        <v>1062.4043938558498</v>
      </c>
      <c r="Q18" s="922">
        <f t="shared" si="6"/>
        <v>2189.3558494443769</v>
      </c>
      <c r="R18" s="922">
        <f t="shared" si="6"/>
        <v>3546.686131659244</v>
      </c>
      <c r="S18" s="922">
        <f t="shared" si="6"/>
        <v>5090.9613621628341</v>
      </c>
      <c r="T18" s="922">
        <f t="shared" si="6"/>
        <v>5220.2797537981478</v>
      </c>
      <c r="U18" s="923">
        <f t="shared" si="6"/>
        <v>5287.9626568973472</v>
      </c>
    </row>
    <row r="19" spans="2:22">
      <c r="B19" s="18" t="s">
        <v>436</v>
      </c>
      <c r="C19" s="424" t="str">
        <f>Scale&amp;" LCU"</f>
        <v>Millions LCU</v>
      </c>
      <c r="D19" s="60">
        <v>0</v>
      </c>
      <c r="E19" s="60">
        <v>0</v>
      </c>
      <c r="F19" s="60">
        <v>0</v>
      </c>
      <c r="G19" s="60">
        <v>0</v>
      </c>
      <c r="H19" s="60">
        <v>0</v>
      </c>
      <c r="I19" s="60">
        <v>0</v>
      </c>
      <c r="J19" s="60">
        <v>0</v>
      </c>
      <c r="K19" s="60">
        <v>0</v>
      </c>
      <c r="L19" s="60">
        <v>0</v>
      </c>
      <c r="M19" s="60">
        <v>0</v>
      </c>
      <c r="N19" s="60">
        <v>0</v>
      </c>
      <c r="O19" s="60">
        <v>0</v>
      </c>
      <c r="P19" s="921">
        <f>SUM(Baseline!H85:H90,Baseline!H104:H137,Baseline!H180:H185,Baseline!H199:H232,Baseline!H273:H278)</f>
        <v>1062.4043938558498</v>
      </c>
      <c r="Q19" s="922">
        <f>SUM(Baseline!I85:I90,Baseline!I104:I137,Baseline!I180:I185,Baseline!I199:I232,Baseline!I273:I278)</f>
        <v>2189.3558494443769</v>
      </c>
      <c r="R19" s="922">
        <f>SUM(Baseline!J85:J90,Baseline!J104:J137,Baseline!J180:J185,Baseline!J199:J232,Baseline!J273:J278)</f>
        <v>3546.686131659244</v>
      </c>
      <c r="S19" s="922">
        <f>SUM(Baseline!K85:K90,Baseline!K104:K137,Baseline!K180:K185,Baseline!K199:K232,Baseline!K273:K278)</f>
        <v>5090.9613621628341</v>
      </c>
      <c r="T19" s="922">
        <f>SUM(Baseline!L85:L90,Baseline!L104:L137,Baseline!L180:L185,Baseline!L199:L232,Baseline!L273:L278)</f>
        <v>5220.2797537981478</v>
      </c>
      <c r="U19" s="923">
        <f>SUM(Baseline!M85:M90,Baseline!M104:M137,Baseline!M180:M185,Baseline!M199:M232,Baseline!M273:M278)</f>
        <v>5287.9626568973472</v>
      </c>
    </row>
    <row r="20" spans="2:22">
      <c r="B20" s="18" t="s">
        <v>63</v>
      </c>
      <c r="C20" s="424" t="str">
        <f>Scale&amp;" LCU"</f>
        <v>Millions LCU</v>
      </c>
      <c r="D20" s="60">
        <v>0</v>
      </c>
      <c r="E20" s="60">
        <v>0</v>
      </c>
      <c r="F20" s="60">
        <v>0</v>
      </c>
      <c r="G20" s="60">
        <v>0</v>
      </c>
      <c r="H20" s="60">
        <v>0</v>
      </c>
      <c r="I20" s="60">
        <v>0</v>
      </c>
      <c r="J20" s="60">
        <v>0</v>
      </c>
      <c r="K20" s="60">
        <v>0</v>
      </c>
      <c r="L20" s="60">
        <v>0</v>
      </c>
      <c r="M20" s="60">
        <v>0</v>
      </c>
      <c r="N20" s="60">
        <v>0</v>
      </c>
      <c r="O20" s="60">
        <v>0</v>
      </c>
      <c r="P20" s="921">
        <f>SUM(Baseline!H94:H99,Baseline!H141:H174,Baseline!H189:H194,Baseline!H236:H269)*'Input 4 - Forecast'!C18</f>
        <v>0</v>
      </c>
      <c r="Q20" s="922">
        <f>SUM(Baseline!I94:I99,Baseline!I141:I174,Baseline!I189:I194,Baseline!I236:I269)*'Input 4 - Forecast'!D18</f>
        <v>0</v>
      </c>
      <c r="R20" s="922">
        <f>SUM(Baseline!J94:J99,Baseline!J141:J174,Baseline!J189:J194,Baseline!J236:J269)*'Input 4 - Forecast'!E18</f>
        <v>0</v>
      </c>
      <c r="S20" s="922">
        <f>SUM(Baseline!K94:K99,Baseline!K141:K174,Baseline!K189:K194,Baseline!K236:K269)*'Input 4 - Forecast'!F18</f>
        <v>0</v>
      </c>
      <c r="T20" s="922">
        <f>SUM(Baseline!L94:L99,Baseline!L141:L174,Baseline!L189:L194,Baseline!L236:L269)*'Input 4 - Forecast'!G18</f>
        <v>0</v>
      </c>
      <c r="U20" s="923">
        <f>SUM(Baseline!M94:M99,Baseline!M141:M174,Baseline!M189:M194,Baseline!M236:M269)*'Input 4 - Forecast'!H18</f>
        <v>0</v>
      </c>
    </row>
    <row r="21" spans="2:22">
      <c r="B21" s="61" t="s">
        <v>60</v>
      </c>
      <c r="C21" s="424" t="str">
        <f>Scale&amp;" LCU"</f>
        <v>Millions LCU</v>
      </c>
      <c r="D21" s="60">
        <v>0</v>
      </c>
      <c r="E21" s="60">
        <v>0</v>
      </c>
      <c r="F21" s="60">
        <v>0</v>
      </c>
      <c r="G21" s="60">
        <v>0</v>
      </c>
      <c r="H21" s="60">
        <v>0</v>
      </c>
      <c r="I21" s="60">
        <v>0</v>
      </c>
      <c r="J21" s="60">
        <v>0</v>
      </c>
      <c r="K21" s="60">
        <v>0</v>
      </c>
      <c r="L21" s="60">
        <v>0</v>
      </c>
      <c r="M21" s="60">
        <v>0</v>
      </c>
      <c r="N21" s="60">
        <v>0</v>
      </c>
      <c r="O21" s="60">
        <v>0</v>
      </c>
      <c r="P21" s="921">
        <f>SUM(Baseline!H85:H90,Baseline!H180:H185,Baseline!H273:H278)+SUM(Baseline!H94:H99,Baseline!H189:H194)*'Input 4 - Forecast'!C18</f>
        <v>-267.59560614415022</v>
      </c>
      <c r="Q21" s="922">
        <f>SUM(Baseline!I85:I90,Baseline!I180:I185,Baseline!I273:I278)+SUM(Baseline!I94:I99,Baseline!I189:I194)*'Input 4 - Forecast'!D18</f>
        <v>-560.64415055562313</v>
      </c>
      <c r="R21" s="922">
        <f>SUM(Baseline!J85:J90,Baseline!J180:J185,Baseline!J273:J278)+SUM(Baseline!J94:J99,Baseline!J189:J194)*'Input 4 - Forecast'!E18</f>
        <v>-1123.313868340756</v>
      </c>
      <c r="S21" s="922">
        <f>SUM(Baseline!K85:K90,Baseline!K180:K185,Baseline!K273:K278)+SUM(Baseline!K94:K99,Baseline!K189:K194)*'Input 4 - Forecast'!F18</f>
        <v>-679.03863783716588</v>
      </c>
      <c r="T21" s="922">
        <f>SUM(Baseline!L85:L90,Baseline!L180:L185,Baseline!L273:L278)+SUM(Baseline!L94:L99,Baseline!L189:L194)*'Input 4 - Forecast'!G18</f>
        <v>-1274.7202462018522</v>
      </c>
      <c r="U21" s="923">
        <f>SUM(Baseline!M85:M90,Baseline!M180:M185,Baseline!M273:M278)+SUM(Baseline!M94:M99,Baseline!M189:M194)*'Input 4 - Forecast'!H18</f>
        <v>-1627.0373431026528</v>
      </c>
    </row>
    <row r="22" spans="2:22">
      <c r="B22" s="61" t="s">
        <v>73</v>
      </c>
      <c r="C22" s="424" t="str">
        <f>Scale&amp;" LCU"</f>
        <v>Millions LCU</v>
      </c>
      <c r="D22" s="60">
        <v>0</v>
      </c>
      <c r="E22" s="60">
        <v>0</v>
      </c>
      <c r="F22" s="60">
        <v>0</v>
      </c>
      <c r="G22" s="60">
        <v>0</v>
      </c>
      <c r="H22" s="60">
        <v>0</v>
      </c>
      <c r="I22" s="60">
        <v>0</v>
      </c>
      <c r="J22" s="60">
        <v>0</v>
      </c>
      <c r="K22" s="60">
        <v>0</v>
      </c>
      <c r="L22" s="60">
        <v>0</v>
      </c>
      <c r="M22" s="60">
        <v>0</v>
      </c>
      <c r="N22" s="60">
        <v>0</v>
      </c>
      <c r="O22" s="60">
        <v>0</v>
      </c>
      <c r="P22" s="921">
        <f t="shared" ref="P22:U22" si="7">P19+P20-P21</f>
        <v>1330</v>
      </c>
      <c r="Q22" s="922">
        <f t="shared" si="7"/>
        <v>2750</v>
      </c>
      <c r="R22" s="922">
        <f t="shared" si="7"/>
        <v>4670</v>
      </c>
      <c r="S22" s="922">
        <f t="shared" si="7"/>
        <v>5770</v>
      </c>
      <c r="T22" s="922">
        <f t="shared" si="7"/>
        <v>6495</v>
      </c>
      <c r="U22" s="923">
        <f t="shared" si="7"/>
        <v>6915</v>
      </c>
    </row>
    <row r="23" spans="2:22" s="284" customFormat="1" ht="6.75" customHeight="1">
      <c r="D23" s="60"/>
      <c r="E23" s="60"/>
      <c r="F23" s="60"/>
      <c r="G23" s="60"/>
      <c r="H23" s="60"/>
      <c r="I23" s="60"/>
      <c r="J23" s="60"/>
      <c r="K23" s="60"/>
      <c r="L23" s="60"/>
      <c r="M23" s="60"/>
      <c r="N23" s="60"/>
      <c r="O23" s="60"/>
      <c r="P23" s="921"/>
      <c r="Q23" s="922"/>
      <c r="R23" s="922"/>
      <c r="S23" s="922"/>
      <c r="T23" s="922"/>
      <c r="U23" s="923"/>
    </row>
    <row r="24" spans="2:22" s="284" customFormat="1">
      <c r="B24" s="63" t="s">
        <v>496</v>
      </c>
      <c r="C24" s="424" t="str">
        <f>Scale&amp;" LCU"</f>
        <v>Millions LCU</v>
      </c>
      <c r="D24" s="9">
        <f>D7-'Input 2 - Data'!E33</f>
        <v>1698.6910000000003</v>
      </c>
      <c r="E24" s="9">
        <f>E7-'Input 2 - Data'!F33</f>
        <v>1904.5160000000001</v>
      </c>
      <c r="F24" s="9">
        <f>F7-'Input 2 - Data'!G33</f>
        <v>4545.8819999999996</v>
      </c>
      <c r="G24" s="9">
        <f>G7-'Input 2 - Data'!H33</f>
        <v>6887.857</v>
      </c>
      <c r="H24" s="9">
        <f>H7-'Input 2 - Data'!I33</f>
        <v>8508.4940000000006</v>
      </c>
      <c r="I24" s="9">
        <f>I7-'Input 2 - Data'!J33</f>
        <v>8666.9719999999998</v>
      </c>
      <c r="J24" s="9">
        <f>J7-'Input 2 - Data'!K33</f>
        <v>9020.0460000000003</v>
      </c>
      <c r="K24" s="9">
        <f>K7-'Input 2 - Data'!L33</f>
        <v>8892.7170000000006</v>
      </c>
      <c r="L24" s="9">
        <f>L7-'Input 2 - Data'!M33</f>
        <v>9660.0619999999999</v>
      </c>
      <c r="M24" s="9">
        <f>M7-'Input 2 - Data'!N33</f>
        <v>8898.7849999999999</v>
      </c>
      <c r="N24" s="9">
        <f>N7-'Input 2 - Data'!O33</f>
        <v>10057</v>
      </c>
      <c r="O24" s="9">
        <f>O7-'Input 2 - Data'!P33</f>
        <v>10770.7</v>
      </c>
      <c r="P24" s="921">
        <f>P7-'Input 2 - Data'!Q33</f>
        <v>10948.656567555267</v>
      </c>
      <c r="Q24" s="922">
        <f>Q7-'Input 2 - Data'!R33</f>
        <v>11100.054708933141</v>
      </c>
      <c r="R24" s="922">
        <f>R7-'Input 2 - Data'!S33</f>
        <v>11150.356317987047</v>
      </c>
      <c r="S24" s="922">
        <f>S7-'Input 2 - Data'!T33</f>
        <v>11241.617151417358</v>
      </c>
      <c r="T24" s="922">
        <f>T7-'Input 2 - Data'!U33</f>
        <v>11064.919842484371</v>
      </c>
      <c r="U24" s="923">
        <f>U7-'Input 2 - Data'!V33</f>
        <v>10873.315949343571</v>
      </c>
      <c r="V24" s="17"/>
    </row>
    <row r="25" spans="2:22" s="284" customFormat="1">
      <c r="B25" s="63"/>
      <c r="C25" s="424"/>
      <c r="D25" s="9"/>
      <c r="E25" s="9"/>
      <c r="F25" s="9"/>
      <c r="G25" s="9"/>
      <c r="H25" s="9"/>
      <c r="I25" s="9"/>
      <c r="J25" s="9"/>
      <c r="K25" s="9"/>
      <c r="L25" s="9"/>
      <c r="M25" s="9"/>
      <c r="N25" s="9"/>
      <c r="O25" s="9"/>
      <c r="P25" s="921"/>
      <c r="Q25" s="922"/>
      <c r="R25" s="922"/>
      <c r="S25" s="922"/>
      <c r="T25" s="922"/>
      <c r="U25" s="923"/>
      <c r="V25" s="17"/>
    </row>
    <row r="26" spans="2:22" s="284" customFormat="1" ht="21.75" thickBot="1">
      <c r="B26" s="910" t="s">
        <v>547</v>
      </c>
      <c r="C26" s="911"/>
      <c r="D26" s="912"/>
      <c r="E26" s="912"/>
      <c r="F26" s="912"/>
      <c r="G26" s="912"/>
      <c r="H26" s="912"/>
      <c r="I26" s="912"/>
      <c r="J26" s="912"/>
      <c r="K26" s="912"/>
      <c r="L26" s="912"/>
      <c r="M26" s="912"/>
      <c r="N26" s="912"/>
      <c r="O26" s="912"/>
      <c r="P26" s="913"/>
      <c r="Q26" s="912"/>
      <c r="R26" s="912"/>
      <c r="S26" s="912"/>
      <c r="T26" s="912"/>
      <c r="U26" s="914"/>
    </row>
    <row r="27" spans="2:22" ht="6.75" customHeight="1">
      <c r="D27" s="60"/>
      <c r="E27" s="60"/>
      <c r="F27" s="60"/>
      <c r="N27" s="60"/>
      <c r="O27" s="60"/>
      <c r="P27" s="921"/>
      <c r="Q27" s="922"/>
      <c r="R27" s="922"/>
      <c r="S27" s="922"/>
      <c r="T27" s="922"/>
      <c r="U27" s="923"/>
    </row>
    <row r="28" spans="2:22">
      <c r="B28" s="65" t="s">
        <v>74</v>
      </c>
      <c r="C28" s="424" t="str">
        <f t="shared" ref="C28:C34" si="8">Scale&amp;" LCU"</f>
        <v>Millions LCU</v>
      </c>
      <c r="D28" s="1381">
        <f>IF(ISNUMBER(D29-D30+D34+D31),D29-D30+D34+D31,"")</f>
        <v>158.57400000000001</v>
      </c>
      <c r="E28" s="1381">
        <f>IF(ISNUMBER(E29-E30+E34+E31),E29-E30+E34+E31,"")</f>
        <v>197.19599999999929</v>
      </c>
      <c r="F28" s="1381">
        <f t="shared" ref="F28:N28" si="9">IF(ISNUMBER(F29-F30+F34+F31),F29-F30+F34+F31,"")</f>
        <v>1160.5819999999994</v>
      </c>
      <c r="G28" s="60">
        <f t="shared" si="9"/>
        <v>2008.2879999999991</v>
      </c>
      <c r="H28" s="60">
        <f t="shared" si="9"/>
        <v>1874.8120000000004</v>
      </c>
      <c r="I28" s="60">
        <f t="shared" si="9"/>
        <v>1241.1940000000013</v>
      </c>
      <c r="J28" s="60">
        <f t="shared" si="9"/>
        <v>636.50599999999963</v>
      </c>
      <c r="K28" s="60">
        <f t="shared" si="9"/>
        <v>609.47200000000043</v>
      </c>
      <c r="L28" s="60">
        <f t="shared" si="9"/>
        <v>697.16200000000185</v>
      </c>
      <c r="M28" s="60">
        <f t="shared" si="9"/>
        <v>662.69399999999928</v>
      </c>
      <c r="N28" s="60">
        <f t="shared" si="9"/>
        <v>244.40999999999855</v>
      </c>
      <c r="O28" s="60">
        <f>IF(ISNUMBER(O29-O30+O34+O31),O29-O30+O34+O31,"")</f>
        <v>411.00400000000184</v>
      </c>
      <c r="P28" s="921">
        <f>IF(ISNUMBER('Input 4 - Forecast'!C37),'Input 4 - Forecast'!C37,"")</f>
        <v>1062.4043938558498</v>
      </c>
      <c r="Q28" s="922">
        <f>IF(ISNUMBER('Input 4 - Forecast'!D37),'Input 4 - Forecast'!D37,"")</f>
        <v>859.35584944437687</v>
      </c>
      <c r="R28" s="922">
        <f>IF(ISNUMBER('Input 4 - Forecast'!E37),'Input 4 - Forecast'!E37,"")</f>
        <v>796.68613165924398</v>
      </c>
      <c r="S28" s="922">
        <f>IF(ISNUMBER('Input 4 - Forecast'!F37),'Input 4 - Forecast'!F37,"")</f>
        <v>420.96136216283412</v>
      </c>
      <c r="T28" s="922">
        <f>IF(ISNUMBER('Input 4 - Forecast'!G37),'Input 4 - Forecast'!G37,"")</f>
        <v>-549.72024620185221</v>
      </c>
      <c r="U28" s="923">
        <f>IF(ISNUMBER('Input 4 - Forecast'!H37),'Input 4 - Forecast'!H37,"")</f>
        <v>-877.03734310265281</v>
      </c>
    </row>
    <row r="29" spans="2:22">
      <c r="B29" s="61" t="s">
        <v>55</v>
      </c>
      <c r="C29" s="424" t="str">
        <f t="shared" si="8"/>
        <v>Millions LCU</v>
      </c>
      <c r="D29" s="60">
        <f>IF(ISNUMBER(D48-D47),D48-D47,"")</f>
        <v>102.5</v>
      </c>
      <c r="E29" s="60">
        <f t="shared" ref="E29:O29" si="10">IF(ISNUMBER(E48-E47),E48-E47,"")</f>
        <v>148.79999999999927</v>
      </c>
      <c r="F29" s="60">
        <f t="shared" si="10"/>
        <v>1098.3999999999996</v>
      </c>
      <c r="G29" s="60">
        <f t="shared" si="10"/>
        <v>1823.9999999999991</v>
      </c>
      <c r="H29" s="60">
        <f t="shared" si="10"/>
        <v>1640.8000000000002</v>
      </c>
      <c r="I29" s="60">
        <f t="shared" si="10"/>
        <v>967.10000000000127</v>
      </c>
      <c r="J29" s="60">
        <f t="shared" si="10"/>
        <v>329.89999999999964</v>
      </c>
      <c r="K29" s="60">
        <f t="shared" si="10"/>
        <v>334.10000000000036</v>
      </c>
      <c r="L29" s="60">
        <f t="shared" si="10"/>
        <v>430.00000000000182</v>
      </c>
      <c r="M29" s="60">
        <f t="shared" si="10"/>
        <v>396.29999999999927</v>
      </c>
      <c r="N29" s="60">
        <f t="shared" si="10"/>
        <v>32.599999999998545</v>
      </c>
      <c r="O29" s="60">
        <f t="shared" si="10"/>
        <v>200.00000000000182</v>
      </c>
      <c r="P29" s="921">
        <f>IF(ISNUMBER('Input 4 - Forecast'!C22-'Input 4 - Forecast'!C20),'Input 4 - Forecast'!C22-'Input 4 - Forecast'!C20,"")</f>
        <v>15.441429449219868</v>
      </c>
      <c r="Q29" s="922">
        <f>IF(ISNUMBER('Input 4 - Forecast'!D22-'Input 4 - Forecast'!D20),'Input 4 - Forecast'!D22-'Input 4 - Forecast'!D20,"")</f>
        <v>-14.631300736517005</v>
      </c>
      <c r="R29" s="922">
        <f>IF(ISNUMBER('Input 4 - Forecast'!E22-'Input 4 - Forecast'!E20),'Input 4 - Forecast'!E22-'Input 4 - Forecast'!E20,"")</f>
        <v>-102.67147072095395</v>
      </c>
      <c r="S29" s="922">
        <f>IF(ISNUMBER('Input 4 - Forecast'!F22-'Input 4 - Forecast'!F20),'Input 4 - Forecast'!F22-'Input 4 - Forecast'!F20,"")</f>
        <v>-77.668760231394117</v>
      </c>
      <c r="T29" s="922">
        <f>IF(ISNUMBER('Input 4 - Forecast'!G22-'Input 4 - Forecast'!G20),'Input 4 - Forecast'!G22-'Input 4 - Forecast'!G20,"")</f>
        <v>-322.89861909849969</v>
      </c>
      <c r="U29" s="923">
        <f>IF(ISNUMBER('Input 4 - Forecast'!H22-'Input 4 - Forecast'!H20),'Input 4 - Forecast'!H22-'Input 4 - Forecast'!H20,"")</f>
        <v>-340.19627030856645</v>
      </c>
    </row>
    <row r="30" spans="2:22" s="284" customFormat="1">
      <c r="B30" s="61" t="s">
        <v>829</v>
      </c>
      <c r="C30" s="424" t="str">
        <f t="shared" si="8"/>
        <v>Millions LCU</v>
      </c>
      <c r="D30" s="60">
        <f>IF(ISNUMBER('Input 2 - Data'!E17),'Input 2 - Data'!E17,"")</f>
        <v>19.100000000000001</v>
      </c>
      <c r="E30" s="60">
        <f>IF(ISNUMBER('Input 2 - Data'!F17),'Input 2 - Data'!F17,"")</f>
        <v>33</v>
      </c>
      <c r="F30" s="60">
        <f>IF(ISNUMBER('Input 2 - Data'!G17),'Input 2 - Data'!G17,"")</f>
        <v>74.599999999999994</v>
      </c>
      <c r="G30" s="60">
        <f>IF(ISNUMBER('Input 2 - Data'!H17),'Input 2 - Data'!H17,"")</f>
        <v>105.8</v>
      </c>
      <c r="H30" s="60">
        <f>IF(ISNUMBER('Input 2 - Data'!I17),'Input 2 - Data'!I17,"")</f>
        <v>82.8</v>
      </c>
      <c r="I30" s="60">
        <f>IF(ISNUMBER('Input 2 - Data'!J17),'Input 2 - Data'!J17,"")</f>
        <v>92.8</v>
      </c>
      <c r="J30" s="60">
        <f>IF(ISNUMBER('Input 2 - Data'!K17),'Input 2 - Data'!K17,"")</f>
        <v>66</v>
      </c>
      <c r="K30" s="60">
        <f>IF(ISNUMBER('Input 2 - Data'!L17),'Input 2 - Data'!L17,"")</f>
        <v>70</v>
      </c>
      <c r="L30" s="60">
        <f>IF(ISNUMBER('Input 2 - Data'!M17),'Input 2 - Data'!M17,"")</f>
        <v>77.7</v>
      </c>
      <c r="M30" s="60">
        <f>IF(ISNUMBER('Input 2 - Data'!N17),'Input 2 - Data'!N17,"")</f>
        <v>64.8</v>
      </c>
      <c r="N30" s="60">
        <f>IF(ISNUMBER('Input 2 - Data'!O17),'Input 2 - Data'!O17,"")</f>
        <v>48.8</v>
      </c>
      <c r="O30" s="60">
        <f>IF(ISNUMBER('Input 2 - Data'!P17),'Input 2 - Data'!P17,"")</f>
        <v>44.2</v>
      </c>
      <c r="P30" s="921">
        <f>IF(ISNUMBER('Input 4 - Forecast'!C21),'Input 4 - Forecast'!C21,"")</f>
        <v>48.271190640000007</v>
      </c>
      <c r="Q30" s="922">
        <f>IF(ISNUMBER('Input 4 - Forecast'!D21),'Input 4 - Forecast'!D21,"")</f>
        <v>51.337460912386192</v>
      </c>
      <c r="R30" s="922">
        <f>IF(ISNUMBER('Input 4 - Forecast'!E21),'Input 4 - Forecast'!E21,"")</f>
        <v>54.35210618984911</v>
      </c>
      <c r="S30" s="922">
        <f>IF(ISNUMBER('Input 4 - Forecast'!F21),'Input 4 - Forecast'!F21,"")</f>
        <v>57.337010005215234</v>
      </c>
      <c r="T30" s="922">
        <f>IF(ISNUMBER('Input 4 - Forecast'!G21),'Input 4 - Forecast'!G21,"")</f>
        <v>60.473394442922938</v>
      </c>
      <c r="U30" s="923">
        <f>IF(ISNUMBER('Input 4 - Forecast'!H21),'Input 4 - Forecast'!H21,"")</f>
        <v>63.71294897394791</v>
      </c>
    </row>
    <row r="31" spans="2:22">
      <c r="B31" s="61" t="s">
        <v>42</v>
      </c>
      <c r="C31" s="424" t="str">
        <f t="shared" si="8"/>
        <v>Millions LCU</v>
      </c>
      <c r="D31" s="60">
        <f>IF(ISNUMBER('Input 2 - Data'!E20),'Input 2 - Data'!E20,"")</f>
        <v>73.7</v>
      </c>
      <c r="E31" s="60">
        <f>IF(ISNUMBER('Input 2 - Data'!F20),'Input 2 - Data'!F20,"")</f>
        <v>79.8</v>
      </c>
      <c r="F31" s="60">
        <f>IF(ISNUMBER('Input 2 - Data'!G20),'Input 2 - Data'!G20,"")</f>
        <v>134.1</v>
      </c>
      <c r="G31" s="60">
        <f>IF(ISNUMBER('Input 2 - Data'!H20),'Input 2 - Data'!H20,"")</f>
        <v>284.39999999999998</v>
      </c>
      <c r="H31" s="60">
        <f>IF(ISNUMBER('Input 2 - Data'!I20),'Input 2 - Data'!I20,"")</f>
        <v>310.60000000000002</v>
      </c>
      <c r="I31" s="60">
        <f>IF(ISNUMBER('Input 2 - Data'!J20),'Input 2 - Data'!J20,"")</f>
        <v>359.7</v>
      </c>
      <c r="J31" s="60">
        <f>IF(ISNUMBER('Input 2 - Data'!K20),'Input 2 - Data'!K20,"")</f>
        <v>365.3</v>
      </c>
      <c r="K31" s="60">
        <f>IF(ISNUMBER('Input 2 - Data'!L20),'Input 2 - Data'!L20,"")</f>
        <v>338.6</v>
      </c>
      <c r="L31" s="60">
        <f>IF(ISNUMBER('Input 2 - Data'!M20),'Input 2 - Data'!M20,"")</f>
        <v>338.1</v>
      </c>
      <c r="M31" s="60">
        <f>IF(ISNUMBER('Input 2 - Data'!N20),'Input 2 - Data'!N20,"")</f>
        <v>324.7</v>
      </c>
      <c r="N31" s="60">
        <f>IF(ISNUMBER('Input 2 - Data'!O20),'Input 2 - Data'!O20,"")</f>
        <v>255.5</v>
      </c>
      <c r="O31" s="60">
        <f>IF(ISNUMBER('Input 2 - Data'!P20),'Input 2 - Data'!P20,"")</f>
        <v>250.2</v>
      </c>
      <c r="P31" s="921">
        <f>IF(ISNUMBER(SUM('Input 4 - Forecast'!C24:C25,'Input 4 - Forecast'!C32:C33)),SUM('Input 4 - Forecast'!C24:C25,'Input 4 - Forecast'!C32:C33),"")</f>
        <v>210.95965861346764</v>
      </c>
      <c r="Q31" s="922">
        <f>IF(ISNUMBER(SUM('Input 4 - Forecast'!D24:D25,'Input 4 - Forecast'!D32:D33)),SUM('Input 4 - Forecast'!D24:D25,'Input 4 - Forecast'!D32:D33),"")</f>
        <v>217.60928894078506</v>
      </c>
      <c r="R31" s="922">
        <f>IF(ISNUMBER(SUM('Input 4 - Forecast'!E24:E25,'Input 4 - Forecast'!E32:E33)),SUM('Input 4 - Forecast'!E24:E25,'Input 4 - Forecast'!E32:E33),"")</f>
        <v>207.32518596471152</v>
      </c>
      <c r="S31" s="922">
        <f>IF(ISNUMBER(SUM('Input 4 - Forecast'!F24:F25,'Input 4 - Forecast'!F32:F33)),SUM('Input 4 - Forecast'!F24:F25,'Input 4 - Forecast'!F32:F33),"")</f>
        <v>226.26660366692153</v>
      </c>
      <c r="T31" s="922">
        <f>IF(ISNUMBER(SUM('Input 4 - Forecast'!G24:G25,'Input 4 - Forecast'!G32:G33)),SUM('Input 4 - Forecast'!G24:G25,'Input 4 - Forecast'!G32:G33),"")</f>
        <v>206.67470460843603</v>
      </c>
      <c r="U31" s="923">
        <f>IF(ISNUMBER(SUM('Input 4 - Forecast'!H24:H25,'Input 4 - Forecast'!H32:H33)),SUM('Input 4 - Forecast'!H24:H25,'Input 4 - Forecast'!H32:H33),"")</f>
        <v>212.30532614171349</v>
      </c>
    </row>
    <row r="32" spans="2:22">
      <c r="B32" s="116" t="s">
        <v>72</v>
      </c>
      <c r="C32" s="424" t="str">
        <f t="shared" si="8"/>
        <v>Millions LCU</v>
      </c>
      <c r="D32" s="60">
        <f>IF(ISNUMBER('Input 2 - Data'!E21),'Input 2 - Data'!E21,"")</f>
        <v>73.7</v>
      </c>
      <c r="E32" s="60">
        <f>IF(ISNUMBER('Input 2 - Data'!F21),'Input 2 - Data'!F21,"")</f>
        <v>79.8</v>
      </c>
      <c r="F32" s="60">
        <f>IF(ISNUMBER('Input 2 - Data'!G21),'Input 2 - Data'!G21,"")</f>
        <v>134.1</v>
      </c>
      <c r="G32" s="60">
        <f>IF(ISNUMBER('Input 2 - Data'!H21),'Input 2 - Data'!H21,"")</f>
        <v>284.39999999999998</v>
      </c>
      <c r="H32" s="60">
        <f>IF(ISNUMBER('Input 2 - Data'!I21),'Input 2 - Data'!I21,"")</f>
        <v>310.60000000000002</v>
      </c>
      <c r="I32" s="60">
        <f>IF(ISNUMBER('Input 2 - Data'!J21),'Input 2 - Data'!J21,"")</f>
        <v>359.7</v>
      </c>
      <c r="J32" s="60">
        <f>IF(ISNUMBER('Input 2 - Data'!K21),'Input 2 - Data'!K21,"")</f>
        <v>365.3</v>
      </c>
      <c r="K32" s="60">
        <f>IF(ISNUMBER('Input 2 - Data'!L21),'Input 2 - Data'!L21,"")</f>
        <v>338.6</v>
      </c>
      <c r="L32" s="60">
        <f>IF(ISNUMBER('Input 2 - Data'!M21),'Input 2 - Data'!M21,"")</f>
        <v>338.1</v>
      </c>
      <c r="M32" s="60">
        <f>IF(ISNUMBER('Input 2 - Data'!N21),'Input 2 - Data'!N21,"")</f>
        <v>324.7</v>
      </c>
      <c r="N32" s="60">
        <f>IF(ISNUMBER('Input 2 - Data'!O21),'Input 2 - Data'!O21,"")</f>
        <v>255.5</v>
      </c>
      <c r="O32" s="60">
        <f>IF(ISNUMBER('Input 2 - Data'!P21),'Input 2 - Data'!P21,"")</f>
        <v>250.2</v>
      </c>
      <c r="P32" s="921">
        <f>IF(ISNUMBER('Input 4 - Forecast'!C24+'Input 4 - Forecast'!C32),'Input 4 - Forecast'!C24+'Input 4 - Forecast'!C32,"")</f>
        <v>174.85657659911266</v>
      </c>
      <c r="Q32" s="922">
        <f>IF(ISNUMBER('Input 4 - Forecast'!D24+'Input 4 - Forecast'!D32),'Input 4 - Forecast'!D24+'Input 4 - Forecast'!D32,"")</f>
        <v>180.81582986591306</v>
      </c>
      <c r="R32" s="922">
        <f>IF(ISNUMBER('Input 4 - Forecast'!E24+'Input 4 - Forecast'!E32),'Input 4 - Forecast'!E24+'Input 4 - Forecast'!E32,"")</f>
        <v>178.97281983027952</v>
      </c>
      <c r="S32" s="922">
        <f>IF(ISNUMBER('Input 4 - Forecast'!F24+'Input 4 - Forecast'!F32),'Input 4 - Forecast'!F24+'Input 4 - Forecast'!F32,"")</f>
        <v>215.57750794027953</v>
      </c>
      <c r="T32" s="922">
        <f>IF(ISNUMBER('Input 4 - Forecast'!G24+'Input 4 - Forecast'!G32),'Input 4 - Forecast'!G24+'Input 4 - Forecast'!G32,"")</f>
        <v>206.44169278984103</v>
      </c>
      <c r="U32" s="923">
        <f>IF(ISNUMBER('Input 4 - Forecast'!H24+'Input 4 - Forecast'!H32),'Input 4 - Forecast'!H24+'Input 4 - Forecast'!H32,"")</f>
        <v>212.08254405000002</v>
      </c>
    </row>
    <row r="33" spans="2:21">
      <c r="B33" s="116" t="s">
        <v>63</v>
      </c>
      <c r="C33" s="424" t="str">
        <f t="shared" si="8"/>
        <v>Millions LCU</v>
      </c>
      <c r="D33" s="60">
        <f>IF(ISNUMBER('Input 2 - Data'!E22),'Input 2 - Data'!E22,"")</f>
        <v>0</v>
      </c>
      <c r="E33" s="60">
        <f>IF(ISNUMBER('Input 2 - Data'!F22),'Input 2 - Data'!F22,"")</f>
        <v>0</v>
      </c>
      <c r="F33" s="60">
        <f>IF(ISNUMBER('Input 2 - Data'!G22),'Input 2 - Data'!G22,"")</f>
        <v>0</v>
      </c>
      <c r="G33" s="60">
        <f>IF(ISNUMBER('Input 2 - Data'!H22),'Input 2 - Data'!H22,"")</f>
        <v>0</v>
      </c>
      <c r="H33" s="60">
        <f>IF(ISNUMBER('Input 2 - Data'!I22),'Input 2 - Data'!I22,"")</f>
        <v>0</v>
      </c>
      <c r="I33" s="60">
        <f>IF(ISNUMBER('Input 2 - Data'!J22),'Input 2 - Data'!J22,"")</f>
        <v>0</v>
      </c>
      <c r="J33" s="60">
        <f>IF(ISNUMBER('Input 2 - Data'!K22),'Input 2 - Data'!K22,"")</f>
        <v>0</v>
      </c>
      <c r="K33" s="60">
        <f>IF(ISNUMBER('Input 2 - Data'!L22),'Input 2 - Data'!L22,"")</f>
        <v>0</v>
      </c>
      <c r="L33" s="60">
        <f>IF(ISNUMBER('Input 2 - Data'!M22),'Input 2 - Data'!M22,"")</f>
        <v>0</v>
      </c>
      <c r="M33" s="60">
        <f>IF(ISNUMBER('Input 2 - Data'!N22),'Input 2 - Data'!N22,"")</f>
        <v>0</v>
      </c>
      <c r="N33" s="60">
        <f>IF(ISNUMBER('Input 2 - Data'!O22),'Input 2 - Data'!O22,"")</f>
        <v>0</v>
      </c>
      <c r="O33" s="60">
        <f>IF(ISNUMBER('Input 2 - Data'!P22),'Input 2 - Data'!P22,"")</f>
        <v>0</v>
      </c>
      <c r="P33" s="921">
        <f>IF(ISNUMBER('Input 4 - Forecast'!C25+'Input 4 - Forecast'!C33),'Input 4 - Forecast'!C25+'Input 4 - Forecast'!C33,"")</f>
        <v>36.103082014354982</v>
      </c>
      <c r="Q33" s="922">
        <f>IF(ISNUMBER('Input 4 - Forecast'!D25+'Input 4 - Forecast'!D33),'Input 4 - Forecast'!D25+'Input 4 - Forecast'!D33,"")</f>
        <v>36.793459074872004</v>
      </c>
      <c r="R33" s="922">
        <f>IF(ISNUMBER('Input 4 - Forecast'!E25+'Input 4 - Forecast'!E33),'Input 4 - Forecast'!E25+'Input 4 - Forecast'!E33,"")</f>
        <v>28.352366134432003</v>
      </c>
      <c r="S33" s="922">
        <f>IF(ISNUMBER('Input 4 - Forecast'!F25+'Input 4 - Forecast'!F33),'Input 4 - Forecast'!F25+'Input 4 - Forecast'!F33,"")</f>
        <v>10.689095726641995</v>
      </c>
      <c r="T33" s="922">
        <f>IF(ISNUMBER('Input 4 - Forecast'!G25+'Input 4 - Forecast'!G33),'Input 4 - Forecast'!G25+'Input 4 - Forecast'!G33,"")</f>
        <v>0.23301181859500275</v>
      </c>
      <c r="U33" s="923">
        <f>IF(ISNUMBER('Input 4 - Forecast'!H25+'Input 4 - Forecast'!H33),'Input 4 - Forecast'!H25+'Input 4 - Forecast'!H33,"")</f>
        <v>0.22278209171348351</v>
      </c>
    </row>
    <row r="34" spans="2:21">
      <c r="B34" s="61" t="s">
        <v>75</v>
      </c>
      <c r="C34" s="424" t="str">
        <f t="shared" si="8"/>
        <v>Millions LCU</v>
      </c>
      <c r="D34" s="60">
        <f>IF(ISNUMBER('Input 2 - Data'!E23),'Input 2 - Data'!E23,"")</f>
        <v>1.474</v>
      </c>
      <c r="E34" s="60">
        <f>IF(ISNUMBER('Input 2 - Data'!F23),'Input 2 - Data'!F23,"")</f>
        <v>1.5959999999999999</v>
      </c>
      <c r="F34" s="60">
        <f>IF(ISNUMBER('Input 2 - Data'!G23),'Input 2 - Data'!G23,"")</f>
        <v>2.6819999999999999</v>
      </c>
      <c r="G34" s="60">
        <f>IF(ISNUMBER('Input 2 - Data'!H23),'Input 2 - Data'!H23,"")</f>
        <v>5.6879999999999997</v>
      </c>
      <c r="H34" s="60">
        <f>IF(ISNUMBER('Input 2 - Data'!I23),'Input 2 - Data'!I23,"")</f>
        <v>6.2120000000000006</v>
      </c>
      <c r="I34" s="60">
        <f>IF(ISNUMBER('Input 2 - Data'!J23),'Input 2 - Data'!J23,"")</f>
        <v>7.194</v>
      </c>
      <c r="J34" s="60">
        <f>IF(ISNUMBER('Input 2 - Data'!K23),'Input 2 - Data'!K23,"")</f>
        <v>7.306</v>
      </c>
      <c r="K34" s="60">
        <f>IF(ISNUMBER('Input 2 - Data'!L23),'Input 2 - Data'!L23,"")</f>
        <v>6.7720000000000002</v>
      </c>
      <c r="L34" s="60">
        <f>IF(ISNUMBER('Input 2 - Data'!M23),'Input 2 - Data'!M23,"")</f>
        <v>6.7620000000000005</v>
      </c>
      <c r="M34" s="60">
        <f>IF(ISNUMBER('Input 2 - Data'!N23),'Input 2 - Data'!N23,"")</f>
        <v>6.4939999999999998</v>
      </c>
      <c r="N34" s="60">
        <f>IF(ISNUMBER('Input 2 - Data'!O23),'Input 2 - Data'!O23,"")</f>
        <v>5.1100000000000003</v>
      </c>
      <c r="O34" s="60">
        <f>IF(ISNUMBER('Input 2 - Data'!P23),'Input 2 - Data'!P23,"")</f>
        <v>5.0039999999999996</v>
      </c>
      <c r="P34" s="921">
        <f>IF(ISNUMBER(SUM('Input 4 - Forecast'!C27:C28,'Input 4 - Forecast'!C34:C35)),SUM('Input 4 - Forecast'!C27:C28,'Input 4 - Forecast'!C34:C35),"")</f>
        <v>884.2744964331614</v>
      </c>
      <c r="Q34" s="922">
        <f>IF(ISNUMBER(SUM('Input 4 - Forecast'!D27:D28,'Input 4 - Forecast'!D34:D35)),SUM('Input 4 - Forecast'!D27:D28,'Input 4 - Forecast'!D34:D35),"")</f>
        <v>707.7153221524934</v>
      </c>
      <c r="R34" s="922">
        <f>IF(ISNUMBER(SUM('Input 4 - Forecast'!E27:E28,'Input 4 - Forecast'!E34:E35)),SUM('Input 4 - Forecast'!E27:E28,'Input 4 - Forecast'!E34:E35),"")</f>
        <v>746.38452260533677</v>
      </c>
      <c r="S34" s="922">
        <f>IF(ISNUMBER(SUM('Input 4 - Forecast'!F27:F28,'Input 4 - Forecast'!F34:F35)),SUM('Input 4 - Forecast'!F27:F28,'Input 4 - Forecast'!F34:F35),"")</f>
        <v>329.70052873252166</v>
      </c>
      <c r="T34" s="922">
        <f>IF(ISNUMBER(SUM('Input 4 - Forecast'!G27:G28,'Input 4 - Forecast'!G34:G35)),SUM('Input 4 - Forecast'!G27:G28,'Input 4 - Forecast'!G34:G35),"")</f>
        <v>-373.02293726886444</v>
      </c>
      <c r="U34" s="923">
        <f>IF(ISNUMBER(SUM('Input 4 - Forecast'!H27:H28,'Input 4 - Forecast'!H34:H35)),SUM('Input 4 - Forecast'!H27:H28,'Input 4 - Forecast'!H34:H35),"")</f>
        <v>-685.43344996185215</v>
      </c>
    </row>
    <row r="35" spans="2:21" s="284" customFormat="1" ht="15" customHeight="1">
      <c r="D35" s="60"/>
      <c r="E35" s="60"/>
      <c r="F35" s="60"/>
      <c r="G35" s="60"/>
      <c r="H35" s="60"/>
      <c r="I35" s="60"/>
      <c r="J35" s="60"/>
      <c r="K35" s="60"/>
      <c r="L35" s="60"/>
      <c r="M35" s="60"/>
      <c r="N35" s="60"/>
      <c r="O35" s="60"/>
      <c r="P35" s="921"/>
      <c r="Q35" s="922"/>
      <c r="R35" s="922"/>
      <c r="S35" s="922"/>
      <c r="T35" s="922"/>
      <c r="U35" s="923"/>
    </row>
    <row r="36" spans="2:21" s="284" customFormat="1" ht="21.75" thickBot="1">
      <c r="B36" s="910" t="s">
        <v>548</v>
      </c>
      <c r="C36" s="911"/>
      <c r="D36" s="912"/>
      <c r="E36" s="912"/>
      <c r="F36" s="912"/>
      <c r="G36" s="912"/>
      <c r="H36" s="912"/>
      <c r="I36" s="912"/>
      <c r="J36" s="912"/>
      <c r="K36" s="912"/>
      <c r="L36" s="912"/>
      <c r="M36" s="912"/>
      <c r="N36" s="912"/>
      <c r="O36" s="912"/>
      <c r="P36" s="913"/>
      <c r="Q36" s="912"/>
      <c r="R36" s="912"/>
      <c r="S36" s="912"/>
      <c r="T36" s="912"/>
      <c r="U36" s="914"/>
    </row>
    <row r="37" spans="2:21" s="284" customFormat="1" ht="6.75" customHeight="1">
      <c r="D37" s="60"/>
      <c r="E37" s="60"/>
      <c r="F37" s="60"/>
      <c r="G37" s="60"/>
      <c r="H37" s="60"/>
      <c r="I37" s="60"/>
      <c r="J37" s="60"/>
      <c r="K37" s="60"/>
      <c r="L37" s="60"/>
      <c r="M37" s="60"/>
      <c r="N37" s="60"/>
      <c r="O37" s="60"/>
      <c r="P37" s="921"/>
      <c r="Q37" s="922"/>
      <c r="R37" s="922"/>
      <c r="S37" s="922"/>
      <c r="T37" s="922"/>
      <c r="U37" s="923"/>
    </row>
    <row r="38" spans="2:21">
      <c r="B38" s="65" t="s">
        <v>758</v>
      </c>
      <c r="C38" s="424" t="str">
        <f>Scale&amp;" LCU"</f>
        <v>Millions LCU</v>
      </c>
      <c r="D38" s="60">
        <f>'Input 2 - Data'!E7</f>
        <v>17101.855</v>
      </c>
      <c r="E38" s="60">
        <f>'Input 2 - Data'!F7</f>
        <v>22592.012999999999</v>
      </c>
      <c r="F38" s="60">
        <f>'Input 2 - Data'!G7</f>
        <v>24351.235000000001</v>
      </c>
      <c r="G38" s="60">
        <f>'Input 2 - Data'!H7</f>
        <v>18826.593000000001</v>
      </c>
      <c r="H38" s="60">
        <f>'Input 2 - Data'!I7</f>
        <v>17937.881000000001</v>
      </c>
      <c r="I38" s="60">
        <f>'Input 2 - Data'!J7</f>
        <v>20302.760999999999</v>
      </c>
      <c r="J38" s="60">
        <f>'Input 2 - Data'!K7</f>
        <v>21885.613000000001</v>
      </c>
      <c r="K38" s="60">
        <f>'Input 2 - Data'!L7</f>
        <v>22786.588</v>
      </c>
      <c r="L38" s="60">
        <f>'Input 2 - Data'!M7</f>
        <v>23618.163</v>
      </c>
      <c r="M38" s="60">
        <f>'Input 2 - Data'!N7</f>
        <v>24320.324000000001</v>
      </c>
      <c r="N38" s="60">
        <f>'Input 2 - Data'!O7</f>
        <v>25037.682000000001</v>
      </c>
      <c r="O38" s="60">
        <f>'Input 2 - Data'!P7</f>
        <v>27033.056</v>
      </c>
      <c r="P38" s="921">
        <f>'Input 2 - Data'!Q7</f>
        <v>29523.664000000001</v>
      </c>
      <c r="Q38" s="922">
        <f>'Input 2 - Data'!R7</f>
        <v>31399.058662009902</v>
      </c>
      <c r="R38" s="922">
        <f>'Input 2 - Data'!S7</f>
        <v>33242.878403577437</v>
      </c>
      <c r="S38" s="922">
        <f>'Input 2 - Data'!T7</f>
        <v>35068.507648449682</v>
      </c>
      <c r="T38" s="922">
        <f>'Input 2 - Data'!U7</f>
        <v>36986.785592001797</v>
      </c>
      <c r="U38" s="923">
        <f>'Input 2 - Data'!V7</f>
        <v>38968.164510059883</v>
      </c>
    </row>
    <row r="39" spans="2:21" s="284" customFormat="1">
      <c r="B39" s="65" t="s">
        <v>759</v>
      </c>
      <c r="C39" s="424" t="str">
        <f>Scale&amp;" LCU"</f>
        <v>Millions LCU</v>
      </c>
      <c r="D39" s="60">
        <f>'Input 2 - Data'!E5</f>
        <v>20565.664000000001</v>
      </c>
      <c r="E39" s="60">
        <f>'Input 2 - Data'!F5</f>
        <v>22617.967000000001</v>
      </c>
      <c r="F39" s="60">
        <f>'Input 2 - Data'!G5</f>
        <v>21815.562000000002</v>
      </c>
      <c r="G39" s="60">
        <f>'Input 2 - Data'!H5</f>
        <v>18673.752</v>
      </c>
      <c r="H39" s="60">
        <f>'Input 2 - Data'!I5</f>
        <v>17937.881000000001</v>
      </c>
      <c r="I39" s="60">
        <f>'Input 2 - Data'!J5</f>
        <v>19082.501</v>
      </c>
      <c r="J39" s="60">
        <f>'Input 2 - Data'!K5</f>
        <v>19852.409</v>
      </c>
      <c r="K39" s="60">
        <f>'Input 2 - Data'!L5</f>
        <v>20334.793000000001</v>
      </c>
      <c r="L39" s="60">
        <f>'Input 2 - Data'!M5</f>
        <v>20712.663</v>
      </c>
      <c r="M39" s="60">
        <f>'Input 2 - Data'!N5</f>
        <v>21328.182000000001</v>
      </c>
      <c r="N39" s="60">
        <f>'Input 2 - Data'!O5</f>
        <v>21768.476999999999</v>
      </c>
      <c r="O39" s="60">
        <f>'Input 2 - Data'!P5</f>
        <v>22777.768</v>
      </c>
      <c r="P39" s="921">
        <f>'Input 2 - Data'!Q5</f>
        <v>23864.203000000001</v>
      </c>
      <c r="Q39" s="922">
        <f>'Input 2 - Data'!R5</f>
        <v>24620.374507041077</v>
      </c>
      <c r="R39" s="922">
        <f>'Input 2 - Data'!S5</f>
        <v>25357.683384633368</v>
      </c>
      <c r="S39" s="922">
        <f>'Input 2 - Data'!T5</f>
        <v>26089.796284769458</v>
      </c>
      <c r="T39" s="922">
        <f>'Input 2 - Data'!U5</f>
        <v>26855.016191702667</v>
      </c>
      <c r="U39" s="923">
        <f>'Input 2 - Data'!V5</f>
        <v>27606.956645070342</v>
      </c>
    </row>
    <row r="40" spans="2:21" s="284" customFormat="1">
      <c r="B40" s="65" t="s">
        <v>760</v>
      </c>
      <c r="C40" s="424" t="str">
        <f>Scale&amp;" LCU"</f>
        <v>Millions LCU</v>
      </c>
      <c r="D40" s="60">
        <f>'Input 2 - Data'!E8</f>
        <v>0</v>
      </c>
      <c r="E40" s="60">
        <f>'Input 2 - Data'!F8</f>
        <v>0</v>
      </c>
      <c r="F40" s="60">
        <f>'Input 2 - Data'!G8</f>
        <v>0</v>
      </c>
      <c r="G40" s="60">
        <f>'Input 2 - Data'!H8</f>
        <v>0</v>
      </c>
      <c r="H40" s="60">
        <f>'Input 2 - Data'!I8</f>
        <v>0</v>
      </c>
      <c r="I40" s="60">
        <f>'Input 2 - Data'!J8</f>
        <v>0</v>
      </c>
      <c r="J40" s="60">
        <f>'Input 2 - Data'!K8</f>
        <v>0</v>
      </c>
      <c r="K40" s="60">
        <f>'Input 2 - Data'!L8</f>
        <v>0</v>
      </c>
      <c r="L40" s="60">
        <f>'Input 2 - Data'!M8</f>
        <v>0</v>
      </c>
      <c r="M40" s="60">
        <f>'Input 2 - Data'!N8</f>
        <v>0</v>
      </c>
      <c r="N40" s="60">
        <f>'Input 2 - Data'!O8</f>
        <v>0</v>
      </c>
      <c r="O40" s="60">
        <f>'Input 2 - Data'!P8</f>
        <v>0</v>
      </c>
      <c r="P40" s="921">
        <f>'Input 2 - Data'!Q8</f>
        <v>0</v>
      </c>
      <c r="Q40" s="922">
        <f>'Input 2 - Data'!R8</f>
        <v>0</v>
      </c>
      <c r="R40" s="922">
        <f>'Input 2 - Data'!S8</f>
        <v>0</v>
      </c>
      <c r="S40" s="922">
        <f>'Input 2 - Data'!T8</f>
        <v>0</v>
      </c>
      <c r="T40" s="922">
        <f>'Input 2 - Data'!U8</f>
        <v>0</v>
      </c>
      <c r="U40" s="923">
        <f>'Input 2 - Data'!V8</f>
        <v>0</v>
      </c>
    </row>
    <row r="41" spans="2:21" s="284" customFormat="1">
      <c r="B41" s="65" t="s">
        <v>761</v>
      </c>
      <c r="C41" s="424" t="str">
        <f>Scale&amp;" LCU"</f>
        <v>Millions LCU</v>
      </c>
      <c r="D41" s="60">
        <f>D40/'Input 2 - Data'!E6*100</f>
        <v>0</v>
      </c>
      <c r="E41" s="60">
        <f>E40/'Input 2 - Data'!F6*100</f>
        <v>0</v>
      </c>
      <c r="F41" s="60">
        <f>F40/'Input 2 - Data'!G6*100</f>
        <v>0</v>
      </c>
      <c r="G41" s="60">
        <f>G40/'Input 2 - Data'!H6*100</f>
        <v>0</v>
      </c>
      <c r="H41" s="60">
        <f>H40/'Input 2 - Data'!I6*100</f>
        <v>0</v>
      </c>
      <c r="I41" s="60">
        <f>I40/'Input 2 - Data'!J6*100</f>
        <v>0</v>
      </c>
      <c r="J41" s="60">
        <f>J40/'Input 2 - Data'!K6*100</f>
        <v>0</v>
      </c>
      <c r="K41" s="60">
        <f>K40/'Input 2 - Data'!L6*100</f>
        <v>0</v>
      </c>
      <c r="L41" s="60">
        <f>L40/'Input 2 - Data'!M6*100</f>
        <v>0</v>
      </c>
      <c r="M41" s="60">
        <f>M40/'Input 2 - Data'!N6*100</f>
        <v>0</v>
      </c>
      <c r="N41" s="60">
        <f>N40/'Input 2 - Data'!O6*100</f>
        <v>0</v>
      </c>
      <c r="O41" s="60">
        <f>O40/'Input 2 - Data'!P6*100</f>
        <v>0</v>
      </c>
      <c r="P41" s="921">
        <f>P40/'Input 2 - Data'!Q6*100</f>
        <v>0</v>
      </c>
      <c r="Q41" s="922">
        <f>Q40/'Input 2 - Data'!R6*100</f>
        <v>0</v>
      </c>
      <c r="R41" s="922">
        <f>R40/'Input 2 - Data'!S6*100</f>
        <v>0</v>
      </c>
      <c r="S41" s="922">
        <f>S40/'Input 2 - Data'!T6*100</f>
        <v>0</v>
      </c>
      <c r="T41" s="922">
        <f>T40/'Input 2 - Data'!U6*100</f>
        <v>0</v>
      </c>
      <c r="U41" s="923">
        <f>U40/'Input 2 - Data'!V6*100</f>
        <v>0</v>
      </c>
    </row>
    <row r="42" spans="2:21" s="284" customFormat="1">
      <c r="B42" s="65" t="s">
        <v>696</v>
      </c>
      <c r="C42" s="864" t="s">
        <v>286</v>
      </c>
      <c r="D42" s="883" t="e">
        <f>(D39-D41)/D41</f>
        <v>#DIV/0!</v>
      </c>
      <c r="E42" s="883" t="e">
        <f t="shared" ref="E42:T42" si="11">(E39-E41)/E41</f>
        <v>#DIV/0!</v>
      </c>
      <c r="F42" s="883" t="e">
        <f t="shared" si="11"/>
        <v>#DIV/0!</v>
      </c>
      <c r="G42" s="883" t="e">
        <f t="shared" si="11"/>
        <v>#DIV/0!</v>
      </c>
      <c r="H42" s="883" t="e">
        <f t="shared" si="11"/>
        <v>#DIV/0!</v>
      </c>
      <c r="I42" s="883" t="e">
        <f t="shared" si="11"/>
        <v>#DIV/0!</v>
      </c>
      <c r="J42" s="883" t="e">
        <f t="shared" si="11"/>
        <v>#DIV/0!</v>
      </c>
      <c r="K42" s="883" t="e">
        <f t="shared" si="11"/>
        <v>#DIV/0!</v>
      </c>
      <c r="L42" s="883" t="e">
        <f t="shared" si="11"/>
        <v>#DIV/0!</v>
      </c>
      <c r="M42" s="883" t="e">
        <f t="shared" si="11"/>
        <v>#DIV/0!</v>
      </c>
      <c r="N42" s="883" t="e">
        <f t="shared" si="11"/>
        <v>#DIV/0!</v>
      </c>
      <c r="O42" s="883" t="e">
        <f t="shared" si="11"/>
        <v>#DIV/0!</v>
      </c>
      <c r="P42" s="1156" t="e">
        <f t="shared" si="11"/>
        <v>#DIV/0!</v>
      </c>
      <c r="Q42" s="1157" t="e">
        <f t="shared" si="11"/>
        <v>#DIV/0!</v>
      </c>
      <c r="R42" s="1157" t="e">
        <f t="shared" si="11"/>
        <v>#DIV/0!</v>
      </c>
      <c r="S42" s="1157" t="e">
        <f t="shared" si="11"/>
        <v>#DIV/0!</v>
      </c>
      <c r="T42" s="1157" t="e">
        <f t="shared" si="11"/>
        <v>#DIV/0!</v>
      </c>
      <c r="U42" s="1158" t="e">
        <f>(U39-U41)/U41</f>
        <v>#DIV/0!</v>
      </c>
    </row>
    <row r="43" spans="2:21" s="284" customFormat="1" ht="6" customHeight="1">
      <c r="B43" s="65"/>
      <c r="C43" s="65"/>
      <c r="D43" s="60"/>
      <c r="E43" s="60"/>
      <c r="F43" s="60"/>
      <c r="G43" s="60"/>
      <c r="H43" s="60"/>
      <c r="I43" s="60"/>
      <c r="J43" s="60"/>
      <c r="K43" s="60"/>
      <c r="L43" s="60"/>
      <c r="M43" s="60"/>
      <c r="N43" s="60"/>
      <c r="O43" s="60"/>
      <c r="P43" s="921"/>
      <c r="Q43" s="922"/>
      <c r="R43" s="922"/>
      <c r="S43" s="922"/>
      <c r="T43" s="922"/>
      <c r="U43" s="923"/>
    </row>
    <row r="44" spans="2:21">
      <c r="B44" s="65" t="s">
        <v>3</v>
      </c>
      <c r="C44" s="424" t="str">
        <f>Scale&amp;" LCU"</f>
        <v>Millions LCU</v>
      </c>
      <c r="D44" s="60">
        <f>'Input 2 - Data'!E15</f>
        <v>6079.6</v>
      </c>
      <c r="E44" s="60">
        <f>'Input 2 - Data'!F15</f>
        <v>7563.1</v>
      </c>
      <c r="F44" s="60">
        <f>'Input 2 - Data'!G15</f>
        <v>8143.5</v>
      </c>
      <c r="G44" s="60">
        <f>'Input 2 - Data'!H15</f>
        <v>6598.1</v>
      </c>
      <c r="H44" s="60">
        <f>'Input 2 - Data'!I15</f>
        <v>6604.3</v>
      </c>
      <c r="I44" s="60">
        <f>'Input 2 - Data'!J15</f>
        <v>7342.4</v>
      </c>
      <c r="J44" s="60">
        <f>'Input 2 - Data'!K15</f>
        <v>8045.4</v>
      </c>
      <c r="K44" s="60">
        <f>'Input 2 - Data'!L15</f>
        <v>8332.4</v>
      </c>
      <c r="L44" s="60">
        <f>'Input 2 - Data'!M15</f>
        <v>8648.9</v>
      </c>
      <c r="M44" s="60">
        <f>'Input 2 - Data'!N15</f>
        <v>8964.7000000000007</v>
      </c>
      <c r="N44" s="60">
        <f>'Input 2 - Data'!O15</f>
        <v>9275</v>
      </c>
      <c r="O44" s="60">
        <f>'Input 2 - Data'!P15</f>
        <v>10064.299999999999</v>
      </c>
      <c r="P44" s="921">
        <f>'Input 2 - Data'!Q15</f>
        <v>10907.615969967483</v>
      </c>
      <c r="Q44" s="922">
        <f>'Input 2 - Data'!R15</f>
        <v>11323.50803948622</v>
      </c>
      <c r="R44" s="922">
        <f>'Input 2 - Data'!S15</f>
        <v>11909.832649556003</v>
      </c>
      <c r="S44" s="922">
        <f>'Input 2 - Data'!T15</f>
        <v>12370.288148845884</v>
      </c>
      <c r="T44" s="922">
        <f>'Input 2 - Data'!U15</f>
        <v>12852.588152351136</v>
      </c>
      <c r="U44" s="923">
        <f>'Input 2 - Data'!V15</f>
        <v>13541.100192528495</v>
      </c>
    </row>
    <row r="45" spans="2:21">
      <c r="B45" s="65" t="s">
        <v>102</v>
      </c>
      <c r="C45" s="424" t="str">
        <f>Scale&amp;" LCU"</f>
        <v>Millions LCU</v>
      </c>
      <c r="D45" s="60">
        <f t="shared" ref="D45:U45" si="12">D31+D34</f>
        <v>75.174000000000007</v>
      </c>
      <c r="E45" s="60">
        <f t="shared" si="12"/>
        <v>81.396000000000001</v>
      </c>
      <c r="F45" s="60">
        <f t="shared" si="12"/>
        <v>136.78199999999998</v>
      </c>
      <c r="G45" s="60">
        <f>G31+G34</f>
        <v>290.08799999999997</v>
      </c>
      <c r="H45" s="60">
        <f t="shared" si="12"/>
        <v>316.81200000000001</v>
      </c>
      <c r="I45" s="60">
        <f t="shared" si="12"/>
        <v>366.89400000000001</v>
      </c>
      <c r="J45" s="60">
        <f t="shared" si="12"/>
        <v>372.60599999999999</v>
      </c>
      <c r="K45" s="60">
        <f t="shared" si="12"/>
        <v>345.37200000000001</v>
      </c>
      <c r="L45" s="60">
        <f t="shared" si="12"/>
        <v>344.86200000000002</v>
      </c>
      <c r="M45" s="60">
        <f t="shared" si="12"/>
        <v>331.19399999999996</v>
      </c>
      <c r="N45" s="60">
        <f t="shared" si="12"/>
        <v>260.61</v>
      </c>
      <c r="O45" s="60">
        <f>O31+O34</f>
        <v>255.20399999999998</v>
      </c>
      <c r="P45" s="921">
        <f t="shared" si="12"/>
        <v>1095.234155046629</v>
      </c>
      <c r="Q45" s="922">
        <f t="shared" si="12"/>
        <v>925.32461109327846</v>
      </c>
      <c r="R45" s="922">
        <f t="shared" si="12"/>
        <v>953.70970857004829</v>
      </c>
      <c r="S45" s="922">
        <f t="shared" si="12"/>
        <v>555.96713239944324</v>
      </c>
      <c r="T45" s="922">
        <f t="shared" si="12"/>
        <v>-166.34823266042841</v>
      </c>
      <c r="U45" s="923">
        <f t="shared" si="12"/>
        <v>-473.12812382013863</v>
      </c>
    </row>
    <row r="46" spans="2:21" ht="6" customHeight="1">
      <c r="B46" s="65"/>
      <c r="C46" s="65"/>
      <c r="D46" s="60"/>
      <c r="E46" s="60"/>
      <c r="F46" s="60"/>
      <c r="N46" s="60"/>
      <c r="O46" s="60"/>
      <c r="P46" s="921"/>
      <c r="Q46" s="922"/>
      <c r="R46" s="922"/>
      <c r="S46" s="922"/>
      <c r="T46" s="922"/>
      <c r="U46" s="923"/>
    </row>
    <row r="47" spans="2:21" s="284" customFormat="1">
      <c r="B47" s="65" t="s">
        <v>825</v>
      </c>
      <c r="C47" s="424" t="str">
        <f>Scale&amp;" LCU"</f>
        <v>Millions LCU</v>
      </c>
      <c r="D47" s="60">
        <f>'Input 2 - Data'!E16</f>
        <v>6060.5</v>
      </c>
      <c r="E47" s="60">
        <f>'Input 2 - Data'!F16</f>
        <v>7530.1</v>
      </c>
      <c r="F47" s="60">
        <f>'Input 2 - Data'!G16</f>
        <v>8068.9</v>
      </c>
      <c r="G47" s="60">
        <f>'Input 2 - Data'!H16</f>
        <v>6492.3</v>
      </c>
      <c r="H47" s="60">
        <f>'Input 2 - Data'!I16</f>
        <v>6521.5</v>
      </c>
      <c r="I47" s="60">
        <f>'Input 2 - Data'!J16</f>
        <v>7249.5999999999995</v>
      </c>
      <c r="J47" s="60">
        <f>'Input 2 - Data'!K16</f>
        <v>7979.4</v>
      </c>
      <c r="K47" s="60">
        <f>'Input 2 - Data'!L16</f>
        <v>8262.4</v>
      </c>
      <c r="L47" s="60">
        <f>'Input 2 - Data'!M16</f>
        <v>8571.1999999999989</v>
      </c>
      <c r="M47" s="60">
        <f>'Input 2 - Data'!N16</f>
        <v>8899.9000000000015</v>
      </c>
      <c r="N47" s="60">
        <f>'Input 2 - Data'!O16</f>
        <v>9226.2000000000007</v>
      </c>
      <c r="O47" s="60">
        <f>'Input 2 - Data'!P16</f>
        <v>10020.099999999999</v>
      </c>
      <c r="P47" s="921">
        <f>'Input 2 - Data'!Q16</f>
        <v>10859.344779327483</v>
      </c>
      <c r="Q47" s="922">
        <f>'Input 2 - Data'!R16</f>
        <v>11272.170578573834</v>
      </c>
      <c r="R47" s="922">
        <f>'Input 2 - Data'!S16</f>
        <v>11855.480543366153</v>
      </c>
      <c r="S47" s="922">
        <f>'Input 2 - Data'!T16</f>
        <v>12312.951138840668</v>
      </c>
      <c r="T47" s="922">
        <f>'Input 2 - Data'!U16</f>
        <v>12792.114757908214</v>
      </c>
      <c r="U47" s="923">
        <f>'Input 2 - Data'!V16</f>
        <v>13477.387243554547</v>
      </c>
    </row>
    <row r="48" spans="2:21" s="284" customFormat="1">
      <c r="B48" s="65" t="s">
        <v>826</v>
      </c>
      <c r="C48" s="424" t="str">
        <f>Scale&amp;" LCU"</f>
        <v>Millions LCU</v>
      </c>
      <c r="D48" s="60">
        <f>'Input 2 - Data'!E19</f>
        <v>6163</v>
      </c>
      <c r="E48" s="60">
        <f>'Input 2 - Data'!F19</f>
        <v>7678.9</v>
      </c>
      <c r="F48" s="60">
        <f>'Input 2 - Data'!G19</f>
        <v>9167.2999999999993</v>
      </c>
      <c r="G48" s="60">
        <f>'Input 2 - Data'!H19</f>
        <v>8316.2999999999993</v>
      </c>
      <c r="H48" s="60">
        <f>'Input 2 - Data'!I19</f>
        <v>8162.3</v>
      </c>
      <c r="I48" s="60">
        <f>'Input 2 - Data'!J19</f>
        <v>8216.7000000000007</v>
      </c>
      <c r="J48" s="60">
        <f>'Input 2 - Data'!K19</f>
        <v>8309.2999999999993</v>
      </c>
      <c r="K48" s="60">
        <f>'Input 2 - Data'!L19</f>
        <v>8596.5</v>
      </c>
      <c r="L48" s="60">
        <f>'Input 2 - Data'!M19</f>
        <v>9001.2000000000007</v>
      </c>
      <c r="M48" s="60">
        <f>'Input 2 - Data'!N19</f>
        <v>9296.2000000000007</v>
      </c>
      <c r="N48" s="60">
        <f>'Input 2 - Data'!O19</f>
        <v>9258.7999999999993</v>
      </c>
      <c r="O48" s="60">
        <f>'Input 2 - Data'!P19</f>
        <v>10220.1</v>
      </c>
      <c r="P48" s="921">
        <f>'Input 2 - Data'!Q19</f>
        <v>10874.786208776703</v>
      </c>
      <c r="Q48" s="922">
        <f>'Input 2 - Data'!R19</f>
        <v>11257.539277837317</v>
      </c>
      <c r="R48" s="922">
        <f>'Input 2 - Data'!S19</f>
        <v>11752.809072645199</v>
      </c>
      <c r="S48" s="922">
        <f>'Input 2 - Data'!T19</f>
        <v>12235.282378609274</v>
      </c>
      <c r="T48" s="922">
        <f>'Input 2 - Data'!U19</f>
        <v>12469.216138809714</v>
      </c>
      <c r="U48" s="923">
        <f>'Input 2 - Data'!V19</f>
        <v>13137.190973245981</v>
      </c>
    </row>
    <row r="49" spans="2:22" s="284" customFormat="1">
      <c r="B49" s="65" t="s">
        <v>147</v>
      </c>
      <c r="C49" s="424" t="str">
        <f>Scale&amp;" LCU"</f>
        <v>Millions LCU</v>
      </c>
      <c r="D49" s="60">
        <f>IF(ISNUMBER(D47-D48),D47-D48,"")</f>
        <v>-102.5</v>
      </c>
      <c r="E49" s="60">
        <f t="shared" ref="E49:O49" si="13">IF(ISNUMBER(E47-E48),E47-E48,"")</f>
        <v>-148.79999999999927</v>
      </c>
      <c r="F49" s="60">
        <f t="shared" si="13"/>
        <v>-1098.3999999999996</v>
      </c>
      <c r="G49" s="60">
        <f t="shared" si="13"/>
        <v>-1823.9999999999991</v>
      </c>
      <c r="H49" s="60">
        <f t="shared" si="13"/>
        <v>-1640.8000000000002</v>
      </c>
      <c r="I49" s="60">
        <f t="shared" si="13"/>
        <v>-967.10000000000127</v>
      </c>
      <c r="J49" s="60">
        <f t="shared" si="13"/>
        <v>-329.89999999999964</v>
      </c>
      <c r="K49" s="60">
        <f t="shared" si="13"/>
        <v>-334.10000000000036</v>
      </c>
      <c r="L49" s="60">
        <f t="shared" si="13"/>
        <v>-430.00000000000182</v>
      </c>
      <c r="M49" s="60">
        <f t="shared" si="13"/>
        <v>-396.29999999999927</v>
      </c>
      <c r="N49" s="60">
        <f t="shared" si="13"/>
        <v>-32.599999999998545</v>
      </c>
      <c r="O49" s="60">
        <f t="shared" si="13"/>
        <v>-200.00000000000182</v>
      </c>
      <c r="P49" s="921">
        <f t="shared" ref="P49:U49" si="14">IF(ISNUMBER(P47-P48),P47-P48,"")</f>
        <v>-15.441429449219868</v>
      </c>
      <c r="Q49" s="922">
        <f t="shared" si="14"/>
        <v>14.631300736517005</v>
      </c>
      <c r="R49" s="922">
        <f t="shared" si="14"/>
        <v>102.67147072095395</v>
      </c>
      <c r="S49" s="922">
        <f t="shared" si="14"/>
        <v>77.668760231394117</v>
      </c>
      <c r="T49" s="922">
        <f t="shared" si="14"/>
        <v>322.89861909849969</v>
      </c>
      <c r="U49" s="923">
        <f t="shared" si="14"/>
        <v>340.19627030856645</v>
      </c>
    </row>
    <row r="50" spans="2:22" s="284" customFormat="1" ht="6" customHeight="1">
      <c r="B50" s="65"/>
      <c r="C50" s="65"/>
      <c r="D50" s="60"/>
      <c r="E50" s="60"/>
      <c r="F50" s="60"/>
      <c r="G50" s="60"/>
      <c r="H50" s="60"/>
      <c r="I50" s="60"/>
      <c r="J50" s="60"/>
      <c r="K50" s="60"/>
      <c r="L50" s="60"/>
      <c r="M50" s="60"/>
      <c r="N50" s="60"/>
      <c r="O50" s="60"/>
      <c r="P50" s="921"/>
      <c r="Q50" s="922"/>
      <c r="R50" s="922"/>
      <c r="S50" s="922"/>
      <c r="T50" s="922"/>
      <c r="U50" s="923"/>
    </row>
    <row r="51" spans="2:22">
      <c r="B51" s="65" t="s">
        <v>92</v>
      </c>
      <c r="C51" s="519" t="s">
        <v>1169</v>
      </c>
      <c r="E51" s="86">
        <f>IF(ISNUMBER(E38/D38-1),E38/D38-1,"")</f>
        <v>0.32102704648121505</v>
      </c>
      <c r="F51" s="86">
        <f t="shared" ref="F51:U51" si="15">IF(ISNUMBER(F38/E38-1),F38/E38-1,"")</f>
        <v>7.7869200942828787E-2</v>
      </c>
      <c r="G51" s="86">
        <f t="shared" si="15"/>
        <v>-0.2268731750155587</v>
      </c>
      <c r="H51" s="86">
        <f t="shared" si="15"/>
        <v>-4.7205142215588358E-2</v>
      </c>
      <c r="I51" s="86">
        <f t="shared" si="15"/>
        <v>0.13183719972275409</v>
      </c>
      <c r="J51" s="86">
        <f t="shared" si="15"/>
        <v>7.7962401271433057E-2</v>
      </c>
      <c r="K51" s="86">
        <f t="shared" si="15"/>
        <v>4.1167455533459352E-2</v>
      </c>
      <c r="L51" s="86">
        <f t="shared" si="15"/>
        <v>3.6494055187200614E-2</v>
      </c>
      <c r="M51" s="86">
        <f t="shared" si="15"/>
        <v>2.9729704211119312E-2</v>
      </c>
      <c r="N51" s="86">
        <f t="shared" si="15"/>
        <v>2.9496235329759646E-2</v>
      </c>
      <c r="O51" s="86">
        <f t="shared" si="15"/>
        <v>7.9694837565234655E-2</v>
      </c>
      <c r="P51" s="924">
        <f t="shared" si="15"/>
        <v>9.2131943943000838E-2</v>
      </c>
      <c r="Q51" s="925">
        <f t="shared" si="15"/>
        <v>6.3521745201066571E-2</v>
      </c>
      <c r="R51" s="925">
        <f t="shared" si="15"/>
        <v>5.872213436125695E-2</v>
      </c>
      <c r="S51" s="925">
        <f t="shared" si="15"/>
        <v>5.4917905203894168E-2</v>
      </c>
      <c r="T51" s="925">
        <f t="shared" si="15"/>
        <v>5.4700871870061452E-2</v>
      </c>
      <c r="U51" s="926">
        <f t="shared" si="15"/>
        <v>5.3569913858276808E-2</v>
      </c>
    </row>
    <row r="52" spans="2:22">
      <c r="B52" s="65" t="s">
        <v>77</v>
      </c>
      <c r="C52" s="864" t="s">
        <v>1169</v>
      </c>
      <c r="E52" s="86">
        <f>IF(ISNUMBER(E39/D39-1),E39/D39-1,"")</f>
        <v>9.9792693296943957E-2</v>
      </c>
      <c r="F52" s="86">
        <f t="shared" ref="F52:U52" si="16">IF(ISNUMBER(F39/E39-1),F39/E39-1,"")</f>
        <v>-3.5476442246113349E-2</v>
      </c>
      <c r="G52" s="86">
        <f t="shared" si="16"/>
        <v>-0.14401691783140869</v>
      </c>
      <c r="H52" s="86">
        <f t="shared" si="16"/>
        <v>-3.9406703055711478E-2</v>
      </c>
      <c r="I52" s="86">
        <f t="shared" si="16"/>
        <v>6.3810212588655268E-2</v>
      </c>
      <c r="J52" s="86">
        <f t="shared" si="16"/>
        <v>4.0346283749703504E-2</v>
      </c>
      <c r="K52" s="86">
        <f t="shared" si="16"/>
        <v>2.4298512084855783E-2</v>
      </c>
      <c r="L52" s="86">
        <f t="shared" si="16"/>
        <v>1.8582436516565437E-2</v>
      </c>
      <c r="M52" s="86">
        <f t="shared" si="16"/>
        <v>2.9717038316125821E-2</v>
      </c>
      <c r="N52" s="86">
        <f t="shared" si="16"/>
        <v>2.0643812960710717E-2</v>
      </c>
      <c r="O52" s="86">
        <f t="shared" si="16"/>
        <v>4.6364796214269033E-2</v>
      </c>
      <c r="P52" s="924">
        <f t="shared" si="16"/>
        <v>4.7697166816344838E-2</v>
      </c>
      <c r="Q52" s="925">
        <f t="shared" si="16"/>
        <v>3.1686434574876632E-2</v>
      </c>
      <c r="R52" s="925">
        <f t="shared" si="16"/>
        <v>2.9947102444823903E-2</v>
      </c>
      <c r="S52" s="925">
        <f t="shared" si="16"/>
        <v>2.8871442593204177E-2</v>
      </c>
      <c r="T52" s="925">
        <f t="shared" si="16"/>
        <v>2.933023694707515E-2</v>
      </c>
      <c r="U52" s="926">
        <f t="shared" si="16"/>
        <v>2.8000000000000025E-2</v>
      </c>
      <c r="V52" s="1261"/>
    </row>
    <row r="53" spans="2:22" s="284" customFormat="1">
      <c r="B53" s="65" t="s">
        <v>762</v>
      </c>
      <c r="C53" s="864" t="s">
        <v>1169</v>
      </c>
      <c r="D53" s="1"/>
      <c r="E53" s="86" t="str">
        <f>IF(ISNUMBER(E41/D41-1),E41/D41-1,"")</f>
        <v/>
      </c>
      <c r="F53" s="86" t="str">
        <f t="shared" ref="F53:U53" si="17">IF(ISNUMBER(F41/E41-1),F41/E41-1,"")</f>
        <v/>
      </c>
      <c r="G53" s="86" t="str">
        <f t="shared" si="17"/>
        <v/>
      </c>
      <c r="H53" s="86" t="str">
        <f t="shared" si="17"/>
        <v/>
      </c>
      <c r="I53" s="86" t="str">
        <f t="shared" si="17"/>
        <v/>
      </c>
      <c r="J53" s="86" t="str">
        <f t="shared" si="17"/>
        <v/>
      </c>
      <c r="K53" s="86" t="str">
        <f t="shared" si="17"/>
        <v/>
      </c>
      <c r="L53" s="86" t="str">
        <f t="shared" si="17"/>
        <v/>
      </c>
      <c r="M53" s="86" t="str">
        <f t="shared" si="17"/>
        <v/>
      </c>
      <c r="N53" s="86" t="str">
        <f t="shared" si="17"/>
        <v/>
      </c>
      <c r="O53" s="86" t="str">
        <f t="shared" si="17"/>
        <v/>
      </c>
      <c r="P53" s="924" t="str">
        <f t="shared" si="17"/>
        <v/>
      </c>
      <c r="Q53" s="925" t="str">
        <f t="shared" si="17"/>
        <v/>
      </c>
      <c r="R53" s="925" t="str">
        <f t="shared" si="17"/>
        <v/>
      </c>
      <c r="S53" s="925" t="str">
        <f t="shared" si="17"/>
        <v/>
      </c>
      <c r="T53" s="925" t="str">
        <f t="shared" si="17"/>
        <v/>
      </c>
      <c r="U53" s="926" t="str">
        <f t="shared" si="17"/>
        <v/>
      </c>
    </row>
    <row r="54" spans="2:22">
      <c r="B54" s="65" t="s">
        <v>78</v>
      </c>
      <c r="C54" s="864" t="s">
        <v>1169</v>
      </c>
      <c r="E54" s="86">
        <f>IF(ISNUMBER('Input 2 - Data'!F6/'Input 2 - Data'!E6-1),'Input 2 - Data'!F6/'Input 2 - Data'!E6-1,"")</f>
        <v>0.20072115384615397</v>
      </c>
      <c r="F54" s="86">
        <f>IF(ISNUMBER('Input 2 - Data'!G6/'Input 2 - Data'!F6-1),'Input 2 - Data'!G6/'Input 2 - Data'!F6-1,"")</f>
        <v>0.11711711711711703</v>
      </c>
      <c r="G54" s="86">
        <f>IF(ISNUMBER('Input 2 - Data'!H6/'Input 2 - Data'!G6-1),'Input 2 - Data'!H6/'Input 2 - Data'!G6-1,"")</f>
        <v>-9.6774193548387233E-2</v>
      </c>
      <c r="H54" s="86">
        <f>IF(ISNUMBER('Input 2 - Data'!I6/'Input 2 - Data'!H6-1),'Input 2 - Data'!I6/'Input 2 - Data'!H6-1,"")</f>
        <v>-7.9365079365079083E-3</v>
      </c>
      <c r="I54" s="86">
        <f>IF(ISNUMBER('Input 2 - Data'!J6/'Input 2 - Data'!I6-1),'Input 2 - Data'!J6/'Input 2 - Data'!I6-1,"")</f>
        <v>6.4000000000000057E-2</v>
      </c>
      <c r="J54" s="86">
        <f>IF(ISNUMBER('Input 2 - Data'!K6/'Input 2 - Data'!J6-1),'Input 2 - Data'!K6/'Input 2 - Data'!J6-1,"")</f>
        <v>3.5714285714285587E-2</v>
      </c>
      <c r="K54" s="86">
        <f>IF(ISNUMBER('Input 2 - Data'!L6/'Input 2 - Data'!K6-1),'Input 2 - Data'!L6/'Input 2 - Data'!K6-1,"")</f>
        <v>1.7241379310344751E-2</v>
      </c>
      <c r="L54" s="86">
        <f>IF(ISNUMBER('Input 2 - Data'!M6/'Input 2 - Data'!L6-1),'Input 2 - Data'!M6/'Input 2 - Data'!L6-1,"")</f>
        <v>1.6949152542372836E-2</v>
      </c>
      <c r="M54" s="86">
        <f>IF(ISNUMBER('Input 2 - Data'!N6/'Input 2 - Data'!M6-1),'Input 2 - Data'!N6/'Input 2 - Data'!M6-1,"")</f>
        <v>0</v>
      </c>
      <c r="N54" s="86">
        <f>IF(ISNUMBER('Input 2 - Data'!O6/'Input 2 - Data'!N6-1),'Input 2 - Data'!O6/'Input 2 - Data'!N6-1,"")</f>
        <v>8.7719298245614308E-3</v>
      </c>
      <c r="O54" s="86">
        <f>IF(ISNUMBER('Input 2 - Data'!P6/'Input 2 - Data'!O6-1),'Input 2 - Data'!P6/'Input 2 - Data'!O6-1,"")</f>
        <v>3.2173913043478386E-2</v>
      </c>
      <c r="P54" s="924">
        <f>IF(ISNUMBER('Input 2 - Data'!Q6/'Input 2 - Data'!P6-1),'Input 2 - Data'!Q6/'Input 2 - Data'!P6-1,"")</f>
        <v>4.2122999157540031E-2</v>
      </c>
      <c r="Q54" s="925">
        <f>IF(ISNUMBER('Input 2 - Data'!R6/'Input 2 - Data'!Q6-1),'Input 2 - Data'!R6/'Input 2 - Data'!Q6-1,"")</f>
        <v>3.085754504401117E-2</v>
      </c>
      <c r="R54" s="925">
        <f>IF(ISNUMBER('Input 2 - Data'!S6/'Input 2 - Data'!R6-1),'Input 2 - Data'!S6/'Input 2 - Data'!R6-1,"")</f>
        <v>2.7938359016816516E-2</v>
      </c>
      <c r="S54" s="925">
        <f>IF(ISNUMBER('Input 2 - Data'!T6/'Input 2 - Data'!S6-1),'Input 2 - Data'!T6/'Input 2 - Data'!S6-1,"")</f>
        <v>2.5315565708619037E-2</v>
      </c>
      <c r="T54" s="925">
        <f>IF(ISNUMBER('Input 2 - Data'!U6/'Input 2 - Data'!T6-1),'Input 2 - Data'!U6/'Input 2 - Data'!T6-1,"")</f>
        <v>2.4647711698661201E-2</v>
      </c>
      <c r="U54" s="926">
        <f>IF(ISNUMBER('Input 2 - Data'!V6/'Input 2 - Data'!U6-1),'Input 2 - Data'!V6/'Input 2 - Data'!U6-1,"")</f>
        <v>2.5000000000000133E-2</v>
      </c>
      <c r="V54" s="1261"/>
    </row>
    <row r="55" spans="2:22" s="284" customFormat="1" ht="6.75" customHeight="1">
      <c r="D55" s="60"/>
      <c r="E55" s="60"/>
      <c r="F55" s="60"/>
      <c r="G55" s="60"/>
      <c r="H55" s="60"/>
      <c r="I55" s="60"/>
      <c r="J55" s="60"/>
      <c r="K55" s="60"/>
      <c r="L55" s="60"/>
      <c r="M55" s="60"/>
      <c r="N55" s="60"/>
      <c r="O55" s="60"/>
      <c r="P55" s="921"/>
      <c r="Q55" s="922"/>
      <c r="R55" s="922"/>
      <c r="S55" s="922"/>
      <c r="T55" s="922"/>
      <c r="U55" s="923"/>
    </row>
    <row r="56" spans="2:22">
      <c r="B56" s="65" t="s">
        <v>828</v>
      </c>
      <c r="C56" s="864" t="s">
        <v>539</v>
      </c>
      <c r="D56" s="86">
        <f>IF(ISNUMBER(D47/D38),D47/D38,"")</f>
        <v>0.35437676205300539</v>
      </c>
      <c r="E56" s="86">
        <f t="shared" ref="E56:U56" si="18">IF(ISNUMBER(E47/E38),E47/E38,"")</f>
        <v>0.33330805891444915</v>
      </c>
      <c r="F56" s="86">
        <f t="shared" si="18"/>
        <v>0.33135485736144388</v>
      </c>
      <c r="G56" s="86">
        <f t="shared" si="18"/>
        <v>0.34484731252223916</v>
      </c>
      <c r="H56" s="86">
        <f t="shared" si="18"/>
        <v>0.36356022207974281</v>
      </c>
      <c r="I56" s="86">
        <f t="shared" si="18"/>
        <v>0.35707458704754491</v>
      </c>
      <c r="J56" s="86">
        <f t="shared" si="18"/>
        <v>0.36459568210403792</v>
      </c>
      <c r="K56" s="86">
        <f t="shared" si="18"/>
        <v>0.36259926233800338</v>
      </c>
      <c r="L56" s="86">
        <f t="shared" si="18"/>
        <v>0.36290714057651302</v>
      </c>
      <c r="M56" s="86">
        <f t="shared" si="18"/>
        <v>0.36594496027273327</v>
      </c>
      <c r="N56" s="86">
        <f t="shared" si="18"/>
        <v>0.3684925785062691</v>
      </c>
      <c r="O56" s="86">
        <f t="shared" si="18"/>
        <v>0.37066101590585981</v>
      </c>
      <c r="P56" s="924">
        <f t="shared" si="18"/>
        <v>0.36781832970756889</v>
      </c>
      <c r="Q56" s="925">
        <f t="shared" si="18"/>
        <v>0.35899708650221951</v>
      </c>
      <c r="R56" s="925">
        <f t="shared" si="18"/>
        <v>0.35663219049317713</v>
      </c>
      <c r="S56" s="925">
        <f t="shared" si="18"/>
        <v>0.35111135216456818</v>
      </c>
      <c r="T56" s="925">
        <f t="shared" si="18"/>
        <v>0.34585635256377734</v>
      </c>
      <c r="U56" s="926">
        <f t="shared" si="18"/>
        <v>0.34585635256377734</v>
      </c>
    </row>
    <row r="57" spans="2:22">
      <c r="B57" s="65" t="s">
        <v>80</v>
      </c>
      <c r="C57" s="864" t="s">
        <v>539</v>
      </c>
      <c r="D57" s="86">
        <f>IF(ISNUMBER(D48/D38),D48/D38,"")</f>
        <v>0.36037026392750965</v>
      </c>
      <c r="E57" s="87">
        <f t="shared" ref="E57:U57" si="19">IF(ISNUMBER(E48/E38),E48/E38,"")</f>
        <v>0.33989445739076019</v>
      </c>
      <c r="F57" s="87">
        <f t="shared" si="19"/>
        <v>0.37646139918570859</v>
      </c>
      <c r="G57" s="87">
        <f t="shared" si="19"/>
        <v>0.44173154431075229</v>
      </c>
      <c r="H57" s="87">
        <f t="shared" si="19"/>
        <v>0.45503144992432493</v>
      </c>
      <c r="I57" s="87">
        <f t="shared" si="19"/>
        <v>0.40470850245441992</v>
      </c>
      <c r="J57" s="87">
        <f t="shared" si="19"/>
        <v>0.37966951165589918</v>
      </c>
      <c r="K57" s="87">
        <f t="shared" si="19"/>
        <v>0.37726139604577924</v>
      </c>
      <c r="L57" s="87">
        <f t="shared" si="19"/>
        <v>0.38111346763082299</v>
      </c>
      <c r="M57" s="87">
        <f t="shared" si="19"/>
        <v>0.3822399734477222</v>
      </c>
      <c r="N57" s="87">
        <f t="shared" si="19"/>
        <v>0.3697946159712388</v>
      </c>
      <c r="O57" s="87">
        <f t="shared" si="19"/>
        <v>0.37805936554121</v>
      </c>
      <c r="P57" s="924">
        <f t="shared" si="19"/>
        <v>0.36834134844430905</v>
      </c>
      <c r="Q57" s="925">
        <f t="shared" si="19"/>
        <v>0.35853110754106615</v>
      </c>
      <c r="R57" s="925">
        <f t="shared" si="19"/>
        <v>0.35354366520139902</v>
      </c>
      <c r="S57" s="925">
        <f t="shared" si="19"/>
        <v>0.34889657983921007</v>
      </c>
      <c r="T57" s="925">
        <f t="shared" si="19"/>
        <v>0.33712624493397764</v>
      </c>
      <c r="U57" s="926">
        <f t="shared" si="19"/>
        <v>0.33712624493397758</v>
      </c>
    </row>
    <row r="58" spans="2:22">
      <c r="B58" s="65" t="s">
        <v>81</v>
      </c>
      <c r="C58" s="864" t="s">
        <v>539</v>
      </c>
      <c r="D58" s="87">
        <f>IF(ISNUMBER(D56-D57),D56-D57,"")</f>
        <v>-5.993501874504259E-3</v>
      </c>
      <c r="E58" s="87">
        <f>IF(ISNUMBER(E56-E57),E56-E57,"")</f>
        <v>-6.5863984763110395E-3</v>
      </c>
      <c r="F58" s="87">
        <f>IF(ISNUMBER(F56-F57),F56-F57,"")</f>
        <v>-4.5106541824264712E-2</v>
      </c>
      <c r="G58" s="87">
        <f t="shared" ref="G58:U58" si="20">IF(ISNUMBER(G56-G57),G56-G57,"")</f>
        <v>-9.6884231788513131E-2</v>
      </c>
      <c r="H58" s="87">
        <f t="shared" si="20"/>
        <v>-9.1471227844582115E-2</v>
      </c>
      <c r="I58" s="87">
        <f t="shared" si="20"/>
        <v>-4.7633915406875005E-2</v>
      </c>
      <c r="J58" s="87">
        <f t="shared" si="20"/>
        <v>-1.5073829551861262E-2</v>
      </c>
      <c r="K58" s="87">
        <f t="shared" si="20"/>
        <v>-1.466213370777586E-2</v>
      </c>
      <c r="L58" s="87">
        <f t="shared" si="20"/>
        <v>-1.8206327054309968E-2</v>
      </c>
      <c r="M58" s="87">
        <f>IF(ISNUMBER(M56-M57),M56-M57,"")</f>
        <v>-1.6295013174988937E-2</v>
      </c>
      <c r="N58" s="87">
        <f t="shared" si="20"/>
        <v>-1.3020374649697075E-3</v>
      </c>
      <c r="O58" s="87">
        <f t="shared" si="20"/>
        <v>-7.3983496353501876E-3</v>
      </c>
      <c r="P58" s="924">
        <f t="shared" si="20"/>
        <v>-5.2301873674015509E-4</v>
      </c>
      <c r="Q58" s="927">
        <f>IF(ISNUMBER(Q56-Q57),Q56-Q57,"")</f>
        <v>4.6597896115335713E-4</v>
      </c>
      <c r="R58" s="927">
        <f t="shared" si="20"/>
        <v>3.0885252917781103E-3</v>
      </c>
      <c r="S58" s="927">
        <f t="shared" si="20"/>
        <v>2.2147723253581053E-3</v>
      </c>
      <c r="T58" s="927">
        <f t="shared" si="20"/>
        <v>8.7301076297996993E-3</v>
      </c>
      <c r="U58" s="928">
        <f t="shared" si="20"/>
        <v>8.7301076297997549E-3</v>
      </c>
    </row>
    <row r="59" spans="2:22" s="284" customFormat="1" ht="6.75" customHeight="1">
      <c r="D59" s="1"/>
      <c r="E59" s="1"/>
      <c r="F59" s="1"/>
      <c r="G59" s="60"/>
      <c r="H59" s="60"/>
      <c r="I59" s="60"/>
      <c r="J59" s="60"/>
      <c r="K59" s="60"/>
      <c r="L59" s="60"/>
      <c r="M59" s="60"/>
      <c r="N59" s="1"/>
      <c r="O59" s="1"/>
      <c r="P59" s="918"/>
      <c r="Q59" s="919"/>
      <c r="R59" s="919"/>
      <c r="S59" s="919"/>
      <c r="T59" s="919"/>
      <c r="U59" s="920"/>
    </row>
    <row r="60" spans="2:22" s="6" customFormat="1" ht="15" customHeight="1">
      <c r="B60" s="59" t="s">
        <v>113</v>
      </c>
      <c r="C60" s="516" t="s">
        <v>539</v>
      </c>
      <c r="D60" s="164">
        <f>IF(ISNUMBER('Input 2 - Data'!E31/D38),'Input 2 - Data'!E31/D38,"")</f>
        <v>0</v>
      </c>
      <c r="E60" s="164">
        <f>IF(ISNUMBER('Input 2 - Data'!F31/E38),'Input 2 - Data'!F31/E38,"")</f>
        <v>0</v>
      </c>
      <c r="F60" s="164">
        <f>IF(ISNUMBER('Input 2 - Data'!G31/F38),'Input 2 - Data'!G31/F38,"")</f>
        <v>0</v>
      </c>
      <c r="G60" s="164">
        <f>IF(ISNUMBER('Input 2 - Data'!H31/G38),'Input 2 - Data'!H31/G38,"")</f>
        <v>0</v>
      </c>
      <c r="H60" s="164">
        <f>IF(ISNUMBER('Input 2 - Data'!I31/H38),'Input 2 - Data'!I31/H38,"")</f>
        <v>0</v>
      </c>
      <c r="I60" s="164">
        <f>IF(ISNUMBER('Input 2 - Data'!J31/I38),'Input 2 - Data'!J31/I38,"")</f>
        <v>0</v>
      </c>
      <c r="J60" s="164">
        <f>IF(ISNUMBER('Input 2 - Data'!K31/J38),'Input 2 - Data'!K31/J38,"")</f>
        <v>0</v>
      </c>
      <c r="K60" s="164">
        <f>IF(ISNUMBER('Input 2 - Data'!L31/K38),'Input 2 - Data'!L31/K38,"")</f>
        <v>0</v>
      </c>
      <c r="L60" s="164">
        <f>IF(ISNUMBER('Input 2 - Data'!M31/L38),'Input 2 - Data'!M31/L38,"")</f>
        <v>0</v>
      </c>
      <c r="M60" s="164">
        <f>IF(ISNUMBER('Input 2 - Data'!N31/M38),'Input 2 - Data'!N31/M38,"")</f>
        <v>0</v>
      </c>
      <c r="N60" s="164">
        <f>IF(ISNUMBER('Input 2 - Data'!O31/N38),'Input 2 - Data'!O31/N38,"")</f>
        <v>0</v>
      </c>
      <c r="O60" s="164">
        <f>IF(ISNUMBER('Input 2 - Data'!P31/O38),'Input 2 - Data'!P31/O38,"")</f>
        <v>0</v>
      </c>
      <c r="P60" s="929">
        <f>IF(ISNUMBER('Input 2 - Data'!Q31/P38),'Input 2 - Data'!Q31/P38,"")</f>
        <v>0</v>
      </c>
      <c r="Q60" s="927">
        <f>IF(ISNUMBER('Input 2 - Data'!R31/Q38),'Input 2 - Data'!R31/Q38,"")</f>
        <v>0</v>
      </c>
      <c r="R60" s="927">
        <f>IF(ISNUMBER('Input 2 - Data'!S31/R38),'Input 2 - Data'!S31/R38,"")</f>
        <v>0</v>
      </c>
      <c r="S60" s="927">
        <f>IF(ISNUMBER('Input 2 - Data'!T31/S38),'Input 2 - Data'!T31/S38,"")</f>
        <v>0</v>
      </c>
      <c r="T60" s="927">
        <f>IF(ISNUMBER('Input 2 - Data'!U31/T38),'Input 2 - Data'!U31/T38,"")</f>
        <v>0</v>
      </c>
      <c r="U60" s="928">
        <f>IF(ISNUMBER('Input 2 - Data'!V31/U38),'Input 2 - Data'!V31/U38,"")</f>
        <v>0</v>
      </c>
    </row>
    <row r="61" spans="2:22" s="6" customFormat="1" ht="15" customHeight="1">
      <c r="B61" s="59" t="s">
        <v>114</v>
      </c>
      <c r="C61" s="516" t="s">
        <v>539</v>
      </c>
      <c r="D61" s="164">
        <f>IF(ISNUMBER('Input 2 - Data'!E26/D38),'Input 2 - Data'!E26/D38,"")</f>
        <v>0</v>
      </c>
      <c r="E61" s="164">
        <f>IF(ISNUMBER('Input 2 - Data'!F26/E38),'Input 2 - Data'!F26/E38,"")</f>
        <v>0</v>
      </c>
      <c r="F61" s="164">
        <f>IF(ISNUMBER('Input 2 - Data'!G26/F38),'Input 2 - Data'!G26/F38,"")</f>
        <v>0</v>
      </c>
      <c r="G61" s="164">
        <f>IF(ISNUMBER('Input 2 - Data'!H26/G38),'Input 2 - Data'!H26/G38,"")</f>
        <v>0</v>
      </c>
      <c r="H61" s="164">
        <f>IF(ISNUMBER('Input 2 - Data'!I26/H38),'Input 2 - Data'!I26/H38,"")</f>
        <v>0</v>
      </c>
      <c r="I61" s="164">
        <f>IF(ISNUMBER('Input 2 - Data'!J26/I38),'Input 2 - Data'!J26/I38,"")</f>
        <v>0</v>
      </c>
      <c r="J61" s="164">
        <f>IF(ISNUMBER('Input 2 - Data'!K26/J38),'Input 2 - Data'!K26/J38,"")</f>
        <v>0</v>
      </c>
      <c r="K61" s="164">
        <f>IF(ISNUMBER('Input 2 - Data'!L26/K38),'Input 2 - Data'!L26/K38,"")</f>
        <v>0</v>
      </c>
      <c r="L61" s="164">
        <f>IF(ISNUMBER('Input 2 - Data'!M26/L38),'Input 2 - Data'!M26/L38,"")</f>
        <v>0</v>
      </c>
      <c r="M61" s="164">
        <f>IF(ISNUMBER('Input 2 - Data'!N26/M38),'Input 2 - Data'!N26/M38,"")</f>
        <v>0</v>
      </c>
      <c r="N61" s="164">
        <f>IF(ISNUMBER('Input 2 - Data'!O26/N38),'Input 2 - Data'!O26/N38,"")</f>
        <v>0</v>
      </c>
      <c r="O61" s="164">
        <f>IF(ISNUMBER('Input 2 - Data'!P26/O38),'Input 2 - Data'!P26/O38,"")</f>
        <v>0</v>
      </c>
      <c r="P61" s="929">
        <f>IF(ISNUMBER('Input 2 - Data'!Q26/P38),'Input 2 - Data'!Q26/P38,"")</f>
        <v>0</v>
      </c>
      <c r="Q61" s="927">
        <f>IF(ISNUMBER('Input 2 - Data'!R26/Q38),'Input 2 - Data'!R26/Q38,"")</f>
        <v>0</v>
      </c>
      <c r="R61" s="927">
        <f>IF(ISNUMBER('Input 2 - Data'!S26/R38),'Input 2 - Data'!S26/R38,"")</f>
        <v>0</v>
      </c>
      <c r="S61" s="927">
        <f>IF(ISNUMBER('Input 2 - Data'!T26/S38),'Input 2 - Data'!T26/S38,"")</f>
        <v>0</v>
      </c>
      <c r="T61" s="927">
        <f>IF(ISNUMBER('Input 2 - Data'!U26/T38),'Input 2 - Data'!U26/T38,"")</f>
        <v>0</v>
      </c>
      <c r="U61" s="928">
        <f>IF(ISNUMBER('Input 2 - Data'!V26/U38),'Input 2 - Data'!V26/U38,"")</f>
        <v>0</v>
      </c>
    </row>
    <row r="62" spans="2:22" s="281" customFormat="1" ht="15" customHeight="1">
      <c r="B62" s="59" t="str">
        <f>'Input 2 - Data'!D32&amp;"-to-GDP"</f>
        <v>Please specify (2) (e.g., other debt flows) (+ increases financing needs)-to-GDP</v>
      </c>
      <c r="C62" s="516" t="s">
        <v>539</v>
      </c>
      <c r="D62" s="164"/>
      <c r="E62" s="164">
        <f>IF(ISNUMBER('Input 2 - Data'!F32/E38),'Input 2 - Data'!F32/E38,"")</f>
        <v>0</v>
      </c>
      <c r="F62" s="164">
        <f>IF(ISNUMBER('Input 2 - Data'!G32/F38),'Input 2 - Data'!G32/F38,"")</f>
        <v>0</v>
      </c>
      <c r="G62" s="164">
        <f>IF(ISNUMBER('Input 2 - Data'!H32/G38),'Input 2 - Data'!H32/G38,"")</f>
        <v>0</v>
      </c>
      <c r="H62" s="164">
        <f>IF(ISNUMBER('Input 2 - Data'!I32/H38),'Input 2 - Data'!I32/H38,"")</f>
        <v>0</v>
      </c>
      <c r="I62" s="164">
        <f>IF(ISNUMBER('Input 2 - Data'!J32/I38),'Input 2 - Data'!J32/I38,"")</f>
        <v>0</v>
      </c>
      <c r="J62" s="164">
        <f>IF(ISNUMBER('Input 2 - Data'!K32/J38),'Input 2 - Data'!K32/J38,"")</f>
        <v>0</v>
      </c>
      <c r="K62" s="164">
        <f>IF(ISNUMBER('Input 2 - Data'!L32/K38),'Input 2 - Data'!L32/K38,"")</f>
        <v>0</v>
      </c>
      <c r="L62" s="164">
        <f>IF(ISNUMBER('Input 2 - Data'!M32/L38),'Input 2 - Data'!M32/L38,"")</f>
        <v>0</v>
      </c>
      <c r="M62" s="164">
        <f>IF(ISNUMBER('Input 2 - Data'!N32/M38),'Input 2 - Data'!N32/M38,"")</f>
        <v>0</v>
      </c>
      <c r="N62" s="164">
        <f>IF(ISNUMBER('Input 2 - Data'!O32/N38),'Input 2 - Data'!O32/N38,"")</f>
        <v>0</v>
      </c>
      <c r="O62" s="164">
        <f>IF(ISNUMBER('Input 2 - Data'!P32/O38),'Input 2 - Data'!P32/O38,"")</f>
        <v>0</v>
      </c>
      <c r="P62" s="929">
        <f>IF(ISNUMBER('Input 2 - Data'!Q32/P38),'Input 2 - Data'!Q32/P38,"")</f>
        <v>0</v>
      </c>
      <c r="Q62" s="927">
        <f>IF(ISNUMBER('Input 2 - Data'!R32/Q38),'Input 2 - Data'!R32/Q38,"")</f>
        <v>0</v>
      </c>
      <c r="R62" s="927">
        <f>IF(ISNUMBER('Input 2 - Data'!S32/R38),'Input 2 - Data'!S32/R38,"")</f>
        <v>0</v>
      </c>
      <c r="S62" s="927">
        <f>IF(ISNUMBER('Input 2 - Data'!T32/S38),'Input 2 - Data'!T32/S38,"")</f>
        <v>0</v>
      </c>
      <c r="T62" s="927">
        <f>IF(ISNUMBER('Input 2 - Data'!U32/T38),'Input 2 - Data'!U32/T38,"")</f>
        <v>0</v>
      </c>
      <c r="U62" s="928">
        <f>IF(ISNUMBER('Input 2 - Data'!V32/U38),'Input 2 - Data'!V32/U38,"")</f>
        <v>0</v>
      </c>
    </row>
    <row r="63" spans="2:22" s="284" customFormat="1" ht="6.75" customHeight="1">
      <c r="D63" s="60"/>
      <c r="E63" s="60"/>
      <c r="F63" s="60"/>
      <c r="G63" s="60"/>
      <c r="H63" s="60"/>
      <c r="I63" s="60"/>
      <c r="J63" s="60"/>
      <c r="K63" s="60"/>
      <c r="L63" s="60"/>
      <c r="M63" s="60"/>
      <c r="N63" s="60"/>
      <c r="O63" s="60"/>
      <c r="P63" s="921"/>
      <c r="Q63" s="922"/>
      <c r="R63" s="922"/>
      <c r="S63" s="922"/>
      <c r="T63" s="922"/>
      <c r="U63" s="923"/>
    </row>
    <row r="64" spans="2:22">
      <c r="B64" s="124" t="s">
        <v>304</v>
      </c>
      <c r="C64" s="1815" t="s">
        <v>1168</v>
      </c>
      <c r="D64" s="86"/>
      <c r="E64" s="86">
        <f t="shared" ref="E64:U64" si="21">IF(Guarantees="Yes",IF(ISNUMBER(E31/(D7-D8)),E31/(D7-D8),""),IF(ISNUMBER(E31/(D7)),E31/(D7),""))</f>
        <v>4.6977349029340816E-2</v>
      </c>
      <c r="F64" s="86">
        <f t="shared" si="21"/>
        <v>7.0411590136286589E-2</v>
      </c>
      <c r="G64" s="86">
        <f t="shared" si="21"/>
        <v>6.2562116658549424E-2</v>
      </c>
      <c r="H64" s="86">
        <f t="shared" si="21"/>
        <v>4.5093851396740672E-2</v>
      </c>
      <c r="I64" s="86">
        <f t="shared" si="21"/>
        <v>4.2275401498784622E-2</v>
      </c>
      <c r="J64" s="86">
        <f t="shared" si="21"/>
        <v>4.2148515075391961E-2</v>
      </c>
      <c r="K64" s="86">
        <f t="shared" si="21"/>
        <v>3.7538611222160068E-2</v>
      </c>
      <c r="L64" s="86">
        <f t="shared" si="21"/>
        <v>3.8019876265038006E-2</v>
      </c>
      <c r="M64" s="86">
        <f t="shared" si="21"/>
        <v>3.3612620705747019E-2</v>
      </c>
      <c r="N64" s="86">
        <f t="shared" si="21"/>
        <v>2.8711784811072522E-2</v>
      </c>
      <c r="O64" s="86">
        <f t="shared" si="21"/>
        <v>2.4878194292532563E-2</v>
      </c>
      <c r="P64" s="924">
        <f>IF(Guarantees="Yes",IF(ISNUMBER(P31/(O7-O8)),P31/(O7-O8),""),IF(ISNUMBER(P31/(O7)),P31/(O7),""))</f>
        <v>1.9586439007071743E-2</v>
      </c>
      <c r="Q64" s="925">
        <f t="shared" si="21"/>
        <v>1.9875432898830547E-2</v>
      </c>
      <c r="R64" s="925">
        <f t="shared" si="21"/>
        <v>1.8677852623362263E-2</v>
      </c>
      <c r="S64" s="925">
        <f t="shared" si="21"/>
        <v>2.0292320461716779E-2</v>
      </c>
      <c r="T64" s="925">
        <f t="shared" si="21"/>
        <v>1.8384784130669154E-2</v>
      </c>
      <c r="U64" s="926">
        <f t="shared" si="21"/>
        <v>1.9187244839005111E-2</v>
      </c>
    </row>
    <row r="65" spans="2:22">
      <c r="B65" s="18" t="s">
        <v>0</v>
      </c>
      <c r="C65" s="1815" t="s">
        <v>1168</v>
      </c>
      <c r="D65" s="86"/>
      <c r="E65" s="86">
        <f t="shared" ref="E65:O65" si="22">IF(Guarantees="Yes",IF(ISNUMBER(E32/(D11-D12)),E32/(D11-D12),""),IF(ISNUMBER(E32/(D11)),E32/(D11),""))</f>
        <v>4.8351498832877746E-2</v>
      </c>
      <c r="F65" s="86">
        <f t="shared" si="22"/>
        <v>7.1909304370007504E-2</v>
      </c>
      <c r="G65" s="86">
        <f t="shared" si="22"/>
        <v>7.2517291918217569E-2</v>
      </c>
      <c r="H65" s="86">
        <f t="shared" si="22"/>
        <v>5.1397313719104165E-2</v>
      </c>
      <c r="I65" s="86">
        <f t="shared" si="22"/>
        <v>4.9004223716204845E-2</v>
      </c>
      <c r="J65" s="86">
        <f t="shared" si="22"/>
        <v>5.0760545458370103E-2</v>
      </c>
      <c r="K65" s="86">
        <f t="shared" si="22"/>
        <v>4.8724276281425082E-2</v>
      </c>
      <c r="L65" s="86">
        <f t="shared" si="22"/>
        <v>4.9651267101376378E-2</v>
      </c>
      <c r="M65" s="86">
        <f t="shared" si="22"/>
        <v>4.2644950544788847E-2</v>
      </c>
      <c r="N65" s="86">
        <f t="shared" si="22"/>
        <v>3.4876632274166638E-2</v>
      </c>
      <c r="O65" s="86">
        <f t="shared" si="22"/>
        <v>2.4953053452891238E-2</v>
      </c>
      <c r="P65" s="924">
        <f t="shared" ref="P65:U65" si="23">IF(Guarantees="Yes",IF(ISNUMBER(P32/(O11-O12+O19)),P32/(O11-O12+O19),""),IF(ISNUMBER(P32/(O11+O19)),P32/(O11+O19),""))</f>
        <v>1.6250717985583106E-2</v>
      </c>
      <c r="Q65" s="925">
        <f t="shared" si="23"/>
        <v>1.652567999690294E-2</v>
      </c>
      <c r="R65" s="925">
        <f t="shared" si="23"/>
        <v>1.6133018846260158E-2</v>
      </c>
      <c r="S65" s="925">
        <f t="shared" si="23"/>
        <v>1.8335566664408314E-2</v>
      </c>
      <c r="T65" s="925">
        <f t="shared" si="23"/>
        <v>1.6919270715398799E-2</v>
      </c>
      <c r="U65" s="926">
        <f t="shared" si="23"/>
        <v>1.7636486279280675E-2</v>
      </c>
    </row>
    <row r="66" spans="2:22">
      <c r="B66" s="18" t="s">
        <v>1</v>
      </c>
      <c r="C66" s="1815" t="s">
        <v>1168</v>
      </c>
      <c r="D66" s="86"/>
      <c r="E66" s="14">
        <f>IF(Guarantees="Yes",IF(ISNUMBER(E33/(D13-D14)),E33/(D13-D14),""),IF(ISNUMBER(E33/(D13)),E33/(D13),""))</f>
        <v>0</v>
      </c>
      <c r="F66" s="14">
        <f t="shared" ref="F66:O66" si="24">IF(Guarantees="Yes",IF(ISNUMBER(F33/(E13-E14)),F33/(E13-E14),""),IF(ISNUMBER(F33/(E13)),F33/(E13),""))</f>
        <v>0</v>
      </c>
      <c r="G66" s="14">
        <f t="shared" si="24"/>
        <v>0</v>
      </c>
      <c r="H66" s="14">
        <f t="shared" si="24"/>
        <v>0</v>
      </c>
      <c r="I66" s="14">
        <f t="shared" si="24"/>
        <v>0</v>
      </c>
      <c r="J66" s="14">
        <f t="shared" si="24"/>
        <v>0</v>
      </c>
      <c r="K66" s="14">
        <f t="shared" si="24"/>
        <v>0</v>
      </c>
      <c r="L66" s="14">
        <f t="shared" si="24"/>
        <v>0</v>
      </c>
      <c r="M66" s="14">
        <f t="shared" si="24"/>
        <v>0</v>
      </c>
      <c r="N66" s="14">
        <f t="shared" si="24"/>
        <v>0</v>
      </c>
      <c r="O66" s="14">
        <f t="shared" si="24"/>
        <v>0</v>
      </c>
      <c r="P66" s="924">
        <f t="shared" ref="P66:U66" si="25">IF(Guarantees="Yes",IF(ISNUMBER(P33/(O13-O14+O20)),P33/(O13-O14+O20),""),IF(ISNUMBER(P33/(O13+O20)),P33/(O13+O20),""))</f>
        <v>3.3519717394744926</v>
      </c>
      <c r="Q66" s="925">
        <f t="shared" si="25"/>
        <v>5.1456616443231811</v>
      </c>
      <c r="R66" s="925">
        <f t="shared" si="25"/>
        <v>4.3741090305325532</v>
      </c>
      <c r="S66" s="925">
        <f t="shared" si="25"/>
        <v>-1.7610160083297594E-2</v>
      </c>
      <c r="T66" s="925">
        <f t="shared" si="25"/>
        <v>-2.4273216580724525E-4</v>
      </c>
      <c r="U66" s="926">
        <f t="shared" si="25"/>
        <v>-2.3199328683839743E-4</v>
      </c>
    </row>
    <row r="67" spans="2:22">
      <c r="B67" s="16" t="s">
        <v>1025</v>
      </c>
      <c r="C67" s="1815" t="s">
        <v>1168</v>
      </c>
      <c r="E67" s="87">
        <f t="shared" ref="E67:U67" si="26">IF(ISNUMBER(((1+E64)/(1+E$54)-1)),((1+E64)/(1+E$54)-1),"")</f>
        <v>-0.12804288849608458</v>
      </c>
      <c r="F67" s="87">
        <f t="shared" si="26"/>
        <v>-4.1808979797356316E-2</v>
      </c>
      <c r="G67" s="87">
        <f t="shared" si="26"/>
        <v>0.1764080577291085</v>
      </c>
      <c r="H67" s="87">
        <f t="shared" si="26"/>
        <v>5.3454602207914537E-2</v>
      </c>
      <c r="I67" s="87">
        <f t="shared" si="26"/>
        <v>-2.0417855734224943E-2</v>
      </c>
      <c r="J67" s="87">
        <f t="shared" si="26"/>
        <v>6.2123593831371338E-3</v>
      </c>
      <c r="K67" s="87">
        <f t="shared" si="26"/>
        <v>1.9953211031954021E-2</v>
      </c>
      <c r="L67" s="87">
        <f t="shared" si="26"/>
        <v>2.071954499395412E-2</v>
      </c>
      <c r="M67" s="87">
        <f t="shared" si="26"/>
        <v>3.3612620705746998E-2</v>
      </c>
      <c r="N67" s="87">
        <f t="shared" si="26"/>
        <v>1.9766464943150153E-2</v>
      </c>
      <c r="O67" s="87">
        <f t="shared" si="26"/>
        <v>-7.0683037603941345E-3</v>
      </c>
      <c r="P67" s="929">
        <f t="shared" si="26"/>
        <v>-2.1625624008573929E-2</v>
      </c>
      <c r="Q67" s="927">
        <f t="shared" si="26"/>
        <v>-1.0653375141869481E-2</v>
      </c>
      <c r="R67" s="927">
        <f t="shared" si="26"/>
        <v>-9.0088148887756958E-3</v>
      </c>
      <c r="S67" s="927">
        <f t="shared" si="26"/>
        <v>-4.8992187526487596E-3</v>
      </c>
      <c r="T67" s="927">
        <f t="shared" si="26"/>
        <v>-6.1122740006018805E-3</v>
      </c>
      <c r="U67" s="928">
        <f t="shared" si="26"/>
        <v>-5.670980644873147E-3</v>
      </c>
    </row>
    <row r="68" spans="2:22">
      <c r="B68" s="18" t="s">
        <v>0</v>
      </c>
      <c r="C68" s="1815" t="s">
        <v>1168</v>
      </c>
      <c r="D68" s="86"/>
      <c r="E68" s="87">
        <f>IF(ISNUMBER(((1+E65)/(1+E$54)-1)),((1+E65)/(1+E$54)-1),"")</f>
        <v>-0.12689845142246825</v>
      </c>
      <c r="F68" s="87">
        <f t="shared" ref="F68:U68" si="27">IF(ISNUMBER(((1+F65)/(1+F$54)-1)),((1+F65)/(1+F$54)-1),"")</f>
        <v>-4.0468283991364262E-2</v>
      </c>
      <c r="G68" s="87">
        <f t="shared" si="27"/>
        <v>0.1874298589094554</v>
      </c>
      <c r="H68" s="87">
        <f t="shared" si="27"/>
        <v>5.9808492228856869E-2</v>
      </c>
      <c r="I68" s="87">
        <f t="shared" si="27"/>
        <v>-1.4093774702814921E-2</v>
      </c>
      <c r="J68" s="87">
        <f t="shared" si="27"/>
        <v>1.4527423201185163E-2</v>
      </c>
      <c r="K68" s="87">
        <f t="shared" si="27"/>
        <v>3.0949288547841736E-2</v>
      </c>
      <c r="L68" s="87">
        <f t="shared" si="27"/>
        <v>3.2157079316353476E-2</v>
      </c>
      <c r="M68" s="87">
        <f t="shared" si="27"/>
        <v>4.2644950544788784E-2</v>
      </c>
      <c r="N68" s="87">
        <f t="shared" si="27"/>
        <v>2.5877705037000043E-2</v>
      </c>
      <c r="O68" s="87">
        <f t="shared" si="27"/>
        <v>-6.9957780363734123E-3</v>
      </c>
      <c r="P68" s="929">
        <f t="shared" si="27"/>
        <v>-2.4826513945927942E-2</v>
      </c>
      <c r="Q68" s="925">
        <f t="shared" si="27"/>
        <v>-1.3902857010661296E-2</v>
      </c>
      <c r="R68" s="925">
        <f t="shared" si="27"/>
        <v>-1.1484482573301147E-2</v>
      </c>
      <c r="S68" s="925">
        <f t="shared" si="27"/>
        <v>-6.8076592979320338E-3</v>
      </c>
      <c r="T68" s="925">
        <f t="shared" si="27"/>
        <v>-7.5425347609960891E-3</v>
      </c>
      <c r="U68" s="926">
        <f t="shared" si="27"/>
        <v>-7.1839158250922575E-3</v>
      </c>
    </row>
    <row r="69" spans="2:22">
      <c r="B69" s="18" t="s">
        <v>1</v>
      </c>
      <c r="C69" s="1815" t="s">
        <v>1168</v>
      </c>
      <c r="D69" s="86"/>
      <c r="E69" s="87">
        <f>IF(ISNUMBER(((1+E66)/(1+E$54)-1)),((1+E66)/(1+E$54)-1),"")</f>
        <v>-0.16716716716716729</v>
      </c>
      <c r="F69" s="87">
        <f t="shared" ref="F69:U69" si="28">IF(ISNUMBER(((1+F66)/(1+F$54)-1)),((1+F66)/(1+F$54)-1),"")</f>
        <v>-0.10483870967741926</v>
      </c>
      <c r="G69" s="87">
        <f t="shared" si="28"/>
        <v>0.10714285714285721</v>
      </c>
      <c r="H69" s="87">
        <f t="shared" si="28"/>
        <v>8.0000000000000071E-3</v>
      </c>
      <c r="I69" s="87">
        <f t="shared" si="28"/>
        <v>-6.0150375939849621E-2</v>
      </c>
      <c r="J69" s="87">
        <f t="shared" si="28"/>
        <v>-3.4482758620689502E-2</v>
      </c>
      <c r="K69" s="87">
        <f t="shared" si="28"/>
        <v>-1.6949152542372836E-2</v>
      </c>
      <c r="L69" s="87">
        <f t="shared" si="28"/>
        <v>-1.6666666666666607E-2</v>
      </c>
      <c r="M69" s="87">
        <f t="shared" si="28"/>
        <v>0</v>
      </c>
      <c r="N69" s="87">
        <f t="shared" si="28"/>
        <v>-8.6956521739131043E-3</v>
      </c>
      <c r="O69" s="87">
        <f t="shared" si="28"/>
        <v>-3.1171019376579734E-2</v>
      </c>
      <c r="P69" s="929">
        <f t="shared" si="28"/>
        <v>3.1760634234084257</v>
      </c>
      <c r="Q69" s="925">
        <f t="shared" si="28"/>
        <v>4.9616982713754112</v>
      </c>
      <c r="R69" s="925">
        <f t="shared" si="28"/>
        <v>4.2280460043077692</v>
      </c>
      <c r="S69" s="925">
        <f t="shared" si="28"/>
        <v>-4.1865867668018586E-2</v>
      </c>
      <c r="T69" s="925">
        <f t="shared" si="28"/>
        <v>-2.4291708828593439E-2</v>
      </c>
      <c r="U69" s="926">
        <f t="shared" si="28"/>
        <v>-2.461657881642787E-2</v>
      </c>
    </row>
    <row r="70" spans="2:22">
      <c r="B70" s="20" t="s">
        <v>116</v>
      </c>
      <c r="C70" s="1815" t="s">
        <v>1168</v>
      </c>
      <c r="D70" s="86"/>
      <c r="E70" s="86">
        <f t="shared" ref="E70:U70" si="29">IF(Guarantees="Yes",IF(ISNUMBER(((D13-D14+D20)/(D7-D8))*E66+((D11-D12+D19)/(D7-D8))*E65),((D13-D14+D20)/(D7-D8)*E66+((D11-D12+D19)/(D7-D8))*E65),IF(ISNUMBER(E64),E64,"")),IF(ISNUMBER(((D13+D20)/D7)*E66+((D11+D19)/D7)*E65),((D13+D20)/D7)*E66+((D11+D19)/D7)*E65,IF(ISNUMBER(E64),E64,"")))</f>
        <v>4.6977349029340816E-2</v>
      </c>
      <c r="F70" s="86">
        <f t="shared" si="29"/>
        <v>7.0411590136286589E-2</v>
      </c>
      <c r="G70" s="86">
        <f t="shared" si="29"/>
        <v>6.2562116658549424E-2</v>
      </c>
      <c r="H70" s="86">
        <f t="shared" si="29"/>
        <v>4.5093851396740672E-2</v>
      </c>
      <c r="I70" s="86">
        <f t="shared" si="29"/>
        <v>4.2275401498784622E-2</v>
      </c>
      <c r="J70" s="86">
        <f t="shared" si="29"/>
        <v>4.2148515075391961E-2</v>
      </c>
      <c r="K70" s="86">
        <f t="shared" si="29"/>
        <v>3.7538611222160068E-2</v>
      </c>
      <c r="L70" s="86">
        <f t="shared" si="29"/>
        <v>3.8019876265038013E-2</v>
      </c>
      <c r="M70" s="86">
        <f t="shared" si="29"/>
        <v>3.3612620705747026E-2</v>
      </c>
      <c r="N70" s="86">
        <f t="shared" si="29"/>
        <v>2.8711784811072522E-2</v>
      </c>
      <c r="O70" s="86">
        <f t="shared" si="29"/>
        <v>2.4878194292532563E-2</v>
      </c>
      <c r="P70" s="924">
        <f t="shared" si="29"/>
        <v>1.9586439007071747E-2</v>
      </c>
      <c r="Q70" s="925">
        <f t="shared" si="29"/>
        <v>1.9875432898830547E-2</v>
      </c>
      <c r="R70" s="925">
        <f t="shared" si="29"/>
        <v>1.8677852623362259E-2</v>
      </c>
      <c r="S70" s="925">
        <f t="shared" si="29"/>
        <v>2.0292320461716779E-2</v>
      </c>
      <c r="T70" s="925">
        <f t="shared" si="29"/>
        <v>1.8384784130669154E-2</v>
      </c>
      <c r="U70" s="926">
        <f t="shared" si="29"/>
        <v>1.9187244839005115E-2</v>
      </c>
      <c r="V70" s="1261"/>
    </row>
    <row r="71" spans="2:22" s="284" customFormat="1" ht="6.75" customHeight="1">
      <c r="D71" s="60"/>
      <c r="E71" s="60"/>
      <c r="F71" s="60"/>
      <c r="G71" s="60"/>
      <c r="H71" s="60"/>
      <c r="I71" s="60"/>
      <c r="J71" s="60"/>
      <c r="K71" s="60"/>
      <c r="L71" s="60"/>
      <c r="M71" s="60"/>
      <c r="N71" s="60"/>
      <c r="O71" s="60"/>
      <c r="P71" s="921"/>
      <c r="Q71" s="922"/>
      <c r="R71" s="922"/>
      <c r="S71" s="922"/>
      <c r="T71" s="922"/>
      <c r="U71" s="923"/>
    </row>
    <row r="72" spans="2:22">
      <c r="B72" s="65" t="s">
        <v>11</v>
      </c>
      <c r="C72" s="864" t="s">
        <v>542</v>
      </c>
      <c r="D72" s="60">
        <f>IF(ISNUMBER('Input 2 - Data'!E11),'Input 2 - Data'!E11,"")</f>
        <v>1.2556</v>
      </c>
      <c r="E72" s="60">
        <f>IF(ISNUMBER('Input 2 - Data'!F11),'Input 2 - Data'!F11,"")</f>
        <v>1.3705000000000001</v>
      </c>
      <c r="F72" s="60">
        <f>IF(ISNUMBER('Input 2 - Data'!G11),'Input 2 - Data'!G11,"")</f>
        <v>1.4708000000000001</v>
      </c>
      <c r="G72" s="60">
        <f>IF(ISNUMBER('Input 2 - Data'!H11),'Input 2 - Data'!H11,"")</f>
        <v>1.3948</v>
      </c>
      <c r="H72" s="60">
        <f>IF(ISNUMBER('Input 2 - Data'!I11),'Input 2 - Data'!I11,"")</f>
        <v>1.3257000000000001</v>
      </c>
      <c r="I72" s="60">
        <f>IF(ISNUMBER('Input 2 - Data'!J11),'Input 2 - Data'!J11,"")</f>
        <v>1.3919999999999999</v>
      </c>
      <c r="J72" s="60">
        <f>IF(ISNUMBER('Input 2 - Data'!K11),'Input 2 - Data'!K11,"")</f>
        <v>1.2847999999999999</v>
      </c>
      <c r="K72" s="60">
        <f>IF(ISNUMBER('Input 2 - Data'!L11),'Input 2 - Data'!L11,"")</f>
        <v>1.3281000000000001</v>
      </c>
      <c r="L72" s="60">
        <f>IF(ISNUMBER('Input 2 - Data'!M11),'Input 2 - Data'!M11,"")</f>
        <v>1.3285</v>
      </c>
      <c r="M72" s="60">
        <f>IF(ISNUMBER('Input 2 - Data'!N11),'Input 2 - Data'!N11,"")</f>
        <v>1.1094999999999999</v>
      </c>
      <c r="N72" s="60">
        <f>IF(ISNUMBER('Input 2 - Data'!O11),'Input 2 - Data'!O11,"")</f>
        <v>1.1069</v>
      </c>
      <c r="O72" s="60">
        <f>IF(ISNUMBER('Input 2 - Data'!P11),'Input 2 - Data'!P11,"")</f>
        <v>1.1296999999999999</v>
      </c>
      <c r="P72" s="930">
        <f>IF(ISNUMBER('Input 2 - Data'!Q11),'Input 2 - Data'!Q11,"")</f>
        <v>1.18</v>
      </c>
      <c r="Q72" s="931">
        <f>IF(ISNUMBER('Input 2 - Data'!R11),'Input 2 - Data'!R11,"")</f>
        <v>1.1399999999999999</v>
      </c>
      <c r="R72" s="931">
        <f>IF(ISNUMBER('Input 2 - Data'!S11),'Input 2 - Data'!S11,"")</f>
        <v>1.1399999999999999</v>
      </c>
      <c r="S72" s="931">
        <f>IF(ISNUMBER('Input 2 - Data'!T11),'Input 2 - Data'!T11,"")</f>
        <v>1.1399999999999999</v>
      </c>
      <c r="T72" s="931">
        <f>IF(ISNUMBER('Input 2 - Data'!U11),'Input 2 - Data'!U11,"")</f>
        <v>1.1399999999999999</v>
      </c>
      <c r="U72" s="932">
        <f>IF(ISNUMBER('Input 2 - Data'!V11),'Input 2 - Data'!V11,"")</f>
        <v>1.1399999999999999</v>
      </c>
    </row>
    <row r="73" spans="2:22">
      <c r="B73" s="65" t="s">
        <v>12</v>
      </c>
      <c r="C73" s="864" t="s">
        <v>542</v>
      </c>
      <c r="D73" s="60">
        <f>IF(ISNUMBER('Input 2 - Data'!E12),'Input 2 - Data'!E12,"")</f>
        <v>1.3169999999999999</v>
      </c>
      <c r="E73" s="60">
        <f>IF(ISNUMBER('Input 2 - Data'!F12),'Input 2 - Data'!F12,"")</f>
        <v>1.4721</v>
      </c>
      <c r="F73" s="60">
        <f>IF(ISNUMBER('Input 2 - Data'!G12),'Input 2 - Data'!G12,"")</f>
        <v>1.3916999999999999</v>
      </c>
      <c r="G73" s="60">
        <f>IF(ISNUMBER('Input 2 - Data'!H12),'Input 2 - Data'!H12,"")</f>
        <v>1.4406000000000001</v>
      </c>
      <c r="H73" s="60">
        <f>IF(ISNUMBER('Input 2 - Data'!I12),'Input 2 - Data'!I12,"")</f>
        <v>1.3362000000000001</v>
      </c>
      <c r="I73" s="60">
        <f>IF(ISNUMBER('Input 2 - Data'!J12),'Input 2 - Data'!J12,"")</f>
        <v>1.2939000000000001</v>
      </c>
      <c r="J73" s="60">
        <f>IF(ISNUMBER('Input 2 - Data'!K12),'Input 2 - Data'!K12,"")</f>
        <v>1.3193999999999999</v>
      </c>
      <c r="K73" s="60">
        <f>IF(ISNUMBER('Input 2 - Data'!L12),'Input 2 - Data'!L12,"")</f>
        <v>1.3791</v>
      </c>
      <c r="L73" s="60">
        <f>IF(ISNUMBER('Input 2 - Data'!M12),'Input 2 - Data'!M12,"")</f>
        <v>1.2141</v>
      </c>
      <c r="M73" s="60">
        <f>IF(ISNUMBER('Input 2 - Data'!N12),'Input 2 - Data'!N12,"")</f>
        <v>1.0887</v>
      </c>
      <c r="N73" s="60">
        <f>IF(ISNUMBER('Input 2 - Data'!O12),'Input 2 - Data'!O12,"")</f>
        <v>1.0541</v>
      </c>
      <c r="O73" s="60">
        <f>IF(ISNUMBER('Input 2 - Data'!P12),'Input 2 - Data'!P12,"")</f>
        <v>1.1993</v>
      </c>
      <c r="P73" s="930">
        <f>IF(ISNUMBER('Input 2 - Data'!Q12),'Input 2 - Data'!Q12,"")</f>
        <v>1.18</v>
      </c>
      <c r="Q73" s="931">
        <f>IF(ISNUMBER('Input 2 - Data'!R12),'Input 2 - Data'!R12,"")</f>
        <v>1.1399999999999999</v>
      </c>
      <c r="R73" s="931">
        <f>IF(ISNUMBER('Input 2 - Data'!S12),'Input 2 - Data'!S12,"")</f>
        <v>1.1399999999999999</v>
      </c>
      <c r="S73" s="931">
        <f>IF(ISNUMBER('Input 2 - Data'!T12),'Input 2 - Data'!T12,"")</f>
        <v>1.1399999999999999</v>
      </c>
      <c r="T73" s="931">
        <f>IF(ISNUMBER('Input 2 - Data'!U12),'Input 2 - Data'!U12,"")</f>
        <v>1.1399999999999999</v>
      </c>
      <c r="U73" s="932">
        <f>IF(ISNUMBER('Input 2 - Data'!V12),'Input 2 - Data'!V12,"")</f>
        <v>1.1399999999999999</v>
      </c>
    </row>
    <row r="74" spans="2:22" s="284" customFormat="1" ht="6.75" customHeight="1">
      <c r="D74" s="1"/>
      <c r="E74" s="1"/>
      <c r="F74" s="1"/>
      <c r="G74" s="60"/>
      <c r="H74" s="60"/>
      <c r="I74" s="60"/>
      <c r="J74" s="60"/>
      <c r="K74" s="60"/>
      <c r="L74" s="60"/>
      <c r="M74" s="60"/>
      <c r="N74" s="1"/>
      <c r="O74" s="1"/>
      <c r="P74" s="918"/>
      <c r="Q74" s="919"/>
      <c r="R74" s="919"/>
      <c r="S74" s="919"/>
      <c r="T74" s="919"/>
      <c r="U74" s="920"/>
    </row>
    <row r="75" spans="2:22" s="6" customFormat="1" ht="15" customHeight="1">
      <c r="B75" s="59" t="s">
        <v>112</v>
      </c>
      <c r="C75" s="864" t="s">
        <v>1169</v>
      </c>
      <c r="D75" s="7"/>
      <c r="E75" s="164">
        <f t="shared" ref="E75:U75" si="30">IF(ISNUMBER(E73/D73-1),E73/D73-1,"")</f>
        <v>0.11776765375854215</v>
      </c>
      <c r="F75" s="164">
        <f t="shared" si="30"/>
        <v>-5.4615854901161609E-2</v>
      </c>
      <c r="G75" s="164">
        <f t="shared" si="30"/>
        <v>3.5136882948911596E-2</v>
      </c>
      <c r="H75" s="164">
        <f t="shared" si="30"/>
        <v>-7.2469804248229908E-2</v>
      </c>
      <c r="I75" s="164">
        <f t="shared" si="30"/>
        <v>-3.1656937584193967E-2</v>
      </c>
      <c r="J75" s="164">
        <f t="shared" si="30"/>
        <v>1.9707859958265628E-2</v>
      </c>
      <c r="K75" s="164">
        <f t="shared" si="30"/>
        <v>4.5247839927239797E-2</v>
      </c>
      <c r="L75" s="164">
        <f t="shared" si="30"/>
        <v>-0.11964324559495321</v>
      </c>
      <c r="M75" s="164">
        <f t="shared" si="30"/>
        <v>-0.10328638497652576</v>
      </c>
      <c r="N75" s="164">
        <f t="shared" si="30"/>
        <v>-3.1781023238725004E-2</v>
      </c>
      <c r="O75" s="164">
        <f t="shared" si="30"/>
        <v>0.13774784176074384</v>
      </c>
      <c r="P75" s="929">
        <f t="shared" si="30"/>
        <v>-1.6092720753773104E-2</v>
      </c>
      <c r="Q75" s="927">
        <f t="shared" si="30"/>
        <v>-3.3898305084745783E-2</v>
      </c>
      <c r="R75" s="927">
        <f t="shared" si="30"/>
        <v>0</v>
      </c>
      <c r="S75" s="927">
        <f t="shared" si="30"/>
        <v>0</v>
      </c>
      <c r="T75" s="927">
        <f t="shared" si="30"/>
        <v>0</v>
      </c>
      <c r="U75" s="928">
        <f t="shared" si="30"/>
        <v>0</v>
      </c>
    </row>
    <row r="76" spans="2:22" s="6" customFormat="1" ht="15" customHeight="1">
      <c r="B76" s="59" t="s">
        <v>144</v>
      </c>
      <c r="C76" s="516" t="s">
        <v>543</v>
      </c>
      <c r="D76" s="89">
        <f>IF(ISNUMBER('Input 2 - Data'!E6),'Input 2 - Data'!E6,"")</f>
        <v>83.2</v>
      </c>
      <c r="E76" s="89">
        <f>IF(ISNUMBER('Input 2 - Data'!F6),'Input 2 - Data'!F6,"")</f>
        <v>99.9</v>
      </c>
      <c r="F76" s="89">
        <f>IF(ISNUMBER('Input 2 - Data'!G6),'Input 2 - Data'!G6,"")</f>
        <v>111.60000000000001</v>
      </c>
      <c r="G76" s="89">
        <f>IF(ISNUMBER('Input 2 - Data'!H6),'Input 2 - Data'!H6,"")</f>
        <v>100.8</v>
      </c>
      <c r="H76" s="89">
        <f>IF(ISNUMBER('Input 2 - Data'!I6),'Input 2 - Data'!I6,"")</f>
        <v>100</v>
      </c>
      <c r="I76" s="89">
        <f>IF(ISNUMBER('Input 2 - Data'!J6),'Input 2 - Data'!J6,"")</f>
        <v>106.4</v>
      </c>
      <c r="J76" s="89">
        <f>IF(ISNUMBER('Input 2 - Data'!K6),'Input 2 - Data'!K6,"")</f>
        <v>110.2</v>
      </c>
      <c r="K76" s="89">
        <f>IF(ISNUMBER('Input 2 - Data'!L6),'Input 2 - Data'!L6,"")</f>
        <v>112.1</v>
      </c>
      <c r="L76" s="89">
        <f>IF(ISNUMBER('Input 2 - Data'!M6),'Input 2 - Data'!M6,"")</f>
        <v>113.99999999999999</v>
      </c>
      <c r="M76" s="89">
        <f>IF(ISNUMBER('Input 2 - Data'!N6),'Input 2 - Data'!N6,"")</f>
        <v>113.99999999999999</v>
      </c>
      <c r="N76" s="89">
        <f>IF(ISNUMBER('Input 2 - Data'!O6),'Input 2 - Data'!O6,"")</f>
        <v>114.99999999999999</v>
      </c>
      <c r="O76" s="89">
        <f>IF(ISNUMBER('Input 2 - Data'!P6),'Input 2 - Data'!P6,"")</f>
        <v>118.7</v>
      </c>
      <c r="P76" s="930">
        <f>IF(ISNUMBER('Input 2 - Data'!Q6),'Input 2 - Data'!Q6,"")</f>
        <v>123.70000000000002</v>
      </c>
      <c r="Q76" s="931">
        <f>IF(ISNUMBER('Input 2 - Data'!R6),'Input 2 - Data'!R6,"")</f>
        <v>127.51707832194421</v>
      </c>
      <c r="R76" s="931">
        <f>IF(ISNUMBER('Input 2 - Data'!S6),'Input 2 - Data'!S6,"")</f>
        <v>131.07969623687819</v>
      </c>
      <c r="S76" s="931">
        <f>IF(ISNUMBER('Input 2 - Data'!T6),'Input 2 - Data'!T6,"")</f>
        <v>134.39805290002872</v>
      </c>
      <c r="T76" s="931">
        <f>IF(ISNUMBER('Input 2 - Data'!U6),'Input 2 - Data'!U6,"")</f>
        <v>137.71065736077003</v>
      </c>
      <c r="U76" s="932">
        <f>IF(ISNUMBER('Input 2 - Data'!V6),'Input 2 - Data'!V6,"")</f>
        <v>141.15342379478929</v>
      </c>
    </row>
    <row r="77" spans="2:22" s="6" customFormat="1" ht="15" customHeight="1">
      <c r="B77" s="59" t="s">
        <v>538</v>
      </c>
      <c r="C77" s="864" t="s">
        <v>1169</v>
      </c>
      <c r="D77" s="89"/>
      <c r="E77" s="14">
        <f>IF(ISNUMBER(E76/D76-1),E76/D76-1,"")</f>
        <v>0.20072115384615397</v>
      </c>
      <c r="F77" s="14">
        <f t="shared" ref="F77:U77" si="31">IF(ISNUMBER(F76/E76-1),F76/E76-1,"")</f>
        <v>0.11711711711711703</v>
      </c>
      <c r="G77" s="14">
        <f t="shared" si="31"/>
        <v>-9.6774193548387233E-2</v>
      </c>
      <c r="H77" s="14">
        <f t="shared" si="31"/>
        <v>-7.9365079365079083E-3</v>
      </c>
      <c r="I77" s="14">
        <f t="shared" si="31"/>
        <v>6.4000000000000057E-2</v>
      </c>
      <c r="J77" s="14">
        <f t="shared" si="31"/>
        <v>3.5714285714285587E-2</v>
      </c>
      <c r="K77" s="14">
        <f t="shared" si="31"/>
        <v>1.7241379310344751E-2</v>
      </c>
      <c r="L77" s="14">
        <f t="shared" si="31"/>
        <v>1.6949152542372836E-2</v>
      </c>
      <c r="M77" s="14">
        <f t="shared" si="31"/>
        <v>0</v>
      </c>
      <c r="N77" s="14">
        <f t="shared" si="31"/>
        <v>8.7719298245614308E-3</v>
      </c>
      <c r="O77" s="14">
        <f t="shared" si="31"/>
        <v>3.2173913043478386E-2</v>
      </c>
      <c r="P77" s="924">
        <f t="shared" si="31"/>
        <v>4.2122999157540031E-2</v>
      </c>
      <c r="Q77" s="925">
        <f t="shared" si="31"/>
        <v>3.085754504401117E-2</v>
      </c>
      <c r="R77" s="925">
        <f t="shared" si="31"/>
        <v>2.7938359016816516E-2</v>
      </c>
      <c r="S77" s="925">
        <f t="shared" si="31"/>
        <v>2.5315565708619037E-2</v>
      </c>
      <c r="T77" s="925">
        <f t="shared" si="31"/>
        <v>2.4647711698661201E-2</v>
      </c>
      <c r="U77" s="926">
        <f t="shared" si="31"/>
        <v>2.5000000000000133E-2</v>
      </c>
    </row>
    <row r="78" spans="2:22" s="6" customFormat="1" ht="15" customHeight="1">
      <c r="B78" s="59" t="s">
        <v>143</v>
      </c>
      <c r="C78" s="516" t="s">
        <v>543</v>
      </c>
      <c r="D78" s="89">
        <f>IF(ISNUMBER(D76/D73),D76/D73,"")</f>
        <v>63.173880030372061</v>
      </c>
      <c r="E78" s="89">
        <f>IF(ISNUMBER(E76/E73),E76/E73,"")</f>
        <v>67.862237619726926</v>
      </c>
      <c r="F78" s="89">
        <f t="shared" ref="F78:U78" si="32">IF(ISNUMBER(F76/F73),F76/F73,"")</f>
        <v>80.189696055184314</v>
      </c>
      <c r="G78" s="89">
        <f t="shared" si="32"/>
        <v>69.970845481049551</v>
      </c>
      <c r="H78" s="89">
        <f t="shared" si="32"/>
        <v>74.839095943720991</v>
      </c>
      <c r="I78" s="89">
        <f t="shared" si="32"/>
        <v>82.232011747430249</v>
      </c>
      <c r="J78" s="89">
        <f t="shared" si="32"/>
        <v>83.52281340003033</v>
      </c>
      <c r="K78" s="89">
        <f t="shared" si="32"/>
        <v>81.284895946631863</v>
      </c>
      <c r="L78" s="89">
        <f t="shared" si="32"/>
        <v>93.896713615023472</v>
      </c>
      <c r="M78" s="89">
        <f t="shared" si="32"/>
        <v>104.71204188481674</v>
      </c>
      <c r="N78" s="89">
        <f t="shared" si="32"/>
        <v>109.09780855706288</v>
      </c>
      <c r="O78" s="89">
        <f t="shared" si="32"/>
        <v>98.974401734345037</v>
      </c>
      <c r="P78" s="930">
        <f t="shared" si="32"/>
        <v>104.83050847457629</v>
      </c>
      <c r="Q78" s="931">
        <f t="shared" si="32"/>
        <v>111.85708624731949</v>
      </c>
      <c r="R78" s="931">
        <f t="shared" si="32"/>
        <v>114.98218968147211</v>
      </c>
      <c r="S78" s="931">
        <f t="shared" si="32"/>
        <v>117.89302885967432</v>
      </c>
      <c r="T78" s="931">
        <f t="shared" si="32"/>
        <v>120.7988222462895</v>
      </c>
      <c r="U78" s="932">
        <f t="shared" si="32"/>
        <v>123.81879280244675</v>
      </c>
    </row>
    <row r="79" spans="2:22" s="6" customFormat="1" ht="15" customHeight="1">
      <c r="B79" s="59" t="s">
        <v>142</v>
      </c>
      <c r="C79" s="864" t="s">
        <v>1169</v>
      </c>
      <c r="D79" s="89"/>
      <c r="E79" s="14">
        <f>IF(ISNUMBER(E78/D78-1),E78/D78-1,"")</f>
        <v>7.4213545014186977E-2</v>
      </c>
      <c r="F79" s="14">
        <f t="shared" ref="F79:U79" si="33">IF(ISNUMBER(F78/E78-1),F78/E78-1,"")</f>
        <v>0.1816541697981664</v>
      </c>
      <c r="G79" s="14">
        <f t="shared" si="33"/>
        <v>-0.1274334618640085</v>
      </c>
      <c r="H79" s="14">
        <f t="shared" si="33"/>
        <v>6.9575412862346031E-2</v>
      </c>
      <c r="I79" s="14">
        <f t="shared" si="33"/>
        <v>9.8784140969163214E-2</v>
      </c>
      <c r="J79" s="14">
        <f t="shared" si="33"/>
        <v>1.5697070096797328E-2</v>
      </c>
      <c r="K79" s="14">
        <f t="shared" si="33"/>
        <v>-2.6794086098130054E-2</v>
      </c>
      <c r="L79" s="14">
        <f t="shared" si="33"/>
        <v>0.15515573368848234</v>
      </c>
      <c r="M79" s="14">
        <f t="shared" si="33"/>
        <v>0.11518324607329822</v>
      </c>
      <c r="N79" s="14">
        <f t="shared" si="33"/>
        <v>4.1884071719950677E-2</v>
      </c>
      <c r="O79" s="14">
        <f t="shared" si="33"/>
        <v>-9.2792027233277175E-2</v>
      </c>
      <c r="P79" s="924">
        <f t="shared" si="33"/>
        <v>5.9167892279354151E-2</v>
      </c>
      <c r="Q79" s="925">
        <f t="shared" si="33"/>
        <v>6.7027985220994069E-2</v>
      </c>
      <c r="R79" s="925">
        <f t="shared" si="33"/>
        <v>2.7938359016816516E-2</v>
      </c>
      <c r="S79" s="925">
        <f t="shared" si="33"/>
        <v>2.5315565708619037E-2</v>
      </c>
      <c r="T79" s="925">
        <f t="shared" si="33"/>
        <v>2.4647711698661201E-2</v>
      </c>
      <c r="U79" s="926">
        <f t="shared" si="33"/>
        <v>2.5000000000000133E-2</v>
      </c>
    </row>
    <row r="80" spans="2:22" s="284" customFormat="1" ht="15" customHeight="1">
      <c r="D80" s="60"/>
      <c r="E80" s="60"/>
      <c r="F80" s="60"/>
      <c r="G80" s="60"/>
      <c r="H80" s="60"/>
      <c r="I80" s="60"/>
      <c r="J80" s="60"/>
      <c r="K80" s="60"/>
      <c r="L80" s="60"/>
      <c r="M80" s="60"/>
      <c r="N80" s="60"/>
      <c r="O80" s="60"/>
      <c r="P80" s="921"/>
      <c r="Q80" s="922"/>
      <c r="R80" s="922"/>
      <c r="S80" s="922"/>
      <c r="T80" s="922"/>
      <c r="U80" s="923"/>
    </row>
    <row r="81" spans="2:21" s="284" customFormat="1" ht="21.75" thickBot="1">
      <c r="B81" s="910" t="s">
        <v>549</v>
      </c>
      <c r="C81" s="911"/>
      <c r="D81" s="912"/>
      <c r="E81" s="912"/>
      <c r="F81" s="912"/>
      <c r="G81" s="912"/>
      <c r="H81" s="912"/>
      <c r="I81" s="912"/>
      <c r="J81" s="912"/>
      <c r="K81" s="912"/>
      <c r="L81" s="912"/>
      <c r="M81" s="912"/>
      <c r="N81" s="912"/>
      <c r="O81" s="912"/>
      <c r="P81" s="913"/>
      <c r="Q81" s="912"/>
      <c r="R81" s="912"/>
      <c r="S81" s="912"/>
      <c r="T81" s="912"/>
      <c r="U81" s="914"/>
    </row>
    <row r="82" spans="2:21" ht="6" customHeight="1">
      <c r="B82" s="65"/>
      <c r="C82" s="65"/>
      <c r="D82" s="60"/>
      <c r="E82" s="60"/>
      <c r="F82" s="60"/>
      <c r="N82" s="60"/>
      <c r="O82" s="60"/>
      <c r="P82" s="918"/>
      <c r="Q82" s="919"/>
      <c r="R82" s="919"/>
      <c r="S82" s="919"/>
      <c r="T82" s="919"/>
      <c r="U82" s="920"/>
    </row>
    <row r="83" spans="2:21">
      <c r="B83" s="65" t="s">
        <v>96</v>
      </c>
      <c r="C83" s="864" t="s">
        <v>539</v>
      </c>
      <c r="D83" s="60">
        <f t="shared" ref="D83:U83" si="34">IF(ISNUMBER(D7/D38),D7/D38,"")</f>
        <v>9.9327879928814755E-2</v>
      </c>
      <c r="E83" s="60">
        <f t="shared" si="34"/>
        <v>8.4300411831384842E-2</v>
      </c>
      <c r="F83" s="60">
        <f t="shared" si="34"/>
        <v>0.18667973102801561</v>
      </c>
      <c r="G83" s="60">
        <f t="shared" si="34"/>
        <v>0.36585785861520453</v>
      </c>
      <c r="H83" s="60">
        <f t="shared" si="34"/>
        <v>0.47433105392994857</v>
      </c>
      <c r="I83" s="60">
        <f t="shared" si="34"/>
        <v>0.42688637274506658</v>
      </c>
      <c r="J83" s="60">
        <f t="shared" si="34"/>
        <v>0.41214500137601812</v>
      </c>
      <c r="K83" s="60">
        <f t="shared" si="34"/>
        <v>0.3902610166998236</v>
      </c>
      <c r="L83" s="60">
        <f t="shared" si="34"/>
        <v>0.40900987938816408</v>
      </c>
      <c r="M83" s="60">
        <f t="shared" si="34"/>
        <v>0.3658991138440425</v>
      </c>
      <c r="N83" s="60">
        <f t="shared" si="34"/>
        <v>0.40167456396322948</v>
      </c>
      <c r="O83" s="60">
        <f t="shared" si="34"/>
        <v>0.39842702208732894</v>
      </c>
      <c r="P83" s="930">
        <f t="shared" si="34"/>
        <v>0.37084342131638087</v>
      </c>
      <c r="Q83" s="931">
        <f t="shared" si="34"/>
        <v>0.35351552504862926</v>
      </c>
      <c r="R83" s="931">
        <f t="shared" si="34"/>
        <v>0.33542090376828199</v>
      </c>
      <c r="S83" s="931">
        <f t="shared" si="34"/>
        <v>0.32056160655910693</v>
      </c>
      <c r="T83" s="931">
        <f t="shared" si="34"/>
        <v>0.2991587310273619</v>
      </c>
      <c r="U83" s="932">
        <f t="shared" si="34"/>
        <v>0.27903074435380587</v>
      </c>
    </row>
    <row r="84" spans="2:21">
      <c r="B84" s="65" t="s">
        <v>97</v>
      </c>
      <c r="C84" s="519" t="s">
        <v>1170</v>
      </c>
      <c r="D84" s="60">
        <f t="shared" ref="D84:U84" si="35">IF(ISNUMBER(D7/D44),D7/D44,"")</f>
        <v>0.27940834923350222</v>
      </c>
      <c r="E84" s="60">
        <f t="shared" si="35"/>
        <v>0.25181684758895162</v>
      </c>
      <c r="F84" s="60">
        <f t="shared" si="35"/>
        <v>0.55822214035734019</v>
      </c>
      <c r="G84" s="60">
        <f t="shared" si="35"/>
        <v>1.0439152180173079</v>
      </c>
      <c r="H84" s="60">
        <f t="shared" si="35"/>
        <v>1.2883263934103539</v>
      </c>
      <c r="I84" s="60">
        <f t="shared" si="35"/>
        <v>1.1804004140335584</v>
      </c>
      <c r="J84" s="60">
        <f t="shared" si="35"/>
        <v>1.1211432619882169</v>
      </c>
      <c r="K84" s="60">
        <f t="shared" si="35"/>
        <v>1.0672455715040086</v>
      </c>
      <c r="L84" s="60">
        <f t="shared" si="35"/>
        <v>1.1169122084889409</v>
      </c>
      <c r="M84" s="60">
        <f t="shared" si="35"/>
        <v>0.99264727207826242</v>
      </c>
      <c r="N84" s="60">
        <f t="shared" si="35"/>
        <v>1.084312668463612</v>
      </c>
      <c r="O84" s="60">
        <f t="shared" si="35"/>
        <v>1.0701886867442347</v>
      </c>
      <c r="P84" s="930">
        <f t="shared" si="35"/>
        <v>1.003762563487822</v>
      </c>
      <c r="Q84" s="931">
        <f t="shared" si="35"/>
        <v>0.9802664218743985</v>
      </c>
      <c r="R84" s="931">
        <f t="shared" si="35"/>
        <v>0.93623115001559076</v>
      </c>
      <c r="S84" s="931">
        <f t="shared" si="35"/>
        <v>0.90875952250685221</v>
      </c>
      <c r="T84" s="931">
        <f t="shared" si="35"/>
        <v>0.86090985810202392</v>
      </c>
      <c r="U84" s="932">
        <f t="shared" si="35"/>
        <v>0.80298615287870667</v>
      </c>
    </row>
    <row r="85" spans="2:21" s="284" customFormat="1" ht="6.75" customHeight="1">
      <c r="D85" s="1"/>
      <c r="E85" s="1"/>
      <c r="F85" s="1"/>
      <c r="G85" s="60"/>
      <c r="H85" s="60"/>
      <c r="I85" s="60"/>
      <c r="J85" s="60"/>
      <c r="K85" s="60"/>
      <c r="L85" s="60"/>
      <c r="M85" s="60"/>
      <c r="N85" s="1"/>
      <c r="O85" s="1"/>
      <c r="P85" s="918"/>
      <c r="Q85" s="919"/>
      <c r="R85" s="919"/>
      <c r="S85" s="919"/>
      <c r="T85" s="919"/>
      <c r="U85" s="920"/>
    </row>
    <row r="86" spans="2:21">
      <c r="B86" s="65" t="s">
        <v>100</v>
      </c>
      <c r="C86" s="864" t="s">
        <v>539</v>
      </c>
      <c r="D86" s="60">
        <f t="shared" ref="D86:U86" si="36">IF(ISNUMBER(D45/D38),D45/D38,"")</f>
        <v>4.3956635113559326E-3</v>
      </c>
      <c r="E86" s="60">
        <f t="shared" si="36"/>
        <v>3.6028661987756471E-3</v>
      </c>
      <c r="F86" s="60">
        <f t="shared" si="36"/>
        <v>5.617045706306065E-3</v>
      </c>
      <c r="G86" s="60">
        <f t="shared" si="36"/>
        <v>1.5408417231944195E-2</v>
      </c>
      <c r="H86" s="60">
        <f t="shared" si="36"/>
        <v>1.7661617891210228E-2</v>
      </c>
      <c r="I86" s="60">
        <f t="shared" si="36"/>
        <v>1.8071138206276479E-2</v>
      </c>
      <c r="J86" s="60">
        <f t="shared" si="36"/>
        <v>1.7025157120342024E-2</v>
      </c>
      <c r="K86" s="60">
        <f t="shared" si="36"/>
        <v>1.5156810664238105E-2</v>
      </c>
      <c r="L86" s="60">
        <f t="shared" si="36"/>
        <v>1.4601558978147454E-2</v>
      </c>
      <c r="M86" s="60">
        <f t="shared" si="36"/>
        <v>1.3617992918186449E-2</v>
      </c>
      <c r="N86" s="60">
        <f t="shared" si="36"/>
        <v>1.0408711157846003E-2</v>
      </c>
      <c r="O86" s="60">
        <f>IF(ISNUMBER(O45/O38),O45/O38,"")</f>
        <v>9.4404421016994894E-3</v>
      </c>
      <c r="P86" s="930">
        <f t="shared" si="36"/>
        <v>3.7096823586890468E-2</v>
      </c>
      <c r="Q86" s="931">
        <f t="shared" si="36"/>
        <v>2.9469820132309883E-2</v>
      </c>
      <c r="R86" s="931">
        <f t="shared" si="36"/>
        <v>2.8689143490878175E-2</v>
      </c>
      <c r="S86" s="931">
        <f t="shared" si="36"/>
        <v>1.5853743705686933E-2</v>
      </c>
      <c r="T86" s="931">
        <f t="shared" si="36"/>
        <v>-4.4975044464637222E-3</v>
      </c>
      <c r="U86" s="932">
        <f t="shared" si="36"/>
        <v>-1.2141401314860431E-2</v>
      </c>
    </row>
    <row r="87" spans="2:21">
      <c r="B87" s="65" t="s">
        <v>101</v>
      </c>
      <c r="C87" s="864" t="s">
        <v>1170</v>
      </c>
      <c r="D87" s="60">
        <f t="shared" ref="D87:U87" si="37">IF(ISNUMBER(D45/D44),D45/D44,"")</f>
        <v>1.2364958220935588E-2</v>
      </c>
      <c r="E87" s="60">
        <f t="shared" si="37"/>
        <v>1.0762253573270219E-2</v>
      </c>
      <c r="F87" s="60">
        <f t="shared" si="37"/>
        <v>1.6796463437097068E-2</v>
      </c>
      <c r="G87" s="60">
        <f t="shared" si="37"/>
        <v>4.3965383974174377E-2</v>
      </c>
      <c r="H87" s="60">
        <f t="shared" si="37"/>
        <v>4.797056463213361E-2</v>
      </c>
      <c r="I87" s="60">
        <f t="shared" si="37"/>
        <v>4.9969219873610811E-2</v>
      </c>
      <c r="J87" s="60">
        <f t="shared" si="37"/>
        <v>4.6312924155418003E-2</v>
      </c>
      <c r="K87" s="60">
        <f t="shared" si="37"/>
        <v>4.14492823196198E-2</v>
      </c>
      <c r="L87" s="60">
        <f t="shared" si="37"/>
        <v>3.9873509926117774E-2</v>
      </c>
      <c r="M87" s="60">
        <f t="shared" si="37"/>
        <v>3.694423684005041E-2</v>
      </c>
      <c r="N87" s="60">
        <f t="shared" si="37"/>
        <v>2.8098113207547171E-2</v>
      </c>
      <c r="O87" s="60">
        <f t="shared" si="37"/>
        <v>2.5357352225192014E-2</v>
      </c>
      <c r="P87" s="930">
        <f t="shared" si="37"/>
        <v>0.10041003992643262</v>
      </c>
      <c r="Q87" s="931">
        <f t="shared" si="37"/>
        <v>8.1717132876717863E-2</v>
      </c>
      <c r="R87" s="931">
        <f t="shared" si="37"/>
        <v>8.0077507101294368E-2</v>
      </c>
      <c r="S87" s="931">
        <f t="shared" si="37"/>
        <v>4.494374954809064E-2</v>
      </c>
      <c r="T87" s="931">
        <f t="shared" si="37"/>
        <v>-1.2942780916075505E-2</v>
      </c>
      <c r="U87" s="932">
        <f t="shared" si="37"/>
        <v>-3.4940153834855617E-2</v>
      </c>
    </row>
    <row r="88" spans="2:21" s="284" customFormat="1" ht="6.75" customHeight="1">
      <c r="D88" s="1"/>
      <c r="E88" s="1"/>
      <c r="F88" s="1"/>
      <c r="G88" s="60"/>
      <c r="H88" s="60"/>
      <c r="I88" s="60"/>
      <c r="J88" s="60"/>
      <c r="K88" s="60"/>
      <c r="L88" s="60"/>
      <c r="M88" s="60"/>
      <c r="N88" s="1"/>
      <c r="O88" s="1"/>
      <c r="P88" s="918"/>
      <c r="Q88" s="919"/>
      <c r="R88" s="919"/>
      <c r="S88" s="919"/>
      <c r="T88" s="919"/>
      <c r="U88" s="920"/>
    </row>
    <row r="89" spans="2:21">
      <c r="B89" s="65" t="s">
        <v>98</v>
      </c>
      <c r="C89" s="864" t="s">
        <v>539</v>
      </c>
      <c r="D89" s="60">
        <f t="shared" ref="D89:U89" si="38">IF(ISNUMBER(D28/D38),D28/D38,"")</f>
        <v>9.2723274755867145E-3</v>
      </c>
      <c r="E89" s="60">
        <f t="shared" si="38"/>
        <v>8.7285714646144763E-3</v>
      </c>
      <c r="F89" s="60">
        <f t="shared" si="38"/>
        <v>4.7660087876446489E-2</v>
      </c>
      <c r="G89" s="60">
        <f t="shared" si="38"/>
        <v>0.1066729386458824</v>
      </c>
      <c r="H89" s="60">
        <f t="shared" si="38"/>
        <v>0.10451691590550746</v>
      </c>
      <c r="I89" s="60">
        <f t="shared" si="38"/>
        <v>6.1134246716493458E-2</v>
      </c>
      <c r="J89" s="60">
        <f t="shared" si="38"/>
        <v>2.9083306919481744E-2</v>
      </c>
      <c r="K89" s="60">
        <f t="shared" si="38"/>
        <v>2.674696185317435E-2</v>
      </c>
      <c r="L89" s="60">
        <f t="shared" si="38"/>
        <v>2.951804507403907E-2</v>
      </c>
      <c r="M89" s="60">
        <f t="shared" si="38"/>
        <v>2.7248567905592016E-2</v>
      </c>
      <c r="N89" s="60">
        <f t="shared" si="38"/>
        <v>9.7616864053149382E-3</v>
      </c>
      <c r="O89" s="60">
        <f>IF(ISNUMBER(O28/O38),O28/O38,"")</f>
        <v>1.5203756467637318E-2</v>
      </c>
      <c r="P89" s="930">
        <f>IF(ISNUMBER(P28/P38),P28/P38,"")</f>
        <v>3.5984842323630625E-2</v>
      </c>
      <c r="Q89" s="931">
        <f t="shared" si="38"/>
        <v>2.7368841171156569E-2</v>
      </c>
      <c r="R89" s="931">
        <f t="shared" si="38"/>
        <v>2.3965618199100005E-2</v>
      </c>
      <c r="S89" s="931">
        <f t="shared" si="38"/>
        <v>1.2003971380328871E-2</v>
      </c>
      <c r="T89" s="931">
        <f t="shared" si="38"/>
        <v>-1.4862612076263432E-2</v>
      </c>
      <c r="U89" s="932">
        <f t="shared" si="38"/>
        <v>-2.2506508944660199E-2</v>
      </c>
    </row>
    <row r="90" spans="2:21">
      <c r="B90" s="65" t="s">
        <v>99</v>
      </c>
      <c r="C90" s="864" t="s">
        <v>1170</v>
      </c>
      <c r="D90" s="60">
        <f t="shared" ref="D90:U90" si="39">IF(ISNUMBER(D28/D44),D28/D44,"")</f>
        <v>2.6082965984604252E-2</v>
      </c>
      <c r="E90" s="60">
        <f t="shared" si="39"/>
        <v>2.6073435496026667E-2</v>
      </c>
      <c r="F90" s="60">
        <f t="shared" si="39"/>
        <v>0.14251636274329213</v>
      </c>
      <c r="G90" s="60">
        <f t="shared" si="39"/>
        <v>0.30437368333308057</v>
      </c>
      <c r="H90" s="60">
        <f t="shared" si="39"/>
        <v>0.28387747376709116</v>
      </c>
      <c r="I90" s="60">
        <f t="shared" si="39"/>
        <v>0.16904472651993918</v>
      </c>
      <c r="J90" s="60">
        <f t="shared" si="39"/>
        <v>7.9114276480970455E-2</v>
      </c>
      <c r="K90" s="60">
        <f t="shared" si="39"/>
        <v>7.3144832221208836E-2</v>
      </c>
      <c r="L90" s="60">
        <f t="shared" si="39"/>
        <v>8.0607013608667219E-2</v>
      </c>
      <c r="M90" s="60">
        <f t="shared" si="39"/>
        <v>7.3922607560766032E-2</v>
      </c>
      <c r="N90" s="60">
        <f t="shared" si="39"/>
        <v>2.6351482479784211E-2</v>
      </c>
      <c r="O90" s="60">
        <f t="shared" si="39"/>
        <v>4.083781286328924E-2</v>
      </c>
      <c r="P90" s="930">
        <f t="shared" si="39"/>
        <v>9.7400238217134172E-2</v>
      </c>
      <c r="Q90" s="931">
        <f t="shared" si="39"/>
        <v>7.5891309163884188E-2</v>
      </c>
      <c r="R90" s="931">
        <f t="shared" si="39"/>
        <v>6.6893142422865565E-2</v>
      </c>
      <c r="S90" s="931">
        <f t="shared" si="39"/>
        <v>3.4030036899513026E-2</v>
      </c>
      <c r="T90" s="931">
        <f t="shared" si="39"/>
        <v>-4.2771171042409177E-2</v>
      </c>
      <c r="U90" s="932">
        <f t="shared" si="39"/>
        <v>-6.4768543961189459E-2</v>
      </c>
    </row>
    <row r="91" spans="2:21" s="284" customFormat="1" ht="6.75" customHeight="1">
      <c r="D91" s="1"/>
      <c r="E91" s="1"/>
      <c r="F91" s="1"/>
      <c r="G91" s="60"/>
      <c r="H91" s="60"/>
      <c r="I91" s="60"/>
      <c r="J91" s="60"/>
      <c r="K91" s="60"/>
      <c r="L91" s="60"/>
      <c r="M91" s="60"/>
      <c r="N91" s="1"/>
      <c r="O91" s="1"/>
      <c r="P91" s="918"/>
      <c r="Q91" s="919"/>
      <c r="R91" s="919"/>
      <c r="S91" s="919"/>
      <c r="T91" s="919"/>
      <c r="U91" s="920"/>
    </row>
    <row r="92" spans="2:21" s="284" customFormat="1">
      <c r="B92" s="63" t="s">
        <v>500</v>
      </c>
      <c r="C92" s="424" t="s">
        <v>539</v>
      </c>
      <c r="D92" s="9">
        <f t="shared" ref="D92:U92" si="40">D24/D38</f>
        <v>9.9327879928814755E-2</v>
      </c>
      <c r="E92" s="9">
        <f t="shared" si="40"/>
        <v>8.4300411831384842E-2</v>
      </c>
      <c r="F92" s="9">
        <f t="shared" si="40"/>
        <v>0.18667973102801561</v>
      </c>
      <c r="G92" s="9">
        <f t="shared" si="40"/>
        <v>0.36585785861520453</v>
      </c>
      <c r="H92" s="9">
        <f t="shared" si="40"/>
        <v>0.47433105392994857</v>
      </c>
      <c r="I92" s="9">
        <f t="shared" si="40"/>
        <v>0.42688637274506658</v>
      </c>
      <c r="J92" s="9">
        <f t="shared" si="40"/>
        <v>0.41214500137601812</v>
      </c>
      <c r="K92" s="9">
        <f t="shared" si="40"/>
        <v>0.3902610166998236</v>
      </c>
      <c r="L92" s="9">
        <f t="shared" si="40"/>
        <v>0.40900987938816408</v>
      </c>
      <c r="M92" s="9">
        <f t="shared" si="40"/>
        <v>0.3658991138440425</v>
      </c>
      <c r="N92" s="9">
        <f t="shared" si="40"/>
        <v>0.40167456396322948</v>
      </c>
      <c r="O92" s="9">
        <f t="shared" si="40"/>
        <v>0.39842702208732894</v>
      </c>
      <c r="P92" s="921">
        <f t="shared" si="40"/>
        <v>0.37084342131638087</v>
      </c>
      <c r="Q92" s="922">
        <f t="shared" si="40"/>
        <v>0.35351552504862926</v>
      </c>
      <c r="R92" s="922">
        <f t="shared" si="40"/>
        <v>0.33542090376828199</v>
      </c>
      <c r="S92" s="922">
        <f t="shared" si="40"/>
        <v>0.32056160655910693</v>
      </c>
      <c r="T92" s="922">
        <f t="shared" si="40"/>
        <v>0.2991587310273619</v>
      </c>
      <c r="U92" s="923">
        <f t="shared" si="40"/>
        <v>0.27903074435380587</v>
      </c>
    </row>
    <row r="93" spans="2:21" s="284" customFormat="1">
      <c r="B93" s="63" t="s">
        <v>509</v>
      </c>
      <c r="C93" s="424" t="s">
        <v>1170</v>
      </c>
      <c r="D93" s="9">
        <f t="shared" ref="D93:U93" si="41">D24/D44</f>
        <v>0.27940834923350222</v>
      </c>
      <c r="E93" s="9">
        <f t="shared" si="41"/>
        <v>0.25181684758895162</v>
      </c>
      <c r="F93" s="9">
        <f t="shared" si="41"/>
        <v>0.55822214035734019</v>
      </c>
      <c r="G93" s="9">
        <f t="shared" si="41"/>
        <v>1.0439152180173079</v>
      </c>
      <c r="H93" s="9">
        <f t="shared" si="41"/>
        <v>1.2883263934103539</v>
      </c>
      <c r="I93" s="9">
        <f t="shared" si="41"/>
        <v>1.1804004140335584</v>
      </c>
      <c r="J93" s="9">
        <f t="shared" si="41"/>
        <v>1.1211432619882169</v>
      </c>
      <c r="K93" s="9">
        <f t="shared" si="41"/>
        <v>1.0672455715040086</v>
      </c>
      <c r="L93" s="9">
        <f t="shared" si="41"/>
        <v>1.1169122084889409</v>
      </c>
      <c r="M93" s="9">
        <f t="shared" si="41"/>
        <v>0.99264727207826242</v>
      </c>
      <c r="N93" s="9">
        <f t="shared" si="41"/>
        <v>1.084312668463612</v>
      </c>
      <c r="O93" s="9">
        <f t="shared" si="41"/>
        <v>1.0701886867442347</v>
      </c>
      <c r="P93" s="921">
        <f t="shared" si="41"/>
        <v>1.003762563487822</v>
      </c>
      <c r="Q93" s="922">
        <f t="shared" si="41"/>
        <v>0.9802664218743985</v>
      </c>
      <c r="R93" s="922">
        <f t="shared" si="41"/>
        <v>0.93623115001559076</v>
      </c>
      <c r="S93" s="922">
        <f t="shared" si="41"/>
        <v>0.90875952250685221</v>
      </c>
      <c r="T93" s="922">
        <f t="shared" si="41"/>
        <v>0.86090985810202392</v>
      </c>
      <c r="U93" s="923">
        <f t="shared" si="41"/>
        <v>0.80298615287870667</v>
      </c>
    </row>
    <row r="94" spans="2:21" s="284" customFormat="1" ht="6.75" customHeight="1">
      <c r="D94" s="1"/>
      <c r="E94" s="1"/>
      <c r="F94" s="1"/>
      <c r="G94" s="60"/>
      <c r="H94" s="60"/>
      <c r="I94" s="60"/>
      <c r="J94" s="60"/>
      <c r="K94" s="60"/>
      <c r="L94" s="60"/>
      <c r="M94" s="60"/>
      <c r="N94" s="1"/>
      <c r="O94" s="1"/>
      <c r="P94" s="918"/>
      <c r="Q94" s="919"/>
      <c r="R94" s="919"/>
      <c r="S94" s="919"/>
      <c r="T94" s="919"/>
      <c r="U94" s="920"/>
    </row>
    <row r="95" spans="2:21" s="284" customFormat="1" ht="15.75" thickBot="1">
      <c r="B95" s="63" t="s">
        <v>875</v>
      </c>
      <c r="C95" s="424" t="s">
        <v>876</v>
      </c>
      <c r="D95" s="9" t="e">
        <f t="shared" ref="D95:O95" si="42">D7/D40</f>
        <v>#DIV/0!</v>
      </c>
      <c r="E95" s="9" t="e">
        <f t="shared" si="42"/>
        <v>#DIV/0!</v>
      </c>
      <c r="F95" s="9" t="e">
        <f t="shared" si="42"/>
        <v>#DIV/0!</v>
      </c>
      <c r="G95" s="9" t="e">
        <f t="shared" si="42"/>
        <v>#DIV/0!</v>
      </c>
      <c r="H95" s="9" t="e">
        <f t="shared" si="42"/>
        <v>#DIV/0!</v>
      </c>
      <c r="I95" s="9" t="e">
        <f t="shared" si="42"/>
        <v>#DIV/0!</v>
      </c>
      <c r="J95" s="9" t="e">
        <f t="shared" si="42"/>
        <v>#DIV/0!</v>
      </c>
      <c r="K95" s="9" t="e">
        <f t="shared" si="42"/>
        <v>#DIV/0!</v>
      </c>
      <c r="L95" s="9" t="e">
        <f t="shared" si="42"/>
        <v>#DIV/0!</v>
      </c>
      <c r="M95" s="9" t="e">
        <f t="shared" si="42"/>
        <v>#DIV/0!</v>
      </c>
      <c r="N95" s="9" t="e">
        <f t="shared" si="42"/>
        <v>#DIV/0!</v>
      </c>
      <c r="O95" s="9" t="e">
        <f t="shared" si="42"/>
        <v>#DIV/0!</v>
      </c>
      <c r="P95" s="933" t="str">
        <f t="shared" ref="P95:U95" si="43">IF(ISNUMBER(P7/P40),P7/P40,"")</f>
        <v/>
      </c>
      <c r="Q95" s="934" t="str">
        <f t="shared" si="43"/>
        <v/>
      </c>
      <c r="R95" s="934" t="str">
        <f t="shared" si="43"/>
        <v/>
      </c>
      <c r="S95" s="934" t="str">
        <f t="shared" si="43"/>
        <v/>
      </c>
      <c r="T95" s="934" t="str">
        <f t="shared" si="43"/>
        <v/>
      </c>
      <c r="U95" s="935" t="str">
        <f t="shared" si="43"/>
        <v/>
      </c>
    </row>
    <row r="96" spans="2:21" s="284" customFormat="1">
      <c r="B96" s="63"/>
      <c r="C96" s="63"/>
      <c r="D96" s="9"/>
      <c r="E96" s="9"/>
      <c r="F96" s="9"/>
      <c r="G96" s="9"/>
      <c r="H96" s="9"/>
      <c r="I96" s="9"/>
      <c r="J96" s="9"/>
      <c r="K96" s="9"/>
      <c r="L96" s="9"/>
      <c r="M96" s="9"/>
      <c r="N96" s="9"/>
      <c r="O96" s="9"/>
      <c r="P96" s="171"/>
      <c r="Q96" s="171"/>
      <c r="R96" s="171"/>
      <c r="S96" s="171"/>
      <c r="T96" s="171"/>
      <c r="U96" s="171"/>
    </row>
    <row r="97" spans="1:23" s="284" customFormat="1" ht="21.75" thickBot="1">
      <c r="B97" s="910" t="s">
        <v>1016</v>
      </c>
      <c r="C97" s="911"/>
      <c r="D97" s="912"/>
      <c r="E97" s="912"/>
      <c r="F97" s="912"/>
      <c r="G97" s="912"/>
      <c r="H97" s="912"/>
      <c r="I97" s="912"/>
      <c r="J97" s="912"/>
      <c r="K97" s="912"/>
      <c r="L97" s="912"/>
      <c r="M97" s="912"/>
      <c r="N97" s="912"/>
      <c r="O97" s="912"/>
      <c r="P97" s="913"/>
      <c r="Q97" s="912"/>
      <c r="R97" s="912"/>
      <c r="S97" s="912"/>
      <c r="T97" s="912"/>
      <c r="U97" s="914"/>
    </row>
    <row r="98" spans="1:23" ht="30.2" customHeight="1">
      <c r="D98" s="134" t="s">
        <v>108</v>
      </c>
      <c r="E98" s="134" t="s">
        <v>109</v>
      </c>
      <c r="F98" s="134" t="s">
        <v>110</v>
      </c>
      <c r="G98" s="135" t="s">
        <v>111</v>
      </c>
      <c r="H98" s="149" t="s">
        <v>124</v>
      </c>
      <c r="P98" s="136" t="s">
        <v>346</v>
      </c>
      <c r="Q98" s="136" t="s">
        <v>109</v>
      </c>
      <c r="R98" s="136" t="s">
        <v>110</v>
      </c>
      <c r="S98" s="136" t="s">
        <v>111</v>
      </c>
      <c r="T98" s="451" t="s">
        <v>1069</v>
      </c>
      <c r="U98" s="451" t="s">
        <v>1070</v>
      </c>
    </row>
    <row r="99" spans="1:23">
      <c r="B99" s="128" t="s">
        <v>145</v>
      </c>
      <c r="C99" s="287"/>
      <c r="D99" s="87">
        <f>AVERAGE(F67:O67)</f>
        <v>2.6083172170299006E-2</v>
      </c>
      <c r="F99" s="87">
        <f>MAX(F67:O67)</f>
        <v>0.1764080577291085</v>
      </c>
      <c r="P99" s="87">
        <f>AVERAGE(P67:U67)</f>
        <v>-9.6617145728904816E-3</v>
      </c>
      <c r="T99" s="280">
        <f>10000*(D99-P99)</f>
        <v>357.44886743189488</v>
      </c>
      <c r="U99" s="133">
        <f>10000*(F99-P99)</f>
        <v>1860.6977230199898</v>
      </c>
      <c r="V99" s="129"/>
      <c r="W99" s="128"/>
    </row>
    <row r="100" spans="1:23">
      <c r="B100" s="128" t="s">
        <v>146</v>
      </c>
      <c r="C100" s="287"/>
      <c r="D100" s="87">
        <f>AVERAGE(F52:O52)</f>
        <v>2.4863029297652051E-3</v>
      </c>
      <c r="E100" s="86">
        <f>STDEV(F52:O52)</f>
        <v>6.1087165397320758E-2</v>
      </c>
      <c r="H100" s="60">
        <f>E100/D100</f>
        <v>24.569478105827415</v>
      </c>
    </row>
    <row r="101" spans="1:23">
      <c r="B101" s="128" t="s">
        <v>79</v>
      </c>
      <c r="C101" s="287"/>
      <c r="D101" s="87">
        <f>AVERAGE(F56:O56)</f>
        <v>0.35920376187143865</v>
      </c>
    </row>
    <row r="102" spans="1:23">
      <c r="B102" s="128" t="s">
        <v>80</v>
      </c>
      <c r="C102" s="287"/>
      <c r="D102" s="87">
        <f>AVERAGE(F57:O57)</f>
        <v>0.39460712261678782</v>
      </c>
    </row>
    <row r="103" spans="1:23">
      <c r="B103" s="128" t="s">
        <v>147</v>
      </c>
      <c r="C103" s="287"/>
      <c r="D103" s="87">
        <f>AVERAGE(F58:O58)</f>
        <v>-3.540336074534909E-2</v>
      </c>
      <c r="E103" s="86">
        <f>STDEV(F58:O58)</f>
        <v>3.434915099163928E-2</v>
      </c>
    </row>
    <row r="104" spans="1:23" ht="15.75" thickBot="1">
      <c r="B104" s="128"/>
      <c r="C104" s="287"/>
      <c r="D104" s="87"/>
    </row>
    <row r="105" spans="1:23" s="284" customFormat="1" ht="21.75" customHeight="1">
      <c r="B105" s="937" t="s">
        <v>1012</v>
      </c>
      <c r="C105" s="938"/>
      <c r="D105" s="939"/>
      <c r="E105" s="939"/>
      <c r="F105" s="939"/>
      <c r="G105" s="940"/>
      <c r="H105" s="940"/>
      <c r="I105" s="940"/>
      <c r="J105" s="940"/>
      <c r="K105" s="940"/>
      <c r="L105" s="940"/>
      <c r="M105" s="940"/>
      <c r="N105" s="939"/>
      <c r="O105" s="939"/>
      <c r="P105" s="939"/>
      <c r="Q105" s="939"/>
      <c r="R105" s="939"/>
      <c r="S105" s="939"/>
      <c r="T105" s="939"/>
      <c r="U105" s="941"/>
    </row>
    <row r="106" spans="1:23" ht="6" customHeight="1">
      <c r="B106" s="154"/>
      <c r="C106" s="885"/>
      <c r="D106" s="152"/>
      <c r="E106" s="155"/>
      <c r="F106" s="155"/>
      <c r="G106" s="155"/>
      <c r="H106" s="155"/>
      <c r="I106" s="155"/>
      <c r="J106" s="155"/>
      <c r="K106" s="155"/>
      <c r="L106" s="155"/>
      <c r="M106" s="155"/>
      <c r="N106" s="155"/>
      <c r="O106" s="155"/>
      <c r="P106" s="1525"/>
      <c r="Q106" s="155"/>
      <c r="R106" s="155"/>
      <c r="S106" s="155"/>
      <c r="T106" s="155"/>
      <c r="U106" s="156"/>
    </row>
    <row r="107" spans="1:23">
      <c r="B107" s="151"/>
      <c r="C107" s="884"/>
      <c r="D107" s="152"/>
      <c r="E107" s="155">
        <f t="shared" ref="E107:O107" si="44">F107-1</f>
        <v>2007</v>
      </c>
      <c r="F107" s="155">
        <f t="shared" si="44"/>
        <v>2008</v>
      </c>
      <c r="G107" s="155">
        <f t="shared" si="44"/>
        <v>2009</v>
      </c>
      <c r="H107" s="155">
        <f t="shared" si="44"/>
        <v>2010</v>
      </c>
      <c r="I107" s="155">
        <f t="shared" si="44"/>
        <v>2011</v>
      </c>
      <c r="J107" s="155">
        <f t="shared" si="44"/>
        <v>2012</v>
      </c>
      <c r="K107" s="155">
        <f t="shared" si="44"/>
        <v>2013</v>
      </c>
      <c r="L107" s="155">
        <f t="shared" si="44"/>
        <v>2014</v>
      </c>
      <c r="M107" s="155">
        <f t="shared" si="44"/>
        <v>2015</v>
      </c>
      <c r="N107" s="155">
        <f t="shared" si="44"/>
        <v>2016</v>
      </c>
      <c r="O107" s="155">
        <f t="shared" si="44"/>
        <v>2017</v>
      </c>
      <c r="P107" s="1525">
        <f>FirstYear</f>
        <v>2018</v>
      </c>
      <c r="Q107" s="155">
        <f>'Input 4 - Forecast'!D9</f>
        <v>2019</v>
      </c>
      <c r="R107" s="155">
        <f>'Input 4 - Forecast'!E9</f>
        <v>2020</v>
      </c>
      <c r="S107" s="155">
        <f>'Input 4 - Forecast'!F9</f>
        <v>2021</v>
      </c>
      <c r="T107" s="155">
        <f>'Input 4 - Forecast'!G9</f>
        <v>2022</v>
      </c>
      <c r="U107" s="156">
        <f>'Input 4 - Forecast'!H9</f>
        <v>2023</v>
      </c>
    </row>
    <row r="108" spans="1:23">
      <c r="A108">
        <v>1</v>
      </c>
      <c r="B108" s="157" t="s">
        <v>497</v>
      </c>
      <c r="C108" s="886" t="s">
        <v>539</v>
      </c>
      <c r="D108" s="601">
        <f>(D83)*100</f>
        <v>9.932787992881476</v>
      </c>
      <c r="E108" s="601">
        <f t="shared" ref="E108:U108" si="45">(E83)*100</f>
        <v>8.4300411831384849</v>
      </c>
      <c r="F108" s="601">
        <f t="shared" si="45"/>
        <v>18.667973102801561</v>
      </c>
      <c r="G108" s="601">
        <f t="shared" si="45"/>
        <v>36.585785861520456</v>
      </c>
      <c r="H108" s="601">
        <f t="shared" si="45"/>
        <v>47.433105392994854</v>
      </c>
      <c r="I108" s="601">
        <f t="shared" si="45"/>
        <v>42.688637274506661</v>
      </c>
      <c r="J108" s="601">
        <f t="shared" si="45"/>
        <v>41.21450013760181</v>
      </c>
      <c r="K108" s="601">
        <f t="shared" si="45"/>
        <v>39.02610166998236</v>
      </c>
      <c r="L108" s="601">
        <f t="shared" si="45"/>
        <v>40.900987938816407</v>
      </c>
      <c r="M108" s="601">
        <f t="shared" si="45"/>
        <v>36.589911384404253</v>
      </c>
      <c r="N108" s="601">
        <f t="shared" si="45"/>
        <v>40.167456396322947</v>
      </c>
      <c r="O108" s="601">
        <f t="shared" si="45"/>
        <v>39.842702208732895</v>
      </c>
      <c r="P108" s="1526">
        <f>(P83)*100</f>
        <v>37.084342131638088</v>
      </c>
      <c r="Q108" s="602">
        <f>(Q83)*100</f>
        <v>35.351552504862923</v>
      </c>
      <c r="R108" s="602">
        <f t="shared" si="45"/>
        <v>33.542090376828199</v>
      </c>
      <c r="S108" s="602">
        <f t="shared" si="45"/>
        <v>32.056160655910695</v>
      </c>
      <c r="T108" s="602">
        <f t="shared" si="45"/>
        <v>29.915873102736189</v>
      </c>
      <c r="U108" s="603">
        <f t="shared" si="45"/>
        <v>27.903074435380589</v>
      </c>
      <c r="V108" s="60"/>
    </row>
    <row r="109" spans="1:23" s="284" customFormat="1">
      <c r="B109" s="1631" t="s">
        <v>992</v>
      </c>
      <c r="C109" s="886" t="s">
        <v>539</v>
      </c>
      <c r="D109" s="601" t="str">
        <f t="shared" ref="D109:U109" si="46">IF(ISNUMBER(D8),100*D8/D38,"...")</f>
        <v>...</v>
      </c>
      <c r="E109" s="601" t="str">
        <f t="shared" si="46"/>
        <v>...</v>
      </c>
      <c r="F109" s="601" t="str">
        <f t="shared" si="46"/>
        <v>...</v>
      </c>
      <c r="G109" s="601" t="str">
        <f t="shared" si="46"/>
        <v>...</v>
      </c>
      <c r="H109" s="601" t="str">
        <f t="shared" si="46"/>
        <v>...</v>
      </c>
      <c r="I109" s="601" t="str">
        <f t="shared" si="46"/>
        <v>...</v>
      </c>
      <c r="J109" s="601" t="str">
        <f t="shared" si="46"/>
        <v>...</v>
      </c>
      <c r="K109" s="601" t="str">
        <f t="shared" si="46"/>
        <v>...</v>
      </c>
      <c r="L109" s="601" t="str">
        <f t="shared" si="46"/>
        <v>...</v>
      </c>
      <c r="M109" s="601" t="str">
        <f t="shared" si="46"/>
        <v>...</v>
      </c>
      <c r="N109" s="601" t="str">
        <f t="shared" si="46"/>
        <v>...</v>
      </c>
      <c r="O109" s="601" t="str">
        <f t="shared" si="46"/>
        <v>...</v>
      </c>
      <c r="P109" s="1526" t="str">
        <f t="shared" si="46"/>
        <v>...</v>
      </c>
      <c r="Q109" s="602" t="str">
        <f t="shared" si="46"/>
        <v>...</v>
      </c>
      <c r="R109" s="602" t="str">
        <f t="shared" si="46"/>
        <v>...</v>
      </c>
      <c r="S109" s="602" t="str">
        <f t="shared" si="46"/>
        <v>...</v>
      </c>
      <c r="T109" s="602" t="str">
        <f t="shared" si="46"/>
        <v>...</v>
      </c>
      <c r="U109" s="603" t="str">
        <f t="shared" si="46"/>
        <v>...</v>
      </c>
      <c r="V109" s="60"/>
    </row>
    <row r="110" spans="1:23" ht="10.15" customHeight="1">
      <c r="B110" s="157"/>
      <c r="C110" s="886"/>
      <c r="D110" s="601"/>
      <c r="E110" s="601"/>
      <c r="F110" s="601"/>
      <c r="G110" s="601"/>
      <c r="H110" s="601"/>
      <c r="I110" s="601"/>
      <c r="J110" s="601"/>
      <c r="K110" s="601"/>
      <c r="L110" s="601"/>
      <c r="M110" s="601"/>
      <c r="N110" s="601"/>
      <c r="O110" s="601"/>
      <c r="P110" s="1526"/>
      <c r="Q110" s="602"/>
      <c r="R110" s="602"/>
      <c r="S110" s="602"/>
      <c r="T110" s="602"/>
      <c r="U110" s="603"/>
      <c r="V110" s="60"/>
    </row>
    <row r="111" spans="1:23">
      <c r="B111" s="158" t="s">
        <v>551</v>
      </c>
      <c r="C111" s="886" t="s">
        <v>539</v>
      </c>
      <c r="D111" s="601">
        <f t="shared" ref="D111:U111" si="47">(((D13+D20)/D38))*100</f>
        <v>0.28228987722115828</v>
      </c>
      <c r="E111" s="601">
        <f t="shared" si="47"/>
        <v>0.17557940215739418</v>
      </c>
      <c r="F111" s="601">
        <f t="shared" si="47"/>
        <v>2.5627397144221487</v>
      </c>
      <c r="G111" s="601">
        <f t="shared" si="47"/>
        <v>4.4869489478091884</v>
      </c>
      <c r="H111" s="601">
        <f t="shared" si="47"/>
        <v>6.5130902849926215</v>
      </c>
      <c r="I111" s="601">
        <f t="shared" si="47"/>
        <v>7.2425510383353</v>
      </c>
      <c r="J111" s="601">
        <f t="shared" si="47"/>
        <v>9.4616406708947878</v>
      </c>
      <c r="K111" s="601">
        <f t="shared" si="47"/>
        <v>9.1423213916258597</v>
      </c>
      <c r="L111" s="601">
        <f t="shared" si="47"/>
        <v>8.6629532708229426</v>
      </c>
      <c r="M111" s="601">
        <f t="shared" si="47"/>
        <v>6.4676893284809855</v>
      </c>
      <c r="N111" s="601">
        <f t="shared" si="47"/>
        <v>0.12050236918896995</v>
      </c>
      <c r="O111" s="601">
        <f t="shared" si="47"/>
        <v>3.9842702208729652E-2</v>
      </c>
      <c r="P111" s="1526">
        <f t="shared" si="47"/>
        <v>2.4219163526862719E-2</v>
      </c>
      <c r="Q111" s="602">
        <f t="shared" si="47"/>
        <v>2.0643487859072166E-2</v>
      </c>
      <c r="R111" s="602">
        <f t="shared" si="47"/>
        <v>-1.8259086309532213</v>
      </c>
      <c r="S111" s="602">
        <f t="shared" si="47"/>
        <v>-2.737368931148751</v>
      </c>
      <c r="T111" s="602">
        <f t="shared" si="47"/>
        <v>-2.5963203032486284</v>
      </c>
      <c r="U111" s="603">
        <f t="shared" si="47"/>
        <v>-2.4643075595625614</v>
      </c>
      <c r="V111" s="60"/>
    </row>
    <row r="112" spans="1:23">
      <c r="B112" s="158" t="s">
        <v>552</v>
      </c>
      <c r="C112" s="886" t="s">
        <v>539</v>
      </c>
      <c r="D112" s="601">
        <f t="shared" ref="D112:U112" si="48">(((D11+D19)/D38))*100</f>
        <v>9.6504981156603158</v>
      </c>
      <c r="E112" s="601">
        <f t="shared" si="48"/>
        <v>8.2544617809810905</v>
      </c>
      <c r="F112" s="601">
        <f t="shared" si="48"/>
        <v>16.105233388379411</v>
      </c>
      <c r="G112" s="601">
        <f t="shared" si="48"/>
        <v>32.098836913711267</v>
      </c>
      <c r="H112" s="601">
        <f t="shared" si="48"/>
        <v>40.920015108002239</v>
      </c>
      <c r="I112" s="601">
        <f t="shared" si="48"/>
        <v>35.446086236171354</v>
      </c>
      <c r="J112" s="601">
        <f t="shared" si="48"/>
        <v>31.752859466707022</v>
      </c>
      <c r="K112" s="601">
        <f t="shared" si="48"/>
        <v>29.883780278356504</v>
      </c>
      <c r="L112" s="601">
        <f t="shared" si="48"/>
        <v>32.238034667993468</v>
      </c>
      <c r="M112" s="601">
        <f t="shared" si="48"/>
        <v>30.12222205592327</v>
      </c>
      <c r="N112" s="601">
        <f t="shared" si="48"/>
        <v>40.046954027133978</v>
      </c>
      <c r="O112" s="601">
        <f t="shared" si="48"/>
        <v>39.802859506524172</v>
      </c>
      <c r="P112" s="1527">
        <f t="shared" si="48"/>
        <v>37.060122968111223</v>
      </c>
      <c r="Q112" s="601">
        <f t="shared" si="48"/>
        <v>35.330909017003854</v>
      </c>
      <c r="R112" s="601">
        <f t="shared" si="48"/>
        <v>35.367999007781421</v>
      </c>
      <c r="S112" s="601">
        <f t="shared" si="48"/>
        <v>34.793529587059439</v>
      </c>
      <c r="T112" s="601">
        <f t="shared" si="48"/>
        <v>32.512193405984824</v>
      </c>
      <c r="U112" s="604">
        <f t="shared" si="48"/>
        <v>30.367381994943148</v>
      </c>
      <c r="V112" s="60"/>
    </row>
    <row r="113" spans="1:23" s="284" customFormat="1" ht="10.15" customHeight="1">
      <c r="B113" s="158"/>
      <c r="C113" s="886"/>
      <c r="D113" s="601"/>
      <c r="E113" s="601"/>
      <c r="F113" s="601"/>
      <c r="G113" s="601"/>
      <c r="H113" s="601"/>
      <c r="I113" s="601"/>
      <c r="J113" s="601"/>
      <c r="K113" s="601"/>
      <c r="L113" s="601"/>
      <c r="M113" s="601"/>
      <c r="N113" s="601"/>
      <c r="O113" s="601"/>
      <c r="P113" s="1527"/>
      <c r="Q113" s="601"/>
      <c r="R113" s="601"/>
      <c r="S113" s="601"/>
      <c r="T113" s="601"/>
      <c r="U113" s="604"/>
      <c r="V113" s="60"/>
    </row>
    <row r="114" spans="1:23">
      <c r="B114" s="158" t="s">
        <v>303</v>
      </c>
      <c r="C114" s="886" t="s">
        <v>539</v>
      </c>
      <c r="D114" s="601">
        <f t="shared" ref="D114:U114" si="49">(((D15+D21)/D38))*100</f>
        <v>0.65231520206433746</v>
      </c>
      <c r="E114" s="601">
        <f t="shared" si="49"/>
        <v>0.64240844762261773</v>
      </c>
      <c r="F114" s="601">
        <f t="shared" si="49"/>
        <v>6.6795831915711865</v>
      </c>
      <c r="G114" s="601">
        <f t="shared" si="49"/>
        <v>5.3271986067792509</v>
      </c>
      <c r="H114" s="601">
        <f t="shared" si="49"/>
        <v>4.9087459104004534</v>
      </c>
      <c r="I114" s="601">
        <f t="shared" si="49"/>
        <v>3.9698245967629719</v>
      </c>
      <c r="J114" s="601">
        <f t="shared" si="49"/>
        <v>2.516959429009368</v>
      </c>
      <c r="K114" s="601">
        <f t="shared" si="49"/>
        <v>2.0118150203093155</v>
      </c>
      <c r="L114" s="601">
        <f t="shared" si="49"/>
        <v>2.1692203580778067</v>
      </c>
      <c r="M114" s="601">
        <f t="shared" si="49"/>
        <v>1.7519215615713013</v>
      </c>
      <c r="N114" s="601">
        <f t="shared" si="49"/>
        <v>1.6406870252605652</v>
      </c>
      <c r="O114" s="601">
        <f t="shared" si="49"/>
        <v>3.4089930491025511</v>
      </c>
      <c r="P114" s="1527">
        <f t="shared" si="49"/>
        <v>-0.90637668191912157</v>
      </c>
      <c r="Q114" s="601">
        <f t="shared" si="49"/>
        <v>-1.7855444540251559</v>
      </c>
      <c r="R114" s="601">
        <f t="shared" si="49"/>
        <v>-3.3791113233439813</v>
      </c>
      <c r="S114" s="601">
        <f t="shared" si="49"/>
        <v>-1.9363203152078956</v>
      </c>
      <c r="T114" s="601">
        <f t="shared" si="49"/>
        <v>-3.4464207305365404</v>
      </c>
      <c r="U114" s="604">
        <f t="shared" si="49"/>
        <v>-4.1752988973412455</v>
      </c>
      <c r="V114" s="60"/>
    </row>
    <row r="115" spans="1:23">
      <c r="B115" s="158" t="s">
        <v>430</v>
      </c>
      <c r="C115" s="886" t="s">
        <v>539</v>
      </c>
      <c r="D115" s="601">
        <f t="shared" ref="D115:U115" si="50">(((D16+D22)/D38))*100</f>
        <v>8.9052854207920724</v>
      </c>
      <c r="E115" s="601">
        <f t="shared" si="50"/>
        <v>7.4041565043362905</v>
      </c>
      <c r="F115" s="601">
        <f t="shared" si="50"/>
        <v>11.499244288842025</v>
      </c>
      <c r="G115" s="601">
        <f t="shared" si="50"/>
        <v>30.466330259542971</v>
      </c>
      <c r="H115" s="601">
        <f t="shared" si="50"/>
        <v>41.928085039698949</v>
      </c>
      <c r="I115" s="601">
        <f t="shared" si="50"/>
        <v>38.69812583618554</v>
      </c>
      <c r="J115" s="601">
        <f t="shared" si="50"/>
        <v>38.697540708592435</v>
      </c>
      <c r="K115" s="601">
        <f t="shared" si="50"/>
        <v>37.014277872580131</v>
      </c>
      <c r="L115" s="601">
        <f t="shared" si="50"/>
        <v>38.767693321449258</v>
      </c>
      <c r="M115" s="601">
        <f t="shared" si="50"/>
        <v>35.062328939367745</v>
      </c>
      <c r="N115" s="601">
        <f t="shared" si="50"/>
        <v>38.665048945026129</v>
      </c>
      <c r="O115" s="601">
        <f t="shared" si="50"/>
        <v>36.567271565597324</v>
      </c>
      <c r="P115" s="1527">
        <f t="shared" si="50"/>
        <v>37.990718813557208</v>
      </c>
      <c r="Q115" s="601">
        <f t="shared" si="50"/>
        <v>37.13709695888808</v>
      </c>
      <c r="R115" s="601">
        <f t="shared" si="50"/>
        <v>36.921201700172176</v>
      </c>
      <c r="S115" s="601">
        <f t="shared" si="50"/>
        <v>33.992480971118589</v>
      </c>
      <c r="T115" s="601">
        <f t="shared" si="50"/>
        <v>33.362293833272737</v>
      </c>
      <c r="U115" s="604">
        <f t="shared" si="50"/>
        <v>32.078373332721831</v>
      </c>
      <c r="V115" s="60"/>
    </row>
    <row r="116" spans="1:23" s="284" customFormat="1" ht="10.15" customHeight="1">
      <c r="B116" s="158"/>
      <c r="C116" s="886"/>
      <c r="D116" s="601"/>
      <c r="E116" s="601"/>
      <c r="F116" s="601"/>
      <c r="G116" s="601"/>
      <c r="H116" s="601"/>
      <c r="I116" s="601"/>
      <c r="J116" s="601"/>
      <c r="K116" s="601"/>
      <c r="L116" s="601"/>
      <c r="M116" s="601"/>
      <c r="N116" s="601"/>
      <c r="O116" s="601"/>
      <c r="P116" s="1527"/>
      <c r="Q116" s="601"/>
      <c r="R116" s="601"/>
      <c r="S116" s="601"/>
      <c r="T116" s="601"/>
      <c r="U116" s="604"/>
      <c r="V116" s="60"/>
    </row>
    <row r="117" spans="1:23">
      <c r="B117" s="159" t="s">
        <v>545</v>
      </c>
      <c r="C117" s="886" t="s">
        <v>870</v>
      </c>
      <c r="D117" s="601">
        <f t="shared" ref="D117:U117" si="51">(((D15+D21)/D7))*100</f>
        <v>6.567292109041607</v>
      </c>
      <c r="E117" s="601">
        <f t="shared" si="51"/>
        <v>7.6204663021996133</v>
      </c>
      <c r="F117" s="601">
        <f t="shared" si="51"/>
        <v>35.780977156908165</v>
      </c>
      <c r="G117" s="601">
        <f t="shared" si="51"/>
        <v>14.560842363597267</v>
      </c>
      <c r="H117" s="601">
        <f t="shared" si="51"/>
        <v>10.348776175901399</v>
      </c>
      <c r="I117" s="601">
        <f t="shared" si="51"/>
        <v>9.2994877565082703</v>
      </c>
      <c r="J117" s="601">
        <f t="shared" si="51"/>
        <v>6.1069755076637078</v>
      </c>
      <c r="K117" s="601">
        <f t="shared" si="51"/>
        <v>5.1550499133167058</v>
      </c>
      <c r="L117" s="601">
        <f t="shared" si="51"/>
        <v>5.3035891488067062</v>
      </c>
      <c r="M117" s="601">
        <f t="shared" si="51"/>
        <v>4.7879907200814493</v>
      </c>
      <c r="N117" s="601">
        <f t="shared" si="51"/>
        <v>4.0846176792283986</v>
      </c>
      <c r="O117" s="601">
        <f t="shared" si="51"/>
        <v>8.556129128097524</v>
      </c>
      <c r="P117" s="1527">
        <f t="shared" si="51"/>
        <v>-2.4440953508134546</v>
      </c>
      <c r="Q117" s="601">
        <f t="shared" si="51"/>
        <v>-5.0508233090457288</v>
      </c>
      <c r="R117" s="601">
        <f t="shared" si="51"/>
        <v>-10.074241901388366</v>
      </c>
      <c r="S117" s="601">
        <f t="shared" si="51"/>
        <v>-6.0403999592847883</v>
      </c>
      <c r="T117" s="601">
        <f t="shared" si="51"/>
        <v>-11.520374881591943</v>
      </c>
      <c r="U117" s="604">
        <f t="shared" si="51"/>
        <v>-14.96358011376353</v>
      </c>
      <c r="V117" s="60"/>
    </row>
    <row r="118" spans="1:23">
      <c r="B118" s="159" t="s">
        <v>553</v>
      </c>
      <c r="C118" s="886" t="s">
        <v>870</v>
      </c>
      <c r="D118" s="601">
        <f t="shared" ref="D118:U118" si="52">(((D13+D20)/D7))*100</f>
        <v>2.8420004275080348</v>
      </c>
      <c r="E118" s="601">
        <f t="shared" si="52"/>
        <v>2.0827822586274292</v>
      </c>
      <c r="F118" s="601">
        <f t="shared" si="52"/>
        <v>13.728001965235052</v>
      </c>
      <c r="G118" s="601">
        <f t="shared" si="52"/>
        <v>12.264186328517249</v>
      </c>
      <c r="H118" s="601">
        <f t="shared" si="52"/>
        <v>13.73110664172223</v>
      </c>
      <c r="I118" s="601">
        <f t="shared" si="52"/>
        <v>16.965992593679019</v>
      </c>
      <c r="J118" s="601">
        <f t="shared" si="52"/>
        <v>22.957067632278559</v>
      </c>
      <c r="K118" s="601">
        <f t="shared" si="52"/>
        <v>23.426171204432244</v>
      </c>
      <c r="L118" s="601">
        <f t="shared" si="52"/>
        <v>21.180303233217284</v>
      </c>
      <c r="M118" s="601">
        <f t="shared" si="52"/>
        <v>17.676154666058345</v>
      </c>
      <c r="N118" s="601">
        <f t="shared" si="52"/>
        <v>0.30000000000000276</v>
      </c>
      <c r="O118" s="601">
        <f t="shared" si="52"/>
        <v>9.9999999999991873E-2</v>
      </c>
      <c r="P118" s="1527">
        <f t="shared" si="52"/>
        <v>6.5308327274330738E-2</v>
      </c>
      <c r="Q118" s="601">
        <f t="shared" si="52"/>
        <v>5.8394855095069635E-2</v>
      </c>
      <c r="R118" s="601">
        <f t="shared" si="52"/>
        <v>-5.4436339847638395</v>
      </c>
      <c r="S118" s="601">
        <f t="shared" si="52"/>
        <v>-8.5392912786142396</v>
      </c>
      <c r="T118" s="601">
        <f t="shared" si="52"/>
        <v>-8.6787381880262124</v>
      </c>
      <c r="U118" s="604">
        <f t="shared" si="52"/>
        <v>-8.8316703783647039</v>
      </c>
      <c r="V118" s="60"/>
    </row>
    <row r="119" spans="1:23" s="284" customFormat="1" ht="6" customHeight="1">
      <c r="B119" s="629"/>
      <c r="C119" s="886"/>
      <c r="D119" s="628"/>
      <c r="E119" s="628"/>
      <c r="F119" s="628"/>
      <c r="G119" s="628"/>
      <c r="H119" s="628"/>
      <c r="I119" s="628"/>
      <c r="J119" s="628"/>
      <c r="K119" s="628"/>
      <c r="L119" s="628"/>
      <c r="M119" s="628"/>
      <c r="N119" s="628"/>
      <c r="O119" s="628"/>
      <c r="P119" s="1528"/>
      <c r="Q119" s="628"/>
      <c r="R119" s="628"/>
      <c r="S119" s="628"/>
      <c r="T119" s="628"/>
      <c r="U119" s="630"/>
      <c r="V119" s="60"/>
    </row>
    <row r="120" spans="1:23" s="284" customFormat="1">
      <c r="B120" s="159" t="s">
        <v>442</v>
      </c>
      <c r="C120" s="886" t="s">
        <v>539</v>
      </c>
      <c r="D120" s="601">
        <f>IFERROR(D89*100,"")</f>
        <v>0.92723274755867147</v>
      </c>
      <c r="E120" s="589">
        <f t="shared" ref="E120:M120" si="53">IFERROR(E89*100,"")</f>
        <v>0.87285714646144763</v>
      </c>
      <c r="F120" s="601">
        <f t="shared" si="53"/>
        <v>4.7660087876446493</v>
      </c>
      <c r="G120" s="601">
        <f t="shared" si="53"/>
        <v>10.66729386458824</v>
      </c>
      <c r="H120" s="601">
        <f t="shared" si="53"/>
        <v>10.451691590550746</v>
      </c>
      <c r="I120" s="601">
        <f t="shared" si="53"/>
        <v>6.1134246716493461</v>
      </c>
      <c r="J120" s="601">
        <f t="shared" si="53"/>
        <v>2.9083306919481746</v>
      </c>
      <c r="K120" s="601">
        <f t="shared" si="53"/>
        <v>2.6746961853174351</v>
      </c>
      <c r="L120" s="601">
        <f t="shared" si="53"/>
        <v>2.951804507403907</v>
      </c>
      <c r="M120" s="601">
        <f t="shared" si="53"/>
        <v>2.7248567905592016</v>
      </c>
      <c r="N120" s="601">
        <f t="shared" ref="N120:U120" si="54">N89*100</f>
        <v>0.97616864053149377</v>
      </c>
      <c r="O120" s="601">
        <f t="shared" si="54"/>
        <v>1.5203756467637319</v>
      </c>
      <c r="P120" s="1527">
        <f t="shared" si="54"/>
        <v>3.5984842323630626</v>
      </c>
      <c r="Q120" s="601">
        <f t="shared" si="54"/>
        <v>2.736884117115657</v>
      </c>
      <c r="R120" s="601">
        <f t="shared" si="54"/>
        <v>2.3965618199100005</v>
      </c>
      <c r="S120" s="601">
        <f t="shared" si="54"/>
        <v>1.2003971380328871</v>
      </c>
      <c r="T120" s="601">
        <f t="shared" si="54"/>
        <v>-1.4862612076263433</v>
      </c>
      <c r="U120" s="604">
        <f t="shared" si="54"/>
        <v>-2.2506508944660197</v>
      </c>
      <c r="V120" s="60"/>
    </row>
    <row r="121" spans="1:23" s="284" customFormat="1">
      <c r="B121" s="157" t="s">
        <v>499</v>
      </c>
      <c r="C121" s="886" t="s">
        <v>539</v>
      </c>
      <c r="D121" s="601" t="str">
        <f t="shared" ref="D121:U121" si="55">IF(NetDebt="Yes",D92*100,"")</f>
        <v/>
      </c>
      <c r="E121" s="601" t="str">
        <f t="shared" si="55"/>
        <v/>
      </c>
      <c r="F121" s="601" t="str">
        <f t="shared" si="55"/>
        <v/>
      </c>
      <c r="G121" s="601" t="str">
        <f t="shared" si="55"/>
        <v/>
      </c>
      <c r="H121" s="601" t="str">
        <f t="shared" si="55"/>
        <v/>
      </c>
      <c r="I121" s="601" t="str">
        <f t="shared" si="55"/>
        <v/>
      </c>
      <c r="J121" s="601" t="str">
        <f t="shared" si="55"/>
        <v/>
      </c>
      <c r="K121" s="601" t="str">
        <f t="shared" si="55"/>
        <v/>
      </c>
      <c r="L121" s="601" t="str">
        <f t="shared" si="55"/>
        <v/>
      </c>
      <c r="M121" s="601" t="str">
        <f t="shared" si="55"/>
        <v/>
      </c>
      <c r="N121" s="601" t="str">
        <f t="shared" si="55"/>
        <v/>
      </c>
      <c r="O121" s="601" t="str">
        <f t="shared" si="55"/>
        <v/>
      </c>
      <c r="P121" s="1526" t="str">
        <f t="shared" si="55"/>
        <v/>
      </c>
      <c r="Q121" s="602" t="str">
        <f t="shared" si="55"/>
        <v/>
      </c>
      <c r="R121" s="602" t="str">
        <f t="shared" si="55"/>
        <v/>
      </c>
      <c r="S121" s="602" t="str">
        <f t="shared" si="55"/>
        <v/>
      </c>
      <c r="T121" s="602" t="str">
        <f t="shared" si="55"/>
        <v/>
      </c>
      <c r="U121" s="603" t="str">
        <f t="shared" si="55"/>
        <v/>
      </c>
      <c r="V121" s="60"/>
    </row>
    <row r="122" spans="1:23" s="284" customFormat="1">
      <c r="B122" s="157" t="s">
        <v>497</v>
      </c>
      <c r="C122" s="886" t="s">
        <v>876</v>
      </c>
      <c r="D122" s="601" t="e">
        <f t="shared" ref="D122:U122" si="56">IF(DebttoPotentialGDP="Yes",D95*100,"")</f>
        <v>#DIV/0!</v>
      </c>
      <c r="E122" s="601" t="e">
        <f t="shared" si="56"/>
        <v>#DIV/0!</v>
      </c>
      <c r="F122" s="601" t="e">
        <f t="shared" si="56"/>
        <v>#DIV/0!</v>
      </c>
      <c r="G122" s="601" t="e">
        <f t="shared" si="56"/>
        <v>#DIV/0!</v>
      </c>
      <c r="H122" s="601" t="e">
        <f t="shared" si="56"/>
        <v>#DIV/0!</v>
      </c>
      <c r="I122" s="601" t="e">
        <f t="shared" si="56"/>
        <v>#DIV/0!</v>
      </c>
      <c r="J122" s="601" t="e">
        <f t="shared" si="56"/>
        <v>#DIV/0!</v>
      </c>
      <c r="K122" s="601" t="e">
        <f t="shared" si="56"/>
        <v>#DIV/0!</v>
      </c>
      <c r="L122" s="601" t="e">
        <f t="shared" si="56"/>
        <v>#DIV/0!</v>
      </c>
      <c r="M122" s="601" t="e">
        <f t="shared" si="56"/>
        <v>#DIV/0!</v>
      </c>
      <c r="N122" s="601" t="e">
        <f t="shared" si="56"/>
        <v>#DIV/0!</v>
      </c>
      <c r="O122" s="601" t="e">
        <f t="shared" si="56"/>
        <v>#DIV/0!</v>
      </c>
      <c r="P122" s="1526" t="e">
        <f t="shared" si="56"/>
        <v>#VALUE!</v>
      </c>
      <c r="Q122" s="602" t="e">
        <f t="shared" si="56"/>
        <v>#VALUE!</v>
      </c>
      <c r="R122" s="602" t="e">
        <f t="shared" si="56"/>
        <v>#VALUE!</v>
      </c>
      <c r="S122" s="602" t="e">
        <f t="shared" si="56"/>
        <v>#VALUE!</v>
      </c>
      <c r="T122" s="602" t="e">
        <f t="shared" si="56"/>
        <v>#VALUE!</v>
      </c>
      <c r="U122" s="603" t="e">
        <f t="shared" si="56"/>
        <v>#VALUE!</v>
      </c>
      <c r="V122" s="60"/>
    </row>
    <row r="123" spans="1:23" ht="6" customHeight="1" thickBot="1">
      <c r="B123" s="151"/>
      <c r="C123" s="886"/>
      <c r="D123" s="153"/>
      <c r="E123" s="153"/>
      <c r="F123" s="153"/>
      <c r="G123" s="153"/>
      <c r="H123" s="153"/>
      <c r="I123" s="153"/>
      <c r="J123" s="153"/>
      <c r="K123" s="153"/>
      <c r="L123" s="153"/>
      <c r="M123" s="153"/>
      <c r="N123" s="153"/>
      <c r="O123" s="153"/>
      <c r="P123" s="1529"/>
      <c r="Q123" s="589"/>
      <c r="R123" s="589"/>
      <c r="S123" s="589"/>
      <c r="T123" s="589"/>
      <c r="U123" s="590"/>
      <c r="V123" s="60"/>
    </row>
    <row r="124" spans="1:23" s="284" customFormat="1" ht="21.75" customHeight="1" thickBot="1">
      <c r="B124" s="937" t="s">
        <v>550</v>
      </c>
      <c r="C124" s="938"/>
      <c r="D124" s="940"/>
      <c r="E124" s="940"/>
      <c r="F124" s="940"/>
      <c r="G124" s="940"/>
      <c r="H124" s="940"/>
      <c r="I124" s="940"/>
      <c r="J124" s="940"/>
      <c r="K124" s="940"/>
      <c r="L124" s="940"/>
      <c r="M124" s="940"/>
      <c r="N124" s="940"/>
      <c r="O124" s="940"/>
      <c r="P124" s="1611"/>
      <c r="Q124" s="940"/>
      <c r="R124" s="940"/>
      <c r="S124" s="940"/>
      <c r="T124" s="940"/>
      <c r="U124" s="1612"/>
      <c r="V124" s="135" t="s">
        <v>778</v>
      </c>
      <c r="W124" s="287" t="s">
        <v>792</v>
      </c>
    </row>
    <row r="125" spans="1:23" s="284" customFormat="1" ht="6" customHeight="1">
      <c r="B125" s="1666"/>
      <c r="C125" s="256"/>
      <c r="D125" s="635"/>
      <c r="E125" s="635"/>
      <c r="F125" s="635"/>
      <c r="G125" s="635"/>
      <c r="H125" s="635"/>
      <c r="I125" s="635"/>
      <c r="J125" s="635"/>
      <c r="K125" s="635"/>
      <c r="L125" s="635"/>
      <c r="M125" s="635"/>
      <c r="N125" s="635"/>
      <c r="O125" s="635"/>
      <c r="P125" s="1677"/>
      <c r="Q125" s="1678"/>
      <c r="R125" s="1678"/>
      <c r="S125" s="1678"/>
      <c r="T125" s="1678"/>
      <c r="U125" s="1679"/>
      <c r="V125" s="1688"/>
    </row>
    <row r="126" spans="1:23">
      <c r="A126">
        <v>2</v>
      </c>
      <c r="B126" s="1666" t="s">
        <v>498</v>
      </c>
      <c r="C126" s="256" t="s">
        <v>539</v>
      </c>
      <c r="D126" s="635"/>
      <c r="E126" s="1667">
        <f>((E108-D108))</f>
        <v>-1.502746809742991</v>
      </c>
      <c r="F126" s="1667">
        <f t="shared" ref="F126:U126" si="57">((F108-E108))</f>
        <v>10.237931919663076</v>
      </c>
      <c r="G126" s="1667">
        <f t="shared" si="57"/>
        <v>17.917812758718895</v>
      </c>
      <c r="H126" s="1667">
        <f t="shared" si="57"/>
        <v>10.847319531474398</v>
      </c>
      <c r="I126" s="1667">
        <f t="shared" si="57"/>
        <v>-4.7444681184881929</v>
      </c>
      <c r="J126" s="1667">
        <f t="shared" si="57"/>
        <v>-1.4741371369048508</v>
      </c>
      <c r="K126" s="1667">
        <f t="shared" si="57"/>
        <v>-2.1883984676194501</v>
      </c>
      <c r="L126" s="1667">
        <f t="shared" si="57"/>
        <v>1.8748862688340466</v>
      </c>
      <c r="M126" s="1667">
        <f t="shared" si="57"/>
        <v>-4.3110765544121534</v>
      </c>
      <c r="N126" s="1667">
        <f t="shared" si="57"/>
        <v>3.5775450119186942</v>
      </c>
      <c r="O126" s="1667">
        <f t="shared" si="57"/>
        <v>-0.32475418759005237</v>
      </c>
      <c r="P126" s="1680">
        <f>((P108-O108))</f>
        <v>-2.7583600770948067</v>
      </c>
      <c r="Q126" s="1681">
        <f t="shared" si="57"/>
        <v>-1.7327896267751655</v>
      </c>
      <c r="R126" s="1681">
        <f t="shared" si="57"/>
        <v>-1.8094621280347241</v>
      </c>
      <c r="S126" s="1681">
        <f t="shared" si="57"/>
        <v>-1.485929720917504</v>
      </c>
      <c r="T126" s="1681">
        <f t="shared" si="57"/>
        <v>-2.140287553174506</v>
      </c>
      <c r="U126" s="1682">
        <f t="shared" si="57"/>
        <v>-2.0127986673556002</v>
      </c>
      <c r="V126" s="1686">
        <f>SUM(P126:U126)</f>
        <v>-11.939627773352306</v>
      </c>
      <c r="W126" s="60">
        <f>U132+U137</f>
        <v>-0.97986068503571344</v>
      </c>
    </row>
    <row r="127" spans="1:23" ht="6" customHeight="1">
      <c r="B127" s="1666"/>
      <c r="C127" s="256"/>
      <c r="D127" s="635"/>
      <c r="E127" s="635"/>
      <c r="F127" s="635"/>
      <c r="G127" s="635"/>
      <c r="H127" s="635"/>
      <c r="I127" s="635"/>
      <c r="J127" s="635"/>
      <c r="K127" s="635"/>
      <c r="L127" s="635"/>
      <c r="M127" s="635"/>
      <c r="N127" s="635"/>
      <c r="O127" s="635"/>
      <c r="P127" s="1677"/>
      <c r="Q127" s="1678"/>
      <c r="R127" s="1678"/>
      <c r="S127" s="1678"/>
      <c r="T127" s="1678"/>
      <c r="U127" s="1679"/>
      <c r="V127" s="1686"/>
    </row>
    <row r="128" spans="1:23">
      <c r="A128">
        <v>3</v>
      </c>
      <c r="B128" s="1668" t="s">
        <v>54</v>
      </c>
      <c r="C128" s="256" t="s">
        <v>539</v>
      </c>
      <c r="D128" s="635"/>
      <c r="E128" s="635">
        <f>E129+E132+E137</f>
        <v>-1.3738844059452222</v>
      </c>
      <c r="F128" s="635">
        <f t="shared" ref="F128:O128" si="58">F129+F132+F137</f>
        <v>4.4464073025301643</v>
      </c>
      <c r="G128" s="635">
        <f t="shared" si="58"/>
        <v>16.792978743599289</v>
      </c>
      <c r="H128" s="635">
        <f t="shared" si="58"/>
        <v>12.342683466118313</v>
      </c>
      <c r="I128" s="635">
        <f t="shared" si="58"/>
        <v>0.82567670196490361</v>
      </c>
      <c r="J128" s="635">
        <f t="shared" si="58"/>
        <v>0.23923074677487199</v>
      </c>
      <c r="K128" s="635">
        <f t="shared" si="58"/>
        <v>1.7022511448641655</v>
      </c>
      <c r="L128" s="635">
        <f t="shared" si="58"/>
        <v>0.84654983114904814</v>
      </c>
      <c r="M128" s="635">
        <f t="shared" si="58"/>
        <v>0.91529350033589285</v>
      </c>
      <c r="N128" s="635">
        <f t="shared" si="58"/>
        <v>-0.10089007745662001</v>
      </c>
      <c r="O128" s="635">
        <f t="shared" si="58"/>
        <v>-1.295965730159149</v>
      </c>
      <c r="P128" s="1677">
        <f t="shared" ref="P128:U128" si="59">P129+P132+P137</f>
        <v>-2.5865187669713725</v>
      </c>
      <c r="Q128" s="1678">
        <f t="shared" si="59"/>
        <v>-1.5732618347138347</v>
      </c>
      <c r="R128" s="1678">
        <f t="shared" si="59"/>
        <v>-1.6459621280347225</v>
      </c>
      <c r="S128" s="1678">
        <f t="shared" si="59"/>
        <v>-1.3224297209175089</v>
      </c>
      <c r="T128" s="1678">
        <f t="shared" si="59"/>
        <v>-1.9767875531744978</v>
      </c>
      <c r="U128" s="1679">
        <f t="shared" si="59"/>
        <v>-1.8528714480156938</v>
      </c>
      <c r="V128" s="1686">
        <f t="shared" ref="V128:V141" si="60">SUM(P128:U128)</f>
        <v>-10.95783145182763</v>
      </c>
    </row>
    <row r="129" spans="1:23">
      <c r="A129">
        <v>4</v>
      </c>
      <c r="B129" s="1669" t="s">
        <v>55</v>
      </c>
      <c r="C129" s="256" t="s">
        <v>539</v>
      </c>
      <c r="D129" s="635"/>
      <c r="E129" s="635">
        <f>(E131-E130)</f>
        <v>0.65863984763110039</v>
      </c>
      <c r="F129" s="635">
        <f>(F131-F130)</f>
        <v>4.510654182426471</v>
      </c>
      <c r="G129" s="635">
        <f t="shared" ref="G129:U129" si="61">(G131-G130)</f>
        <v>9.6884231788513091</v>
      </c>
      <c r="H129" s="635">
        <f t="shared" si="61"/>
        <v>9.1471227844582117</v>
      </c>
      <c r="I129" s="635">
        <f t="shared" si="61"/>
        <v>4.7633915406875005</v>
      </c>
      <c r="J129" s="635">
        <f t="shared" si="61"/>
        <v>1.5073829551861238</v>
      </c>
      <c r="K129" s="635">
        <f t="shared" si="61"/>
        <v>1.466213370777588</v>
      </c>
      <c r="L129" s="635">
        <f t="shared" si="61"/>
        <v>1.8206327054309952</v>
      </c>
      <c r="M129" s="635">
        <f t="shared" si="61"/>
        <v>1.6295013174988924</v>
      </c>
      <c r="N129" s="635">
        <f t="shared" si="61"/>
        <v>0.1302037464969672</v>
      </c>
      <c r="O129" s="635">
        <f>(O131-O130)</f>
        <v>0.73983496353501721</v>
      </c>
      <c r="P129" s="1677">
        <f t="shared" si="61"/>
        <v>5.2301873674018395E-2</v>
      </c>
      <c r="Q129" s="1678">
        <f t="shared" si="61"/>
        <v>-4.6597896115336823E-2</v>
      </c>
      <c r="R129" s="1678">
        <f t="shared" si="61"/>
        <v>-0.30885252917780548</v>
      </c>
      <c r="S129" s="1678">
        <f t="shared" si="61"/>
        <v>-0.2214772325358112</v>
      </c>
      <c r="T129" s="1678">
        <f t="shared" si="61"/>
        <v>-0.87301076297997326</v>
      </c>
      <c r="U129" s="1679">
        <f t="shared" si="61"/>
        <v>-0.87301076297998037</v>
      </c>
      <c r="V129" s="1686">
        <f t="shared" si="60"/>
        <v>-2.2706473101148887</v>
      </c>
    </row>
    <row r="130" spans="1:23">
      <c r="A130">
        <v>5</v>
      </c>
      <c r="B130" s="1670" t="s">
        <v>827</v>
      </c>
      <c r="C130" s="256" t="s">
        <v>539</v>
      </c>
      <c r="D130" s="635"/>
      <c r="E130" s="635">
        <f t="shared" ref="E130:U130" si="62">(E56)*100</f>
        <v>33.330805891444918</v>
      </c>
      <c r="F130" s="635">
        <f t="shared" si="62"/>
        <v>33.135485736144389</v>
      </c>
      <c r="G130" s="635">
        <f>(G56)*100</f>
        <v>34.484731252223916</v>
      </c>
      <c r="H130" s="635">
        <f t="shared" si="62"/>
        <v>36.356022207974284</v>
      </c>
      <c r="I130" s="635">
        <f t="shared" si="62"/>
        <v>35.707458704754494</v>
      </c>
      <c r="J130" s="635">
        <f t="shared" si="62"/>
        <v>36.459568210403795</v>
      </c>
      <c r="K130" s="635">
        <f t="shared" si="62"/>
        <v>36.259926233800336</v>
      </c>
      <c r="L130" s="635">
        <f t="shared" si="62"/>
        <v>36.2907140576513</v>
      </c>
      <c r="M130" s="635">
        <f t="shared" si="62"/>
        <v>36.59449602727333</v>
      </c>
      <c r="N130" s="635">
        <f t="shared" si="62"/>
        <v>36.849257850626913</v>
      </c>
      <c r="O130" s="635">
        <f t="shared" si="62"/>
        <v>37.06610159058598</v>
      </c>
      <c r="P130" s="1677">
        <f t="shared" si="62"/>
        <v>36.781832970756888</v>
      </c>
      <c r="Q130" s="1678">
        <f t="shared" si="62"/>
        <v>35.899708650221953</v>
      </c>
      <c r="R130" s="1678">
        <f t="shared" si="62"/>
        <v>35.663219049317711</v>
      </c>
      <c r="S130" s="1678">
        <f t="shared" si="62"/>
        <v>35.111135216456816</v>
      </c>
      <c r="T130" s="1678">
        <f t="shared" si="62"/>
        <v>34.585635256377735</v>
      </c>
      <c r="U130" s="1679">
        <f t="shared" si="62"/>
        <v>34.585635256377735</v>
      </c>
      <c r="V130" s="1686">
        <f t="shared" si="60"/>
        <v>212.62716639950884</v>
      </c>
    </row>
    <row r="131" spans="1:23">
      <c r="A131">
        <v>6</v>
      </c>
      <c r="B131" s="1670" t="s">
        <v>56</v>
      </c>
      <c r="C131" s="256" t="s">
        <v>539</v>
      </c>
      <c r="D131" s="635"/>
      <c r="E131" s="635">
        <f t="shared" ref="E131:U131" si="63">(E57)*100</f>
        <v>33.989445739076018</v>
      </c>
      <c r="F131" s="635">
        <f t="shared" si="63"/>
        <v>37.64613991857086</v>
      </c>
      <c r="G131" s="635">
        <f t="shared" si="63"/>
        <v>44.173154431075226</v>
      </c>
      <c r="H131" s="635">
        <f t="shared" si="63"/>
        <v>45.503144992432496</v>
      </c>
      <c r="I131" s="635">
        <f t="shared" si="63"/>
        <v>40.470850245441994</v>
      </c>
      <c r="J131" s="635">
        <f t="shared" si="63"/>
        <v>37.966951165589919</v>
      </c>
      <c r="K131" s="635">
        <f t="shared" si="63"/>
        <v>37.726139604577924</v>
      </c>
      <c r="L131" s="635">
        <f t="shared" si="63"/>
        <v>38.111346763082295</v>
      </c>
      <c r="M131" s="635">
        <f t="shared" si="63"/>
        <v>38.223997344772222</v>
      </c>
      <c r="N131" s="635">
        <f t="shared" si="63"/>
        <v>36.97946159712388</v>
      </c>
      <c r="O131" s="635">
        <f t="shared" si="63"/>
        <v>37.805936554120997</v>
      </c>
      <c r="P131" s="1677">
        <f t="shared" si="63"/>
        <v>36.834134844430906</v>
      </c>
      <c r="Q131" s="1678">
        <f t="shared" si="63"/>
        <v>35.853110754106616</v>
      </c>
      <c r="R131" s="1678">
        <f t="shared" si="63"/>
        <v>35.354366520139905</v>
      </c>
      <c r="S131" s="1678">
        <f t="shared" si="63"/>
        <v>34.889657983921005</v>
      </c>
      <c r="T131" s="1678">
        <f t="shared" si="63"/>
        <v>33.712624493397762</v>
      </c>
      <c r="U131" s="1679">
        <f t="shared" si="63"/>
        <v>33.712624493397755</v>
      </c>
      <c r="V131" s="1686">
        <f t="shared" si="60"/>
        <v>210.35651908939394</v>
      </c>
    </row>
    <row r="132" spans="1:23">
      <c r="A132">
        <v>7</v>
      </c>
      <c r="B132" s="1671" t="s">
        <v>115</v>
      </c>
      <c r="C132" s="256" t="s">
        <v>539</v>
      </c>
      <c r="D132" s="635"/>
      <c r="E132" s="635">
        <f>E133+E136</f>
        <v>-2.0325242535763226</v>
      </c>
      <c r="F132" s="635">
        <f t="shared" ref="F132:O132" si="64">F133+F136</f>
        <v>-6.4246879896307077E-2</v>
      </c>
      <c r="G132" s="635">
        <f t="shared" si="64"/>
        <v>7.1045555647479803</v>
      </c>
      <c r="H132" s="635">
        <f t="shared" si="64"/>
        <v>3.1955606816601021</v>
      </c>
      <c r="I132" s="635">
        <f t="shared" si="64"/>
        <v>-3.9377148387225969</v>
      </c>
      <c r="J132" s="635">
        <f t="shared" si="64"/>
        <v>-1.2681522084112518</v>
      </c>
      <c r="K132" s="635">
        <f t="shared" si="64"/>
        <v>0.23603777408657745</v>
      </c>
      <c r="L132" s="635">
        <f t="shared" si="64"/>
        <v>-0.97408287428194706</v>
      </c>
      <c r="M132" s="635">
        <f t="shared" si="64"/>
        <v>-0.71420781716299953</v>
      </c>
      <c r="N132" s="635">
        <f t="shared" si="64"/>
        <v>-0.23109382395358721</v>
      </c>
      <c r="O132" s="635">
        <f t="shared" si="64"/>
        <v>-2.0358006936941662</v>
      </c>
      <c r="P132" s="1677">
        <f t="shared" ref="P132:U132" si="65">P133+P136</f>
        <v>-2.6388206406453909</v>
      </c>
      <c r="Q132" s="1678">
        <f t="shared" si="65"/>
        <v>-1.5266639385984979</v>
      </c>
      <c r="R132" s="1678">
        <f t="shared" si="65"/>
        <v>-1.337109598856917</v>
      </c>
      <c r="S132" s="1678">
        <f t="shared" si="65"/>
        <v>-1.1009524883816977</v>
      </c>
      <c r="T132" s="1678">
        <f t="shared" si="65"/>
        <v>-1.1037767901945246</v>
      </c>
      <c r="U132" s="1679">
        <f t="shared" si="65"/>
        <v>-0.97986068503571344</v>
      </c>
      <c r="V132" s="1686">
        <f t="shared" si="60"/>
        <v>-8.6871841417127413</v>
      </c>
    </row>
    <row r="133" spans="1:23">
      <c r="A133">
        <v>8</v>
      </c>
      <c r="B133" s="1672" t="s">
        <v>57</v>
      </c>
      <c r="C133" s="256" t="s">
        <v>539</v>
      </c>
      <c r="D133" s="635"/>
      <c r="E133" s="635">
        <f>E134+E135</f>
        <v>-2.0576991872903254</v>
      </c>
      <c r="F133" s="635">
        <f t="shared" ref="F133:O133" si="66">F134+F135</f>
        <v>-5.5347069464083021E-2</v>
      </c>
      <c r="G133" s="635">
        <f t="shared" si="66"/>
        <v>6.9880876735031672</v>
      </c>
      <c r="H133" s="635">
        <f t="shared" si="66"/>
        <v>3.5367765317576891</v>
      </c>
      <c r="I133" s="635">
        <f t="shared" si="66"/>
        <v>-3.7555560141556761</v>
      </c>
      <c r="J133" s="635">
        <f t="shared" si="66"/>
        <v>-1.4006208690320698</v>
      </c>
      <c r="K133" s="635">
        <f t="shared" si="66"/>
        <v>-0.17484103386836125</v>
      </c>
      <c r="L133" s="635">
        <f t="shared" si="66"/>
        <v>8.1881455764718836E-2</v>
      </c>
      <c r="M133" s="635">
        <f t="shared" si="66"/>
        <v>0.15473490522514477</v>
      </c>
      <c r="N133" s="635">
        <f t="shared" si="66"/>
        <v>-3.1452780890036669E-2</v>
      </c>
      <c r="O133" s="635">
        <f t="shared" si="66"/>
        <v>-2.0511696505060368</v>
      </c>
      <c r="P133" s="1677">
        <f t="shared" ref="P133:U133" si="67">P134+P135</f>
        <v>-2.6362649423864295</v>
      </c>
      <c r="Q133" s="1678">
        <f t="shared" si="67"/>
        <v>-1.5219197778550582</v>
      </c>
      <c r="R133" s="1678">
        <f t="shared" si="67"/>
        <v>-1.337109598856917</v>
      </c>
      <c r="S133" s="1678">
        <f t="shared" si="67"/>
        <v>-1.1009524883816977</v>
      </c>
      <c r="T133" s="1678">
        <f t="shared" si="67"/>
        <v>-1.1037767901945246</v>
      </c>
      <c r="U133" s="1679">
        <f t="shared" si="67"/>
        <v>-0.97986068503571344</v>
      </c>
      <c r="V133" s="1686">
        <f t="shared" si="60"/>
        <v>-8.6798842827103417</v>
      </c>
    </row>
    <row r="134" spans="1:23">
      <c r="A134">
        <v>9</v>
      </c>
      <c r="B134" s="1673" t="s">
        <v>126</v>
      </c>
      <c r="C134" s="256" t="s">
        <v>539</v>
      </c>
      <c r="D134" s="635"/>
      <c r="E134" s="635">
        <f t="shared" ref="E134:U134" si="68">((E70-E54*(1+E52))*D108/E142)</f>
        <v>-1.3070847422011884</v>
      </c>
      <c r="F134" s="635">
        <f t="shared" si="68"/>
        <v>-0.33290792062677221</v>
      </c>
      <c r="G134" s="635">
        <f t="shared" si="68"/>
        <v>3.5107316311871481</v>
      </c>
      <c r="H134" s="635">
        <f t="shared" si="68"/>
        <v>2.0239000566420122</v>
      </c>
      <c r="I134" s="635">
        <f t="shared" si="68"/>
        <v>-1.0815279144735539</v>
      </c>
      <c r="J134" s="635">
        <f t="shared" si="68"/>
        <v>0.19782503504061535</v>
      </c>
      <c r="K134" s="635">
        <f t="shared" si="68"/>
        <v>0.78628238062874589</v>
      </c>
      <c r="L134" s="635">
        <f t="shared" si="68"/>
        <v>0.7819852113305259</v>
      </c>
      <c r="M134" s="635">
        <f t="shared" si="68"/>
        <v>1.3351137671043429</v>
      </c>
      <c r="N134" s="635">
        <f t="shared" si="68"/>
        <v>0.70218903471474725</v>
      </c>
      <c r="O134" s="635">
        <f t="shared" si="68"/>
        <v>-0.32681462250744636</v>
      </c>
      <c r="P134" s="1677">
        <f t="shared" si="68"/>
        <v>-0.89571448286576472</v>
      </c>
      <c r="Q134" s="1678">
        <f t="shared" si="68"/>
        <v>-0.4170335016611133</v>
      </c>
      <c r="R134" s="1678">
        <f t="shared" si="68"/>
        <v>-0.33715264123137706</v>
      </c>
      <c r="S134" s="1678">
        <f t="shared" si="68"/>
        <v>-0.18295827101794179</v>
      </c>
      <c r="T134" s="1678">
        <f t="shared" si="68"/>
        <v>-0.21232518270291459</v>
      </c>
      <c r="U134" s="1679">
        <f t="shared" si="68"/>
        <v>-0.18490534017796073</v>
      </c>
      <c r="V134" s="1686">
        <f t="shared" si="60"/>
        <v>-2.2300894196570722</v>
      </c>
    </row>
    <row r="135" spans="1:23">
      <c r="A135">
        <v>10</v>
      </c>
      <c r="B135" s="1673" t="s">
        <v>77</v>
      </c>
      <c r="C135" s="256" t="s">
        <v>539</v>
      </c>
      <c r="D135" s="635"/>
      <c r="E135" s="635">
        <f t="shared" ref="E135:U135" si="69">(-E52*D108/E142)</f>
        <v>-0.75061444508913699</v>
      </c>
      <c r="F135" s="635">
        <f t="shared" si="69"/>
        <v>0.27756085116268919</v>
      </c>
      <c r="G135" s="635">
        <f t="shared" si="69"/>
        <v>3.477356042316019</v>
      </c>
      <c r="H135" s="635">
        <f t="shared" si="69"/>
        <v>1.5128764751156771</v>
      </c>
      <c r="I135" s="635">
        <f t="shared" si="69"/>
        <v>-2.674028099682122</v>
      </c>
      <c r="J135" s="635">
        <f t="shared" si="69"/>
        <v>-1.5984459040726853</v>
      </c>
      <c r="K135" s="635">
        <f t="shared" si="69"/>
        <v>-0.96112341449710714</v>
      </c>
      <c r="L135" s="635">
        <f t="shared" si="69"/>
        <v>-0.70010375556580706</v>
      </c>
      <c r="M135" s="635">
        <f t="shared" si="69"/>
        <v>-1.1803788618791982</v>
      </c>
      <c r="N135" s="635">
        <f t="shared" si="69"/>
        <v>-0.73364181560478392</v>
      </c>
      <c r="O135" s="635">
        <f t="shared" si="69"/>
        <v>-1.7243550279985904</v>
      </c>
      <c r="P135" s="1677">
        <f t="shared" si="69"/>
        <v>-1.7405504595206647</v>
      </c>
      <c r="Q135" s="1678">
        <f t="shared" si="69"/>
        <v>-1.1048862761939449</v>
      </c>
      <c r="R135" s="1678">
        <f t="shared" si="69"/>
        <v>-0.99995695762553993</v>
      </c>
      <c r="S135" s="1678">
        <f t="shared" si="69"/>
        <v>-0.91799421736375586</v>
      </c>
      <c r="T135" s="1678">
        <f t="shared" si="69"/>
        <v>-0.89145160749161001</v>
      </c>
      <c r="U135" s="1679">
        <f t="shared" si="69"/>
        <v>-0.79495534485775265</v>
      </c>
      <c r="V135" s="1686">
        <f t="shared" si="60"/>
        <v>-6.4497948630532678</v>
      </c>
    </row>
    <row r="136" spans="1:23">
      <c r="A136">
        <v>11</v>
      </c>
      <c r="B136" s="1672" t="s">
        <v>926</v>
      </c>
      <c r="C136" s="256" t="s">
        <v>539</v>
      </c>
      <c r="D136" s="635"/>
      <c r="E136" s="635">
        <f t="shared" ref="E136:O136" si="70">IF(ISNUMBER(E66),E75*D111*(1+E66)/E142,E75*D111*(1+E64)/E142)</f>
        <v>2.5174933714002652E-2</v>
      </c>
      <c r="F136" s="635">
        <f t="shared" si="70"/>
        <v>-8.8998104322240614E-3</v>
      </c>
      <c r="G136" s="635">
        <f t="shared" si="70"/>
        <v>0.11646789124481326</v>
      </c>
      <c r="H136" s="635">
        <f t="shared" si="70"/>
        <v>-0.34121585009758704</v>
      </c>
      <c r="I136" s="635">
        <f t="shared" si="70"/>
        <v>-0.18215882456692084</v>
      </c>
      <c r="J136" s="635">
        <f t="shared" si="70"/>
        <v>0.13246866062081813</v>
      </c>
      <c r="K136" s="635">
        <f t="shared" si="70"/>
        <v>0.4108788079549387</v>
      </c>
      <c r="L136" s="635">
        <f t="shared" si="70"/>
        <v>-1.0559643300466659</v>
      </c>
      <c r="M136" s="635">
        <f t="shared" si="70"/>
        <v>-0.8689427223881443</v>
      </c>
      <c r="N136" s="635">
        <f t="shared" si="70"/>
        <v>-0.19964104306355054</v>
      </c>
      <c r="O136" s="635">
        <f t="shared" si="70"/>
        <v>1.5368956811870662E-2</v>
      </c>
      <c r="P136" s="1677">
        <f t="shared" ref="P136:U136" si="71">P75*O111*(1+IF(ISNUMBER(P66),P66,0))/P142</f>
        <v>-2.555698258961472E-3</v>
      </c>
      <c r="Q136" s="1678">
        <f t="shared" si="71"/>
        <v>-4.7441607434396552E-3</v>
      </c>
      <c r="R136" s="1678">
        <f t="shared" si="71"/>
        <v>0</v>
      </c>
      <c r="S136" s="1678">
        <f t="shared" si="71"/>
        <v>0</v>
      </c>
      <c r="T136" s="1678">
        <f t="shared" si="71"/>
        <v>0</v>
      </c>
      <c r="U136" s="1679">
        <f t="shared" si="71"/>
        <v>0</v>
      </c>
      <c r="V136" s="1686">
        <f t="shared" si="60"/>
        <v>-7.2998590024011267E-3</v>
      </c>
    </row>
    <row r="137" spans="1:23">
      <c r="A137">
        <v>12</v>
      </c>
      <c r="B137" s="1671" t="s">
        <v>140</v>
      </c>
      <c r="C137" s="256" t="s">
        <v>539</v>
      </c>
      <c r="D137" s="635"/>
      <c r="E137" s="1614">
        <f>(E138+E139+E140)</f>
        <v>0</v>
      </c>
      <c r="F137" s="1614">
        <f t="shared" ref="F137:U137" si="72">(F138+F139+F140)</f>
        <v>0</v>
      </c>
      <c r="G137" s="1614">
        <f t="shared" si="72"/>
        <v>0</v>
      </c>
      <c r="H137" s="1614">
        <f t="shared" si="72"/>
        <v>0</v>
      </c>
      <c r="I137" s="1614">
        <f t="shared" si="72"/>
        <v>0</v>
      </c>
      <c r="J137" s="1614">
        <f t="shared" si="72"/>
        <v>0</v>
      </c>
      <c r="K137" s="1614">
        <f t="shared" si="72"/>
        <v>0</v>
      </c>
      <c r="L137" s="1614">
        <f t="shared" si="72"/>
        <v>0</v>
      </c>
      <c r="M137" s="1614">
        <f t="shared" si="72"/>
        <v>0</v>
      </c>
      <c r="N137" s="1614">
        <f t="shared" si="72"/>
        <v>0</v>
      </c>
      <c r="O137" s="1614">
        <f t="shared" si="72"/>
        <v>0</v>
      </c>
      <c r="P137" s="1677">
        <f>(P138+P139+P140)</f>
        <v>0</v>
      </c>
      <c r="Q137" s="1678">
        <f t="shared" si="72"/>
        <v>0</v>
      </c>
      <c r="R137" s="1678">
        <f t="shared" si="72"/>
        <v>0</v>
      </c>
      <c r="S137" s="1678">
        <f t="shared" si="72"/>
        <v>0</v>
      </c>
      <c r="T137" s="1678">
        <f t="shared" si="72"/>
        <v>0</v>
      </c>
      <c r="U137" s="1679">
        <f t="shared" si="72"/>
        <v>0</v>
      </c>
      <c r="V137" s="1686">
        <f t="shared" si="60"/>
        <v>0</v>
      </c>
    </row>
    <row r="138" spans="1:23">
      <c r="A138">
        <v>13</v>
      </c>
      <c r="B138" s="1673" t="s">
        <v>58</v>
      </c>
      <c r="C138" s="256" t="s">
        <v>539</v>
      </c>
      <c r="D138" s="635"/>
      <c r="E138" s="635">
        <f>(-E60)*100</f>
        <v>0</v>
      </c>
      <c r="F138" s="635">
        <f t="shared" ref="F138:U138" si="73">(-F60)*100</f>
        <v>0</v>
      </c>
      <c r="G138" s="635">
        <f t="shared" si="73"/>
        <v>0</v>
      </c>
      <c r="H138" s="635">
        <f t="shared" si="73"/>
        <v>0</v>
      </c>
      <c r="I138" s="635">
        <f t="shared" si="73"/>
        <v>0</v>
      </c>
      <c r="J138" s="635">
        <f t="shared" si="73"/>
        <v>0</v>
      </c>
      <c r="K138" s="635">
        <f t="shared" si="73"/>
        <v>0</v>
      </c>
      <c r="L138" s="635">
        <f t="shared" si="73"/>
        <v>0</v>
      </c>
      <c r="M138" s="635">
        <f t="shared" si="73"/>
        <v>0</v>
      </c>
      <c r="N138" s="635">
        <f t="shared" si="73"/>
        <v>0</v>
      </c>
      <c r="O138" s="635">
        <f t="shared" si="73"/>
        <v>0</v>
      </c>
      <c r="P138" s="1677">
        <f>(-P60)*100</f>
        <v>0</v>
      </c>
      <c r="Q138" s="1678">
        <f t="shared" si="73"/>
        <v>0</v>
      </c>
      <c r="R138" s="1678">
        <f t="shared" si="73"/>
        <v>0</v>
      </c>
      <c r="S138" s="1678">
        <f t="shared" si="73"/>
        <v>0</v>
      </c>
      <c r="T138" s="1678">
        <f t="shared" si="73"/>
        <v>0</v>
      </c>
      <c r="U138" s="1679">
        <f t="shared" si="73"/>
        <v>0</v>
      </c>
      <c r="V138" s="1686">
        <f t="shared" si="60"/>
        <v>0</v>
      </c>
    </row>
    <row r="139" spans="1:23">
      <c r="A139">
        <v>14</v>
      </c>
      <c r="B139" s="1673" t="s">
        <v>59</v>
      </c>
      <c r="C139" s="256" t="s">
        <v>539</v>
      </c>
      <c r="D139" s="635"/>
      <c r="E139" s="635">
        <f t="shared" ref="E139:U139" si="74">(E61)*100</f>
        <v>0</v>
      </c>
      <c r="F139" s="635">
        <f t="shared" si="74"/>
        <v>0</v>
      </c>
      <c r="G139" s="635">
        <f t="shared" si="74"/>
        <v>0</v>
      </c>
      <c r="H139" s="635">
        <f t="shared" si="74"/>
        <v>0</v>
      </c>
      <c r="I139" s="635">
        <f t="shared" si="74"/>
        <v>0</v>
      </c>
      <c r="J139" s="635">
        <f t="shared" si="74"/>
        <v>0</v>
      </c>
      <c r="K139" s="635">
        <f t="shared" si="74"/>
        <v>0</v>
      </c>
      <c r="L139" s="635">
        <f t="shared" si="74"/>
        <v>0</v>
      </c>
      <c r="M139" s="635">
        <f t="shared" si="74"/>
        <v>0</v>
      </c>
      <c r="N139" s="635">
        <f t="shared" si="74"/>
        <v>0</v>
      </c>
      <c r="O139" s="635">
        <f t="shared" si="74"/>
        <v>0</v>
      </c>
      <c r="P139" s="1677">
        <f t="shared" si="74"/>
        <v>0</v>
      </c>
      <c r="Q139" s="1678">
        <f t="shared" si="74"/>
        <v>0</v>
      </c>
      <c r="R139" s="1678">
        <f t="shared" si="74"/>
        <v>0</v>
      </c>
      <c r="S139" s="1678">
        <f t="shared" si="74"/>
        <v>0</v>
      </c>
      <c r="T139" s="1678">
        <f t="shared" si="74"/>
        <v>0</v>
      </c>
      <c r="U139" s="1679">
        <f t="shared" si="74"/>
        <v>0</v>
      </c>
      <c r="V139" s="1686">
        <f t="shared" si="60"/>
        <v>0</v>
      </c>
    </row>
    <row r="140" spans="1:23">
      <c r="A140">
        <v>15</v>
      </c>
      <c r="B140" s="1673" t="str">
        <f>'Input 2 - Data'!D32</f>
        <v>Please specify (2) (e.g., other debt flows) (+ increases financing needs)</v>
      </c>
      <c r="C140" s="256" t="s">
        <v>539</v>
      </c>
      <c r="D140" s="635"/>
      <c r="E140" s="635">
        <f>(E62)*100</f>
        <v>0</v>
      </c>
      <c r="F140" s="635">
        <f>(F62)*100</f>
        <v>0</v>
      </c>
      <c r="G140" s="635">
        <f t="shared" ref="G140:U140" si="75">(G62)*100</f>
        <v>0</v>
      </c>
      <c r="H140" s="635">
        <f t="shared" si="75"/>
        <v>0</v>
      </c>
      <c r="I140" s="635">
        <f t="shared" si="75"/>
        <v>0</v>
      </c>
      <c r="J140" s="635">
        <f t="shared" si="75"/>
        <v>0</v>
      </c>
      <c r="K140" s="635">
        <f t="shared" si="75"/>
        <v>0</v>
      </c>
      <c r="L140" s="635">
        <f t="shared" si="75"/>
        <v>0</v>
      </c>
      <c r="M140" s="635">
        <f t="shared" si="75"/>
        <v>0</v>
      </c>
      <c r="N140" s="635">
        <f t="shared" si="75"/>
        <v>0</v>
      </c>
      <c r="O140" s="635">
        <f t="shared" si="75"/>
        <v>0</v>
      </c>
      <c r="P140" s="1677">
        <f>(P62)*100</f>
        <v>0</v>
      </c>
      <c r="Q140" s="1678">
        <f t="shared" si="75"/>
        <v>0</v>
      </c>
      <c r="R140" s="1678">
        <f t="shared" si="75"/>
        <v>0</v>
      </c>
      <c r="S140" s="1678">
        <f t="shared" si="75"/>
        <v>0</v>
      </c>
      <c r="T140" s="1678">
        <f t="shared" si="75"/>
        <v>0</v>
      </c>
      <c r="U140" s="1679">
        <f t="shared" si="75"/>
        <v>0</v>
      </c>
      <c r="V140" s="1686">
        <f t="shared" si="60"/>
        <v>0</v>
      </c>
    </row>
    <row r="141" spans="1:23">
      <c r="A141">
        <v>16</v>
      </c>
      <c r="B141" s="1668" t="s">
        <v>125</v>
      </c>
      <c r="C141" s="256" t="s">
        <v>539</v>
      </c>
      <c r="D141" s="635"/>
      <c r="E141" s="635">
        <f>E126-E128</f>
        <v>-0.12886240379776881</v>
      </c>
      <c r="F141" s="635">
        <f t="shared" ref="F141:O141" si="76">F126-F128</f>
        <v>5.7915246171329118</v>
      </c>
      <c r="G141" s="635">
        <f>G126-G128</f>
        <v>1.1248340151196068</v>
      </c>
      <c r="H141" s="635">
        <f t="shared" si="76"/>
        <v>-1.4953639346439154</v>
      </c>
      <c r="I141" s="635">
        <f t="shared" si="76"/>
        <v>-5.5701448204530966</v>
      </c>
      <c r="J141" s="635">
        <f t="shared" si="76"/>
        <v>-1.7133678836797228</v>
      </c>
      <c r="K141" s="635">
        <f t="shared" si="76"/>
        <v>-3.8906496124836156</v>
      </c>
      <c r="L141" s="635">
        <f t="shared" si="76"/>
        <v>1.0283364376849984</v>
      </c>
      <c r="M141" s="635">
        <f t="shared" si="76"/>
        <v>-5.2263700547480463</v>
      </c>
      <c r="N141" s="635">
        <f t="shared" si="76"/>
        <v>3.6784350893753142</v>
      </c>
      <c r="O141" s="635">
        <f t="shared" si="76"/>
        <v>0.97121154256909659</v>
      </c>
      <c r="P141" s="1677">
        <f t="shared" ref="P141:U141" si="77">P126-P128</f>
        <v>-0.17184131012343418</v>
      </c>
      <c r="Q141" s="1678">
        <f t="shared" si="77"/>
        <v>-0.15952779206133072</v>
      </c>
      <c r="R141" s="1678">
        <f t="shared" si="77"/>
        <v>-0.16350000000000153</v>
      </c>
      <c r="S141" s="1678">
        <f t="shared" si="77"/>
        <v>-0.16349999999999509</v>
      </c>
      <c r="T141" s="1678">
        <f t="shared" si="77"/>
        <v>-0.16350000000000819</v>
      </c>
      <c r="U141" s="1679">
        <f t="shared" si="77"/>
        <v>-0.15992721933990639</v>
      </c>
      <c r="V141" s="1686">
        <f t="shared" si="60"/>
        <v>-0.98179632152467611</v>
      </c>
    </row>
    <row r="142" spans="1:23">
      <c r="B142" s="1674" t="s">
        <v>61</v>
      </c>
      <c r="C142" s="256"/>
      <c r="D142" s="635"/>
      <c r="E142" s="635">
        <f t="shared" ref="E142:U142" si="78">1+E52+E54+E54*E52</f>
        <v>1.3205443516870758</v>
      </c>
      <c r="F142" s="635">
        <f t="shared" si="78"/>
        <v>1.0774857762295671</v>
      </c>
      <c r="G142" s="635">
        <f t="shared" si="78"/>
        <v>0.77314600970066305</v>
      </c>
      <c r="H142" s="635">
        <f t="shared" si="78"/>
        <v>0.95296954061933392</v>
      </c>
      <c r="I142" s="635">
        <f t="shared" si="78"/>
        <v>1.1318940661943293</v>
      </c>
      <c r="J142" s="635">
        <f t="shared" si="78"/>
        <v>1.0775015081693355</v>
      </c>
      <c r="K142" s="635">
        <f t="shared" si="78"/>
        <v>1.0419588312587325</v>
      </c>
      <c r="L142" s="635">
        <f t="shared" si="78"/>
        <v>1.0358465456100665</v>
      </c>
      <c r="M142" s="635">
        <f t="shared" si="78"/>
        <v>1.0297170383161258</v>
      </c>
      <c r="N142" s="635">
        <f t="shared" si="78"/>
        <v>1.0295968288638748</v>
      </c>
      <c r="O142" s="635">
        <f t="shared" si="78"/>
        <v>1.0800304461794239</v>
      </c>
      <c r="P142" s="1677">
        <f t="shared" si="78"/>
        <v>1.0918293136915067</v>
      </c>
      <c r="Q142" s="1678">
        <f t="shared" si="78"/>
        <v>1.0635217452010661</v>
      </c>
      <c r="R142" s="1678">
        <f t="shared" si="78"/>
        <v>1.0587221343612574</v>
      </c>
      <c r="S142" s="1678">
        <f t="shared" si="78"/>
        <v>1.0549179052038942</v>
      </c>
      <c r="T142" s="1678">
        <f t="shared" si="78"/>
        <v>1.0547008718700612</v>
      </c>
      <c r="U142" s="1679">
        <f t="shared" si="78"/>
        <v>1.0537000000000001</v>
      </c>
      <c r="V142" s="1686">
        <f>SUM(P142:U142)</f>
        <v>6.3773919703277864</v>
      </c>
    </row>
    <row r="143" spans="1:23" s="284" customFormat="1" ht="6" customHeight="1" thickBot="1">
      <c r="B143" s="1675"/>
      <c r="C143" s="1410"/>
      <c r="D143" s="1155"/>
      <c r="E143" s="1155"/>
      <c r="F143" s="1155"/>
      <c r="G143" s="1676"/>
      <c r="H143" s="1676"/>
      <c r="I143" s="1676"/>
      <c r="J143" s="1676"/>
      <c r="K143" s="1676"/>
      <c r="L143" s="1676"/>
      <c r="M143" s="1676"/>
      <c r="N143" s="1155"/>
      <c r="O143" s="1155"/>
      <c r="P143" s="1683"/>
      <c r="Q143" s="1684"/>
      <c r="R143" s="1684"/>
      <c r="S143" s="1684"/>
      <c r="T143" s="1684"/>
      <c r="U143" s="1685"/>
      <c r="V143" s="1687"/>
    </row>
    <row r="144" spans="1:23" s="284" customFormat="1" ht="21.75" customHeight="1" thickBot="1">
      <c r="B144" s="937" t="s">
        <v>1164</v>
      </c>
      <c r="C144" s="938"/>
      <c r="D144" s="940"/>
      <c r="E144" s="940"/>
      <c r="F144" s="940"/>
      <c r="G144" s="940"/>
      <c r="H144" s="940"/>
      <c r="I144" s="940"/>
      <c r="J144" s="940"/>
      <c r="K144" s="940"/>
      <c r="L144" s="940"/>
      <c r="M144" s="940"/>
      <c r="N144" s="940"/>
      <c r="O144" s="940"/>
      <c r="P144" s="1611"/>
      <c r="Q144" s="940"/>
      <c r="R144" s="940"/>
      <c r="S144" s="940"/>
      <c r="T144" s="940"/>
      <c r="U144" s="1612"/>
      <c r="V144" s="135" t="s">
        <v>778</v>
      </c>
      <c r="W144" s="287" t="s">
        <v>792</v>
      </c>
    </row>
    <row r="145" spans="2:23" s="284" customFormat="1" ht="6" customHeight="1">
      <c r="B145" s="1689"/>
      <c r="C145" s="1690"/>
      <c r="D145" s="1691"/>
      <c r="E145" s="1691"/>
      <c r="F145" s="1691"/>
      <c r="G145" s="1691"/>
      <c r="H145" s="1691"/>
      <c r="I145" s="1691"/>
      <c r="J145" s="1691"/>
      <c r="K145" s="1691"/>
      <c r="L145" s="1691"/>
      <c r="M145" s="1691"/>
      <c r="N145" s="1691"/>
      <c r="O145" s="1691"/>
      <c r="P145" s="1692"/>
      <c r="Q145" s="1693"/>
      <c r="R145" s="1693"/>
      <c r="S145" s="1693"/>
      <c r="T145" s="1693"/>
      <c r="U145" s="1694"/>
      <c r="V145" s="1613"/>
    </row>
    <row r="146" spans="2:23" s="284" customFormat="1">
      <c r="B146" s="151" t="s">
        <v>498</v>
      </c>
      <c r="C146" s="886" t="s">
        <v>539</v>
      </c>
      <c r="D146" s="153"/>
      <c r="E146" s="601">
        <f>E126</f>
        <v>-1.502746809742991</v>
      </c>
      <c r="F146" s="601">
        <f t="shared" ref="F146:U146" si="79">F126</f>
        <v>10.237931919663076</v>
      </c>
      <c r="G146" s="601">
        <f t="shared" si="79"/>
        <v>17.917812758718895</v>
      </c>
      <c r="H146" s="601">
        <f t="shared" si="79"/>
        <v>10.847319531474398</v>
      </c>
      <c r="I146" s="601">
        <f t="shared" si="79"/>
        <v>-4.7444681184881929</v>
      </c>
      <c r="J146" s="601">
        <f t="shared" si="79"/>
        <v>-1.4741371369048508</v>
      </c>
      <c r="K146" s="601">
        <f t="shared" si="79"/>
        <v>-2.1883984676194501</v>
      </c>
      <c r="L146" s="601">
        <f t="shared" si="79"/>
        <v>1.8748862688340466</v>
      </c>
      <c r="M146" s="601">
        <f t="shared" si="79"/>
        <v>-4.3110765544121534</v>
      </c>
      <c r="N146" s="601">
        <f t="shared" si="79"/>
        <v>3.5775450119186942</v>
      </c>
      <c r="O146" s="601">
        <f t="shared" si="79"/>
        <v>-0.32475418759005237</v>
      </c>
      <c r="P146" s="1526">
        <f t="shared" si="79"/>
        <v>-2.7583600770948067</v>
      </c>
      <c r="Q146" s="602">
        <f t="shared" si="79"/>
        <v>-1.7327896267751655</v>
      </c>
      <c r="R146" s="602">
        <f t="shared" si="79"/>
        <v>-1.8094621280347241</v>
      </c>
      <c r="S146" s="602">
        <f t="shared" si="79"/>
        <v>-1.485929720917504</v>
      </c>
      <c r="T146" s="602">
        <f t="shared" si="79"/>
        <v>-2.140287553174506</v>
      </c>
      <c r="U146" s="603">
        <f t="shared" si="79"/>
        <v>-2.0127986673556002</v>
      </c>
      <c r="V146" s="1208">
        <f>SUM(P146:U146)</f>
        <v>-11.939627773352306</v>
      </c>
      <c r="W146" s="1704">
        <f>U152+U157</f>
        <v>-0.97986068503571344</v>
      </c>
    </row>
    <row r="147" spans="2:23" s="284" customFormat="1" ht="6" customHeight="1">
      <c r="B147" s="151"/>
      <c r="C147" s="886"/>
      <c r="D147" s="153"/>
      <c r="E147" s="153"/>
      <c r="F147" s="153"/>
      <c r="G147" s="153"/>
      <c r="H147" s="153"/>
      <c r="I147" s="153"/>
      <c r="J147" s="153"/>
      <c r="K147" s="153"/>
      <c r="L147" s="153"/>
      <c r="M147" s="153"/>
      <c r="N147" s="153"/>
      <c r="O147" s="153"/>
      <c r="P147" s="1529"/>
      <c r="Q147" s="589"/>
      <c r="R147" s="589"/>
      <c r="S147" s="589"/>
      <c r="T147" s="589"/>
      <c r="U147" s="590"/>
      <c r="V147" s="1208"/>
    </row>
    <row r="148" spans="2:23" s="284" customFormat="1">
      <c r="B148" s="159" t="s">
        <v>742</v>
      </c>
      <c r="C148" s="886" t="s">
        <v>539</v>
      </c>
      <c r="D148" s="153"/>
      <c r="E148" s="153">
        <f t="shared" ref="E148:O148" si="80">E128</f>
        <v>-1.3738844059452222</v>
      </c>
      <c r="F148" s="153">
        <f t="shared" si="80"/>
        <v>4.4464073025301643</v>
      </c>
      <c r="G148" s="153">
        <f t="shared" si="80"/>
        <v>16.792978743599289</v>
      </c>
      <c r="H148" s="153">
        <f t="shared" si="80"/>
        <v>12.342683466118313</v>
      </c>
      <c r="I148" s="153">
        <f t="shared" si="80"/>
        <v>0.82567670196490361</v>
      </c>
      <c r="J148" s="153">
        <f t="shared" si="80"/>
        <v>0.23923074677487199</v>
      </c>
      <c r="K148" s="153">
        <f t="shared" si="80"/>
        <v>1.7022511448641655</v>
      </c>
      <c r="L148" s="153">
        <f t="shared" si="80"/>
        <v>0.84654983114904814</v>
      </c>
      <c r="M148" s="153">
        <f t="shared" si="80"/>
        <v>0.91529350033589285</v>
      </c>
      <c r="N148" s="153">
        <f t="shared" si="80"/>
        <v>-0.10089007745662001</v>
      </c>
      <c r="O148" s="153">
        <f t="shared" si="80"/>
        <v>-1.295965730159149</v>
      </c>
      <c r="P148" s="1696">
        <f t="shared" ref="P148:U148" si="81">P149+P152+P157</f>
        <v>-2.5839630687124111</v>
      </c>
      <c r="Q148" s="1697">
        <f t="shared" si="81"/>
        <v>-1.568517673970395</v>
      </c>
      <c r="R148" s="1697">
        <f t="shared" si="81"/>
        <v>-1.6459621280347225</v>
      </c>
      <c r="S148" s="1697">
        <f t="shared" si="81"/>
        <v>-1.3224297209175089</v>
      </c>
      <c r="T148" s="1697">
        <f t="shared" si="81"/>
        <v>-1.9767875531744978</v>
      </c>
      <c r="U148" s="1698">
        <f t="shared" si="81"/>
        <v>-1.8528714480156938</v>
      </c>
      <c r="V148" s="1699">
        <f t="shared" ref="V148:V161" si="82">SUM(P148:U148)</f>
        <v>-10.95053159282523</v>
      </c>
    </row>
    <row r="149" spans="2:23" s="284" customFormat="1">
      <c r="B149" s="158" t="s">
        <v>55</v>
      </c>
      <c r="C149" s="886" t="s">
        <v>539</v>
      </c>
      <c r="D149" s="153"/>
      <c r="E149" s="153">
        <f t="shared" ref="E149:O149" si="83">E129</f>
        <v>0.65863984763110039</v>
      </c>
      <c r="F149" s="153">
        <f t="shared" si="83"/>
        <v>4.510654182426471</v>
      </c>
      <c r="G149" s="153">
        <f t="shared" si="83"/>
        <v>9.6884231788513091</v>
      </c>
      <c r="H149" s="153">
        <f t="shared" si="83"/>
        <v>9.1471227844582117</v>
      </c>
      <c r="I149" s="153">
        <f t="shared" si="83"/>
        <v>4.7633915406875005</v>
      </c>
      <c r="J149" s="153">
        <f t="shared" si="83"/>
        <v>1.5073829551861238</v>
      </c>
      <c r="K149" s="153">
        <f t="shared" si="83"/>
        <v>1.466213370777588</v>
      </c>
      <c r="L149" s="153">
        <f t="shared" si="83"/>
        <v>1.8206327054309952</v>
      </c>
      <c r="M149" s="153">
        <f t="shared" si="83"/>
        <v>1.6295013174988924</v>
      </c>
      <c r="N149" s="153">
        <f t="shared" si="83"/>
        <v>0.1302037464969672</v>
      </c>
      <c r="O149" s="153">
        <f t="shared" si="83"/>
        <v>0.73983496353501721</v>
      </c>
      <c r="P149" s="1529">
        <f t="shared" ref="P149:U149" si="84">P129</f>
        <v>5.2301873674018395E-2</v>
      </c>
      <c r="Q149" s="589">
        <f t="shared" si="84"/>
        <v>-4.6597896115336823E-2</v>
      </c>
      <c r="R149" s="589">
        <f t="shared" si="84"/>
        <v>-0.30885252917780548</v>
      </c>
      <c r="S149" s="589">
        <f t="shared" si="84"/>
        <v>-0.2214772325358112</v>
      </c>
      <c r="T149" s="589">
        <f t="shared" si="84"/>
        <v>-0.87301076297997326</v>
      </c>
      <c r="U149" s="590">
        <f t="shared" si="84"/>
        <v>-0.87301076297998037</v>
      </c>
      <c r="V149" s="1208">
        <f t="shared" si="82"/>
        <v>-2.2706473101148887</v>
      </c>
    </row>
    <row r="150" spans="2:23" s="284" customFormat="1">
      <c r="B150" s="160" t="s">
        <v>827</v>
      </c>
      <c r="C150" s="886" t="s">
        <v>539</v>
      </c>
      <c r="D150" s="153"/>
      <c r="E150" s="153">
        <f t="shared" ref="E150:U150" si="85">E130</f>
        <v>33.330805891444918</v>
      </c>
      <c r="F150" s="153">
        <f t="shared" si="85"/>
        <v>33.135485736144389</v>
      </c>
      <c r="G150" s="153">
        <f t="shared" si="85"/>
        <v>34.484731252223916</v>
      </c>
      <c r="H150" s="153">
        <f t="shared" si="85"/>
        <v>36.356022207974284</v>
      </c>
      <c r="I150" s="153">
        <f t="shared" si="85"/>
        <v>35.707458704754494</v>
      </c>
      <c r="J150" s="153">
        <f t="shared" si="85"/>
        <v>36.459568210403795</v>
      </c>
      <c r="K150" s="153">
        <f t="shared" si="85"/>
        <v>36.259926233800336</v>
      </c>
      <c r="L150" s="153">
        <f t="shared" si="85"/>
        <v>36.2907140576513</v>
      </c>
      <c r="M150" s="153">
        <f t="shared" si="85"/>
        <v>36.59449602727333</v>
      </c>
      <c r="N150" s="153">
        <f t="shared" si="85"/>
        <v>36.849257850626913</v>
      </c>
      <c r="O150" s="153">
        <f t="shared" si="85"/>
        <v>37.06610159058598</v>
      </c>
      <c r="P150" s="1529">
        <f t="shared" si="85"/>
        <v>36.781832970756888</v>
      </c>
      <c r="Q150" s="589">
        <f t="shared" si="85"/>
        <v>35.899708650221953</v>
      </c>
      <c r="R150" s="589">
        <f t="shared" si="85"/>
        <v>35.663219049317711</v>
      </c>
      <c r="S150" s="589">
        <f t="shared" si="85"/>
        <v>35.111135216456816</v>
      </c>
      <c r="T150" s="589">
        <f t="shared" si="85"/>
        <v>34.585635256377735</v>
      </c>
      <c r="U150" s="590">
        <f t="shared" si="85"/>
        <v>34.585635256377735</v>
      </c>
      <c r="V150" s="1208">
        <f t="shared" si="82"/>
        <v>212.62716639950884</v>
      </c>
    </row>
    <row r="151" spans="2:23" s="284" customFormat="1">
      <c r="B151" s="160" t="s">
        <v>56</v>
      </c>
      <c r="C151" s="886" t="s">
        <v>539</v>
      </c>
      <c r="D151" s="153"/>
      <c r="E151" s="153">
        <f t="shared" ref="E151:U151" si="86">E131</f>
        <v>33.989445739076018</v>
      </c>
      <c r="F151" s="153">
        <f t="shared" si="86"/>
        <v>37.64613991857086</v>
      </c>
      <c r="G151" s="153">
        <f t="shared" si="86"/>
        <v>44.173154431075226</v>
      </c>
      <c r="H151" s="153">
        <f t="shared" si="86"/>
        <v>45.503144992432496</v>
      </c>
      <c r="I151" s="153">
        <f t="shared" si="86"/>
        <v>40.470850245441994</v>
      </c>
      <c r="J151" s="153">
        <f t="shared" si="86"/>
        <v>37.966951165589919</v>
      </c>
      <c r="K151" s="153">
        <f t="shared" si="86"/>
        <v>37.726139604577924</v>
      </c>
      <c r="L151" s="153">
        <f t="shared" si="86"/>
        <v>38.111346763082295</v>
      </c>
      <c r="M151" s="153">
        <f t="shared" si="86"/>
        <v>38.223997344772222</v>
      </c>
      <c r="N151" s="153">
        <f t="shared" si="86"/>
        <v>36.97946159712388</v>
      </c>
      <c r="O151" s="153">
        <f t="shared" si="86"/>
        <v>37.805936554120997</v>
      </c>
      <c r="P151" s="1529">
        <f t="shared" si="86"/>
        <v>36.834134844430906</v>
      </c>
      <c r="Q151" s="589">
        <f t="shared" si="86"/>
        <v>35.853110754106616</v>
      </c>
      <c r="R151" s="589">
        <f t="shared" si="86"/>
        <v>35.354366520139905</v>
      </c>
      <c r="S151" s="589">
        <f t="shared" si="86"/>
        <v>34.889657983921005</v>
      </c>
      <c r="T151" s="589">
        <f t="shared" si="86"/>
        <v>33.712624493397762</v>
      </c>
      <c r="U151" s="590">
        <f t="shared" si="86"/>
        <v>33.712624493397755</v>
      </c>
      <c r="V151" s="1208">
        <f t="shared" si="82"/>
        <v>210.35651908939394</v>
      </c>
    </row>
    <row r="152" spans="2:23" s="284" customFormat="1">
      <c r="B152" s="161" t="s">
        <v>1014</v>
      </c>
      <c r="C152" s="886" t="s">
        <v>539</v>
      </c>
      <c r="D152" s="153"/>
      <c r="E152" s="153">
        <f t="shared" ref="E152:O152" si="87">E132</f>
        <v>-2.0325242535763226</v>
      </c>
      <c r="F152" s="153">
        <f t="shared" si="87"/>
        <v>-6.4246879896307077E-2</v>
      </c>
      <c r="G152" s="153">
        <f t="shared" si="87"/>
        <v>7.1045555647479803</v>
      </c>
      <c r="H152" s="153">
        <f t="shared" si="87"/>
        <v>3.1955606816601021</v>
      </c>
      <c r="I152" s="153">
        <f t="shared" si="87"/>
        <v>-3.9377148387225969</v>
      </c>
      <c r="J152" s="153">
        <f t="shared" si="87"/>
        <v>-1.2681522084112518</v>
      </c>
      <c r="K152" s="153">
        <f t="shared" si="87"/>
        <v>0.23603777408657745</v>
      </c>
      <c r="L152" s="153">
        <f t="shared" si="87"/>
        <v>-0.97408287428194706</v>
      </c>
      <c r="M152" s="153">
        <f t="shared" si="87"/>
        <v>-0.71420781716299953</v>
      </c>
      <c r="N152" s="153">
        <f t="shared" si="87"/>
        <v>-0.23109382395358721</v>
      </c>
      <c r="O152" s="153">
        <f t="shared" si="87"/>
        <v>-2.0358006936941662</v>
      </c>
      <c r="P152" s="1696">
        <f t="shared" ref="P152:U152" si="88">P153</f>
        <v>-2.6362649423864295</v>
      </c>
      <c r="Q152" s="1697">
        <f t="shared" si="88"/>
        <v>-1.5219197778550582</v>
      </c>
      <c r="R152" s="1697">
        <f t="shared" si="88"/>
        <v>-1.337109598856917</v>
      </c>
      <c r="S152" s="1697">
        <f t="shared" si="88"/>
        <v>-1.1009524883816977</v>
      </c>
      <c r="T152" s="1697">
        <f t="shared" si="88"/>
        <v>-1.1037767901945246</v>
      </c>
      <c r="U152" s="1698">
        <f t="shared" si="88"/>
        <v>-0.97986068503571344</v>
      </c>
      <c r="V152" s="1699">
        <f t="shared" si="82"/>
        <v>-8.6798842827103417</v>
      </c>
    </row>
    <row r="153" spans="2:23" s="284" customFormat="1">
      <c r="B153" s="162" t="s">
        <v>1015</v>
      </c>
      <c r="C153" s="886" t="s">
        <v>539</v>
      </c>
      <c r="D153" s="153"/>
      <c r="E153" s="153">
        <f t="shared" ref="E153:O153" si="89">E133</f>
        <v>-2.0576991872903254</v>
      </c>
      <c r="F153" s="153">
        <f t="shared" si="89"/>
        <v>-5.5347069464083021E-2</v>
      </c>
      <c r="G153" s="153">
        <f t="shared" si="89"/>
        <v>6.9880876735031672</v>
      </c>
      <c r="H153" s="153">
        <f t="shared" si="89"/>
        <v>3.5367765317576891</v>
      </c>
      <c r="I153" s="153">
        <f t="shared" si="89"/>
        <v>-3.7555560141556761</v>
      </c>
      <c r="J153" s="153">
        <f t="shared" si="89"/>
        <v>-1.4006208690320698</v>
      </c>
      <c r="K153" s="153">
        <f t="shared" si="89"/>
        <v>-0.17484103386836125</v>
      </c>
      <c r="L153" s="153">
        <f t="shared" si="89"/>
        <v>8.1881455764718836E-2</v>
      </c>
      <c r="M153" s="153">
        <f t="shared" si="89"/>
        <v>0.15473490522514477</v>
      </c>
      <c r="N153" s="153">
        <f t="shared" si="89"/>
        <v>-3.1452780890036669E-2</v>
      </c>
      <c r="O153" s="153">
        <f t="shared" si="89"/>
        <v>-2.0511696505060368</v>
      </c>
      <c r="P153" s="1529">
        <f t="shared" ref="P153:U153" si="90">P133</f>
        <v>-2.6362649423864295</v>
      </c>
      <c r="Q153" s="589">
        <f t="shared" si="90"/>
        <v>-1.5219197778550582</v>
      </c>
      <c r="R153" s="589">
        <f t="shared" si="90"/>
        <v>-1.337109598856917</v>
      </c>
      <c r="S153" s="589">
        <f t="shared" si="90"/>
        <v>-1.1009524883816977</v>
      </c>
      <c r="T153" s="589">
        <f t="shared" si="90"/>
        <v>-1.1037767901945246</v>
      </c>
      <c r="U153" s="590">
        <f t="shared" si="90"/>
        <v>-0.97986068503571344</v>
      </c>
      <c r="V153" s="1208">
        <f t="shared" si="82"/>
        <v>-8.6798842827103417</v>
      </c>
    </row>
    <row r="154" spans="2:23" s="284" customFormat="1">
      <c r="B154" s="163" t="s">
        <v>126</v>
      </c>
      <c r="C154" s="886" t="s">
        <v>539</v>
      </c>
      <c r="D154" s="153"/>
      <c r="E154" s="153">
        <f t="shared" ref="E154:U154" si="91">E134</f>
        <v>-1.3070847422011884</v>
      </c>
      <c r="F154" s="153">
        <f t="shared" si="91"/>
        <v>-0.33290792062677221</v>
      </c>
      <c r="G154" s="153">
        <f t="shared" si="91"/>
        <v>3.5107316311871481</v>
      </c>
      <c r="H154" s="153">
        <f t="shared" si="91"/>
        <v>2.0239000566420122</v>
      </c>
      <c r="I154" s="153">
        <f t="shared" si="91"/>
        <v>-1.0815279144735539</v>
      </c>
      <c r="J154" s="153">
        <f t="shared" si="91"/>
        <v>0.19782503504061535</v>
      </c>
      <c r="K154" s="153">
        <f t="shared" si="91"/>
        <v>0.78628238062874589</v>
      </c>
      <c r="L154" s="153">
        <f t="shared" si="91"/>
        <v>0.7819852113305259</v>
      </c>
      <c r="M154" s="153">
        <f t="shared" si="91"/>
        <v>1.3351137671043429</v>
      </c>
      <c r="N154" s="153">
        <f t="shared" si="91"/>
        <v>0.70218903471474725</v>
      </c>
      <c r="O154" s="153">
        <f t="shared" si="91"/>
        <v>-0.32681462250744636</v>
      </c>
      <c r="P154" s="1529">
        <f t="shared" si="91"/>
        <v>-0.89571448286576472</v>
      </c>
      <c r="Q154" s="589">
        <f t="shared" si="91"/>
        <v>-0.4170335016611133</v>
      </c>
      <c r="R154" s="589">
        <f t="shared" si="91"/>
        <v>-0.33715264123137706</v>
      </c>
      <c r="S154" s="589">
        <f t="shared" si="91"/>
        <v>-0.18295827101794179</v>
      </c>
      <c r="T154" s="589">
        <f t="shared" si="91"/>
        <v>-0.21232518270291459</v>
      </c>
      <c r="U154" s="590">
        <f t="shared" si="91"/>
        <v>-0.18490534017796073</v>
      </c>
      <c r="V154" s="1208">
        <f t="shared" si="82"/>
        <v>-2.2300894196570722</v>
      </c>
    </row>
    <row r="155" spans="2:23" s="284" customFormat="1">
      <c r="B155" s="163" t="s">
        <v>77</v>
      </c>
      <c r="C155" s="886" t="s">
        <v>539</v>
      </c>
      <c r="D155" s="153"/>
      <c r="E155" s="153">
        <f t="shared" ref="E155:U155" si="92">E135</f>
        <v>-0.75061444508913699</v>
      </c>
      <c r="F155" s="153">
        <f t="shared" si="92"/>
        <v>0.27756085116268919</v>
      </c>
      <c r="G155" s="153">
        <f t="shared" si="92"/>
        <v>3.477356042316019</v>
      </c>
      <c r="H155" s="153">
        <f t="shared" si="92"/>
        <v>1.5128764751156771</v>
      </c>
      <c r="I155" s="153">
        <f t="shared" si="92"/>
        <v>-2.674028099682122</v>
      </c>
      <c r="J155" s="153">
        <f t="shared" si="92"/>
        <v>-1.5984459040726853</v>
      </c>
      <c r="K155" s="153">
        <f t="shared" si="92"/>
        <v>-0.96112341449710714</v>
      </c>
      <c r="L155" s="153">
        <f t="shared" si="92"/>
        <v>-0.70010375556580706</v>
      </c>
      <c r="M155" s="153">
        <f t="shared" si="92"/>
        <v>-1.1803788618791982</v>
      </c>
      <c r="N155" s="153">
        <f t="shared" si="92"/>
        <v>-0.73364181560478392</v>
      </c>
      <c r="O155" s="153">
        <f t="shared" si="92"/>
        <v>-1.7243550279985904</v>
      </c>
      <c r="P155" s="1529">
        <f t="shared" si="92"/>
        <v>-1.7405504595206647</v>
      </c>
      <c r="Q155" s="589">
        <f t="shared" si="92"/>
        <v>-1.1048862761939449</v>
      </c>
      <c r="R155" s="589">
        <f t="shared" si="92"/>
        <v>-0.99995695762553993</v>
      </c>
      <c r="S155" s="589">
        <f t="shared" si="92"/>
        <v>-0.91799421736375586</v>
      </c>
      <c r="T155" s="589">
        <f t="shared" si="92"/>
        <v>-0.89145160749161001</v>
      </c>
      <c r="U155" s="590">
        <f t="shared" si="92"/>
        <v>-0.79495534485775265</v>
      </c>
      <c r="V155" s="1208">
        <f t="shared" si="82"/>
        <v>-6.4497948630532678</v>
      </c>
    </row>
    <row r="156" spans="2:23" s="284" customFormat="1">
      <c r="B156" s="162" t="s">
        <v>927</v>
      </c>
      <c r="C156" s="886" t="s">
        <v>539</v>
      </c>
      <c r="D156" s="153"/>
      <c r="E156" s="153">
        <f t="shared" ref="E156:O156" si="93">E136</f>
        <v>2.5174933714002652E-2</v>
      </c>
      <c r="F156" s="153">
        <f t="shared" si="93"/>
        <v>-8.8998104322240614E-3</v>
      </c>
      <c r="G156" s="153">
        <f t="shared" si="93"/>
        <v>0.11646789124481326</v>
      </c>
      <c r="H156" s="153">
        <f t="shared" si="93"/>
        <v>-0.34121585009758704</v>
      </c>
      <c r="I156" s="153">
        <f t="shared" si="93"/>
        <v>-0.18215882456692084</v>
      </c>
      <c r="J156" s="153">
        <f t="shared" si="93"/>
        <v>0.13246866062081813</v>
      </c>
      <c r="K156" s="153">
        <f t="shared" si="93"/>
        <v>0.4108788079549387</v>
      </c>
      <c r="L156" s="153">
        <f t="shared" si="93"/>
        <v>-1.0559643300466659</v>
      </c>
      <c r="M156" s="153">
        <f t="shared" si="93"/>
        <v>-0.8689427223881443</v>
      </c>
      <c r="N156" s="153">
        <f t="shared" si="93"/>
        <v>-0.19964104306355054</v>
      </c>
      <c r="O156" s="153">
        <f t="shared" si="93"/>
        <v>1.5368956811870662E-2</v>
      </c>
      <c r="P156" s="1696" t="e">
        <v>#N/A</v>
      </c>
      <c r="Q156" s="1697" t="e">
        <v>#N/A</v>
      </c>
      <c r="R156" s="1697" t="e">
        <v>#N/A</v>
      </c>
      <c r="S156" s="1697" t="e">
        <v>#N/A</v>
      </c>
      <c r="T156" s="1697" t="e">
        <v>#N/A</v>
      </c>
      <c r="U156" s="1698" t="e">
        <v>#N/A</v>
      </c>
      <c r="V156" s="1699" t="s">
        <v>928</v>
      </c>
    </row>
    <row r="157" spans="2:23" s="284" customFormat="1">
      <c r="B157" s="161" t="s">
        <v>140</v>
      </c>
      <c r="C157" s="886" t="s">
        <v>539</v>
      </c>
      <c r="D157" s="153"/>
      <c r="E157" s="589">
        <f t="shared" ref="E157:O157" si="94">E137</f>
        <v>0</v>
      </c>
      <c r="F157" s="589">
        <f t="shared" si="94"/>
        <v>0</v>
      </c>
      <c r="G157" s="589">
        <f t="shared" si="94"/>
        <v>0</v>
      </c>
      <c r="H157" s="589">
        <f t="shared" si="94"/>
        <v>0</v>
      </c>
      <c r="I157" s="589">
        <f t="shared" si="94"/>
        <v>0</v>
      </c>
      <c r="J157" s="589">
        <f t="shared" si="94"/>
        <v>0</v>
      </c>
      <c r="K157" s="589">
        <f t="shared" si="94"/>
        <v>0</v>
      </c>
      <c r="L157" s="589">
        <f t="shared" si="94"/>
        <v>0</v>
      </c>
      <c r="M157" s="589">
        <f t="shared" si="94"/>
        <v>0</v>
      </c>
      <c r="N157" s="589">
        <f t="shared" si="94"/>
        <v>0</v>
      </c>
      <c r="O157" s="589">
        <f t="shared" si="94"/>
        <v>0</v>
      </c>
      <c r="P157" s="1529">
        <f t="shared" ref="P157:U157" si="95">P137</f>
        <v>0</v>
      </c>
      <c r="Q157" s="589">
        <f t="shared" si="95"/>
        <v>0</v>
      </c>
      <c r="R157" s="589">
        <f t="shared" si="95"/>
        <v>0</v>
      </c>
      <c r="S157" s="589">
        <f t="shared" si="95"/>
        <v>0</v>
      </c>
      <c r="T157" s="589">
        <f t="shared" si="95"/>
        <v>0</v>
      </c>
      <c r="U157" s="590">
        <f t="shared" si="95"/>
        <v>0</v>
      </c>
      <c r="V157" s="1208">
        <f t="shared" si="82"/>
        <v>0</v>
      </c>
    </row>
    <row r="158" spans="2:23" s="284" customFormat="1">
      <c r="B158" s="163" t="s">
        <v>58</v>
      </c>
      <c r="C158" s="886" t="s">
        <v>539</v>
      </c>
      <c r="D158" s="153"/>
      <c r="E158" s="153">
        <f t="shared" ref="E158:U158" si="96">E138</f>
        <v>0</v>
      </c>
      <c r="F158" s="153">
        <f t="shared" si="96"/>
        <v>0</v>
      </c>
      <c r="G158" s="153">
        <f t="shared" si="96"/>
        <v>0</v>
      </c>
      <c r="H158" s="153">
        <f t="shared" si="96"/>
        <v>0</v>
      </c>
      <c r="I158" s="153">
        <f t="shared" si="96"/>
        <v>0</v>
      </c>
      <c r="J158" s="153">
        <f t="shared" si="96"/>
        <v>0</v>
      </c>
      <c r="K158" s="153">
        <f t="shared" si="96"/>
        <v>0</v>
      </c>
      <c r="L158" s="153">
        <f t="shared" si="96"/>
        <v>0</v>
      </c>
      <c r="M158" s="153">
        <f t="shared" si="96"/>
        <v>0</v>
      </c>
      <c r="N158" s="153">
        <f t="shared" si="96"/>
        <v>0</v>
      </c>
      <c r="O158" s="153">
        <f t="shared" si="96"/>
        <v>0</v>
      </c>
      <c r="P158" s="1529">
        <f t="shared" si="96"/>
        <v>0</v>
      </c>
      <c r="Q158" s="589">
        <f t="shared" si="96"/>
        <v>0</v>
      </c>
      <c r="R158" s="589">
        <f t="shared" si="96"/>
        <v>0</v>
      </c>
      <c r="S158" s="589">
        <f t="shared" si="96"/>
        <v>0</v>
      </c>
      <c r="T158" s="589">
        <f t="shared" si="96"/>
        <v>0</v>
      </c>
      <c r="U158" s="590">
        <f t="shared" si="96"/>
        <v>0</v>
      </c>
      <c r="V158" s="1208">
        <f t="shared" si="82"/>
        <v>0</v>
      </c>
    </row>
    <row r="159" spans="2:23" s="284" customFormat="1">
      <c r="B159" s="163" t="s">
        <v>59</v>
      </c>
      <c r="C159" s="886" t="s">
        <v>539</v>
      </c>
      <c r="D159" s="153"/>
      <c r="E159" s="153">
        <f t="shared" ref="E159:U159" si="97">E139</f>
        <v>0</v>
      </c>
      <c r="F159" s="153">
        <f t="shared" si="97"/>
        <v>0</v>
      </c>
      <c r="G159" s="153">
        <f t="shared" si="97"/>
        <v>0</v>
      </c>
      <c r="H159" s="153">
        <f t="shared" si="97"/>
        <v>0</v>
      </c>
      <c r="I159" s="153">
        <f t="shared" si="97"/>
        <v>0</v>
      </c>
      <c r="J159" s="153">
        <f t="shared" si="97"/>
        <v>0</v>
      </c>
      <c r="K159" s="153">
        <f t="shared" si="97"/>
        <v>0</v>
      </c>
      <c r="L159" s="153">
        <f t="shared" si="97"/>
        <v>0</v>
      </c>
      <c r="M159" s="153">
        <f t="shared" si="97"/>
        <v>0</v>
      </c>
      <c r="N159" s="153">
        <f t="shared" si="97"/>
        <v>0</v>
      </c>
      <c r="O159" s="153">
        <f t="shared" si="97"/>
        <v>0</v>
      </c>
      <c r="P159" s="1529">
        <f t="shared" si="97"/>
        <v>0</v>
      </c>
      <c r="Q159" s="589">
        <f t="shared" si="97"/>
        <v>0</v>
      </c>
      <c r="R159" s="589">
        <f t="shared" si="97"/>
        <v>0</v>
      </c>
      <c r="S159" s="589">
        <f t="shared" si="97"/>
        <v>0</v>
      </c>
      <c r="T159" s="589">
        <f t="shared" si="97"/>
        <v>0</v>
      </c>
      <c r="U159" s="590">
        <f t="shared" si="97"/>
        <v>0</v>
      </c>
      <c r="V159" s="1208">
        <f t="shared" si="82"/>
        <v>0</v>
      </c>
    </row>
    <row r="160" spans="2:23" s="284" customFormat="1">
      <c r="B160" s="163" t="str">
        <f>'Input 2 - Data'!D32</f>
        <v>Please specify (2) (e.g., other debt flows) (+ increases financing needs)</v>
      </c>
      <c r="C160" s="886" t="s">
        <v>539</v>
      </c>
      <c r="D160" s="153"/>
      <c r="E160" s="153">
        <f t="shared" ref="E160:U160" si="98">E140</f>
        <v>0</v>
      </c>
      <c r="F160" s="153">
        <f t="shared" si="98"/>
        <v>0</v>
      </c>
      <c r="G160" s="153">
        <f t="shared" si="98"/>
        <v>0</v>
      </c>
      <c r="H160" s="153">
        <f t="shared" si="98"/>
        <v>0</v>
      </c>
      <c r="I160" s="153">
        <f t="shared" si="98"/>
        <v>0</v>
      </c>
      <c r="J160" s="153">
        <f t="shared" si="98"/>
        <v>0</v>
      </c>
      <c r="K160" s="153">
        <f t="shared" si="98"/>
        <v>0</v>
      </c>
      <c r="L160" s="153">
        <f t="shared" si="98"/>
        <v>0</v>
      </c>
      <c r="M160" s="153">
        <f t="shared" si="98"/>
        <v>0</v>
      </c>
      <c r="N160" s="153">
        <f t="shared" si="98"/>
        <v>0</v>
      </c>
      <c r="O160" s="153">
        <f t="shared" si="98"/>
        <v>0</v>
      </c>
      <c r="P160" s="1529">
        <f t="shared" si="98"/>
        <v>0</v>
      </c>
      <c r="Q160" s="589">
        <f t="shared" si="98"/>
        <v>0</v>
      </c>
      <c r="R160" s="589">
        <f t="shared" si="98"/>
        <v>0</v>
      </c>
      <c r="S160" s="589">
        <f t="shared" si="98"/>
        <v>0</v>
      </c>
      <c r="T160" s="589">
        <f t="shared" si="98"/>
        <v>0</v>
      </c>
      <c r="U160" s="590">
        <f t="shared" si="98"/>
        <v>0</v>
      </c>
      <c r="V160" s="1208">
        <f t="shared" si="82"/>
        <v>0</v>
      </c>
    </row>
    <row r="161" spans="2:22" s="284" customFormat="1" ht="15.75" thickBot="1">
      <c r="B161" s="1695" t="s">
        <v>1013</v>
      </c>
      <c r="C161" s="942" t="s">
        <v>539</v>
      </c>
      <c r="D161" s="944"/>
      <c r="E161" s="944">
        <f t="shared" ref="E161:O161" si="99">E141</f>
        <v>-0.12886240379776881</v>
      </c>
      <c r="F161" s="944">
        <f t="shared" si="99"/>
        <v>5.7915246171329118</v>
      </c>
      <c r="G161" s="944">
        <f t="shared" si="99"/>
        <v>1.1248340151196068</v>
      </c>
      <c r="H161" s="944">
        <f t="shared" si="99"/>
        <v>-1.4953639346439154</v>
      </c>
      <c r="I161" s="944">
        <f t="shared" si="99"/>
        <v>-5.5701448204530966</v>
      </c>
      <c r="J161" s="944">
        <f t="shared" si="99"/>
        <v>-1.7133678836797228</v>
      </c>
      <c r="K161" s="944">
        <f t="shared" si="99"/>
        <v>-3.8906496124836156</v>
      </c>
      <c r="L161" s="944">
        <f t="shared" si="99"/>
        <v>1.0283364376849984</v>
      </c>
      <c r="M161" s="944">
        <f t="shared" si="99"/>
        <v>-5.2263700547480463</v>
      </c>
      <c r="N161" s="944">
        <f t="shared" si="99"/>
        <v>3.6784350893753142</v>
      </c>
      <c r="O161" s="944">
        <f t="shared" si="99"/>
        <v>0.97121154256909659</v>
      </c>
      <c r="P161" s="1700">
        <f t="shared" ref="P161:U161" si="100">P141+P136</f>
        <v>-0.17439700838239564</v>
      </c>
      <c r="Q161" s="1701">
        <f t="shared" si="100"/>
        <v>-0.16427195280477039</v>
      </c>
      <c r="R161" s="1701">
        <f t="shared" si="100"/>
        <v>-0.16350000000000153</v>
      </c>
      <c r="S161" s="1701">
        <f t="shared" si="100"/>
        <v>-0.16349999999999509</v>
      </c>
      <c r="T161" s="1701">
        <f t="shared" si="100"/>
        <v>-0.16350000000000819</v>
      </c>
      <c r="U161" s="1702">
        <f t="shared" si="100"/>
        <v>-0.15992721933990639</v>
      </c>
      <c r="V161" s="1703">
        <f t="shared" si="82"/>
        <v>-0.98909618052707726</v>
      </c>
    </row>
    <row r="162" spans="2:22" s="281" customFormat="1" ht="15" customHeight="1">
      <c r="B162" s="63"/>
      <c r="C162" s="256"/>
      <c r="D162" s="521"/>
      <c r="E162" s="521"/>
      <c r="F162" s="521"/>
      <c r="G162" s="635"/>
      <c r="H162" s="635"/>
      <c r="I162" s="635"/>
      <c r="J162" s="635"/>
      <c r="K162" s="635"/>
      <c r="L162" s="635"/>
      <c r="M162" s="635"/>
      <c r="N162" s="521"/>
      <c r="O162" s="521"/>
      <c r="P162" s="943"/>
      <c r="Q162" s="943"/>
      <c r="R162" s="943"/>
      <c r="S162" s="943"/>
      <c r="T162" s="943"/>
      <c r="U162" s="943"/>
    </row>
    <row r="163" spans="2:22" s="281" customFormat="1" ht="15" customHeight="1">
      <c r="B163" s="63"/>
      <c r="C163" s="256"/>
      <c r="D163" s="521"/>
      <c r="E163" s="521"/>
      <c r="F163" s="521"/>
      <c r="G163" s="635"/>
      <c r="H163" s="635"/>
      <c r="I163" s="635"/>
      <c r="J163" s="635"/>
      <c r="K163" s="635"/>
      <c r="L163" s="635"/>
      <c r="M163" s="635"/>
      <c r="N163" s="521"/>
      <c r="O163" s="521"/>
      <c r="P163" s="943"/>
      <c r="Q163" s="943"/>
      <c r="R163" s="943"/>
      <c r="S163" s="943"/>
      <c r="T163" s="943"/>
      <c r="U163" s="943"/>
    </row>
    <row r="164" spans="2:22">
      <c r="B164" s="17"/>
      <c r="C164" s="17"/>
    </row>
    <row r="165" spans="2:22">
      <c r="B165" s="17"/>
      <c r="C165" s="17"/>
    </row>
    <row r="166" spans="2:22">
      <c r="B166" s="137"/>
      <c r="C166" s="137"/>
    </row>
    <row r="167" spans="2:22">
      <c r="C167" s="17"/>
    </row>
  </sheetData>
  <pageMargins left="0.7" right="0.7" top="0.75" bottom="0.75" header="0.3" footer="0.3"/>
  <pageSetup scale="75" orientation="landscape" r:id="rId1"/>
  <ignoredErrors>
    <ignoredError sqref="E78" formula="1"/>
  </ignoredError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8">
    <tabColor rgb="FF92D050"/>
  </sheetPr>
  <dimension ref="A1:L33"/>
  <sheetViews>
    <sheetView workbookViewId="0"/>
  </sheetViews>
  <sheetFormatPr defaultRowHeight="15"/>
  <cols>
    <col min="1" max="1" width="9.140625" style="284"/>
    <col min="2" max="2" width="71.42578125" customWidth="1"/>
    <col min="3" max="3" width="31.5703125" customWidth="1"/>
  </cols>
  <sheetData>
    <row r="1" spans="1:12">
      <c r="A1" s="287" t="s">
        <v>811</v>
      </c>
    </row>
    <row r="2" spans="1:12">
      <c r="B2" s="1539" t="s">
        <v>672</v>
      </c>
      <c r="C2" s="1539" t="s">
        <v>340</v>
      </c>
      <c r="D2" s="1540" t="s">
        <v>440</v>
      </c>
      <c r="E2" s="1540" t="s">
        <v>514</v>
      </c>
      <c r="G2" s="1535" t="s">
        <v>169</v>
      </c>
      <c r="L2" s="284"/>
    </row>
    <row r="3" spans="1:12">
      <c r="B3" s="282" t="s">
        <v>813</v>
      </c>
      <c r="C3" s="282" t="s">
        <v>812</v>
      </c>
      <c r="D3" s="1537">
        <v>50</v>
      </c>
      <c r="E3" s="1537">
        <v>60</v>
      </c>
      <c r="G3" s="1218">
        <f>IF(AEStatus=1,BenchmarkClassifyDebtAE,BenchmarkClassifyDebtEM)</f>
        <v>50</v>
      </c>
    </row>
    <row r="4" spans="1:12">
      <c r="B4" s="751" t="s">
        <v>814</v>
      </c>
      <c r="C4" s="751" t="s">
        <v>812</v>
      </c>
      <c r="D4" s="1538">
        <v>10</v>
      </c>
      <c r="E4" s="1538">
        <v>15</v>
      </c>
      <c r="G4" s="1536">
        <f>IF(AEStatus=1,BenchmarkClassifyGFNAE,BenchmarkClassifyGFNEM)</f>
        <v>10</v>
      </c>
    </row>
    <row r="6" spans="1:12" s="284" customFormat="1">
      <c r="A6" s="287" t="s">
        <v>1007</v>
      </c>
    </row>
    <row r="7" spans="1:12" s="284" customFormat="1">
      <c r="A7" s="287"/>
      <c r="B7" s="1637" t="s">
        <v>672</v>
      </c>
      <c r="C7" s="1539" t="s">
        <v>340</v>
      </c>
      <c r="D7" s="1540" t="s">
        <v>440</v>
      </c>
      <c r="E7" s="1540" t="s">
        <v>514</v>
      </c>
      <c r="G7" s="1535" t="s">
        <v>169</v>
      </c>
    </row>
    <row r="8" spans="1:12" s="284" customFormat="1">
      <c r="A8" s="287"/>
      <c r="B8" s="281" t="s">
        <v>1004</v>
      </c>
      <c r="C8" s="1636" t="s">
        <v>998</v>
      </c>
      <c r="D8" s="1639">
        <v>2</v>
      </c>
      <c r="E8" s="1639">
        <v>2</v>
      </c>
      <c r="G8" s="1218">
        <f t="shared" ref="G8:G14" si="0">IF(AEStatus=1,E8,D8)</f>
        <v>2</v>
      </c>
    </row>
    <row r="9" spans="1:12" s="284" customFormat="1">
      <c r="B9" s="281" t="s">
        <v>995</v>
      </c>
      <c r="C9" s="1636" t="s">
        <v>1006</v>
      </c>
      <c r="D9" s="1639">
        <v>1</v>
      </c>
      <c r="E9" s="1639">
        <v>1</v>
      </c>
      <c r="G9" s="1218">
        <f t="shared" si="0"/>
        <v>1</v>
      </c>
    </row>
    <row r="10" spans="1:12" s="284" customFormat="1">
      <c r="B10" s="281" t="s">
        <v>1000</v>
      </c>
      <c r="C10" s="1636" t="s">
        <v>999</v>
      </c>
      <c r="D10" s="1639">
        <f>F24</f>
        <v>600</v>
      </c>
      <c r="E10" s="1639">
        <f>J24</f>
        <v>600</v>
      </c>
      <c r="G10" s="1218">
        <f t="shared" si="0"/>
        <v>600</v>
      </c>
    </row>
    <row r="11" spans="1:12" s="284" customFormat="1">
      <c r="B11" s="281" t="s">
        <v>1001</v>
      </c>
      <c r="C11" s="1636" t="s">
        <v>998</v>
      </c>
      <c r="D11" s="1639">
        <f>F25</f>
        <v>15</v>
      </c>
      <c r="E11" s="1639">
        <f>J25</f>
        <v>25</v>
      </c>
      <c r="G11" s="1218">
        <f t="shared" si="0"/>
        <v>15</v>
      </c>
    </row>
    <row r="12" spans="1:12" s="284" customFormat="1">
      <c r="B12" s="281" t="s">
        <v>1002</v>
      </c>
      <c r="C12" s="1636" t="s">
        <v>997</v>
      </c>
      <c r="D12" s="1639">
        <f>F27</f>
        <v>45</v>
      </c>
      <c r="E12" s="1639">
        <f>J27</f>
        <v>45</v>
      </c>
      <c r="G12" s="1218">
        <f t="shared" si="0"/>
        <v>45</v>
      </c>
    </row>
    <row r="13" spans="1:12" s="284" customFormat="1">
      <c r="B13" s="281" t="s">
        <v>1003</v>
      </c>
      <c r="C13" s="1636" t="s">
        <v>997</v>
      </c>
      <c r="D13" s="1639">
        <f>F28</f>
        <v>60</v>
      </c>
      <c r="E13" s="1639" t="e">
        <f>J28</f>
        <v>#N/A</v>
      </c>
      <c r="G13" s="1218">
        <f t="shared" si="0"/>
        <v>60</v>
      </c>
    </row>
    <row r="14" spans="1:12" s="284" customFormat="1">
      <c r="B14" s="666" t="s">
        <v>996</v>
      </c>
      <c r="C14" s="1638" t="s">
        <v>997</v>
      </c>
      <c r="D14" s="1538">
        <f>F26</f>
        <v>1</v>
      </c>
      <c r="E14" s="1538">
        <f>J26</f>
        <v>1.5</v>
      </c>
      <c r="G14" s="1536">
        <f t="shared" si="0"/>
        <v>1</v>
      </c>
    </row>
    <row r="15" spans="1:12" s="284" customFormat="1">
      <c r="B15" s="281"/>
    </row>
    <row r="16" spans="1:12">
      <c r="A16" s="287" t="s">
        <v>821</v>
      </c>
    </row>
    <row r="17" spans="1:10">
      <c r="B17" s="1539" t="s">
        <v>672</v>
      </c>
      <c r="C17" s="1539" t="s">
        <v>340</v>
      </c>
      <c r="D17" s="1540" t="s">
        <v>440</v>
      </c>
      <c r="E17" s="1540" t="s">
        <v>514</v>
      </c>
    </row>
    <row r="18" spans="1:10">
      <c r="B18" s="282" t="s">
        <v>822</v>
      </c>
      <c r="C18" s="282" t="s">
        <v>465</v>
      </c>
      <c r="D18" s="1537">
        <v>15</v>
      </c>
      <c r="E18" s="1537">
        <v>30</v>
      </c>
    </row>
    <row r="19" spans="1:10">
      <c r="B19" s="751" t="s">
        <v>823</v>
      </c>
      <c r="C19" s="751" t="s">
        <v>763</v>
      </c>
      <c r="D19" s="1538">
        <v>1.5</v>
      </c>
      <c r="E19" s="1538">
        <v>1.5</v>
      </c>
    </row>
    <row r="21" spans="1:10">
      <c r="A21" s="287" t="s">
        <v>810</v>
      </c>
    </row>
    <row r="22" spans="1:10">
      <c r="D22" s="1" t="s">
        <v>440</v>
      </c>
      <c r="E22" s="1" t="s">
        <v>440</v>
      </c>
      <c r="F22" s="1" t="s">
        <v>440</v>
      </c>
      <c r="H22" s="1" t="s">
        <v>514</v>
      </c>
      <c r="I22" s="1" t="s">
        <v>514</v>
      </c>
      <c r="J22" s="1" t="s">
        <v>514</v>
      </c>
    </row>
    <row r="23" spans="1:10">
      <c r="B23" s="1539" t="s">
        <v>672</v>
      </c>
      <c r="C23" s="1539" t="s">
        <v>340</v>
      </c>
      <c r="D23" s="1540" t="s">
        <v>445</v>
      </c>
      <c r="E23" s="1540">
        <v>25</v>
      </c>
      <c r="F23" s="1540">
        <v>75</v>
      </c>
      <c r="G23" s="1539"/>
      <c r="H23" s="1540" t="s">
        <v>445</v>
      </c>
      <c r="I23" s="1540">
        <v>50</v>
      </c>
      <c r="J23" s="1540">
        <v>75</v>
      </c>
    </row>
    <row r="24" spans="1:10">
      <c r="B24" s="282" t="s">
        <v>287</v>
      </c>
      <c r="C24" s="282" t="s">
        <v>153</v>
      </c>
      <c r="D24" s="1537">
        <v>800</v>
      </c>
      <c r="E24" s="1537">
        <v>200</v>
      </c>
      <c r="F24" s="1537">
        <v>600</v>
      </c>
      <c r="G24" s="282"/>
      <c r="H24" s="1537">
        <v>800</v>
      </c>
      <c r="I24" s="1537">
        <v>400</v>
      </c>
      <c r="J24" s="1537">
        <v>600</v>
      </c>
    </row>
    <row r="25" spans="1:10">
      <c r="B25" s="282" t="s">
        <v>288</v>
      </c>
      <c r="C25" s="282" t="s">
        <v>152</v>
      </c>
      <c r="D25" s="1537">
        <v>20</v>
      </c>
      <c r="E25" s="1537">
        <v>5</v>
      </c>
      <c r="F25" s="1537">
        <v>15</v>
      </c>
      <c r="G25" s="282"/>
      <c r="H25" s="1537">
        <v>35</v>
      </c>
      <c r="I25" s="1537">
        <v>17</v>
      </c>
      <c r="J25" s="1537">
        <v>25</v>
      </c>
    </row>
    <row r="26" spans="1:10">
      <c r="B26" s="282" t="s">
        <v>537</v>
      </c>
      <c r="C26" s="282" t="s">
        <v>154</v>
      </c>
      <c r="D26" s="1537">
        <v>1.5</v>
      </c>
      <c r="E26" s="1537">
        <v>0.5</v>
      </c>
      <c r="F26" s="1537">
        <v>1</v>
      </c>
      <c r="G26" s="282"/>
      <c r="H26" s="1537">
        <v>2</v>
      </c>
      <c r="I26" s="1537">
        <v>1</v>
      </c>
      <c r="J26" s="1537">
        <v>1.5</v>
      </c>
    </row>
    <row r="27" spans="1:10">
      <c r="B27" s="282" t="s">
        <v>781</v>
      </c>
      <c r="C27" s="282" t="s">
        <v>154</v>
      </c>
      <c r="D27" s="1537">
        <v>60</v>
      </c>
      <c r="E27" s="1537">
        <v>15</v>
      </c>
      <c r="F27" s="1537">
        <v>45</v>
      </c>
      <c r="G27" s="282"/>
      <c r="H27" s="1537">
        <v>60</v>
      </c>
      <c r="I27" s="1537">
        <v>30</v>
      </c>
      <c r="J27" s="1537">
        <v>45</v>
      </c>
    </row>
    <row r="28" spans="1:10">
      <c r="B28" s="751" t="s">
        <v>289</v>
      </c>
      <c r="C28" s="751" t="s">
        <v>154</v>
      </c>
      <c r="D28" s="1538">
        <v>80</v>
      </c>
      <c r="E28" s="1538">
        <v>20</v>
      </c>
      <c r="F28" s="1538">
        <v>60</v>
      </c>
      <c r="G28" s="751"/>
      <c r="H28" s="1538" t="e">
        <v>#N/A</v>
      </c>
      <c r="I28" s="1538" t="e">
        <v>#N/A</v>
      </c>
      <c r="J28" s="1538" t="e">
        <v>#N/A</v>
      </c>
    </row>
    <row r="30" spans="1:10">
      <c r="A30" s="287" t="s">
        <v>820</v>
      </c>
    </row>
    <row r="31" spans="1:10">
      <c r="B31" s="1539" t="s">
        <v>672</v>
      </c>
      <c r="C31" s="1539" t="s">
        <v>340</v>
      </c>
      <c r="D31" s="1540" t="s">
        <v>440</v>
      </c>
      <c r="E31" s="1540" t="s">
        <v>514</v>
      </c>
      <c r="G31" s="1535" t="s">
        <v>169</v>
      </c>
    </row>
    <row r="32" spans="1:10">
      <c r="B32" s="282" t="s">
        <v>813</v>
      </c>
      <c r="C32" s="282" t="s">
        <v>812</v>
      </c>
      <c r="D32" s="1537">
        <v>70</v>
      </c>
      <c r="E32" s="1537">
        <v>85</v>
      </c>
      <c r="G32" s="1218">
        <f>IF(AEStatus=1,E32,D32)</f>
        <v>70</v>
      </c>
    </row>
    <row r="33" spans="2:7">
      <c r="B33" s="751" t="s">
        <v>814</v>
      </c>
      <c r="C33" s="751" t="s">
        <v>812</v>
      </c>
      <c r="D33" s="1538">
        <v>15</v>
      </c>
      <c r="E33" s="1538">
        <v>20</v>
      </c>
      <c r="G33" s="1536">
        <f>IF(AEStatus=1,E33,D33)</f>
        <v>15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9">
    <tabColor rgb="FF92D050"/>
  </sheetPr>
  <dimension ref="A1:FY1836"/>
  <sheetViews>
    <sheetView topLeftCell="CH6" zoomScale="85" zoomScaleNormal="85" workbookViewId="0">
      <pane xSplit="28320" topLeftCell="AH1"/>
      <selection activeCell="CQ19" sqref="CQ19"/>
      <selection pane="topRight" activeCell="AH1" sqref="AH1"/>
    </sheetView>
  </sheetViews>
  <sheetFormatPr defaultRowHeight="15"/>
  <cols>
    <col min="1" max="1" width="4.5703125" style="98" customWidth="1"/>
    <col min="2" max="2" width="42.28515625" style="25" customWidth="1"/>
    <col min="3" max="3" width="20.140625" style="25" customWidth="1"/>
    <col min="4" max="4" width="4" style="25" customWidth="1"/>
    <col min="5" max="5" width="44.42578125" style="447" customWidth="1"/>
    <col min="6" max="6" width="6.7109375" style="289" customWidth="1"/>
    <col min="7" max="7" width="3.28515625" style="464" customWidth="1"/>
    <col min="8" max="8" width="3.28515625" style="98" customWidth="1"/>
    <col min="9" max="9" width="11.140625" style="98" customWidth="1"/>
    <col min="10" max="10" width="34.7109375" style="98" customWidth="1"/>
    <col min="11" max="11" width="15.140625" style="98" customWidth="1"/>
    <col min="12" max="12" width="4" style="98" customWidth="1"/>
    <col min="13" max="13" width="6.7109375" style="98" customWidth="1"/>
    <col min="14" max="14" width="3.28515625" style="464" customWidth="1"/>
    <col min="15" max="15" width="3.28515625" style="98" customWidth="1"/>
    <col min="16" max="16" width="64.7109375" style="25" customWidth="1"/>
    <col min="17" max="17" width="2.7109375" style="25" customWidth="1"/>
    <col min="18" max="18" width="55.7109375" customWidth="1"/>
    <col min="19" max="19" width="10.7109375" style="284" customWidth="1"/>
    <col min="20" max="20" width="10" style="284" customWidth="1"/>
    <col min="21" max="21" width="10.28515625" customWidth="1"/>
    <col min="22" max="26" width="8.7109375" customWidth="1"/>
    <col min="27" max="27" width="5" style="464" customWidth="1"/>
    <col min="28" max="28" width="40.7109375" style="25" customWidth="1"/>
    <col min="29" max="29" width="2.7109375" style="25" customWidth="1"/>
    <col min="30" max="34" width="10.7109375" style="25" customWidth="1"/>
    <col min="35" max="35" width="2.7109375" style="25" customWidth="1"/>
    <col min="36" max="39" width="10.7109375" style="25" customWidth="1"/>
    <col min="40" max="40" width="2.7109375" style="25" customWidth="1"/>
    <col min="41" max="41" width="7.28515625" style="464" customWidth="1"/>
    <col min="42" max="42" width="14" style="432" customWidth="1"/>
    <col min="43" max="43" width="50" style="25" customWidth="1"/>
    <col min="44" max="45" width="8.140625" style="25" customWidth="1"/>
    <col min="46" max="51" width="8.7109375" style="438" customWidth="1"/>
    <col min="52" max="52" width="7.7109375" style="464" customWidth="1"/>
    <col min="53" max="54" width="15" style="247" customWidth="1"/>
    <col min="55" max="55" width="3.28515625" style="247" customWidth="1"/>
    <col min="56" max="56" width="35.28515625" style="247" customWidth="1"/>
    <col min="57" max="57" width="9.140625" style="247"/>
    <col min="58" max="62" width="11.7109375" style="247" customWidth="1"/>
    <col min="63" max="63" width="9.140625" style="254"/>
    <col min="64" max="64" width="73.42578125" style="255" customWidth="1"/>
    <col min="65" max="65" width="30.28515625" style="247" customWidth="1"/>
    <col min="66" max="66" width="11.85546875" style="247" bestFit="1" customWidth="1"/>
    <col min="67" max="69" width="9.140625" style="247"/>
    <col min="70" max="70" width="12.7109375" style="261" customWidth="1"/>
    <col min="71" max="71" width="9.140625" style="247"/>
    <col min="72" max="73" width="9.28515625" style="247" bestFit="1" customWidth="1"/>
    <col min="74" max="74" width="9.140625" style="261"/>
    <col min="75" max="77" width="9.140625" style="247"/>
    <col min="78" max="78" width="9.140625" style="254"/>
    <col min="79" max="79" width="24.140625" style="255" customWidth="1"/>
    <col min="80" max="84" width="9.140625" style="247"/>
    <col min="85" max="85" width="13.42578125" style="254" customWidth="1"/>
    <col min="86" max="86" width="39.140625" style="17" customWidth="1"/>
    <col min="87" max="87" width="7.140625" style="17" customWidth="1"/>
    <col min="88" max="88" width="12.140625" style="1077" customWidth="1"/>
    <col min="89" max="106" width="9.140625" style="1077"/>
    <col min="107" max="107" width="9.140625" style="993"/>
    <col min="108" max="108" width="47" style="17" customWidth="1"/>
    <col min="109" max="109" width="16.7109375" style="17" customWidth="1"/>
    <col min="110" max="112" width="14.140625" style="17" customWidth="1"/>
    <col min="113" max="113" width="20.140625" style="17" customWidth="1"/>
    <col min="114" max="114" width="9.140625" style="17"/>
    <col min="115" max="117" width="13.140625" style="17" customWidth="1"/>
    <col min="118" max="118" width="21.140625" style="17" customWidth="1"/>
    <col min="119" max="119" width="9.140625" style="993"/>
    <col min="120" max="120" width="25.42578125" style="488" customWidth="1"/>
    <col min="121" max="121" width="14.28515625" style="247" customWidth="1"/>
    <col min="122" max="124" width="9.140625" style="247"/>
    <col min="125" max="125" width="15" style="247" customWidth="1"/>
    <col min="126" max="135" width="15" style="261" customWidth="1"/>
    <col min="136" max="136" width="9.140625" style="993"/>
    <col min="137" max="181" width="9.140625" style="281"/>
  </cols>
  <sheetData>
    <row r="1" spans="1:181" s="284" customFormat="1" ht="59.25" customHeight="1">
      <c r="A1" s="945" t="s">
        <v>950</v>
      </c>
      <c r="B1" s="25"/>
      <c r="C1" s="945"/>
      <c r="D1" s="25"/>
      <c r="F1" s="289"/>
      <c r="G1" s="464"/>
      <c r="H1" s="98"/>
      <c r="I1" s="945" t="s">
        <v>947</v>
      </c>
      <c r="J1" s="98"/>
      <c r="K1" s="98"/>
      <c r="L1" s="98"/>
      <c r="M1" s="98"/>
      <c r="N1" s="464"/>
      <c r="O1" s="98"/>
      <c r="P1" s="459" t="s">
        <v>331</v>
      </c>
      <c r="Q1" s="25"/>
      <c r="R1" s="25"/>
      <c r="S1" s="25"/>
      <c r="T1" s="25"/>
      <c r="U1" s="25">
        <v>100</v>
      </c>
      <c r="V1" s="25"/>
      <c r="W1" s="25"/>
      <c r="X1" s="25"/>
      <c r="Y1" s="25"/>
      <c r="Z1" s="25"/>
      <c r="AA1" s="464"/>
      <c r="AB1" s="459" t="s">
        <v>523</v>
      </c>
      <c r="AC1" s="25"/>
      <c r="AD1" s="25"/>
      <c r="AE1" s="25"/>
      <c r="AF1" s="25"/>
      <c r="AG1" s="25"/>
      <c r="AH1" s="25"/>
      <c r="AI1" s="25"/>
      <c r="AJ1" s="25"/>
      <c r="AK1" s="25"/>
      <c r="AL1" s="25"/>
      <c r="AM1" s="25"/>
      <c r="AN1" s="25"/>
      <c r="AO1" s="464"/>
      <c r="AP1" s="459" t="s">
        <v>332</v>
      </c>
      <c r="AQ1" s="25"/>
      <c r="AR1" s="25"/>
      <c r="AS1" s="25"/>
      <c r="AT1" s="438"/>
      <c r="AU1" s="438"/>
      <c r="AV1" s="438"/>
      <c r="AW1" s="438"/>
      <c r="AX1" s="438"/>
      <c r="AY1" s="438"/>
      <c r="AZ1" s="464"/>
      <c r="BA1" s="487" t="s">
        <v>330</v>
      </c>
      <c r="BB1" s="487"/>
      <c r="BC1" s="487"/>
      <c r="BD1" s="456"/>
      <c r="BE1" s="456"/>
      <c r="BF1" s="456"/>
      <c r="BG1" s="456"/>
      <c r="BH1" s="456"/>
      <c r="BI1" s="456"/>
      <c r="BJ1" s="456"/>
      <c r="BK1" s="457"/>
      <c r="BL1" s="487" t="s">
        <v>133</v>
      </c>
      <c r="BM1" s="456"/>
      <c r="BN1" s="456"/>
      <c r="BO1" s="456"/>
      <c r="BP1" s="456"/>
      <c r="BQ1" s="456"/>
      <c r="BR1" s="1017"/>
      <c r="BS1" s="456"/>
      <c r="BT1" s="456"/>
      <c r="BU1" s="456"/>
      <c r="BV1" s="1017"/>
      <c r="BW1" s="456"/>
      <c r="BX1" s="456"/>
      <c r="BY1" s="456"/>
      <c r="BZ1" s="457"/>
      <c r="CA1" s="487" t="s">
        <v>295</v>
      </c>
      <c r="CB1" s="247"/>
      <c r="CC1" s="456"/>
      <c r="CD1" s="456"/>
      <c r="CE1" s="456"/>
      <c r="CF1" s="456"/>
      <c r="CG1" s="457"/>
      <c r="CH1" s="997" t="s">
        <v>675</v>
      </c>
      <c r="CI1" s="1066"/>
      <c r="CJ1" s="1077"/>
      <c r="CK1" s="1077"/>
      <c r="CL1" s="1077"/>
      <c r="CM1" s="1077"/>
      <c r="CN1" s="1077"/>
      <c r="CO1" s="1077"/>
      <c r="CP1" s="1077"/>
      <c r="CQ1" s="1077"/>
      <c r="CR1" s="1077"/>
      <c r="CS1" s="1077"/>
      <c r="CT1" s="1077"/>
      <c r="CU1" s="1077"/>
      <c r="CV1" s="1077"/>
      <c r="CW1" s="1077"/>
      <c r="CX1" s="1077"/>
      <c r="CY1" s="1077"/>
      <c r="CZ1" s="1077"/>
      <c r="DA1" s="1077"/>
      <c r="DB1" s="1077"/>
      <c r="DC1" s="993"/>
      <c r="DD1" s="1424" t="s">
        <v>834</v>
      </c>
      <c r="DE1" s="487"/>
      <c r="DF1" s="247"/>
      <c r="DG1" s="17"/>
      <c r="DH1" s="17"/>
      <c r="DI1" s="17"/>
      <c r="DJ1" s="17"/>
      <c r="DK1" s="17"/>
      <c r="DL1" s="17"/>
      <c r="DM1" s="17"/>
      <c r="DN1" s="17"/>
      <c r="DO1" s="993"/>
      <c r="DP1" s="487" t="s">
        <v>682</v>
      </c>
      <c r="DQ1" s="247"/>
      <c r="DR1" s="456"/>
      <c r="DS1" s="456"/>
      <c r="DT1" s="456"/>
      <c r="DU1" s="456"/>
      <c r="DV1" s="1017"/>
      <c r="DW1" s="1017"/>
      <c r="DX1" s="1017"/>
      <c r="DY1" s="1017"/>
      <c r="DZ1" s="1017"/>
      <c r="EA1" s="1017"/>
      <c r="EB1" s="1017"/>
      <c r="EC1" s="1017"/>
      <c r="ED1" s="1017"/>
      <c r="EE1" s="1017"/>
      <c r="EF1" s="993"/>
      <c r="EG1" s="281"/>
      <c r="EH1" s="281"/>
      <c r="EI1" s="281"/>
      <c r="EJ1" s="281"/>
      <c r="EK1" s="281"/>
      <c r="EL1" s="281"/>
      <c r="EM1" s="281"/>
      <c r="EN1" s="281"/>
      <c r="EO1" s="281"/>
      <c r="EP1" s="281"/>
      <c r="EQ1" s="281"/>
      <c r="ER1" s="281"/>
      <c r="ES1" s="281"/>
      <c r="ET1" s="281"/>
      <c r="EU1" s="281"/>
      <c r="EV1" s="281"/>
      <c r="EW1" s="281"/>
      <c r="EX1" s="281"/>
      <c r="EY1" s="281"/>
      <c r="EZ1" s="281"/>
      <c r="FA1" s="281"/>
      <c r="FB1" s="281"/>
      <c r="FC1" s="281"/>
      <c r="FD1" s="281"/>
      <c r="FE1" s="281"/>
      <c r="FF1" s="281"/>
      <c r="FG1" s="281"/>
      <c r="FH1" s="281"/>
      <c r="FI1" s="281"/>
      <c r="FJ1" s="281"/>
      <c r="FK1" s="281"/>
      <c r="FL1" s="281"/>
      <c r="FM1" s="281"/>
      <c r="FN1" s="281"/>
      <c r="FO1" s="281"/>
      <c r="FP1" s="281"/>
      <c r="FQ1" s="281"/>
      <c r="FR1" s="281"/>
      <c r="FS1" s="281"/>
      <c r="FT1" s="281"/>
      <c r="FU1" s="281"/>
      <c r="FV1" s="281"/>
      <c r="FW1" s="281"/>
      <c r="FX1" s="281"/>
      <c r="FY1" s="281"/>
    </row>
    <row r="2" spans="1:181" s="461" customFormat="1" ht="22.7" customHeight="1" thickBot="1">
      <c r="A2" s="98"/>
      <c r="E2" s="1585"/>
      <c r="F2" s="950"/>
      <c r="G2" s="465"/>
      <c r="H2" s="98"/>
      <c r="I2" s="98"/>
      <c r="J2" s="98"/>
      <c r="K2" s="98"/>
      <c r="L2" s="98"/>
      <c r="M2" s="98"/>
      <c r="N2" s="464"/>
      <c r="P2" s="461">
        <v>1</v>
      </c>
      <c r="Q2" s="461">
        <f t="shared" ref="Q2:Z2" si="0">P2+1</f>
        <v>2</v>
      </c>
      <c r="R2" s="461">
        <f t="shared" si="0"/>
        <v>3</v>
      </c>
      <c r="S2" s="461">
        <f t="shared" si="0"/>
        <v>4</v>
      </c>
      <c r="T2" s="461">
        <f t="shared" si="0"/>
        <v>5</v>
      </c>
      <c r="U2" s="461">
        <f t="shared" si="0"/>
        <v>6</v>
      </c>
      <c r="V2" s="461">
        <f t="shared" si="0"/>
        <v>7</v>
      </c>
      <c r="W2" s="461">
        <f t="shared" si="0"/>
        <v>8</v>
      </c>
      <c r="X2" s="461">
        <f t="shared" si="0"/>
        <v>9</v>
      </c>
      <c r="Y2" s="461">
        <f t="shared" si="0"/>
        <v>10</v>
      </c>
      <c r="Z2" s="461">
        <f t="shared" si="0"/>
        <v>11</v>
      </c>
      <c r="AA2" s="465"/>
      <c r="AK2" s="452"/>
      <c r="AL2" s="452"/>
      <c r="AM2" s="452"/>
      <c r="AN2" s="452"/>
      <c r="AO2" s="465"/>
      <c r="AT2" s="463"/>
      <c r="AU2" s="463"/>
      <c r="AV2" s="463"/>
      <c r="AW2" s="463"/>
      <c r="AX2" s="463"/>
      <c r="AY2" s="463"/>
      <c r="AZ2" s="465"/>
      <c r="BA2" s="493"/>
      <c r="BB2" s="493"/>
      <c r="BC2" s="493"/>
      <c r="BD2" s="247"/>
      <c r="BE2" s="247"/>
      <c r="BF2" s="247"/>
      <c r="BG2" s="247"/>
      <c r="BH2" s="247"/>
      <c r="BI2" s="247"/>
      <c r="BJ2" s="247"/>
      <c r="BK2" s="254"/>
      <c r="BL2" s="494"/>
      <c r="BM2" s="493"/>
      <c r="BN2" s="247"/>
      <c r="BO2" s="247"/>
      <c r="BP2" s="247"/>
      <c r="BQ2" s="247"/>
      <c r="BR2" s="261"/>
      <c r="BS2" s="247"/>
      <c r="BT2" s="247"/>
      <c r="BU2" s="247"/>
      <c r="BV2" s="261"/>
      <c r="BW2" s="247"/>
      <c r="BX2" s="247"/>
      <c r="BY2" s="247"/>
      <c r="BZ2" s="254"/>
      <c r="CA2" s="494" t="s">
        <v>336</v>
      </c>
      <c r="CB2" s="500">
        <f>IF(AND(AEStatus=1,OR(CE12&gt;CC22,CD18&gt;CC23)),1,IF(AND(AEStatus=0,OR(CE12&gt;CB22,CD18&gt;CB23)),1,0))</f>
        <v>0</v>
      </c>
      <c r="CC2" s="501" t="e">
        <f>IF('Input 5 - Scenario Design'!J23="Yes", 1,IF('Input 5 - Scenario Design'!J23="No",0,#N/A))</f>
        <v>#N/A</v>
      </c>
      <c r="CD2" s="501">
        <f>IF(ISERROR(CC2),CLTrigger_Auto,CC2)</f>
        <v>0</v>
      </c>
      <c r="CE2" s="247"/>
      <c r="CF2" s="247"/>
      <c r="CG2" s="254"/>
      <c r="CH2" s="494" t="s">
        <v>321</v>
      </c>
      <c r="CI2" s="494" t="s">
        <v>676</v>
      </c>
      <c r="CJ2" s="1078"/>
      <c r="CK2" s="1077"/>
      <c r="CL2" s="1077"/>
      <c r="CM2" s="1077"/>
      <c r="CN2" s="1077"/>
      <c r="CO2" s="1077"/>
      <c r="CP2" s="1095" t="s">
        <v>727</v>
      </c>
      <c r="CQ2" s="1095"/>
      <c r="CR2" s="1095"/>
      <c r="CS2" s="1094"/>
      <c r="CT2" s="1094"/>
      <c r="CU2" s="1094"/>
      <c r="CV2" s="1094"/>
      <c r="CW2" s="1094"/>
      <c r="CX2" s="1094"/>
      <c r="CY2" s="1094"/>
      <c r="CZ2" s="1094"/>
      <c r="DA2" s="1094"/>
      <c r="DB2" s="1094"/>
      <c r="DC2" s="993"/>
      <c r="DD2" s="1425" t="s">
        <v>321</v>
      </c>
      <c r="DE2" s="1044">
        <v>1</v>
      </c>
      <c r="DF2" s="281"/>
      <c r="DG2" s="17"/>
      <c r="DH2" s="17"/>
      <c r="DI2" s="17"/>
      <c r="DJ2" s="17"/>
      <c r="DK2" s="17"/>
      <c r="DL2" s="17"/>
      <c r="DM2" s="17"/>
      <c r="DN2" s="17"/>
      <c r="DO2" s="993"/>
      <c r="DP2" s="494" t="s">
        <v>321</v>
      </c>
      <c r="DQ2" s="1044" t="e">
        <f>IF(OR(BoomBustCredit=1,BoomBustGap=1),1,)</f>
        <v>#DIV/0!</v>
      </c>
      <c r="DR2" s="247"/>
      <c r="DS2" s="247"/>
      <c r="DT2" s="247"/>
      <c r="DU2" s="247"/>
      <c r="DV2" s="261"/>
      <c r="DW2" s="261"/>
      <c r="DX2" s="261"/>
      <c r="DY2" s="261"/>
      <c r="DZ2" s="261"/>
      <c r="EA2" s="261"/>
      <c r="EB2" s="261"/>
      <c r="EC2" s="261"/>
      <c r="ED2" s="261"/>
      <c r="EE2" s="261"/>
      <c r="EF2" s="1023"/>
      <c r="EG2" s="666"/>
      <c r="EH2" s="666"/>
      <c r="EI2" s="666"/>
      <c r="EJ2" s="666"/>
      <c r="EK2" s="666"/>
      <c r="EL2" s="666"/>
      <c r="EM2" s="666"/>
      <c r="EN2" s="666"/>
      <c r="EO2" s="666"/>
      <c r="EP2" s="666"/>
      <c r="EQ2" s="666"/>
      <c r="ER2" s="666"/>
      <c r="ES2" s="666"/>
      <c r="ET2" s="666"/>
      <c r="EU2" s="666"/>
      <c r="EV2" s="666"/>
      <c r="EW2" s="666"/>
      <c r="EX2" s="666"/>
      <c r="EY2" s="666"/>
      <c r="EZ2" s="666"/>
      <c r="FA2" s="666"/>
      <c r="FB2" s="666"/>
      <c r="FC2" s="666"/>
      <c r="FD2" s="666"/>
      <c r="FE2" s="666"/>
      <c r="FF2" s="666"/>
      <c r="FG2" s="666"/>
      <c r="FH2" s="666"/>
      <c r="FI2" s="666"/>
      <c r="FJ2" s="666"/>
      <c r="FK2" s="666"/>
      <c r="FL2" s="666"/>
      <c r="FM2" s="666"/>
      <c r="FN2" s="666"/>
      <c r="FO2" s="666"/>
      <c r="FP2" s="666"/>
      <c r="FQ2" s="666"/>
      <c r="FR2" s="666"/>
      <c r="FS2" s="666"/>
      <c r="FT2" s="666"/>
      <c r="FU2" s="666"/>
      <c r="FV2" s="666"/>
      <c r="FW2" s="666"/>
      <c r="FX2" s="666"/>
      <c r="FY2" s="666"/>
    </row>
    <row r="3" spans="1:181" s="25" customFormat="1" ht="47.25" customHeight="1" thickBot="1">
      <c r="A3" s="2022" t="s">
        <v>333</v>
      </c>
      <c r="B3" s="2022"/>
      <c r="C3" s="2020" t="s">
        <v>753</v>
      </c>
      <c r="D3" s="262"/>
      <c r="E3" s="2018" t="s">
        <v>967</v>
      </c>
      <c r="F3" s="289"/>
      <c r="G3" s="464"/>
      <c r="H3" s="98"/>
      <c r="I3" s="515" t="s">
        <v>678</v>
      </c>
      <c r="N3" s="464"/>
      <c r="O3" s="98"/>
      <c r="U3" s="460" t="s">
        <v>16</v>
      </c>
      <c r="V3" s="26"/>
      <c r="W3" s="26"/>
      <c r="X3" s="26"/>
      <c r="Y3" s="26"/>
      <c r="Z3" s="26"/>
      <c r="AA3" s="471"/>
      <c r="AB3" s="289"/>
      <c r="AD3" s="122" t="s">
        <v>507</v>
      </c>
      <c r="AE3" s="98"/>
      <c r="AF3" s="98"/>
      <c r="AG3" s="98"/>
      <c r="AH3" s="98"/>
      <c r="AI3" s="98"/>
      <c r="AJ3" s="122" t="s">
        <v>507</v>
      </c>
      <c r="AK3" s="98"/>
      <c r="AL3" s="98"/>
      <c r="AM3" s="98"/>
      <c r="AN3" s="98"/>
      <c r="AO3" s="486"/>
      <c r="AP3" s="442" t="s">
        <v>831</v>
      </c>
      <c r="AQ3" s="289"/>
      <c r="AR3" s="289"/>
      <c r="AS3" s="289"/>
      <c r="AT3" s="138"/>
      <c r="AU3" s="138"/>
      <c r="AV3" s="138"/>
      <c r="AW3" s="138"/>
      <c r="AX3" s="138"/>
      <c r="AY3" s="138"/>
      <c r="AZ3" s="471"/>
      <c r="BA3" s="2027" t="s">
        <v>965</v>
      </c>
      <c r="BB3" s="1581" t="s">
        <v>949</v>
      </c>
      <c r="BC3" s="281"/>
      <c r="BD3" s="1580" t="s">
        <v>790</v>
      </c>
      <c r="BE3" s="396">
        <f>FirstYear</f>
        <v>2018</v>
      </c>
      <c r="BF3" s="396">
        <f>BE3+1</f>
        <v>2019</v>
      </c>
      <c r="BG3" s="396">
        <f>BF3+1</f>
        <v>2020</v>
      </c>
      <c r="BH3" s="396">
        <f>BG3+1</f>
        <v>2021</v>
      </c>
      <c r="BI3" s="396">
        <f>BH3+1</f>
        <v>2022</v>
      </c>
      <c r="BJ3" s="395">
        <f>BI3+1</f>
        <v>2023</v>
      </c>
      <c r="BK3" s="254"/>
      <c r="BL3" s="281"/>
      <c r="BM3" s="281"/>
      <c r="BN3" s="1201"/>
      <c r="BO3" s="1201"/>
      <c r="BP3" s="616"/>
      <c r="BQ3" s="616"/>
      <c r="BR3" s="616"/>
      <c r="BS3" s="616"/>
      <c r="BT3" s="281"/>
      <c r="BU3" s="281"/>
      <c r="BV3" s="281"/>
      <c r="BW3" s="256"/>
      <c r="BX3" s="256"/>
      <c r="BY3" s="256"/>
      <c r="BZ3" s="254"/>
      <c r="CA3" s="281"/>
      <c r="CB3" s="525" t="s">
        <v>335</v>
      </c>
      <c r="CC3" s="525" t="s">
        <v>291</v>
      </c>
      <c r="CD3" s="525" t="s">
        <v>292</v>
      </c>
      <c r="CE3" s="281"/>
      <c r="CF3" s="281"/>
      <c r="CG3" s="1035"/>
      <c r="CH3" s="1037" t="s">
        <v>683</v>
      </c>
      <c r="CI3" s="258"/>
      <c r="CJ3" s="1079"/>
      <c r="CK3" s="281"/>
      <c r="CL3" s="1077"/>
      <c r="CM3" s="1077"/>
      <c r="CN3" s="1077"/>
      <c r="CO3" s="1077"/>
      <c r="CP3" s="1077"/>
      <c r="CQ3" s="1077"/>
      <c r="CR3" s="1077"/>
      <c r="CS3" s="1077"/>
      <c r="CT3" s="1077"/>
      <c r="CU3" s="1077"/>
      <c r="CV3" s="1077"/>
      <c r="CW3" s="1077"/>
      <c r="CX3" s="1077"/>
      <c r="CY3" s="1077"/>
      <c r="CZ3" s="1077"/>
      <c r="DA3" s="1077"/>
      <c r="DB3" s="1077"/>
      <c r="DC3" s="993"/>
      <c r="DD3" s="281"/>
      <c r="DE3" s="281"/>
      <c r="DF3" s="281"/>
      <c r="DG3" s="281"/>
      <c r="DH3" s="281"/>
      <c r="DI3" s="281"/>
      <c r="DJ3" s="17"/>
      <c r="DK3" s="17"/>
      <c r="DL3" s="17"/>
      <c r="DM3" s="17"/>
      <c r="DN3" s="17"/>
      <c r="DO3" s="993"/>
      <c r="DP3" s="247"/>
      <c r="DQ3" s="247"/>
      <c r="DR3" s="284"/>
      <c r="DS3" s="284"/>
      <c r="DT3" s="284"/>
      <c r="DU3" s="118" t="s">
        <v>698</v>
      </c>
      <c r="DV3" s="1209"/>
      <c r="DW3" s="1209"/>
      <c r="DX3" s="1209"/>
      <c r="DY3" s="1209"/>
      <c r="DZ3" s="1209"/>
      <c r="EA3" s="1209"/>
      <c r="EB3" s="1209"/>
      <c r="EC3" s="1209"/>
      <c r="ED3" s="1209"/>
      <c r="EE3" s="1209"/>
      <c r="EF3" s="993"/>
      <c r="EG3" s="281"/>
      <c r="EH3" s="281"/>
      <c r="EI3" s="281"/>
      <c r="EJ3" s="281"/>
      <c r="EK3" s="281"/>
      <c r="EL3" s="281"/>
      <c r="EM3" s="281"/>
      <c r="EN3" s="281"/>
      <c r="EO3" s="281"/>
      <c r="EP3" s="281"/>
      <c r="EQ3" s="281"/>
      <c r="ER3" s="281"/>
      <c r="ES3" s="281"/>
      <c r="ET3" s="281"/>
      <c r="EU3" s="281"/>
      <c r="EV3" s="281"/>
      <c r="EW3" s="281"/>
      <c r="EX3" s="281"/>
      <c r="EY3" s="281"/>
      <c r="EZ3" s="281"/>
      <c r="FA3" s="281"/>
      <c r="FB3" s="281"/>
      <c r="FC3" s="281"/>
      <c r="FD3" s="281"/>
      <c r="FE3" s="281"/>
      <c r="FF3" s="281"/>
      <c r="FG3" s="281"/>
      <c r="FH3" s="281"/>
      <c r="FI3" s="281"/>
      <c r="FJ3" s="281"/>
      <c r="FK3" s="281"/>
      <c r="FL3" s="281"/>
      <c r="FM3" s="281"/>
      <c r="FN3" s="281"/>
      <c r="FO3" s="281"/>
      <c r="FP3" s="281"/>
      <c r="FQ3" s="281"/>
      <c r="FR3" s="281"/>
      <c r="FS3" s="281"/>
      <c r="FT3" s="281"/>
      <c r="FU3" s="281"/>
      <c r="FV3" s="281"/>
      <c r="FW3" s="281"/>
      <c r="FX3" s="281"/>
      <c r="FY3" s="281"/>
    </row>
    <row r="4" spans="1:181" s="25" customFormat="1" ht="24.75" customHeight="1" thickBot="1">
      <c r="A4" s="2021"/>
      <c r="B4" s="2021"/>
      <c r="C4" s="2021"/>
      <c r="D4" s="1585"/>
      <c r="E4" s="2019"/>
      <c r="F4" s="1588"/>
      <c r="G4" s="464"/>
      <c r="H4" s="98"/>
      <c r="I4" s="25" t="s">
        <v>169</v>
      </c>
      <c r="J4" s="25" t="s">
        <v>284</v>
      </c>
      <c r="K4" s="25" t="s">
        <v>681</v>
      </c>
      <c r="M4" s="25" t="s">
        <v>680</v>
      </c>
      <c r="N4" s="466"/>
      <c r="O4" s="98"/>
      <c r="S4" s="25">
        <f>T4-1</f>
        <v>2016</v>
      </c>
      <c r="T4" s="25">
        <f>U4-1</f>
        <v>2017</v>
      </c>
      <c r="U4" s="103">
        <f>FirstYear</f>
        <v>2018</v>
      </c>
      <c r="V4" s="104">
        <f>U4+1</f>
        <v>2019</v>
      </c>
      <c r="W4" s="105">
        <f>V4+1</f>
        <v>2020</v>
      </c>
      <c r="X4" s="105">
        <f>W4+1</f>
        <v>2021</v>
      </c>
      <c r="Y4" s="105">
        <f>X4+1</f>
        <v>2022</v>
      </c>
      <c r="Z4" s="106">
        <f>Y4+1</f>
        <v>2023</v>
      </c>
      <c r="AA4" s="472"/>
      <c r="AB4" s="428"/>
      <c r="AD4" s="140" t="s">
        <v>429</v>
      </c>
      <c r="AE4" s="631"/>
      <c r="AF4" s="631"/>
      <c r="AG4" s="631"/>
      <c r="AH4" s="631"/>
      <c r="AI4" s="631"/>
      <c r="AJ4" s="140" t="s">
        <v>444</v>
      </c>
      <c r="AK4" s="631"/>
      <c r="AL4" s="631"/>
      <c r="AM4" s="27"/>
      <c r="AN4" s="27"/>
      <c r="AO4" s="486"/>
      <c r="AP4" s="434"/>
      <c r="AQ4" s="428"/>
      <c r="AR4" s="440">
        <v>5</v>
      </c>
      <c r="AS4" s="440">
        <f>AR4+1</f>
        <v>6</v>
      </c>
      <c r="AT4" s="440">
        <v>6</v>
      </c>
      <c r="AU4" s="440">
        <f>AT4+1</f>
        <v>7</v>
      </c>
      <c r="AV4" s="440">
        <f>AU4+1</f>
        <v>8</v>
      </c>
      <c r="AW4" s="440">
        <f>AV4+1</f>
        <v>9</v>
      </c>
      <c r="AX4" s="440">
        <f>AW4+1</f>
        <v>10</v>
      </c>
      <c r="AY4" s="440">
        <f>AX4+1</f>
        <v>11</v>
      </c>
      <c r="AZ4" s="472"/>
      <c r="BA4" s="2027"/>
      <c r="BB4" s="1582">
        <f>IF(Exceptional="Yes",1,IF(OR(BF4=1,BG4=1,BH4=1,BI4=1,BJ4=1),1,0))</f>
        <v>0</v>
      </c>
      <c r="BC4" s="492"/>
      <c r="BD4" s="357"/>
      <c r="BE4" s="357"/>
      <c r="BF4" s="357">
        <f>IF('Baseline debt'!Q58-'Baseline debt'!P58&gt;1%,1,IF('Baseline debt'!Q58-'Baseline debt'!N58&gt;2%,1,0))</f>
        <v>0</v>
      </c>
      <c r="BG4" s="357">
        <f>IF('Baseline debt'!R58-'Baseline debt'!Q58&gt;1%,1,IF('Baseline debt'!R58-'Baseline debt'!O58&gt;2%,1,0))</f>
        <v>0</v>
      </c>
      <c r="BH4" s="357">
        <f>IF('Baseline debt'!S58-'Baseline debt'!R58&gt;1%,1,IF('Baseline debt'!S58-'Baseline debt'!P58&gt;2%,1,0))</f>
        <v>0</v>
      </c>
      <c r="BI4" s="357">
        <f>IF('Baseline debt'!T58-'Baseline debt'!S58&gt;1%,1,IF('Baseline debt'!T58-'Baseline debt'!Q58&gt;2%,1,0))</f>
        <v>0</v>
      </c>
      <c r="BJ4" s="357">
        <f>IF('Baseline debt'!U58-'Baseline debt'!T58&gt;1%,1,IF('Baseline debt'!U58-'Baseline debt'!R58&gt;2%,1,0))</f>
        <v>0</v>
      </c>
      <c r="BK4" s="254"/>
      <c r="BL4" s="17"/>
      <c r="BM4" s="281"/>
      <c r="BN4" s="281"/>
      <c r="BO4" s="281"/>
      <c r="BP4" s="281"/>
      <c r="BQ4" s="616"/>
      <c r="BR4" s="281"/>
      <c r="BS4" s="281"/>
      <c r="BT4" s="281"/>
      <c r="BU4" s="281"/>
      <c r="BV4" s="281"/>
      <c r="BW4" s="424"/>
      <c r="BX4" s="424"/>
      <c r="BY4" s="424"/>
      <c r="BZ4" s="254"/>
      <c r="CA4" s="281"/>
      <c r="CB4" s="281"/>
      <c r="CC4" s="281"/>
      <c r="CD4" s="281"/>
      <c r="CE4" s="281"/>
      <c r="CF4" s="281"/>
      <c r="CG4" s="1036"/>
      <c r="CH4" s="1071" t="s">
        <v>684</v>
      </c>
      <c r="CI4" s="258"/>
      <c r="CJ4" s="1079"/>
      <c r="CK4" s="281"/>
      <c r="CL4" s="1077"/>
      <c r="CM4" s="1077"/>
      <c r="CN4" s="1077"/>
      <c r="CO4" s="1077"/>
      <c r="CP4" s="1077"/>
      <c r="CQ4" s="1077"/>
      <c r="CR4" s="1077"/>
      <c r="CS4" s="1077"/>
      <c r="CT4" s="1077"/>
      <c r="CU4" s="1077"/>
      <c r="CV4" s="1077"/>
      <c r="CW4" s="1077"/>
      <c r="CX4" s="1077"/>
      <c r="CY4" s="1077"/>
      <c r="CZ4" s="1077"/>
      <c r="DA4" s="1077"/>
      <c r="DB4" s="1077"/>
      <c r="DC4" s="993"/>
      <c r="DD4" s="281"/>
      <c r="DE4" s="281"/>
      <c r="DF4" s="281"/>
      <c r="DG4" s="281"/>
      <c r="DH4" s="281"/>
      <c r="DI4" s="281"/>
      <c r="DJ4" s="17"/>
      <c r="DK4" s="17"/>
      <c r="DL4" s="17"/>
      <c r="DM4" s="17"/>
      <c r="DN4" s="17"/>
      <c r="DO4" s="993"/>
      <c r="DP4" s="1408"/>
      <c r="DQ4" s="1058">
        <f>DR4-1</f>
        <v>2014</v>
      </c>
      <c r="DR4" s="1058">
        <f>DS4-1</f>
        <v>2015</v>
      </c>
      <c r="DS4" s="1058">
        <f>DT4-1</f>
        <v>2016</v>
      </c>
      <c r="DT4" s="1058">
        <f>DU4-1</f>
        <v>2017</v>
      </c>
      <c r="DU4" s="54">
        <f>FirstYear</f>
        <v>2018</v>
      </c>
      <c r="DV4" s="136"/>
      <c r="DW4" s="136"/>
      <c r="DX4" s="136"/>
      <c r="DY4" s="136"/>
      <c r="DZ4" s="136"/>
      <c r="EA4" s="136"/>
      <c r="EB4" s="136"/>
      <c r="EC4" s="136"/>
      <c r="ED4" s="136"/>
      <c r="EE4" s="136"/>
      <c r="EF4" s="993"/>
      <c r="EG4" s="281"/>
      <c r="EH4" s="281"/>
      <c r="EI4" s="281"/>
      <c r="EJ4" s="281"/>
      <c r="EK4" s="281"/>
      <c r="EL4" s="281"/>
      <c r="EM4" s="281"/>
      <c r="EN4" s="281"/>
      <c r="EO4" s="281"/>
      <c r="EP4" s="281"/>
      <c r="EQ4" s="281"/>
      <c r="ER4" s="281"/>
      <c r="ES4" s="281"/>
      <c r="ET4" s="281"/>
      <c r="EU4" s="281"/>
      <c r="EV4" s="281"/>
      <c r="EW4" s="281"/>
      <c r="EX4" s="281"/>
      <c r="EY4" s="281"/>
      <c r="EZ4" s="281"/>
      <c r="FA4" s="281"/>
      <c r="FB4" s="281"/>
      <c r="FC4" s="281"/>
      <c r="FD4" s="281"/>
      <c r="FE4" s="281"/>
      <c r="FF4" s="281"/>
      <c r="FG4" s="281"/>
      <c r="FH4" s="281"/>
      <c r="FI4" s="281"/>
      <c r="FJ4" s="281"/>
      <c r="FK4" s="281"/>
      <c r="FL4" s="281"/>
      <c r="FM4" s="281"/>
      <c r="FN4" s="281"/>
      <c r="FO4" s="281"/>
      <c r="FP4" s="281"/>
      <c r="FQ4" s="281"/>
      <c r="FR4" s="281"/>
      <c r="FS4" s="281"/>
      <c r="FT4" s="281"/>
      <c r="FU4" s="281"/>
      <c r="FV4" s="281"/>
      <c r="FW4" s="281"/>
      <c r="FX4" s="281"/>
      <c r="FY4" s="281"/>
    </row>
    <row r="5" spans="1:181" s="25" customFormat="1" ht="50.25" customHeight="1" thickBot="1">
      <c r="A5" s="1595" t="s">
        <v>952</v>
      </c>
      <c r="B5" s="458"/>
      <c r="C5" s="1587" t="s">
        <v>330</v>
      </c>
      <c r="D5" s="1586"/>
      <c r="F5" s="951"/>
      <c r="G5" s="464"/>
      <c r="H5" s="98"/>
      <c r="I5" s="1025" t="str">
        <f>Country</f>
        <v>Latvia</v>
      </c>
      <c r="J5" s="1026">
        <f>Code</f>
        <v>941</v>
      </c>
      <c r="K5" s="1026">
        <f>VLOOKUP(I5,I13:K136,3,FALSE)</f>
        <v>0</v>
      </c>
      <c r="L5" s="1026"/>
      <c r="M5" s="1027" t="str">
        <f>VLOOKUP(J5,J13:M136,4,FALSE)</f>
        <v>LVA</v>
      </c>
      <c r="N5" s="467"/>
      <c r="O5" s="98"/>
      <c r="R5" s="98"/>
      <c r="S5" s="98"/>
      <c r="T5" s="98"/>
      <c r="U5" s="98"/>
      <c r="V5" s="98"/>
      <c r="W5" s="98"/>
      <c r="X5" s="98"/>
      <c r="Y5" s="98"/>
      <c r="Z5" s="98"/>
      <c r="AA5" s="464"/>
      <c r="AB5" s="98"/>
      <c r="AO5" s="464"/>
      <c r="AP5" s="436"/>
      <c r="AQ5" s="246"/>
      <c r="AR5" s="246"/>
      <c r="AS5" s="246"/>
      <c r="AT5" s="439"/>
      <c r="AU5" s="439"/>
      <c r="AV5" s="439"/>
      <c r="AW5" s="439"/>
      <c r="AX5" s="439"/>
      <c r="AY5" s="439"/>
      <c r="AZ5" s="464"/>
      <c r="BA5" s="281"/>
      <c r="BB5" s="1583"/>
      <c r="BC5" s="261"/>
      <c r="BD5" s="281"/>
      <c r="BE5" s="281"/>
      <c r="BF5" s="281"/>
      <c r="BG5" s="281"/>
      <c r="BH5" s="281"/>
      <c r="BI5" s="281"/>
      <c r="BJ5" s="281"/>
      <c r="BK5" s="254"/>
      <c r="BL5" s="17"/>
      <c r="BM5" s="281"/>
      <c r="BN5" s="1201" t="s">
        <v>440</v>
      </c>
      <c r="BO5" s="1201" t="s">
        <v>440</v>
      </c>
      <c r="BP5" s="616" t="s">
        <v>440</v>
      </c>
      <c r="BQ5" s="616"/>
      <c r="BR5" s="616" t="s">
        <v>514</v>
      </c>
      <c r="BS5" s="616" t="s">
        <v>514</v>
      </c>
      <c r="BT5" s="616" t="s">
        <v>514</v>
      </c>
      <c r="BU5" s="281"/>
      <c r="BV5" s="281"/>
      <c r="BW5" s="256"/>
      <c r="BX5" s="256"/>
      <c r="BY5" s="256"/>
      <c r="BZ5" s="254"/>
      <c r="CA5" s="281"/>
      <c r="CB5" s="281"/>
      <c r="CC5" s="281"/>
      <c r="CD5" s="281"/>
      <c r="CE5" s="281"/>
      <c r="CF5" s="281"/>
      <c r="CG5" s="1036"/>
      <c r="CH5" s="1072" t="s">
        <v>685</v>
      </c>
      <c r="CI5" s="488"/>
      <c r="CJ5" s="1080"/>
      <c r="CK5" s="1096" t="s">
        <v>807</v>
      </c>
      <c r="CL5" s="1077"/>
      <c r="CM5" s="1077"/>
      <c r="CN5" s="1077"/>
      <c r="CO5" s="1077"/>
      <c r="CP5" s="1077"/>
      <c r="CQ5" s="1077"/>
      <c r="CR5" s="1077"/>
      <c r="CS5" s="1077"/>
      <c r="CT5" s="1077"/>
      <c r="CU5" s="1077"/>
      <c r="CV5" s="1077"/>
      <c r="CW5" s="1077"/>
      <c r="CX5" s="1077"/>
      <c r="CY5" s="1077"/>
      <c r="CZ5" s="1077"/>
      <c r="DA5" s="1077"/>
      <c r="DB5" s="1077"/>
      <c r="DC5" s="993"/>
      <c r="DD5" s="17"/>
      <c r="DE5" s="17"/>
      <c r="DF5" s="1412">
        <f>DG5-1</f>
        <v>2015</v>
      </c>
      <c r="DG5" s="1413">
        <f>DH5-1</f>
        <v>2016</v>
      </c>
      <c r="DH5" s="1413">
        <f>DI5-1</f>
        <v>2017</v>
      </c>
      <c r="DI5" s="1414">
        <f>FirstYear</f>
        <v>2018</v>
      </c>
      <c r="DJ5" s="1413">
        <f>DI5+1</f>
        <v>2019</v>
      </c>
      <c r="DK5" s="1413">
        <f>DJ5+1</f>
        <v>2020</v>
      </c>
      <c r="DL5" s="1413">
        <f>DK5+1</f>
        <v>2021</v>
      </c>
      <c r="DM5" s="1413">
        <f>DL5+1</f>
        <v>2022</v>
      </c>
      <c r="DN5" s="1415">
        <f>DM5+1</f>
        <v>2023</v>
      </c>
      <c r="DO5" s="993"/>
      <c r="DP5" s="1409" t="s">
        <v>697</v>
      </c>
      <c r="DQ5" s="1059" t="e">
        <f>'Baseline debt'!L42</f>
        <v>#DIV/0!</v>
      </c>
      <c r="DR5" s="1060" t="e">
        <f>'Baseline debt'!M42</f>
        <v>#DIV/0!</v>
      </c>
      <c r="DS5" s="1060" t="e">
        <f>'Baseline debt'!N42</f>
        <v>#DIV/0!</v>
      </c>
      <c r="DT5" s="1061" t="e">
        <f>'Baseline debt'!O42</f>
        <v>#DIV/0!</v>
      </c>
      <c r="DU5" s="247"/>
      <c r="DV5" s="261"/>
      <c r="DW5" s="261"/>
      <c r="DX5" s="261"/>
      <c r="DY5" s="261"/>
      <c r="DZ5" s="261"/>
      <c r="EA5" s="261"/>
      <c r="EB5" s="261"/>
      <c r="EC5" s="261"/>
      <c r="ED5" s="261"/>
      <c r="EE5" s="261"/>
      <c r="EF5" s="993"/>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row>
    <row r="6" spans="1:181" ht="38.25" customHeight="1" thickBot="1">
      <c r="B6" s="713" t="s">
        <v>119</v>
      </c>
      <c r="D6" s="484" t="s">
        <v>966</v>
      </c>
      <c r="E6" s="952"/>
      <c r="F6" s="952"/>
      <c r="I6" s="25"/>
      <c r="J6" s="25"/>
      <c r="K6" s="511"/>
      <c r="L6" s="945"/>
      <c r="M6" s="955"/>
      <c r="N6" s="467"/>
      <c r="R6" s="66" t="s">
        <v>76</v>
      </c>
      <c r="S6" s="67">
        <f t="shared" ref="S6:Z6" si="1">S$4</f>
        <v>2016</v>
      </c>
      <c r="T6" s="67">
        <f t="shared" si="1"/>
        <v>2017</v>
      </c>
      <c r="U6" s="67">
        <f t="shared" si="1"/>
        <v>2018</v>
      </c>
      <c r="V6" s="67">
        <f t="shared" si="1"/>
        <v>2019</v>
      </c>
      <c r="W6" s="67">
        <f t="shared" si="1"/>
        <v>2020</v>
      </c>
      <c r="X6" s="67">
        <f t="shared" si="1"/>
        <v>2021</v>
      </c>
      <c r="Y6" s="67">
        <f t="shared" si="1"/>
        <v>2022</v>
      </c>
      <c r="Z6" s="68">
        <f t="shared" si="1"/>
        <v>2023</v>
      </c>
      <c r="AA6" s="473"/>
      <c r="AB6" s="246"/>
      <c r="AP6" s="441" t="s">
        <v>866</v>
      </c>
      <c r="AQ6" s="139" t="s">
        <v>300</v>
      </c>
      <c r="AR6" s="1159">
        <f>AS6-1</f>
        <v>2016</v>
      </c>
      <c r="AS6" s="707">
        <f>AT6-1</f>
        <v>2017</v>
      </c>
      <c r="AT6" s="103">
        <f>FirstYear</f>
        <v>2018</v>
      </c>
      <c r="AU6" s="104">
        <f>AT6+1</f>
        <v>2019</v>
      </c>
      <c r="AV6" s="105">
        <f>AU6+1</f>
        <v>2020</v>
      </c>
      <c r="AW6" s="105">
        <f>AV6+1</f>
        <v>2021</v>
      </c>
      <c r="AX6" s="105">
        <f>AW6+1</f>
        <v>2022</v>
      </c>
      <c r="AY6" s="106">
        <f>AX6+1</f>
        <v>2023</v>
      </c>
      <c r="AZ6" s="473"/>
      <c r="BA6" s="261"/>
      <c r="BB6" s="1582"/>
      <c r="BC6" s="454"/>
      <c r="BD6" s="1580" t="s">
        <v>791</v>
      </c>
      <c r="BE6" s="396">
        <f>FirstYear</f>
        <v>2018</v>
      </c>
      <c r="BF6" s="396">
        <f>BE6+1</f>
        <v>2019</v>
      </c>
      <c r="BG6" s="396">
        <f>BF6+1</f>
        <v>2020</v>
      </c>
      <c r="BH6" s="396">
        <f>BG6+1</f>
        <v>2021</v>
      </c>
      <c r="BI6" s="396">
        <f>BH6+1</f>
        <v>2022</v>
      </c>
      <c r="BJ6" s="395">
        <f>BI6+1</f>
        <v>2023</v>
      </c>
      <c r="BL6" s="665" t="s">
        <v>315</v>
      </c>
      <c r="BM6" s="665"/>
      <c r="BN6" s="1211" t="s">
        <v>445</v>
      </c>
      <c r="BO6" s="1211">
        <v>25</v>
      </c>
      <c r="BP6" s="1211">
        <v>75</v>
      </c>
      <c r="BQ6" s="1211"/>
      <c r="BR6" s="1211" t="s">
        <v>445</v>
      </c>
      <c r="BS6" s="1211">
        <v>50</v>
      </c>
      <c r="BT6" s="1211">
        <v>75</v>
      </c>
      <c r="BU6" s="261"/>
      <c r="BV6" s="287">
        <f>FirstYear-1</f>
        <v>2017</v>
      </c>
      <c r="BW6" s="257"/>
      <c r="BY6" s="257"/>
      <c r="CA6" s="489" t="s">
        <v>313</v>
      </c>
      <c r="CC6" s="284"/>
      <c r="CD6" s="284"/>
      <c r="CE6" s="284"/>
      <c r="CF6" s="118" t="s">
        <v>16</v>
      </c>
      <c r="CH6" s="1073" t="s">
        <v>686</v>
      </c>
      <c r="CI6" s="488"/>
      <c r="CJ6" s="1080"/>
      <c r="CK6" s="1096" t="str">
        <f>FTRGroup</f>
        <v>all countries</v>
      </c>
      <c r="DD6" s="17" t="s">
        <v>832</v>
      </c>
      <c r="DE6" s="17" t="s">
        <v>541</v>
      </c>
      <c r="DF6" s="1428">
        <f>'Input 2 - Data'!N25</f>
        <v>44.627538659671941</v>
      </c>
      <c r="DG6" s="1429">
        <f>'Input 2 - Data'!O25</f>
        <v>315.356712172117</v>
      </c>
      <c r="DH6" s="1429">
        <f>'Input 2 - Data'!P25</f>
        <v>-26.362366108218861</v>
      </c>
      <c r="DI6" s="1429">
        <f>'Input 2 - Data'!Q25</f>
        <v>-200.94064433278885</v>
      </c>
      <c r="DJ6" s="1429">
        <f>'Input 2 - Data'!R25</f>
        <v>-159.00627201032091</v>
      </c>
      <c r="DK6" s="1429">
        <f>'Input 2 - Data'!S25</f>
        <v>73.382742892522813</v>
      </c>
      <c r="DL6" s="1429">
        <f>'Input 2 - Data'!T25</f>
        <v>95.129498552100387</v>
      </c>
      <c r="DM6" s="1429">
        <f>'Input 2 - Data'!U25</f>
        <v>128.13677480337722</v>
      </c>
      <c r="DN6" s="1430">
        <f>'Input 2 - Data'!V25</f>
        <v>128.33594767993949</v>
      </c>
      <c r="DP6" s="1410" t="s">
        <v>699</v>
      </c>
      <c r="DQ6" s="1062">
        <f>CB8</f>
        <v>61.943428877173886</v>
      </c>
      <c r="DR6" s="1063">
        <f>CC8</f>
        <v>60.082258772539376</v>
      </c>
      <c r="DS6" s="1063">
        <f>CD8</f>
        <v>60.105004928171859</v>
      </c>
      <c r="DT6" s="1064">
        <f>CE8</f>
        <v>53.062073337176528</v>
      </c>
      <c r="DU6" s="253"/>
      <c r="DV6" s="1220"/>
      <c r="DW6" s="1220"/>
      <c r="DX6" s="1220"/>
      <c r="DY6" s="1220"/>
      <c r="DZ6" s="1220"/>
      <c r="EA6" s="1220"/>
      <c r="EB6" s="1220"/>
      <c r="EC6" s="1220"/>
      <c r="ED6" s="1220"/>
      <c r="EE6" s="1220"/>
    </row>
    <row r="7" spans="1:181" ht="42" customHeight="1" thickBot="1">
      <c r="B7" s="484" t="s">
        <v>82</v>
      </c>
      <c r="C7" s="484"/>
      <c r="D7" s="484" t="s">
        <v>966</v>
      </c>
      <c r="E7" s="952"/>
      <c r="F7" s="952"/>
      <c r="G7" s="466"/>
      <c r="H7" s="1541"/>
      <c r="J7" s="1532"/>
      <c r="K7" s="25"/>
      <c r="L7" s="25"/>
      <c r="M7" s="25"/>
      <c r="N7" s="467"/>
      <c r="O7" s="1541"/>
      <c r="P7" s="25" t="str">
        <f t="shared" ref="P7:P12" si="2">CONCATENATE(R$6,R7)</f>
        <v>BaselineNominal Debt (in percent of GDP)</v>
      </c>
      <c r="R7" s="99" t="s">
        <v>421</v>
      </c>
      <c r="S7" s="591">
        <f>('Baseline debt'!N83)*100</f>
        <v>40.167456396322947</v>
      </c>
      <c r="T7" s="591">
        <f>('Baseline debt'!O83)*100</f>
        <v>39.842702208732895</v>
      </c>
      <c r="U7" s="591">
        <f>('Baseline debt'!P83)*100</f>
        <v>37.084342131638088</v>
      </c>
      <c r="V7" s="591">
        <f>('Baseline debt'!Q83)*100</f>
        <v>35.351552504862923</v>
      </c>
      <c r="W7" s="591">
        <f>('Baseline debt'!R83)*100</f>
        <v>33.542090376828199</v>
      </c>
      <c r="X7" s="591">
        <f>('Baseline debt'!S83)*100</f>
        <v>32.056160655910695</v>
      </c>
      <c r="Y7" s="591">
        <f>('Baseline debt'!T83)*100</f>
        <v>29.915873102736189</v>
      </c>
      <c r="Z7" s="592">
        <f>('Baseline debt'!U83)*100</f>
        <v>27.903074435380589</v>
      </c>
      <c r="AA7" s="474"/>
      <c r="AB7" s="100"/>
      <c r="AD7" s="122" t="s">
        <v>448</v>
      </c>
      <c r="AJ7" s="122" t="s">
        <v>448</v>
      </c>
      <c r="AP7" s="289"/>
      <c r="AT7" s="25"/>
      <c r="AU7" s="25"/>
      <c r="AV7" s="25"/>
      <c r="AW7" s="25"/>
      <c r="AX7" s="25"/>
      <c r="AY7" s="25"/>
      <c r="AZ7" s="478"/>
      <c r="BA7" s="261"/>
      <c r="BB7" s="1582">
        <f>IF(Exceptional="Yes",1,IF(OR(BF7=1,BG7=1,BH7=1,BI7=1,BJ7=1),1,0))</f>
        <v>0</v>
      </c>
      <c r="BC7" s="492"/>
      <c r="BD7" s="357"/>
      <c r="BE7" s="357"/>
      <c r="BF7" s="357">
        <f>IF('Baseline debt'!Q58-'Baseline debt'!P58&gt;1%,1,IF('Baseline debt'!Q58-'Baseline debt'!N58&gt;2%,1,0))</f>
        <v>0</v>
      </c>
      <c r="BG7" s="357">
        <f>IF('Baseline debt'!R58-'Baseline debt'!Q58&gt;1%,1,IF('Baseline debt'!R58-'Baseline debt'!O58&gt;2%,1,0))</f>
        <v>0</v>
      </c>
      <c r="BH7" s="357">
        <v>0</v>
      </c>
      <c r="BI7" s="357">
        <v>0</v>
      </c>
      <c r="BJ7" s="357">
        <v>0</v>
      </c>
      <c r="BL7" s="1000" t="s">
        <v>957</v>
      </c>
      <c r="BM7" s="1212" t="s">
        <v>153</v>
      </c>
      <c r="BN7" s="1371">
        <f>Benchmarks!D24</f>
        <v>800</v>
      </c>
      <c r="BO7" s="1371">
        <f>Benchmarks!E24</f>
        <v>200</v>
      </c>
      <c r="BP7" s="1371">
        <f>Benchmarks!F24</f>
        <v>600</v>
      </c>
      <c r="BQ7" s="1213"/>
      <c r="BR7" s="1371">
        <f>Benchmarks!H24</f>
        <v>800</v>
      </c>
      <c r="BS7" s="1371">
        <f>Benchmarks!I24</f>
        <v>400</v>
      </c>
      <c r="BT7" s="1371">
        <f>Benchmarks!J24</f>
        <v>600</v>
      </c>
      <c r="BU7" s="261"/>
      <c r="BV7" s="790">
        <f>IF(ISBLANK('Input 1 - Basics'!D37), #N/A,'Input 1 - Basics'!D37)</f>
        <v>57</v>
      </c>
      <c r="BW7" s="257"/>
      <c r="BY7" s="257"/>
      <c r="CA7" s="489" t="s">
        <v>347</v>
      </c>
      <c r="CB7" s="827">
        <v>2008</v>
      </c>
      <c r="CC7" s="102">
        <f>CD7-1</f>
        <v>2015</v>
      </c>
      <c r="CD7" s="102">
        <f>CE7-1</f>
        <v>2016</v>
      </c>
      <c r="CE7" s="102">
        <f>CF7-1</f>
        <v>2017</v>
      </c>
      <c r="CF7" s="54">
        <f>FirstYear</f>
        <v>2018</v>
      </c>
      <c r="CH7" s="256"/>
      <c r="CI7" s="256"/>
      <c r="CJ7" s="1081"/>
      <c r="CK7" s="1081"/>
      <c r="CL7" s="1081"/>
      <c r="CM7" s="1081"/>
      <c r="CN7" s="1081"/>
      <c r="CO7" s="1081"/>
      <c r="CP7" s="1081"/>
      <c r="CQ7" s="1081"/>
      <c r="CR7" s="1081"/>
      <c r="CS7" s="1081"/>
      <c r="CT7" s="1081"/>
      <c r="CU7" s="1081"/>
      <c r="CV7" s="1081"/>
      <c r="CW7" s="1081"/>
      <c r="CX7" s="1081"/>
      <c r="CY7" s="1081"/>
      <c r="CZ7" s="1081"/>
      <c r="DA7" s="1081"/>
      <c r="DB7" s="1081"/>
      <c r="DC7" s="987"/>
      <c r="DD7" s="256" t="s">
        <v>835</v>
      </c>
      <c r="DE7" s="256" t="s">
        <v>541</v>
      </c>
      <c r="DF7" s="1431">
        <f>'Input 2 - Data'!N7</f>
        <v>24320.324000000001</v>
      </c>
      <c r="DG7" s="1432">
        <f>'Input 2 - Data'!O7</f>
        <v>25037.682000000001</v>
      </c>
      <c r="DH7" s="1432">
        <f>'Input 2 - Data'!P7</f>
        <v>27033.056</v>
      </c>
      <c r="DI7" s="1432">
        <f>'Input 2 - Data'!Q7</f>
        <v>29523.664000000001</v>
      </c>
      <c r="DJ7" s="1432">
        <f>'Input 2 - Data'!R7</f>
        <v>31399.058662009902</v>
      </c>
      <c r="DK7" s="1432">
        <f>'Input 2 - Data'!S7</f>
        <v>33242.878403577437</v>
      </c>
      <c r="DL7" s="1432">
        <f>'Input 2 - Data'!T7</f>
        <v>35068.507648449682</v>
      </c>
      <c r="DM7" s="1432">
        <f>'Input 2 - Data'!U7</f>
        <v>36986.785592001797</v>
      </c>
      <c r="DN7" s="1433">
        <f>'Input 2 - Data'!V7</f>
        <v>38968.164510059883</v>
      </c>
      <c r="DO7" s="987"/>
      <c r="DP7" s="247"/>
      <c r="EF7" s="987"/>
      <c r="EG7" s="261"/>
      <c r="EH7" s="261"/>
    </row>
    <row r="8" spans="1:181" ht="20.100000000000001" customHeight="1" thickBot="1">
      <c r="B8" s="484" t="s">
        <v>83</v>
      </c>
      <c r="C8" s="484"/>
      <c r="D8" s="484" t="s">
        <v>966</v>
      </c>
      <c r="E8" s="952"/>
      <c r="F8" s="952"/>
      <c r="G8" s="467"/>
      <c r="H8" s="1542"/>
      <c r="I8" s="1532"/>
      <c r="J8" s="1532"/>
      <c r="K8" s="25"/>
      <c r="L8" s="25"/>
      <c r="M8" s="289"/>
      <c r="N8" s="468"/>
      <c r="O8" s="1542"/>
      <c r="P8" s="25" t="str">
        <f t="shared" si="2"/>
        <v>BaselineDebt Service (in percent of GDP)</v>
      </c>
      <c r="R8" s="99" t="s">
        <v>422</v>
      </c>
      <c r="S8" s="591">
        <f>('Baseline debt'!N86)*100</f>
        <v>1.0408711157846002</v>
      </c>
      <c r="T8" s="591">
        <f>('Baseline debt'!O86)*100</f>
        <v>0.94404421016994888</v>
      </c>
      <c r="U8" s="591">
        <f>('Baseline debt'!P86)*100</f>
        <v>3.7096823586890468</v>
      </c>
      <c r="V8" s="591">
        <f>('Baseline debt'!Q86)*100</f>
        <v>2.9469820132309881</v>
      </c>
      <c r="W8" s="591">
        <f>('Baseline debt'!R86)*100</f>
        <v>2.8689143490878175</v>
      </c>
      <c r="X8" s="591">
        <f>('Baseline debt'!S86)*100</f>
        <v>1.5853743705686933</v>
      </c>
      <c r="Y8" s="591">
        <f>('Baseline debt'!T86)*100</f>
        <v>-0.4497504446463722</v>
      </c>
      <c r="Z8" s="592">
        <f>('Baseline debt'!U86)*100</f>
        <v>-1.2141401314860432</v>
      </c>
      <c r="AA8" s="474"/>
      <c r="AB8" s="100"/>
      <c r="AD8" s="122" t="s">
        <v>429</v>
      </c>
      <c r="AJ8" s="122" t="s">
        <v>444</v>
      </c>
      <c r="AP8" s="289">
        <v>1</v>
      </c>
      <c r="AQ8" s="979" t="s">
        <v>76</v>
      </c>
      <c r="AR8" s="1475"/>
      <c r="AS8" s="1475"/>
      <c r="AT8" s="25"/>
      <c r="AU8" s="25"/>
      <c r="AV8" s="25"/>
      <c r="AW8" s="25"/>
      <c r="AX8" s="25"/>
      <c r="AY8" s="25"/>
      <c r="AZ8" s="478"/>
      <c r="BB8" s="1583"/>
      <c r="BC8" s="261"/>
      <c r="BD8" s="261"/>
      <c r="BE8" s="261"/>
      <c r="BF8" s="261"/>
      <c r="BG8" s="261"/>
      <c r="BH8" s="261"/>
      <c r="BI8" s="261"/>
      <c r="BJ8" s="261"/>
      <c r="BL8" s="1000" t="s">
        <v>288</v>
      </c>
      <c r="BM8" s="1212" t="s">
        <v>152</v>
      </c>
      <c r="BN8" s="1372">
        <f>Benchmarks!D25</f>
        <v>20</v>
      </c>
      <c r="BO8" s="1373">
        <f>Benchmarks!E25</f>
        <v>5</v>
      </c>
      <c r="BP8" s="1373">
        <f>Benchmarks!F25</f>
        <v>15</v>
      </c>
      <c r="BQ8" s="424"/>
      <c r="BR8" s="1372">
        <f>Benchmarks!H25</f>
        <v>35</v>
      </c>
      <c r="BS8" s="1374">
        <f>Benchmarks!I25</f>
        <v>17</v>
      </c>
      <c r="BT8" s="1372">
        <f>Benchmarks!J25</f>
        <v>25</v>
      </c>
      <c r="BV8" s="791">
        <f>100*(-'Input 2 - Data'!P10+'Input 2 - Data'!O34+'Input 2 - Data'!P35)/('Input 2 - Data'!P7/'Input 2 - Data'!P11)</f>
        <v>0</v>
      </c>
      <c r="BW8" s="425"/>
      <c r="BY8" s="425"/>
      <c r="CA8" s="249" t="s">
        <v>313</v>
      </c>
      <c r="CB8" s="793">
        <f>'Input 3 - Debt and Banking'!K22</f>
        <v>61.943428877173886</v>
      </c>
      <c r="CC8" s="794">
        <f>'Input 3 - Debt and Banking'!L22</f>
        <v>60.082258772539376</v>
      </c>
      <c r="CD8" s="794">
        <f>'Input 3 - Debt and Banking'!M22</f>
        <v>60.105004928171859</v>
      </c>
      <c r="CE8" s="828">
        <f>'Input 3 - Debt and Banking'!N22</f>
        <v>53.062073337176528</v>
      </c>
      <c r="CH8" s="1089" t="str">
        <f>Country</f>
        <v>Latvia</v>
      </c>
      <c r="CI8" s="258"/>
      <c r="DD8" s="17" t="s">
        <v>832</v>
      </c>
      <c r="DE8" s="17" t="s">
        <v>465</v>
      </c>
      <c r="DF8" s="1416">
        <f t="shared" ref="DF8:DN8" si="3">IF(ISNUMBER(DF6),100*(DF6/DF7),#N/A)</f>
        <v>0.18349894787450999</v>
      </c>
      <c r="DG8" s="1417">
        <f t="shared" si="3"/>
        <v>1.2595283867417</v>
      </c>
      <c r="DH8" s="1417">
        <f t="shared" si="3"/>
        <v>-9.7519000841853984E-2</v>
      </c>
      <c r="DI8" s="1417">
        <f t="shared" si="3"/>
        <v>-0.68060876296651007</v>
      </c>
      <c r="DJ8" s="1417">
        <f t="shared" si="3"/>
        <v>-0.50640458276764999</v>
      </c>
      <c r="DK8" s="1417">
        <f t="shared" si="3"/>
        <v>0.22074725901180003</v>
      </c>
      <c r="DL8" s="1417">
        <f t="shared" si="3"/>
        <v>0.27126759856947008</v>
      </c>
      <c r="DM8" s="1417">
        <f t="shared" si="3"/>
        <v>0.34643933705633001</v>
      </c>
      <c r="DN8" s="1418">
        <f t="shared" si="3"/>
        <v>0.32933536719905998</v>
      </c>
      <c r="DP8" s="247"/>
      <c r="DQ8" s="1041" t="s">
        <v>700</v>
      </c>
      <c r="DT8" s="1040">
        <f>DT6-DQ6</f>
        <v>-8.8813555399973581</v>
      </c>
      <c r="DU8" s="253"/>
      <c r="DV8" s="1220"/>
      <c r="DW8" s="1220"/>
      <c r="DX8" s="1220"/>
      <c r="DY8" s="1220"/>
      <c r="DZ8" s="1220"/>
      <c r="EA8" s="1220"/>
      <c r="EB8" s="1220"/>
      <c r="EC8" s="1220"/>
      <c r="ED8" s="1220"/>
      <c r="EE8" s="1220"/>
      <c r="EG8" s="261"/>
    </row>
    <row r="9" spans="1:181" ht="20.100000000000001" customHeight="1" thickBot="1">
      <c r="B9" s="484" t="s">
        <v>117</v>
      </c>
      <c r="C9" s="484"/>
      <c r="D9" s="484" t="s">
        <v>966</v>
      </c>
      <c r="E9" s="952"/>
      <c r="F9" s="952"/>
      <c r="G9" s="467"/>
      <c r="H9" s="1542"/>
      <c r="I9" s="1532"/>
      <c r="J9" s="1532"/>
      <c r="K9" s="25"/>
      <c r="L9" s="25"/>
      <c r="M9" s="289"/>
      <c r="N9" s="469"/>
      <c r="O9" s="1542"/>
      <c r="P9" s="25" t="str">
        <f t="shared" si="2"/>
        <v>BaselineGross Financing Need (in percent of GDP)</v>
      </c>
      <c r="R9" s="99" t="s">
        <v>423</v>
      </c>
      <c r="S9" s="591">
        <f>('Baseline debt'!N89)*100</f>
        <v>0.97616864053149377</v>
      </c>
      <c r="T9" s="591">
        <f>('Baseline debt'!O89)*100</f>
        <v>1.5203756467637319</v>
      </c>
      <c r="U9" s="591">
        <f>('Baseline debt'!P89)*100</f>
        <v>3.5984842323630626</v>
      </c>
      <c r="V9" s="591">
        <f>('Baseline debt'!Q89)*100</f>
        <v>2.736884117115657</v>
      </c>
      <c r="W9" s="591">
        <f>('Baseline debt'!R89)*100</f>
        <v>2.3965618199100005</v>
      </c>
      <c r="X9" s="591">
        <f>('Baseline debt'!S89)*100</f>
        <v>1.2003971380328871</v>
      </c>
      <c r="Y9" s="591">
        <f>('Baseline debt'!T89)*100</f>
        <v>-1.4862612076263433</v>
      </c>
      <c r="Z9" s="592">
        <f>('Baseline debt'!U89)*100</f>
        <v>-2.2506508944660197</v>
      </c>
      <c r="AA9" s="474"/>
      <c r="AB9" s="100"/>
      <c r="AP9" s="289"/>
      <c r="AQ9" s="265" t="s">
        <v>421</v>
      </c>
      <c r="AR9" s="598">
        <f t="shared" ref="AR9:AY12" si="4">VLOOKUP(CONCATENATE($AQ$8,$AQ9),$P$7:$Z$158,S$2,FALSE)</f>
        <v>40.167456396322947</v>
      </c>
      <c r="AS9" s="598">
        <f t="shared" si="4"/>
        <v>39.842702208732895</v>
      </c>
      <c r="AT9" s="598">
        <f t="shared" si="4"/>
        <v>37.084342131638088</v>
      </c>
      <c r="AU9" s="598">
        <f t="shared" si="4"/>
        <v>35.351552504862923</v>
      </c>
      <c r="AV9" s="598">
        <f t="shared" si="4"/>
        <v>33.542090376828199</v>
      </c>
      <c r="AW9" s="598">
        <f t="shared" si="4"/>
        <v>32.056160655910695</v>
      </c>
      <c r="AX9" s="598">
        <f t="shared" si="4"/>
        <v>29.915873102736189</v>
      </c>
      <c r="AY9" s="598">
        <f t="shared" si="4"/>
        <v>27.903074435380589</v>
      </c>
      <c r="AZ9" s="478"/>
      <c r="BB9" s="1582"/>
      <c r="BC9" s="454"/>
      <c r="BD9" s="324" t="s">
        <v>82</v>
      </c>
      <c r="BE9" s="326">
        <f>FirstYear</f>
        <v>2018</v>
      </c>
      <c r="BF9" s="326">
        <f>BE9+1</f>
        <v>2019</v>
      </c>
      <c r="BG9" s="326">
        <f>BF9+1</f>
        <v>2020</v>
      </c>
      <c r="BH9" s="326">
        <f>BG9+1</f>
        <v>2021</v>
      </c>
      <c r="BI9" s="326">
        <f>BH9+1</f>
        <v>2022</v>
      </c>
      <c r="BJ9" s="325">
        <f>BI9+1</f>
        <v>2023</v>
      </c>
      <c r="BL9" s="1000" t="s">
        <v>537</v>
      </c>
      <c r="BM9" s="1388" t="s">
        <v>154</v>
      </c>
      <c r="BN9" s="1374">
        <f>Benchmarks!D26</f>
        <v>1.5</v>
      </c>
      <c r="BO9" s="1375">
        <f>Benchmarks!E26</f>
        <v>0.5</v>
      </c>
      <c r="BP9" s="1375">
        <f>Benchmarks!F26</f>
        <v>1</v>
      </c>
      <c r="BQ9" s="424"/>
      <c r="BR9" s="1374">
        <f>Benchmarks!H26</f>
        <v>2</v>
      </c>
      <c r="BS9" s="1372">
        <f>Benchmarks!I26</f>
        <v>1</v>
      </c>
      <c r="BT9" s="1372">
        <f>Benchmarks!J26</f>
        <v>1.5</v>
      </c>
      <c r="BV9" s="791">
        <f>100*(('Input 3 - Debt and Banking'!N8)/('Input 3 - Debt and Banking'!N5)-('Input 3 - Debt and Banking'!M8)/('Input 3 - Debt and Banking'!M5))</f>
        <v>4.4715114488691254</v>
      </c>
      <c r="BW9" s="425"/>
      <c r="BY9" s="425"/>
      <c r="CF9" s="53" t="s">
        <v>16</v>
      </c>
      <c r="CS9" s="1090" t="s">
        <v>16</v>
      </c>
      <c r="CT9" s="1065"/>
      <c r="CU9" s="1065"/>
      <c r="CV9" s="1065"/>
      <c r="CW9" s="1065"/>
      <c r="CX9" s="1065"/>
      <c r="CY9" s="1065"/>
      <c r="CZ9" s="1065"/>
      <c r="DA9" s="1065"/>
      <c r="DB9" s="1065"/>
      <c r="DP9" s="257"/>
      <c r="DQ9" s="1042" t="s">
        <v>701</v>
      </c>
      <c r="DR9" s="1043"/>
      <c r="DS9" s="1043"/>
      <c r="DT9" s="1043">
        <f>IF(AEStatus=1,Benchmarks!E18,Benchmarks!D18)</f>
        <v>15</v>
      </c>
      <c r="DU9" s="1043"/>
      <c r="DV9" s="257"/>
      <c r="DW9" s="257"/>
      <c r="DX9" s="257"/>
      <c r="DY9" s="257"/>
      <c r="DZ9" s="257"/>
      <c r="EA9" s="257"/>
      <c r="EB9" s="257"/>
      <c r="EC9" s="257"/>
      <c r="ED9" s="257"/>
      <c r="EE9" s="257"/>
      <c r="EG9" s="261"/>
    </row>
    <row r="10" spans="1:181" ht="20.100000000000001" customHeight="1" thickBot="1">
      <c r="B10" s="484" t="s">
        <v>128</v>
      </c>
      <c r="C10" s="484"/>
      <c r="D10" s="484" t="s">
        <v>966</v>
      </c>
      <c r="E10" s="952"/>
      <c r="F10" s="952"/>
      <c r="G10" s="467"/>
      <c r="H10" s="1542"/>
      <c r="I10" s="447"/>
      <c r="J10" s="25"/>
      <c r="K10" s="25"/>
      <c r="L10" s="25"/>
      <c r="M10" s="289"/>
      <c r="N10" s="467"/>
      <c r="O10" s="1542"/>
      <c r="P10" s="25" t="str">
        <f t="shared" si="2"/>
        <v>BaselineNominal Debt (in percent of Revenue)</v>
      </c>
      <c r="R10" s="99" t="s">
        <v>424</v>
      </c>
      <c r="S10" s="591">
        <f>('Baseline debt'!N84)*100</f>
        <v>108.4312668463612</v>
      </c>
      <c r="T10" s="591">
        <f>('Baseline debt'!O84)*100</f>
        <v>107.01886867442347</v>
      </c>
      <c r="U10" s="591">
        <f>('Baseline debt'!P84)*100</f>
        <v>100.37625634878221</v>
      </c>
      <c r="V10" s="591">
        <f>('Baseline debt'!Q84)*100</f>
        <v>98.026642187439847</v>
      </c>
      <c r="W10" s="591">
        <f>('Baseline debt'!R84)*100</f>
        <v>93.623115001559071</v>
      </c>
      <c r="X10" s="591">
        <f>('Baseline debt'!S84)*100</f>
        <v>90.875952250685216</v>
      </c>
      <c r="Y10" s="591">
        <f>('Baseline debt'!T84)*100</f>
        <v>86.090985810202397</v>
      </c>
      <c r="Z10" s="592">
        <f>('Baseline debt'!U84)*100</f>
        <v>80.29861528787066</v>
      </c>
      <c r="AA10" s="474"/>
      <c r="AB10" s="100"/>
      <c r="AP10" s="289"/>
      <c r="AQ10" s="107" t="s">
        <v>424</v>
      </c>
      <c r="AR10" s="599">
        <f t="shared" si="4"/>
        <v>108.4312668463612</v>
      </c>
      <c r="AS10" s="599">
        <f t="shared" si="4"/>
        <v>107.01886867442347</v>
      </c>
      <c r="AT10" s="599">
        <f t="shared" si="4"/>
        <v>100.37625634878221</v>
      </c>
      <c r="AU10" s="599">
        <f t="shared" si="4"/>
        <v>98.026642187439847</v>
      </c>
      <c r="AV10" s="599">
        <f t="shared" si="4"/>
        <v>93.623115001559071</v>
      </c>
      <c r="AW10" s="599">
        <f t="shared" si="4"/>
        <v>90.875952250685216</v>
      </c>
      <c r="AX10" s="599">
        <f t="shared" si="4"/>
        <v>86.090985810202397</v>
      </c>
      <c r="AY10" s="599">
        <f t="shared" si="4"/>
        <v>80.29861528787066</v>
      </c>
      <c r="AZ10" s="478"/>
      <c r="BB10" s="1582">
        <f>IF(Exceptional="Yes",1,IF('Baseline debt'!H100&gt;1%,1,0))</f>
        <v>1</v>
      </c>
      <c r="BC10" s="492"/>
      <c r="BD10" s="357"/>
      <c r="BE10" s="357"/>
      <c r="BF10" s="357"/>
      <c r="BG10" s="357"/>
      <c r="BH10" s="357"/>
      <c r="BI10" s="357"/>
      <c r="BJ10" s="357"/>
      <c r="BL10" s="1216" t="s">
        <v>781</v>
      </c>
      <c r="BM10" s="1000" t="s">
        <v>154</v>
      </c>
      <c r="BN10" s="1376">
        <f>Benchmarks!D27</f>
        <v>60</v>
      </c>
      <c r="BO10" s="1372">
        <f>Benchmarks!E27</f>
        <v>15</v>
      </c>
      <c r="BP10" s="1372">
        <f>Benchmarks!F27</f>
        <v>45</v>
      </c>
      <c r="BQ10" s="424"/>
      <c r="BR10" s="1372">
        <f>Benchmarks!H27</f>
        <v>60</v>
      </c>
      <c r="BS10" s="1372">
        <f>Benchmarks!I27</f>
        <v>30</v>
      </c>
      <c r="BT10" s="1372">
        <f>Benchmarks!J27</f>
        <v>45</v>
      </c>
      <c r="BV10" s="791">
        <f>IF(ISBLANK('Input 3 - Debt and Banking'!N17),#N/A,100*('Input 3 - Debt and Banking'!N17)/('Input 3 - Debt and Banking'!N5))</f>
        <v>67.599999999999994</v>
      </c>
      <c r="BW10" s="256"/>
      <c r="BY10" s="257"/>
      <c r="CA10" s="491"/>
      <c r="CC10" s="147"/>
      <c r="CD10" s="285"/>
      <c r="CE10" s="285"/>
      <c r="CF10" s="54">
        <f>FirstYear</f>
        <v>2018</v>
      </c>
      <c r="CJ10" s="1108">
        <f t="shared" ref="CJ10:CQ10" si="5">CK10-1</f>
        <v>2009</v>
      </c>
      <c r="CK10" s="1109">
        <f t="shared" si="5"/>
        <v>2010</v>
      </c>
      <c r="CL10" s="1109">
        <f t="shared" si="5"/>
        <v>2011</v>
      </c>
      <c r="CM10" s="1109">
        <f t="shared" si="5"/>
        <v>2012</v>
      </c>
      <c r="CN10" s="1109">
        <f t="shared" si="5"/>
        <v>2013</v>
      </c>
      <c r="CO10" s="1109">
        <f t="shared" si="5"/>
        <v>2014</v>
      </c>
      <c r="CP10" s="1109">
        <f t="shared" si="5"/>
        <v>2015</v>
      </c>
      <c r="CQ10" s="1109">
        <f t="shared" si="5"/>
        <v>2016</v>
      </c>
      <c r="CR10" s="1110">
        <f>CS10-1</f>
        <v>2017</v>
      </c>
      <c r="CS10" s="1609">
        <f>FirstYear</f>
        <v>2018</v>
      </c>
      <c r="CU10" s="136" t="s">
        <v>707</v>
      </c>
      <c r="CV10" s="1101" t="s">
        <v>731</v>
      </c>
      <c r="CW10" s="136"/>
      <c r="CX10" s="136"/>
      <c r="CY10" s="136"/>
      <c r="CZ10" s="136"/>
      <c r="DA10" s="136"/>
      <c r="DB10" s="136"/>
      <c r="DD10" s="17" t="s">
        <v>837</v>
      </c>
      <c r="DI10" s="1419">
        <f t="shared" ref="DI10:DN10" si="6">AVERAGE(DG8:DI8)</f>
        <v>0.16046687431111195</v>
      </c>
      <c r="DJ10" s="1420">
        <f t="shared" si="6"/>
        <v>-0.42817744885867137</v>
      </c>
      <c r="DK10" s="1420">
        <f t="shared" si="6"/>
        <v>-0.32208869557412001</v>
      </c>
      <c r="DL10" s="1420">
        <f t="shared" si="6"/>
        <v>-4.796575062126625E-3</v>
      </c>
      <c r="DM10" s="1420">
        <f t="shared" si="6"/>
        <v>0.27948473154586667</v>
      </c>
      <c r="DN10" s="1421">
        <f t="shared" si="6"/>
        <v>0.31568076760828667</v>
      </c>
      <c r="DP10" s="247"/>
      <c r="DQ10" s="247" t="s">
        <v>1156</v>
      </c>
      <c r="DU10" s="1055">
        <f>IF(DT8&gt;DT9,1,0)</f>
        <v>0</v>
      </c>
      <c r="DV10" s="1221"/>
      <c r="DW10" s="1221"/>
      <c r="DX10" s="1221"/>
      <c r="DY10" s="1221"/>
      <c r="DZ10" s="1221"/>
      <c r="EA10" s="1221"/>
      <c r="EB10" s="1221"/>
      <c r="EC10" s="1221"/>
      <c r="ED10" s="1221"/>
      <c r="EE10" s="1221"/>
      <c r="EG10" s="261"/>
    </row>
    <row r="11" spans="1:181" ht="20.100000000000001" customHeight="1" thickBot="1">
      <c r="B11" s="485"/>
      <c r="C11" s="485"/>
      <c r="D11" s="485"/>
      <c r="E11" s="952"/>
      <c r="F11" s="953"/>
      <c r="G11" s="468"/>
      <c r="H11" s="1543"/>
      <c r="I11" s="515" t="s">
        <v>679</v>
      </c>
      <c r="J11" s="25"/>
      <c r="K11" s="25"/>
      <c r="L11" s="25"/>
      <c r="M11" s="289"/>
      <c r="N11" s="469"/>
      <c r="O11" s="1543"/>
      <c r="P11" s="25" t="str">
        <f t="shared" si="2"/>
        <v>BaselineDebt Service (in percent of Revenue)</v>
      </c>
      <c r="R11" s="99" t="s">
        <v>425</v>
      </c>
      <c r="S11" s="591">
        <f>('Baseline debt'!N87)*100</f>
        <v>2.8098113207547173</v>
      </c>
      <c r="T11" s="591">
        <f>('Baseline debt'!O87)*100</f>
        <v>2.5357352225192016</v>
      </c>
      <c r="U11" s="591">
        <f>('Baseline debt'!P87)*100</f>
        <v>10.041003992643262</v>
      </c>
      <c r="V11" s="591">
        <f>('Baseline debt'!Q87)*100</f>
        <v>8.1717132876717855</v>
      </c>
      <c r="W11" s="591">
        <f>('Baseline debt'!R87)*100</f>
        <v>8.0077507101294376</v>
      </c>
      <c r="X11" s="591">
        <f>('Baseline debt'!S87)*100</f>
        <v>4.4943749548090643</v>
      </c>
      <c r="Y11" s="591">
        <f>('Baseline debt'!T87)*100</f>
        <v>-1.2942780916075505</v>
      </c>
      <c r="Z11" s="592">
        <f>('Baseline debt'!U87)*100</f>
        <v>-3.4940153834855616</v>
      </c>
      <c r="AA11" s="474"/>
      <c r="AB11" s="100"/>
      <c r="AP11" s="289"/>
      <c r="AQ11" s="107" t="s">
        <v>425</v>
      </c>
      <c r="AR11" s="599">
        <f t="shared" si="4"/>
        <v>2.8098113207547173</v>
      </c>
      <c r="AS11" s="599">
        <f t="shared" si="4"/>
        <v>2.5357352225192016</v>
      </c>
      <c r="AT11" s="599">
        <f t="shared" si="4"/>
        <v>10.041003992643262</v>
      </c>
      <c r="AU11" s="599">
        <f t="shared" si="4"/>
        <v>8.1717132876717855</v>
      </c>
      <c r="AV11" s="599">
        <f t="shared" si="4"/>
        <v>8.0077507101294376</v>
      </c>
      <c r="AW11" s="599">
        <f t="shared" si="4"/>
        <v>4.4943749548090643</v>
      </c>
      <c r="AX11" s="599">
        <f t="shared" si="4"/>
        <v>-1.2942780916075505</v>
      </c>
      <c r="AY11" s="599">
        <f t="shared" si="4"/>
        <v>-3.4940153834855616</v>
      </c>
      <c r="AZ11" s="474"/>
      <c r="BB11" s="1583"/>
      <c r="BC11" s="261"/>
      <c r="BD11" s="261"/>
      <c r="BE11" s="261"/>
      <c r="BF11" s="261"/>
      <c r="BG11" s="261"/>
      <c r="BH11" s="261"/>
      <c r="BI11" s="261"/>
      <c r="BJ11" s="261"/>
      <c r="BL11" s="1215" t="s">
        <v>289</v>
      </c>
      <c r="BM11" s="1480" t="s">
        <v>154</v>
      </c>
      <c r="BN11" s="1377">
        <f>Benchmarks!D28</f>
        <v>80</v>
      </c>
      <c r="BO11" s="1378">
        <f>Benchmarks!E28</f>
        <v>20</v>
      </c>
      <c r="BP11" s="1378">
        <f>Benchmarks!F28</f>
        <v>60</v>
      </c>
      <c r="BQ11" s="1214"/>
      <c r="BR11" s="1377" t="e">
        <f>Benchmarks!H28</f>
        <v>#N/A</v>
      </c>
      <c r="BS11" s="1377" t="e">
        <f>Benchmarks!I28</f>
        <v>#N/A</v>
      </c>
      <c r="BT11" s="1377" t="e">
        <f>Benchmarks!J28</f>
        <v>#N/A</v>
      </c>
      <c r="BV11" s="792">
        <f>IF(ISBLANK('Input 3 - Debt and Banking'!N13),#N/A,100*('Input 3 - Debt and Banking'!N13)/('Input 3 - Debt and Banking'!N5))</f>
        <v>9.9999999999991859E-2</v>
      </c>
      <c r="BW11" s="1042"/>
      <c r="BY11" s="256"/>
      <c r="CA11" s="489" t="s">
        <v>512</v>
      </c>
      <c r="CC11" s="274">
        <f>CC7</f>
        <v>2015</v>
      </c>
      <c r="CD11" s="422">
        <f>CD7</f>
        <v>2016</v>
      </c>
      <c r="CE11" s="423">
        <f>CE7</f>
        <v>2017</v>
      </c>
      <c r="CF11" s="285"/>
      <c r="CH11" s="258" t="s">
        <v>703</v>
      </c>
      <c r="CI11" s="1146">
        <f>Code</f>
        <v>941</v>
      </c>
      <c r="CJ11" s="1111">
        <f t="shared" ref="CJ11:CR11" si="7">IF(VLOOKUP($CI11&amp;"-"&amp;CJ$10,$CJ$121:$DA$2000,$CL$117,FALSE)="",#N/A,VLOOKUP($CI11&amp;"-"&amp;CJ$10,$CJ$121:$DA$2000,$CL$117,FALSE))</f>
        <v>-18.408363462072796</v>
      </c>
      <c r="CK11" s="1112">
        <f t="shared" si="7"/>
        <v>1.6995966008651988</v>
      </c>
      <c r="CL11" s="1112">
        <f t="shared" si="7"/>
        <v>2.7411067405772673</v>
      </c>
      <c r="CM11" s="1112">
        <f t="shared" si="7"/>
        <v>1.1775406739297418</v>
      </c>
      <c r="CN11" s="1112">
        <f t="shared" si="7"/>
        <v>1.719843305327089</v>
      </c>
      <c r="CO11" s="1112">
        <f t="shared" si="7"/>
        <v>-1.836736352316426</v>
      </c>
      <c r="CP11" s="1112">
        <f t="shared" si="7"/>
        <v>-1.6718824470821598</v>
      </c>
      <c r="CQ11" s="1112">
        <f t="shared" si="7"/>
        <v>-1.1326579392803593</v>
      </c>
      <c r="CR11" s="1113">
        <f t="shared" si="7"/>
        <v>0.90594522267050603</v>
      </c>
      <c r="CS11" s="1085"/>
      <c r="CT11" s="1085"/>
      <c r="CU11" s="1111">
        <f>IFERROR(ROUND(VLOOKUP($CI11&amp;"-D",$CJ$121:$DA$2000,$CN$117,FALSE),2),"n.a.")</f>
        <v>0.91</v>
      </c>
      <c r="CV11" s="1119">
        <f>IFERROR(ROUND(VLOOKUP($CI11&amp;"-D",$CJ$121:$DA$2000,$CO$117,FALSE),2),"n.a.")</f>
        <v>0.96</v>
      </c>
      <c r="CW11" s="1085"/>
      <c r="CX11" s="1085"/>
      <c r="CY11" s="1085"/>
      <c r="CZ11" s="1085"/>
      <c r="DA11" s="1085"/>
      <c r="DB11" s="1085"/>
      <c r="DD11" s="17" t="s">
        <v>838</v>
      </c>
      <c r="DI11" s="1422">
        <f t="shared" ref="DI11:DN11" si="8">DI8-DF8</f>
        <v>-0.86410771084102</v>
      </c>
      <c r="DJ11" s="752">
        <f t="shared" si="8"/>
        <v>-1.76593296950935</v>
      </c>
      <c r="DK11" s="752">
        <f t="shared" si="8"/>
        <v>0.31826625985365403</v>
      </c>
      <c r="DL11" s="752">
        <f t="shared" si="8"/>
        <v>0.95187636153598021</v>
      </c>
      <c r="DM11" s="752">
        <f t="shared" si="8"/>
        <v>0.85284391982398</v>
      </c>
      <c r="DN11" s="1423">
        <f t="shared" si="8"/>
        <v>0.10858810818725995</v>
      </c>
      <c r="DP11" s="257"/>
      <c r="DQ11" s="1042" t="s">
        <v>1157</v>
      </c>
      <c r="DR11" s="1042"/>
      <c r="DS11" s="1042"/>
      <c r="DT11" s="666"/>
      <c r="DU11" s="1056" t="e">
        <f>IF(AND(DT5&gt;0,DS5&gt;0,DR5&gt;0),1,0)</f>
        <v>#DIV/0!</v>
      </c>
      <c r="DV11" s="684"/>
      <c r="DW11" s="684"/>
      <c r="DX11" s="684"/>
      <c r="DY11" s="684"/>
      <c r="DZ11" s="684"/>
      <c r="EA11" s="684"/>
      <c r="EB11" s="684"/>
      <c r="EC11" s="684"/>
      <c r="ED11" s="684"/>
      <c r="EE11" s="684"/>
      <c r="EG11" s="261"/>
    </row>
    <row r="12" spans="1:181" s="284" customFormat="1" ht="20.100000000000001" customHeight="1" thickBot="1">
      <c r="A12" s="976" t="s">
        <v>123</v>
      </c>
      <c r="B12" s="25"/>
      <c r="C12" s="1149" t="s">
        <v>754</v>
      </c>
      <c r="D12" s="484"/>
      <c r="E12" s="952">
        <f>CLTrigger</f>
        <v>0</v>
      </c>
      <c r="F12" s="952"/>
      <c r="G12" s="469"/>
      <c r="H12" s="1544"/>
      <c r="I12" s="1032" t="s">
        <v>169</v>
      </c>
      <c r="J12" s="1033" t="s">
        <v>284</v>
      </c>
      <c r="K12" s="1033" t="s">
        <v>328</v>
      </c>
      <c r="L12" s="1033"/>
      <c r="M12" s="1034" t="s">
        <v>555</v>
      </c>
      <c r="N12" s="467"/>
      <c r="O12" s="1544"/>
      <c r="P12" s="25" t="str">
        <f t="shared" si="2"/>
        <v>BaselineGross Financing Need (in percent of Revenue)</v>
      </c>
      <c r="Q12" s="25"/>
      <c r="R12" s="99" t="s">
        <v>426</v>
      </c>
      <c r="S12" s="591">
        <f>('Baseline debt'!N90)*100</f>
        <v>2.635148247978421</v>
      </c>
      <c r="T12" s="591">
        <f>('Baseline debt'!O90)*100</f>
        <v>4.0837812863289242</v>
      </c>
      <c r="U12" s="591">
        <f>('Baseline debt'!P90)*100</f>
        <v>9.7400238217134181</v>
      </c>
      <c r="V12" s="633">
        <f>('Baseline debt'!Q90)*100</f>
        <v>7.5891309163884184</v>
      </c>
      <c r="W12" s="633">
        <f>('Baseline debt'!R90)*100</f>
        <v>6.6893142422865566</v>
      </c>
      <c r="X12" s="633">
        <f>('Baseline debt'!S90)*100</f>
        <v>3.4030036899513028</v>
      </c>
      <c r="Y12" s="633">
        <f>('Baseline debt'!T90)*100</f>
        <v>-4.2771171042409177</v>
      </c>
      <c r="Z12" s="634">
        <f>('Baseline debt'!U90)*100</f>
        <v>-6.476854396118946</v>
      </c>
      <c r="AA12" s="474"/>
      <c r="AB12" s="100"/>
      <c r="AC12" s="25"/>
      <c r="AD12" s="25"/>
      <c r="AE12" s="25"/>
      <c r="AF12" s="25"/>
      <c r="AG12" s="25"/>
      <c r="AH12" s="25"/>
      <c r="AI12" s="25"/>
      <c r="AJ12" s="25"/>
      <c r="AK12" s="25"/>
      <c r="AL12" s="25"/>
      <c r="AM12" s="25"/>
      <c r="AN12" s="25"/>
      <c r="AO12" s="464"/>
      <c r="AP12" s="289"/>
      <c r="AQ12" s="107" t="s">
        <v>423</v>
      </c>
      <c r="AR12" s="599">
        <f t="shared" si="4"/>
        <v>0.97616864053149377</v>
      </c>
      <c r="AS12" s="599">
        <f t="shared" si="4"/>
        <v>1.5203756467637319</v>
      </c>
      <c r="AT12" s="599">
        <f t="shared" si="4"/>
        <v>3.5984842323630626</v>
      </c>
      <c r="AU12" s="599">
        <f t="shared" si="4"/>
        <v>2.736884117115657</v>
      </c>
      <c r="AV12" s="599">
        <f t="shared" si="4"/>
        <v>2.3965618199100005</v>
      </c>
      <c r="AW12" s="599">
        <f t="shared" si="4"/>
        <v>1.2003971380328871</v>
      </c>
      <c r="AX12" s="599">
        <f t="shared" si="4"/>
        <v>-1.4862612076263433</v>
      </c>
      <c r="AY12" s="599">
        <f t="shared" si="4"/>
        <v>-2.2506508944660197</v>
      </c>
      <c r="AZ12" s="474"/>
      <c r="BB12" s="1584"/>
      <c r="BC12" s="455"/>
      <c r="BD12" s="327" t="s">
        <v>83</v>
      </c>
      <c r="BE12" s="329">
        <f>FirstYear</f>
        <v>2018</v>
      </c>
      <c r="BF12" s="329">
        <f>BE12+1</f>
        <v>2019</v>
      </c>
      <c r="BG12" s="329">
        <f>BF12+1</f>
        <v>2020</v>
      </c>
      <c r="BH12" s="329">
        <f>BG12+1</f>
        <v>2021</v>
      </c>
      <c r="BI12" s="329">
        <f>BH12+1</f>
        <v>2022</v>
      </c>
      <c r="BJ12" s="328">
        <f>BI12+1</f>
        <v>2023</v>
      </c>
      <c r="BK12" s="254"/>
      <c r="BZ12" s="254"/>
      <c r="CA12" s="424" t="s">
        <v>313</v>
      </c>
      <c r="CC12" s="524"/>
      <c r="CD12" s="524"/>
      <c r="CE12" s="524">
        <f>CE8-CB8</f>
        <v>-8.8813555399973581</v>
      </c>
      <c r="CF12" s="10"/>
      <c r="CG12" s="254"/>
      <c r="CH12" s="287" t="s">
        <v>704</v>
      </c>
      <c r="CI12" s="1146">
        <f>Code</f>
        <v>941</v>
      </c>
      <c r="CJ12" s="1114">
        <f t="shared" ref="CJ12:CR12" si="9">IF(VLOOKUP($CI12&amp;"-"&amp;CJ$10,$CJ$121:$DA$2000,$CR$117,FALSE)="",#N/A,VLOOKUP($CI12&amp;"-"&amp;CJ$10,$CJ$121:$DA$2000,$CR$117,FALSE))</f>
        <v>-5.1672463512925608</v>
      </c>
      <c r="CK12" s="1107">
        <f t="shared" si="9"/>
        <v>-5.1992798844770149</v>
      </c>
      <c r="CL12" s="1107">
        <f t="shared" si="9"/>
        <v>4.1132208447770582</v>
      </c>
      <c r="CM12" s="1107">
        <f t="shared" si="9"/>
        <v>1.4708355066246861</v>
      </c>
      <c r="CN12" s="1107">
        <f t="shared" si="9"/>
        <v>-0.90218105550754724</v>
      </c>
      <c r="CO12" s="1107">
        <f t="shared" si="9"/>
        <v>-0.89828605715458731</v>
      </c>
      <c r="CP12" s="1107">
        <f t="shared" si="9"/>
        <v>-2.1352403656918879</v>
      </c>
      <c r="CQ12" s="1107">
        <f t="shared" si="9"/>
        <v>0.85577271891326723</v>
      </c>
      <c r="CR12" s="1115">
        <f t="shared" si="9"/>
        <v>1.6824625896543677</v>
      </c>
      <c r="CS12" s="1085"/>
      <c r="CT12" s="1085"/>
      <c r="CU12" s="1114">
        <f>IFERROR(ROUND(VLOOKUP($CI12&amp;"-D",$CJ$121:$DA$2000,$CT$117,FALSE),2),"n.a.")</f>
        <v>-0.9</v>
      </c>
      <c r="CV12" s="1120">
        <f>IFERROR(ROUND(VLOOKUP($CI12&amp;"-D",$CJ$121:$DA$2000,$CU$117,FALSE),2),"n.a.")</f>
        <v>0.4</v>
      </c>
      <c r="CW12" s="1085"/>
      <c r="CX12" s="1085"/>
      <c r="CY12" s="1085"/>
      <c r="CZ12" s="1085"/>
      <c r="DA12" s="1085"/>
      <c r="DB12" s="1085"/>
      <c r="DC12" s="993"/>
      <c r="DD12" s="17"/>
      <c r="DE12" s="17"/>
      <c r="DF12" s="17"/>
      <c r="DG12" s="17"/>
      <c r="DH12" s="17"/>
      <c r="DI12" s="17"/>
      <c r="DJ12" s="17"/>
      <c r="DK12" s="17"/>
      <c r="DL12" s="17"/>
      <c r="DM12" s="17"/>
      <c r="DN12" s="17"/>
      <c r="DO12" s="993"/>
      <c r="DV12" s="281"/>
      <c r="DW12" s="281"/>
      <c r="DX12" s="281"/>
      <c r="DY12" s="281"/>
      <c r="DZ12" s="281"/>
      <c r="EA12" s="281"/>
      <c r="EB12" s="281"/>
      <c r="EC12" s="281"/>
      <c r="ED12" s="281"/>
      <c r="EE12" s="281"/>
      <c r="EF12" s="993"/>
      <c r="EG12" s="26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row>
    <row r="13" spans="1:181" s="284" customFormat="1" ht="20.100000000000001" customHeight="1">
      <c r="A13" s="485"/>
      <c r="B13" s="25"/>
      <c r="C13" s="485"/>
      <c r="D13" s="485"/>
      <c r="E13" s="952"/>
      <c r="F13" s="953"/>
      <c r="G13" s="467"/>
      <c r="H13" s="1542"/>
      <c r="I13" s="946" t="s">
        <v>169</v>
      </c>
      <c r="J13" s="947" t="s">
        <v>535</v>
      </c>
      <c r="K13" s="947">
        <v>0</v>
      </c>
      <c r="L13" s="947"/>
      <c r="M13" s="1028">
        <v>0</v>
      </c>
      <c r="N13" s="469"/>
      <c r="O13" s="1542"/>
      <c r="P13" s="25" t="str">
        <f t="shared" ref="P13:P18" si="10">CONCATENATE(R$6,R13)</f>
        <v>BaselineReal GDP growth (in percent)</v>
      </c>
      <c r="Q13" s="25"/>
      <c r="R13" s="431" t="s">
        <v>418</v>
      </c>
      <c r="S13" s="596">
        <f>('Baseline debt'!N52)*100</f>
        <v>2.0643812960710717</v>
      </c>
      <c r="T13" s="596">
        <f>('Baseline debt'!O52)*100</f>
        <v>4.6364796214269033</v>
      </c>
      <c r="U13" s="596">
        <f>('Baseline debt'!P52)*100</f>
        <v>4.7697166816344838</v>
      </c>
      <c r="V13" s="596">
        <f>('Baseline debt'!Q52)*100</f>
        <v>3.1686434574876632</v>
      </c>
      <c r="W13" s="596">
        <f>('Baseline debt'!R52)*100</f>
        <v>2.9947102444823903</v>
      </c>
      <c r="X13" s="596">
        <f>('Baseline debt'!S52)*100</f>
        <v>2.8871442593204177</v>
      </c>
      <c r="Y13" s="596">
        <f>('Baseline debt'!T52)*100</f>
        <v>2.933023694707515</v>
      </c>
      <c r="Z13" s="597">
        <f>('Baseline debt'!U52)*100</f>
        <v>2.8000000000000025</v>
      </c>
      <c r="AA13" s="474"/>
      <c r="AB13" s="100"/>
      <c r="AC13" s="25"/>
      <c r="AD13" s="25"/>
      <c r="AE13" s="25"/>
      <c r="AF13" s="25"/>
      <c r="AG13" s="25"/>
      <c r="AH13" s="25"/>
      <c r="AI13" s="25"/>
      <c r="AJ13" s="25"/>
      <c r="AK13" s="25"/>
      <c r="AL13" s="25"/>
      <c r="AM13" s="25"/>
      <c r="AN13" s="25"/>
      <c r="AO13" s="464"/>
      <c r="AP13" s="289"/>
      <c r="AQ13" s="107" t="s">
        <v>418</v>
      </c>
      <c r="AR13" s="107"/>
      <c r="AS13" s="107"/>
      <c r="AT13" s="591">
        <f t="shared" ref="AT13:AY16" si="11">VLOOKUP(CONCATENATE($AQ$8,$AQ13),$P$7:$Z$158,U$2,FALSE)</f>
        <v>4.7697166816344838</v>
      </c>
      <c r="AU13" s="591">
        <f t="shared" si="11"/>
        <v>3.1686434574876632</v>
      </c>
      <c r="AV13" s="591">
        <f t="shared" si="11"/>
        <v>2.9947102444823903</v>
      </c>
      <c r="AW13" s="591">
        <f t="shared" si="11"/>
        <v>2.8871442593204177</v>
      </c>
      <c r="AX13" s="591">
        <f t="shared" si="11"/>
        <v>2.933023694707515</v>
      </c>
      <c r="AY13" s="591">
        <f t="shared" si="11"/>
        <v>2.8000000000000025</v>
      </c>
      <c r="AZ13" s="474"/>
      <c r="BB13" s="1582">
        <f>IF(Exceptional="Yes",1,IF(OR(BF13=1,BG13=1,BH13=1,BI13=1,BJ13=1),1,0))</f>
        <v>0</v>
      </c>
      <c r="BC13" s="492"/>
      <c r="BD13" s="357"/>
      <c r="BE13" s="357"/>
      <c r="BF13" s="357">
        <f>IF('Baseline debt'!Q89&gt;0.15,1,0)</f>
        <v>0</v>
      </c>
      <c r="BG13" s="357">
        <f>IF('Baseline debt'!R89&gt;0.15,1,0)</f>
        <v>0</v>
      </c>
      <c r="BH13" s="357">
        <f>IF('Baseline debt'!S89&gt;0.15,1,0)</f>
        <v>0</v>
      </c>
      <c r="BI13" s="357">
        <f>IF('Baseline debt'!T89&gt;0.15,1,0)</f>
        <v>0</v>
      </c>
      <c r="BJ13" s="357">
        <f>IF('Baseline debt'!U89&gt;0.15,1,0)</f>
        <v>0</v>
      </c>
      <c r="BK13" s="254"/>
      <c r="BN13" s="1013" t="s">
        <v>674</v>
      </c>
      <c r="BO13" s="250"/>
      <c r="BP13" s="1014" t="s">
        <v>749</v>
      </c>
      <c r="BQ13" s="1014" t="s">
        <v>750</v>
      </c>
      <c r="BR13" s="665"/>
      <c r="BS13" s="1013" t="s">
        <v>673</v>
      </c>
      <c r="BT13" s="1015" t="s">
        <v>438</v>
      </c>
      <c r="BU13" s="1015" t="s">
        <v>439</v>
      </c>
      <c r="BV13" s="1015"/>
      <c r="BW13" s="1016" t="s">
        <v>438</v>
      </c>
      <c r="BX13" s="1013" t="s">
        <v>294</v>
      </c>
      <c r="BY13" s="1013" t="s">
        <v>293</v>
      </c>
      <c r="BZ13" s="254"/>
      <c r="CA13" s="17"/>
      <c r="CB13" s="17"/>
      <c r="CC13" s="17"/>
      <c r="CD13" s="17"/>
      <c r="CE13" s="17"/>
      <c r="CF13" s="17"/>
      <c r="CG13" s="254"/>
      <c r="CH13" s="63" t="s">
        <v>705</v>
      </c>
      <c r="CI13" s="1146">
        <f>Code</f>
        <v>941</v>
      </c>
      <c r="CJ13" s="1116">
        <f t="shared" ref="CJ13:CR13" si="12">IF(VLOOKUP($CI13&amp;"-"&amp;CJ$10,$CJ$121:$CX$2000,$CX$117,FALSE)="",#N/A,VLOOKUP($CI13&amp;"-"&amp;CJ$10,$CJ$121:$CX$2000,$CX$117,FALSE))</f>
        <v>-11.467611930058697</v>
      </c>
      <c r="CK13" s="1117">
        <f t="shared" si="12"/>
        <v>1.7052946573850503</v>
      </c>
      <c r="CL13" s="1117">
        <f t="shared" si="12"/>
        <v>7.7570025203086637</v>
      </c>
      <c r="CM13" s="1117">
        <f t="shared" si="12"/>
        <v>1.8993490211200588</v>
      </c>
      <c r="CN13" s="1117">
        <f t="shared" si="12"/>
        <v>-1.048019434304909</v>
      </c>
      <c r="CO13" s="1117">
        <f t="shared" si="12"/>
        <v>-0.88435486103482597</v>
      </c>
      <c r="CP13" s="1117">
        <f t="shared" si="12"/>
        <v>-2.1960394685578479</v>
      </c>
      <c r="CQ13" s="1117">
        <f t="shared" si="12"/>
        <v>-1.3268968218994792</v>
      </c>
      <c r="CR13" s="1118">
        <f t="shared" si="12"/>
        <v>1.5446565157489884</v>
      </c>
      <c r="CS13" s="1085"/>
      <c r="CT13" s="1085"/>
      <c r="CU13" s="1116">
        <f>IFERROR(ROUND(VLOOKUP($CI13&amp;"-D",$CJ$121:$DA$2000,$CZ$117,FALSE),2),"n.a.")</f>
        <v>-0.88</v>
      </c>
      <c r="CV13" s="1121">
        <f>IFERROR(ROUND(VLOOKUP($CI13&amp;"-D",$CJ$121:$DA$2000,$DA$117,FALSE),2),"n.a.")</f>
        <v>0.28999999999999998</v>
      </c>
      <c r="CW13" s="1085"/>
      <c r="CX13" s="1085"/>
      <c r="CY13" s="1085"/>
      <c r="CZ13" s="1085"/>
      <c r="DA13" s="1085"/>
      <c r="DB13" s="1085"/>
      <c r="DC13" s="993"/>
      <c r="DO13" s="993"/>
      <c r="DP13" s="284" t="str">
        <f>Country&amp;" Real GDP growth rate:"</f>
        <v>Latvia Real GDP growth rate:</v>
      </c>
      <c r="DV13" s="281"/>
      <c r="DW13" s="281"/>
      <c r="DX13" s="281"/>
      <c r="DY13" s="281"/>
      <c r="DZ13" s="281"/>
      <c r="EA13" s="281"/>
      <c r="EB13" s="281"/>
      <c r="EC13" s="281"/>
      <c r="ED13" s="281"/>
      <c r="EE13" s="281"/>
      <c r="EF13" s="993"/>
      <c r="EG13" s="26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row>
    <row r="14" spans="1:181" s="284" customFormat="1" ht="20.100000000000001" customHeight="1" thickBot="1">
      <c r="A14" s="484" t="str">
        <f>IF(ISBLANK(Custom1Name), "Customized shock 1",Custom1Name)</f>
        <v>Customized shock 1</v>
      </c>
      <c r="B14" s="25"/>
      <c r="C14" s="484"/>
      <c r="D14" s="484"/>
      <c r="E14" s="952">
        <f>Custom1Trigger</f>
        <v>0</v>
      </c>
      <c r="F14" s="952"/>
      <c r="G14" s="469"/>
      <c r="H14" s="1544"/>
      <c r="I14" s="949" t="s">
        <v>170</v>
      </c>
      <c r="J14" s="948">
        <v>914</v>
      </c>
      <c r="K14" s="948">
        <v>0</v>
      </c>
      <c r="L14" s="948"/>
      <c r="M14" s="1029" t="s">
        <v>556</v>
      </c>
      <c r="N14" s="467"/>
      <c r="O14" s="1544"/>
      <c r="P14" s="25" t="str">
        <f t="shared" si="10"/>
        <v>BaselineInflation (in percent)</v>
      </c>
      <c r="Q14" s="25"/>
      <c r="R14" s="99" t="s">
        <v>427</v>
      </c>
      <c r="S14" s="591">
        <f>('Baseline debt'!N54)*100</f>
        <v>0.87719298245614308</v>
      </c>
      <c r="T14" s="591">
        <f>('Baseline debt'!O54)*100</f>
        <v>3.2173913043478386</v>
      </c>
      <c r="U14" s="591">
        <f>('Baseline debt'!P54)*100</f>
        <v>4.2122999157540031</v>
      </c>
      <c r="V14" s="591">
        <f>('Baseline debt'!Q54)*100</f>
        <v>3.085754504401117</v>
      </c>
      <c r="W14" s="591">
        <f>('Baseline debt'!R54)*100</f>
        <v>2.7938359016816516</v>
      </c>
      <c r="X14" s="591">
        <f>('Baseline debt'!S54)*100</f>
        <v>2.5315565708619037</v>
      </c>
      <c r="Y14" s="591">
        <f>('Baseline debt'!T54)*100</f>
        <v>2.4647711698661201</v>
      </c>
      <c r="Z14" s="592">
        <f>('Baseline debt'!U54)*100</f>
        <v>2.5000000000000133</v>
      </c>
      <c r="AA14" s="474"/>
      <c r="AB14" s="100"/>
      <c r="AC14" s="25"/>
      <c r="AD14" s="25"/>
      <c r="AE14" s="25"/>
      <c r="AF14" s="25"/>
      <c r="AG14" s="25"/>
      <c r="AH14" s="25"/>
      <c r="AI14" s="25"/>
      <c r="AJ14" s="25"/>
      <c r="AK14" s="25"/>
      <c r="AL14" s="25"/>
      <c r="AM14" s="25"/>
      <c r="AN14" s="25"/>
      <c r="AO14" s="464"/>
      <c r="AP14" s="289"/>
      <c r="AQ14" s="107" t="s">
        <v>427</v>
      </c>
      <c r="AR14" s="107"/>
      <c r="AS14" s="107"/>
      <c r="AT14" s="591">
        <f t="shared" si="11"/>
        <v>4.2122999157540031</v>
      </c>
      <c r="AU14" s="591">
        <f t="shared" si="11"/>
        <v>3.085754504401117</v>
      </c>
      <c r="AV14" s="591">
        <f t="shared" si="11"/>
        <v>2.7938359016816516</v>
      </c>
      <c r="AW14" s="591">
        <f t="shared" si="11"/>
        <v>2.5315565708619037</v>
      </c>
      <c r="AX14" s="591">
        <f t="shared" si="11"/>
        <v>2.4647711698661201</v>
      </c>
      <c r="AY14" s="591">
        <f t="shared" si="11"/>
        <v>2.5000000000000133</v>
      </c>
      <c r="AZ14" s="474"/>
      <c r="BB14" s="1583"/>
      <c r="BC14" s="261"/>
      <c r="BD14" s="261"/>
      <c r="BE14" s="261"/>
      <c r="BF14" s="261"/>
      <c r="BG14" s="261"/>
      <c r="BH14" s="261"/>
      <c r="BI14" s="261"/>
      <c r="BJ14" s="261"/>
      <c r="BK14" s="254"/>
      <c r="BN14" s="1010" t="str">
        <f>Country</f>
        <v>Latvia</v>
      </c>
      <c r="BP14" s="1011">
        <f>IF(AEStatus=1,BS7,BO7)</f>
        <v>200</v>
      </c>
      <c r="BQ14" s="1012">
        <f>IF(AEStatus=1,BT7,BP7)</f>
        <v>600</v>
      </c>
      <c r="BR14" s="281"/>
      <c r="BV14" s="281"/>
      <c r="BZ14" s="254"/>
      <c r="CG14" s="254"/>
      <c r="CH14" s="1088"/>
      <c r="CI14" s="666"/>
      <c r="CJ14" s="1078"/>
      <c r="CK14" s="1078"/>
      <c r="CL14" s="1078"/>
      <c r="CM14" s="1078"/>
      <c r="CN14" s="1078"/>
      <c r="CO14" s="1078"/>
      <c r="CP14" s="1078"/>
      <c r="CQ14" s="1078"/>
      <c r="CR14" s="1078"/>
      <c r="CS14" s="1078"/>
      <c r="CT14" s="1078"/>
      <c r="CU14" s="1078"/>
      <c r="CV14" s="1078"/>
      <c r="CW14" s="1078"/>
      <c r="CX14" s="1078"/>
      <c r="CY14" s="1078"/>
      <c r="CZ14" s="1078"/>
      <c r="DA14" s="1078"/>
      <c r="DB14" s="1078"/>
      <c r="DC14" s="1023"/>
      <c r="DO14" s="993"/>
      <c r="DP14" s="1411" t="s">
        <v>692</v>
      </c>
      <c r="DQ14" s="1053" t="str">
        <f>FirstYear-10&amp;"-"&amp;FirstYear-1</f>
        <v>2008-2017</v>
      </c>
      <c r="DR14" s="1161">
        <f>AVERAGE('Baseline debt'!F52:O52)*100</f>
        <v>0.24863029297652051</v>
      </c>
      <c r="DV14" s="281"/>
      <c r="DW14" s="281"/>
      <c r="DX14" s="281"/>
      <c r="DY14" s="281"/>
      <c r="DZ14" s="281"/>
      <c r="EA14" s="281"/>
      <c r="EB14" s="281"/>
      <c r="EC14" s="281"/>
      <c r="ED14" s="281"/>
      <c r="EE14" s="281"/>
      <c r="EF14" s="993"/>
      <c r="EG14" s="26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row>
    <row r="15" spans="1:181" s="284" customFormat="1" ht="20.100000000000001" customHeight="1" thickBot="1">
      <c r="A15" s="484" t="str">
        <f>IF(ISBLANK(Custom2Name), "Customized shock 2",Custom2Name)</f>
        <v>Customized shock 2</v>
      </c>
      <c r="B15" s="25"/>
      <c r="C15" s="1149"/>
      <c r="D15" s="485"/>
      <c r="E15" s="952">
        <f>Custom2Trigger</f>
        <v>0</v>
      </c>
      <c r="F15" s="953"/>
      <c r="G15" s="467"/>
      <c r="H15" s="1542"/>
      <c r="I15" s="949" t="s">
        <v>171</v>
      </c>
      <c r="J15" s="948">
        <v>612</v>
      </c>
      <c r="K15" s="948">
        <v>0</v>
      </c>
      <c r="L15" s="948"/>
      <c r="M15" s="1029" t="s">
        <v>557</v>
      </c>
      <c r="N15" s="469"/>
      <c r="O15" s="1542"/>
      <c r="P15" s="25" t="str">
        <f t="shared" si="10"/>
        <v>BaselinePrimary Balance (in percent of GDP)</v>
      </c>
      <c r="Q15" s="25"/>
      <c r="R15" s="99" t="s">
        <v>544</v>
      </c>
      <c r="S15" s="591">
        <f>('Baseline debt'!N58)*100</f>
        <v>-0.13020374649697075</v>
      </c>
      <c r="T15" s="591">
        <f>('Baseline debt'!O58)*100</f>
        <v>-0.73983496353501876</v>
      </c>
      <c r="U15" s="591">
        <f>('Baseline debt'!P58)*100</f>
        <v>-5.2301873674015509E-2</v>
      </c>
      <c r="V15" s="591">
        <f>('Baseline debt'!Q58)*100</f>
        <v>4.6597896115335713E-2</v>
      </c>
      <c r="W15" s="591">
        <f>('Baseline debt'!R58)*100</f>
        <v>0.30885252917781103</v>
      </c>
      <c r="X15" s="591">
        <f>('Baseline debt'!S58)*100</f>
        <v>0.22147723253581053</v>
      </c>
      <c r="Y15" s="591">
        <f>('Baseline debt'!T58)*100</f>
        <v>0.87301076297996993</v>
      </c>
      <c r="Z15" s="592">
        <f>('Baseline debt'!U58)*100</f>
        <v>0.87301076297997549</v>
      </c>
      <c r="AA15" s="474"/>
      <c r="AB15" s="100"/>
      <c r="AC15" s="25"/>
      <c r="AD15" s="25"/>
      <c r="AE15" s="25"/>
      <c r="AF15" s="25"/>
      <c r="AG15" s="25"/>
      <c r="AH15" s="25"/>
      <c r="AI15" s="25"/>
      <c r="AJ15" s="25"/>
      <c r="AK15" s="25"/>
      <c r="AL15" s="25"/>
      <c r="AM15" s="25"/>
      <c r="AN15" s="25"/>
      <c r="AO15" s="464"/>
      <c r="AP15" s="289"/>
      <c r="AQ15" s="107" t="s">
        <v>544</v>
      </c>
      <c r="AR15" s="107"/>
      <c r="AS15" s="107"/>
      <c r="AT15" s="591">
        <f t="shared" si="11"/>
        <v>-5.2301873674015509E-2</v>
      </c>
      <c r="AU15" s="591">
        <f t="shared" si="11"/>
        <v>4.6597896115335713E-2</v>
      </c>
      <c r="AV15" s="591">
        <f t="shared" si="11"/>
        <v>0.30885252917781103</v>
      </c>
      <c r="AW15" s="591">
        <f t="shared" si="11"/>
        <v>0.22147723253581053</v>
      </c>
      <c r="AX15" s="591">
        <f t="shared" si="11"/>
        <v>0.87301076297996993</v>
      </c>
      <c r="AY15" s="591">
        <f t="shared" si="11"/>
        <v>0.87301076297997549</v>
      </c>
      <c r="AZ15" s="474"/>
      <c r="BB15" s="1584"/>
      <c r="BC15" s="455"/>
      <c r="BD15" s="335" t="s">
        <v>84</v>
      </c>
      <c r="BE15" s="337">
        <f>FirstYear</f>
        <v>2018</v>
      </c>
      <c r="BF15" s="337">
        <f>BE15+1</f>
        <v>2019</v>
      </c>
      <c r="BG15" s="337">
        <f>BF15+1</f>
        <v>2020</v>
      </c>
      <c r="BH15" s="337">
        <f>BG15+1</f>
        <v>2021</v>
      </c>
      <c r="BI15" s="337">
        <f>BH15+1</f>
        <v>2022</v>
      </c>
      <c r="BJ15" s="336">
        <f>BI15+1</f>
        <v>2023</v>
      </c>
      <c r="BK15" s="254"/>
      <c r="BN15" s="1008" t="e">
        <v>#N/A</v>
      </c>
      <c r="BP15" s="988">
        <f>BP16</f>
        <v>25</v>
      </c>
      <c r="BQ15" s="988">
        <f>BQ16</f>
        <v>75</v>
      </c>
      <c r="BR15" s="281"/>
      <c r="BS15" s="990"/>
      <c r="BT15" s="990" t="e">
        <v>#N/A</v>
      </c>
      <c r="BU15" s="990" t="e">
        <v>#N/A</v>
      </c>
      <c r="BV15" s="1018"/>
      <c r="BW15" s="281">
        <v>1</v>
      </c>
      <c r="BX15" s="988">
        <f>IF(AEStatus=1,ROUND(MAX($BN$16,$BN$21,$BN$26,$BN$31)*1.05,0),ROUND(MAX($BN$16,$BN$21,$BN$26,$BN$36,$BN$31)*1.05,0))</f>
        <v>313</v>
      </c>
      <c r="BY15" s="988">
        <f>IF(AEStatus=1,ROUND(MIN($BN$16,$BN$21,$BN$26,$BN$31),0),ROUND(MIN($BN$16,$BN$21,$BN$26,$BN$36,$BN$31),0))</f>
        <v>0</v>
      </c>
      <c r="BZ15" s="254"/>
      <c r="CG15" s="254"/>
      <c r="CH15" s="281"/>
      <c r="CI15" s="281"/>
      <c r="CJ15" s="281"/>
      <c r="CK15" s="281"/>
      <c r="CL15" s="281"/>
      <c r="CM15" s="281"/>
      <c r="CN15" s="281"/>
      <c r="CO15" s="281"/>
      <c r="CP15" s="281"/>
      <c r="CQ15" s="281"/>
      <c r="CR15" s="281"/>
      <c r="CS15" s="281"/>
      <c r="CT15" s="17"/>
      <c r="CU15" s="17"/>
      <c r="CV15" s="17"/>
      <c r="CW15" s="17"/>
      <c r="CX15" s="17"/>
      <c r="CY15" s="17"/>
      <c r="CZ15" s="17"/>
      <c r="DA15" s="17"/>
      <c r="DB15" s="17"/>
      <c r="DC15" s="993"/>
      <c r="DD15" s="17"/>
      <c r="DE15" s="17"/>
      <c r="DO15" s="993"/>
      <c r="DP15" s="1273" t="s">
        <v>693</v>
      </c>
      <c r="DQ15" s="1054" t="str">
        <f>FirstYear+1&amp;"-"&amp;FirstYear+5</f>
        <v>2019-2023</v>
      </c>
      <c r="DR15" s="1162">
        <f>AVERAGE('Baseline debt'!P52:U52)*100</f>
        <v>3.2588730562720789</v>
      </c>
      <c r="DV15" s="281"/>
      <c r="DW15" s="281"/>
      <c r="DX15" s="281"/>
      <c r="DY15" s="281"/>
      <c r="DZ15" s="281"/>
      <c r="EA15" s="281"/>
      <c r="EB15" s="281"/>
      <c r="EC15" s="281"/>
      <c r="ED15" s="281"/>
      <c r="EE15" s="281"/>
      <c r="EF15" s="993"/>
      <c r="EG15" s="26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row>
    <row r="16" spans="1:181" ht="48.2" customHeight="1" thickBot="1">
      <c r="G16" s="469"/>
      <c r="H16" s="1544"/>
      <c r="I16" s="949" t="s">
        <v>172</v>
      </c>
      <c r="J16" s="948">
        <v>614</v>
      </c>
      <c r="K16" s="948">
        <v>0</v>
      </c>
      <c r="L16" s="948"/>
      <c r="M16" s="1029" t="s">
        <v>558</v>
      </c>
      <c r="N16" s="470"/>
      <c r="O16" s="1544"/>
      <c r="P16" s="25" t="str">
        <f t="shared" si="10"/>
        <v>BaselineEffective Interest Rate (in percent)</v>
      </c>
      <c r="R16" s="99" t="s">
        <v>428</v>
      </c>
      <c r="S16" s="591">
        <f>('Baseline debt'!N64)*100</f>
        <v>2.8711784811072523</v>
      </c>
      <c r="T16" s="591">
        <f>('Baseline debt'!O64)*100</f>
        <v>2.4878194292532565</v>
      </c>
      <c r="U16" s="633">
        <f>('Baseline debt'!P64)*100</f>
        <v>1.9586439007071743</v>
      </c>
      <c r="V16" s="633">
        <f>('Baseline debt'!Q64)*100</f>
        <v>1.9875432898830547</v>
      </c>
      <c r="W16" s="633">
        <f>('Baseline debt'!R64)*100</f>
        <v>1.8677852623362263</v>
      </c>
      <c r="X16" s="633">
        <f>('Baseline debt'!S64)*100</f>
        <v>2.029232046171678</v>
      </c>
      <c r="Y16" s="633">
        <f>('Baseline debt'!T64)*100</f>
        <v>1.8384784130669154</v>
      </c>
      <c r="Z16" s="634">
        <f>('Baseline debt'!U64)*100</f>
        <v>1.9187244839005111</v>
      </c>
      <c r="AA16" s="475"/>
      <c r="AB16" s="429"/>
      <c r="AD16" s="122" t="s">
        <v>447</v>
      </c>
      <c r="AJ16" s="122" t="s">
        <v>447</v>
      </c>
      <c r="AP16" s="289"/>
      <c r="AQ16" s="266" t="s">
        <v>428</v>
      </c>
      <c r="AR16" s="266"/>
      <c r="AS16" s="266"/>
      <c r="AT16" s="600">
        <f t="shared" si="11"/>
        <v>1.9586439007071743</v>
      </c>
      <c r="AU16" s="600">
        <f t="shared" si="11"/>
        <v>1.9875432898830547</v>
      </c>
      <c r="AV16" s="600">
        <f t="shared" si="11"/>
        <v>1.8677852623362263</v>
      </c>
      <c r="AW16" s="600">
        <f t="shared" si="11"/>
        <v>2.029232046171678</v>
      </c>
      <c r="AX16" s="600">
        <f t="shared" si="11"/>
        <v>1.8384784130669154</v>
      </c>
      <c r="AY16" s="600">
        <f t="shared" si="11"/>
        <v>1.9187244839005111</v>
      </c>
      <c r="AZ16" s="475"/>
      <c r="BB16" s="1582">
        <f>IF(Exceptional="Yes",1,IF(OR(BF16=1,BG16=1,BH16=1,BI16=1,BJ16=1),1,0))</f>
        <v>0</v>
      </c>
      <c r="BC16" s="492"/>
      <c r="BD16" s="357"/>
      <c r="BE16" s="357"/>
      <c r="BF16" s="357">
        <f>IF('Baseline debt'!Q$111&gt;20,1,0)</f>
        <v>0</v>
      </c>
      <c r="BG16" s="357">
        <f>IF('Baseline debt'!R$111&gt;20,1,0)</f>
        <v>0</v>
      </c>
      <c r="BH16" s="357">
        <f>IF('Baseline debt'!S$111&gt;20,1,0)</f>
        <v>0</v>
      </c>
      <c r="BI16" s="357">
        <f>IF('Baseline debt'!T$111&gt;20,1,0)</f>
        <v>0</v>
      </c>
      <c r="BJ16" s="357">
        <f>IF('Baseline debt'!U$111&gt;20,1,0)</f>
        <v>0</v>
      </c>
      <c r="BL16" s="998" t="str">
        <f>IF(SpreadDefinition="EMBIG","EMBIG","Bond spread")</f>
        <v>Bond spread</v>
      </c>
      <c r="BM16" s="1601" t="str">
        <f>"(in basis points) 4/"</f>
        <v>(in basis points) 4/</v>
      </c>
      <c r="BN16" s="1005">
        <f>IFERROR(IF(AEStatus=1,IF(ISNUMBER(BV7),100*BV7/BR7,#N/A),IF(ISNUMBER(BV7),100*BV7/BN7,#N/A)),0)</f>
        <v>7.125</v>
      </c>
      <c r="BO16" s="1006"/>
      <c r="BP16" s="991">
        <f>IF(AEStatus=1,$BS$6,$BO$6)</f>
        <v>25</v>
      </c>
      <c r="BQ16" s="991">
        <f>$BP$6</f>
        <v>75</v>
      </c>
      <c r="BR16" s="7"/>
      <c r="BS16" s="991" t="str">
        <f>IFERROR(ROUND(BV7,0)&amp;" bp","no data")</f>
        <v>57 bp</v>
      </c>
      <c r="BT16" s="991">
        <v>2</v>
      </c>
      <c r="BU16" s="992">
        <f>BN16</f>
        <v>7.125</v>
      </c>
      <c r="BV16" s="1019"/>
      <c r="BW16" s="1007">
        <v>2</v>
      </c>
      <c r="BX16" s="235">
        <f>$BX$15</f>
        <v>313</v>
      </c>
      <c r="BY16" s="235">
        <f>$BY$15</f>
        <v>0</v>
      </c>
      <c r="CA16" s="488" t="s">
        <v>314</v>
      </c>
      <c r="CB16" s="284"/>
      <c r="CC16" s="284"/>
      <c r="CD16" s="284"/>
      <c r="CE16" s="53" t="s">
        <v>16</v>
      </c>
      <c r="CF16" s="281"/>
      <c r="CJ16" s="1082">
        <f t="shared" ref="CJ16:CQ16" si="13">CK16-1</f>
        <v>2009</v>
      </c>
      <c r="CK16" s="1083">
        <f t="shared" si="13"/>
        <v>2010</v>
      </c>
      <c r="CL16" s="1083">
        <f t="shared" si="13"/>
        <v>2011</v>
      </c>
      <c r="CM16" s="1083">
        <f t="shared" si="13"/>
        <v>2012</v>
      </c>
      <c r="CN16" s="1083">
        <f t="shared" si="13"/>
        <v>2013</v>
      </c>
      <c r="CO16" s="1083">
        <f t="shared" si="13"/>
        <v>2014</v>
      </c>
      <c r="CP16" s="1083">
        <f t="shared" si="13"/>
        <v>2015</v>
      </c>
      <c r="CQ16" s="1083">
        <f t="shared" si="13"/>
        <v>2016</v>
      </c>
      <c r="CR16" s="1084">
        <f>CS10-1</f>
        <v>2017</v>
      </c>
      <c r="DE16" s="4"/>
      <c r="DF16" s="1434" t="s">
        <v>836</v>
      </c>
      <c r="DG16" s="1435"/>
      <c r="DH16" s="1435"/>
      <c r="DI16" s="1436"/>
      <c r="DJ16" s="1434"/>
      <c r="DK16" s="1435" t="s">
        <v>850</v>
      </c>
      <c r="DL16" s="1441"/>
      <c r="DM16" s="1441"/>
      <c r="DN16" s="1442"/>
      <c r="DP16" s="257"/>
      <c r="EG16" s="261"/>
    </row>
    <row r="17" spans="1:181" s="98" customFormat="1" ht="20.100000000000001" customHeight="1" thickBot="1">
      <c r="A17" s="1595" t="s">
        <v>951</v>
      </c>
      <c r="B17" s="25"/>
      <c r="C17" s="484"/>
      <c r="D17" s="484"/>
      <c r="E17" s="447"/>
      <c r="F17" s="952"/>
      <c r="G17" s="467"/>
      <c r="H17" s="1542"/>
      <c r="I17" s="949" t="s">
        <v>173</v>
      </c>
      <c r="J17" s="948">
        <v>311</v>
      </c>
      <c r="K17" s="948">
        <v>0</v>
      </c>
      <c r="L17" s="948"/>
      <c r="M17" s="1029" t="s">
        <v>559</v>
      </c>
      <c r="N17" s="470"/>
      <c r="O17" s="1542"/>
      <c r="P17" s="98" t="str">
        <f t="shared" si="10"/>
        <v>BaselineNet debt (in percent of GDP)</v>
      </c>
      <c r="R17" s="817" t="s">
        <v>508</v>
      </c>
      <c r="S17" s="818" t="e">
        <f>IF(NetDebt="Yes",'Baseline debt'!N92*100,#N/A)</f>
        <v>#N/A</v>
      </c>
      <c r="T17" s="818" t="e">
        <f>IF(NetDebt="Yes",'Baseline debt'!O92*100,#N/A)</f>
        <v>#N/A</v>
      </c>
      <c r="U17" s="818" t="e">
        <f>IF(NetDebt="Yes",'Baseline debt'!P92*100,#N/A)</f>
        <v>#N/A</v>
      </c>
      <c r="V17" s="818" t="e">
        <f>IF(NetDebt="Yes",'Baseline debt'!Q92*100,#N/A)</f>
        <v>#N/A</v>
      </c>
      <c r="W17" s="818" t="e">
        <f>IF(NetDebt="Yes",'Baseline debt'!R92*100,#N/A)</f>
        <v>#N/A</v>
      </c>
      <c r="X17" s="818" t="e">
        <f>IF(NetDebt="Yes",'Baseline debt'!S92*100,#N/A)</f>
        <v>#N/A</v>
      </c>
      <c r="Y17" s="818" t="e">
        <f>IF(NetDebt="Yes",'Baseline debt'!T92*100,#N/A)</f>
        <v>#N/A</v>
      </c>
      <c r="Z17" s="819" t="e">
        <f>IF(NetDebt="Yes",'Baseline debt'!U92*100,#N/A)</f>
        <v>#N/A</v>
      </c>
      <c r="AA17" s="464"/>
      <c r="AD17" s="122" t="s">
        <v>429</v>
      </c>
      <c r="AE17" s="25"/>
      <c r="AF17" s="25"/>
      <c r="AG17" s="25"/>
      <c r="AH17" s="25"/>
      <c r="AI17" s="25"/>
      <c r="AJ17" s="122" t="s">
        <v>444</v>
      </c>
      <c r="AK17" s="25"/>
      <c r="AL17" s="25"/>
      <c r="AM17" s="25"/>
      <c r="AN17" s="25"/>
      <c r="AO17" s="464"/>
      <c r="AZ17" s="464"/>
      <c r="BA17" s="666"/>
      <c r="BB17" s="666"/>
      <c r="BC17" s="666"/>
      <c r="BD17" s="666"/>
      <c r="BE17" s="666"/>
      <c r="BF17" s="666"/>
      <c r="BG17" s="666"/>
      <c r="BH17" s="666"/>
      <c r="BI17" s="666"/>
      <c r="BJ17" s="666"/>
      <c r="BK17" s="1273"/>
      <c r="BL17" s="284"/>
      <c r="BM17" s="284"/>
      <c r="BN17" s="1009" t="e">
        <v>#N/A</v>
      </c>
      <c r="BO17" s="284"/>
      <c r="BP17" s="988">
        <f>BP16</f>
        <v>25</v>
      </c>
      <c r="BQ17" s="988">
        <f>BQ16</f>
        <v>75</v>
      </c>
      <c r="BR17" s="281"/>
      <c r="BS17" s="990"/>
      <c r="BT17" s="990" t="e">
        <v>#N/A</v>
      </c>
      <c r="BU17" s="990" t="e">
        <v>#N/A</v>
      </c>
      <c r="BV17" s="1018"/>
      <c r="BW17" s="424">
        <v>3</v>
      </c>
      <c r="BX17" s="521">
        <f>$BX$15</f>
        <v>313</v>
      </c>
      <c r="BY17" s="521">
        <f>$BY$15</f>
        <v>0</v>
      </c>
      <c r="BZ17" s="254"/>
      <c r="CA17" s="287" t="s">
        <v>347</v>
      </c>
      <c r="CB17" s="274">
        <f>CC17-1</f>
        <v>2015</v>
      </c>
      <c r="CC17" s="520">
        <f>CD17-1</f>
        <v>2016</v>
      </c>
      <c r="CD17" s="502">
        <f>CE17-1</f>
        <v>2017</v>
      </c>
      <c r="CE17" s="283">
        <f>FirstYear</f>
        <v>2018</v>
      </c>
      <c r="CF17" s="281"/>
      <c r="CG17" s="254"/>
      <c r="CH17" s="63" t="s">
        <v>728</v>
      </c>
      <c r="CI17" s="17"/>
      <c r="CJ17" s="17"/>
      <c r="CK17" s="17"/>
      <c r="CL17" s="17"/>
      <c r="CM17" s="17"/>
      <c r="CN17" s="17"/>
      <c r="CO17" s="17"/>
      <c r="CP17" s="17"/>
      <c r="CQ17" s="17"/>
      <c r="CR17" s="17"/>
      <c r="CS17" s="17"/>
      <c r="CT17" s="1074" t="str">
        <f>Country&amp;" forecast error"</f>
        <v>Latvia forecast error</v>
      </c>
      <c r="CU17" s="17"/>
      <c r="CV17" s="17"/>
      <c r="CW17" s="17"/>
      <c r="CX17" s="17"/>
      <c r="CY17" s="17"/>
      <c r="CZ17" s="17"/>
      <c r="DA17" s="17"/>
      <c r="DB17" s="17"/>
      <c r="DC17" s="993"/>
      <c r="DD17" s="17"/>
      <c r="DE17" s="4"/>
      <c r="DF17" s="1488" t="s">
        <v>466</v>
      </c>
      <c r="DG17" s="1489"/>
      <c r="DH17" s="1489"/>
      <c r="DI17" s="1490"/>
      <c r="DJ17" s="1488"/>
      <c r="DK17" s="1489" t="s">
        <v>466</v>
      </c>
      <c r="DL17" s="1489"/>
      <c r="DM17" s="1489"/>
      <c r="DN17" s="1490"/>
      <c r="DO17" s="993"/>
      <c r="DP17" s="258"/>
      <c r="DQ17" s="258"/>
      <c r="DR17" s="250" t="s">
        <v>689</v>
      </c>
      <c r="DS17" s="250" t="s">
        <v>690</v>
      </c>
      <c r="DT17" s="250" t="s">
        <v>691</v>
      </c>
      <c r="DU17" s="256"/>
      <c r="DV17" s="256"/>
      <c r="DW17" s="256"/>
      <c r="DX17" s="256"/>
      <c r="DY17" s="256"/>
      <c r="DZ17" s="256"/>
      <c r="EA17" s="256"/>
      <c r="EB17" s="256"/>
      <c r="EC17" s="256"/>
      <c r="ED17" s="256"/>
      <c r="EE17" s="256"/>
      <c r="EF17" s="993"/>
      <c r="EG17" s="261"/>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row>
    <row r="18" spans="1:181" s="25" customFormat="1" ht="20.100000000000001" customHeight="1" thickBot="1">
      <c r="A18" s="98"/>
      <c r="B18" s="484" t="s">
        <v>64</v>
      </c>
      <c r="C18" s="485"/>
      <c r="D18" s="484" t="s">
        <v>966</v>
      </c>
      <c r="E18" s="952"/>
      <c r="F18" s="953"/>
      <c r="G18" s="469"/>
      <c r="H18" s="1544"/>
      <c r="I18" s="949" t="s">
        <v>174</v>
      </c>
      <c r="J18" s="948">
        <v>213</v>
      </c>
      <c r="K18" s="948">
        <v>0</v>
      </c>
      <c r="L18" s="948"/>
      <c r="M18" s="1029" t="s">
        <v>560</v>
      </c>
      <c r="N18" s="464"/>
      <c r="O18" s="1544"/>
      <c r="P18" s="25" t="str">
        <f t="shared" si="10"/>
        <v>BaselineNet debt (in percent of Revenue)</v>
      </c>
      <c r="R18" s="820" t="s">
        <v>510</v>
      </c>
      <c r="S18" s="821" t="e">
        <f>IF(NetDebt="Yes",'Baseline debt'!N93*100,#N/A)</f>
        <v>#N/A</v>
      </c>
      <c r="T18" s="821" t="e">
        <f>IF(NetDebt="Yes",'Baseline debt'!O93*100,#N/A)</f>
        <v>#N/A</v>
      </c>
      <c r="U18" s="821" t="e">
        <f>IF(NetDebt="Yes",'Baseline debt'!P93*100,#N/A)</f>
        <v>#N/A</v>
      </c>
      <c r="V18" s="821" t="e">
        <f>IF(NetDebt="Yes",'Baseline debt'!Q93*100,#N/A)</f>
        <v>#N/A</v>
      </c>
      <c r="W18" s="821" t="e">
        <f>IF(NetDebt="Yes",'Baseline debt'!R93*100,#N/A)</f>
        <v>#N/A</v>
      </c>
      <c r="X18" s="821" t="e">
        <f>IF(NetDebt="Yes",'Baseline debt'!S93*100,#N/A)</f>
        <v>#N/A</v>
      </c>
      <c r="Y18" s="821" t="e">
        <f>IF(NetDebt="Yes",'Baseline debt'!T93*100,#N/A)</f>
        <v>#N/A</v>
      </c>
      <c r="Z18" s="822" t="e">
        <f>IF(NetDebt="Yes",'Baseline debt'!U93*100,#N/A)</f>
        <v>#N/A</v>
      </c>
      <c r="AA18" s="464"/>
      <c r="AB18" s="98"/>
      <c r="AO18" s="464"/>
      <c r="AP18" s="289">
        <v>1</v>
      </c>
      <c r="AQ18" s="1407" t="s">
        <v>64</v>
      </c>
      <c r="AR18" s="1475"/>
      <c r="AS18" s="1475"/>
      <c r="AZ18" s="464"/>
      <c r="BA18" s="2024" t="s">
        <v>141</v>
      </c>
      <c r="BB18" s="2024"/>
      <c r="BC18" s="2024"/>
      <c r="BD18" s="2024"/>
      <c r="BE18" s="247"/>
      <c r="BF18" s="247"/>
      <c r="BG18" s="247"/>
      <c r="BH18" s="247"/>
      <c r="BI18" s="247"/>
      <c r="BJ18" s="247"/>
      <c r="BK18" s="1001"/>
      <c r="BL18" s="255"/>
      <c r="BM18" s="247"/>
      <c r="BN18" s="255"/>
      <c r="BO18" s="247"/>
      <c r="BP18" s="247"/>
      <c r="BQ18" s="247"/>
      <c r="BR18" s="261"/>
      <c r="BS18" s="247"/>
      <c r="BT18" s="247"/>
      <c r="BU18" s="247"/>
      <c r="BV18" s="261"/>
      <c r="BW18" s="424"/>
      <c r="BX18" s="521"/>
      <c r="BY18" s="521"/>
      <c r="BZ18" s="987"/>
      <c r="CA18" s="424" t="s">
        <v>314</v>
      </c>
      <c r="CB18" s="278"/>
      <c r="CC18" s="278"/>
      <c r="CD18" s="829">
        <f>'Input 3 - Debt and Banking'!N25</f>
        <v>0.747</v>
      </c>
      <c r="CE18" s="281"/>
      <c r="CF18" s="10"/>
      <c r="CG18" s="254"/>
      <c r="CH18" s="284" t="s">
        <v>714</v>
      </c>
      <c r="CI18" s="281"/>
      <c r="CJ18" s="1097">
        <f t="shared" ref="CJ18:CR19" si="14">IF(FTRGroup="all countries",CJ42,IF(FTRGroup="program countries",CJ55,CT55))</f>
        <v>-7.9190288147455794</v>
      </c>
      <c r="CK18" s="1097">
        <f t="shared" si="14"/>
        <v>0.63220765001343504</v>
      </c>
      <c r="CL18" s="1097">
        <f t="shared" si="14"/>
        <v>-1.389642261944307</v>
      </c>
      <c r="CM18" s="1097">
        <f t="shared" si="14"/>
        <v>-2.5856528104721366</v>
      </c>
      <c r="CN18" s="1097">
        <f t="shared" si="14"/>
        <v>-1.4185621757271507</v>
      </c>
      <c r="CO18" s="1097">
        <f t="shared" si="14"/>
        <v>-1.7440413571498865</v>
      </c>
      <c r="CP18" s="1097">
        <f t="shared" si="14"/>
        <v>-1.6808266748309231</v>
      </c>
      <c r="CQ18" s="1097">
        <f t="shared" si="14"/>
        <v>-1.7040764631000975</v>
      </c>
      <c r="CR18" s="1097">
        <f t="shared" si="14"/>
        <v>-0.93667542361052503</v>
      </c>
      <c r="CS18" s="278"/>
      <c r="CT18" s="281"/>
      <c r="CU18" s="526"/>
      <c r="CV18" s="526"/>
      <c r="CW18" s="526"/>
      <c r="CX18" s="526"/>
      <c r="CY18" s="526"/>
      <c r="CZ18" s="526"/>
      <c r="DA18" s="526"/>
      <c r="DB18" s="526"/>
      <c r="DC18" s="993"/>
      <c r="DD18" s="281"/>
      <c r="DE18" s="1151"/>
      <c r="DF18" s="5"/>
      <c r="DG18" s="17"/>
      <c r="DH18" s="17"/>
      <c r="DI18" s="1172"/>
      <c r="DJ18" s="5"/>
      <c r="DK18" s="17"/>
      <c r="DL18" s="17"/>
      <c r="DM18" s="17"/>
      <c r="DN18" s="1172"/>
      <c r="DO18" s="993"/>
      <c r="DP18" s="258"/>
      <c r="DQ18" s="943" t="s">
        <v>694</v>
      </c>
      <c r="DR18" s="1038">
        <v>-4.3534657095993019</v>
      </c>
      <c r="DS18" s="1038">
        <v>-2.5764117510888935</v>
      </c>
      <c r="DT18" s="1038">
        <v>-1.4567172247428846</v>
      </c>
      <c r="DU18" s="256"/>
      <c r="DV18" s="256"/>
      <c r="DW18" s="256"/>
      <c r="DX18" s="256"/>
      <c r="DY18" s="256"/>
      <c r="DZ18" s="256"/>
      <c r="EA18" s="256"/>
      <c r="EB18" s="256"/>
      <c r="EC18" s="256"/>
      <c r="ED18" s="256"/>
      <c r="EE18" s="256"/>
      <c r="EF18" s="993"/>
      <c r="EG18" s="26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row>
    <row r="19" spans="1:181" s="25" customFormat="1" ht="20.100000000000001" customHeight="1" thickBot="1">
      <c r="A19" s="98"/>
      <c r="B19" s="484" t="s">
        <v>297</v>
      </c>
      <c r="C19" s="484"/>
      <c r="D19" s="484" t="s">
        <v>966</v>
      </c>
      <c r="E19" s="952"/>
      <c r="F19" s="952"/>
      <c r="G19" s="470"/>
      <c r="H19" s="307"/>
      <c r="I19" s="949" t="s">
        <v>175</v>
      </c>
      <c r="J19" s="948">
        <v>911</v>
      </c>
      <c r="K19" s="948">
        <v>0</v>
      </c>
      <c r="L19" s="948"/>
      <c r="M19" s="1029" t="s">
        <v>561</v>
      </c>
      <c r="N19" s="464"/>
      <c r="O19" s="307"/>
      <c r="AA19" s="464"/>
      <c r="AO19" s="464"/>
      <c r="AP19" s="289"/>
      <c r="AQ19" s="265" t="s">
        <v>421</v>
      </c>
      <c r="AR19" s="598" t="e">
        <v>#N/A</v>
      </c>
      <c r="AS19" s="598" t="e">
        <v>#N/A</v>
      </c>
      <c r="AT19" s="598">
        <f t="shared" ref="AT19:AY26" si="15">VLOOKUP(CONCATENATE($AQ$18,$AQ19),$P$7:$Z$158,U$2,FALSE)</f>
        <v>37.094606570883371</v>
      </c>
      <c r="AU19" s="598">
        <f t="shared" ca="1" si="15"/>
        <v>39.753258641667394</v>
      </c>
      <c r="AV19" s="598">
        <f t="shared" ca="1" si="15"/>
        <v>42.254037652844879</v>
      </c>
      <c r="AW19" s="598">
        <f t="shared" ca="1" si="15"/>
        <v>44.546754198486191</v>
      </c>
      <c r="AX19" s="598">
        <f t="shared" ca="1" si="15"/>
        <v>47.282094205619636</v>
      </c>
      <c r="AY19" s="598">
        <f t="shared" ca="1" si="15"/>
        <v>50.202086430637308</v>
      </c>
      <c r="AZ19" s="464"/>
      <c r="BA19" s="2024"/>
      <c r="BB19" s="2024"/>
      <c r="BC19" s="2024"/>
      <c r="BD19" s="2024"/>
      <c r="BE19" s="247"/>
      <c r="BF19" s="247"/>
      <c r="BG19" s="247"/>
      <c r="BH19" s="247"/>
      <c r="BI19" s="247"/>
      <c r="BJ19" s="247"/>
      <c r="BK19" s="254"/>
      <c r="BL19" s="284"/>
      <c r="BM19" s="284"/>
      <c r="BN19" s="904" t="str">
        <f>Country</f>
        <v>Latvia</v>
      </c>
      <c r="BO19" s="284"/>
      <c r="BP19" s="1003">
        <f>IF(AEStatus=1,BS8,BO8)</f>
        <v>5</v>
      </c>
      <c r="BQ19" s="1004">
        <f>IF(AEStatus=1,BT8,BP8)</f>
        <v>15</v>
      </c>
      <c r="BR19" s="281"/>
      <c r="BS19" s="284"/>
      <c r="BT19" s="284"/>
      <c r="BU19" s="284"/>
      <c r="BV19" s="281"/>
      <c r="BW19" s="252"/>
      <c r="BX19" s="1" t="s">
        <v>294</v>
      </c>
      <c r="BY19" s="1" t="s">
        <v>293</v>
      </c>
      <c r="BZ19" s="987"/>
      <c r="CA19" s="281"/>
      <c r="CB19" s="281"/>
      <c r="CC19" s="281"/>
      <c r="CD19" s="281"/>
      <c r="CE19" s="281"/>
      <c r="CF19" s="281"/>
      <c r="CG19" s="254"/>
      <c r="CH19" s="284" t="s">
        <v>715</v>
      </c>
      <c r="CI19" s="281"/>
      <c r="CJ19" s="1097">
        <f t="shared" si="14"/>
        <v>5.1031625474781697</v>
      </c>
      <c r="CK19" s="1097">
        <f t="shared" si="14"/>
        <v>2.9818721056696278</v>
      </c>
      <c r="CL19" s="1097">
        <f t="shared" si="14"/>
        <v>2.4147026460302752</v>
      </c>
      <c r="CM19" s="1097">
        <f t="shared" si="14"/>
        <v>2.9076363239647849</v>
      </c>
      <c r="CN19" s="1097">
        <f t="shared" si="14"/>
        <v>1.8733159966491773</v>
      </c>
      <c r="CO19" s="1097">
        <f t="shared" si="14"/>
        <v>2.2434234157991124</v>
      </c>
      <c r="CP19" s="1097">
        <f t="shared" si="14"/>
        <v>2.4719709697369021</v>
      </c>
      <c r="CQ19" s="1097">
        <f t="shared" si="14"/>
        <v>2.1081321874312691</v>
      </c>
      <c r="CR19" s="1097">
        <f t="shared" si="14"/>
        <v>1.9566968563938612</v>
      </c>
      <c r="CS19" s="278"/>
      <c r="CT19" s="1075" t="s">
        <v>734</v>
      </c>
      <c r="CU19" s="526"/>
      <c r="CV19" s="526"/>
      <c r="CW19" s="526"/>
      <c r="CX19" s="526"/>
      <c r="CY19" s="526"/>
      <c r="CZ19" s="526"/>
      <c r="DA19" s="526"/>
      <c r="DB19" s="526"/>
      <c r="DC19" s="993"/>
      <c r="DD19" s="281"/>
      <c r="DE19" s="1151"/>
      <c r="DF19" s="5" t="s">
        <v>839</v>
      </c>
      <c r="DG19" s="17"/>
      <c r="DH19" s="1020">
        <f>MAX(DI10:DN10)</f>
        <v>0.31568076760828667</v>
      </c>
      <c r="DI19" s="1172"/>
      <c r="DJ19" s="5"/>
      <c r="DK19" s="17" t="s">
        <v>840</v>
      </c>
      <c r="DL19" s="17"/>
      <c r="DM19" s="1446">
        <f>MAX(DI11:DN11)</f>
        <v>0.95187636153598021</v>
      </c>
      <c r="DN19" s="1172"/>
      <c r="DO19" s="993"/>
      <c r="DP19" s="488"/>
      <c r="DQ19" s="501" t="s">
        <v>695</v>
      </c>
      <c r="DR19" s="1039">
        <f>DR14+DR18</f>
        <v>-4.1048354166227812</v>
      </c>
      <c r="DS19" s="1039">
        <f>DR14+DS18</f>
        <v>-2.3277814581123728</v>
      </c>
      <c r="DT19" s="1039">
        <f>DR14+DT18</f>
        <v>-1.2080869317663641</v>
      </c>
      <c r="DU19" s="247"/>
      <c r="DV19" s="261"/>
      <c r="DW19" s="261"/>
      <c r="DX19" s="261"/>
      <c r="DY19" s="261"/>
      <c r="DZ19" s="261"/>
      <c r="EA19" s="261"/>
      <c r="EB19" s="261"/>
      <c r="EC19" s="261"/>
      <c r="ED19" s="261"/>
      <c r="EE19" s="261"/>
      <c r="EF19" s="993"/>
      <c r="EG19" s="26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row>
    <row r="20" spans="1:181" ht="20.100000000000001" customHeight="1" thickBot="1">
      <c r="C20" s="484"/>
      <c r="D20" s="484"/>
      <c r="E20" s="25"/>
      <c r="F20" s="952"/>
      <c r="G20" s="470"/>
      <c r="H20" s="307"/>
      <c r="I20" s="949" t="s">
        <v>176</v>
      </c>
      <c r="J20" s="948">
        <v>193</v>
      </c>
      <c r="K20" s="948">
        <v>1</v>
      </c>
      <c r="L20" s="948"/>
      <c r="M20" s="1029" t="s">
        <v>562</v>
      </c>
      <c r="O20" s="307"/>
      <c r="R20" s="1506" t="s">
        <v>880</v>
      </c>
      <c r="S20" s="1507" t="e">
        <f>IF(DebttoPotentialGDP="Yes",'Baseline debt'!N95*100,#N/A)</f>
        <v>#DIV/0!</v>
      </c>
      <c r="T20" s="1507" t="e">
        <f>IF(DebttoPotentialGDP="Yes",'Baseline debt'!O95*100,#N/A)</f>
        <v>#DIV/0!</v>
      </c>
      <c r="U20" s="1507" t="e">
        <f>IF(DebttoPotentialGDP="Yes",'Baseline debt'!P95*100,#N/A)</f>
        <v>#VALUE!</v>
      </c>
      <c r="V20" s="1507" t="e">
        <f>IF(DebttoPotentialGDP="Yes",'Baseline debt'!Q95*100,#N/A)</f>
        <v>#VALUE!</v>
      </c>
      <c r="W20" s="1507" t="e">
        <f>IF(DebttoPotentialGDP="Yes",'Baseline debt'!R95*100,#N/A)</f>
        <v>#VALUE!</v>
      </c>
      <c r="X20" s="1507" t="e">
        <f>IF(DebttoPotentialGDP="Yes",'Baseline debt'!S95*100,#N/A)</f>
        <v>#VALUE!</v>
      </c>
      <c r="Y20" s="1507" t="e">
        <f>IF(DebttoPotentialGDP="Yes",'Baseline debt'!T95*100,#N/A)</f>
        <v>#VALUE!</v>
      </c>
      <c r="Z20" s="1508" t="e">
        <f>IF(DebttoPotentialGDP="Yes",'Baseline debt'!U95*100,#N/A)</f>
        <v>#VALUE!</v>
      </c>
      <c r="AA20" s="473"/>
      <c r="AB20" s="246"/>
      <c r="AD20" s="1505" t="str">
        <f>IF(NetDebt="Yes","Net debt (in percent of GDP)","")</f>
        <v/>
      </c>
      <c r="AE20" s="123"/>
      <c r="AF20" s="123"/>
      <c r="AG20" s="123"/>
      <c r="AH20" s="123"/>
      <c r="AI20" s="123"/>
      <c r="AJ20" s="715"/>
      <c r="AP20" s="289"/>
      <c r="AQ20" s="107" t="s">
        <v>424</v>
      </c>
      <c r="AR20" s="599" t="e">
        <v>#N/A</v>
      </c>
      <c r="AS20" s="599" t="e">
        <v>#N/A</v>
      </c>
      <c r="AT20" s="599">
        <f t="shared" si="15"/>
        <v>100.40391596609757</v>
      </c>
      <c r="AU20" s="599" t="e">
        <f t="shared" ca="1" si="15"/>
        <v>#DIV/0!</v>
      </c>
      <c r="AV20" s="599" t="e">
        <f t="shared" ca="1" si="15"/>
        <v>#DIV/0!</v>
      </c>
      <c r="AW20" s="599" t="e">
        <f t="shared" ca="1" si="15"/>
        <v>#DIV/0!</v>
      </c>
      <c r="AX20" s="599" t="e">
        <f t="shared" ca="1" si="15"/>
        <v>#DIV/0!</v>
      </c>
      <c r="AY20" s="599" t="e">
        <f t="shared" ca="1" si="15"/>
        <v>#DIV/0!</v>
      </c>
      <c r="AZ20" s="473"/>
      <c r="BA20" s="2024"/>
      <c r="BB20" s="2024"/>
      <c r="BC20" s="2024"/>
      <c r="BD20" s="2024"/>
      <c r="BL20" s="281"/>
      <c r="BM20" s="281"/>
      <c r="BN20" s="1008" t="e">
        <v>#N/A</v>
      </c>
      <c r="BO20" s="284"/>
      <c r="BP20" s="988">
        <f>BP21</f>
        <v>25</v>
      </c>
      <c r="BQ20" s="988">
        <f>BQ21</f>
        <v>75</v>
      </c>
      <c r="BR20" s="281"/>
      <c r="BS20" s="990"/>
      <c r="BT20" s="990" t="e">
        <v>#N/A</v>
      </c>
      <c r="BU20" s="990" t="e">
        <v>#N/A</v>
      </c>
      <c r="BV20" s="1018"/>
      <c r="BW20" s="281">
        <v>1</v>
      </c>
      <c r="BX20" s="521">
        <f>$BX$15</f>
        <v>313</v>
      </c>
      <c r="BY20" s="521">
        <f>$BY$15</f>
        <v>0</v>
      </c>
      <c r="BZ20" s="987"/>
      <c r="CA20" s="256"/>
      <c r="CB20" s="261"/>
      <c r="CC20" s="261"/>
      <c r="CD20" s="261"/>
      <c r="CE20" s="261"/>
      <c r="CF20" s="261"/>
      <c r="CH20" s="17" t="s">
        <v>707</v>
      </c>
      <c r="CJ20" s="1097">
        <f t="shared" ref="CJ20:CR20" si="16">IF(FTRGroup="all countries",CJ36,IF(FTRGroup="program countries",CJ49,CT49))</f>
        <v>-5.2001736788996231</v>
      </c>
      <c r="CK20" s="1097">
        <f t="shared" si="16"/>
        <v>2.0645992659948962</v>
      </c>
      <c r="CL20" s="1097">
        <f t="shared" si="16"/>
        <v>-0.19608395340149354</v>
      </c>
      <c r="CM20" s="1097">
        <f t="shared" si="16"/>
        <v>-1.3056947703557249</v>
      </c>
      <c r="CN20" s="1097">
        <f t="shared" si="16"/>
        <v>-0.54588090004128176</v>
      </c>
      <c r="CO20" s="1097">
        <f t="shared" si="16"/>
        <v>-0.50451896925238549</v>
      </c>
      <c r="CP20" s="1097">
        <f t="shared" si="16"/>
        <v>-0.38153384817829927</v>
      </c>
      <c r="CQ20" s="1097">
        <f t="shared" si="16"/>
        <v>-0.39817913728272503</v>
      </c>
      <c r="CR20" s="1097">
        <f t="shared" si="16"/>
        <v>0.21656980477685162</v>
      </c>
      <c r="CT20" s="750" t="s">
        <v>81</v>
      </c>
      <c r="DE20" s="4"/>
      <c r="DF20" s="5"/>
      <c r="DG20" s="17" t="s">
        <v>872</v>
      </c>
      <c r="DH20" s="62">
        <f>ROUND(2*DH19,0)/2</f>
        <v>0.5</v>
      </c>
      <c r="DI20" s="1172"/>
      <c r="DJ20" s="5"/>
      <c r="DL20" s="17" t="s">
        <v>872</v>
      </c>
      <c r="DM20" s="62">
        <f>ROUND(2*DM19,0)/2</f>
        <v>1</v>
      </c>
      <c r="DN20" s="1172"/>
      <c r="DP20" s="488" t="s">
        <v>702</v>
      </c>
      <c r="EG20" s="261"/>
    </row>
    <row r="21" spans="1:181" ht="20.100000000000001" customHeight="1" thickBot="1">
      <c r="A21" s="1595" t="s">
        <v>968</v>
      </c>
      <c r="F21" s="954"/>
      <c r="I21" s="949" t="s">
        <v>177</v>
      </c>
      <c r="J21" s="948">
        <v>122</v>
      </c>
      <c r="K21" s="948">
        <v>1</v>
      </c>
      <c r="L21" s="948"/>
      <c r="M21" s="1029" t="s">
        <v>563</v>
      </c>
      <c r="R21" s="25"/>
      <c r="S21" s="25"/>
      <c r="T21" s="25"/>
      <c r="U21" s="25"/>
      <c r="V21" s="25"/>
      <c r="W21" s="25"/>
      <c r="X21" s="25"/>
      <c r="Y21" s="25"/>
      <c r="Z21" s="25"/>
      <c r="AA21" s="474"/>
      <c r="AB21" s="100"/>
      <c r="AP21" s="289"/>
      <c r="AQ21" s="107" t="s">
        <v>425</v>
      </c>
      <c r="AR21" s="599" t="e">
        <v>#N/A</v>
      </c>
      <c r="AS21" s="599" t="e">
        <v>#N/A</v>
      </c>
      <c r="AT21" s="599">
        <f t="shared" si="15"/>
        <v>10.043774810504543</v>
      </c>
      <c r="AU21" s="599" t="e">
        <f t="shared" ca="1" si="15"/>
        <v>#DIV/0!</v>
      </c>
      <c r="AV21" s="599" t="e">
        <f t="shared" ca="1" si="15"/>
        <v>#DIV/0!</v>
      </c>
      <c r="AW21" s="599" t="e">
        <f t="shared" ca="1" si="15"/>
        <v>#DIV/0!</v>
      </c>
      <c r="AX21" s="599" t="e">
        <f t="shared" ca="1" si="15"/>
        <v>#DIV/0!</v>
      </c>
      <c r="AY21" s="599" t="e">
        <f t="shared" ca="1" si="15"/>
        <v>#DIV/0!</v>
      </c>
      <c r="AZ21" s="474"/>
      <c r="BA21" s="2026" t="s">
        <v>321</v>
      </c>
      <c r="BB21" s="2025" t="s">
        <v>949</v>
      </c>
      <c r="BC21" s="494"/>
      <c r="BL21" s="999" t="str">
        <f>"External Financing Requirement"</f>
        <v>External Financing Requirement</v>
      </c>
      <c r="BM21" s="643" t="str">
        <f>"(in percent of GDP) 5/"</f>
        <v>(in percent of GDP) 5/</v>
      </c>
      <c r="BN21" s="1521">
        <f>IFERROR(IF(AEStatus=1,IF(ISNUMBER(BV8),100*BV8/BR8,#N/A),IF(ISNUMBER(BV8),100*BV8/BN8,#N/A)),0)</f>
        <v>0</v>
      </c>
      <c r="BO21" s="256"/>
      <c r="BP21" s="988">
        <f>IF(AEStatus=1,$BS$6,$BO$6)</f>
        <v>25</v>
      </c>
      <c r="BQ21" s="988">
        <f>$BP$6</f>
        <v>75</v>
      </c>
      <c r="BR21" s="17"/>
      <c r="BS21" s="906" t="str">
        <f>IFERROR(ROUND(BV8,0)&amp;"%","no data")</f>
        <v>0%</v>
      </c>
      <c r="BT21" s="988">
        <v>2</v>
      </c>
      <c r="BU21" s="989">
        <f>BN21</f>
        <v>0</v>
      </c>
      <c r="BV21" s="1020"/>
      <c r="BW21" s="424">
        <v>2</v>
      </c>
      <c r="BX21" s="521">
        <f>$BX$15</f>
        <v>313</v>
      </c>
      <c r="BY21" s="521">
        <f>$BY$15</f>
        <v>0</v>
      </c>
      <c r="BZ21" s="987"/>
      <c r="CA21" s="1593" t="s">
        <v>513</v>
      </c>
      <c r="CB21" s="1594" t="s">
        <v>440</v>
      </c>
      <c r="CC21" s="1594" t="s">
        <v>514</v>
      </c>
      <c r="CD21" s="261"/>
      <c r="CE21" s="261"/>
      <c r="CF21" s="261"/>
      <c r="CH21" s="63" t="s">
        <v>729</v>
      </c>
      <c r="CT21" s="1123" t="s">
        <v>736</v>
      </c>
      <c r="DE21" s="4"/>
      <c r="DF21" s="5"/>
      <c r="DH21" s="1020"/>
      <c r="DI21" s="1172"/>
      <c r="DJ21" s="5"/>
      <c r="DK21" s="17" t="s">
        <v>853</v>
      </c>
      <c r="DM21" s="1451">
        <f>1-PERCENTRANK(DN66:DN503,DM19,2)</f>
        <v>0.43999999999999995</v>
      </c>
      <c r="DN21" s="1172"/>
      <c r="DP21" s="1045" t="s">
        <v>687</v>
      </c>
      <c r="DQ21" s="994" t="s">
        <v>688</v>
      </c>
      <c r="DR21" s="994" t="str">
        <f>IF(DR19&gt;0,"25th",IF(AND(DR19&lt;0,DS19&gt;0),"25th",IF(AND(DR19&lt;0,DS19&lt;0,DT19&gt;0),"50th","75th")))</f>
        <v>75th</v>
      </c>
      <c r="DS21" s="994" t="str">
        <f>IF(AND(DR19&lt;0,DS19&lt;0,DT19&gt;0),"25th","50th")</f>
        <v>50th</v>
      </c>
      <c r="DT21" s="994" t="str">
        <f>IF(DT19&gt;0,"75th","25th")</f>
        <v>25th</v>
      </c>
      <c r="DU21" s="1057" t="str">
        <f>Country&amp;" projection"</f>
        <v>Latvia projection</v>
      </c>
      <c r="DV21" s="1222"/>
      <c r="DW21" s="1222"/>
      <c r="DX21" s="1222"/>
      <c r="DY21" s="1222"/>
      <c r="DZ21" s="1222"/>
      <c r="EA21" s="1222"/>
      <c r="EB21" s="1222"/>
      <c r="EC21" s="1222"/>
      <c r="ED21" s="1222"/>
      <c r="EE21" s="1222"/>
      <c r="EG21" s="261"/>
    </row>
    <row r="22" spans="1:181" ht="20.100000000000001" customHeight="1" thickBot="1">
      <c r="F22" s="954"/>
      <c r="I22" s="949" t="s">
        <v>178</v>
      </c>
      <c r="J22" s="948">
        <v>912</v>
      </c>
      <c r="K22" s="948">
        <v>0</v>
      </c>
      <c r="L22" s="948"/>
      <c r="M22" s="1029" t="s">
        <v>564</v>
      </c>
      <c r="R22" s="108" t="s">
        <v>106</v>
      </c>
      <c r="S22" s="109">
        <f t="shared" ref="S22:Z22" si="17">S$4</f>
        <v>2016</v>
      </c>
      <c r="T22" s="109">
        <f t="shared" si="17"/>
        <v>2017</v>
      </c>
      <c r="U22" s="109">
        <f t="shared" si="17"/>
        <v>2018</v>
      </c>
      <c r="V22" s="109">
        <f t="shared" si="17"/>
        <v>2019</v>
      </c>
      <c r="W22" s="109">
        <f t="shared" si="17"/>
        <v>2020</v>
      </c>
      <c r="X22" s="109">
        <f t="shared" si="17"/>
        <v>2021</v>
      </c>
      <c r="Y22" s="109">
        <f t="shared" si="17"/>
        <v>2022</v>
      </c>
      <c r="Z22" s="110">
        <f t="shared" si="17"/>
        <v>2023</v>
      </c>
      <c r="AA22" s="474"/>
      <c r="AB22" s="100"/>
      <c r="AD22" s="1505" t="str">
        <f>IF(DebttoPotentialGDP="Yes","Debt (in percent of potential GDP)","")</f>
        <v>Debt (in percent of potential GDP)</v>
      </c>
      <c r="AP22" s="289"/>
      <c r="AQ22" s="107" t="s">
        <v>423</v>
      </c>
      <c r="AR22" s="599" t="e">
        <v>#N/A</v>
      </c>
      <c r="AS22" s="599" t="e">
        <v>#N/A</v>
      </c>
      <c r="AT22" s="599">
        <f t="shared" si="15"/>
        <v>3.5994671534530136</v>
      </c>
      <c r="AU22" s="599">
        <f t="shared" ca="1" si="15"/>
        <v>9.4827143147415125</v>
      </c>
      <c r="AV22" s="599">
        <f t="shared" ca="1" si="15"/>
        <v>16.409895134885762</v>
      </c>
      <c r="AW22" s="599">
        <f t="shared" ca="1" si="15"/>
        <v>23.467411293501915</v>
      </c>
      <c r="AX22" s="599">
        <f t="shared" ca="1" si="15"/>
        <v>27.449533776134004</v>
      </c>
      <c r="AY22" s="599">
        <f t="shared" ca="1" si="15"/>
        <v>30.636908438406209</v>
      </c>
      <c r="AZ22" s="474"/>
      <c r="BA22" s="2026"/>
      <c r="BB22" s="2025"/>
      <c r="BN22" s="1009" t="e">
        <v>#N/A</v>
      </c>
      <c r="BO22" s="284"/>
      <c r="BP22" s="988">
        <f>BP21</f>
        <v>25</v>
      </c>
      <c r="BQ22" s="988">
        <f>BQ21</f>
        <v>75</v>
      </c>
      <c r="BR22" s="281"/>
      <c r="BS22" s="990"/>
      <c r="BT22" s="990" t="e">
        <v>#N/A</v>
      </c>
      <c r="BU22" s="990" t="e">
        <v>#N/A</v>
      </c>
      <c r="BV22" s="1018"/>
      <c r="BW22" s="424">
        <v>3</v>
      </c>
      <c r="BX22" s="521">
        <f>$BX$15</f>
        <v>313</v>
      </c>
      <c r="BY22" s="521">
        <f>$BY$15</f>
        <v>0</v>
      </c>
      <c r="BZ22" s="987"/>
      <c r="CA22" s="1589" t="s">
        <v>313</v>
      </c>
      <c r="CB22" s="1590">
        <f>Benchmarks!D18</f>
        <v>15</v>
      </c>
      <c r="CC22" s="1590">
        <f>Benchmarks!E18</f>
        <v>30</v>
      </c>
      <c r="CH22" s="284" t="s">
        <v>714</v>
      </c>
      <c r="CJ22" s="1097">
        <f t="shared" ref="CJ22:CR23" si="18">IF(FTRGroup="all countries",CJ71,IF(FTRGroup="program countries",CJ84,CT84))</f>
        <v>-6.994370823262507</v>
      </c>
      <c r="CK22" s="1097">
        <f t="shared" si="18"/>
        <v>-1.7280129588062083</v>
      </c>
      <c r="CL22" s="1097">
        <f t="shared" si="18"/>
        <v>-0.96818451529158533</v>
      </c>
      <c r="CM22" s="1097">
        <f t="shared" si="18"/>
        <v>-2.3459669734676085</v>
      </c>
      <c r="CN22" s="1097">
        <f t="shared" si="18"/>
        <v>-1.9718412401317611</v>
      </c>
      <c r="CO22" s="1097">
        <f t="shared" si="18"/>
        <v>-2.1016835069202848</v>
      </c>
      <c r="CP22" s="1097">
        <f t="shared" si="18"/>
        <v>-1.9849166934853253</v>
      </c>
      <c r="CQ22" s="1097">
        <f t="shared" si="18"/>
        <v>-1.7479004473903399</v>
      </c>
      <c r="CR22" s="1097">
        <f t="shared" si="18"/>
        <v>-0.72624223540087807</v>
      </c>
      <c r="CS22" s="278"/>
      <c r="CU22" s="526"/>
      <c r="CV22" s="526"/>
      <c r="CW22" s="526"/>
      <c r="CX22" s="526"/>
      <c r="CY22" s="526"/>
      <c r="CZ22" s="526"/>
      <c r="DA22" s="526"/>
      <c r="DB22" s="526"/>
      <c r="DE22" s="4"/>
      <c r="DF22" s="5" t="s">
        <v>853</v>
      </c>
      <c r="DG22" s="282"/>
      <c r="DH22" s="1452">
        <f>1-PERCENTRANK(DH66:DH508,DH19,2)</f>
        <v>0.67999999999999994</v>
      </c>
      <c r="DI22" s="1172"/>
      <c r="DJ22" s="669"/>
      <c r="DN22" s="1172"/>
      <c r="DP22" s="1046">
        <v>1</v>
      </c>
      <c r="DQ22" s="1047" t="e">
        <v>#N/A</v>
      </c>
      <c r="DR22" s="1047" t="e">
        <v>#N/A</v>
      </c>
      <c r="DS22" s="1047" t="e">
        <v>#N/A</v>
      </c>
      <c r="DT22" s="1047" t="e">
        <v>#N/A</v>
      </c>
      <c r="DU22" s="1047" t="e">
        <v>#N/A</v>
      </c>
      <c r="DV22" s="943"/>
      <c r="DW22" s="943"/>
      <c r="DX22" s="943"/>
      <c r="DY22" s="943"/>
      <c r="DZ22" s="943"/>
      <c r="EA22" s="943"/>
      <c r="EB22" s="943"/>
      <c r="EC22" s="943"/>
      <c r="ED22" s="943"/>
      <c r="EE22" s="943"/>
      <c r="EG22" s="261"/>
    </row>
    <row r="23" spans="1:181" ht="20.100000000000001" customHeight="1" thickBot="1">
      <c r="B23" s="150" t="s">
        <v>334</v>
      </c>
      <c r="C23" s="1148" t="s">
        <v>752</v>
      </c>
      <c r="D23" s="484" t="s">
        <v>966</v>
      </c>
      <c r="E23" s="952"/>
      <c r="I23" s="949" t="s">
        <v>179</v>
      </c>
      <c r="J23" s="948">
        <v>313</v>
      </c>
      <c r="K23" s="948">
        <v>0</v>
      </c>
      <c r="L23" s="948"/>
      <c r="M23" s="1029" t="s">
        <v>565</v>
      </c>
      <c r="P23" s="25" t="str">
        <f t="shared" ref="P23:P32" si="19">CONCATENATE(R$22,R23)</f>
        <v>Primary Balance ShockNominal Debt (in percent of GDP)</v>
      </c>
      <c r="R23" s="99" t="s">
        <v>421</v>
      </c>
      <c r="S23" s="107"/>
      <c r="T23" s="107"/>
      <c r="U23" s="591">
        <f>(primary!B37)*100</f>
        <v>37.094606570883371</v>
      </c>
      <c r="V23" s="591">
        <f ca="1">(primary!C37)*100</f>
        <v>38.214400364463955</v>
      </c>
      <c r="W23" s="591">
        <f ca="1">(primary!D37)*100</f>
        <v>38.918983896573437</v>
      </c>
      <c r="X23" s="591">
        <f ca="1">(primary!E37)*100</f>
        <v>37.610365701816015</v>
      </c>
      <c r="Y23" s="591">
        <f ca="1">(primary!F37)*100</f>
        <v>36.469134459946503</v>
      </c>
      <c r="Z23" s="592">
        <f ca="1">(primary!G37)*100</f>
        <v>35.393780598028229</v>
      </c>
      <c r="AA23" s="474"/>
      <c r="AB23" s="100"/>
      <c r="AP23" s="289"/>
      <c r="AQ23" s="107" t="s">
        <v>418</v>
      </c>
      <c r="AR23" s="107"/>
      <c r="AS23" s="107"/>
      <c r="AT23" s="591">
        <f t="shared" si="15"/>
        <v>4.7697166816344838</v>
      </c>
      <c r="AU23" s="591">
        <f t="shared" si="15"/>
        <v>0.24863029297652051</v>
      </c>
      <c r="AV23" s="591">
        <f t="shared" si="15"/>
        <v>0.24863029297652051</v>
      </c>
      <c r="AW23" s="591">
        <f t="shared" si="15"/>
        <v>0.24863029297652051</v>
      </c>
      <c r="AX23" s="591">
        <f t="shared" si="15"/>
        <v>0.24863029297652051</v>
      </c>
      <c r="AY23" s="591">
        <f t="shared" si="15"/>
        <v>0.24863029297652051</v>
      </c>
      <c r="AZ23" s="474"/>
      <c r="BA23" s="284"/>
      <c r="BC23" s="284"/>
      <c r="BD23" s="284"/>
      <c r="BE23" s="284"/>
      <c r="BF23" s="284"/>
      <c r="BG23" s="284"/>
      <c r="BH23" s="284"/>
      <c r="BI23" s="284"/>
      <c r="BJ23" s="284"/>
      <c r="BN23" s="255"/>
      <c r="BP23" s="261"/>
      <c r="BQ23" s="261"/>
      <c r="BW23" s="426"/>
      <c r="BX23" s="995"/>
      <c r="BY23" s="995"/>
      <c r="BZ23" s="987"/>
      <c r="CA23" s="1591" t="s">
        <v>314</v>
      </c>
      <c r="CB23" s="1592">
        <f>Benchmarks!D19</f>
        <v>1.5</v>
      </c>
      <c r="CC23" s="1592">
        <f>Benchmarks!E19</f>
        <v>1.5</v>
      </c>
      <c r="CH23" s="284" t="s">
        <v>715</v>
      </c>
      <c r="CJ23" s="1097">
        <f t="shared" si="18"/>
        <v>5.16123973057773</v>
      </c>
      <c r="CK23" s="1097">
        <f t="shared" si="18"/>
        <v>3.0888059173646627</v>
      </c>
      <c r="CL23" s="1097">
        <f t="shared" si="18"/>
        <v>3.5950109551691378</v>
      </c>
      <c r="CM23" s="1097">
        <f t="shared" si="18"/>
        <v>3.1392933219118326</v>
      </c>
      <c r="CN23" s="1097">
        <f t="shared" si="18"/>
        <v>2.2363708518155674</v>
      </c>
      <c r="CO23" s="1097">
        <f t="shared" si="18"/>
        <v>3.0649715718688477</v>
      </c>
      <c r="CP23" s="1097">
        <f t="shared" si="18"/>
        <v>2.6730692643850897</v>
      </c>
      <c r="CQ23" s="1097">
        <f t="shared" si="18"/>
        <v>2.5567909912383593</v>
      </c>
      <c r="CR23" s="1097">
        <f t="shared" si="18"/>
        <v>2.2751747985457116</v>
      </c>
      <c r="CS23" s="278"/>
      <c r="CT23" s="1075" t="s">
        <v>735</v>
      </c>
      <c r="CU23" s="526"/>
      <c r="CV23" s="526"/>
      <c r="CW23" s="526"/>
      <c r="CX23" s="526"/>
      <c r="CY23" s="526"/>
      <c r="CZ23" s="526"/>
      <c r="DA23" s="526"/>
      <c r="DB23" s="526"/>
      <c r="DE23" s="4"/>
      <c r="DF23" s="5"/>
      <c r="DI23" s="1172"/>
      <c r="DJ23" s="669"/>
      <c r="DN23" s="1172"/>
      <c r="DP23" s="1048">
        <v>2</v>
      </c>
      <c r="DQ23" s="989">
        <f>DR14</f>
        <v>0.24863029297652051</v>
      </c>
      <c r="DR23" s="1049" t="e">
        <v>#N/A</v>
      </c>
      <c r="DS23" s="1049" t="e">
        <v>#N/A</v>
      </c>
      <c r="DT23" s="989">
        <f>DR14</f>
        <v>0.24863029297652051</v>
      </c>
      <c r="DU23" s="1049" t="e">
        <v>#N/A</v>
      </c>
      <c r="DV23" s="943"/>
      <c r="DW23" s="943"/>
      <c r="DX23" s="943"/>
      <c r="DY23" s="943"/>
      <c r="DZ23" s="943"/>
      <c r="EA23" s="943"/>
      <c r="EB23" s="943"/>
      <c r="EC23" s="943"/>
      <c r="ED23" s="943"/>
      <c r="EE23" s="943"/>
      <c r="EG23" s="261"/>
    </row>
    <row r="24" spans="1:181" ht="20.100000000000001" customHeight="1" thickBot="1">
      <c r="B24" s="150"/>
      <c r="C24" s="150"/>
      <c r="D24" s="150"/>
      <c r="E24" s="952"/>
      <c r="F24" s="954"/>
      <c r="I24" s="949" t="s">
        <v>180</v>
      </c>
      <c r="J24" s="948">
        <v>419</v>
      </c>
      <c r="K24" s="948">
        <v>0</v>
      </c>
      <c r="L24" s="948"/>
      <c r="M24" s="1029" t="s">
        <v>566</v>
      </c>
      <c r="P24" s="25" t="str">
        <f t="shared" si="19"/>
        <v>Primary Balance ShockDebt Service (in percent of GDP)</v>
      </c>
      <c r="R24" s="99" t="s">
        <v>422</v>
      </c>
      <c r="S24" s="107"/>
      <c r="T24" s="107"/>
      <c r="U24" s="591">
        <f>(primary!B38)*100</f>
        <v>3.7107105982600994</v>
      </c>
      <c r="V24" s="591">
        <f ca="1">(primary!C38)*100</f>
        <v>7.1027380579709201</v>
      </c>
      <c r="W24" s="591">
        <f ca="1">(primary!D38)*100</f>
        <v>12.824036019020324</v>
      </c>
      <c r="X24" s="591">
        <f ca="1">(primary!E38)*100</f>
        <v>18.230882511907389</v>
      </c>
      <c r="Y24" s="591">
        <f ca="1">(primary!F38)*100</f>
        <v>18.788063478595308</v>
      </c>
      <c r="Z24" s="592">
        <f ca="1">(primary!G38)*100</f>
        <v>18.525471587823333</v>
      </c>
      <c r="AA24" s="474"/>
      <c r="AB24" s="100"/>
      <c r="AP24" s="289"/>
      <c r="AQ24" s="107" t="s">
        <v>427</v>
      </c>
      <c r="AR24" s="107"/>
      <c r="AS24" s="107"/>
      <c r="AT24" s="591">
        <f t="shared" si="15"/>
        <v>4.2122999157540031</v>
      </c>
      <c r="AU24" s="591">
        <f t="shared" si="15"/>
        <v>3.085754504401117</v>
      </c>
      <c r="AV24" s="591">
        <f t="shared" si="15"/>
        <v>2.7938359016816516</v>
      </c>
      <c r="AW24" s="591">
        <f t="shared" si="15"/>
        <v>2.5315565708619037</v>
      </c>
      <c r="AX24" s="591">
        <f t="shared" si="15"/>
        <v>2.4647711698661201</v>
      </c>
      <c r="AY24" s="591">
        <f t="shared" si="15"/>
        <v>2.5000000000000133</v>
      </c>
      <c r="AZ24" s="474"/>
      <c r="BA24" s="455"/>
      <c r="BC24" s="455"/>
      <c r="BD24" s="341" t="s">
        <v>128</v>
      </c>
      <c r="BE24" s="342">
        <f>FirstYear</f>
        <v>2018</v>
      </c>
      <c r="BF24" s="342">
        <f>BE24+1</f>
        <v>2019</v>
      </c>
      <c r="BG24" s="342">
        <f>BF24+1</f>
        <v>2020</v>
      </c>
      <c r="BH24" s="342">
        <f>BG24+1</f>
        <v>2021</v>
      </c>
      <c r="BI24" s="342">
        <f>BH24+1</f>
        <v>2022</v>
      </c>
      <c r="BJ24" s="342">
        <f>BI24+1</f>
        <v>2023</v>
      </c>
      <c r="BL24" s="284"/>
      <c r="BM24" s="284"/>
      <c r="BN24" s="904" t="str">
        <f>Country</f>
        <v>Latvia</v>
      </c>
      <c r="BO24" s="284"/>
      <c r="BP24" s="1003">
        <f>IF(AEStatus=1,BS9,BO9)</f>
        <v>0.5</v>
      </c>
      <c r="BQ24" s="1004">
        <f>IF(AEStatus=1,BT9,BP9)</f>
        <v>1</v>
      </c>
      <c r="BR24" s="281"/>
      <c r="BS24" s="284"/>
      <c r="BT24" s="284"/>
      <c r="BU24" s="284"/>
      <c r="BV24" s="281"/>
      <c r="BW24" s="256"/>
      <c r="BX24" s="1" t="s">
        <v>294</v>
      </c>
      <c r="BY24" s="1" t="s">
        <v>293</v>
      </c>
      <c r="BZ24" s="987"/>
      <c r="CH24" s="17" t="s">
        <v>707</v>
      </c>
      <c r="CJ24" s="1097">
        <f t="shared" ref="CJ24:CR24" si="20">IF(FTRGroup="all countries",CJ65,IF(FTRGroup="program countries",CJ78,CT78))</f>
        <v>-3.9915555561524556</v>
      </c>
      <c r="CK24" s="1097">
        <f t="shared" si="20"/>
        <v>-0.52047170283180255</v>
      </c>
      <c r="CL24" s="1097">
        <f t="shared" si="20"/>
        <v>0.63338438903378913</v>
      </c>
      <c r="CM24" s="1097">
        <f t="shared" si="20"/>
        <v>-0.5601879050873968</v>
      </c>
      <c r="CN24" s="1097">
        <f t="shared" si="20"/>
        <v>-0.80729184857280023</v>
      </c>
      <c r="CO24" s="1097">
        <f t="shared" si="20"/>
        <v>-0.62099369406836558</v>
      </c>
      <c r="CP24" s="1097">
        <f t="shared" si="20"/>
        <v>-0.42848529584463435</v>
      </c>
      <c r="CQ24" s="1097">
        <f t="shared" si="20"/>
        <v>-0.21502080786420708</v>
      </c>
      <c r="CR24" s="1097">
        <f t="shared" si="20"/>
        <v>0.23648053573396927</v>
      </c>
      <c r="CT24" s="1075" t="s">
        <v>738</v>
      </c>
      <c r="DE24" s="4"/>
      <c r="DF24" s="5"/>
      <c r="DG24" s="1074" t="str">
        <f>Country</f>
        <v>Latvia</v>
      </c>
      <c r="DH24" s="878"/>
      <c r="DI24" s="1172"/>
      <c r="DJ24" s="5"/>
      <c r="DL24" s="1074" t="str">
        <f>Country</f>
        <v>Latvia</v>
      </c>
      <c r="DN24" s="672"/>
      <c r="DP24" s="1048">
        <v>3</v>
      </c>
      <c r="DQ24" s="994" t="e">
        <v>#N/A</v>
      </c>
      <c r="DR24" s="994" t="e">
        <v>#N/A</v>
      </c>
      <c r="DS24" s="994" t="e">
        <v>#N/A</v>
      </c>
      <c r="DT24" s="994" t="e">
        <v>#N/A</v>
      </c>
      <c r="DU24" s="994" t="e">
        <v>#N/A</v>
      </c>
      <c r="DV24" s="996"/>
      <c r="DW24" s="996"/>
      <c r="DX24" s="996"/>
      <c r="DY24" s="996"/>
      <c r="DZ24" s="996"/>
      <c r="EA24" s="996"/>
      <c r="EB24" s="996"/>
      <c r="EC24" s="996"/>
      <c r="ED24" s="996"/>
      <c r="EE24" s="996"/>
      <c r="EG24" s="261"/>
    </row>
    <row r="25" spans="1:181" ht="20.100000000000001" customHeight="1">
      <c r="B25" s="150" t="s">
        <v>675</v>
      </c>
      <c r="C25" s="1148" t="s">
        <v>755</v>
      </c>
      <c r="D25" s="484" t="s">
        <v>966</v>
      </c>
      <c r="E25" s="952"/>
      <c r="I25" s="949" t="s">
        <v>181</v>
      </c>
      <c r="J25" s="948">
        <v>316</v>
      </c>
      <c r="K25" s="948">
        <v>0</v>
      </c>
      <c r="L25" s="948"/>
      <c r="M25" s="1029" t="s">
        <v>567</v>
      </c>
      <c r="P25" s="25" t="str">
        <f t="shared" si="19"/>
        <v>Primary Balance ShockGross Financing Need (in percent of GDP)</v>
      </c>
      <c r="R25" s="99" t="s">
        <v>423</v>
      </c>
      <c r="S25" s="107"/>
      <c r="T25" s="107"/>
      <c r="U25" s="591">
        <f>(primary!B39)*100</f>
        <v>3.5994671534530136</v>
      </c>
      <c r="V25" s="591">
        <f ca="1">(primary!C39)*100</f>
        <v>8.7524527237149243</v>
      </c>
      <c r="W25" s="591">
        <f ca="1">(primary!D39)*100</f>
        <v>14.473750684764328</v>
      </c>
      <c r="X25" s="591">
        <f ca="1">(primary!E39)*100</f>
        <v>18.230882511907389</v>
      </c>
      <c r="Y25" s="591">
        <f ca="1">(primary!F39)*100</f>
        <v>18.788063478595308</v>
      </c>
      <c r="Z25" s="592">
        <f ca="1">(primary!G39)*100</f>
        <v>18.525471587823333</v>
      </c>
      <c r="AA25" s="474"/>
      <c r="AB25" s="100"/>
      <c r="AP25" s="289"/>
      <c r="AQ25" s="107" t="s">
        <v>544</v>
      </c>
      <c r="AR25" s="107"/>
      <c r="AS25" s="107"/>
      <c r="AT25" s="591">
        <f t="shared" si="15"/>
        <v>-5.2301873674015509E-2</v>
      </c>
      <c r="AU25" s="591">
        <f t="shared" si="15"/>
        <v>-3.5403360745349088</v>
      </c>
      <c r="AV25" s="591">
        <f t="shared" si="15"/>
        <v>-3.5403360745349088</v>
      </c>
      <c r="AW25" s="591">
        <f t="shared" si="15"/>
        <v>-3.5403360745349088</v>
      </c>
      <c r="AX25" s="591">
        <f t="shared" si="15"/>
        <v>-3.5403360745349088</v>
      </c>
      <c r="AY25" s="591">
        <f t="shared" si="15"/>
        <v>-3.5403360745349088</v>
      </c>
      <c r="AZ25" s="474"/>
      <c r="BB25" s="1582">
        <f>IF(Exceptional="Yes",1,IF(SUM(BB16,BB13,BB10,BB7)&gt;=2,1,0))</f>
        <v>0</v>
      </c>
      <c r="BC25" s="492"/>
      <c r="BD25" s="197"/>
      <c r="BE25" s="197"/>
      <c r="BF25" s="197"/>
      <c r="BG25" s="197"/>
      <c r="BH25" s="197"/>
      <c r="BI25" s="197"/>
      <c r="BJ25" s="197"/>
      <c r="BL25" s="281"/>
      <c r="BM25" s="281"/>
      <c r="BN25" s="1008" t="e">
        <v>#N/A</v>
      </c>
      <c r="BO25" s="284"/>
      <c r="BP25" s="988">
        <f>BP26</f>
        <v>25</v>
      </c>
      <c r="BQ25" s="988">
        <f>BQ26</f>
        <v>75</v>
      </c>
      <c r="BR25" s="7"/>
      <c r="BS25" s="990"/>
      <c r="BT25" s="990" t="e">
        <v>#N/A</v>
      </c>
      <c r="BU25" s="990" t="e">
        <v>#N/A</v>
      </c>
      <c r="BV25" s="1018"/>
      <c r="BW25" s="281">
        <v>1</v>
      </c>
      <c r="BX25" s="521">
        <f>$BX$15</f>
        <v>313</v>
      </c>
      <c r="BY25" s="521">
        <f>$BY$15</f>
        <v>0</v>
      </c>
      <c r="BZ25" s="987"/>
      <c r="CH25" s="63" t="s">
        <v>730</v>
      </c>
      <c r="DE25" s="4"/>
      <c r="DF25" s="5"/>
      <c r="DG25" s="1443" t="s">
        <v>687</v>
      </c>
      <c r="DH25" s="1450">
        <f>IF(DH20&lt;DF33,DH32,IF(DH20&gt;DF58,DH59,VLOOKUP(DH20,DF33:DH58,3,FALSE)))</f>
        <v>12</v>
      </c>
      <c r="DI25" s="1172"/>
      <c r="DJ25" s="5"/>
      <c r="DL25" s="1443" t="s">
        <v>687</v>
      </c>
      <c r="DM25" s="1450">
        <f>IF(DM20&lt;DK33,DM32,IF(DM20&gt;DK58,DM59,VLOOKUP(DM20,DK33:DM58,3,FALSE)))</f>
        <v>13</v>
      </c>
      <c r="DN25" s="1172"/>
      <c r="DP25" s="1048">
        <v>4</v>
      </c>
      <c r="DQ25" s="994" t="e">
        <v>#N/A</v>
      </c>
      <c r="DR25" s="994" t="e">
        <v>#N/A</v>
      </c>
      <c r="DS25" s="994" t="e">
        <v>#N/A</v>
      </c>
      <c r="DT25" s="994" t="e">
        <v>#N/A</v>
      </c>
      <c r="DU25" s="994" t="e">
        <v>#N/A</v>
      </c>
      <c r="DV25" s="996"/>
      <c r="DW25" s="996"/>
      <c r="DX25" s="996"/>
      <c r="DY25" s="996"/>
      <c r="DZ25" s="996"/>
      <c r="EA25" s="996"/>
      <c r="EB25" s="996"/>
      <c r="EC25" s="996"/>
      <c r="ED25" s="996"/>
      <c r="EE25" s="996"/>
      <c r="EG25" s="261"/>
    </row>
    <row r="26" spans="1:181" ht="20.100000000000001" customHeight="1" thickBot="1">
      <c r="I26" s="949" t="s">
        <v>182</v>
      </c>
      <c r="J26" s="948">
        <v>913</v>
      </c>
      <c r="K26" s="948">
        <v>0</v>
      </c>
      <c r="L26" s="948"/>
      <c r="M26" s="1029" t="s">
        <v>568</v>
      </c>
      <c r="P26" s="25" t="str">
        <f t="shared" si="19"/>
        <v>Primary Balance ShockNominal Debt (in percent of Revenue)</v>
      </c>
      <c r="R26" s="99" t="s">
        <v>424</v>
      </c>
      <c r="S26" s="107"/>
      <c r="T26" s="107"/>
      <c r="U26" s="591">
        <f>(primary!B40)*100</f>
        <v>100.40391596609757</v>
      </c>
      <c r="V26" s="591" t="e">
        <f ca="1">(primary!C40)*100</f>
        <v>#DIV/0!</v>
      </c>
      <c r="W26" s="591" t="e">
        <f ca="1">(primary!D40)*100</f>
        <v>#DIV/0!</v>
      </c>
      <c r="X26" s="591" t="e">
        <f ca="1">(primary!E40)*100</f>
        <v>#DIV/0!</v>
      </c>
      <c r="Y26" s="591" t="e">
        <f ca="1">(primary!F40)*100</f>
        <v>#DIV/0!</v>
      </c>
      <c r="Z26" s="592" t="e">
        <f ca="1">(primary!G40)*100</f>
        <v>#DIV/0!</v>
      </c>
      <c r="AA26" s="475"/>
      <c r="AB26" s="429"/>
      <c r="AP26" s="289"/>
      <c r="AQ26" s="266" t="s">
        <v>428</v>
      </c>
      <c r="AR26" s="266"/>
      <c r="AS26" s="266"/>
      <c r="AT26" s="600">
        <f t="shared" si="15"/>
        <v>1.9586439007071743</v>
      </c>
      <c r="AU26" s="600">
        <f t="shared" ca="1" si="15"/>
        <v>2.4781166566290191</v>
      </c>
      <c r="AV26" s="600">
        <f t="shared" ca="1" si="15"/>
        <v>3.8229485917452037</v>
      </c>
      <c r="AW26" s="600">
        <f t="shared" ca="1" si="15"/>
        <v>3.0643363287428316</v>
      </c>
      <c r="AX26" s="600">
        <f t="shared" ca="1" si="15"/>
        <v>4.0723132015401582</v>
      </c>
      <c r="AY26" s="600">
        <f t="shared" ca="1" si="15"/>
        <v>4.40032170441674</v>
      </c>
      <c r="AZ26" s="475"/>
      <c r="BB26" s="261"/>
      <c r="BC26" s="261"/>
      <c r="BL26" s="999" t="str">
        <f>"Annual Change in Short-Term Public Debt"</f>
        <v>Annual Change in Short-Term Public Debt</v>
      </c>
      <c r="BM26" s="643" t="str">
        <f>"(in percent of total)"</f>
        <v>(in percent of total)</v>
      </c>
      <c r="BN26" s="905">
        <f>IFERROR(IF(AEStatus=1,IF(ISNUMBER(BV9),100*BV9/BR9,#N/A),IF(ISNUMBER(BV9),100*BV9/BN9,#N/A)),0)</f>
        <v>298.10076325794171</v>
      </c>
      <c r="BO26" s="256"/>
      <c r="BP26" s="988">
        <f>IF(AEStatus=1,$BS$6,$BO$6)</f>
        <v>25</v>
      </c>
      <c r="BQ26" s="988">
        <f>$BP$6</f>
        <v>75</v>
      </c>
      <c r="BR26" s="62"/>
      <c r="BS26" s="907" t="str">
        <f>IFERROR(ROUND(BV9,1)&amp;"%","no data")</f>
        <v>4,5%</v>
      </c>
      <c r="BT26" s="988">
        <v>2</v>
      </c>
      <c r="BU26" s="989">
        <f>BN26</f>
        <v>298.10076325794171</v>
      </c>
      <c r="BV26" s="1020"/>
      <c r="BW26" s="424">
        <v>2</v>
      </c>
      <c r="BX26" s="521">
        <f>$BX$15</f>
        <v>313</v>
      </c>
      <c r="BY26" s="521">
        <f>$BY$15</f>
        <v>0</v>
      </c>
      <c r="BZ26" s="987"/>
      <c r="CH26" s="284" t="s">
        <v>714</v>
      </c>
      <c r="CJ26" s="1097">
        <f t="shared" ref="CJ26:CR27" si="21">IF(FTRGroup="all countries",CJ100,IF(FTRGroup="program countries",CJ113,CT113))</f>
        <v>-5.5456814405908634</v>
      </c>
      <c r="CK26" s="1097">
        <f t="shared" si="21"/>
        <v>-1.1746142148195684</v>
      </c>
      <c r="CL26" s="1097">
        <f t="shared" si="21"/>
        <v>-0.23264705249281104</v>
      </c>
      <c r="CM26" s="1097">
        <f t="shared" si="21"/>
        <v>-1.5103343700589646</v>
      </c>
      <c r="CN26" s="1097">
        <f t="shared" si="21"/>
        <v>-2.0736851956630931</v>
      </c>
      <c r="CO26" s="1097">
        <f t="shared" si="21"/>
        <v>-1.7872998415269963</v>
      </c>
      <c r="CP26" s="1097">
        <f t="shared" si="21"/>
        <v>-3.5451861096956465</v>
      </c>
      <c r="CQ26" s="1097">
        <f t="shared" si="21"/>
        <v>-2.3155797594574645</v>
      </c>
      <c r="CR26" s="1097">
        <f t="shared" si="21"/>
        <v>-0.60805718393636843</v>
      </c>
      <c r="CS26" s="278"/>
      <c r="CT26" s="1123" t="str">
        <f>Country&amp;" median forecast error, "&amp;CJ16&amp;"-"&amp;CR16&amp;":"</f>
        <v>Latvia median forecast error, 2009-2017:</v>
      </c>
      <c r="CU26" s="526"/>
      <c r="CV26" s="526"/>
      <c r="CW26" s="526"/>
      <c r="CX26" s="526"/>
      <c r="CY26" s="526"/>
      <c r="CZ26" s="526"/>
      <c r="DA26" s="526"/>
      <c r="DB26" s="526"/>
      <c r="DE26" s="4"/>
      <c r="DF26" s="5"/>
      <c r="DG26" s="1443" t="s">
        <v>845</v>
      </c>
      <c r="DH26" s="989">
        <f>VLOOKUP(DH25,DH32:DI59,2,FALSE)</f>
        <v>3.8374717832957108</v>
      </c>
      <c r="DI26" s="1172"/>
      <c r="DJ26" s="5"/>
      <c r="DL26" s="1443" t="s">
        <v>845</v>
      </c>
      <c r="DM26" s="989">
        <f>VLOOKUP(DM25,DM32:DN59,2,FALSE)</f>
        <v>6.1643835616438354</v>
      </c>
      <c r="DN26" s="1172"/>
      <c r="DP26" s="1048">
        <v>5</v>
      </c>
      <c r="DQ26" s="994" t="e">
        <v>#N/A</v>
      </c>
      <c r="DR26" s="1050">
        <f>IF(AND(DR19&gt;0,DS19&gt;0,DT19&gt;0),DR19,IF(AND(DR19&lt;0,DS19&lt;0,DT19&lt;0),DT19,IF(AND(DR19&lt;0,DS19&lt;0),DS19,DR19)))</f>
        <v>-1.2080869317663641</v>
      </c>
      <c r="DS26" s="1050">
        <f>IF(AND(DR19&gt;0,DS19&gt;0,DT19&gt;0),DS19-DR19,IF(AND(DR19&lt;0,DS19&gt;0),DS19,IF(AND(DR19&lt;0,DS19&lt;0),DS19-DT19,DS19)))</f>
        <v>-1.1196945263460087</v>
      </c>
      <c r="DT26" s="1050">
        <f>IF(AND(DS19&gt;0,DT19&gt;0),DT19-DS19,DR19-DS19)</f>
        <v>-1.7770539585104084</v>
      </c>
      <c r="DU26" s="1050">
        <f>DR15</f>
        <v>3.2588730562720789</v>
      </c>
      <c r="DV26" s="1223"/>
      <c r="DW26" s="1223"/>
      <c r="DX26" s="1223"/>
      <c r="DY26" s="1223"/>
      <c r="DZ26" s="1223"/>
      <c r="EA26" s="1223"/>
      <c r="EB26" s="1223"/>
      <c r="EC26" s="1223"/>
      <c r="ED26" s="1223"/>
      <c r="EE26" s="1223"/>
      <c r="EG26" s="261"/>
    </row>
    <row r="27" spans="1:181" s="284" customFormat="1" ht="20.100000000000001" customHeight="1" thickBot="1">
      <c r="A27" s="98"/>
      <c r="B27" s="150" t="s">
        <v>833</v>
      </c>
      <c r="C27" s="1148" t="s">
        <v>834</v>
      </c>
      <c r="D27" s="484" t="s">
        <v>966</v>
      </c>
      <c r="E27" s="952"/>
      <c r="F27" s="954"/>
      <c r="G27" s="464"/>
      <c r="H27" s="98"/>
      <c r="I27" s="949" t="s">
        <v>183</v>
      </c>
      <c r="J27" s="948">
        <v>124</v>
      </c>
      <c r="K27" s="948">
        <v>1</v>
      </c>
      <c r="L27" s="948"/>
      <c r="M27" s="1029" t="s">
        <v>569</v>
      </c>
      <c r="N27" s="464"/>
      <c r="O27" s="98"/>
      <c r="P27" s="25" t="str">
        <f t="shared" si="19"/>
        <v>Primary Balance ShockDebt Service (in percent of Revenue)</v>
      </c>
      <c r="Q27" s="25"/>
      <c r="R27" s="99" t="s">
        <v>425</v>
      </c>
      <c r="S27" s="107"/>
      <c r="T27" s="107"/>
      <c r="U27" s="591">
        <f>(primary!B41)*100</f>
        <v>10.043774810504543</v>
      </c>
      <c r="V27" s="591" t="e">
        <f ca="1">(primary!C41)*100</f>
        <v>#DIV/0!</v>
      </c>
      <c r="W27" s="591" t="e">
        <f ca="1">(primary!D41)*100</f>
        <v>#DIV/0!</v>
      </c>
      <c r="X27" s="591" t="e">
        <f ca="1">(primary!E41)*100</f>
        <v>#DIV/0!</v>
      </c>
      <c r="Y27" s="591" t="e">
        <f ca="1">(primary!F41)*100</f>
        <v>#DIV/0!</v>
      </c>
      <c r="Z27" s="592" t="e">
        <f ca="1">(primary!G41)*100</f>
        <v>#DIV/0!</v>
      </c>
      <c r="AA27" s="474"/>
      <c r="AB27" s="100"/>
      <c r="AC27" s="25"/>
      <c r="AD27" s="25"/>
      <c r="AE27" s="25"/>
      <c r="AF27" s="25"/>
      <c r="AG27" s="25"/>
      <c r="AH27" s="25"/>
      <c r="AI27" s="25"/>
      <c r="AJ27" s="25"/>
      <c r="AK27" s="25"/>
      <c r="AL27" s="25"/>
      <c r="AM27" s="25"/>
      <c r="AN27" s="25"/>
      <c r="AO27" s="464"/>
      <c r="AP27" s="25"/>
      <c r="AQ27" s="25"/>
      <c r="AR27" s="25"/>
      <c r="AS27" s="25"/>
      <c r="AT27" s="25"/>
      <c r="AU27" s="25"/>
      <c r="AV27" s="25"/>
      <c r="AW27" s="25"/>
      <c r="AX27" s="25"/>
      <c r="AY27" s="25"/>
      <c r="AZ27" s="474"/>
      <c r="BB27" s="455"/>
      <c r="BC27" s="455"/>
      <c r="BD27" s="351" t="s">
        <v>123</v>
      </c>
      <c r="BE27" s="353">
        <f>FirstYear</f>
        <v>2018</v>
      </c>
      <c r="BF27" s="353">
        <f>BE27+1</f>
        <v>2019</v>
      </c>
      <c r="BG27" s="353">
        <f>BF27+1</f>
        <v>2020</v>
      </c>
      <c r="BH27" s="353">
        <f>BG27+1</f>
        <v>2021</v>
      </c>
      <c r="BI27" s="353">
        <f>BH27+1</f>
        <v>2022</v>
      </c>
      <c r="BJ27" s="352">
        <f>BI27+1</f>
        <v>2023</v>
      </c>
      <c r="BK27" s="1274"/>
      <c r="BL27" s="255"/>
      <c r="BM27" s="247"/>
      <c r="BN27" s="1009" t="e">
        <v>#N/A</v>
      </c>
      <c r="BP27" s="988">
        <f>BP26</f>
        <v>25</v>
      </c>
      <c r="BQ27" s="988">
        <f>BQ26</f>
        <v>75</v>
      </c>
      <c r="BR27" s="7"/>
      <c r="BS27" s="990"/>
      <c r="BT27" s="990" t="e">
        <v>#N/A</v>
      </c>
      <c r="BU27" s="990" t="e">
        <v>#N/A</v>
      </c>
      <c r="BV27" s="1018"/>
      <c r="BW27" s="424">
        <v>3</v>
      </c>
      <c r="BX27" s="521">
        <f>$BX$15</f>
        <v>313</v>
      </c>
      <c r="BY27" s="521">
        <f>$BY$15</f>
        <v>0</v>
      </c>
      <c r="BZ27" s="987"/>
      <c r="CA27" s="255"/>
      <c r="CB27" s="247"/>
      <c r="CC27" s="247"/>
      <c r="CD27" s="247"/>
      <c r="CE27" s="247"/>
      <c r="CF27" s="247"/>
      <c r="CG27" s="254"/>
      <c r="CH27" s="284" t="s">
        <v>715</v>
      </c>
      <c r="CI27" s="281"/>
      <c r="CJ27" s="1097">
        <f t="shared" si="21"/>
        <v>5.6830028860535355</v>
      </c>
      <c r="CK27" s="1097">
        <f t="shared" si="21"/>
        <v>4.2194977054629428</v>
      </c>
      <c r="CL27" s="1097">
        <f t="shared" si="21"/>
        <v>5.5246823802197653</v>
      </c>
      <c r="CM27" s="1097">
        <f t="shared" si="21"/>
        <v>2.8568991963173014</v>
      </c>
      <c r="CN27" s="1097">
        <f t="shared" si="21"/>
        <v>2.6079444987206148</v>
      </c>
      <c r="CO27" s="1097">
        <f t="shared" si="21"/>
        <v>2.3910717748017385</v>
      </c>
      <c r="CP27" s="1097">
        <f t="shared" si="21"/>
        <v>3.8146976902990088</v>
      </c>
      <c r="CQ27" s="1097">
        <f t="shared" si="21"/>
        <v>2.977244148218523</v>
      </c>
      <c r="CR27" s="1097">
        <f t="shared" si="21"/>
        <v>2.2202716471132669</v>
      </c>
      <c r="CS27" s="278"/>
      <c r="CT27" s="1123" t="s">
        <v>737</v>
      </c>
      <c r="CU27" s="526"/>
      <c r="CV27" s="526"/>
      <c r="CW27" s="526"/>
      <c r="CX27" s="526"/>
      <c r="CY27" s="526"/>
      <c r="CZ27" s="526"/>
      <c r="DA27" s="526"/>
      <c r="DB27" s="526"/>
      <c r="DC27" s="993"/>
      <c r="DD27" s="281"/>
      <c r="DE27" s="4"/>
      <c r="DF27" s="669"/>
      <c r="DG27" s="282"/>
      <c r="DH27" s="282"/>
      <c r="DI27" s="1172"/>
      <c r="DJ27" s="5"/>
      <c r="DK27" s="282"/>
      <c r="DL27" s="282"/>
      <c r="DM27" s="282"/>
      <c r="DN27" s="672"/>
      <c r="DO27" s="993"/>
      <c r="DP27" s="1048">
        <v>6</v>
      </c>
      <c r="DQ27" s="643" t="e">
        <v>#N/A</v>
      </c>
      <c r="DR27" s="643" t="e">
        <v>#N/A</v>
      </c>
      <c r="DS27" s="643" t="e">
        <v>#N/A</v>
      </c>
      <c r="DT27" s="643" t="e">
        <v>#N/A</v>
      </c>
      <c r="DU27" s="643" t="e">
        <v>#N/A</v>
      </c>
      <c r="DV27" s="261"/>
      <c r="DW27" s="261"/>
      <c r="DX27" s="261"/>
      <c r="DY27" s="261"/>
      <c r="DZ27" s="261"/>
      <c r="EA27" s="261"/>
      <c r="EB27" s="261"/>
      <c r="EC27" s="261"/>
      <c r="ED27" s="261"/>
      <c r="EE27" s="261"/>
      <c r="EF27" s="993"/>
      <c r="EG27" s="26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row>
    <row r="28" spans="1:181" s="284" customFormat="1" ht="20.100000000000001" customHeight="1" thickBot="1">
      <c r="A28" s="25"/>
      <c r="B28" s="25"/>
      <c r="C28" s="25"/>
      <c r="D28" s="25"/>
      <c r="E28" s="25"/>
      <c r="G28" s="464"/>
      <c r="H28" s="98"/>
      <c r="I28" s="949" t="s">
        <v>184</v>
      </c>
      <c r="J28" s="948">
        <v>339</v>
      </c>
      <c r="K28" s="948">
        <v>0</v>
      </c>
      <c r="L28" s="948"/>
      <c r="M28" s="1029" t="s">
        <v>570</v>
      </c>
      <c r="N28" s="464"/>
      <c r="O28" s="98"/>
      <c r="P28" s="25" t="str">
        <f t="shared" si="19"/>
        <v>Primary Balance ShockGross Financing Need (in percent of Revenue)</v>
      </c>
      <c r="Q28" s="25"/>
      <c r="R28" s="101" t="s">
        <v>426</v>
      </c>
      <c r="S28" s="632"/>
      <c r="T28" s="632"/>
      <c r="U28" s="593">
        <f>(primary!B42)*100</f>
        <v>9.7426723453025819</v>
      </c>
      <c r="V28" s="594" t="e">
        <f ca="1">(primary!C42)*100</f>
        <v>#DIV/0!</v>
      </c>
      <c r="W28" s="594" t="e">
        <f ca="1">(primary!D42)*100</f>
        <v>#DIV/0!</v>
      </c>
      <c r="X28" s="594" t="e">
        <f ca="1">(primary!E42)*100</f>
        <v>#DIV/0!</v>
      </c>
      <c r="Y28" s="594" t="e">
        <f ca="1">(primary!F42)*100</f>
        <v>#DIV/0!</v>
      </c>
      <c r="Z28" s="595" t="e">
        <f ca="1">(primary!G42)*100</f>
        <v>#DIV/0!</v>
      </c>
      <c r="AA28" s="474"/>
      <c r="AB28" s="100"/>
      <c r="AC28" s="25"/>
      <c r="AD28" s="25"/>
      <c r="AE28" s="25"/>
      <c r="AF28" s="25"/>
      <c r="AG28" s="25"/>
      <c r="AH28" s="25"/>
      <c r="AI28" s="25"/>
      <c r="AJ28" s="25"/>
      <c r="AK28" s="25"/>
      <c r="AL28" s="25"/>
      <c r="AM28" s="25"/>
      <c r="AN28" s="25"/>
      <c r="AO28" s="464"/>
      <c r="AP28" s="289">
        <v>1</v>
      </c>
      <c r="AQ28" s="1478" t="s">
        <v>297</v>
      </c>
      <c r="AR28" s="1406"/>
      <c r="AS28" s="1406"/>
      <c r="AT28" s="25"/>
      <c r="AU28" s="25"/>
      <c r="AV28" s="25"/>
      <c r="AW28" s="25"/>
      <c r="AX28" s="25"/>
      <c r="AY28" s="25"/>
      <c r="AZ28" s="474"/>
      <c r="BA28" s="492">
        <f>CLTrigger</f>
        <v>0</v>
      </c>
      <c r="BB28" s="495"/>
      <c r="BC28" s="495"/>
      <c r="BD28" s="357"/>
      <c r="BE28" s="357"/>
      <c r="BF28" s="357"/>
      <c r="BG28" s="357"/>
      <c r="BH28" s="357"/>
      <c r="BI28" s="357"/>
      <c r="BJ28" s="357"/>
      <c r="BK28" s="1274"/>
      <c r="BL28" s="255"/>
      <c r="BM28" s="247"/>
      <c r="BN28" s="255"/>
      <c r="BO28" s="247"/>
      <c r="BP28" s="261"/>
      <c r="BQ28" s="261"/>
      <c r="BR28" s="261"/>
      <c r="BS28" s="247"/>
      <c r="BT28" s="247"/>
      <c r="BU28" s="247"/>
      <c r="BV28" s="261"/>
      <c r="BW28" s="261"/>
      <c r="BX28" s="996"/>
      <c r="BY28" s="521"/>
      <c r="BZ28" s="987"/>
      <c r="CA28" s="256"/>
      <c r="CB28" s="261"/>
      <c r="CC28" s="247"/>
      <c r="CD28" s="247"/>
      <c r="CE28" s="247"/>
      <c r="CF28" s="247"/>
      <c r="CG28" s="254"/>
      <c r="CH28" s="1088" t="s">
        <v>707</v>
      </c>
      <c r="CI28" s="666"/>
      <c r="CJ28" s="1122">
        <f t="shared" ref="CJ28:CR28" si="22">IF(FTRGroup="all countries",CJ94,IF(FTRGroup="program countries",CJ107,CT107))</f>
        <v>-1.9886174089723667</v>
      </c>
      <c r="CK28" s="1122">
        <f t="shared" si="22"/>
        <v>0.94167207305400824</v>
      </c>
      <c r="CL28" s="1122">
        <f t="shared" si="22"/>
        <v>2.1197389668269775</v>
      </c>
      <c r="CM28" s="1122">
        <f t="shared" si="22"/>
        <v>-0.19729395022803253</v>
      </c>
      <c r="CN28" s="1122">
        <f t="shared" si="22"/>
        <v>-0.69077026392202745</v>
      </c>
      <c r="CO28" s="1122">
        <f t="shared" si="22"/>
        <v>-0.69912382652823157</v>
      </c>
      <c r="CP28" s="1122">
        <f t="shared" si="22"/>
        <v>-1.1785565536906832</v>
      </c>
      <c r="CQ28" s="1122">
        <f t="shared" si="22"/>
        <v>-0.68528726811329432</v>
      </c>
      <c r="CR28" s="1122">
        <f t="shared" si="22"/>
        <v>0.12663083062366831</v>
      </c>
      <c r="CS28" s="666"/>
      <c r="CT28" s="666"/>
      <c r="CU28" s="666"/>
      <c r="CV28" s="666"/>
      <c r="CW28" s="666"/>
      <c r="CX28" s="666"/>
      <c r="CY28" s="666"/>
      <c r="CZ28" s="666"/>
      <c r="DA28" s="666"/>
      <c r="DB28" s="666"/>
      <c r="DC28" s="1023"/>
      <c r="DD28" s="281"/>
      <c r="DE28" s="1151"/>
      <c r="DF28" s="669"/>
      <c r="DG28" s="17"/>
      <c r="DH28" s="17"/>
      <c r="DI28" s="1172"/>
      <c r="DJ28" s="5"/>
      <c r="DK28" s="282"/>
      <c r="DL28" s="17"/>
      <c r="DM28" s="282"/>
      <c r="DN28" s="672"/>
      <c r="DO28" s="993"/>
      <c r="DP28" s="1051">
        <v>7</v>
      </c>
      <c r="DQ28" s="1052" t="e">
        <v>#N/A</v>
      </c>
      <c r="DR28" s="1052" t="e">
        <v>#N/A</v>
      </c>
      <c r="DS28" s="1052" t="e">
        <v>#N/A</v>
      </c>
      <c r="DT28" s="1052" t="e">
        <v>#N/A</v>
      </c>
      <c r="DU28" s="1052" t="e">
        <v>#N/A</v>
      </c>
      <c r="DV28" s="256"/>
      <c r="DW28" s="256"/>
      <c r="DX28" s="256"/>
      <c r="DY28" s="256"/>
      <c r="DZ28" s="256"/>
      <c r="EA28" s="256"/>
      <c r="EB28" s="256"/>
      <c r="EC28" s="256"/>
      <c r="ED28" s="256"/>
      <c r="EE28" s="256"/>
      <c r="EF28" s="993"/>
      <c r="EG28" s="261"/>
      <c r="EH28" s="281"/>
      <c r="EI28" s="281"/>
      <c r="EJ28" s="281"/>
      <c r="EK28" s="281"/>
      <c r="EL28" s="281"/>
      <c r="EM28" s="281"/>
      <c r="EN28" s="281"/>
      <c r="EO28" s="281"/>
      <c r="EP28" s="281"/>
      <c r="EQ28" s="281"/>
      <c r="ER28" s="281"/>
      <c r="ES28" s="281"/>
      <c r="ET28" s="281"/>
      <c r="EU28" s="281"/>
      <c r="EV28" s="281"/>
      <c r="EW28" s="281"/>
      <c r="EX28" s="281"/>
      <c r="EY28" s="281"/>
      <c r="EZ28" s="281"/>
      <c r="FA28" s="281"/>
      <c r="FB28" s="281"/>
      <c r="FC28" s="281"/>
      <c r="FD28" s="281"/>
      <c r="FE28" s="281"/>
      <c r="FF28" s="281"/>
      <c r="FG28" s="281"/>
      <c r="FH28" s="281"/>
      <c r="FI28" s="281"/>
      <c r="FJ28" s="281"/>
      <c r="FK28" s="281"/>
      <c r="FL28" s="281"/>
      <c r="FM28" s="281"/>
      <c r="FN28" s="281"/>
      <c r="FO28" s="281"/>
      <c r="FP28" s="281"/>
      <c r="FQ28" s="281"/>
      <c r="FR28" s="281"/>
      <c r="FS28" s="281"/>
      <c r="FT28" s="281"/>
      <c r="FU28" s="281"/>
      <c r="FV28" s="281"/>
      <c r="FW28" s="281"/>
      <c r="FX28" s="281"/>
      <c r="FY28" s="281"/>
    </row>
    <row r="29" spans="1:181" s="284" customFormat="1" ht="20.100000000000001" customHeight="1" thickBot="1">
      <c r="A29" s="461"/>
      <c r="B29" s="1711" t="s">
        <v>677</v>
      </c>
      <c r="C29" s="1712" t="s">
        <v>682</v>
      </c>
      <c r="D29" s="1711"/>
      <c r="E29" s="1713" t="e">
        <f>BoomBustTrigger</f>
        <v>#DIV/0!</v>
      </c>
      <c r="F29" s="950"/>
      <c r="G29" s="464"/>
      <c r="H29" s="98"/>
      <c r="I29" s="949" t="s">
        <v>1205</v>
      </c>
      <c r="J29" s="948">
        <v>218</v>
      </c>
      <c r="K29" s="948">
        <v>0</v>
      </c>
      <c r="M29" s="1029" t="s">
        <v>1206</v>
      </c>
      <c r="N29" s="464"/>
      <c r="O29" s="98"/>
      <c r="P29" s="25" t="str">
        <f t="shared" si="19"/>
        <v>Primary Balance ShockReal GDP growth (in percent)</v>
      </c>
      <c r="Q29" s="25"/>
      <c r="R29" s="431" t="s">
        <v>418</v>
      </c>
      <c r="S29" s="111"/>
      <c r="T29" s="111"/>
      <c r="U29" s="596">
        <f>(primary!B$26)*100</f>
        <v>4.7697166816344838</v>
      </c>
      <c r="V29" s="596">
        <f>(primary!C$26)*100</f>
        <v>3.1686434574876632</v>
      </c>
      <c r="W29" s="596">
        <f>(primary!D$26)*100</f>
        <v>2.9947102444823903</v>
      </c>
      <c r="X29" s="596">
        <f>(primary!E$26)*100</f>
        <v>2.8871442593204177</v>
      </c>
      <c r="Y29" s="596">
        <f>(primary!F$26)*100</f>
        <v>2.933023694707515</v>
      </c>
      <c r="Z29" s="597">
        <f>(primary!G$26)*100</f>
        <v>2.8000000000000025</v>
      </c>
      <c r="AA29" s="474"/>
      <c r="AB29" s="100"/>
      <c r="AC29" s="25"/>
      <c r="AD29" s="25"/>
      <c r="AE29" s="25"/>
      <c r="AF29" s="25"/>
      <c r="AG29" s="25"/>
      <c r="AH29" s="25"/>
      <c r="AI29" s="25"/>
      <c r="AJ29" s="25"/>
      <c r="AK29" s="25"/>
      <c r="AL29" s="25"/>
      <c r="AM29" s="25"/>
      <c r="AN29" s="25"/>
      <c r="AO29" s="464"/>
      <c r="AP29" s="289"/>
      <c r="AQ29" s="265" t="s">
        <v>421</v>
      </c>
      <c r="AR29" s="598" t="e">
        <v>#N/A</v>
      </c>
      <c r="AS29" s="598" t="e">
        <v>#N/A</v>
      </c>
      <c r="AT29" s="598">
        <f t="shared" ref="AT29:AY36" si="23">VLOOKUP(CONCATENATE($AQ$28,$AQ29),$P$7:$Z$158,U$2,FALSE)</f>
        <v>37.094606570883371</v>
      </c>
      <c r="AU29" s="598">
        <f t="shared" ca="1" si="23"/>
        <v>36.564685698719956</v>
      </c>
      <c r="AV29" s="598">
        <f t="shared" ca="1" si="23"/>
        <v>35.628480229218965</v>
      </c>
      <c r="AW29" s="598">
        <f t="shared" ca="1" si="23"/>
        <v>34.33289445990934</v>
      </c>
      <c r="AX29" s="598">
        <f t="shared" ca="1" si="23"/>
        <v>33.249382103886063</v>
      </c>
      <c r="AY29" s="598">
        <f t="shared" ca="1" si="23"/>
        <v>32.23107541547607</v>
      </c>
      <c r="AZ29" s="474"/>
      <c r="BA29" s="281"/>
      <c r="BB29" s="281"/>
      <c r="BC29" s="281"/>
      <c r="BD29" s="281"/>
      <c r="BE29" s="281"/>
      <c r="BF29" s="281"/>
      <c r="BG29" s="281"/>
      <c r="BH29" s="281"/>
      <c r="BI29" s="281"/>
      <c r="BJ29" s="281"/>
      <c r="BK29" s="254"/>
      <c r="BN29" s="904" t="str">
        <f>Country</f>
        <v>Latvia</v>
      </c>
      <c r="BP29" s="1003">
        <f>IF(AEStatus=1,BS10,BO10)</f>
        <v>15</v>
      </c>
      <c r="BQ29" s="1004">
        <f>IF(AEStatus=1,BT10,BP10)</f>
        <v>45</v>
      </c>
      <c r="BR29" s="281"/>
      <c r="BV29" s="281"/>
      <c r="BW29" s="281"/>
      <c r="BX29" s="1" t="s">
        <v>294</v>
      </c>
      <c r="BY29" s="1" t="s">
        <v>293</v>
      </c>
      <c r="BZ29" s="987"/>
      <c r="CA29" s="256"/>
      <c r="CB29" s="261"/>
      <c r="CC29" s="247"/>
      <c r="CD29" s="247"/>
      <c r="CE29" s="247"/>
      <c r="CF29" s="247"/>
      <c r="CG29" s="254"/>
      <c r="CH29" s="281"/>
      <c r="CI29" s="281"/>
      <c r="CJ29" s="281"/>
      <c r="CK29" s="281"/>
      <c r="CL29" s="281"/>
      <c r="CM29" s="281"/>
      <c r="CN29" s="281"/>
      <c r="CO29" s="281"/>
      <c r="CP29" s="281"/>
      <c r="CQ29" s="281"/>
      <c r="CR29" s="281"/>
      <c r="CS29" s="281"/>
      <c r="CT29" s="17"/>
      <c r="CU29" s="17"/>
      <c r="CV29" s="17"/>
      <c r="CW29" s="17"/>
      <c r="CX29" s="17"/>
      <c r="CY29" s="17"/>
      <c r="CZ29" s="17"/>
      <c r="DA29" s="17"/>
      <c r="DB29" s="17"/>
      <c r="DC29" s="993"/>
      <c r="DE29" s="1151"/>
      <c r="DF29" s="1496" t="s">
        <v>856</v>
      </c>
      <c r="DG29" s="1226"/>
      <c r="DH29" s="1497" t="s">
        <v>882</v>
      </c>
      <c r="DI29" s="1498"/>
      <c r="DJ29" s="1496"/>
      <c r="DK29" s="1226" t="s">
        <v>856</v>
      </c>
      <c r="DL29" s="1226"/>
      <c r="DM29" s="1227"/>
      <c r="DN29" s="1499" t="s">
        <v>882</v>
      </c>
      <c r="DO29" s="993"/>
      <c r="DV29" s="281"/>
      <c r="DW29" s="281"/>
      <c r="DX29" s="281"/>
      <c r="DY29" s="281"/>
      <c r="DZ29" s="281"/>
      <c r="EA29" s="281"/>
      <c r="EB29" s="281"/>
      <c r="EC29" s="281"/>
      <c r="ED29" s="281"/>
      <c r="EE29" s="281"/>
      <c r="EF29" s="993"/>
      <c r="EG29" s="261"/>
      <c r="EH29" s="281"/>
      <c r="EI29" s="281"/>
      <c r="EJ29" s="281"/>
      <c r="EK29" s="281"/>
      <c r="EL29" s="281"/>
      <c r="EM29" s="281"/>
      <c r="EN29" s="281"/>
      <c r="EO29" s="281"/>
      <c r="EP29" s="281"/>
      <c r="EQ29" s="281"/>
      <c r="ER29" s="281"/>
      <c r="ES29" s="281"/>
      <c r="ET29" s="281"/>
      <c r="EU29" s="281"/>
      <c r="EV29" s="281"/>
      <c r="EW29" s="281"/>
      <c r="EX29" s="281"/>
      <c r="EY29" s="281"/>
      <c r="EZ29" s="281"/>
      <c r="FA29" s="281"/>
      <c r="FB29" s="281"/>
      <c r="FC29" s="281"/>
      <c r="FD29" s="281"/>
      <c r="FE29" s="281"/>
      <c r="FF29" s="281"/>
      <c r="FG29" s="281"/>
      <c r="FH29" s="281"/>
      <c r="FI29" s="281"/>
      <c r="FJ29" s="281"/>
      <c r="FK29" s="281"/>
      <c r="FL29" s="281"/>
      <c r="FM29" s="281"/>
      <c r="FN29" s="281"/>
      <c r="FO29" s="281"/>
      <c r="FP29" s="281"/>
      <c r="FQ29" s="281"/>
      <c r="FR29" s="281"/>
      <c r="FS29" s="281"/>
      <c r="FT29" s="281"/>
      <c r="FU29" s="281"/>
      <c r="FV29" s="281"/>
      <c r="FW29" s="281"/>
      <c r="FX29" s="281"/>
      <c r="FY29" s="281"/>
    </row>
    <row r="30" spans="1:181" s="284" customFormat="1" ht="20.100000000000001" customHeight="1" thickBot="1">
      <c r="A30" s="25"/>
      <c r="B30" s="25"/>
      <c r="C30" s="25"/>
      <c r="D30" s="25"/>
      <c r="E30" s="25"/>
      <c r="G30" s="464"/>
      <c r="H30" s="98"/>
      <c r="I30" s="949" t="s">
        <v>185</v>
      </c>
      <c r="J30" s="948">
        <v>963</v>
      </c>
      <c r="K30" s="948">
        <v>0</v>
      </c>
      <c r="L30" s="948"/>
      <c r="M30" s="1029" t="s">
        <v>571</v>
      </c>
      <c r="N30" s="464"/>
      <c r="O30" s="98"/>
      <c r="P30" s="25" t="str">
        <f t="shared" si="19"/>
        <v>Primary Balance ShockInflation (in percent)</v>
      </c>
      <c r="Q30" s="25"/>
      <c r="R30" s="99" t="s">
        <v>427</v>
      </c>
      <c r="S30" s="107"/>
      <c r="T30" s="107"/>
      <c r="U30" s="591">
        <f>(primary!B$27)*100</f>
        <v>4.2122999157540031</v>
      </c>
      <c r="V30" s="591">
        <f>(primary!C$27)*100</f>
        <v>3.085754504401117</v>
      </c>
      <c r="W30" s="591">
        <f>(primary!D$27)*100</f>
        <v>2.7938359016816516</v>
      </c>
      <c r="X30" s="591">
        <f>(primary!E$27)*100</f>
        <v>2.5315565708619037</v>
      </c>
      <c r="Y30" s="591">
        <f>(primary!F$27)*100</f>
        <v>2.4647711698661201</v>
      </c>
      <c r="Z30" s="592">
        <f>(primary!G$27)*100</f>
        <v>2.5000000000000133</v>
      </c>
      <c r="AA30" s="475"/>
      <c r="AB30" s="429"/>
      <c r="AC30" s="25"/>
      <c r="AD30" s="25"/>
      <c r="AE30" s="25"/>
      <c r="AF30" s="25"/>
      <c r="AG30" s="25"/>
      <c r="AH30" s="25"/>
      <c r="AI30" s="25"/>
      <c r="AJ30" s="25"/>
      <c r="AK30" s="25"/>
      <c r="AL30" s="25"/>
      <c r="AM30" s="25"/>
      <c r="AN30" s="25"/>
      <c r="AO30" s="464"/>
      <c r="AP30" s="289"/>
      <c r="AQ30" s="107" t="s">
        <v>424</v>
      </c>
      <c r="AR30" s="599" t="e">
        <v>#N/A</v>
      </c>
      <c r="AS30" s="599" t="e">
        <v>#N/A</v>
      </c>
      <c r="AT30" s="599">
        <f t="shared" si="23"/>
        <v>100.40391596609757</v>
      </c>
      <c r="AU30" s="599" t="e">
        <f t="shared" ca="1" si="23"/>
        <v>#DIV/0!</v>
      </c>
      <c r="AV30" s="599" t="e">
        <f t="shared" ca="1" si="23"/>
        <v>#DIV/0!</v>
      </c>
      <c r="AW30" s="599" t="e">
        <f t="shared" ca="1" si="23"/>
        <v>#DIV/0!</v>
      </c>
      <c r="AX30" s="599" t="e">
        <f t="shared" ca="1" si="23"/>
        <v>#DIV/0!</v>
      </c>
      <c r="AY30" s="599" t="e">
        <f t="shared" ca="1" si="23"/>
        <v>#DIV/0!</v>
      </c>
      <c r="AZ30" s="475"/>
      <c r="BA30" s="455"/>
      <c r="BB30" s="455"/>
      <c r="BC30" s="455"/>
      <c r="BD30" s="1456" t="str">
        <f>IF(ISBLANK(Custom1Name), "Customized shock 1",Custom1Name)</f>
        <v>Customized shock 1</v>
      </c>
      <c r="BE30" s="1457">
        <f>FirstYear</f>
        <v>2018</v>
      </c>
      <c r="BF30" s="1457">
        <f>BE30+1</f>
        <v>2019</v>
      </c>
      <c r="BG30" s="1457">
        <f>BF30+1</f>
        <v>2020</v>
      </c>
      <c r="BH30" s="1457">
        <f>BG30+1</f>
        <v>2021</v>
      </c>
      <c r="BI30" s="1457">
        <f>BH30+1</f>
        <v>2022</v>
      </c>
      <c r="BJ30" s="1458">
        <f>BI30+1</f>
        <v>2023</v>
      </c>
      <c r="BK30" s="254"/>
      <c r="BL30" s="281"/>
      <c r="BM30" s="281"/>
      <c r="BN30" s="1008" t="e">
        <v>#N/A</v>
      </c>
      <c r="BP30" s="988">
        <f>BP31</f>
        <v>25</v>
      </c>
      <c r="BQ30" s="988">
        <f>BQ31</f>
        <v>75</v>
      </c>
      <c r="BR30" s="7"/>
      <c r="BS30" s="990"/>
      <c r="BT30" s="990" t="e">
        <v>#N/A</v>
      </c>
      <c r="BU30" s="990" t="e">
        <v>#N/A</v>
      </c>
      <c r="BV30" s="1018"/>
      <c r="BW30" s="281">
        <v>1</v>
      </c>
      <c r="BX30" s="521">
        <f>$BX$15</f>
        <v>313</v>
      </c>
      <c r="BY30" s="521">
        <f>$BY$15</f>
        <v>0</v>
      </c>
      <c r="BZ30" s="993"/>
      <c r="CA30" s="281"/>
      <c r="CB30" s="261"/>
      <c r="CC30" s="247"/>
      <c r="CD30" s="247"/>
      <c r="CE30" s="247"/>
      <c r="CF30" s="247"/>
      <c r="CG30" s="254"/>
      <c r="CH30" s="1089" t="s">
        <v>717</v>
      </c>
      <c r="CI30" s="17"/>
      <c r="CJ30" s="1077"/>
      <c r="CK30" s="1077"/>
      <c r="CL30" s="1077"/>
      <c r="CM30" s="1077"/>
      <c r="CN30" s="1077"/>
      <c r="CO30" s="1077"/>
      <c r="CP30" s="1077"/>
      <c r="CQ30" s="1077"/>
      <c r="CR30" s="1077"/>
      <c r="CS30" s="1077"/>
      <c r="CT30" s="1077"/>
      <c r="CU30" s="1077"/>
      <c r="CV30" s="1077"/>
      <c r="CW30" s="1077"/>
      <c r="CX30" s="1077"/>
      <c r="CY30" s="1077"/>
      <c r="CZ30" s="1077"/>
      <c r="DA30" s="1077"/>
      <c r="DB30" s="1077"/>
      <c r="DC30" s="993"/>
      <c r="DE30" s="1151"/>
      <c r="DF30" s="1437" t="s">
        <v>841</v>
      </c>
      <c r="DG30" s="1160" t="s">
        <v>842</v>
      </c>
      <c r="DH30" s="776" t="s">
        <v>852</v>
      </c>
      <c r="DI30" s="1493" t="s">
        <v>851</v>
      </c>
      <c r="DJ30" s="5"/>
      <c r="DK30" s="1160" t="s">
        <v>841</v>
      </c>
      <c r="DL30" s="1160" t="s">
        <v>842</v>
      </c>
      <c r="DM30" s="776" t="s">
        <v>852</v>
      </c>
      <c r="DN30" s="1493" t="s">
        <v>851</v>
      </c>
      <c r="DO30" s="993"/>
      <c r="DP30" s="281"/>
      <c r="DQ30" s="281"/>
      <c r="DR30" s="281"/>
      <c r="DS30" s="281"/>
      <c r="DT30" s="281"/>
      <c r="DU30" s="281"/>
      <c r="DV30" s="281"/>
      <c r="DW30" s="281"/>
      <c r="DX30" s="281"/>
      <c r="DY30" s="281"/>
      <c r="DZ30" s="281"/>
      <c r="EA30" s="281"/>
      <c r="EB30" s="281"/>
      <c r="EC30" s="281"/>
      <c r="ED30" s="281"/>
      <c r="EE30" s="281"/>
      <c r="EF30" s="993"/>
      <c r="EG30" s="261"/>
      <c r="EH30" s="281"/>
      <c r="EI30" s="281"/>
      <c r="EJ30" s="281"/>
      <c r="EK30" s="281"/>
      <c r="EL30" s="281"/>
      <c r="EM30" s="281"/>
      <c r="EN30" s="281"/>
      <c r="EO30" s="281"/>
      <c r="EP30" s="281"/>
      <c r="EQ30" s="281"/>
      <c r="ER30" s="281"/>
      <c r="ES30" s="281"/>
      <c r="ET30" s="281"/>
      <c r="EU30" s="281"/>
      <c r="EV30" s="281"/>
      <c r="EW30" s="281"/>
      <c r="EX30" s="281"/>
      <c r="EY30" s="281"/>
      <c r="EZ30" s="281"/>
      <c r="FA30" s="281"/>
      <c r="FB30" s="281"/>
      <c r="FC30" s="281"/>
      <c r="FD30" s="281"/>
      <c r="FE30" s="281"/>
      <c r="FF30" s="281"/>
      <c r="FG30" s="281"/>
      <c r="FH30" s="281"/>
      <c r="FI30" s="281"/>
      <c r="FJ30" s="281"/>
      <c r="FK30" s="281"/>
      <c r="FL30" s="281"/>
      <c r="FM30" s="281"/>
      <c r="FN30" s="281"/>
      <c r="FO30" s="281"/>
      <c r="FP30" s="281"/>
      <c r="FQ30" s="281"/>
      <c r="FR30" s="281"/>
      <c r="FS30" s="281"/>
      <c r="FT30" s="281"/>
      <c r="FU30" s="281"/>
      <c r="FV30" s="281"/>
      <c r="FW30" s="281"/>
      <c r="FX30" s="281"/>
      <c r="FY30" s="281"/>
    </row>
    <row r="31" spans="1:181" s="25" customFormat="1" ht="20.100000000000001" customHeight="1" thickBot="1">
      <c r="A31" s="98"/>
      <c r="B31" s="484"/>
      <c r="C31" s="1149"/>
      <c r="D31" s="484"/>
      <c r="E31" s="952"/>
      <c r="F31" s="98"/>
      <c r="G31" s="464"/>
      <c r="H31" s="98"/>
      <c r="I31" s="949" t="s">
        <v>186</v>
      </c>
      <c r="J31" s="948">
        <v>616</v>
      </c>
      <c r="K31" s="948">
        <v>0</v>
      </c>
      <c r="L31" s="948"/>
      <c r="M31" s="1029" t="s">
        <v>572</v>
      </c>
      <c r="N31" s="464"/>
      <c r="O31" s="98"/>
      <c r="P31" s="25" t="str">
        <f t="shared" si="19"/>
        <v>Primary Balance ShockPrimary Balance (in percent of GDP)</v>
      </c>
      <c r="R31" s="99" t="s">
        <v>544</v>
      </c>
      <c r="S31" s="107"/>
      <c r="T31" s="107"/>
      <c r="U31" s="591">
        <f>(primary!B$30)*100</f>
        <v>-5.2301873674015509E-2</v>
      </c>
      <c r="V31" s="591">
        <f>(primary!C$30)*100</f>
        <v>-1.6708596534666282</v>
      </c>
      <c r="W31" s="591">
        <f>(primary!D$30)*100</f>
        <v>-1.4086050204041529</v>
      </c>
      <c r="X31" s="591">
        <f>(primary!E$30)*100</f>
        <v>0.22147723253581053</v>
      </c>
      <c r="Y31" s="591">
        <f>(primary!F$30)*100</f>
        <v>0.87301076297996993</v>
      </c>
      <c r="Z31" s="592">
        <f>(primary!G$30)*100</f>
        <v>0.87301076297997549</v>
      </c>
      <c r="AA31" s="464"/>
      <c r="AB31" s="98"/>
      <c r="AO31" s="464"/>
      <c r="AP31" s="289"/>
      <c r="AQ31" s="107" t="s">
        <v>425</v>
      </c>
      <c r="AR31" s="599" t="e">
        <v>#N/A</v>
      </c>
      <c r="AS31" s="599" t="e">
        <v>#N/A</v>
      </c>
      <c r="AT31" s="599">
        <f t="shared" si="23"/>
        <v>10.043774810504543</v>
      </c>
      <c r="AU31" s="599" t="e">
        <f t="shared" ca="1" si="23"/>
        <v>#DIV/0!</v>
      </c>
      <c r="AV31" s="599" t="e">
        <f t="shared" ca="1" si="23"/>
        <v>#DIV/0!</v>
      </c>
      <c r="AW31" s="599" t="e">
        <f t="shared" ca="1" si="23"/>
        <v>#DIV/0!</v>
      </c>
      <c r="AX31" s="599" t="e">
        <f t="shared" ca="1" si="23"/>
        <v>#DIV/0!</v>
      </c>
      <c r="AY31" s="599" t="e">
        <f t="shared" ca="1" si="23"/>
        <v>#DIV/0!</v>
      </c>
      <c r="AZ31" s="464"/>
      <c r="BA31" s="492">
        <f>IF('Input 5 - Scenario Design'!J25="Yes",1,0)</f>
        <v>0</v>
      </c>
      <c r="BB31" s="492"/>
      <c r="BC31" s="492"/>
      <c r="BD31" s="357"/>
      <c r="BE31" s="357"/>
      <c r="BF31" s="357"/>
      <c r="BG31" s="357"/>
      <c r="BH31" s="357"/>
      <c r="BI31" s="357"/>
      <c r="BJ31" s="357"/>
      <c r="BK31" s="254"/>
      <c r="BL31" s="999" t="str">
        <f>"Public Debt Held by Non-Residents"</f>
        <v>Public Debt Held by Non-Residents</v>
      </c>
      <c r="BM31" s="643" t="str">
        <f>"(in percent of total)"</f>
        <v>(in percent of total)</v>
      </c>
      <c r="BN31" s="1521">
        <f>IFERROR(IF(AEStatus=1,IF(ISNUMBER(BV10),100*BV10/BR10,#N/A),IF(ISNUMBER(BV10),100*BV10/BN10,#N/A)),0)</f>
        <v>112.66666666666666</v>
      </c>
      <c r="BO31" s="63"/>
      <c r="BP31" s="988">
        <f>IF(AEStatus=1,$BS$6,$BO$6)</f>
        <v>25</v>
      </c>
      <c r="BQ31" s="988">
        <f>$BP$6</f>
        <v>75</v>
      </c>
      <c r="BR31" s="943"/>
      <c r="BS31" s="907" t="str">
        <f>IFERROR(ROUND(BV10,0)&amp;"%","no data")</f>
        <v>68%</v>
      </c>
      <c r="BT31" s="994">
        <v>2</v>
      </c>
      <c r="BU31" s="989">
        <f>BN31</f>
        <v>112.66666666666666</v>
      </c>
      <c r="BV31" s="1020"/>
      <c r="BW31" s="424">
        <v>2</v>
      </c>
      <c r="BX31" s="521">
        <f>$BX$15</f>
        <v>313</v>
      </c>
      <c r="BY31" s="521">
        <f>$BY$15</f>
        <v>0</v>
      </c>
      <c r="BZ31" s="993"/>
      <c r="CA31" s="281"/>
      <c r="CB31" s="261"/>
      <c r="CC31" s="247"/>
      <c r="CD31" s="247"/>
      <c r="CE31" s="247"/>
      <c r="CF31" s="247"/>
      <c r="CG31" s="254"/>
      <c r="CH31" s="637"/>
      <c r="CI31" s="17"/>
      <c r="CJ31" s="1082">
        <f t="shared" ref="CJ31:CP31" si="24">CK31-1</f>
        <v>2009</v>
      </c>
      <c r="CK31" s="1083">
        <f t="shared" si="24"/>
        <v>2010</v>
      </c>
      <c r="CL31" s="1083">
        <f t="shared" si="24"/>
        <v>2011</v>
      </c>
      <c r="CM31" s="1083">
        <f t="shared" si="24"/>
        <v>2012</v>
      </c>
      <c r="CN31" s="1083">
        <f t="shared" si="24"/>
        <v>2013</v>
      </c>
      <c r="CO31" s="1083">
        <f t="shared" si="24"/>
        <v>2014</v>
      </c>
      <c r="CP31" s="1083">
        <f t="shared" si="24"/>
        <v>2015</v>
      </c>
      <c r="CQ31" s="1083">
        <f>CR31-1</f>
        <v>2016</v>
      </c>
      <c r="CR31" s="1084">
        <f>CS10-1</f>
        <v>2017</v>
      </c>
      <c r="CS31" s="1077"/>
      <c r="CT31" s="1077"/>
      <c r="CU31" s="1077"/>
      <c r="CV31" s="1077"/>
      <c r="CW31" s="1077"/>
      <c r="CX31" s="1077"/>
      <c r="CY31" s="1077"/>
      <c r="CZ31" s="1077"/>
      <c r="DA31" s="1077"/>
      <c r="DB31" s="1077"/>
      <c r="DC31" s="993"/>
      <c r="DE31" s="1151"/>
      <c r="DF31" s="1438">
        <v>-99</v>
      </c>
      <c r="DG31" s="4">
        <v>0</v>
      </c>
      <c r="DH31" s="4"/>
      <c r="DI31" s="1494">
        <f t="shared" ref="DI31:DI59" si="25">DG31/SUM($DG$31:$DG$59)*100</f>
        <v>0</v>
      </c>
      <c r="DJ31" s="5"/>
      <c r="DK31" s="1426">
        <v>-99</v>
      </c>
      <c r="DL31" s="4">
        <v>0</v>
      </c>
      <c r="DM31" s="4"/>
      <c r="DN31" s="1494">
        <f t="shared" ref="DN31:DN59" si="26">DL31/SUM($DL$31:$DL$59)*100</f>
        <v>0</v>
      </c>
      <c r="DO31" s="993"/>
      <c r="DP31" s="278" t="s">
        <v>795</v>
      </c>
      <c r="DQ31" s="278"/>
      <c r="DR31" s="278"/>
      <c r="DS31" s="278"/>
      <c r="DT31" s="278"/>
      <c r="DU31" s="278"/>
      <c r="DV31" s="278"/>
      <c r="DW31" s="278"/>
      <c r="DX31" s="278"/>
      <c r="DY31" s="278"/>
      <c r="DZ31" s="278"/>
      <c r="EA31" s="278"/>
      <c r="EB31" s="281"/>
      <c r="EC31" s="281"/>
      <c r="ED31" s="281"/>
      <c r="EE31" s="281"/>
      <c r="EF31" s="993"/>
      <c r="EG31" s="261"/>
      <c r="EH31" s="281"/>
      <c r="EI31" s="281"/>
      <c r="EJ31" s="281"/>
      <c r="EK31" s="281"/>
      <c r="EL31" s="281"/>
      <c r="EM31" s="281"/>
      <c r="EN31" s="281"/>
      <c r="EO31" s="281"/>
      <c r="EP31" s="281"/>
      <c r="EQ31" s="281"/>
      <c r="ER31" s="281"/>
      <c r="ES31" s="281"/>
      <c r="ET31" s="281"/>
      <c r="EU31" s="281"/>
      <c r="EV31" s="281"/>
      <c r="EW31" s="281"/>
      <c r="EX31" s="281"/>
      <c r="EY31" s="281"/>
      <c r="EZ31" s="281"/>
      <c r="FA31" s="281"/>
      <c r="FB31" s="281"/>
      <c r="FC31" s="281"/>
      <c r="FD31" s="281"/>
      <c r="FE31" s="281"/>
      <c r="FF31" s="281"/>
      <c r="FG31" s="281"/>
      <c r="FH31" s="281"/>
      <c r="FI31" s="281"/>
      <c r="FJ31" s="281"/>
      <c r="FK31" s="281"/>
      <c r="FL31" s="281"/>
      <c r="FM31" s="281"/>
      <c r="FN31" s="281"/>
      <c r="FO31" s="281"/>
      <c r="FP31" s="281"/>
      <c r="FQ31" s="281"/>
      <c r="FR31" s="281"/>
      <c r="FS31" s="281"/>
      <c r="FT31" s="281"/>
      <c r="FU31" s="281"/>
      <c r="FV31" s="281"/>
      <c r="FW31" s="281"/>
      <c r="FX31" s="281"/>
      <c r="FY31" s="281"/>
    </row>
    <row r="32" spans="1:181" s="25" customFormat="1" ht="20.100000000000001" customHeight="1" thickBot="1">
      <c r="A32" s="98"/>
      <c r="B32" s="98"/>
      <c r="C32" s="98"/>
      <c r="D32" s="98"/>
      <c r="E32" s="98"/>
      <c r="F32" s="98"/>
      <c r="G32" s="464"/>
      <c r="H32" s="98"/>
      <c r="I32" s="949" t="s">
        <v>187</v>
      </c>
      <c r="J32" s="948">
        <v>223</v>
      </c>
      <c r="K32" s="948">
        <v>0</v>
      </c>
      <c r="L32" s="948"/>
      <c r="M32" s="1029" t="s">
        <v>573</v>
      </c>
      <c r="N32" s="464"/>
      <c r="O32" s="98"/>
      <c r="P32" s="25" t="str">
        <f t="shared" si="19"/>
        <v>Primary Balance ShockEffective Interest Rate (in percent)</v>
      </c>
      <c r="R32" s="101" t="s">
        <v>428</v>
      </c>
      <c r="S32" s="632"/>
      <c r="T32" s="632"/>
      <c r="U32" s="594">
        <f>(primary!B$25)*100</f>
        <v>1.9586439007071743</v>
      </c>
      <c r="V32" s="594">
        <f ca="1">(primary!C$25)*100</f>
        <v>2.4781166566290191</v>
      </c>
      <c r="W32" s="594">
        <f ca="1">(primary!D$25)*100</f>
        <v>3.2143786038961979</v>
      </c>
      <c r="X32" s="594">
        <f ca="1">(primary!E$25)*100</f>
        <v>1.9732061097271953</v>
      </c>
      <c r="Y32" s="594">
        <f ca="1">(primary!F$25)*100</f>
        <v>2.3193824503916454</v>
      </c>
      <c r="Z32" s="595">
        <f ca="1">(primary!G$25)*100</f>
        <v>2.4097978248006999</v>
      </c>
      <c r="AA32" s="464"/>
      <c r="AO32" s="464"/>
      <c r="AP32" s="289"/>
      <c r="AQ32" s="107" t="s">
        <v>423</v>
      </c>
      <c r="AR32" s="599" t="e">
        <v>#N/A</v>
      </c>
      <c r="AS32" s="599" t="e">
        <v>#N/A</v>
      </c>
      <c r="AT32" s="599">
        <f t="shared" si="23"/>
        <v>3.5994671534530136</v>
      </c>
      <c r="AU32" s="599">
        <f t="shared" ca="1" si="23"/>
        <v>7.1027380579709201</v>
      </c>
      <c r="AV32" s="599">
        <f t="shared" ca="1" si="23"/>
        <v>11.30996484227207</v>
      </c>
      <c r="AW32" s="599">
        <f t="shared" ca="1" si="23"/>
        <v>15.18494945063879</v>
      </c>
      <c r="AX32" s="599">
        <f t="shared" ca="1" si="23"/>
        <v>15.811176472283067</v>
      </c>
      <c r="AY32" s="599">
        <f t="shared" ca="1" si="23"/>
        <v>15.612730162513284</v>
      </c>
      <c r="AZ32" s="464"/>
      <c r="BA32" s="281"/>
      <c r="BB32" s="281"/>
      <c r="BC32" s="281"/>
      <c r="BD32" s="281"/>
      <c r="BE32" s="281"/>
      <c r="BF32" s="281"/>
      <c r="BG32" s="281"/>
      <c r="BH32" s="281"/>
      <c r="BI32" s="281"/>
      <c r="BJ32" s="281"/>
      <c r="BK32" s="254"/>
      <c r="BL32" s="255"/>
      <c r="BM32" s="247"/>
      <c r="BN32" s="1009" t="e">
        <v>#N/A</v>
      </c>
      <c r="BO32" s="284"/>
      <c r="BP32" s="988">
        <f>BP31</f>
        <v>25</v>
      </c>
      <c r="BQ32" s="988">
        <f>BQ31</f>
        <v>75</v>
      </c>
      <c r="BR32" s="7"/>
      <c r="BS32" s="990"/>
      <c r="BT32" s="990" t="e">
        <v>#N/A</v>
      </c>
      <c r="BU32" s="990" t="e">
        <v>#N/A</v>
      </c>
      <c r="BV32" s="1018"/>
      <c r="BW32" s="424">
        <v>3</v>
      </c>
      <c r="BX32" s="521">
        <f>$BX$15</f>
        <v>313</v>
      </c>
      <c r="BY32" s="521">
        <f>$BY$15</f>
        <v>0</v>
      </c>
      <c r="BZ32" s="993"/>
      <c r="CA32" s="281"/>
      <c r="CB32" s="261"/>
      <c r="CC32" s="247"/>
      <c r="CD32" s="247"/>
      <c r="CE32" s="247"/>
      <c r="CF32" s="247"/>
      <c r="CG32" s="254"/>
      <c r="CH32" s="17" t="s">
        <v>711</v>
      </c>
      <c r="CI32" s="17"/>
      <c r="CJ32" s="1077"/>
      <c r="CK32" s="1077"/>
      <c r="CL32" s="1077"/>
      <c r="CM32" s="1077"/>
      <c r="CN32" s="1077"/>
      <c r="CO32" s="1077"/>
      <c r="CP32" s="1077"/>
      <c r="CQ32" s="1077"/>
      <c r="CR32" s="1077"/>
      <c r="CS32" s="1077"/>
      <c r="CT32" s="1077"/>
      <c r="CU32" s="1077"/>
      <c r="CV32" s="1077"/>
      <c r="CW32" s="1077"/>
      <c r="CX32" s="1077"/>
      <c r="CY32" s="1077"/>
      <c r="CZ32" s="1077"/>
      <c r="DA32" s="1077"/>
      <c r="DB32" s="1077"/>
      <c r="DC32" s="993"/>
      <c r="DE32" s="1151"/>
      <c r="DF32" s="1447" t="s">
        <v>843</v>
      </c>
      <c r="DG32" s="4">
        <v>12</v>
      </c>
      <c r="DH32" s="4">
        <v>1</v>
      </c>
      <c r="DI32" s="1495">
        <f t="shared" si="25"/>
        <v>2.7088036117381491</v>
      </c>
      <c r="DJ32" s="5"/>
      <c r="DK32" s="1449" t="s">
        <v>843</v>
      </c>
      <c r="DL32" s="4">
        <v>37</v>
      </c>
      <c r="DM32" s="4">
        <v>1</v>
      </c>
      <c r="DN32" s="1495">
        <f>DL32/SUM($DL$31:$DL$59)*100</f>
        <v>8.4474885844748862</v>
      </c>
      <c r="DO32" s="993"/>
      <c r="DP32" s="281"/>
      <c r="DQ32" s="89" t="s">
        <v>796</v>
      </c>
      <c r="DR32" s="89" t="s">
        <v>797</v>
      </c>
      <c r="DS32" s="89" t="s">
        <v>798</v>
      </c>
      <c r="DT32" s="89" t="s">
        <v>799</v>
      </c>
      <c r="DU32" s="89" t="s">
        <v>800</v>
      </c>
      <c r="DV32" s="89" t="s">
        <v>135</v>
      </c>
      <c r="DW32" s="89" t="s">
        <v>136</v>
      </c>
      <c r="DX32" s="89" t="s">
        <v>137</v>
      </c>
      <c r="DY32" s="89" t="s">
        <v>138</v>
      </c>
      <c r="DZ32" s="89" t="s">
        <v>139</v>
      </c>
      <c r="EA32" s="89" t="s">
        <v>801</v>
      </c>
      <c r="EB32" s="278" t="s">
        <v>673</v>
      </c>
      <c r="EC32" s="281"/>
      <c r="ED32" s="281"/>
      <c r="EE32" s="281"/>
      <c r="EF32" s="993"/>
      <c r="EG32" s="261"/>
      <c r="EH32" s="281"/>
      <c r="EI32" s="281"/>
      <c r="EJ32" s="281"/>
      <c r="EK32" s="281"/>
      <c r="EL32" s="281"/>
      <c r="EM32" s="281"/>
      <c r="EN32" s="281"/>
      <c r="EO32" s="281"/>
      <c r="EP32" s="281"/>
      <c r="EQ32" s="281"/>
      <c r="ER32" s="281"/>
      <c r="ES32" s="281"/>
      <c r="ET32" s="281"/>
      <c r="EU32" s="281"/>
      <c r="EV32" s="281"/>
      <c r="EW32" s="281"/>
      <c r="EX32" s="281"/>
      <c r="EY32" s="281"/>
      <c r="EZ32" s="281"/>
      <c r="FA32" s="281"/>
      <c r="FB32" s="281"/>
      <c r="FC32" s="281"/>
      <c r="FD32" s="281"/>
      <c r="FE32" s="281"/>
      <c r="FF32" s="281"/>
      <c r="FG32" s="281"/>
      <c r="FH32" s="281"/>
      <c r="FI32" s="281"/>
      <c r="FJ32" s="281"/>
      <c r="FK32" s="281"/>
      <c r="FL32" s="281"/>
      <c r="FM32" s="281"/>
      <c r="FN32" s="281"/>
      <c r="FO32" s="281"/>
      <c r="FP32" s="281"/>
      <c r="FQ32" s="281"/>
      <c r="FR32" s="281"/>
      <c r="FS32" s="281"/>
      <c r="FT32" s="281"/>
      <c r="FU32" s="281"/>
      <c r="FV32" s="281"/>
      <c r="FW32" s="281"/>
      <c r="FX32" s="281"/>
      <c r="FY32" s="281"/>
    </row>
    <row r="33" spans="1:181" s="25" customFormat="1" ht="20.100000000000001" customHeight="1" thickBot="1">
      <c r="A33" s="98"/>
      <c r="G33" s="464"/>
      <c r="H33" s="98"/>
      <c r="I33" s="949" t="s">
        <v>188</v>
      </c>
      <c r="J33" s="948">
        <v>516</v>
      </c>
      <c r="K33" s="948">
        <v>0</v>
      </c>
      <c r="L33" s="948"/>
      <c r="M33" s="1029" t="s">
        <v>574</v>
      </c>
      <c r="N33" s="464"/>
      <c r="O33" s="98"/>
      <c r="R33" s="107"/>
      <c r="S33" s="107"/>
      <c r="T33" s="107"/>
      <c r="U33" s="98"/>
      <c r="V33" s="98"/>
      <c r="W33" s="98"/>
      <c r="X33" s="98"/>
      <c r="Y33" s="98"/>
      <c r="Z33" s="98"/>
      <c r="AA33" s="464"/>
      <c r="AO33" s="464"/>
      <c r="AP33" s="289"/>
      <c r="AQ33" s="107" t="s">
        <v>418</v>
      </c>
      <c r="AR33" s="107"/>
      <c r="AS33" s="107"/>
      <c r="AT33" s="591">
        <f t="shared" si="23"/>
        <v>4.7697166816344838</v>
      </c>
      <c r="AU33" s="591">
        <f t="shared" si="23"/>
        <v>3.1686434574876632</v>
      </c>
      <c r="AV33" s="591">
        <f t="shared" si="23"/>
        <v>2.9947102444823903</v>
      </c>
      <c r="AW33" s="591">
        <f t="shared" si="23"/>
        <v>2.8871442593204177</v>
      </c>
      <c r="AX33" s="591">
        <f t="shared" si="23"/>
        <v>2.933023694707515</v>
      </c>
      <c r="AY33" s="591">
        <f t="shared" si="23"/>
        <v>2.8000000000000025</v>
      </c>
      <c r="AZ33" s="464"/>
      <c r="BA33" s="455"/>
      <c r="BB33" s="455"/>
      <c r="BC33" s="455"/>
      <c r="BD33" s="1462" t="str">
        <f>IF(ISBLANK(Custom2Name), "Customized shock 2",Custom2Name)</f>
        <v>Customized shock 2</v>
      </c>
      <c r="BE33" s="1464">
        <f>FirstYear</f>
        <v>2018</v>
      </c>
      <c r="BF33" s="1464">
        <f>BE33+1</f>
        <v>2019</v>
      </c>
      <c r="BG33" s="1464">
        <f>BF33+1</f>
        <v>2020</v>
      </c>
      <c r="BH33" s="1464">
        <f>BG33+1</f>
        <v>2021</v>
      </c>
      <c r="BI33" s="1464">
        <f>BH33+1</f>
        <v>2022</v>
      </c>
      <c r="BJ33" s="1463">
        <f>BI33+1</f>
        <v>2023</v>
      </c>
      <c r="BK33" s="254"/>
      <c r="BL33" s="281"/>
      <c r="BM33" s="281"/>
      <c r="BN33" s="281"/>
      <c r="BO33" s="281"/>
      <c r="BP33" s="281"/>
      <c r="BQ33" s="281"/>
      <c r="BR33" s="281"/>
      <c r="BS33" s="281"/>
      <c r="BT33" s="281"/>
      <c r="BU33" s="281"/>
      <c r="BV33" s="281"/>
      <c r="BW33" s="281"/>
      <c r="BX33" s="281"/>
      <c r="BY33" s="281"/>
      <c r="BZ33" s="993"/>
      <c r="CA33" s="281"/>
      <c r="CB33" s="261"/>
      <c r="CC33" s="247"/>
      <c r="CD33" s="247"/>
      <c r="CE33" s="247"/>
      <c r="CF33" s="247"/>
      <c r="CG33" s="254"/>
      <c r="CH33" s="17" t="s">
        <v>293</v>
      </c>
      <c r="CI33" s="17"/>
      <c r="CJ33" s="1092">
        <v>-22.150111949137738</v>
      </c>
      <c r="CK33" s="1092">
        <v>-8.8819947509627468</v>
      </c>
      <c r="CL33" s="1092">
        <v>-68.218993965848881</v>
      </c>
      <c r="CM33" s="1092">
        <v>-8.615308662133355</v>
      </c>
      <c r="CN33" s="1092">
        <v>-34.539412089072798</v>
      </c>
      <c r="CO33" s="1092">
        <v>-34.131242227929135</v>
      </c>
      <c r="CP33" s="1092">
        <v>-37.116025696627197</v>
      </c>
      <c r="CQ33" s="1092">
        <v>-37.89814863677536</v>
      </c>
      <c r="CR33" s="1092">
        <v>-25.772141346182202</v>
      </c>
      <c r="CS33" s="1085"/>
      <c r="CT33" s="1085"/>
      <c r="CU33" s="1085"/>
      <c r="CV33" s="1085"/>
      <c r="CW33" s="1085"/>
      <c r="CX33" s="1085"/>
      <c r="CY33" s="1085"/>
      <c r="CZ33" s="1085"/>
      <c r="DA33" s="1085"/>
      <c r="DB33" s="1085"/>
      <c r="DC33" s="993"/>
      <c r="DE33" s="1151"/>
      <c r="DF33" s="1447">
        <v>-4.5</v>
      </c>
      <c r="DG33" s="4">
        <v>3</v>
      </c>
      <c r="DH33" s="1444">
        <f>DH32+1</f>
        <v>2</v>
      </c>
      <c r="DI33" s="1495">
        <f t="shared" si="25"/>
        <v>0.67720090293453727</v>
      </c>
      <c r="DJ33" s="5"/>
      <c r="DK33" s="1449">
        <v>-4.5</v>
      </c>
      <c r="DL33" s="4">
        <v>8</v>
      </c>
      <c r="DM33" s="1444">
        <f>DM32+1</f>
        <v>2</v>
      </c>
      <c r="DN33" s="1495">
        <f t="shared" si="26"/>
        <v>1.8264840182648401</v>
      </c>
      <c r="DO33" s="993"/>
      <c r="DP33" s="281"/>
      <c r="DQ33" s="89">
        <v>1.5349488248699406</v>
      </c>
      <c r="DR33" s="89">
        <v>2.9600137281156655</v>
      </c>
      <c r="DS33" s="89">
        <v>2.4117539263149479</v>
      </c>
      <c r="DT33" s="89">
        <v>2.7313365640427656</v>
      </c>
      <c r="DU33" s="89">
        <v>2.6764476111718012</v>
      </c>
      <c r="DV33" s="89">
        <v>-0.76636139169205331</v>
      </c>
      <c r="DW33" s="89">
        <v>-5.3340762882354289</v>
      </c>
      <c r="DX33" s="89">
        <v>-0.42964955540611227</v>
      </c>
      <c r="DY33" s="89">
        <v>0.63682703518877792</v>
      </c>
      <c r="DZ33" s="89">
        <v>1.9092158184761296</v>
      </c>
      <c r="EA33" s="89">
        <v>1.5729758448509534</v>
      </c>
      <c r="EB33" s="278" t="s">
        <v>689</v>
      </c>
      <c r="EC33" s="281"/>
      <c r="ED33" s="281"/>
      <c r="EE33" s="281"/>
      <c r="EF33" s="993"/>
      <c r="EG33" s="261"/>
      <c r="EH33" s="281"/>
      <c r="EI33" s="281"/>
      <c r="EJ33" s="281"/>
      <c r="EK33" s="281"/>
      <c r="EL33" s="281"/>
      <c r="EM33" s="281"/>
      <c r="EN33" s="281"/>
      <c r="EO33" s="281"/>
      <c r="EP33" s="281"/>
      <c r="EQ33" s="281"/>
      <c r="ER33" s="281"/>
      <c r="ES33" s="281"/>
      <c r="ET33" s="281"/>
      <c r="EU33" s="281"/>
      <c r="EV33" s="281"/>
      <c r="EW33" s="281"/>
      <c r="EX33" s="281"/>
      <c r="EY33" s="281"/>
      <c r="EZ33" s="281"/>
      <c r="FA33" s="281"/>
      <c r="FB33" s="281"/>
      <c r="FC33" s="281"/>
      <c r="FD33" s="281"/>
      <c r="FE33" s="281"/>
      <c r="FF33" s="281"/>
      <c r="FG33" s="281"/>
      <c r="FH33" s="281"/>
      <c r="FI33" s="281"/>
      <c r="FJ33" s="281"/>
      <c r="FK33" s="281"/>
      <c r="FL33" s="281"/>
      <c r="FM33" s="281"/>
      <c r="FN33" s="281"/>
      <c r="FO33" s="281"/>
      <c r="FP33" s="281"/>
      <c r="FQ33" s="281"/>
      <c r="FR33" s="281"/>
      <c r="FS33" s="281"/>
      <c r="FT33" s="281"/>
      <c r="FU33" s="281"/>
      <c r="FV33" s="281"/>
      <c r="FW33" s="281"/>
      <c r="FX33" s="281"/>
      <c r="FY33" s="281"/>
    </row>
    <row r="34" spans="1:181" ht="20.100000000000001" customHeight="1">
      <c r="I34" s="949" t="s">
        <v>189</v>
      </c>
      <c r="J34" s="948">
        <v>918</v>
      </c>
      <c r="K34" s="948">
        <v>0</v>
      </c>
      <c r="L34" s="948"/>
      <c r="M34" s="1029" t="s">
        <v>575</v>
      </c>
      <c r="R34" s="25"/>
      <c r="S34" s="25"/>
      <c r="T34" s="25"/>
      <c r="U34" s="25"/>
      <c r="V34" s="25"/>
      <c r="W34" s="25"/>
      <c r="X34" s="25"/>
      <c r="Y34" s="25"/>
      <c r="Z34" s="25"/>
      <c r="AA34" s="473"/>
      <c r="AB34" s="246"/>
      <c r="AP34" s="289"/>
      <c r="AQ34" s="107" t="s">
        <v>427</v>
      </c>
      <c r="AR34" s="107"/>
      <c r="AS34" s="107"/>
      <c r="AT34" s="591">
        <f t="shared" si="23"/>
        <v>4.2122999157540031</v>
      </c>
      <c r="AU34" s="591">
        <f t="shared" si="23"/>
        <v>3.085754504401117</v>
      </c>
      <c r="AV34" s="591">
        <f t="shared" si="23"/>
        <v>2.7938359016816516</v>
      </c>
      <c r="AW34" s="591">
        <f t="shared" si="23"/>
        <v>2.5315565708619037</v>
      </c>
      <c r="AX34" s="591">
        <f t="shared" si="23"/>
        <v>2.4647711698661201</v>
      </c>
      <c r="AY34" s="591">
        <f t="shared" si="23"/>
        <v>2.5000000000000133</v>
      </c>
      <c r="AZ34" s="473"/>
      <c r="BA34" s="492">
        <f>IF('Input 5 - Scenario Design'!J27="Yes",1,0)</f>
        <v>0</v>
      </c>
      <c r="BB34" s="492"/>
      <c r="BC34" s="492"/>
      <c r="BD34" s="357"/>
      <c r="BE34" s="357"/>
      <c r="BF34" s="357"/>
      <c r="BG34" s="357"/>
      <c r="BH34" s="357"/>
      <c r="BI34" s="357"/>
      <c r="BJ34" s="357"/>
      <c r="BL34" s="284"/>
      <c r="BM34" s="284"/>
      <c r="BN34" s="904" t="str">
        <f>Country</f>
        <v>Latvia</v>
      </c>
      <c r="BO34" s="284"/>
      <c r="BP34" s="1003">
        <f>IF(AEStatus=1,BS11,BO11)</f>
        <v>20</v>
      </c>
      <c r="BQ34" s="1004">
        <f>IF(AEStatus=1,BT11,BP11)</f>
        <v>60</v>
      </c>
      <c r="BR34" s="281"/>
      <c r="BS34" s="284"/>
      <c r="BT34" s="284"/>
      <c r="BU34" s="284"/>
      <c r="BV34" s="281"/>
      <c r="BW34" s="281"/>
      <c r="BX34" s="1" t="s">
        <v>294</v>
      </c>
      <c r="BY34" s="1" t="s">
        <v>293</v>
      </c>
      <c r="BZ34" s="987"/>
      <c r="CA34" s="256"/>
      <c r="CB34" s="261"/>
      <c r="CH34" s="17" t="s">
        <v>706</v>
      </c>
      <c r="CI34" s="281"/>
      <c r="CJ34" s="1092">
        <v>-11.106866038759389</v>
      </c>
      <c r="CK34" s="1092">
        <v>-1.3424234778379203</v>
      </c>
      <c r="CL34" s="1092">
        <v>-2.945334499733931</v>
      </c>
      <c r="CM34" s="1092">
        <v>-4.020272509626019</v>
      </c>
      <c r="CN34" s="1092">
        <v>-2.4699302802969649</v>
      </c>
      <c r="CO34" s="1092">
        <v>-3.1173842981333415</v>
      </c>
      <c r="CP34" s="1092">
        <v>-4.3285983177612879</v>
      </c>
      <c r="CQ34" s="1092">
        <v>-4.1916030990723545</v>
      </c>
      <c r="CR34" s="1092">
        <v>-2.4608138030472535</v>
      </c>
      <c r="CS34" s="1085"/>
      <c r="CT34" s="1085"/>
      <c r="CU34" s="1085"/>
      <c r="CV34" s="1085"/>
      <c r="CW34" s="1085"/>
      <c r="CX34" s="1085"/>
      <c r="CY34" s="1085"/>
      <c r="CZ34" s="1085"/>
      <c r="DA34" s="1085"/>
      <c r="DB34" s="1085"/>
      <c r="DE34" s="4"/>
      <c r="DF34" s="1447">
        <v>-4</v>
      </c>
      <c r="DG34" s="4">
        <v>9</v>
      </c>
      <c r="DH34" s="1444">
        <f t="shared" ref="DH34:DH59" si="27">DH33+1</f>
        <v>3</v>
      </c>
      <c r="DI34" s="1495">
        <f t="shared" si="25"/>
        <v>2.0316027088036117</v>
      </c>
      <c r="DJ34" s="5"/>
      <c r="DK34" s="1449">
        <v>-4</v>
      </c>
      <c r="DL34" s="4">
        <v>7</v>
      </c>
      <c r="DM34" s="1444">
        <f t="shared" ref="DM34:DM59" si="28">DM33+1</f>
        <v>3</v>
      </c>
      <c r="DN34" s="1495">
        <f t="shared" si="26"/>
        <v>1.5981735159817352</v>
      </c>
      <c r="DP34" s="258"/>
      <c r="DQ34" s="1265">
        <v>3.301241076580208</v>
      </c>
      <c r="DR34" s="1223">
        <v>4.4676246629343659</v>
      </c>
      <c r="DS34" s="1223">
        <v>4.145419945413682</v>
      </c>
      <c r="DT34" s="1223">
        <v>4.6158368160197636</v>
      </c>
      <c r="DU34" s="1223">
        <v>3.4315819527294833</v>
      </c>
      <c r="DV34" s="1223">
        <v>0.92606994579974788</v>
      </c>
      <c r="DW34" s="1223">
        <v>-2.8008488112079588</v>
      </c>
      <c r="DX34" s="1223">
        <v>1.6687406005227761</v>
      </c>
      <c r="DY34" s="1223">
        <v>2.0310899530015565</v>
      </c>
      <c r="DZ34" s="1223">
        <v>3.0237537775905401</v>
      </c>
      <c r="EA34" s="1223">
        <v>3.9510797974637377</v>
      </c>
      <c r="EB34" s="1263" t="s">
        <v>802</v>
      </c>
      <c r="EG34" s="261"/>
    </row>
    <row r="35" spans="1:181" ht="20.100000000000001" customHeight="1" thickBot="1">
      <c r="I35" s="949" t="s">
        <v>190</v>
      </c>
      <c r="J35" s="948">
        <v>156</v>
      </c>
      <c r="K35" s="948">
        <v>1</v>
      </c>
      <c r="L35" s="948"/>
      <c r="M35" s="1029" t="s">
        <v>576</v>
      </c>
      <c r="R35" s="25"/>
      <c r="S35" s="25"/>
      <c r="T35" s="25"/>
      <c r="U35" s="25"/>
      <c r="V35" s="25"/>
      <c r="W35" s="25"/>
      <c r="X35" s="25"/>
      <c r="Y35" s="25"/>
      <c r="Z35" s="25"/>
      <c r="AA35" s="474"/>
      <c r="AB35" s="100"/>
      <c r="AP35" s="289"/>
      <c r="AQ35" s="107" t="s">
        <v>544</v>
      </c>
      <c r="AR35" s="107"/>
      <c r="AS35" s="107"/>
      <c r="AT35" s="591">
        <f t="shared" si="23"/>
        <v>-5.2301873674015509E-2</v>
      </c>
      <c r="AU35" s="591">
        <f t="shared" si="23"/>
        <v>-5.2301873674015509E-2</v>
      </c>
      <c r="AV35" s="591">
        <f t="shared" si="23"/>
        <v>-5.2301873674015509E-2</v>
      </c>
      <c r="AW35" s="591">
        <f t="shared" si="23"/>
        <v>-5.2301873674015509E-2</v>
      </c>
      <c r="AX35" s="591">
        <f t="shared" si="23"/>
        <v>-5.2301873674015509E-2</v>
      </c>
      <c r="AY35" s="591">
        <f t="shared" si="23"/>
        <v>-5.2301873674015509E-2</v>
      </c>
      <c r="AZ35" s="474"/>
      <c r="BL35" s="281"/>
      <c r="BM35" s="281"/>
      <c r="BN35" s="1008" t="e">
        <v>#N/A</v>
      </c>
      <c r="BO35" s="284"/>
      <c r="BP35" s="988">
        <f>BP36</f>
        <v>25</v>
      </c>
      <c r="BQ35" s="988">
        <f>BQ36</f>
        <v>75</v>
      </c>
      <c r="BR35" s="7"/>
      <c r="BS35" s="990"/>
      <c r="BT35" s="990" t="e">
        <v>#N/A</v>
      </c>
      <c r="BU35" s="990" t="e">
        <v>#N/A</v>
      </c>
      <c r="BV35" s="1018"/>
      <c r="BW35" s="281">
        <v>1</v>
      </c>
      <c r="BX35" s="521">
        <f>$BX$15</f>
        <v>313</v>
      </c>
      <c r="BY35" s="521">
        <f>$BY$15</f>
        <v>0</v>
      </c>
      <c r="CH35" s="17" t="s">
        <v>689</v>
      </c>
      <c r="CI35" s="281"/>
      <c r="CJ35" s="1092">
        <v>-7.9190288147455794</v>
      </c>
      <c r="CK35" s="1092">
        <v>0.63220765001343504</v>
      </c>
      <c r="CL35" s="1092">
        <v>-1.389642261944307</v>
      </c>
      <c r="CM35" s="1092">
        <v>-2.5856528104721366</v>
      </c>
      <c r="CN35" s="1092">
        <v>-1.4185621757271507</v>
      </c>
      <c r="CO35" s="1092">
        <v>-1.7440413571498865</v>
      </c>
      <c r="CP35" s="1092">
        <v>-1.6808266748309231</v>
      </c>
      <c r="CQ35" s="1092">
        <v>-1.7040764631000975</v>
      </c>
      <c r="CR35" s="1092">
        <v>-0.93667542361052503</v>
      </c>
      <c r="CS35" s="1085"/>
      <c r="CT35" s="1085"/>
      <c r="CU35" s="1085"/>
      <c r="CV35" s="1085"/>
      <c r="CW35" s="1085"/>
      <c r="CX35" s="1085"/>
      <c r="CY35" s="1085"/>
      <c r="CZ35" s="1085"/>
      <c r="DA35" s="1085"/>
      <c r="DB35" s="1085"/>
      <c r="DE35" s="4"/>
      <c r="DF35" s="1447">
        <v>-3.5</v>
      </c>
      <c r="DG35" s="4">
        <v>13</v>
      </c>
      <c r="DH35" s="1444">
        <f t="shared" si="27"/>
        <v>4</v>
      </c>
      <c r="DI35" s="1495">
        <f t="shared" si="25"/>
        <v>2.9345372460496613</v>
      </c>
      <c r="DJ35" s="5"/>
      <c r="DK35" s="1449">
        <v>-3.5</v>
      </c>
      <c r="DL35" s="4">
        <v>14</v>
      </c>
      <c r="DM35" s="1444">
        <f t="shared" si="28"/>
        <v>4</v>
      </c>
      <c r="DN35" s="1495">
        <f t="shared" si="26"/>
        <v>3.1963470319634704</v>
      </c>
      <c r="DQ35" s="1265">
        <v>5.7101631916290607</v>
      </c>
      <c r="DR35" s="1223">
        <v>6.2985680656045568</v>
      </c>
      <c r="DS35" s="1223">
        <v>5.8854248233330857</v>
      </c>
      <c r="DT35" s="1223">
        <v>6.2762837370321547</v>
      </c>
      <c r="DU35" s="1223">
        <v>5.8874773639857239</v>
      </c>
      <c r="DV35" s="1223">
        <v>2.3496806044787233</v>
      </c>
      <c r="DW35" s="1223">
        <v>1.7221585238895993</v>
      </c>
      <c r="DX35" s="1223">
        <v>3.5615129191835537</v>
      </c>
      <c r="DY35" s="1223">
        <v>3.5881097709974434</v>
      </c>
      <c r="DZ35" s="1223">
        <v>3.9832489423997557</v>
      </c>
      <c r="EA35" s="1223">
        <v>4.7060240828869286</v>
      </c>
      <c r="EB35" s="1263" t="s">
        <v>691</v>
      </c>
      <c r="EG35" s="261"/>
    </row>
    <row r="36" spans="1:181" ht="20.100000000000001" customHeight="1" thickBot="1">
      <c r="I36" s="949" t="s">
        <v>191</v>
      </c>
      <c r="J36" s="948">
        <v>228</v>
      </c>
      <c r="K36" s="948">
        <v>0</v>
      </c>
      <c r="L36" s="948"/>
      <c r="M36" s="1029" t="s">
        <v>577</v>
      </c>
      <c r="R36" s="71" t="s">
        <v>107</v>
      </c>
      <c r="S36" s="72">
        <f t="shared" ref="S36:Z36" si="29">S$4</f>
        <v>2016</v>
      </c>
      <c r="T36" s="72">
        <f t="shared" si="29"/>
        <v>2017</v>
      </c>
      <c r="U36" s="72">
        <f t="shared" si="29"/>
        <v>2018</v>
      </c>
      <c r="V36" s="72">
        <f t="shared" si="29"/>
        <v>2019</v>
      </c>
      <c r="W36" s="72">
        <f t="shared" si="29"/>
        <v>2020</v>
      </c>
      <c r="X36" s="72">
        <f t="shared" si="29"/>
        <v>2021</v>
      </c>
      <c r="Y36" s="72">
        <f t="shared" si="29"/>
        <v>2022</v>
      </c>
      <c r="Z36" s="112">
        <f t="shared" si="29"/>
        <v>2023</v>
      </c>
      <c r="AA36" s="474"/>
      <c r="AB36" s="100"/>
      <c r="AP36" s="289"/>
      <c r="AQ36" s="266" t="s">
        <v>428</v>
      </c>
      <c r="AR36" s="266"/>
      <c r="AS36" s="266"/>
      <c r="AT36" s="600">
        <f t="shared" si="23"/>
        <v>1.9586439007071743</v>
      </c>
      <c r="AU36" s="600">
        <f t="shared" ca="1" si="23"/>
        <v>2.4781166566290191</v>
      </c>
      <c r="AV36" s="600">
        <f t="shared" ca="1" si="23"/>
        <v>3.1221186569105042</v>
      </c>
      <c r="AW36" s="600">
        <f t="shared" ca="1" si="23"/>
        <v>1.6841193966014807</v>
      </c>
      <c r="AX36" s="600">
        <f t="shared" ca="1" si="23"/>
        <v>2.1911228022965714</v>
      </c>
      <c r="AY36" s="600">
        <f t="shared" ca="1" si="23"/>
        <v>2.2895405406737046</v>
      </c>
      <c r="AZ36" s="474"/>
      <c r="BA36" s="281"/>
      <c r="BB36" s="281"/>
      <c r="BC36" s="281"/>
      <c r="BD36" s="17"/>
      <c r="BE36" s="17"/>
      <c r="BF36" s="17"/>
      <c r="BG36" s="17"/>
      <c r="BH36" s="17"/>
      <c r="BI36" s="17"/>
      <c r="BJ36" s="17"/>
      <c r="BL36" s="999" t="str">
        <f>"Public Debt in Foreign Currency"</f>
        <v>Public Debt in Foreign Currency</v>
      </c>
      <c r="BM36" s="643" t="str">
        <f>"(in percent of total)"</f>
        <v>(in percent of total)</v>
      </c>
      <c r="BN36" s="1522">
        <f>IFERROR(IF(AEStatus=1,#N/A,IF(ISNUMBER(BV11),100*BV11/BN11,#N/A)),)</f>
        <v>0.12499999999998983</v>
      </c>
      <c r="BO36" s="63"/>
      <c r="BP36" s="988">
        <f>IF(AEStatus=1,#N/A,$BO$6)</f>
        <v>25</v>
      </c>
      <c r="BQ36" s="988">
        <f>IF(AEStatus=1,#N/A,$BP$6)</f>
        <v>75</v>
      </c>
      <c r="BR36" s="943"/>
      <c r="BS36" s="636" t="str">
        <f>IF(AEStatus=1,"",IFERROR((ROUND(BV11,0))&amp;"%","no data"))</f>
        <v>0%</v>
      </c>
      <c r="BT36" s="994">
        <v>2</v>
      </c>
      <c r="BU36" s="989">
        <f>BN36</f>
        <v>0.12499999999998983</v>
      </c>
      <c r="BV36" s="1020"/>
      <c r="BW36" s="424">
        <v>2</v>
      </c>
      <c r="BX36" s="521">
        <f>$BX$15</f>
        <v>313</v>
      </c>
      <c r="BY36" s="521">
        <f>$BY$15</f>
        <v>0</v>
      </c>
      <c r="CH36" s="17" t="s">
        <v>707</v>
      </c>
      <c r="CJ36" s="1092">
        <v>-5.2001736788996231</v>
      </c>
      <c r="CK36" s="1092">
        <v>2.0645992659948962</v>
      </c>
      <c r="CL36" s="1092">
        <v>-0.19608395340149354</v>
      </c>
      <c r="CM36" s="1092">
        <v>-1.3056947703557249</v>
      </c>
      <c r="CN36" s="1092">
        <v>-0.54588090004128176</v>
      </c>
      <c r="CO36" s="1092">
        <v>-0.50451896925238549</v>
      </c>
      <c r="CP36" s="1092">
        <v>-0.38153384817829927</v>
      </c>
      <c r="CQ36" s="1092">
        <v>-0.39817913728272503</v>
      </c>
      <c r="CR36" s="1092">
        <v>0.21656980477685162</v>
      </c>
      <c r="CS36" s="1085"/>
      <c r="CT36" s="1085"/>
      <c r="CU36" s="1085"/>
      <c r="CV36" s="1085"/>
      <c r="CW36" s="1085"/>
      <c r="CX36" s="1085"/>
      <c r="CY36" s="1085"/>
      <c r="CZ36" s="1085"/>
      <c r="DA36" s="1085"/>
      <c r="DB36" s="1085"/>
      <c r="DE36" s="4"/>
      <c r="DF36" s="1447">
        <v>-3</v>
      </c>
      <c r="DG36" s="4">
        <v>8</v>
      </c>
      <c r="DH36" s="1444">
        <f t="shared" si="27"/>
        <v>5</v>
      </c>
      <c r="DI36" s="1495">
        <f t="shared" si="25"/>
        <v>1.8058690744920991</v>
      </c>
      <c r="DJ36" s="5"/>
      <c r="DK36" s="1449">
        <v>-3</v>
      </c>
      <c r="DL36" s="4">
        <v>5</v>
      </c>
      <c r="DM36" s="1444">
        <f t="shared" si="28"/>
        <v>5</v>
      </c>
      <c r="DN36" s="1495">
        <f t="shared" si="26"/>
        <v>1.1415525114155249</v>
      </c>
      <c r="DP36" s="284" t="s">
        <v>803</v>
      </c>
      <c r="DR36" s="284"/>
      <c r="DS36" s="284"/>
      <c r="DT36" s="284"/>
      <c r="DU36" s="284"/>
      <c r="DV36" s="284"/>
      <c r="DW36" s="284"/>
      <c r="DX36" s="284"/>
      <c r="DY36" s="284"/>
      <c r="DZ36" s="284"/>
      <c r="EA36" s="284"/>
      <c r="EB36" s="284"/>
      <c r="EG36" s="261"/>
    </row>
    <row r="37" spans="1:181" ht="20.100000000000001" customHeight="1">
      <c r="I37" s="949" t="s">
        <v>192</v>
      </c>
      <c r="J37" s="948">
        <v>924</v>
      </c>
      <c r="K37" s="948">
        <v>0</v>
      </c>
      <c r="L37" s="948"/>
      <c r="M37" s="1029" t="s">
        <v>578</v>
      </c>
      <c r="P37" s="25" t="str">
        <f t="shared" ref="P37:P46" si="30">CONCATENATE(R$36,R37)</f>
        <v>Real GDP Growth ShockNominal Debt (in percent of GDP)</v>
      </c>
      <c r="R37" s="99" t="s">
        <v>421</v>
      </c>
      <c r="S37" s="107"/>
      <c r="T37" s="107"/>
      <c r="U37" s="591">
        <f>(growth!B37)*100</f>
        <v>37.094606570883371</v>
      </c>
      <c r="V37" s="591">
        <f ca="1">(growth!C37)*100</f>
        <v>39.454349298817441</v>
      </c>
      <c r="W37" s="591">
        <f ca="1">(growth!D37)*100</f>
        <v>41.484540959050896</v>
      </c>
      <c r="X37" s="591">
        <f ca="1">(growth!E37)*100</f>
        <v>39.976006759244903</v>
      </c>
      <c r="Y37" s="591">
        <f ca="1">(growth!F37)*100</f>
        <v>38.714403333448963</v>
      </c>
      <c r="Z37" s="592">
        <f ca="1">(growth!G37)*100</f>
        <v>37.528723078427156</v>
      </c>
      <c r="AA37" s="474"/>
      <c r="AB37" s="100"/>
      <c r="AZ37" s="474"/>
      <c r="BA37" s="455"/>
      <c r="BB37" s="455"/>
      <c r="BC37" s="455"/>
      <c r="BD37" s="1272"/>
      <c r="BE37" s="1272"/>
      <c r="BF37" s="1272"/>
      <c r="BG37" s="1272"/>
      <c r="BH37" s="1272"/>
      <c r="BI37" s="1272"/>
      <c r="BJ37" s="1272"/>
      <c r="BN37" s="1009" t="e">
        <v>#N/A</v>
      </c>
      <c r="BO37" s="284"/>
      <c r="BP37" s="988">
        <f>BP36</f>
        <v>25</v>
      </c>
      <c r="BQ37" s="988">
        <f>BQ36</f>
        <v>75</v>
      </c>
      <c r="BR37" s="7"/>
      <c r="BS37" s="990"/>
      <c r="BT37" s="990" t="e">
        <v>#N/A</v>
      </c>
      <c r="BU37" s="990" t="e">
        <v>#N/A</v>
      </c>
      <c r="BV37" s="1018"/>
      <c r="BW37" s="424">
        <v>3</v>
      </c>
      <c r="BX37" s="521">
        <f>$BX$15</f>
        <v>313</v>
      </c>
      <c r="BY37" s="521">
        <f>$BY$15</f>
        <v>0</v>
      </c>
      <c r="CH37" s="17" t="s">
        <v>708</v>
      </c>
      <c r="CJ37" s="1092">
        <v>-2.8158662672674097</v>
      </c>
      <c r="CK37" s="1092">
        <v>3.6140797556830631</v>
      </c>
      <c r="CL37" s="1092">
        <v>1.0250603840859682</v>
      </c>
      <c r="CM37" s="1092">
        <v>0.3219835134926482</v>
      </c>
      <c r="CN37" s="1092">
        <v>0.45475382092202665</v>
      </c>
      <c r="CO37" s="1092">
        <v>0.4993820586492258</v>
      </c>
      <c r="CP37" s="1092">
        <v>0.79114429490597915</v>
      </c>
      <c r="CQ37" s="1092">
        <v>0.40405572433117176</v>
      </c>
      <c r="CR37" s="1092">
        <v>1.0200214327833361</v>
      </c>
      <c r="CS37" s="1085"/>
      <c r="CT37" s="1085"/>
      <c r="CU37" s="1085"/>
      <c r="CV37" s="1085"/>
      <c r="CW37" s="1085"/>
      <c r="CX37" s="1085"/>
      <c r="CY37" s="1085"/>
      <c r="CZ37" s="1085"/>
      <c r="DA37" s="1085"/>
      <c r="DB37" s="1085"/>
      <c r="DE37" s="4"/>
      <c r="DF37" s="1447">
        <v>-2.5</v>
      </c>
      <c r="DG37" s="4">
        <v>14</v>
      </c>
      <c r="DH37" s="1444">
        <f t="shared" si="27"/>
        <v>6</v>
      </c>
      <c r="DI37" s="1495">
        <f t="shared" si="25"/>
        <v>3.1602708803611739</v>
      </c>
      <c r="DJ37" s="5"/>
      <c r="DK37" s="1449">
        <v>-2.5</v>
      </c>
      <c r="DL37" s="4">
        <v>15</v>
      </c>
      <c r="DM37" s="1444">
        <f t="shared" si="28"/>
        <v>6</v>
      </c>
      <c r="DN37" s="1495">
        <f t="shared" si="26"/>
        <v>3.4246575342465753</v>
      </c>
      <c r="DQ37" s="1266" t="e">
        <f t="shared" ref="DQ37:EA37" si="31">IF(BoomBustTrigger=1,DQ33,#N/A)</f>
        <v>#DIV/0!</v>
      </c>
      <c r="DR37" s="1266" t="e">
        <f t="shared" si="31"/>
        <v>#DIV/0!</v>
      </c>
      <c r="DS37" s="1266" t="e">
        <f t="shared" si="31"/>
        <v>#DIV/0!</v>
      </c>
      <c r="DT37" s="1266" t="e">
        <f t="shared" si="31"/>
        <v>#DIV/0!</v>
      </c>
      <c r="DU37" s="1266" t="e">
        <f t="shared" si="31"/>
        <v>#DIV/0!</v>
      </c>
      <c r="DV37" s="1266" t="e">
        <f t="shared" si="31"/>
        <v>#DIV/0!</v>
      </c>
      <c r="DW37" s="1266" t="e">
        <f t="shared" si="31"/>
        <v>#DIV/0!</v>
      </c>
      <c r="DX37" s="1266" t="e">
        <f t="shared" si="31"/>
        <v>#DIV/0!</v>
      </c>
      <c r="DY37" s="1266" t="e">
        <f t="shared" si="31"/>
        <v>#DIV/0!</v>
      </c>
      <c r="DZ37" s="1266" t="e">
        <f t="shared" si="31"/>
        <v>#DIV/0!</v>
      </c>
      <c r="EA37" s="1266" t="e">
        <f t="shared" si="31"/>
        <v>#DIV/0!</v>
      </c>
      <c r="EB37" s="284"/>
      <c r="EG37" s="261"/>
    </row>
    <row r="38" spans="1:181" ht="20.100000000000001" customHeight="1">
      <c r="I38" s="949" t="s">
        <v>193</v>
      </c>
      <c r="J38" s="948">
        <v>233</v>
      </c>
      <c r="K38" s="948">
        <v>0</v>
      </c>
      <c r="L38" s="948"/>
      <c r="M38" s="1029" t="s">
        <v>579</v>
      </c>
      <c r="P38" s="25" t="str">
        <f t="shared" si="30"/>
        <v>Real GDP Growth ShockDebt Service (in percent of GDP)</v>
      </c>
      <c r="R38" s="99" t="s">
        <v>422</v>
      </c>
      <c r="S38" s="107"/>
      <c r="T38" s="107"/>
      <c r="U38" s="591">
        <f>(growth!B38)*100</f>
        <v>3.7107105982600994</v>
      </c>
      <c r="V38" s="591">
        <f ca="1">(growth!C38)*100</f>
        <v>7.6640589946873048</v>
      </c>
      <c r="W38" s="591">
        <f ca="1">(growth!D38)*100</f>
        <v>13.168922635096822</v>
      </c>
      <c r="X38" s="591">
        <f ca="1">(growth!E38)*100</f>
        <v>17.680817519954925</v>
      </c>
      <c r="Y38" s="591">
        <f ca="1">(growth!F38)*100</f>
        <v>18.409974092503905</v>
      </c>
      <c r="Z38" s="592">
        <f ca="1">(growth!G38)*100</f>
        <v>18.178910235363414</v>
      </c>
      <c r="AA38" s="474"/>
      <c r="AB38" s="100"/>
      <c r="AZ38" s="474"/>
      <c r="BA38" s="495"/>
      <c r="BB38" s="495"/>
      <c r="BC38" s="495"/>
      <c r="BD38" s="256"/>
      <c r="BE38" s="256"/>
      <c r="BF38" s="256"/>
      <c r="BG38" s="256"/>
      <c r="BH38" s="256"/>
      <c r="BI38" s="256"/>
      <c r="BJ38" s="256"/>
      <c r="BL38" s="1000"/>
      <c r="BM38" s="256"/>
      <c r="BN38" s="252"/>
      <c r="BO38" s="424"/>
      <c r="BP38" s="617"/>
      <c r="BQ38" s="179"/>
      <c r="BR38" s="617"/>
      <c r="BS38" s="256"/>
      <c r="BT38" s="256"/>
      <c r="BU38" s="251"/>
      <c r="BV38" s="251"/>
      <c r="BW38" s="252"/>
      <c r="BX38" s="252"/>
      <c r="BY38" s="252"/>
      <c r="CH38" s="17" t="s">
        <v>709</v>
      </c>
      <c r="CJ38" s="1092">
        <v>-1.2359082042630343</v>
      </c>
      <c r="CK38" s="1092">
        <v>5.6445426443256297</v>
      </c>
      <c r="CL38" s="1092">
        <v>2.6443592463380132</v>
      </c>
      <c r="CM38" s="1092">
        <v>1.5103417159365691</v>
      </c>
      <c r="CN38" s="1092">
        <v>1.8698433636556542</v>
      </c>
      <c r="CO38" s="1092">
        <v>1.8986564435438225</v>
      </c>
      <c r="CP38" s="1092">
        <v>1.6404439269522366</v>
      </c>
      <c r="CQ38" s="1092">
        <v>1.3938255993925623</v>
      </c>
      <c r="CR38" s="1092">
        <v>1.9696359472488369</v>
      </c>
      <c r="CS38" s="1085"/>
      <c r="CT38" s="1085"/>
      <c r="CU38" s="1085"/>
      <c r="CV38" s="1085"/>
      <c r="CW38" s="1085"/>
      <c r="CX38" s="1085"/>
      <c r="CY38" s="1085"/>
      <c r="CZ38" s="1085"/>
      <c r="DA38" s="1085"/>
      <c r="DB38" s="1085"/>
      <c r="DE38" s="4"/>
      <c r="DF38" s="1447">
        <v>-2</v>
      </c>
      <c r="DG38" s="4">
        <v>9</v>
      </c>
      <c r="DH38" s="1444">
        <f t="shared" si="27"/>
        <v>7</v>
      </c>
      <c r="DI38" s="1495">
        <f t="shared" si="25"/>
        <v>2.0316027088036117</v>
      </c>
      <c r="DJ38" s="5"/>
      <c r="DK38" s="1449">
        <v>-2</v>
      </c>
      <c r="DL38" s="4">
        <v>11</v>
      </c>
      <c r="DM38" s="1444">
        <f t="shared" si="28"/>
        <v>7</v>
      </c>
      <c r="DN38" s="1495">
        <f t="shared" si="26"/>
        <v>2.5114155251141552</v>
      </c>
      <c r="DQ38" s="1266" t="e">
        <f t="shared" ref="DQ38:EA38" si="32">IF(BoomBustTrigger=1,DQ34-DQ33,#N/A)</f>
        <v>#DIV/0!</v>
      </c>
      <c r="DR38" s="1266" t="e">
        <f t="shared" si="32"/>
        <v>#DIV/0!</v>
      </c>
      <c r="DS38" s="1266" t="e">
        <f t="shared" si="32"/>
        <v>#DIV/0!</v>
      </c>
      <c r="DT38" s="1266" t="e">
        <f t="shared" si="32"/>
        <v>#DIV/0!</v>
      </c>
      <c r="DU38" s="1266" t="e">
        <f t="shared" si="32"/>
        <v>#DIV/0!</v>
      </c>
      <c r="DV38" s="1266" t="e">
        <f t="shared" si="32"/>
        <v>#DIV/0!</v>
      </c>
      <c r="DW38" s="1266" t="e">
        <f t="shared" si="32"/>
        <v>#DIV/0!</v>
      </c>
      <c r="DX38" s="1266" t="e">
        <f t="shared" si="32"/>
        <v>#DIV/0!</v>
      </c>
      <c r="DY38" s="1266" t="e">
        <f t="shared" si="32"/>
        <v>#DIV/0!</v>
      </c>
      <c r="DZ38" s="1266" t="e">
        <f t="shared" si="32"/>
        <v>#DIV/0!</v>
      </c>
      <c r="EA38" s="1266" t="e">
        <f t="shared" si="32"/>
        <v>#DIV/0!</v>
      </c>
      <c r="EB38" s="1264" t="e">
        <f>IF(BoomBustTrigger=1,"Boom-bust inter-quartile range around crisis events (t)","")</f>
        <v>#DIV/0!</v>
      </c>
      <c r="EG38" s="261"/>
    </row>
    <row r="39" spans="1:181" ht="20.100000000000001" customHeight="1">
      <c r="I39" s="949" t="s">
        <v>194</v>
      </c>
      <c r="J39" s="948">
        <v>238</v>
      </c>
      <c r="K39" s="948">
        <v>0</v>
      </c>
      <c r="L39" s="948"/>
      <c r="M39" s="1029" t="s">
        <v>580</v>
      </c>
      <c r="P39" s="25" t="str">
        <f t="shared" si="30"/>
        <v>Real GDP Growth ShockGross Financing Need (in percent of GDP)</v>
      </c>
      <c r="R39" s="99" t="s">
        <v>423</v>
      </c>
      <c r="S39" s="107"/>
      <c r="T39" s="107"/>
      <c r="U39" s="591">
        <f>(growth!B39)*100</f>
        <v>3.5994671534530136</v>
      </c>
      <c r="V39" s="591">
        <f ca="1">(growth!C39)*100</f>
        <v>7.6640589946873048</v>
      </c>
      <c r="W39" s="591">
        <f ca="1">(growth!D39)*100</f>
        <v>13.168922635096822</v>
      </c>
      <c r="X39" s="591">
        <f ca="1">(growth!E39)*100</f>
        <v>17.680817519954925</v>
      </c>
      <c r="Y39" s="591">
        <f ca="1">(growth!F39)*100</f>
        <v>18.409974092503905</v>
      </c>
      <c r="Z39" s="592">
        <f ca="1">(growth!G39)*100</f>
        <v>18.178910235363414</v>
      </c>
      <c r="AA39" s="474"/>
      <c r="AB39" s="100"/>
      <c r="AZ39" s="474"/>
      <c r="BA39" s="261"/>
      <c r="BB39" s="261"/>
      <c r="BC39" s="261"/>
      <c r="BD39" s="261"/>
      <c r="BE39" s="261"/>
      <c r="BF39" s="261"/>
      <c r="BG39" s="261"/>
      <c r="BH39" s="261"/>
      <c r="BI39" s="261"/>
      <c r="BJ39" s="261"/>
      <c r="BL39" s="1000"/>
      <c r="BM39" s="256"/>
      <c r="BN39" s="1217" t="str">
        <f>IF(AEStatus=1," Not applicable for "&amp;Country,"")</f>
        <v/>
      </c>
      <c r="BO39" s="424"/>
      <c r="BP39" s="617"/>
      <c r="BQ39" s="179"/>
      <c r="BR39" s="618"/>
      <c r="BS39" s="256"/>
      <c r="BT39" s="256"/>
      <c r="BU39" s="251"/>
      <c r="BV39" s="251"/>
      <c r="BW39" s="252"/>
      <c r="BX39" s="252"/>
      <c r="BY39" s="252"/>
      <c r="CH39" s="17" t="s">
        <v>294</v>
      </c>
      <c r="CJ39" s="1092">
        <v>3.9999999999999574</v>
      </c>
      <c r="CK39" s="1092">
        <v>14.877579743088827</v>
      </c>
      <c r="CL39" s="1092">
        <v>10.430897766293306</v>
      </c>
      <c r="CM39" s="1092">
        <v>104.48327894205309</v>
      </c>
      <c r="CN39" s="1092">
        <v>5.6796034677924965</v>
      </c>
      <c r="CO39" s="1092">
        <v>4.2340798768946577</v>
      </c>
      <c r="CP39" s="1092">
        <v>23.797761590734652</v>
      </c>
      <c r="CQ39" s="1092">
        <v>11.229310104958524</v>
      </c>
      <c r="CR39" s="1092">
        <v>58.569846882262688</v>
      </c>
      <c r="CS39" s="1085"/>
      <c r="CT39" s="1085"/>
      <c r="CU39" s="1085"/>
      <c r="CV39" s="1085"/>
      <c r="CW39" s="1085"/>
      <c r="CX39" s="1085"/>
      <c r="CY39" s="1085"/>
      <c r="CZ39" s="1085"/>
      <c r="DA39" s="1085"/>
      <c r="DB39" s="1085"/>
      <c r="DE39" s="4"/>
      <c r="DF39" s="1447">
        <v>-1.5</v>
      </c>
      <c r="DG39" s="4">
        <v>18</v>
      </c>
      <c r="DH39" s="1444">
        <f t="shared" si="27"/>
        <v>8</v>
      </c>
      <c r="DI39" s="1495">
        <f t="shared" si="25"/>
        <v>4.0632054176072234</v>
      </c>
      <c r="DJ39" s="5"/>
      <c r="DK39" s="1449">
        <v>-1.5</v>
      </c>
      <c r="DL39" s="4">
        <v>16</v>
      </c>
      <c r="DM39" s="1444">
        <f t="shared" si="28"/>
        <v>8</v>
      </c>
      <c r="DN39" s="1495">
        <f t="shared" si="26"/>
        <v>3.6529680365296802</v>
      </c>
      <c r="DQ39" s="1266" t="e">
        <f t="shared" ref="DQ39:EA39" si="33">IF(BoomBustTrigger=1,DQ35-DQ34,#N/A)</f>
        <v>#DIV/0!</v>
      </c>
      <c r="DR39" s="1266" t="e">
        <f t="shared" si="33"/>
        <v>#DIV/0!</v>
      </c>
      <c r="DS39" s="1266" t="e">
        <f t="shared" si="33"/>
        <v>#DIV/0!</v>
      </c>
      <c r="DT39" s="1266" t="e">
        <f t="shared" si="33"/>
        <v>#DIV/0!</v>
      </c>
      <c r="DU39" s="1266" t="e">
        <f t="shared" si="33"/>
        <v>#DIV/0!</v>
      </c>
      <c r="DV39" s="1266" t="e">
        <f t="shared" si="33"/>
        <v>#DIV/0!</v>
      </c>
      <c r="DW39" s="1266" t="e">
        <f t="shared" si="33"/>
        <v>#DIV/0!</v>
      </c>
      <c r="DX39" s="1266" t="e">
        <f t="shared" si="33"/>
        <v>#DIV/0!</v>
      </c>
      <c r="DY39" s="1266" t="e">
        <f t="shared" si="33"/>
        <v>#DIV/0!</v>
      </c>
      <c r="DZ39" s="1266" t="e">
        <f t="shared" si="33"/>
        <v>#DIV/0!</v>
      </c>
      <c r="EA39" s="1266" t="e">
        <f t="shared" si="33"/>
        <v>#DIV/0!</v>
      </c>
      <c r="EB39" s="284"/>
      <c r="EG39" s="261"/>
    </row>
    <row r="40" spans="1:181" ht="20.100000000000001" customHeight="1">
      <c r="I40" s="949" t="s">
        <v>195</v>
      </c>
      <c r="J40" s="948">
        <v>960</v>
      </c>
      <c r="K40" s="948">
        <v>0</v>
      </c>
      <c r="L40" s="948"/>
      <c r="M40" s="1029" t="s">
        <v>581</v>
      </c>
      <c r="P40" s="25" t="str">
        <f t="shared" si="30"/>
        <v>Real GDP Growth ShockNominal Debt (in percent of Revenue)</v>
      </c>
      <c r="R40" s="99" t="s">
        <v>424</v>
      </c>
      <c r="S40" s="107"/>
      <c r="T40" s="107"/>
      <c r="U40" s="591">
        <f>(growth!B40)*100</f>
        <v>100.40391596609757</v>
      </c>
      <c r="V40" s="591" t="e">
        <f ca="1">(growth!C40)*100</f>
        <v>#DIV/0!</v>
      </c>
      <c r="W40" s="591" t="e">
        <f ca="1">(growth!D40)*100</f>
        <v>#DIV/0!</v>
      </c>
      <c r="X40" s="591" t="e">
        <f ca="1">(growth!E40)*100</f>
        <v>#DIV/0!</v>
      </c>
      <c r="Y40" s="591" t="e">
        <f ca="1">(growth!F40)*100</f>
        <v>#DIV/0!</v>
      </c>
      <c r="Z40" s="592" t="e">
        <f ca="1">(growth!G40)*100</f>
        <v>#DIV/0!</v>
      </c>
      <c r="AA40" s="475"/>
      <c r="AB40" s="429"/>
      <c r="AP40" s="25"/>
      <c r="AT40" s="25"/>
      <c r="AU40" s="25"/>
      <c r="AV40" s="25"/>
      <c r="AW40" s="25"/>
      <c r="AX40" s="25"/>
      <c r="AY40" s="25"/>
      <c r="AZ40" s="475"/>
      <c r="CH40" s="17" t="s">
        <v>710</v>
      </c>
      <c r="CJ40" s="1092">
        <v>-5.6620935064630311</v>
      </c>
      <c r="CK40" s="1092">
        <v>2.0575813057913868</v>
      </c>
      <c r="CL40" s="1092">
        <v>-0.79011632715143032</v>
      </c>
      <c r="CM40" s="1092">
        <v>-0.43096815348218342</v>
      </c>
      <c r="CN40" s="1092">
        <v>-0.73298636131409323</v>
      </c>
      <c r="CO40" s="1092">
        <v>-0.91912894543730439</v>
      </c>
      <c r="CP40" s="1092">
        <v>-1.0473162541675181</v>
      </c>
      <c r="CQ40" s="1092">
        <v>-1.2917268303535046</v>
      </c>
      <c r="CR40" s="1092">
        <v>0.22539540321601373</v>
      </c>
      <c r="CS40" s="1085"/>
      <c r="CT40" s="1085"/>
      <c r="CU40" s="1085"/>
      <c r="CV40" s="1085"/>
      <c r="CW40" s="1085"/>
      <c r="CX40" s="1085"/>
      <c r="CY40" s="1085"/>
      <c r="CZ40" s="1085"/>
      <c r="DA40" s="1085"/>
      <c r="DB40" s="1085"/>
      <c r="DF40" s="1447">
        <v>-1</v>
      </c>
      <c r="DG40" s="4">
        <v>22</v>
      </c>
      <c r="DH40" s="1444">
        <f t="shared" si="27"/>
        <v>9</v>
      </c>
      <c r="DI40" s="1495">
        <f t="shared" si="25"/>
        <v>4.966139954853273</v>
      </c>
      <c r="DJ40" s="5"/>
      <c r="DK40" s="1449">
        <v>-1</v>
      </c>
      <c r="DL40" s="4">
        <v>31</v>
      </c>
      <c r="DM40" s="1444">
        <f t="shared" si="28"/>
        <v>9</v>
      </c>
      <c r="DN40" s="1495">
        <f t="shared" si="26"/>
        <v>7.077625570776255</v>
      </c>
      <c r="DQ40" s="1050" t="e">
        <f t="shared" ref="DQ40:EA40" si="34">IF(BoomBustTrigger=1,DQ34,#N/A)</f>
        <v>#DIV/0!</v>
      </c>
      <c r="DR40" s="1050" t="e">
        <f t="shared" si="34"/>
        <v>#DIV/0!</v>
      </c>
      <c r="DS40" s="1050" t="e">
        <f t="shared" si="34"/>
        <v>#DIV/0!</v>
      </c>
      <c r="DT40" s="1050" t="e">
        <f t="shared" si="34"/>
        <v>#DIV/0!</v>
      </c>
      <c r="DU40" s="1050" t="e">
        <f t="shared" si="34"/>
        <v>#DIV/0!</v>
      </c>
      <c r="DV40" s="1050" t="e">
        <f t="shared" si="34"/>
        <v>#DIV/0!</v>
      </c>
      <c r="DW40" s="1050" t="e">
        <f t="shared" si="34"/>
        <v>#DIV/0!</v>
      </c>
      <c r="DX40" s="1050" t="e">
        <f t="shared" si="34"/>
        <v>#DIV/0!</v>
      </c>
      <c r="DY40" s="1050" t="e">
        <f t="shared" si="34"/>
        <v>#DIV/0!</v>
      </c>
      <c r="DZ40" s="1050" t="e">
        <f t="shared" si="34"/>
        <v>#DIV/0!</v>
      </c>
      <c r="EA40" s="1050" t="e">
        <f t="shared" si="34"/>
        <v>#DIV/0!</v>
      </c>
      <c r="EB40" s="1263" t="str">
        <f>EB34</f>
        <v>median</v>
      </c>
      <c r="EG40" s="261"/>
    </row>
    <row r="41" spans="1:181" s="284" customFormat="1" ht="20.100000000000001" customHeight="1">
      <c r="A41" s="98"/>
      <c r="B41" s="25"/>
      <c r="C41" s="25"/>
      <c r="D41" s="25"/>
      <c r="E41" s="25"/>
      <c r="F41" s="25"/>
      <c r="G41" s="464"/>
      <c r="H41" s="98"/>
      <c r="I41" s="949" t="s">
        <v>196</v>
      </c>
      <c r="J41" s="948">
        <v>423</v>
      </c>
      <c r="K41" s="948">
        <v>1</v>
      </c>
      <c r="L41" s="948"/>
      <c r="M41" s="1029" t="s">
        <v>582</v>
      </c>
      <c r="N41" s="464"/>
      <c r="O41" s="98"/>
      <c r="P41" s="25" t="str">
        <f t="shared" si="30"/>
        <v>Real GDP Growth ShockDebt Service (in percent of Revenue)</v>
      </c>
      <c r="Q41" s="25"/>
      <c r="R41" s="99" t="s">
        <v>425</v>
      </c>
      <c r="S41" s="107"/>
      <c r="T41" s="107"/>
      <c r="U41" s="591">
        <f>(growth!B41)*100</f>
        <v>10.043774810504543</v>
      </c>
      <c r="V41" s="591" t="e">
        <f ca="1">(growth!C41)*100</f>
        <v>#DIV/0!</v>
      </c>
      <c r="W41" s="591" t="e">
        <f ca="1">(growth!D41)*100</f>
        <v>#DIV/0!</v>
      </c>
      <c r="X41" s="591" t="e">
        <f ca="1">(growth!E41)*100</f>
        <v>#DIV/0!</v>
      </c>
      <c r="Y41" s="591" t="e">
        <f ca="1">(growth!F41)*100</f>
        <v>#DIV/0!</v>
      </c>
      <c r="Z41" s="592" t="e">
        <f ca="1">(growth!G41)*100</f>
        <v>#DIV/0!</v>
      </c>
      <c r="AA41" s="474"/>
      <c r="AB41" s="100"/>
      <c r="AC41" s="25"/>
      <c r="AD41" s="25"/>
      <c r="AE41" s="25"/>
      <c r="AF41" s="25"/>
      <c r="AG41" s="25"/>
      <c r="AH41" s="25"/>
      <c r="AI41" s="25"/>
      <c r="AJ41" s="25"/>
      <c r="AK41" s="25"/>
      <c r="AL41" s="25"/>
      <c r="AM41" s="25"/>
      <c r="AN41" s="25"/>
      <c r="AO41" s="464"/>
      <c r="AP41" s="259">
        <f>IF(AND(ScrutinyClassification_Final="Lower",CLTrigger=1),1,0)</f>
        <v>0</v>
      </c>
      <c r="AQ41" s="1333" t="str">
        <f>IF(Basic2Shock4=1,"Contingent Liability Shock","")</f>
        <v/>
      </c>
      <c r="AR41" s="1333"/>
      <c r="AS41" s="1333"/>
      <c r="AT41" s="25"/>
      <c r="AU41" s="25"/>
      <c r="AV41" s="25"/>
      <c r="AW41" s="25"/>
      <c r="AX41" s="25"/>
      <c r="AY41" s="25"/>
      <c r="AZ41" s="474"/>
      <c r="BA41" s="247"/>
      <c r="BB41" s="247"/>
      <c r="BC41" s="247"/>
      <c r="BD41" s="247"/>
      <c r="BE41" s="247"/>
      <c r="BF41" s="247"/>
      <c r="BG41" s="247"/>
      <c r="BH41" s="247"/>
      <c r="BI41" s="247"/>
      <c r="BJ41" s="247"/>
      <c r="BK41" s="254"/>
      <c r="BZ41" s="254"/>
      <c r="CA41" s="255"/>
      <c r="CB41" s="247"/>
      <c r="CC41" s="247"/>
      <c r="CD41" s="247"/>
      <c r="CE41" s="247"/>
      <c r="CF41" s="247"/>
      <c r="CG41" s="254"/>
      <c r="CH41" s="1087" t="s">
        <v>716</v>
      </c>
      <c r="CR41" s="1086"/>
      <c r="CS41" s="1076"/>
      <c r="CT41" s="1076"/>
      <c r="CU41" s="1076"/>
      <c r="CV41" s="1076"/>
      <c r="CW41" s="1076"/>
      <c r="CX41" s="1076"/>
      <c r="CY41" s="1076"/>
      <c r="CZ41" s="1076"/>
      <c r="DA41" s="1076"/>
      <c r="DB41" s="1076"/>
      <c r="DC41" s="993"/>
      <c r="DE41" s="281"/>
      <c r="DF41" s="1447">
        <v>-0.5</v>
      </c>
      <c r="DG41" s="4">
        <v>13</v>
      </c>
      <c r="DH41" s="1444">
        <f t="shared" si="27"/>
        <v>10</v>
      </c>
      <c r="DI41" s="1495">
        <f t="shared" si="25"/>
        <v>2.9345372460496613</v>
      </c>
      <c r="DJ41" s="5"/>
      <c r="DK41" s="1449">
        <v>-0.5</v>
      </c>
      <c r="DL41" s="4">
        <v>20</v>
      </c>
      <c r="DM41" s="1444">
        <f t="shared" si="28"/>
        <v>10</v>
      </c>
      <c r="DN41" s="1495">
        <f t="shared" si="26"/>
        <v>4.5662100456620998</v>
      </c>
      <c r="DO41" s="993"/>
      <c r="EC41" s="281"/>
      <c r="ED41" s="281"/>
      <c r="EE41" s="281"/>
      <c r="EF41" s="993"/>
      <c r="EG41" s="261"/>
      <c r="EH41" s="281"/>
      <c r="EI41" s="281"/>
      <c r="EJ41" s="281"/>
      <c r="EK41" s="281"/>
      <c r="EL41" s="281"/>
      <c r="EM41" s="281"/>
      <c r="EN41" s="281"/>
      <c r="EO41" s="281"/>
      <c r="EP41" s="281"/>
      <c r="EQ41" s="281"/>
      <c r="ER41" s="281"/>
      <c r="ES41" s="281"/>
      <c r="ET41" s="281"/>
      <c r="EU41" s="281"/>
      <c r="EV41" s="281"/>
      <c r="EW41" s="281"/>
      <c r="EX41" s="281"/>
      <c r="EY41" s="281"/>
      <c r="EZ41" s="281"/>
      <c r="FA41" s="281"/>
      <c r="FB41" s="281"/>
      <c r="FC41" s="281"/>
      <c r="FD41" s="281"/>
      <c r="FE41" s="281"/>
      <c r="FF41" s="281"/>
      <c r="FG41" s="281"/>
      <c r="FH41" s="281"/>
      <c r="FI41" s="281"/>
      <c r="FJ41" s="281"/>
      <c r="FK41" s="281"/>
      <c r="FL41" s="281"/>
      <c r="FM41" s="281"/>
      <c r="FN41" s="281"/>
      <c r="FO41" s="281"/>
      <c r="FP41" s="281"/>
      <c r="FQ41" s="281"/>
      <c r="FR41" s="281"/>
      <c r="FS41" s="281"/>
      <c r="FT41" s="281"/>
      <c r="FU41" s="281"/>
      <c r="FV41" s="281"/>
      <c r="FW41" s="281"/>
      <c r="FX41" s="281"/>
      <c r="FY41" s="281"/>
    </row>
    <row r="42" spans="1:181" s="284" customFormat="1" ht="20.100000000000001" customHeight="1" thickBot="1">
      <c r="A42" s="98"/>
      <c r="B42" s="25"/>
      <c r="C42" s="25"/>
      <c r="D42" s="25"/>
      <c r="E42" s="25"/>
      <c r="F42" s="25"/>
      <c r="G42" s="464"/>
      <c r="H42" s="98"/>
      <c r="I42" s="949" t="s">
        <v>197</v>
      </c>
      <c r="J42" s="948">
        <v>935</v>
      </c>
      <c r="K42" s="948">
        <v>0</v>
      </c>
      <c r="L42" s="948"/>
      <c r="M42" s="1029" t="s">
        <v>583</v>
      </c>
      <c r="N42" s="464"/>
      <c r="O42" s="98"/>
      <c r="P42" s="25" t="str">
        <f t="shared" si="30"/>
        <v>Real GDP Growth ShockGross Financing Need (in percent of Revenue)</v>
      </c>
      <c r="Q42" s="25"/>
      <c r="R42" s="101" t="s">
        <v>426</v>
      </c>
      <c r="S42" s="632"/>
      <c r="T42" s="632"/>
      <c r="U42" s="593">
        <f>(growth!B42)*100</f>
        <v>9.7426723453025819</v>
      </c>
      <c r="V42" s="594" t="e">
        <f ca="1">(growth!C42)*100</f>
        <v>#DIV/0!</v>
      </c>
      <c r="W42" s="594" t="e">
        <f ca="1">(growth!D42)*100</f>
        <v>#DIV/0!</v>
      </c>
      <c r="X42" s="594" t="e">
        <f ca="1">(growth!E42)*100</f>
        <v>#DIV/0!</v>
      </c>
      <c r="Y42" s="594" t="e">
        <f ca="1">(growth!F42)*100</f>
        <v>#DIV/0!</v>
      </c>
      <c r="Z42" s="595" t="e">
        <f ca="1">(growth!G42)*100</f>
        <v>#DIV/0!</v>
      </c>
      <c r="AA42" s="474"/>
      <c r="AB42" s="100"/>
      <c r="AC42" s="25"/>
      <c r="AD42" s="25"/>
      <c r="AE42" s="25"/>
      <c r="AF42" s="25"/>
      <c r="AG42" s="25"/>
      <c r="AH42" s="25"/>
      <c r="AI42" s="25"/>
      <c r="AJ42" s="25"/>
      <c r="AK42" s="25"/>
      <c r="AL42" s="25"/>
      <c r="AM42" s="25"/>
      <c r="AN42" s="25"/>
      <c r="AO42" s="464"/>
      <c r="AP42" s="289"/>
      <c r="AQ42" s="265" t="s">
        <v>421</v>
      </c>
      <c r="AR42" s="598" t="e">
        <v>#N/A</v>
      </c>
      <c r="AS42" s="598" t="e">
        <v>#N/A</v>
      </c>
      <c r="AT42" s="598" t="e">
        <f t="shared" ref="AT42:AY45" si="35">VLOOKUP(CONCATENATE($AQ$41,$AQ42),$P$7:$Z$158,U$2,FALSE)</f>
        <v>#N/A</v>
      </c>
      <c r="AU42" s="598" t="e">
        <f t="shared" si="35"/>
        <v>#N/A</v>
      </c>
      <c r="AV42" s="598" t="e">
        <f t="shared" si="35"/>
        <v>#N/A</v>
      </c>
      <c r="AW42" s="598" t="e">
        <f t="shared" si="35"/>
        <v>#N/A</v>
      </c>
      <c r="AX42" s="598" t="e">
        <f t="shared" si="35"/>
        <v>#N/A</v>
      </c>
      <c r="AY42" s="598" t="e">
        <f t="shared" si="35"/>
        <v>#N/A</v>
      </c>
      <c r="AZ42" s="474"/>
      <c r="BA42" s="247"/>
      <c r="BB42" s="247"/>
      <c r="BC42" s="247"/>
      <c r="BD42" s="247"/>
      <c r="BE42" s="247"/>
      <c r="BF42" s="247"/>
      <c r="BG42" s="247"/>
      <c r="BH42" s="247"/>
      <c r="BI42" s="247"/>
      <c r="BJ42" s="247"/>
      <c r="BK42" s="254"/>
      <c r="BZ42" s="254"/>
      <c r="CA42" s="255"/>
      <c r="CB42" s="247"/>
      <c r="CC42" s="247"/>
      <c r="CD42" s="247"/>
      <c r="CE42" s="247"/>
      <c r="CF42" s="247"/>
      <c r="CG42" s="254"/>
      <c r="CH42" s="284" t="s">
        <v>714</v>
      </c>
      <c r="CI42" s="1086"/>
      <c r="CJ42" s="1086">
        <f t="shared" ref="CJ42:CR42" si="36">CJ35</f>
        <v>-7.9190288147455794</v>
      </c>
      <c r="CK42" s="1086">
        <f t="shared" si="36"/>
        <v>0.63220765001343504</v>
      </c>
      <c r="CL42" s="1086">
        <f t="shared" si="36"/>
        <v>-1.389642261944307</v>
      </c>
      <c r="CM42" s="1086">
        <f t="shared" si="36"/>
        <v>-2.5856528104721366</v>
      </c>
      <c r="CN42" s="1086">
        <f t="shared" si="36"/>
        <v>-1.4185621757271507</v>
      </c>
      <c r="CO42" s="1086">
        <f t="shared" si="36"/>
        <v>-1.7440413571498865</v>
      </c>
      <c r="CP42" s="1086">
        <f t="shared" si="36"/>
        <v>-1.6808266748309231</v>
      </c>
      <c r="CQ42" s="1086">
        <f t="shared" si="36"/>
        <v>-1.7040764631000975</v>
      </c>
      <c r="CR42" s="1086">
        <f t="shared" si="36"/>
        <v>-0.93667542361052503</v>
      </c>
      <c r="CS42" s="1076"/>
      <c r="CT42" s="1076"/>
      <c r="CU42" s="1076"/>
      <c r="CV42" s="1076"/>
      <c r="CW42" s="1076"/>
      <c r="CX42" s="1076"/>
      <c r="CY42" s="1076"/>
      <c r="CZ42" s="1076"/>
      <c r="DA42" s="1076"/>
      <c r="DB42" s="1076"/>
      <c r="DC42" s="993"/>
      <c r="DE42" s="281"/>
      <c r="DF42" s="1447">
        <v>0</v>
      </c>
      <c r="DG42" s="4">
        <v>15</v>
      </c>
      <c r="DH42" s="1444">
        <f t="shared" si="27"/>
        <v>11</v>
      </c>
      <c r="DI42" s="1495">
        <f t="shared" si="25"/>
        <v>3.3860045146726865</v>
      </c>
      <c r="DJ42" s="669"/>
      <c r="DK42" s="1449">
        <v>0</v>
      </c>
      <c r="DL42" s="4">
        <v>26</v>
      </c>
      <c r="DM42" s="1444">
        <f t="shared" si="28"/>
        <v>11</v>
      </c>
      <c r="DN42" s="1495">
        <f t="shared" si="26"/>
        <v>5.93607305936073</v>
      </c>
      <c r="DO42" s="993"/>
      <c r="DQ42" s="280"/>
      <c r="DR42" s="280"/>
      <c r="DS42" s="280"/>
      <c r="DT42" s="280"/>
      <c r="DU42" s="280"/>
      <c r="DV42" s="89"/>
      <c r="DW42" s="89"/>
      <c r="DX42" s="89"/>
      <c r="DY42" s="89"/>
      <c r="DZ42" s="89"/>
      <c r="EA42" s="89"/>
      <c r="EB42" s="281"/>
      <c r="EC42" s="281"/>
      <c r="ED42" s="281"/>
      <c r="EE42" s="281"/>
      <c r="EF42" s="993"/>
      <c r="EG42" s="261"/>
      <c r="EH42" s="281"/>
      <c r="EI42" s="281"/>
      <c r="EJ42" s="281"/>
      <c r="EK42" s="281"/>
      <c r="EL42" s="281"/>
      <c r="EM42" s="281"/>
      <c r="EN42" s="281"/>
      <c r="EO42" s="281"/>
      <c r="EP42" s="281"/>
      <c r="EQ42" s="281"/>
      <c r="ER42" s="281"/>
      <c r="ES42" s="281"/>
      <c r="ET42" s="281"/>
      <c r="EU42" s="281"/>
      <c r="EV42" s="281"/>
      <c r="EW42" s="281"/>
      <c r="EX42" s="281"/>
      <c r="EY42" s="281"/>
      <c r="EZ42" s="281"/>
      <c r="FA42" s="281"/>
      <c r="FB42" s="281"/>
      <c r="FC42" s="281"/>
      <c r="FD42" s="281"/>
      <c r="FE42" s="281"/>
      <c r="FF42" s="281"/>
      <c r="FG42" s="281"/>
      <c r="FH42" s="281"/>
      <c r="FI42" s="281"/>
      <c r="FJ42" s="281"/>
      <c r="FK42" s="281"/>
      <c r="FL42" s="281"/>
      <c r="FM42" s="281"/>
      <c r="FN42" s="281"/>
      <c r="FO42" s="281"/>
      <c r="FP42" s="281"/>
      <c r="FQ42" s="281"/>
      <c r="FR42" s="281"/>
      <c r="FS42" s="281"/>
      <c r="FT42" s="281"/>
      <c r="FU42" s="281"/>
      <c r="FV42" s="281"/>
      <c r="FW42" s="281"/>
      <c r="FX42" s="281"/>
      <c r="FY42" s="281"/>
    </row>
    <row r="43" spans="1:181" s="284" customFormat="1" ht="20.100000000000001" customHeight="1">
      <c r="A43" s="98"/>
      <c r="B43" s="25"/>
      <c r="C43" s="25"/>
      <c r="D43" s="25"/>
      <c r="E43" s="25"/>
      <c r="F43" s="25"/>
      <c r="G43" s="464"/>
      <c r="H43" s="98"/>
      <c r="I43" s="949" t="s">
        <v>198</v>
      </c>
      <c r="J43" s="948">
        <v>128</v>
      </c>
      <c r="K43" s="948">
        <v>1</v>
      </c>
      <c r="L43" s="948"/>
      <c r="M43" s="1029" t="s">
        <v>584</v>
      </c>
      <c r="N43" s="464"/>
      <c r="O43" s="98"/>
      <c r="P43" s="25" t="str">
        <f t="shared" si="30"/>
        <v>Real GDP Growth ShockReal GDP growth (in percent)</v>
      </c>
      <c r="Q43" s="25"/>
      <c r="R43" s="431" t="s">
        <v>418</v>
      </c>
      <c r="S43" s="111"/>
      <c r="T43" s="111"/>
      <c r="U43" s="596">
        <f>(growth!B$26)*100</f>
        <v>4.7697166816344838</v>
      </c>
      <c r="V43" s="596">
        <f>(growth!C$26)*100</f>
        <v>-2.9400730822444126</v>
      </c>
      <c r="W43" s="596">
        <f>(growth!D$26)*100</f>
        <v>-3.1140062952496854</v>
      </c>
      <c r="X43" s="596">
        <f>(growth!E$26)*100</f>
        <v>2.8871442593204177</v>
      </c>
      <c r="Y43" s="596">
        <f>(growth!F$26)*100</f>
        <v>2.933023694707515</v>
      </c>
      <c r="Z43" s="597">
        <f>(growth!G$26)*100</f>
        <v>2.8000000000000025</v>
      </c>
      <c r="AA43" s="474"/>
      <c r="AB43" s="100"/>
      <c r="AC43" s="25"/>
      <c r="AD43" s="25"/>
      <c r="AE43" s="25"/>
      <c r="AF43" s="25"/>
      <c r="AG43" s="25"/>
      <c r="AH43" s="25"/>
      <c r="AI43" s="25"/>
      <c r="AJ43" s="25"/>
      <c r="AK43" s="25"/>
      <c r="AL43" s="25"/>
      <c r="AM43" s="25"/>
      <c r="AN43" s="25"/>
      <c r="AO43" s="464"/>
      <c r="AP43" s="289"/>
      <c r="AQ43" s="107" t="s">
        <v>424</v>
      </c>
      <c r="AR43" s="599" t="e">
        <v>#N/A</v>
      </c>
      <c r="AS43" s="599" t="e">
        <v>#N/A</v>
      </c>
      <c r="AT43" s="599" t="e">
        <f t="shared" si="35"/>
        <v>#N/A</v>
      </c>
      <c r="AU43" s="599" t="e">
        <f t="shared" si="35"/>
        <v>#N/A</v>
      </c>
      <c r="AV43" s="599" t="e">
        <f t="shared" si="35"/>
        <v>#N/A</v>
      </c>
      <c r="AW43" s="599" t="e">
        <f t="shared" si="35"/>
        <v>#N/A</v>
      </c>
      <c r="AX43" s="599" t="e">
        <f t="shared" si="35"/>
        <v>#N/A</v>
      </c>
      <c r="AY43" s="599" t="e">
        <f t="shared" si="35"/>
        <v>#N/A</v>
      </c>
      <c r="AZ43" s="474"/>
      <c r="BA43" s="247"/>
      <c r="BB43" s="247"/>
      <c r="BC43" s="247"/>
      <c r="BD43" s="247"/>
      <c r="BE43" s="247"/>
      <c r="BF43" s="247"/>
      <c r="BG43" s="247"/>
      <c r="BH43" s="247"/>
      <c r="BI43" s="247"/>
      <c r="BJ43" s="247"/>
      <c r="BK43" s="254"/>
      <c r="BZ43" s="254"/>
      <c r="CA43" s="255"/>
      <c r="CB43" s="247"/>
      <c r="CC43" s="247"/>
      <c r="CD43" s="247"/>
      <c r="CE43" s="247"/>
      <c r="CF43" s="247"/>
      <c r="CG43" s="254"/>
      <c r="CH43" s="284" t="s">
        <v>715</v>
      </c>
      <c r="CI43" s="1086"/>
      <c r="CJ43" s="1086">
        <f t="shared" ref="CJ43:CR43" si="37">CJ37-CJ35</f>
        <v>5.1031625474781697</v>
      </c>
      <c r="CK43" s="1086">
        <f t="shared" si="37"/>
        <v>2.9818721056696278</v>
      </c>
      <c r="CL43" s="1086">
        <f t="shared" si="37"/>
        <v>2.4147026460302752</v>
      </c>
      <c r="CM43" s="1086">
        <f t="shared" si="37"/>
        <v>2.9076363239647849</v>
      </c>
      <c r="CN43" s="1086">
        <f t="shared" si="37"/>
        <v>1.8733159966491773</v>
      </c>
      <c r="CO43" s="1086">
        <f t="shared" si="37"/>
        <v>2.2434234157991124</v>
      </c>
      <c r="CP43" s="1086">
        <f t="shared" si="37"/>
        <v>2.4719709697369021</v>
      </c>
      <c r="CQ43" s="1086">
        <f t="shared" si="37"/>
        <v>2.1081321874312691</v>
      </c>
      <c r="CR43" s="1086">
        <f t="shared" si="37"/>
        <v>1.9566968563938612</v>
      </c>
      <c r="CS43" s="1076"/>
      <c r="CT43" s="1076"/>
      <c r="CU43" s="1076"/>
      <c r="CV43" s="1076"/>
      <c r="CW43" s="1076"/>
      <c r="CX43" s="1076"/>
      <c r="CY43" s="1076"/>
      <c r="CZ43" s="1076"/>
      <c r="DA43" s="1076"/>
      <c r="DB43" s="1076"/>
      <c r="DC43" s="993"/>
      <c r="DE43" s="281"/>
      <c r="DF43" s="1447">
        <v>0.5</v>
      </c>
      <c r="DG43" s="4">
        <v>17</v>
      </c>
      <c r="DH43" s="1444">
        <f t="shared" si="27"/>
        <v>12</v>
      </c>
      <c r="DI43" s="1495">
        <f t="shared" si="25"/>
        <v>3.8374717832957108</v>
      </c>
      <c r="DJ43" s="669"/>
      <c r="DK43" s="1449">
        <v>0.5</v>
      </c>
      <c r="DL43" s="4">
        <v>35</v>
      </c>
      <c r="DM43" s="1444">
        <f t="shared" si="28"/>
        <v>12</v>
      </c>
      <c r="DN43" s="1495">
        <f t="shared" si="26"/>
        <v>7.9908675799086755</v>
      </c>
      <c r="DO43" s="993"/>
      <c r="DQ43" s="1269" t="e">
        <f>IF(BoomBustTrigger=1,'Baseline debt'!K52*100,#N/A)</f>
        <v>#DIV/0!</v>
      </c>
      <c r="DR43" s="1270" t="e">
        <f>IF(BoomBustTrigger=1,'Baseline debt'!L52*100,#N/A)</f>
        <v>#DIV/0!</v>
      </c>
      <c r="DS43" s="1270" t="e">
        <f>IF(BoomBustTrigger=1,'Baseline debt'!M52*100,#N/A)</f>
        <v>#DIV/0!</v>
      </c>
      <c r="DT43" s="1270" t="e">
        <f>IF(BoomBustTrigger=1,'Baseline debt'!N52*100,#N/A)</f>
        <v>#DIV/0!</v>
      </c>
      <c r="DU43" s="1270" t="e">
        <f>IF(BoomBustTrigger=1,'Baseline debt'!O52*100,#N/A)</f>
        <v>#DIV/0!</v>
      </c>
      <c r="DV43" s="1270" t="e">
        <f>IF(BoomBustTrigger=1,'Baseline debt'!P52*100,#N/A)</f>
        <v>#DIV/0!</v>
      </c>
      <c r="DW43" s="1270" t="e">
        <f>IF(BoomBustTrigger=1,'Baseline debt'!Q52*100,#N/A)</f>
        <v>#DIV/0!</v>
      </c>
      <c r="DX43" s="1270" t="e">
        <f>IF(BoomBustTrigger=1,'Baseline debt'!R52*100,#N/A)</f>
        <v>#DIV/0!</v>
      </c>
      <c r="DY43" s="1270" t="e">
        <f>IF(BoomBustTrigger=1,'Baseline debt'!S52*100,#N/A)</f>
        <v>#DIV/0!</v>
      </c>
      <c r="DZ43" s="1270" t="e">
        <f>IF(BoomBustTrigger=1,'Baseline debt'!T52*100,#N/A)</f>
        <v>#DIV/0!</v>
      </c>
      <c r="EA43" s="1271" t="e">
        <f>IF(BoomBustTrigger=1,'Baseline debt'!U52*100,#N/A)</f>
        <v>#DIV/0!</v>
      </c>
      <c r="EB43" s="281" t="str">
        <f>Country</f>
        <v>Latvia</v>
      </c>
      <c r="EC43" s="281"/>
      <c r="ED43" s="281"/>
      <c r="EE43" s="281"/>
      <c r="EF43" s="993"/>
      <c r="EG43" s="261"/>
      <c r="EH43" s="281"/>
      <c r="EI43" s="281"/>
      <c r="EJ43" s="281"/>
      <c r="EK43" s="281"/>
      <c r="EL43" s="281"/>
      <c r="EM43" s="281"/>
      <c r="EN43" s="281"/>
      <c r="EO43" s="281"/>
      <c r="EP43" s="281"/>
      <c r="EQ43" s="281"/>
      <c r="ER43" s="281"/>
      <c r="ES43" s="281"/>
      <c r="ET43" s="281"/>
      <c r="EU43" s="281"/>
      <c r="EV43" s="281"/>
      <c r="EW43" s="281"/>
      <c r="EX43" s="281"/>
      <c r="EY43" s="281"/>
      <c r="EZ43" s="281"/>
      <c r="FA43" s="281"/>
      <c r="FB43" s="281"/>
      <c r="FC43" s="281"/>
      <c r="FD43" s="281"/>
      <c r="FE43" s="281"/>
      <c r="FF43" s="281"/>
      <c r="FG43" s="281"/>
      <c r="FH43" s="281"/>
      <c r="FI43" s="281"/>
      <c r="FJ43" s="281"/>
      <c r="FK43" s="281"/>
      <c r="FL43" s="281"/>
      <c r="FM43" s="281"/>
      <c r="FN43" s="281"/>
      <c r="FO43" s="281"/>
      <c r="FP43" s="281"/>
      <c r="FQ43" s="281"/>
      <c r="FR43" s="281"/>
      <c r="FS43" s="281"/>
      <c r="FT43" s="281"/>
      <c r="FU43" s="281"/>
      <c r="FV43" s="281"/>
      <c r="FW43" s="281"/>
      <c r="FX43" s="281"/>
      <c r="FY43" s="281"/>
    </row>
    <row r="44" spans="1:181" s="284" customFormat="1" ht="20.100000000000001" customHeight="1">
      <c r="A44" s="98"/>
      <c r="B44" s="25"/>
      <c r="C44" s="25"/>
      <c r="D44" s="25"/>
      <c r="E44" s="25"/>
      <c r="F44" s="25"/>
      <c r="G44" s="464"/>
      <c r="H44" s="98"/>
      <c r="I44" s="949" t="s">
        <v>199</v>
      </c>
      <c r="J44" s="948">
        <v>243</v>
      </c>
      <c r="K44" s="948">
        <v>0</v>
      </c>
      <c r="L44" s="948"/>
      <c r="M44" s="1029" t="s">
        <v>585</v>
      </c>
      <c r="N44" s="464"/>
      <c r="O44" s="98"/>
      <c r="P44" s="25" t="str">
        <f t="shared" si="30"/>
        <v>Real GDP Growth ShockInflation (in percent)</v>
      </c>
      <c r="Q44" s="25"/>
      <c r="R44" s="99" t="s">
        <v>427</v>
      </c>
      <c r="S44" s="107"/>
      <c r="T44" s="107"/>
      <c r="U44" s="591">
        <f>(growth!B$27)*100</f>
        <v>4.2122999157540031</v>
      </c>
      <c r="V44" s="591">
        <f>(growth!C$27)*100</f>
        <v>1.5585753694680979</v>
      </c>
      <c r="W44" s="591">
        <f>(growth!D$27)*100</f>
        <v>1.2666567667486326</v>
      </c>
      <c r="X44" s="591">
        <f>(growth!E$27)*100</f>
        <v>2.5315565708619037</v>
      </c>
      <c r="Y44" s="591">
        <f>(growth!F$27)*100</f>
        <v>2.4647711698661201</v>
      </c>
      <c r="Z44" s="592">
        <f>(growth!G$27)*100</f>
        <v>2.5000000000000133</v>
      </c>
      <c r="AA44" s="475"/>
      <c r="AB44" s="429"/>
      <c r="AC44" s="25"/>
      <c r="AD44" s="25"/>
      <c r="AE44" s="25"/>
      <c r="AF44" s="25"/>
      <c r="AG44" s="25"/>
      <c r="AH44" s="25"/>
      <c r="AI44" s="25"/>
      <c r="AJ44" s="25"/>
      <c r="AK44" s="25"/>
      <c r="AL44" s="25"/>
      <c r="AM44" s="25"/>
      <c r="AN44" s="25"/>
      <c r="AO44" s="464"/>
      <c r="AP44" s="289"/>
      <c r="AQ44" s="107" t="s">
        <v>425</v>
      </c>
      <c r="AR44" s="599" t="e">
        <v>#N/A</v>
      </c>
      <c r="AS44" s="599" t="e">
        <v>#N/A</v>
      </c>
      <c r="AT44" s="599" t="e">
        <f t="shared" si="35"/>
        <v>#N/A</v>
      </c>
      <c r="AU44" s="599" t="e">
        <f t="shared" si="35"/>
        <v>#N/A</v>
      </c>
      <c r="AV44" s="599" t="e">
        <f t="shared" si="35"/>
        <v>#N/A</v>
      </c>
      <c r="AW44" s="599" t="e">
        <f t="shared" si="35"/>
        <v>#N/A</v>
      </c>
      <c r="AX44" s="599" t="e">
        <f t="shared" si="35"/>
        <v>#N/A</v>
      </c>
      <c r="AY44" s="599" t="e">
        <f t="shared" si="35"/>
        <v>#N/A</v>
      </c>
      <c r="AZ44" s="475"/>
      <c r="BA44" s="247"/>
      <c r="BB44" s="247"/>
      <c r="BC44" s="247"/>
      <c r="BD44" s="247"/>
      <c r="BE44" s="247"/>
      <c r="BF44" s="247"/>
      <c r="BG44" s="247"/>
      <c r="BH44" s="247"/>
      <c r="BI44" s="247"/>
      <c r="BJ44" s="247"/>
      <c r="BK44" s="254"/>
      <c r="BL44" s="63"/>
      <c r="BM44" s="424"/>
      <c r="BN44" s="17"/>
      <c r="BO44" s="17"/>
      <c r="BP44" s="17"/>
      <c r="BQ44" s="1002"/>
      <c r="BR44" s="880"/>
      <c r="BS44" s="257"/>
      <c r="BT44" s="424"/>
      <c r="BU44" s="424"/>
      <c r="BV44" s="424"/>
      <c r="BW44" s="261"/>
      <c r="BX44" s="261"/>
      <c r="BY44" s="261"/>
      <c r="BZ44" s="254"/>
      <c r="CA44" s="255"/>
      <c r="CB44" s="247"/>
      <c r="CC44" s="247"/>
      <c r="CD44" s="247"/>
      <c r="CE44" s="247"/>
      <c r="CF44" s="247"/>
      <c r="CG44" s="254"/>
      <c r="CS44" s="281"/>
      <c r="CT44" s="17"/>
      <c r="CU44" s="17"/>
      <c r="CV44" s="17"/>
      <c r="CW44" s="17"/>
      <c r="CX44" s="17"/>
      <c r="CY44" s="17"/>
      <c r="CZ44" s="17"/>
      <c r="DA44" s="17"/>
      <c r="DB44" s="17"/>
      <c r="DC44" s="993"/>
      <c r="DE44" s="281"/>
      <c r="DF44" s="1447">
        <v>1</v>
      </c>
      <c r="DG44" s="4">
        <v>23</v>
      </c>
      <c r="DH44" s="1444">
        <f t="shared" si="27"/>
        <v>13</v>
      </c>
      <c r="DI44" s="1495">
        <f t="shared" si="25"/>
        <v>5.1918735891647856</v>
      </c>
      <c r="DJ44" s="669"/>
      <c r="DK44" s="1449">
        <v>1</v>
      </c>
      <c r="DL44" s="4">
        <v>27</v>
      </c>
      <c r="DM44" s="1444">
        <f t="shared" si="28"/>
        <v>13</v>
      </c>
      <c r="DN44" s="1495">
        <f t="shared" si="26"/>
        <v>6.1643835616438354</v>
      </c>
      <c r="DO44" s="993"/>
      <c r="DV44" s="281"/>
      <c r="DW44" s="281"/>
      <c r="DX44" s="281"/>
      <c r="DY44" s="281"/>
      <c r="DZ44" s="281"/>
      <c r="EA44" s="281"/>
      <c r="EB44" s="281"/>
      <c r="EC44" s="281"/>
      <c r="ED44" s="281"/>
      <c r="EE44" s="281"/>
      <c r="EF44" s="993"/>
      <c r="EG44" s="261"/>
      <c r="EH44" s="281"/>
      <c r="EI44" s="281"/>
      <c r="EJ44" s="281"/>
      <c r="EK44" s="281"/>
      <c r="EL44" s="281"/>
      <c r="EM44" s="281"/>
      <c r="EN44" s="281"/>
      <c r="EO44" s="281"/>
      <c r="EP44" s="281"/>
      <c r="EQ44" s="281"/>
      <c r="ER44" s="281"/>
      <c r="ES44" s="281"/>
      <c r="ET44" s="281"/>
      <c r="EU44" s="281"/>
      <c r="EV44" s="281"/>
      <c r="EW44" s="281"/>
      <c r="EX44" s="281"/>
      <c r="EY44" s="281"/>
      <c r="EZ44" s="281"/>
      <c r="FA44" s="281"/>
      <c r="FB44" s="281"/>
      <c r="FC44" s="281"/>
      <c r="FD44" s="281"/>
      <c r="FE44" s="281"/>
      <c r="FF44" s="281"/>
      <c r="FG44" s="281"/>
      <c r="FH44" s="281"/>
      <c r="FI44" s="281"/>
      <c r="FJ44" s="281"/>
      <c r="FK44" s="281"/>
      <c r="FL44" s="281"/>
      <c r="FM44" s="281"/>
      <c r="FN44" s="281"/>
      <c r="FO44" s="281"/>
      <c r="FP44" s="281"/>
      <c r="FQ44" s="281"/>
      <c r="FR44" s="281"/>
      <c r="FS44" s="281"/>
      <c r="FT44" s="281"/>
      <c r="FU44" s="281"/>
      <c r="FV44" s="281"/>
      <c r="FW44" s="281"/>
      <c r="FX44" s="281"/>
      <c r="FY44" s="281"/>
    </row>
    <row r="45" spans="1:181" s="25" customFormat="1" ht="20.100000000000001" customHeight="1">
      <c r="A45" s="98"/>
      <c r="G45" s="464"/>
      <c r="H45" s="98"/>
      <c r="I45" s="949" t="s">
        <v>200</v>
      </c>
      <c r="J45" s="948">
        <v>248</v>
      </c>
      <c r="K45" s="948">
        <v>0</v>
      </c>
      <c r="L45" s="948"/>
      <c r="M45" s="1029" t="s">
        <v>586</v>
      </c>
      <c r="N45" s="464"/>
      <c r="O45" s="98"/>
      <c r="P45" s="25" t="str">
        <f t="shared" si="30"/>
        <v>Real GDP Growth ShockPrimary Balance (in percent of GDP)</v>
      </c>
      <c r="R45" s="99" t="s">
        <v>544</v>
      </c>
      <c r="S45" s="107"/>
      <c r="T45" s="107"/>
      <c r="U45" s="591">
        <f>(growth!B$30)*100</f>
        <v>-5.2301873674015509E-2</v>
      </c>
      <c r="V45" s="591">
        <f>(growth!C$30)*100</f>
        <v>-2.7937023631175673</v>
      </c>
      <c r="W45" s="591">
        <f>(growth!D$30)*100</f>
        <v>-5.5093300748827732</v>
      </c>
      <c r="X45" s="591">
        <f>(growth!E$30)*100</f>
        <v>0.22147723253581053</v>
      </c>
      <c r="Y45" s="591">
        <f>(growth!F$30)*100</f>
        <v>0.87301076297996993</v>
      </c>
      <c r="Z45" s="592">
        <f>(growth!G$30)*100</f>
        <v>0.87301076297997549</v>
      </c>
      <c r="AA45" s="464"/>
      <c r="AB45" s="98"/>
      <c r="AO45" s="464"/>
      <c r="AP45" s="289"/>
      <c r="AQ45" s="107" t="s">
        <v>423</v>
      </c>
      <c r="AR45" s="599" t="e">
        <v>#N/A</v>
      </c>
      <c r="AS45" s="599" t="e">
        <v>#N/A</v>
      </c>
      <c r="AT45" s="599" t="e">
        <f t="shared" si="35"/>
        <v>#N/A</v>
      </c>
      <c r="AU45" s="599" t="e">
        <f t="shared" si="35"/>
        <v>#N/A</v>
      </c>
      <c r="AV45" s="599" t="e">
        <f t="shared" si="35"/>
        <v>#N/A</v>
      </c>
      <c r="AW45" s="599" t="e">
        <f t="shared" si="35"/>
        <v>#N/A</v>
      </c>
      <c r="AX45" s="599" t="e">
        <f t="shared" si="35"/>
        <v>#N/A</v>
      </c>
      <c r="AY45" s="599" t="e">
        <f t="shared" si="35"/>
        <v>#N/A</v>
      </c>
      <c r="AZ45" s="464"/>
      <c r="BA45" s="247"/>
      <c r="BB45" s="247"/>
      <c r="BC45" s="247"/>
      <c r="BD45" s="247"/>
      <c r="BE45" s="247"/>
      <c r="BF45" s="247"/>
      <c r="BG45" s="247"/>
      <c r="BH45" s="247"/>
      <c r="BI45" s="247"/>
      <c r="BJ45" s="247"/>
      <c r="BK45" s="254"/>
      <c r="BL45" s="251"/>
      <c r="BM45" s="427"/>
      <c r="BN45" s="17"/>
      <c r="BO45" s="17"/>
      <c r="BP45" s="17"/>
      <c r="BQ45" s="1002"/>
      <c r="BR45" s="909"/>
      <c r="BS45" s="257"/>
      <c r="BT45" s="252"/>
      <c r="BU45" s="252"/>
      <c r="BV45" s="252"/>
      <c r="BW45" s="261"/>
      <c r="BX45" s="261"/>
      <c r="BY45" s="261"/>
      <c r="BZ45" s="254"/>
      <c r="CA45" s="255"/>
      <c r="CB45" s="247"/>
      <c r="CC45" s="247"/>
      <c r="CD45" s="247"/>
      <c r="CE45" s="247"/>
      <c r="CF45" s="247"/>
      <c r="CG45" s="254"/>
      <c r="CH45" s="17" t="s">
        <v>713</v>
      </c>
      <c r="CI45" s="17"/>
      <c r="CJ45" s="1077"/>
      <c r="CK45" s="1077"/>
      <c r="CL45" s="1077"/>
      <c r="CM45" s="1077"/>
      <c r="CN45" s="1077"/>
      <c r="CO45" s="1077"/>
      <c r="CP45" s="1077"/>
      <c r="CQ45" s="1077"/>
      <c r="CR45" s="1077"/>
      <c r="CS45" s="1077"/>
      <c r="CT45" s="17" t="s">
        <v>712</v>
      </c>
      <c r="CU45" s="1077"/>
      <c r="CV45" s="1077"/>
      <c r="CW45" s="1077"/>
      <c r="CX45" s="1077"/>
      <c r="CY45" s="1077"/>
      <c r="CZ45" s="1077"/>
      <c r="DA45" s="1077"/>
      <c r="DB45" s="1077"/>
      <c r="DC45" s="993"/>
      <c r="DE45" s="281"/>
      <c r="DF45" s="1447">
        <v>1.5</v>
      </c>
      <c r="DG45" s="4">
        <v>30</v>
      </c>
      <c r="DH45" s="1444">
        <f t="shared" si="27"/>
        <v>14</v>
      </c>
      <c r="DI45" s="1495">
        <f t="shared" si="25"/>
        <v>6.772009029345373</v>
      </c>
      <c r="DJ45" s="669"/>
      <c r="DK45" s="1449">
        <v>1.5</v>
      </c>
      <c r="DL45" s="4">
        <v>39</v>
      </c>
      <c r="DM45" s="1444">
        <f t="shared" si="28"/>
        <v>14</v>
      </c>
      <c r="DN45" s="1495">
        <f t="shared" si="26"/>
        <v>8.9041095890410951</v>
      </c>
      <c r="DO45" s="993"/>
      <c r="DP45" s="255"/>
      <c r="DQ45" s="261"/>
      <c r="DR45" s="247"/>
      <c r="DS45" s="247"/>
      <c r="DT45" s="247"/>
      <c r="DU45" s="247"/>
      <c r="DV45" s="261"/>
      <c r="DW45" s="261"/>
      <c r="DX45" s="261"/>
      <c r="DY45" s="261"/>
      <c r="DZ45" s="261"/>
      <c r="EA45" s="261"/>
      <c r="EB45" s="261"/>
      <c r="EC45" s="261"/>
      <c r="ED45" s="261"/>
      <c r="EE45" s="261"/>
      <c r="EF45" s="993"/>
      <c r="EG45" s="261"/>
      <c r="EH45" s="281"/>
      <c r="EI45" s="281"/>
      <c r="EJ45" s="281"/>
      <c r="EK45" s="281"/>
      <c r="EL45" s="281"/>
      <c r="EM45" s="281"/>
      <c r="EN45" s="281"/>
      <c r="EO45" s="281"/>
      <c r="EP45" s="281"/>
      <c r="EQ45" s="281"/>
      <c r="ER45" s="281"/>
      <c r="ES45" s="281"/>
      <c r="ET45" s="281"/>
      <c r="EU45" s="281"/>
      <c r="EV45" s="281"/>
      <c r="EW45" s="281"/>
      <c r="EX45" s="281"/>
      <c r="EY45" s="281"/>
      <c r="EZ45" s="281"/>
      <c r="FA45" s="281"/>
      <c r="FB45" s="281"/>
      <c r="FC45" s="281"/>
      <c r="FD45" s="281"/>
      <c r="FE45" s="281"/>
      <c r="FF45" s="281"/>
      <c r="FG45" s="281"/>
      <c r="FH45" s="281"/>
      <c r="FI45" s="281"/>
      <c r="FJ45" s="281"/>
      <c r="FK45" s="281"/>
      <c r="FL45" s="281"/>
      <c r="FM45" s="281"/>
      <c r="FN45" s="281"/>
      <c r="FO45" s="281"/>
      <c r="FP45" s="281"/>
      <c r="FQ45" s="281"/>
      <c r="FR45" s="281"/>
      <c r="FS45" s="281"/>
      <c r="FT45" s="281"/>
      <c r="FU45" s="281"/>
      <c r="FV45" s="281"/>
      <c r="FW45" s="281"/>
      <c r="FX45" s="281"/>
      <c r="FY45" s="281"/>
    </row>
    <row r="46" spans="1:181" s="25" customFormat="1" ht="20.100000000000001" customHeight="1" thickBot="1">
      <c r="A46" s="98"/>
      <c r="G46" s="464"/>
      <c r="H46" s="98"/>
      <c r="I46" s="949" t="s">
        <v>201</v>
      </c>
      <c r="J46" s="948">
        <v>469</v>
      </c>
      <c r="K46" s="948">
        <v>0</v>
      </c>
      <c r="L46" s="948"/>
      <c r="M46" s="1029" t="s">
        <v>587</v>
      </c>
      <c r="N46" s="464"/>
      <c r="O46" s="98"/>
      <c r="P46" s="25" t="str">
        <f t="shared" si="30"/>
        <v>Real GDP Growth ShockEffective Interest Rate (in percent)</v>
      </c>
      <c r="R46" s="101" t="s">
        <v>428</v>
      </c>
      <c r="S46" s="632"/>
      <c r="T46" s="632"/>
      <c r="U46" s="594">
        <f>(growth!B$25)*100</f>
        <v>1.9586439007071743</v>
      </c>
      <c r="V46" s="594">
        <f ca="1">(growth!C$25)*100</f>
        <v>2.4781166566290191</v>
      </c>
      <c r="W46" s="594">
        <f ca="1">(growth!D$25)*100</f>
        <v>3.1221186569105042</v>
      </c>
      <c r="X46" s="594">
        <f ca="1">(growth!E$25)*100</f>
        <v>1.6841193966014807</v>
      </c>
      <c r="Y46" s="594">
        <f ca="1">(growth!F$25)*100</f>
        <v>2.1911228022965714</v>
      </c>
      <c r="Z46" s="595">
        <f ca="1">(growth!G$25)*100</f>
        <v>2.2895405406737046</v>
      </c>
      <c r="AA46" s="464"/>
      <c r="AO46" s="464"/>
      <c r="AP46" s="289"/>
      <c r="AQ46" s="107" t="s">
        <v>418</v>
      </c>
      <c r="AR46" s="107"/>
      <c r="AS46" s="107"/>
      <c r="AT46" s="591" t="str">
        <f t="shared" ref="AT46:AY49" si="38">IFERROR(VLOOKUP(CONCATENATE($AQ$41,$AQ46),$P$7:$Z$158,U$2,FALSE),"")</f>
        <v/>
      </c>
      <c r="AU46" s="591" t="str">
        <f t="shared" si="38"/>
        <v/>
      </c>
      <c r="AV46" s="591" t="str">
        <f t="shared" si="38"/>
        <v/>
      </c>
      <c r="AW46" s="591" t="str">
        <f t="shared" si="38"/>
        <v/>
      </c>
      <c r="AX46" s="591" t="str">
        <f t="shared" si="38"/>
        <v/>
      </c>
      <c r="AY46" s="591" t="str">
        <f t="shared" si="38"/>
        <v/>
      </c>
      <c r="AZ46" s="464"/>
      <c r="BA46" s="247"/>
      <c r="BB46" s="247"/>
      <c r="BC46" s="247"/>
      <c r="BD46" s="247"/>
      <c r="BE46" s="247"/>
      <c r="BF46" s="247"/>
      <c r="BG46" s="247"/>
      <c r="BH46" s="247"/>
      <c r="BI46" s="247"/>
      <c r="BJ46" s="247"/>
      <c r="BK46" s="254"/>
      <c r="BL46" s="1000"/>
      <c r="BM46" s="251"/>
      <c r="BN46" s="424"/>
      <c r="BO46" s="805"/>
      <c r="BP46" s="516"/>
      <c r="BQ46" s="424"/>
      <c r="BR46" s="776"/>
      <c r="BS46" s="425"/>
      <c r="BT46" s="256"/>
      <c r="BU46" s="256"/>
      <c r="BV46" s="256"/>
      <c r="BW46" s="261"/>
      <c r="BX46" s="261"/>
      <c r="BY46" s="261"/>
      <c r="BZ46" s="254"/>
      <c r="CA46" s="255"/>
      <c r="CB46" s="247"/>
      <c r="CC46" s="247"/>
      <c r="CD46" s="247"/>
      <c r="CE46" s="247"/>
      <c r="CF46" s="247"/>
      <c r="CG46" s="254"/>
      <c r="CH46" s="17" t="s">
        <v>293</v>
      </c>
      <c r="CI46" s="17"/>
      <c r="CJ46" s="1093">
        <v>-22.150111949137738</v>
      </c>
      <c r="CK46" s="1093">
        <v>-5.9039352523918591</v>
      </c>
      <c r="CL46" s="1093">
        <v>-14.314900670436316</v>
      </c>
      <c r="CM46" s="1093">
        <v>-8.0579152836374881</v>
      </c>
      <c r="CN46" s="1093">
        <v>-6.8981367956180701</v>
      </c>
      <c r="CO46" s="1093">
        <v>-2.4965244463589902</v>
      </c>
      <c r="CP46" s="1093">
        <v>-32.532107617360211</v>
      </c>
      <c r="CQ46" s="1093">
        <v>-37.89814863677536</v>
      </c>
      <c r="CR46" s="1093">
        <v>-25.772141346182202</v>
      </c>
      <c r="CS46" s="1098"/>
      <c r="CT46" s="1092">
        <v>-22.150111949137738</v>
      </c>
      <c r="CU46" s="1092">
        <v>-8.8819947509627468</v>
      </c>
      <c r="CV46" s="1092">
        <v>-68.218993965848881</v>
      </c>
      <c r="CW46" s="1092">
        <v>-8.615308662133355</v>
      </c>
      <c r="CX46" s="1092">
        <v>-34.539412089072798</v>
      </c>
      <c r="CY46" s="1092">
        <v>-34.131242227929135</v>
      </c>
      <c r="CZ46" s="1092">
        <v>-37.116025696627197</v>
      </c>
      <c r="DA46" s="1092">
        <v>-17.674101597422453</v>
      </c>
      <c r="DB46" s="1092">
        <v>-9.5000000000000053</v>
      </c>
      <c r="DC46" s="993"/>
      <c r="DE46" s="281"/>
      <c r="DF46" s="1447">
        <v>2</v>
      </c>
      <c r="DG46" s="4">
        <v>28</v>
      </c>
      <c r="DH46" s="1444">
        <f t="shared" si="27"/>
        <v>15</v>
      </c>
      <c r="DI46" s="1495">
        <f t="shared" si="25"/>
        <v>6.3205417607223477</v>
      </c>
      <c r="DJ46" s="669"/>
      <c r="DK46" s="1449">
        <v>2</v>
      </c>
      <c r="DL46" s="4">
        <v>24</v>
      </c>
      <c r="DM46" s="1444">
        <f t="shared" si="28"/>
        <v>15</v>
      </c>
      <c r="DN46" s="1495">
        <f t="shared" si="26"/>
        <v>5.4794520547945202</v>
      </c>
      <c r="DO46" s="993"/>
      <c r="DP46" s="255" t="s">
        <v>806</v>
      </c>
      <c r="DQ46" s="643" t="e">
        <f>IF(AND(BoomBustCredit=0,BoomBustGap=1),"3/ "&amp;Country&amp;" has had a positive output gap for 3 consecutive years, "&amp;DR4&amp;"-"&amp;DT4&amp;".","")</f>
        <v>#DIV/0!</v>
      </c>
      <c r="DR46" s="247"/>
      <c r="DS46" s="247"/>
      <c r="DT46" s="247"/>
      <c r="DU46" s="247"/>
      <c r="DV46" s="261"/>
      <c r="DW46" s="261"/>
      <c r="DX46" s="261"/>
      <c r="DY46" s="261"/>
      <c r="DZ46" s="261"/>
      <c r="EA46" s="261"/>
      <c r="EB46" s="261"/>
      <c r="EC46" s="261"/>
      <c r="ED46" s="261"/>
      <c r="EE46" s="261"/>
      <c r="EF46" s="993"/>
      <c r="EG46" s="261"/>
      <c r="EH46" s="281"/>
      <c r="EI46" s="281"/>
      <c r="EJ46" s="281"/>
      <c r="EK46" s="281"/>
      <c r="EL46" s="281"/>
      <c r="EM46" s="281"/>
      <c r="EN46" s="281"/>
      <c r="EO46" s="281"/>
      <c r="EP46" s="281"/>
      <c r="EQ46" s="281"/>
      <c r="ER46" s="281"/>
      <c r="ES46" s="281"/>
      <c r="ET46" s="281"/>
      <c r="EU46" s="281"/>
      <c r="EV46" s="281"/>
      <c r="EW46" s="281"/>
      <c r="EX46" s="281"/>
      <c r="EY46" s="281"/>
      <c r="EZ46" s="281"/>
      <c r="FA46" s="281"/>
      <c r="FB46" s="281"/>
      <c r="FC46" s="281"/>
      <c r="FD46" s="281"/>
      <c r="FE46" s="281"/>
      <c r="FF46" s="281"/>
      <c r="FG46" s="281"/>
      <c r="FH46" s="281"/>
      <c r="FI46" s="281"/>
      <c r="FJ46" s="281"/>
      <c r="FK46" s="281"/>
      <c r="FL46" s="281"/>
      <c r="FM46" s="281"/>
      <c r="FN46" s="281"/>
      <c r="FO46" s="281"/>
      <c r="FP46" s="281"/>
      <c r="FQ46" s="281"/>
      <c r="FR46" s="281"/>
      <c r="FS46" s="281"/>
      <c r="FT46" s="281"/>
      <c r="FU46" s="281"/>
      <c r="FV46" s="281"/>
      <c r="FW46" s="281"/>
      <c r="FX46" s="281"/>
      <c r="FY46" s="281"/>
    </row>
    <row r="47" spans="1:181" s="25" customFormat="1" ht="20.100000000000001" customHeight="1">
      <c r="A47" s="98"/>
      <c r="G47" s="464"/>
      <c r="H47" s="98"/>
      <c r="I47" s="949" t="s">
        <v>202</v>
      </c>
      <c r="J47" s="948">
        <v>253</v>
      </c>
      <c r="K47" s="948">
        <v>0</v>
      </c>
      <c r="L47" s="948"/>
      <c r="M47" s="1029" t="s">
        <v>588</v>
      </c>
      <c r="N47" s="464"/>
      <c r="O47" s="98"/>
      <c r="R47" s="111"/>
      <c r="S47" s="111"/>
      <c r="T47" s="111"/>
      <c r="U47" s="102"/>
      <c r="V47" s="102"/>
      <c r="W47" s="102"/>
      <c r="X47" s="102"/>
      <c r="Y47" s="102"/>
      <c r="Z47" s="102"/>
      <c r="AA47" s="464"/>
      <c r="AO47" s="464"/>
      <c r="AP47" s="289"/>
      <c r="AQ47" s="107" t="s">
        <v>427</v>
      </c>
      <c r="AR47" s="107"/>
      <c r="AS47" s="107"/>
      <c r="AT47" s="591" t="str">
        <f t="shared" si="38"/>
        <v/>
      </c>
      <c r="AU47" s="591" t="str">
        <f t="shared" si="38"/>
        <v/>
      </c>
      <c r="AV47" s="591" t="str">
        <f t="shared" si="38"/>
        <v/>
      </c>
      <c r="AW47" s="591" t="str">
        <f t="shared" si="38"/>
        <v/>
      </c>
      <c r="AX47" s="591" t="str">
        <f t="shared" si="38"/>
        <v/>
      </c>
      <c r="AY47" s="591" t="str">
        <f t="shared" si="38"/>
        <v/>
      </c>
      <c r="AZ47" s="464"/>
      <c r="BA47" s="247"/>
      <c r="BB47" s="247"/>
      <c r="BC47" s="247"/>
      <c r="BD47" s="247"/>
      <c r="BE47" s="247"/>
      <c r="BF47" s="247"/>
      <c r="BG47" s="247"/>
      <c r="BH47" s="247"/>
      <c r="BI47" s="247"/>
      <c r="BJ47" s="247"/>
      <c r="BK47" s="254"/>
      <c r="BL47" s="17"/>
      <c r="BM47" s="17"/>
      <c r="BN47" s="424"/>
      <c r="BO47" s="805"/>
      <c r="BP47" s="516"/>
      <c r="BQ47" s="424"/>
      <c r="BR47" s="776"/>
      <c r="BS47" s="425"/>
      <c r="BT47" s="256"/>
      <c r="BU47" s="256"/>
      <c r="BV47" s="256"/>
      <c r="BW47" s="261"/>
      <c r="BX47" s="261"/>
      <c r="BY47" s="261"/>
      <c r="BZ47" s="254"/>
      <c r="CA47" s="255"/>
      <c r="CB47" s="247"/>
      <c r="CC47" s="247"/>
      <c r="CD47" s="247"/>
      <c r="CE47" s="247"/>
      <c r="CF47" s="247"/>
      <c r="CG47" s="254"/>
      <c r="CH47" s="17" t="s">
        <v>706</v>
      </c>
      <c r="CI47" s="17"/>
      <c r="CJ47" s="1093">
        <v>-18.749498840954008</v>
      </c>
      <c r="CK47" s="1093">
        <v>-1.6280329466707217</v>
      </c>
      <c r="CL47" s="1093">
        <v>-5.8464486433484781</v>
      </c>
      <c r="CM47" s="1093">
        <v>-5.2481718185893103</v>
      </c>
      <c r="CN47" s="1093">
        <v>-2.2438325442322666</v>
      </c>
      <c r="CO47" s="1093">
        <v>-2.2787817302434994</v>
      </c>
      <c r="CP47" s="1093">
        <v>-4.0372973946555515</v>
      </c>
      <c r="CQ47" s="1093">
        <v>-3.8062134921917075</v>
      </c>
      <c r="CR47" s="1093">
        <v>-2.3764479722428096</v>
      </c>
      <c r="CS47" s="1098"/>
      <c r="CT47" s="1092">
        <v>-10.797437913192997</v>
      </c>
      <c r="CU47" s="1092">
        <v>-1.2286633721888338</v>
      </c>
      <c r="CV47" s="1092">
        <v>-2.5340939566027672</v>
      </c>
      <c r="CW47" s="1092">
        <v>-3.6844731801920205</v>
      </c>
      <c r="CX47" s="1092">
        <v>-2.4459927274105744</v>
      </c>
      <c r="CY47" s="1092">
        <v>-3.0666243385632339</v>
      </c>
      <c r="CZ47" s="1092">
        <v>-4.4279847932779148</v>
      </c>
      <c r="DA47" s="1092">
        <v>-6.3966696263446021</v>
      </c>
      <c r="DB47" s="1092">
        <v>-2.4831846853883435</v>
      </c>
      <c r="DC47" s="993"/>
      <c r="DE47" s="281"/>
      <c r="DF47" s="1447">
        <v>2.5</v>
      </c>
      <c r="DG47" s="4">
        <v>26</v>
      </c>
      <c r="DH47" s="1444">
        <f t="shared" si="27"/>
        <v>16</v>
      </c>
      <c r="DI47" s="1495">
        <f t="shared" si="25"/>
        <v>5.8690744920993225</v>
      </c>
      <c r="DJ47" s="669"/>
      <c r="DK47" s="1449">
        <v>2.5</v>
      </c>
      <c r="DL47" s="4">
        <v>22</v>
      </c>
      <c r="DM47" s="1444">
        <f t="shared" si="28"/>
        <v>16</v>
      </c>
      <c r="DN47" s="1495">
        <f t="shared" si="26"/>
        <v>5.0228310502283104</v>
      </c>
      <c r="DO47" s="993"/>
      <c r="DP47" s="488"/>
      <c r="DQ47" s="643" t="e">
        <f>IF(AND(BoomBustCredit=1,BoomBustGap=0),"3/ "&amp;Country&amp;" has had a cumulative increase in private sector credit of "&amp;ROUND(DT8,0)&amp;" percent of GDP, "&amp;DQ4&amp;"-"&amp;DT4&amp;".","")</f>
        <v>#DIV/0!</v>
      </c>
      <c r="DR47" s="247"/>
      <c r="DS47" s="247"/>
      <c r="DT47" s="247"/>
      <c r="DU47" s="247"/>
      <c r="DV47" s="261"/>
      <c r="DW47" s="261"/>
      <c r="DX47" s="261"/>
      <c r="DY47" s="261"/>
      <c r="DZ47" s="261"/>
      <c r="EA47" s="261"/>
      <c r="EB47" s="261"/>
      <c r="EC47" s="261"/>
      <c r="ED47" s="261"/>
      <c r="EE47" s="261"/>
      <c r="EF47" s="993"/>
      <c r="EG47" s="261"/>
      <c r="EH47" s="281"/>
      <c r="EI47" s="281"/>
      <c r="EJ47" s="281"/>
      <c r="EK47" s="281"/>
      <c r="EL47" s="281"/>
      <c r="EM47" s="281"/>
      <c r="EN47" s="281"/>
      <c r="EO47" s="281"/>
      <c r="EP47" s="281"/>
      <c r="EQ47" s="281"/>
      <c r="ER47" s="281"/>
      <c r="ES47" s="281"/>
      <c r="ET47" s="281"/>
      <c r="EU47" s="281"/>
      <c r="EV47" s="281"/>
      <c r="EW47" s="281"/>
      <c r="EX47" s="281"/>
      <c r="EY47" s="281"/>
      <c r="EZ47" s="281"/>
      <c r="FA47" s="281"/>
      <c r="FB47" s="281"/>
      <c r="FC47" s="281"/>
      <c r="FD47" s="281"/>
      <c r="FE47" s="281"/>
      <c r="FF47" s="281"/>
      <c r="FG47" s="281"/>
      <c r="FH47" s="281"/>
      <c r="FI47" s="281"/>
      <c r="FJ47" s="281"/>
      <c r="FK47" s="281"/>
      <c r="FL47" s="281"/>
      <c r="FM47" s="281"/>
      <c r="FN47" s="281"/>
      <c r="FO47" s="281"/>
      <c r="FP47" s="281"/>
      <c r="FQ47" s="281"/>
      <c r="FR47" s="281"/>
      <c r="FS47" s="281"/>
      <c r="FT47" s="281"/>
      <c r="FU47" s="281"/>
      <c r="FV47" s="281"/>
      <c r="FW47" s="281"/>
      <c r="FX47" s="281"/>
      <c r="FY47" s="281"/>
    </row>
    <row r="48" spans="1:181" ht="20.100000000000001" customHeight="1">
      <c r="I48" s="949" t="s">
        <v>203</v>
      </c>
      <c r="J48" s="948">
        <v>642</v>
      </c>
      <c r="K48" s="948">
        <v>0</v>
      </c>
      <c r="L48" s="948"/>
      <c r="M48" s="1029" t="s">
        <v>589</v>
      </c>
      <c r="R48" s="25"/>
      <c r="S48" s="25"/>
      <c r="T48" s="25"/>
      <c r="U48" s="25"/>
      <c r="V48" s="25"/>
      <c r="W48" s="25"/>
      <c r="X48" s="25"/>
      <c r="Y48" s="25"/>
      <c r="Z48" s="25"/>
      <c r="AA48" s="473"/>
      <c r="AB48" s="246"/>
      <c r="AP48" s="289"/>
      <c r="AQ48" s="107" t="s">
        <v>544</v>
      </c>
      <c r="AR48" s="107"/>
      <c r="AS48" s="107"/>
      <c r="AT48" s="591" t="str">
        <f t="shared" si="38"/>
        <v/>
      </c>
      <c r="AU48" s="591" t="str">
        <f t="shared" si="38"/>
        <v/>
      </c>
      <c r="AV48" s="591" t="str">
        <f t="shared" si="38"/>
        <v/>
      </c>
      <c r="AW48" s="591" t="str">
        <f t="shared" si="38"/>
        <v/>
      </c>
      <c r="AX48" s="591" t="str">
        <f t="shared" si="38"/>
        <v/>
      </c>
      <c r="AY48" s="591" t="str">
        <f t="shared" si="38"/>
        <v/>
      </c>
      <c r="AZ48" s="473"/>
      <c r="BL48" s="1000"/>
      <c r="BM48" s="251"/>
      <c r="BN48" s="424"/>
      <c r="BO48" s="805"/>
      <c r="BP48" s="516"/>
      <c r="BQ48" s="424"/>
      <c r="BR48" s="776"/>
      <c r="BS48" s="425"/>
      <c r="BT48" s="256"/>
      <c r="BU48" s="255"/>
      <c r="BV48" s="256"/>
      <c r="CH48" s="17" t="s">
        <v>689</v>
      </c>
      <c r="CJ48" s="1093">
        <v>-10.994585217656681</v>
      </c>
      <c r="CK48" s="1093">
        <v>0.90071550038333459</v>
      </c>
      <c r="CL48" s="1093">
        <v>-2.7941923948145222</v>
      </c>
      <c r="CM48" s="1093">
        <v>-3.289289017667218</v>
      </c>
      <c r="CN48" s="1093">
        <v>-1.6851518632592866</v>
      </c>
      <c r="CO48" s="1093">
        <v>-1.0917151897911066</v>
      </c>
      <c r="CP48" s="1093">
        <v>-1.7414644179103562</v>
      </c>
      <c r="CQ48" s="1093">
        <v>-1.1686574476300726</v>
      </c>
      <c r="CR48" s="1093">
        <v>-1.3613358947454086</v>
      </c>
      <c r="CS48" s="1098"/>
      <c r="CT48" s="1092">
        <v>-7.8825532669394747</v>
      </c>
      <c r="CU48" s="1092">
        <v>0.59659768934342949</v>
      </c>
      <c r="CV48" s="1092">
        <v>-1.3530379868327014</v>
      </c>
      <c r="CW48" s="1092">
        <v>-2.5100339491595087</v>
      </c>
      <c r="CX48" s="1092">
        <v>-1.4060496469751897</v>
      </c>
      <c r="CY48" s="1092">
        <v>-1.8093331814379874</v>
      </c>
      <c r="CZ48" s="1092">
        <v>-1.696600423102816</v>
      </c>
      <c r="DA48" s="1092">
        <v>-4.1093926790628004</v>
      </c>
      <c r="DB48" s="1092">
        <v>-0.92065570183001677</v>
      </c>
      <c r="DF48" s="1447">
        <v>3</v>
      </c>
      <c r="DG48" s="4">
        <v>32</v>
      </c>
      <c r="DH48" s="1444">
        <f t="shared" si="27"/>
        <v>17</v>
      </c>
      <c r="DI48" s="1495">
        <f t="shared" si="25"/>
        <v>7.2234762979683964</v>
      </c>
      <c r="DJ48" s="669"/>
      <c r="DK48" s="1449">
        <v>3</v>
      </c>
      <c r="DL48" s="4">
        <v>11</v>
      </c>
      <c r="DM48" s="1444">
        <f t="shared" si="28"/>
        <v>17</v>
      </c>
      <c r="DN48" s="1495">
        <f t="shared" si="26"/>
        <v>2.5114155251141552</v>
      </c>
      <c r="DQ48" s="643" t="e">
        <f>IF(AND(BoomBustCredit=1,BoomBustGap=1),"3/ "&amp;Country&amp;" has had a positive output gap for 3 consecutive years, "&amp;DR4&amp;"-"&amp;DT4&amp;" and a cumulative increase in private sector credit of "&amp;ROUND(DT8,0)&amp;" percent of GDP, "&amp;DQ4&amp;"-"&amp;DT4&amp;".","")</f>
        <v>#DIV/0!</v>
      </c>
      <c r="EG48" s="261"/>
    </row>
    <row r="49" spans="1:181" ht="20.100000000000001" customHeight="1" thickBot="1">
      <c r="I49" s="949" t="s">
        <v>204</v>
      </c>
      <c r="J49" s="948">
        <v>939</v>
      </c>
      <c r="K49" s="948">
        <v>1</v>
      </c>
      <c r="L49" s="948"/>
      <c r="M49" s="1029" t="s">
        <v>590</v>
      </c>
      <c r="R49" s="25"/>
      <c r="S49" s="25"/>
      <c r="T49" s="25"/>
      <c r="U49" s="25"/>
      <c r="V49" s="25"/>
      <c r="W49" s="25"/>
      <c r="X49" s="25"/>
      <c r="Y49" s="25"/>
      <c r="Z49" s="25"/>
      <c r="AA49" s="474"/>
      <c r="AB49" s="100"/>
      <c r="AP49" s="289"/>
      <c r="AQ49" s="266" t="s">
        <v>428</v>
      </c>
      <c r="AR49" s="266"/>
      <c r="AS49" s="266"/>
      <c r="AT49" s="600" t="str">
        <f t="shared" si="38"/>
        <v/>
      </c>
      <c r="AU49" s="600" t="str">
        <f t="shared" si="38"/>
        <v/>
      </c>
      <c r="AV49" s="600" t="str">
        <f t="shared" si="38"/>
        <v/>
      </c>
      <c r="AW49" s="600" t="str">
        <f t="shared" si="38"/>
        <v/>
      </c>
      <c r="AX49" s="600" t="str">
        <f t="shared" si="38"/>
        <v/>
      </c>
      <c r="AY49" s="600" t="str">
        <f t="shared" si="38"/>
        <v/>
      </c>
      <c r="AZ49" s="474"/>
      <c r="BL49" s="256"/>
      <c r="BM49" s="256"/>
      <c r="BN49" s="424"/>
      <c r="BO49" s="805"/>
      <c r="BP49" s="516"/>
      <c r="BQ49" s="424"/>
      <c r="BR49" s="776"/>
      <c r="BS49" s="256"/>
      <c r="BT49" s="256"/>
      <c r="BU49" s="255"/>
      <c r="BV49" s="256"/>
      <c r="CH49" s="17" t="s">
        <v>707</v>
      </c>
      <c r="CJ49" s="1093">
        <v>-5.66924249428331</v>
      </c>
      <c r="CK49" s="1093">
        <v>1.9008289809711123</v>
      </c>
      <c r="CL49" s="1093">
        <v>-0.49729495711125271</v>
      </c>
      <c r="CM49" s="1093">
        <v>-1.9424217831531059</v>
      </c>
      <c r="CN49" s="1093">
        <v>-0.46737532455736108</v>
      </c>
      <c r="CO49" s="1093">
        <v>-0.31722719694407076</v>
      </c>
      <c r="CP49" s="1093">
        <v>-0.72664473976242161</v>
      </c>
      <c r="CQ49" s="1093">
        <v>-0.30081727713289386</v>
      </c>
      <c r="CR49" s="1093">
        <v>-0.43784874573109356</v>
      </c>
      <c r="CS49" s="1098"/>
      <c r="CT49" s="1092">
        <v>-5.2001736788996231</v>
      </c>
      <c r="CU49" s="1092">
        <v>2.0730001698889753</v>
      </c>
      <c r="CV49" s="1092">
        <v>-0.20000000000008544</v>
      </c>
      <c r="CW49" s="1092">
        <v>-1.2494781632658576</v>
      </c>
      <c r="CX49" s="1092">
        <v>-0.55225538358096959</v>
      </c>
      <c r="CY49" s="1092">
        <v>-0.55550634192172277</v>
      </c>
      <c r="CZ49" s="1092">
        <v>-0.38346959610944253</v>
      </c>
      <c r="DA49" s="1092">
        <v>-3.1333951575893995</v>
      </c>
      <c r="DB49" s="1092">
        <v>0.2943133970351286</v>
      </c>
      <c r="DF49" s="1447">
        <v>3.5</v>
      </c>
      <c r="DG49" s="4">
        <v>28</v>
      </c>
      <c r="DH49" s="1444">
        <f t="shared" si="27"/>
        <v>18</v>
      </c>
      <c r="DI49" s="1495">
        <f t="shared" si="25"/>
        <v>6.3205417607223477</v>
      </c>
      <c r="DJ49" s="669"/>
      <c r="DK49" s="1449">
        <v>3.5</v>
      </c>
      <c r="DL49" s="4">
        <v>13</v>
      </c>
      <c r="DM49" s="1444">
        <f t="shared" si="28"/>
        <v>18</v>
      </c>
      <c r="DN49" s="1495">
        <f t="shared" si="26"/>
        <v>2.968036529680365</v>
      </c>
      <c r="EG49" s="261"/>
    </row>
    <row r="50" spans="1:181" ht="20.100000000000001" customHeight="1" thickBot="1">
      <c r="I50" s="949" t="s">
        <v>205</v>
      </c>
      <c r="J50" s="948">
        <v>819</v>
      </c>
      <c r="K50" s="948">
        <v>0</v>
      </c>
      <c r="L50" s="948"/>
      <c r="M50" s="1029" t="s">
        <v>591</v>
      </c>
      <c r="R50" s="73" t="s">
        <v>299</v>
      </c>
      <c r="S50" s="74">
        <f t="shared" ref="S50:Z50" si="39">S$4</f>
        <v>2016</v>
      </c>
      <c r="T50" s="74">
        <f t="shared" si="39"/>
        <v>2017</v>
      </c>
      <c r="U50" s="74">
        <f t="shared" si="39"/>
        <v>2018</v>
      </c>
      <c r="V50" s="74">
        <f t="shared" si="39"/>
        <v>2019</v>
      </c>
      <c r="W50" s="74">
        <f t="shared" si="39"/>
        <v>2020</v>
      </c>
      <c r="X50" s="74">
        <f t="shared" si="39"/>
        <v>2021</v>
      </c>
      <c r="Y50" s="74">
        <f t="shared" si="39"/>
        <v>2022</v>
      </c>
      <c r="Z50" s="113">
        <f t="shared" si="39"/>
        <v>2023</v>
      </c>
      <c r="AA50" s="474"/>
      <c r="AB50" s="100"/>
      <c r="AZ50" s="474"/>
      <c r="BL50" s="638"/>
      <c r="BM50" s="638"/>
      <c r="BN50" s="424"/>
      <c r="BO50" s="805"/>
      <c r="BP50" s="516"/>
      <c r="BQ50" s="424"/>
      <c r="BR50" s="776"/>
      <c r="BS50" s="424"/>
      <c r="BT50" s="424"/>
      <c r="BU50" s="249"/>
      <c r="BV50" s="424"/>
      <c r="BW50" s="288"/>
      <c r="BX50" s="288"/>
      <c r="BY50" s="288"/>
      <c r="CH50" s="17" t="s">
        <v>708</v>
      </c>
      <c r="CJ50" s="1093">
        <v>-3.6319236219367879</v>
      </c>
      <c r="CK50" s="1093">
        <v>3.2347405155498206</v>
      </c>
      <c r="CL50" s="1093">
        <v>1.2412370797634975</v>
      </c>
      <c r="CM50" s="1093">
        <v>-0.22944973403615698</v>
      </c>
      <c r="CN50" s="1093">
        <v>0.4374832552092538</v>
      </c>
      <c r="CO50" s="1093">
        <v>0.21481155784166242</v>
      </c>
      <c r="CP50" s="1093">
        <v>0.5653289431124332</v>
      </c>
      <c r="CQ50" s="1093">
        <v>0.42537799145419913</v>
      </c>
      <c r="CR50" s="1093">
        <v>0.12745877656785987</v>
      </c>
      <c r="CS50" s="1098"/>
      <c r="CT50" s="1092">
        <v>-2.8131855932002141</v>
      </c>
      <c r="CU50" s="1092">
        <v>3.8000000000001926</v>
      </c>
      <c r="CV50" s="1092">
        <v>0.94202726537981363</v>
      </c>
      <c r="CW50" s="1092">
        <v>0.32486835437964601</v>
      </c>
      <c r="CX50" s="1092">
        <v>0.51415859561927091</v>
      </c>
      <c r="CY50" s="1092">
        <v>0.47997586735716485</v>
      </c>
      <c r="CZ50" s="1092">
        <v>0.79158727669750473</v>
      </c>
      <c r="DA50" s="1092">
        <v>-2.0201662042115323</v>
      </c>
      <c r="DB50" s="1092">
        <v>1.0842078310822054</v>
      </c>
      <c r="DF50" s="1447">
        <v>4</v>
      </c>
      <c r="DG50" s="4">
        <v>25</v>
      </c>
      <c r="DH50" s="1444">
        <f t="shared" si="27"/>
        <v>19</v>
      </c>
      <c r="DI50" s="1495">
        <f t="shared" si="25"/>
        <v>5.6433408577878108</v>
      </c>
      <c r="DJ50" s="669"/>
      <c r="DK50" s="1449">
        <v>4</v>
      </c>
      <c r="DL50" s="4">
        <v>13</v>
      </c>
      <c r="DM50" s="1444">
        <f t="shared" si="28"/>
        <v>19</v>
      </c>
      <c r="DN50" s="1495">
        <f t="shared" si="26"/>
        <v>2.968036529680365</v>
      </c>
      <c r="DP50" s="255" t="s">
        <v>881</v>
      </c>
      <c r="DQ50" s="643" t="e">
        <f>IF(BoomBustTrigger=0,"Not applicable for "&amp;Country,"")</f>
        <v>#DIV/0!</v>
      </c>
      <c r="EG50" s="261"/>
    </row>
    <row r="51" spans="1:181" ht="20.100000000000001" customHeight="1">
      <c r="I51" s="949" t="s">
        <v>206</v>
      </c>
      <c r="J51" s="948">
        <v>172</v>
      </c>
      <c r="K51" s="948">
        <v>1</v>
      </c>
      <c r="L51" s="948"/>
      <c r="M51" s="1029" t="s">
        <v>592</v>
      </c>
      <c r="P51" s="25" t="str">
        <f t="shared" ref="P51:P60" si="40">CONCATENATE(R$50,R51)</f>
        <v>Real Interest Rate ShockNominal Debt (in percent of GDP)</v>
      </c>
      <c r="R51" s="99" t="s">
        <v>421</v>
      </c>
      <c r="S51" s="107"/>
      <c r="T51" s="107"/>
      <c r="U51" s="591">
        <f>(interest!B37)*100</f>
        <v>37.094606570883371</v>
      </c>
      <c r="V51" s="591">
        <f ca="1">(interest!C37)*100</f>
        <v>36.564685698719956</v>
      </c>
      <c r="W51" s="591">
        <f ca="1">(interest!D37)*100</f>
        <v>36.799396931371355</v>
      </c>
      <c r="X51" s="591">
        <f ca="1">(interest!E37)*100</f>
        <v>37.665139591309973</v>
      </c>
      <c r="Y51" s="591">
        <f ca="1">(interest!F37)*100</f>
        <v>39.79464642811719</v>
      </c>
      <c r="Z51" s="592">
        <f ca="1">(interest!G37)*100</f>
        <v>42.60683361230204</v>
      </c>
      <c r="AA51" s="474"/>
      <c r="AB51" s="100"/>
      <c r="AP51" s="259">
        <f>IF(AND(ScrutinyClassification_Final="Lower",Custom1Trigger=1),1,0)</f>
        <v>0</v>
      </c>
      <c r="AQ51" s="1298" t="str">
        <f>IF(Basic2Shock5=1,IF(ISBLANK(Custom1Name), "Customized shock 1",Custom1Name),"")</f>
        <v/>
      </c>
      <c r="AR51" s="1298"/>
      <c r="AS51" s="1298"/>
      <c r="AT51" s="25"/>
      <c r="AU51" s="25"/>
      <c r="AV51" s="25"/>
      <c r="AW51" s="25"/>
      <c r="AX51" s="25"/>
      <c r="AY51" s="25"/>
      <c r="BL51" s="17"/>
      <c r="BM51" s="17"/>
      <c r="BN51" s="424"/>
      <c r="BO51" s="805"/>
      <c r="BP51" s="516"/>
      <c r="BQ51" s="424"/>
      <c r="BR51" s="776"/>
      <c r="BS51" s="2023"/>
      <c r="BT51" s="639"/>
      <c r="BU51" s="640"/>
      <c r="BV51" s="639"/>
      <c r="BW51" s="288"/>
      <c r="BX51" s="288"/>
      <c r="BY51" s="288"/>
      <c r="CH51" s="17" t="s">
        <v>709</v>
      </c>
      <c r="CJ51" s="1093">
        <v>-3.0127530927694375</v>
      </c>
      <c r="CK51" s="1093">
        <v>4.4312100450593173</v>
      </c>
      <c r="CL51" s="1093">
        <v>2.6740622429225622</v>
      </c>
      <c r="CM51" s="1093">
        <v>0.40521633162529969</v>
      </c>
      <c r="CN51" s="1093">
        <v>1.8832095549278243</v>
      </c>
      <c r="CO51" s="1093">
        <v>1.0170670591239099</v>
      </c>
      <c r="CP51" s="1093">
        <v>1.3140653580714772</v>
      </c>
      <c r="CQ51" s="1093">
        <v>0.89626482720267853</v>
      </c>
      <c r="CR51" s="1093">
        <v>0.91432026919366516</v>
      </c>
      <c r="CS51" s="1098"/>
      <c r="CT51" s="1092">
        <v>-1.1925317178388219</v>
      </c>
      <c r="CU51" s="1092">
        <v>5.7512401369536139</v>
      </c>
      <c r="CV51" s="1092">
        <v>2.4736209524703785</v>
      </c>
      <c r="CW51" s="1092">
        <v>1.7129417749566138</v>
      </c>
      <c r="CX51" s="1092">
        <v>1.8513291612673004</v>
      </c>
      <c r="CY51" s="1092">
        <v>1.689596933063686</v>
      </c>
      <c r="CZ51" s="1092">
        <v>1.6615973474702512</v>
      </c>
      <c r="DA51" s="1092">
        <v>-1.4227199451844947</v>
      </c>
      <c r="DB51" s="1092">
        <v>1.9934003807631548</v>
      </c>
      <c r="DE51" s="278"/>
      <c r="DF51" s="1447">
        <v>4.5</v>
      </c>
      <c r="DG51" s="4">
        <v>25</v>
      </c>
      <c r="DH51" s="1444">
        <f t="shared" si="27"/>
        <v>20</v>
      </c>
      <c r="DI51" s="1495">
        <f t="shared" si="25"/>
        <v>5.6433408577878108</v>
      </c>
      <c r="DJ51" s="669"/>
      <c r="DK51" s="1449">
        <v>4.5</v>
      </c>
      <c r="DL51" s="4">
        <v>14</v>
      </c>
      <c r="DM51" s="1444">
        <f t="shared" si="28"/>
        <v>20</v>
      </c>
      <c r="DN51" s="1495">
        <f t="shared" si="26"/>
        <v>3.1963470319634704</v>
      </c>
      <c r="EG51" s="261"/>
    </row>
    <row r="52" spans="1:181" ht="20.100000000000001" customHeight="1">
      <c r="I52" s="949" t="s">
        <v>207</v>
      </c>
      <c r="J52" s="948">
        <v>132</v>
      </c>
      <c r="K52" s="948">
        <v>1</v>
      </c>
      <c r="L52" s="948"/>
      <c r="M52" s="1029" t="s">
        <v>593</v>
      </c>
      <c r="P52" s="25" t="str">
        <f t="shared" si="40"/>
        <v>Real Interest Rate ShockDebt Service (in percent of GDP)</v>
      </c>
      <c r="R52" s="99" t="s">
        <v>422</v>
      </c>
      <c r="S52" s="107"/>
      <c r="T52" s="107"/>
      <c r="U52" s="591">
        <f>(interest!B38)*100</f>
        <v>3.7107105982600994</v>
      </c>
      <c r="V52" s="591">
        <f ca="1">(interest!C38)*100</f>
        <v>7.1027380579709201</v>
      </c>
      <c r="W52" s="591">
        <f ca="1">(interest!D38)*100</f>
        <v>12.480881544424459</v>
      </c>
      <c r="X52" s="591">
        <f ca="1">(interest!E38)*100</f>
        <v>18.462620869326276</v>
      </c>
      <c r="Y52" s="591">
        <f ca="1">(interest!F38)*100</f>
        <v>22.223832267570238</v>
      </c>
      <c r="Z52" s="592">
        <f ca="1">(interest!G38)*100</f>
        <v>25.716851627295739</v>
      </c>
      <c r="AA52" s="474"/>
      <c r="AB52" s="100"/>
      <c r="AP52" s="259"/>
      <c r="AQ52" s="265" t="s">
        <v>421</v>
      </c>
      <c r="AR52" s="598" t="e">
        <v>#N/A</v>
      </c>
      <c r="AS52" s="598" t="e">
        <v>#N/A</v>
      </c>
      <c r="AT52" s="598" t="e">
        <f t="shared" ref="AT52:AY55" si="41">VLOOKUP(CONCATENATE($AQ$51,$AQ52),$P$7:$Z$158,U$2,FALSE)</f>
        <v>#N/A</v>
      </c>
      <c r="AU52" s="598" t="e">
        <f t="shared" si="41"/>
        <v>#N/A</v>
      </c>
      <c r="AV52" s="598" t="e">
        <f t="shared" si="41"/>
        <v>#N/A</v>
      </c>
      <c r="AW52" s="598" t="e">
        <f t="shared" si="41"/>
        <v>#N/A</v>
      </c>
      <c r="AX52" s="598" t="e">
        <f t="shared" si="41"/>
        <v>#N/A</v>
      </c>
      <c r="AY52" s="598" t="e">
        <f t="shared" si="41"/>
        <v>#N/A</v>
      </c>
      <c r="BL52" s="17"/>
      <c r="BM52" s="17"/>
      <c r="BN52" s="424"/>
      <c r="BO52" s="805"/>
      <c r="BP52" s="516"/>
      <c r="BQ52" s="424"/>
      <c r="BR52" s="776"/>
      <c r="BS52" s="2023"/>
      <c r="BT52" s="424"/>
      <c r="BU52" s="249"/>
      <c r="BV52" s="424"/>
      <c r="BW52" s="288"/>
      <c r="BX52" s="288"/>
      <c r="BY52" s="288"/>
      <c r="CH52" s="17" t="s">
        <v>294</v>
      </c>
      <c r="CJ52" s="1093">
        <v>-2.2340154150995426</v>
      </c>
      <c r="CK52" s="1093">
        <v>6.0962184766257907</v>
      </c>
      <c r="CL52" s="1093">
        <v>3.1735484955222555</v>
      </c>
      <c r="CM52" s="1093">
        <v>3.7412301513536317</v>
      </c>
      <c r="CN52" s="1093">
        <v>2.9389887019477157</v>
      </c>
      <c r="CO52" s="1093">
        <v>2.8867164670115577</v>
      </c>
      <c r="CP52" s="1093">
        <v>1.9645765659700638</v>
      </c>
      <c r="CQ52" s="1093">
        <v>1.6189889228676673</v>
      </c>
      <c r="CR52" s="1093">
        <v>4.9780947414717378</v>
      </c>
      <c r="CS52" s="1098"/>
      <c r="CT52" s="1092">
        <v>3.9999999999999574</v>
      </c>
      <c r="CU52" s="1092">
        <v>14.877579743088827</v>
      </c>
      <c r="CV52" s="1092">
        <v>5.8695428876335667</v>
      </c>
      <c r="CW52" s="1092">
        <v>104.48327894205309</v>
      </c>
      <c r="CX52" s="1092">
        <v>5.6796034677924965</v>
      </c>
      <c r="CY52" s="1092">
        <v>4.2340798768946577</v>
      </c>
      <c r="CZ52" s="1092">
        <v>23.797761590734652</v>
      </c>
      <c r="DA52" s="1092">
        <v>4.0000000000000053</v>
      </c>
      <c r="DB52" s="1092">
        <v>58.569846882262688</v>
      </c>
      <c r="DF52" s="1447">
        <v>5</v>
      </c>
      <c r="DG52" s="4">
        <v>13</v>
      </c>
      <c r="DH52" s="1444">
        <f t="shared" si="27"/>
        <v>21</v>
      </c>
      <c r="DI52" s="1495">
        <f t="shared" si="25"/>
        <v>2.9345372460496613</v>
      </c>
      <c r="DJ52" s="669"/>
      <c r="DK52" s="1449">
        <v>5</v>
      </c>
      <c r="DL52" s="4">
        <v>12</v>
      </c>
      <c r="DM52" s="1444">
        <f t="shared" si="28"/>
        <v>21</v>
      </c>
      <c r="DN52" s="1495">
        <f t="shared" si="26"/>
        <v>2.7397260273972601</v>
      </c>
      <c r="EG52" s="261"/>
    </row>
    <row r="53" spans="1:181" ht="20.100000000000001" customHeight="1">
      <c r="I53" s="949" t="s">
        <v>208</v>
      </c>
      <c r="J53" s="948">
        <v>646</v>
      </c>
      <c r="K53" s="948">
        <v>0</v>
      </c>
      <c r="L53" s="948"/>
      <c r="M53" s="1029" t="s">
        <v>594</v>
      </c>
      <c r="P53" s="25" t="str">
        <f t="shared" si="40"/>
        <v>Real Interest Rate ShockGross Financing Need (in percent of GDP)</v>
      </c>
      <c r="R53" s="99" t="s">
        <v>423</v>
      </c>
      <c r="S53" s="107"/>
      <c r="T53" s="107"/>
      <c r="U53" s="591">
        <f>(interest!B39)*100</f>
        <v>3.5994671534530136</v>
      </c>
      <c r="V53" s="591">
        <f ca="1">(interest!C39)*100</f>
        <v>7.1027380579709201</v>
      </c>
      <c r="W53" s="591">
        <f ca="1">(interest!D39)*100</f>
        <v>12.480881544424459</v>
      </c>
      <c r="X53" s="591">
        <f ca="1">(interest!E39)*100</f>
        <v>18.462620869326276</v>
      </c>
      <c r="Y53" s="591">
        <f ca="1">(interest!F39)*100</f>
        <v>22.223832267570238</v>
      </c>
      <c r="Z53" s="592">
        <f ca="1">(interest!G39)*100</f>
        <v>25.716851627295739</v>
      </c>
      <c r="AA53" s="474"/>
      <c r="AB53" s="100"/>
      <c r="AP53" s="259"/>
      <c r="AQ53" s="107" t="s">
        <v>424</v>
      </c>
      <c r="AR53" s="599" t="e">
        <v>#N/A</v>
      </c>
      <c r="AS53" s="599" t="e">
        <v>#N/A</v>
      </c>
      <c r="AT53" s="599" t="e">
        <f t="shared" si="41"/>
        <v>#N/A</v>
      </c>
      <c r="AU53" s="599" t="e">
        <f t="shared" si="41"/>
        <v>#N/A</v>
      </c>
      <c r="AV53" s="599" t="e">
        <f t="shared" si="41"/>
        <v>#N/A</v>
      </c>
      <c r="AW53" s="599" t="e">
        <f t="shared" si="41"/>
        <v>#N/A</v>
      </c>
      <c r="AX53" s="599" t="e">
        <f t="shared" si="41"/>
        <v>#N/A</v>
      </c>
      <c r="AY53" s="599" t="e">
        <f t="shared" si="41"/>
        <v>#N/A</v>
      </c>
      <c r="BL53" s="17"/>
      <c r="BM53" s="17"/>
      <c r="BN53" s="424"/>
      <c r="BO53" s="805"/>
      <c r="BP53" s="516"/>
      <c r="BQ53" s="424"/>
      <c r="BR53" s="776"/>
      <c r="BS53" s="2023"/>
      <c r="BT53" s="424"/>
      <c r="BU53" s="249"/>
      <c r="BV53" s="424"/>
      <c r="BW53" s="288"/>
      <c r="BX53" s="288"/>
      <c r="BY53" s="288"/>
      <c r="CH53" s="17" t="s">
        <v>710</v>
      </c>
      <c r="CJ53" s="1093">
        <v>-8.4616213991287896</v>
      </c>
      <c r="CK53" s="1093">
        <v>1.7548012367017241</v>
      </c>
      <c r="CL53" s="1093">
        <v>-1.2598780945855801</v>
      </c>
      <c r="CM53" s="1093">
        <v>-2.053605111925997</v>
      </c>
      <c r="CN53" s="1093">
        <v>-0.60468870186371426</v>
      </c>
      <c r="CO53" s="1093">
        <v>-0.38724200631935929</v>
      </c>
      <c r="CP53" s="1093">
        <v>-2.5620991953889338</v>
      </c>
      <c r="CQ53" s="1093">
        <v>-2.5583069456237233</v>
      </c>
      <c r="CR53" s="1093">
        <v>-1.4970271460208582</v>
      </c>
      <c r="CS53" s="1098"/>
      <c r="CT53" s="1092">
        <v>-5.6254807224843812</v>
      </c>
      <c r="CU53" s="1092">
        <v>2.139124652882356</v>
      </c>
      <c r="CV53" s="1092">
        <v>-0.86620980089712662</v>
      </c>
      <c r="CW53" s="1092">
        <v>-0.134751333455253</v>
      </c>
      <c r="CX53" s="1092">
        <v>-0.74081502007031286</v>
      </c>
      <c r="CY53" s="1092">
        <v>-0.99216268294105192</v>
      </c>
      <c r="CZ53" s="1092">
        <v>-0.86564680079301926</v>
      </c>
      <c r="DA53" s="1092">
        <v>-3.4070522278922217</v>
      </c>
      <c r="DB53" s="1092">
        <v>0.45254021546259809</v>
      </c>
      <c r="DF53" s="1447">
        <v>5.5</v>
      </c>
      <c r="DG53" s="4">
        <v>17</v>
      </c>
      <c r="DH53" s="1444">
        <f t="shared" si="27"/>
        <v>22</v>
      </c>
      <c r="DI53" s="1495">
        <f t="shared" si="25"/>
        <v>3.8374717832957108</v>
      </c>
      <c r="DJ53" s="669"/>
      <c r="DK53" s="1449">
        <v>5.5</v>
      </c>
      <c r="DL53" s="4">
        <v>7</v>
      </c>
      <c r="DM53" s="1444">
        <f t="shared" si="28"/>
        <v>22</v>
      </c>
      <c r="DN53" s="1495">
        <f t="shared" si="26"/>
        <v>1.5981735159817352</v>
      </c>
      <c r="EG53" s="261"/>
    </row>
    <row r="54" spans="1:181" ht="20.100000000000001" customHeight="1">
      <c r="I54" s="949" t="s">
        <v>1199</v>
      </c>
      <c r="J54" s="948">
        <v>915</v>
      </c>
      <c r="K54" s="948">
        <v>0</v>
      </c>
      <c r="L54" s="948"/>
      <c r="M54" s="1029" t="s">
        <v>1200</v>
      </c>
      <c r="P54" s="25" t="str">
        <f t="shared" si="40"/>
        <v>Real Interest Rate ShockNominal Debt (in percent of Revenue)</v>
      </c>
      <c r="R54" s="99" t="s">
        <v>424</v>
      </c>
      <c r="S54" s="107"/>
      <c r="T54" s="107"/>
      <c r="U54" s="591">
        <f>(interest!B40)*100</f>
        <v>100.40391596609757</v>
      </c>
      <c r="V54" s="591" t="e">
        <f ca="1">(interest!C40)*100</f>
        <v>#DIV/0!</v>
      </c>
      <c r="W54" s="591" t="e">
        <f ca="1">(interest!D40)*100</f>
        <v>#DIV/0!</v>
      </c>
      <c r="X54" s="591" t="e">
        <f ca="1">(interest!E40)*100</f>
        <v>#DIV/0!</v>
      </c>
      <c r="Y54" s="591" t="e">
        <f ca="1">(interest!F40)*100</f>
        <v>#DIV/0!</v>
      </c>
      <c r="Z54" s="592" t="e">
        <f ca="1">(interest!G40)*100</f>
        <v>#DIV/0!</v>
      </c>
      <c r="AA54" s="475"/>
      <c r="AB54" s="429"/>
      <c r="AP54" s="259"/>
      <c r="AQ54" s="107" t="s">
        <v>425</v>
      </c>
      <c r="AR54" s="599" t="e">
        <v>#N/A</v>
      </c>
      <c r="AS54" s="599" t="e">
        <v>#N/A</v>
      </c>
      <c r="AT54" s="599" t="e">
        <f t="shared" si="41"/>
        <v>#N/A</v>
      </c>
      <c r="AU54" s="599" t="e">
        <f t="shared" si="41"/>
        <v>#N/A</v>
      </c>
      <c r="AV54" s="599" t="e">
        <f t="shared" si="41"/>
        <v>#N/A</v>
      </c>
      <c r="AW54" s="599" t="e">
        <f t="shared" si="41"/>
        <v>#N/A</v>
      </c>
      <c r="AX54" s="599" t="e">
        <f t="shared" si="41"/>
        <v>#N/A</v>
      </c>
      <c r="AY54" s="599" t="e">
        <f t="shared" si="41"/>
        <v>#N/A</v>
      </c>
      <c r="BL54" s="63"/>
      <c r="BM54" s="63"/>
      <c r="BN54" s="424"/>
      <c r="BO54" s="805"/>
      <c r="BP54" s="516"/>
      <c r="BQ54" s="424"/>
      <c r="BR54" s="776"/>
      <c r="BS54" s="2023"/>
      <c r="BT54" s="424"/>
      <c r="BU54" s="249"/>
      <c r="BV54" s="424"/>
      <c r="BW54" s="288"/>
      <c r="BX54" s="288"/>
      <c r="BY54" s="288"/>
      <c r="CH54" s="1087" t="s">
        <v>716</v>
      </c>
      <c r="CI54" s="284"/>
      <c r="CJ54" s="284"/>
      <c r="CK54" s="284"/>
      <c r="CL54" s="284"/>
      <c r="CM54" s="284"/>
      <c r="CN54" s="284"/>
      <c r="CO54" s="284"/>
      <c r="CP54" s="284"/>
      <c r="CQ54" s="284"/>
      <c r="CR54" s="1086"/>
      <c r="CS54" s="1076"/>
      <c r="CT54" s="1076"/>
      <c r="CU54" s="1076"/>
      <c r="CV54" s="1076"/>
      <c r="CW54" s="1076"/>
      <c r="CX54" s="1076"/>
      <c r="CY54" s="1076"/>
      <c r="CZ54" s="1076"/>
      <c r="DA54" s="1076"/>
      <c r="DB54" s="1076"/>
      <c r="DF54" s="1447">
        <v>6</v>
      </c>
      <c r="DG54" s="4">
        <v>10</v>
      </c>
      <c r="DH54" s="1444">
        <f t="shared" si="27"/>
        <v>23</v>
      </c>
      <c r="DI54" s="1495">
        <f t="shared" si="25"/>
        <v>2.2573363431151243</v>
      </c>
      <c r="DJ54" s="669"/>
      <c r="DK54" s="1449">
        <v>6</v>
      </c>
      <c r="DL54" s="4">
        <v>5</v>
      </c>
      <c r="DM54" s="1444">
        <f t="shared" si="28"/>
        <v>23</v>
      </c>
      <c r="DN54" s="1495">
        <f t="shared" si="26"/>
        <v>1.1415525114155249</v>
      </c>
      <c r="EG54" s="261"/>
    </row>
    <row r="55" spans="1:181" s="284" customFormat="1" ht="20.100000000000001" customHeight="1">
      <c r="A55" s="98"/>
      <c r="B55" s="25"/>
      <c r="C55" s="25"/>
      <c r="D55" s="25"/>
      <c r="E55" s="25"/>
      <c r="F55" s="25"/>
      <c r="G55" s="464"/>
      <c r="H55" s="98"/>
      <c r="I55" s="949" t="s">
        <v>209</v>
      </c>
      <c r="J55" s="948">
        <v>134</v>
      </c>
      <c r="K55" s="948">
        <v>1</v>
      </c>
      <c r="L55" s="948"/>
      <c r="M55" s="1029" t="s">
        <v>595</v>
      </c>
      <c r="N55" s="464"/>
      <c r="O55" s="98"/>
      <c r="P55" s="25" t="str">
        <f t="shared" si="40"/>
        <v>Real Interest Rate ShockDebt Service (in percent of Revenue)</v>
      </c>
      <c r="Q55" s="25"/>
      <c r="R55" s="99" t="s">
        <v>425</v>
      </c>
      <c r="S55" s="107"/>
      <c r="T55" s="107"/>
      <c r="U55" s="591">
        <f>(interest!B41)*100</f>
        <v>10.043774810504543</v>
      </c>
      <c r="V55" s="591" t="e">
        <f ca="1">(interest!C41)*100</f>
        <v>#DIV/0!</v>
      </c>
      <c r="W55" s="591" t="e">
        <f ca="1">(interest!D41)*100</f>
        <v>#DIV/0!</v>
      </c>
      <c r="X55" s="591" t="e">
        <f ca="1">(interest!E41)*100</f>
        <v>#DIV/0!</v>
      </c>
      <c r="Y55" s="591" t="e">
        <f ca="1">(interest!F41)*100</f>
        <v>#DIV/0!</v>
      </c>
      <c r="Z55" s="592" t="e">
        <f ca="1">(interest!G41)*100</f>
        <v>#DIV/0!</v>
      </c>
      <c r="AA55" s="474"/>
      <c r="AB55" s="100"/>
      <c r="AC55" s="25"/>
      <c r="AD55" s="25"/>
      <c r="AE55" s="25"/>
      <c r="AF55" s="25"/>
      <c r="AG55" s="25"/>
      <c r="AH55" s="25"/>
      <c r="AI55" s="25"/>
      <c r="AJ55" s="25"/>
      <c r="AK55" s="25"/>
      <c r="AL55" s="25"/>
      <c r="AM55" s="25"/>
      <c r="AN55" s="25"/>
      <c r="AO55" s="464"/>
      <c r="AP55" s="259"/>
      <c r="AQ55" s="107" t="s">
        <v>423</v>
      </c>
      <c r="AR55" s="599" t="e">
        <v>#N/A</v>
      </c>
      <c r="AS55" s="599" t="e">
        <v>#N/A</v>
      </c>
      <c r="AT55" s="599" t="e">
        <f t="shared" si="41"/>
        <v>#N/A</v>
      </c>
      <c r="AU55" s="599" t="e">
        <f t="shared" si="41"/>
        <v>#N/A</v>
      </c>
      <c r="AV55" s="599" t="e">
        <f t="shared" si="41"/>
        <v>#N/A</v>
      </c>
      <c r="AW55" s="599" t="e">
        <f t="shared" si="41"/>
        <v>#N/A</v>
      </c>
      <c r="AX55" s="599" t="e">
        <f t="shared" si="41"/>
        <v>#N/A</v>
      </c>
      <c r="AY55" s="599" t="e">
        <f t="shared" si="41"/>
        <v>#N/A</v>
      </c>
      <c r="AZ55" s="464"/>
      <c r="BA55" s="247"/>
      <c r="BB55" s="247"/>
      <c r="BC55" s="247"/>
      <c r="BD55" s="247"/>
      <c r="BE55" s="247"/>
      <c r="BF55" s="247"/>
      <c r="BG55" s="247"/>
      <c r="BH55" s="247"/>
      <c r="BI55" s="247"/>
      <c r="BJ55" s="247"/>
      <c r="BK55" s="254"/>
      <c r="BL55" s="1147"/>
      <c r="BM55" s="17"/>
      <c r="BN55" s="424"/>
      <c r="BO55" s="805"/>
      <c r="BP55" s="516"/>
      <c r="BQ55" s="424"/>
      <c r="BR55" s="776"/>
      <c r="BS55" s="425"/>
      <c r="BT55" s="424"/>
      <c r="BU55" s="249"/>
      <c r="BV55" s="424"/>
      <c r="BW55" s="288"/>
      <c r="BX55" s="288"/>
      <c r="BY55" s="288"/>
      <c r="BZ55" s="254"/>
      <c r="CA55" s="255"/>
      <c r="CB55" s="247"/>
      <c r="CC55" s="247"/>
      <c r="CD55" s="247"/>
      <c r="CE55" s="247"/>
      <c r="CF55" s="247"/>
      <c r="CG55" s="254"/>
      <c r="CH55" s="284" t="s">
        <v>714</v>
      </c>
      <c r="CI55" s="1086"/>
      <c r="CJ55" s="1086">
        <f t="shared" ref="CJ55:CR55" si="42">CJ48</f>
        <v>-10.994585217656681</v>
      </c>
      <c r="CK55" s="1086">
        <f t="shared" si="42"/>
        <v>0.90071550038333459</v>
      </c>
      <c r="CL55" s="1086">
        <f t="shared" si="42"/>
        <v>-2.7941923948145222</v>
      </c>
      <c r="CM55" s="1086">
        <f t="shared" si="42"/>
        <v>-3.289289017667218</v>
      </c>
      <c r="CN55" s="1086">
        <f t="shared" si="42"/>
        <v>-1.6851518632592866</v>
      </c>
      <c r="CO55" s="1086">
        <f t="shared" si="42"/>
        <v>-1.0917151897911066</v>
      </c>
      <c r="CP55" s="1086">
        <f t="shared" si="42"/>
        <v>-1.7414644179103562</v>
      </c>
      <c r="CQ55" s="1086">
        <f t="shared" si="42"/>
        <v>-1.1686574476300726</v>
      </c>
      <c r="CR55" s="1086">
        <f t="shared" si="42"/>
        <v>-1.3613358947454086</v>
      </c>
      <c r="CS55" s="1076"/>
      <c r="CT55" s="1086">
        <f t="shared" ref="CT55:DB55" si="43">CT48</f>
        <v>-7.8825532669394747</v>
      </c>
      <c r="CU55" s="1086">
        <f t="shared" si="43"/>
        <v>0.59659768934342949</v>
      </c>
      <c r="CV55" s="1086">
        <f t="shared" si="43"/>
        <v>-1.3530379868327014</v>
      </c>
      <c r="CW55" s="1086">
        <f t="shared" si="43"/>
        <v>-2.5100339491595087</v>
      </c>
      <c r="CX55" s="1086">
        <f t="shared" si="43"/>
        <v>-1.4060496469751897</v>
      </c>
      <c r="CY55" s="1086">
        <f t="shared" si="43"/>
        <v>-1.8093331814379874</v>
      </c>
      <c r="CZ55" s="1086">
        <f t="shared" si="43"/>
        <v>-1.696600423102816</v>
      </c>
      <c r="DA55" s="1086">
        <f t="shared" si="43"/>
        <v>-4.1093926790628004</v>
      </c>
      <c r="DB55" s="1086">
        <f t="shared" si="43"/>
        <v>-0.92065570183001677</v>
      </c>
      <c r="DC55" s="993"/>
      <c r="DF55" s="1447">
        <v>6.5</v>
      </c>
      <c r="DG55" s="4">
        <v>11</v>
      </c>
      <c r="DH55" s="1444">
        <f t="shared" si="27"/>
        <v>24</v>
      </c>
      <c r="DI55" s="1495">
        <f t="shared" si="25"/>
        <v>2.4830699774266365</v>
      </c>
      <c r="DJ55" s="669"/>
      <c r="DK55" s="1449">
        <v>6.5</v>
      </c>
      <c r="DL55" s="4">
        <v>3</v>
      </c>
      <c r="DM55" s="1444">
        <f t="shared" si="28"/>
        <v>24</v>
      </c>
      <c r="DN55" s="1495">
        <f t="shared" si="26"/>
        <v>0.68493150684931503</v>
      </c>
      <c r="DO55" s="993"/>
      <c r="DP55" s="488"/>
      <c r="DQ55" s="247"/>
      <c r="DR55" s="247"/>
      <c r="DS55" s="247"/>
      <c r="DT55" s="247"/>
      <c r="DU55" s="247"/>
      <c r="DV55" s="261"/>
      <c r="DW55" s="261"/>
      <c r="DX55" s="261"/>
      <c r="DY55" s="261"/>
      <c r="DZ55" s="261"/>
      <c r="EA55" s="261"/>
      <c r="EB55" s="261"/>
      <c r="EC55" s="261"/>
      <c r="ED55" s="261"/>
      <c r="EE55" s="261"/>
      <c r="EF55" s="993"/>
      <c r="EG55" s="261"/>
      <c r="EH55" s="281"/>
      <c r="EI55" s="281"/>
      <c r="EJ55" s="281"/>
      <c r="EK55" s="281"/>
      <c r="EL55" s="281"/>
      <c r="EM55" s="281"/>
      <c r="EN55" s="281"/>
      <c r="EO55" s="281"/>
      <c r="EP55" s="281"/>
      <c r="EQ55" s="281"/>
      <c r="ER55" s="281"/>
      <c r="ES55" s="281"/>
      <c r="ET55" s="281"/>
      <c r="EU55" s="281"/>
      <c r="EV55" s="281"/>
      <c r="EW55" s="281"/>
      <c r="EX55" s="281"/>
      <c r="EY55" s="281"/>
      <c r="EZ55" s="281"/>
      <c r="FA55" s="281"/>
      <c r="FB55" s="281"/>
      <c r="FC55" s="281"/>
      <c r="FD55" s="281"/>
      <c r="FE55" s="281"/>
      <c r="FF55" s="281"/>
      <c r="FG55" s="281"/>
      <c r="FH55" s="281"/>
      <c r="FI55" s="281"/>
      <c r="FJ55" s="281"/>
      <c r="FK55" s="281"/>
      <c r="FL55" s="281"/>
      <c r="FM55" s="281"/>
      <c r="FN55" s="281"/>
      <c r="FO55" s="281"/>
      <c r="FP55" s="281"/>
      <c r="FQ55" s="281"/>
      <c r="FR55" s="281"/>
      <c r="FS55" s="281"/>
      <c r="FT55" s="281"/>
      <c r="FU55" s="281"/>
      <c r="FV55" s="281"/>
      <c r="FW55" s="281"/>
      <c r="FX55" s="281"/>
      <c r="FY55" s="281"/>
    </row>
    <row r="56" spans="1:181" s="284" customFormat="1" ht="20.100000000000001" customHeight="1" thickBot="1">
      <c r="A56" s="98"/>
      <c r="B56" s="25"/>
      <c r="C56" s="25"/>
      <c r="D56" s="25"/>
      <c r="E56" s="25"/>
      <c r="F56" s="25"/>
      <c r="G56" s="464"/>
      <c r="H56" s="98"/>
      <c r="I56" s="949" t="s">
        <v>210</v>
      </c>
      <c r="J56" s="948">
        <v>174</v>
      </c>
      <c r="K56" s="948">
        <v>1</v>
      </c>
      <c r="L56" s="948"/>
      <c r="M56" s="1029" t="s">
        <v>596</v>
      </c>
      <c r="N56" s="464"/>
      <c r="O56" s="98"/>
      <c r="P56" s="25" t="str">
        <f t="shared" si="40"/>
        <v>Real Interest Rate ShockGross Financing Need (in percent of Revenue)</v>
      </c>
      <c r="Q56" s="25"/>
      <c r="R56" s="101" t="s">
        <v>426</v>
      </c>
      <c r="S56" s="632"/>
      <c r="T56" s="632"/>
      <c r="U56" s="593">
        <f>(interest!B42)*100</f>
        <v>9.7426723453025819</v>
      </c>
      <c r="V56" s="594" t="e">
        <f ca="1">(interest!C42)*100</f>
        <v>#DIV/0!</v>
      </c>
      <c r="W56" s="594" t="e">
        <f ca="1">(interest!D42)*100</f>
        <v>#DIV/0!</v>
      </c>
      <c r="X56" s="594" t="e">
        <f ca="1">(interest!E42)*100</f>
        <v>#DIV/0!</v>
      </c>
      <c r="Y56" s="594" t="e">
        <f ca="1">(interest!F42)*100</f>
        <v>#DIV/0!</v>
      </c>
      <c r="Z56" s="595" t="e">
        <f ca="1">(interest!G42)*100</f>
        <v>#DIV/0!</v>
      </c>
      <c r="AA56" s="474"/>
      <c r="AB56" s="100"/>
      <c r="AC56" s="25"/>
      <c r="AD56" s="25"/>
      <c r="AE56" s="25"/>
      <c r="AF56" s="25"/>
      <c r="AG56" s="25"/>
      <c r="AH56" s="25"/>
      <c r="AI56" s="25"/>
      <c r="AJ56" s="25"/>
      <c r="AK56" s="25"/>
      <c r="AL56" s="25"/>
      <c r="AM56" s="25"/>
      <c r="AN56" s="25"/>
      <c r="AO56" s="464"/>
      <c r="AP56" s="259"/>
      <c r="AQ56" s="107" t="s">
        <v>418</v>
      </c>
      <c r="AR56" s="107"/>
      <c r="AS56" s="107"/>
      <c r="AT56" s="591" t="str">
        <f t="shared" ref="AT56:AY59" si="44">IFERROR(VLOOKUP(CONCATENATE($AQ$51,$AQ56),$P$7:$Z$158,U$2,FALSE),"")</f>
        <v/>
      </c>
      <c r="AU56" s="591" t="str">
        <f t="shared" si="44"/>
        <v/>
      </c>
      <c r="AV56" s="591" t="str">
        <f t="shared" si="44"/>
        <v/>
      </c>
      <c r="AW56" s="591" t="str">
        <f t="shared" si="44"/>
        <v/>
      </c>
      <c r="AX56" s="591" t="str">
        <f t="shared" si="44"/>
        <v/>
      </c>
      <c r="AY56" s="591" t="str">
        <f t="shared" si="44"/>
        <v/>
      </c>
      <c r="AZ56" s="464"/>
      <c r="BA56" s="247"/>
      <c r="BB56" s="247"/>
      <c r="BC56" s="247"/>
      <c r="BD56" s="247"/>
      <c r="BE56" s="247"/>
      <c r="BF56" s="247"/>
      <c r="BG56" s="247"/>
      <c r="BH56" s="247"/>
      <c r="BI56" s="247"/>
      <c r="BJ56" s="247"/>
      <c r="BK56" s="254"/>
      <c r="BL56" s="1000"/>
      <c r="BM56" s="251"/>
      <c r="BN56" s="424"/>
      <c r="BO56" s="805"/>
      <c r="BP56" s="261"/>
      <c r="BQ56" s="424"/>
      <c r="BR56" s="776"/>
      <c r="BS56" s="425"/>
      <c r="BT56" s="256"/>
      <c r="BU56" s="255"/>
      <c r="BV56" s="256"/>
      <c r="BW56" s="247"/>
      <c r="BX56" s="247"/>
      <c r="BY56" s="247"/>
      <c r="BZ56" s="254"/>
      <c r="CA56" s="255"/>
      <c r="CB56" s="247"/>
      <c r="CC56" s="247"/>
      <c r="CD56" s="247"/>
      <c r="CE56" s="247"/>
      <c r="CF56" s="247"/>
      <c r="CG56" s="254"/>
      <c r="CH56" s="284" t="s">
        <v>715</v>
      </c>
      <c r="CI56" s="1086"/>
      <c r="CJ56" s="1086">
        <f t="shared" ref="CJ56:CR56" si="45">CJ50-CJ48</f>
        <v>7.3626615957198931</v>
      </c>
      <c r="CK56" s="1086">
        <f t="shared" si="45"/>
        <v>2.3340250151664859</v>
      </c>
      <c r="CL56" s="1086">
        <f t="shared" si="45"/>
        <v>4.0354294745780201</v>
      </c>
      <c r="CM56" s="1086">
        <f t="shared" si="45"/>
        <v>3.0598392836310611</v>
      </c>
      <c r="CN56" s="1086">
        <f t="shared" si="45"/>
        <v>2.1226351184685406</v>
      </c>
      <c r="CO56" s="1086">
        <f t="shared" si="45"/>
        <v>1.3065267476327691</v>
      </c>
      <c r="CP56" s="1086">
        <f t="shared" si="45"/>
        <v>2.3067933610227893</v>
      </c>
      <c r="CQ56" s="1086">
        <f t="shared" si="45"/>
        <v>1.5940354390842717</v>
      </c>
      <c r="CR56" s="1086">
        <f t="shared" si="45"/>
        <v>1.4887946713132685</v>
      </c>
      <c r="CS56" s="1076"/>
      <c r="CT56" s="1086">
        <f t="shared" ref="CT56:DB56" si="46">CT50-CT48</f>
        <v>5.0693676737392606</v>
      </c>
      <c r="CU56" s="1086">
        <f t="shared" si="46"/>
        <v>3.2034023106567631</v>
      </c>
      <c r="CV56" s="1086">
        <f t="shared" si="46"/>
        <v>2.295065252212515</v>
      </c>
      <c r="CW56" s="1086">
        <f t="shared" si="46"/>
        <v>2.8349023035391547</v>
      </c>
      <c r="CX56" s="1086">
        <f t="shared" si="46"/>
        <v>1.9202082425944607</v>
      </c>
      <c r="CY56" s="1086">
        <f t="shared" si="46"/>
        <v>2.2893090487951522</v>
      </c>
      <c r="CZ56" s="1086">
        <f t="shared" si="46"/>
        <v>2.4881876998003207</v>
      </c>
      <c r="DA56" s="1086">
        <f t="shared" si="46"/>
        <v>2.0892264748512681</v>
      </c>
      <c r="DB56" s="1086">
        <f t="shared" si="46"/>
        <v>2.0048635329122222</v>
      </c>
      <c r="DC56" s="993"/>
      <c r="DF56" s="1447">
        <v>7</v>
      </c>
      <c r="DG56" s="4">
        <v>8</v>
      </c>
      <c r="DH56" s="1444">
        <f t="shared" si="27"/>
        <v>25</v>
      </c>
      <c r="DI56" s="1495">
        <f t="shared" si="25"/>
        <v>1.8058690744920991</v>
      </c>
      <c r="DJ56" s="669"/>
      <c r="DK56" s="1449">
        <v>7</v>
      </c>
      <c r="DL56" s="4">
        <v>4</v>
      </c>
      <c r="DM56" s="1444">
        <f t="shared" si="28"/>
        <v>25</v>
      </c>
      <c r="DN56" s="1495">
        <f t="shared" si="26"/>
        <v>0.91324200913242004</v>
      </c>
      <c r="DO56" s="993"/>
      <c r="DP56" s="488"/>
      <c r="DQ56" s="247"/>
      <c r="DR56" s="247"/>
      <c r="DS56" s="247"/>
      <c r="DT56" s="247"/>
      <c r="DU56" s="247"/>
      <c r="DV56" s="261"/>
      <c r="DW56" s="261"/>
      <c r="DX56" s="261"/>
      <c r="DY56" s="261"/>
      <c r="DZ56" s="261"/>
      <c r="EA56" s="261"/>
      <c r="EB56" s="261"/>
      <c r="EC56" s="261"/>
      <c r="ED56" s="261"/>
      <c r="EE56" s="261"/>
      <c r="EF56" s="993"/>
      <c r="EG56" s="261"/>
      <c r="EH56" s="281"/>
      <c r="EI56" s="281"/>
      <c r="EJ56" s="281"/>
      <c r="EK56" s="281"/>
      <c r="EL56" s="281"/>
      <c r="EM56" s="281"/>
      <c r="EN56" s="281"/>
      <c r="EO56" s="281"/>
      <c r="EP56" s="281"/>
      <c r="EQ56" s="281"/>
      <c r="ER56" s="281"/>
      <c r="ES56" s="281"/>
      <c r="ET56" s="281"/>
      <c r="EU56" s="281"/>
      <c r="EV56" s="281"/>
      <c r="EW56" s="281"/>
      <c r="EX56" s="281"/>
      <c r="EY56" s="281"/>
      <c r="EZ56" s="281"/>
      <c r="FA56" s="281"/>
      <c r="FB56" s="281"/>
      <c r="FC56" s="281"/>
      <c r="FD56" s="281"/>
      <c r="FE56" s="281"/>
      <c r="FF56" s="281"/>
      <c r="FG56" s="281"/>
      <c r="FH56" s="281"/>
      <c r="FI56" s="281"/>
      <c r="FJ56" s="281"/>
      <c r="FK56" s="281"/>
      <c r="FL56" s="281"/>
      <c r="FM56" s="281"/>
      <c r="FN56" s="281"/>
      <c r="FO56" s="281"/>
      <c r="FP56" s="281"/>
      <c r="FQ56" s="281"/>
      <c r="FR56" s="281"/>
      <c r="FS56" s="281"/>
      <c r="FT56" s="281"/>
      <c r="FU56" s="281"/>
      <c r="FV56" s="281"/>
      <c r="FW56" s="281"/>
      <c r="FX56" s="281"/>
      <c r="FY56" s="281"/>
    </row>
    <row r="57" spans="1:181" s="284" customFormat="1" ht="20.100000000000001" customHeight="1">
      <c r="A57" s="98"/>
      <c r="B57" s="25"/>
      <c r="C57" s="25"/>
      <c r="D57" s="25"/>
      <c r="E57" s="25"/>
      <c r="F57" s="25"/>
      <c r="G57" s="464"/>
      <c r="H57" s="98"/>
      <c r="I57" s="949" t="s">
        <v>211</v>
      </c>
      <c r="J57" s="948">
        <v>258</v>
      </c>
      <c r="K57" s="948">
        <v>0</v>
      </c>
      <c r="L57" s="948"/>
      <c r="M57" s="1029" t="s">
        <v>597</v>
      </c>
      <c r="N57" s="464"/>
      <c r="O57" s="98"/>
      <c r="P57" s="25" t="str">
        <f t="shared" si="40"/>
        <v>Real Interest Rate ShockReal GDP growth (in percent)</v>
      </c>
      <c r="Q57" s="25"/>
      <c r="R57" s="431" t="s">
        <v>418</v>
      </c>
      <c r="S57" s="111"/>
      <c r="T57" s="111"/>
      <c r="U57" s="596">
        <f>(interest!B$26)*100</f>
        <v>4.7697166816344838</v>
      </c>
      <c r="V57" s="596">
        <f>(interest!C$26)*100</f>
        <v>3.1686434574876632</v>
      </c>
      <c r="W57" s="596">
        <f>(interest!D$26)*100</f>
        <v>2.9947102444823903</v>
      </c>
      <c r="X57" s="596">
        <f>(interest!E$26)*100</f>
        <v>2.8871442593204177</v>
      </c>
      <c r="Y57" s="596">
        <f>(interest!F$26)*100</f>
        <v>2.933023694707515</v>
      </c>
      <c r="Z57" s="597">
        <f>(interest!G$26)*100</f>
        <v>2.8000000000000025</v>
      </c>
      <c r="AA57" s="474"/>
      <c r="AB57" s="100"/>
      <c r="AC57" s="25"/>
      <c r="AD57" s="25"/>
      <c r="AE57" s="25"/>
      <c r="AF57" s="25"/>
      <c r="AG57" s="25"/>
      <c r="AH57" s="25"/>
      <c r="AI57" s="25"/>
      <c r="AJ57" s="25"/>
      <c r="AK57" s="25"/>
      <c r="AL57" s="25"/>
      <c r="AM57" s="25"/>
      <c r="AN57" s="25"/>
      <c r="AO57" s="464"/>
      <c r="AP57" s="259"/>
      <c r="AQ57" s="107" t="s">
        <v>427</v>
      </c>
      <c r="AR57" s="107"/>
      <c r="AS57" s="107"/>
      <c r="AT57" s="591" t="str">
        <f t="shared" si="44"/>
        <v/>
      </c>
      <c r="AU57" s="591" t="str">
        <f t="shared" si="44"/>
        <v/>
      </c>
      <c r="AV57" s="591" t="str">
        <f t="shared" si="44"/>
        <v/>
      </c>
      <c r="AW57" s="591" t="str">
        <f t="shared" si="44"/>
        <v/>
      </c>
      <c r="AX57" s="591" t="str">
        <f t="shared" si="44"/>
        <v/>
      </c>
      <c r="AY57" s="591" t="str">
        <f t="shared" si="44"/>
        <v/>
      </c>
      <c r="AZ57" s="464"/>
      <c r="BA57" s="247"/>
      <c r="BB57" s="247"/>
      <c r="BC57" s="247"/>
      <c r="BD57" s="247"/>
      <c r="BE57" s="247"/>
      <c r="BF57" s="247"/>
      <c r="BG57" s="247"/>
      <c r="BH57" s="247"/>
      <c r="BI57" s="247"/>
      <c r="BJ57" s="247"/>
      <c r="BK57" s="254"/>
      <c r="BL57" s="17"/>
      <c r="BM57" s="17"/>
      <c r="BN57" s="424"/>
      <c r="BO57" s="805"/>
      <c r="BP57" s="261"/>
      <c r="BQ57" s="424"/>
      <c r="BR57" s="776"/>
      <c r="BS57" s="425"/>
      <c r="BT57" s="256"/>
      <c r="BU57" s="255"/>
      <c r="BV57" s="256"/>
      <c r="BW57" s="247"/>
      <c r="BX57" s="247"/>
      <c r="BY57" s="247"/>
      <c r="BZ57" s="254"/>
      <c r="CA57" s="255"/>
      <c r="CB57" s="247"/>
      <c r="CC57" s="247"/>
      <c r="CD57" s="247"/>
      <c r="CE57" s="247"/>
      <c r="CF57" s="247"/>
      <c r="CG57" s="254"/>
      <c r="CH57" s="1088"/>
      <c r="CI57" s="666"/>
      <c r="CJ57" s="1078"/>
      <c r="CK57" s="1078"/>
      <c r="CL57" s="1078"/>
      <c r="CM57" s="1078"/>
      <c r="CN57" s="1078"/>
      <c r="CO57" s="1078"/>
      <c r="CP57" s="1078"/>
      <c r="CQ57" s="1078"/>
      <c r="CR57" s="1078"/>
      <c r="CS57" s="1078"/>
      <c r="CT57" s="1078"/>
      <c r="CU57" s="1078"/>
      <c r="CV57" s="1078"/>
      <c r="CW57" s="1078"/>
      <c r="CX57" s="1078"/>
      <c r="CY57" s="1078"/>
      <c r="CZ57" s="1078"/>
      <c r="DA57" s="1078"/>
      <c r="DB57" s="1078"/>
      <c r="DC57" s="1023"/>
      <c r="DF57" s="1447">
        <v>7.5</v>
      </c>
      <c r="DG57" s="4">
        <v>4</v>
      </c>
      <c r="DH57" s="1444">
        <f t="shared" si="27"/>
        <v>26</v>
      </c>
      <c r="DI57" s="1495">
        <f t="shared" si="25"/>
        <v>0.90293453724604955</v>
      </c>
      <c r="DJ57" s="669"/>
      <c r="DK57" s="1449">
        <v>7.5</v>
      </c>
      <c r="DL57" s="4">
        <v>4</v>
      </c>
      <c r="DM57" s="1444">
        <f t="shared" si="28"/>
        <v>26</v>
      </c>
      <c r="DN57" s="1495">
        <f t="shared" si="26"/>
        <v>0.91324200913242004</v>
      </c>
      <c r="DO57" s="993"/>
      <c r="DP57" s="488"/>
      <c r="DQ57" s="247"/>
      <c r="DR57" s="247"/>
      <c r="DS57" s="247"/>
      <c r="DT57" s="247"/>
      <c r="DU57" s="247"/>
      <c r="DV57" s="261"/>
      <c r="DW57" s="261"/>
      <c r="DX57" s="261"/>
      <c r="DY57" s="261"/>
      <c r="DZ57" s="261"/>
      <c r="EA57" s="261"/>
      <c r="EB57" s="261"/>
      <c r="EC57" s="261"/>
      <c r="ED57" s="261"/>
      <c r="EE57" s="261"/>
      <c r="EF57" s="993"/>
      <c r="EG57" s="261"/>
      <c r="EH57" s="281"/>
      <c r="EI57" s="281"/>
      <c r="EJ57" s="281"/>
      <c r="EK57" s="281"/>
      <c r="EL57" s="281"/>
      <c r="EM57" s="281"/>
      <c r="EN57" s="281"/>
      <c r="EO57" s="281"/>
      <c r="EP57" s="281"/>
      <c r="EQ57" s="281"/>
      <c r="ER57" s="281"/>
      <c r="ES57" s="281"/>
      <c r="ET57" s="281"/>
      <c r="EU57" s="281"/>
      <c r="EV57" s="281"/>
      <c r="EW57" s="281"/>
      <c r="EX57" s="281"/>
      <c r="EY57" s="281"/>
      <c r="EZ57" s="281"/>
      <c r="FA57" s="281"/>
      <c r="FB57" s="281"/>
      <c r="FC57" s="281"/>
      <c r="FD57" s="281"/>
      <c r="FE57" s="281"/>
      <c r="FF57" s="281"/>
      <c r="FG57" s="281"/>
      <c r="FH57" s="281"/>
      <c r="FI57" s="281"/>
      <c r="FJ57" s="281"/>
      <c r="FK57" s="281"/>
      <c r="FL57" s="281"/>
      <c r="FM57" s="281"/>
      <c r="FN57" s="281"/>
      <c r="FO57" s="281"/>
      <c r="FP57" s="281"/>
      <c r="FQ57" s="281"/>
      <c r="FR57" s="281"/>
      <c r="FS57" s="281"/>
      <c r="FT57" s="281"/>
      <c r="FU57" s="281"/>
      <c r="FV57" s="281"/>
      <c r="FW57" s="281"/>
      <c r="FX57" s="281"/>
      <c r="FY57" s="281"/>
    </row>
    <row r="58" spans="1:181" s="284" customFormat="1" ht="20.100000000000001" customHeight="1">
      <c r="A58" s="98"/>
      <c r="B58" s="25"/>
      <c r="C58" s="25"/>
      <c r="D58" s="25"/>
      <c r="E58" s="25"/>
      <c r="F58" s="25"/>
      <c r="G58" s="464"/>
      <c r="H58" s="98"/>
      <c r="I58" s="949" t="s">
        <v>212</v>
      </c>
      <c r="J58" s="948">
        <v>532</v>
      </c>
      <c r="K58" s="948">
        <v>1</v>
      </c>
      <c r="L58" s="948"/>
      <c r="M58" s="1029" t="s">
        <v>598</v>
      </c>
      <c r="N58" s="464"/>
      <c r="O58" s="98"/>
      <c r="P58" s="25" t="str">
        <f t="shared" si="40"/>
        <v>Real Interest Rate ShockInflation (in percent)</v>
      </c>
      <c r="Q58" s="25"/>
      <c r="R58" s="99" t="s">
        <v>427</v>
      </c>
      <c r="S58" s="107"/>
      <c r="T58" s="107"/>
      <c r="U58" s="591">
        <f>(interest!B$27)*100</f>
        <v>4.2122999157540031</v>
      </c>
      <c r="V58" s="591">
        <f>(interest!C$27)*100</f>
        <v>3.085754504401117</v>
      </c>
      <c r="W58" s="591">
        <f>(interest!D$27)*100</f>
        <v>2.7938359016816516</v>
      </c>
      <c r="X58" s="591">
        <f>(interest!E$27)*100</f>
        <v>2.5315565708619037</v>
      </c>
      <c r="Y58" s="591">
        <f>(interest!F$27)*100</f>
        <v>2.4647711698661201</v>
      </c>
      <c r="Z58" s="592">
        <f>(interest!G$27)*100</f>
        <v>2.5000000000000133</v>
      </c>
      <c r="AA58" s="475"/>
      <c r="AB58" s="429"/>
      <c r="AC58" s="25"/>
      <c r="AD58" s="25"/>
      <c r="AE58" s="25"/>
      <c r="AF58" s="25"/>
      <c r="AG58" s="25"/>
      <c r="AH58" s="25"/>
      <c r="AI58" s="25"/>
      <c r="AJ58" s="25"/>
      <c r="AK58" s="25"/>
      <c r="AL58" s="25"/>
      <c r="AM58" s="25"/>
      <c r="AN58" s="25"/>
      <c r="AO58" s="464"/>
      <c r="AP58" s="259"/>
      <c r="AQ58" s="107" t="s">
        <v>544</v>
      </c>
      <c r="AR58" s="107"/>
      <c r="AS58" s="107"/>
      <c r="AT58" s="591" t="str">
        <f t="shared" si="44"/>
        <v/>
      </c>
      <c r="AU58" s="591" t="str">
        <f t="shared" si="44"/>
        <v/>
      </c>
      <c r="AV58" s="591" t="str">
        <f t="shared" si="44"/>
        <v/>
      </c>
      <c r="AW58" s="591" t="str">
        <f t="shared" si="44"/>
        <v/>
      </c>
      <c r="AX58" s="591" t="str">
        <f t="shared" si="44"/>
        <v/>
      </c>
      <c r="AY58" s="591" t="str">
        <f t="shared" si="44"/>
        <v/>
      </c>
      <c r="AZ58" s="464"/>
      <c r="BA58" s="247"/>
      <c r="BB58" s="247"/>
      <c r="BC58" s="247"/>
      <c r="BD58" s="247"/>
      <c r="BE58" s="247"/>
      <c r="BF58" s="247"/>
      <c r="BG58" s="247"/>
      <c r="BH58" s="247"/>
      <c r="BI58" s="247"/>
      <c r="BJ58" s="247"/>
      <c r="BK58" s="254"/>
      <c r="BL58" s="1000"/>
      <c r="BM58" s="251"/>
      <c r="BN58" s="424"/>
      <c r="BO58" s="805"/>
      <c r="BP58" s="261"/>
      <c r="BQ58" s="424"/>
      <c r="BR58" s="776"/>
      <c r="BS58" s="425"/>
      <c r="BT58" s="256"/>
      <c r="BU58" s="255"/>
      <c r="BV58" s="256"/>
      <c r="BW58" s="247"/>
      <c r="BX58" s="247"/>
      <c r="BY58" s="247"/>
      <c r="BZ58" s="254"/>
      <c r="CA58" s="255"/>
      <c r="CB58" s="247"/>
      <c r="CC58" s="247"/>
      <c r="CD58" s="247"/>
      <c r="CE58" s="247"/>
      <c r="CF58" s="247"/>
      <c r="CG58" s="254"/>
      <c r="CH58" s="17"/>
      <c r="CI58" s="17"/>
      <c r="CJ58" s="1077"/>
      <c r="CK58" s="1077"/>
      <c r="CL58" s="1077"/>
      <c r="CM58" s="1077"/>
      <c r="CN58" s="1077"/>
      <c r="CO58" s="1077"/>
      <c r="CP58" s="1077"/>
      <c r="CQ58" s="1077"/>
      <c r="CR58" s="1077"/>
      <c r="CS58" s="1077"/>
      <c r="CT58" s="1077"/>
      <c r="CU58" s="1077"/>
      <c r="CV58" s="1077"/>
      <c r="CW58" s="1077"/>
      <c r="CX58" s="1077"/>
      <c r="CY58" s="1077"/>
      <c r="CZ58" s="1077"/>
      <c r="DA58" s="1077"/>
      <c r="DB58" s="1077"/>
      <c r="DC58" s="993"/>
      <c r="DF58" s="1447">
        <v>8</v>
      </c>
      <c r="DG58" s="4">
        <v>1</v>
      </c>
      <c r="DH58" s="1444">
        <f t="shared" si="27"/>
        <v>27</v>
      </c>
      <c r="DI58" s="1495">
        <f t="shared" si="25"/>
        <v>0.22573363431151239</v>
      </c>
      <c r="DJ58" s="669"/>
      <c r="DK58" s="1449">
        <v>8</v>
      </c>
      <c r="DL58" s="4">
        <v>5</v>
      </c>
      <c r="DM58" s="1444">
        <f t="shared" si="28"/>
        <v>27</v>
      </c>
      <c r="DN58" s="1495">
        <f t="shared" si="26"/>
        <v>1.1415525114155249</v>
      </c>
      <c r="DO58" s="993"/>
      <c r="DP58" s="488"/>
      <c r="DQ58" s="247"/>
      <c r="DR58" s="247"/>
      <c r="DS58" s="247"/>
      <c r="DT58" s="247"/>
      <c r="DU58" s="247"/>
      <c r="DV58" s="261"/>
      <c r="DW58" s="261"/>
      <c r="DX58" s="261"/>
      <c r="DY58" s="261"/>
      <c r="DZ58" s="261"/>
      <c r="EA58" s="261"/>
      <c r="EB58" s="261"/>
      <c r="EC58" s="261"/>
      <c r="ED58" s="261"/>
      <c r="EE58" s="261"/>
      <c r="EF58" s="993"/>
      <c r="EG58" s="261"/>
      <c r="EH58" s="281"/>
      <c r="EI58" s="281"/>
      <c r="EJ58" s="281"/>
      <c r="EK58" s="281"/>
      <c r="EL58" s="281"/>
      <c r="EM58" s="281"/>
      <c r="EN58" s="281"/>
      <c r="EO58" s="281"/>
      <c r="EP58" s="281"/>
      <c r="EQ58" s="281"/>
      <c r="ER58" s="281"/>
      <c r="ES58" s="281"/>
      <c r="ET58" s="281"/>
      <c r="EU58" s="281"/>
      <c r="EV58" s="281"/>
      <c r="EW58" s="281"/>
      <c r="EX58" s="281"/>
      <c r="EY58" s="281"/>
      <c r="EZ58" s="281"/>
      <c r="FA58" s="281"/>
      <c r="FB58" s="281"/>
      <c r="FC58" s="281"/>
      <c r="FD58" s="281"/>
      <c r="FE58" s="281"/>
      <c r="FF58" s="281"/>
      <c r="FG58" s="281"/>
      <c r="FH58" s="281"/>
      <c r="FI58" s="281"/>
      <c r="FJ58" s="281"/>
      <c r="FK58" s="281"/>
      <c r="FL58" s="281"/>
      <c r="FM58" s="281"/>
      <c r="FN58" s="281"/>
      <c r="FO58" s="281"/>
      <c r="FP58" s="281"/>
      <c r="FQ58" s="281"/>
      <c r="FR58" s="281"/>
      <c r="FS58" s="281"/>
      <c r="FT58" s="281"/>
      <c r="FU58" s="281"/>
      <c r="FV58" s="281"/>
      <c r="FW58" s="281"/>
      <c r="FX58" s="281"/>
      <c r="FY58" s="281"/>
    </row>
    <row r="59" spans="1:181" s="25" customFormat="1" ht="20.100000000000001" customHeight="1" thickBot="1">
      <c r="A59" s="98"/>
      <c r="G59" s="464"/>
      <c r="H59" s="98"/>
      <c r="I59" s="949" t="s">
        <v>213</v>
      </c>
      <c r="J59" s="948">
        <v>944</v>
      </c>
      <c r="K59" s="948">
        <v>0</v>
      </c>
      <c r="L59" s="948"/>
      <c r="M59" s="1029" t="s">
        <v>599</v>
      </c>
      <c r="N59" s="464"/>
      <c r="O59" s="98"/>
      <c r="P59" s="25" t="str">
        <f t="shared" si="40"/>
        <v>Real Interest Rate ShockPrimary Balance (in percent of GDP)</v>
      </c>
      <c r="R59" s="99" t="s">
        <v>544</v>
      </c>
      <c r="S59" s="107"/>
      <c r="T59" s="107"/>
      <c r="U59" s="591">
        <f>(interest!B$30)*100</f>
        <v>-5.2301873674015509E-2</v>
      </c>
      <c r="V59" s="591">
        <f>(interest!C$30)*100</f>
        <v>4.6597896115335713E-2</v>
      </c>
      <c r="W59" s="591">
        <f>(interest!D$30)*100</f>
        <v>0.30885252917781103</v>
      </c>
      <c r="X59" s="591">
        <f>(interest!E$30)*100</f>
        <v>0.22147723253581053</v>
      </c>
      <c r="Y59" s="591">
        <f>(interest!F$30)*100</f>
        <v>0.87301076297996993</v>
      </c>
      <c r="Z59" s="592">
        <f>(interest!G$30)*100</f>
        <v>0.87301076297997549</v>
      </c>
      <c r="AA59" s="464"/>
      <c r="AB59" s="98"/>
      <c r="AO59" s="464"/>
      <c r="AP59" s="259"/>
      <c r="AQ59" s="266" t="s">
        <v>428</v>
      </c>
      <c r="AR59" s="266"/>
      <c r="AS59" s="266"/>
      <c r="AT59" s="600" t="str">
        <f t="shared" si="44"/>
        <v/>
      </c>
      <c r="AU59" s="600" t="str">
        <f t="shared" si="44"/>
        <v/>
      </c>
      <c r="AV59" s="600" t="str">
        <f t="shared" si="44"/>
        <v/>
      </c>
      <c r="AW59" s="600" t="str">
        <f t="shared" si="44"/>
        <v/>
      </c>
      <c r="AX59" s="600" t="str">
        <f t="shared" si="44"/>
        <v/>
      </c>
      <c r="AY59" s="600" t="str">
        <f t="shared" si="44"/>
        <v/>
      </c>
      <c r="AZ59" s="464"/>
      <c r="BA59" s="247"/>
      <c r="BB59" s="247"/>
      <c r="BC59" s="247"/>
      <c r="BD59" s="247"/>
      <c r="BE59" s="247"/>
      <c r="BF59" s="247"/>
      <c r="BG59" s="247"/>
      <c r="BH59" s="247"/>
      <c r="BI59" s="247"/>
      <c r="BJ59" s="247"/>
      <c r="BK59" s="254"/>
      <c r="BL59" s="17"/>
      <c r="BM59" s="17"/>
      <c r="BN59" s="424"/>
      <c r="BO59" s="805"/>
      <c r="BP59" s="261"/>
      <c r="BQ59" s="424"/>
      <c r="BR59" s="776"/>
      <c r="BS59" s="17"/>
      <c r="BT59" s="256"/>
      <c r="BU59" s="255"/>
      <c r="BV59" s="256"/>
      <c r="BW59" s="247"/>
      <c r="BX59" s="247"/>
      <c r="BY59" s="247"/>
      <c r="BZ59" s="254"/>
      <c r="CA59" s="255"/>
      <c r="CB59" s="247"/>
      <c r="CC59" s="247"/>
      <c r="CD59" s="247"/>
      <c r="CE59" s="247"/>
      <c r="CF59" s="247"/>
      <c r="CG59" s="254"/>
      <c r="CH59" s="1089" t="s">
        <v>718</v>
      </c>
      <c r="CI59" s="17"/>
      <c r="CJ59" s="1077"/>
      <c r="CK59" s="1077"/>
      <c r="CL59" s="1077"/>
      <c r="CM59" s="1077"/>
      <c r="CN59" s="1077"/>
      <c r="CO59" s="1077"/>
      <c r="CP59" s="1077"/>
      <c r="CQ59" s="1077"/>
      <c r="CR59" s="1077"/>
      <c r="CS59" s="1077"/>
      <c r="CT59" s="1077"/>
      <c r="CU59" s="1077"/>
      <c r="CV59" s="1077"/>
      <c r="CW59" s="1077"/>
      <c r="CX59" s="1077"/>
      <c r="CY59" s="1077"/>
      <c r="CZ59" s="1077"/>
      <c r="DA59" s="1077"/>
      <c r="DB59" s="1077"/>
      <c r="DC59" s="993"/>
      <c r="DF59" s="1448" t="s">
        <v>844</v>
      </c>
      <c r="DG59" s="4">
        <v>9</v>
      </c>
      <c r="DH59" s="1444">
        <f t="shared" si="27"/>
        <v>28</v>
      </c>
      <c r="DI59" s="1495">
        <f t="shared" si="25"/>
        <v>2.0316027088036117</v>
      </c>
      <c r="DJ59" s="669"/>
      <c r="DK59" s="1123" t="s">
        <v>844</v>
      </c>
      <c r="DL59" s="4">
        <v>10</v>
      </c>
      <c r="DM59" s="1444">
        <f t="shared" si="28"/>
        <v>28</v>
      </c>
      <c r="DN59" s="1495">
        <f t="shared" si="26"/>
        <v>2.2831050228310499</v>
      </c>
      <c r="DO59" s="993"/>
      <c r="DP59" s="488"/>
      <c r="DQ59" s="247"/>
      <c r="DR59" s="247"/>
      <c r="DS59" s="247"/>
      <c r="DT59" s="247"/>
      <c r="DU59" s="247"/>
      <c r="DV59" s="261"/>
      <c r="DW59" s="261"/>
      <c r="DX59" s="261"/>
      <c r="DY59" s="261"/>
      <c r="DZ59" s="261"/>
      <c r="EA59" s="261"/>
      <c r="EB59" s="261"/>
      <c r="EC59" s="261"/>
      <c r="ED59" s="261"/>
      <c r="EE59" s="261"/>
      <c r="EF59" s="993"/>
      <c r="EG59" s="261"/>
      <c r="EH59" s="281"/>
      <c r="EI59" s="281"/>
      <c r="EJ59" s="281"/>
      <c r="EK59" s="281"/>
      <c r="EL59" s="281"/>
      <c r="EM59" s="281"/>
      <c r="EN59" s="281"/>
      <c r="EO59" s="281"/>
      <c r="EP59" s="281"/>
      <c r="EQ59" s="281"/>
      <c r="ER59" s="281"/>
      <c r="ES59" s="281"/>
      <c r="ET59" s="281"/>
      <c r="EU59" s="281"/>
      <c r="EV59" s="281"/>
      <c r="EW59" s="281"/>
      <c r="EX59" s="281"/>
      <c r="EY59" s="281"/>
      <c r="EZ59" s="281"/>
      <c r="FA59" s="281"/>
      <c r="FB59" s="281"/>
      <c r="FC59" s="281"/>
      <c r="FD59" s="281"/>
      <c r="FE59" s="281"/>
      <c r="FF59" s="281"/>
      <c r="FG59" s="281"/>
      <c r="FH59" s="281"/>
      <c r="FI59" s="281"/>
      <c r="FJ59" s="281"/>
      <c r="FK59" s="281"/>
      <c r="FL59" s="281"/>
      <c r="FM59" s="281"/>
      <c r="FN59" s="281"/>
      <c r="FO59" s="281"/>
      <c r="FP59" s="281"/>
      <c r="FQ59" s="281"/>
      <c r="FR59" s="281"/>
      <c r="FS59" s="281"/>
      <c r="FT59" s="281"/>
      <c r="FU59" s="281"/>
      <c r="FV59" s="281"/>
      <c r="FW59" s="281"/>
      <c r="FX59" s="281"/>
      <c r="FY59" s="281"/>
    </row>
    <row r="60" spans="1:181" s="25" customFormat="1" ht="20.100000000000001" customHeight="1" thickBot="1">
      <c r="A60" s="98"/>
      <c r="G60" s="464"/>
      <c r="H60" s="98"/>
      <c r="I60" s="949" t="s">
        <v>214</v>
      </c>
      <c r="J60" s="948">
        <v>176</v>
      </c>
      <c r="K60" s="948">
        <v>1</v>
      </c>
      <c r="L60" s="948"/>
      <c r="M60" s="1029" t="s">
        <v>600</v>
      </c>
      <c r="N60" s="464"/>
      <c r="O60" s="98"/>
      <c r="P60" s="25" t="str">
        <f t="shared" si="40"/>
        <v>Real Interest Rate ShockEffective Interest Rate (in percent)</v>
      </c>
      <c r="R60" s="101" t="s">
        <v>428</v>
      </c>
      <c r="S60" s="632"/>
      <c r="T60" s="632"/>
      <c r="U60" s="594">
        <f>(interest!B$25)*100</f>
        <v>1.9586439007071743</v>
      </c>
      <c r="V60" s="594">
        <f ca="1">(interest!C$25)*100</f>
        <v>2.4781166566290191</v>
      </c>
      <c r="W60" s="594">
        <f ca="1">(interest!D$25)*100</f>
        <v>6.5111885897248714</v>
      </c>
      <c r="X60" s="594">
        <f ca="1">(interest!E$25)*100</f>
        <v>8.0037638736025318</v>
      </c>
      <c r="Y60" s="594">
        <f ca="1">(interest!F$25)*100</f>
        <v>11.48721828587329</v>
      </c>
      <c r="Z60" s="595">
        <f ca="1">(interest!G$25)*100</f>
        <v>12.978191961087388</v>
      </c>
      <c r="AA60" s="464"/>
      <c r="AO60" s="464"/>
      <c r="AZ60" s="464"/>
      <c r="BA60" s="247"/>
      <c r="BB60" s="247"/>
      <c r="BC60" s="247"/>
      <c r="BD60" s="247"/>
      <c r="BE60" s="247"/>
      <c r="BF60" s="247"/>
      <c r="BG60" s="247"/>
      <c r="BH60" s="247"/>
      <c r="BI60" s="247"/>
      <c r="BJ60" s="247"/>
      <c r="BK60" s="254"/>
      <c r="BL60" s="17"/>
      <c r="BM60" s="17"/>
      <c r="BN60" s="424"/>
      <c r="BO60" s="805"/>
      <c r="BP60" s="261"/>
      <c r="BQ60" s="424"/>
      <c r="BR60" s="776"/>
      <c r="BS60" s="17"/>
      <c r="BT60" s="256"/>
      <c r="BU60" s="255"/>
      <c r="BV60" s="256"/>
      <c r="BW60" s="247"/>
      <c r="BX60" s="247"/>
      <c r="BY60" s="247"/>
      <c r="BZ60" s="254"/>
      <c r="CA60" s="255"/>
      <c r="CB60" s="247"/>
      <c r="CC60" s="247"/>
      <c r="CD60" s="247"/>
      <c r="CE60" s="247"/>
      <c r="CF60" s="247"/>
      <c r="CG60" s="254"/>
      <c r="CH60" s="637"/>
      <c r="CI60" s="17"/>
      <c r="CJ60" s="1082">
        <f t="shared" ref="CJ60:CP60" si="47">CK60-1</f>
        <v>2009</v>
      </c>
      <c r="CK60" s="1083">
        <f t="shared" si="47"/>
        <v>2010</v>
      </c>
      <c r="CL60" s="1083">
        <f t="shared" si="47"/>
        <v>2011</v>
      </c>
      <c r="CM60" s="1083">
        <f t="shared" si="47"/>
        <v>2012</v>
      </c>
      <c r="CN60" s="1083">
        <f t="shared" si="47"/>
        <v>2013</v>
      </c>
      <c r="CO60" s="1083">
        <f t="shared" si="47"/>
        <v>2014</v>
      </c>
      <c r="CP60" s="1083">
        <f t="shared" si="47"/>
        <v>2015</v>
      </c>
      <c r="CQ60" s="1083">
        <f>CR60-1</f>
        <v>2016</v>
      </c>
      <c r="CR60" s="1084">
        <f>CS10-1</f>
        <v>2017</v>
      </c>
      <c r="CS60" s="1077"/>
      <c r="CT60" s="1077"/>
      <c r="CU60" s="1077"/>
      <c r="CV60" s="1077"/>
      <c r="CW60" s="1077"/>
      <c r="CX60" s="1077"/>
      <c r="CY60" s="1077"/>
      <c r="CZ60" s="1077"/>
      <c r="DA60" s="1077"/>
      <c r="DB60" s="1077"/>
      <c r="DC60" s="993"/>
      <c r="DF60" s="669"/>
      <c r="DG60" s="17"/>
      <c r="DH60" s="17"/>
      <c r="DI60" s="1172"/>
      <c r="DJ60" s="669"/>
      <c r="DK60" s="282"/>
      <c r="DL60" s="282"/>
      <c r="DM60" s="282"/>
      <c r="DN60" s="503"/>
      <c r="DO60" s="993"/>
      <c r="DP60" s="488"/>
      <c r="DQ60" s="247"/>
      <c r="DR60" s="247"/>
      <c r="DS60" s="247"/>
      <c r="DT60" s="247"/>
      <c r="DU60" s="247"/>
      <c r="DV60" s="261"/>
      <c r="DW60" s="261"/>
      <c r="DX60" s="261"/>
      <c r="DY60" s="261"/>
      <c r="DZ60" s="261"/>
      <c r="EA60" s="261"/>
      <c r="EB60" s="261"/>
      <c r="EC60" s="261"/>
      <c r="ED60" s="261"/>
      <c r="EE60" s="261"/>
      <c r="EF60" s="993"/>
      <c r="EG60" s="261"/>
      <c r="EH60" s="281"/>
      <c r="EI60" s="281"/>
      <c r="EJ60" s="281"/>
      <c r="EK60" s="281"/>
      <c r="EL60" s="281"/>
      <c r="EM60" s="281"/>
      <c r="EN60" s="281"/>
      <c r="EO60" s="281"/>
      <c r="EP60" s="281"/>
      <c r="EQ60" s="281"/>
      <c r="ER60" s="281"/>
      <c r="ES60" s="281"/>
      <c r="ET60" s="281"/>
      <c r="EU60" s="281"/>
      <c r="EV60" s="281"/>
      <c r="EW60" s="281"/>
      <c r="EX60" s="281"/>
      <c r="EY60" s="281"/>
      <c r="EZ60" s="281"/>
      <c r="FA60" s="281"/>
      <c r="FB60" s="281"/>
      <c r="FC60" s="281"/>
      <c r="FD60" s="281"/>
      <c r="FE60" s="281"/>
      <c r="FF60" s="281"/>
      <c r="FG60" s="281"/>
      <c r="FH60" s="281"/>
      <c r="FI60" s="281"/>
      <c r="FJ60" s="281"/>
      <c r="FK60" s="281"/>
      <c r="FL60" s="281"/>
      <c r="FM60" s="281"/>
      <c r="FN60" s="281"/>
      <c r="FO60" s="281"/>
      <c r="FP60" s="281"/>
      <c r="FQ60" s="281"/>
      <c r="FR60" s="281"/>
      <c r="FS60" s="281"/>
      <c r="FT60" s="281"/>
      <c r="FU60" s="281"/>
      <c r="FV60" s="281"/>
      <c r="FW60" s="281"/>
      <c r="FX60" s="281"/>
      <c r="FY60" s="281"/>
    </row>
    <row r="61" spans="1:181" s="25" customFormat="1" ht="20.100000000000001" customHeight="1">
      <c r="A61" s="98"/>
      <c r="G61" s="464"/>
      <c r="H61" s="98"/>
      <c r="I61" s="949" t="s">
        <v>215</v>
      </c>
      <c r="J61" s="948">
        <v>534</v>
      </c>
      <c r="K61" s="948">
        <v>0</v>
      </c>
      <c r="L61" s="948"/>
      <c r="M61" s="1029" t="s">
        <v>601</v>
      </c>
      <c r="N61" s="464"/>
      <c r="O61" s="98"/>
      <c r="R61" s="111"/>
      <c r="S61" s="111"/>
      <c r="T61" s="111"/>
      <c r="U61" s="102"/>
      <c r="V61" s="102"/>
      <c r="W61" s="102"/>
      <c r="X61" s="102"/>
      <c r="Y61" s="102"/>
      <c r="Z61" s="102"/>
      <c r="AA61" s="464"/>
      <c r="AO61" s="464"/>
      <c r="AP61" s="259">
        <f>IF(AND(ScrutinyClassification_Final="Lower",Custom2Trigger=1),1,0)</f>
        <v>0</v>
      </c>
      <c r="AQ61" s="1470" t="str">
        <f>IF(Basic2Shock6=1,IF(ISBLANK(Custom2Name), "Customized shock 2",Custom2Name),"")</f>
        <v/>
      </c>
      <c r="AR61" s="1470"/>
      <c r="AS61" s="1470"/>
      <c r="AZ61" s="464"/>
      <c r="BA61" s="247"/>
      <c r="BB61" s="247"/>
      <c r="BC61" s="247"/>
      <c r="BD61" s="247"/>
      <c r="BE61" s="247"/>
      <c r="BF61" s="247"/>
      <c r="BG61" s="247"/>
      <c r="BH61" s="247"/>
      <c r="BI61" s="247"/>
      <c r="BJ61" s="247"/>
      <c r="BK61" s="254"/>
      <c r="BL61" s="17"/>
      <c r="BM61" s="17"/>
      <c r="BN61" s="424"/>
      <c r="BO61" s="805"/>
      <c r="BP61" s="261"/>
      <c r="BQ61" s="424"/>
      <c r="BR61" s="776"/>
      <c r="BS61" s="17"/>
      <c r="BT61" s="256"/>
      <c r="BU61" s="255"/>
      <c r="BV61" s="256"/>
      <c r="BW61" s="247"/>
      <c r="BX61" s="247"/>
      <c r="BY61" s="247"/>
      <c r="BZ61" s="254"/>
      <c r="CA61" s="255"/>
      <c r="CB61" s="247"/>
      <c r="CC61" s="247"/>
      <c r="CD61" s="247"/>
      <c r="CE61" s="247"/>
      <c r="CF61" s="247"/>
      <c r="CG61" s="254"/>
      <c r="CH61" s="17" t="s">
        <v>719</v>
      </c>
      <c r="CI61" s="17"/>
      <c r="CJ61" s="1077"/>
      <c r="CK61" s="1077"/>
      <c r="CL61" s="1077"/>
      <c r="CM61" s="1077"/>
      <c r="CN61" s="1077"/>
      <c r="CO61" s="1077"/>
      <c r="CP61" s="1077"/>
      <c r="CQ61" s="1077"/>
      <c r="CR61" s="1077"/>
      <c r="CS61" s="1077"/>
      <c r="CT61" s="1077"/>
      <c r="CU61" s="1077"/>
      <c r="CV61" s="1077"/>
      <c r="CW61" s="1077"/>
      <c r="CX61" s="1077"/>
      <c r="CY61" s="1077"/>
      <c r="CZ61" s="1077"/>
      <c r="DA61" s="1077"/>
      <c r="DB61" s="1077"/>
      <c r="DC61" s="993"/>
      <c r="DD61" s="281"/>
      <c r="DF61" s="5"/>
      <c r="DG61" s="17"/>
      <c r="DH61" s="282"/>
      <c r="DI61" s="672"/>
      <c r="DJ61" s="669"/>
      <c r="DK61" s="282"/>
      <c r="DL61" s="1152"/>
      <c r="DM61" s="17"/>
      <c r="DN61" s="1172"/>
      <c r="DO61" s="993"/>
      <c r="DP61" s="488"/>
      <c r="DQ61" s="247"/>
      <c r="DR61" s="247"/>
      <c r="DS61" s="247"/>
      <c r="DT61" s="247"/>
      <c r="DU61" s="247"/>
      <c r="DV61" s="261"/>
      <c r="DW61" s="261"/>
      <c r="DX61" s="261"/>
      <c r="DY61" s="261"/>
      <c r="DZ61" s="261"/>
      <c r="EA61" s="261"/>
      <c r="EB61" s="261"/>
      <c r="EC61" s="261"/>
      <c r="ED61" s="261"/>
      <c r="EE61" s="261"/>
      <c r="EF61" s="993"/>
      <c r="EG61" s="261"/>
      <c r="EH61" s="281"/>
      <c r="EI61" s="281"/>
      <c r="EJ61" s="281"/>
      <c r="EK61" s="281"/>
      <c r="EL61" s="281"/>
      <c r="EM61" s="281"/>
      <c r="EN61" s="281"/>
      <c r="EO61" s="281"/>
      <c r="EP61" s="281"/>
      <c r="EQ61" s="281"/>
      <c r="ER61" s="281"/>
      <c r="ES61" s="281"/>
      <c r="ET61" s="281"/>
      <c r="EU61" s="281"/>
      <c r="EV61" s="281"/>
      <c r="EW61" s="281"/>
      <c r="EX61" s="281"/>
      <c r="EY61" s="281"/>
      <c r="EZ61" s="281"/>
      <c r="FA61" s="281"/>
      <c r="FB61" s="281"/>
      <c r="FC61" s="281"/>
      <c r="FD61" s="281"/>
      <c r="FE61" s="281"/>
      <c r="FF61" s="281"/>
      <c r="FG61" s="281"/>
      <c r="FH61" s="281"/>
      <c r="FI61" s="281"/>
      <c r="FJ61" s="281"/>
      <c r="FK61" s="281"/>
      <c r="FL61" s="281"/>
      <c r="FM61" s="281"/>
      <c r="FN61" s="281"/>
      <c r="FO61" s="281"/>
      <c r="FP61" s="281"/>
      <c r="FQ61" s="281"/>
      <c r="FR61" s="281"/>
      <c r="FS61" s="281"/>
      <c r="FT61" s="281"/>
      <c r="FU61" s="281"/>
      <c r="FV61" s="281"/>
      <c r="FW61" s="281"/>
      <c r="FX61" s="281"/>
      <c r="FY61" s="281"/>
    </row>
    <row r="62" spans="1:181" ht="20.100000000000001" customHeight="1">
      <c r="I62" s="949" t="s">
        <v>216</v>
      </c>
      <c r="J62" s="948">
        <v>536</v>
      </c>
      <c r="K62" s="948">
        <v>0</v>
      </c>
      <c r="L62" s="948"/>
      <c r="M62" s="1029" t="s">
        <v>602</v>
      </c>
      <c r="R62" s="25"/>
      <c r="S62" s="25"/>
      <c r="T62" s="25"/>
      <c r="U62" s="25"/>
      <c r="V62" s="25"/>
      <c r="W62" s="25"/>
      <c r="X62" s="25"/>
      <c r="Y62" s="25"/>
      <c r="Z62" s="25"/>
      <c r="AA62" s="473"/>
      <c r="AB62" s="246"/>
      <c r="AP62" s="259"/>
      <c r="AQ62" s="265" t="s">
        <v>421</v>
      </c>
      <c r="AR62" s="598" t="e">
        <v>#N/A</v>
      </c>
      <c r="AS62" s="598" t="e">
        <v>#N/A</v>
      </c>
      <c r="AT62" s="598" t="e">
        <f t="shared" ref="AT62:AY65" si="48">VLOOKUP(CONCATENATE($AQ$61,$AQ62),$P$7:$Z$158,U$2,FALSE)</f>
        <v>#N/A</v>
      </c>
      <c r="AU62" s="598" t="e">
        <f t="shared" si="48"/>
        <v>#N/A</v>
      </c>
      <c r="AV62" s="598" t="e">
        <f t="shared" si="48"/>
        <v>#N/A</v>
      </c>
      <c r="AW62" s="598" t="e">
        <f t="shared" si="48"/>
        <v>#N/A</v>
      </c>
      <c r="AX62" s="598" t="e">
        <f t="shared" si="48"/>
        <v>#N/A</v>
      </c>
      <c r="AY62" s="598" t="e">
        <f t="shared" si="48"/>
        <v>#N/A</v>
      </c>
      <c r="BL62" s="17"/>
      <c r="BM62" s="17"/>
      <c r="BN62" s="424"/>
      <c r="BO62" s="805"/>
      <c r="BP62" s="261"/>
      <c r="BQ62" s="424"/>
      <c r="BR62" s="776"/>
      <c r="BS62" s="17"/>
      <c r="BT62" s="256"/>
      <c r="BU62" s="255"/>
      <c r="BV62" s="256"/>
      <c r="CH62" s="17" t="s">
        <v>293</v>
      </c>
      <c r="CJ62" s="1092">
        <v>-43.471799001068156</v>
      </c>
      <c r="CK62" s="1092">
        <v>-14.853664004559153</v>
      </c>
      <c r="CL62" s="1092">
        <v>-35.58957776832176</v>
      </c>
      <c r="CM62" s="1092">
        <v>-12.819813696156434</v>
      </c>
      <c r="CN62" s="1092">
        <v>-19.835138548265366</v>
      </c>
      <c r="CO62" s="1092">
        <v>-87.169573836438786</v>
      </c>
      <c r="CP62" s="1092">
        <v>-113.4703757043801</v>
      </c>
      <c r="CQ62" s="1092">
        <v>-69.979840861068126</v>
      </c>
      <c r="CR62" s="1092">
        <v>-7.9898351016096942</v>
      </c>
      <c r="CS62" s="1085"/>
      <c r="CT62" s="1085"/>
      <c r="CU62" s="1085"/>
      <c r="CV62" s="1085"/>
      <c r="CW62" s="1085"/>
      <c r="CX62" s="1085"/>
      <c r="CY62" s="1085"/>
      <c r="CZ62" s="1085"/>
      <c r="DA62" s="1085"/>
      <c r="DB62" s="1085"/>
      <c r="DF62" s="5"/>
      <c r="DG62" s="282"/>
      <c r="DH62" s="1152"/>
      <c r="DI62" s="672"/>
      <c r="DJ62" s="5"/>
      <c r="DN62" s="1172"/>
      <c r="EG62" s="261"/>
    </row>
    <row r="63" spans="1:181" ht="20.100000000000001" customHeight="1" thickBot="1">
      <c r="I63" s="949" t="s">
        <v>217</v>
      </c>
      <c r="J63" s="948">
        <v>429</v>
      </c>
      <c r="K63" s="948">
        <v>0</v>
      </c>
      <c r="L63" s="948"/>
      <c r="M63" s="1029" t="s">
        <v>603</v>
      </c>
      <c r="R63" s="25"/>
      <c r="S63" s="25"/>
      <c r="T63" s="25"/>
      <c r="U63" s="25"/>
      <c r="V63" s="25"/>
      <c r="W63" s="25"/>
      <c r="X63" s="25"/>
      <c r="Y63" s="25"/>
      <c r="Z63" s="25"/>
      <c r="AA63" s="474"/>
      <c r="AB63" s="100"/>
      <c r="AP63" s="259"/>
      <c r="AQ63" s="107" t="s">
        <v>424</v>
      </c>
      <c r="AR63" s="599" t="e">
        <v>#N/A</v>
      </c>
      <c r="AS63" s="599" t="e">
        <v>#N/A</v>
      </c>
      <c r="AT63" s="599" t="e">
        <f t="shared" si="48"/>
        <v>#N/A</v>
      </c>
      <c r="AU63" s="599" t="e">
        <f t="shared" si="48"/>
        <v>#N/A</v>
      </c>
      <c r="AV63" s="599" t="e">
        <f t="shared" si="48"/>
        <v>#N/A</v>
      </c>
      <c r="AW63" s="599" t="e">
        <f t="shared" si="48"/>
        <v>#N/A</v>
      </c>
      <c r="AX63" s="599" t="e">
        <f t="shared" si="48"/>
        <v>#N/A</v>
      </c>
      <c r="AY63" s="599" t="e">
        <f t="shared" si="48"/>
        <v>#N/A</v>
      </c>
      <c r="BL63" s="17"/>
      <c r="BM63" s="17"/>
      <c r="BN63" s="424"/>
      <c r="BO63" s="805"/>
      <c r="BP63" s="261"/>
      <c r="BQ63" s="424"/>
      <c r="BR63" s="776"/>
      <c r="BS63" s="17"/>
      <c r="BT63" s="256"/>
      <c r="BU63" s="255"/>
      <c r="BV63" s="256"/>
      <c r="CH63" s="17" t="s">
        <v>706</v>
      </c>
      <c r="CI63" s="281"/>
      <c r="CJ63" s="1092">
        <v>-12.097008050201001</v>
      </c>
      <c r="CK63" s="1092">
        <v>-3.4094094812292606</v>
      </c>
      <c r="CL63" s="1092">
        <v>-1.992403610916782</v>
      </c>
      <c r="CM63" s="1092">
        <v>-4.7377185037051257</v>
      </c>
      <c r="CN63" s="1092">
        <v>-5.3326159342443251</v>
      </c>
      <c r="CO63" s="1092">
        <v>-4.0386639923329675</v>
      </c>
      <c r="CP63" s="1092">
        <v>-6.1741452000692707</v>
      </c>
      <c r="CQ63" s="1092">
        <v>-4.5040585277016794</v>
      </c>
      <c r="CR63" s="1092">
        <v>-1.8742287099785575</v>
      </c>
      <c r="CS63" s="1085"/>
      <c r="CT63" s="1085"/>
      <c r="CU63" s="1085"/>
      <c r="CV63" s="1085"/>
      <c r="CW63" s="1085"/>
      <c r="CX63" s="1085"/>
      <c r="CY63" s="1085"/>
      <c r="CZ63" s="1085"/>
      <c r="DA63" s="1085"/>
      <c r="DB63" s="1085"/>
      <c r="DF63" s="198"/>
      <c r="DG63" s="535"/>
      <c r="DH63" s="535"/>
      <c r="DI63" s="742"/>
      <c r="DJ63" s="198"/>
      <c r="DK63" s="535"/>
      <c r="DL63" s="535"/>
      <c r="DM63" s="535"/>
      <c r="DN63" s="742"/>
      <c r="EG63" s="261"/>
    </row>
    <row r="64" spans="1:181" ht="20.100000000000001" customHeight="1" thickBot="1">
      <c r="I64" s="949" t="s">
        <v>218</v>
      </c>
      <c r="J64" s="948">
        <v>433</v>
      </c>
      <c r="K64" s="948">
        <v>0</v>
      </c>
      <c r="L64" s="948"/>
      <c r="M64" s="1029" t="s">
        <v>604</v>
      </c>
      <c r="R64" s="69" t="s">
        <v>117</v>
      </c>
      <c r="S64" s="70">
        <f t="shared" ref="S64:Z64" si="49">S$4</f>
        <v>2016</v>
      </c>
      <c r="T64" s="70">
        <f t="shared" si="49"/>
        <v>2017</v>
      </c>
      <c r="U64" s="70">
        <f t="shared" si="49"/>
        <v>2018</v>
      </c>
      <c r="V64" s="70">
        <f t="shared" si="49"/>
        <v>2019</v>
      </c>
      <c r="W64" s="70">
        <f t="shared" si="49"/>
        <v>2020</v>
      </c>
      <c r="X64" s="70">
        <f t="shared" si="49"/>
        <v>2021</v>
      </c>
      <c r="Y64" s="70">
        <f t="shared" si="49"/>
        <v>2022</v>
      </c>
      <c r="Z64" s="114">
        <f t="shared" si="49"/>
        <v>2023</v>
      </c>
      <c r="AA64" s="474"/>
      <c r="AB64" s="100"/>
      <c r="AP64" s="259"/>
      <c r="AQ64" s="107" t="s">
        <v>425</v>
      </c>
      <c r="AR64" s="599" t="e">
        <v>#N/A</v>
      </c>
      <c r="AS64" s="599" t="e">
        <v>#N/A</v>
      </c>
      <c r="AT64" s="599" t="e">
        <f t="shared" si="48"/>
        <v>#N/A</v>
      </c>
      <c r="AU64" s="599" t="e">
        <f t="shared" si="48"/>
        <v>#N/A</v>
      </c>
      <c r="AV64" s="599" t="e">
        <f t="shared" si="48"/>
        <v>#N/A</v>
      </c>
      <c r="AW64" s="599" t="e">
        <f t="shared" si="48"/>
        <v>#N/A</v>
      </c>
      <c r="AX64" s="599" t="e">
        <f t="shared" si="48"/>
        <v>#N/A</v>
      </c>
      <c r="AY64" s="599" t="e">
        <f t="shared" si="48"/>
        <v>#N/A</v>
      </c>
      <c r="BL64" s="1000"/>
      <c r="BM64" s="251"/>
      <c r="BN64" s="424"/>
      <c r="BO64" s="805"/>
      <c r="BP64" s="261"/>
      <c r="BQ64" s="424"/>
      <c r="BR64" s="776"/>
      <c r="BS64" s="425"/>
      <c r="BT64" s="256"/>
      <c r="BU64" s="255"/>
      <c r="BV64" s="256"/>
      <c r="CH64" s="17" t="s">
        <v>689</v>
      </c>
      <c r="CI64" s="281"/>
      <c r="CJ64" s="1092">
        <v>-6.994370823262507</v>
      </c>
      <c r="CK64" s="1092">
        <v>-1.7280129588062083</v>
      </c>
      <c r="CL64" s="1092">
        <v>-0.96818451529158533</v>
      </c>
      <c r="CM64" s="1092">
        <v>-2.3459669734676085</v>
      </c>
      <c r="CN64" s="1092">
        <v>-1.9718412401317611</v>
      </c>
      <c r="CO64" s="1092">
        <v>-2.1016835069202848</v>
      </c>
      <c r="CP64" s="1092">
        <v>-1.9849166934853253</v>
      </c>
      <c r="CQ64" s="1092">
        <v>-1.7479004473903399</v>
      </c>
      <c r="CR64" s="1092">
        <v>-0.72624223540087807</v>
      </c>
      <c r="CS64" s="1085"/>
      <c r="CT64" s="1085"/>
      <c r="CU64" s="1085"/>
      <c r="CV64" s="1085"/>
      <c r="CW64" s="1085"/>
      <c r="CX64" s="1085"/>
      <c r="CY64" s="1085"/>
      <c r="CZ64" s="1085"/>
      <c r="DA64" s="1085"/>
      <c r="DB64" s="1085"/>
      <c r="DF64" s="1491" t="s">
        <v>855</v>
      </c>
      <c r="DG64" s="665"/>
      <c r="DH64" s="665"/>
      <c r="DI64" s="1492"/>
      <c r="DJ64" s="1491"/>
      <c r="DK64" s="665" t="s">
        <v>855</v>
      </c>
      <c r="DL64" s="665"/>
      <c r="DM64" s="665"/>
      <c r="DN64" s="1492"/>
      <c r="EG64" s="261"/>
    </row>
    <row r="65" spans="1:181" ht="20.100000000000001" customHeight="1">
      <c r="I65" s="949" t="s">
        <v>219</v>
      </c>
      <c r="J65" s="948">
        <v>178</v>
      </c>
      <c r="K65" s="948">
        <v>1</v>
      </c>
      <c r="L65" s="948"/>
      <c r="M65" s="1029" t="s">
        <v>605</v>
      </c>
      <c r="P65" s="25" t="str">
        <f t="shared" ref="P65:P74" si="50">CONCATENATE(R$64,R65)</f>
        <v>Real Exchange Rate ShockNominal Debt (in percent of GDP)</v>
      </c>
      <c r="R65" s="99" t="s">
        <v>421</v>
      </c>
      <c r="S65" s="107"/>
      <c r="T65" s="107"/>
      <c r="U65" s="591">
        <f>(exchange!B39)*100</f>
        <v>37.094606570883371</v>
      </c>
      <c r="V65" s="591">
        <f ca="1">(exchange!C39)*100</f>
        <v>35.031052616552522</v>
      </c>
      <c r="W65" s="591">
        <f ca="1">(exchange!D39)*100</f>
        <v>34.133935521940252</v>
      </c>
      <c r="X65" s="591">
        <f ca="1">(exchange!E39)*100</f>
        <v>32.892605575059719</v>
      </c>
      <c r="Y65" s="591">
        <f ca="1">(exchange!F39)*100</f>
        <v>31.854434558541548</v>
      </c>
      <c r="Z65" s="592">
        <f ca="1">(exchange!G39)*100</f>
        <v>30.878738340041963</v>
      </c>
      <c r="AA65" s="474"/>
      <c r="AB65" s="100"/>
      <c r="AP65" s="259"/>
      <c r="AQ65" s="107" t="s">
        <v>423</v>
      </c>
      <c r="AR65" s="599" t="e">
        <v>#N/A</v>
      </c>
      <c r="AS65" s="599" t="e">
        <v>#N/A</v>
      </c>
      <c r="AT65" s="599" t="e">
        <f t="shared" si="48"/>
        <v>#N/A</v>
      </c>
      <c r="AU65" s="599" t="e">
        <f t="shared" si="48"/>
        <v>#N/A</v>
      </c>
      <c r="AV65" s="599" t="e">
        <f t="shared" si="48"/>
        <v>#N/A</v>
      </c>
      <c r="AW65" s="599" t="e">
        <f t="shared" si="48"/>
        <v>#N/A</v>
      </c>
      <c r="AX65" s="599" t="e">
        <f t="shared" si="48"/>
        <v>#N/A</v>
      </c>
      <c r="AY65" s="599" t="e">
        <f t="shared" si="48"/>
        <v>#N/A</v>
      </c>
      <c r="BL65" s="17"/>
      <c r="BM65" s="17"/>
      <c r="BN65" s="424"/>
      <c r="BO65" s="805"/>
      <c r="BP65" s="261"/>
      <c r="BQ65" s="424"/>
      <c r="BR65" s="776"/>
      <c r="BS65" s="425"/>
      <c r="BT65" s="256"/>
      <c r="BU65" s="255"/>
      <c r="BV65" s="256"/>
      <c r="CH65" s="17" t="s">
        <v>707</v>
      </c>
      <c r="CJ65" s="1092">
        <v>-3.9915555561524556</v>
      </c>
      <c r="CK65" s="1092">
        <v>-0.52047170283180255</v>
      </c>
      <c r="CL65" s="1092">
        <v>0.63338438903378913</v>
      </c>
      <c r="CM65" s="1092">
        <v>-0.5601879050873968</v>
      </c>
      <c r="CN65" s="1092">
        <v>-0.80729184857280023</v>
      </c>
      <c r="CO65" s="1092">
        <v>-0.62099369406836558</v>
      </c>
      <c r="CP65" s="1092">
        <v>-0.42848529584463435</v>
      </c>
      <c r="CQ65" s="1092">
        <v>-0.21502080786420708</v>
      </c>
      <c r="CR65" s="1092">
        <v>0.23648053573396927</v>
      </c>
      <c r="CS65" s="1085"/>
      <c r="CT65" s="1085"/>
      <c r="CU65" s="1085"/>
      <c r="CV65" s="1085"/>
      <c r="CW65" s="1085"/>
      <c r="CX65" s="1085"/>
      <c r="CY65" s="1085"/>
      <c r="CZ65" s="1085"/>
      <c r="DA65" s="1085"/>
      <c r="DB65" s="1085"/>
      <c r="DF65" s="3" t="s">
        <v>846</v>
      </c>
      <c r="DG65" s="4" t="s">
        <v>847</v>
      </c>
      <c r="DH65" s="4" t="s">
        <v>848</v>
      </c>
      <c r="DI65" s="672"/>
      <c r="DJ65" s="669"/>
      <c r="DK65" s="1444" t="s">
        <v>846</v>
      </c>
      <c r="DL65" s="1444" t="s">
        <v>847</v>
      </c>
      <c r="DM65" s="1444" t="s">
        <v>849</v>
      </c>
      <c r="DN65" s="1440" t="s">
        <v>854</v>
      </c>
      <c r="EG65" s="261"/>
    </row>
    <row r="66" spans="1:181" ht="20.100000000000001" customHeight="1">
      <c r="I66" s="949" t="s">
        <v>220</v>
      </c>
      <c r="J66" s="948">
        <v>436</v>
      </c>
      <c r="K66" s="948">
        <v>1</v>
      </c>
      <c r="L66" s="948"/>
      <c r="M66" s="1029" t="s">
        <v>606</v>
      </c>
      <c r="P66" s="25" t="str">
        <f t="shared" si="50"/>
        <v>Real Exchange Rate ShockDebt Service (in percent of GDP)</v>
      </c>
      <c r="R66" s="99" t="s">
        <v>422</v>
      </c>
      <c r="S66" s="107"/>
      <c r="T66" s="107"/>
      <c r="U66" s="591">
        <f>(exchange!B40)*100</f>
        <v>3.7107105982600994</v>
      </c>
      <c r="V66" s="591">
        <f ca="1">(exchange!C40)*100</f>
        <v>6.8036498145042286</v>
      </c>
      <c r="W66" s="591">
        <f ca="1">(exchange!D40)*100</f>
        <v>10.833715050890696</v>
      </c>
      <c r="X66" s="591">
        <f ca="1">(exchange!E40)*100</f>
        <v>14.545528452531551</v>
      </c>
      <c r="Y66" s="591">
        <f ca="1">(exchange!F40)*100</f>
        <v>15.14538576458126</v>
      </c>
      <c r="Z66" s="592">
        <f ca="1">(exchange!G40)*100</f>
        <v>14.955295803831683</v>
      </c>
      <c r="AA66" s="474"/>
      <c r="AB66" s="100"/>
      <c r="AP66" s="259"/>
      <c r="AQ66" s="107" t="s">
        <v>418</v>
      </c>
      <c r="AR66" s="107"/>
      <c r="AS66" s="107"/>
      <c r="AT66" s="591" t="str">
        <f t="shared" ref="AT66:AY69" si="51">IFERROR(VLOOKUP(CONCATENATE($AQ$61,$AQ66),$P$7:$Z$158,U$2,FALSE),"")</f>
        <v/>
      </c>
      <c r="AU66" s="591" t="str">
        <f t="shared" si="51"/>
        <v/>
      </c>
      <c r="AV66" s="591" t="str">
        <f t="shared" si="51"/>
        <v/>
      </c>
      <c r="AW66" s="591" t="str">
        <f t="shared" si="51"/>
        <v/>
      </c>
      <c r="AX66" s="591" t="str">
        <f t="shared" si="51"/>
        <v/>
      </c>
      <c r="AY66" s="591" t="str">
        <f t="shared" si="51"/>
        <v/>
      </c>
      <c r="BL66" s="1000"/>
      <c r="BM66" s="251"/>
      <c r="BN66" s="424"/>
      <c r="BO66" s="805"/>
      <c r="BP66" s="261"/>
      <c r="BQ66" s="424"/>
      <c r="BR66" s="776"/>
      <c r="BS66" s="425"/>
      <c r="BT66" s="256"/>
      <c r="BU66" s="255"/>
      <c r="BV66" s="256"/>
      <c r="CH66" s="17" t="s">
        <v>708</v>
      </c>
      <c r="CJ66" s="1092">
        <v>-1.8331310926847766</v>
      </c>
      <c r="CK66" s="1092">
        <v>1.3607929585584544</v>
      </c>
      <c r="CL66" s="1092">
        <v>2.6268264398775525</v>
      </c>
      <c r="CM66" s="1092">
        <v>0.79332634844422412</v>
      </c>
      <c r="CN66" s="1092">
        <v>0.26452961168380623</v>
      </c>
      <c r="CO66" s="1092">
        <v>0.96328806494856289</v>
      </c>
      <c r="CP66" s="1092">
        <v>0.68815257089976445</v>
      </c>
      <c r="CQ66" s="1092">
        <v>0.80889054384801939</v>
      </c>
      <c r="CR66" s="1092">
        <v>1.5489325631448334</v>
      </c>
      <c r="CS66" s="1085"/>
      <c r="CT66" s="1085"/>
      <c r="CU66" s="1085"/>
      <c r="CV66" s="1085"/>
      <c r="CW66" s="1085"/>
      <c r="CX66" s="1085"/>
      <c r="CY66" s="1085"/>
      <c r="CZ66" s="1085"/>
      <c r="DA66" s="1085"/>
      <c r="DB66" s="1085"/>
      <c r="DF66" s="3">
        <v>111</v>
      </c>
      <c r="DG66" s="4">
        <v>1990</v>
      </c>
      <c r="DH66" s="4">
        <v>0.5611081</v>
      </c>
      <c r="DI66" s="1172"/>
      <c r="DJ66" s="5"/>
      <c r="DK66" s="1444">
        <v>111</v>
      </c>
      <c r="DL66" s="1444">
        <v>1990</v>
      </c>
      <c r="DM66" s="1444">
        <v>4.1800999999999998E-2</v>
      </c>
      <c r="DN66" s="1440">
        <f>DM66*3</f>
        <v>0.12540299999999999</v>
      </c>
      <c r="EG66" s="261"/>
    </row>
    <row r="67" spans="1:181" ht="20.100000000000001" customHeight="1">
      <c r="I67" s="949" t="s">
        <v>221</v>
      </c>
      <c r="J67" s="948">
        <v>136</v>
      </c>
      <c r="K67" s="948">
        <v>1</v>
      </c>
      <c r="L67" s="948"/>
      <c r="M67" s="1029" t="s">
        <v>607</v>
      </c>
      <c r="P67" s="25" t="str">
        <f t="shared" si="50"/>
        <v>Real Exchange Rate ShockGross Financing Need (in percent of GDP)</v>
      </c>
      <c r="R67" s="99" t="s">
        <v>423</v>
      </c>
      <c r="S67" s="107"/>
      <c r="T67" s="107"/>
      <c r="U67" s="591">
        <f>(exchange!B41)*100</f>
        <v>3.5994671534530136</v>
      </c>
      <c r="V67" s="591">
        <f ca="1">(exchange!C41)*100</f>
        <v>6.8036498145042286</v>
      </c>
      <c r="W67" s="591">
        <f ca="1">(exchange!D41)*100</f>
        <v>10.833715050890696</v>
      </c>
      <c r="X67" s="591">
        <f ca="1">(exchange!E41)*100</f>
        <v>14.545528452531551</v>
      </c>
      <c r="Y67" s="591">
        <f ca="1">(exchange!F41)*100</f>
        <v>15.14538576458126</v>
      </c>
      <c r="Z67" s="592">
        <f ca="1">(exchange!G41)*100</f>
        <v>14.955295803831683</v>
      </c>
      <c r="AA67" s="474"/>
      <c r="AB67" s="100"/>
      <c r="AP67" s="259"/>
      <c r="AQ67" s="107" t="s">
        <v>427</v>
      </c>
      <c r="AR67" s="107"/>
      <c r="AS67" s="107"/>
      <c r="AT67" s="591" t="str">
        <f t="shared" si="51"/>
        <v/>
      </c>
      <c r="AU67" s="591" t="str">
        <f t="shared" si="51"/>
        <v/>
      </c>
      <c r="AV67" s="591" t="str">
        <f t="shared" si="51"/>
        <v/>
      </c>
      <c r="AW67" s="591" t="str">
        <f t="shared" si="51"/>
        <v/>
      </c>
      <c r="AX67" s="591" t="str">
        <f t="shared" si="51"/>
        <v/>
      </c>
      <c r="AY67" s="591" t="str">
        <f t="shared" si="51"/>
        <v/>
      </c>
      <c r="BL67" s="1000"/>
      <c r="BM67" s="251"/>
      <c r="BN67" s="424"/>
      <c r="BO67" s="805"/>
      <c r="BP67" s="261"/>
      <c r="BQ67" s="424"/>
      <c r="BR67" s="776"/>
      <c r="BS67" s="425"/>
      <c r="BT67" s="256"/>
      <c r="BU67" s="255"/>
      <c r="BV67" s="256"/>
      <c r="CH67" s="17" t="s">
        <v>709</v>
      </c>
      <c r="CJ67" s="1092">
        <v>-0.12234366287533377</v>
      </c>
      <c r="CK67" s="1092">
        <v>4.0401604290022224</v>
      </c>
      <c r="CL67" s="1092">
        <v>3.9845037904078251</v>
      </c>
      <c r="CM67" s="1092">
        <v>1.7952725131625387</v>
      </c>
      <c r="CN67" s="1092">
        <v>1.289596059164912</v>
      </c>
      <c r="CO67" s="1092">
        <v>2.3355716816056087</v>
      </c>
      <c r="CP67" s="1092">
        <v>2.0679391885285674</v>
      </c>
      <c r="CQ67" s="1092">
        <v>1.844386692506734</v>
      </c>
      <c r="CR67" s="1092">
        <v>3.8996894737916508</v>
      </c>
      <c r="CS67" s="1085"/>
      <c r="CT67" s="1085"/>
      <c r="CU67" s="1085"/>
      <c r="CV67" s="1085"/>
      <c r="CW67" s="1085"/>
      <c r="CX67" s="1085"/>
      <c r="CY67" s="1085"/>
      <c r="CZ67" s="1085"/>
      <c r="DA67" s="1085"/>
      <c r="DB67" s="1085"/>
      <c r="DF67" s="3">
        <v>111</v>
      </c>
      <c r="DG67" s="4">
        <v>1991</v>
      </c>
      <c r="DH67" s="4">
        <v>0.6559391</v>
      </c>
      <c r="DI67" s="1172"/>
      <c r="DJ67" s="5"/>
      <c r="DK67" s="1444">
        <v>111</v>
      </c>
      <c r="DL67" s="1444">
        <v>1991</v>
      </c>
      <c r="DM67" s="1444">
        <v>9.4831100000000002E-2</v>
      </c>
      <c r="DN67" s="1440">
        <f>DM67*3</f>
        <v>0.2844933</v>
      </c>
      <c r="EG67" s="261"/>
    </row>
    <row r="68" spans="1:181" ht="20.100000000000001" customHeight="1">
      <c r="I68" s="949" t="s">
        <v>222</v>
      </c>
      <c r="J68" s="948">
        <v>343</v>
      </c>
      <c r="K68" s="948">
        <v>0</v>
      </c>
      <c r="L68" s="948"/>
      <c r="M68" s="1029" t="s">
        <v>608</v>
      </c>
      <c r="P68" s="25" t="str">
        <f t="shared" si="50"/>
        <v>Real Exchange Rate ShockNominal Debt (in percent of Revenue)</v>
      </c>
      <c r="R68" s="99" t="s">
        <v>424</v>
      </c>
      <c r="S68" s="107"/>
      <c r="T68" s="107"/>
      <c r="U68" s="591">
        <f>(exchange!B42)*100</f>
        <v>100.40391596609757</v>
      </c>
      <c r="V68" s="591" t="e">
        <f ca="1">(exchange!C42)*100</f>
        <v>#DIV/0!</v>
      </c>
      <c r="W68" s="591" t="e">
        <f ca="1">(exchange!D42)*100</f>
        <v>#DIV/0!</v>
      </c>
      <c r="X68" s="591" t="e">
        <f ca="1">(exchange!E42)*100</f>
        <v>#DIV/0!</v>
      </c>
      <c r="Y68" s="591" t="e">
        <f ca="1">(exchange!F42)*100</f>
        <v>#DIV/0!</v>
      </c>
      <c r="Z68" s="592" t="e">
        <f ca="1">(exchange!G42)*100</f>
        <v>#DIV/0!</v>
      </c>
      <c r="AA68" s="475"/>
      <c r="AB68" s="429"/>
      <c r="AP68" s="259"/>
      <c r="AQ68" s="107" t="s">
        <v>544</v>
      </c>
      <c r="AR68" s="107"/>
      <c r="AS68" s="107"/>
      <c r="AT68" s="591" t="str">
        <f t="shared" si="51"/>
        <v/>
      </c>
      <c r="AU68" s="591" t="str">
        <f t="shared" si="51"/>
        <v/>
      </c>
      <c r="AV68" s="591" t="str">
        <f t="shared" si="51"/>
        <v/>
      </c>
      <c r="AW68" s="591" t="str">
        <f t="shared" si="51"/>
        <v/>
      </c>
      <c r="AX68" s="591" t="str">
        <f t="shared" si="51"/>
        <v/>
      </c>
      <c r="AY68" s="591" t="str">
        <f t="shared" si="51"/>
        <v/>
      </c>
      <c r="BL68" s="256"/>
      <c r="BM68" s="256"/>
      <c r="BN68" s="424"/>
      <c r="BO68" s="805"/>
      <c r="BP68" s="261"/>
      <c r="BQ68" s="424"/>
      <c r="BR68" s="776"/>
      <c r="BS68" s="256"/>
      <c r="BT68" s="256"/>
      <c r="BU68" s="255"/>
      <c r="BV68" s="256"/>
      <c r="CH68" s="17" t="s">
        <v>294</v>
      </c>
      <c r="CJ68" s="1092">
        <v>11.311511888841224</v>
      </c>
      <c r="CK68" s="1092">
        <v>8.9262895136768385</v>
      </c>
      <c r="CL68" s="1092">
        <v>214.80959399165317</v>
      </c>
      <c r="CM68" s="1092">
        <v>9.5767472727130762</v>
      </c>
      <c r="CN68" s="1092">
        <v>14.713094081633868</v>
      </c>
      <c r="CO68" s="1092">
        <v>16.330169300696625</v>
      </c>
      <c r="CP68" s="1092">
        <v>13.497257919230595</v>
      </c>
      <c r="CQ68" s="1092">
        <v>16.579952635072917</v>
      </c>
      <c r="CR68" s="1092">
        <v>10.776242698650186</v>
      </c>
      <c r="CS68" s="1085"/>
      <c r="CT68" s="1085"/>
      <c r="CU68" s="1085"/>
      <c r="CV68" s="1085"/>
      <c r="CW68" s="1085"/>
      <c r="CX68" s="1085"/>
      <c r="CY68" s="1085"/>
      <c r="CZ68" s="1085"/>
      <c r="DA68" s="1085"/>
      <c r="DB68" s="1085"/>
      <c r="DF68" s="3">
        <v>111</v>
      </c>
      <c r="DG68" s="4">
        <v>1992</v>
      </c>
      <c r="DH68" s="4">
        <v>0.26239430000000002</v>
      </c>
      <c r="DI68" s="1172"/>
      <c r="DJ68" s="5"/>
      <c r="DK68" s="1444">
        <v>111</v>
      </c>
      <c r="DL68" s="1444">
        <v>1992</v>
      </c>
      <c r="DM68" s="1444">
        <v>-0.39354479999999997</v>
      </c>
      <c r="DN68" s="1440">
        <f t="shared" ref="DN68:DN131" si="52">DM68*3</f>
        <v>-1.1806344</v>
      </c>
      <c r="EG68" s="261"/>
    </row>
    <row r="69" spans="1:181" s="284" customFormat="1" ht="20.100000000000001" customHeight="1">
      <c r="A69" s="98"/>
      <c r="B69" s="25"/>
      <c r="C69" s="25"/>
      <c r="D69" s="25"/>
      <c r="E69" s="25"/>
      <c r="F69" s="25"/>
      <c r="G69" s="464"/>
      <c r="H69" s="98"/>
      <c r="I69" s="949" t="s">
        <v>223</v>
      </c>
      <c r="J69" s="948">
        <v>158</v>
      </c>
      <c r="K69" s="948">
        <v>1</v>
      </c>
      <c r="L69" s="948"/>
      <c r="M69" s="1029" t="s">
        <v>609</v>
      </c>
      <c r="N69" s="464"/>
      <c r="O69" s="98"/>
      <c r="P69" s="25" t="str">
        <f t="shared" si="50"/>
        <v>Real Exchange Rate ShockDebt Service (in percent of Revenue)</v>
      </c>
      <c r="Q69" s="25"/>
      <c r="R69" s="99" t="s">
        <v>425</v>
      </c>
      <c r="S69" s="107"/>
      <c r="T69" s="107"/>
      <c r="U69" s="591">
        <f>(exchange!B43)*100</f>
        <v>10.043774810504543</v>
      </c>
      <c r="V69" s="591" t="e">
        <f ca="1">(exchange!C43)*100</f>
        <v>#DIV/0!</v>
      </c>
      <c r="W69" s="591" t="e">
        <f ca="1">(exchange!D43)*100</f>
        <v>#DIV/0!</v>
      </c>
      <c r="X69" s="591" t="e">
        <f ca="1">(exchange!E43)*100</f>
        <v>#DIV/0!</v>
      </c>
      <c r="Y69" s="591" t="e">
        <f ca="1">(exchange!F43)*100</f>
        <v>#DIV/0!</v>
      </c>
      <c r="Z69" s="592" t="e">
        <f ca="1">(exchange!G43)*100</f>
        <v>#DIV/0!</v>
      </c>
      <c r="AA69" s="474"/>
      <c r="AB69" s="100"/>
      <c r="AC69" s="25"/>
      <c r="AD69" s="25"/>
      <c r="AE69" s="25"/>
      <c r="AF69" s="25"/>
      <c r="AG69" s="25"/>
      <c r="AH69" s="25"/>
      <c r="AI69" s="25"/>
      <c r="AJ69" s="25"/>
      <c r="AK69" s="25"/>
      <c r="AL69" s="25"/>
      <c r="AM69" s="25"/>
      <c r="AN69" s="25"/>
      <c r="AO69" s="464"/>
      <c r="AP69" s="259"/>
      <c r="AQ69" s="266" t="s">
        <v>428</v>
      </c>
      <c r="AR69" s="266"/>
      <c r="AS69" s="266"/>
      <c r="AT69" s="600" t="str">
        <f t="shared" si="51"/>
        <v/>
      </c>
      <c r="AU69" s="600" t="str">
        <f t="shared" si="51"/>
        <v/>
      </c>
      <c r="AV69" s="600" t="str">
        <f t="shared" si="51"/>
        <v/>
      </c>
      <c r="AW69" s="600" t="str">
        <f t="shared" si="51"/>
        <v/>
      </c>
      <c r="AX69" s="600" t="str">
        <f t="shared" si="51"/>
        <v/>
      </c>
      <c r="AY69" s="600" t="str">
        <f t="shared" si="51"/>
        <v/>
      </c>
      <c r="AZ69" s="464"/>
      <c r="BA69" s="247"/>
      <c r="BB69" s="247"/>
      <c r="BC69" s="247"/>
      <c r="BD69" s="247"/>
      <c r="BE69" s="247"/>
      <c r="BF69" s="247"/>
      <c r="BG69" s="247"/>
      <c r="BH69" s="247"/>
      <c r="BI69" s="247"/>
      <c r="BJ69" s="247"/>
      <c r="BK69" s="254"/>
      <c r="BL69" s="256"/>
      <c r="BM69" s="256"/>
      <c r="BN69" s="424"/>
      <c r="BO69" s="805"/>
      <c r="BP69" s="261"/>
      <c r="BQ69" s="424"/>
      <c r="BR69" s="776"/>
      <c r="BS69" s="256"/>
      <c r="BT69" s="256"/>
      <c r="BU69" s="255"/>
      <c r="BV69" s="256"/>
      <c r="BW69" s="247"/>
      <c r="BX69" s="247"/>
      <c r="BY69" s="247"/>
      <c r="BZ69" s="254"/>
      <c r="CA69" s="255"/>
      <c r="CB69" s="247"/>
      <c r="CC69" s="247"/>
      <c r="CD69" s="247"/>
      <c r="CE69" s="247"/>
      <c r="CF69" s="247"/>
      <c r="CG69" s="254"/>
      <c r="CH69" s="17" t="s">
        <v>710</v>
      </c>
      <c r="CI69" s="17"/>
      <c r="CJ69" s="1092">
        <v>-5.6230492909149428</v>
      </c>
      <c r="CK69" s="1092">
        <v>-0.2612400940266224</v>
      </c>
      <c r="CL69" s="1092">
        <v>2.4056038698057631</v>
      </c>
      <c r="CM69" s="1092">
        <v>-0.98349411880688897</v>
      </c>
      <c r="CN69" s="1092">
        <v>-1.1709658712218507</v>
      </c>
      <c r="CO69" s="1092">
        <v>-1.2907650833631426</v>
      </c>
      <c r="CP69" s="1092">
        <v>-2.3090881656458806</v>
      </c>
      <c r="CQ69" s="1092">
        <v>-1.1842132588294494</v>
      </c>
      <c r="CR69" s="1092">
        <v>0.53578022695935823</v>
      </c>
      <c r="CS69" s="1085"/>
      <c r="CT69" s="1085"/>
      <c r="CU69" s="1085"/>
      <c r="CV69" s="1085"/>
      <c r="CW69" s="1085"/>
      <c r="CX69" s="1085"/>
      <c r="CY69" s="1085"/>
      <c r="CZ69" s="1085"/>
      <c r="DA69" s="1085"/>
      <c r="DB69" s="1085"/>
      <c r="DC69" s="993"/>
      <c r="DD69" s="281"/>
      <c r="DF69" s="3">
        <v>111</v>
      </c>
      <c r="DG69" s="4">
        <v>1993</v>
      </c>
      <c r="DH69" s="4">
        <v>0.2648336</v>
      </c>
      <c r="DI69" s="1172"/>
      <c r="DJ69" s="5"/>
      <c r="DK69" s="1444">
        <v>111</v>
      </c>
      <c r="DL69" s="1444">
        <v>1993</v>
      </c>
      <c r="DM69" s="1444">
        <v>2.4393000000000001E-3</v>
      </c>
      <c r="DN69" s="1440">
        <f t="shared" si="52"/>
        <v>7.3179000000000004E-3</v>
      </c>
      <c r="DO69" s="993"/>
      <c r="DP69" s="488"/>
      <c r="DQ69" s="247"/>
      <c r="DR69" s="247"/>
      <c r="DS69" s="247"/>
      <c r="DT69" s="247"/>
      <c r="DU69" s="247"/>
      <c r="DV69" s="261"/>
      <c r="DW69" s="261"/>
      <c r="DX69" s="261"/>
      <c r="DY69" s="261"/>
      <c r="DZ69" s="261"/>
      <c r="EA69" s="261"/>
      <c r="EB69" s="261"/>
      <c r="EC69" s="261"/>
      <c r="ED69" s="261"/>
      <c r="EE69" s="261"/>
      <c r="EF69" s="993"/>
      <c r="EG69" s="261"/>
      <c r="EH69" s="281"/>
      <c r="EI69" s="281"/>
      <c r="EJ69" s="281"/>
      <c r="EK69" s="281"/>
      <c r="EL69" s="281"/>
      <c r="EM69" s="281"/>
      <c r="EN69" s="281"/>
      <c r="EO69" s="281"/>
      <c r="EP69" s="281"/>
      <c r="EQ69" s="281"/>
      <c r="ER69" s="281"/>
      <c r="ES69" s="281"/>
      <c r="ET69" s="281"/>
      <c r="EU69" s="281"/>
      <c r="EV69" s="281"/>
      <c r="EW69" s="281"/>
      <c r="EX69" s="281"/>
      <c r="EY69" s="281"/>
      <c r="EZ69" s="281"/>
      <c r="FA69" s="281"/>
      <c r="FB69" s="281"/>
      <c r="FC69" s="281"/>
      <c r="FD69" s="281"/>
      <c r="FE69" s="281"/>
      <c r="FF69" s="281"/>
      <c r="FG69" s="281"/>
      <c r="FH69" s="281"/>
      <c r="FI69" s="281"/>
      <c r="FJ69" s="281"/>
      <c r="FK69" s="281"/>
      <c r="FL69" s="281"/>
      <c r="FM69" s="281"/>
      <c r="FN69" s="281"/>
      <c r="FO69" s="281"/>
      <c r="FP69" s="281"/>
      <c r="FQ69" s="281"/>
      <c r="FR69" s="281"/>
      <c r="FS69" s="281"/>
      <c r="FT69" s="281"/>
      <c r="FU69" s="281"/>
      <c r="FV69" s="281"/>
      <c r="FW69" s="281"/>
      <c r="FX69" s="281"/>
      <c r="FY69" s="281"/>
    </row>
    <row r="70" spans="1:181" s="284" customFormat="1" ht="20.100000000000001" customHeight="1" thickBot="1">
      <c r="A70" s="98"/>
      <c r="B70" s="25"/>
      <c r="C70" s="25"/>
      <c r="D70" s="25"/>
      <c r="E70" s="25"/>
      <c r="F70" s="25"/>
      <c r="G70" s="464"/>
      <c r="H70" s="98"/>
      <c r="I70" s="949" t="s">
        <v>224</v>
      </c>
      <c r="J70" s="948">
        <v>439</v>
      </c>
      <c r="K70" s="948">
        <v>0</v>
      </c>
      <c r="L70" s="948"/>
      <c r="M70" s="1029" t="s">
        <v>610</v>
      </c>
      <c r="N70" s="464"/>
      <c r="O70" s="98"/>
      <c r="P70" s="25" t="str">
        <f t="shared" si="50"/>
        <v>Real Exchange Rate ShockGross Financing Need (in percent of Revenue)</v>
      </c>
      <c r="Q70" s="25"/>
      <c r="R70" s="101" t="s">
        <v>426</v>
      </c>
      <c r="S70" s="632"/>
      <c r="T70" s="632"/>
      <c r="U70" s="593">
        <f>(exchange!B44)*100</f>
        <v>9.7426723453025819</v>
      </c>
      <c r="V70" s="594" t="e">
        <f ca="1">(exchange!C44)*100</f>
        <v>#DIV/0!</v>
      </c>
      <c r="W70" s="594" t="e">
        <f ca="1">(exchange!D44)*100</f>
        <v>#DIV/0!</v>
      </c>
      <c r="X70" s="594" t="e">
        <f ca="1">(exchange!E44)*100</f>
        <v>#DIV/0!</v>
      </c>
      <c r="Y70" s="594" t="e">
        <f ca="1">(exchange!F44)*100</f>
        <v>#DIV/0!</v>
      </c>
      <c r="Z70" s="595" t="e">
        <f ca="1">(exchange!G44)*100</f>
        <v>#DIV/0!</v>
      </c>
      <c r="AA70" s="474"/>
      <c r="AB70" s="100"/>
      <c r="AC70" s="25"/>
      <c r="AD70" s="25"/>
      <c r="AE70" s="25"/>
      <c r="AF70" s="25"/>
      <c r="AG70" s="25"/>
      <c r="AH70" s="25"/>
      <c r="AI70" s="25"/>
      <c r="AJ70" s="25"/>
      <c r="AK70" s="25"/>
      <c r="AL70" s="25"/>
      <c r="AM70" s="25"/>
      <c r="AN70" s="25"/>
      <c r="AO70" s="464"/>
      <c r="AP70" s="25"/>
      <c r="AQ70" s="25"/>
      <c r="AR70" s="25"/>
      <c r="AS70" s="25"/>
      <c r="AT70" s="25"/>
      <c r="AU70" s="25"/>
      <c r="AV70" s="25"/>
      <c r="AW70" s="25"/>
      <c r="AX70" s="25"/>
      <c r="AY70" s="25"/>
      <c r="AZ70" s="464"/>
      <c r="BA70" s="247"/>
      <c r="BB70" s="247"/>
      <c r="BC70" s="247"/>
      <c r="BD70" s="247"/>
      <c r="BE70" s="247"/>
      <c r="BF70" s="247"/>
      <c r="BG70" s="247"/>
      <c r="BH70" s="247"/>
      <c r="BI70" s="247"/>
      <c r="BJ70" s="247"/>
      <c r="BK70" s="254"/>
      <c r="BL70" s="256"/>
      <c r="BM70" s="256"/>
      <c r="BN70" s="424"/>
      <c r="BO70" s="805"/>
      <c r="BP70" s="261"/>
      <c r="BQ70" s="424"/>
      <c r="BR70" s="776"/>
      <c r="BS70" s="256"/>
      <c r="BT70" s="256"/>
      <c r="BU70" s="255"/>
      <c r="BV70" s="256"/>
      <c r="BW70" s="247"/>
      <c r="BX70" s="247"/>
      <c r="BY70" s="247"/>
      <c r="BZ70" s="254"/>
      <c r="CA70" s="255"/>
      <c r="CB70" s="247"/>
      <c r="CC70" s="247"/>
      <c r="CD70" s="247"/>
      <c r="CE70" s="247"/>
      <c r="CF70" s="247"/>
      <c r="CG70" s="254"/>
      <c r="CH70" s="1087" t="s">
        <v>716</v>
      </c>
      <c r="CR70" s="1086"/>
      <c r="CS70" s="1076"/>
      <c r="CT70" s="1076"/>
      <c r="CU70" s="1076"/>
      <c r="CV70" s="1076"/>
      <c r="CW70" s="1076"/>
      <c r="CX70" s="1076"/>
      <c r="CY70" s="1076"/>
      <c r="CZ70" s="1076"/>
      <c r="DA70" s="1076"/>
      <c r="DB70" s="1076"/>
      <c r="DC70" s="993"/>
      <c r="DD70" s="281"/>
      <c r="DF70" s="3">
        <v>111</v>
      </c>
      <c r="DG70" s="4">
        <v>1994</v>
      </c>
      <c r="DH70" s="4">
        <v>0.41892869999999999</v>
      </c>
      <c r="DI70" s="1172"/>
      <c r="DJ70" s="5"/>
      <c r="DK70" s="1444">
        <v>111</v>
      </c>
      <c r="DL70" s="1444">
        <v>1994</v>
      </c>
      <c r="DM70" s="1444">
        <v>0.15409519999999999</v>
      </c>
      <c r="DN70" s="1440">
        <f t="shared" si="52"/>
        <v>0.46228559999999996</v>
      </c>
      <c r="DO70" s="993"/>
      <c r="DP70" s="488"/>
      <c r="DQ70" s="247"/>
      <c r="DR70" s="247"/>
      <c r="DS70" s="247"/>
      <c r="DT70" s="247"/>
      <c r="DU70" s="247"/>
      <c r="DV70" s="261"/>
      <c r="DW70" s="261"/>
      <c r="DX70" s="261"/>
      <c r="DY70" s="261"/>
      <c r="DZ70" s="261"/>
      <c r="EA70" s="261"/>
      <c r="EB70" s="261"/>
      <c r="EC70" s="261"/>
      <c r="ED70" s="261"/>
      <c r="EE70" s="261"/>
      <c r="EF70" s="993"/>
      <c r="EG70" s="261"/>
      <c r="EH70" s="281"/>
      <c r="EI70" s="281"/>
      <c r="EJ70" s="281"/>
      <c r="EK70" s="281"/>
      <c r="EL70" s="281"/>
      <c r="EM70" s="281"/>
      <c r="EN70" s="281"/>
      <c r="EO70" s="281"/>
      <c r="EP70" s="281"/>
      <c r="EQ70" s="281"/>
      <c r="ER70" s="281"/>
      <c r="ES70" s="281"/>
      <c r="ET70" s="281"/>
      <c r="EU70" s="281"/>
      <c r="EV70" s="281"/>
      <c r="EW70" s="281"/>
      <c r="EX70" s="281"/>
      <c r="EY70" s="281"/>
      <c r="EZ70" s="281"/>
      <c r="FA70" s="281"/>
      <c r="FB70" s="281"/>
      <c r="FC70" s="281"/>
      <c r="FD70" s="281"/>
      <c r="FE70" s="281"/>
      <c r="FF70" s="281"/>
      <c r="FG70" s="281"/>
      <c r="FH70" s="281"/>
      <c r="FI70" s="281"/>
      <c r="FJ70" s="281"/>
      <c r="FK70" s="281"/>
      <c r="FL70" s="281"/>
      <c r="FM70" s="281"/>
      <c r="FN70" s="281"/>
      <c r="FO70" s="281"/>
      <c r="FP70" s="281"/>
      <c r="FQ70" s="281"/>
      <c r="FR70" s="281"/>
      <c r="FS70" s="281"/>
      <c r="FT70" s="281"/>
      <c r="FU70" s="281"/>
      <c r="FV70" s="281"/>
      <c r="FW70" s="281"/>
      <c r="FX70" s="281"/>
      <c r="FY70" s="281"/>
    </row>
    <row r="71" spans="1:181" s="284" customFormat="1" ht="20.100000000000001" customHeight="1">
      <c r="A71" s="98"/>
      <c r="B71" s="25"/>
      <c r="C71" s="25"/>
      <c r="D71" s="25"/>
      <c r="E71" s="25"/>
      <c r="F71" s="25"/>
      <c r="G71" s="464"/>
      <c r="H71" s="98"/>
      <c r="I71" s="949" t="s">
        <v>225</v>
      </c>
      <c r="J71" s="948">
        <v>916</v>
      </c>
      <c r="K71" s="948">
        <v>0</v>
      </c>
      <c r="L71" s="948"/>
      <c r="M71" s="1029" t="s">
        <v>611</v>
      </c>
      <c r="N71" s="464"/>
      <c r="O71" s="98"/>
      <c r="P71" s="25" t="str">
        <f t="shared" si="50"/>
        <v>Real Exchange Rate ShockReal GDP growth (in percent)</v>
      </c>
      <c r="Q71" s="25"/>
      <c r="R71" s="431" t="s">
        <v>418</v>
      </c>
      <c r="S71" s="111"/>
      <c r="T71" s="111"/>
      <c r="U71" s="596">
        <f>(exchange!B$28)*100</f>
        <v>4.7697166816344838</v>
      </c>
      <c r="V71" s="596">
        <f>(exchange!C$28)*100</f>
        <v>3.1686434574876632</v>
      </c>
      <c r="W71" s="596">
        <f>(exchange!D$28)*100</f>
        <v>2.9947102444823903</v>
      </c>
      <c r="X71" s="596">
        <f>(exchange!E$28)*100</f>
        <v>2.8871442593204177</v>
      </c>
      <c r="Y71" s="596">
        <f>(exchange!F$28)*100</f>
        <v>2.933023694707515</v>
      </c>
      <c r="Z71" s="597">
        <f>(exchange!G$28)*100</f>
        <v>2.8000000000000025</v>
      </c>
      <c r="AA71" s="474"/>
      <c r="AB71" s="100"/>
      <c r="AC71" s="25"/>
      <c r="AD71" s="25"/>
      <c r="AE71" s="25"/>
      <c r="AF71" s="25"/>
      <c r="AG71" s="25"/>
      <c r="AH71" s="25"/>
      <c r="AI71" s="25"/>
      <c r="AJ71" s="25"/>
      <c r="AK71" s="25"/>
      <c r="AL71" s="25"/>
      <c r="AM71" s="25"/>
      <c r="AN71" s="25"/>
      <c r="AO71" s="464"/>
      <c r="AP71" s="25"/>
      <c r="AQ71" s="25"/>
      <c r="AR71" s="25"/>
      <c r="AS71" s="25"/>
      <c r="AT71" s="25"/>
      <c r="AU71" s="25"/>
      <c r="AV71" s="25"/>
      <c r="AW71" s="25"/>
      <c r="AX71" s="25"/>
      <c r="AY71" s="25"/>
      <c r="AZ71" s="464"/>
      <c r="BA71" s="247"/>
      <c r="BB71" s="247"/>
      <c r="BC71" s="247"/>
      <c r="BD71" s="247"/>
      <c r="BE71" s="247"/>
      <c r="BF71" s="247"/>
      <c r="BG71" s="247"/>
      <c r="BH71" s="247"/>
      <c r="BI71" s="247"/>
      <c r="BJ71" s="247"/>
      <c r="BK71" s="254"/>
      <c r="BL71" s="256"/>
      <c r="BM71" s="256"/>
      <c r="BN71" s="424"/>
      <c r="BO71" s="805"/>
      <c r="BP71" s="261"/>
      <c r="BQ71" s="424"/>
      <c r="BR71" s="776"/>
      <c r="BS71" s="256"/>
      <c r="BT71" s="256"/>
      <c r="BU71" s="255"/>
      <c r="BV71" s="256"/>
      <c r="BW71" s="247"/>
      <c r="BX71" s="247"/>
      <c r="BY71" s="247"/>
      <c r="BZ71" s="254"/>
      <c r="CA71" s="255"/>
      <c r="CB71" s="247"/>
      <c r="CC71" s="247"/>
      <c r="CD71" s="247"/>
      <c r="CE71" s="247"/>
      <c r="CF71" s="247"/>
      <c r="CG71" s="254"/>
      <c r="CH71" s="284" t="s">
        <v>714</v>
      </c>
      <c r="CI71" s="1086"/>
      <c r="CJ71" s="1086">
        <f t="shared" ref="CJ71:CR71" si="53">CJ64</f>
        <v>-6.994370823262507</v>
      </c>
      <c r="CK71" s="1086">
        <f t="shared" si="53"/>
        <v>-1.7280129588062083</v>
      </c>
      <c r="CL71" s="1086">
        <f t="shared" si="53"/>
        <v>-0.96818451529158533</v>
      </c>
      <c r="CM71" s="1086">
        <f t="shared" si="53"/>
        <v>-2.3459669734676085</v>
      </c>
      <c r="CN71" s="1086">
        <f t="shared" si="53"/>
        <v>-1.9718412401317611</v>
      </c>
      <c r="CO71" s="1086">
        <f t="shared" si="53"/>
        <v>-2.1016835069202848</v>
      </c>
      <c r="CP71" s="1086">
        <f t="shared" si="53"/>
        <v>-1.9849166934853253</v>
      </c>
      <c r="CQ71" s="1086">
        <f t="shared" si="53"/>
        <v>-1.7479004473903399</v>
      </c>
      <c r="CR71" s="1086">
        <f t="shared" si="53"/>
        <v>-0.72624223540087807</v>
      </c>
      <c r="CS71" s="1076"/>
      <c r="CT71" s="1076"/>
      <c r="CU71" s="1076"/>
      <c r="CV71" s="1076"/>
      <c r="CW71" s="1076"/>
      <c r="CX71" s="1076"/>
      <c r="CY71" s="1076"/>
      <c r="CZ71" s="1076"/>
      <c r="DA71" s="1076"/>
      <c r="DB71" s="1076"/>
      <c r="DC71" s="993"/>
      <c r="DD71" s="281"/>
      <c r="DF71" s="3">
        <v>111</v>
      </c>
      <c r="DG71" s="4">
        <v>1995</v>
      </c>
      <c r="DH71" s="4">
        <v>1.230801</v>
      </c>
      <c r="DI71" s="1172"/>
      <c r="DJ71" s="5"/>
      <c r="DK71" s="1444">
        <v>111</v>
      </c>
      <c r="DL71" s="1444">
        <v>1995</v>
      </c>
      <c r="DM71" s="1444">
        <v>0.81187189999999998</v>
      </c>
      <c r="DN71" s="1440">
        <f t="shared" si="52"/>
        <v>2.4356157000000001</v>
      </c>
      <c r="DO71" s="993"/>
      <c r="DP71" s="488"/>
      <c r="DQ71" s="247"/>
      <c r="DR71" s="247"/>
      <c r="DS71" s="247"/>
      <c r="DT71" s="247"/>
      <c r="DU71" s="247"/>
      <c r="DV71" s="261"/>
      <c r="DW71" s="261"/>
      <c r="DX71" s="261"/>
      <c r="DY71" s="261"/>
      <c r="DZ71" s="261"/>
      <c r="EA71" s="261"/>
      <c r="EB71" s="261"/>
      <c r="EC71" s="261"/>
      <c r="ED71" s="261"/>
      <c r="EE71" s="261"/>
      <c r="EF71" s="993"/>
      <c r="EG71" s="261"/>
      <c r="EH71" s="281"/>
      <c r="EI71" s="281"/>
      <c r="EJ71" s="281"/>
      <c r="EK71" s="281"/>
      <c r="EL71" s="281"/>
      <c r="EM71" s="281"/>
      <c r="EN71" s="281"/>
      <c r="EO71" s="281"/>
      <c r="EP71" s="281"/>
      <c r="EQ71" s="281"/>
      <c r="ER71" s="281"/>
      <c r="ES71" s="281"/>
      <c r="ET71" s="281"/>
      <c r="EU71" s="281"/>
      <c r="EV71" s="281"/>
      <c r="EW71" s="281"/>
      <c r="EX71" s="281"/>
      <c r="EY71" s="281"/>
      <c r="EZ71" s="281"/>
      <c r="FA71" s="281"/>
      <c r="FB71" s="281"/>
      <c r="FC71" s="281"/>
      <c r="FD71" s="281"/>
      <c r="FE71" s="281"/>
      <c r="FF71" s="281"/>
      <c r="FG71" s="281"/>
      <c r="FH71" s="281"/>
      <c r="FI71" s="281"/>
      <c r="FJ71" s="281"/>
      <c r="FK71" s="281"/>
      <c r="FL71" s="281"/>
      <c r="FM71" s="281"/>
      <c r="FN71" s="281"/>
      <c r="FO71" s="281"/>
      <c r="FP71" s="281"/>
      <c r="FQ71" s="281"/>
      <c r="FR71" s="281"/>
      <c r="FS71" s="281"/>
      <c r="FT71" s="281"/>
      <c r="FU71" s="281"/>
      <c r="FV71" s="281"/>
      <c r="FW71" s="281"/>
      <c r="FX71" s="281"/>
      <c r="FY71" s="281"/>
    </row>
    <row r="72" spans="1:181" s="284" customFormat="1" ht="20.100000000000001" customHeight="1">
      <c r="A72" s="98"/>
      <c r="B72" s="25"/>
      <c r="C72" s="25"/>
      <c r="D72" s="25"/>
      <c r="E72" s="25"/>
      <c r="F72" s="25"/>
      <c r="G72" s="464"/>
      <c r="H72" s="98"/>
      <c r="I72" s="949" t="s">
        <v>226</v>
      </c>
      <c r="J72" s="948">
        <v>542</v>
      </c>
      <c r="K72" s="948">
        <v>1</v>
      </c>
      <c r="L72" s="948"/>
      <c r="M72" s="1029" t="s">
        <v>612</v>
      </c>
      <c r="N72" s="464"/>
      <c r="O72" s="98"/>
      <c r="P72" s="25" t="str">
        <f t="shared" si="50"/>
        <v>Real Exchange Rate ShockInflation (in percent)</v>
      </c>
      <c r="Q72" s="25"/>
      <c r="R72" s="99" t="s">
        <v>427</v>
      </c>
      <c r="S72" s="107"/>
      <c r="T72" s="107"/>
      <c r="U72" s="591">
        <f>(exchange!B$29)*100</f>
        <v>4.2122999157540031</v>
      </c>
      <c r="V72" s="591">
        <f>(exchange!C$29)*100</f>
        <v>7.6773492297592449</v>
      </c>
      <c r="W72" s="591">
        <f>(exchange!D$29)*100</f>
        <v>2.7938359016816516</v>
      </c>
      <c r="X72" s="591">
        <f>(exchange!E$29)*100</f>
        <v>2.5315565708619037</v>
      </c>
      <c r="Y72" s="591">
        <f>(exchange!F$29)*100</f>
        <v>2.4647711698661201</v>
      </c>
      <c r="Z72" s="592">
        <f>(exchange!G$29)*100</f>
        <v>2.5000000000000133</v>
      </c>
      <c r="AA72" s="475"/>
      <c r="AB72" s="429"/>
      <c r="AC72" s="25"/>
      <c r="AD72" s="25"/>
      <c r="AE72" s="25"/>
      <c r="AF72" s="25"/>
      <c r="AG72" s="25"/>
      <c r="AH72" s="25"/>
      <c r="AI72" s="25"/>
      <c r="AJ72" s="25"/>
      <c r="AK72" s="25"/>
      <c r="AL72" s="25"/>
      <c r="AM72" s="25"/>
      <c r="AN72" s="25"/>
      <c r="AO72" s="464"/>
      <c r="AP72" s="25"/>
      <c r="AQ72" s="25"/>
      <c r="AR72" s="25"/>
      <c r="AS72" s="25"/>
      <c r="AT72" s="25"/>
      <c r="AU72" s="25"/>
      <c r="AV72" s="25"/>
      <c r="AW72" s="25"/>
      <c r="AX72" s="25"/>
      <c r="AY72" s="25"/>
      <c r="AZ72" s="464"/>
      <c r="BA72" s="247"/>
      <c r="BB72" s="247"/>
      <c r="BC72" s="247"/>
      <c r="BD72" s="247"/>
      <c r="BE72" s="247"/>
      <c r="BF72" s="247"/>
      <c r="BG72" s="247"/>
      <c r="BH72" s="247"/>
      <c r="BI72" s="247"/>
      <c r="BJ72" s="247"/>
      <c r="BK72" s="254"/>
      <c r="BL72" s="17"/>
      <c r="BM72" s="17"/>
      <c r="BN72" s="424"/>
      <c r="BO72" s="805"/>
      <c r="BP72" s="261"/>
      <c r="BQ72" s="424"/>
      <c r="BR72" s="776"/>
      <c r="BS72" s="256"/>
      <c r="BT72" s="256"/>
      <c r="BU72" s="255"/>
      <c r="BV72" s="256"/>
      <c r="BW72" s="247"/>
      <c r="BX72" s="247"/>
      <c r="BY72" s="247"/>
      <c r="BZ72" s="254"/>
      <c r="CA72" s="255"/>
      <c r="CB72" s="247"/>
      <c r="CC72" s="247"/>
      <c r="CD72" s="247"/>
      <c r="CE72" s="247"/>
      <c r="CF72" s="247"/>
      <c r="CG72" s="254"/>
      <c r="CH72" s="284" t="s">
        <v>715</v>
      </c>
      <c r="CI72" s="1086"/>
      <c r="CJ72" s="1086">
        <f t="shared" ref="CJ72:CR72" si="54">CJ66-CJ64</f>
        <v>5.16123973057773</v>
      </c>
      <c r="CK72" s="1086">
        <f t="shared" si="54"/>
        <v>3.0888059173646627</v>
      </c>
      <c r="CL72" s="1086">
        <f t="shared" si="54"/>
        <v>3.5950109551691378</v>
      </c>
      <c r="CM72" s="1086">
        <f t="shared" si="54"/>
        <v>3.1392933219118326</v>
      </c>
      <c r="CN72" s="1086">
        <f t="shared" si="54"/>
        <v>2.2363708518155674</v>
      </c>
      <c r="CO72" s="1086">
        <f t="shared" si="54"/>
        <v>3.0649715718688477</v>
      </c>
      <c r="CP72" s="1086">
        <f t="shared" si="54"/>
        <v>2.6730692643850897</v>
      </c>
      <c r="CQ72" s="1086">
        <f t="shared" si="54"/>
        <v>2.5567909912383593</v>
      </c>
      <c r="CR72" s="1086">
        <f t="shared" si="54"/>
        <v>2.2751747985457116</v>
      </c>
      <c r="CS72" s="1076"/>
      <c r="CT72" s="1076"/>
      <c r="CU72" s="1076"/>
      <c r="CV72" s="1076"/>
      <c r="CW72" s="1076"/>
      <c r="CX72" s="1076"/>
      <c r="CY72" s="1076"/>
      <c r="CZ72" s="1076"/>
      <c r="DA72" s="1076"/>
      <c r="DB72" s="1076"/>
      <c r="DC72" s="993"/>
      <c r="DD72" s="281"/>
      <c r="DF72" s="3">
        <v>111</v>
      </c>
      <c r="DG72" s="4">
        <v>1996</v>
      </c>
      <c r="DH72" s="4">
        <v>2.073502</v>
      </c>
      <c r="DI72" s="1172"/>
      <c r="DJ72" s="5"/>
      <c r="DK72" s="1444">
        <v>111</v>
      </c>
      <c r="DL72" s="1444">
        <v>1996</v>
      </c>
      <c r="DM72" s="1444">
        <v>0.84270100000000003</v>
      </c>
      <c r="DN72" s="1440">
        <f t="shared" si="52"/>
        <v>2.5281030000000002</v>
      </c>
      <c r="DO72" s="993"/>
      <c r="DP72" s="488"/>
      <c r="DQ72" s="247"/>
      <c r="DR72" s="247"/>
      <c r="DS72" s="247"/>
      <c r="DT72" s="247"/>
      <c r="DU72" s="247"/>
      <c r="DV72" s="261"/>
      <c r="DW72" s="261"/>
      <c r="DX72" s="261"/>
      <c r="DY72" s="261"/>
      <c r="DZ72" s="261"/>
      <c r="EA72" s="261"/>
      <c r="EB72" s="261"/>
      <c r="EC72" s="261"/>
      <c r="ED72" s="261"/>
      <c r="EE72" s="261"/>
      <c r="EF72" s="993"/>
      <c r="EG72" s="261"/>
      <c r="EH72" s="281"/>
      <c r="EI72" s="281"/>
      <c r="EJ72" s="281"/>
      <c r="EK72" s="281"/>
      <c r="EL72" s="281"/>
      <c r="EM72" s="281"/>
      <c r="EN72" s="281"/>
      <c r="EO72" s="281"/>
      <c r="EP72" s="281"/>
      <c r="EQ72" s="281"/>
      <c r="ER72" s="281"/>
      <c r="ES72" s="281"/>
      <c r="ET72" s="281"/>
      <c r="EU72" s="281"/>
      <c r="EV72" s="281"/>
      <c r="EW72" s="281"/>
      <c r="EX72" s="281"/>
      <c r="EY72" s="281"/>
      <c r="EZ72" s="281"/>
      <c r="FA72" s="281"/>
      <c r="FB72" s="281"/>
      <c r="FC72" s="281"/>
      <c r="FD72" s="281"/>
      <c r="FE72" s="281"/>
      <c r="FF72" s="281"/>
      <c r="FG72" s="281"/>
      <c r="FH72" s="281"/>
      <c r="FI72" s="281"/>
      <c r="FJ72" s="281"/>
      <c r="FK72" s="281"/>
      <c r="FL72" s="281"/>
      <c r="FM72" s="281"/>
      <c r="FN72" s="281"/>
      <c r="FO72" s="281"/>
      <c r="FP72" s="281"/>
      <c r="FQ72" s="281"/>
      <c r="FR72" s="281"/>
      <c r="FS72" s="281"/>
      <c r="FT72" s="281"/>
      <c r="FU72" s="281"/>
      <c r="FV72" s="281"/>
      <c r="FW72" s="281"/>
      <c r="FX72" s="281"/>
      <c r="FY72" s="281"/>
    </row>
    <row r="73" spans="1:181" s="25" customFormat="1" ht="20.100000000000001" customHeight="1">
      <c r="A73" s="98"/>
      <c r="G73" s="464"/>
      <c r="H73" s="98"/>
      <c r="I73" s="949" t="s">
        <v>227</v>
      </c>
      <c r="J73" s="948">
        <v>967</v>
      </c>
      <c r="K73" s="948">
        <v>0</v>
      </c>
      <c r="L73" s="948"/>
      <c r="M73" s="1029" t="s">
        <v>613</v>
      </c>
      <c r="N73" s="464"/>
      <c r="O73" s="98"/>
      <c r="P73" s="25" t="str">
        <f t="shared" si="50"/>
        <v>Real Exchange Rate ShockPrimary Balance (in percent of GDP)</v>
      </c>
      <c r="R73" s="99" t="s">
        <v>544</v>
      </c>
      <c r="S73" s="107"/>
      <c r="T73" s="107"/>
      <c r="U73" s="591">
        <f>(exchange!B$32)*100</f>
        <v>-5.2301873674015509E-2</v>
      </c>
      <c r="V73" s="591">
        <f>(exchange!C$32)*100</f>
        <v>4.6597896115335713E-2</v>
      </c>
      <c r="W73" s="591">
        <f>(exchange!D$32)*100</f>
        <v>0.30885252917781103</v>
      </c>
      <c r="X73" s="591">
        <f>(exchange!E$32)*100</f>
        <v>0.22147723253581053</v>
      </c>
      <c r="Y73" s="591">
        <f>(exchange!F$32)*100</f>
        <v>0.87301076297996993</v>
      </c>
      <c r="Z73" s="592">
        <f>(exchange!G$32)*100</f>
        <v>0.87301076297997549</v>
      </c>
      <c r="AA73" s="464"/>
      <c r="AB73" s="98"/>
      <c r="AO73" s="464"/>
      <c r="AZ73" s="464"/>
      <c r="BA73" s="247"/>
      <c r="BB73" s="247"/>
      <c r="BC73" s="247"/>
      <c r="BD73" s="247"/>
      <c r="BE73" s="247"/>
      <c r="BF73" s="247"/>
      <c r="BG73" s="247"/>
      <c r="BH73" s="247"/>
      <c r="BI73" s="247"/>
      <c r="BJ73" s="247"/>
      <c r="BK73" s="254"/>
      <c r="BL73" s="256"/>
      <c r="BM73" s="256"/>
      <c r="BN73" s="424"/>
      <c r="BO73" s="805"/>
      <c r="BP73" s="261"/>
      <c r="BQ73" s="424"/>
      <c r="BR73" s="776"/>
      <c r="BS73" s="256"/>
      <c r="BT73" s="256"/>
      <c r="BU73" s="255"/>
      <c r="BV73" s="256"/>
      <c r="BW73" s="247"/>
      <c r="BX73" s="247"/>
      <c r="BY73" s="247"/>
      <c r="BZ73" s="254"/>
      <c r="CA73" s="255"/>
      <c r="CB73" s="247"/>
      <c r="CC73" s="247"/>
      <c r="CD73" s="247"/>
      <c r="CE73" s="247"/>
      <c r="CF73" s="247"/>
      <c r="CG73" s="254"/>
      <c r="CH73" s="284"/>
      <c r="CI73" s="284"/>
      <c r="CJ73" s="284"/>
      <c r="CK73" s="284"/>
      <c r="CL73" s="284"/>
      <c r="CM73" s="284"/>
      <c r="CN73" s="284"/>
      <c r="CO73" s="284"/>
      <c r="CP73" s="284"/>
      <c r="CQ73" s="284"/>
      <c r="CR73" s="284"/>
      <c r="CS73" s="281"/>
      <c r="CT73" s="17"/>
      <c r="CU73" s="17"/>
      <c r="CV73" s="17"/>
      <c r="CW73" s="17"/>
      <c r="CX73" s="17"/>
      <c r="CY73" s="17"/>
      <c r="CZ73" s="17"/>
      <c r="DA73" s="17"/>
      <c r="DB73" s="17"/>
      <c r="DC73" s="993"/>
      <c r="DD73" s="281"/>
      <c r="DF73" s="3">
        <v>111</v>
      </c>
      <c r="DG73" s="4">
        <v>1997</v>
      </c>
      <c r="DH73" s="4">
        <v>2.8864879999999999</v>
      </c>
      <c r="DI73" s="1172"/>
      <c r="DJ73" s="5"/>
      <c r="DK73" s="1444">
        <v>111</v>
      </c>
      <c r="DL73" s="1444">
        <v>1997</v>
      </c>
      <c r="DM73" s="1444">
        <v>0.8129866</v>
      </c>
      <c r="DN73" s="1440">
        <f t="shared" si="52"/>
        <v>2.4389598000000001</v>
      </c>
      <c r="DO73" s="993"/>
      <c r="DP73" s="488"/>
      <c r="DQ73" s="247"/>
      <c r="DR73" s="247"/>
      <c r="DS73" s="247"/>
      <c r="DT73" s="247"/>
      <c r="DU73" s="247"/>
      <c r="DV73" s="261"/>
      <c r="DW73" s="261"/>
      <c r="DX73" s="261"/>
      <c r="DY73" s="261"/>
      <c r="DZ73" s="261"/>
      <c r="EA73" s="261"/>
      <c r="EB73" s="261"/>
      <c r="EC73" s="261"/>
      <c r="ED73" s="261"/>
      <c r="EE73" s="261"/>
      <c r="EF73" s="993"/>
      <c r="EG73" s="261"/>
      <c r="EH73" s="281"/>
      <c r="EI73" s="281"/>
      <c r="EJ73" s="281"/>
      <c r="EK73" s="281"/>
      <c r="EL73" s="281"/>
      <c r="EM73" s="281"/>
      <c r="EN73" s="281"/>
      <c r="EO73" s="281"/>
      <c r="EP73" s="281"/>
      <c r="EQ73" s="281"/>
      <c r="ER73" s="281"/>
      <c r="ES73" s="281"/>
      <c r="ET73" s="281"/>
      <c r="EU73" s="281"/>
      <c r="EV73" s="281"/>
      <c r="EW73" s="281"/>
      <c r="EX73" s="281"/>
      <c r="EY73" s="281"/>
      <c r="EZ73" s="281"/>
      <c r="FA73" s="281"/>
      <c r="FB73" s="281"/>
      <c r="FC73" s="281"/>
      <c r="FD73" s="281"/>
      <c r="FE73" s="281"/>
      <c r="FF73" s="281"/>
      <c r="FG73" s="281"/>
      <c r="FH73" s="281"/>
      <c r="FI73" s="281"/>
      <c r="FJ73" s="281"/>
      <c r="FK73" s="281"/>
      <c r="FL73" s="281"/>
      <c r="FM73" s="281"/>
      <c r="FN73" s="281"/>
      <c r="FO73" s="281"/>
      <c r="FP73" s="281"/>
      <c r="FQ73" s="281"/>
      <c r="FR73" s="281"/>
      <c r="FS73" s="281"/>
      <c r="FT73" s="281"/>
      <c r="FU73" s="281"/>
      <c r="FV73" s="281"/>
      <c r="FW73" s="281"/>
      <c r="FX73" s="281"/>
      <c r="FY73" s="281"/>
    </row>
    <row r="74" spans="1:181" s="25" customFormat="1" ht="20.100000000000001" customHeight="1" thickBot="1">
      <c r="A74" s="98"/>
      <c r="G74" s="464"/>
      <c r="H74" s="98"/>
      <c r="I74" s="949" t="s">
        <v>228</v>
      </c>
      <c r="J74" s="948">
        <v>443</v>
      </c>
      <c r="K74" s="948">
        <v>0</v>
      </c>
      <c r="L74" s="948"/>
      <c r="M74" s="1029" t="s">
        <v>614</v>
      </c>
      <c r="N74" s="464"/>
      <c r="O74" s="98"/>
      <c r="P74" s="25" t="str">
        <f t="shared" si="50"/>
        <v>Real Exchange Rate ShockEffective Interest Rate (in percent)</v>
      </c>
      <c r="R74" s="101" t="s">
        <v>428</v>
      </c>
      <c r="S74" s="632"/>
      <c r="T74" s="632"/>
      <c r="U74" s="594">
        <f>(exchange!B$27)*100</f>
        <v>1.9586439007071743</v>
      </c>
      <c r="V74" s="594">
        <f ca="1">(exchange!C$27)*100</f>
        <v>2.4781166566290191</v>
      </c>
      <c r="W74" s="594">
        <f ca="1">(exchange!D$27)*100</f>
        <v>3.1215781749855784</v>
      </c>
      <c r="X74" s="594">
        <f ca="1">(exchange!E$27)*100</f>
        <v>1.6838366775356981</v>
      </c>
      <c r="Y74" s="594">
        <f ca="1">(exchange!F$27)*100</f>
        <v>2.1907610618975508</v>
      </c>
      <c r="Z74" s="595">
        <f ca="1">(exchange!G$27)*100</f>
        <v>2.2891706554355862</v>
      </c>
      <c r="AA74" s="464"/>
      <c r="AO74" s="464"/>
      <c r="AZ74" s="464"/>
      <c r="BA74" s="247"/>
      <c r="BB74" s="247"/>
      <c r="BC74" s="247"/>
      <c r="BD74" s="247"/>
      <c r="BE74" s="247"/>
      <c r="BF74" s="247"/>
      <c r="BG74" s="247"/>
      <c r="BH74" s="247"/>
      <c r="BI74" s="247"/>
      <c r="BJ74" s="247"/>
      <c r="BK74" s="254"/>
      <c r="BL74" s="17"/>
      <c r="BM74" s="17"/>
      <c r="BN74" s="424"/>
      <c r="BO74" s="805"/>
      <c r="BP74" s="261"/>
      <c r="BQ74" s="424"/>
      <c r="BR74" s="776"/>
      <c r="BS74" s="256"/>
      <c r="BT74" s="256"/>
      <c r="BU74" s="255"/>
      <c r="BV74" s="256"/>
      <c r="BW74" s="247"/>
      <c r="BX74" s="247"/>
      <c r="BY74" s="247"/>
      <c r="BZ74" s="254"/>
      <c r="CA74" s="255"/>
      <c r="CB74" s="247"/>
      <c r="CC74" s="247"/>
      <c r="CD74" s="247"/>
      <c r="CE74" s="247"/>
      <c r="CF74" s="247"/>
      <c r="CG74" s="254"/>
      <c r="CH74" s="17" t="s">
        <v>720</v>
      </c>
      <c r="CI74" s="17"/>
      <c r="CJ74" s="1077"/>
      <c r="CK74" s="1077"/>
      <c r="CL74" s="1077"/>
      <c r="CM74" s="1077"/>
      <c r="CN74" s="1077"/>
      <c r="CO74" s="1077"/>
      <c r="CP74" s="1077"/>
      <c r="CQ74" s="1077"/>
      <c r="CR74" s="1077"/>
      <c r="CS74" s="1077"/>
      <c r="CT74" s="17" t="s">
        <v>721</v>
      </c>
      <c r="CU74" s="1077"/>
      <c r="CV74" s="1077"/>
      <c r="CW74" s="1077"/>
      <c r="CX74" s="1077"/>
      <c r="CY74" s="1077"/>
      <c r="CZ74" s="1077"/>
      <c r="DA74" s="1077"/>
      <c r="DB74" s="1077"/>
      <c r="DC74" s="993"/>
      <c r="DD74" s="281"/>
      <c r="DF74" s="3">
        <v>111</v>
      </c>
      <c r="DG74" s="4">
        <v>1998</v>
      </c>
      <c r="DH74" s="4">
        <v>3.6450179999999999</v>
      </c>
      <c r="DI74" s="1172"/>
      <c r="DJ74" s="5"/>
      <c r="DK74" s="1444">
        <v>111</v>
      </c>
      <c r="DL74" s="1444">
        <v>1998</v>
      </c>
      <c r="DM74" s="1444">
        <v>0.75852969999999997</v>
      </c>
      <c r="DN74" s="1440">
        <f t="shared" si="52"/>
        <v>2.2755890999999999</v>
      </c>
      <c r="DO74" s="993"/>
      <c r="DP74" s="488"/>
      <c r="DQ74" s="247"/>
      <c r="DR74" s="247"/>
      <c r="DS74" s="247"/>
      <c r="DT74" s="247"/>
      <c r="DU74" s="247"/>
      <c r="DV74" s="261"/>
      <c r="DW74" s="261"/>
      <c r="DX74" s="261"/>
      <c r="DY74" s="261"/>
      <c r="DZ74" s="261"/>
      <c r="EA74" s="261"/>
      <c r="EB74" s="261"/>
      <c r="EC74" s="261"/>
      <c r="ED74" s="261"/>
      <c r="EE74" s="261"/>
      <c r="EF74" s="993"/>
      <c r="EG74" s="261"/>
      <c r="EH74" s="281"/>
      <c r="EI74" s="281"/>
      <c r="EJ74" s="281"/>
      <c r="EK74" s="281"/>
      <c r="EL74" s="281"/>
      <c r="EM74" s="281"/>
      <c r="EN74" s="281"/>
      <c r="EO74" s="281"/>
      <c r="EP74" s="281"/>
      <c r="EQ74" s="281"/>
      <c r="ER74" s="281"/>
      <c r="ES74" s="281"/>
      <c r="ET74" s="281"/>
      <c r="EU74" s="281"/>
      <c r="EV74" s="281"/>
      <c r="EW74" s="281"/>
      <c r="EX74" s="281"/>
      <c r="EY74" s="281"/>
      <c r="EZ74" s="281"/>
      <c r="FA74" s="281"/>
      <c r="FB74" s="281"/>
      <c r="FC74" s="281"/>
      <c r="FD74" s="281"/>
      <c r="FE74" s="281"/>
      <c r="FF74" s="281"/>
      <c r="FG74" s="281"/>
      <c r="FH74" s="281"/>
      <c r="FI74" s="281"/>
      <c r="FJ74" s="281"/>
      <c r="FK74" s="281"/>
      <c r="FL74" s="281"/>
      <c r="FM74" s="281"/>
      <c r="FN74" s="281"/>
      <c r="FO74" s="281"/>
      <c r="FP74" s="281"/>
      <c r="FQ74" s="281"/>
      <c r="FR74" s="281"/>
      <c r="FS74" s="281"/>
      <c r="FT74" s="281"/>
      <c r="FU74" s="281"/>
      <c r="FV74" s="281"/>
      <c r="FW74" s="281"/>
      <c r="FX74" s="281"/>
      <c r="FY74" s="281"/>
    </row>
    <row r="75" spans="1:181" s="25" customFormat="1" ht="20.100000000000001" customHeight="1">
      <c r="A75" s="98"/>
      <c r="G75" s="464"/>
      <c r="H75" s="98"/>
      <c r="I75" s="949" t="s">
        <v>229</v>
      </c>
      <c r="J75" s="948">
        <v>941</v>
      </c>
      <c r="K75" s="948">
        <v>0</v>
      </c>
      <c r="L75" s="948"/>
      <c r="M75" s="1029" t="s">
        <v>615</v>
      </c>
      <c r="N75" s="464"/>
      <c r="O75" s="98"/>
      <c r="R75" s="111"/>
      <c r="S75" s="111"/>
      <c r="T75" s="111"/>
      <c r="U75" s="102"/>
      <c r="V75" s="102"/>
      <c r="W75" s="102"/>
      <c r="X75" s="102"/>
      <c r="Y75" s="102"/>
      <c r="Z75" s="102"/>
      <c r="AA75" s="464"/>
      <c r="AO75" s="464"/>
      <c r="AZ75" s="464"/>
      <c r="BA75" s="247"/>
      <c r="BB75" s="247"/>
      <c r="BC75" s="247"/>
      <c r="BD75" s="247"/>
      <c r="BE75" s="247"/>
      <c r="BF75" s="247"/>
      <c r="BG75" s="247"/>
      <c r="BH75" s="247"/>
      <c r="BI75" s="247"/>
      <c r="BJ75" s="247"/>
      <c r="BK75" s="254"/>
      <c r="BL75" s="17"/>
      <c r="BM75" s="17"/>
      <c r="BN75" s="424"/>
      <c r="BO75" s="805"/>
      <c r="BP75" s="261"/>
      <c r="BQ75" s="424"/>
      <c r="BR75" s="776"/>
      <c r="BS75" s="256"/>
      <c r="BT75" s="256"/>
      <c r="BU75" s="255"/>
      <c r="BV75" s="256"/>
      <c r="BW75" s="247"/>
      <c r="BX75" s="247"/>
      <c r="BY75" s="247"/>
      <c r="BZ75" s="254"/>
      <c r="CA75" s="255"/>
      <c r="CB75" s="247"/>
      <c r="CC75" s="247"/>
      <c r="CD75" s="247"/>
      <c r="CE75" s="247"/>
      <c r="CF75" s="247"/>
      <c r="CG75" s="254"/>
      <c r="CH75" s="17" t="s">
        <v>293</v>
      </c>
      <c r="CI75" s="17"/>
      <c r="CJ75" s="1093">
        <v>-30.54867327486064</v>
      </c>
      <c r="CK75" s="1093">
        <v>-5.1992798844770149</v>
      </c>
      <c r="CL75" s="1093">
        <v>-5.8312398506379246</v>
      </c>
      <c r="CM75" s="1093">
        <v>-9.4743026547141529</v>
      </c>
      <c r="CN75" s="1093">
        <v>-13.205087144299739</v>
      </c>
      <c r="CO75" s="1093">
        <v>-2.7976853428357273</v>
      </c>
      <c r="CP75" s="1093">
        <v>-2.7577723947726511</v>
      </c>
      <c r="CQ75" s="1093">
        <v>-8.0618999433069192</v>
      </c>
      <c r="CR75" s="1093">
        <v>-7.2845406824794257</v>
      </c>
      <c r="CS75" s="1098"/>
      <c r="CT75" s="1092">
        <v>-34.709595009442005</v>
      </c>
      <c r="CU75" s="1092">
        <v>-13.366075133223951</v>
      </c>
      <c r="CV75" s="1092">
        <v>-34.682082966192993</v>
      </c>
      <c r="CW75" s="1092">
        <v>-12.654560557910495</v>
      </c>
      <c r="CX75" s="1092">
        <v>-18.747189193827399</v>
      </c>
      <c r="CY75" s="1092">
        <v>-53.68196978741635</v>
      </c>
      <c r="CZ75" s="1092">
        <v>-58.167683369072208</v>
      </c>
      <c r="DA75" s="1092">
        <v>-69.979840861068126</v>
      </c>
      <c r="DB75" s="1092">
        <v>-7.9898351016096942</v>
      </c>
      <c r="DC75" s="993"/>
      <c r="DD75" s="281"/>
      <c r="DF75" s="3">
        <v>111</v>
      </c>
      <c r="DG75" s="4">
        <v>1999</v>
      </c>
      <c r="DH75" s="4">
        <v>4.0221850000000003</v>
      </c>
      <c r="DI75" s="1172"/>
      <c r="DJ75" s="5"/>
      <c r="DK75" s="1444">
        <v>111</v>
      </c>
      <c r="DL75" s="1444">
        <v>1999</v>
      </c>
      <c r="DM75" s="1444">
        <v>0.37716729999999998</v>
      </c>
      <c r="DN75" s="1440">
        <f t="shared" si="52"/>
        <v>1.1315018999999999</v>
      </c>
      <c r="DO75" s="993"/>
      <c r="DP75" s="488"/>
      <c r="DQ75" s="247"/>
      <c r="DR75" s="247"/>
      <c r="DS75" s="247"/>
      <c r="DT75" s="247"/>
      <c r="DU75" s="247"/>
      <c r="DV75" s="261"/>
      <c r="DW75" s="261"/>
      <c r="DX75" s="261"/>
      <c r="DY75" s="261"/>
      <c r="DZ75" s="261"/>
      <c r="EA75" s="261"/>
      <c r="EB75" s="261"/>
      <c r="EC75" s="261"/>
      <c r="ED75" s="261"/>
      <c r="EE75" s="261"/>
      <c r="EF75" s="993"/>
      <c r="EG75" s="261"/>
      <c r="EH75" s="281"/>
      <c r="EI75" s="281"/>
      <c r="EJ75" s="281"/>
      <c r="EK75" s="281"/>
      <c r="EL75" s="281"/>
      <c r="EM75" s="281"/>
      <c r="EN75" s="281"/>
      <c r="EO75" s="281"/>
      <c r="EP75" s="281"/>
      <c r="EQ75" s="281"/>
      <c r="ER75" s="281"/>
      <c r="ES75" s="281"/>
      <c r="ET75" s="281"/>
      <c r="EU75" s="281"/>
      <c r="EV75" s="281"/>
      <c r="EW75" s="281"/>
      <c r="EX75" s="281"/>
      <c r="EY75" s="281"/>
      <c r="EZ75" s="281"/>
      <c r="FA75" s="281"/>
      <c r="FB75" s="281"/>
      <c r="FC75" s="281"/>
      <c r="FD75" s="281"/>
      <c r="FE75" s="281"/>
      <c r="FF75" s="281"/>
      <c r="FG75" s="281"/>
      <c r="FH75" s="281"/>
      <c r="FI75" s="281"/>
      <c r="FJ75" s="281"/>
      <c r="FK75" s="281"/>
      <c r="FL75" s="281"/>
      <c r="FM75" s="281"/>
      <c r="FN75" s="281"/>
      <c r="FO75" s="281"/>
      <c r="FP75" s="281"/>
      <c r="FQ75" s="281"/>
      <c r="FR75" s="281"/>
      <c r="FS75" s="281"/>
      <c r="FT75" s="281"/>
      <c r="FU75" s="281"/>
      <c r="FV75" s="281"/>
      <c r="FW75" s="281"/>
      <c r="FX75" s="281"/>
      <c r="FY75" s="281"/>
    </row>
    <row r="76" spans="1:181" ht="20.100000000000001" customHeight="1">
      <c r="I76" s="949" t="s">
        <v>230</v>
      </c>
      <c r="J76" s="948">
        <v>446</v>
      </c>
      <c r="K76" s="948">
        <v>0</v>
      </c>
      <c r="L76" s="948"/>
      <c r="M76" s="1029" t="s">
        <v>616</v>
      </c>
      <c r="R76" s="25"/>
      <c r="S76" s="25"/>
      <c r="T76" s="25"/>
      <c r="U76" s="25"/>
      <c r="V76" s="25"/>
      <c r="W76" s="25"/>
      <c r="X76" s="25"/>
      <c r="Y76" s="25"/>
      <c r="Z76" s="25"/>
      <c r="AA76" s="476"/>
      <c r="AB76" s="430"/>
      <c r="AP76" s="442" t="s">
        <v>669</v>
      </c>
      <c r="AZ76" s="483"/>
      <c r="BL76" s="256"/>
      <c r="BM76" s="256"/>
      <c r="BN76" s="424"/>
      <c r="BO76" s="805"/>
      <c r="BP76" s="261"/>
      <c r="BQ76" s="424"/>
      <c r="BR76" s="776"/>
      <c r="BS76" s="256"/>
      <c r="BT76" s="256"/>
      <c r="BU76" s="255"/>
      <c r="BV76" s="256"/>
      <c r="CH76" s="17" t="s">
        <v>706</v>
      </c>
      <c r="CJ76" s="1093">
        <v>-7.3408669081236688</v>
      </c>
      <c r="CK76" s="1093">
        <v>-3.2252582989313678</v>
      </c>
      <c r="CL76" s="1093">
        <v>-2.1262629447575758</v>
      </c>
      <c r="CM76" s="1093">
        <v>-4.9020629172620573</v>
      </c>
      <c r="CN76" s="1093">
        <v>-4.7821810606587425</v>
      </c>
      <c r="CO76" s="1093">
        <v>-2.3822563781785151</v>
      </c>
      <c r="CP76" s="1093">
        <v>-2.1344020681755915</v>
      </c>
      <c r="CQ76" s="1093">
        <v>-1.7939972523129437</v>
      </c>
      <c r="CR76" s="1093">
        <v>-2.2333255306667996</v>
      </c>
      <c r="CS76" s="1098"/>
      <c r="CT76" s="1092">
        <v>-12.990455990211261</v>
      </c>
      <c r="CU76" s="1092">
        <v>-3.1816356762183156</v>
      </c>
      <c r="CV76" s="1092">
        <v>-2.5233140882203662</v>
      </c>
      <c r="CW76" s="1092">
        <v>-4.9575977237453017</v>
      </c>
      <c r="CX76" s="1092">
        <v>-5.4380869040992632</v>
      </c>
      <c r="CY76" s="1092">
        <v>-4.5315096743845222</v>
      </c>
      <c r="CZ76" s="1092">
        <v>-7.631880770692586</v>
      </c>
      <c r="DA76" s="1092">
        <v>-4.8416533827875208</v>
      </c>
      <c r="DB76" s="1092">
        <v>-1.8373557492019643</v>
      </c>
      <c r="DF76" s="3">
        <v>111</v>
      </c>
      <c r="DG76" s="4">
        <v>2005</v>
      </c>
      <c r="DH76" s="4">
        <v>-1.924102</v>
      </c>
      <c r="DI76" s="1172"/>
      <c r="DJ76" s="5"/>
      <c r="DK76" s="1444">
        <v>111</v>
      </c>
      <c r="DL76" s="1444">
        <v>2005</v>
      </c>
      <c r="DM76" s="1444">
        <v>-0.1000827</v>
      </c>
      <c r="DN76" s="1440">
        <f t="shared" si="52"/>
        <v>-0.30024810000000002</v>
      </c>
      <c r="EG76" s="261"/>
    </row>
    <row r="77" spans="1:181" ht="20.100000000000001" customHeight="1" thickBot="1">
      <c r="I77" s="949" t="s">
        <v>231</v>
      </c>
      <c r="J77" s="948">
        <v>672</v>
      </c>
      <c r="K77" s="948">
        <v>0</v>
      </c>
      <c r="L77" s="948"/>
      <c r="M77" s="1029" t="s">
        <v>617</v>
      </c>
      <c r="R77" s="25"/>
      <c r="S77" s="25"/>
      <c r="T77" s="25"/>
      <c r="U77" s="25"/>
      <c r="V77" s="25"/>
      <c r="W77" s="25"/>
      <c r="X77" s="25"/>
      <c r="Y77" s="25"/>
      <c r="Z77" s="25"/>
      <c r="AA77" s="474"/>
      <c r="AB77" s="100"/>
      <c r="AZ77" s="474"/>
      <c r="BL77" s="256"/>
      <c r="BM77" s="256"/>
      <c r="BN77" s="424"/>
      <c r="BO77" s="805"/>
      <c r="BP77" s="261"/>
      <c r="BQ77" s="424"/>
      <c r="BR77" s="776"/>
      <c r="BS77" s="256"/>
      <c r="BT77" s="256"/>
      <c r="BU77" s="255"/>
      <c r="BV77" s="256"/>
      <c r="CH77" s="17" t="s">
        <v>689</v>
      </c>
      <c r="CJ77" s="1093">
        <v>-5.1605340126848072</v>
      </c>
      <c r="CK77" s="1093">
        <v>-2.398973664502086</v>
      </c>
      <c r="CL77" s="1093">
        <v>-0.52794999864371606</v>
      </c>
      <c r="CM77" s="1093">
        <v>-2.2149415028721338</v>
      </c>
      <c r="CN77" s="1093">
        <v>-1.7335406105693687</v>
      </c>
      <c r="CO77" s="1093">
        <v>-1.5905361854820483</v>
      </c>
      <c r="CP77" s="1093">
        <v>-0.8915898500062176</v>
      </c>
      <c r="CQ77" s="1093">
        <v>-0.76017712820134253</v>
      </c>
      <c r="CR77" s="1093">
        <v>-0.72624223540087807</v>
      </c>
      <c r="CS77" s="1098"/>
      <c r="CT77" s="1092">
        <v>-7.7778366389749456</v>
      </c>
      <c r="CU77" s="1092">
        <v>-1.6425548945847321</v>
      </c>
      <c r="CV77" s="1092">
        <v>-1.0210010749160277</v>
      </c>
      <c r="CW77" s="1092">
        <v>-2.6322837076694743</v>
      </c>
      <c r="CX77" s="1092">
        <v>-1.9178210794396053</v>
      </c>
      <c r="CY77" s="1092">
        <v>-2.2558832458974649</v>
      </c>
      <c r="CZ77" s="1092">
        <v>-2.1597096434985406</v>
      </c>
      <c r="DA77" s="1092">
        <v>-2.3096764876775548</v>
      </c>
      <c r="DB77" s="1092">
        <v>-0.66851731937795345</v>
      </c>
      <c r="DF77" s="3">
        <v>111</v>
      </c>
      <c r="DG77" s="4">
        <v>2006</v>
      </c>
      <c r="DH77" s="4">
        <v>-1.274065</v>
      </c>
      <c r="DI77" s="1172"/>
      <c r="DJ77" s="5"/>
      <c r="DK77" s="1444">
        <v>111</v>
      </c>
      <c r="DL77" s="1444">
        <v>2006</v>
      </c>
      <c r="DM77" s="1444">
        <v>0.65003759999999999</v>
      </c>
      <c r="DN77" s="1440">
        <f t="shared" si="52"/>
        <v>1.9501127999999999</v>
      </c>
      <c r="EG77" s="261"/>
    </row>
    <row r="78" spans="1:181" ht="20.100000000000001" customHeight="1" thickBot="1">
      <c r="I78" s="949" t="s">
        <v>232</v>
      </c>
      <c r="J78" s="948">
        <v>946</v>
      </c>
      <c r="K78" s="948">
        <v>0</v>
      </c>
      <c r="L78" s="948"/>
      <c r="M78" s="1029" t="s">
        <v>618</v>
      </c>
      <c r="R78" s="144" t="s">
        <v>128</v>
      </c>
      <c r="S78" s="146">
        <f t="shared" ref="S78:Z78" si="55">S$4</f>
        <v>2016</v>
      </c>
      <c r="T78" s="146">
        <f t="shared" si="55"/>
        <v>2017</v>
      </c>
      <c r="U78" s="146">
        <f t="shared" si="55"/>
        <v>2018</v>
      </c>
      <c r="V78" s="146">
        <f t="shared" si="55"/>
        <v>2019</v>
      </c>
      <c r="W78" s="146">
        <f t="shared" si="55"/>
        <v>2020</v>
      </c>
      <c r="X78" s="146">
        <f t="shared" si="55"/>
        <v>2021</v>
      </c>
      <c r="Y78" s="146">
        <f t="shared" si="55"/>
        <v>2022</v>
      </c>
      <c r="Z78" s="145">
        <f t="shared" si="55"/>
        <v>2023</v>
      </c>
      <c r="AA78" s="474"/>
      <c r="AB78" s="100"/>
      <c r="AP78" s="441" t="s">
        <v>866</v>
      </c>
      <c r="AQ78" s="139" t="s">
        <v>300</v>
      </c>
      <c r="AR78" s="139"/>
      <c r="AS78" s="139"/>
      <c r="AT78" s="103">
        <f>FirstYear</f>
        <v>2018</v>
      </c>
      <c r="AU78" s="104">
        <f>AT78+1</f>
        <v>2019</v>
      </c>
      <c r="AV78" s="105">
        <f>AU78+1</f>
        <v>2020</v>
      </c>
      <c r="AW78" s="105">
        <f>AV78+1</f>
        <v>2021</v>
      </c>
      <c r="AX78" s="105">
        <f>AW78+1</f>
        <v>2022</v>
      </c>
      <c r="AY78" s="106">
        <f>AX78+1</f>
        <v>2023</v>
      </c>
      <c r="AZ78" s="474"/>
      <c r="BL78" s="256"/>
      <c r="BM78" s="256"/>
      <c r="BN78" s="424"/>
      <c r="BO78" s="805"/>
      <c r="BP78" s="261"/>
      <c r="BQ78" s="424"/>
      <c r="BR78" s="776"/>
      <c r="BS78" s="256"/>
      <c r="BT78" s="256"/>
      <c r="BU78" s="255"/>
      <c r="BV78" s="256"/>
      <c r="CH78" s="17" t="s">
        <v>707</v>
      </c>
      <c r="CJ78" s="1093">
        <v>-3.4958694838235429</v>
      </c>
      <c r="CK78" s="1093">
        <v>-1.3719406602898618</v>
      </c>
      <c r="CL78" s="1093">
        <v>0.54945646208413967</v>
      </c>
      <c r="CM78" s="1093">
        <v>-1.3150812714550661</v>
      </c>
      <c r="CN78" s="1093">
        <v>-0.5570880940481947</v>
      </c>
      <c r="CO78" s="1093">
        <v>-0.6729798514174663</v>
      </c>
      <c r="CP78" s="1093">
        <v>-0.12969038676470102</v>
      </c>
      <c r="CQ78" s="1093">
        <v>0.14495662762549349</v>
      </c>
      <c r="CR78" s="1093">
        <v>-6.2794861710403715E-2</v>
      </c>
      <c r="CS78" s="1098"/>
      <c r="CT78" s="1092">
        <v>-4.4319187262584334</v>
      </c>
      <c r="CU78" s="1092">
        <v>-0.26697832738067229</v>
      </c>
      <c r="CV78" s="1092">
        <v>0.77297996402015756</v>
      </c>
      <c r="CW78" s="1092">
        <v>-0.34846185372863131</v>
      </c>
      <c r="CX78" s="1092">
        <v>-0.90218105550754724</v>
      </c>
      <c r="CY78" s="1092">
        <v>-0.70627685862072287</v>
      </c>
      <c r="CZ78" s="1092">
        <v>-0.51078990036926064</v>
      </c>
      <c r="DA78" s="1092">
        <v>-0.2179722267701448</v>
      </c>
      <c r="DB78" s="1092">
        <v>0.2386714961637956</v>
      </c>
      <c r="DF78" s="3">
        <v>111</v>
      </c>
      <c r="DG78" s="4">
        <v>2007</v>
      </c>
      <c r="DH78" s="4">
        <v>-0.82530029999999999</v>
      </c>
      <c r="DI78" s="1172"/>
      <c r="DJ78" s="5"/>
      <c r="DK78" s="1444">
        <v>111</v>
      </c>
      <c r="DL78" s="1444">
        <v>2007</v>
      </c>
      <c r="DM78" s="1444">
        <v>0.4487642</v>
      </c>
      <c r="DN78" s="1440">
        <f t="shared" si="52"/>
        <v>1.3462926</v>
      </c>
      <c r="EG78" s="261"/>
    </row>
    <row r="79" spans="1:181" ht="20.100000000000001" customHeight="1">
      <c r="I79" s="949" t="s">
        <v>233</v>
      </c>
      <c r="J79" s="948">
        <v>137</v>
      </c>
      <c r="K79" s="948">
        <v>1</v>
      </c>
      <c r="L79" s="948"/>
      <c r="M79" s="1029" t="s">
        <v>619</v>
      </c>
      <c r="P79" s="25" t="str">
        <f t="shared" ref="P79:P88" si="56">CONCATENATE(R$78,R79)</f>
        <v>Combined shockNominal Debt (in percent of GDP)</v>
      </c>
      <c r="R79" s="99" t="s">
        <v>421</v>
      </c>
      <c r="S79" s="107"/>
      <c r="T79" s="107"/>
      <c r="U79" s="591">
        <f>(combo!B37)*100</f>
        <v>37.094606570883371</v>
      </c>
      <c r="V79" s="591">
        <f ca="1">(combo!C37)*100</f>
        <v>41.110895240749436</v>
      </c>
      <c r="W79" s="591">
        <f ca="1">(combo!D37)*100</f>
        <v>46.533080176173428</v>
      </c>
      <c r="X79" s="591">
        <f ca="1">(combo!E37)*100</f>
        <v>48.0787275778465</v>
      </c>
      <c r="Y79" s="591">
        <f ca="1">(combo!F37)*100</f>
        <v>51.189894470002628</v>
      </c>
      <c r="Z79" s="592">
        <f ca="1">(combo!G37)*100</f>
        <v>55.192876053756414</v>
      </c>
      <c r="AA79" s="474"/>
      <c r="AB79" s="100"/>
      <c r="AP79" s="289"/>
      <c r="AT79" s="25"/>
      <c r="AU79" s="25"/>
      <c r="AV79" s="25"/>
      <c r="AW79" s="25"/>
      <c r="AX79" s="25"/>
      <c r="AY79" s="25"/>
      <c r="AZ79" s="475"/>
      <c r="BL79" s="256"/>
      <c r="BM79" s="256"/>
      <c r="BN79" s="424"/>
      <c r="BO79" s="805"/>
      <c r="BP79" s="261"/>
      <c r="BQ79" s="424"/>
      <c r="BR79" s="776"/>
      <c r="BS79" s="256"/>
      <c r="BT79" s="256"/>
      <c r="BU79" s="255"/>
      <c r="BV79" s="256"/>
      <c r="CH79" s="17" t="s">
        <v>708</v>
      </c>
      <c r="CJ79" s="1093">
        <v>-1.2266538582149109</v>
      </c>
      <c r="CK79" s="1093">
        <v>-0.67293178382325181</v>
      </c>
      <c r="CL79" s="1093">
        <v>1.9307681676633122</v>
      </c>
      <c r="CM79" s="1093">
        <v>0.1329242875528136</v>
      </c>
      <c r="CN79" s="1093">
        <v>0.16138325936673301</v>
      </c>
      <c r="CO79" s="1093">
        <v>4.1675870355878608E-2</v>
      </c>
      <c r="CP79" s="1093">
        <v>0.52196109821771575</v>
      </c>
      <c r="CQ79" s="1093">
        <v>0.75382404187538499</v>
      </c>
      <c r="CR79" s="1093">
        <v>1.2176028431636259</v>
      </c>
      <c r="CS79" s="1098"/>
      <c r="CT79" s="1092">
        <v>-2.4728810238590855</v>
      </c>
      <c r="CU79" s="1092">
        <v>1.2850007903958804</v>
      </c>
      <c r="CV79" s="1092">
        <v>2.8965161915341078</v>
      </c>
      <c r="CW79" s="1092">
        <v>0.72515727856251577</v>
      </c>
      <c r="CX79" s="1092">
        <v>0.25407963081421758</v>
      </c>
      <c r="CY79" s="1092">
        <v>0.76516836548851119</v>
      </c>
      <c r="CZ79" s="1092">
        <v>0.69779871334325005</v>
      </c>
      <c r="DA79" s="1092">
        <v>0.98247373642924163</v>
      </c>
      <c r="DB79" s="1092">
        <v>1.6824625896543677</v>
      </c>
      <c r="DF79" s="3">
        <v>111</v>
      </c>
      <c r="DG79" s="4">
        <v>2008</v>
      </c>
      <c r="DH79" s="4">
        <v>-1.8020119999999999</v>
      </c>
      <c r="DI79" s="1172"/>
      <c r="DJ79" s="5"/>
      <c r="DK79" s="1444">
        <v>111</v>
      </c>
      <c r="DL79" s="1444">
        <v>2008</v>
      </c>
      <c r="DM79" s="1444">
        <v>-0.97671149999999995</v>
      </c>
      <c r="DN79" s="1440">
        <f t="shared" si="52"/>
        <v>-2.9301344999999999</v>
      </c>
      <c r="EG79" s="261"/>
    </row>
    <row r="80" spans="1:181" ht="20.100000000000001" customHeight="1">
      <c r="I80" s="949" t="s">
        <v>234</v>
      </c>
      <c r="J80" s="948">
        <v>962</v>
      </c>
      <c r="K80" s="948">
        <v>0</v>
      </c>
      <c r="L80" s="948"/>
      <c r="M80" s="1029" t="s">
        <v>620</v>
      </c>
      <c r="P80" s="25" t="str">
        <f t="shared" si="56"/>
        <v>Combined shockDebt Service (in percent of GDP)</v>
      </c>
      <c r="R80" s="99" t="s">
        <v>422</v>
      </c>
      <c r="S80" s="107"/>
      <c r="T80" s="107"/>
      <c r="U80" s="591">
        <f>(combo!B38)*100</f>
        <v>3.7107105982600994</v>
      </c>
      <c r="V80" s="591">
        <f ca="1">(combo!C38)*100</f>
        <v>7.6640589946873048</v>
      </c>
      <c r="W80" s="591">
        <f ca="1">(combo!D38)*100</f>
        <v>16.424042463889332</v>
      </c>
      <c r="X80" s="591">
        <f ca="1">(combo!E38)*100</f>
        <v>25.45760339959476</v>
      </c>
      <c r="Y80" s="591">
        <f ca="1">(combo!F38)*100</f>
        <v>30.438910168985327</v>
      </c>
      <c r="Z80" s="592">
        <f ca="1">(combo!G38)*100</f>
        <v>35.196659379365123</v>
      </c>
      <c r="AA80" s="474"/>
      <c r="AB80" s="100"/>
      <c r="AP80" s="289">
        <v>1</v>
      </c>
      <c r="AQ80" s="979" t="s">
        <v>76</v>
      </c>
      <c r="AR80" s="979"/>
      <c r="AS80" s="979"/>
      <c r="AT80" s="25"/>
      <c r="AU80" s="25"/>
      <c r="AV80" s="25"/>
      <c r="AW80" s="25"/>
      <c r="AX80" s="25"/>
      <c r="AY80" s="25"/>
      <c r="AZ80" s="474"/>
      <c r="BL80" s="256"/>
      <c r="BM80" s="256"/>
      <c r="BN80" s="424"/>
      <c r="BO80" s="805"/>
      <c r="BP80" s="261"/>
      <c r="BQ80" s="424"/>
      <c r="BR80" s="776"/>
      <c r="BS80" s="256"/>
      <c r="BT80" s="256"/>
      <c r="BU80" s="255"/>
      <c r="BV80" s="256"/>
      <c r="CH80" s="17" t="s">
        <v>709</v>
      </c>
      <c r="CJ80" s="1093">
        <v>-0.33337224274032218</v>
      </c>
      <c r="CK80" s="1093">
        <v>1.6754704245873173</v>
      </c>
      <c r="CL80" s="1093">
        <v>4.4341380926694294</v>
      </c>
      <c r="CM80" s="1093">
        <v>1.006174895836885</v>
      </c>
      <c r="CN80" s="1093">
        <v>1.0340815237744452</v>
      </c>
      <c r="CO80" s="1093">
        <v>2.1112808063828488</v>
      </c>
      <c r="CP80" s="1093">
        <v>1.6110916910110322</v>
      </c>
      <c r="CQ80" s="1093">
        <v>1.779106436850648</v>
      </c>
      <c r="CR80" s="1093">
        <v>2.9173923426658153</v>
      </c>
      <c r="CS80" s="1098"/>
      <c r="CT80" s="1092">
        <v>-0.25243374628072557</v>
      </c>
      <c r="CU80" s="1092">
        <v>3.4830838099368515</v>
      </c>
      <c r="CV80" s="1092">
        <v>4.6373711421882309</v>
      </c>
      <c r="CW80" s="1092">
        <v>1.8490269490259843</v>
      </c>
      <c r="CX80" s="1092">
        <v>1.1058245001624192</v>
      </c>
      <c r="CY80" s="1092">
        <v>2.3061883100309934</v>
      </c>
      <c r="CZ80" s="1092">
        <v>1.5102229257140214</v>
      </c>
      <c r="DA80" s="1092">
        <v>1.8491149371946602</v>
      </c>
      <c r="DB80" s="1092">
        <v>4.4576751671489241</v>
      </c>
      <c r="DF80" s="3">
        <v>111</v>
      </c>
      <c r="DG80" s="4">
        <v>2009</v>
      </c>
      <c r="DH80" s="4">
        <v>-4.3207750000000003</v>
      </c>
      <c r="DI80" s="1172"/>
      <c r="DJ80" s="5"/>
      <c r="DK80" s="1444">
        <v>111</v>
      </c>
      <c r="DL80" s="1444">
        <v>2009</v>
      </c>
      <c r="DM80" s="1444">
        <v>-2.5187629999999999</v>
      </c>
      <c r="DN80" s="1440">
        <f t="shared" si="52"/>
        <v>-7.5562889999999996</v>
      </c>
      <c r="EG80" s="261"/>
    </row>
    <row r="81" spans="1:181" ht="20.100000000000001" customHeight="1">
      <c r="I81" s="949" t="s">
        <v>235</v>
      </c>
      <c r="J81" s="948">
        <v>548</v>
      </c>
      <c r="K81" s="948">
        <v>0</v>
      </c>
      <c r="L81" s="948"/>
      <c r="M81" s="1029" t="s">
        <v>621</v>
      </c>
      <c r="P81" s="25" t="str">
        <f t="shared" si="56"/>
        <v>Combined shockGross Financing Need (in percent of GDP)</v>
      </c>
      <c r="R81" s="99" t="s">
        <v>423</v>
      </c>
      <c r="S81" s="107"/>
      <c r="T81" s="107"/>
      <c r="U81" s="591">
        <f>(combo!B39)*100</f>
        <v>3.5994671534530136</v>
      </c>
      <c r="V81" s="591">
        <f ca="1">(combo!C39)*100</f>
        <v>9.3137736604313091</v>
      </c>
      <c r="W81" s="591">
        <f ca="1">(combo!D39)*100</f>
        <v>18.073757129633336</v>
      </c>
      <c r="X81" s="591">
        <f ca="1">(combo!E39)*100</f>
        <v>25.45760339959476</v>
      </c>
      <c r="Y81" s="591">
        <f ca="1">(combo!F39)*100</f>
        <v>30.438910168985327</v>
      </c>
      <c r="Z81" s="592">
        <f ca="1">(combo!G39)*100</f>
        <v>35.196659379365123</v>
      </c>
      <c r="AA81" s="474"/>
      <c r="AB81" s="100"/>
      <c r="AP81" s="289"/>
      <c r="AQ81" s="265" t="s">
        <v>421</v>
      </c>
      <c r="AR81" s="265"/>
      <c r="AS81" s="265"/>
      <c r="AT81" s="598">
        <f t="shared" ref="AT81:AY88" si="57">VLOOKUP(CONCATENATE($AQ$80,$AQ81),$P$7:$Z$158,U$2,FALSE)</f>
        <v>37.084342131638088</v>
      </c>
      <c r="AU81" s="598">
        <f t="shared" si="57"/>
        <v>35.351552504862923</v>
      </c>
      <c r="AV81" s="598">
        <f t="shared" si="57"/>
        <v>33.542090376828199</v>
      </c>
      <c r="AW81" s="598">
        <f t="shared" si="57"/>
        <v>32.056160655910695</v>
      </c>
      <c r="AX81" s="598">
        <f t="shared" si="57"/>
        <v>29.915873102736189</v>
      </c>
      <c r="AY81" s="598">
        <f t="shared" si="57"/>
        <v>27.903074435380589</v>
      </c>
      <c r="AZ81" s="474"/>
      <c r="BL81" s="256"/>
      <c r="BM81" s="256"/>
      <c r="BN81" s="424"/>
      <c r="BO81" s="805"/>
      <c r="BP81" s="261"/>
      <c r="BQ81" s="424"/>
      <c r="BR81" s="776"/>
      <c r="BS81" s="256"/>
      <c r="BT81" s="256"/>
      <c r="BU81" s="255"/>
      <c r="BV81" s="256"/>
      <c r="CH81" s="17" t="s">
        <v>294</v>
      </c>
      <c r="CJ81" s="1093">
        <v>10.144790136112086</v>
      </c>
      <c r="CK81" s="1093">
        <v>12.287099271107563</v>
      </c>
      <c r="CL81" s="1093">
        <v>214.71311089774335</v>
      </c>
      <c r="CM81" s="1093">
        <v>7.7500236269333307</v>
      </c>
      <c r="CN81" s="1093">
        <v>11.68825375233742</v>
      </c>
      <c r="CO81" s="1093">
        <v>9.9477863780915232</v>
      </c>
      <c r="CP81" s="1093">
        <v>4.2851530681385732</v>
      </c>
      <c r="CQ81" s="1093">
        <v>2.7097418408986531</v>
      </c>
      <c r="CR81" s="1093">
        <v>8.4687607295956671</v>
      </c>
      <c r="CS81" s="1098"/>
      <c r="CT81" s="1092">
        <v>2.1230967852905005</v>
      </c>
      <c r="CU81" s="1092">
        <v>8.1690058150751117</v>
      </c>
      <c r="CV81" s="1092">
        <v>10.047773346986855</v>
      </c>
      <c r="CW81" s="1092">
        <v>9.2772476166614268</v>
      </c>
      <c r="CX81" s="1092">
        <v>12.193723251761837</v>
      </c>
      <c r="CY81" s="1092">
        <v>44.324196285353104</v>
      </c>
      <c r="CZ81" s="1092">
        <v>4.6839488132904634</v>
      </c>
      <c r="DA81" s="1092">
        <v>16.579952635072917</v>
      </c>
      <c r="DB81" s="1092">
        <v>10.776242698650186</v>
      </c>
      <c r="DF81" s="3">
        <v>111</v>
      </c>
      <c r="DG81" s="4">
        <v>2010</v>
      </c>
      <c r="DH81" s="4">
        <v>-6.4356780000000002</v>
      </c>
      <c r="DI81" s="1172"/>
      <c r="DJ81" s="5"/>
      <c r="DK81" s="1444">
        <v>111</v>
      </c>
      <c r="DL81" s="1444">
        <v>2010</v>
      </c>
      <c r="DM81" s="1444">
        <v>-2.114903</v>
      </c>
      <c r="DN81" s="1440">
        <f t="shared" si="52"/>
        <v>-6.3447089999999999</v>
      </c>
      <c r="EG81" s="261"/>
    </row>
    <row r="82" spans="1:181" ht="20.100000000000001" customHeight="1">
      <c r="I82" s="949" t="s">
        <v>236</v>
      </c>
      <c r="J82" s="948">
        <v>181</v>
      </c>
      <c r="K82" s="948">
        <v>1</v>
      </c>
      <c r="L82" s="948"/>
      <c r="M82" s="1029" t="s">
        <v>622</v>
      </c>
      <c r="P82" s="25" t="str">
        <f t="shared" si="56"/>
        <v>Combined shockNominal Debt (in percent of Revenue)</v>
      </c>
      <c r="R82" s="99" t="s">
        <v>424</v>
      </c>
      <c r="S82" s="107"/>
      <c r="T82" s="107"/>
      <c r="U82" s="591">
        <f>(combo!B40)*100</f>
        <v>100.40391596609757</v>
      </c>
      <c r="V82" s="591" t="e">
        <f ca="1">(combo!C40)*100</f>
        <v>#DIV/0!</v>
      </c>
      <c r="W82" s="591" t="e">
        <f ca="1">(combo!D40)*100</f>
        <v>#DIV/0!</v>
      </c>
      <c r="X82" s="591" t="e">
        <f ca="1">(combo!E40)*100</f>
        <v>#DIV/0!</v>
      </c>
      <c r="Y82" s="591" t="e">
        <f ca="1">(combo!F40)*100</f>
        <v>#DIV/0!</v>
      </c>
      <c r="Z82" s="592" t="e">
        <f ca="1">(combo!G40)*100</f>
        <v>#DIV/0!</v>
      </c>
      <c r="AA82" s="475"/>
      <c r="AB82" s="429"/>
      <c r="AP82" s="289"/>
      <c r="AQ82" s="107" t="s">
        <v>424</v>
      </c>
      <c r="AR82" s="107"/>
      <c r="AS82" s="107"/>
      <c r="AT82" s="599">
        <f t="shared" si="57"/>
        <v>100.37625634878221</v>
      </c>
      <c r="AU82" s="599">
        <f t="shared" si="57"/>
        <v>98.026642187439847</v>
      </c>
      <c r="AV82" s="599">
        <f t="shared" si="57"/>
        <v>93.623115001559071</v>
      </c>
      <c r="AW82" s="599">
        <f t="shared" si="57"/>
        <v>90.875952250685216</v>
      </c>
      <c r="AX82" s="599">
        <f t="shared" si="57"/>
        <v>86.090985810202397</v>
      </c>
      <c r="AY82" s="599">
        <f t="shared" si="57"/>
        <v>80.29861528787066</v>
      </c>
      <c r="AZ82" s="474"/>
      <c r="BL82" s="256"/>
      <c r="BM82" s="256"/>
      <c r="BN82" s="424"/>
      <c r="BO82" s="805"/>
      <c r="BP82" s="261"/>
      <c r="BQ82" s="424"/>
      <c r="BR82" s="776"/>
      <c r="BS82" s="256"/>
      <c r="BT82" s="256"/>
      <c r="BU82" s="255"/>
      <c r="BV82" s="256"/>
      <c r="CH82" s="17" t="s">
        <v>710</v>
      </c>
      <c r="CJ82" s="1093">
        <v>-4.5111749333850657</v>
      </c>
      <c r="CK82" s="1093">
        <v>-0.77860855741959356</v>
      </c>
      <c r="CL82" s="1093">
        <v>10.185798727862514</v>
      </c>
      <c r="CM82" s="1093">
        <v>-1.3256451634236484</v>
      </c>
      <c r="CN82" s="1093">
        <v>-0.91724665968605379</v>
      </c>
      <c r="CO82" s="1093">
        <v>-0.13115871708323248</v>
      </c>
      <c r="CP82" s="1093">
        <v>-5.2301963749393096E-2</v>
      </c>
      <c r="CQ82" s="1093">
        <v>-0.32736163292455234</v>
      </c>
      <c r="CR82" s="1093">
        <v>0.17011848803109228</v>
      </c>
      <c r="CS82" s="1098"/>
      <c r="CT82" s="1092">
        <v>-5.997024890591022</v>
      </c>
      <c r="CU82" s="1092">
        <v>-0.18833992969145533</v>
      </c>
      <c r="CV82" s="1092">
        <v>0.15810060384232372</v>
      </c>
      <c r="CW82" s="1092">
        <v>-1.0907060226371836</v>
      </c>
      <c r="CX82" s="1092">
        <v>-1.2634164357506963</v>
      </c>
      <c r="CY82" s="1092">
        <v>-0.83723832452287883</v>
      </c>
      <c r="CZ82" s="1092">
        <v>-2.4380614227549726</v>
      </c>
      <c r="DA82" s="1092">
        <v>-1.3516339023458563</v>
      </c>
      <c r="DB82" s="1092">
        <v>0.63863581579411854</v>
      </c>
      <c r="DF82" s="3">
        <v>112</v>
      </c>
      <c r="DG82" s="4">
        <v>2010</v>
      </c>
      <c r="DH82" s="4">
        <v>-6.3334929999999998</v>
      </c>
      <c r="DI82" s="1172"/>
      <c r="DJ82" s="5"/>
      <c r="DK82" s="1444">
        <v>112</v>
      </c>
      <c r="DL82" s="1444">
        <v>2010</v>
      </c>
      <c r="DM82" s="1444">
        <v>-1.479236</v>
      </c>
      <c r="DN82" s="1440">
        <f t="shared" si="52"/>
        <v>-4.4377079999999998</v>
      </c>
      <c r="EG82" s="261"/>
    </row>
    <row r="83" spans="1:181" s="284" customFormat="1" ht="20.100000000000001" customHeight="1">
      <c r="A83" s="98"/>
      <c r="B83" s="25"/>
      <c r="C83" s="25"/>
      <c r="D83" s="25"/>
      <c r="E83" s="25"/>
      <c r="F83" s="25"/>
      <c r="G83" s="464"/>
      <c r="H83" s="98"/>
      <c r="I83" s="949" t="s">
        <v>237</v>
      </c>
      <c r="J83" s="948">
        <v>684</v>
      </c>
      <c r="K83" s="948">
        <v>0</v>
      </c>
      <c r="L83" s="948"/>
      <c r="M83" s="1029" t="s">
        <v>623</v>
      </c>
      <c r="N83" s="464"/>
      <c r="O83" s="98"/>
      <c r="P83" s="25" t="str">
        <f t="shared" si="56"/>
        <v>Combined shockDebt Service (in percent of Revenue)</v>
      </c>
      <c r="Q83" s="25"/>
      <c r="R83" s="99" t="s">
        <v>425</v>
      </c>
      <c r="S83" s="107"/>
      <c r="T83" s="107"/>
      <c r="U83" s="591">
        <f>(combo!B41)*100</f>
        <v>10.043774810504543</v>
      </c>
      <c r="V83" s="591" t="e">
        <f ca="1">(combo!C41)*100</f>
        <v>#DIV/0!</v>
      </c>
      <c r="W83" s="591" t="e">
        <f ca="1">(combo!D41)*100</f>
        <v>#DIV/0!</v>
      </c>
      <c r="X83" s="591" t="e">
        <f ca="1">(combo!E41)*100</f>
        <v>#DIV/0!</v>
      </c>
      <c r="Y83" s="591" t="e">
        <f ca="1">(combo!F41)*100</f>
        <v>#DIV/0!</v>
      </c>
      <c r="Z83" s="592" t="e">
        <f ca="1">(combo!G41)*100</f>
        <v>#DIV/0!</v>
      </c>
      <c r="AA83" s="474"/>
      <c r="AB83" s="100"/>
      <c r="AC83" s="25"/>
      <c r="AD83" s="25"/>
      <c r="AE83" s="25"/>
      <c r="AF83" s="25"/>
      <c r="AG83" s="25"/>
      <c r="AH83" s="25"/>
      <c r="AI83" s="25"/>
      <c r="AJ83" s="25"/>
      <c r="AK83" s="25"/>
      <c r="AL83" s="25"/>
      <c r="AM83" s="25"/>
      <c r="AN83" s="25"/>
      <c r="AO83" s="464"/>
      <c r="AP83" s="289"/>
      <c r="AQ83" s="107" t="s">
        <v>425</v>
      </c>
      <c r="AR83" s="107"/>
      <c r="AS83" s="107"/>
      <c r="AT83" s="599">
        <f t="shared" si="57"/>
        <v>10.041003992643262</v>
      </c>
      <c r="AU83" s="599">
        <f t="shared" si="57"/>
        <v>8.1717132876717855</v>
      </c>
      <c r="AV83" s="599">
        <f t="shared" si="57"/>
        <v>8.0077507101294376</v>
      </c>
      <c r="AW83" s="599">
        <f t="shared" si="57"/>
        <v>4.4943749548090643</v>
      </c>
      <c r="AX83" s="599">
        <f t="shared" si="57"/>
        <v>-1.2942780916075505</v>
      </c>
      <c r="AY83" s="599">
        <f t="shared" si="57"/>
        <v>-3.4940153834855616</v>
      </c>
      <c r="AZ83" s="475"/>
      <c r="BA83" s="247"/>
      <c r="BB83" s="247"/>
      <c r="BC83" s="247"/>
      <c r="BD83" s="247"/>
      <c r="BE83" s="247"/>
      <c r="BF83" s="247"/>
      <c r="BG83" s="247"/>
      <c r="BH83" s="247"/>
      <c r="BI83" s="247"/>
      <c r="BJ83" s="247"/>
      <c r="BK83" s="254"/>
      <c r="BL83" s="256"/>
      <c r="BM83" s="256"/>
      <c r="BN83" s="256"/>
      <c r="BO83" s="256"/>
      <c r="BP83" s="256"/>
      <c r="BQ83" s="256"/>
      <c r="BR83" s="256"/>
      <c r="BS83" s="256"/>
      <c r="BT83" s="256"/>
      <c r="BU83" s="255"/>
      <c r="BV83" s="256"/>
      <c r="BW83" s="247"/>
      <c r="BX83" s="247"/>
      <c r="BY83" s="247"/>
      <c r="BZ83" s="254"/>
      <c r="CA83" s="255"/>
      <c r="CB83" s="247"/>
      <c r="CC83" s="247"/>
      <c r="CD83" s="247"/>
      <c r="CE83" s="247"/>
      <c r="CF83" s="247"/>
      <c r="CG83" s="254"/>
      <c r="CH83" s="1087" t="s">
        <v>716</v>
      </c>
      <c r="CR83" s="1086"/>
      <c r="CS83" s="1076"/>
      <c r="CT83" s="1076"/>
      <c r="CU83" s="1076"/>
      <c r="CV83" s="1076"/>
      <c r="CW83" s="1076"/>
      <c r="CX83" s="1076"/>
      <c r="CY83" s="1076"/>
      <c r="CZ83" s="1076"/>
      <c r="DA83" s="1076"/>
      <c r="DB83" s="1076"/>
      <c r="DC83" s="993"/>
      <c r="DD83" s="281"/>
      <c r="DF83" s="3">
        <v>122</v>
      </c>
      <c r="DG83" s="4">
        <v>1994</v>
      </c>
      <c r="DH83" s="4">
        <v>-3.1662200000000001E-2</v>
      </c>
      <c r="DI83" s="1172"/>
      <c r="DJ83" s="5"/>
      <c r="DK83" s="1444">
        <v>122</v>
      </c>
      <c r="DL83" s="1444">
        <v>1994</v>
      </c>
      <c r="DM83" s="1444">
        <v>-0.17629900000000001</v>
      </c>
      <c r="DN83" s="1440">
        <f t="shared" si="52"/>
        <v>-0.52889700000000006</v>
      </c>
      <c r="DO83" s="993"/>
      <c r="DP83" s="488"/>
      <c r="DQ83" s="247"/>
      <c r="DR83" s="247"/>
      <c r="DS83" s="247"/>
      <c r="DT83" s="247"/>
      <c r="DU83" s="247"/>
      <c r="DV83" s="261"/>
      <c r="DW83" s="261"/>
      <c r="DX83" s="261"/>
      <c r="DY83" s="261"/>
      <c r="DZ83" s="261"/>
      <c r="EA83" s="261"/>
      <c r="EB83" s="261"/>
      <c r="EC83" s="261"/>
      <c r="ED83" s="261"/>
      <c r="EE83" s="261"/>
      <c r="EF83" s="993"/>
      <c r="EG83" s="261"/>
      <c r="EH83" s="281"/>
      <c r="EI83" s="281"/>
      <c r="EJ83" s="281"/>
      <c r="EK83" s="281"/>
      <c r="EL83" s="281"/>
      <c r="EM83" s="281"/>
      <c r="EN83" s="281"/>
      <c r="EO83" s="281"/>
      <c r="EP83" s="281"/>
      <c r="EQ83" s="281"/>
      <c r="ER83" s="281"/>
      <c r="ES83" s="281"/>
      <c r="ET83" s="281"/>
      <c r="EU83" s="281"/>
      <c r="EV83" s="281"/>
      <c r="EW83" s="281"/>
      <c r="EX83" s="281"/>
      <c r="EY83" s="281"/>
      <c r="EZ83" s="281"/>
      <c r="FA83" s="281"/>
      <c r="FB83" s="281"/>
      <c r="FC83" s="281"/>
      <c r="FD83" s="281"/>
      <c r="FE83" s="281"/>
      <c r="FF83" s="281"/>
      <c r="FG83" s="281"/>
      <c r="FH83" s="281"/>
      <c r="FI83" s="281"/>
      <c r="FJ83" s="281"/>
      <c r="FK83" s="281"/>
      <c r="FL83" s="281"/>
      <c r="FM83" s="281"/>
      <c r="FN83" s="281"/>
      <c r="FO83" s="281"/>
      <c r="FP83" s="281"/>
      <c r="FQ83" s="281"/>
      <c r="FR83" s="281"/>
      <c r="FS83" s="281"/>
      <c r="FT83" s="281"/>
      <c r="FU83" s="281"/>
      <c r="FV83" s="281"/>
      <c r="FW83" s="281"/>
      <c r="FX83" s="281"/>
      <c r="FY83" s="281"/>
    </row>
    <row r="84" spans="1:181" s="284" customFormat="1" ht="20.100000000000001" customHeight="1" thickBot="1">
      <c r="A84" s="98"/>
      <c r="B84" s="25"/>
      <c r="C84" s="25"/>
      <c r="D84" s="25"/>
      <c r="E84" s="25"/>
      <c r="F84" s="25"/>
      <c r="G84" s="464"/>
      <c r="H84" s="98"/>
      <c r="I84" s="949" t="s">
        <v>238</v>
      </c>
      <c r="J84" s="948">
        <v>273</v>
      </c>
      <c r="K84" s="948">
        <v>0</v>
      </c>
      <c r="L84" s="948"/>
      <c r="M84" s="1029" t="s">
        <v>624</v>
      </c>
      <c r="N84" s="464"/>
      <c r="O84" s="98"/>
      <c r="P84" s="25" t="str">
        <f t="shared" si="56"/>
        <v>Combined shockGross Financing Need (in percent of Revenue)</v>
      </c>
      <c r="Q84" s="25"/>
      <c r="R84" s="101" t="s">
        <v>426</v>
      </c>
      <c r="S84" s="632"/>
      <c r="T84" s="632"/>
      <c r="U84" s="593">
        <f>(combo!B42)*100</f>
        <v>9.7426723453025819</v>
      </c>
      <c r="V84" s="594" t="e">
        <f ca="1">(combo!C42)*100</f>
        <v>#DIV/0!</v>
      </c>
      <c r="W84" s="594" t="e">
        <f ca="1">(combo!D42)*100</f>
        <v>#DIV/0!</v>
      </c>
      <c r="X84" s="594" t="e">
        <f ca="1">(combo!E42)*100</f>
        <v>#DIV/0!</v>
      </c>
      <c r="Y84" s="594" t="e">
        <f ca="1">(combo!F42)*100</f>
        <v>#DIV/0!</v>
      </c>
      <c r="Z84" s="595" t="e">
        <f ca="1">(combo!G42)*100</f>
        <v>#DIV/0!</v>
      </c>
      <c r="AA84" s="474"/>
      <c r="AB84" s="100"/>
      <c r="AC84" s="25"/>
      <c r="AD84" s="25"/>
      <c r="AE84" s="25"/>
      <c r="AF84" s="25"/>
      <c r="AG84" s="25"/>
      <c r="AH84" s="25"/>
      <c r="AI84" s="25"/>
      <c r="AJ84" s="25"/>
      <c r="AK84" s="25"/>
      <c r="AL84" s="25"/>
      <c r="AM84" s="25"/>
      <c r="AN84" s="25"/>
      <c r="AO84" s="464"/>
      <c r="AP84" s="289"/>
      <c r="AQ84" s="107" t="s">
        <v>423</v>
      </c>
      <c r="AR84" s="107"/>
      <c r="AS84" s="107"/>
      <c r="AT84" s="599">
        <f t="shared" si="57"/>
        <v>3.5984842323630626</v>
      </c>
      <c r="AU84" s="599">
        <f t="shared" si="57"/>
        <v>2.736884117115657</v>
      </c>
      <c r="AV84" s="599">
        <f t="shared" si="57"/>
        <v>2.3965618199100005</v>
      </c>
      <c r="AW84" s="599">
        <f t="shared" si="57"/>
        <v>1.2003971380328871</v>
      </c>
      <c r="AX84" s="599">
        <f t="shared" si="57"/>
        <v>-1.4862612076263433</v>
      </c>
      <c r="AY84" s="599">
        <f t="shared" si="57"/>
        <v>-2.2506508944660197</v>
      </c>
      <c r="AZ84" s="464"/>
      <c r="BA84" s="247"/>
      <c r="BB84" s="247"/>
      <c r="BC84" s="247"/>
      <c r="BD84" s="247"/>
      <c r="BE84" s="247"/>
      <c r="BF84" s="247"/>
      <c r="BG84" s="247"/>
      <c r="BH84" s="247"/>
      <c r="BI84" s="247"/>
      <c r="BJ84" s="247"/>
      <c r="BK84" s="254"/>
      <c r="BL84" s="256"/>
      <c r="BM84" s="256"/>
      <c r="BN84" s="256"/>
      <c r="BO84" s="641"/>
      <c r="BP84" s="641"/>
      <c r="BQ84" s="641"/>
      <c r="BR84" s="256"/>
      <c r="BS84" s="256"/>
      <c r="BT84" s="256"/>
      <c r="BU84" s="255"/>
      <c r="BV84" s="256"/>
      <c r="BW84" s="247"/>
      <c r="BX84" s="247"/>
      <c r="BY84" s="247"/>
      <c r="BZ84" s="254"/>
      <c r="CA84" s="255"/>
      <c r="CB84" s="247"/>
      <c r="CC84" s="247"/>
      <c r="CD84" s="247"/>
      <c r="CE84" s="247"/>
      <c r="CF84" s="247"/>
      <c r="CG84" s="254"/>
      <c r="CH84" s="284" t="s">
        <v>714</v>
      </c>
      <c r="CI84" s="1086"/>
      <c r="CJ84" s="1086">
        <f t="shared" ref="CJ84:CR84" si="58">CJ77</f>
        <v>-5.1605340126848072</v>
      </c>
      <c r="CK84" s="1086">
        <f t="shared" si="58"/>
        <v>-2.398973664502086</v>
      </c>
      <c r="CL84" s="1086">
        <f t="shared" si="58"/>
        <v>-0.52794999864371606</v>
      </c>
      <c r="CM84" s="1086">
        <f t="shared" si="58"/>
        <v>-2.2149415028721338</v>
      </c>
      <c r="CN84" s="1086">
        <f t="shared" si="58"/>
        <v>-1.7335406105693687</v>
      </c>
      <c r="CO84" s="1086">
        <f t="shared" si="58"/>
        <v>-1.5905361854820483</v>
      </c>
      <c r="CP84" s="1086">
        <f t="shared" si="58"/>
        <v>-0.8915898500062176</v>
      </c>
      <c r="CQ84" s="1086">
        <f t="shared" si="58"/>
        <v>-0.76017712820134253</v>
      </c>
      <c r="CR84" s="1086">
        <f t="shared" si="58"/>
        <v>-0.72624223540087807</v>
      </c>
      <c r="CS84" s="1076"/>
      <c r="CT84" s="1086">
        <f t="shared" ref="CT84:DB84" si="59">CT77</f>
        <v>-7.7778366389749456</v>
      </c>
      <c r="CU84" s="1086">
        <f t="shared" si="59"/>
        <v>-1.6425548945847321</v>
      </c>
      <c r="CV84" s="1086">
        <f t="shared" si="59"/>
        <v>-1.0210010749160277</v>
      </c>
      <c r="CW84" s="1086">
        <f t="shared" si="59"/>
        <v>-2.6322837076694743</v>
      </c>
      <c r="CX84" s="1086">
        <f t="shared" si="59"/>
        <v>-1.9178210794396053</v>
      </c>
      <c r="CY84" s="1086">
        <f t="shared" si="59"/>
        <v>-2.2558832458974649</v>
      </c>
      <c r="CZ84" s="1086">
        <f t="shared" si="59"/>
        <v>-2.1597096434985406</v>
      </c>
      <c r="DA84" s="1086">
        <f t="shared" si="59"/>
        <v>-2.3096764876775548</v>
      </c>
      <c r="DB84" s="1086">
        <f t="shared" si="59"/>
        <v>-0.66851731937795345</v>
      </c>
      <c r="DC84" s="993"/>
      <c r="DD84" s="281"/>
      <c r="DF84" s="3">
        <v>122</v>
      </c>
      <c r="DG84" s="4">
        <v>1995</v>
      </c>
      <c r="DH84" s="4">
        <v>-0.85800050000000005</v>
      </c>
      <c r="DI84" s="1172"/>
      <c r="DJ84" s="5"/>
      <c r="DK84" s="1444">
        <v>122</v>
      </c>
      <c r="DL84" s="1444">
        <v>1995</v>
      </c>
      <c r="DM84" s="1444">
        <v>-0.82633820000000002</v>
      </c>
      <c r="DN84" s="1440">
        <f t="shared" si="52"/>
        <v>-2.4790146000000002</v>
      </c>
      <c r="DO84" s="993"/>
      <c r="DP84" s="488"/>
      <c r="DQ84" s="247"/>
      <c r="DR84" s="247"/>
      <c r="DS84" s="247"/>
      <c r="DT84" s="247"/>
      <c r="DU84" s="247"/>
      <c r="DV84" s="261"/>
      <c r="DW84" s="261"/>
      <c r="DX84" s="261"/>
      <c r="DY84" s="261"/>
      <c r="DZ84" s="261"/>
      <c r="EA84" s="261"/>
      <c r="EB84" s="261"/>
      <c r="EC84" s="261"/>
      <c r="ED84" s="261"/>
      <c r="EE84" s="261"/>
      <c r="EF84" s="993"/>
      <c r="EG84" s="261"/>
      <c r="EH84" s="281"/>
      <c r="EI84" s="281"/>
      <c r="EJ84" s="281"/>
      <c r="EK84" s="281"/>
      <c r="EL84" s="281"/>
      <c r="EM84" s="281"/>
      <c r="EN84" s="281"/>
      <c r="EO84" s="281"/>
      <c r="EP84" s="281"/>
      <c r="EQ84" s="281"/>
      <c r="ER84" s="281"/>
      <c r="ES84" s="281"/>
      <c r="ET84" s="281"/>
      <c r="EU84" s="281"/>
      <c r="EV84" s="281"/>
      <c r="EW84" s="281"/>
      <c r="EX84" s="281"/>
      <c r="EY84" s="281"/>
      <c r="EZ84" s="281"/>
      <c r="FA84" s="281"/>
      <c r="FB84" s="281"/>
      <c r="FC84" s="281"/>
      <c r="FD84" s="281"/>
      <c r="FE84" s="281"/>
      <c r="FF84" s="281"/>
      <c r="FG84" s="281"/>
      <c r="FH84" s="281"/>
      <c r="FI84" s="281"/>
      <c r="FJ84" s="281"/>
      <c r="FK84" s="281"/>
      <c r="FL84" s="281"/>
      <c r="FM84" s="281"/>
      <c r="FN84" s="281"/>
      <c r="FO84" s="281"/>
      <c r="FP84" s="281"/>
      <c r="FQ84" s="281"/>
      <c r="FR84" s="281"/>
      <c r="FS84" s="281"/>
      <c r="FT84" s="281"/>
      <c r="FU84" s="281"/>
      <c r="FV84" s="281"/>
      <c r="FW84" s="281"/>
      <c r="FX84" s="281"/>
      <c r="FY84" s="281"/>
    </row>
    <row r="85" spans="1:181" s="284" customFormat="1" ht="20.100000000000001" customHeight="1">
      <c r="A85" s="98"/>
      <c r="B85" s="25"/>
      <c r="C85" s="25"/>
      <c r="D85" s="25"/>
      <c r="E85" s="25"/>
      <c r="F85" s="25"/>
      <c r="G85" s="464"/>
      <c r="H85" s="98"/>
      <c r="I85" s="949" t="s">
        <v>1207</v>
      </c>
      <c r="J85" s="948">
        <v>948</v>
      </c>
      <c r="K85" s="948">
        <v>0</v>
      </c>
      <c r="M85" s="1029" t="s">
        <v>1208</v>
      </c>
      <c r="N85" s="464"/>
      <c r="O85" s="98"/>
      <c r="P85" s="25" t="str">
        <f t="shared" si="56"/>
        <v>Combined shockReal GDP growth (in percent)</v>
      </c>
      <c r="Q85" s="25"/>
      <c r="R85" s="431" t="s">
        <v>418</v>
      </c>
      <c r="S85" s="111"/>
      <c r="T85" s="111"/>
      <c r="U85" s="596">
        <f>(combo!B$26)*100</f>
        <v>4.7697166816344838</v>
      </c>
      <c r="V85" s="596">
        <f>(combo!C$26)*100</f>
        <v>-2.9400730822444126</v>
      </c>
      <c r="W85" s="596">
        <f>(combo!D$26)*100</f>
        <v>-3.1140062952496854</v>
      </c>
      <c r="X85" s="596">
        <f>(combo!E$26)*100</f>
        <v>2.8871442593204177</v>
      </c>
      <c r="Y85" s="596">
        <f>(combo!F$26)*100</f>
        <v>2.933023694707515</v>
      </c>
      <c r="Z85" s="597">
        <f>(combo!G$26)*100</f>
        <v>2.8000000000000025</v>
      </c>
      <c r="AA85" s="474"/>
      <c r="AB85" s="100"/>
      <c r="AC85" s="25"/>
      <c r="AD85" s="25"/>
      <c r="AE85" s="25"/>
      <c r="AF85" s="25"/>
      <c r="AG85" s="25"/>
      <c r="AH85" s="25"/>
      <c r="AI85" s="25"/>
      <c r="AJ85" s="25"/>
      <c r="AK85" s="25"/>
      <c r="AL85" s="25"/>
      <c r="AM85" s="25"/>
      <c r="AN85" s="25"/>
      <c r="AO85" s="464"/>
      <c r="AP85" s="289"/>
      <c r="AQ85" s="107" t="s">
        <v>418</v>
      </c>
      <c r="AR85" s="107"/>
      <c r="AS85" s="107"/>
      <c r="AT85" s="591">
        <f t="shared" si="57"/>
        <v>4.7697166816344838</v>
      </c>
      <c r="AU85" s="591">
        <f t="shared" si="57"/>
        <v>3.1686434574876632</v>
      </c>
      <c r="AV85" s="591">
        <f t="shared" si="57"/>
        <v>2.9947102444823903</v>
      </c>
      <c r="AW85" s="591">
        <f t="shared" si="57"/>
        <v>2.8871442593204177</v>
      </c>
      <c r="AX85" s="591">
        <f t="shared" si="57"/>
        <v>2.933023694707515</v>
      </c>
      <c r="AY85" s="591">
        <f t="shared" si="57"/>
        <v>2.8000000000000025</v>
      </c>
      <c r="AZ85" s="465"/>
      <c r="BA85" s="247"/>
      <c r="BB85" s="247"/>
      <c r="BC85" s="247"/>
      <c r="BD85" s="247"/>
      <c r="BE85" s="247"/>
      <c r="BF85" s="247"/>
      <c r="BG85" s="247"/>
      <c r="BH85" s="247"/>
      <c r="BI85" s="247"/>
      <c r="BJ85" s="247"/>
      <c r="BK85" s="254"/>
      <c r="BL85" s="256"/>
      <c r="BM85" s="256"/>
      <c r="BN85" s="256"/>
      <c r="BO85" s="256"/>
      <c r="BP85" s="256"/>
      <c r="BQ85" s="256"/>
      <c r="BR85" s="256"/>
      <c r="BS85" s="256"/>
      <c r="BT85" s="256"/>
      <c r="BU85" s="255"/>
      <c r="BV85" s="256"/>
      <c r="BW85" s="247"/>
      <c r="BX85" s="247"/>
      <c r="BY85" s="247"/>
      <c r="BZ85" s="254"/>
      <c r="CA85" s="255"/>
      <c r="CB85" s="247"/>
      <c r="CC85" s="247"/>
      <c r="CD85" s="247"/>
      <c r="CE85" s="247"/>
      <c r="CF85" s="247"/>
      <c r="CG85" s="254"/>
      <c r="CH85" s="284" t="s">
        <v>715</v>
      </c>
      <c r="CI85" s="1086"/>
      <c r="CJ85" s="1086">
        <f t="shared" ref="CJ85:CR85" si="60">CJ79-CJ77</f>
        <v>3.9338801544698963</v>
      </c>
      <c r="CK85" s="1086">
        <f t="shared" si="60"/>
        <v>1.7260418806788342</v>
      </c>
      <c r="CL85" s="1086">
        <f t="shared" si="60"/>
        <v>2.4587181663070283</v>
      </c>
      <c r="CM85" s="1086">
        <f t="shared" si="60"/>
        <v>2.3478657904249474</v>
      </c>
      <c r="CN85" s="1086">
        <f t="shared" si="60"/>
        <v>1.8949238699361017</v>
      </c>
      <c r="CO85" s="1086">
        <f t="shared" si="60"/>
        <v>1.6322120558379269</v>
      </c>
      <c r="CP85" s="1086">
        <f t="shared" si="60"/>
        <v>1.4135509482239335</v>
      </c>
      <c r="CQ85" s="1086">
        <f t="shared" si="60"/>
        <v>1.5140011700767275</v>
      </c>
      <c r="CR85" s="1086">
        <f t="shared" si="60"/>
        <v>1.9438450785645038</v>
      </c>
      <c r="CS85" s="1076"/>
      <c r="CT85" s="1086">
        <f t="shared" ref="CT85:DB85" si="61">CT79-CT77</f>
        <v>5.3049556151158601</v>
      </c>
      <c r="CU85" s="1086">
        <f t="shared" si="61"/>
        <v>2.9275556849806126</v>
      </c>
      <c r="CV85" s="1086">
        <f t="shared" si="61"/>
        <v>3.9175172664501354</v>
      </c>
      <c r="CW85" s="1086">
        <f t="shared" si="61"/>
        <v>3.3574409862319898</v>
      </c>
      <c r="CX85" s="1086">
        <f t="shared" si="61"/>
        <v>2.1719007102538228</v>
      </c>
      <c r="CY85" s="1086">
        <f t="shared" si="61"/>
        <v>3.021051611385976</v>
      </c>
      <c r="CZ85" s="1086">
        <f t="shared" si="61"/>
        <v>2.8575083568417905</v>
      </c>
      <c r="DA85" s="1086">
        <f t="shared" si="61"/>
        <v>3.2921502241067966</v>
      </c>
      <c r="DB85" s="1086">
        <f t="shared" si="61"/>
        <v>2.3509799090323211</v>
      </c>
      <c r="DC85" s="993"/>
      <c r="DD85" s="281"/>
      <c r="DF85" s="3">
        <v>122</v>
      </c>
      <c r="DG85" s="4">
        <v>1996</v>
      </c>
      <c r="DH85" s="4">
        <v>-0.66502490000000003</v>
      </c>
      <c r="DI85" s="1172"/>
      <c r="DJ85" s="5"/>
      <c r="DK85" s="1444">
        <v>122</v>
      </c>
      <c r="DL85" s="1444">
        <v>1996</v>
      </c>
      <c r="DM85" s="1444">
        <v>0.19297549999999999</v>
      </c>
      <c r="DN85" s="1440">
        <f t="shared" si="52"/>
        <v>0.57892650000000001</v>
      </c>
      <c r="DO85" s="993"/>
      <c r="DP85" s="488"/>
      <c r="DQ85" s="247"/>
      <c r="DR85" s="247"/>
      <c r="DS85" s="247"/>
      <c r="DT85" s="247"/>
      <c r="DU85" s="247"/>
      <c r="DV85" s="261"/>
      <c r="DW85" s="261"/>
      <c r="DX85" s="261"/>
      <c r="DY85" s="261"/>
      <c r="DZ85" s="261"/>
      <c r="EA85" s="261"/>
      <c r="EB85" s="261"/>
      <c r="EC85" s="261"/>
      <c r="ED85" s="261"/>
      <c r="EE85" s="261"/>
      <c r="EF85" s="993"/>
      <c r="EG85" s="261"/>
      <c r="EH85" s="281"/>
      <c r="EI85" s="281"/>
      <c r="EJ85" s="281"/>
      <c r="EK85" s="281"/>
      <c r="EL85" s="281"/>
      <c r="EM85" s="281"/>
      <c r="EN85" s="281"/>
      <c r="EO85" s="281"/>
      <c r="EP85" s="281"/>
      <c r="EQ85" s="281"/>
      <c r="ER85" s="281"/>
      <c r="ES85" s="281"/>
      <c r="ET85" s="281"/>
      <c r="EU85" s="281"/>
      <c r="EV85" s="281"/>
      <c r="EW85" s="281"/>
      <c r="EX85" s="281"/>
      <c r="EY85" s="281"/>
      <c r="EZ85" s="281"/>
      <c r="FA85" s="281"/>
      <c r="FB85" s="281"/>
      <c r="FC85" s="281"/>
      <c r="FD85" s="281"/>
      <c r="FE85" s="281"/>
      <c r="FF85" s="281"/>
      <c r="FG85" s="281"/>
      <c r="FH85" s="281"/>
      <c r="FI85" s="281"/>
      <c r="FJ85" s="281"/>
      <c r="FK85" s="281"/>
      <c r="FL85" s="281"/>
      <c r="FM85" s="281"/>
      <c r="FN85" s="281"/>
      <c r="FO85" s="281"/>
      <c r="FP85" s="281"/>
      <c r="FQ85" s="281"/>
      <c r="FR85" s="281"/>
      <c r="FS85" s="281"/>
      <c r="FT85" s="281"/>
      <c r="FU85" s="281"/>
      <c r="FV85" s="281"/>
      <c r="FW85" s="281"/>
      <c r="FX85" s="281"/>
      <c r="FY85" s="281"/>
    </row>
    <row r="86" spans="1:181" s="284" customFormat="1" ht="20.100000000000001" customHeight="1">
      <c r="A86" s="98"/>
      <c r="B86" s="25"/>
      <c r="C86" s="25"/>
      <c r="D86" s="25"/>
      <c r="E86" s="25"/>
      <c r="F86" s="25"/>
      <c r="G86" s="464"/>
      <c r="H86" s="98"/>
      <c r="I86" s="949" t="s">
        <v>239</v>
      </c>
      <c r="J86" s="948">
        <v>943</v>
      </c>
      <c r="K86" s="948">
        <v>0</v>
      </c>
      <c r="L86" s="948"/>
      <c r="M86" s="1029" t="s">
        <v>625</v>
      </c>
      <c r="N86" s="464"/>
      <c r="O86" s="98"/>
      <c r="P86" s="25" t="str">
        <f t="shared" si="56"/>
        <v>Combined shockInflation (in percent)</v>
      </c>
      <c r="Q86" s="25"/>
      <c r="R86" s="99" t="s">
        <v>427</v>
      </c>
      <c r="S86" s="107"/>
      <c r="T86" s="107"/>
      <c r="U86" s="591">
        <f>(combo!B$27)*100</f>
        <v>4.2122999157540031</v>
      </c>
      <c r="V86" s="591">
        <f>(combo!C$27)*100</f>
        <v>1.5585753694680979</v>
      </c>
      <c r="W86" s="591">
        <f>(combo!D$27)*100</f>
        <v>1.2666567667486326</v>
      </c>
      <c r="X86" s="591">
        <f>(combo!E$27)*100</f>
        <v>2.5315565708619037</v>
      </c>
      <c r="Y86" s="591">
        <f>(combo!F$27)*100</f>
        <v>2.4647711698661201</v>
      </c>
      <c r="Z86" s="592">
        <f>(combo!G$27)*100</f>
        <v>2.5000000000000133</v>
      </c>
      <c r="AA86" s="475"/>
      <c r="AB86" s="429"/>
      <c r="AC86" s="25"/>
      <c r="AD86" s="25"/>
      <c r="AE86" s="25"/>
      <c r="AF86" s="25"/>
      <c r="AG86" s="25"/>
      <c r="AH86" s="25"/>
      <c r="AI86" s="25"/>
      <c r="AJ86" s="25"/>
      <c r="AK86" s="25"/>
      <c r="AL86" s="25"/>
      <c r="AM86" s="25"/>
      <c r="AN86" s="25"/>
      <c r="AO86" s="464"/>
      <c r="AP86" s="289"/>
      <c r="AQ86" s="107" t="s">
        <v>427</v>
      </c>
      <c r="AR86" s="107"/>
      <c r="AS86" s="107"/>
      <c r="AT86" s="591">
        <f t="shared" si="57"/>
        <v>4.2122999157540031</v>
      </c>
      <c r="AU86" s="591">
        <f t="shared" si="57"/>
        <v>3.085754504401117</v>
      </c>
      <c r="AV86" s="591">
        <f t="shared" si="57"/>
        <v>2.7938359016816516</v>
      </c>
      <c r="AW86" s="591">
        <f t="shared" si="57"/>
        <v>2.5315565708619037</v>
      </c>
      <c r="AX86" s="591">
        <f t="shared" si="57"/>
        <v>2.4647711698661201</v>
      </c>
      <c r="AY86" s="591">
        <f t="shared" si="57"/>
        <v>2.5000000000000133</v>
      </c>
      <c r="AZ86" s="464"/>
      <c r="BA86" s="247"/>
      <c r="BB86" s="247"/>
      <c r="BC86" s="247"/>
      <c r="BD86" s="247"/>
      <c r="BE86" s="247"/>
      <c r="BF86" s="247"/>
      <c r="BG86" s="247"/>
      <c r="BH86" s="247"/>
      <c r="BI86" s="247"/>
      <c r="BJ86" s="247"/>
      <c r="BK86" s="254"/>
      <c r="BL86" s="256"/>
      <c r="BM86" s="256"/>
      <c r="BN86" s="256"/>
      <c r="BO86" s="256"/>
      <c r="BP86" s="256"/>
      <c r="BQ86" s="256"/>
      <c r="BR86" s="256"/>
      <c r="BS86" s="256"/>
      <c r="BT86" s="256"/>
      <c r="BU86" s="255"/>
      <c r="BV86" s="256"/>
      <c r="BW86" s="247"/>
      <c r="BX86" s="247"/>
      <c r="BY86" s="247"/>
      <c r="BZ86" s="254"/>
      <c r="CA86" s="255"/>
      <c r="CB86" s="247"/>
      <c r="CC86" s="247"/>
      <c r="CD86" s="247"/>
      <c r="CE86" s="247"/>
      <c r="CF86" s="247"/>
      <c r="CG86" s="254"/>
      <c r="CH86" s="1088"/>
      <c r="CI86" s="666"/>
      <c r="CJ86" s="1078"/>
      <c r="CK86" s="1078"/>
      <c r="CL86" s="1078"/>
      <c r="CM86" s="1078"/>
      <c r="CN86" s="1078"/>
      <c r="CO86" s="1078"/>
      <c r="CP86" s="1078"/>
      <c r="CQ86" s="1078"/>
      <c r="CR86" s="1078"/>
      <c r="CS86" s="1078"/>
      <c r="CT86" s="1078"/>
      <c r="CU86" s="1078"/>
      <c r="CV86" s="1078"/>
      <c r="CW86" s="1078"/>
      <c r="CX86" s="1078"/>
      <c r="CY86" s="1078"/>
      <c r="CZ86" s="1078"/>
      <c r="DA86" s="1078"/>
      <c r="DB86" s="1078"/>
      <c r="DC86" s="1023"/>
      <c r="DD86" s="281"/>
      <c r="DF86" s="3">
        <v>122</v>
      </c>
      <c r="DG86" s="4">
        <v>1997</v>
      </c>
      <c r="DH86" s="4">
        <v>0.40977439999999998</v>
      </c>
      <c r="DI86" s="1172"/>
      <c r="DJ86" s="5"/>
      <c r="DK86" s="1444">
        <v>122</v>
      </c>
      <c r="DL86" s="1444">
        <v>1997</v>
      </c>
      <c r="DM86" s="1444">
        <v>1.0747990000000001</v>
      </c>
      <c r="DN86" s="1440">
        <f t="shared" si="52"/>
        <v>3.2243970000000002</v>
      </c>
      <c r="DO86" s="993"/>
      <c r="DP86" s="488"/>
      <c r="DQ86" s="247"/>
      <c r="DR86" s="247"/>
      <c r="DS86" s="247"/>
      <c r="DT86" s="247"/>
      <c r="DU86" s="247"/>
      <c r="DV86" s="261"/>
      <c r="DW86" s="261"/>
      <c r="DX86" s="261"/>
      <c r="DY86" s="261"/>
      <c r="DZ86" s="261"/>
      <c r="EA86" s="261"/>
      <c r="EB86" s="261"/>
      <c r="EC86" s="261"/>
      <c r="ED86" s="261"/>
      <c r="EE86" s="261"/>
      <c r="EF86" s="993"/>
      <c r="EG86" s="261"/>
      <c r="EH86" s="281"/>
      <c r="EI86" s="281"/>
      <c r="EJ86" s="281"/>
      <c r="EK86" s="281"/>
      <c r="EL86" s="281"/>
      <c r="EM86" s="281"/>
      <c r="EN86" s="281"/>
      <c r="EO86" s="281"/>
      <c r="EP86" s="281"/>
      <c r="EQ86" s="281"/>
      <c r="ER86" s="281"/>
      <c r="ES86" s="281"/>
      <c r="ET86" s="281"/>
      <c r="EU86" s="281"/>
      <c r="EV86" s="281"/>
      <c r="EW86" s="281"/>
      <c r="EX86" s="281"/>
      <c r="EY86" s="281"/>
      <c r="EZ86" s="281"/>
      <c r="FA86" s="281"/>
      <c r="FB86" s="281"/>
      <c r="FC86" s="281"/>
      <c r="FD86" s="281"/>
      <c r="FE86" s="281"/>
      <c r="FF86" s="281"/>
      <c r="FG86" s="281"/>
      <c r="FH86" s="281"/>
      <c r="FI86" s="281"/>
      <c r="FJ86" s="281"/>
      <c r="FK86" s="281"/>
      <c r="FL86" s="281"/>
      <c r="FM86" s="281"/>
      <c r="FN86" s="281"/>
      <c r="FO86" s="281"/>
      <c r="FP86" s="281"/>
      <c r="FQ86" s="281"/>
      <c r="FR86" s="281"/>
      <c r="FS86" s="281"/>
      <c r="FT86" s="281"/>
      <c r="FU86" s="281"/>
      <c r="FV86" s="281"/>
      <c r="FW86" s="281"/>
      <c r="FX86" s="281"/>
      <c r="FY86" s="281"/>
    </row>
    <row r="87" spans="1:181" s="25" customFormat="1" ht="20.100000000000001" customHeight="1">
      <c r="A87" s="98"/>
      <c r="G87" s="464"/>
      <c r="H87" s="98"/>
      <c r="I87" s="949" t="s">
        <v>240</v>
      </c>
      <c r="J87" s="948">
        <v>686</v>
      </c>
      <c r="K87" s="948">
        <v>0</v>
      </c>
      <c r="L87" s="948"/>
      <c r="M87" s="1029" t="s">
        <v>626</v>
      </c>
      <c r="N87" s="464"/>
      <c r="O87" s="98"/>
      <c r="P87" s="25" t="str">
        <f t="shared" si="56"/>
        <v>Combined shockPrimary Balance (in percent of GDP)</v>
      </c>
      <c r="R87" s="99" t="s">
        <v>544</v>
      </c>
      <c r="S87" s="107"/>
      <c r="T87" s="107"/>
      <c r="U87" s="591">
        <f>(combo!B$30)*100</f>
        <v>-5.2301873674015509E-2</v>
      </c>
      <c r="V87" s="591">
        <f>(combo!C$30)*100</f>
        <v>-3.6524311379085517</v>
      </c>
      <c r="W87" s="591">
        <f>(combo!D$30)*100</f>
        <v>-6.3680588496737576</v>
      </c>
      <c r="X87" s="591">
        <f>(combo!E$30)*100</f>
        <v>0.22147723253581053</v>
      </c>
      <c r="Y87" s="591">
        <f>(combo!F$30)*100</f>
        <v>0.87301076297996993</v>
      </c>
      <c r="Z87" s="592">
        <f>(combo!G$30)*100</f>
        <v>0.87301076297997549</v>
      </c>
      <c r="AA87" s="464"/>
      <c r="AB87" s="98"/>
      <c r="AO87" s="464"/>
      <c r="AP87" s="289"/>
      <c r="AQ87" s="107" t="s">
        <v>544</v>
      </c>
      <c r="AR87" s="107"/>
      <c r="AS87" s="107"/>
      <c r="AT87" s="591">
        <f t="shared" si="57"/>
        <v>-5.2301873674015509E-2</v>
      </c>
      <c r="AU87" s="591">
        <f t="shared" si="57"/>
        <v>4.6597896115335713E-2</v>
      </c>
      <c r="AV87" s="591">
        <f t="shared" si="57"/>
        <v>0.30885252917781103</v>
      </c>
      <c r="AW87" s="591">
        <f t="shared" si="57"/>
        <v>0.22147723253581053</v>
      </c>
      <c r="AX87" s="591">
        <f t="shared" si="57"/>
        <v>0.87301076297996993</v>
      </c>
      <c r="AY87" s="591">
        <f t="shared" si="57"/>
        <v>0.87301076297997549</v>
      </c>
      <c r="AZ87" s="473"/>
      <c r="BA87" s="247"/>
      <c r="BB87" s="247"/>
      <c r="BC87" s="247"/>
      <c r="BD87" s="247"/>
      <c r="BE87" s="247"/>
      <c r="BF87" s="247"/>
      <c r="BG87" s="247"/>
      <c r="BH87" s="247"/>
      <c r="BI87" s="247"/>
      <c r="BJ87" s="247"/>
      <c r="BK87" s="254"/>
      <c r="BL87" s="256"/>
      <c r="BM87" s="256"/>
      <c r="BN87" s="256"/>
      <c r="BO87" s="256"/>
      <c r="BP87" s="256"/>
      <c r="BQ87" s="256"/>
      <c r="BR87" s="256"/>
      <c r="BS87" s="256"/>
      <c r="BT87" s="256"/>
      <c r="BU87" s="255"/>
      <c r="BV87" s="256"/>
      <c r="BW87" s="247"/>
      <c r="BX87" s="247"/>
      <c r="BY87" s="247"/>
      <c r="BZ87" s="254"/>
      <c r="CA87" s="255"/>
      <c r="CB87" s="247"/>
      <c r="CC87" s="247"/>
      <c r="CD87" s="247"/>
      <c r="CE87" s="247"/>
      <c r="CF87" s="247"/>
      <c r="CG87" s="254"/>
      <c r="CH87" s="17"/>
      <c r="CI87" s="17"/>
      <c r="CJ87" s="1077"/>
      <c r="CK87" s="1077"/>
      <c r="CL87" s="1077"/>
      <c r="CM87" s="1077"/>
      <c r="CN87" s="1077"/>
      <c r="CO87" s="1077"/>
      <c r="CP87" s="1077"/>
      <c r="CQ87" s="1077"/>
      <c r="CR87" s="1077"/>
      <c r="CS87" s="1077"/>
      <c r="CT87" s="1077"/>
      <c r="CU87" s="1077"/>
      <c r="CV87" s="1077"/>
      <c r="CW87" s="1077"/>
      <c r="CX87" s="1077"/>
      <c r="CY87" s="1077"/>
      <c r="CZ87" s="1077"/>
      <c r="DA87" s="1077"/>
      <c r="DB87" s="1077"/>
      <c r="DC87" s="993"/>
      <c r="DD87" s="281"/>
      <c r="DF87" s="3">
        <v>122</v>
      </c>
      <c r="DG87" s="4">
        <v>1998</v>
      </c>
      <c r="DH87" s="4">
        <v>1.325267</v>
      </c>
      <c r="DI87" s="1172"/>
      <c r="DJ87" s="5"/>
      <c r="DK87" s="1444">
        <v>122</v>
      </c>
      <c r="DL87" s="1444">
        <v>1998</v>
      </c>
      <c r="DM87" s="1444">
        <v>0.9154928</v>
      </c>
      <c r="DN87" s="1440">
        <f t="shared" si="52"/>
        <v>2.7464784</v>
      </c>
      <c r="DO87" s="993"/>
      <c r="DP87" s="488"/>
      <c r="DQ87" s="247"/>
      <c r="DR87" s="247"/>
      <c r="DS87" s="247"/>
      <c r="DT87" s="247"/>
      <c r="DU87" s="247"/>
      <c r="DV87" s="261"/>
      <c r="DW87" s="261"/>
      <c r="DX87" s="261"/>
      <c r="DY87" s="261"/>
      <c r="DZ87" s="261"/>
      <c r="EA87" s="261"/>
      <c r="EB87" s="261"/>
      <c r="EC87" s="261"/>
      <c r="ED87" s="261"/>
      <c r="EE87" s="261"/>
      <c r="EF87" s="993"/>
      <c r="EG87" s="261"/>
      <c r="EH87" s="281"/>
      <c r="EI87" s="281"/>
      <c r="EJ87" s="281"/>
      <c r="EK87" s="281"/>
      <c r="EL87" s="281"/>
      <c r="EM87" s="281"/>
      <c r="EN87" s="281"/>
      <c r="EO87" s="281"/>
      <c r="EP87" s="281"/>
      <c r="EQ87" s="281"/>
      <c r="ER87" s="281"/>
      <c r="ES87" s="281"/>
      <c r="ET87" s="281"/>
      <c r="EU87" s="281"/>
      <c r="EV87" s="281"/>
      <c r="EW87" s="281"/>
      <c r="EX87" s="281"/>
      <c r="EY87" s="281"/>
      <c r="EZ87" s="281"/>
      <c r="FA87" s="281"/>
      <c r="FB87" s="281"/>
      <c r="FC87" s="281"/>
      <c r="FD87" s="281"/>
      <c r="FE87" s="281"/>
      <c r="FF87" s="281"/>
      <c r="FG87" s="281"/>
      <c r="FH87" s="281"/>
      <c r="FI87" s="281"/>
      <c r="FJ87" s="281"/>
      <c r="FK87" s="281"/>
      <c r="FL87" s="281"/>
      <c r="FM87" s="281"/>
      <c r="FN87" s="281"/>
      <c r="FO87" s="281"/>
      <c r="FP87" s="281"/>
      <c r="FQ87" s="281"/>
      <c r="FR87" s="281"/>
      <c r="FS87" s="281"/>
      <c r="FT87" s="281"/>
      <c r="FU87" s="281"/>
      <c r="FV87" s="281"/>
      <c r="FW87" s="281"/>
      <c r="FX87" s="281"/>
      <c r="FY87" s="281"/>
    </row>
    <row r="88" spans="1:181" s="25" customFormat="1" ht="20.100000000000001" customHeight="1" thickBot="1">
      <c r="A88" s="98"/>
      <c r="G88" s="464"/>
      <c r="H88" s="98"/>
      <c r="I88" s="949" t="s">
        <v>241</v>
      </c>
      <c r="J88" s="948">
        <v>728</v>
      </c>
      <c r="K88" s="948">
        <v>0</v>
      </c>
      <c r="L88" s="948"/>
      <c r="M88" s="1029" t="s">
        <v>627</v>
      </c>
      <c r="N88" s="464"/>
      <c r="O88" s="98"/>
      <c r="P88" s="25" t="str">
        <f t="shared" si="56"/>
        <v>Combined shockEffective Interest Rate (in percent)</v>
      </c>
      <c r="R88" s="101" t="s">
        <v>428</v>
      </c>
      <c r="S88" s="632"/>
      <c r="T88" s="632"/>
      <c r="U88" s="594">
        <f>(combo!B$25)*100</f>
        <v>1.9586439007071743</v>
      </c>
      <c r="V88" s="594">
        <f ca="1">(combo!C$25)*100</f>
        <v>2.4781166566290191</v>
      </c>
      <c r="W88" s="594">
        <f ca="1">(combo!D$25)*100</f>
        <v>7.075202301934759</v>
      </c>
      <c r="X88" s="594">
        <f ca="1">(combo!E$25)*100</f>
        <v>9.0262753013879689</v>
      </c>
      <c r="Y88" s="594">
        <f ca="1">(combo!F$25)*100</f>
        <v>12.349535011829886</v>
      </c>
      <c r="Z88" s="595">
        <f ca="1">(combo!G$25)*100</f>
        <v>13.772893049484617</v>
      </c>
      <c r="AA88" s="464"/>
      <c r="AO88" s="464"/>
      <c r="AP88" s="289"/>
      <c r="AQ88" s="266" t="s">
        <v>428</v>
      </c>
      <c r="AR88" s="266"/>
      <c r="AS88" s="266"/>
      <c r="AT88" s="600">
        <f t="shared" si="57"/>
        <v>1.9586439007071743</v>
      </c>
      <c r="AU88" s="600">
        <f t="shared" si="57"/>
        <v>1.9875432898830547</v>
      </c>
      <c r="AV88" s="600">
        <f t="shared" si="57"/>
        <v>1.8677852623362263</v>
      </c>
      <c r="AW88" s="600">
        <f t="shared" si="57"/>
        <v>2.029232046171678</v>
      </c>
      <c r="AX88" s="600">
        <f t="shared" si="57"/>
        <v>1.8384784130669154</v>
      </c>
      <c r="AY88" s="600">
        <f t="shared" si="57"/>
        <v>1.9187244839005111</v>
      </c>
      <c r="AZ88" s="474"/>
      <c r="BA88" s="247"/>
      <c r="BB88" s="247"/>
      <c r="BC88" s="247"/>
      <c r="BD88" s="247"/>
      <c r="BE88" s="247"/>
      <c r="BF88" s="247"/>
      <c r="BG88" s="247"/>
      <c r="BH88" s="247"/>
      <c r="BI88" s="247"/>
      <c r="BJ88" s="247"/>
      <c r="BK88" s="254"/>
      <c r="BL88" s="256"/>
      <c r="BM88" s="256"/>
      <c r="BN88" s="256"/>
      <c r="BO88" s="256"/>
      <c r="BP88" s="256"/>
      <c r="BQ88" s="256"/>
      <c r="BR88" s="256"/>
      <c r="BS88" s="256"/>
      <c r="BT88" s="256"/>
      <c r="BU88" s="255"/>
      <c r="BV88" s="256"/>
      <c r="BW88" s="247"/>
      <c r="BX88" s="247"/>
      <c r="BY88" s="247"/>
      <c r="BZ88" s="254"/>
      <c r="CA88" s="255"/>
      <c r="CB88" s="247"/>
      <c r="CC88" s="247"/>
      <c r="CD88" s="247"/>
      <c r="CE88" s="247"/>
      <c r="CF88" s="247"/>
      <c r="CG88" s="254"/>
      <c r="CH88" s="1089" t="s">
        <v>722</v>
      </c>
      <c r="CI88" s="17"/>
      <c r="CJ88" s="1077"/>
      <c r="CK88" s="1077"/>
      <c r="CL88" s="1077"/>
      <c r="CM88" s="1077"/>
      <c r="CN88" s="1077"/>
      <c r="CO88" s="1077"/>
      <c r="CP88" s="1077"/>
      <c r="CQ88" s="1077"/>
      <c r="CR88" s="1077"/>
      <c r="CS88" s="1077"/>
      <c r="CT88" s="1077"/>
      <c r="CU88" s="1077"/>
      <c r="CV88" s="1077"/>
      <c r="CW88" s="1077"/>
      <c r="CX88" s="1077"/>
      <c r="CY88" s="1077"/>
      <c r="CZ88" s="1077"/>
      <c r="DA88" s="1077"/>
      <c r="DB88" s="1077"/>
      <c r="DC88" s="993"/>
      <c r="DD88" s="281"/>
      <c r="DF88" s="3">
        <v>122</v>
      </c>
      <c r="DG88" s="4">
        <v>1999</v>
      </c>
      <c r="DH88" s="4">
        <v>1.4495960000000001</v>
      </c>
      <c r="DI88" s="1172"/>
      <c r="DJ88" s="5"/>
      <c r="DK88" s="1444">
        <v>122</v>
      </c>
      <c r="DL88" s="1444">
        <v>1999</v>
      </c>
      <c r="DM88" s="1444">
        <v>0.12432890000000001</v>
      </c>
      <c r="DN88" s="1440">
        <f t="shared" si="52"/>
        <v>0.3729867</v>
      </c>
      <c r="DO88" s="993"/>
      <c r="DP88" s="488"/>
      <c r="DQ88" s="247"/>
      <c r="DR88" s="247"/>
      <c r="DS88" s="247"/>
      <c r="DT88" s="247"/>
      <c r="DU88" s="247"/>
      <c r="DV88" s="261"/>
      <c r="DW88" s="261"/>
      <c r="DX88" s="261"/>
      <c r="DY88" s="261"/>
      <c r="DZ88" s="261"/>
      <c r="EA88" s="261"/>
      <c r="EB88" s="261"/>
      <c r="EC88" s="261"/>
      <c r="ED88" s="261"/>
      <c r="EE88" s="261"/>
      <c r="EF88" s="993"/>
      <c r="EG88" s="261"/>
      <c r="EH88" s="281"/>
      <c r="EI88" s="281"/>
      <c r="EJ88" s="281"/>
      <c r="EK88" s="281"/>
      <c r="EL88" s="281"/>
      <c r="EM88" s="281"/>
      <c r="EN88" s="281"/>
      <c r="EO88" s="281"/>
      <c r="EP88" s="281"/>
      <c r="EQ88" s="281"/>
      <c r="ER88" s="281"/>
      <c r="ES88" s="281"/>
      <c r="ET88" s="281"/>
      <c r="EU88" s="281"/>
      <c r="EV88" s="281"/>
      <c r="EW88" s="281"/>
      <c r="EX88" s="281"/>
      <c r="EY88" s="281"/>
      <c r="EZ88" s="281"/>
      <c r="FA88" s="281"/>
      <c r="FB88" s="281"/>
      <c r="FC88" s="281"/>
      <c r="FD88" s="281"/>
      <c r="FE88" s="281"/>
      <c r="FF88" s="281"/>
      <c r="FG88" s="281"/>
      <c r="FH88" s="281"/>
      <c r="FI88" s="281"/>
      <c r="FJ88" s="281"/>
      <c r="FK88" s="281"/>
      <c r="FL88" s="281"/>
      <c r="FM88" s="281"/>
      <c r="FN88" s="281"/>
      <c r="FO88" s="281"/>
      <c r="FP88" s="281"/>
      <c r="FQ88" s="281"/>
      <c r="FR88" s="281"/>
      <c r="FS88" s="281"/>
      <c r="FT88" s="281"/>
      <c r="FU88" s="281"/>
      <c r="FV88" s="281"/>
      <c r="FW88" s="281"/>
      <c r="FX88" s="281"/>
      <c r="FY88" s="281"/>
    </row>
    <row r="89" spans="1:181" s="25" customFormat="1" ht="20.100000000000001" customHeight="1" thickBot="1">
      <c r="A89" s="98"/>
      <c r="G89" s="464"/>
      <c r="H89" s="98"/>
      <c r="I89" s="949" t="s">
        <v>242</v>
      </c>
      <c r="J89" s="948">
        <v>138</v>
      </c>
      <c r="K89" s="948">
        <v>1</v>
      </c>
      <c r="L89" s="948"/>
      <c r="M89" s="1029" t="s">
        <v>628</v>
      </c>
      <c r="N89" s="464"/>
      <c r="O89" s="98"/>
      <c r="R89" s="111"/>
      <c r="S89" s="111"/>
      <c r="T89" s="111"/>
      <c r="U89" s="102"/>
      <c r="V89" s="102"/>
      <c r="W89" s="102"/>
      <c r="X89" s="102"/>
      <c r="Y89" s="102"/>
      <c r="Z89" s="102"/>
      <c r="AA89" s="464"/>
      <c r="AO89" s="464"/>
      <c r="AP89" s="289"/>
      <c r="AZ89" s="474"/>
      <c r="BA89" s="247"/>
      <c r="BB89" s="247"/>
      <c r="BC89" s="247"/>
      <c r="BD89" s="247"/>
      <c r="BE89" s="247"/>
      <c r="BF89" s="247"/>
      <c r="BG89" s="247"/>
      <c r="BH89" s="247"/>
      <c r="BI89" s="247"/>
      <c r="BJ89" s="247"/>
      <c r="BK89" s="254"/>
      <c r="BL89" s="256"/>
      <c r="BM89" s="256"/>
      <c r="BN89" s="256"/>
      <c r="BO89" s="256"/>
      <c r="BP89" s="256"/>
      <c r="BQ89" s="256"/>
      <c r="BR89" s="256"/>
      <c r="BS89" s="256"/>
      <c r="BT89" s="256"/>
      <c r="BU89" s="255"/>
      <c r="BV89" s="256"/>
      <c r="BW89" s="247"/>
      <c r="BX89" s="247"/>
      <c r="BY89" s="247"/>
      <c r="BZ89" s="254"/>
      <c r="CA89" s="255"/>
      <c r="CB89" s="247"/>
      <c r="CC89" s="247"/>
      <c r="CD89" s="247"/>
      <c r="CE89" s="247"/>
      <c r="CF89" s="247"/>
      <c r="CG89" s="254"/>
      <c r="CH89" s="637"/>
      <c r="CI89" s="17"/>
      <c r="CJ89" s="1082">
        <f t="shared" ref="CJ89:CP89" si="62">CK89-1</f>
        <v>2009</v>
      </c>
      <c r="CK89" s="1083">
        <f t="shared" si="62"/>
        <v>2010</v>
      </c>
      <c r="CL89" s="1083">
        <f t="shared" si="62"/>
        <v>2011</v>
      </c>
      <c r="CM89" s="1083">
        <f t="shared" si="62"/>
        <v>2012</v>
      </c>
      <c r="CN89" s="1083">
        <f t="shared" si="62"/>
        <v>2013</v>
      </c>
      <c r="CO89" s="1083">
        <f t="shared" si="62"/>
        <v>2014</v>
      </c>
      <c r="CP89" s="1083">
        <f t="shared" si="62"/>
        <v>2015</v>
      </c>
      <c r="CQ89" s="1083">
        <f>CR89-1</f>
        <v>2016</v>
      </c>
      <c r="CR89" s="1084">
        <f>CS10-1</f>
        <v>2017</v>
      </c>
      <c r="CS89" s="1077"/>
      <c r="CT89" s="1077"/>
      <c r="CU89" s="1077"/>
      <c r="CV89" s="1077"/>
      <c r="CW89" s="1077"/>
      <c r="CX89" s="1077"/>
      <c r="CY89" s="1077"/>
      <c r="CZ89" s="1077"/>
      <c r="DA89" s="1077"/>
      <c r="DB89" s="1077"/>
      <c r="DC89" s="993"/>
      <c r="DD89" s="281"/>
      <c r="DF89" s="3">
        <v>122</v>
      </c>
      <c r="DG89" s="4">
        <v>2000</v>
      </c>
      <c r="DH89" s="4">
        <v>0.89639829999999998</v>
      </c>
      <c r="DI89" s="1172"/>
      <c r="DJ89" s="5"/>
      <c r="DK89" s="1444">
        <v>122</v>
      </c>
      <c r="DL89" s="1444">
        <v>2000</v>
      </c>
      <c r="DM89" s="1444">
        <v>-0.55319779999999996</v>
      </c>
      <c r="DN89" s="1440">
        <f t="shared" si="52"/>
        <v>-1.6595933999999999</v>
      </c>
      <c r="DO89" s="993"/>
      <c r="DP89" s="488"/>
      <c r="DQ89" s="247"/>
      <c r="DR89" s="247"/>
      <c r="DS89" s="247"/>
      <c r="DT89" s="247"/>
      <c r="DU89" s="247"/>
      <c r="DV89" s="261"/>
      <c r="DW89" s="261"/>
      <c r="DX89" s="261"/>
      <c r="DY89" s="261"/>
      <c r="DZ89" s="261"/>
      <c r="EA89" s="261"/>
      <c r="EB89" s="261"/>
      <c r="EC89" s="261"/>
      <c r="ED89" s="261"/>
      <c r="EE89" s="261"/>
      <c r="EF89" s="993"/>
      <c r="EG89" s="261"/>
      <c r="EH89" s="281"/>
      <c r="EI89" s="281"/>
      <c r="EJ89" s="281"/>
      <c r="EK89" s="281"/>
      <c r="EL89" s="281"/>
      <c r="EM89" s="281"/>
      <c r="EN89" s="281"/>
      <c r="EO89" s="281"/>
      <c r="EP89" s="281"/>
      <c r="EQ89" s="281"/>
      <c r="ER89" s="281"/>
      <c r="ES89" s="281"/>
      <c r="ET89" s="281"/>
      <c r="EU89" s="281"/>
      <c r="EV89" s="281"/>
      <c r="EW89" s="281"/>
      <c r="EX89" s="281"/>
      <c r="EY89" s="281"/>
      <c r="EZ89" s="281"/>
      <c r="FA89" s="281"/>
      <c r="FB89" s="281"/>
      <c r="FC89" s="281"/>
      <c r="FD89" s="281"/>
      <c r="FE89" s="281"/>
      <c r="FF89" s="281"/>
      <c r="FG89" s="281"/>
      <c r="FH89" s="281"/>
      <c r="FI89" s="281"/>
      <c r="FJ89" s="281"/>
      <c r="FK89" s="281"/>
      <c r="FL89" s="281"/>
      <c r="FM89" s="281"/>
      <c r="FN89" s="281"/>
      <c r="FO89" s="281"/>
      <c r="FP89" s="281"/>
      <c r="FQ89" s="281"/>
      <c r="FR89" s="281"/>
      <c r="FS89" s="281"/>
      <c r="FT89" s="281"/>
      <c r="FU89" s="281"/>
      <c r="FV89" s="281"/>
      <c r="FW89" s="281"/>
      <c r="FX89" s="281"/>
      <c r="FY89" s="281"/>
    </row>
    <row r="90" spans="1:181" ht="20.100000000000001" customHeight="1">
      <c r="I90" s="949" t="s">
        <v>243</v>
      </c>
      <c r="J90" s="948">
        <v>196</v>
      </c>
      <c r="K90" s="948">
        <v>1</v>
      </c>
      <c r="L90" s="948"/>
      <c r="M90" s="1029" t="s">
        <v>629</v>
      </c>
      <c r="R90" s="25"/>
      <c r="S90" s="25"/>
      <c r="T90" s="25"/>
      <c r="U90" s="25"/>
      <c r="V90" s="25"/>
      <c r="W90" s="25"/>
      <c r="X90" s="25"/>
      <c r="Y90" s="25"/>
      <c r="Z90" s="25"/>
      <c r="AA90" s="473"/>
      <c r="AB90" s="246"/>
      <c r="AP90" s="289">
        <v>1</v>
      </c>
      <c r="AQ90" s="269" t="s">
        <v>106</v>
      </c>
      <c r="AR90" s="269"/>
      <c r="AS90" s="269"/>
      <c r="AT90" s="25"/>
      <c r="AU90" s="25"/>
      <c r="AV90" s="25"/>
      <c r="AW90" s="25"/>
      <c r="AX90" s="25"/>
      <c r="AY90" s="25"/>
      <c r="AZ90" s="474"/>
      <c r="BL90" s="256"/>
      <c r="BM90" s="256"/>
      <c r="BN90" s="256"/>
      <c r="BO90" s="256"/>
      <c r="BP90" s="256"/>
      <c r="BQ90" s="256"/>
      <c r="BR90" s="256"/>
      <c r="BS90" s="256"/>
      <c r="BT90" s="256"/>
      <c r="BU90" s="255"/>
      <c r="BV90" s="256"/>
      <c r="CH90" s="17" t="s">
        <v>723</v>
      </c>
      <c r="DF90" s="3">
        <v>122</v>
      </c>
      <c r="DG90" s="4">
        <v>2001</v>
      </c>
      <c r="DH90" s="4">
        <v>1.5156099999999999</v>
      </c>
      <c r="DI90" s="1172"/>
      <c r="DJ90" s="5"/>
      <c r="DK90" s="1444">
        <v>122</v>
      </c>
      <c r="DL90" s="1444">
        <v>2001</v>
      </c>
      <c r="DM90" s="1444">
        <v>0.61921119999999996</v>
      </c>
      <c r="DN90" s="1440">
        <f t="shared" si="52"/>
        <v>1.8576335999999998</v>
      </c>
      <c r="EG90" s="261"/>
    </row>
    <row r="91" spans="1:181" ht="20.100000000000001" customHeight="1" thickBot="1">
      <c r="I91" s="949" t="s">
        <v>1209</v>
      </c>
      <c r="J91" s="948">
        <v>694</v>
      </c>
      <c r="K91" s="948">
        <v>0</v>
      </c>
      <c r="L91" s="948"/>
      <c r="M91" s="1029" t="s">
        <v>1210</v>
      </c>
      <c r="R91" s="25"/>
      <c r="S91" s="25"/>
      <c r="T91" s="25"/>
      <c r="U91" s="25"/>
      <c r="V91" s="25"/>
      <c r="W91" s="25"/>
      <c r="X91" s="25"/>
      <c r="Y91" s="25"/>
      <c r="Z91" s="25"/>
      <c r="AA91" s="474"/>
      <c r="AB91" s="100"/>
      <c r="AP91" s="289"/>
      <c r="AQ91" s="265" t="s">
        <v>421</v>
      </c>
      <c r="AR91" s="265"/>
      <c r="AS91" s="265"/>
      <c r="AT91" s="598">
        <f t="shared" ref="AT91:AY94" si="63">VLOOKUP(CONCATENATE($AQ$90,$AQ91),$P$7:$Z$158,U$2,FALSE)</f>
        <v>37.094606570883371</v>
      </c>
      <c r="AU91" s="598">
        <f t="shared" ca="1" si="63"/>
        <v>38.214400364463955</v>
      </c>
      <c r="AV91" s="598">
        <f t="shared" ca="1" si="63"/>
        <v>38.918983896573437</v>
      </c>
      <c r="AW91" s="598">
        <f t="shared" ca="1" si="63"/>
        <v>37.610365701816015</v>
      </c>
      <c r="AX91" s="598">
        <f t="shared" ca="1" si="63"/>
        <v>36.469134459946503</v>
      </c>
      <c r="AY91" s="598">
        <f t="shared" ca="1" si="63"/>
        <v>35.393780598028229</v>
      </c>
      <c r="BL91" s="256"/>
      <c r="BM91" s="256"/>
      <c r="BN91" s="256"/>
      <c r="BO91" s="256"/>
      <c r="BP91" s="256"/>
      <c r="BQ91" s="256"/>
      <c r="BR91" s="256"/>
      <c r="BS91" s="256"/>
      <c r="BT91" s="256"/>
      <c r="BU91" s="255"/>
      <c r="BV91" s="256"/>
      <c r="CH91" s="17" t="s">
        <v>293</v>
      </c>
      <c r="CJ91" s="1092">
        <v>-49.826187302937143</v>
      </c>
      <c r="CK91" s="1092">
        <v>-22.341295685144061</v>
      </c>
      <c r="CL91" s="1092">
        <v>-7.0720738114365354</v>
      </c>
      <c r="CM91" s="1092">
        <v>-14.793054996205296</v>
      </c>
      <c r="CN91" s="1092">
        <v>-16.967612835764996</v>
      </c>
      <c r="CO91" s="1092">
        <v>-12.473219766626507</v>
      </c>
      <c r="CP91" s="1092">
        <v>-25.657057169130848</v>
      </c>
      <c r="CQ91" s="1092">
        <v>-19.615511281563705</v>
      </c>
      <c r="CR91" s="1092">
        <v>-317.39210216411698</v>
      </c>
      <c r="CS91" s="1085"/>
      <c r="CT91" s="1085"/>
      <c r="CU91" s="1085"/>
      <c r="CV91" s="1085"/>
      <c r="CW91" s="1085"/>
      <c r="CX91" s="1085"/>
      <c r="CY91" s="1085"/>
      <c r="CZ91" s="1085"/>
      <c r="DA91" s="1085"/>
      <c r="DB91" s="1085"/>
      <c r="DF91" s="3">
        <v>122</v>
      </c>
      <c r="DG91" s="4">
        <v>2002</v>
      </c>
      <c r="DH91" s="4">
        <v>2.1188950000000002</v>
      </c>
      <c r="DI91" s="1172"/>
      <c r="DJ91" s="5"/>
      <c r="DK91" s="1444">
        <v>122</v>
      </c>
      <c r="DL91" s="1444">
        <v>2002</v>
      </c>
      <c r="DM91" s="1444">
        <v>0.60328530000000002</v>
      </c>
      <c r="DN91" s="1440">
        <f t="shared" si="52"/>
        <v>1.8098559000000001</v>
      </c>
      <c r="EG91" s="261"/>
    </row>
    <row r="92" spans="1:181" ht="20.100000000000001" customHeight="1" thickBot="1">
      <c r="I92" s="949" t="s">
        <v>244</v>
      </c>
      <c r="J92" s="948">
        <v>142</v>
      </c>
      <c r="K92" s="948">
        <v>1</v>
      </c>
      <c r="L92" s="948"/>
      <c r="M92" s="1029" t="s">
        <v>630</v>
      </c>
      <c r="R92" s="125" t="s">
        <v>64</v>
      </c>
      <c r="S92" s="126">
        <f t="shared" ref="S92:Z92" si="64">S$4</f>
        <v>2016</v>
      </c>
      <c r="T92" s="126">
        <f t="shared" si="64"/>
        <v>2017</v>
      </c>
      <c r="U92" s="126">
        <f t="shared" si="64"/>
        <v>2018</v>
      </c>
      <c r="V92" s="126">
        <f t="shared" si="64"/>
        <v>2019</v>
      </c>
      <c r="W92" s="126">
        <f t="shared" si="64"/>
        <v>2020</v>
      </c>
      <c r="X92" s="126">
        <f t="shared" si="64"/>
        <v>2021</v>
      </c>
      <c r="Y92" s="126">
        <f t="shared" si="64"/>
        <v>2022</v>
      </c>
      <c r="Z92" s="127">
        <f t="shared" si="64"/>
        <v>2023</v>
      </c>
      <c r="AA92" s="474"/>
      <c r="AB92" s="100"/>
      <c r="AP92" s="289"/>
      <c r="AQ92" s="107" t="s">
        <v>424</v>
      </c>
      <c r="AR92" s="107"/>
      <c r="AS92" s="107"/>
      <c r="AT92" s="599">
        <f t="shared" si="63"/>
        <v>100.40391596609757</v>
      </c>
      <c r="AU92" s="599" t="e">
        <f t="shared" ca="1" si="63"/>
        <v>#DIV/0!</v>
      </c>
      <c r="AV92" s="599" t="e">
        <f t="shared" ca="1" si="63"/>
        <v>#DIV/0!</v>
      </c>
      <c r="AW92" s="599" t="e">
        <f t="shared" ca="1" si="63"/>
        <v>#DIV/0!</v>
      </c>
      <c r="AX92" s="599" t="e">
        <f t="shared" ca="1" si="63"/>
        <v>#DIV/0!</v>
      </c>
      <c r="AY92" s="599" t="e">
        <f t="shared" ca="1" si="63"/>
        <v>#DIV/0!</v>
      </c>
      <c r="AZ92" s="474"/>
      <c r="BL92" s="256"/>
      <c r="BM92" s="256"/>
      <c r="BN92" s="256"/>
      <c r="BO92" s="256"/>
      <c r="BP92" s="256"/>
      <c r="BQ92" s="256"/>
      <c r="BR92" s="256"/>
      <c r="BS92" s="256"/>
      <c r="BT92" s="256"/>
      <c r="BU92" s="255"/>
      <c r="BV92" s="256"/>
      <c r="CH92" s="17" t="s">
        <v>706</v>
      </c>
      <c r="CI92" s="281"/>
      <c r="CJ92" s="1092">
        <v>-16.879362327394873</v>
      </c>
      <c r="CK92" s="1092">
        <v>-2.8080989263672627</v>
      </c>
      <c r="CL92" s="1092">
        <v>-1.2417756940667943</v>
      </c>
      <c r="CM92" s="1092">
        <v>-3.7845488237792</v>
      </c>
      <c r="CN92" s="1092">
        <v>-3.9180294355631302</v>
      </c>
      <c r="CO92" s="1092">
        <v>-2.8853996885914093</v>
      </c>
      <c r="CP92" s="1092">
        <v>-8.8062334960613704</v>
      </c>
      <c r="CQ92" s="1092">
        <v>-5.6900070519348818</v>
      </c>
      <c r="CR92" s="1092">
        <v>-1.8058831953944021</v>
      </c>
      <c r="CS92" s="1085"/>
      <c r="CT92" s="1085"/>
      <c r="CU92" s="1085"/>
      <c r="CV92" s="1085"/>
      <c r="CW92" s="1085"/>
      <c r="CX92" s="1085"/>
      <c r="CY92" s="1085"/>
      <c r="CZ92" s="1085"/>
      <c r="DA92" s="1085"/>
      <c r="DB92" s="1085"/>
      <c r="DF92" s="3">
        <v>122</v>
      </c>
      <c r="DG92" s="4">
        <v>2003</v>
      </c>
      <c r="DH92" s="4">
        <v>2.5885630000000002</v>
      </c>
      <c r="DI92" s="1172"/>
      <c r="DJ92" s="5"/>
      <c r="DK92" s="1444">
        <v>122</v>
      </c>
      <c r="DL92" s="1444">
        <v>2003</v>
      </c>
      <c r="DM92" s="1444">
        <v>0.46966780000000002</v>
      </c>
      <c r="DN92" s="1440">
        <f t="shared" si="52"/>
        <v>1.4090034</v>
      </c>
      <c r="EG92" s="261"/>
    </row>
    <row r="93" spans="1:181" ht="20.100000000000001" customHeight="1">
      <c r="I93" s="949" t="s">
        <v>245</v>
      </c>
      <c r="J93" s="948">
        <v>449</v>
      </c>
      <c r="K93" s="948">
        <v>0</v>
      </c>
      <c r="L93" s="948"/>
      <c r="M93" s="1029" t="s">
        <v>631</v>
      </c>
      <c r="P93" s="25" t="str">
        <f t="shared" ref="P93:P102" si="65">CONCATENATE(R$92,R93)</f>
        <v>HistoricalNominal Debt (in percent of GDP)</v>
      </c>
      <c r="R93" s="99" t="s">
        <v>421</v>
      </c>
      <c r="S93" s="107"/>
      <c r="T93" s="107"/>
      <c r="U93" s="591">
        <f>MAX((historical!B37)*100,0)</f>
        <v>37.094606570883371</v>
      </c>
      <c r="V93" s="591">
        <f ca="1">MAX((historical!C37)*100,0)</f>
        <v>39.753258641667394</v>
      </c>
      <c r="W93" s="591">
        <f ca="1">MAX((historical!D37)*100,0)</f>
        <v>42.254037652844879</v>
      </c>
      <c r="X93" s="591">
        <f ca="1">MAX((historical!E37)*100,0)</f>
        <v>44.546754198486191</v>
      </c>
      <c r="Y93" s="591">
        <f ca="1">MAX((historical!F37)*100,0)</f>
        <v>47.282094205619636</v>
      </c>
      <c r="Z93" s="592">
        <f ca="1">MAX((historical!G37)*100,0)</f>
        <v>50.202086430637308</v>
      </c>
      <c r="AA93" s="474"/>
      <c r="AB93" s="100"/>
      <c r="AP93" s="289"/>
      <c r="AQ93" s="107" t="s">
        <v>425</v>
      </c>
      <c r="AR93" s="107"/>
      <c r="AS93" s="107"/>
      <c r="AT93" s="599">
        <f t="shared" si="63"/>
        <v>10.043774810504543</v>
      </c>
      <c r="AU93" s="599" t="e">
        <f t="shared" ca="1" si="63"/>
        <v>#DIV/0!</v>
      </c>
      <c r="AV93" s="599" t="e">
        <f t="shared" ca="1" si="63"/>
        <v>#DIV/0!</v>
      </c>
      <c r="AW93" s="599" t="e">
        <f t="shared" ca="1" si="63"/>
        <v>#DIV/0!</v>
      </c>
      <c r="AX93" s="599" t="e">
        <f t="shared" ca="1" si="63"/>
        <v>#DIV/0!</v>
      </c>
      <c r="AY93" s="599" t="e">
        <f t="shared" ca="1" si="63"/>
        <v>#DIV/0!</v>
      </c>
      <c r="AZ93" s="474"/>
      <c r="BL93" s="256"/>
      <c r="BM93" s="256"/>
      <c r="BN93" s="256"/>
      <c r="BO93" s="256"/>
      <c r="BP93" s="256"/>
      <c r="BQ93" s="256"/>
      <c r="BR93" s="256"/>
      <c r="BS93" s="256"/>
      <c r="BT93" s="256"/>
      <c r="BU93" s="255"/>
      <c r="BV93" s="256"/>
      <c r="CH93" s="17" t="s">
        <v>689</v>
      </c>
      <c r="CI93" s="281"/>
      <c r="CJ93" s="1092">
        <v>-5.5456814405908634</v>
      </c>
      <c r="CK93" s="1092">
        <v>-1.1746142148195684</v>
      </c>
      <c r="CL93" s="1092">
        <v>-0.23264705249281104</v>
      </c>
      <c r="CM93" s="1092">
        <v>-1.5103343700589646</v>
      </c>
      <c r="CN93" s="1092">
        <v>-2.0736851956630931</v>
      </c>
      <c r="CO93" s="1092">
        <v>-1.7872998415269963</v>
      </c>
      <c r="CP93" s="1092">
        <v>-3.5451861096956465</v>
      </c>
      <c r="CQ93" s="1092">
        <v>-2.3155797594574645</v>
      </c>
      <c r="CR93" s="1092">
        <v>-0.60805718393636843</v>
      </c>
      <c r="CS93" s="1085"/>
      <c r="CT93" s="1085"/>
      <c r="CU93" s="1085"/>
      <c r="CV93" s="1085"/>
      <c r="CW93" s="1085"/>
      <c r="CX93" s="1085"/>
      <c r="CY93" s="1085"/>
      <c r="CZ93" s="1085"/>
      <c r="DA93" s="1085"/>
      <c r="DB93" s="1085"/>
      <c r="DF93" s="3">
        <v>122</v>
      </c>
      <c r="DG93" s="4">
        <v>2004</v>
      </c>
      <c r="DH93" s="4">
        <v>1.1695199999999999</v>
      </c>
      <c r="DI93" s="1172"/>
      <c r="DJ93" s="5"/>
      <c r="DK93" s="1444">
        <v>122</v>
      </c>
      <c r="DL93" s="1444">
        <v>2004</v>
      </c>
      <c r="DM93" s="1444">
        <v>-1.4190430000000001</v>
      </c>
      <c r="DN93" s="1440">
        <f t="shared" si="52"/>
        <v>-4.2571289999999999</v>
      </c>
      <c r="EG93" s="261"/>
    </row>
    <row r="94" spans="1:181" ht="20.100000000000001" customHeight="1">
      <c r="I94" s="949" t="s">
        <v>246</v>
      </c>
      <c r="J94" s="948">
        <v>564</v>
      </c>
      <c r="K94" s="948">
        <v>0</v>
      </c>
      <c r="L94" s="948"/>
      <c r="M94" s="1029" t="s">
        <v>632</v>
      </c>
      <c r="P94" s="25" t="str">
        <f t="shared" si="65"/>
        <v>HistoricalDebt Service (in percent of GDP)</v>
      </c>
      <c r="R94" s="99" t="s">
        <v>422</v>
      </c>
      <c r="S94" s="107"/>
      <c r="T94" s="107"/>
      <c r="U94" s="591">
        <f>(historical!B38)*100</f>
        <v>3.7107105982600994</v>
      </c>
      <c r="V94" s="591">
        <f ca="1">(historical!C38)*100</f>
        <v>7.297675966573876</v>
      </c>
      <c r="W94" s="591">
        <f ca="1">(historical!D38)*100</f>
        <v>14.224856786718126</v>
      </c>
      <c r="X94" s="591">
        <f ca="1">(historical!E38)*100</f>
        <v>21.282372945334274</v>
      </c>
      <c r="Y94" s="591">
        <f ca="1">(historical!F38)*100</f>
        <v>25.264495427966366</v>
      </c>
      <c r="Z94" s="592">
        <f ca="1">(historical!G38)*100</f>
        <v>28.451870090238568</v>
      </c>
      <c r="AA94" s="474"/>
      <c r="AB94" s="100"/>
      <c r="AP94" s="289"/>
      <c r="AQ94" s="107" t="s">
        <v>423</v>
      </c>
      <c r="AR94" s="107"/>
      <c r="AS94" s="107"/>
      <c r="AT94" s="599">
        <f t="shared" si="63"/>
        <v>3.5994671534530136</v>
      </c>
      <c r="AU94" s="599">
        <f t="shared" ca="1" si="63"/>
        <v>8.7524527237149243</v>
      </c>
      <c r="AV94" s="599">
        <f t="shared" ca="1" si="63"/>
        <v>14.473750684764328</v>
      </c>
      <c r="AW94" s="599">
        <f t="shared" ca="1" si="63"/>
        <v>18.230882511907389</v>
      </c>
      <c r="AX94" s="599">
        <f t="shared" ca="1" si="63"/>
        <v>18.788063478595308</v>
      </c>
      <c r="AY94" s="599">
        <f t="shared" ca="1" si="63"/>
        <v>18.525471587823333</v>
      </c>
      <c r="AZ94" s="475"/>
      <c r="BL94" s="256"/>
      <c r="BM94" s="256"/>
      <c r="BN94" s="256"/>
      <c r="BO94" s="256"/>
      <c r="BP94" s="256"/>
      <c r="BQ94" s="256"/>
      <c r="BR94" s="256"/>
      <c r="BS94" s="256"/>
      <c r="BT94" s="256"/>
      <c r="BU94" s="255"/>
      <c r="BV94" s="256"/>
      <c r="CH94" s="17" t="s">
        <v>707</v>
      </c>
      <c r="CJ94" s="1092">
        <v>-1.9886174089723667</v>
      </c>
      <c r="CK94" s="1092">
        <v>0.94167207305400824</v>
      </c>
      <c r="CL94" s="1092">
        <v>2.1197389668269775</v>
      </c>
      <c r="CM94" s="1092">
        <v>-0.19729395022803253</v>
      </c>
      <c r="CN94" s="1092">
        <v>-0.69077026392202745</v>
      </c>
      <c r="CO94" s="1092">
        <v>-0.69912382652823157</v>
      </c>
      <c r="CP94" s="1092">
        <v>-1.1785565536906832</v>
      </c>
      <c r="CQ94" s="1092">
        <v>-0.68528726811329432</v>
      </c>
      <c r="CR94" s="1092">
        <v>0.12663083062366831</v>
      </c>
      <c r="CS94" s="1085"/>
      <c r="CT94" s="1085"/>
      <c r="CU94" s="1085"/>
      <c r="CV94" s="1085"/>
      <c r="CW94" s="1085"/>
      <c r="CX94" s="1085"/>
      <c r="CY94" s="1085"/>
      <c r="CZ94" s="1085"/>
      <c r="DA94" s="1085"/>
      <c r="DB94" s="1085"/>
      <c r="DF94" s="3">
        <v>122</v>
      </c>
      <c r="DG94" s="4">
        <v>2005</v>
      </c>
      <c r="DH94" s="4">
        <v>0.82644649999999997</v>
      </c>
      <c r="DI94" s="1172"/>
      <c r="DJ94" s="5"/>
      <c r="DK94" s="1444">
        <v>122</v>
      </c>
      <c r="DL94" s="1444">
        <v>2005</v>
      </c>
      <c r="DM94" s="1444">
        <v>-0.34307349999999998</v>
      </c>
      <c r="DN94" s="1440">
        <f t="shared" si="52"/>
        <v>-1.0292204999999999</v>
      </c>
      <c r="EG94" s="261"/>
    </row>
    <row r="95" spans="1:181" ht="20.100000000000001" customHeight="1">
      <c r="I95" s="949" t="s">
        <v>1201</v>
      </c>
      <c r="J95" s="948">
        <v>565</v>
      </c>
      <c r="K95" s="948">
        <v>0</v>
      </c>
      <c r="L95" s="948"/>
      <c r="M95" s="1029" t="s">
        <v>1202</v>
      </c>
      <c r="P95" s="25" t="str">
        <f t="shared" si="65"/>
        <v>HistoricalGross Financing Need (in percent of GDP)</v>
      </c>
      <c r="R95" s="99" t="s">
        <v>423</v>
      </c>
      <c r="S95" s="107"/>
      <c r="T95" s="107"/>
      <c r="U95" s="591">
        <f>(historical!B39)*100</f>
        <v>3.5994671534530136</v>
      </c>
      <c r="V95" s="591">
        <f ca="1">(historical!C39)*100</f>
        <v>9.4827143147415125</v>
      </c>
      <c r="W95" s="591">
        <f ca="1">(historical!D39)*100</f>
        <v>16.409895134885762</v>
      </c>
      <c r="X95" s="591">
        <f ca="1">(historical!E39)*100</f>
        <v>23.467411293501915</v>
      </c>
      <c r="Y95" s="591">
        <f ca="1">(historical!F39)*100</f>
        <v>27.449533776134004</v>
      </c>
      <c r="Z95" s="592">
        <f ca="1">(historical!G39)*100</f>
        <v>30.636908438406209</v>
      </c>
      <c r="AA95" s="474"/>
      <c r="AB95" s="100"/>
      <c r="AP95" s="289"/>
      <c r="AQ95" s="107" t="s">
        <v>418</v>
      </c>
      <c r="AR95" s="107"/>
      <c r="AS95" s="107"/>
      <c r="AT95" s="591">
        <f t="shared" ref="AT95:AY98" si="66">IFERROR(VLOOKUP(CONCATENATE($AQ$90,$AQ95),$P$7:$Z$158,U$2,FALSE),"")</f>
        <v>4.7697166816344838</v>
      </c>
      <c r="AU95" s="591">
        <f t="shared" si="66"/>
        <v>3.1686434574876632</v>
      </c>
      <c r="AV95" s="591">
        <f t="shared" si="66"/>
        <v>2.9947102444823903</v>
      </c>
      <c r="AW95" s="591">
        <f t="shared" si="66"/>
        <v>2.8871442593204177</v>
      </c>
      <c r="AX95" s="591">
        <f t="shared" si="66"/>
        <v>2.933023694707515</v>
      </c>
      <c r="AY95" s="591">
        <f t="shared" si="66"/>
        <v>2.8000000000000025</v>
      </c>
      <c r="AZ95" s="474"/>
      <c r="BL95" s="256"/>
      <c r="BM95" s="261"/>
      <c r="BN95" s="261"/>
      <c r="BO95" s="261"/>
      <c r="BP95" s="261"/>
      <c r="BQ95" s="261"/>
      <c r="BS95" s="261"/>
      <c r="BT95" s="261"/>
      <c r="CH95" s="17" t="s">
        <v>708</v>
      </c>
      <c r="CJ95" s="1092">
        <v>0.13732144546267233</v>
      </c>
      <c r="CK95" s="1092">
        <v>3.0448834906433744</v>
      </c>
      <c r="CL95" s="1092">
        <v>5.2920353277269543</v>
      </c>
      <c r="CM95" s="1092">
        <v>1.3465648262583365</v>
      </c>
      <c r="CN95" s="1092">
        <v>0.53425930305752201</v>
      </c>
      <c r="CO95" s="1092">
        <v>0.60377193327474221</v>
      </c>
      <c r="CP95" s="1092">
        <v>0.26951158060336233</v>
      </c>
      <c r="CQ95" s="1092">
        <v>0.66166438876105849</v>
      </c>
      <c r="CR95" s="1092">
        <v>1.6122144631768984</v>
      </c>
      <c r="CS95" s="1085"/>
      <c r="CT95" s="1085"/>
      <c r="CU95" s="1085"/>
      <c r="CV95" s="1085"/>
      <c r="CW95" s="1085"/>
      <c r="CX95" s="1085"/>
      <c r="CY95" s="1085"/>
      <c r="CZ95" s="1085"/>
      <c r="DA95" s="1085"/>
      <c r="DB95" s="1085"/>
      <c r="DF95" s="3">
        <v>122</v>
      </c>
      <c r="DG95" s="4">
        <v>2006</v>
      </c>
      <c r="DH95" s="4">
        <v>0.33716879999999999</v>
      </c>
      <c r="DI95" s="1172"/>
      <c r="DJ95" s="5"/>
      <c r="DK95" s="1444">
        <v>122</v>
      </c>
      <c r="DL95" s="1444">
        <v>2006</v>
      </c>
      <c r="DM95" s="1444">
        <v>-0.48927759999999998</v>
      </c>
      <c r="DN95" s="1440">
        <f t="shared" si="52"/>
        <v>-1.4678328</v>
      </c>
      <c r="EG95" s="261"/>
    </row>
    <row r="96" spans="1:181" ht="20.100000000000001" customHeight="1">
      <c r="I96" s="949" t="s">
        <v>247</v>
      </c>
      <c r="J96" s="948">
        <v>283</v>
      </c>
      <c r="K96" s="948">
        <v>0</v>
      </c>
      <c r="L96" s="948"/>
      <c r="M96" s="1029" t="s">
        <v>633</v>
      </c>
      <c r="P96" s="25" t="str">
        <f t="shared" si="65"/>
        <v>HistoricalNominal Debt (in percent of Revenue)</v>
      </c>
      <c r="R96" s="99" t="s">
        <v>424</v>
      </c>
      <c r="S96" s="107"/>
      <c r="T96" s="107"/>
      <c r="U96" s="591">
        <f>(historical!B40)*100</f>
        <v>100.40391596609757</v>
      </c>
      <c r="V96" s="591" t="e">
        <f ca="1">(historical!C40)*100</f>
        <v>#DIV/0!</v>
      </c>
      <c r="W96" s="591" t="e">
        <f ca="1">(historical!D40)*100</f>
        <v>#DIV/0!</v>
      </c>
      <c r="X96" s="591" t="e">
        <f ca="1">(historical!E40)*100</f>
        <v>#DIV/0!</v>
      </c>
      <c r="Y96" s="591" t="e">
        <f ca="1">(historical!F40)*100</f>
        <v>#DIV/0!</v>
      </c>
      <c r="Z96" s="592" t="e">
        <f ca="1">(historical!G40)*100</f>
        <v>#DIV/0!</v>
      </c>
      <c r="AA96" s="475"/>
      <c r="AB96" s="429"/>
      <c r="AP96" s="289"/>
      <c r="AQ96" s="107" t="s">
        <v>427</v>
      </c>
      <c r="AR96" s="107"/>
      <c r="AS96" s="107"/>
      <c r="AT96" s="591">
        <f t="shared" si="66"/>
        <v>4.2122999157540031</v>
      </c>
      <c r="AU96" s="591">
        <f t="shared" si="66"/>
        <v>3.085754504401117</v>
      </c>
      <c r="AV96" s="591">
        <f t="shared" si="66"/>
        <v>2.7938359016816516</v>
      </c>
      <c r="AW96" s="591">
        <f t="shared" si="66"/>
        <v>2.5315565708619037</v>
      </c>
      <c r="AX96" s="591">
        <f t="shared" si="66"/>
        <v>2.4647711698661201</v>
      </c>
      <c r="AY96" s="591">
        <f t="shared" si="66"/>
        <v>2.5000000000000133</v>
      </c>
      <c r="AZ96" s="474"/>
      <c r="BL96" s="256"/>
      <c r="BM96" s="261"/>
      <c r="BN96" s="261"/>
      <c r="BO96" s="261"/>
      <c r="BP96" s="261"/>
      <c r="BQ96" s="261"/>
      <c r="BS96" s="261"/>
      <c r="BT96" s="261"/>
      <c r="CH96" s="17" t="s">
        <v>709</v>
      </c>
      <c r="CJ96" s="1092">
        <v>1.6208423065398201</v>
      </c>
      <c r="CK96" s="1092">
        <v>6.7646352036608839</v>
      </c>
      <c r="CL96" s="1092">
        <v>11.427743238137362</v>
      </c>
      <c r="CM96" s="1092">
        <v>3.8061772482768133</v>
      </c>
      <c r="CN96" s="1092">
        <v>2.4472129813622754</v>
      </c>
      <c r="CO96" s="1092">
        <v>2.0918161296060216</v>
      </c>
      <c r="CP96" s="1092">
        <v>1.359045387638719</v>
      </c>
      <c r="CQ96" s="1092">
        <v>2.8918656639380753</v>
      </c>
      <c r="CR96" s="1092">
        <v>3.7135842505094994</v>
      </c>
      <c r="CS96" s="1085"/>
      <c r="CT96" s="1085"/>
      <c r="CU96" s="1085"/>
      <c r="CV96" s="1085"/>
      <c r="CW96" s="1085"/>
      <c r="CX96" s="1085"/>
      <c r="CY96" s="1085"/>
      <c r="CZ96" s="1085"/>
      <c r="DA96" s="1085"/>
      <c r="DB96" s="1085"/>
      <c r="DF96" s="3">
        <v>122</v>
      </c>
      <c r="DG96" s="4">
        <v>2007</v>
      </c>
      <c r="DH96" s="4">
        <v>0.85326590000000002</v>
      </c>
      <c r="DI96" s="1172"/>
      <c r="DJ96" s="5"/>
      <c r="DK96" s="1444">
        <v>122</v>
      </c>
      <c r="DL96" s="1444">
        <v>2007</v>
      </c>
      <c r="DM96" s="1444">
        <v>0.51609720000000003</v>
      </c>
      <c r="DN96" s="1440">
        <f t="shared" si="52"/>
        <v>1.5482916000000002</v>
      </c>
      <c r="EG96" s="261"/>
    </row>
    <row r="97" spans="1:181" s="284" customFormat="1" ht="20.100000000000001" customHeight="1">
      <c r="A97" s="98"/>
      <c r="B97" s="25"/>
      <c r="C97" s="25"/>
      <c r="D97" s="25"/>
      <c r="E97" s="25"/>
      <c r="F97" s="25"/>
      <c r="G97" s="464"/>
      <c r="H97" s="98"/>
      <c r="I97" s="949" t="s">
        <v>248</v>
      </c>
      <c r="J97" s="948">
        <v>288</v>
      </c>
      <c r="K97" s="948">
        <v>0</v>
      </c>
      <c r="L97" s="948"/>
      <c r="M97" s="1029" t="s">
        <v>634</v>
      </c>
      <c r="N97" s="464"/>
      <c r="O97" s="98"/>
      <c r="P97" s="25" t="str">
        <f t="shared" si="65"/>
        <v>HistoricalDebt Service (in percent of Revenue)</v>
      </c>
      <c r="Q97" s="25"/>
      <c r="R97" s="99" t="s">
        <v>425</v>
      </c>
      <c r="S97" s="107"/>
      <c r="T97" s="107"/>
      <c r="U97" s="591">
        <f>(historical!B41)*100</f>
        <v>10.043774810504543</v>
      </c>
      <c r="V97" s="591" t="e">
        <f ca="1">(historical!C41)*100</f>
        <v>#DIV/0!</v>
      </c>
      <c r="W97" s="591" t="e">
        <f ca="1">(historical!D41)*100</f>
        <v>#DIV/0!</v>
      </c>
      <c r="X97" s="591" t="e">
        <f ca="1">(historical!E41)*100</f>
        <v>#DIV/0!</v>
      </c>
      <c r="Y97" s="591" t="e">
        <f ca="1">(historical!F41)*100</f>
        <v>#DIV/0!</v>
      </c>
      <c r="Z97" s="592" t="e">
        <f ca="1">(historical!G41)*100</f>
        <v>#DIV/0!</v>
      </c>
      <c r="AA97" s="474"/>
      <c r="AB97" s="100"/>
      <c r="AC97" s="25"/>
      <c r="AD97" s="25"/>
      <c r="AE97" s="25"/>
      <c r="AF97" s="25"/>
      <c r="AG97" s="25"/>
      <c r="AH97" s="25"/>
      <c r="AI97" s="25"/>
      <c r="AJ97" s="25"/>
      <c r="AK97" s="25"/>
      <c r="AL97" s="25"/>
      <c r="AM97" s="25"/>
      <c r="AN97" s="25"/>
      <c r="AO97" s="464"/>
      <c r="AP97" s="289"/>
      <c r="AQ97" s="107" t="s">
        <v>544</v>
      </c>
      <c r="AR97" s="107"/>
      <c r="AS97" s="107"/>
      <c r="AT97" s="591">
        <f t="shared" si="66"/>
        <v>-5.2301873674015509E-2</v>
      </c>
      <c r="AU97" s="591">
        <f t="shared" si="66"/>
        <v>-1.6708596534666282</v>
      </c>
      <c r="AV97" s="591">
        <f t="shared" si="66"/>
        <v>-1.4086050204041529</v>
      </c>
      <c r="AW97" s="591">
        <f t="shared" si="66"/>
        <v>0.22147723253581053</v>
      </c>
      <c r="AX97" s="591">
        <f t="shared" si="66"/>
        <v>0.87301076297996993</v>
      </c>
      <c r="AY97" s="591">
        <f t="shared" si="66"/>
        <v>0.87301076297997549</v>
      </c>
      <c r="AZ97" s="474"/>
      <c r="BA97" s="247"/>
      <c r="BB97" s="247"/>
      <c r="BC97" s="247"/>
      <c r="BD97" s="247"/>
      <c r="BE97" s="247"/>
      <c r="BF97" s="247"/>
      <c r="BG97" s="247"/>
      <c r="BH97" s="247"/>
      <c r="BI97" s="247"/>
      <c r="BJ97" s="247"/>
      <c r="BK97" s="254"/>
      <c r="BL97" s="256"/>
      <c r="BM97" s="261"/>
      <c r="BN97" s="261"/>
      <c r="BO97" s="261"/>
      <c r="BP97" s="261"/>
      <c r="BQ97" s="261"/>
      <c r="BR97" s="261"/>
      <c r="BS97" s="261"/>
      <c r="BT97" s="261"/>
      <c r="BU97" s="247"/>
      <c r="BV97" s="261"/>
      <c r="BW97" s="247"/>
      <c r="BX97" s="247"/>
      <c r="BY97" s="247"/>
      <c r="BZ97" s="254"/>
      <c r="CA97" s="255"/>
      <c r="CB97" s="247"/>
      <c r="CC97" s="247"/>
      <c r="CD97" s="247"/>
      <c r="CE97" s="247"/>
      <c r="CF97" s="247"/>
      <c r="CG97" s="254"/>
      <c r="CH97" s="17" t="s">
        <v>294</v>
      </c>
      <c r="CI97" s="17"/>
      <c r="CJ97" s="1092">
        <v>14.73264611894772</v>
      </c>
      <c r="CK97" s="1092">
        <v>11.796466078420064</v>
      </c>
      <c r="CL97" s="1092">
        <v>62.931443635882914</v>
      </c>
      <c r="CM97" s="1092">
        <v>64.942798697931408</v>
      </c>
      <c r="CN97" s="1092">
        <v>21.877522227919464</v>
      </c>
      <c r="CO97" s="1092">
        <v>47.342918262840683</v>
      </c>
      <c r="CP97" s="1092">
        <v>38.881659339863411</v>
      </c>
      <c r="CQ97" s="1092">
        <v>285.56973491525474</v>
      </c>
      <c r="CR97" s="1092">
        <v>13.675346008065338</v>
      </c>
      <c r="CS97" s="1085"/>
      <c r="CT97" s="1085"/>
      <c r="CU97" s="1085"/>
      <c r="CV97" s="1085"/>
      <c r="CW97" s="1085"/>
      <c r="CX97" s="1085"/>
      <c r="CY97" s="1085"/>
      <c r="CZ97" s="1085"/>
      <c r="DA97" s="1085"/>
      <c r="DB97" s="1085"/>
      <c r="DC97" s="993"/>
      <c r="DD97" s="281"/>
      <c r="DF97" s="3">
        <v>122</v>
      </c>
      <c r="DG97" s="4">
        <v>2008</v>
      </c>
      <c r="DH97" s="4">
        <v>0.36033809999999999</v>
      </c>
      <c r="DI97" s="1172"/>
      <c r="DJ97" s="5"/>
      <c r="DK97" s="1444">
        <v>122</v>
      </c>
      <c r="DL97" s="1444">
        <v>2008</v>
      </c>
      <c r="DM97" s="1444">
        <v>-0.49292780000000003</v>
      </c>
      <c r="DN97" s="1440">
        <f t="shared" si="52"/>
        <v>-1.4787834000000002</v>
      </c>
      <c r="DO97" s="993"/>
      <c r="DP97" s="488"/>
      <c r="DQ97" s="247"/>
      <c r="DR97" s="247"/>
      <c r="DS97" s="247"/>
      <c r="DT97" s="247"/>
      <c r="DU97" s="247"/>
      <c r="DV97" s="261"/>
      <c r="DW97" s="261"/>
      <c r="DX97" s="261"/>
      <c r="DY97" s="261"/>
      <c r="DZ97" s="261"/>
      <c r="EA97" s="261"/>
      <c r="EB97" s="261"/>
      <c r="EC97" s="261"/>
      <c r="ED97" s="261"/>
      <c r="EE97" s="261"/>
      <c r="EF97" s="993"/>
      <c r="EG97" s="261"/>
      <c r="EH97" s="281"/>
      <c r="EI97" s="281"/>
      <c r="EJ97" s="281"/>
      <c r="EK97" s="281"/>
      <c r="EL97" s="281"/>
      <c r="EM97" s="281"/>
      <c r="EN97" s="281"/>
      <c r="EO97" s="281"/>
      <c r="EP97" s="281"/>
      <c r="EQ97" s="281"/>
      <c r="ER97" s="281"/>
      <c r="ES97" s="281"/>
      <c r="ET97" s="281"/>
      <c r="EU97" s="281"/>
      <c r="EV97" s="281"/>
      <c r="EW97" s="281"/>
      <c r="EX97" s="281"/>
      <c r="EY97" s="281"/>
      <c r="EZ97" s="281"/>
      <c r="FA97" s="281"/>
      <c r="FB97" s="281"/>
      <c r="FC97" s="281"/>
      <c r="FD97" s="281"/>
      <c r="FE97" s="281"/>
      <c r="FF97" s="281"/>
      <c r="FG97" s="281"/>
      <c r="FH97" s="281"/>
      <c r="FI97" s="281"/>
      <c r="FJ97" s="281"/>
      <c r="FK97" s="281"/>
      <c r="FL97" s="281"/>
      <c r="FM97" s="281"/>
      <c r="FN97" s="281"/>
      <c r="FO97" s="281"/>
      <c r="FP97" s="281"/>
      <c r="FQ97" s="281"/>
      <c r="FR97" s="281"/>
      <c r="FS97" s="281"/>
      <c r="FT97" s="281"/>
      <c r="FU97" s="281"/>
      <c r="FV97" s="281"/>
      <c r="FW97" s="281"/>
      <c r="FX97" s="281"/>
      <c r="FY97" s="281"/>
    </row>
    <row r="98" spans="1:181" s="284" customFormat="1" ht="20.100000000000001" customHeight="1" thickBot="1">
      <c r="A98" s="98"/>
      <c r="B98" s="25"/>
      <c r="C98" s="25"/>
      <c r="D98" s="25"/>
      <c r="E98" s="25"/>
      <c r="F98" s="25"/>
      <c r="G98" s="464"/>
      <c r="H98" s="98"/>
      <c r="I98" s="949" t="s">
        <v>249</v>
      </c>
      <c r="J98" s="948">
        <v>293</v>
      </c>
      <c r="K98" s="948">
        <v>0</v>
      </c>
      <c r="L98" s="948"/>
      <c r="M98" s="1029" t="s">
        <v>635</v>
      </c>
      <c r="N98" s="464"/>
      <c r="O98" s="98"/>
      <c r="P98" s="25" t="str">
        <f t="shared" si="65"/>
        <v>HistoricalGross Financing Need (in percent of Revenue)</v>
      </c>
      <c r="Q98" s="25"/>
      <c r="R98" s="101" t="s">
        <v>426</v>
      </c>
      <c r="S98" s="632"/>
      <c r="T98" s="632"/>
      <c r="U98" s="593">
        <f>(historical!B42)*100</f>
        <v>9.7426723453025819</v>
      </c>
      <c r="V98" s="594" t="e">
        <f ca="1">(historical!C42)*100</f>
        <v>#DIV/0!</v>
      </c>
      <c r="W98" s="594" t="e">
        <f ca="1">(historical!D42)*100</f>
        <v>#DIV/0!</v>
      </c>
      <c r="X98" s="594" t="e">
        <f ca="1">(historical!E42)*100</f>
        <v>#DIV/0!</v>
      </c>
      <c r="Y98" s="594" t="e">
        <f ca="1">(historical!F42)*100</f>
        <v>#DIV/0!</v>
      </c>
      <c r="Z98" s="595" t="e">
        <f ca="1">(historical!G42)*100</f>
        <v>#DIV/0!</v>
      </c>
      <c r="AA98" s="474"/>
      <c r="AB98" s="100"/>
      <c r="AC98" s="25"/>
      <c r="AD98" s="25"/>
      <c r="AE98" s="25"/>
      <c r="AF98" s="25"/>
      <c r="AG98" s="25"/>
      <c r="AH98" s="25"/>
      <c r="AI98" s="25"/>
      <c r="AJ98" s="25"/>
      <c r="AK98" s="25"/>
      <c r="AL98" s="25"/>
      <c r="AM98" s="25"/>
      <c r="AN98" s="25"/>
      <c r="AO98" s="464"/>
      <c r="AP98" s="289"/>
      <c r="AQ98" s="266" t="s">
        <v>428</v>
      </c>
      <c r="AR98" s="266"/>
      <c r="AS98" s="266"/>
      <c r="AT98" s="600">
        <f t="shared" si="66"/>
        <v>1.9586439007071743</v>
      </c>
      <c r="AU98" s="600">
        <f t="shared" ca="1" si="66"/>
        <v>2.4781166566290191</v>
      </c>
      <c r="AV98" s="600">
        <f t="shared" ca="1" si="66"/>
        <v>3.2143786038961979</v>
      </c>
      <c r="AW98" s="600">
        <f t="shared" ca="1" si="66"/>
        <v>1.9732061097271953</v>
      </c>
      <c r="AX98" s="600">
        <f t="shared" ca="1" si="66"/>
        <v>2.3193824503916454</v>
      </c>
      <c r="AY98" s="600">
        <f t="shared" ca="1" si="66"/>
        <v>2.4097978248006999</v>
      </c>
      <c r="AZ98" s="475"/>
      <c r="BA98" s="247"/>
      <c r="BB98" s="247"/>
      <c r="BC98" s="247"/>
      <c r="BD98" s="247"/>
      <c r="BE98" s="247"/>
      <c r="BF98" s="247"/>
      <c r="BG98" s="247"/>
      <c r="BH98" s="247"/>
      <c r="BI98" s="247"/>
      <c r="BJ98" s="247"/>
      <c r="BK98" s="254"/>
      <c r="BL98" s="256"/>
      <c r="BM98" s="261"/>
      <c r="BN98" s="261"/>
      <c r="BO98" s="261"/>
      <c r="BP98" s="261"/>
      <c r="BQ98" s="261"/>
      <c r="BR98" s="261"/>
      <c r="BS98" s="261"/>
      <c r="BT98" s="261"/>
      <c r="BU98" s="247"/>
      <c r="BV98" s="261"/>
      <c r="BW98" s="247"/>
      <c r="BX98" s="247"/>
      <c r="BY98" s="247"/>
      <c r="BZ98" s="254"/>
      <c r="CA98" s="255"/>
      <c r="CB98" s="247"/>
      <c r="CC98" s="247"/>
      <c r="CD98" s="247"/>
      <c r="CE98" s="247"/>
      <c r="CF98" s="247"/>
      <c r="CG98" s="254"/>
      <c r="CH98" s="17" t="s">
        <v>710</v>
      </c>
      <c r="CI98" s="17"/>
      <c r="CJ98" s="1092">
        <v>-4.5977542272864156</v>
      </c>
      <c r="CK98" s="1092">
        <v>1.0007403077645103</v>
      </c>
      <c r="CL98" s="1092">
        <v>3.787318808586591</v>
      </c>
      <c r="CM98" s="1092">
        <v>0.51538902361696204</v>
      </c>
      <c r="CN98" s="1092">
        <v>-0.71753583054209547</v>
      </c>
      <c r="CO98" s="1092">
        <v>-0.21131517238836775</v>
      </c>
      <c r="CP98" s="1092">
        <v>-1.8956410601353182</v>
      </c>
      <c r="CQ98" s="1092">
        <v>1.260229916696634</v>
      </c>
      <c r="CR98" s="1092">
        <v>-1.6582708069580616</v>
      </c>
      <c r="CS98" s="1085"/>
      <c r="CT98" s="1085"/>
      <c r="CU98" s="1085"/>
      <c r="CV98" s="1085"/>
      <c r="CW98" s="1085"/>
      <c r="CX98" s="1085"/>
      <c r="CY98" s="1085"/>
      <c r="CZ98" s="1085"/>
      <c r="DA98" s="1085"/>
      <c r="DB98" s="1085"/>
      <c r="DC98" s="993"/>
      <c r="DD98" s="281"/>
      <c r="DF98" s="3">
        <v>122</v>
      </c>
      <c r="DG98" s="4">
        <v>2009</v>
      </c>
      <c r="DH98" s="4">
        <v>6.8782200000000002E-2</v>
      </c>
      <c r="DI98" s="1172"/>
      <c r="DJ98" s="5"/>
      <c r="DK98" s="1444">
        <v>122</v>
      </c>
      <c r="DL98" s="1444">
        <v>2009</v>
      </c>
      <c r="DM98" s="1444">
        <v>-0.29155589999999998</v>
      </c>
      <c r="DN98" s="1440">
        <f t="shared" si="52"/>
        <v>-0.87466769999999994</v>
      </c>
      <c r="DO98" s="993"/>
      <c r="DP98" s="488"/>
      <c r="DQ98" s="247"/>
      <c r="DR98" s="247"/>
      <c r="DS98" s="247"/>
      <c r="DT98" s="247"/>
      <c r="DU98" s="247"/>
      <c r="DV98" s="261"/>
      <c r="DW98" s="261"/>
      <c r="DX98" s="261"/>
      <c r="DY98" s="261"/>
      <c r="DZ98" s="261"/>
      <c r="EA98" s="261"/>
      <c r="EB98" s="261"/>
      <c r="EC98" s="261"/>
      <c r="ED98" s="261"/>
      <c r="EE98" s="261"/>
      <c r="EF98" s="993"/>
      <c r="EG98" s="261"/>
      <c r="EH98" s="281"/>
      <c r="EI98" s="281"/>
      <c r="EJ98" s="281"/>
      <c r="EK98" s="281"/>
      <c r="EL98" s="281"/>
      <c r="EM98" s="281"/>
      <c r="EN98" s="281"/>
      <c r="EO98" s="281"/>
      <c r="EP98" s="281"/>
      <c r="EQ98" s="281"/>
      <c r="ER98" s="281"/>
      <c r="ES98" s="281"/>
      <c r="ET98" s="281"/>
      <c r="EU98" s="281"/>
      <c r="EV98" s="281"/>
      <c r="EW98" s="281"/>
      <c r="EX98" s="281"/>
      <c r="EY98" s="281"/>
      <c r="EZ98" s="281"/>
      <c r="FA98" s="281"/>
      <c r="FB98" s="281"/>
      <c r="FC98" s="281"/>
      <c r="FD98" s="281"/>
      <c r="FE98" s="281"/>
      <c r="FF98" s="281"/>
      <c r="FG98" s="281"/>
      <c r="FH98" s="281"/>
      <c r="FI98" s="281"/>
      <c r="FJ98" s="281"/>
      <c r="FK98" s="281"/>
      <c r="FL98" s="281"/>
      <c r="FM98" s="281"/>
      <c r="FN98" s="281"/>
      <c r="FO98" s="281"/>
      <c r="FP98" s="281"/>
      <c r="FQ98" s="281"/>
      <c r="FR98" s="281"/>
      <c r="FS98" s="281"/>
      <c r="FT98" s="281"/>
      <c r="FU98" s="281"/>
      <c r="FV98" s="281"/>
      <c r="FW98" s="281"/>
      <c r="FX98" s="281"/>
      <c r="FY98" s="281"/>
    </row>
    <row r="99" spans="1:181" s="284" customFormat="1" ht="20.100000000000001" customHeight="1">
      <c r="A99" s="98"/>
      <c r="B99" s="25"/>
      <c r="C99" s="25"/>
      <c r="D99" s="25"/>
      <c r="E99" s="25"/>
      <c r="F99" s="25"/>
      <c r="G99" s="464"/>
      <c r="H99" s="98"/>
      <c r="I99" s="949" t="s">
        <v>250</v>
      </c>
      <c r="J99" s="948">
        <v>566</v>
      </c>
      <c r="K99" s="948">
        <v>0</v>
      </c>
      <c r="L99" s="948"/>
      <c r="M99" s="1029" t="s">
        <v>636</v>
      </c>
      <c r="N99" s="464"/>
      <c r="O99" s="98"/>
      <c r="P99" s="25" t="str">
        <f t="shared" si="65"/>
        <v>HistoricalReal GDP growth (in percent)</v>
      </c>
      <c r="Q99" s="25"/>
      <c r="R99" s="431" t="s">
        <v>418</v>
      </c>
      <c r="S99" s="111"/>
      <c r="T99" s="111"/>
      <c r="U99" s="596">
        <f>(historical!B$26)*100</f>
        <v>4.7697166816344838</v>
      </c>
      <c r="V99" s="596">
        <f>(historical!C$26)*100</f>
        <v>0.24863029297652051</v>
      </c>
      <c r="W99" s="596">
        <f>(historical!D$26)*100</f>
        <v>0.24863029297652051</v>
      </c>
      <c r="X99" s="596">
        <f>(historical!E$26)*100</f>
        <v>0.24863029297652051</v>
      </c>
      <c r="Y99" s="596">
        <f>(historical!F$26)*100</f>
        <v>0.24863029297652051</v>
      </c>
      <c r="Z99" s="597">
        <f>(historical!G$26)*100</f>
        <v>0.24863029297652051</v>
      </c>
      <c r="AA99" s="474"/>
      <c r="AB99" s="100"/>
      <c r="AC99" s="25"/>
      <c r="AD99" s="25"/>
      <c r="AE99" s="25"/>
      <c r="AF99" s="25"/>
      <c r="AG99" s="25"/>
      <c r="AH99" s="25"/>
      <c r="AI99" s="25"/>
      <c r="AJ99" s="25"/>
      <c r="AK99" s="25"/>
      <c r="AL99" s="25"/>
      <c r="AM99" s="25"/>
      <c r="AN99" s="25"/>
      <c r="AO99" s="464"/>
      <c r="AP99" s="289"/>
      <c r="AQ99" s="25"/>
      <c r="AR99" s="25"/>
      <c r="AS99" s="25"/>
      <c r="AT99" s="25"/>
      <c r="AU99" s="25"/>
      <c r="AV99" s="25"/>
      <c r="AW99" s="25"/>
      <c r="AX99" s="25"/>
      <c r="AY99" s="25"/>
      <c r="AZ99" s="464"/>
      <c r="BA99" s="247"/>
      <c r="BB99" s="247"/>
      <c r="BC99" s="247"/>
      <c r="BD99" s="247"/>
      <c r="BE99" s="247"/>
      <c r="BF99" s="247"/>
      <c r="BG99" s="247"/>
      <c r="BH99" s="247"/>
      <c r="BI99" s="247"/>
      <c r="BJ99" s="247"/>
      <c r="BK99" s="254"/>
      <c r="BL99" s="256"/>
      <c r="BM99" s="261"/>
      <c r="BN99" s="261"/>
      <c r="BO99" s="261"/>
      <c r="BP99" s="261"/>
      <c r="BQ99" s="261"/>
      <c r="BR99" s="261"/>
      <c r="BS99" s="261"/>
      <c r="BT99" s="261"/>
      <c r="BU99" s="247"/>
      <c r="BV99" s="261"/>
      <c r="BW99" s="247"/>
      <c r="BX99" s="247"/>
      <c r="BY99" s="247"/>
      <c r="BZ99" s="254"/>
      <c r="CA99" s="255"/>
      <c r="CB99" s="247"/>
      <c r="CC99" s="247"/>
      <c r="CD99" s="247"/>
      <c r="CE99" s="247"/>
      <c r="CF99" s="247"/>
      <c r="CG99" s="254"/>
      <c r="CH99" s="1087" t="s">
        <v>716</v>
      </c>
      <c r="CR99" s="1086"/>
      <c r="CS99" s="1076"/>
      <c r="CT99" s="1076"/>
      <c r="CU99" s="1076"/>
      <c r="CV99" s="1076"/>
      <c r="CW99" s="1076"/>
      <c r="CX99" s="1076"/>
      <c r="CY99" s="1076"/>
      <c r="CZ99" s="1076"/>
      <c r="DA99" s="1076"/>
      <c r="DB99" s="1076"/>
      <c r="DC99" s="993"/>
      <c r="DD99" s="281"/>
      <c r="DF99" s="3">
        <v>122</v>
      </c>
      <c r="DG99" s="4">
        <v>2010</v>
      </c>
      <c r="DH99" s="4">
        <v>-0.37837189999999998</v>
      </c>
      <c r="DI99" s="1172"/>
      <c r="DJ99" s="5"/>
      <c r="DK99" s="1444">
        <v>122</v>
      </c>
      <c r="DL99" s="1444">
        <v>2010</v>
      </c>
      <c r="DM99" s="1444">
        <v>-0.4471541</v>
      </c>
      <c r="DN99" s="1440">
        <f t="shared" si="52"/>
        <v>-1.3414622999999999</v>
      </c>
      <c r="DO99" s="993"/>
      <c r="DP99" s="488"/>
      <c r="DQ99" s="247"/>
      <c r="DR99" s="247"/>
      <c r="DS99" s="247"/>
      <c r="DT99" s="247"/>
      <c r="DU99" s="247"/>
      <c r="DV99" s="261"/>
      <c r="DW99" s="261"/>
      <c r="DX99" s="261"/>
      <c r="DY99" s="261"/>
      <c r="DZ99" s="261"/>
      <c r="EA99" s="261"/>
      <c r="EB99" s="261"/>
      <c r="EC99" s="261"/>
      <c r="ED99" s="261"/>
      <c r="EE99" s="261"/>
      <c r="EF99" s="993"/>
      <c r="EG99" s="261"/>
      <c r="EH99" s="281"/>
      <c r="EI99" s="281"/>
      <c r="EJ99" s="281"/>
      <c r="EK99" s="281"/>
      <c r="EL99" s="281"/>
      <c r="EM99" s="281"/>
      <c r="EN99" s="281"/>
      <c r="EO99" s="281"/>
      <c r="EP99" s="281"/>
      <c r="EQ99" s="281"/>
      <c r="ER99" s="281"/>
      <c r="ES99" s="281"/>
      <c r="ET99" s="281"/>
      <c r="EU99" s="281"/>
      <c r="EV99" s="281"/>
      <c r="EW99" s="281"/>
      <c r="EX99" s="281"/>
      <c r="EY99" s="281"/>
      <c r="EZ99" s="281"/>
      <c r="FA99" s="281"/>
      <c r="FB99" s="281"/>
      <c r="FC99" s="281"/>
      <c r="FD99" s="281"/>
      <c r="FE99" s="281"/>
      <c r="FF99" s="281"/>
      <c r="FG99" s="281"/>
      <c r="FH99" s="281"/>
      <c r="FI99" s="281"/>
      <c r="FJ99" s="281"/>
      <c r="FK99" s="281"/>
      <c r="FL99" s="281"/>
      <c r="FM99" s="281"/>
      <c r="FN99" s="281"/>
      <c r="FO99" s="281"/>
      <c r="FP99" s="281"/>
      <c r="FQ99" s="281"/>
      <c r="FR99" s="281"/>
      <c r="FS99" s="281"/>
      <c r="FT99" s="281"/>
      <c r="FU99" s="281"/>
      <c r="FV99" s="281"/>
      <c r="FW99" s="281"/>
      <c r="FX99" s="281"/>
      <c r="FY99" s="281"/>
    </row>
    <row r="100" spans="1:181" s="284" customFormat="1" ht="20.100000000000001" customHeight="1">
      <c r="A100" s="98"/>
      <c r="B100" s="25"/>
      <c r="C100" s="25"/>
      <c r="D100" s="25"/>
      <c r="E100" s="25"/>
      <c r="F100" s="25"/>
      <c r="G100" s="464"/>
      <c r="H100" s="98"/>
      <c r="I100" s="949" t="s">
        <v>251</v>
      </c>
      <c r="J100" s="948">
        <v>964</v>
      </c>
      <c r="K100" s="948">
        <v>0</v>
      </c>
      <c r="L100" s="948"/>
      <c r="M100" s="1029" t="s">
        <v>637</v>
      </c>
      <c r="N100" s="464"/>
      <c r="O100" s="98"/>
      <c r="P100" s="25" t="str">
        <f t="shared" si="65"/>
        <v>HistoricalInflation (in percent)</v>
      </c>
      <c r="Q100" s="25"/>
      <c r="R100" s="99" t="s">
        <v>427</v>
      </c>
      <c r="S100" s="107"/>
      <c r="T100" s="107"/>
      <c r="U100" s="591">
        <f>(historical!B$27)*100</f>
        <v>4.2122999157540031</v>
      </c>
      <c r="V100" s="591">
        <f>(historical!C$27)*100</f>
        <v>3.085754504401117</v>
      </c>
      <c r="W100" s="591">
        <f>(historical!D$27)*100</f>
        <v>2.7938359016816516</v>
      </c>
      <c r="X100" s="591">
        <f>(historical!E$27)*100</f>
        <v>2.5315565708619037</v>
      </c>
      <c r="Y100" s="591">
        <f>(historical!F$27)*100</f>
        <v>2.4647711698661201</v>
      </c>
      <c r="Z100" s="592">
        <f>(historical!G$27)*100</f>
        <v>2.5000000000000133</v>
      </c>
      <c r="AA100" s="475"/>
      <c r="AB100" s="429"/>
      <c r="AC100" s="25"/>
      <c r="AD100" s="25"/>
      <c r="AE100" s="25"/>
      <c r="AF100" s="25"/>
      <c r="AG100" s="25"/>
      <c r="AH100" s="25"/>
      <c r="AI100" s="25"/>
      <c r="AJ100" s="25"/>
      <c r="AK100" s="25"/>
      <c r="AL100" s="25"/>
      <c r="AM100" s="25"/>
      <c r="AN100" s="25"/>
      <c r="AO100" s="464"/>
      <c r="AP100" s="289">
        <v>1</v>
      </c>
      <c r="AQ100" s="977" t="s">
        <v>299</v>
      </c>
      <c r="AR100" s="977"/>
      <c r="AS100" s="977"/>
      <c r="AT100" s="25"/>
      <c r="AU100" s="25"/>
      <c r="AV100" s="25"/>
      <c r="AW100" s="25"/>
      <c r="AX100" s="25"/>
      <c r="AY100" s="25"/>
      <c r="AZ100" s="464"/>
      <c r="BA100" s="247"/>
      <c r="BB100" s="247"/>
      <c r="BC100" s="247"/>
      <c r="BD100" s="247"/>
      <c r="BE100" s="247"/>
      <c r="BF100" s="247"/>
      <c r="BG100" s="247"/>
      <c r="BH100" s="247"/>
      <c r="BI100" s="247"/>
      <c r="BJ100" s="247"/>
      <c r="BK100" s="254"/>
      <c r="BL100" s="256"/>
      <c r="BM100" s="261"/>
      <c r="BN100" s="261"/>
      <c r="BO100" s="261"/>
      <c r="BP100" s="261"/>
      <c r="BQ100" s="261"/>
      <c r="BR100" s="261"/>
      <c r="BS100" s="261"/>
      <c r="BT100" s="261"/>
      <c r="BU100" s="247"/>
      <c r="BV100" s="261"/>
      <c r="BW100" s="247"/>
      <c r="BX100" s="247"/>
      <c r="BY100" s="247"/>
      <c r="BZ100" s="254"/>
      <c r="CA100" s="255"/>
      <c r="CB100" s="247"/>
      <c r="CC100" s="247"/>
      <c r="CD100" s="247"/>
      <c r="CE100" s="247"/>
      <c r="CF100" s="247"/>
      <c r="CG100" s="254"/>
      <c r="CH100" s="284" t="s">
        <v>714</v>
      </c>
      <c r="CI100" s="1086"/>
      <c r="CJ100" s="1086">
        <f t="shared" ref="CJ100:CR100" si="67">CJ93</f>
        <v>-5.5456814405908634</v>
      </c>
      <c r="CK100" s="1086">
        <f t="shared" si="67"/>
        <v>-1.1746142148195684</v>
      </c>
      <c r="CL100" s="1086">
        <f t="shared" si="67"/>
        <v>-0.23264705249281104</v>
      </c>
      <c r="CM100" s="1086">
        <f t="shared" si="67"/>
        <v>-1.5103343700589646</v>
      </c>
      <c r="CN100" s="1086">
        <f t="shared" si="67"/>
        <v>-2.0736851956630931</v>
      </c>
      <c r="CO100" s="1086">
        <f t="shared" si="67"/>
        <v>-1.7872998415269963</v>
      </c>
      <c r="CP100" s="1086">
        <f t="shared" si="67"/>
        <v>-3.5451861096956465</v>
      </c>
      <c r="CQ100" s="1086">
        <f t="shared" si="67"/>
        <v>-2.3155797594574645</v>
      </c>
      <c r="CR100" s="1086">
        <f t="shared" si="67"/>
        <v>-0.60805718393636843</v>
      </c>
      <c r="CS100" s="1076"/>
      <c r="CT100" s="1076"/>
      <c r="CU100" s="1076"/>
      <c r="CV100" s="1076"/>
      <c r="CW100" s="1076"/>
      <c r="CX100" s="1076"/>
      <c r="CY100" s="1076"/>
      <c r="CZ100" s="1076"/>
      <c r="DA100" s="1076"/>
      <c r="DB100" s="1076"/>
      <c r="DC100" s="993"/>
      <c r="DD100" s="281"/>
      <c r="DF100" s="3">
        <v>124</v>
      </c>
      <c r="DG100" s="4">
        <v>1990</v>
      </c>
      <c r="DH100" s="4">
        <v>2.9711319999999999</v>
      </c>
      <c r="DI100" s="1172"/>
      <c r="DJ100" s="5"/>
      <c r="DK100" s="1444">
        <v>124</v>
      </c>
      <c r="DL100" s="1444">
        <v>1990</v>
      </c>
      <c r="DM100" s="1444">
        <v>0.23761460000000001</v>
      </c>
      <c r="DN100" s="1440">
        <f t="shared" si="52"/>
        <v>0.71284380000000003</v>
      </c>
      <c r="DO100" s="993"/>
      <c r="DP100" s="488"/>
      <c r="DQ100" s="247"/>
      <c r="DR100" s="247"/>
      <c r="DS100" s="247"/>
      <c r="DT100" s="247"/>
      <c r="DU100" s="247"/>
      <c r="DV100" s="261"/>
      <c r="DW100" s="261"/>
      <c r="DX100" s="261"/>
      <c r="DY100" s="261"/>
      <c r="DZ100" s="261"/>
      <c r="EA100" s="261"/>
      <c r="EB100" s="261"/>
      <c r="EC100" s="261"/>
      <c r="ED100" s="261"/>
      <c r="EE100" s="261"/>
      <c r="EF100" s="993"/>
      <c r="EG100" s="261"/>
      <c r="EH100" s="281"/>
      <c r="EI100" s="281"/>
      <c r="EJ100" s="281"/>
      <c r="EK100" s="281"/>
      <c r="EL100" s="281"/>
      <c r="EM100" s="281"/>
      <c r="EN100" s="281"/>
      <c r="EO100" s="281"/>
      <c r="EP100" s="281"/>
      <c r="EQ100" s="281"/>
      <c r="ER100" s="281"/>
      <c r="ES100" s="281"/>
      <c r="ET100" s="281"/>
      <c r="EU100" s="281"/>
      <c r="EV100" s="281"/>
      <c r="EW100" s="281"/>
      <c r="EX100" s="281"/>
      <c r="EY100" s="281"/>
      <c r="EZ100" s="281"/>
      <c r="FA100" s="281"/>
      <c r="FB100" s="281"/>
      <c r="FC100" s="281"/>
      <c r="FD100" s="281"/>
      <c r="FE100" s="281"/>
      <c r="FF100" s="281"/>
      <c r="FG100" s="281"/>
      <c r="FH100" s="281"/>
      <c r="FI100" s="281"/>
      <c r="FJ100" s="281"/>
      <c r="FK100" s="281"/>
      <c r="FL100" s="281"/>
      <c r="FM100" s="281"/>
      <c r="FN100" s="281"/>
      <c r="FO100" s="281"/>
      <c r="FP100" s="281"/>
      <c r="FQ100" s="281"/>
      <c r="FR100" s="281"/>
      <c r="FS100" s="281"/>
      <c r="FT100" s="281"/>
      <c r="FU100" s="281"/>
      <c r="FV100" s="281"/>
      <c r="FW100" s="281"/>
      <c r="FX100" s="281"/>
      <c r="FY100" s="281"/>
    </row>
    <row r="101" spans="1:181" s="25" customFormat="1" ht="20.100000000000001" customHeight="1">
      <c r="A101" s="98"/>
      <c r="G101" s="464"/>
      <c r="H101" s="98"/>
      <c r="I101" s="949" t="s">
        <v>134</v>
      </c>
      <c r="J101" s="948">
        <v>182</v>
      </c>
      <c r="K101" s="948">
        <v>1</v>
      </c>
      <c r="L101" s="948"/>
      <c r="M101" s="1029" t="s">
        <v>638</v>
      </c>
      <c r="N101" s="464"/>
      <c r="O101" s="98"/>
      <c r="P101" s="25" t="str">
        <f t="shared" si="65"/>
        <v>HistoricalPrimary Balance (in percent of GDP)</v>
      </c>
      <c r="R101" s="99" t="s">
        <v>544</v>
      </c>
      <c r="S101" s="107"/>
      <c r="T101" s="107"/>
      <c r="U101" s="591">
        <f>(historical!B$30)*100</f>
        <v>-5.2301873674015509E-2</v>
      </c>
      <c r="V101" s="591">
        <f>(historical!C$30)*100</f>
        <v>-3.5403360745349088</v>
      </c>
      <c r="W101" s="591">
        <f>(historical!D$30)*100</f>
        <v>-3.5403360745349088</v>
      </c>
      <c r="X101" s="591">
        <f>(historical!E$30)*100</f>
        <v>-3.5403360745349088</v>
      </c>
      <c r="Y101" s="591">
        <f>(historical!F$30)*100</f>
        <v>-3.5403360745349088</v>
      </c>
      <c r="Z101" s="592">
        <f>(historical!G$30)*100</f>
        <v>-3.5403360745349088</v>
      </c>
      <c r="AA101" s="464"/>
      <c r="AO101" s="464"/>
      <c r="AP101" s="289"/>
      <c r="AQ101" s="265" t="s">
        <v>421</v>
      </c>
      <c r="AR101" s="265"/>
      <c r="AS101" s="265"/>
      <c r="AT101" s="598">
        <f t="shared" ref="AT101:AY104" si="68">VLOOKUP(CONCATENATE($AQ$100,$AQ101),$P$7:$Z$158,U$2,FALSE)</f>
        <v>37.094606570883371</v>
      </c>
      <c r="AU101" s="598">
        <f t="shared" ca="1" si="68"/>
        <v>36.564685698719956</v>
      </c>
      <c r="AV101" s="598">
        <f t="shared" ca="1" si="68"/>
        <v>36.799396931371355</v>
      </c>
      <c r="AW101" s="598">
        <f t="shared" ca="1" si="68"/>
        <v>37.665139591309973</v>
      </c>
      <c r="AX101" s="598">
        <f t="shared" ca="1" si="68"/>
        <v>39.79464642811719</v>
      </c>
      <c r="AY101" s="598">
        <f t="shared" ca="1" si="68"/>
        <v>42.60683361230204</v>
      </c>
      <c r="AZ101" s="464"/>
      <c r="BA101" s="247"/>
      <c r="BB101" s="247"/>
      <c r="BC101" s="247"/>
      <c r="BD101" s="247"/>
      <c r="BE101" s="247"/>
      <c r="BF101" s="247"/>
      <c r="BG101" s="247"/>
      <c r="BH101" s="247"/>
      <c r="BI101" s="247"/>
      <c r="BJ101" s="247"/>
      <c r="BK101" s="254"/>
      <c r="BL101" s="256"/>
      <c r="BM101" s="261"/>
      <c r="BN101" s="261"/>
      <c r="BO101" s="261"/>
      <c r="BP101" s="261"/>
      <c r="BQ101" s="261"/>
      <c r="BR101" s="261"/>
      <c r="BS101" s="261"/>
      <c r="BT101" s="261"/>
      <c r="BU101" s="247"/>
      <c r="BV101" s="261"/>
      <c r="BW101" s="247"/>
      <c r="BX101" s="247"/>
      <c r="BY101" s="247"/>
      <c r="BZ101" s="254"/>
      <c r="CA101" s="255"/>
      <c r="CB101" s="247"/>
      <c r="CC101" s="247"/>
      <c r="CD101" s="247"/>
      <c r="CE101" s="247"/>
      <c r="CF101" s="247"/>
      <c r="CG101" s="254"/>
      <c r="CH101" s="284" t="s">
        <v>715</v>
      </c>
      <c r="CI101" s="1086"/>
      <c r="CJ101" s="1086">
        <f t="shared" ref="CJ101:CR101" si="69">CJ95-CJ93</f>
        <v>5.6830028860535355</v>
      </c>
      <c r="CK101" s="1086">
        <f t="shared" si="69"/>
        <v>4.2194977054629428</v>
      </c>
      <c r="CL101" s="1086">
        <f t="shared" si="69"/>
        <v>5.5246823802197653</v>
      </c>
      <c r="CM101" s="1086">
        <f t="shared" si="69"/>
        <v>2.8568991963173014</v>
      </c>
      <c r="CN101" s="1086">
        <f t="shared" si="69"/>
        <v>2.6079444987206148</v>
      </c>
      <c r="CO101" s="1086">
        <f t="shared" si="69"/>
        <v>2.3910717748017385</v>
      </c>
      <c r="CP101" s="1086">
        <f t="shared" si="69"/>
        <v>3.8146976902990088</v>
      </c>
      <c r="CQ101" s="1086">
        <f t="shared" si="69"/>
        <v>2.977244148218523</v>
      </c>
      <c r="CR101" s="1086">
        <f t="shared" si="69"/>
        <v>2.2202716471132669</v>
      </c>
      <c r="CS101" s="1076"/>
      <c r="CT101" s="1076"/>
      <c r="CU101" s="1076"/>
      <c r="CV101" s="1076"/>
      <c r="CW101" s="1076"/>
      <c r="CX101" s="1076"/>
      <c r="CY101" s="1076"/>
      <c r="CZ101" s="1076"/>
      <c r="DA101" s="1076"/>
      <c r="DB101" s="1076"/>
      <c r="DC101" s="993"/>
      <c r="DD101" s="281"/>
      <c r="DF101" s="3">
        <v>124</v>
      </c>
      <c r="DG101" s="4">
        <v>1991</v>
      </c>
      <c r="DH101" s="4">
        <v>3.11822</v>
      </c>
      <c r="DI101" s="1172"/>
      <c r="DJ101" s="5"/>
      <c r="DK101" s="1444">
        <v>124</v>
      </c>
      <c r="DL101" s="1444">
        <v>1991</v>
      </c>
      <c r="DM101" s="1444">
        <v>0.14708830000000001</v>
      </c>
      <c r="DN101" s="1440">
        <f t="shared" si="52"/>
        <v>0.44126490000000002</v>
      </c>
      <c r="DO101" s="993"/>
      <c r="DP101" s="488"/>
      <c r="DQ101" s="247"/>
      <c r="DR101" s="247"/>
      <c r="DS101" s="247"/>
      <c r="DT101" s="247"/>
      <c r="DU101" s="247"/>
      <c r="DV101" s="261"/>
      <c r="DW101" s="261"/>
      <c r="DX101" s="261"/>
      <c r="DY101" s="261"/>
      <c r="DZ101" s="261"/>
      <c r="EA101" s="261"/>
      <c r="EB101" s="261"/>
      <c r="EC101" s="261"/>
      <c r="ED101" s="261"/>
      <c r="EE101" s="261"/>
      <c r="EF101" s="993"/>
      <c r="EG101" s="261"/>
      <c r="EH101" s="281"/>
      <c r="EI101" s="281"/>
      <c r="EJ101" s="281"/>
      <c r="EK101" s="281"/>
      <c r="EL101" s="281"/>
      <c r="EM101" s="281"/>
      <c r="EN101" s="281"/>
      <c r="EO101" s="281"/>
      <c r="EP101" s="281"/>
      <c r="EQ101" s="281"/>
      <c r="ER101" s="281"/>
      <c r="ES101" s="281"/>
      <c r="ET101" s="281"/>
      <c r="EU101" s="281"/>
      <c r="EV101" s="281"/>
      <c r="EW101" s="281"/>
      <c r="EX101" s="281"/>
      <c r="EY101" s="281"/>
      <c r="EZ101" s="281"/>
      <c r="FA101" s="281"/>
      <c r="FB101" s="281"/>
      <c r="FC101" s="281"/>
      <c r="FD101" s="281"/>
      <c r="FE101" s="281"/>
      <c r="FF101" s="281"/>
      <c r="FG101" s="281"/>
      <c r="FH101" s="281"/>
      <c r="FI101" s="281"/>
      <c r="FJ101" s="281"/>
      <c r="FK101" s="281"/>
      <c r="FL101" s="281"/>
      <c r="FM101" s="281"/>
      <c r="FN101" s="281"/>
      <c r="FO101" s="281"/>
      <c r="FP101" s="281"/>
      <c r="FQ101" s="281"/>
      <c r="FR101" s="281"/>
      <c r="FS101" s="281"/>
      <c r="FT101" s="281"/>
      <c r="FU101" s="281"/>
      <c r="FV101" s="281"/>
      <c r="FW101" s="281"/>
      <c r="FX101" s="281"/>
      <c r="FY101" s="281"/>
    </row>
    <row r="102" spans="1:181" s="25" customFormat="1" ht="20.100000000000001" customHeight="1" thickBot="1">
      <c r="A102" s="98"/>
      <c r="G102" s="464"/>
      <c r="H102" s="98"/>
      <c r="I102" s="949" t="s">
        <v>252</v>
      </c>
      <c r="J102" s="948">
        <v>453</v>
      </c>
      <c r="K102" s="948">
        <v>0</v>
      </c>
      <c r="L102" s="948"/>
      <c r="M102" s="1029" t="s">
        <v>639</v>
      </c>
      <c r="N102" s="464"/>
      <c r="O102" s="98"/>
      <c r="P102" s="25" t="str">
        <f t="shared" si="65"/>
        <v>HistoricalEffective Interest Rate (in percent)</v>
      </c>
      <c r="R102" s="101" t="s">
        <v>428</v>
      </c>
      <c r="S102" s="632"/>
      <c r="T102" s="632"/>
      <c r="U102" s="594">
        <f>(historical!B$25)*100</f>
        <v>1.9586439007071743</v>
      </c>
      <c r="V102" s="594">
        <f ca="1">(historical!C$25)*100</f>
        <v>2.4781166566290191</v>
      </c>
      <c r="W102" s="594">
        <f ca="1">(historical!D$25)*100</f>
        <v>3.8229485917452037</v>
      </c>
      <c r="X102" s="594">
        <f ca="1">(historical!E$25)*100</f>
        <v>3.0643363287428316</v>
      </c>
      <c r="Y102" s="594">
        <f ca="1">(historical!F$25)*100</f>
        <v>4.0723132015401582</v>
      </c>
      <c r="Z102" s="595">
        <f ca="1">(historical!G$25)*100</f>
        <v>4.40032170441674</v>
      </c>
      <c r="AA102" s="464"/>
      <c r="AO102" s="464"/>
      <c r="AP102" s="289"/>
      <c r="AQ102" s="107" t="s">
        <v>424</v>
      </c>
      <c r="AR102" s="107"/>
      <c r="AS102" s="107"/>
      <c r="AT102" s="599">
        <f t="shared" si="68"/>
        <v>100.40391596609757</v>
      </c>
      <c r="AU102" s="599" t="e">
        <f t="shared" ca="1" si="68"/>
        <v>#DIV/0!</v>
      </c>
      <c r="AV102" s="599" t="e">
        <f t="shared" ca="1" si="68"/>
        <v>#DIV/0!</v>
      </c>
      <c r="AW102" s="599" t="e">
        <f t="shared" ca="1" si="68"/>
        <v>#DIV/0!</v>
      </c>
      <c r="AX102" s="599" t="e">
        <f t="shared" ca="1" si="68"/>
        <v>#DIV/0!</v>
      </c>
      <c r="AY102" s="599" t="e">
        <f t="shared" ca="1" si="68"/>
        <v>#DIV/0!</v>
      </c>
      <c r="AZ102" s="464"/>
      <c r="BA102" s="247"/>
      <c r="BB102" s="247"/>
      <c r="BC102" s="247"/>
      <c r="BD102" s="247"/>
      <c r="BE102" s="247"/>
      <c r="BF102" s="247"/>
      <c r="BG102" s="247"/>
      <c r="BH102" s="247"/>
      <c r="BI102" s="247"/>
      <c r="BJ102" s="247"/>
      <c r="BK102" s="254"/>
      <c r="BL102" s="256"/>
      <c r="BM102" s="261"/>
      <c r="BN102" s="261"/>
      <c r="BO102" s="261"/>
      <c r="BP102" s="261"/>
      <c r="BQ102" s="261"/>
      <c r="BR102" s="261"/>
      <c r="BS102" s="261"/>
      <c r="BT102" s="261"/>
      <c r="BU102" s="247"/>
      <c r="BV102" s="261"/>
      <c r="BW102" s="247"/>
      <c r="BX102" s="247"/>
      <c r="BY102" s="247"/>
      <c r="BZ102" s="254"/>
      <c r="CA102" s="255"/>
      <c r="CB102" s="247"/>
      <c r="CC102" s="247"/>
      <c r="CD102" s="247"/>
      <c r="CE102" s="247"/>
      <c r="CF102" s="247"/>
      <c r="CG102" s="254"/>
      <c r="CH102" s="284"/>
      <c r="CI102" s="284"/>
      <c r="CJ102" s="284"/>
      <c r="CK102" s="284"/>
      <c r="CL102" s="284"/>
      <c r="CM102" s="284"/>
      <c r="CN102" s="284"/>
      <c r="CO102" s="284"/>
      <c r="CP102" s="284"/>
      <c r="CQ102" s="284"/>
      <c r="CR102" s="284"/>
      <c r="CS102" s="281"/>
      <c r="CT102" s="17"/>
      <c r="CU102" s="17"/>
      <c r="CV102" s="17"/>
      <c r="CW102" s="17"/>
      <c r="CX102" s="17"/>
      <c r="CY102" s="17"/>
      <c r="CZ102" s="17"/>
      <c r="DA102" s="17"/>
      <c r="DB102" s="17"/>
      <c r="DC102" s="993"/>
      <c r="DD102" s="281"/>
      <c r="DF102" s="3">
        <v>124</v>
      </c>
      <c r="DG102" s="4">
        <v>1992</v>
      </c>
      <c r="DH102" s="4">
        <v>2.8550219999999999</v>
      </c>
      <c r="DI102" s="1172"/>
      <c r="DJ102" s="5"/>
      <c r="DK102" s="1444">
        <v>124</v>
      </c>
      <c r="DL102" s="1444">
        <v>1992</v>
      </c>
      <c r="DM102" s="1444">
        <v>-0.2631984</v>
      </c>
      <c r="DN102" s="1440">
        <f t="shared" si="52"/>
        <v>-0.78959519999999994</v>
      </c>
      <c r="DO102" s="993"/>
      <c r="DP102" s="488"/>
      <c r="DQ102" s="247"/>
      <c r="DR102" s="247"/>
      <c r="DS102" s="247"/>
      <c r="DT102" s="247"/>
      <c r="DU102" s="247"/>
      <c r="DV102" s="261"/>
      <c r="DW102" s="261"/>
      <c r="DX102" s="261"/>
      <c r="DY102" s="261"/>
      <c r="DZ102" s="261"/>
      <c r="EA102" s="261"/>
      <c r="EB102" s="261"/>
      <c r="EC102" s="261"/>
      <c r="ED102" s="261"/>
      <c r="EE102" s="261"/>
      <c r="EF102" s="993"/>
      <c r="EG102" s="261"/>
      <c r="EH102" s="281"/>
      <c r="EI102" s="281"/>
      <c r="EJ102" s="281"/>
      <c r="EK102" s="281"/>
      <c r="EL102" s="281"/>
      <c r="EM102" s="281"/>
      <c r="EN102" s="281"/>
      <c r="EO102" s="281"/>
      <c r="EP102" s="281"/>
      <c r="EQ102" s="281"/>
      <c r="ER102" s="281"/>
      <c r="ES102" s="281"/>
      <c r="ET102" s="281"/>
      <c r="EU102" s="281"/>
      <c r="EV102" s="281"/>
      <c r="EW102" s="281"/>
      <c r="EX102" s="281"/>
      <c r="EY102" s="281"/>
      <c r="EZ102" s="281"/>
      <c r="FA102" s="281"/>
      <c r="FB102" s="281"/>
      <c r="FC102" s="281"/>
      <c r="FD102" s="281"/>
      <c r="FE102" s="281"/>
      <c r="FF102" s="281"/>
      <c r="FG102" s="281"/>
      <c r="FH102" s="281"/>
      <c r="FI102" s="281"/>
      <c r="FJ102" s="281"/>
      <c r="FK102" s="281"/>
      <c r="FL102" s="281"/>
      <c r="FM102" s="281"/>
      <c r="FN102" s="281"/>
      <c r="FO102" s="281"/>
      <c r="FP102" s="281"/>
      <c r="FQ102" s="281"/>
      <c r="FR102" s="281"/>
      <c r="FS102" s="281"/>
      <c r="FT102" s="281"/>
      <c r="FU102" s="281"/>
      <c r="FV102" s="281"/>
      <c r="FW102" s="281"/>
      <c r="FX102" s="281"/>
      <c r="FY102" s="281"/>
    </row>
    <row r="103" spans="1:181" s="25" customFormat="1" ht="20.100000000000001" customHeight="1">
      <c r="A103" s="98"/>
      <c r="G103" s="464"/>
      <c r="H103" s="98"/>
      <c r="I103" s="949" t="s">
        <v>253</v>
      </c>
      <c r="J103" s="948">
        <v>968</v>
      </c>
      <c r="K103" s="948">
        <v>0</v>
      </c>
      <c r="L103" s="948"/>
      <c r="M103" s="1029" t="s">
        <v>640</v>
      </c>
      <c r="N103" s="464"/>
      <c r="O103" s="98"/>
      <c r="AA103" s="464"/>
      <c r="AO103" s="464"/>
      <c r="AP103" s="289"/>
      <c r="AQ103" s="107" t="s">
        <v>425</v>
      </c>
      <c r="AR103" s="107"/>
      <c r="AS103" s="107"/>
      <c r="AT103" s="599">
        <f t="shared" si="68"/>
        <v>10.043774810504543</v>
      </c>
      <c r="AU103" s="599" t="e">
        <f t="shared" ca="1" si="68"/>
        <v>#DIV/0!</v>
      </c>
      <c r="AV103" s="599" t="e">
        <f t="shared" ca="1" si="68"/>
        <v>#DIV/0!</v>
      </c>
      <c r="AW103" s="599" t="e">
        <f t="shared" ca="1" si="68"/>
        <v>#DIV/0!</v>
      </c>
      <c r="AX103" s="599" t="e">
        <f t="shared" ca="1" si="68"/>
        <v>#DIV/0!</v>
      </c>
      <c r="AY103" s="599" t="e">
        <f t="shared" ca="1" si="68"/>
        <v>#DIV/0!</v>
      </c>
      <c r="AZ103" s="464"/>
      <c r="BA103" s="247"/>
      <c r="BB103" s="247"/>
      <c r="BC103" s="247"/>
      <c r="BD103" s="247"/>
      <c r="BE103" s="247"/>
      <c r="BF103" s="247"/>
      <c r="BG103" s="247"/>
      <c r="BH103" s="247"/>
      <c r="BI103" s="247"/>
      <c r="BJ103" s="247"/>
      <c r="BK103" s="254"/>
      <c r="BL103" s="256"/>
      <c r="BM103" s="261"/>
      <c r="BN103" s="261"/>
      <c r="BO103" s="261"/>
      <c r="BP103" s="261"/>
      <c r="BQ103" s="261"/>
      <c r="BR103" s="261"/>
      <c r="BS103" s="261"/>
      <c r="BT103" s="261"/>
      <c r="BU103" s="247"/>
      <c r="BV103" s="261"/>
      <c r="BW103" s="247"/>
      <c r="BX103" s="247"/>
      <c r="BY103" s="247"/>
      <c r="BZ103" s="254"/>
      <c r="CA103" s="255"/>
      <c r="CB103" s="247"/>
      <c r="CC103" s="247"/>
      <c r="CD103" s="247"/>
      <c r="CE103" s="247"/>
      <c r="CF103" s="247"/>
      <c r="CG103" s="254"/>
      <c r="CH103" s="17" t="s">
        <v>720</v>
      </c>
      <c r="CI103" s="17"/>
      <c r="CJ103" s="1077"/>
      <c r="CK103" s="1077"/>
      <c r="CL103" s="1077"/>
      <c r="CM103" s="1077"/>
      <c r="CN103" s="1077"/>
      <c r="CO103" s="1077"/>
      <c r="CP103" s="1077"/>
      <c r="CQ103" s="1077"/>
      <c r="CR103" s="1077"/>
      <c r="CS103" s="1077"/>
      <c r="CT103" s="17" t="s">
        <v>721</v>
      </c>
      <c r="CU103" s="1077"/>
      <c r="CV103" s="1077"/>
      <c r="CW103" s="1077"/>
      <c r="CX103" s="1077"/>
      <c r="CY103" s="1077"/>
      <c r="CZ103" s="1077"/>
      <c r="DA103" s="1077"/>
      <c r="DB103" s="1077"/>
      <c r="DC103" s="993"/>
      <c r="DD103" s="281"/>
      <c r="DF103" s="3">
        <v>124</v>
      </c>
      <c r="DG103" s="4">
        <v>1993</v>
      </c>
      <c r="DH103" s="4">
        <v>2.9798529999999999</v>
      </c>
      <c r="DI103" s="1172"/>
      <c r="DJ103" s="5"/>
      <c r="DK103" s="1444">
        <v>124</v>
      </c>
      <c r="DL103" s="1444">
        <v>1993</v>
      </c>
      <c r="DM103" s="1444">
        <v>0.12483089999999999</v>
      </c>
      <c r="DN103" s="1440">
        <f t="shared" si="52"/>
        <v>0.37449270000000001</v>
      </c>
      <c r="DO103" s="993"/>
      <c r="DP103" s="488"/>
      <c r="DQ103" s="247"/>
      <c r="DR103" s="247"/>
      <c r="DS103" s="247"/>
      <c r="DT103" s="247"/>
      <c r="DU103" s="247"/>
      <c r="DV103" s="261"/>
      <c r="DW103" s="261"/>
      <c r="DX103" s="261"/>
      <c r="DY103" s="261"/>
      <c r="DZ103" s="261"/>
      <c r="EA103" s="261"/>
      <c r="EB103" s="261"/>
      <c r="EC103" s="261"/>
      <c r="ED103" s="261"/>
      <c r="EE103" s="261"/>
      <c r="EF103" s="993"/>
      <c r="EG103" s="261"/>
      <c r="EH103" s="281"/>
      <c r="EI103" s="281"/>
      <c r="EJ103" s="281"/>
      <c r="EK103" s="281"/>
      <c r="EL103" s="281"/>
      <c r="EM103" s="281"/>
      <c r="EN103" s="281"/>
      <c r="EO103" s="281"/>
      <c r="EP103" s="281"/>
      <c r="EQ103" s="281"/>
      <c r="ER103" s="281"/>
      <c r="ES103" s="281"/>
      <c r="ET103" s="281"/>
      <c r="EU103" s="281"/>
      <c r="EV103" s="281"/>
      <c r="EW103" s="281"/>
      <c r="EX103" s="281"/>
      <c r="EY103" s="281"/>
      <c r="EZ103" s="281"/>
      <c r="FA103" s="281"/>
      <c r="FB103" s="281"/>
      <c r="FC103" s="281"/>
      <c r="FD103" s="281"/>
      <c r="FE103" s="281"/>
      <c r="FF103" s="281"/>
      <c r="FG103" s="281"/>
      <c r="FH103" s="281"/>
      <c r="FI103" s="281"/>
      <c r="FJ103" s="281"/>
      <c r="FK103" s="281"/>
      <c r="FL103" s="281"/>
      <c r="FM103" s="281"/>
      <c r="FN103" s="281"/>
      <c r="FO103" s="281"/>
      <c r="FP103" s="281"/>
      <c r="FQ103" s="281"/>
      <c r="FR103" s="281"/>
      <c r="FS103" s="281"/>
      <c r="FT103" s="281"/>
      <c r="FU103" s="281"/>
      <c r="FV103" s="281"/>
      <c r="FW103" s="281"/>
      <c r="FX103" s="281"/>
      <c r="FY103" s="281"/>
    </row>
    <row r="104" spans="1:181" s="25" customFormat="1" ht="20.100000000000001" customHeight="1">
      <c r="A104" s="98"/>
      <c r="G104" s="464"/>
      <c r="H104" s="98"/>
      <c r="I104" s="949" t="s">
        <v>254</v>
      </c>
      <c r="J104" s="948">
        <v>922</v>
      </c>
      <c r="K104" s="948">
        <v>0</v>
      </c>
      <c r="L104" s="948"/>
      <c r="M104" s="1029" t="s">
        <v>641</v>
      </c>
      <c r="N104" s="464"/>
      <c r="O104" s="98"/>
      <c r="AA104" s="473"/>
      <c r="AB104" s="246"/>
      <c r="AO104" s="464"/>
      <c r="AP104" s="289"/>
      <c r="AQ104" s="107" t="s">
        <v>423</v>
      </c>
      <c r="AR104" s="107"/>
      <c r="AS104" s="107"/>
      <c r="AT104" s="599">
        <f t="shared" si="68"/>
        <v>3.5994671534530136</v>
      </c>
      <c r="AU104" s="599">
        <f t="shared" ca="1" si="68"/>
        <v>7.1027380579709201</v>
      </c>
      <c r="AV104" s="599">
        <f t="shared" ca="1" si="68"/>
        <v>12.480881544424459</v>
      </c>
      <c r="AW104" s="599">
        <f t="shared" ca="1" si="68"/>
        <v>18.462620869326276</v>
      </c>
      <c r="AX104" s="599">
        <f t="shared" ca="1" si="68"/>
        <v>22.223832267570238</v>
      </c>
      <c r="AY104" s="599">
        <f t="shared" ca="1" si="68"/>
        <v>25.716851627295739</v>
      </c>
      <c r="AZ104" s="464"/>
      <c r="BA104" s="247"/>
      <c r="BB104" s="247"/>
      <c r="BC104" s="247"/>
      <c r="BD104" s="247"/>
      <c r="BE104" s="247"/>
      <c r="BF104" s="247"/>
      <c r="BG104" s="247"/>
      <c r="BH104" s="247"/>
      <c r="BI104" s="247"/>
      <c r="BJ104" s="247"/>
      <c r="BK104" s="254"/>
      <c r="BL104" s="256"/>
      <c r="BM104" s="261"/>
      <c r="BN104" s="261"/>
      <c r="BO104" s="261"/>
      <c r="BP104" s="261"/>
      <c r="BQ104" s="261"/>
      <c r="BR104" s="261"/>
      <c r="BS104" s="261"/>
      <c r="BT104" s="261"/>
      <c r="BU104" s="247"/>
      <c r="BV104" s="261"/>
      <c r="BW104" s="247"/>
      <c r="BX104" s="247"/>
      <c r="BY104" s="247"/>
      <c r="BZ104" s="254"/>
      <c r="CA104" s="255"/>
      <c r="CB104" s="247"/>
      <c r="CC104" s="247"/>
      <c r="CD104" s="247"/>
      <c r="CE104" s="247"/>
      <c r="CF104" s="247"/>
      <c r="CG104" s="254"/>
      <c r="CH104" s="17" t="s">
        <v>293</v>
      </c>
      <c r="CI104" s="17"/>
      <c r="CJ104" s="1093">
        <v>-24.746863138331996</v>
      </c>
      <c r="CK104" s="1093">
        <v>-22.341295685144061</v>
      </c>
      <c r="CL104" s="1093">
        <v>-1.8534891087737213</v>
      </c>
      <c r="CM104" s="1093">
        <v>-6.2315545087075677</v>
      </c>
      <c r="CN104" s="1093">
        <v>-6.6978283670260117</v>
      </c>
      <c r="CO104" s="1093">
        <v>-2.3650658246852601</v>
      </c>
      <c r="CP104" s="1093">
        <v>-4.0052571540215851</v>
      </c>
      <c r="CQ104" s="1093">
        <v>-3.5439529078819612</v>
      </c>
      <c r="CR104" s="1093">
        <v>-4.0521425764068582</v>
      </c>
      <c r="CS104" s="1098"/>
      <c r="CT104" s="1092">
        <v>-49.826187302937143</v>
      </c>
      <c r="CU104" s="1092">
        <v>-7.6791625240142674</v>
      </c>
      <c r="CV104" s="1092">
        <v>-7.0720738114365354</v>
      </c>
      <c r="CW104" s="1092">
        <v>-14.793054996205296</v>
      </c>
      <c r="CX104" s="1092">
        <v>-16.967612835764996</v>
      </c>
      <c r="CY104" s="1092">
        <v>-12.473219766626507</v>
      </c>
      <c r="CZ104" s="1092">
        <v>-25.657057169130848</v>
      </c>
      <c r="DA104" s="1092">
        <v>-19.615511281563705</v>
      </c>
      <c r="DB104" s="1092">
        <v>-317.39210216411698</v>
      </c>
      <c r="DC104" s="993"/>
      <c r="DD104" s="281"/>
      <c r="DF104" s="3">
        <v>124</v>
      </c>
      <c r="DG104" s="4">
        <v>1994</v>
      </c>
      <c r="DH104" s="4">
        <v>3.5278999999999998</v>
      </c>
      <c r="DI104" s="1172"/>
      <c r="DJ104" s="5"/>
      <c r="DK104" s="1444">
        <v>124</v>
      </c>
      <c r="DL104" s="1444">
        <v>1994</v>
      </c>
      <c r="DM104" s="1444">
        <v>0.54804679999999995</v>
      </c>
      <c r="DN104" s="1440">
        <f t="shared" si="52"/>
        <v>1.6441403999999999</v>
      </c>
      <c r="DO104" s="993"/>
      <c r="DP104" s="488"/>
      <c r="DQ104" s="247"/>
      <c r="DR104" s="247"/>
      <c r="DS104" s="247"/>
      <c r="DT104" s="247"/>
      <c r="DU104" s="247"/>
      <c r="DV104" s="261"/>
      <c r="DW104" s="261"/>
      <c r="DX104" s="261"/>
      <c r="DY104" s="261"/>
      <c r="DZ104" s="261"/>
      <c r="EA104" s="261"/>
      <c r="EB104" s="261"/>
      <c r="EC104" s="261"/>
      <c r="ED104" s="261"/>
      <c r="EE104" s="261"/>
      <c r="EF104" s="993"/>
      <c r="EG104" s="261"/>
      <c r="EH104" s="281"/>
      <c r="EI104" s="281"/>
      <c r="EJ104" s="281"/>
      <c r="EK104" s="281"/>
      <c r="EL104" s="281"/>
      <c r="EM104" s="281"/>
      <c r="EN104" s="281"/>
      <c r="EO104" s="281"/>
      <c r="EP104" s="281"/>
      <c r="EQ104" s="281"/>
      <c r="ER104" s="281"/>
      <c r="ES104" s="281"/>
      <c r="ET104" s="281"/>
      <c r="EU104" s="281"/>
      <c r="EV104" s="281"/>
      <c r="EW104" s="281"/>
      <c r="EX104" s="281"/>
      <c r="EY104" s="281"/>
      <c r="EZ104" s="281"/>
      <c r="FA104" s="281"/>
      <c r="FB104" s="281"/>
      <c r="FC104" s="281"/>
      <c r="FD104" s="281"/>
      <c r="FE104" s="281"/>
      <c r="FF104" s="281"/>
      <c r="FG104" s="281"/>
      <c r="FH104" s="281"/>
      <c r="FI104" s="281"/>
      <c r="FJ104" s="281"/>
      <c r="FK104" s="281"/>
      <c r="FL104" s="281"/>
      <c r="FM104" s="281"/>
      <c r="FN104" s="281"/>
      <c r="FO104" s="281"/>
      <c r="FP104" s="281"/>
      <c r="FQ104" s="281"/>
      <c r="FR104" s="281"/>
      <c r="FS104" s="281"/>
      <c r="FT104" s="281"/>
      <c r="FU104" s="281"/>
      <c r="FV104" s="281"/>
      <c r="FW104" s="281"/>
      <c r="FX104" s="281"/>
      <c r="FY104" s="281"/>
    </row>
    <row r="105" spans="1:181" ht="20.100000000000001" customHeight="1" thickBot="1">
      <c r="I105" s="949" t="s">
        <v>1211</v>
      </c>
      <c r="J105" s="948">
        <v>135</v>
      </c>
      <c r="K105" s="948">
        <v>1</v>
      </c>
      <c r="L105" s="284"/>
      <c r="M105" s="1029" t="s">
        <v>1212</v>
      </c>
      <c r="R105" s="25"/>
      <c r="S105" s="25"/>
      <c r="T105" s="25"/>
      <c r="U105" s="25"/>
      <c r="V105" s="25"/>
      <c r="W105" s="25"/>
      <c r="X105" s="25"/>
      <c r="Y105" s="25"/>
      <c r="Z105" s="25"/>
      <c r="AA105" s="474"/>
      <c r="AB105" s="100"/>
      <c r="AP105" s="289"/>
      <c r="AQ105" s="107" t="s">
        <v>418</v>
      </c>
      <c r="AR105" s="107"/>
      <c r="AS105" s="107"/>
      <c r="AT105" s="591">
        <f t="shared" ref="AT105:AY108" si="70">IFERROR(VLOOKUP(CONCATENATE($AQ$100,$AQ105),$P$7:$Z$158,U$2,FALSE),"")</f>
        <v>4.7697166816344838</v>
      </c>
      <c r="AU105" s="591">
        <f t="shared" si="70"/>
        <v>3.1686434574876632</v>
      </c>
      <c r="AV105" s="591">
        <f t="shared" si="70"/>
        <v>2.9947102444823903</v>
      </c>
      <c r="AW105" s="591">
        <f t="shared" si="70"/>
        <v>2.8871442593204177</v>
      </c>
      <c r="AX105" s="591">
        <f t="shared" si="70"/>
        <v>2.933023694707515</v>
      </c>
      <c r="AY105" s="591">
        <f t="shared" si="70"/>
        <v>2.8000000000000025</v>
      </c>
      <c r="BL105" s="256"/>
      <c r="BM105" s="261"/>
      <c r="BN105" s="261"/>
      <c r="BO105" s="261"/>
      <c r="BP105" s="261"/>
      <c r="BQ105" s="261"/>
      <c r="BS105" s="261"/>
      <c r="BT105" s="261"/>
      <c r="CH105" s="17" t="s">
        <v>706</v>
      </c>
      <c r="CJ105" s="1093">
        <v>-16.989451936079675</v>
      </c>
      <c r="CK105" s="1093">
        <v>-7.1954589012149501</v>
      </c>
      <c r="CL105" s="1093">
        <v>-0.953642006208683</v>
      </c>
      <c r="CM105" s="1093">
        <v>-3.7498289419355424</v>
      </c>
      <c r="CN105" s="1093">
        <v>-3.883482234959895</v>
      </c>
      <c r="CO105" s="1093">
        <v>-2.1348550912338289</v>
      </c>
      <c r="CP105" s="1093">
        <v>-2.9295462513152812</v>
      </c>
      <c r="CQ105" s="1093">
        <v>-3.1217250237247018</v>
      </c>
      <c r="CR105" s="1093">
        <v>-1.4644915157094915</v>
      </c>
      <c r="CS105" s="1098"/>
      <c r="CT105" s="1092">
        <v>-15.001386759266728</v>
      </c>
      <c r="CU105" s="1092">
        <v>-2.5103077424204137</v>
      </c>
      <c r="CV105" s="1092">
        <v>-1.3779351673139661</v>
      </c>
      <c r="CW105" s="1092">
        <v>-3.5210855924735331</v>
      </c>
      <c r="CX105" s="1092">
        <v>-3.8709201434112215</v>
      </c>
      <c r="CY105" s="1092">
        <v>-3.2449525362605547</v>
      </c>
      <c r="CZ105" s="1092">
        <v>-9.6295859181604033</v>
      </c>
      <c r="DA105" s="1092">
        <v>-7.0804974908607416</v>
      </c>
      <c r="DB105" s="1092">
        <v>-2.0776168870299285</v>
      </c>
      <c r="DF105" s="3">
        <v>124</v>
      </c>
      <c r="DG105" s="4">
        <v>1995</v>
      </c>
      <c r="DH105" s="4">
        <v>4.4140009999999998</v>
      </c>
      <c r="DI105" s="1172"/>
      <c r="DJ105" s="5"/>
      <c r="DK105" s="1444">
        <v>124</v>
      </c>
      <c r="DL105" s="1444">
        <v>1995</v>
      </c>
      <c r="DM105" s="1444">
        <v>0.88610120000000003</v>
      </c>
      <c r="DN105" s="1440">
        <f t="shared" si="52"/>
        <v>2.6583036</v>
      </c>
      <c r="EG105" s="261"/>
    </row>
    <row r="106" spans="1:181" ht="20.100000000000001" customHeight="1" thickBot="1">
      <c r="I106" s="949" t="s">
        <v>255</v>
      </c>
      <c r="J106" s="948">
        <v>456</v>
      </c>
      <c r="K106" s="948">
        <v>0</v>
      </c>
      <c r="L106" s="948"/>
      <c r="M106" s="1029" t="s">
        <v>642</v>
      </c>
      <c r="R106" s="130" t="s">
        <v>297</v>
      </c>
      <c r="S106" s="131">
        <f t="shared" ref="S106:Z106" si="71">S$4</f>
        <v>2016</v>
      </c>
      <c r="T106" s="131">
        <f t="shared" si="71"/>
        <v>2017</v>
      </c>
      <c r="U106" s="131">
        <f t="shared" si="71"/>
        <v>2018</v>
      </c>
      <c r="V106" s="131">
        <f t="shared" si="71"/>
        <v>2019</v>
      </c>
      <c r="W106" s="131">
        <f t="shared" si="71"/>
        <v>2020</v>
      </c>
      <c r="X106" s="131">
        <f t="shared" si="71"/>
        <v>2021</v>
      </c>
      <c r="Y106" s="131">
        <f t="shared" si="71"/>
        <v>2022</v>
      </c>
      <c r="Z106" s="132">
        <f t="shared" si="71"/>
        <v>2023</v>
      </c>
      <c r="AA106" s="474"/>
      <c r="AB106" s="100"/>
      <c r="AP106" s="289"/>
      <c r="AQ106" s="107" t="s">
        <v>427</v>
      </c>
      <c r="AR106" s="107"/>
      <c r="AS106" s="107"/>
      <c r="AT106" s="591">
        <f t="shared" si="70"/>
        <v>4.2122999157540031</v>
      </c>
      <c r="AU106" s="591">
        <f t="shared" si="70"/>
        <v>3.085754504401117</v>
      </c>
      <c r="AV106" s="591">
        <f t="shared" si="70"/>
        <v>2.7938359016816516</v>
      </c>
      <c r="AW106" s="591">
        <f t="shared" si="70"/>
        <v>2.5315565708619037</v>
      </c>
      <c r="AX106" s="591">
        <f t="shared" si="70"/>
        <v>2.4647711698661201</v>
      </c>
      <c r="AY106" s="591">
        <f t="shared" si="70"/>
        <v>2.5000000000000133</v>
      </c>
      <c r="BL106" s="256"/>
      <c r="BM106" s="261"/>
      <c r="BN106" s="261"/>
      <c r="BO106" s="261"/>
      <c r="BP106" s="261"/>
      <c r="BQ106" s="261"/>
      <c r="BS106" s="261"/>
      <c r="BT106" s="261"/>
      <c r="CH106" s="17" t="s">
        <v>689</v>
      </c>
      <c r="CJ106" s="1093">
        <v>-7.0903769837798816</v>
      </c>
      <c r="CK106" s="1093">
        <v>-1.1366637321264608</v>
      </c>
      <c r="CL106" s="1093">
        <v>-0.17047158376277138</v>
      </c>
      <c r="CM106" s="1093">
        <v>-1.8925027379264667</v>
      </c>
      <c r="CN106" s="1093">
        <v>-1.968237810130943</v>
      </c>
      <c r="CO106" s="1093">
        <v>-1.9020989398523076</v>
      </c>
      <c r="CP106" s="1093">
        <v>-1.8214171671441133</v>
      </c>
      <c r="CQ106" s="1093">
        <v>-2.9382252698186311</v>
      </c>
      <c r="CR106" s="1093">
        <v>-0.41409211689521586</v>
      </c>
      <c r="CS106" s="1098"/>
      <c r="CT106" s="1092">
        <v>-4.6011601745798831</v>
      </c>
      <c r="CU106" s="1092">
        <v>-1.1658224262872952</v>
      </c>
      <c r="CV106" s="1092">
        <v>-0.37634065584089793</v>
      </c>
      <c r="CW106" s="1092">
        <v>-1.3323919915370581</v>
      </c>
      <c r="CX106" s="1092">
        <v>-2.0560408898242413</v>
      </c>
      <c r="CY106" s="1092">
        <v>-1.4817587282079407</v>
      </c>
      <c r="CZ106" s="1092">
        <v>-3.9335422917960283</v>
      </c>
      <c r="DA106" s="1092">
        <v>-2.2602720159493908</v>
      </c>
      <c r="DB106" s="1092">
        <v>-0.73875768167655476</v>
      </c>
      <c r="DF106" s="3">
        <v>124</v>
      </c>
      <c r="DG106" s="4">
        <v>1996</v>
      </c>
      <c r="DH106" s="4">
        <v>4.7934070000000002</v>
      </c>
      <c r="DI106" s="1172"/>
      <c r="DJ106" s="5"/>
      <c r="DK106" s="1444">
        <v>124</v>
      </c>
      <c r="DL106" s="1444">
        <v>1996</v>
      </c>
      <c r="DM106" s="1444">
        <v>0.37940649999999998</v>
      </c>
      <c r="DN106" s="1440">
        <f t="shared" si="52"/>
        <v>1.1382194999999999</v>
      </c>
      <c r="EG106" s="261"/>
    </row>
    <row r="107" spans="1:181" ht="20.100000000000001" customHeight="1">
      <c r="I107" s="949" t="s">
        <v>256</v>
      </c>
      <c r="J107" s="948">
        <v>942</v>
      </c>
      <c r="K107" s="948">
        <v>0</v>
      </c>
      <c r="L107" s="948"/>
      <c r="M107" s="1029" t="s">
        <v>643</v>
      </c>
      <c r="P107" s="25" t="str">
        <f t="shared" ref="P107:P116" si="72">CONCATENATE(R$106,R107)</f>
        <v>Constant Primary BalanceNominal Debt (in percent of GDP)</v>
      </c>
      <c r="R107" s="99" t="s">
        <v>421</v>
      </c>
      <c r="S107" s="107"/>
      <c r="T107" s="107"/>
      <c r="U107" s="591">
        <f>('constant pb'!B37)*100</f>
        <v>37.094606570883371</v>
      </c>
      <c r="V107" s="591">
        <f ca="1">('constant pb'!C37)*100</f>
        <v>36.564685698719956</v>
      </c>
      <c r="W107" s="591">
        <f ca="1">('constant pb'!D37)*100</f>
        <v>35.628480229218965</v>
      </c>
      <c r="X107" s="591">
        <f ca="1">('constant pb'!E37)*100</f>
        <v>34.33289445990934</v>
      </c>
      <c r="Y107" s="591">
        <f ca="1">('constant pb'!F37)*100</f>
        <v>33.249382103886063</v>
      </c>
      <c r="Z107" s="592">
        <f ca="1">('constant pb'!G37)*100</f>
        <v>32.23107541547607</v>
      </c>
      <c r="AA107" s="474"/>
      <c r="AB107" s="100"/>
      <c r="AP107" s="289"/>
      <c r="AQ107" s="107" t="s">
        <v>544</v>
      </c>
      <c r="AR107" s="107"/>
      <c r="AS107" s="107"/>
      <c r="AT107" s="591">
        <f t="shared" si="70"/>
        <v>-5.2301873674015509E-2</v>
      </c>
      <c r="AU107" s="591">
        <f t="shared" si="70"/>
        <v>4.6597896115335713E-2</v>
      </c>
      <c r="AV107" s="591">
        <f t="shared" si="70"/>
        <v>0.30885252917781103</v>
      </c>
      <c r="AW107" s="591">
        <f t="shared" si="70"/>
        <v>0.22147723253581053</v>
      </c>
      <c r="AX107" s="591">
        <f t="shared" si="70"/>
        <v>0.87301076297996993</v>
      </c>
      <c r="AY107" s="591">
        <f t="shared" si="70"/>
        <v>0.87301076297997549</v>
      </c>
      <c r="BL107" s="256"/>
      <c r="BM107" s="261"/>
      <c r="BN107" s="261"/>
      <c r="BO107" s="261"/>
      <c r="BP107" s="261"/>
      <c r="BQ107" s="261"/>
      <c r="BS107" s="261"/>
      <c r="BT107" s="261"/>
      <c r="CH107" s="17" t="s">
        <v>707</v>
      </c>
      <c r="CJ107" s="1093">
        <v>-2.3177574337635125</v>
      </c>
      <c r="CK107" s="1093">
        <v>0.51840867198691765</v>
      </c>
      <c r="CL107" s="1093">
        <v>2.3328463054720689</v>
      </c>
      <c r="CM107" s="1093">
        <v>-0.26135889372682763</v>
      </c>
      <c r="CN107" s="1093">
        <v>-0.79278905687788903</v>
      </c>
      <c r="CO107" s="1093">
        <v>-1.3590276098510639</v>
      </c>
      <c r="CP107" s="1093">
        <v>-0.81163033709678889</v>
      </c>
      <c r="CQ107" s="1093">
        <v>-1.3256672643659329</v>
      </c>
      <c r="CR107" s="1093">
        <v>1.2744571746179876</v>
      </c>
      <c r="CS107" s="1098"/>
      <c r="CT107" s="1092">
        <v>-1.9755372635340185</v>
      </c>
      <c r="CU107" s="1092">
        <v>0.95839563839160347</v>
      </c>
      <c r="CV107" s="1092">
        <v>2.019595336324028</v>
      </c>
      <c r="CW107" s="1092">
        <v>-0.19528622216074965</v>
      </c>
      <c r="CX107" s="1092">
        <v>-0.63866282485073911</v>
      </c>
      <c r="CY107" s="1092">
        <v>-0.62785386543257182</v>
      </c>
      <c r="CZ107" s="1092">
        <v>-1.2134505538697111</v>
      </c>
      <c r="DA107" s="1092">
        <v>-0.54015597721432096</v>
      </c>
      <c r="DB107" s="1092">
        <v>8.3768995897501641E-2</v>
      </c>
      <c r="DF107" s="3">
        <v>124</v>
      </c>
      <c r="DG107" s="4">
        <v>1997</v>
      </c>
      <c r="DH107" s="4">
        <v>5.2050780000000003</v>
      </c>
      <c r="DI107" s="1172"/>
      <c r="DJ107" s="5"/>
      <c r="DK107" s="1444">
        <v>124</v>
      </c>
      <c r="DL107" s="1444">
        <v>1997</v>
      </c>
      <c r="DM107" s="1444">
        <v>0.41167049999999999</v>
      </c>
      <c r="DN107" s="1440">
        <f t="shared" si="52"/>
        <v>1.2350114999999999</v>
      </c>
      <c r="EG107" s="261"/>
    </row>
    <row r="108" spans="1:181" ht="20.100000000000001" customHeight="1">
      <c r="I108" s="949" t="s">
        <v>257</v>
      </c>
      <c r="J108" s="948">
        <v>718</v>
      </c>
      <c r="K108" s="948">
        <v>0</v>
      </c>
      <c r="L108" s="948"/>
      <c r="M108" s="1029" t="s">
        <v>644</v>
      </c>
      <c r="P108" s="25" t="str">
        <f t="shared" si="72"/>
        <v>Constant Primary BalanceDebt Service (in percent of GDP)</v>
      </c>
      <c r="R108" s="99" t="s">
        <v>422</v>
      </c>
      <c r="S108" s="107"/>
      <c r="T108" s="107"/>
      <c r="U108" s="591">
        <f>('constant pb'!B38)*100</f>
        <v>3.7107105982600994</v>
      </c>
      <c r="V108" s="591">
        <f ca="1">('constant pb'!C38)*100</f>
        <v>7.1027380579709201</v>
      </c>
      <c r="W108" s="591">
        <f ca="1">('constant pb'!D38)*100</f>
        <v>11.30996484227207</v>
      </c>
      <c r="X108" s="591">
        <f ca="1">('constant pb'!E38)*100</f>
        <v>15.18494945063879</v>
      </c>
      <c r="Y108" s="591">
        <f ca="1">('constant pb'!F38)*100</f>
        <v>15.811176472283067</v>
      </c>
      <c r="Z108" s="592">
        <f ca="1">('constant pb'!G38)*100</f>
        <v>15.612730162513284</v>
      </c>
      <c r="AA108" s="474"/>
      <c r="AB108" s="100"/>
      <c r="AP108" s="289"/>
      <c r="AQ108" s="266" t="s">
        <v>428</v>
      </c>
      <c r="AR108" s="266"/>
      <c r="AS108" s="266"/>
      <c r="AT108" s="600">
        <f t="shared" si="70"/>
        <v>1.9586439007071743</v>
      </c>
      <c r="AU108" s="600">
        <f t="shared" ca="1" si="70"/>
        <v>2.4781166566290191</v>
      </c>
      <c r="AV108" s="600">
        <f t="shared" ca="1" si="70"/>
        <v>6.5111885897248714</v>
      </c>
      <c r="AW108" s="600">
        <f t="shared" ca="1" si="70"/>
        <v>8.0037638736025318</v>
      </c>
      <c r="AX108" s="600">
        <f t="shared" ca="1" si="70"/>
        <v>11.48721828587329</v>
      </c>
      <c r="AY108" s="600">
        <f t="shared" ca="1" si="70"/>
        <v>12.978191961087388</v>
      </c>
      <c r="BL108" s="256"/>
      <c r="BM108" s="261"/>
      <c r="BN108" s="261"/>
      <c r="BO108" s="261"/>
      <c r="BP108" s="261"/>
      <c r="BQ108" s="261"/>
      <c r="BS108" s="261"/>
      <c r="BT108" s="261"/>
      <c r="CH108" s="17" t="s">
        <v>708</v>
      </c>
      <c r="CJ108" s="1093">
        <v>5.440650012475956E-4</v>
      </c>
      <c r="CK108" s="1093">
        <v>3.0422028403877883</v>
      </c>
      <c r="CL108" s="1093">
        <v>4.7723913862213827</v>
      </c>
      <c r="CM108" s="1093">
        <v>0.29461570820047767</v>
      </c>
      <c r="CN108" s="1093">
        <v>-5.4889557629613006E-2</v>
      </c>
      <c r="CO108" s="1093">
        <v>-0.48967977695523357</v>
      </c>
      <c r="CP108" s="1093">
        <v>-0.16121521596966321</v>
      </c>
      <c r="CQ108" s="1093">
        <v>-0.3659818549443265</v>
      </c>
      <c r="CR108" s="1093">
        <v>3.1529326495255381</v>
      </c>
      <c r="CS108" s="1098"/>
      <c r="CT108" s="1092">
        <v>0.12629775919429376</v>
      </c>
      <c r="CU108" s="1092">
        <v>3.052842901554373</v>
      </c>
      <c r="CV108" s="1092">
        <v>5.2920353277269543</v>
      </c>
      <c r="CW108" s="1092">
        <v>1.5855038665821395</v>
      </c>
      <c r="CX108" s="1092">
        <v>0.60832673608373078</v>
      </c>
      <c r="CY108" s="1092">
        <v>0.73210875293445987</v>
      </c>
      <c r="CZ108" s="1092">
        <v>0.33438456353585744</v>
      </c>
      <c r="DA108" s="1092">
        <v>0.68895866016538598</v>
      </c>
      <c r="DB108" s="1092">
        <v>1.2732590616958546</v>
      </c>
      <c r="DF108" s="3">
        <v>124</v>
      </c>
      <c r="DG108" s="4">
        <v>1998</v>
      </c>
      <c r="DH108" s="4">
        <v>5.9364160000000004</v>
      </c>
      <c r="DI108" s="1172"/>
      <c r="DJ108" s="5"/>
      <c r="DK108" s="1444">
        <v>124</v>
      </c>
      <c r="DL108" s="1444">
        <v>1998</v>
      </c>
      <c r="DM108" s="1444">
        <v>0.7313383</v>
      </c>
      <c r="DN108" s="1440">
        <f t="shared" si="52"/>
        <v>2.1940149</v>
      </c>
      <c r="EG108" s="261"/>
    </row>
    <row r="109" spans="1:181" ht="20.100000000000001" customHeight="1">
      <c r="I109" s="949" t="s">
        <v>258</v>
      </c>
      <c r="J109" s="948">
        <v>576</v>
      </c>
      <c r="K109" s="948">
        <v>1</v>
      </c>
      <c r="L109" s="948"/>
      <c r="M109" s="1029" t="s">
        <v>645</v>
      </c>
      <c r="P109" s="25" t="str">
        <f t="shared" si="72"/>
        <v>Constant Primary BalanceGross Financing Need (in percent of GDP)</v>
      </c>
      <c r="R109" s="99" t="s">
        <v>423</v>
      </c>
      <c r="S109" s="107"/>
      <c r="T109" s="107"/>
      <c r="U109" s="591">
        <f>('constant pb'!B39)*100</f>
        <v>3.5994671534530136</v>
      </c>
      <c r="V109" s="591">
        <f ca="1">('constant pb'!C39)*100</f>
        <v>7.1027380579709201</v>
      </c>
      <c r="W109" s="591">
        <f ca="1">('constant pb'!D39)*100</f>
        <v>11.30996484227207</v>
      </c>
      <c r="X109" s="591">
        <f ca="1">('constant pb'!E39)*100</f>
        <v>15.18494945063879</v>
      </c>
      <c r="Y109" s="591">
        <f ca="1">('constant pb'!F39)*100</f>
        <v>15.811176472283067</v>
      </c>
      <c r="Z109" s="592">
        <f ca="1">('constant pb'!G39)*100</f>
        <v>15.612730162513284</v>
      </c>
      <c r="AA109" s="474"/>
      <c r="AB109" s="100"/>
      <c r="AP109" s="289"/>
      <c r="AQ109" s="267"/>
      <c r="AR109" s="267"/>
      <c r="AS109" s="267"/>
      <c r="AT109" s="268"/>
      <c r="AU109" s="268"/>
      <c r="AV109" s="268"/>
      <c r="AW109" s="268"/>
      <c r="AX109" s="268"/>
      <c r="AY109" s="268"/>
      <c r="BL109" s="256"/>
      <c r="BM109" s="261"/>
      <c r="BN109" s="261"/>
      <c r="BO109" s="261"/>
      <c r="BP109" s="261"/>
      <c r="BQ109" s="261"/>
      <c r="BS109" s="261"/>
      <c r="BT109" s="261"/>
      <c r="CH109" s="17" t="s">
        <v>709</v>
      </c>
      <c r="CJ109" s="1093">
        <v>1.4142992674337767</v>
      </c>
      <c r="CK109" s="1093">
        <v>8.8137321598383469</v>
      </c>
      <c r="CL109" s="1093">
        <v>8.9569359391670957</v>
      </c>
      <c r="CM109" s="1093">
        <v>2.0655928308537037</v>
      </c>
      <c r="CN109" s="1093">
        <v>1.4407629093141432</v>
      </c>
      <c r="CO109" s="1093">
        <v>1.0957911922644665</v>
      </c>
      <c r="CP109" s="1093">
        <v>2.1631035950959849</v>
      </c>
      <c r="CQ109" s="1093">
        <v>1.6936458970613235</v>
      </c>
      <c r="CR109" s="1093">
        <v>8.7762771889361506</v>
      </c>
      <c r="CS109" s="1098"/>
      <c r="CT109" s="1092">
        <v>2.0401731289780658</v>
      </c>
      <c r="CU109" s="1092">
        <v>6.6721867897611871</v>
      </c>
      <c r="CV109" s="1092">
        <v>12.126489525911284</v>
      </c>
      <c r="CW109" s="1092">
        <v>4.494229996619401</v>
      </c>
      <c r="CX109" s="1092">
        <v>3.0511555570052855</v>
      </c>
      <c r="CY109" s="1092">
        <v>2.2480124557904242</v>
      </c>
      <c r="CZ109" s="1092">
        <v>1.359045387638719</v>
      </c>
      <c r="DA109" s="1092">
        <v>2.9555433318578279</v>
      </c>
      <c r="DB109" s="1092">
        <v>2.771043223808328</v>
      </c>
      <c r="DF109" s="3">
        <v>124</v>
      </c>
      <c r="DG109" s="4">
        <v>1999</v>
      </c>
      <c r="DH109" s="4">
        <v>6.2704250000000004</v>
      </c>
      <c r="DI109" s="1172"/>
      <c r="DJ109" s="5"/>
      <c r="DK109" s="1444">
        <v>124</v>
      </c>
      <c r="DL109" s="1444">
        <v>1999</v>
      </c>
      <c r="DM109" s="1444">
        <v>0.334009</v>
      </c>
      <c r="DN109" s="1440">
        <f t="shared" si="52"/>
        <v>1.002027</v>
      </c>
      <c r="EG109" s="261"/>
    </row>
    <row r="110" spans="1:181" ht="20.100000000000001" customHeight="1">
      <c r="I110" s="949" t="s">
        <v>259</v>
      </c>
      <c r="J110" s="948">
        <v>936</v>
      </c>
      <c r="K110" s="948">
        <v>1</v>
      </c>
      <c r="L110" s="948"/>
      <c r="M110" s="1029" t="s">
        <v>646</v>
      </c>
      <c r="P110" s="25" t="str">
        <f t="shared" si="72"/>
        <v>Constant Primary BalanceNominal Debt (in percent of Revenue)</v>
      </c>
      <c r="R110" s="99" t="s">
        <v>424</v>
      </c>
      <c r="S110" s="107"/>
      <c r="T110" s="107"/>
      <c r="U110" s="591">
        <f>('constant pb'!B40)*100</f>
        <v>100.40391596609757</v>
      </c>
      <c r="V110" s="591" t="e">
        <f ca="1">('constant pb'!C40)*100</f>
        <v>#DIV/0!</v>
      </c>
      <c r="W110" s="591" t="e">
        <f ca="1">('constant pb'!D40)*100</f>
        <v>#DIV/0!</v>
      </c>
      <c r="X110" s="591" t="e">
        <f ca="1">('constant pb'!E40)*100</f>
        <v>#DIV/0!</v>
      </c>
      <c r="Y110" s="591" t="e">
        <f ca="1">('constant pb'!F40)*100</f>
        <v>#DIV/0!</v>
      </c>
      <c r="Z110" s="592" t="e">
        <f ca="1">('constant pb'!G40)*100</f>
        <v>#DIV/0!</v>
      </c>
      <c r="AA110" s="475"/>
      <c r="AB110" s="429"/>
      <c r="AP110" s="289"/>
      <c r="AQ110" s="267"/>
      <c r="AR110" s="267"/>
      <c r="AS110" s="267"/>
      <c r="AT110" s="268"/>
      <c r="AU110" s="268"/>
      <c r="AV110" s="268"/>
      <c r="AW110" s="268"/>
      <c r="AX110" s="268"/>
      <c r="AY110" s="268"/>
      <c r="BL110" s="256"/>
      <c r="BM110" s="261"/>
      <c r="BN110" s="261"/>
      <c r="BO110" s="261"/>
      <c r="BP110" s="261"/>
      <c r="BQ110" s="261"/>
      <c r="BS110" s="261"/>
      <c r="BT110" s="261"/>
      <c r="CH110" s="17" t="s">
        <v>294</v>
      </c>
      <c r="CJ110" s="1093">
        <v>6.9419078865309807</v>
      </c>
      <c r="CK110" s="1093">
        <v>11.796466078420064</v>
      </c>
      <c r="CL110" s="1093">
        <v>16.936642896555195</v>
      </c>
      <c r="CM110" s="1093">
        <v>10.185727926577815</v>
      </c>
      <c r="CN110" s="1093">
        <v>2.1193408819945523</v>
      </c>
      <c r="CO110" s="1093">
        <v>1.5796399905082126</v>
      </c>
      <c r="CP110" s="1093">
        <v>38.881659339863411</v>
      </c>
      <c r="CQ110" s="1093">
        <v>6.3526818615542044</v>
      </c>
      <c r="CR110" s="1093">
        <v>13.675346008065338</v>
      </c>
      <c r="CS110" s="1098"/>
      <c r="CT110" s="1092">
        <v>14.73264611894772</v>
      </c>
      <c r="CU110" s="1092">
        <v>11.525554301898438</v>
      </c>
      <c r="CV110" s="1092">
        <v>62.931443635882914</v>
      </c>
      <c r="CW110" s="1092">
        <v>64.942798697931408</v>
      </c>
      <c r="CX110" s="1092">
        <v>21.877522227919464</v>
      </c>
      <c r="CY110" s="1092">
        <v>47.342918262840683</v>
      </c>
      <c r="CZ110" s="1092">
        <v>38.606899709643997</v>
      </c>
      <c r="DA110" s="1092">
        <v>285.56973491525474</v>
      </c>
      <c r="DB110" s="1092">
        <v>12.410540024126407</v>
      </c>
      <c r="DF110" s="3">
        <v>124</v>
      </c>
      <c r="DG110" s="4">
        <v>2000</v>
      </c>
      <c r="DH110" s="4">
        <v>6.4109790000000002</v>
      </c>
      <c r="DI110" s="1172"/>
      <c r="DJ110" s="5"/>
      <c r="DK110" s="1444">
        <v>124</v>
      </c>
      <c r="DL110" s="1444">
        <v>2000</v>
      </c>
      <c r="DM110" s="1444">
        <v>0.14055429999999999</v>
      </c>
      <c r="DN110" s="1440">
        <f t="shared" si="52"/>
        <v>0.42166289999999995</v>
      </c>
      <c r="EG110" s="261"/>
    </row>
    <row r="111" spans="1:181" s="284" customFormat="1" ht="20.100000000000001" customHeight="1">
      <c r="A111" s="98"/>
      <c r="B111" s="25"/>
      <c r="C111" s="25"/>
      <c r="D111" s="25"/>
      <c r="E111" s="25"/>
      <c r="F111" s="25"/>
      <c r="G111" s="464"/>
      <c r="H111" s="98"/>
      <c r="I111" s="949" t="s">
        <v>260</v>
      </c>
      <c r="J111" s="948">
        <v>961</v>
      </c>
      <c r="K111" s="948">
        <v>1</v>
      </c>
      <c r="L111" s="948"/>
      <c r="M111" s="1029" t="s">
        <v>647</v>
      </c>
      <c r="N111" s="464"/>
      <c r="O111" s="98"/>
      <c r="P111" s="25" t="str">
        <f t="shared" si="72"/>
        <v>Constant Primary BalanceDebt Service (in percent of Revenue)</v>
      </c>
      <c r="Q111" s="25"/>
      <c r="R111" s="99" t="s">
        <v>425</v>
      </c>
      <c r="S111" s="107"/>
      <c r="T111" s="107"/>
      <c r="U111" s="591">
        <f>('constant pb'!B41)*100</f>
        <v>10.043774810504543</v>
      </c>
      <c r="V111" s="591" t="e">
        <f ca="1">('constant pb'!C41)*100</f>
        <v>#DIV/0!</v>
      </c>
      <c r="W111" s="591" t="e">
        <f ca="1">('constant pb'!D41)*100</f>
        <v>#DIV/0!</v>
      </c>
      <c r="X111" s="591" t="e">
        <f ca="1">('constant pb'!E41)*100</f>
        <v>#DIV/0!</v>
      </c>
      <c r="Y111" s="591" t="e">
        <f ca="1">('constant pb'!F41)*100</f>
        <v>#DIV/0!</v>
      </c>
      <c r="Z111" s="592" t="e">
        <f ca="1">('constant pb'!G41)*100</f>
        <v>#DIV/0!</v>
      </c>
      <c r="AA111" s="474"/>
      <c r="AB111" s="100"/>
      <c r="AC111" s="25"/>
      <c r="AD111" s="25"/>
      <c r="AE111" s="25"/>
      <c r="AF111" s="25"/>
      <c r="AG111" s="25"/>
      <c r="AH111" s="25"/>
      <c r="AI111" s="25"/>
      <c r="AJ111" s="25"/>
      <c r="AK111" s="25"/>
      <c r="AL111" s="25"/>
      <c r="AM111" s="25"/>
      <c r="AN111" s="25"/>
      <c r="AO111" s="464"/>
      <c r="AP111" s="289"/>
      <c r="AQ111" s="25"/>
      <c r="AR111" s="25"/>
      <c r="AS111" s="25"/>
      <c r="AT111" s="25"/>
      <c r="AU111" s="25"/>
      <c r="AV111" s="25"/>
      <c r="AW111" s="25"/>
      <c r="AX111" s="25"/>
      <c r="AY111" s="25"/>
      <c r="AZ111" s="464"/>
      <c r="BA111" s="247"/>
      <c r="BB111" s="247"/>
      <c r="BC111" s="247"/>
      <c r="BD111" s="247"/>
      <c r="BE111" s="247"/>
      <c r="BF111" s="247"/>
      <c r="BG111" s="247"/>
      <c r="BH111" s="247"/>
      <c r="BI111" s="247"/>
      <c r="BJ111" s="247"/>
      <c r="BK111" s="254"/>
      <c r="BL111" s="256"/>
      <c r="BM111" s="261"/>
      <c r="BN111" s="261"/>
      <c r="BO111" s="261"/>
      <c r="BP111" s="261"/>
      <c r="BQ111" s="261"/>
      <c r="BR111" s="261"/>
      <c r="BS111" s="261"/>
      <c r="BT111" s="261"/>
      <c r="BU111" s="247"/>
      <c r="BV111" s="261"/>
      <c r="BW111" s="247"/>
      <c r="BX111" s="247"/>
      <c r="BY111" s="247"/>
      <c r="BZ111" s="254"/>
      <c r="CA111" s="255"/>
      <c r="CB111" s="247"/>
      <c r="CC111" s="247"/>
      <c r="CD111" s="247"/>
      <c r="CE111" s="247"/>
      <c r="CF111" s="247"/>
      <c r="CG111" s="254"/>
      <c r="CH111" s="17" t="s">
        <v>710</v>
      </c>
      <c r="CI111" s="17"/>
      <c r="CJ111" s="1093">
        <v>-4.5613568919698491</v>
      </c>
      <c r="CK111" s="1093">
        <v>0.34131220592841688</v>
      </c>
      <c r="CL111" s="1093">
        <v>3.4124484352773417</v>
      </c>
      <c r="CM111" s="1093">
        <v>-0.47624372632029499</v>
      </c>
      <c r="CN111" s="1093">
        <v>-1.2024886585477081</v>
      </c>
      <c r="CO111" s="1093">
        <v>-0.9924220249895005</v>
      </c>
      <c r="CP111" s="1093">
        <v>1.4444553980993284</v>
      </c>
      <c r="CQ111" s="1093">
        <v>-0.93363856404351564</v>
      </c>
      <c r="CR111" s="1093">
        <v>2.2816329441798113</v>
      </c>
      <c r="CS111" s="1098"/>
      <c r="CT111" s="1092">
        <v>-4.6057269769271878</v>
      </c>
      <c r="CU111" s="1092">
        <v>1.2026060532245384</v>
      </c>
      <c r="CV111" s="1092">
        <v>3.8882454475544654</v>
      </c>
      <c r="CW111" s="1092">
        <v>0.77038030217225628</v>
      </c>
      <c r="CX111" s="1092">
        <v>-0.61520633472439723</v>
      </c>
      <c r="CY111" s="1092">
        <v>-8.6891071974028233E-2</v>
      </c>
      <c r="CZ111" s="1092">
        <v>-2.4920868562486498</v>
      </c>
      <c r="DA111" s="1092">
        <v>1.6066302031292896</v>
      </c>
      <c r="DB111" s="1092">
        <v>-2.4973243835892758</v>
      </c>
      <c r="DC111" s="993"/>
      <c r="DD111" s="281"/>
      <c r="DF111" s="3">
        <v>124</v>
      </c>
      <c r="DG111" s="4">
        <v>2001</v>
      </c>
      <c r="DH111" s="4">
        <v>6.5229059999999999</v>
      </c>
      <c r="DI111" s="1172"/>
      <c r="DJ111" s="5"/>
      <c r="DK111" s="1444">
        <v>124</v>
      </c>
      <c r="DL111" s="1444">
        <v>2001</v>
      </c>
      <c r="DM111" s="1444">
        <v>0.1119272</v>
      </c>
      <c r="DN111" s="1440">
        <f t="shared" si="52"/>
        <v>0.33578160000000001</v>
      </c>
      <c r="DO111" s="993"/>
      <c r="DP111" s="488"/>
      <c r="DQ111" s="247"/>
      <c r="DR111" s="247"/>
      <c r="DS111" s="247"/>
      <c r="DT111" s="247"/>
      <c r="DU111" s="247"/>
      <c r="DV111" s="261"/>
      <c r="DW111" s="261"/>
      <c r="DX111" s="261"/>
      <c r="DY111" s="261"/>
      <c r="DZ111" s="261"/>
      <c r="EA111" s="261"/>
      <c r="EB111" s="261"/>
      <c r="EC111" s="261"/>
      <c r="ED111" s="261"/>
      <c r="EE111" s="261"/>
      <c r="EF111" s="993"/>
      <c r="EG111" s="261"/>
      <c r="EH111" s="281"/>
      <c r="EI111" s="281"/>
      <c r="EJ111" s="281"/>
      <c r="EK111" s="281"/>
      <c r="EL111" s="281"/>
      <c r="EM111" s="281"/>
      <c r="EN111" s="281"/>
      <c r="EO111" s="281"/>
      <c r="EP111" s="281"/>
      <c r="EQ111" s="281"/>
      <c r="ER111" s="281"/>
      <c r="ES111" s="281"/>
      <c r="ET111" s="281"/>
      <c r="EU111" s="281"/>
      <c r="EV111" s="281"/>
      <c r="EW111" s="281"/>
      <c r="EX111" s="281"/>
      <c r="EY111" s="281"/>
      <c r="EZ111" s="281"/>
      <c r="FA111" s="281"/>
      <c r="FB111" s="281"/>
      <c r="FC111" s="281"/>
      <c r="FD111" s="281"/>
      <c r="FE111" s="281"/>
      <c r="FF111" s="281"/>
      <c r="FG111" s="281"/>
      <c r="FH111" s="281"/>
      <c r="FI111" s="281"/>
      <c r="FJ111" s="281"/>
      <c r="FK111" s="281"/>
      <c r="FL111" s="281"/>
      <c r="FM111" s="281"/>
      <c r="FN111" s="281"/>
      <c r="FO111" s="281"/>
      <c r="FP111" s="281"/>
      <c r="FQ111" s="281"/>
      <c r="FR111" s="281"/>
      <c r="FS111" s="281"/>
      <c r="FT111" s="281"/>
      <c r="FU111" s="281"/>
      <c r="FV111" s="281"/>
      <c r="FW111" s="281"/>
      <c r="FX111" s="281"/>
      <c r="FY111" s="281"/>
    </row>
    <row r="112" spans="1:181" s="284" customFormat="1" ht="20.100000000000001" customHeight="1" thickBot="1">
      <c r="A112" s="98"/>
      <c r="B112" s="25"/>
      <c r="C112" s="25"/>
      <c r="D112" s="25"/>
      <c r="E112" s="25"/>
      <c r="F112" s="25"/>
      <c r="G112" s="464"/>
      <c r="H112" s="98"/>
      <c r="I112" s="949" t="s">
        <v>261</v>
      </c>
      <c r="J112" s="948">
        <v>199</v>
      </c>
      <c r="K112" s="948">
        <v>0</v>
      </c>
      <c r="L112" s="948"/>
      <c r="M112" s="1029" t="s">
        <v>648</v>
      </c>
      <c r="N112" s="464"/>
      <c r="O112" s="98"/>
      <c r="P112" s="25" t="str">
        <f t="shared" si="72"/>
        <v>Constant Primary BalanceGross Financing Need (in percent of Revenue)</v>
      </c>
      <c r="Q112" s="25"/>
      <c r="R112" s="101" t="s">
        <v>426</v>
      </c>
      <c r="S112" s="632"/>
      <c r="T112" s="632"/>
      <c r="U112" s="593">
        <f>('constant pb'!B42)*100</f>
        <v>9.7426723453025819</v>
      </c>
      <c r="V112" s="594" t="e">
        <f ca="1">('constant pb'!C42)*100</f>
        <v>#DIV/0!</v>
      </c>
      <c r="W112" s="594" t="e">
        <f ca="1">('constant pb'!D42)*100</f>
        <v>#DIV/0!</v>
      </c>
      <c r="X112" s="594" t="e">
        <f ca="1">('constant pb'!E42)*100</f>
        <v>#DIV/0!</v>
      </c>
      <c r="Y112" s="594" t="e">
        <f ca="1">('constant pb'!F42)*100</f>
        <v>#DIV/0!</v>
      </c>
      <c r="Z112" s="595" t="e">
        <f ca="1">('constant pb'!G42)*100</f>
        <v>#DIV/0!</v>
      </c>
      <c r="AA112" s="474"/>
      <c r="AB112" s="100"/>
      <c r="AC112" s="25"/>
      <c r="AD112" s="25"/>
      <c r="AE112" s="25"/>
      <c r="AF112" s="25"/>
      <c r="AG112" s="25"/>
      <c r="AH112" s="25"/>
      <c r="AI112" s="25"/>
      <c r="AJ112" s="25"/>
      <c r="AK112" s="25"/>
      <c r="AL112" s="25"/>
      <c r="AM112" s="25"/>
      <c r="AN112" s="25"/>
      <c r="AO112" s="464"/>
      <c r="AP112" s="289">
        <v>1</v>
      </c>
      <c r="AQ112" s="978" t="s">
        <v>107</v>
      </c>
      <c r="AR112" s="978"/>
      <c r="AS112" s="978"/>
      <c r="AT112" s="25"/>
      <c r="AU112" s="25"/>
      <c r="AV112" s="25"/>
      <c r="AW112" s="25"/>
      <c r="AX112" s="25"/>
      <c r="AY112" s="25"/>
      <c r="AZ112" s="476"/>
      <c r="BA112" s="247"/>
      <c r="BB112" s="247"/>
      <c r="BC112" s="247"/>
      <c r="BD112" s="247"/>
      <c r="BE112" s="247"/>
      <c r="BF112" s="247"/>
      <c r="BG112" s="247"/>
      <c r="BH112" s="247"/>
      <c r="BI112" s="247"/>
      <c r="BJ112" s="247"/>
      <c r="BK112" s="254"/>
      <c r="BL112" s="256"/>
      <c r="BM112" s="261"/>
      <c r="BN112" s="261"/>
      <c r="BO112" s="261"/>
      <c r="BP112" s="261"/>
      <c r="BQ112" s="261"/>
      <c r="BR112" s="261"/>
      <c r="BS112" s="261"/>
      <c r="BT112" s="261"/>
      <c r="BU112" s="247"/>
      <c r="BV112" s="261"/>
      <c r="BW112" s="247"/>
      <c r="BX112" s="247"/>
      <c r="BY112" s="247"/>
      <c r="BZ112" s="254"/>
      <c r="CA112" s="255"/>
      <c r="CB112" s="247"/>
      <c r="CC112" s="247"/>
      <c r="CD112" s="247"/>
      <c r="CE112" s="247"/>
      <c r="CF112" s="247"/>
      <c r="CG112" s="254"/>
      <c r="CH112" s="1087" t="s">
        <v>716</v>
      </c>
      <c r="CR112" s="1086"/>
      <c r="CS112" s="1076"/>
      <c r="CT112" s="1076"/>
      <c r="CU112" s="1076"/>
      <c r="CV112" s="1076"/>
      <c r="CW112" s="1076"/>
      <c r="CX112" s="1076"/>
      <c r="CY112" s="1076"/>
      <c r="CZ112" s="1076"/>
      <c r="DA112" s="1076"/>
      <c r="DB112" s="1076"/>
      <c r="DC112" s="993"/>
      <c r="DD112" s="281"/>
      <c r="DF112" s="3">
        <v>124</v>
      </c>
      <c r="DG112" s="4">
        <v>2002</v>
      </c>
      <c r="DH112" s="4">
        <v>6.6172009999999997</v>
      </c>
      <c r="DI112" s="1172"/>
      <c r="DJ112" s="5"/>
      <c r="DK112" s="1444">
        <v>124</v>
      </c>
      <c r="DL112" s="1444">
        <v>2002</v>
      </c>
      <c r="DM112" s="1444">
        <v>9.4294900000000001E-2</v>
      </c>
      <c r="DN112" s="1440">
        <f t="shared" si="52"/>
        <v>0.28288469999999999</v>
      </c>
      <c r="DO112" s="993"/>
      <c r="DP112" s="488"/>
      <c r="DQ112" s="247"/>
      <c r="DR112" s="247"/>
      <c r="DS112" s="247"/>
      <c r="DT112" s="247"/>
      <c r="DU112" s="247"/>
      <c r="DV112" s="261"/>
      <c r="DW112" s="261"/>
      <c r="DX112" s="261"/>
      <c r="DY112" s="261"/>
      <c r="DZ112" s="261"/>
      <c r="EA112" s="261"/>
      <c r="EB112" s="261"/>
      <c r="EC112" s="261"/>
      <c r="ED112" s="261"/>
      <c r="EE112" s="261"/>
      <c r="EF112" s="993"/>
      <c r="EG112" s="261"/>
      <c r="EH112" s="281"/>
      <c r="EI112" s="281"/>
      <c r="EJ112" s="281"/>
      <c r="EK112" s="281"/>
      <c r="EL112" s="281"/>
      <c r="EM112" s="281"/>
      <c r="EN112" s="281"/>
      <c r="EO112" s="281"/>
      <c r="EP112" s="281"/>
      <c r="EQ112" s="281"/>
      <c r="ER112" s="281"/>
      <c r="ES112" s="281"/>
      <c r="ET112" s="281"/>
      <c r="EU112" s="281"/>
      <c r="EV112" s="281"/>
      <c r="EW112" s="281"/>
      <c r="EX112" s="281"/>
      <c r="EY112" s="281"/>
      <c r="EZ112" s="281"/>
      <c r="FA112" s="281"/>
      <c r="FB112" s="281"/>
      <c r="FC112" s="281"/>
      <c r="FD112" s="281"/>
      <c r="FE112" s="281"/>
      <c r="FF112" s="281"/>
      <c r="FG112" s="281"/>
      <c r="FH112" s="281"/>
      <c r="FI112" s="281"/>
      <c r="FJ112" s="281"/>
      <c r="FK112" s="281"/>
      <c r="FL112" s="281"/>
      <c r="FM112" s="281"/>
      <c r="FN112" s="281"/>
      <c r="FO112" s="281"/>
      <c r="FP112" s="281"/>
      <c r="FQ112" s="281"/>
      <c r="FR112" s="281"/>
      <c r="FS112" s="281"/>
      <c r="FT112" s="281"/>
      <c r="FU112" s="281"/>
      <c r="FV112" s="281"/>
      <c r="FW112" s="281"/>
      <c r="FX112" s="281"/>
      <c r="FY112" s="281"/>
    </row>
    <row r="113" spans="1:181" s="284" customFormat="1" ht="20.100000000000001" customHeight="1">
      <c r="A113" s="98"/>
      <c r="B113" s="25"/>
      <c r="C113" s="25"/>
      <c r="D113" s="25"/>
      <c r="E113" s="25"/>
      <c r="F113" s="25"/>
      <c r="G113" s="464"/>
      <c r="H113" s="98"/>
      <c r="I113" s="949" t="s">
        <v>262</v>
      </c>
      <c r="J113" s="948">
        <v>184</v>
      </c>
      <c r="K113" s="948">
        <v>1</v>
      </c>
      <c r="L113" s="948"/>
      <c r="M113" s="1029" t="s">
        <v>649</v>
      </c>
      <c r="N113" s="464"/>
      <c r="O113" s="98"/>
      <c r="P113" s="25" t="str">
        <f t="shared" si="72"/>
        <v>Constant Primary BalanceReal GDP growth (in percent)</v>
      </c>
      <c r="Q113" s="25"/>
      <c r="R113" s="431" t="s">
        <v>418</v>
      </c>
      <c r="S113" s="111"/>
      <c r="T113" s="111"/>
      <c r="U113" s="596">
        <f>('constant pb'!B$26)*100</f>
        <v>4.7697166816344838</v>
      </c>
      <c r="V113" s="596">
        <f>('constant pb'!C$26)*100</f>
        <v>3.1686434574876632</v>
      </c>
      <c r="W113" s="596">
        <f>('constant pb'!D$26)*100</f>
        <v>2.9947102444823903</v>
      </c>
      <c r="X113" s="596">
        <f>('constant pb'!E$26)*100</f>
        <v>2.8871442593204177</v>
      </c>
      <c r="Y113" s="596">
        <f>('constant pb'!F$26)*100</f>
        <v>2.933023694707515</v>
      </c>
      <c r="Z113" s="597">
        <f>('constant pb'!G$26)*100</f>
        <v>2.8000000000000025</v>
      </c>
      <c r="AA113" s="474"/>
      <c r="AB113" s="100"/>
      <c r="AC113" s="25"/>
      <c r="AD113" s="25"/>
      <c r="AE113" s="25"/>
      <c r="AF113" s="25"/>
      <c r="AG113" s="25"/>
      <c r="AH113" s="25"/>
      <c r="AI113" s="25"/>
      <c r="AJ113" s="25"/>
      <c r="AK113" s="25"/>
      <c r="AL113" s="25"/>
      <c r="AM113" s="25"/>
      <c r="AN113" s="25"/>
      <c r="AO113" s="464"/>
      <c r="AP113" s="289"/>
      <c r="AQ113" s="265" t="s">
        <v>421</v>
      </c>
      <c r="AR113" s="265"/>
      <c r="AS113" s="265"/>
      <c r="AT113" s="598">
        <f t="shared" ref="AT113:AY116" si="73">VLOOKUP(CONCATENATE($AQ$112,$AQ113),$P$7:$Z$158,U$2,FALSE)</f>
        <v>37.094606570883371</v>
      </c>
      <c r="AU113" s="598">
        <f t="shared" ca="1" si="73"/>
        <v>39.454349298817441</v>
      </c>
      <c r="AV113" s="598">
        <f t="shared" ca="1" si="73"/>
        <v>41.484540959050896</v>
      </c>
      <c r="AW113" s="598">
        <f t="shared" ca="1" si="73"/>
        <v>39.976006759244903</v>
      </c>
      <c r="AX113" s="598">
        <f t="shared" ca="1" si="73"/>
        <v>38.714403333448963</v>
      </c>
      <c r="AY113" s="598">
        <f t="shared" ca="1" si="73"/>
        <v>37.528723078427156</v>
      </c>
      <c r="AZ113" s="474"/>
      <c r="BA113" s="247"/>
      <c r="BB113" s="247"/>
      <c r="BC113" s="247"/>
      <c r="BD113" s="247"/>
      <c r="BE113" s="247"/>
      <c r="BF113" s="247"/>
      <c r="BG113" s="247"/>
      <c r="BH113" s="247"/>
      <c r="BI113" s="247"/>
      <c r="BJ113" s="247"/>
      <c r="BK113" s="254"/>
      <c r="BL113" s="256"/>
      <c r="BM113" s="261"/>
      <c r="BN113" s="261"/>
      <c r="BO113" s="261"/>
      <c r="BP113" s="261"/>
      <c r="BQ113" s="261"/>
      <c r="BR113" s="261"/>
      <c r="BS113" s="261"/>
      <c r="BT113" s="261"/>
      <c r="BU113" s="247"/>
      <c r="BV113" s="261"/>
      <c r="BW113" s="247"/>
      <c r="BX113" s="247"/>
      <c r="BY113" s="247"/>
      <c r="BZ113" s="254"/>
      <c r="CA113" s="255"/>
      <c r="CB113" s="247"/>
      <c r="CC113" s="247"/>
      <c r="CD113" s="247"/>
      <c r="CE113" s="247"/>
      <c r="CF113" s="247"/>
      <c r="CG113" s="254"/>
      <c r="CH113" s="284" t="s">
        <v>714</v>
      </c>
      <c r="CI113" s="1086"/>
      <c r="CJ113" s="1086">
        <f t="shared" ref="CJ113:CR113" si="74">CJ106</f>
        <v>-7.0903769837798816</v>
      </c>
      <c r="CK113" s="1086">
        <f t="shared" si="74"/>
        <v>-1.1366637321264608</v>
      </c>
      <c r="CL113" s="1086">
        <f t="shared" si="74"/>
        <v>-0.17047158376277138</v>
      </c>
      <c r="CM113" s="1086">
        <f t="shared" si="74"/>
        <v>-1.8925027379264667</v>
      </c>
      <c r="CN113" s="1086">
        <f t="shared" si="74"/>
        <v>-1.968237810130943</v>
      </c>
      <c r="CO113" s="1086">
        <f t="shared" si="74"/>
        <v>-1.9020989398523076</v>
      </c>
      <c r="CP113" s="1086">
        <f t="shared" si="74"/>
        <v>-1.8214171671441133</v>
      </c>
      <c r="CQ113" s="1086">
        <f t="shared" si="74"/>
        <v>-2.9382252698186311</v>
      </c>
      <c r="CR113" s="1086">
        <f t="shared" si="74"/>
        <v>-0.41409211689521586</v>
      </c>
      <c r="CS113" s="1076"/>
      <c r="CT113" s="1086">
        <f t="shared" ref="CT113:DB113" si="75">CT106</f>
        <v>-4.6011601745798831</v>
      </c>
      <c r="CU113" s="1086">
        <f t="shared" si="75"/>
        <v>-1.1658224262872952</v>
      </c>
      <c r="CV113" s="1086">
        <f t="shared" si="75"/>
        <v>-0.37634065584089793</v>
      </c>
      <c r="CW113" s="1086">
        <f t="shared" si="75"/>
        <v>-1.3323919915370581</v>
      </c>
      <c r="CX113" s="1086">
        <f t="shared" si="75"/>
        <v>-2.0560408898242413</v>
      </c>
      <c r="CY113" s="1086">
        <f t="shared" si="75"/>
        <v>-1.4817587282079407</v>
      </c>
      <c r="CZ113" s="1086">
        <f t="shared" si="75"/>
        <v>-3.9335422917960283</v>
      </c>
      <c r="DA113" s="1086">
        <f t="shared" si="75"/>
        <v>-2.2602720159493908</v>
      </c>
      <c r="DB113" s="1086">
        <f t="shared" si="75"/>
        <v>-0.73875768167655476</v>
      </c>
      <c r="DC113" s="993"/>
      <c r="DD113" s="281"/>
      <c r="DF113" s="3">
        <v>124</v>
      </c>
      <c r="DG113" s="4">
        <v>2003</v>
      </c>
      <c r="DH113" s="4">
        <v>6.8763730000000001</v>
      </c>
      <c r="DI113" s="1172"/>
      <c r="DJ113" s="5"/>
      <c r="DK113" s="1444">
        <v>124</v>
      </c>
      <c r="DL113" s="1444">
        <v>2003</v>
      </c>
      <c r="DM113" s="1444">
        <v>0.25917129999999999</v>
      </c>
      <c r="DN113" s="1440">
        <f t="shared" si="52"/>
        <v>0.77751389999999998</v>
      </c>
      <c r="DO113" s="993"/>
      <c r="DP113" s="488"/>
      <c r="DQ113" s="247"/>
      <c r="DR113" s="247"/>
      <c r="DS113" s="247"/>
      <c r="DT113" s="247"/>
      <c r="DU113" s="247"/>
      <c r="DV113" s="261"/>
      <c r="DW113" s="261"/>
      <c r="DX113" s="261"/>
      <c r="DY113" s="261"/>
      <c r="DZ113" s="261"/>
      <c r="EA113" s="261"/>
      <c r="EB113" s="261"/>
      <c r="EC113" s="261"/>
      <c r="ED113" s="261"/>
      <c r="EE113" s="261"/>
      <c r="EF113" s="993"/>
      <c r="EG113" s="261"/>
      <c r="EH113" s="281"/>
      <c r="EI113" s="281"/>
      <c r="EJ113" s="281"/>
      <c r="EK113" s="281"/>
      <c r="EL113" s="281"/>
      <c r="EM113" s="281"/>
      <c r="EN113" s="281"/>
      <c r="EO113" s="281"/>
      <c r="EP113" s="281"/>
      <c r="EQ113" s="281"/>
      <c r="ER113" s="281"/>
      <c r="ES113" s="281"/>
      <c r="ET113" s="281"/>
      <c r="EU113" s="281"/>
      <c r="EV113" s="281"/>
      <c r="EW113" s="281"/>
      <c r="EX113" s="281"/>
      <c r="EY113" s="281"/>
      <c r="EZ113" s="281"/>
      <c r="FA113" s="281"/>
      <c r="FB113" s="281"/>
      <c r="FC113" s="281"/>
      <c r="FD113" s="281"/>
      <c r="FE113" s="281"/>
      <c r="FF113" s="281"/>
      <c r="FG113" s="281"/>
      <c r="FH113" s="281"/>
      <c r="FI113" s="281"/>
      <c r="FJ113" s="281"/>
      <c r="FK113" s="281"/>
      <c r="FL113" s="281"/>
      <c r="FM113" s="281"/>
      <c r="FN113" s="281"/>
      <c r="FO113" s="281"/>
      <c r="FP113" s="281"/>
      <c r="FQ113" s="281"/>
      <c r="FR113" s="281"/>
      <c r="FS113" s="281"/>
      <c r="FT113" s="281"/>
      <c r="FU113" s="281"/>
      <c r="FV113" s="281"/>
      <c r="FW113" s="281"/>
      <c r="FX113" s="281"/>
      <c r="FY113" s="281"/>
    </row>
    <row r="114" spans="1:181" s="284" customFormat="1" ht="20.100000000000001" customHeight="1">
      <c r="A114" s="98"/>
      <c r="B114" s="25"/>
      <c r="C114" s="25"/>
      <c r="D114" s="25"/>
      <c r="E114" s="25"/>
      <c r="F114" s="25"/>
      <c r="G114" s="464"/>
      <c r="H114" s="98"/>
      <c r="I114" s="949" t="s">
        <v>263</v>
      </c>
      <c r="J114" s="948">
        <v>524</v>
      </c>
      <c r="K114" s="948">
        <v>0</v>
      </c>
      <c r="L114" s="948"/>
      <c r="M114" s="1029" t="s">
        <v>650</v>
      </c>
      <c r="N114" s="464"/>
      <c r="O114" s="98"/>
      <c r="P114" s="25" t="str">
        <f t="shared" si="72"/>
        <v>Constant Primary BalanceInflation (in percent)</v>
      </c>
      <c r="Q114" s="25"/>
      <c r="R114" s="99" t="s">
        <v>427</v>
      </c>
      <c r="S114" s="107"/>
      <c r="T114" s="107"/>
      <c r="U114" s="591">
        <f>('constant pb'!B$27)*100</f>
        <v>4.2122999157540031</v>
      </c>
      <c r="V114" s="591">
        <f>('constant pb'!C$27)*100</f>
        <v>3.085754504401117</v>
      </c>
      <c r="W114" s="591">
        <f>('constant pb'!D$27)*100</f>
        <v>2.7938359016816516</v>
      </c>
      <c r="X114" s="591">
        <f>('constant pb'!E$27)*100</f>
        <v>2.5315565708619037</v>
      </c>
      <c r="Y114" s="591">
        <f>('constant pb'!F$27)*100</f>
        <v>2.4647711698661201</v>
      </c>
      <c r="Z114" s="592">
        <f>('constant pb'!G$27)*100</f>
        <v>2.5000000000000133</v>
      </c>
      <c r="AA114" s="475"/>
      <c r="AB114" s="429"/>
      <c r="AC114" s="25"/>
      <c r="AD114" s="25"/>
      <c r="AE114" s="25"/>
      <c r="AF114" s="25"/>
      <c r="AG114" s="25"/>
      <c r="AH114" s="25"/>
      <c r="AI114" s="25"/>
      <c r="AJ114" s="25"/>
      <c r="AK114" s="25"/>
      <c r="AL114" s="25"/>
      <c r="AM114" s="25"/>
      <c r="AN114" s="25"/>
      <c r="AO114" s="464"/>
      <c r="AP114" s="289"/>
      <c r="AQ114" s="107" t="s">
        <v>424</v>
      </c>
      <c r="AR114" s="107"/>
      <c r="AS114" s="107"/>
      <c r="AT114" s="599">
        <f t="shared" si="73"/>
        <v>100.40391596609757</v>
      </c>
      <c r="AU114" s="599" t="e">
        <f t="shared" ca="1" si="73"/>
        <v>#DIV/0!</v>
      </c>
      <c r="AV114" s="599" t="e">
        <f t="shared" ca="1" si="73"/>
        <v>#DIV/0!</v>
      </c>
      <c r="AW114" s="599" t="e">
        <f t="shared" ca="1" si="73"/>
        <v>#DIV/0!</v>
      </c>
      <c r="AX114" s="599" t="e">
        <f t="shared" ca="1" si="73"/>
        <v>#DIV/0!</v>
      </c>
      <c r="AY114" s="599" t="e">
        <f t="shared" ca="1" si="73"/>
        <v>#DIV/0!</v>
      </c>
      <c r="AZ114" s="474"/>
      <c r="BA114" s="247"/>
      <c r="BB114" s="247"/>
      <c r="BC114" s="247"/>
      <c r="BD114" s="247"/>
      <c r="BE114" s="247"/>
      <c r="BF114" s="247"/>
      <c r="BG114" s="247"/>
      <c r="BH114" s="247"/>
      <c r="BI114" s="247"/>
      <c r="BJ114" s="247"/>
      <c r="BK114" s="254"/>
      <c r="BL114" s="256"/>
      <c r="BM114" s="261"/>
      <c r="BN114" s="261"/>
      <c r="BO114" s="261"/>
      <c r="BP114" s="261"/>
      <c r="BQ114" s="261"/>
      <c r="BR114" s="261"/>
      <c r="BS114" s="261"/>
      <c r="BT114" s="261"/>
      <c r="BU114" s="247"/>
      <c r="BV114" s="261"/>
      <c r="BW114" s="247"/>
      <c r="BX114" s="247"/>
      <c r="BY114" s="247"/>
      <c r="BZ114" s="254"/>
      <c r="CA114" s="255"/>
      <c r="CB114" s="247"/>
      <c r="CC114" s="247"/>
      <c r="CD114" s="247"/>
      <c r="CE114" s="247"/>
      <c r="CF114" s="247"/>
      <c r="CG114" s="254"/>
      <c r="CH114" s="284" t="s">
        <v>715</v>
      </c>
      <c r="CI114" s="1086"/>
      <c r="CJ114" s="1086">
        <f t="shared" ref="CJ114:CR114" si="76">CJ108-CJ106</f>
        <v>7.0909210487811292</v>
      </c>
      <c r="CK114" s="1086">
        <f t="shared" si="76"/>
        <v>4.1788665725142486</v>
      </c>
      <c r="CL114" s="1086">
        <f t="shared" si="76"/>
        <v>4.9428629699841542</v>
      </c>
      <c r="CM114" s="1086">
        <f t="shared" si="76"/>
        <v>2.1871184461269442</v>
      </c>
      <c r="CN114" s="1086">
        <f t="shared" si="76"/>
        <v>1.9133482525013301</v>
      </c>
      <c r="CO114" s="1086">
        <f t="shared" si="76"/>
        <v>1.4124191628970739</v>
      </c>
      <c r="CP114" s="1086">
        <f t="shared" si="76"/>
        <v>1.6602019511744501</v>
      </c>
      <c r="CQ114" s="1086">
        <f t="shared" si="76"/>
        <v>2.5722434148743045</v>
      </c>
      <c r="CR114" s="1086">
        <f t="shared" si="76"/>
        <v>3.5670247664207539</v>
      </c>
      <c r="CS114" s="1076"/>
      <c r="CT114" s="1086">
        <f t="shared" ref="CT114:DB114" si="77">CT108-CT106</f>
        <v>4.7274579337741773</v>
      </c>
      <c r="CU114" s="1086">
        <f t="shared" si="77"/>
        <v>4.2186653278416681</v>
      </c>
      <c r="CV114" s="1086">
        <f t="shared" si="77"/>
        <v>5.6683759835678522</v>
      </c>
      <c r="CW114" s="1086">
        <f t="shared" si="77"/>
        <v>2.9178958581191976</v>
      </c>
      <c r="CX114" s="1086">
        <f t="shared" si="77"/>
        <v>2.664367625907972</v>
      </c>
      <c r="CY114" s="1086">
        <f t="shared" si="77"/>
        <v>2.2138674811424006</v>
      </c>
      <c r="CZ114" s="1086">
        <f t="shared" si="77"/>
        <v>4.2679268553318854</v>
      </c>
      <c r="DA114" s="1086">
        <f t="shared" si="77"/>
        <v>2.9492306761147766</v>
      </c>
      <c r="DB114" s="1086">
        <f t="shared" si="77"/>
        <v>2.0120167433724094</v>
      </c>
      <c r="DC114" s="993"/>
      <c r="DD114" s="281"/>
      <c r="DF114" s="3">
        <v>124</v>
      </c>
      <c r="DG114" s="4">
        <v>2004</v>
      </c>
      <c r="DH114" s="4">
        <v>6.3685169999999998</v>
      </c>
      <c r="DI114" s="1172"/>
      <c r="DJ114" s="5"/>
      <c r="DK114" s="1444">
        <v>124</v>
      </c>
      <c r="DL114" s="1444">
        <v>2004</v>
      </c>
      <c r="DM114" s="1444">
        <v>-0.5078551</v>
      </c>
      <c r="DN114" s="1440">
        <f t="shared" si="52"/>
        <v>-1.5235653</v>
      </c>
      <c r="DO114" s="993"/>
      <c r="DP114" s="488"/>
      <c r="DQ114" s="247"/>
      <c r="DR114" s="247"/>
      <c r="DS114" s="247"/>
      <c r="DT114" s="247"/>
      <c r="DU114" s="247"/>
      <c r="DV114" s="261"/>
      <c r="DW114" s="261"/>
      <c r="DX114" s="261"/>
      <c r="DY114" s="261"/>
      <c r="DZ114" s="261"/>
      <c r="EA114" s="261"/>
      <c r="EB114" s="261"/>
      <c r="EC114" s="261"/>
      <c r="ED114" s="261"/>
      <c r="EE114" s="261"/>
      <c r="EF114" s="993"/>
      <c r="EG114" s="261"/>
      <c r="EH114" s="281"/>
      <c r="EI114" s="281"/>
      <c r="EJ114" s="281"/>
      <c r="EK114" s="281"/>
      <c r="EL114" s="281"/>
      <c r="EM114" s="281"/>
      <c r="EN114" s="281"/>
      <c r="EO114" s="281"/>
      <c r="EP114" s="281"/>
      <c r="EQ114" s="281"/>
      <c r="ER114" s="281"/>
      <c r="ES114" s="281"/>
      <c r="ET114" s="281"/>
      <c r="EU114" s="281"/>
      <c r="EV114" s="281"/>
      <c r="EW114" s="281"/>
      <c r="EX114" s="281"/>
      <c r="EY114" s="281"/>
      <c r="EZ114" s="281"/>
      <c r="FA114" s="281"/>
      <c r="FB114" s="281"/>
      <c r="FC114" s="281"/>
      <c r="FD114" s="281"/>
      <c r="FE114" s="281"/>
      <c r="FF114" s="281"/>
      <c r="FG114" s="281"/>
      <c r="FH114" s="281"/>
      <c r="FI114" s="281"/>
      <c r="FJ114" s="281"/>
      <c r="FK114" s="281"/>
      <c r="FL114" s="281"/>
      <c r="FM114" s="281"/>
      <c r="FN114" s="281"/>
      <c r="FO114" s="281"/>
      <c r="FP114" s="281"/>
      <c r="FQ114" s="281"/>
      <c r="FR114" s="281"/>
      <c r="FS114" s="281"/>
      <c r="FT114" s="281"/>
      <c r="FU114" s="281"/>
      <c r="FV114" s="281"/>
      <c r="FW114" s="281"/>
      <c r="FX114" s="281"/>
      <c r="FY114" s="281"/>
    </row>
    <row r="115" spans="1:181" s="25" customFormat="1" ht="20.100000000000001" customHeight="1">
      <c r="A115" s="98"/>
      <c r="G115" s="464"/>
      <c r="H115" s="98"/>
      <c r="I115" s="949" t="s">
        <v>264</v>
      </c>
      <c r="J115" s="948">
        <v>361</v>
      </c>
      <c r="K115" s="948">
        <v>0</v>
      </c>
      <c r="L115" s="948"/>
      <c r="M115" s="1029" t="s">
        <v>651</v>
      </c>
      <c r="N115" s="464"/>
      <c r="O115" s="98"/>
      <c r="P115" s="25" t="str">
        <f t="shared" si="72"/>
        <v>Constant Primary BalancePrimary Balance (in percent of GDP)</v>
      </c>
      <c r="R115" s="99" t="s">
        <v>544</v>
      </c>
      <c r="S115" s="107"/>
      <c r="T115" s="107"/>
      <c r="U115" s="591">
        <f>('constant pb'!B$30)*100</f>
        <v>-5.2301873674015509E-2</v>
      </c>
      <c r="V115" s="591">
        <f>('constant pb'!C$30)*100</f>
        <v>-5.2301873674015509E-2</v>
      </c>
      <c r="W115" s="591">
        <f>('constant pb'!D$30)*100</f>
        <v>-5.2301873674015509E-2</v>
      </c>
      <c r="X115" s="591">
        <f>('constant pb'!E$30)*100</f>
        <v>-5.2301873674015509E-2</v>
      </c>
      <c r="Y115" s="591">
        <f>('constant pb'!F$30)*100</f>
        <v>-5.2301873674015509E-2</v>
      </c>
      <c r="Z115" s="592">
        <f>('constant pb'!G$30)*100</f>
        <v>-5.2301873674015509E-2</v>
      </c>
      <c r="AA115" s="464"/>
      <c r="AO115" s="464"/>
      <c r="AP115" s="289"/>
      <c r="AQ115" s="107" t="s">
        <v>425</v>
      </c>
      <c r="AR115" s="107"/>
      <c r="AS115" s="107"/>
      <c r="AT115" s="599">
        <f t="shared" si="73"/>
        <v>10.043774810504543</v>
      </c>
      <c r="AU115" s="599" t="e">
        <f t="shared" ca="1" si="73"/>
        <v>#DIV/0!</v>
      </c>
      <c r="AV115" s="599" t="e">
        <f t="shared" ca="1" si="73"/>
        <v>#DIV/0!</v>
      </c>
      <c r="AW115" s="599" t="e">
        <f t="shared" ca="1" si="73"/>
        <v>#DIV/0!</v>
      </c>
      <c r="AX115" s="599" t="e">
        <f t="shared" ca="1" si="73"/>
        <v>#DIV/0!</v>
      </c>
      <c r="AY115" s="599" t="e">
        <f t="shared" ca="1" si="73"/>
        <v>#DIV/0!</v>
      </c>
      <c r="AZ115" s="474"/>
      <c r="BA115" s="247"/>
      <c r="BB115" s="247"/>
      <c r="BC115" s="247"/>
      <c r="BD115" s="247"/>
      <c r="BE115" s="247"/>
      <c r="BF115" s="247"/>
      <c r="BG115" s="247"/>
      <c r="BH115" s="247"/>
      <c r="BI115" s="247"/>
      <c r="BJ115" s="247"/>
      <c r="BK115" s="254"/>
      <c r="BL115" s="256"/>
      <c r="BM115" s="261"/>
      <c r="BN115" s="261"/>
      <c r="BO115" s="261"/>
      <c r="BP115" s="261"/>
      <c r="BQ115" s="261"/>
      <c r="BR115" s="261"/>
      <c r="BS115" s="261"/>
      <c r="BT115" s="261"/>
      <c r="BU115" s="247"/>
      <c r="BV115" s="261"/>
      <c r="BW115" s="247"/>
      <c r="BX115" s="247"/>
      <c r="BY115" s="247"/>
      <c r="BZ115" s="254"/>
      <c r="CA115" s="255"/>
      <c r="CB115" s="247"/>
      <c r="CC115" s="247"/>
      <c r="CD115" s="247"/>
      <c r="CE115" s="247"/>
      <c r="CF115" s="247"/>
      <c r="CG115" s="254"/>
      <c r="CH115" s="17"/>
      <c r="CI115" s="17"/>
      <c r="CJ115" s="1077"/>
      <c r="CK115" s="1077"/>
      <c r="CL115" s="1077"/>
      <c r="CM115" s="1077"/>
      <c r="CN115" s="1077"/>
      <c r="CO115" s="1077"/>
      <c r="CP115" s="1077"/>
      <c r="CQ115" s="1077"/>
      <c r="CR115" s="1077"/>
      <c r="CS115" s="1077"/>
      <c r="CT115" s="1077"/>
      <c r="CU115" s="1077"/>
      <c r="CV115" s="1077"/>
      <c r="CW115" s="1077"/>
      <c r="CX115" s="1077"/>
      <c r="CY115" s="1077"/>
      <c r="CZ115" s="1077"/>
      <c r="DA115" s="1077"/>
      <c r="DB115" s="1077"/>
      <c r="DC115" s="993"/>
      <c r="DD115" s="281"/>
      <c r="DF115" s="3">
        <v>124</v>
      </c>
      <c r="DG115" s="4">
        <v>2005</v>
      </c>
      <c r="DH115" s="4">
        <v>5.2142759999999999</v>
      </c>
      <c r="DI115" s="1172"/>
      <c r="DJ115" s="5"/>
      <c r="DK115" s="1444">
        <v>124</v>
      </c>
      <c r="DL115" s="1444">
        <v>2005</v>
      </c>
      <c r="DM115" s="1444">
        <v>-1.154242</v>
      </c>
      <c r="DN115" s="1440">
        <f t="shared" si="52"/>
        <v>-3.462726</v>
      </c>
      <c r="DO115" s="993"/>
      <c r="DP115" s="488"/>
      <c r="DQ115" s="247"/>
      <c r="DR115" s="247"/>
      <c r="DS115" s="247"/>
      <c r="DT115" s="247"/>
      <c r="DU115" s="247"/>
      <c r="DV115" s="261"/>
      <c r="DW115" s="261"/>
      <c r="DX115" s="261"/>
      <c r="DY115" s="261"/>
      <c r="DZ115" s="261"/>
      <c r="EA115" s="261"/>
      <c r="EB115" s="261"/>
      <c r="EC115" s="261"/>
      <c r="ED115" s="261"/>
      <c r="EE115" s="261"/>
      <c r="EF115" s="993"/>
      <c r="EG115" s="261"/>
      <c r="EH115" s="281"/>
      <c r="EI115" s="281"/>
      <c r="EJ115" s="281"/>
      <c r="EK115" s="281"/>
      <c r="EL115" s="281"/>
      <c r="EM115" s="281"/>
      <c r="EN115" s="281"/>
      <c r="EO115" s="281"/>
      <c r="EP115" s="281"/>
      <c r="EQ115" s="281"/>
      <c r="ER115" s="281"/>
      <c r="ES115" s="281"/>
      <c r="ET115" s="281"/>
      <c r="EU115" s="281"/>
      <c r="EV115" s="281"/>
      <c r="EW115" s="281"/>
      <c r="EX115" s="281"/>
      <c r="EY115" s="281"/>
      <c r="EZ115" s="281"/>
      <c r="FA115" s="281"/>
      <c r="FB115" s="281"/>
      <c r="FC115" s="281"/>
      <c r="FD115" s="281"/>
      <c r="FE115" s="281"/>
      <c r="FF115" s="281"/>
      <c r="FG115" s="281"/>
      <c r="FH115" s="281"/>
      <c r="FI115" s="281"/>
      <c r="FJ115" s="281"/>
      <c r="FK115" s="281"/>
      <c r="FL115" s="281"/>
      <c r="FM115" s="281"/>
      <c r="FN115" s="281"/>
      <c r="FO115" s="281"/>
      <c r="FP115" s="281"/>
      <c r="FQ115" s="281"/>
      <c r="FR115" s="281"/>
      <c r="FS115" s="281"/>
      <c r="FT115" s="281"/>
      <c r="FU115" s="281"/>
      <c r="FV115" s="281"/>
      <c r="FW115" s="281"/>
      <c r="FX115" s="281"/>
      <c r="FY115" s="281"/>
    </row>
    <row r="116" spans="1:181" s="25" customFormat="1" ht="20.100000000000001" customHeight="1" thickBot="1">
      <c r="A116" s="98"/>
      <c r="G116" s="464"/>
      <c r="H116" s="98"/>
      <c r="I116" s="949" t="s">
        <v>1203</v>
      </c>
      <c r="J116" s="948">
        <v>362</v>
      </c>
      <c r="K116" s="948">
        <v>0</v>
      </c>
      <c r="L116" s="948"/>
      <c r="M116" s="1029" t="s">
        <v>1204</v>
      </c>
      <c r="N116" s="464"/>
      <c r="O116" s="98"/>
      <c r="P116" s="25" t="str">
        <f t="shared" si="72"/>
        <v>Constant Primary BalanceEffective Interest Rate (in percent)</v>
      </c>
      <c r="R116" s="101" t="s">
        <v>428</v>
      </c>
      <c r="S116" s="632"/>
      <c r="T116" s="632"/>
      <c r="U116" s="594">
        <f>('constant pb'!B$25)*100</f>
        <v>1.9586439007071743</v>
      </c>
      <c r="V116" s="594">
        <f ca="1">('constant pb'!C$25)*100</f>
        <v>2.4781166566290191</v>
      </c>
      <c r="W116" s="594">
        <f ca="1">('constant pb'!D$25)*100</f>
        <v>3.1221186569105042</v>
      </c>
      <c r="X116" s="594">
        <f ca="1">('constant pb'!E$25)*100</f>
        <v>1.6841193966014807</v>
      </c>
      <c r="Y116" s="594">
        <f ca="1">('constant pb'!F$25)*100</f>
        <v>2.1911228022965714</v>
      </c>
      <c r="Z116" s="595">
        <f ca="1">('constant pb'!G$25)*100</f>
        <v>2.2895405406737046</v>
      </c>
      <c r="AA116" s="464"/>
      <c r="AO116" s="464"/>
      <c r="AP116" s="289"/>
      <c r="AQ116" s="107" t="s">
        <v>423</v>
      </c>
      <c r="AR116" s="107"/>
      <c r="AS116" s="107"/>
      <c r="AT116" s="599">
        <f t="shared" si="73"/>
        <v>3.5994671534530136</v>
      </c>
      <c r="AU116" s="599">
        <f t="shared" ca="1" si="73"/>
        <v>7.6640589946873048</v>
      </c>
      <c r="AV116" s="599">
        <f t="shared" ca="1" si="73"/>
        <v>13.168922635096822</v>
      </c>
      <c r="AW116" s="599">
        <f t="shared" ca="1" si="73"/>
        <v>17.680817519954925</v>
      </c>
      <c r="AX116" s="599">
        <f t="shared" ca="1" si="73"/>
        <v>18.409974092503905</v>
      </c>
      <c r="AY116" s="599">
        <f t="shared" ca="1" si="73"/>
        <v>18.178910235363414</v>
      </c>
      <c r="AZ116" s="474"/>
      <c r="BA116" s="247"/>
      <c r="BB116" s="247"/>
      <c r="BC116" s="247"/>
      <c r="BD116" s="247"/>
      <c r="BE116" s="247"/>
      <c r="BF116" s="247"/>
      <c r="BG116" s="247"/>
      <c r="BH116" s="247"/>
      <c r="BI116" s="247"/>
      <c r="BJ116" s="247"/>
      <c r="BK116" s="254"/>
      <c r="BL116" s="256"/>
      <c r="BM116" s="261"/>
      <c r="BN116" s="261"/>
      <c r="BO116" s="261"/>
      <c r="BP116" s="261"/>
      <c r="BQ116" s="261"/>
      <c r="BR116" s="261"/>
      <c r="BS116" s="261"/>
      <c r="BT116" s="261"/>
      <c r="BU116" s="247"/>
      <c r="BV116" s="261"/>
      <c r="BW116" s="247"/>
      <c r="BX116" s="247"/>
      <c r="BY116" s="247"/>
      <c r="BZ116" s="254"/>
      <c r="CA116" s="255"/>
      <c r="CB116" s="247"/>
      <c r="CC116" s="247"/>
      <c r="CD116" s="247"/>
      <c r="CE116" s="247"/>
      <c r="CF116" s="247"/>
      <c r="CG116" s="254"/>
      <c r="CH116" s="1088"/>
      <c r="CI116" s="666"/>
      <c r="CJ116" s="1078"/>
      <c r="CK116" s="1078"/>
      <c r="CL116" s="1078"/>
      <c r="CM116" s="1078"/>
      <c r="CN116" s="1078"/>
      <c r="CO116" s="1078"/>
      <c r="CP116" s="1078"/>
      <c r="CQ116" s="1078"/>
      <c r="CR116" s="1078"/>
      <c r="CS116" s="1078"/>
      <c r="CT116" s="1078"/>
      <c r="CU116" s="1078"/>
      <c r="CV116" s="1078"/>
      <c r="CW116" s="1078"/>
      <c r="CX116" s="1078"/>
      <c r="CY116" s="1078"/>
      <c r="CZ116" s="1078"/>
      <c r="DA116" s="1078"/>
      <c r="DB116" s="1078"/>
      <c r="DC116" s="1023"/>
      <c r="DD116" s="281"/>
      <c r="DF116" s="3">
        <v>124</v>
      </c>
      <c r="DG116" s="4">
        <v>2006</v>
      </c>
      <c r="DH116" s="4">
        <v>4.6905890000000001</v>
      </c>
      <c r="DI116" s="1172"/>
      <c r="DJ116" s="5"/>
      <c r="DK116" s="1444">
        <v>124</v>
      </c>
      <c r="DL116" s="1444">
        <v>2006</v>
      </c>
      <c r="DM116" s="1444">
        <v>-0.52368669999999995</v>
      </c>
      <c r="DN116" s="1440">
        <f t="shared" si="52"/>
        <v>-1.5710601</v>
      </c>
      <c r="DO116" s="993"/>
      <c r="DP116" s="488"/>
      <c r="DQ116" s="247"/>
      <c r="DR116" s="247"/>
      <c r="DS116" s="247"/>
      <c r="DT116" s="247"/>
      <c r="DU116" s="247"/>
      <c r="DV116" s="261"/>
      <c r="DW116" s="261"/>
      <c r="DX116" s="261"/>
      <c r="DY116" s="261"/>
      <c r="DZ116" s="261"/>
      <c r="EA116" s="261"/>
      <c r="EB116" s="261"/>
      <c r="EC116" s="261"/>
      <c r="ED116" s="261"/>
      <c r="EE116" s="261"/>
      <c r="EF116" s="993"/>
      <c r="EG116" s="261"/>
      <c r="EH116" s="281"/>
      <c r="EI116" s="281"/>
      <c r="EJ116" s="281"/>
      <c r="EK116" s="281"/>
      <c r="EL116" s="281"/>
      <c r="EM116" s="281"/>
      <c r="EN116" s="281"/>
      <c r="EO116" s="281"/>
      <c r="EP116" s="281"/>
      <c r="EQ116" s="281"/>
      <c r="ER116" s="281"/>
      <c r="ES116" s="281"/>
      <c r="ET116" s="281"/>
      <c r="EU116" s="281"/>
      <c r="EV116" s="281"/>
      <c r="EW116" s="281"/>
      <c r="EX116" s="281"/>
      <c r="EY116" s="281"/>
      <c r="EZ116" s="281"/>
      <c r="FA116" s="281"/>
      <c r="FB116" s="281"/>
      <c r="FC116" s="281"/>
      <c r="FD116" s="281"/>
      <c r="FE116" s="281"/>
      <c r="FF116" s="281"/>
      <c r="FG116" s="281"/>
      <c r="FH116" s="281"/>
      <c r="FI116" s="281"/>
      <c r="FJ116" s="281"/>
      <c r="FK116" s="281"/>
      <c r="FL116" s="281"/>
      <c r="FM116" s="281"/>
      <c r="FN116" s="281"/>
      <c r="FO116" s="281"/>
      <c r="FP116" s="281"/>
      <c r="FQ116" s="281"/>
      <c r="FR116" s="281"/>
      <c r="FS116" s="281"/>
      <c r="FT116" s="281"/>
      <c r="FU116" s="281"/>
      <c r="FV116" s="281"/>
      <c r="FW116" s="281"/>
      <c r="FX116" s="281"/>
      <c r="FY116" s="281"/>
    </row>
    <row r="117" spans="1:181" s="25" customFormat="1" ht="20.100000000000001" customHeight="1">
      <c r="A117" s="98"/>
      <c r="G117" s="464"/>
      <c r="H117" s="98"/>
      <c r="I117" s="949" t="s">
        <v>265</v>
      </c>
      <c r="J117" s="948">
        <v>366</v>
      </c>
      <c r="K117" s="948">
        <v>0</v>
      </c>
      <c r="L117" s="948"/>
      <c r="M117" s="1029" t="s">
        <v>652</v>
      </c>
      <c r="N117" s="464"/>
      <c r="O117" s="98"/>
      <c r="AA117" s="464"/>
      <c r="AO117" s="464"/>
      <c r="AP117" s="289"/>
      <c r="AQ117" s="107" t="s">
        <v>418</v>
      </c>
      <c r="AR117" s="107"/>
      <c r="AS117" s="107"/>
      <c r="AT117" s="591">
        <f t="shared" ref="AT117:AY120" si="78">IFERROR(VLOOKUP(CONCATENATE($AQ$112,$AQ117),$P$7:$Z$158,U$2,FALSE),"")</f>
        <v>4.7697166816344838</v>
      </c>
      <c r="AU117" s="591">
        <f t="shared" si="78"/>
        <v>-2.9400730822444126</v>
      </c>
      <c r="AV117" s="591">
        <f t="shared" si="78"/>
        <v>-3.1140062952496854</v>
      </c>
      <c r="AW117" s="591">
        <f t="shared" si="78"/>
        <v>2.8871442593204177</v>
      </c>
      <c r="AX117" s="591">
        <f t="shared" si="78"/>
        <v>2.933023694707515</v>
      </c>
      <c r="AY117" s="591">
        <f t="shared" si="78"/>
        <v>2.8000000000000025</v>
      </c>
      <c r="AZ117" s="474"/>
      <c r="BA117" s="247"/>
      <c r="BB117" s="247"/>
      <c r="BC117" s="247"/>
      <c r="BD117" s="247"/>
      <c r="BE117" s="247"/>
      <c r="BF117" s="247"/>
      <c r="BG117" s="247"/>
      <c r="BH117" s="247"/>
      <c r="BI117" s="247"/>
      <c r="BJ117" s="247"/>
      <c r="BK117" s="254"/>
      <c r="BL117" s="256"/>
      <c r="BM117" s="261"/>
      <c r="BN117" s="261"/>
      <c r="BO117" s="261"/>
      <c r="BP117" s="261"/>
      <c r="BQ117" s="261"/>
      <c r="BR117" s="261"/>
      <c r="BS117" s="261"/>
      <c r="BT117" s="261"/>
      <c r="BU117" s="247"/>
      <c r="BV117" s="261"/>
      <c r="BW117" s="247"/>
      <c r="BX117" s="247"/>
      <c r="BY117" s="247"/>
      <c r="BZ117" s="254"/>
      <c r="CA117" s="255"/>
      <c r="CB117" s="247"/>
      <c r="CC117" s="247"/>
      <c r="CD117" s="247"/>
      <c r="CE117" s="247"/>
      <c r="CF117" s="247"/>
      <c r="CG117" s="254"/>
      <c r="CH117" s="17"/>
      <c r="CI117" s="17"/>
      <c r="CJ117" s="1077">
        <v>1</v>
      </c>
      <c r="CK117" s="1077">
        <f>CJ117+1</f>
        <v>2</v>
      </c>
      <c r="CL117" s="1077">
        <f t="shared" ref="CL117:DA117" si="79">CK117+1</f>
        <v>3</v>
      </c>
      <c r="CM117" s="1077">
        <f t="shared" si="79"/>
        <v>4</v>
      </c>
      <c r="CN117" s="1077">
        <f t="shared" si="79"/>
        <v>5</v>
      </c>
      <c r="CO117" s="1077">
        <f t="shared" si="79"/>
        <v>6</v>
      </c>
      <c r="CP117" s="1077">
        <f t="shared" si="79"/>
        <v>7</v>
      </c>
      <c r="CQ117" s="1077">
        <f t="shared" si="79"/>
        <v>8</v>
      </c>
      <c r="CR117" s="1077">
        <f t="shared" si="79"/>
        <v>9</v>
      </c>
      <c r="CS117" s="1077">
        <f t="shared" si="79"/>
        <v>10</v>
      </c>
      <c r="CT117" s="1077">
        <f t="shared" si="79"/>
        <v>11</v>
      </c>
      <c r="CU117" s="1077">
        <f t="shared" si="79"/>
        <v>12</v>
      </c>
      <c r="CV117" s="1077">
        <f t="shared" si="79"/>
        <v>13</v>
      </c>
      <c r="CW117" s="1077">
        <f t="shared" si="79"/>
        <v>14</v>
      </c>
      <c r="CX117" s="1077">
        <f t="shared" si="79"/>
        <v>15</v>
      </c>
      <c r="CY117" s="1077">
        <f t="shared" si="79"/>
        <v>16</v>
      </c>
      <c r="CZ117" s="1077">
        <f t="shared" si="79"/>
        <v>17</v>
      </c>
      <c r="DA117" s="1077">
        <f t="shared" si="79"/>
        <v>18</v>
      </c>
      <c r="DB117" s="1077"/>
      <c r="DC117" s="993"/>
      <c r="DD117" s="281"/>
      <c r="DF117" s="3">
        <v>124</v>
      </c>
      <c r="DG117" s="4">
        <v>2007</v>
      </c>
      <c r="DH117" s="4">
        <v>4.172917</v>
      </c>
      <c r="DI117" s="1172"/>
      <c r="DJ117" s="5"/>
      <c r="DK117" s="1444">
        <v>124</v>
      </c>
      <c r="DL117" s="1444">
        <v>2007</v>
      </c>
      <c r="DM117" s="1444">
        <v>-0.51767209999999997</v>
      </c>
      <c r="DN117" s="1440">
        <f t="shared" si="52"/>
        <v>-1.5530162999999999</v>
      </c>
      <c r="DO117" s="993"/>
      <c r="DP117" s="488"/>
      <c r="DQ117" s="247"/>
      <c r="DR117" s="247"/>
      <c r="DS117" s="247"/>
      <c r="DT117" s="247"/>
      <c r="DU117" s="247"/>
      <c r="DV117" s="261"/>
      <c r="DW117" s="261"/>
      <c r="DX117" s="261"/>
      <c r="DY117" s="261"/>
      <c r="DZ117" s="261"/>
      <c r="EA117" s="261"/>
      <c r="EB117" s="261"/>
      <c r="EC117" s="261"/>
      <c r="ED117" s="261"/>
      <c r="EE117" s="261"/>
      <c r="EF117" s="993"/>
      <c r="EG117" s="261"/>
      <c r="EH117" s="281"/>
      <c r="EI117" s="281"/>
      <c r="EJ117" s="281"/>
      <c r="EK117" s="281"/>
      <c r="EL117" s="281"/>
      <c r="EM117" s="281"/>
      <c r="EN117" s="281"/>
      <c r="EO117" s="281"/>
      <c r="EP117" s="281"/>
      <c r="EQ117" s="281"/>
      <c r="ER117" s="281"/>
      <c r="ES117" s="281"/>
      <c r="ET117" s="281"/>
      <c r="EU117" s="281"/>
      <c r="EV117" s="281"/>
      <c r="EW117" s="281"/>
      <c r="EX117" s="281"/>
      <c r="EY117" s="281"/>
      <c r="EZ117" s="281"/>
      <c r="FA117" s="281"/>
      <c r="FB117" s="281"/>
      <c r="FC117" s="281"/>
      <c r="FD117" s="281"/>
      <c r="FE117" s="281"/>
      <c r="FF117" s="281"/>
      <c r="FG117" s="281"/>
      <c r="FH117" s="281"/>
      <c r="FI117" s="281"/>
      <c r="FJ117" s="281"/>
      <c r="FK117" s="281"/>
      <c r="FL117" s="281"/>
      <c r="FM117" s="281"/>
      <c r="FN117" s="281"/>
      <c r="FO117" s="281"/>
      <c r="FP117" s="281"/>
      <c r="FQ117" s="281"/>
      <c r="FR117" s="281"/>
      <c r="FS117" s="281"/>
      <c r="FT117" s="281"/>
      <c r="FU117" s="281"/>
      <c r="FV117" s="281"/>
      <c r="FW117" s="281"/>
      <c r="FX117" s="281"/>
      <c r="FY117" s="281"/>
    </row>
    <row r="118" spans="1:181" ht="20.100000000000001" customHeight="1">
      <c r="I118" s="949" t="s">
        <v>266</v>
      </c>
      <c r="J118" s="948">
        <v>734</v>
      </c>
      <c r="K118" s="948">
        <v>0</v>
      </c>
      <c r="L118" s="948"/>
      <c r="M118" s="1029" t="s">
        <v>653</v>
      </c>
      <c r="R118" s="25"/>
      <c r="S118" s="25"/>
      <c r="T118" s="25"/>
      <c r="U118" s="25"/>
      <c r="V118" s="25"/>
      <c r="W118" s="25"/>
      <c r="X118" s="25"/>
      <c r="Y118" s="25"/>
      <c r="Z118" s="25"/>
      <c r="AA118" s="473"/>
      <c r="AB118" s="246"/>
      <c r="AP118" s="289"/>
      <c r="AQ118" s="107" t="s">
        <v>427</v>
      </c>
      <c r="AR118" s="107"/>
      <c r="AS118" s="107"/>
      <c r="AT118" s="591">
        <f t="shared" si="78"/>
        <v>4.2122999157540031</v>
      </c>
      <c r="AU118" s="591">
        <f t="shared" si="78"/>
        <v>1.5585753694680979</v>
      </c>
      <c r="AV118" s="591">
        <f t="shared" si="78"/>
        <v>1.2666567667486326</v>
      </c>
      <c r="AW118" s="591">
        <f t="shared" si="78"/>
        <v>2.5315565708619037</v>
      </c>
      <c r="AX118" s="591">
        <f t="shared" si="78"/>
        <v>2.4647711698661201</v>
      </c>
      <c r="AY118" s="591">
        <f t="shared" si="78"/>
        <v>2.5000000000000133</v>
      </c>
      <c r="AZ118" s="475"/>
      <c r="BL118" s="256"/>
      <c r="BM118" s="261"/>
      <c r="BN118" s="261"/>
      <c r="BO118" s="261"/>
      <c r="BP118" s="261"/>
      <c r="BQ118" s="261"/>
      <c r="BS118" s="261"/>
      <c r="BT118" s="261"/>
      <c r="CH118" s="1089" t="s">
        <v>724</v>
      </c>
      <c r="CN118" s="16" t="s">
        <v>707</v>
      </c>
      <c r="CO118" s="16" t="s">
        <v>731</v>
      </c>
      <c r="CP118" s="281"/>
      <c r="CT118" s="16" t="s">
        <v>707</v>
      </c>
      <c r="CU118" s="16" t="s">
        <v>731</v>
      </c>
      <c r="CZ118" s="16" t="s">
        <v>707</v>
      </c>
      <c r="DA118" s="16" t="s">
        <v>731</v>
      </c>
      <c r="DF118" s="3">
        <v>124</v>
      </c>
      <c r="DG118" s="4">
        <v>2008</v>
      </c>
      <c r="DH118" s="4">
        <v>4.2059090000000001</v>
      </c>
      <c r="DI118" s="1172"/>
      <c r="DJ118" s="5"/>
      <c r="DK118" s="1444">
        <v>124</v>
      </c>
      <c r="DL118" s="1444">
        <v>2008</v>
      </c>
      <c r="DM118" s="1444">
        <v>3.2991600000000003E-2</v>
      </c>
      <c r="DN118" s="1440">
        <f t="shared" si="52"/>
        <v>9.8974800000000002E-2</v>
      </c>
      <c r="EG118" s="261"/>
    </row>
    <row r="119" spans="1:181" ht="20.100000000000001" customHeight="1" thickBot="1">
      <c r="I119" s="949" t="s">
        <v>267</v>
      </c>
      <c r="J119" s="948">
        <v>144</v>
      </c>
      <c r="K119" s="948">
        <v>1</v>
      </c>
      <c r="L119" s="948"/>
      <c r="M119" s="1029" t="s">
        <v>654</v>
      </c>
      <c r="R119" s="25"/>
      <c r="S119" s="25"/>
      <c r="T119" s="25"/>
      <c r="U119" s="25"/>
      <c r="V119" s="25"/>
      <c r="W119" s="25"/>
      <c r="X119" s="25"/>
      <c r="Y119" s="25"/>
      <c r="Z119" s="25"/>
      <c r="AA119" s="474"/>
      <c r="AB119" s="100"/>
      <c r="AP119" s="289"/>
      <c r="AQ119" s="107" t="s">
        <v>544</v>
      </c>
      <c r="AR119" s="107"/>
      <c r="AS119" s="107"/>
      <c r="AT119" s="591">
        <f t="shared" si="78"/>
        <v>-5.2301873674015509E-2</v>
      </c>
      <c r="AU119" s="591">
        <f t="shared" si="78"/>
        <v>-2.7937023631175673</v>
      </c>
      <c r="AV119" s="591">
        <f t="shared" si="78"/>
        <v>-5.5093300748827732</v>
      </c>
      <c r="AW119" s="591">
        <f t="shared" si="78"/>
        <v>0.22147723253581053</v>
      </c>
      <c r="AX119" s="591">
        <f t="shared" si="78"/>
        <v>0.87301076297996993</v>
      </c>
      <c r="AY119" s="591">
        <f t="shared" si="78"/>
        <v>0.87301076297997549</v>
      </c>
      <c r="AZ119" s="474"/>
      <c r="BL119" s="256"/>
      <c r="BM119" s="261"/>
      <c r="BN119" s="261"/>
      <c r="BO119" s="261"/>
      <c r="BP119" s="261"/>
      <c r="BQ119" s="261"/>
      <c r="BS119" s="261"/>
      <c r="BT119" s="261"/>
      <c r="CL119" s="62" t="s">
        <v>160</v>
      </c>
      <c r="CM119" s="62"/>
      <c r="CN119" s="864" t="str">
        <f>"+ is pessimistic"</f>
        <v>+ is pessimistic</v>
      </c>
      <c r="CO119" s="864" t="s">
        <v>732</v>
      </c>
      <c r="CP119" s="281"/>
      <c r="CR119" s="62" t="s">
        <v>554</v>
      </c>
      <c r="CS119" s="62"/>
      <c r="CT119" s="864" t="str">
        <f>"+ is pessimistic"</f>
        <v>+ is pessimistic</v>
      </c>
      <c r="CU119" s="864" t="s">
        <v>732</v>
      </c>
      <c r="CV119" s="62"/>
      <c r="CW119" s="62"/>
      <c r="CX119" s="62" t="s">
        <v>78</v>
      </c>
      <c r="CY119" s="62"/>
      <c r="CZ119" s="864" t="str">
        <f>"+ is pessimistic"</f>
        <v>+ is pessimistic</v>
      </c>
      <c r="DA119" s="864" t="s">
        <v>732</v>
      </c>
      <c r="DB119" s="62"/>
      <c r="DF119" s="3">
        <v>124</v>
      </c>
      <c r="DG119" s="4">
        <v>2009</v>
      </c>
      <c r="DH119" s="4">
        <v>2.4650129999999999</v>
      </c>
      <c r="DI119" s="1172"/>
      <c r="DJ119" s="5"/>
      <c r="DK119" s="1444">
        <v>124</v>
      </c>
      <c r="DL119" s="1444">
        <v>2009</v>
      </c>
      <c r="DM119" s="1444">
        <v>-1.740896</v>
      </c>
      <c r="DN119" s="1440">
        <f t="shared" si="52"/>
        <v>-5.2226879999999998</v>
      </c>
      <c r="EG119" s="261"/>
    </row>
    <row r="120" spans="1:181" ht="20.100000000000001" customHeight="1" thickBot="1">
      <c r="I120" s="949" t="s">
        <v>268</v>
      </c>
      <c r="J120" s="948">
        <v>146</v>
      </c>
      <c r="K120" s="948">
        <v>1</v>
      </c>
      <c r="L120" s="948"/>
      <c r="M120" s="1029" t="s">
        <v>655</v>
      </c>
      <c r="R120" s="141" t="s">
        <v>123</v>
      </c>
      <c r="S120" s="142"/>
      <c r="T120" s="142"/>
      <c r="U120" s="142">
        <f t="shared" ref="U120:Z120" si="80">U$4</f>
        <v>2018</v>
      </c>
      <c r="V120" s="142">
        <f t="shared" si="80"/>
        <v>2019</v>
      </c>
      <c r="W120" s="142">
        <f t="shared" si="80"/>
        <v>2020</v>
      </c>
      <c r="X120" s="142">
        <f t="shared" si="80"/>
        <v>2021</v>
      </c>
      <c r="Y120" s="142">
        <f t="shared" si="80"/>
        <v>2022</v>
      </c>
      <c r="Z120" s="143">
        <f t="shared" si="80"/>
        <v>2023</v>
      </c>
      <c r="AA120" s="474"/>
      <c r="AB120" s="100"/>
      <c r="AP120" s="289"/>
      <c r="AQ120" s="266" t="s">
        <v>428</v>
      </c>
      <c r="AR120" s="266"/>
      <c r="AS120" s="266"/>
      <c r="AT120" s="600">
        <f t="shared" si="78"/>
        <v>1.9586439007071743</v>
      </c>
      <c r="AU120" s="600">
        <f t="shared" ca="1" si="78"/>
        <v>2.4781166566290191</v>
      </c>
      <c r="AV120" s="600">
        <f t="shared" ca="1" si="78"/>
        <v>3.1221186569105042</v>
      </c>
      <c r="AW120" s="600">
        <f t="shared" ca="1" si="78"/>
        <v>1.6841193966014807</v>
      </c>
      <c r="AX120" s="600">
        <f t="shared" ca="1" si="78"/>
        <v>2.1911228022965714</v>
      </c>
      <c r="AY120" s="600">
        <f t="shared" ca="1" si="78"/>
        <v>2.2895405406737046</v>
      </c>
      <c r="AZ120" s="474"/>
      <c r="BL120" s="256"/>
      <c r="BM120" s="261"/>
      <c r="BN120" s="261"/>
      <c r="BO120" s="261"/>
      <c r="BP120" s="261"/>
      <c r="BQ120" s="261"/>
      <c r="BS120" s="261"/>
      <c r="BT120" s="261"/>
      <c r="CH120" s="1088" t="s">
        <v>169</v>
      </c>
      <c r="CI120" s="666" t="s">
        <v>284</v>
      </c>
      <c r="CJ120" s="1091" t="s">
        <v>725</v>
      </c>
      <c r="CK120" s="1078"/>
      <c r="CL120" s="1078"/>
      <c r="CM120" s="1078"/>
      <c r="CN120" s="1104" t="str">
        <f>"- is optimistic"</f>
        <v>- is optimistic</v>
      </c>
      <c r="CO120" s="1104" t="s">
        <v>733</v>
      </c>
      <c r="CP120" s="281"/>
      <c r="CR120" s="1078"/>
      <c r="CS120" s="1078"/>
      <c r="CT120" s="1104" t="str">
        <f>"- is optimistic"</f>
        <v>- is optimistic</v>
      </c>
      <c r="CU120" s="1104" t="s">
        <v>733</v>
      </c>
      <c r="CX120" s="1078"/>
      <c r="CY120" s="1078"/>
      <c r="CZ120" s="1104" t="str">
        <f>"- is optimistic"</f>
        <v>- is optimistic</v>
      </c>
      <c r="DA120" s="1104" t="s">
        <v>733</v>
      </c>
      <c r="DF120" s="3">
        <v>124</v>
      </c>
      <c r="DG120" s="4">
        <v>2010</v>
      </c>
      <c r="DH120" s="4">
        <v>1.169923</v>
      </c>
      <c r="DI120" s="1172"/>
      <c r="DJ120" s="5"/>
      <c r="DK120" s="1444">
        <v>124</v>
      </c>
      <c r="DL120" s="1444">
        <v>2010</v>
      </c>
      <c r="DM120" s="1444">
        <v>-1.2950889999999999</v>
      </c>
      <c r="DN120" s="1440">
        <f t="shared" si="52"/>
        <v>-3.8852669999999998</v>
      </c>
      <c r="EG120" s="261"/>
    </row>
    <row r="121" spans="1:181" ht="20.100000000000001" customHeight="1">
      <c r="I121" s="949" t="s">
        <v>269</v>
      </c>
      <c r="J121" s="948">
        <v>463</v>
      </c>
      <c r="K121" s="948">
        <v>0</v>
      </c>
      <c r="L121" s="948"/>
      <c r="M121" s="1029" t="s">
        <v>656</v>
      </c>
      <c r="P121" s="25" t="str">
        <f t="shared" ref="P121:P130" si="81">CONCATENATE(R$120,R121)</f>
        <v>Contingent Liability shockNominal Debt (in percent of GDP)</v>
      </c>
      <c r="R121" s="99" t="s">
        <v>421</v>
      </c>
      <c r="S121" s="107"/>
      <c r="T121" s="107"/>
      <c r="U121" s="591">
        <f>(contingent!B37)*100</f>
        <v>37.094606570883371</v>
      </c>
      <c r="V121" s="591">
        <f ca="1">(contingent!C37)*100</f>
        <v>47.766600541061734</v>
      </c>
      <c r="W121" s="591">
        <f ca="1">(contingent!D37)*100</f>
        <v>50.54855835470623</v>
      </c>
      <c r="X121" s="591">
        <f ca="1">(contingent!E37)*100</f>
        <v>48.87245054615348</v>
      </c>
      <c r="Y121" s="591">
        <f ca="1">(contingent!F37)*100</f>
        <v>47.461013602690457</v>
      </c>
      <c r="Z121" s="592">
        <f ca="1">(contingent!G37)*100</f>
        <v>46.125437322831736</v>
      </c>
      <c r="AA121" s="474"/>
      <c r="AB121" s="100"/>
      <c r="AP121" s="437"/>
      <c r="AQ121" s="100"/>
      <c r="AR121" s="100"/>
      <c r="AS121" s="100"/>
      <c r="AT121" s="100"/>
      <c r="AU121" s="100"/>
      <c r="AV121" s="100"/>
      <c r="AW121" s="100"/>
      <c r="AX121" s="100"/>
      <c r="AY121" s="100"/>
      <c r="AZ121" s="474"/>
      <c r="BL121" s="256"/>
      <c r="BM121" s="261"/>
      <c r="BN121" s="261"/>
      <c r="BO121" s="261"/>
      <c r="BP121" s="261"/>
      <c r="BQ121" s="261"/>
      <c r="BS121" s="261"/>
      <c r="BT121" s="261"/>
      <c r="CI121" s="888">
        <v>914</v>
      </c>
      <c r="CJ121" s="4" t="s">
        <v>1217</v>
      </c>
      <c r="CL121" s="1822"/>
      <c r="CN121" s="1099">
        <v>-0.47836034249202841</v>
      </c>
      <c r="CO121" s="1106">
        <v>0.44</v>
      </c>
      <c r="CR121" s="1822"/>
      <c r="CT121" s="1099">
        <v>0.48349435616026937</v>
      </c>
      <c r="CU121" s="1106">
        <v>0.85</v>
      </c>
      <c r="CV121" s="863"/>
      <c r="CW121" s="863"/>
      <c r="CX121" s="1822"/>
      <c r="CY121" s="863"/>
      <c r="CZ121" s="1099">
        <v>-1.2467856911167003</v>
      </c>
      <c r="DA121" s="1106">
        <v>0.2</v>
      </c>
      <c r="DB121" s="863"/>
      <c r="DF121" s="3">
        <v>128</v>
      </c>
      <c r="DG121" s="4">
        <v>1991</v>
      </c>
      <c r="DH121" s="4">
        <v>5.9715340000000001</v>
      </c>
      <c r="DI121" s="1172"/>
      <c r="DJ121" s="5"/>
      <c r="DK121" s="1444">
        <v>128</v>
      </c>
      <c r="DL121" s="1444">
        <v>1991</v>
      </c>
      <c r="DM121" s="1444">
        <v>-1.3490949999999999</v>
      </c>
      <c r="DN121" s="1440">
        <f t="shared" si="52"/>
        <v>-4.0472849999999996</v>
      </c>
    </row>
    <row r="122" spans="1:181" ht="20.100000000000001" customHeight="1">
      <c r="I122" s="949" t="s">
        <v>270</v>
      </c>
      <c r="J122" s="948">
        <v>528</v>
      </c>
      <c r="K122" s="948">
        <v>1</v>
      </c>
      <c r="L122" s="948"/>
      <c r="M122" s="1029" t="s">
        <v>657</v>
      </c>
      <c r="P122" s="25" t="str">
        <f t="shared" si="81"/>
        <v>Contingent Liability shockDebt Service (in percent of GDP)</v>
      </c>
      <c r="R122" s="99" t="s">
        <v>422</v>
      </c>
      <c r="S122" s="107"/>
      <c r="T122" s="107"/>
      <c r="U122" s="591">
        <f>(contingent!B38)*100</f>
        <v>3.7107105982600994</v>
      </c>
      <c r="V122" s="591">
        <f ca="1">(contingent!C38)*100</f>
        <v>7.7879648275187545</v>
      </c>
      <c r="W122" s="591">
        <f ca="1">(contingent!D38)*100</f>
        <v>21.543964993845215</v>
      </c>
      <c r="X122" s="591">
        <f ca="1">(contingent!E38)*100</f>
        <v>25.729762330819756</v>
      </c>
      <c r="Y122" s="591">
        <f ca="1">(contingent!F38)*100</f>
        <v>26.355793282216748</v>
      </c>
      <c r="Z122" s="592">
        <f ca="1">(contingent!G38)*100</f>
        <v>25.997615832423598</v>
      </c>
      <c r="AA122" s="474"/>
      <c r="AB122" s="100"/>
      <c r="AP122" s="433">
        <v>1</v>
      </c>
      <c r="AQ122" s="1185" t="s">
        <v>117</v>
      </c>
      <c r="AR122" s="1185"/>
      <c r="AS122" s="1185"/>
      <c r="AT122" s="25"/>
      <c r="AU122" s="25"/>
      <c r="AV122" s="25"/>
      <c r="AW122" s="25"/>
      <c r="AX122" s="25"/>
      <c r="AY122" s="25"/>
      <c r="AZ122" s="474"/>
      <c r="BL122" s="256"/>
      <c r="BM122" s="261"/>
      <c r="BN122" s="261"/>
      <c r="BO122" s="261"/>
      <c r="BP122" s="261"/>
      <c r="BQ122" s="261"/>
      <c r="BS122" s="261"/>
      <c r="BT122" s="261"/>
      <c r="CI122" s="888">
        <v>914</v>
      </c>
      <c r="CJ122" s="4"/>
      <c r="CL122" s="1822"/>
      <c r="CN122" s="1102"/>
      <c r="CO122" s="1103"/>
      <c r="CR122" s="1822"/>
      <c r="CT122" s="1102"/>
      <c r="CU122" s="1103"/>
      <c r="CV122" s="863"/>
      <c r="CW122" s="863"/>
      <c r="CX122" s="1822"/>
      <c r="CY122" s="863"/>
      <c r="CZ122" s="1102"/>
      <c r="DA122" s="1103"/>
      <c r="DB122" s="863"/>
      <c r="DF122" s="3">
        <v>128</v>
      </c>
      <c r="DG122" s="4">
        <v>1992</v>
      </c>
      <c r="DH122" s="4">
        <v>4.8459529999999997</v>
      </c>
      <c r="DI122" s="1172"/>
      <c r="DJ122" s="5"/>
      <c r="DK122" s="1444">
        <v>128</v>
      </c>
      <c r="DL122" s="1444">
        <v>1992</v>
      </c>
      <c r="DM122" s="1444">
        <v>-1.1255809999999999</v>
      </c>
      <c r="DN122" s="1440">
        <f t="shared" si="52"/>
        <v>-3.3767429999999998</v>
      </c>
    </row>
    <row r="123" spans="1:181" ht="20.100000000000001" customHeight="1">
      <c r="I123" s="949" t="s">
        <v>271</v>
      </c>
      <c r="J123" s="948">
        <v>578</v>
      </c>
      <c r="K123" s="948">
        <v>0</v>
      </c>
      <c r="L123" s="948"/>
      <c r="M123" s="1029" t="s">
        <v>658</v>
      </c>
      <c r="P123" s="25" t="str">
        <f t="shared" si="81"/>
        <v>Contingent Liability shockGross Financing Need (in percent of GDP)</v>
      </c>
      <c r="R123" s="99" t="s">
        <v>423</v>
      </c>
      <c r="S123" s="107"/>
      <c r="T123" s="107"/>
      <c r="U123" s="591">
        <f>(contingent!B39)*100</f>
        <v>3.5994671534530136</v>
      </c>
      <c r="V123" s="591">
        <f ca="1">(contingent!C39)*100</f>
        <v>15.976310236931591</v>
      </c>
      <c r="W123" s="591">
        <f ca="1">(contingent!D39)*100</f>
        <v>21.543964993845215</v>
      </c>
      <c r="X123" s="591">
        <f ca="1">(contingent!E39)*100</f>
        <v>25.729762330819756</v>
      </c>
      <c r="Y123" s="591">
        <f ca="1">(contingent!F39)*100</f>
        <v>26.355793282216748</v>
      </c>
      <c r="Z123" s="592">
        <f ca="1">(contingent!G39)*100</f>
        <v>25.997615832423598</v>
      </c>
      <c r="AA123" s="474"/>
      <c r="AB123" s="100"/>
      <c r="AQ123" s="265" t="s">
        <v>421</v>
      </c>
      <c r="AR123" s="265"/>
      <c r="AS123" s="265"/>
      <c r="AT123" s="598">
        <f t="shared" ref="AT123:AY130" si="82">VLOOKUP(CONCATENATE($AQ$122,$AQ123),$P$7:$Z$158,U$2,FALSE)</f>
        <v>37.094606570883371</v>
      </c>
      <c r="AU123" s="598">
        <f t="shared" ca="1" si="82"/>
        <v>35.031052616552522</v>
      </c>
      <c r="AV123" s="598">
        <f t="shared" ca="1" si="82"/>
        <v>34.133935521940252</v>
      </c>
      <c r="AW123" s="598">
        <f t="shared" ca="1" si="82"/>
        <v>32.892605575059719</v>
      </c>
      <c r="AX123" s="598">
        <f t="shared" ca="1" si="82"/>
        <v>31.854434558541548</v>
      </c>
      <c r="AY123" s="598">
        <f t="shared" ca="1" si="82"/>
        <v>30.878738340041963</v>
      </c>
      <c r="AZ123" s="474"/>
      <c r="BL123" s="256"/>
      <c r="BM123" s="261"/>
      <c r="BN123" s="261"/>
      <c r="BO123" s="261"/>
      <c r="BP123" s="261"/>
      <c r="BQ123" s="261"/>
      <c r="BS123" s="261"/>
      <c r="BT123" s="261"/>
      <c r="CI123" s="888">
        <v>914</v>
      </c>
      <c r="CJ123" s="4"/>
      <c r="CL123" s="1822"/>
      <c r="CN123" s="1102"/>
      <c r="CO123" s="1103"/>
      <c r="CP123" s="284"/>
      <c r="CR123" s="1822"/>
      <c r="CT123" s="1102"/>
      <c r="CU123" s="1103"/>
      <c r="CV123" s="863"/>
      <c r="CW123" s="863"/>
      <c r="CX123" s="1822"/>
      <c r="CY123" s="863"/>
      <c r="CZ123" s="1102"/>
      <c r="DA123" s="1103"/>
      <c r="DB123" s="863"/>
      <c r="DF123" s="3">
        <v>128</v>
      </c>
      <c r="DG123" s="4">
        <v>1993</v>
      </c>
      <c r="DH123" s="4">
        <v>4.5770780000000002</v>
      </c>
      <c r="DI123" s="1172"/>
      <c r="DJ123" s="5"/>
      <c r="DK123" s="1444">
        <v>128</v>
      </c>
      <c r="DL123" s="1444">
        <v>1993</v>
      </c>
      <c r="DM123" s="1444">
        <v>-0.26887529999999998</v>
      </c>
      <c r="DN123" s="1440">
        <f t="shared" si="52"/>
        <v>-0.80662590000000001</v>
      </c>
    </row>
    <row r="124" spans="1:181" ht="20.100000000000001" customHeight="1">
      <c r="I124" s="949" t="s">
        <v>272</v>
      </c>
      <c r="J124" s="948">
        <v>369</v>
      </c>
      <c r="K124" s="948">
        <v>0</v>
      </c>
      <c r="L124" s="948"/>
      <c r="M124" s="1029" t="s">
        <v>659</v>
      </c>
      <c r="P124" s="25" t="str">
        <f t="shared" si="81"/>
        <v>Contingent Liability shockNominal Debt (in percent of Revenue)</v>
      </c>
      <c r="R124" s="99" t="s">
        <v>424</v>
      </c>
      <c r="S124" s="107"/>
      <c r="T124" s="107"/>
      <c r="U124" s="591">
        <f>(contingent!B40)*100</f>
        <v>100.40391596609757</v>
      </c>
      <c r="V124" s="591" t="e">
        <f ca="1">(contingent!C40)*100</f>
        <v>#DIV/0!</v>
      </c>
      <c r="W124" s="591" t="e">
        <f ca="1">(contingent!D40)*100</f>
        <v>#DIV/0!</v>
      </c>
      <c r="X124" s="591" t="e">
        <f ca="1">(contingent!E40)*100</f>
        <v>#DIV/0!</v>
      </c>
      <c r="Y124" s="591" t="e">
        <f ca="1">(contingent!F40)*100</f>
        <v>#DIV/0!</v>
      </c>
      <c r="Z124" s="592" t="e">
        <f ca="1">(contingent!G40)*100</f>
        <v>#DIV/0!</v>
      </c>
      <c r="AA124" s="475"/>
      <c r="AB124" s="429"/>
      <c r="AQ124" s="107" t="s">
        <v>424</v>
      </c>
      <c r="AR124" s="107"/>
      <c r="AS124" s="107"/>
      <c r="AT124" s="599">
        <f t="shared" si="82"/>
        <v>100.40391596609757</v>
      </c>
      <c r="AU124" s="599" t="e">
        <f t="shared" ca="1" si="82"/>
        <v>#DIV/0!</v>
      </c>
      <c r="AV124" s="599" t="e">
        <f t="shared" ca="1" si="82"/>
        <v>#DIV/0!</v>
      </c>
      <c r="AW124" s="599" t="e">
        <f t="shared" ca="1" si="82"/>
        <v>#DIV/0!</v>
      </c>
      <c r="AX124" s="599" t="e">
        <f t="shared" ca="1" si="82"/>
        <v>#DIV/0!</v>
      </c>
      <c r="AY124" s="599" t="e">
        <f t="shared" ca="1" si="82"/>
        <v>#DIV/0!</v>
      </c>
      <c r="AZ124" s="475"/>
      <c r="BL124" s="256"/>
      <c r="BM124" s="261"/>
      <c r="BN124" s="261"/>
      <c r="BO124" s="261"/>
      <c r="BP124" s="261"/>
      <c r="BQ124" s="261"/>
      <c r="BS124" s="261"/>
      <c r="BT124" s="261"/>
      <c r="CI124" s="888">
        <v>914</v>
      </c>
      <c r="CJ124" s="4"/>
      <c r="CL124" s="1825"/>
      <c r="CN124" s="1102"/>
      <c r="CO124" s="1103"/>
      <c r="CR124" s="1825"/>
      <c r="CT124" s="1102"/>
      <c r="CU124" s="1103"/>
      <c r="CV124" s="1099"/>
      <c r="CW124" s="1099"/>
      <c r="CX124" s="1825"/>
      <c r="CY124" s="1099"/>
      <c r="CZ124" s="1102"/>
      <c r="DA124" s="1103"/>
      <c r="DB124" s="1099"/>
      <c r="DF124" s="3">
        <v>128</v>
      </c>
      <c r="DG124" s="4">
        <v>1994</v>
      </c>
      <c r="DH124" s="4">
        <v>4.2019279999999997</v>
      </c>
      <c r="DI124" s="1172"/>
      <c r="DJ124" s="5"/>
      <c r="DK124" s="1444">
        <v>128</v>
      </c>
      <c r="DL124" s="1444">
        <v>1994</v>
      </c>
      <c r="DM124" s="1444">
        <v>-0.37515039999999999</v>
      </c>
      <c r="DN124" s="1440">
        <f t="shared" si="52"/>
        <v>-1.1254512000000001</v>
      </c>
    </row>
    <row r="125" spans="1:181" s="284" customFormat="1" ht="20.100000000000001" customHeight="1">
      <c r="A125" s="98"/>
      <c r="B125" s="25"/>
      <c r="C125" s="25"/>
      <c r="D125" s="25"/>
      <c r="E125" s="25"/>
      <c r="F125" s="25"/>
      <c r="G125" s="464"/>
      <c r="H125" s="98"/>
      <c r="I125" s="949" t="s">
        <v>273</v>
      </c>
      <c r="J125" s="948">
        <v>744</v>
      </c>
      <c r="K125" s="948">
        <v>0</v>
      </c>
      <c r="L125" s="948"/>
      <c r="M125" s="1029" t="s">
        <v>660</v>
      </c>
      <c r="N125" s="464"/>
      <c r="O125" s="98"/>
      <c r="P125" s="25" t="str">
        <f t="shared" si="81"/>
        <v>Contingent Liability shockDebt Service (in percent of Revenue)</v>
      </c>
      <c r="Q125" s="25"/>
      <c r="R125" s="99" t="s">
        <v>425</v>
      </c>
      <c r="S125" s="107"/>
      <c r="T125" s="107"/>
      <c r="U125" s="591">
        <f>(contingent!B41)*100</f>
        <v>10.043774810504543</v>
      </c>
      <c r="V125" s="591" t="e">
        <f ca="1">(contingent!C41)*100</f>
        <v>#DIV/0!</v>
      </c>
      <c r="W125" s="591" t="e">
        <f ca="1">(contingent!D41)*100</f>
        <v>#DIV/0!</v>
      </c>
      <c r="X125" s="591" t="e">
        <f ca="1">(contingent!E41)*100</f>
        <v>#DIV/0!</v>
      </c>
      <c r="Y125" s="591" t="e">
        <f ca="1">(contingent!F41)*100</f>
        <v>#DIV/0!</v>
      </c>
      <c r="Z125" s="592" t="e">
        <f ca="1">(contingent!G41)*100</f>
        <v>#DIV/0!</v>
      </c>
      <c r="AA125" s="474"/>
      <c r="AB125" s="100"/>
      <c r="AC125" s="25"/>
      <c r="AD125" s="25"/>
      <c r="AE125" s="25"/>
      <c r="AF125" s="25"/>
      <c r="AG125" s="25"/>
      <c r="AH125" s="25"/>
      <c r="AI125" s="25"/>
      <c r="AJ125" s="25"/>
      <c r="AK125" s="25"/>
      <c r="AL125" s="25"/>
      <c r="AM125" s="25"/>
      <c r="AN125" s="25"/>
      <c r="AO125" s="464"/>
      <c r="AP125" s="432"/>
      <c r="AQ125" s="107" t="s">
        <v>425</v>
      </c>
      <c r="AR125" s="107"/>
      <c r="AS125" s="107"/>
      <c r="AT125" s="599">
        <f t="shared" si="82"/>
        <v>10.043774810504543</v>
      </c>
      <c r="AU125" s="599" t="e">
        <f t="shared" ca="1" si="82"/>
        <v>#DIV/0!</v>
      </c>
      <c r="AV125" s="599" t="e">
        <f t="shared" ca="1" si="82"/>
        <v>#DIV/0!</v>
      </c>
      <c r="AW125" s="599" t="e">
        <f t="shared" ca="1" si="82"/>
        <v>#DIV/0!</v>
      </c>
      <c r="AX125" s="599" t="e">
        <f t="shared" ca="1" si="82"/>
        <v>#DIV/0!</v>
      </c>
      <c r="AY125" s="599" t="e">
        <f t="shared" ca="1" si="82"/>
        <v>#DIV/0!</v>
      </c>
      <c r="AZ125" s="464"/>
      <c r="BA125" s="247"/>
      <c r="BB125" s="247"/>
      <c r="BC125" s="247"/>
      <c r="BD125" s="247"/>
      <c r="BE125" s="247"/>
      <c r="BF125" s="247"/>
      <c r="BG125" s="247"/>
      <c r="BH125" s="247"/>
      <c r="BI125" s="247"/>
      <c r="BJ125" s="247"/>
      <c r="BK125" s="254"/>
      <c r="BL125" s="256"/>
      <c r="BM125" s="261"/>
      <c r="BN125" s="261"/>
      <c r="BO125" s="261"/>
      <c r="BP125" s="261"/>
      <c r="BQ125" s="261"/>
      <c r="BR125" s="261"/>
      <c r="BS125" s="261"/>
      <c r="BT125" s="261"/>
      <c r="BU125" s="247"/>
      <c r="BV125" s="261"/>
      <c r="BW125" s="247"/>
      <c r="BX125" s="247"/>
      <c r="BY125" s="247"/>
      <c r="BZ125" s="254"/>
      <c r="CA125" s="255"/>
      <c r="CB125" s="247"/>
      <c r="CC125" s="247"/>
      <c r="CD125" s="247"/>
      <c r="CE125" s="247"/>
      <c r="CF125" s="247"/>
      <c r="CG125" s="254"/>
      <c r="CH125" s="17"/>
      <c r="CI125" s="888">
        <v>914</v>
      </c>
      <c r="CJ125" s="4" t="s">
        <v>2406</v>
      </c>
      <c r="CK125" s="1077"/>
      <c r="CL125" s="1826">
        <v>0.15756876520117702</v>
      </c>
      <c r="CM125" s="1077"/>
      <c r="CN125" s="1102"/>
      <c r="CO125" s="1103"/>
      <c r="CP125" s="1077"/>
      <c r="CQ125" s="1077"/>
      <c r="CR125" s="1823">
        <v>0.66361410570188561</v>
      </c>
      <c r="CS125" s="1077"/>
      <c r="CT125" s="1102"/>
      <c r="CU125" s="1103"/>
      <c r="CV125" s="1099"/>
      <c r="CW125" s="1099"/>
      <c r="CX125" s="1823">
        <v>-0.32864452847437287</v>
      </c>
      <c r="CY125" s="1099"/>
      <c r="CZ125" s="1102"/>
      <c r="DA125" s="1103"/>
      <c r="DB125" s="1099"/>
      <c r="DC125" s="993"/>
      <c r="DD125" s="281"/>
      <c r="DF125" s="3">
        <v>128</v>
      </c>
      <c r="DG125" s="4">
        <v>1995</v>
      </c>
      <c r="DH125" s="4">
        <v>3.855397</v>
      </c>
      <c r="DI125" s="1172"/>
      <c r="DJ125" s="5"/>
      <c r="DK125" s="1444">
        <v>128</v>
      </c>
      <c r="DL125" s="1444">
        <v>1995</v>
      </c>
      <c r="DM125" s="1444">
        <v>-0.34653080000000003</v>
      </c>
      <c r="DN125" s="1440">
        <f t="shared" si="52"/>
        <v>-1.0395924000000001</v>
      </c>
      <c r="DO125" s="993"/>
      <c r="DP125" s="488"/>
      <c r="DQ125" s="247"/>
      <c r="DR125" s="247"/>
      <c r="DS125" s="247"/>
      <c r="DT125" s="247"/>
      <c r="DU125" s="247"/>
      <c r="DV125" s="261"/>
      <c r="DW125" s="261"/>
      <c r="DX125" s="261"/>
      <c r="DY125" s="261"/>
      <c r="DZ125" s="261"/>
      <c r="EA125" s="261"/>
      <c r="EB125" s="261"/>
      <c r="EC125" s="261"/>
      <c r="ED125" s="261"/>
      <c r="EE125" s="261"/>
      <c r="EF125" s="993"/>
      <c r="EG125" s="281"/>
      <c r="EH125" s="281"/>
      <c r="EI125" s="281"/>
      <c r="EJ125" s="281"/>
      <c r="EK125" s="281"/>
      <c r="EL125" s="281"/>
      <c r="EM125" s="281"/>
      <c r="EN125" s="281"/>
      <c r="EO125" s="281"/>
      <c r="EP125" s="281"/>
      <c r="EQ125" s="281"/>
      <c r="ER125" s="281"/>
      <c r="ES125" s="281"/>
      <c r="ET125" s="281"/>
      <c r="EU125" s="281"/>
      <c r="EV125" s="281"/>
      <c r="EW125" s="281"/>
      <c r="EX125" s="281"/>
      <c r="EY125" s="281"/>
      <c r="EZ125" s="281"/>
      <c r="FA125" s="281"/>
      <c r="FB125" s="281"/>
      <c r="FC125" s="281"/>
      <c r="FD125" s="281"/>
      <c r="FE125" s="281"/>
      <c r="FF125" s="281"/>
      <c r="FG125" s="281"/>
      <c r="FH125" s="281"/>
      <c r="FI125" s="281"/>
      <c r="FJ125" s="281"/>
      <c r="FK125" s="281"/>
      <c r="FL125" s="281"/>
      <c r="FM125" s="281"/>
      <c r="FN125" s="281"/>
      <c r="FO125" s="281"/>
      <c r="FP125" s="281"/>
      <c r="FQ125" s="281"/>
      <c r="FR125" s="281"/>
      <c r="FS125" s="281"/>
      <c r="FT125" s="281"/>
      <c r="FU125" s="281"/>
      <c r="FV125" s="281"/>
      <c r="FW125" s="281"/>
      <c r="FX125" s="281"/>
      <c r="FY125" s="281"/>
    </row>
    <row r="126" spans="1:181" s="284" customFormat="1" ht="20.100000000000001" customHeight="1" thickBot="1">
      <c r="A126" s="98"/>
      <c r="B126" s="25"/>
      <c r="C126" s="25"/>
      <c r="D126" s="25"/>
      <c r="E126" s="25"/>
      <c r="F126" s="25"/>
      <c r="G126" s="464"/>
      <c r="H126" s="98"/>
      <c r="I126" s="949" t="s">
        <v>274</v>
      </c>
      <c r="J126" s="948">
        <v>186</v>
      </c>
      <c r="K126" s="948">
        <v>0</v>
      </c>
      <c r="L126" s="948"/>
      <c r="M126" s="1029" t="s">
        <v>661</v>
      </c>
      <c r="N126" s="464"/>
      <c r="O126" s="98"/>
      <c r="P126" s="25" t="str">
        <f t="shared" si="81"/>
        <v>Contingent Liability shockGross Financing Need (in percent of Revenue)</v>
      </c>
      <c r="Q126" s="25"/>
      <c r="R126" s="101" t="s">
        <v>426</v>
      </c>
      <c r="S126" s="632"/>
      <c r="T126" s="632"/>
      <c r="U126" s="593">
        <f>(contingent!B42)*100</f>
        <v>9.7426723453025819</v>
      </c>
      <c r="V126" s="594" t="e">
        <f ca="1">(contingent!C42)*100</f>
        <v>#DIV/0!</v>
      </c>
      <c r="W126" s="594" t="e">
        <f ca="1">(contingent!D42)*100</f>
        <v>#DIV/0!</v>
      </c>
      <c r="X126" s="594" t="e">
        <f ca="1">(contingent!E42)*100</f>
        <v>#DIV/0!</v>
      </c>
      <c r="Y126" s="594" t="e">
        <f ca="1">(contingent!F42)*100</f>
        <v>#DIV/0!</v>
      </c>
      <c r="Z126" s="595" t="e">
        <f ca="1">(contingent!G42)*100</f>
        <v>#DIV/0!</v>
      </c>
      <c r="AA126" s="474"/>
      <c r="AB126" s="100"/>
      <c r="AC126" s="25"/>
      <c r="AD126" s="25"/>
      <c r="AE126" s="25"/>
      <c r="AF126" s="25"/>
      <c r="AG126" s="25"/>
      <c r="AH126" s="25"/>
      <c r="AI126" s="25"/>
      <c r="AJ126" s="25"/>
      <c r="AK126" s="25"/>
      <c r="AL126" s="25"/>
      <c r="AM126" s="25"/>
      <c r="AN126" s="25"/>
      <c r="AO126" s="464"/>
      <c r="AP126" s="432"/>
      <c r="AQ126" s="107" t="s">
        <v>423</v>
      </c>
      <c r="AR126" s="107"/>
      <c r="AS126" s="107"/>
      <c r="AT126" s="599">
        <f t="shared" si="82"/>
        <v>3.5994671534530136</v>
      </c>
      <c r="AU126" s="599">
        <f t="shared" ca="1" si="82"/>
        <v>6.8036498145042286</v>
      </c>
      <c r="AV126" s="599">
        <f t="shared" ca="1" si="82"/>
        <v>10.833715050890696</v>
      </c>
      <c r="AW126" s="599">
        <f t="shared" ca="1" si="82"/>
        <v>14.545528452531551</v>
      </c>
      <c r="AX126" s="599">
        <f t="shared" ca="1" si="82"/>
        <v>15.14538576458126</v>
      </c>
      <c r="AY126" s="599">
        <f t="shared" ca="1" si="82"/>
        <v>14.955295803831683</v>
      </c>
      <c r="AZ126" s="464"/>
      <c r="BA126" s="247"/>
      <c r="BB126" s="247"/>
      <c r="BC126" s="247"/>
      <c r="BD126" s="247"/>
      <c r="BE126" s="247"/>
      <c r="BF126" s="247"/>
      <c r="BG126" s="247"/>
      <c r="BH126" s="247"/>
      <c r="BI126" s="247"/>
      <c r="BJ126" s="247"/>
      <c r="BK126" s="254"/>
      <c r="BL126" s="256"/>
      <c r="BM126" s="261"/>
      <c r="BN126" s="261"/>
      <c r="BO126" s="261"/>
      <c r="BP126" s="261"/>
      <c r="BQ126" s="261"/>
      <c r="BR126" s="261"/>
      <c r="BS126" s="261"/>
      <c r="BT126" s="261"/>
      <c r="BU126" s="247"/>
      <c r="BV126" s="261"/>
      <c r="BW126" s="247"/>
      <c r="BX126" s="247"/>
      <c r="BY126" s="247"/>
      <c r="BZ126" s="254"/>
      <c r="CA126" s="255"/>
      <c r="CB126" s="247"/>
      <c r="CC126" s="247"/>
      <c r="CD126" s="247"/>
      <c r="CE126" s="247"/>
      <c r="CF126" s="247"/>
      <c r="CG126" s="254"/>
      <c r="CH126" s="17"/>
      <c r="CI126" s="888">
        <v>914</v>
      </c>
      <c r="CJ126" s="4" t="s">
        <v>2274</v>
      </c>
      <c r="CK126" s="1077"/>
      <c r="CL126" s="1826">
        <v>-0.63370466513863244</v>
      </c>
      <c r="CM126" s="1077"/>
      <c r="CN126" s="1102"/>
      <c r="CO126" s="1103"/>
      <c r="CQ126" s="1077"/>
      <c r="CR126" s="1823">
        <v>0.76200836878277145</v>
      </c>
      <c r="CS126" s="1077"/>
      <c r="CT126" s="1102"/>
      <c r="CU126" s="1103"/>
      <c r="CV126" s="1099"/>
      <c r="CW126" s="1099"/>
      <c r="CX126" s="1823">
        <v>-3.3424589940711478</v>
      </c>
      <c r="CY126" s="1099"/>
      <c r="CZ126" s="1102"/>
      <c r="DA126" s="1103"/>
      <c r="DB126" s="1099"/>
      <c r="DC126" s="993"/>
      <c r="DD126" s="281"/>
      <c r="DF126" s="3">
        <v>128</v>
      </c>
      <c r="DG126" s="4">
        <v>1996</v>
      </c>
      <c r="DH126" s="4">
        <v>3.4541300000000001</v>
      </c>
      <c r="DI126" s="1172"/>
      <c r="DJ126" s="5"/>
      <c r="DK126" s="1444">
        <v>128</v>
      </c>
      <c r="DL126" s="1444">
        <v>1996</v>
      </c>
      <c r="DM126" s="1444">
        <v>-0.40126630000000002</v>
      </c>
      <c r="DN126" s="1440">
        <f t="shared" si="52"/>
        <v>-1.2037989</v>
      </c>
      <c r="DO126" s="993"/>
      <c r="DP126" s="488"/>
      <c r="DQ126" s="247"/>
      <c r="DR126" s="247"/>
      <c r="DS126" s="247"/>
      <c r="DT126" s="247"/>
      <c r="DU126" s="247"/>
      <c r="DV126" s="261"/>
      <c r="DW126" s="261"/>
      <c r="DX126" s="261"/>
      <c r="DY126" s="261"/>
      <c r="DZ126" s="261"/>
      <c r="EA126" s="261"/>
      <c r="EB126" s="261"/>
      <c r="EC126" s="261"/>
      <c r="ED126" s="261"/>
      <c r="EE126" s="261"/>
      <c r="EF126" s="993"/>
      <c r="EG126" s="281"/>
      <c r="EH126" s="281"/>
      <c r="EI126" s="281"/>
      <c r="EJ126" s="281"/>
      <c r="EK126" s="281"/>
      <c r="EL126" s="281"/>
      <c r="EM126" s="281"/>
      <c r="EN126" s="281"/>
      <c r="EO126" s="281"/>
      <c r="EP126" s="281"/>
      <c r="EQ126" s="281"/>
      <c r="ER126" s="281"/>
      <c r="ES126" s="281"/>
      <c r="ET126" s="281"/>
      <c r="EU126" s="281"/>
      <c r="EV126" s="281"/>
      <c r="EW126" s="281"/>
      <c r="EX126" s="281"/>
      <c r="EY126" s="281"/>
      <c r="EZ126" s="281"/>
      <c r="FA126" s="281"/>
      <c r="FB126" s="281"/>
      <c r="FC126" s="281"/>
      <c r="FD126" s="281"/>
      <c r="FE126" s="281"/>
      <c r="FF126" s="281"/>
      <c r="FG126" s="281"/>
      <c r="FH126" s="281"/>
      <c r="FI126" s="281"/>
      <c r="FJ126" s="281"/>
      <c r="FK126" s="281"/>
      <c r="FL126" s="281"/>
      <c r="FM126" s="281"/>
      <c r="FN126" s="281"/>
      <c r="FO126" s="281"/>
      <c r="FP126" s="281"/>
      <c r="FQ126" s="281"/>
      <c r="FR126" s="281"/>
      <c r="FS126" s="281"/>
      <c r="FT126" s="281"/>
      <c r="FU126" s="281"/>
      <c r="FV126" s="281"/>
      <c r="FW126" s="281"/>
      <c r="FX126" s="281"/>
      <c r="FY126" s="281"/>
    </row>
    <row r="127" spans="1:181" s="284" customFormat="1" ht="20.100000000000001" customHeight="1">
      <c r="A127" s="98"/>
      <c r="B127" s="25"/>
      <c r="C127" s="25"/>
      <c r="D127" s="25"/>
      <c r="E127" s="25"/>
      <c r="F127" s="25"/>
      <c r="G127" s="464"/>
      <c r="H127" s="98"/>
      <c r="I127" s="949" t="s">
        <v>275</v>
      </c>
      <c r="J127" s="948">
        <v>925</v>
      </c>
      <c r="K127" s="948">
        <v>0</v>
      </c>
      <c r="L127" s="948"/>
      <c r="M127" s="1029" t="s">
        <v>662</v>
      </c>
      <c r="N127" s="464"/>
      <c r="O127" s="98"/>
      <c r="P127" s="25" t="str">
        <f t="shared" si="81"/>
        <v>Contingent Liability shockReal GDP growth (in percent)</v>
      </c>
      <c r="Q127" s="25"/>
      <c r="R127" s="431" t="s">
        <v>418</v>
      </c>
      <c r="S127" s="111"/>
      <c r="T127" s="111"/>
      <c r="U127" s="596">
        <f>(contingent!B$26)*100</f>
        <v>4.7697166816344838</v>
      </c>
      <c r="V127" s="596">
        <f>(contingent!C$26)*100</f>
        <v>-2.9400730822444126</v>
      </c>
      <c r="W127" s="596">
        <f>(contingent!D$26)*100</f>
        <v>-3.1140062952496854</v>
      </c>
      <c r="X127" s="596">
        <f>(contingent!E$26)*100</f>
        <v>2.8871442593204177</v>
      </c>
      <c r="Y127" s="596">
        <f>(contingent!F$26)*100</f>
        <v>2.933023694707515</v>
      </c>
      <c r="Z127" s="597">
        <f>(contingent!G$26)*100</f>
        <v>2.8000000000000025</v>
      </c>
      <c r="AA127" s="474"/>
      <c r="AB127" s="100"/>
      <c r="AC127" s="25"/>
      <c r="AD127" s="25"/>
      <c r="AE127" s="25"/>
      <c r="AF127" s="25"/>
      <c r="AG127" s="25"/>
      <c r="AH127" s="25"/>
      <c r="AI127" s="25"/>
      <c r="AJ127" s="25"/>
      <c r="AK127" s="25"/>
      <c r="AL127" s="25"/>
      <c r="AM127" s="25"/>
      <c r="AN127" s="25"/>
      <c r="AO127" s="464"/>
      <c r="AP127" s="25"/>
      <c r="AQ127" s="107" t="s">
        <v>418</v>
      </c>
      <c r="AR127" s="107"/>
      <c r="AS127" s="107"/>
      <c r="AT127" s="591">
        <f t="shared" si="82"/>
        <v>4.7697166816344838</v>
      </c>
      <c r="AU127" s="591">
        <f t="shared" si="82"/>
        <v>3.1686434574876632</v>
      </c>
      <c r="AV127" s="591">
        <f t="shared" si="82"/>
        <v>2.9947102444823903</v>
      </c>
      <c r="AW127" s="591">
        <f t="shared" si="82"/>
        <v>2.8871442593204177</v>
      </c>
      <c r="AX127" s="591">
        <f t="shared" si="82"/>
        <v>2.933023694707515</v>
      </c>
      <c r="AY127" s="591">
        <f t="shared" si="82"/>
        <v>2.8000000000000025</v>
      </c>
      <c r="AZ127" s="464"/>
      <c r="BA127" s="247"/>
      <c r="BB127" s="247"/>
      <c r="BC127" s="247"/>
      <c r="BD127" s="247"/>
      <c r="BE127" s="247"/>
      <c r="BF127" s="247"/>
      <c r="BG127" s="247"/>
      <c r="BH127" s="247"/>
      <c r="BI127" s="247"/>
      <c r="BJ127" s="247"/>
      <c r="BK127" s="254"/>
      <c r="BL127" s="256"/>
      <c r="BM127" s="261"/>
      <c r="BN127" s="261"/>
      <c r="BO127" s="261"/>
      <c r="BP127" s="261"/>
      <c r="BQ127" s="261"/>
      <c r="BR127" s="261"/>
      <c r="BS127" s="261"/>
      <c r="BT127" s="261"/>
      <c r="BU127" s="247"/>
      <c r="BV127" s="261"/>
      <c r="BW127" s="247"/>
      <c r="BX127" s="247"/>
      <c r="BY127" s="247"/>
      <c r="BZ127" s="254"/>
      <c r="CA127" s="255"/>
      <c r="CB127" s="247"/>
      <c r="CC127" s="247"/>
      <c r="CD127" s="247"/>
      <c r="CE127" s="247"/>
      <c r="CF127" s="247"/>
      <c r="CG127" s="254"/>
      <c r="CH127" s="17"/>
      <c r="CI127" s="888">
        <v>914</v>
      </c>
      <c r="CJ127" s="4" t="s">
        <v>1219</v>
      </c>
      <c r="CK127" s="1077"/>
      <c r="CL127" s="1826">
        <v>-0.71047117905043056</v>
      </c>
      <c r="CM127" s="1077"/>
      <c r="CN127" s="1102"/>
      <c r="CO127" s="1103"/>
      <c r="CQ127" s="1077"/>
      <c r="CR127" s="1823">
        <v>0.48349435616026937</v>
      </c>
      <c r="CS127" s="1077"/>
      <c r="CT127" s="1102"/>
      <c r="CU127" s="1103"/>
      <c r="CV127" s="1099"/>
      <c r="CW127" s="1099"/>
      <c r="CX127" s="1823">
        <v>-2.2209172673486792</v>
      </c>
      <c r="CY127" s="1099"/>
      <c r="CZ127" s="1102"/>
      <c r="DA127" s="1103"/>
      <c r="DB127" s="1099"/>
      <c r="DC127" s="993"/>
      <c r="DD127" s="281"/>
      <c r="DF127" s="3">
        <v>128</v>
      </c>
      <c r="DG127" s="4">
        <v>1997</v>
      </c>
      <c r="DH127" s="4">
        <v>3.7168760000000001</v>
      </c>
      <c r="DI127" s="1172"/>
      <c r="DJ127" s="5"/>
      <c r="DK127" s="1444">
        <v>128</v>
      </c>
      <c r="DL127" s="1444">
        <v>1997</v>
      </c>
      <c r="DM127" s="1444">
        <v>0.26274570000000003</v>
      </c>
      <c r="DN127" s="1440">
        <f t="shared" si="52"/>
        <v>0.78823710000000013</v>
      </c>
      <c r="DO127" s="993"/>
      <c r="DP127" s="488"/>
      <c r="DQ127" s="247"/>
      <c r="DR127" s="247"/>
      <c r="DS127" s="247"/>
      <c r="DT127" s="247"/>
      <c r="DU127" s="247"/>
      <c r="DV127" s="261"/>
      <c r="DW127" s="261"/>
      <c r="DX127" s="261"/>
      <c r="DY127" s="261"/>
      <c r="DZ127" s="261"/>
      <c r="EA127" s="261"/>
      <c r="EB127" s="261"/>
      <c r="EC127" s="261"/>
      <c r="ED127" s="261"/>
      <c r="EE127" s="261"/>
      <c r="EF127" s="993"/>
      <c r="EG127" s="281"/>
      <c r="EH127" s="281"/>
      <c r="EI127" s="281"/>
      <c r="EJ127" s="281"/>
      <c r="EK127" s="281"/>
      <c r="EL127" s="281"/>
      <c r="EM127" s="281"/>
      <c r="EN127" s="281"/>
      <c r="EO127" s="281"/>
      <c r="EP127" s="281"/>
      <c r="EQ127" s="281"/>
      <c r="ER127" s="281"/>
      <c r="ES127" s="281"/>
      <c r="ET127" s="281"/>
      <c r="EU127" s="281"/>
      <c r="EV127" s="281"/>
      <c r="EW127" s="281"/>
      <c r="EX127" s="281"/>
      <c r="EY127" s="281"/>
      <c r="EZ127" s="281"/>
      <c r="FA127" s="281"/>
      <c r="FB127" s="281"/>
      <c r="FC127" s="281"/>
      <c r="FD127" s="281"/>
      <c r="FE127" s="281"/>
      <c r="FF127" s="281"/>
      <c r="FG127" s="281"/>
      <c r="FH127" s="281"/>
      <c r="FI127" s="281"/>
      <c r="FJ127" s="281"/>
      <c r="FK127" s="281"/>
      <c r="FL127" s="281"/>
      <c r="FM127" s="281"/>
      <c r="FN127" s="281"/>
      <c r="FO127" s="281"/>
      <c r="FP127" s="281"/>
      <c r="FQ127" s="281"/>
      <c r="FR127" s="281"/>
      <c r="FS127" s="281"/>
      <c r="FT127" s="281"/>
      <c r="FU127" s="281"/>
      <c r="FV127" s="281"/>
      <c r="FW127" s="281"/>
      <c r="FX127" s="281"/>
      <c r="FY127" s="281"/>
    </row>
    <row r="128" spans="1:181" s="284" customFormat="1" ht="20.100000000000001" customHeight="1">
      <c r="A128" s="98"/>
      <c r="B128" s="25"/>
      <c r="C128" s="25"/>
      <c r="D128" s="25"/>
      <c r="E128" s="25"/>
      <c r="F128" s="25"/>
      <c r="G128" s="464"/>
      <c r="H128" s="98"/>
      <c r="I128" s="949" t="s">
        <v>1213</v>
      </c>
      <c r="J128" s="948">
        <v>869</v>
      </c>
      <c r="K128" s="948">
        <v>0</v>
      </c>
      <c r="M128" s="1029" t="s">
        <v>1214</v>
      </c>
      <c r="N128" s="464"/>
      <c r="O128" s="98"/>
      <c r="P128" s="25" t="str">
        <f t="shared" si="81"/>
        <v>Contingent Liability shockInflation (in percent)</v>
      </c>
      <c r="Q128" s="25"/>
      <c r="R128" s="99" t="s">
        <v>427</v>
      </c>
      <c r="S128" s="107"/>
      <c r="T128" s="107"/>
      <c r="U128" s="591">
        <f>(contingent!B$27)*100</f>
        <v>4.2122999157540031</v>
      </c>
      <c r="V128" s="591">
        <f>(contingent!C$27)*100</f>
        <v>1.5585753694680979</v>
      </c>
      <c r="W128" s="591">
        <f>(contingent!D$27)*100</f>
        <v>1.2666567667486326</v>
      </c>
      <c r="X128" s="591">
        <f>(contingent!E$27)*100</f>
        <v>2.5315565708619037</v>
      </c>
      <c r="Y128" s="591">
        <f>(contingent!F$27)*100</f>
        <v>2.4647711698661201</v>
      </c>
      <c r="Z128" s="592">
        <f>(contingent!G$27)*100</f>
        <v>2.5000000000000133</v>
      </c>
      <c r="AA128" s="475"/>
      <c r="AB128" s="429"/>
      <c r="AC128" s="25"/>
      <c r="AD128" s="25"/>
      <c r="AE128" s="25"/>
      <c r="AF128" s="25"/>
      <c r="AG128" s="25"/>
      <c r="AH128" s="25"/>
      <c r="AI128" s="25"/>
      <c r="AJ128" s="25"/>
      <c r="AK128" s="25"/>
      <c r="AL128" s="25"/>
      <c r="AM128" s="25"/>
      <c r="AN128" s="25"/>
      <c r="AO128" s="464"/>
      <c r="AP128" s="25"/>
      <c r="AQ128" s="107" t="s">
        <v>427</v>
      </c>
      <c r="AR128" s="107"/>
      <c r="AS128" s="107"/>
      <c r="AT128" s="591">
        <f t="shared" si="82"/>
        <v>4.2122999157540031</v>
      </c>
      <c r="AU128" s="591">
        <f t="shared" si="82"/>
        <v>7.6773492297592449</v>
      </c>
      <c r="AV128" s="591">
        <f t="shared" si="82"/>
        <v>2.7938359016816516</v>
      </c>
      <c r="AW128" s="591">
        <f t="shared" si="82"/>
        <v>2.5315565708619037</v>
      </c>
      <c r="AX128" s="591">
        <f t="shared" si="82"/>
        <v>2.4647711698661201</v>
      </c>
      <c r="AY128" s="591">
        <f t="shared" si="82"/>
        <v>2.5000000000000133</v>
      </c>
      <c r="AZ128" s="473"/>
      <c r="BA128" s="247"/>
      <c r="BB128" s="247"/>
      <c r="BC128" s="247"/>
      <c r="BD128" s="247"/>
      <c r="BE128" s="247"/>
      <c r="BF128" s="247"/>
      <c r="BG128" s="247"/>
      <c r="BH128" s="247"/>
      <c r="BI128" s="247"/>
      <c r="BJ128" s="247"/>
      <c r="BK128" s="254"/>
      <c r="BL128" s="256"/>
      <c r="BM128" s="261"/>
      <c r="BN128" s="261"/>
      <c r="BO128" s="261"/>
      <c r="BP128" s="261"/>
      <c r="BQ128" s="261"/>
      <c r="BR128" s="261"/>
      <c r="BS128" s="261"/>
      <c r="BT128" s="261"/>
      <c r="BU128" s="247"/>
      <c r="BV128" s="261"/>
      <c r="BW128" s="247"/>
      <c r="BX128" s="247"/>
      <c r="BY128" s="247"/>
      <c r="BZ128" s="254"/>
      <c r="CA128" s="255"/>
      <c r="CB128" s="247"/>
      <c r="CC128" s="247"/>
      <c r="CD128" s="247"/>
      <c r="CE128" s="247"/>
      <c r="CF128" s="247"/>
      <c r="CG128" s="254"/>
      <c r="CH128" s="17"/>
      <c r="CI128" s="888">
        <v>914</v>
      </c>
      <c r="CJ128" s="4" t="s">
        <v>1220</v>
      </c>
      <c r="CK128" s="1077"/>
      <c r="CL128" s="1826">
        <v>-0.47836034249202841</v>
      </c>
      <c r="CM128" s="1077"/>
      <c r="CN128" s="1102"/>
      <c r="CO128" s="1103"/>
      <c r="CQ128" s="1077"/>
      <c r="CR128" s="1823">
        <v>-2.8749717067080103</v>
      </c>
      <c r="CS128" s="1077"/>
      <c r="CT128" s="1102"/>
      <c r="CU128" s="1103"/>
      <c r="CV128" s="1099"/>
      <c r="CW128" s="1099"/>
      <c r="CX128" s="1823">
        <v>-0.94244201043471287</v>
      </c>
      <c r="CY128" s="1099"/>
      <c r="CZ128" s="1102"/>
      <c r="DA128" s="1103"/>
      <c r="DB128" s="1099"/>
      <c r="DC128" s="993"/>
      <c r="DD128" s="281"/>
      <c r="DF128" s="3">
        <v>128</v>
      </c>
      <c r="DG128" s="4">
        <v>1998</v>
      </c>
      <c r="DH128" s="4">
        <v>4.0516139999999998</v>
      </c>
      <c r="DI128" s="1172"/>
      <c r="DJ128" s="5"/>
      <c r="DK128" s="1444">
        <v>128</v>
      </c>
      <c r="DL128" s="1444">
        <v>1998</v>
      </c>
      <c r="DM128" s="1444">
        <v>0.33473770000000003</v>
      </c>
      <c r="DN128" s="1440">
        <f t="shared" si="52"/>
        <v>1.0042131000000001</v>
      </c>
      <c r="DO128" s="993"/>
      <c r="DP128" s="488"/>
      <c r="DQ128" s="247"/>
      <c r="DR128" s="247"/>
      <c r="DS128" s="247"/>
      <c r="DT128" s="247"/>
      <c r="DU128" s="247"/>
      <c r="DV128" s="261"/>
      <c r="DW128" s="261"/>
      <c r="DX128" s="261"/>
      <c r="DY128" s="261"/>
      <c r="DZ128" s="261"/>
      <c r="EA128" s="261"/>
      <c r="EB128" s="261"/>
      <c r="EC128" s="261"/>
      <c r="ED128" s="261"/>
      <c r="EE128" s="261"/>
      <c r="EF128" s="993"/>
      <c r="EG128" s="281"/>
      <c r="EH128" s="281"/>
      <c r="EI128" s="281"/>
      <c r="EJ128" s="281"/>
      <c r="EK128" s="281"/>
      <c r="EL128" s="281"/>
      <c r="EM128" s="281"/>
      <c r="EN128" s="281"/>
      <c r="EO128" s="281"/>
      <c r="EP128" s="281"/>
      <c r="EQ128" s="281"/>
      <c r="ER128" s="281"/>
      <c r="ES128" s="281"/>
      <c r="ET128" s="281"/>
      <c r="EU128" s="281"/>
      <c r="EV128" s="281"/>
      <c r="EW128" s="281"/>
      <c r="EX128" s="281"/>
      <c r="EY128" s="281"/>
      <c r="EZ128" s="281"/>
      <c r="FA128" s="281"/>
      <c r="FB128" s="281"/>
      <c r="FC128" s="281"/>
      <c r="FD128" s="281"/>
      <c r="FE128" s="281"/>
      <c r="FF128" s="281"/>
      <c r="FG128" s="281"/>
      <c r="FH128" s="281"/>
      <c r="FI128" s="281"/>
      <c r="FJ128" s="281"/>
      <c r="FK128" s="281"/>
      <c r="FL128" s="281"/>
      <c r="FM128" s="281"/>
      <c r="FN128" s="281"/>
      <c r="FO128" s="281"/>
      <c r="FP128" s="281"/>
      <c r="FQ128" s="281"/>
      <c r="FR128" s="281"/>
      <c r="FS128" s="281"/>
      <c r="FT128" s="281"/>
      <c r="FU128" s="281"/>
      <c r="FV128" s="281"/>
      <c r="FW128" s="281"/>
      <c r="FX128" s="281"/>
      <c r="FY128" s="281"/>
    </row>
    <row r="129" spans="1:181" s="25" customFormat="1" ht="20.100000000000001" customHeight="1">
      <c r="A129" s="98"/>
      <c r="G129" s="464"/>
      <c r="H129" s="98"/>
      <c r="I129" s="949" t="s">
        <v>276</v>
      </c>
      <c r="J129" s="948">
        <v>926</v>
      </c>
      <c r="K129" s="948">
        <v>0</v>
      </c>
      <c r="L129" s="948"/>
      <c r="M129" s="1029" t="s">
        <v>663</v>
      </c>
      <c r="N129" s="464"/>
      <c r="O129" s="98"/>
      <c r="P129" s="25" t="str">
        <f t="shared" si="81"/>
        <v>Contingent Liability shockPrimary Balance (in percent of GDP)</v>
      </c>
      <c r="R129" s="99" t="s">
        <v>544</v>
      </c>
      <c r="S129" s="107"/>
      <c r="T129" s="107"/>
      <c r="U129" s="591">
        <f>(contingent!B$30)*100</f>
        <v>-5.2301873674015509E-2</v>
      </c>
      <c r="V129" s="591">
        <f>(contingent!C$30)*100</f>
        <v>-8.1417475132974975</v>
      </c>
      <c r="W129" s="591">
        <f>(contingent!D$30)*100</f>
        <v>0.30885252917781103</v>
      </c>
      <c r="X129" s="591">
        <f>(contingent!E$30)*100</f>
        <v>0.22147723253581053</v>
      </c>
      <c r="Y129" s="591">
        <f>(contingent!F$30)*100</f>
        <v>0.87301076297996993</v>
      </c>
      <c r="Z129" s="592">
        <f>(contingent!G$30)*100</f>
        <v>0.87301076297997549</v>
      </c>
      <c r="AA129" s="464"/>
      <c r="AO129" s="464"/>
      <c r="AQ129" s="107" t="s">
        <v>544</v>
      </c>
      <c r="AR129" s="107"/>
      <c r="AS129" s="107"/>
      <c r="AT129" s="591">
        <f t="shared" si="82"/>
        <v>-5.2301873674015509E-2</v>
      </c>
      <c r="AU129" s="591">
        <f t="shared" si="82"/>
        <v>4.6597896115335713E-2</v>
      </c>
      <c r="AV129" s="591">
        <f t="shared" si="82"/>
        <v>0.30885252917781103</v>
      </c>
      <c r="AW129" s="591">
        <f t="shared" si="82"/>
        <v>0.22147723253581053</v>
      </c>
      <c r="AX129" s="591">
        <f t="shared" si="82"/>
        <v>0.87301076297996993</v>
      </c>
      <c r="AY129" s="591">
        <f t="shared" si="82"/>
        <v>0.87301076297997549</v>
      </c>
      <c r="AZ129" s="474"/>
      <c r="BA129" s="247"/>
      <c r="BB129" s="247"/>
      <c r="BC129" s="247"/>
      <c r="BD129" s="247"/>
      <c r="BE129" s="247"/>
      <c r="BF129" s="247"/>
      <c r="BG129" s="247"/>
      <c r="BH129" s="247"/>
      <c r="BI129" s="247"/>
      <c r="BJ129" s="247"/>
      <c r="BK129" s="254"/>
      <c r="BL129" s="255"/>
      <c r="BM129" s="247"/>
      <c r="BN129" s="247"/>
      <c r="BO129" s="247"/>
      <c r="BP129" s="247"/>
      <c r="BQ129" s="247"/>
      <c r="BR129" s="261"/>
      <c r="BS129" s="247"/>
      <c r="BT129" s="247"/>
      <c r="BU129" s="247"/>
      <c r="BV129" s="261"/>
      <c r="BW129" s="247"/>
      <c r="BX129" s="247"/>
      <c r="BY129" s="247"/>
      <c r="BZ129" s="254"/>
      <c r="CA129" s="255"/>
      <c r="CB129" s="247"/>
      <c r="CC129" s="247"/>
      <c r="CD129" s="247"/>
      <c r="CE129" s="247"/>
      <c r="CF129" s="247"/>
      <c r="CG129" s="254"/>
      <c r="CH129" s="17"/>
      <c r="CI129" s="888">
        <v>914</v>
      </c>
      <c r="CJ129" s="4" t="s">
        <v>1221</v>
      </c>
      <c r="CK129" s="1077"/>
      <c r="CL129" s="1826">
        <v>-0.30736393984003563</v>
      </c>
      <c r="CM129" s="1077"/>
      <c r="CN129" s="864"/>
      <c r="CO129" s="1103"/>
      <c r="CP129" s="1077"/>
      <c r="CQ129" s="1077"/>
      <c r="CR129" s="1823">
        <v>-2.1202886543981765</v>
      </c>
      <c r="CS129" s="1077"/>
      <c r="CT129" s="864"/>
      <c r="CU129" s="1103"/>
      <c r="CV129" s="1099"/>
      <c r="CW129" s="1099"/>
      <c r="CX129" s="1823">
        <v>-2.0325031439686265</v>
      </c>
      <c r="CY129" s="1099"/>
      <c r="CZ129" s="864"/>
      <c r="DA129" s="1103"/>
      <c r="DB129" s="1099"/>
      <c r="DC129" s="993"/>
      <c r="DD129" s="281"/>
      <c r="DF129" s="3">
        <v>128</v>
      </c>
      <c r="DG129" s="4">
        <v>1999</v>
      </c>
      <c r="DH129" s="4">
        <v>4.4724909999999998</v>
      </c>
      <c r="DI129" s="1172"/>
      <c r="DJ129" s="5"/>
      <c r="DK129" s="1444">
        <v>128</v>
      </c>
      <c r="DL129" s="1444">
        <v>1999</v>
      </c>
      <c r="DM129" s="1444">
        <v>0.42087720000000001</v>
      </c>
      <c r="DN129" s="1440">
        <f t="shared" si="52"/>
        <v>1.2626316</v>
      </c>
      <c r="DO129" s="993"/>
      <c r="DP129" s="488"/>
      <c r="DQ129" s="247"/>
      <c r="DR129" s="247"/>
      <c r="DS129" s="247"/>
      <c r="DT129" s="247"/>
      <c r="DU129" s="247"/>
      <c r="DV129" s="261"/>
      <c r="DW129" s="261"/>
      <c r="DX129" s="261"/>
      <c r="DY129" s="261"/>
      <c r="DZ129" s="261"/>
      <c r="EA129" s="261"/>
      <c r="EB129" s="261"/>
      <c r="EC129" s="261"/>
      <c r="ED129" s="261"/>
      <c r="EE129" s="261"/>
      <c r="EF129" s="993"/>
      <c r="EG129" s="281"/>
      <c r="EH129" s="281"/>
      <c r="EI129" s="281"/>
      <c r="EJ129" s="281"/>
      <c r="EK129" s="281"/>
      <c r="EL129" s="281"/>
      <c r="EM129" s="281"/>
      <c r="EN129" s="281"/>
      <c r="EO129" s="281"/>
      <c r="EP129" s="281"/>
      <c r="EQ129" s="281"/>
      <c r="ER129" s="281"/>
      <c r="ES129" s="281"/>
      <c r="ET129" s="281"/>
      <c r="EU129" s="281"/>
      <c r="EV129" s="281"/>
      <c r="EW129" s="281"/>
      <c r="EX129" s="281"/>
      <c r="EY129" s="281"/>
      <c r="EZ129" s="281"/>
      <c r="FA129" s="281"/>
      <c r="FB129" s="281"/>
      <c r="FC129" s="281"/>
      <c r="FD129" s="281"/>
      <c r="FE129" s="281"/>
      <c r="FF129" s="281"/>
      <c r="FG129" s="281"/>
      <c r="FH129" s="281"/>
      <c r="FI129" s="281"/>
      <c r="FJ129" s="281"/>
      <c r="FK129" s="281"/>
      <c r="FL129" s="281"/>
      <c r="FM129" s="281"/>
      <c r="FN129" s="281"/>
      <c r="FO129" s="281"/>
      <c r="FP129" s="281"/>
      <c r="FQ129" s="281"/>
      <c r="FR129" s="281"/>
      <c r="FS129" s="281"/>
      <c r="FT129" s="281"/>
      <c r="FU129" s="281"/>
      <c r="FV129" s="281"/>
      <c r="FW129" s="281"/>
      <c r="FX129" s="281"/>
      <c r="FY129" s="281"/>
    </row>
    <row r="130" spans="1:181" s="25" customFormat="1" ht="20.100000000000001" customHeight="1" thickBot="1">
      <c r="A130" s="98"/>
      <c r="G130" s="464"/>
      <c r="H130" s="98"/>
      <c r="I130" s="949" t="s">
        <v>277</v>
      </c>
      <c r="J130" s="948">
        <v>466</v>
      </c>
      <c r="K130" s="948">
        <v>0</v>
      </c>
      <c r="L130" s="948"/>
      <c r="M130" s="1029" t="s">
        <v>664</v>
      </c>
      <c r="N130" s="464"/>
      <c r="O130" s="98"/>
      <c r="P130" s="25" t="str">
        <f t="shared" si="81"/>
        <v>Contingent Liability shockEffective Interest Rate (in percent)</v>
      </c>
      <c r="R130" s="101" t="s">
        <v>428</v>
      </c>
      <c r="S130" s="632"/>
      <c r="T130" s="632"/>
      <c r="U130" s="594">
        <f>(contingent!B$25)*100</f>
        <v>1.9586439007071743</v>
      </c>
      <c r="V130" s="594">
        <f ca="1">(contingent!C$25)*100</f>
        <v>2.7999477504627932</v>
      </c>
      <c r="W130" s="594">
        <f ca="1">(contingent!D$25)*100</f>
        <v>3.7874550806582508</v>
      </c>
      <c r="X130" s="594">
        <f ca="1">(contingent!E$25)*100</f>
        <v>2.0223569904341416</v>
      </c>
      <c r="Y130" s="594">
        <f ca="1">(contingent!F$25)*100</f>
        <v>2.4738147098411227</v>
      </c>
      <c r="Z130" s="595">
        <f ca="1">(contingent!G$25)*100</f>
        <v>2.551849753771477</v>
      </c>
      <c r="AA130" s="464"/>
      <c r="AO130" s="464"/>
      <c r="AQ130" s="266" t="s">
        <v>428</v>
      </c>
      <c r="AR130" s="266"/>
      <c r="AS130" s="266"/>
      <c r="AT130" s="600">
        <f t="shared" si="82"/>
        <v>1.9586439007071743</v>
      </c>
      <c r="AU130" s="600">
        <f t="shared" ca="1" si="82"/>
        <v>2.4781166566290191</v>
      </c>
      <c r="AV130" s="600">
        <f t="shared" ca="1" si="82"/>
        <v>3.1215781749855784</v>
      </c>
      <c r="AW130" s="600">
        <f t="shared" ca="1" si="82"/>
        <v>1.6838366775356981</v>
      </c>
      <c r="AX130" s="600">
        <f t="shared" ca="1" si="82"/>
        <v>2.1907610618975508</v>
      </c>
      <c r="AY130" s="600">
        <f t="shared" ca="1" si="82"/>
        <v>2.2891706554355862</v>
      </c>
      <c r="AZ130" s="474"/>
      <c r="BA130" s="247"/>
      <c r="BB130" s="247"/>
      <c r="BC130" s="247"/>
      <c r="BD130" s="247"/>
      <c r="BE130" s="247"/>
      <c r="BF130" s="247"/>
      <c r="BG130" s="247"/>
      <c r="BH130" s="247"/>
      <c r="BI130" s="247"/>
      <c r="BJ130" s="247"/>
      <c r="BK130" s="254"/>
      <c r="BL130" s="255"/>
      <c r="BM130" s="247"/>
      <c r="BN130" s="247"/>
      <c r="BO130" s="247"/>
      <c r="BP130" s="247"/>
      <c r="BQ130" s="247"/>
      <c r="BR130" s="261"/>
      <c r="BS130" s="247"/>
      <c r="BT130" s="247"/>
      <c r="BU130" s="247"/>
      <c r="BV130" s="261"/>
      <c r="BW130" s="247"/>
      <c r="BX130" s="247"/>
      <c r="BY130" s="247"/>
      <c r="BZ130" s="254"/>
      <c r="CA130" s="255"/>
      <c r="CB130" s="247"/>
      <c r="CC130" s="247"/>
      <c r="CD130" s="247"/>
      <c r="CE130" s="247"/>
      <c r="CF130" s="247"/>
      <c r="CG130" s="254"/>
      <c r="CH130" s="17"/>
      <c r="CI130" s="888">
        <v>914</v>
      </c>
      <c r="CJ130" s="4" t="s">
        <v>1222</v>
      </c>
      <c r="CK130" s="1077"/>
      <c r="CL130" s="1826">
        <v>-2.2999999999999305</v>
      </c>
      <c r="CM130" s="1077"/>
      <c r="CN130" s="864"/>
      <c r="CO130" s="1103"/>
      <c r="CP130" s="1077"/>
      <c r="CQ130" s="1077"/>
      <c r="CR130" s="1823">
        <v>0.94498358359474177</v>
      </c>
      <c r="CS130" s="1077"/>
      <c r="CT130" s="864"/>
      <c r="CU130" s="1103"/>
      <c r="CV130" s="1099"/>
      <c r="CW130" s="1099"/>
      <c r="CX130" s="1823">
        <v>-1.5819691315792208</v>
      </c>
      <c r="CY130" s="1099"/>
      <c r="CZ130" s="864"/>
      <c r="DA130" s="1103"/>
      <c r="DB130" s="1099"/>
      <c r="DC130" s="993"/>
      <c r="DD130" s="281"/>
      <c r="DF130" s="3">
        <v>132</v>
      </c>
      <c r="DG130" s="4">
        <v>2004</v>
      </c>
      <c r="DH130" s="4">
        <v>-0.90296319999999997</v>
      </c>
      <c r="DI130" s="1172"/>
      <c r="DJ130" s="5"/>
      <c r="DK130" s="1444">
        <v>132</v>
      </c>
      <c r="DL130" s="1444">
        <v>2004</v>
      </c>
      <c r="DM130" s="1444">
        <v>-0.60937920000000001</v>
      </c>
      <c r="DN130" s="1440">
        <f t="shared" si="52"/>
        <v>-1.8281376</v>
      </c>
      <c r="DO130" s="993"/>
      <c r="DP130" s="488"/>
      <c r="DQ130" s="247"/>
      <c r="DR130" s="247"/>
      <c r="DS130" s="247"/>
      <c r="DT130" s="247"/>
      <c r="DU130" s="247"/>
      <c r="DV130" s="261"/>
      <c r="DW130" s="261"/>
      <c r="DX130" s="261"/>
      <c r="DY130" s="261"/>
      <c r="DZ130" s="261"/>
      <c r="EA130" s="261"/>
      <c r="EB130" s="261"/>
      <c r="EC130" s="261"/>
      <c r="ED130" s="261"/>
      <c r="EE130" s="261"/>
      <c r="EF130" s="993"/>
      <c r="EG130" s="281"/>
      <c r="EH130" s="281"/>
      <c r="EI130" s="281"/>
      <c r="EJ130" s="281"/>
      <c r="EK130" s="281"/>
      <c r="EL130" s="281"/>
      <c r="EM130" s="281"/>
      <c r="EN130" s="281"/>
      <c r="EO130" s="281"/>
      <c r="EP130" s="281"/>
      <c r="EQ130" s="281"/>
      <c r="ER130" s="281"/>
      <c r="ES130" s="281"/>
      <c r="ET130" s="281"/>
      <c r="EU130" s="281"/>
      <c r="EV130" s="281"/>
      <c r="EW130" s="281"/>
      <c r="EX130" s="281"/>
      <c r="EY130" s="281"/>
      <c r="EZ130" s="281"/>
      <c r="FA130" s="281"/>
      <c r="FB130" s="281"/>
      <c r="FC130" s="281"/>
      <c r="FD130" s="281"/>
      <c r="FE130" s="281"/>
      <c r="FF130" s="281"/>
      <c r="FG130" s="281"/>
      <c r="FH130" s="281"/>
      <c r="FI130" s="281"/>
      <c r="FJ130" s="281"/>
      <c r="FK130" s="281"/>
      <c r="FL130" s="281"/>
      <c r="FM130" s="281"/>
      <c r="FN130" s="281"/>
      <c r="FO130" s="281"/>
      <c r="FP130" s="281"/>
      <c r="FQ130" s="281"/>
      <c r="FR130" s="281"/>
      <c r="FS130" s="281"/>
      <c r="FT130" s="281"/>
      <c r="FU130" s="281"/>
      <c r="FV130" s="281"/>
      <c r="FW130" s="281"/>
      <c r="FX130" s="281"/>
      <c r="FY130" s="281"/>
    </row>
    <row r="131" spans="1:181" s="25" customFormat="1" ht="20.100000000000001" customHeight="1">
      <c r="A131" s="98"/>
      <c r="G131" s="464"/>
      <c r="H131" s="98"/>
      <c r="I131" s="949" t="s">
        <v>278</v>
      </c>
      <c r="J131" s="948">
        <v>112</v>
      </c>
      <c r="K131" s="948">
        <v>1</v>
      </c>
      <c r="L131" s="948"/>
      <c r="M131" s="1029" t="s">
        <v>665</v>
      </c>
      <c r="N131" s="464"/>
      <c r="O131" s="98"/>
      <c r="AA131" s="464"/>
      <c r="AO131" s="464"/>
      <c r="AZ131" s="474"/>
      <c r="BA131" s="247"/>
      <c r="BB131" s="247"/>
      <c r="BC131" s="247"/>
      <c r="BD131" s="247"/>
      <c r="BE131" s="247"/>
      <c r="BF131" s="247"/>
      <c r="BG131" s="247"/>
      <c r="BH131" s="247"/>
      <c r="BI131" s="247"/>
      <c r="BJ131" s="247"/>
      <c r="BK131" s="254"/>
      <c r="BL131" s="255"/>
      <c r="BM131" s="247"/>
      <c r="BN131" s="247"/>
      <c r="BO131" s="247"/>
      <c r="BP131" s="247"/>
      <c r="BQ131" s="247"/>
      <c r="BR131" s="261"/>
      <c r="BS131" s="247"/>
      <c r="BT131" s="247"/>
      <c r="BU131" s="247"/>
      <c r="BV131" s="261"/>
      <c r="BW131" s="247"/>
      <c r="BX131" s="247"/>
      <c r="BY131" s="247"/>
      <c r="BZ131" s="254"/>
      <c r="CA131" s="255"/>
      <c r="CB131" s="247"/>
      <c r="CC131" s="247"/>
      <c r="CD131" s="247"/>
      <c r="CE131" s="247"/>
      <c r="CF131" s="247"/>
      <c r="CG131" s="254"/>
      <c r="CH131" s="17"/>
      <c r="CI131" s="888">
        <v>914</v>
      </c>
      <c r="CJ131" s="4" t="s">
        <v>1223</v>
      </c>
      <c r="CK131" s="1077"/>
      <c r="CL131" s="1826">
        <v>-0.20000000000008544</v>
      </c>
      <c r="CM131" s="1077"/>
      <c r="CN131" s="864"/>
      <c r="CO131" s="1103"/>
      <c r="CP131" s="1077"/>
      <c r="CQ131" s="1077"/>
      <c r="CR131" s="1823">
        <v>1.9267100594091713</v>
      </c>
      <c r="CS131" s="1077"/>
      <c r="CT131" s="864"/>
      <c r="CU131" s="1103"/>
      <c r="CV131" s="1099"/>
      <c r="CW131" s="1099"/>
      <c r="CX131" s="1823">
        <v>0.3496696697126902</v>
      </c>
      <c r="CY131" s="1099"/>
      <c r="CZ131" s="864"/>
      <c r="DA131" s="1103"/>
      <c r="DB131" s="1099"/>
      <c r="DC131" s="993"/>
      <c r="DD131" s="281"/>
      <c r="DF131" s="3">
        <v>132</v>
      </c>
      <c r="DG131" s="4">
        <v>2005</v>
      </c>
      <c r="DH131" s="4">
        <v>-0.93104779999999998</v>
      </c>
      <c r="DI131" s="1172"/>
      <c r="DJ131" s="5"/>
      <c r="DK131" s="1444">
        <v>132</v>
      </c>
      <c r="DL131" s="1444">
        <v>2005</v>
      </c>
      <c r="DM131" s="1444">
        <v>-2.8084600000000001E-2</v>
      </c>
      <c r="DN131" s="1440">
        <f t="shared" si="52"/>
        <v>-8.4253800000000004E-2</v>
      </c>
      <c r="DO131" s="993"/>
      <c r="DP131" s="488"/>
      <c r="DQ131" s="247"/>
      <c r="DR131" s="247"/>
      <c r="DS131" s="247"/>
      <c r="DT131" s="247"/>
      <c r="DU131" s="247"/>
      <c r="DV131" s="261"/>
      <c r="DW131" s="261"/>
      <c r="DX131" s="261"/>
      <c r="DY131" s="261"/>
      <c r="DZ131" s="261"/>
      <c r="EA131" s="261"/>
      <c r="EB131" s="261"/>
      <c r="EC131" s="261"/>
      <c r="ED131" s="261"/>
      <c r="EE131" s="261"/>
      <c r="EF131" s="993"/>
      <c r="EG131" s="281"/>
      <c r="EH131" s="281"/>
      <c r="EI131" s="281"/>
      <c r="EJ131" s="281"/>
      <c r="EK131" s="281"/>
      <c r="EL131" s="281"/>
      <c r="EM131" s="281"/>
      <c r="EN131" s="281"/>
      <c r="EO131" s="281"/>
      <c r="EP131" s="281"/>
      <c r="EQ131" s="281"/>
      <c r="ER131" s="281"/>
      <c r="ES131" s="281"/>
      <c r="ET131" s="281"/>
      <c r="EU131" s="281"/>
      <c r="EV131" s="281"/>
      <c r="EW131" s="281"/>
      <c r="EX131" s="281"/>
      <c r="EY131" s="281"/>
      <c r="EZ131" s="281"/>
      <c r="FA131" s="281"/>
      <c r="FB131" s="281"/>
      <c r="FC131" s="281"/>
      <c r="FD131" s="281"/>
      <c r="FE131" s="281"/>
      <c r="FF131" s="281"/>
      <c r="FG131" s="281"/>
      <c r="FH131" s="281"/>
      <c r="FI131" s="281"/>
      <c r="FJ131" s="281"/>
      <c r="FK131" s="281"/>
      <c r="FL131" s="281"/>
      <c r="FM131" s="281"/>
      <c r="FN131" s="281"/>
      <c r="FO131" s="281"/>
      <c r="FP131" s="281"/>
      <c r="FQ131" s="281"/>
      <c r="FR131" s="281"/>
      <c r="FS131" s="281"/>
      <c r="FT131" s="281"/>
      <c r="FU131" s="281"/>
      <c r="FV131" s="281"/>
      <c r="FW131" s="281"/>
      <c r="FX131" s="281"/>
      <c r="FY131" s="281"/>
    </row>
    <row r="132" spans="1:181" ht="20.100000000000001" customHeight="1">
      <c r="I132" s="949" t="s">
        <v>279</v>
      </c>
      <c r="J132" s="948">
        <v>111</v>
      </c>
      <c r="K132" s="948">
        <v>1</v>
      </c>
      <c r="L132" s="948"/>
      <c r="M132" s="1029" t="s">
        <v>666</v>
      </c>
      <c r="R132" s="25"/>
      <c r="S132" s="25"/>
      <c r="T132" s="25"/>
      <c r="U132" s="25"/>
      <c r="V132" s="25"/>
      <c r="W132" s="25"/>
      <c r="X132" s="25"/>
      <c r="Y132" s="25"/>
      <c r="Z132" s="25"/>
      <c r="AA132" s="473"/>
      <c r="AB132" s="246"/>
      <c r="AP132" s="25"/>
      <c r="AT132" s="25"/>
      <c r="AU132" s="25"/>
      <c r="AV132" s="25"/>
      <c r="AW132" s="25"/>
      <c r="AX132" s="25"/>
      <c r="AY132" s="25"/>
      <c r="AZ132" s="475"/>
      <c r="CI132" s="888">
        <v>914</v>
      </c>
      <c r="CJ132" s="4" t="s">
        <v>1224</v>
      </c>
      <c r="CL132" s="1826">
        <v>1.499999999999996</v>
      </c>
      <c r="CN132" s="864"/>
      <c r="CO132" s="1103"/>
      <c r="CR132" s="1823">
        <v>0.37476489119667711</v>
      </c>
      <c r="CT132" s="864"/>
      <c r="CU132" s="1103"/>
      <c r="CV132" s="1099"/>
      <c r="CW132" s="1099"/>
      <c r="CX132" s="1823">
        <v>1.6022087206105677</v>
      </c>
      <c r="CY132" s="1099"/>
      <c r="CZ132" s="864"/>
      <c r="DA132" s="1103"/>
      <c r="DB132" s="1099"/>
      <c r="DF132" s="3">
        <v>132</v>
      </c>
      <c r="DG132" s="4">
        <v>2006</v>
      </c>
      <c r="DH132" s="4">
        <v>-0.70756629999999998</v>
      </c>
      <c r="DI132" s="1172"/>
      <c r="DJ132" s="5"/>
      <c r="DK132" s="1444">
        <v>132</v>
      </c>
      <c r="DL132" s="1444">
        <v>2006</v>
      </c>
      <c r="DM132" s="1444">
        <v>0.2234815</v>
      </c>
      <c r="DN132" s="1440">
        <f t="shared" ref="DN132:DN195" si="83">DM132*3</f>
        <v>0.6704445</v>
      </c>
    </row>
    <row r="133" spans="1:181" ht="20.100000000000001" customHeight="1" thickBot="1">
      <c r="I133" s="949" t="s">
        <v>280</v>
      </c>
      <c r="J133" s="948">
        <v>298</v>
      </c>
      <c r="K133" s="948">
        <v>0</v>
      </c>
      <c r="L133" s="948"/>
      <c r="M133" s="1029" t="s">
        <v>667</v>
      </c>
      <c r="R133" s="25"/>
      <c r="S133" s="25"/>
      <c r="T133" s="25"/>
      <c r="U133" s="25"/>
      <c r="V133" s="25"/>
      <c r="W133" s="25"/>
      <c r="X133" s="25"/>
      <c r="Y133" s="25"/>
      <c r="Z133" s="25"/>
      <c r="AA133" s="474"/>
      <c r="AB133" s="100"/>
      <c r="AP133" s="480"/>
      <c r="AQ133" s="479"/>
      <c r="AR133" s="479"/>
      <c r="AS133" s="479"/>
      <c r="AT133" s="481"/>
      <c r="AU133" s="482"/>
      <c r="AV133" s="482"/>
      <c r="AW133" s="482"/>
      <c r="AX133" s="482"/>
      <c r="AY133" s="482"/>
      <c r="AZ133" s="474"/>
      <c r="CI133" s="888">
        <v>914</v>
      </c>
      <c r="CJ133" s="1091" t="s">
        <v>1225</v>
      </c>
      <c r="CL133" s="1826">
        <v>-2.7999999999999314</v>
      </c>
      <c r="CN133" s="1104"/>
      <c r="CO133" s="1105"/>
      <c r="CR133" s="1824">
        <v>-3.5834331205436265</v>
      </c>
      <c r="CT133" s="1104"/>
      <c r="CU133" s="1105"/>
      <c r="CV133" s="1100"/>
      <c r="CW133" s="1100"/>
      <c r="CX133" s="1824">
        <v>-1.2467856911167003</v>
      </c>
      <c r="CY133" s="1100"/>
      <c r="CZ133" s="1104"/>
      <c r="DA133" s="1105"/>
      <c r="DB133" s="1100"/>
      <c r="DF133" s="3">
        <v>132</v>
      </c>
      <c r="DG133" s="4">
        <v>2007</v>
      </c>
      <c r="DH133" s="4">
        <v>-0.77402899999999997</v>
      </c>
      <c r="DI133" s="1172"/>
      <c r="DJ133" s="5"/>
      <c r="DK133" s="1444">
        <v>132</v>
      </c>
      <c r="DL133" s="1444">
        <v>2007</v>
      </c>
      <c r="DM133" s="1444">
        <v>-6.6462800000000002E-2</v>
      </c>
      <c r="DN133" s="1440">
        <f t="shared" si="83"/>
        <v>-0.19938840000000002</v>
      </c>
    </row>
    <row r="134" spans="1:181" ht="20.100000000000001" customHeight="1" thickBot="1">
      <c r="I134" s="949" t="s">
        <v>281</v>
      </c>
      <c r="J134" s="948">
        <v>299</v>
      </c>
      <c r="K134" s="948">
        <v>0</v>
      </c>
      <c r="L134" s="948"/>
      <c r="M134" s="1029" t="s">
        <v>668</v>
      </c>
      <c r="R134" s="1299" t="str">
        <f>IF(ISBLANK(Custom1Name), "Customized shock 1",Custom1Name)</f>
        <v>Customized shock 1</v>
      </c>
      <c r="S134" s="1300"/>
      <c r="T134" s="1300"/>
      <c r="U134" s="1300">
        <f t="shared" ref="U134:Z134" si="84">U$4</f>
        <v>2018</v>
      </c>
      <c r="V134" s="1300">
        <f t="shared" si="84"/>
        <v>2019</v>
      </c>
      <c r="W134" s="1300">
        <f t="shared" si="84"/>
        <v>2020</v>
      </c>
      <c r="X134" s="1300">
        <f t="shared" si="84"/>
        <v>2021</v>
      </c>
      <c r="Y134" s="1300">
        <f t="shared" si="84"/>
        <v>2022</v>
      </c>
      <c r="Z134" s="1301">
        <f t="shared" si="84"/>
        <v>2023</v>
      </c>
      <c r="AA134" s="474"/>
      <c r="AB134" s="100"/>
      <c r="AP134" s="435"/>
      <c r="AQ134" s="98"/>
      <c r="AR134" s="98"/>
      <c r="AS134" s="98"/>
      <c r="AT134" s="429"/>
      <c r="AU134" s="429"/>
      <c r="AV134" s="429"/>
      <c r="AW134" s="429"/>
      <c r="AX134" s="429"/>
      <c r="AY134" s="429"/>
      <c r="CI134" s="888">
        <v>612</v>
      </c>
      <c r="CJ134" s="4" t="s">
        <v>1226</v>
      </c>
      <c r="CL134" s="1826"/>
      <c r="CN134" s="1099">
        <v>-0.6296916302060156</v>
      </c>
      <c r="CO134" s="1106">
        <v>0.37</v>
      </c>
      <c r="CR134" s="1822"/>
      <c r="CT134" s="1102">
        <v>-2.9359386358137414</v>
      </c>
      <c r="CU134" s="1106">
        <v>0.11</v>
      </c>
      <c r="CV134" s="863"/>
      <c r="CW134" s="863"/>
      <c r="CX134" s="1822" t="e">
        <v>#N/A</v>
      </c>
      <c r="CY134" s="863"/>
      <c r="CZ134" s="1099">
        <v>-1.8385961053677791</v>
      </c>
      <c r="DA134" s="1106">
        <v>7.0000000000000007E-2</v>
      </c>
      <c r="DB134" s="863"/>
      <c r="DF134" s="3">
        <v>132</v>
      </c>
      <c r="DG134" s="4">
        <v>2008</v>
      </c>
      <c r="DH134" s="4">
        <v>-0.97851880000000002</v>
      </c>
      <c r="DI134" s="1172"/>
      <c r="DJ134" s="5"/>
      <c r="DK134" s="1444">
        <v>132</v>
      </c>
      <c r="DL134" s="1444">
        <v>2008</v>
      </c>
      <c r="DM134" s="1444">
        <v>-0.2044898</v>
      </c>
      <c r="DN134" s="1440">
        <f t="shared" si="83"/>
        <v>-0.61346940000000005</v>
      </c>
    </row>
    <row r="135" spans="1:181" ht="20.100000000000001" customHeight="1">
      <c r="I135" s="949" t="s">
        <v>1215</v>
      </c>
      <c r="J135" s="948">
        <v>582</v>
      </c>
      <c r="K135" s="948">
        <v>0</v>
      </c>
      <c r="L135" s="948"/>
      <c r="M135" s="1029" t="s">
        <v>1216</v>
      </c>
      <c r="P135" s="25" t="str">
        <f t="shared" ref="P135:P144" si="85">CONCATENATE(R$134,R135)</f>
        <v>Customized shock 1Nominal Debt (in percent of GDP)</v>
      </c>
      <c r="R135" s="99" t="s">
        <v>421</v>
      </c>
      <c r="S135" s="107"/>
      <c r="T135" s="107"/>
      <c r="U135" s="591">
        <f>(custom1!B37)*100</f>
        <v>37.094606570883371</v>
      </c>
      <c r="V135" s="591">
        <f ca="1">(custom1!C37)*100</f>
        <v>39.288738880872828</v>
      </c>
      <c r="W135" s="591">
        <f ca="1">(custom1!D37)*100</f>
        <v>41.062832284794872</v>
      </c>
      <c r="X135" s="591">
        <f ca="1">(custom1!E37)*100</f>
        <v>42.453057780135403</v>
      </c>
      <c r="Y135" s="591">
        <f ca="1">(custom1!F37)*100</f>
        <v>44.059856002423778</v>
      </c>
      <c r="Z135" s="592">
        <f ca="1">(custom1!G37)*100</f>
        <v>45.71657618208512</v>
      </c>
      <c r="AA135" s="474"/>
      <c r="AB135" s="100"/>
      <c r="AP135" s="98"/>
      <c r="AQ135" s="98"/>
      <c r="AR135" s="98"/>
      <c r="AS135" s="98"/>
      <c r="AT135" s="429"/>
      <c r="AU135" s="246"/>
      <c r="AV135" s="429"/>
      <c r="AW135" s="429"/>
      <c r="AX135" s="429"/>
      <c r="AY135" s="429"/>
      <c r="CI135" s="888">
        <v>612</v>
      </c>
      <c r="CJ135" s="4"/>
      <c r="CL135" s="1826"/>
      <c r="CN135" s="1102"/>
      <c r="CO135" s="1103"/>
      <c r="CR135" s="1822"/>
      <c r="CT135" s="1102"/>
      <c r="CU135" s="1103"/>
      <c r="CV135" s="863"/>
      <c r="CW135" s="863"/>
      <c r="CX135" s="1822" t="e">
        <v>#N/A</v>
      </c>
      <c r="CY135" s="863"/>
      <c r="CZ135" s="1102"/>
      <c r="DA135" s="1103"/>
      <c r="DB135" s="863"/>
      <c r="DF135" s="3">
        <v>132</v>
      </c>
      <c r="DG135" s="4">
        <v>2009</v>
      </c>
      <c r="DH135" s="4">
        <v>-2.2598370000000001</v>
      </c>
      <c r="DI135" s="1172"/>
      <c r="DJ135" s="5"/>
      <c r="DK135" s="1444">
        <v>132</v>
      </c>
      <c r="DL135" s="1444">
        <v>2009</v>
      </c>
      <c r="DM135" s="1444">
        <v>-1.281318</v>
      </c>
      <c r="DN135" s="1440">
        <f t="shared" si="83"/>
        <v>-3.8439540000000001</v>
      </c>
    </row>
    <row r="136" spans="1:181" ht="20.100000000000001" customHeight="1" thickBot="1">
      <c r="I136" s="1030" t="s">
        <v>805</v>
      </c>
      <c r="J136" s="1024">
        <f>J67</f>
        <v>136</v>
      </c>
      <c r="K136" s="1024">
        <v>1</v>
      </c>
      <c r="L136" s="1024"/>
      <c r="M136" s="1031" t="str">
        <f>M67</f>
        <v>ITA</v>
      </c>
      <c r="P136" s="25" t="str">
        <f t="shared" si="85"/>
        <v>Customized shock 1Debt Service (in percent of GDP)</v>
      </c>
      <c r="R136" s="99" t="s">
        <v>422</v>
      </c>
      <c r="S136" s="107"/>
      <c r="T136" s="107"/>
      <c r="U136" s="591">
        <f>(custom1!B38)*100</f>
        <v>3.7107105982600994</v>
      </c>
      <c r="V136" s="591">
        <f ca="1">(custom1!C38)*100</f>
        <v>7.2433863363465818</v>
      </c>
      <c r="W136" s="591">
        <f ca="1">(custom1!D38)*100</f>
        <v>13.615005652592266</v>
      </c>
      <c r="X136" s="591">
        <f ca="1">(custom1!E38)*100</f>
        <v>19.855409189538058</v>
      </c>
      <c r="Y136" s="591">
        <f ca="1">(custom1!F38)*100</f>
        <v>22.829965259010734</v>
      </c>
      <c r="Z136" s="592">
        <f ca="1">(custom1!G38)*100</f>
        <v>24.905888527275003</v>
      </c>
      <c r="AA136" s="474"/>
      <c r="AB136" s="100"/>
      <c r="AP136" s="98"/>
      <c r="AQ136" s="98"/>
      <c r="AR136" s="98"/>
      <c r="AS136" s="98"/>
      <c r="AT136" s="429"/>
      <c r="AV136" s="429"/>
      <c r="AW136" s="429"/>
      <c r="AX136" s="429"/>
      <c r="AY136" s="429"/>
      <c r="CI136" s="888">
        <v>612</v>
      </c>
      <c r="CJ136" s="4"/>
      <c r="CL136" s="1826"/>
      <c r="CN136" s="1102"/>
      <c r="CO136" s="1103"/>
      <c r="CR136" s="1822"/>
      <c r="CT136" s="1102"/>
      <c r="CU136" s="1103"/>
      <c r="CV136" s="863"/>
      <c r="CW136" s="863"/>
      <c r="CX136" s="1822" t="e">
        <v>#N/A</v>
      </c>
      <c r="CY136" s="863"/>
      <c r="CZ136" s="1102"/>
      <c r="DA136" s="1103"/>
      <c r="DB136" s="863"/>
      <c r="DF136" s="3">
        <v>132</v>
      </c>
      <c r="DG136" s="4">
        <v>2010</v>
      </c>
      <c r="DH136" s="4">
        <v>-3.1738719999999998</v>
      </c>
      <c r="DI136" s="1172"/>
      <c r="DJ136" s="5"/>
      <c r="DK136" s="1444">
        <v>132</v>
      </c>
      <c r="DL136" s="1444">
        <v>2010</v>
      </c>
      <c r="DM136" s="1444">
        <v>-0.91403500000000004</v>
      </c>
      <c r="DN136" s="1440">
        <f t="shared" si="83"/>
        <v>-2.742105</v>
      </c>
    </row>
    <row r="137" spans="1:181" ht="20.100000000000001" customHeight="1">
      <c r="P137" s="25" t="str">
        <f t="shared" si="85"/>
        <v>Customized shock 1Gross Financing Need (in percent of GDP)</v>
      </c>
      <c r="R137" s="99" t="s">
        <v>423</v>
      </c>
      <c r="S137" s="107"/>
      <c r="T137" s="107"/>
      <c r="U137" s="591">
        <f>(custom1!B39)*100</f>
        <v>3.5994671534530136</v>
      </c>
      <c r="V137" s="591">
        <f ca="1">(custom1!C39)*100</f>
        <v>9.2433863363465818</v>
      </c>
      <c r="W137" s="591">
        <f ca="1">(custom1!D39)*100</f>
        <v>15.615005652592265</v>
      </c>
      <c r="X137" s="591">
        <f ca="1">(custom1!E39)*100</f>
        <v>21.855409189538062</v>
      </c>
      <c r="Y137" s="591">
        <f ca="1">(custom1!F39)*100</f>
        <v>24.829965259010738</v>
      </c>
      <c r="Z137" s="592">
        <f ca="1">(custom1!G39)*100</f>
        <v>26.905888527275003</v>
      </c>
      <c r="AA137" s="474"/>
      <c r="AB137" s="100"/>
      <c r="AP137" s="98"/>
      <c r="AQ137" s="98"/>
      <c r="AR137" s="98"/>
      <c r="AS137" s="98"/>
      <c r="AT137" s="98"/>
      <c r="AU137" s="246"/>
      <c r="AV137" s="98"/>
      <c r="AW137" s="98"/>
      <c r="AX137" s="98"/>
      <c r="AY137" s="284"/>
      <c r="CI137" s="888">
        <v>612</v>
      </c>
      <c r="CJ137" s="4"/>
      <c r="CL137" s="1826"/>
      <c r="CN137" s="1102"/>
      <c r="CO137" s="1103"/>
      <c r="CR137" s="1825"/>
      <c r="CT137" s="1102"/>
      <c r="CU137" s="1103"/>
      <c r="CV137" s="1099"/>
      <c r="CW137" s="1099"/>
      <c r="CX137" s="1825" t="e">
        <v>#N/A</v>
      </c>
      <c r="CY137" s="1099"/>
      <c r="CZ137" s="1102"/>
      <c r="DA137" s="1103"/>
      <c r="DB137" s="1099"/>
      <c r="DF137" s="3">
        <v>134</v>
      </c>
      <c r="DG137" s="4">
        <v>1999</v>
      </c>
      <c r="DH137" s="4">
        <v>1.3723559999999999</v>
      </c>
      <c r="DI137" s="1172"/>
      <c r="DJ137" s="5"/>
      <c r="DK137" s="1444">
        <v>134</v>
      </c>
      <c r="DL137" s="1444">
        <v>1999</v>
      </c>
      <c r="DM137" s="1444">
        <v>0.45557219999999998</v>
      </c>
      <c r="DN137" s="1440">
        <f t="shared" si="83"/>
        <v>1.3667165999999999</v>
      </c>
    </row>
    <row r="138" spans="1:181" ht="20.100000000000001" customHeight="1">
      <c r="P138" s="25" t="str">
        <f t="shared" si="85"/>
        <v>Customized shock 1Nominal Debt (in percent of Revenue)</v>
      </c>
      <c r="R138" s="99" t="s">
        <v>424</v>
      </c>
      <c r="S138" s="107"/>
      <c r="T138" s="107"/>
      <c r="U138" s="591">
        <f>(custom1!B40)*100</f>
        <v>100.40391596609757</v>
      </c>
      <c r="V138" s="591">
        <f ca="1">(custom1!C40)*100</f>
        <v>-1964.436944043641</v>
      </c>
      <c r="W138" s="591">
        <f ca="1">(custom1!D40)*100</f>
        <v>-2053.1416142397438</v>
      </c>
      <c r="X138" s="591">
        <f ca="1">(custom1!E40)*100</f>
        <v>-2122.6528890067702</v>
      </c>
      <c r="Y138" s="591">
        <f ca="1">(custom1!F40)*100</f>
        <v>-2202.9928001211888</v>
      </c>
      <c r="Z138" s="592">
        <f ca="1">(custom1!G40)*100</f>
        <v>-2285.8288091042559</v>
      </c>
      <c r="AA138" s="475"/>
      <c r="AB138" s="429"/>
      <c r="AP138" s="98"/>
      <c r="AQ138" s="98"/>
      <c r="AR138" s="98"/>
      <c r="AS138" s="98"/>
      <c r="AT138" s="98"/>
      <c r="AU138" s="98"/>
      <c r="AV138" s="98"/>
      <c r="AW138" s="98"/>
      <c r="AX138" s="98"/>
      <c r="AY138" s="25"/>
      <c r="CI138" s="888">
        <v>612</v>
      </c>
      <c r="CJ138" s="4" t="s">
        <v>2407</v>
      </c>
      <c r="CL138" s="1826">
        <v>-0.95269514539103328</v>
      </c>
      <c r="CN138" s="1102"/>
      <c r="CO138" s="1103"/>
      <c r="CR138" s="1823">
        <v>5.1621383734618282</v>
      </c>
      <c r="CT138" s="1102"/>
      <c r="CU138" s="1103"/>
      <c r="CV138" s="1099"/>
      <c r="CW138" s="1099"/>
      <c r="CX138" s="1823">
        <v>4.6061153781661934</v>
      </c>
      <c r="CY138" s="1099"/>
      <c r="CZ138" s="1102"/>
      <c r="DA138" s="1103"/>
      <c r="DB138" s="1099"/>
      <c r="DF138" s="3">
        <v>134</v>
      </c>
      <c r="DG138" s="4">
        <v>2000</v>
      </c>
      <c r="DH138" s="4">
        <v>2.3593869999999999</v>
      </c>
      <c r="DI138" s="1172"/>
      <c r="DJ138" s="5"/>
      <c r="DK138" s="1444">
        <v>134</v>
      </c>
      <c r="DL138" s="1444">
        <v>2000</v>
      </c>
      <c r="DM138" s="1444">
        <v>0.98703030000000003</v>
      </c>
      <c r="DN138" s="1440">
        <f t="shared" si="83"/>
        <v>2.9610909000000003</v>
      </c>
    </row>
    <row r="139" spans="1:181" s="284" customFormat="1" ht="20.100000000000001" customHeight="1">
      <c r="A139" s="98"/>
      <c r="B139" s="25"/>
      <c r="C139" s="25"/>
      <c r="D139" s="25"/>
      <c r="E139" s="25"/>
      <c r="F139" s="25"/>
      <c r="G139" s="464"/>
      <c r="H139" s="98"/>
      <c r="I139" s="98"/>
      <c r="J139" s="98"/>
      <c r="K139" s="98"/>
      <c r="L139" s="98"/>
      <c r="M139" s="98"/>
      <c r="N139" s="464"/>
      <c r="O139" s="98"/>
      <c r="P139" s="25" t="str">
        <f t="shared" si="85"/>
        <v>Customized shock 1Debt Service (in percent of Revenue)</v>
      </c>
      <c r="Q139" s="25"/>
      <c r="R139" s="99" t="s">
        <v>425</v>
      </c>
      <c r="S139" s="107"/>
      <c r="T139" s="107"/>
      <c r="U139" s="591">
        <f>(custom1!B41)*100</f>
        <v>10.043774810504543</v>
      </c>
      <c r="V139" s="591">
        <f ca="1">(custom1!C41)*100</f>
        <v>-362.16931681732905</v>
      </c>
      <c r="W139" s="591">
        <f ca="1">(custom1!D41)*100</f>
        <v>-680.75028262961325</v>
      </c>
      <c r="X139" s="591">
        <f ca="1">(custom1!E41)*100</f>
        <v>-992.77045947690294</v>
      </c>
      <c r="Y139" s="591">
        <f ca="1">(custom1!F41)*100</f>
        <v>-1141.4982629505366</v>
      </c>
      <c r="Z139" s="592">
        <f ca="1">(custom1!G41)*100</f>
        <v>-1245.2944263637501</v>
      </c>
      <c r="AA139" s="474"/>
      <c r="AB139" s="100"/>
      <c r="AC139" s="25"/>
      <c r="AD139" s="25"/>
      <c r="AE139" s="25"/>
      <c r="AF139" s="25"/>
      <c r="AG139" s="25"/>
      <c r="AH139" s="25"/>
      <c r="AI139" s="25"/>
      <c r="AJ139" s="25"/>
      <c r="AK139" s="25"/>
      <c r="AL139" s="25"/>
      <c r="AM139" s="25"/>
      <c r="AN139" s="25"/>
      <c r="AO139" s="464"/>
      <c r="AP139" s="98"/>
      <c r="AQ139" s="100"/>
      <c r="AR139" s="100"/>
      <c r="AS139" s="100"/>
      <c r="AT139" s="25"/>
      <c r="AU139" s="25"/>
      <c r="AV139" s="100"/>
      <c r="AW139" s="100"/>
      <c r="AX139" s="100"/>
      <c r="AY139" s="25"/>
      <c r="AZ139" s="464"/>
      <c r="BA139" s="247"/>
      <c r="BB139" s="247"/>
      <c r="BC139" s="247"/>
      <c r="BD139" s="247"/>
      <c r="BE139" s="247"/>
      <c r="BF139" s="247"/>
      <c r="BG139" s="247"/>
      <c r="BH139" s="247"/>
      <c r="BI139" s="247"/>
      <c r="BJ139" s="247"/>
      <c r="BK139" s="254"/>
      <c r="BL139" s="255"/>
      <c r="BM139" s="247"/>
      <c r="BN139" s="247"/>
      <c r="BO139" s="247"/>
      <c r="BP139" s="247"/>
      <c r="BQ139" s="247"/>
      <c r="BR139" s="261"/>
      <c r="BS139" s="247"/>
      <c r="BT139" s="247"/>
      <c r="BU139" s="247"/>
      <c r="BV139" s="261"/>
      <c r="BW139" s="247"/>
      <c r="BX139" s="247"/>
      <c r="BY139" s="247"/>
      <c r="BZ139" s="254"/>
      <c r="CA139" s="255"/>
      <c r="CB139" s="247"/>
      <c r="CC139" s="247"/>
      <c r="CD139" s="247"/>
      <c r="CE139" s="247"/>
      <c r="CF139" s="247"/>
      <c r="CG139" s="254"/>
      <c r="CH139" s="17"/>
      <c r="CI139" s="888">
        <v>612</v>
      </c>
      <c r="CJ139" s="4" t="s">
        <v>2275</v>
      </c>
      <c r="CK139" s="1077"/>
      <c r="CL139" s="1826">
        <v>-0.56934345134567321</v>
      </c>
      <c r="CM139" s="1077"/>
      <c r="CN139" s="1102"/>
      <c r="CO139" s="1103"/>
      <c r="CP139" s="1077"/>
      <c r="CQ139" s="1077"/>
      <c r="CR139" s="1823">
        <v>-2.9359386358137414</v>
      </c>
      <c r="CS139" s="1077"/>
      <c r="CT139" s="1102"/>
      <c r="CU139" s="1103"/>
      <c r="CV139" s="1099"/>
      <c r="CW139" s="1099"/>
      <c r="CX139" s="1823">
        <v>-5.7884243411035277</v>
      </c>
      <c r="CY139" s="1099"/>
      <c r="CZ139" s="1102"/>
      <c r="DA139" s="1103"/>
      <c r="DB139" s="1099"/>
      <c r="DC139" s="993"/>
      <c r="DD139" s="281"/>
      <c r="DF139" s="3">
        <v>134</v>
      </c>
      <c r="DG139" s="4">
        <v>2001</v>
      </c>
      <c r="DH139" s="4">
        <v>1.874533</v>
      </c>
      <c r="DI139" s="1172"/>
      <c r="DJ139" s="5"/>
      <c r="DK139" s="1444">
        <v>134</v>
      </c>
      <c r="DL139" s="1444">
        <v>2001</v>
      </c>
      <c r="DM139" s="1444">
        <v>-0.48485410000000001</v>
      </c>
      <c r="DN139" s="1440">
        <f t="shared" si="83"/>
        <v>-1.4545623000000001</v>
      </c>
      <c r="DO139" s="993"/>
      <c r="DP139" s="488"/>
      <c r="DQ139" s="247"/>
      <c r="DR139" s="247"/>
      <c r="DS139" s="247"/>
      <c r="DT139" s="247"/>
      <c r="DU139" s="247"/>
      <c r="DV139" s="261"/>
      <c r="DW139" s="261"/>
      <c r="DX139" s="261"/>
      <c r="DY139" s="261"/>
      <c r="DZ139" s="261"/>
      <c r="EA139" s="261"/>
      <c r="EB139" s="261"/>
      <c r="EC139" s="261"/>
      <c r="ED139" s="261"/>
      <c r="EE139" s="261"/>
      <c r="EF139" s="993"/>
      <c r="EG139" s="281"/>
      <c r="EH139" s="281"/>
      <c r="EI139" s="281"/>
      <c r="EJ139" s="281"/>
      <c r="EK139" s="281"/>
      <c r="EL139" s="281"/>
      <c r="EM139" s="281"/>
      <c r="EN139" s="281"/>
      <c r="EO139" s="281"/>
      <c r="EP139" s="281"/>
      <c r="EQ139" s="281"/>
      <c r="ER139" s="281"/>
      <c r="ES139" s="281"/>
      <c r="ET139" s="281"/>
      <c r="EU139" s="281"/>
      <c r="EV139" s="281"/>
      <c r="EW139" s="281"/>
      <c r="EX139" s="281"/>
      <c r="EY139" s="281"/>
      <c r="EZ139" s="281"/>
      <c r="FA139" s="281"/>
      <c r="FB139" s="281"/>
      <c r="FC139" s="281"/>
      <c r="FD139" s="281"/>
      <c r="FE139" s="281"/>
      <c r="FF139" s="281"/>
      <c r="FG139" s="281"/>
      <c r="FH139" s="281"/>
      <c r="FI139" s="281"/>
      <c r="FJ139" s="281"/>
      <c r="FK139" s="281"/>
      <c r="FL139" s="281"/>
      <c r="FM139" s="281"/>
      <c r="FN139" s="281"/>
      <c r="FO139" s="281"/>
      <c r="FP139" s="281"/>
      <c r="FQ139" s="281"/>
      <c r="FR139" s="281"/>
      <c r="FS139" s="281"/>
      <c r="FT139" s="281"/>
      <c r="FU139" s="281"/>
      <c r="FV139" s="281"/>
      <c r="FW139" s="281"/>
      <c r="FX139" s="281"/>
      <c r="FY139" s="281"/>
    </row>
    <row r="140" spans="1:181" s="284" customFormat="1" ht="20.100000000000001" customHeight="1" thickBot="1">
      <c r="A140" s="98"/>
      <c r="B140" s="25"/>
      <c r="C140" s="25"/>
      <c r="D140" s="25"/>
      <c r="E140" s="25"/>
      <c r="F140" s="25"/>
      <c r="G140" s="464"/>
      <c r="H140" s="98"/>
      <c r="I140" s="98"/>
      <c r="J140" s="98"/>
      <c r="K140" s="98"/>
      <c r="L140" s="98"/>
      <c r="M140" s="98"/>
      <c r="N140" s="464"/>
      <c r="O140" s="98"/>
      <c r="P140" s="25" t="str">
        <f t="shared" si="85"/>
        <v>Customized shock 1Gross Financing Need (in percent of Revenue)</v>
      </c>
      <c r="Q140" s="25"/>
      <c r="R140" s="101" t="s">
        <v>426</v>
      </c>
      <c r="S140" s="632"/>
      <c r="T140" s="632"/>
      <c r="U140" s="593">
        <f>(custom1!B42)*100</f>
        <v>9.7426723453025819</v>
      </c>
      <c r="V140" s="594">
        <f ca="1">(custom1!C42)*100</f>
        <v>-462.1693168173291</v>
      </c>
      <c r="W140" s="594">
        <f ca="1">(custom1!D42)*100</f>
        <v>-780.75028262961337</v>
      </c>
      <c r="X140" s="594">
        <f ca="1">(custom1!E42)*100</f>
        <v>-1092.7704594769032</v>
      </c>
      <c r="Y140" s="594">
        <f ca="1">(custom1!F42)*100</f>
        <v>-1241.4982629505369</v>
      </c>
      <c r="Z140" s="595">
        <f ca="1">(custom1!G42)*100</f>
        <v>-1345.2944263637501</v>
      </c>
      <c r="AA140" s="474"/>
      <c r="AB140" s="100"/>
      <c r="AC140" s="25"/>
      <c r="AD140" s="25"/>
      <c r="AE140" s="25"/>
      <c r="AF140" s="25"/>
      <c r="AG140" s="25"/>
      <c r="AH140" s="25"/>
      <c r="AI140" s="25"/>
      <c r="AJ140" s="25"/>
      <c r="AK140" s="25"/>
      <c r="AL140" s="25"/>
      <c r="AM140" s="25"/>
      <c r="AN140" s="25"/>
      <c r="AO140" s="464"/>
      <c r="AP140" s="98"/>
      <c r="AQ140" s="429"/>
      <c r="AR140" s="429"/>
      <c r="AS140" s="429"/>
      <c r="AT140" s="25"/>
      <c r="AU140" s="25"/>
      <c r="AV140" s="429"/>
      <c r="AW140" s="429"/>
      <c r="AX140" s="429"/>
      <c r="AY140" s="25"/>
      <c r="AZ140" s="464"/>
      <c r="BA140" s="247"/>
      <c r="BB140" s="247"/>
      <c r="BC140" s="247"/>
      <c r="BD140" s="247"/>
      <c r="BE140" s="247"/>
      <c r="BF140" s="247"/>
      <c r="BG140" s="247"/>
      <c r="BH140" s="247"/>
      <c r="BI140" s="247"/>
      <c r="BJ140" s="247"/>
      <c r="BK140" s="254"/>
      <c r="BL140" s="255"/>
      <c r="BM140" s="247"/>
      <c r="BN140" s="247"/>
      <c r="BO140" s="247"/>
      <c r="BP140" s="247"/>
      <c r="BQ140" s="247"/>
      <c r="BR140" s="261"/>
      <c r="BS140" s="247"/>
      <c r="BT140" s="247"/>
      <c r="BU140" s="247"/>
      <c r="BV140" s="261"/>
      <c r="BW140" s="247"/>
      <c r="BX140" s="247"/>
      <c r="BY140" s="247"/>
      <c r="BZ140" s="254"/>
      <c r="CA140" s="255"/>
      <c r="CB140" s="247"/>
      <c r="CC140" s="247"/>
      <c r="CD140" s="247"/>
      <c r="CE140" s="247"/>
      <c r="CF140" s="247"/>
      <c r="CG140" s="254"/>
      <c r="CH140" s="17"/>
      <c r="CI140" s="888">
        <v>612</v>
      </c>
      <c r="CJ140" s="4" t="s">
        <v>1227</v>
      </c>
      <c r="CK140" s="1077"/>
      <c r="CL140" s="1826">
        <v>-0.3433669969338351</v>
      </c>
      <c r="CM140" s="1077"/>
      <c r="CN140" s="1102"/>
      <c r="CO140" s="1103"/>
      <c r="CP140" s="1077"/>
      <c r="CQ140" s="1077"/>
      <c r="CR140" s="1823">
        <v>-12.873668432670055</v>
      </c>
      <c r="CS140" s="1077"/>
      <c r="CT140" s="1102"/>
      <c r="CU140" s="1103"/>
      <c r="CV140" s="1099"/>
      <c r="CW140" s="1099"/>
      <c r="CX140" s="1823">
        <v>-9.6826147019374513</v>
      </c>
      <c r="CY140" s="1099"/>
      <c r="CZ140" s="1102"/>
      <c r="DA140" s="1103"/>
      <c r="DB140" s="1099"/>
      <c r="DC140" s="993"/>
      <c r="DD140" s="281"/>
      <c r="DF140" s="3">
        <v>134</v>
      </c>
      <c r="DG140" s="4">
        <v>2002</v>
      </c>
      <c r="DH140" s="4">
        <v>1.208639</v>
      </c>
      <c r="DI140" s="1172"/>
      <c r="DJ140" s="5"/>
      <c r="DK140" s="1444">
        <v>134</v>
      </c>
      <c r="DL140" s="1444">
        <v>2002</v>
      </c>
      <c r="DM140" s="1444">
        <v>-0.66589399999999999</v>
      </c>
      <c r="DN140" s="1440">
        <f t="shared" si="83"/>
        <v>-1.997682</v>
      </c>
      <c r="DO140" s="993"/>
      <c r="DP140" s="488"/>
      <c r="DQ140" s="247"/>
      <c r="DR140" s="247"/>
      <c r="DS140" s="247"/>
      <c r="DT140" s="247"/>
      <c r="DU140" s="247"/>
      <c r="DV140" s="261"/>
      <c r="DW140" s="261"/>
      <c r="DX140" s="261"/>
      <c r="DY140" s="261"/>
      <c r="DZ140" s="261"/>
      <c r="EA140" s="261"/>
      <c r="EB140" s="261"/>
      <c r="EC140" s="261"/>
      <c r="ED140" s="261"/>
      <c r="EE140" s="261"/>
      <c r="EF140" s="993"/>
      <c r="EG140" s="281"/>
      <c r="EH140" s="281"/>
      <c r="EI140" s="281"/>
      <c r="EJ140" s="281"/>
      <c r="EK140" s="281"/>
      <c r="EL140" s="281"/>
      <c r="EM140" s="281"/>
      <c r="EN140" s="281"/>
      <c r="EO140" s="281"/>
      <c r="EP140" s="281"/>
      <c r="EQ140" s="281"/>
      <c r="ER140" s="281"/>
      <c r="ES140" s="281"/>
      <c r="ET140" s="281"/>
      <c r="EU140" s="281"/>
      <c r="EV140" s="281"/>
      <c r="EW140" s="281"/>
      <c r="EX140" s="281"/>
      <c r="EY140" s="281"/>
      <c r="EZ140" s="281"/>
      <c r="FA140" s="281"/>
      <c r="FB140" s="281"/>
      <c r="FC140" s="281"/>
      <c r="FD140" s="281"/>
      <c r="FE140" s="281"/>
      <c r="FF140" s="281"/>
      <c r="FG140" s="281"/>
      <c r="FH140" s="281"/>
      <c r="FI140" s="281"/>
      <c r="FJ140" s="281"/>
      <c r="FK140" s="281"/>
      <c r="FL140" s="281"/>
      <c r="FM140" s="281"/>
      <c r="FN140" s="281"/>
      <c r="FO140" s="281"/>
      <c r="FP140" s="281"/>
      <c r="FQ140" s="281"/>
      <c r="FR140" s="281"/>
      <c r="FS140" s="281"/>
      <c r="FT140" s="281"/>
      <c r="FU140" s="281"/>
      <c r="FV140" s="281"/>
      <c r="FW140" s="281"/>
      <c r="FX140" s="281"/>
      <c r="FY140" s="281"/>
    </row>
    <row r="141" spans="1:181" s="284" customFormat="1" ht="20.100000000000001" customHeight="1" thickBot="1">
      <c r="A141" s="98"/>
      <c r="B141" s="25"/>
      <c r="C141" s="25"/>
      <c r="D141" s="25"/>
      <c r="E141" s="25"/>
      <c r="F141" s="25"/>
      <c r="G141" s="464"/>
      <c r="H141" s="98"/>
      <c r="I141" s="515" t="s">
        <v>329</v>
      </c>
      <c r="J141" s="25"/>
      <c r="K141" s="98"/>
      <c r="L141" s="25"/>
      <c r="M141" s="289"/>
      <c r="N141" s="464"/>
      <c r="O141" s="98"/>
      <c r="P141" s="25" t="str">
        <f t="shared" si="85"/>
        <v>Customized shock 1Real GDP growth (in percent)</v>
      </c>
      <c r="Q141" s="25"/>
      <c r="R141" s="431" t="s">
        <v>418</v>
      </c>
      <c r="S141" s="111"/>
      <c r="T141" s="111"/>
      <c r="U141" s="596">
        <f>(custom1!B$26)*100</f>
        <v>4.7697166816344838</v>
      </c>
      <c r="V141" s="596">
        <f>(custom1!C$26)*100</f>
        <v>1.1686434574876632</v>
      </c>
      <c r="W141" s="596">
        <f>(custom1!D$26)*100</f>
        <v>0.99471024448239032</v>
      </c>
      <c r="X141" s="596">
        <f>(custom1!E$26)*100</f>
        <v>0.88714425932041774</v>
      </c>
      <c r="Y141" s="596">
        <f>(custom1!F$26)*100</f>
        <v>0.93302369470751501</v>
      </c>
      <c r="Z141" s="597">
        <f>(custom1!G$26)*100</f>
        <v>0.80000000000000249</v>
      </c>
      <c r="AA141" s="474"/>
      <c r="AB141" s="100"/>
      <c r="AC141" s="25"/>
      <c r="AD141" s="25"/>
      <c r="AE141" s="25"/>
      <c r="AF141" s="25"/>
      <c r="AG141" s="25"/>
      <c r="AH141" s="25"/>
      <c r="AI141" s="25"/>
      <c r="AJ141" s="25"/>
      <c r="AK141" s="25"/>
      <c r="AL141" s="25"/>
      <c r="AM141" s="25"/>
      <c r="AN141" s="25"/>
      <c r="AO141" s="464"/>
      <c r="AP141" s="435"/>
      <c r="AQ141" s="98"/>
      <c r="AR141" s="98"/>
      <c r="AS141" s="98"/>
      <c r="AT141" s="25"/>
      <c r="AU141" s="25"/>
      <c r="AV141" s="429"/>
      <c r="AW141" s="429"/>
      <c r="AX141" s="429"/>
      <c r="AY141" s="429"/>
      <c r="AZ141" s="464"/>
      <c r="BA141" s="247"/>
      <c r="BB141" s="247"/>
      <c r="BC141" s="247"/>
      <c r="BD141" s="247"/>
      <c r="BE141" s="247"/>
      <c r="BF141" s="247"/>
      <c r="BG141" s="247"/>
      <c r="BH141" s="247"/>
      <c r="BI141" s="247"/>
      <c r="BJ141" s="247"/>
      <c r="BK141" s="254"/>
      <c r="BL141" s="255"/>
      <c r="BM141" s="247"/>
      <c r="BN141" s="247"/>
      <c r="BO141" s="247"/>
      <c r="BP141" s="247"/>
      <c r="BQ141" s="247"/>
      <c r="BR141" s="261"/>
      <c r="BS141" s="247"/>
      <c r="BT141" s="247"/>
      <c r="BU141" s="247"/>
      <c r="BV141" s="261"/>
      <c r="BW141" s="247"/>
      <c r="BX141" s="247"/>
      <c r="BY141" s="247"/>
      <c r="BZ141" s="254"/>
      <c r="CA141" s="255"/>
      <c r="CB141" s="247"/>
      <c r="CC141" s="247"/>
      <c r="CD141" s="247"/>
      <c r="CE141" s="247"/>
      <c r="CF141" s="247"/>
      <c r="CG141" s="254"/>
      <c r="CH141" s="17"/>
      <c r="CI141" s="888">
        <v>612</v>
      </c>
      <c r="CJ141" s="4" t="s">
        <v>1228</v>
      </c>
      <c r="CK141" s="1077"/>
      <c r="CL141" s="1826">
        <v>0.37386359651014534</v>
      </c>
      <c r="CM141" s="1077"/>
      <c r="CN141" s="1102"/>
      <c r="CO141" s="1103"/>
      <c r="CP141" s="1077"/>
      <c r="CQ141" s="1077"/>
      <c r="CR141" s="1823">
        <v>-4.6693144819383896</v>
      </c>
      <c r="CS141" s="1077"/>
      <c r="CT141" s="1102"/>
      <c r="CU141" s="1103"/>
      <c r="CV141" s="1099"/>
      <c r="CW141" s="1099"/>
      <c r="CX141" s="1823">
        <v>-3.2361957874389082</v>
      </c>
      <c r="CY141" s="1099"/>
      <c r="CZ141" s="1102"/>
      <c r="DA141" s="1103"/>
      <c r="DB141" s="1099"/>
      <c r="DC141" s="993"/>
      <c r="DD141" s="281"/>
      <c r="DF141" s="3">
        <v>134</v>
      </c>
      <c r="DG141" s="4">
        <v>2003</v>
      </c>
      <c r="DH141" s="4">
        <v>3.6979400000000003E-2</v>
      </c>
      <c r="DI141" s="1172"/>
      <c r="DJ141" s="5"/>
      <c r="DK141" s="1444">
        <v>134</v>
      </c>
      <c r="DL141" s="1444">
        <v>2003</v>
      </c>
      <c r="DM141" s="1444">
        <v>-1.171659</v>
      </c>
      <c r="DN141" s="1440">
        <f t="shared" si="83"/>
        <v>-3.514977</v>
      </c>
      <c r="DO141" s="993"/>
      <c r="DP141" s="488"/>
      <c r="DQ141" s="247"/>
      <c r="DR141" s="247"/>
      <c r="DS141" s="247"/>
      <c r="DT141" s="247"/>
      <c r="DU141" s="247"/>
      <c r="DV141" s="261"/>
      <c r="DW141" s="261"/>
      <c r="DX141" s="261"/>
      <c r="DY141" s="261"/>
      <c r="DZ141" s="261"/>
      <c r="EA141" s="261"/>
      <c r="EB141" s="261"/>
      <c r="EC141" s="261"/>
      <c r="ED141" s="261"/>
      <c r="EE141" s="261"/>
      <c r="EF141" s="993"/>
      <c r="EG141" s="281"/>
      <c r="EH141" s="281"/>
      <c r="EI141" s="281"/>
      <c r="EJ141" s="281"/>
      <c r="EK141" s="281"/>
      <c r="EL141" s="281"/>
      <c r="EM141" s="281"/>
      <c r="EN141" s="281"/>
      <c r="EO141" s="281"/>
      <c r="EP141" s="281"/>
      <c r="EQ141" s="281"/>
      <c r="ER141" s="281"/>
      <c r="ES141" s="281"/>
      <c r="ET141" s="281"/>
      <c r="EU141" s="281"/>
      <c r="EV141" s="281"/>
      <c r="EW141" s="281"/>
      <c r="EX141" s="281"/>
      <c r="EY141" s="281"/>
      <c r="EZ141" s="281"/>
      <c r="FA141" s="281"/>
      <c r="FB141" s="281"/>
      <c r="FC141" s="281"/>
      <c r="FD141" s="281"/>
      <c r="FE141" s="281"/>
      <c r="FF141" s="281"/>
      <c r="FG141" s="281"/>
      <c r="FH141" s="281"/>
      <c r="FI141" s="281"/>
      <c r="FJ141" s="281"/>
      <c r="FK141" s="281"/>
      <c r="FL141" s="281"/>
      <c r="FM141" s="281"/>
      <c r="FN141" s="281"/>
      <c r="FO141" s="281"/>
      <c r="FP141" s="281"/>
      <c r="FQ141" s="281"/>
      <c r="FR141" s="281"/>
      <c r="FS141" s="281"/>
      <c r="FT141" s="281"/>
      <c r="FU141" s="281"/>
      <c r="FV141" s="281"/>
      <c r="FW141" s="281"/>
      <c r="FX141" s="281"/>
      <c r="FY141" s="281"/>
    </row>
    <row r="142" spans="1:181" s="284" customFormat="1" ht="20.100000000000001" customHeight="1">
      <c r="A142" s="98"/>
      <c r="B142" s="25"/>
      <c r="C142" s="25"/>
      <c r="D142" s="25"/>
      <c r="E142" s="25"/>
      <c r="F142" s="25"/>
      <c r="G142" s="464"/>
      <c r="H142" s="98"/>
      <c r="I142" s="41" t="s">
        <v>449</v>
      </c>
      <c r="J142" s="502"/>
      <c r="K142" s="98"/>
      <c r="L142" s="25"/>
      <c r="M142" s="289"/>
      <c r="N142" s="464"/>
      <c r="O142" s="98"/>
      <c r="P142" s="25" t="str">
        <f t="shared" si="85"/>
        <v>Customized shock 1Inflation (in percent)</v>
      </c>
      <c r="Q142" s="25"/>
      <c r="R142" s="99" t="s">
        <v>427</v>
      </c>
      <c r="S142" s="107"/>
      <c r="T142" s="107"/>
      <c r="U142" s="591">
        <f>(custom1!B$27)*100</f>
        <v>4.2122999157540031</v>
      </c>
      <c r="V142" s="591">
        <f>(custom1!C$27)*100</f>
        <v>3.085754504401117</v>
      </c>
      <c r="W142" s="591">
        <f>(custom1!D$27)*100</f>
        <v>2.7938359016816516</v>
      </c>
      <c r="X142" s="591">
        <f>(custom1!E$27)*100</f>
        <v>2.5315565708619037</v>
      </c>
      <c r="Y142" s="591">
        <f>(custom1!F$27)*100</f>
        <v>2.4647711698661201</v>
      </c>
      <c r="Z142" s="592">
        <f>(custom1!G$27)*100</f>
        <v>2.5000000000000133</v>
      </c>
      <c r="AA142" s="475"/>
      <c r="AB142" s="429"/>
      <c r="AC142" s="25"/>
      <c r="AD142" s="25"/>
      <c r="AE142" s="25"/>
      <c r="AF142" s="25"/>
      <c r="AG142" s="25"/>
      <c r="AH142" s="25"/>
      <c r="AI142" s="25"/>
      <c r="AJ142" s="25"/>
      <c r="AK142" s="25"/>
      <c r="AL142" s="25"/>
      <c r="AM142" s="25"/>
      <c r="AN142" s="25"/>
      <c r="AO142" s="464"/>
      <c r="AP142" s="462"/>
      <c r="AQ142" s="461"/>
      <c r="AR142" s="461"/>
      <c r="AS142" s="461"/>
      <c r="AT142" s="463"/>
      <c r="AU142" s="463"/>
      <c r="AV142" s="463"/>
      <c r="AW142" s="463"/>
      <c r="AX142" s="463"/>
      <c r="AY142" s="463"/>
      <c r="AZ142" s="464"/>
      <c r="BA142" s="247"/>
      <c r="BB142" s="247"/>
      <c r="BC142" s="247"/>
      <c r="BD142" s="247"/>
      <c r="BE142" s="247"/>
      <c r="BF142" s="247"/>
      <c r="BG142" s="247"/>
      <c r="BH142" s="247"/>
      <c r="BI142" s="247"/>
      <c r="BJ142" s="247"/>
      <c r="BK142" s="254"/>
      <c r="BL142" s="255"/>
      <c r="BM142" s="247"/>
      <c r="BN142" s="247"/>
      <c r="BO142" s="247"/>
      <c r="BP142" s="247"/>
      <c r="BQ142" s="247"/>
      <c r="BR142" s="261"/>
      <c r="BS142" s="247"/>
      <c r="BT142" s="247"/>
      <c r="BU142" s="247"/>
      <c r="BV142" s="261"/>
      <c r="BW142" s="247"/>
      <c r="BX142" s="247"/>
      <c r="BY142" s="247"/>
      <c r="BZ142" s="254"/>
      <c r="CA142" s="255"/>
      <c r="CB142" s="247"/>
      <c r="CC142" s="247"/>
      <c r="CD142" s="247"/>
      <c r="CE142" s="247"/>
      <c r="CF142" s="247"/>
      <c r="CG142" s="254"/>
      <c r="CH142" s="17"/>
      <c r="CI142" s="888">
        <v>612</v>
      </c>
      <c r="CJ142" s="4" t="s">
        <v>1229</v>
      </c>
      <c r="CK142" s="1077"/>
      <c r="CL142" s="1826">
        <v>-0.66222553153696229</v>
      </c>
      <c r="CM142" s="1077"/>
      <c r="CN142" s="864"/>
      <c r="CO142" s="1103"/>
      <c r="CP142" s="1077"/>
      <c r="CQ142" s="1077"/>
      <c r="CR142" s="1823">
        <v>0.62288002446763358</v>
      </c>
      <c r="CS142" s="1077"/>
      <c r="CT142" s="864"/>
      <c r="CU142" s="1103"/>
      <c r="CV142" s="1099"/>
      <c r="CW142" s="1099"/>
      <c r="CX142" s="1823">
        <v>-1.8385961053677791</v>
      </c>
      <c r="CY142" s="1099"/>
      <c r="CZ142" s="864"/>
      <c r="DA142" s="1103"/>
      <c r="DB142" s="1099"/>
      <c r="DC142" s="993"/>
      <c r="DD142" s="281"/>
      <c r="DF142" s="3">
        <v>134</v>
      </c>
      <c r="DG142" s="4">
        <v>2004</v>
      </c>
      <c r="DH142" s="4">
        <v>0.38302130000000001</v>
      </c>
      <c r="DI142" s="1172"/>
      <c r="DJ142" s="5"/>
      <c r="DK142" s="1444">
        <v>134</v>
      </c>
      <c r="DL142" s="1444">
        <v>2004</v>
      </c>
      <c r="DM142" s="1444">
        <v>0.34604190000000001</v>
      </c>
      <c r="DN142" s="1440">
        <f t="shared" si="83"/>
        <v>1.0381257000000002</v>
      </c>
      <c r="DO142" s="993"/>
      <c r="DP142" s="488"/>
      <c r="DQ142" s="247"/>
      <c r="DR142" s="247"/>
      <c r="DS142" s="247"/>
      <c r="DT142" s="247"/>
      <c r="DU142" s="247"/>
      <c r="DV142" s="261"/>
      <c r="DW142" s="261"/>
      <c r="DX142" s="261"/>
      <c r="DY142" s="261"/>
      <c r="DZ142" s="261"/>
      <c r="EA142" s="261"/>
      <c r="EB142" s="261"/>
      <c r="EC142" s="261"/>
      <c r="ED142" s="261"/>
      <c r="EE142" s="261"/>
      <c r="EF142" s="993"/>
      <c r="EG142" s="281"/>
      <c r="EH142" s="281"/>
      <c r="EI142" s="281"/>
      <c r="EJ142" s="281"/>
      <c r="EK142" s="281"/>
      <c r="EL142" s="281"/>
      <c r="EM142" s="281"/>
      <c r="EN142" s="281"/>
      <c r="EO142" s="281"/>
      <c r="EP142" s="281"/>
      <c r="EQ142" s="281"/>
      <c r="ER142" s="281"/>
      <c r="ES142" s="281"/>
      <c r="ET142" s="281"/>
      <c r="EU142" s="281"/>
      <c r="EV142" s="281"/>
      <c r="EW142" s="281"/>
      <c r="EX142" s="281"/>
      <c r="EY142" s="281"/>
      <c r="EZ142" s="281"/>
      <c r="FA142" s="281"/>
      <c r="FB142" s="281"/>
      <c r="FC142" s="281"/>
      <c r="FD142" s="281"/>
      <c r="FE142" s="281"/>
      <c r="FF142" s="281"/>
      <c r="FG142" s="281"/>
      <c r="FH142" s="281"/>
      <c r="FI142" s="281"/>
      <c r="FJ142" s="281"/>
      <c r="FK142" s="281"/>
      <c r="FL142" s="281"/>
      <c r="FM142" s="281"/>
      <c r="FN142" s="281"/>
      <c r="FO142" s="281"/>
      <c r="FP142" s="281"/>
      <c r="FQ142" s="281"/>
      <c r="FR142" s="281"/>
      <c r="FS142" s="281"/>
      <c r="FT142" s="281"/>
      <c r="FU142" s="281"/>
      <c r="FV142" s="281"/>
      <c r="FW142" s="281"/>
      <c r="FX142" s="281"/>
      <c r="FY142" s="281"/>
    </row>
    <row r="143" spans="1:181" s="25" customFormat="1" ht="20.100000000000001" customHeight="1">
      <c r="A143" s="98"/>
      <c r="G143" s="464"/>
      <c r="H143" s="98"/>
      <c r="I143" s="42" t="s">
        <v>450</v>
      </c>
      <c r="J143" s="503"/>
      <c r="K143" s="98"/>
      <c r="M143" s="289"/>
      <c r="N143" s="464"/>
      <c r="O143" s="98"/>
      <c r="P143" s="25" t="str">
        <f t="shared" si="85"/>
        <v>Customized shock 1Primary Balance (in percent of GDP)</v>
      </c>
      <c r="R143" s="99" t="s">
        <v>544</v>
      </c>
      <c r="S143" s="107"/>
      <c r="T143" s="107"/>
      <c r="U143" s="591">
        <f>(custom1!B$30)*100</f>
        <v>-5.2301873674015509E-2</v>
      </c>
      <c r="V143" s="591">
        <f>(custom1!C$30)*100</f>
        <v>-1.9534021038846661</v>
      </c>
      <c r="W143" s="591">
        <f>(custom1!D$30)*100</f>
        <v>-1.6911474708221907</v>
      </c>
      <c r="X143" s="591">
        <f>(custom1!E$30)*100</f>
        <v>-1.7785227674641912</v>
      </c>
      <c r="Y143" s="591">
        <f>(custom1!F$30)*100</f>
        <v>-1.1269892370200318</v>
      </c>
      <c r="Z143" s="592">
        <f>(custom1!G$30)*100</f>
        <v>-1.1269892370200263</v>
      </c>
      <c r="AA143" s="464"/>
      <c r="AO143" s="464"/>
      <c r="AP143" s="432"/>
      <c r="AT143" s="438"/>
      <c r="AU143" s="438"/>
      <c r="AV143" s="438"/>
      <c r="AW143" s="438"/>
      <c r="AX143" s="438"/>
      <c r="AY143" s="438"/>
      <c r="AZ143" s="464"/>
      <c r="BA143" s="247"/>
      <c r="BB143" s="247"/>
      <c r="BC143" s="247"/>
      <c r="BD143" s="247"/>
      <c r="BE143" s="247"/>
      <c r="BF143" s="247"/>
      <c r="BG143" s="247"/>
      <c r="BH143" s="247"/>
      <c r="BI143" s="247"/>
      <c r="BJ143" s="247"/>
      <c r="BK143" s="254"/>
      <c r="BL143" s="255"/>
      <c r="BM143" s="247"/>
      <c r="BN143" s="247"/>
      <c r="BO143" s="247"/>
      <c r="BP143" s="247"/>
      <c r="BQ143" s="247"/>
      <c r="BR143" s="261"/>
      <c r="BS143" s="247"/>
      <c r="BT143" s="247"/>
      <c r="BU143" s="247"/>
      <c r="BV143" s="261"/>
      <c r="BW143" s="247"/>
      <c r="BX143" s="247"/>
      <c r="BY143" s="247"/>
      <c r="BZ143" s="254"/>
      <c r="CA143" s="255"/>
      <c r="CB143" s="247"/>
      <c r="CC143" s="247"/>
      <c r="CD143" s="247"/>
      <c r="CE143" s="247"/>
      <c r="CF143" s="247"/>
      <c r="CG143" s="254"/>
      <c r="CH143" s="17"/>
      <c r="CI143" s="888">
        <v>612</v>
      </c>
      <c r="CJ143" s="4" t="s">
        <v>1230</v>
      </c>
      <c r="CK143" s="1077"/>
      <c r="CL143" s="1826">
        <v>6.9799064655686305E-2</v>
      </c>
      <c r="CM143" s="1077"/>
      <c r="CN143" s="864"/>
      <c r="CO143" s="1103"/>
      <c r="CP143" s="1077"/>
      <c r="CQ143" s="1077"/>
      <c r="CR143" s="1823">
        <v>-10.47855982022012</v>
      </c>
      <c r="CS143" s="1077"/>
      <c r="CT143" s="864"/>
      <c r="CU143" s="1103"/>
      <c r="CV143" s="1099"/>
      <c r="CW143" s="1099"/>
      <c r="CX143" s="1823">
        <v>1.8491204363072065</v>
      </c>
      <c r="CY143" s="1099"/>
      <c r="CZ143" s="864"/>
      <c r="DA143" s="1103"/>
      <c r="DB143" s="1099"/>
      <c r="DC143" s="993"/>
      <c r="DD143" s="281"/>
      <c r="DF143" s="3">
        <v>134</v>
      </c>
      <c r="DG143" s="4">
        <v>2005</v>
      </c>
      <c r="DH143" s="4">
        <v>1.0266360000000001</v>
      </c>
      <c r="DI143" s="1172"/>
      <c r="DJ143" s="5"/>
      <c r="DK143" s="1444">
        <v>134</v>
      </c>
      <c r="DL143" s="1444">
        <v>2005</v>
      </c>
      <c r="DM143" s="1444">
        <v>0.64361449999999998</v>
      </c>
      <c r="DN143" s="1440">
        <f t="shared" si="83"/>
        <v>1.9308434999999999</v>
      </c>
      <c r="DO143" s="993"/>
      <c r="DP143" s="488"/>
      <c r="DQ143" s="247"/>
      <c r="DR143" s="247"/>
      <c r="DS143" s="247"/>
      <c r="DT143" s="247"/>
      <c r="DU143" s="247"/>
      <c r="DV143" s="261"/>
      <c r="DW143" s="261"/>
      <c r="DX143" s="261"/>
      <c r="DY143" s="261"/>
      <c r="DZ143" s="261"/>
      <c r="EA143" s="261"/>
      <c r="EB143" s="261"/>
      <c r="EC143" s="261"/>
      <c r="ED143" s="261"/>
      <c r="EE143" s="261"/>
      <c r="EF143" s="993"/>
      <c r="EG143" s="281"/>
      <c r="EH143" s="281"/>
      <c r="EI143" s="281"/>
      <c r="EJ143" s="281"/>
      <c r="EK143" s="281"/>
      <c r="EL143" s="281"/>
      <c r="EM143" s="281"/>
      <c r="EN143" s="281"/>
      <c r="EO143" s="281"/>
      <c r="EP143" s="281"/>
      <c r="EQ143" s="281"/>
      <c r="ER143" s="281"/>
      <c r="ES143" s="281"/>
      <c r="ET143" s="281"/>
      <c r="EU143" s="281"/>
      <c r="EV143" s="281"/>
      <c r="EW143" s="281"/>
      <c r="EX143" s="281"/>
      <c r="EY143" s="281"/>
      <c r="EZ143" s="281"/>
      <c r="FA143" s="281"/>
      <c r="FB143" s="281"/>
      <c r="FC143" s="281"/>
      <c r="FD143" s="281"/>
      <c r="FE143" s="281"/>
      <c r="FF143" s="281"/>
      <c r="FG143" s="281"/>
      <c r="FH143" s="281"/>
      <c r="FI143" s="281"/>
      <c r="FJ143" s="281"/>
      <c r="FK143" s="281"/>
      <c r="FL143" s="281"/>
      <c r="FM143" s="281"/>
      <c r="FN143" s="281"/>
      <c r="FO143" s="281"/>
      <c r="FP143" s="281"/>
      <c r="FQ143" s="281"/>
      <c r="FR143" s="281"/>
      <c r="FS143" s="281"/>
      <c r="FT143" s="281"/>
      <c r="FU143" s="281"/>
      <c r="FV143" s="281"/>
      <c r="FW143" s="281"/>
      <c r="FX143" s="281"/>
      <c r="FY143" s="281"/>
    </row>
    <row r="144" spans="1:181" s="25" customFormat="1" ht="20.100000000000001" customHeight="1" thickBot="1">
      <c r="A144" s="98"/>
      <c r="G144" s="464"/>
      <c r="H144" s="98"/>
      <c r="I144" s="42" t="s">
        <v>451</v>
      </c>
      <c r="J144" s="503"/>
      <c r="K144" s="98"/>
      <c r="M144" s="289"/>
      <c r="N144" s="464"/>
      <c r="O144" s="98"/>
      <c r="P144" s="25" t="str">
        <f t="shared" si="85"/>
        <v>Customized shock 1Effective Interest Rate (in percent)</v>
      </c>
      <c r="R144" s="101" t="s">
        <v>428</v>
      </c>
      <c r="S144" s="632"/>
      <c r="T144" s="632"/>
      <c r="U144" s="594">
        <f>(custom1!B$25)*100</f>
        <v>1.9586439007071743</v>
      </c>
      <c r="V144" s="594">
        <f ca="1">(custom1!C$25)*100</f>
        <v>2.4781166566290191</v>
      </c>
      <c r="W144" s="594">
        <f ca="1">(custom1!D$25)*100</f>
        <v>3.1801520800047314</v>
      </c>
      <c r="X144" s="594">
        <f ca="1">(custom1!E$25)*100</f>
        <v>1.9338096843714025</v>
      </c>
      <c r="Y144" s="594">
        <f ca="1">(custom1!F$25)*100</f>
        <v>2.511976394318534</v>
      </c>
      <c r="Z144" s="595">
        <f ca="1">(custom1!G$25)*100</f>
        <v>2.6641627641188022</v>
      </c>
      <c r="AA144" s="464"/>
      <c r="AO144" s="464"/>
      <c r="AP144" s="976" t="s">
        <v>670</v>
      </c>
      <c r="AQ144" s="246"/>
      <c r="AR144" s="246"/>
      <c r="AS144" s="246"/>
      <c r="AT144" s="445">
        <v>6</v>
      </c>
      <c r="AU144" s="440">
        <f>AT144+1</f>
        <v>7</v>
      </c>
      <c r="AV144" s="440">
        <f>AU144+1</f>
        <v>8</v>
      </c>
      <c r="AW144" s="440">
        <f>AV144+1</f>
        <v>9</v>
      </c>
      <c r="AX144" s="440">
        <f>AW144+1</f>
        <v>10</v>
      </c>
      <c r="AY144" s="440">
        <f>AX144+1</f>
        <v>11</v>
      </c>
      <c r="AZ144" s="464"/>
      <c r="BA144" s="247"/>
      <c r="BB144" s="247"/>
      <c r="BC144" s="247"/>
      <c r="BD144" s="247"/>
      <c r="BE144" s="247"/>
      <c r="BF144" s="247"/>
      <c r="BG144" s="247"/>
      <c r="BH144" s="247"/>
      <c r="BI144" s="247"/>
      <c r="BJ144" s="247"/>
      <c r="BK144" s="254"/>
      <c r="BL144" s="255"/>
      <c r="BM144" s="247"/>
      <c r="BN144" s="247"/>
      <c r="BO144" s="247"/>
      <c r="BP144" s="247"/>
      <c r="BQ144" s="247"/>
      <c r="BR144" s="261"/>
      <c r="BS144" s="247"/>
      <c r="BT144" s="247"/>
      <c r="BU144" s="247"/>
      <c r="BV144" s="261"/>
      <c r="BW144" s="247"/>
      <c r="BX144" s="247"/>
      <c r="BY144" s="247"/>
      <c r="BZ144" s="254"/>
      <c r="CA144" s="255"/>
      <c r="CB144" s="247"/>
      <c r="CC144" s="247"/>
      <c r="CD144" s="247"/>
      <c r="CE144" s="247"/>
      <c r="CF144" s="247"/>
      <c r="CG144" s="254"/>
      <c r="CH144" s="17"/>
      <c r="CI144" s="888">
        <v>612</v>
      </c>
      <c r="CJ144" s="4" t="s">
        <v>1231</v>
      </c>
      <c r="CK144" s="1077"/>
      <c r="CL144" s="1826">
        <v>-1.7561458166002559</v>
      </c>
      <c r="CM144" s="1077"/>
      <c r="CN144" s="864"/>
      <c r="CO144" s="1103"/>
      <c r="CP144" s="1077"/>
      <c r="CQ144" s="1077"/>
      <c r="CR144" s="1823">
        <v>2.98154715053606</v>
      </c>
      <c r="CS144" s="1077"/>
      <c r="CT144" s="864"/>
      <c r="CU144" s="1103"/>
      <c r="CV144" s="1099"/>
      <c r="CW144" s="1099"/>
      <c r="CX144" s="1823">
        <v>11.451691137431908</v>
      </c>
      <c r="CY144" s="1099"/>
      <c r="CZ144" s="864"/>
      <c r="DA144" s="1103"/>
      <c r="DB144" s="1099"/>
      <c r="DC144" s="993"/>
      <c r="DD144" s="281"/>
      <c r="DF144" s="3">
        <v>134</v>
      </c>
      <c r="DG144" s="4">
        <v>2006</v>
      </c>
      <c r="DH144" s="4">
        <v>1.745347</v>
      </c>
      <c r="DI144" s="1172"/>
      <c r="DJ144" s="5"/>
      <c r="DK144" s="1444">
        <v>134</v>
      </c>
      <c r="DL144" s="1444">
        <v>2006</v>
      </c>
      <c r="DM144" s="1444">
        <v>0.71871119999999999</v>
      </c>
      <c r="DN144" s="1440">
        <f t="shared" si="83"/>
        <v>2.1561336</v>
      </c>
      <c r="DO144" s="993"/>
      <c r="DP144" s="488"/>
      <c r="DQ144" s="247"/>
      <c r="DR144" s="247"/>
      <c r="DS144" s="247"/>
      <c r="DT144" s="247"/>
      <c r="DU144" s="247"/>
      <c r="DV144" s="261"/>
      <c r="DW144" s="261"/>
      <c r="DX144" s="261"/>
      <c r="DY144" s="261"/>
      <c r="DZ144" s="261"/>
      <c r="EA144" s="261"/>
      <c r="EB144" s="261"/>
      <c r="EC144" s="261"/>
      <c r="ED144" s="261"/>
      <c r="EE144" s="261"/>
      <c r="EF144" s="993"/>
      <c r="EG144" s="281"/>
      <c r="EH144" s="281"/>
      <c r="EI144" s="281"/>
      <c r="EJ144" s="281"/>
      <c r="EK144" s="281"/>
      <c r="EL144" s="281"/>
      <c r="EM144" s="281"/>
      <c r="EN144" s="281"/>
      <c r="EO144" s="281"/>
      <c r="EP144" s="281"/>
      <c r="EQ144" s="281"/>
      <c r="ER144" s="281"/>
      <c r="ES144" s="281"/>
      <c r="ET144" s="281"/>
      <c r="EU144" s="281"/>
      <c r="EV144" s="281"/>
      <c r="EW144" s="281"/>
      <c r="EX144" s="281"/>
      <c r="EY144" s="281"/>
      <c r="EZ144" s="281"/>
      <c r="FA144" s="281"/>
      <c r="FB144" s="281"/>
      <c r="FC144" s="281"/>
      <c r="FD144" s="281"/>
      <c r="FE144" s="281"/>
      <c r="FF144" s="281"/>
      <c r="FG144" s="281"/>
      <c r="FH144" s="281"/>
      <c r="FI144" s="281"/>
      <c r="FJ144" s="281"/>
      <c r="FK144" s="281"/>
      <c r="FL144" s="281"/>
      <c r="FM144" s="281"/>
      <c r="FN144" s="281"/>
      <c r="FO144" s="281"/>
      <c r="FP144" s="281"/>
      <c r="FQ144" s="281"/>
      <c r="FR144" s="281"/>
      <c r="FS144" s="281"/>
      <c r="FT144" s="281"/>
      <c r="FU144" s="281"/>
      <c r="FV144" s="281"/>
      <c r="FW144" s="281"/>
      <c r="FX144" s="281"/>
      <c r="FY144" s="281"/>
    </row>
    <row r="145" spans="1:181" s="25" customFormat="1" ht="20.100000000000001" customHeight="1" thickBot="1">
      <c r="A145" s="98"/>
      <c r="G145" s="464"/>
      <c r="H145" s="98"/>
      <c r="I145" s="42" t="s">
        <v>452</v>
      </c>
      <c r="J145" s="503"/>
      <c r="K145" s="98"/>
      <c r="M145" s="289"/>
      <c r="N145" s="464"/>
      <c r="O145" s="98"/>
      <c r="AA145" s="464"/>
      <c r="AO145" s="464"/>
      <c r="AP145" s="437"/>
      <c r="AQ145" s="100"/>
      <c r="AR145" s="100"/>
      <c r="AS145" s="100"/>
      <c r="AT145" s="100"/>
      <c r="AU145" s="100"/>
      <c r="AV145" s="100"/>
      <c r="AW145" s="100"/>
      <c r="AX145" s="100"/>
      <c r="AY145" s="100"/>
      <c r="AZ145" s="464"/>
      <c r="BA145" s="247"/>
      <c r="BB145" s="247"/>
      <c r="BC145" s="247"/>
      <c r="BD145" s="247"/>
      <c r="BE145" s="247"/>
      <c r="BF145" s="247"/>
      <c r="BG145" s="247"/>
      <c r="BH145" s="247"/>
      <c r="BI145" s="247"/>
      <c r="BJ145" s="247"/>
      <c r="BK145" s="254"/>
      <c r="BL145" s="255"/>
      <c r="BM145" s="247"/>
      <c r="BN145" s="247"/>
      <c r="BO145" s="247"/>
      <c r="BP145" s="247"/>
      <c r="BQ145" s="247"/>
      <c r="BR145" s="261"/>
      <c r="BS145" s="247"/>
      <c r="BT145" s="247"/>
      <c r="BU145" s="247"/>
      <c r="BV145" s="261"/>
      <c r="BW145" s="247"/>
      <c r="BX145" s="247"/>
      <c r="BY145" s="247"/>
      <c r="BZ145" s="254"/>
      <c r="CA145" s="255"/>
      <c r="CB145" s="247"/>
      <c r="CC145" s="247"/>
      <c r="CD145" s="247"/>
      <c r="CE145" s="247"/>
      <c r="CF145" s="247"/>
      <c r="CG145" s="254"/>
      <c r="CH145" s="17"/>
      <c r="CI145" s="888">
        <v>612</v>
      </c>
      <c r="CJ145" s="4" t="s">
        <v>1232</v>
      </c>
      <c r="CK145" s="1077"/>
      <c r="CL145" s="1826">
        <v>-0.6296916302060156</v>
      </c>
      <c r="CM145" s="1077"/>
      <c r="CN145" s="864"/>
      <c r="CO145" s="1103"/>
      <c r="CP145" s="1077"/>
      <c r="CQ145" s="1077"/>
      <c r="CR145" s="1823" t="s">
        <v>1218</v>
      </c>
      <c r="CS145" s="1077"/>
      <c r="CT145" s="864"/>
      <c r="CU145" s="1103"/>
      <c r="CV145" s="1099"/>
      <c r="CW145" s="1099"/>
      <c r="CX145" s="1823">
        <v>8.7783021419772194</v>
      </c>
      <c r="CY145" s="1099"/>
      <c r="CZ145" s="864"/>
      <c r="DA145" s="1103"/>
      <c r="DB145" s="1099"/>
      <c r="DC145" s="993"/>
      <c r="DD145" s="281"/>
      <c r="DF145" s="3">
        <v>134</v>
      </c>
      <c r="DG145" s="4">
        <v>2007</v>
      </c>
      <c r="DH145" s="4">
        <v>2.7020059999999999</v>
      </c>
      <c r="DI145" s="1172"/>
      <c r="DJ145" s="5"/>
      <c r="DK145" s="1444">
        <v>134</v>
      </c>
      <c r="DL145" s="1444">
        <v>2007</v>
      </c>
      <c r="DM145" s="1444">
        <v>0.95665849999999997</v>
      </c>
      <c r="DN145" s="1440">
        <f t="shared" si="83"/>
        <v>2.8699754999999998</v>
      </c>
      <c r="DO145" s="993"/>
      <c r="DP145" s="488"/>
      <c r="DQ145" s="247"/>
      <c r="DR145" s="247"/>
      <c r="DS145" s="247"/>
      <c r="DT145" s="247"/>
      <c r="DU145" s="247"/>
      <c r="DV145" s="261"/>
      <c r="DW145" s="261"/>
      <c r="DX145" s="261"/>
      <c r="DY145" s="261"/>
      <c r="DZ145" s="261"/>
      <c r="EA145" s="261"/>
      <c r="EB145" s="261"/>
      <c r="EC145" s="261"/>
      <c r="ED145" s="261"/>
      <c r="EE145" s="261"/>
      <c r="EF145" s="993"/>
      <c r="EG145" s="281"/>
      <c r="EH145" s="281"/>
      <c r="EI145" s="281"/>
      <c r="EJ145" s="281"/>
      <c r="EK145" s="281"/>
      <c r="EL145" s="281"/>
      <c r="EM145" s="281"/>
      <c r="EN145" s="281"/>
      <c r="EO145" s="281"/>
      <c r="EP145" s="281"/>
      <c r="EQ145" s="281"/>
      <c r="ER145" s="281"/>
      <c r="ES145" s="281"/>
      <c r="ET145" s="281"/>
      <c r="EU145" s="281"/>
      <c r="EV145" s="281"/>
      <c r="EW145" s="281"/>
      <c r="EX145" s="281"/>
      <c r="EY145" s="281"/>
      <c r="EZ145" s="281"/>
      <c r="FA145" s="281"/>
      <c r="FB145" s="281"/>
      <c r="FC145" s="281"/>
      <c r="FD145" s="281"/>
      <c r="FE145" s="281"/>
      <c r="FF145" s="281"/>
      <c r="FG145" s="281"/>
      <c r="FH145" s="281"/>
      <c r="FI145" s="281"/>
      <c r="FJ145" s="281"/>
      <c r="FK145" s="281"/>
      <c r="FL145" s="281"/>
      <c r="FM145" s="281"/>
      <c r="FN145" s="281"/>
      <c r="FO145" s="281"/>
      <c r="FP145" s="281"/>
      <c r="FQ145" s="281"/>
      <c r="FR145" s="281"/>
      <c r="FS145" s="281"/>
      <c r="FT145" s="281"/>
      <c r="FU145" s="281"/>
      <c r="FV145" s="281"/>
      <c r="FW145" s="281"/>
      <c r="FX145" s="281"/>
      <c r="FY145" s="281"/>
    </row>
    <row r="146" spans="1:181" ht="20.100000000000001" customHeight="1" thickBot="1">
      <c r="I146" s="43" t="s">
        <v>453</v>
      </c>
      <c r="J146" s="504"/>
      <c r="L146" s="25"/>
      <c r="M146" s="289"/>
      <c r="R146" s="25"/>
      <c r="S146" s="25"/>
      <c r="T146" s="25"/>
      <c r="U146" s="25"/>
      <c r="V146" s="25"/>
      <c r="W146" s="25"/>
      <c r="X146" s="25"/>
      <c r="Y146" s="25"/>
      <c r="Z146" s="25"/>
      <c r="AA146" s="476"/>
      <c r="AB146" s="430"/>
      <c r="AP146" s="1477" t="s">
        <v>866</v>
      </c>
      <c r="AQ146" s="25" t="s">
        <v>300</v>
      </c>
      <c r="AT146" s="103">
        <f>FirstYear</f>
        <v>2018</v>
      </c>
      <c r="AU146" s="104">
        <f>AT146+1</f>
        <v>2019</v>
      </c>
      <c r="AV146" s="105">
        <f>AU146+1</f>
        <v>2020</v>
      </c>
      <c r="AW146" s="105">
        <f>AV146+1</f>
        <v>2021</v>
      </c>
      <c r="AX146" s="105">
        <f>AW146+1</f>
        <v>2022</v>
      </c>
      <c r="AY146" s="106">
        <f>AX146+1</f>
        <v>2023</v>
      </c>
      <c r="CI146" s="888">
        <v>612</v>
      </c>
      <c r="CJ146" s="1091" t="s">
        <v>1233</v>
      </c>
      <c r="CL146" s="1826">
        <v>-2.5581972762463354</v>
      </c>
      <c r="CN146" s="1104"/>
      <c r="CO146" s="1105"/>
      <c r="CR146" s="1824" t="s">
        <v>1218</v>
      </c>
      <c r="CT146" s="1104"/>
      <c r="CU146" s="1105"/>
      <c r="CV146" s="1100"/>
      <c r="CW146" s="1100"/>
      <c r="CX146" s="1824">
        <v>-11.173058080435819</v>
      </c>
      <c r="CY146" s="1100"/>
      <c r="CZ146" s="1104"/>
      <c r="DA146" s="1105"/>
      <c r="DB146" s="1100"/>
      <c r="DF146" s="3">
        <v>134</v>
      </c>
      <c r="DG146" s="4">
        <v>2008</v>
      </c>
      <c r="DH146" s="4">
        <v>3.2547899999999998</v>
      </c>
      <c r="DI146" s="1172"/>
      <c r="DJ146" s="5"/>
      <c r="DK146" s="1444">
        <v>134</v>
      </c>
      <c r="DL146" s="1444">
        <v>2008</v>
      </c>
      <c r="DM146" s="1444">
        <v>0.55278430000000001</v>
      </c>
      <c r="DN146" s="1440">
        <f t="shared" si="83"/>
        <v>1.6583529000000001</v>
      </c>
    </row>
    <row r="147" spans="1:181" ht="20.100000000000001" customHeight="1" thickBot="1">
      <c r="I147" s="25"/>
      <c r="J147" s="25"/>
      <c r="L147" s="25"/>
      <c r="M147" s="289"/>
      <c r="R147" s="25"/>
      <c r="S147" s="25"/>
      <c r="T147" s="25"/>
      <c r="U147" s="25"/>
      <c r="V147" s="25"/>
      <c r="W147" s="25"/>
      <c r="X147" s="25"/>
      <c r="Y147" s="25"/>
      <c r="Z147" s="25"/>
      <c r="AA147" s="474"/>
      <c r="AB147" s="100"/>
      <c r="AP147" s="259"/>
      <c r="AT147" s="25"/>
      <c r="AU147" s="25"/>
      <c r="AV147" s="25"/>
      <c r="AW147" s="25"/>
      <c r="AX147" s="25"/>
      <c r="AY147" s="25"/>
      <c r="CI147" s="888">
        <v>614</v>
      </c>
      <c r="CJ147" s="4" t="s">
        <v>1234</v>
      </c>
      <c r="CL147" s="1826"/>
      <c r="CN147" s="1099">
        <v>-4.3325020008567936</v>
      </c>
      <c r="CO147" s="1106">
        <v>0.01</v>
      </c>
      <c r="CR147" s="1822"/>
      <c r="CT147" s="1102">
        <v>-5.3702819682404614</v>
      </c>
      <c r="CU147" s="1106">
        <v>0.04</v>
      </c>
      <c r="CV147" s="863"/>
      <c r="CW147" s="863"/>
      <c r="CX147" s="1822" t="e">
        <v>#N/A</v>
      </c>
      <c r="CY147" s="863"/>
      <c r="CZ147" s="1099">
        <v>-2.1449831948606448</v>
      </c>
      <c r="DA147" s="1106">
        <v>0.05</v>
      </c>
      <c r="DB147" s="863"/>
      <c r="DF147" s="3">
        <v>134</v>
      </c>
      <c r="DG147" s="4">
        <v>2009</v>
      </c>
      <c r="DH147" s="4">
        <v>3.3023950000000002</v>
      </c>
      <c r="DI147" s="1172"/>
      <c r="DJ147" s="5"/>
      <c r="DK147" s="1444">
        <v>134</v>
      </c>
      <c r="DL147" s="1444">
        <v>2009</v>
      </c>
      <c r="DM147" s="1444">
        <v>4.7605599999999998E-2</v>
      </c>
      <c r="DN147" s="1440">
        <f t="shared" si="83"/>
        <v>0.14281679999999999</v>
      </c>
    </row>
    <row r="148" spans="1:181" ht="20.100000000000001" customHeight="1" thickBot="1">
      <c r="I148" s="515" t="s">
        <v>329</v>
      </c>
      <c r="J148" s="25"/>
      <c r="L148" s="25"/>
      <c r="M148" s="289"/>
      <c r="R148" s="1467" t="str">
        <f>IF(ISBLANK(Custom2Name), "Customized shock 2",Custom2Name)</f>
        <v>Customized shock 2</v>
      </c>
      <c r="S148" s="1468"/>
      <c r="T148" s="1468"/>
      <c r="U148" s="1468">
        <f t="shared" ref="U148:Z148" si="86">U$4</f>
        <v>2018</v>
      </c>
      <c r="V148" s="1468">
        <f t="shared" si="86"/>
        <v>2019</v>
      </c>
      <c r="W148" s="1468">
        <f t="shared" si="86"/>
        <v>2020</v>
      </c>
      <c r="X148" s="1468">
        <f t="shared" si="86"/>
        <v>2021</v>
      </c>
      <c r="Y148" s="1468">
        <f t="shared" si="86"/>
        <v>2022</v>
      </c>
      <c r="Z148" s="1469">
        <f t="shared" si="86"/>
        <v>2023</v>
      </c>
      <c r="AA148" s="474"/>
      <c r="AB148" s="100"/>
      <c r="AP148" s="25"/>
      <c r="AT148" s="25"/>
      <c r="AU148" s="25"/>
      <c r="AV148" s="25"/>
      <c r="AW148" s="25"/>
      <c r="AX148" s="25"/>
      <c r="AY148" s="25"/>
      <c r="CI148" s="888">
        <v>614</v>
      </c>
      <c r="CJ148" s="4"/>
      <c r="CL148" s="1826"/>
      <c r="CN148" s="1102"/>
      <c r="CO148" s="1103"/>
      <c r="CR148" s="1822"/>
      <c r="CT148" s="1102"/>
      <c r="CU148" s="1103"/>
      <c r="CV148" s="863"/>
      <c r="CW148" s="863"/>
      <c r="CX148" s="1822" t="e">
        <v>#N/A</v>
      </c>
      <c r="CY148" s="863"/>
      <c r="CZ148" s="1102"/>
      <c r="DA148" s="1103"/>
      <c r="DB148" s="863"/>
      <c r="DF148" s="3">
        <v>134</v>
      </c>
      <c r="DG148" s="4">
        <v>2010</v>
      </c>
      <c r="DH148" s="4">
        <v>1.9266779999999999</v>
      </c>
      <c r="DI148" s="1172"/>
      <c r="DJ148" s="5"/>
      <c r="DK148" s="1444">
        <v>134</v>
      </c>
      <c r="DL148" s="1444">
        <v>2010</v>
      </c>
      <c r="DM148" s="1444">
        <v>-1.3757170000000001</v>
      </c>
      <c r="DN148" s="1440">
        <f t="shared" si="83"/>
        <v>-4.1271510000000005</v>
      </c>
    </row>
    <row r="149" spans="1:181" ht="20.100000000000001" customHeight="1" thickBot="1">
      <c r="I149" s="512">
        <v>2010</v>
      </c>
      <c r="J149" s="25"/>
      <c r="K149" s="499" t="s">
        <v>325</v>
      </c>
      <c r="L149" s="100"/>
      <c r="M149" s="289"/>
      <c r="P149" s="25" t="str">
        <f t="shared" ref="P149:P158" si="87">CONCATENATE(R$148,R149)</f>
        <v>Customized shock 2Nominal Debt (in percent of GDP)</v>
      </c>
      <c r="R149" s="99" t="s">
        <v>421</v>
      </c>
      <c r="S149" s="107"/>
      <c r="T149" s="107"/>
      <c r="U149" s="591">
        <f>(custom2!B37)*100</f>
        <v>37.094606570883371</v>
      </c>
      <c r="V149" s="591">
        <f ca="1">(custom2!C37)*100</f>
        <v>41.923163009491724</v>
      </c>
      <c r="W149" s="591">
        <f ca="1">(custom2!D37)*100</f>
        <v>46.279446981641478</v>
      </c>
      <c r="X149" s="591">
        <f ca="1">(custom2!E37)*100</f>
        <v>50.234258814106845</v>
      </c>
      <c r="Y149" s="591">
        <f ca="1">(custom2!F37)*100</f>
        <v>54.387439406106864</v>
      </c>
      <c r="Z149" s="592">
        <f ca="1">(custom2!G37)*100</f>
        <v>58.561679531290991</v>
      </c>
      <c r="AA149" s="474"/>
      <c r="AB149" s="100"/>
      <c r="AP149" s="259">
        <v>1</v>
      </c>
      <c r="AQ149" s="979" t="s">
        <v>76</v>
      </c>
      <c r="AR149" s="979"/>
      <c r="AS149" s="979"/>
      <c r="AT149" s="25"/>
      <c r="AU149" s="25"/>
      <c r="AV149" s="25"/>
      <c r="AW149" s="25"/>
      <c r="AX149" s="25"/>
      <c r="AY149" s="25"/>
      <c r="CI149" s="888">
        <v>614</v>
      </c>
      <c r="CJ149" s="4"/>
      <c r="CL149" s="1826"/>
      <c r="CN149" s="1102"/>
      <c r="CO149" s="1103"/>
      <c r="CR149" s="1822"/>
      <c r="CT149" s="1102"/>
      <c r="CU149" s="1103"/>
      <c r="CV149" s="863"/>
      <c r="CW149" s="863"/>
      <c r="CX149" s="1822" t="e">
        <v>#N/A</v>
      </c>
      <c r="CY149" s="863"/>
      <c r="CZ149" s="1102"/>
      <c r="DA149" s="1103"/>
      <c r="DB149" s="863"/>
      <c r="DF149" s="3">
        <v>136</v>
      </c>
      <c r="DG149" s="4">
        <v>1990</v>
      </c>
      <c r="DH149" s="4">
        <v>-2.8867880000000001</v>
      </c>
      <c r="DI149" s="1172"/>
      <c r="DJ149" s="5"/>
      <c r="DK149" s="1444">
        <v>136</v>
      </c>
      <c r="DL149" s="1444">
        <v>1990</v>
      </c>
      <c r="DM149" s="1444">
        <v>0.38500570000000001</v>
      </c>
      <c r="DN149" s="1440">
        <f t="shared" si="83"/>
        <v>1.1550171</v>
      </c>
    </row>
    <row r="150" spans="1:181" ht="20.100000000000001" customHeight="1">
      <c r="I150" s="513">
        <v>2011</v>
      </c>
      <c r="J150" s="25"/>
      <c r="K150" s="1523" t="s">
        <v>323</v>
      </c>
      <c r="L150" s="25"/>
      <c r="M150" s="289"/>
      <c r="P150" s="25" t="str">
        <f t="shared" si="87"/>
        <v>Customized shock 2Debt Service (in percent of GDP)</v>
      </c>
      <c r="R150" s="99" t="s">
        <v>422</v>
      </c>
      <c r="S150" s="107"/>
      <c r="T150" s="107"/>
      <c r="U150" s="591">
        <f>(custom2!B38)*100</f>
        <v>3.7107105982600994</v>
      </c>
      <c r="V150" s="591">
        <f ca="1">(custom2!C38)*100</f>
        <v>7.1723727448137726</v>
      </c>
      <c r="W150" s="591">
        <f ca="1">(custom2!D38)*100</f>
        <v>16.0939354236416</v>
      </c>
      <c r="X150" s="591">
        <f ca="1">(custom2!E38)*100</f>
        <v>24.807556866779699</v>
      </c>
      <c r="Y150" s="591">
        <f ca="1">(custom2!F38)*100</f>
        <v>30.358341477290512</v>
      </c>
      <c r="Z150" s="592">
        <f ca="1">(custom2!G38)*100</f>
        <v>34.953163407988555</v>
      </c>
      <c r="AA150" s="474"/>
      <c r="AB150" s="100"/>
      <c r="AP150" s="259"/>
      <c r="AQ150" s="265" t="s">
        <v>421</v>
      </c>
      <c r="AR150" s="265"/>
      <c r="AS150" s="265"/>
      <c r="AT150" s="598">
        <f t="shared" ref="AT150:AY157" si="88">VLOOKUP(CONCATENATE($AQ$149,$AQ150),$P$7:$Z$158,U$2,FALSE)</f>
        <v>37.084342131638088</v>
      </c>
      <c r="AU150" s="598">
        <f t="shared" si="88"/>
        <v>35.351552504862923</v>
      </c>
      <c r="AV150" s="598">
        <f t="shared" si="88"/>
        <v>33.542090376828199</v>
      </c>
      <c r="AW150" s="598">
        <f t="shared" si="88"/>
        <v>32.056160655910695</v>
      </c>
      <c r="AX150" s="598">
        <f t="shared" si="88"/>
        <v>29.915873102736189</v>
      </c>
      <c r="AY150" s="598">
        <f t="shared" si="88"/>
        <v>27.903074435380589</v>
      </c>
      <c r="CI150" s="888">
        <v>614</v>
      </c>
      <c r="CJ150" s="4"/>
      <c r="CL150" s="1826"/>
      <c r="CN150" s="1102"/>
      <c r="CO150" s="1103"/>
      <c r="CR150" s="1825"/>
      <c r="CT150" s="1102"/>
      <c r="CU150" s="1103"/>
      <c r="CV150" s="1099"/>
      <c r="CW150" s="1099"/>
      <c r="CX150" s="1825" t="e">
        <v>#N/A</v>
      </c>
      <c r="CY150" s="1099"/>
      <c r="CZ150" s="1102"/>
      <c r="DA150" s="1103"/>
      <c r="DB150" s="1099"/>
      <c r="DF150" s="3">
        <v>136</v>
      </c>
      <c r="DG150" s="4">
        <v>1991</v>
      </c>
      <c r="DH150" s="4">
        <v>-2.0674619999999999</v>
      </c>
      <c r="DI150" s="1172"/>
      <c r="DJ150" s="5"/>
      <c r="DK150" s="1444">
        <v>136</v>
      </c>
      <c r="DL150" s="1444">
        <v>1991</v>
      </c>
      <c r="DM150" s="1444">
        <v>0.81932590000000005</v>
      </c>
      <c r="DN150" s="1440">
        <f t="shared" si="83"/>
        <v>2.4579777000000003</v>
      </c>
    </row>
    <row r="151" spans="1:181" ht="20.100000000000001" customHeight="1" thickBot="1">
      <c r="I151" s="513">
        <v>2012</v>
      </c>
      <c r="J151" s="25"/>
      <c r="K151" s="1524" t="s">
        <v>324</v>
      </c>
      <c r="L151" s="25"/>
      <c r="M151" s="289"/>
      <c r="P151" s="25" t="str">
        <f t="shared" si="87"/>
        <v>Customized shock 2Gross Financing Need (in percent of GDP)</v>
      </c>
      <c r="R151" s="99" t="s">
        <v>423</v>
      </c>
      <c r="S151" s="107"/>
      <c r="T151" s="107"/>
      <c r="U151" s="591">
        <f>(custom2!B39)*100</f>
        <v>3.5994671534530136</v>
      </c>
      <c r="V151" s="591">
        <f ca="1">(custom2!C39)*100</f>
        <v>12.172372744813773</v>
      </c>
      <c r="W151" s="591">
        <f ca="1">(custom2!D39)*100</f>
        <v>21.093935423641597</v>
      </c>
      <c r="X151" s="591">
        <f ca="1">(custom2!E39)*100</f>
        <v>29.807556866779699</v>
      </c>
      <c r="Y151" s="591">
        <f ca="1">(custom2!F39)*100</f>
        <v>35.358341477290516</v>
      </c>
      <c r="Z151" s="592">
        <f ca="1">(custom2!G39)*100</f>
        <v>39.953163407988555</v>
      </c>
      <c r="AA151" s="474"/>
      <c r="AB151" s="100"/>
      <c r="AP151" s="259"/>
      <c r="AQ151" s="107" t="s">
        <v>424</v>
      </c>
      <c r="AR151" s="107"/>
      <c r="AS151" s="107"/>
      <c r="AT151" s="599">
        <f t="shared" si="88"/>
        <v>100.37625634878221</v>
      </c>
      <c r="AU151" s="599">
        <f t="shared" si="88"/>
        <v>98.026642187439847</v>
      </c>
      <c r="AV151" s="599">
        <f t="shared" si="88"/>
        <v>93.623115001559071</v>
      </c>
      <c r="AW151" s="599">
        <f t="shared" si="88"/>
        <v>90.875952250685216</v>
      </c>
      <c r="AX151" s="599">
        <f t="shared" si="88"/>
        <v>86.090985810202397</v>
      </c>
      <c r="AY151" s="599">
        <f t="shared" si="88"/>
        <v>80.29861528787066</v>
      </c>
      <c r="CI151" s="888">
        <v>614</v>
      </c>
      <c r="CJ151" s="4" t="s">
        <v>2408</v>
      </c>
      <c r="CL151" s="1826">
        <v>-1.9764157928234569</v>
      </c>
      <c r="CN151" s="1102"/>
      <c r="CO151" s="1103"/>
      <c r="CR151" s="1823">
        <v>1.5420153324655912</v>
      </c>
      <c r="CT151" s="1102"/>
      <c r="CU151" s="1103"/>
      <c r="CV151" s="1099"/>
      <c r="CW151" s="1099"/>
      <c r="CX151" s="1823">
        <v>11.80006754475016</v>
      </c>
      <c r="CY151" s="1099"/>
      <c r="CZ151" s="1102"/>
      <c r="DA151" s="1103"/>
      <c r="DB151" s="1099"/>
      <c r="DF151" s="3">
        <v>136</v>
      </c>
      <c r="DG151" s="4">
        <v>1992</v>
      </c>
      <c r="DH151" s="4">
        <v>-0.49341590000000002</v>
      </c>
      <c r="DI151" s="1172"/>
      <c r="DJ151" s="5"/>
      <c r="DK151" s="1444">
        <v>136</v>
      </c>
      <c r="DL151" s="1444">
        <v>1992</v>
      </c>
      <c r="DM151" s="1444">
        <v>1.5740460000000001</v>
      </c>
      <c r="DN151" s="1440">
        <f t="shared" si="83"/>
        <v>4.7221380000000002</v>
      </c>
    </row>
    <row r="152" spans="1:181" ht="20.100000000000001" customHeight="1">
      <c r="I152" s="513">
        <v>2013</v>
      </c>
      <c r="J152" s="25"/>
      <c r="L152" s="25"/>
      <c r="M152" s="289"/>
      <c r="P152" s="25" t="str">
        <f t="shared" si="87"/>
        <v>Customized shock 2Nominal Debt (in percent of Revenue)</v>
      </c>
      <c r="R152" s="99" t="s">
        <v>424</v>
      </c>
      <c r="S152" s="107"/>
      <c r="T152" s="107"/>
      <c r="U152" s="591">
        <f>(custom2!B40)*100</f>
        <v>100.40391596609757</v>
      </c>
      <c r="V152" s="591">
        <f ca="1">(custom2!C40)*100</f>
        <v>-838.46326018983439</v>
      </c>
      <c r="W152" s="591">
        <f ca="1">(custom2!D40)*100</f>
        <v>-925.58893963282947</v>
      </c>
      <c r="X152" s="591">
        <f ca="1">(custom2!E40)*100</f>
        <v>-1004.6851762821369</v>
      </c>
      <c r="Y152" s="591">
        <f ca="1">(custom2!F40)*100</f>
        <v>-1087.7487881221373</v>
      </c>
      <c r="Z152" s="592">
        <f ca="1">(custom2!G40)*100</f>
        <v>-1171.2335906258199</v>
      </c>
      <c r="AA152" s="475"/>
      <c r="AB152" s="429"/>
      <c r="AP152" s="259"/>
      <c r="AQ152" s="107" t="s">
        <v>425</v>
      </c>
      <c r="AR152" s="107"/>
      <c r="AS152" s="107"/>
      <c r="AT152" s="599">
        <f t="shared" si="88"/>
        <v>10.041003992643262</v>
      </c>
      <c r="AU152" s="599">
        <f t="shared" si="88"/>
        <v>8.1717132876717855</v>
      </c>
      <c r="AV152" s="599">
        <f t="shared" si="88"/>
        <v>8.0077507101294376</v>
      </c>
      <c r="AW152" s="599">
        <f t="shared" si="88"/>
        <v>4.4943749548090643</v>
      </c>
      <c r="AX152" s="599">
        <f t="shared" si="88"/>
        <v>-1.2942780916075505</v>
      </c>
      <c r="AY152" s="599">
        <f t="shared" si="88"/>
        <v>-3.4940153834855616</v>
      </c>
      <c r="CI152" s="888">
        <v>614</v>
      </c>
      <c r="CJ152" s="4" t="s">
        <v>2276</v>
      </c>
      <c r="CL152" s="1826">
        <v>-4.7567686440705259</v>
      </c>
      <c r="CN152" s="1102"/>
      <c r="CO152" s="1103"/>
      <c r="CR152" s="1823">
        <v>-1.242401735165624</v>
      </c>
      <c r="CT152" s="1102"/>
      <c r="CU152" s="1103"/>
      <c r="CV152" s="1099"/>
      <c r="CW152" s="1099"/>
      <c r="CX152" s="1823">
        <v>18.517951142138198</v>
      </c>
      <c r="CY152" s="1099"/>
      <c r="CZ152" s="1102"/>
      <c r="DA152" s="1103"/>
      <c r="DB152" s="1099"/>
      <c r="DF152" s="3">
        <v>136</v>
      </c>
      <c r="DG152" s="4">
        <v>1993</v>
      </c>
      <c r="DH152" s="4">
        <v>1.374652</v>
      </c>
      <c r="DI152" s="1172"/>
      <c r="DJ152" s="5"/>
      <c r="DK152" s="1444">
        <v>136</v>
      </c>
      <c r="DL152" s="1444">
        <v>1993</v>
      </c>
      <c r="DM152" s="1444">
        <v>1.8680680000000001</v>
      </c>
      <c r="DN152" s="1440">
        <f t="shared" si="83"/>
        <v>5.6042040000000002</v>
      </c>
    </row>
    <row r="153" spans="1:181" s="284" customFormat="1" ht="20.100000000000001" customHeight="1">
      <c r="A153" s="98"/>
      <c r="B153" s="25"/>
      <c r="C153" s="25"/>
      <c r="D153" s="25"/>
      <c r="E153" s="25"/>
      <c r="F153" s="25"/>
      <c r="G153" s="464"/>
      <c r="H153" s="98"/>
      <c r="I153" s="513">
        <v>2014</v>
      </c>
      <c r="J153" s="25"/>
      <c r="K153" s="25"/>
      <c r="L153" s="25"/>
      <c r="M153" s="289"/>
      <c r="N153" s="464"/>
      <c r="O153" s="98"/>
      <c r="P153" s="25" t="str">
        <f t="shared" si="87"/>
        <v>Customized shock 2Debt Service (in percent of Revenue)</v>
      </c>
      <c r="Q153" s="25"/>
      <c r="R153" s="99" t="s">
        <v>425</v>
      </c>
      <c r="S153" s="107"/>
      <c r="T153" s="107"/>
      <c r="U153" s="591">
        <f>(custom2!B41)*100</f>
        <v>10.043774810504543</v>
      </c>
      <c r="V153" s="591">
        <f ca="1">(custom2!C41)*100</f>
        <v>-143.44745489627545</v>
      </c>
      <c r="W153" s="591">
        <f ca="1">(custom2!D41)*100</f>
        <v>-321.87870847283205</v>
      </c>
      <c r="X153" s="591">
        <f ca="1">(custom2!E41)*100</f>
        <v>-496.15113733559394</v>
      </c>
      <c r="Y153" s="591">
        <f ca="1">(custom2!F41)*100</f>
        <v>-607.16682954581017</v>
      </c>
      <c r="Z153" s="592">
        <f ca="1">(custom2!G41)*100</f>
        <v>-699.06326815977104</v>
      </c>
      <c r="AA153" s="474"/>
      <c r="AB153" s="100"/>
      <c r="AC153" s="25"/>
      <c r="AD153" s="25"/>
      <c r="AE153" s="25"/>
      <c r="AF153" s="25"/>
      <c r="AG153" s="25"/>
      <c r="AH153" s="25"/>
      <c r="AI153" s="25"/>
      <c r="AJ153" s="25"/>
      <c r="AK153" s="25"/>
      <c r="AL153" s="25"/>
      <c r="AM153" s="25"/>
      <c r="AN153" s="25"/>
      <c r="AO153" s="464"/>
      <c r="AP153" s="259"/>
      <c r="AQ153" s="107" t="s">
        <v>423</v>
      </c>
      <c r="AR153" s="107"/>
      <c r="AS153" s="107"/>
      <c r="AT153" s="599">
        <f t="shared" si="88"/>
        <v>3.5984842323630626</v>
      </c>
      <c r="AU153" s="599">
        <f t="shared" si="88"/>
        <v>2.736884117115657</v>
      </c>
      <c r="AV153" s="599">
        <f t="shared" si="88"/>
        <v>2.3965618199100005</v>
      </c>
      <c r="AW153" s="599">
        <f t="shared" si="88"/>
        <v>1.2003971380328871</v>
      </c>
      <c r="AX153" s="599">
        <f t="shared" si="88"/>
        <v>-1.4862612076263433</v>
      </c>
      <c r="AY153" s="599">
        <f t="shared" si="88"/>
        <v>-2.2506508944660197</v>
      </c>
      <c r="AZ153" s="464"/>
      <c r="BA153" s="247"/>
      <c r="BB153" s="247"/>
      <c r="BC153" s="247"/>
      <c r="BD153" s="247"/>
      <c r="BE153" s="247"/>
      <c r="BF153" s="247"/>
      <c r="BG153" s="247"/>
      <c r="BH153" s="247"/>
      <c r="BI153" s="247"/>
      <c r="BJ153" s="247"/>
      <c r="BK153" s="254"/>
      <c r="BL153" s="255"/>
      <c r="BM153" s="247"/>
      <c r="BN153" s="247"/>
      <c r="BO153" s="247"/>
      <c r="BP153" s="247"/>
      <c r="BQ153" s="247"/>
      <c r="BR153" s="261"/>
      <c r="BS153" s="247"/>
      <c r="BT153" s="247"/>
      <c r="BU153" s="247"/>
      <c r="BV153" s="261"/>
      <c r="BW153" s="247"/>
      <c r="BX153" s="247"/>
      <c r="BY153" s="247"/>
      <c r="BZ153" s="254"/>
      <c r="CA153" s="255"/>
      <c r="CB153" s="247"/>
      <c r="CC153" s="247"/>
      <c r="CD153" s="247"/>
      <c r="CE153" s="247"/>
      <c r="CF153" s="247"/>
      <c r="CG153" s="254"/>
      <c r="CH153" s="17"/>
      <c r="CI153" s="888">
        <v>614</v>
      </c>
      <c r="CJ153" s="4" t="s">
        <v>1235</v>
      </c>
      <c r="CK153" s="1077"/>
      <c r="CL153" s="1826">
        <v>-2.5281190286499817</v>
      </c>
      <c r="CM153" s="1077"/>
      <c r="CN153" s="1102"/>
      <c r="CO153" s="1103"/>
      <c r="CP153" s="1077"/>
      <c r="CQ153" s="1077"/>
      <c r="CR153" s="1823">
        <v>0.28960931243292753</v>
      </c>
      <c r="CS153" s="1077"/>
      <c r="CT153" s="1102"/>
      <c r="CU153" s="1103"/>
      <c r="CV153" s="1099"/>
      <c r="CW153" s="1099"/>
      <c r="CX153" s="1823">
        <v>-6.6544645554347852</v>
      </c>
      <c r="CY153" s="1099"/>
      <c r="CZ153" s="1102"/>
      <c r="DA153" s="1103"/>
      <c r="DB153" s="1099"/>
      <c r="DC153" s="993"/>
      <c r="DD153" s="281"/>
      <c r="DF153" s="3">
        <v>136</v>
      </c>
      <c r="DG153" s="4">
        <v>1994</v>
      </c>
      <c r="DH153" s="4">
        <v>2.581159</v>
      </c>
      <c r="DI153" s="1172"/>
      <c r="DJ153" s="5"/>
      <c r="DK153" s="1444">
        <v>136</v>
      </c>
      <c r="DL153" s="1444">
        <v>1994</v>
      </c>
      <c r="DM153" s="1444">
        <v>1.206507</v>
      </c>
      <c r="DN153" s="1440">
        <f t="shared" si="83"/>
        <v>3.6195209999999998</v>
      </c>
      <c r="DO153" s="993"/>
      <c r="DP153" s="488"/>
      <c r="DQ153" s="247"/>
      <c r="DR153" s="247"/>
      <c r="DS153" s="247"/>
      <c r="DT153" s="247"/>
      <c r="DU153" s="247"/>
      <c r="DV153" s="261"/>
      <c r="DW153" s="261"/>
      <c r="DX153" s="261"/>
      <c r="DY153" s="261"/>
      <c r="DZ153" s="261"/>
      <c r="EA153" s="261"/>
      <c r="EB153" s="261"/>
      <c r="EC153" s="261"/>
      <c r="ED153" s="261"/>
      <c r="EE153" s="261"/>
      <c r="EF153" s="993"/>
      <c r="EG153" s="281"/>
      <c r="EH153" s="281"/>
      <c r="EI153" s="281"/>
      <c r="EJ153" s="281"/>
      <c r="EK153" s="281"/>
      <c r="EL153" s="281"/>
      <c r="EM153" s="281"/>
      <c r="EN153" s="281"/>
      <c r="EO153" s="281"/>
      <c r="EP153" s="281"/>
      <c r="EQ153" s="281"/>
      <c r="ER153" s="281"/>
      <c r="ES153" s="281"/>
      <c r="ET153" s="281"/>
      <c r="EU153" s="281"/>
      <c r="EV153" s="281"/>
      <c r="EW153" s="281"/>
      <c r="EX153" s="281"/>
      <c r="EY153" s="281"/>
      <c r="EZ153" s="281"/>
      <c r="FA153" s="281"/>
      <c r="FB153" s="281"/>
      <c r="FC153" s="281"/>
      <c r="FD153" s="281"/>
      <c r="FE153" s="281"/>
      <c r="FF153" s="281"/>
      <c r="FG153" s="281"/>
      <c r="FH153" s="281"/>
      <c r="FI153" s="281"/>
      <c r="FJ153" s="281"/>
      <c r="FK153" s="281"/>
      <c r="FL153" s="281"/>
      <c r="FM153" s="281"/>
      <c r="FN153" s="281"/>
      <c r="FO153" s="281"/>
      <c r="FP153" s="281"/>
      <c r="FQ153" s="281"/>
      <c r="FR153" s="281"/>
      <c r="FS153" s="281"/>
      <c r="FT153" s="281"/>
      <c r="FU153" s="281"/>
      <c r="FV153" s="281"/>
      <c r="FW153" s="281"/>
      <c r="FX153" s="281"/>
      <c r="FY153" s="281"/>
    </row>
    <row r="154" spans="1:181" s="284" customFormat="1" ht="20.100000000000001" customHeight="1" thickBot="1">
      <c r="A154" s="98"/>
      <c r="B154" s="25"/>
      <c r="C154" s="25"/>
      <c r="D154" s="25"/>
      <c r="E154" s="25"/>
      <c r="F154" s="25"/>
      <c r="G154" s="464"/>
      <c r="H154" s="98"/>
      <c r="I154" s="513">
        <v>2015</v>
      </c>
      <c r="J154" s="25"/>
      <c r="K154" s="25"/>
      <c r="L154" s="25"/>
      <c r="M154" s="289"/>
      <c r="N154" s="464"/>
      <c r="O154" s="98"/>
      <c r="P154" s="25" t="str">
        <f t="shared" si="87"/>
        <v>Customized shock 2Gross Financing Need (in percent of Revenue)</v>
      </c>
      <c r="Q154" s="25"/>
      <c r="R154" s="101" t="s">
        <v>426</v>
      </c>
      <c r="S154" s="632"/>
      <c r="T154" s="632"/>
      <c r="U154" s="593">
        <f>(custom2!B42)*100</f>
        <v>9.7426723453025819</v>
      </c>
      <c r="V154" s="594">
        <f ca="1">(custom2!C42)*100</f>
        <v>-243.44745489627547</v>
      </c>
      <c r="W154" s="594">
        <f ca="1">(custom2!D42)*100</f>
        <v>-421.87870847283193</v>
      </c>
      <c r="X154" s="594">
        <f ca="1">(custom2!E42)*100</f>
        <v>-596.15113733559394</v>
      </c>
      <c r="Y154" s="594">
        <f ca="1">(custom2!F42)*100</f>
        <v>-707.16682954581017</v>
      </c>
      <c r="Z154" s="595">
        <f ca="1">(custom2!G42)*100</f>
        <v>-799.06326815977104</v>
      </c>
      <c r="AA154" s="474"/>
      <c r="AB154" s="100"/>
      <c r="AC154" s="25"/>
      <c r="AD154" s="25"/>
      <c r="AE154" s="25"/>
      <c r="AF154" s="25"/>
      <c r="AG154" s="25"/>
      <c r="AH154" s="25"/>
      <c r="AI154" s="25"/>
      <c r="AJ154" s="25"/>
      <c r="AK154" s="25"/>
      <c r="AL154" s="25"/>
      <c r="AM154" s="25"/>
      <c r="AN154" s="25"/>
      <c r="AO154" s="464"/>
      <c r="AP154" s="259"/>
      <c r="AQ154" s="107" t="s">
        <v>418</v>
      </c>
      <c r="AR154" s="107"/>
      <c r="AS154" s="107"/>
      <c r="AT154" s="591">
        <f t="shared" si="88"/>
        <v>4.7697166816344838</v>
      </c>
      <c r="AU154" s="591">
        <f t="shared" si="88"/>
        <v>3.1686434574876632</v>
      </c>
      <c r="AV154" s="591">
        <f t="shared" si="88"/>
        <v>2.9947102444823903</v>
      </c>
      <c r="AW154" s="591">
        <f t="shared" si="88"/>
        <v>2.8871442593204177</v>
      </c>
      <c r="AX154" s="591">
        <f t="shared" si="88"/>
        <v>2.933023694707515</v>
      </c>
      <c r="AY154" s="591">
        <f t="shared" si="88"/>
        <v>2.8000000000000025</v>
      </c>
      <c r="AZ154" s="464"/>
      <c r="BA154" s="247"/>
      <c r="BB154" s="247"/>
      <c r="BC154" s="247"/>
      <c r="BD154" s="247"/>
      <c r="BE154" s="247"/>
      <c r="BF154" s="247"/>
      <c r="BG154" s="247"/>
      <c r="BH154" s="247"/>
      <c r="BI154" s="247"/>
      <c r="BJ154" s="247"/>
      <c r="BK154" s="254"/>
      <c r="BL154" s="255"/>
      <c r="BM154" s="247"/>
      <c r="BN154" s="247"/>
      <c r="BO154" s="247"/>
      <c r="BP154" s="247"/>
      <c r="BQ154" s="247"/>
      <c r="BR154" s="261"/>
      <c r="BS154" s="247"/>
      <c r="BT154" s="247"/>
      <c r="BU154" s="247"/>
      <c r="BV154" s="261"/>
      <c r="BW154" s="247"/>
      <c r="BX154" s="247"/>
      <c r="BY154" s="247"/>
      <c r="BZ154" s="254"/>
      <c r="CA154" s="255"/>
      <c r="CB154" s="247"/>
      <c r="CC154" s="247"/>
      <c r="CD154" s="247"/>
      <c r="CE154" s="247"/>
      <c r="CF154" s="247"/>
      <c r="CG154" s="254"/>
      <c r="CH154" s="17"/>
      <c r="CI154" s="888">
        <v>614</v>
      </c>
      <c r="CJ154" s="4" t="s">
        <v>1236</v>
      </c>
      <c r="CK154" s="1077"/>
      <c r="CL154" s="1826">
        <v>-2.4610653248060919</v>
      </c>
      <c r="CM154" s="1077"/>
      <c r="CN154" s="1102"/>
      <c r="CO154" s="1103"/>
      <c r="CP154" s="1077"/>
      <c r="CQ154" s="1077"/>
      <c r="CR154" s="1823">
        <v>-5.3702819682404614</v>
      </c>
      <c r="CS154" s="1077"/>
      <c r="CT154" s="1102"/>
      <c r="CU154" s="1103"/>
      <c r="CV154" s="1099"/>
      <c r="CW154" s="1099"/>
      <c r="CX154" s="1823">
        <v>-4.5246043366843001</v>
      </c>
      <c r="CY154" s="1099"/>
      <c r="CZ154" s="1102"/>
      <c r="DA154" s="1103"/>
      <c r="DB154" s="1099"/>
      <c r="DC154" s="993"/>
      <c r="DD154" s="281"/>
      <c r="DF154" s="3">
        <v>136</v>
      </c>
      <c r="DG154" s="4">
        <v>1995</v>
      </c>
      <c r="DH154" s="4">
        <v>3.4902579999999999</v>
      </c>
      <c r="DI154" s="1172"/>
      <c r="DJ154" s="5"/>
      <c r="DK154" s="1444">
        <v>136</v>
      </c>
      <c r="DL154" s="1444">
        <v>1995</v>
      </c>
      <c r="DM154" s="1444">
        <v>0.90909830000000003</v>
      </c>
      <c r="DN154" s="1440">
        <f t="shared" si="83"/>
        <v>2.7272949</v>
      </c>
      <c r="DO154" s="993"/>
      <c r="DP154" s="488"/>
      <c r="DQ154" s="247"/>
      <c r="DR154" s="247"/>
      <c r="DS154" s="247"/>
      <c r="DT154" s="247"/>
      <c r="DU154" s="247"/>
      <c r="DV154" s="261"/>
      <c r="DW154" s="261"/>
      <c r="DX154" s="261"/>
      <c r="DY154" s="261"/>
      <c r="DZ154" s="261"/>
      <c r="EA154" s="261"/>
      <c r="EB154" s="261"/>
      <c r="EC154" s="261"/>
      <c r="ED154" s="261"/>
      <c r="EE154" s="261"/>
      <c r="EF154" s="993"/>
      <c r="EG154" s="281"/>
      <c r="EH154" s="281"/>
      <c r="EI154" s="281"/>
      <c r="EJ154" s="281"/>
      <c r="EK154" s="281"/>
      <c r="EL154" s="281"/>
      <c r="EM154" s="281"/>
      <c r="EN154" s="281"/>
      <c r="EO154" s="281"/>
      <c r="EP154" s="281"/>
      <c r="EQ154" s="281"/>
      <c r="ER154" s="281"/>
      <c r="ES154" s="281"/>
      <c r="ET154" s="281"/>
      <c r="EU154" s="281"/>
      <c r="EV154" s="281"/>
      <c r="EW154" s="281"/>
      <c r="EX154" s="281"/>
      <c r="EY154" s="281"/>
      <c r="EZ154" s="281"/>
      <c r="FA154" s="281"/>
      <c r="FB154" s="281"/>
      <c r="FC154" s="281"/>
      <c r="FD154" s="281"/>
      <c r="FE154" s="281"/>
      <c r="FF154" s="281"/>
      <c r="FG154" s="281"/>
      <c r="FH154" s="281"/>
      <c r="FI154" s="281"/>
      <c r="FJ154" s="281"/>
      <c r="FK154" s="281"/>
      <c r="FL154" s="281"/>
      <c r="FM154" s="281"/>
      <c r="FN154" s="281"/>
      <c r="FO154" s="281"/>
      <c r="FP154" s="281"/>
      <c r="FQ154" s="281"/>
      <c r="FR154" s="281"/>
      <c r="FS154" s="281"/>
      <c r="FT154" s="281"/>
      <c r="FU154" s="281"/>
      <c r="FV154" s="281"/>
      <c r="FW154" s="281"/>
      <c r="FX154" s="281"/>
      <c r="FY154" s="281"/>
    </row>
    <row r="155" spans="1:181" s="284" customFormat="1" ht="20.100000000000001" customHeight="1">
      <c r="A155" s="98"/>
      <c r="B155" s="25"/>
      <c r="C155" s="25"/>
      <c r="D155" s="25"/>
      <c r="E155" s="25"/>
      <c r="F155" s="25"/>
      <c r="G155" s="464"/>
      <c r="H155" s="98"/>
      <c r="I155" s="513">
        <v>2016</v>
      </c>
      <c r="J155" s="25"/>
      <c r="K155" s="25"/>
      <c r="L155" s="25"/>
      <c r="M155" s="289"/>
      <c r="N155" s="464"/>
      <c r="O155" s="98"/>
      <c r="P155" s="25" t="str">
        <f t="shared" si="87"/>
        <v>Customized shock 2Real GDP growth (in percent)</v>
      </c>
      <c r="Q155" s="25"/>
      <c r="R155" s="431" t="s">
        <v>418</v>
      </c>
      <c r="S155" s="111"/>
      <c r="T155" s="111"/>
      <c r="U155" s="596">
        <f>(custom2!B$26)*100</f>
        <v>4.7697166816344838</v>
      </c>
      <c r="V155" s="596">
        <f>(custom2!C$26)*100</f>
        <v>2.1686434574876632</v>
      </c>
      <c r="W155" s="596">
        <f>(custom2!D$26)*100</f>
        <v>1.9947102444823901</v>
      </c>
      <c r="X155" s="596">
        <f>(custom2!E$26)*100</f>
        <v>1.8871442593204175</v>
      </c>
      <c r="Y155" s="596">
        <f>(custom2!F$26)*100</f>
        <v>1.9330236947075148</v>
      </c>
      <c r="Z155" s="597">
        <f>(custom2!G$26)*100</f>
        <v>1.8000000000000023</v>
      </c>
      <c r="AA155" s="474"/>
      <c r="AB155" s="100"/>
      <c r="AC155" s="25"/>
      <c r="AD155" s="25"/>
      <c r="AE155" s="25"/>
      <c r="AF155" s="25"/>
      <c r="AG155" s="25"/>
      <c r="AH155" s="25"/>
      <c r="AI155" s="25"/>
      <c r="AJ155" s="25"/>
      <c r="AK155" s="25"/>
      <c r="AL155" s="25"/>
      <c r="AM155" s="25"/>
      <c r="AN155" s="25"/>
      <c r="AO155" s="464"/>
      <c r="AP155" s="259"/>
      <c r="AQ155" s="107" t="s">
        <v>427</v>
      </c>
      <c r="AR155" s="107"/>
      <c r="AS155" s="107"/>
      <c r="AT155" s="591">
        <f t="shared" si="88"/>
        <v>4.2122999157540031</v>
      </c>
      <c r="AU155" s="591">
        <f t="shared" si="88"/>
        <v>3.085754504401117</v>
      </c>
      <c r="AV155" s="591">
        <f t="shared" si="88"/>
        <v>2.7938359016816516</v>
      </c>
      <c r="AW155" s="591">
        <f t="shared" si="88"/>
        <v>2.5315565708619037</v>
      </c>
      <c r="AX155" s="591">
        <f t="shared" si="88"/>
        <v>2.4647711698661201</v>
      </c>
      <c r="AY155" s="591">
        <f t="shared" si="88"/>
        <v>2.5000000000000133</v>
      </c>
      <c r="AZ155" s="464"/>
      <c r="BA155" s="247"/>
      <c r="BB155" s="247"/>
      <c r="BC155" s="247"/>
      <c r="BD155" s="247"/>
      <c r="BE155" s="247"/>
      <c r="BF155" s="247"/>
      <c r="BG155" s="247"/>
      <c r="BH155" s="247"/>
      <c r="BI155" s="247"/>
      <c r="BJ155" s="247"/>
      <c r="BK155" s="254"/>
      <c r="BL155" s="255"/>
      <c r="BM155" s="247"/>
      <c r="BN155" s="247"/>
      <c r="BO155" s="247"/>
      <c r="BP155" s="247"/>
      <c r="BQ155" s="247"/>
      <c r="BR155" s="261"/>
      <c r="BS155" s="247"/>
      <c r="BT155" s="247"/>
      <c r="BU155" s="247"/>
      <c r="BV155" s="261"/>
      <c r="BW155" s="247"/>
      <c r="BX155" s="247"/>
      <c r="BY155" s="247"/>
      <c r="BZ155" s="254"/>
      <c r="CA155" s="255"/>
      <c r="CB155" s="247"/>
      <c r="CC155" s="247"/>
      <c r="CD155" s="247"/>
      <c r="CE155" s="247"/>
      <c r="CF155" s="247"/>
      <c r="CG155" s="254"/>
      <c r="CH155" s="17"/>
      <c r="CI155" s="888">
        <v>614</v>
      </c>
      <c r="CJ155" s="4" t="s">
        <v>1237</v>
      </c>
      <c r="CK155" s="1077"/>
      <c r="CL155" s="1826">
        <v>4.7422692100735908E-2</v>
      </c>
      <c r="CM155" s="1077"/>
      <c r="CN155" s="864"/>
      <c r="CO155" s="1103"/>
      <c r="CP155" s="1077"/>
      <c r="CQ155" s="1077"/>
      <c r="CR155" s="1823">
        <v>-9.1734053205430008</v>
      </c>
      <c r="CS155" s="1077"/>
      <c r="CT155" s="864"/>
      <c r="CU155" s="1103"/>
      <c r="CV155" s="1099"/>
      <c r="CW155" s="1099"/>
      <c r="CX155" s="1823">
        <v>-2.1449831948606448</v>
      </c>
      <c r="CY155" s="1099"/>
      <c r="CZ155" s="864"/>
      <c r="DA155" s="1103"/>
      <c r="DB155" s="1099"/>
      <c r="DC155" s="993"/>
      <c r="DD155" s="281"/>
      <c r="DF155" s="3">
        <v>136</v>
      </c>
      <c r="DG155" s="4">
        <v>1996</v>
      </c>
      <c r="DH155" s="4">
        <v>4.0188740000000003</v>
      </c>
      <c r="DI155" s="1172"/>
      <c r="DJ155" s="5"/>
      <c r="DK155" s="1444">
        <v>136</v>
      </c>
      <c r="DL155" s="1444">
        <v>1996</v>
      </c>
      <c r="DM155" s="1444">
        <v>0.52861599999999997</v>
      </c>
      <c r="DN155" s="1440">
        <f t="shared" si="83"/>
        <v>1.5858479999999999</v>
      </c>
      <c r="DO155" s="993"/>
      <c r="DP155" s="488"/>
      <c r="DQ155" s="247"/>
      <c r="DR155" s="247"/>
      <c r="DS155" s="247"/>
      <c r="DT155" s="247"/>
      <c r="DU155" s="247"/>
      <c r="DV155" s="261"/>
      <c r="DW155" s="261"/>
      <c r="DX155" s="261"/>
      <c r="DY155" s="261"/>
      <c r="DZ155" s="261"/>
      <c r="EA155" s="261"/>
      <c r="EB155" s="261"/>
      <c r="EC155" s="261"/>
      <c r="ED155" s="261"/>
      <c r="EE155" s="261"/>
      <c r="EF155" s="993"/>
      <c r="EG155" s="281"/>
      <c r="EH155" s="281"/>
      <c r="EI155" s="281"/>
      <c r="EJ155" s="281"/>
      <c r="EK155" s="281"/>
      <c r="EL155" s="281"/>
      <c r="EM155" s="281"/>
      <c r="EN155" s="281"/>
      <c r="EO155" s="281"/>
      <c r="EP155" s="281"/>
      <c r="EQ155" s="281"/>
      <c r="ER155" s="281"/>
      <c r="ES155" s="281"/>
      <c r="ET155" s="281"/>
      <c r="EU155" s="281"/>
      <c r="EV155" s="281"/>
      <c r="EW155" s="281"/>
      <c r="EX155" s="281"/>
      <c r="EY155" s="281"/>
      <c r="EZ155" s="281"/>
      <c r="FA155" s="281"/>
      <c r="FB155" s="281"/>
      <c r="FC155" s="281"/>
      <c r="FD155" s="281"/>
      <c r="FE155" s="281"/>
      <c r="FF155" s="281"/>
      <c r="FG155" s="281"/>
      <c r="FH155" s="281"/>
      <c r="FI155" s="281"/>
      <c r="FJ155" s="281"/>
      <c r="FK155" s="281"/>
      <c r="FL155" s="281"/>
      <c r="FM155" s="281"/>
      <c r="FN155" s="281"/>
      <c r="FO155" s="281"/>
      <c r="FP155" s="281"/>
      <c r="FQ155" s="281"/>
      <c r="FR155" s="281"/>
      <c r="FS155" s="281"/>
      <c r="FT155" s="281"/>
      <c r="FU155" s="281"/>
      <c r="FV155" s="281"/>
      <c r="FW155" s="281"/>
      <c r="FX155" s="281"/>
      <c r="FY155" s="281"/>
    </row>
    <row r="156" spans="1:181" s="284" customFormat="1" ht="20.100000000000001" customHeight="1">
      <c r="A156" s="98"/>
      <c r="B156" s="25"/>
      <c r="C156" s="25"/>
      <c r="D156" s="25"/>
      <c r="E156" s="25"/>
      <c r="F156" s="25"/>
      <c r="G156" s="464"/>
      <c r="H156" s="98"/>
      <c r="I156" s="513">
        <v>2017</v>
      </c>
      <c r="J156" s="25"/>
      <c r="K156" s="25"/>
      <c r="L156" s="25"/>
      <c r="M156" s="289"/>
      <c r="N156" s="464"/>
      <c r="O156" s="98"/>
      <c r="P156" s="25" t="str">
        <f t="shared" si="87"/>
        <v>Customized shock 2Inflation (in percent)</v>
      </c>
      <c r="Q156" s="25"/>
      <c r="R156" s="99" t="s">
        <v>427</v>
      </c>
      <c r="S156" s="107"/>
      <c r="T156" s="107"/>
      <c r="U156" s="591">
        <f>(custom2!B$27)*100</f>
        <v>4.2122999157540031</v>
      </c>
      <c r="V156" s="591">
        <f>(custom2!C$27)*100</f>
        <v>3.085754504401117</v>
      </c>
      <c r="W156" s="591">
        <f>(custom2!D$27)*100</f>
        <v>2.7938359016816516</v>
      </c>
      <c r="X156" s="591">
        <f>(custom2!E$27)*100</f>
        <v>2.5315565708619037</v>
      </c>
      <c r="Y156" s="591">
        <f>(custom2!F$27)*100</f>
        <v>2.4647711698661201</v>
      </c>
      <c r="Z156" s="592">
        <f>(custom2!G$27)*100</f>
        <v>2.5000000000000133</v>
      </c>
      <c r="AA156" s="475"/>
      <c r="AB156" s="429"/>
      <c r="AC156" s="25"/>
      <c r="AD156" s="25"/>
      <c r="AE156" s="25"/>
      <c r="AF156" s="25"/>
      <c r="AG156" s="25"/>
      <c r="AH156" s="25"/>
      <c r="AI156" s="25"/>
      <c r="AJ156" s="25"/>
      <c r="AK156" s="25"/>
      <c r="AL156" s="25"/>
      <c r="AM156" s="25"/>
      <c r="AN156" s="25"/>
      <c r="AO156" s="464"/>
      <c r="AP156" s="259"/>
      <c r="AQ156" s="107" t="s">
        <v>544</v>
      </c>
      <c r="AR156" s="107"/>
      <c r="AS156" s="107"/>
      <c r="AT156" s="591">
        <f t="shared" si="88"/>
        <v>-5.2301873674015509E-2</v>
      </c>
      <c r="AU156" s="591">
        <f t="shared" si="88"/>
        <v>4.6597896115335713E-2</v>
      </c>
      <c r="AV156" s="591">
        <f t="shared" si="88"/>
        <v>0.30885252917781103</v>
      </c>
      <c r="AW156" s="591">
        <f t="shared" si="88"/>
        <v>0.22147723253581053</v>
      </c>
      <c r="AX156" s="591">
        <f t="shared" si="88"/>
        <v>0.87301076297996993</v>
      </c>
      <c r="AY156" s="591">
        <f t="shared" si="88"/>
        <v>0.87301076297997549</v>
      </c>
      <c r="AZ156" s="464"/>
      <c r="BA156" s="247"/>
      <c r="BB156" s="247"/>
      <c r="BC156" s="247"/>
      <c r="BD156" s="247"/>
      <c r="BE156" s="247"/>
      <c r="BF156" s="247"/>
      <c r="BG156" s="247"/>
      <c r="BH156" s="247"/>
      <c r="BI156" s="247"/>
      <c r="BJ156" s="247"/>
      <c r="BK156" s="254"/>
      <c r="BL156" s="255"/>
      <c r="BM156" s="247"/>
      <c r="BN156" s="247"/>
      <c r="BO156" s="247"/>
      <c r="BP156" s="247"/>
      <c r="BQ156" s="247"/>
      <c r="BR156" s="261"/>
      <c r="BS156" s="247"/>
      <c r="BT156" s="247"/>
      <c r="BU156" s="247"/>
      <c r="BV156" s="261"/>
      <c r="BW156" s="247"/>
      <c r="BX156" s="247"/>
      <c r="BY156" s="247"/>
      <c r="BZ156" s="254"/>
      <c r="CA156" s="255"/>
      <c r="CB156" s="247"/>
      <c r="CC156" s="247"/>
      <c r="CD156" s="247"/>
      <c r="CE156" s="247"/>
      <c r="CF156" s="247"/>
      <c r="CG156" s="254"/>
      <c r="CH156" s="17"/>
      <c r="CI156" s="888">
        <v>614</v>
      </c>
      <c r="CJ156" s="4" t="s">
        <v>1238</v>
      </c>
      <c r="CK156" s="1077"/>
      <c r="CL156" s="1826">
        <v>-5.3069068017731915</v>
      </c>
      <c r="CM156" s="1077"/>
      <c r="CN156" s="864"/>
      <c r="CO156" s="1103"/>
      <c r="CP156" s="1077"/>
      <c r="CQ156" s="1077"/>
      <c r="CR156" s="1823">
        <v>-5.7115793716242633</v>
      </c>
      <c r="CS156" s="1077"/>
      <c r="CT156" s="864"/>
      <c r="CU156" s="1103"/>
      <c r="CV156" s="1099"/>
      <c r="CW156" s="1099"/>
      <c r="CX156" s="1823">
        <v>-5.2718942601693692</v>
      </c>
      <c r="CY156" s="1099"/>
      <c r="CZ156" s="864"/>
      <c r="DA156" s="1103"/>
      <c r="DB156" s="1099"/>
      <c r="DC156" s="993"/>
      <c r="DD156" s="281"/>
      <c r="DF156" s="3">
        <v>136</v>
      </c>
      <c r="DG156" s="4">
        <v>1997</v>
      </c>
      <c r="DH156" s="4">
        <v>5.382485</v>
      </c>
      <c r="DI156" s="1172"/>
      <c r="DJ156" s="5"/>
      <c r="DK156" s="1444">
        <v>136</v>
      </c>
      <c r="DL156" s="1444">
        <v>1997</v>
      </c>
      <c r="DM156" s="1444">
        <v>1.3636109999999999</v>
      </c>
      <c r="DN156" s="1440">
        <f t="shared" si="83"/>
        <v>4.0908329999999999</v>
      </c>
      <c r="DO156" s="993"/>
      <c r="DP156" s="488"/>
      <c r="DQ156" s="247"/>
      <c r="DR156" s="247"/>
      <c r="DS156" s="247"/>
      <c r="DT156" s="247"/>
      <c r="DU156" s="247"/>
      <c r="DV156" s="261"/>
      <c r="DW156" s="261"/>
      <c r="DX156" s="261"/>
      <c r="DY156" s="261"/>
      <c r="DZ156" s="261"/>
      <c r="EA156" s="261"/>
      <c r="EB156" s="261"/>
      <c r="EC156" s="261"/>
      <c r="ED156" s="261"/>
      <c r="EE156" s="261"/>
      <c r="EF156" s="993"/>
      <c r="EG156" s="281"/>
      <c r="EH156" s="281"/>
      <c r="EI156" s="281"/>
      <c r="EJ156" s="281"/>
      <c r="EK156" s="281"/>
      <c r="EL156" s="281"/>
      <c r="EM156" s="281"/>
      <c r="EN156" s="281"/>
      <c r="EO156" s="281"/>
      <c r="EP156" s="281"/>
      <c r="EQ156" s="281"/>
      <c r="ER156" s="281"/>
      <c r="ES156" s="281"/>
      <c r="ET156" s="281"/>
      <c r="EU156" s="281"/>
      <c r="EV156" s="281"/>
      <c r="EW156" s="281"/>
      <c r="EX156" s="281"/>
      <c r="EY156" s="281"/>
      <c r="EZ156" s="281"/>
      <c r="FA156" s="281"/>
      <c r="FB156" s="281"/>
      <c r="FC156" s="281"/>
      <c r="FD156" s="281"/>
      <c r="FE156" s="281"/>
      <c r="FF156" s="281"/>
      <c r="FG156" s="281"/>
      <c r="FH156" s="281"/>
      <c r="FI156" s="281"/>
      <c r="FJ156" s="281"/>
      <c r="FK156" s="281"/>
      <c r="FL156" s="281"/>
      <c r="FM156" s="281"/>
      <c r="FN156" s="281"/>
      <c r="FO156" s="281"/>
      <c r="FP156" s="281"/>
      <c r="FQ156" s="281"/>
      <c r="FR156" s="281"/>
      <c r="FS156" s="281"/>
      <c r="FT156" s="281"/>
      <c r="FU156" s="281"/>
      <c r="FV156" s="281"/>
      <c r="FW156" s="281"/>
      <c r="FX156" s="281"/>
      <c r="FY156" s="281"/>
    </row>
    <row r="157" spans="1:181" s="25" customFormat="1" ht="20.100000000000001" customHeight="1">
      <c r="A157" s="98"/>
      <c r="G157" s="464"/>
      <c r="H157" s="98"/>
      <c r="I157" s="513">
        <v>2018</v>
      </c>
      <c r="K157" s="98"/>
      <c r="M157" s="289"/>
      <c r="N157" s="464"/>
      <c r="O157" s="98"/>
      <c r="P157" s="25" t="str">
        <f t="shared" si="87"/>
        <v>Customized shock 2Primary Balance (in percent of GDP)</v>
      </c>
      <c r="R157" s="99" t="s">
        <v>544</v>
      </c>
      <c r="S157" s="107"/>
      <c r="T157" s="107"/>
      <c r="U157" s="591">
        <f>(custom2!B$30)*100</f>
        <v>-5.2301873674015509E-2</v>
      </c>
      <c r="V157" s="591">
        <f>(custom2!C$30)*100</f>
        <v>4.6597896115335713E-2</v>
      </c>
      <c r="W157" s="591">
        <f>(custom2!D$30)*100</f>
        <v>0.30885252917781103</v>
      </c>
      <c r="X157" s="591">
        <f>(custom2!E$30)*100</f>
        <v>0.22147723253581053</v>
      </c>
      <c r="Y157" s="591">
        <f>(custom2!F$30)*100</f>
        <v>0.87301076297996993</v>
      </c>
      <c r="Z157" s="592">
        <f>(custom2!G$30)*100</f>
        <v>0.87301076297997549</v>
      </c>
      <c r="AA157" s="464"/>
      <c r="AO157" s="464"/>
      <c r="AP157" s="259"/>
      <c r="AQ157" s="266" t="s">
        <v>428</v>
      </c>
      <c r="AR157" s="266"/>
      <c r="AS157" s="266"/>
      <c r="AT157" s="600">
        <f t="shared" si="88"/>
        <v>1.9586439007071743</v>
      </c>
      <c r="AU157" s="600">
        <f t="shared" si="88"/>
        <v>1.9875432898830547</v>
      </c>
      <c r="AV157" s="600">
        <f t="shared" si="88"/>
        <v>1.8677852623362263</v>
      </c>
      <c r="AW157" s="600">
        <f t="shared" si="88"/>
        <v>2.029232046171678</v>
      </c>
      <c r="AX157" s="600">
        <f t="shared" si="88"/>
        <v>1.8384784130669154</v>
      </c>
      <c r="AY157" s="600">
        <f t="shared" si="88"/>
        <v>1.9187244839005111</v>
      </c>
      <c r="AZ157" s="464"/>
      <c r="BA157" s="247"/>
      <c r="BB157" s="247"/>
      <c r="BC157" s="247"/>
      <c r="BD157" s="247"/>
      <c r="BE157" s="247"/>
      <c r="BF157" s="247"/>
      <c r="BG157" s="247"/>
      <c r="BH157" s="247"/>
      <c r="BI157" s="247"/>
      <c r="BJ157" s="247"/>
      <c r="BK157" s="254"/>
      <c r="BL157" s="255"/>
      <c r="BM157" s="247"/>
      <c r="BN157" s="247"/>
      <c r="BO157" s="247"/>
      <c r="BP157" s="247"/>
      <c r="BQ157" s="247"/>
      <c r="BR157" s="261"/>
      <c r="BS157" s="247"/>
      <c r="BT157" s="247"/>
      <c r="BU157" s="247"/>
      <c r="BV157" s="261"/>
      <c r="BW157" s="247"/>
      <c r="BX157" s="247"/>
      <c r="BY157" s="247"/>
      <c r="BZ157" s="254"/>
      <c r="CA157" s="255"/>
      <c r="CB157" s="247"/>
      <c r="CC157" s="247"/>
      <c r="CD157" s="247"/>
      <c r="CE157" s="247"/>
      <c r="CF157" s="247"/>
      <c r="CG157" s="254"/>
      <c r="CH157" s="17"/>
      <c r="CI157" s="888">
        <v>614</v>
      </c>
      <c r="CJ157" s="4" t="s">
        <v>1239</v>
      </c>
      <c r="CK157" s="1077"/>
      <c r="CL157" s="1826">
        <v>-4.3325020008567936</v>
      </c>
      <c r="CM157" s="1077"/>
      <c r="CN157" s="864"/>
      <c r="CO157" s="1103"/>
      <c r="CP157" s="1077"/>
      <c r="CQ157" s="1077"/>
      <c r="CR157" s="1823">
        <v>-5.8312398506379246</v>
      </c>
      <c r="CS157" s="1077"/>
      <c r="CT157" s="864"/>
      <c r="CU157" s="1103"/>
      <c r="CV157" s="1099"/>
      <c r="CW157" s="1099"/>
      <c r="CX157" s="1823">
        <v>16.936642896555195</v>
      </c>
      <c r="CY157" s="1099"/>
      <c r="CZ157" s="864"/>
      <c r="DA157" s="1103"/>
      <c r="DB157" s="1099"/>
      <c r="DC157" s="993"/>
      <c r="DD157" s="281"/>
      <c r="DF157" s="3">
        <v>136</v>
      </c>
      <c r="DG157" s="4">
        <v>1998</v>
      </c>
      <c r="DH157" s="4">
        <v>5.879645</v>
      </c>
      <c r="DI157" s="1172"/>
      <c r="DJ157" s="5"/>
      <c r="DK157" s="1444">
        <v>136</v>
      </c>
      <c r="DL157" s="1444">
        <v>1998</v>
      </c>
      <c r="DM157" s="1444">
        <v>0.49716060000000001</v>
      </c>
      <c r="DN157" s="1440">
        <f t="shared" si="83"/>
        <v>1.4914818000000001</v>
      </c>
      <c r="DO157" s="993"/>
      <c r="DP157" s="488"/>
      <c r="DQ157" s="247"/>
      <c r="DR157" s="247"/>
      <c r="DS157" s="247"/>
      <c r="DT157" s="247"/>
      <c r="DU157" s="247"/>
      <c r="DV157" s="261"/>
      <c r="DW157" s="261"/>
      <c r="DX157" s="261"/>
      <c r="DY157" s="261"/>
      <c r="DZ157" s="261"/>
      <c r="EA157" s="261"/>
      <c r="EB157" s="261"/>
      <c r="EC157" s="261"/>
      <c r="ED157" s="261"/>
      <c r="EE157" s="261"/>
      <c r="EF157" s="993"/>
      <c r="EG157" s="281"/>
      <c r="EH157" s="281"/>
      <c r="EI157" s="281"/>
      <c r="EJ157" s="281"/>
      <c r="EK157" s="281"/>
      <c r="EL157" s="281"/>
      <c r="EM157" s="281"/>
      <c r="EN157" s="281"/>
      <c r="EO157" s="281"/>
      <c r="EP157" s="281"/>
      <c r="EQ157" s="281"/>
      <c r="ER157" s="281"/>
      <c r="ES157" s="281"/>
      <c r="ET157" s="281"/>
      <c r="EU157" s="281"/>
      <c r="EV157" s="281"/>
      <c r="EW157" s="281"/>
      <c r="EX157" s="281"/>
      <c r="EY157" s="281"/>
      <c r="EZ157" s="281"/>
      <c r="FA157" s="281"/>
      <c r="FB157" s="281"/>
      <c r="FC157" s="281"/>
      <c r="FD157" s="281"/>
      <c r="FE157" s="281"/>
      <c r="FF157" s="281"/>
      <c r="FG157" s="281"/>
      <c r="FH157" s="281"/>
      <c r="FI157" s="281"/>
      <c r="FJ157" s="281"/>
      <c r="FK157" s="281"/>
      <c r="FL157" s="281"/>
      <c r="FM157" s="281"/>
      <c r="FN157" s="281"/>
      <c r="FO157" s="281"/>
      <c r="FP157" s="281"/>
      <c r="FQ157" s="281"/>
      <c r="FR157" s="281"/>
      <c r="FS157" s="281"/>
      <c r="FT157" s="281"/>
      <c r="FU157" s="281"/>
      <c r="FV157" s="281"/>
      <c r="FW157" s="281"/>
      <c r="FX157" s="281"/>
      <c r="FY157" s="281"/>
    </row>
    <row r="158" spans="1:181" s="25" customFormat="1" ht="20.100000000000001" customHeight="1" thickBot="1">
      <c r="A158" s="98"/>
      <c r="G158" s="464"/>
      <c r="H158" s="98"/>
      <c r="I158" s="513">
        <v>2019</v>
      </c>
      <c r="K158" s="98"/>
      <c r="M158" s="289"/>
      <c r="N158" s="464"/>
      <c r="O158" s="98"/>
      <c r="P158" s="25" t="str">
        <f t="shared" si="87"/>
        <v>Customized shock 2Effective Interest Rate (in percent)</v>
      </c>
      <c r="R158" s="101" t="s">
        <v>428</v>
      </c>
      <c r="S158" s="632"/>
      <c r="T158" s="632"/>
      <c r="U158" s="594">
        <f>(custom2!B$25)*100</f>
        <v>1.9586439007071743</v>
      </c>
      <c r="V158" s="594">
        <f ca="1">(custom2!C$25)*100</f>
        <v>2.4781166566290191</v>
      </c>
      <c r="W158" s="594">
        <f ca="1">(custom2!D$25)*100</f>
        <v>3.1951175383398978</v>
      </c>
      <c r="X158" s="594">
        <f ca="1">(custom2!E$25)*100</f>
        <v>2.1358336459001275</v>
      </c>
      <c r="Y158" s="594">
        <f ca="1">(custom2!F$25)*100</f>
        <v>2.7342679747276857</v>
      </c>
      <c r="Z158" s="595">
        <f ca="1">(custom2!G$25)*100</f>
        <v>2.9092454681501558</v>
      </c>
      <c r="AA158" s="464"/>
      <c r="AO158" s="464"/>
      <c r="AP158" s="259"/>
      <c r="AZ158" s="474"/>
      <c r="BA158" s="247"/>
      <c r="BB158" s="247"/>
      <c r="BC158" s="247"/>
      <c r="BD158" s="247"/>
      <c r="BE158" s="247"/>
      <c r="BF158" s="247"/>
      <c r="BG158" s="247"/>
      <c r="BH158" s="247"/>
      <c r="BI158" s="247"/>
      <c r="BJ158" s="247"/>
      <c r="BK158" s="254"/>
      <c r="BL158" s="255"/>
      <c r="BM158" s="247"/>
      <c r="BN158" s="247"/>
      <c r="BO158" s="247"/>
      <c r="BP158" s="247"/>
      <c r="BQ158" s="247"/>
      <c r="BR158" s="261"/>
      <c r="BS158" s="247"/>
      <c r="BT158" s="247"/>
      <c r="BU158" s="247"/>
      <c r="BV158" s="261"/>
      <c r="BW158" s="247"/>
      <c r="BX158" s="247"/>
      <c r="BY158" s="247"/>
      <c r="BZ158" s="254"/>
      <c r="CA158" s="255"/>
      <c r="CB158" s="247"/>
      <c r="CC158" s="247"/>
      <c r="CD158" s="247"/>
      <c r="CE158" s="247"/>
      <c r="CF158" s="247"/>
      <c r="CG158" s="254"/>
      <c r="CH158" s="17"/>
      <c r="CI158" s="888">
        <v>614</v>
      </c>
      <c r="CJ158" s="4" t="s">
        <v>1240</v>
      </c>
      <c r="CK158" s="1077"/>
      <c r="CL158" s="1826">
        <v>-5.9039352523918591</v>
      </c>
      <c r="CM158" s="1077"/>
      <c r="CN158" s="864"/>
      <c r="CO158" s="1103"/>
      <c r="CP158" s="1077"/>
      <c r="CQ158" s="1077"/>
      <c r="CR158" s="1823">
        <v>12.287099271107563</v>
      </c>
      <c r="CS158" s="1077"/>
      <c r="CT158" s="864"/>
      <c r="CU158" s="1103"/>
      <c r="CV158" s="1099"/>
      <c r="CW158" s="1099"/>
      <c r="CX158" s="1823">
        <v>10.759509614444427</v>
      </c>
      <c r="CY158" s="1099"/>
      <c r="CZ158" s="864"/>
      <c r="DA158" s="1103"/>
      <c r="DB158" s="1099"/>
      <c r="DC158" s="993"/>
      <c r="DD158" s="281"/>
      <c r="DF158" s="3">
        <v>136</v>
      </c>
      <c r="DG158" s="4">
        <v>1999</v>
      </c>
      <c r="DH158" s="4">
        <v>6.0042600000000004</v>
      </c>
      <c r="DI158" s="1172"/>
      <c r="DJ158" s="5"/>
      <c r="DK158" s="1444">
        <v>136</v>
      </c>
      <c r="DL158" s="1444">
        <v>1999</v>
      </c>
      <c r="DM158" s="1444">
        <v>0.1246144</v>
      </c>
      <c r="DN158" s="1440">
        <f t="shared" si="83"/>
        <v>0.37384319999999999</v>
      </c>
      <c r="DO158" s="993"/>
      <c r="DP158" s="488"/>
      <c r="DQ158" s="247"/>
      <c r="DR158" s="247"/>
      <c r="DS158" s="247"/>
      <c r="DT158" s="247"/>
      <c r="DU158" s="247"/>
      <c r="DV158" s="261"/>
      <c r="DW158" s="261"/>
      <c r="DX158" s="261"/>
      <c r="DY158" s="261"/>
      <c r="DZ158" s="261"/>
      <c r="EA158" s="261"/>
      <c r="EB158" s="261"/>
      <c r="EC158" s="261"/>
      <c r="ED158" s="261"/>
      <c r="EE158" s="261"/>
      <c r="EF158" s="993"/>
      <c r="EG158" s="281"/>
      <c r="EH158" s="281"/>
      <c r="EI158" s="281"/>
      <c r="EJ158" s="281"/>
      <c r="EK158" s="281"/>
      <c r="EL158" s="281"/>
      <c r="EM158" s="281"/>
      <c r="EN158" s="281"/>
      <c r="EO158" s="281"/>
      <c r="EP158" s="281"/>
      <c r="EQ158" s="281"/>
      <c r="ER158" s="281"/>
      <c r="ES158" s="281"/>
      <c r="ET158" s="281"/>
      <c r="EU158" s="281"/>
      <c r="EV158" s="281"/>
      <c r="EW158" s="281"/>
      <c r="EX158" s="281"/>
      <c r="EY158" s="281"/>
      <c r="EZ158" s="281"/>
      <c r="FA158" s="281"/>
      <c r="FB158" s="281"/>
      <c r="FC158" s="281"/>
      <c r="FD158" s="281"/>
      <c r="FE158" s="281"/>
      <c r="FF158" s="281"/>
      <c r="FG158" s="281"/>
      <c r="FH158" s="281"/>
      <c r="FI158" s="281"/>
      <c r="FJ158" s="281"/>
      <c r="FK158" s="281"/>
      <c r="FL158" s="281"/>
      <c r="FM158" s="281"/>
      <c r="FN158" s="281"/>
      <c r="FO158" s="281"/>
      <c r="FP158" s="281"/>
      <c r="FQ158" s="281"/>
      <c r="FR158" s="281"/>
      <c r="FS158" s="281"/>
      <c r="FT158" s="281"/>
      <c r="FU158" s="281"/>
      <c r="FV158" s="281"/>
      <c r="FW158" s="281"/>
      <c r="FX158" s="281"/>
      <c r="FY158" s="281"/>
    </row>
    <row r="159" spans="1:181" s="25" customFormat="1" ht="20.100000000000001" customHeight="1">
      <c r="A159" s="98"/>
      <c r="G159" s="464"/>
      <c r="H159" s="98"/>
      <c r="I159" s="513">
        <v>2020</v>
      </c>
      <c r="K159" s="98"/>
      <c r="M159" s="289"/>
      <c r="N159" s="464"/>
      <c r="O159" s="98"/>
      <c r="AA159" s="464"/>
      <c r="AO159" s="464"/>
      <c r="AP159" s="433">
        <v>1</v>
      </c>
      <c r="AQ159" s="1297" t="s">
        <v>162</v>
      </c>
      <c r="AR159" s="1297"/>
      <c r="AS159" s="1297"/>
      <c r="AZ159" s="464"/>
      <c r="BA159" s="247"/>
      <c r="BB159" s="247"/>
      <c r="BC159" s="247"/>
      <c r="BD159" s="247"/>
      <c r="BE159" s="247"/>
      <c r="BF159" s="247"/>
      <c r="BG159" s="247"/>
      <c r="BH159" s="247"/>
      <c r="BI159" s="247"/>
      <c r="BJ159" s="247"/>
      <c r="BK159" s="254"/>
      <c r="BL159" s="255"/>
      <c r="BM159" s="247"/>
      <c r="BN159" s="247"/>
      <c r="BO159" s="247"/>
      <c r="BP159" s="247"/>
      <c r="BQ159" s="247"/>
      <c r="BR159" s="261"/>
      <c r="BS159" s="247"/>
      <c r="BT159" s="247"/>
      <c r="BU159" s="247"/>
      <c r="BV159" s="261"/>
      <c r="BW159" s="247"/>
      <c r="BX159" s="247"/>
      <c r="BY159" s="247"/>
      <c r="BZ159" s="254"/>
      <c r="CA159" s="255"/>
      <c r="CB159" s="247"/>
      <c r="CC159" s="247"/>
      <c r="CD159" s="247"/>
      <c r="CE159" s="247"/>
      <c r="CF159" s="247"/>
      <c r="CG159" s="254"/>
      <c r="CH159" s="17"/>
      <c r="CI159" s="888">
        <v>614</v>
      </c>
      <c r="CJ159" s="1091" t="s">
        <v>1241</v>
      </c>
      <c r="CK159" s="1077"/>
      <c r="CL159" s="1826">
        <v>-10.758759397497199</v>
      </c>
      <c r="CM159" s="1077"/>
      <c r="CN159" s="1104"/>
      <c r="CO159" s="1105"/>
      <c r="CP159" s="1077"/>
      <c r="CQ159" s="1077"/>
      <c r="CR159" s="1824">
        <v>-14.350507032386869</v>
      </c>
      <c r="CS159" s="1077"/>
      <c r="CT159" s="1104"/>
      <c r="CU159" s="1105"/>
      <c r="CV159" s="1100"/>
      <c r="CW159" s="1100"/>
      <c r="CX159" s="1824">
        <v>-12.795970092997251</v>
      </c>
      <c r="CY159" s="1100"/>
      <c r="CZ159" s="1104"/>
      <c r="DA159" s="1105"/>
      <c r="DB159" s="1100"/>
      <c r="DC159" s="993"/>
      <c r="DD159" s="281"/>
      <c r="DF159" s="3">
        <v>136</v>
      </c>
      <c r="DG159" s="4">
        <v>2000</v>
      </c>
      <c r="DH159" s="4">
        <v>5.4687599999999996</v>
      </c>
      <c r="DI159" s="1172"/>
      <c r="DJ159" s="5"/>
      <c r="DK159" s="1444">
        <v>136</v>
      </c>
      <c r="DL159" s="1444">
        <v>2000</v>
      </c>
      <c r="DM159" s="1444">
        <v>-0.53550019999999998</v>
      </c>
      <c r="DN159" s="1440">
        <f t="shared" si="83"/>
        <v>-1.6065005999999999</v>
      </c>
      <c r="DO159" s="993"/>
      <c r="DP159" s="488"/>
      <c r="DQ159" s="247"/>
      <c r="DR159" s="247"/>
      <c r="DS159" s="247"/>
      <c r="DT159" s="247"/>
      <c r="DU159" s="247"/>
      <c r="DV159" s="261"/>
      <c r="DW159" s="261"/>
      <c r="DX159" s="261"/>
      <c r="DY159" s="261"/>
      <c r="DZ159" s="261"/>
      <c r="EA159" s="261"/>
      <c r="EB159" s="261"/>
      <c r="EC159" s="261"/>
      <c r="ED159" s="261"/>
      <c r="EE159" s="261"/>
      <c r="EF159" s="993"/>
      <c r="EG159" s="281"/>
      <c r="EH159" s="281"/>
      <c r="EI159" s="281"/>
      <c r="EJ159" s="281"/>
      <c r="EK159" s="281"/>
      <c r="EL159" s="281"/>
      <c r="EM159" s="281"/>
      <c r="EN159" s="281"/>
      <c r="EO159" s="281"/>
      <c r="EP159" s="281"/>
      <c r="EQ159" s="281"/>
      <c r="ER159" s="281"/>
      <c r="ES159" s="281"/>
      <c r="ET159" s="281"/>
      <c r="EU159" s="281"/>
      <c r="EV159" s="281"/>
      <c r="EW159" s="281"/>
      <c r="EX159" s="281"/>
      <c r="EY159" s="281"/>
      <c r="EZ159" s="281"/>
      <c r="FA159" s="281"/>
      <c r="FB159" s="281"/>
      <c r="FC159" s="281"/>
      <c r="FD159" s="281"/>
      <c r="FE159" s="281"/>
      <c r="FF159" s="281"/>
      <c r="FG159" s="281"/>
      <c r="FH159" s="281"/>
      <c r="FI159" s="281"/>
      <c r="FJ159" s="281"/>
      <c r="FK159" s="281"/>
      <c r="FL159" s="281"/>
      <c r="FM159" s="281"/>
      <c r="FN159" s="281"/>
      <c r="FO159" s="281"/>
      <c r="FP159" s="281"/>
      <c r="FQ159" s="281"/>
      <c r="FR159" s="281"/>
      <c r="FS159" s="281"/>
      <c r="FT159" s="281"/>
      <c r="FU159" s="281"/>
      <c r="FV159" s="281"/>
      <c r="FW159" s="281"/>
      <c r="FX159" s="281"/>
      <c r="FY159" s="281"/>
    </row>
    <row r="160" spans="1:181" s="25" customFormat="1">
      <c r="A160" s="98"/>
      <c r="G160" s="464"/>
      <c r="H160" s="98"/>
      <c r="I160" s="513">
        <v>2021</v>
      </c>
      <c r="K160" s="98"/>
      <c r="M160" s="289"/>
      <c r="N160" s="464"/>
      <c r="O160" s="98"/>
      <c r="AA160" s="464"/>
      <c r="AO160" s="464"/>
      <c r="AP160" s="432"/>
      <c r="AQ160" s="265" t="s">
        <v>421</v>
      </c>
      <c r="AR160" s="265"/>
      <c r="AS160" s="265"/>
      <c r="AT160" s="598">
        <f t="shared" ref="AT160:AY167" si="89">VLOOKUP(CONCATENATE($AQ$159,$AQ160),$P$7:$Z$158,U$2,FALSE)</f>
        <v>37.094606570883371</v>
      </c>
      <c r="AU160" s="598">
        <f t="shared" ca="1" si="89"/>
        <v>41.110895240749436</v>
      </c>
      <c r="AV160" s="598">
        <f t="shared" ca="1" si="89"/>
        <v>46.533080176173428</v>
      </c>
      <c r="AW160" s="598">
        <f t="shared" ca="1" si="89"/>
        <v>48.0787275778465</v>
      </c>
      <c r="AX160" s="598">
        <f t="shared" ca="1" si="89"/>
        <v>51.189894470002628</v>
      </c>
      <c r="AY160" s="598">
        <f t="shared" ca="1" si="89"/>
        <v>55.192876053756414</v>
      </c>
      <c r="AZ160" s="464"/>
      <c r="BA160" s="247"/>
      <c r="BB160" s="247"/>
      <c r="BC160" s="247"/>
      <c r="BD160" s="247"/>
      <c r="BE160" s="247"/>
      <c r="BF160" s="247"/>
      <c r="BG160" s="247"/>
      <c r="BH160" s="247"/>
      <c r="BI160" s="247"/>
      <c r="BJ160" s="247"/>
      <c r="BK160" s="254"/>
      <c r="BL160" s="255"/>
      <c r="BM160" s="247"/>
      <c r="BN160" s="247"/>
      <c r="BO160" s="247"/>
      <c r="BP160" s="247"/>
      <c r="BQ160" s="247"/>
      <c r="BR160" s="261"/>
      <c r="BS160" s="247"/>
      <c r="BT160" s="247"/>
      <c r="BU160" s="247"/>
      <c r="BV160" s="261"/>
      <c r="BW160" s="247"/>
      <c r="BX160" s="247"/>
      <c r="BY160" s="247"/>
      <c r="BZ160" s="254"/>
      <c r="CA160" s="255"/>
      <c r="CB160" s="247"/>
      <c r="CC160" s="247"/>
      <c r="CD160" s="247"/>
      <c r="CE160" s="247"/>
      <c r="CF160" s="247"/>
      <c r="CG160" s="254"/>
      <c r="CH160" s="17"/>
      <c r="CI160" s="888">
        <v>311</v>
      </c>
      <c r="CJ160" s="4" t="s">
        <v>1242</v>
      </c>
      <c r="CK160" s="1077"/>
      <c r="CL160" s="1826"/>
      <c r="CM160" s="1077"/>
      <c r="CN160" s="1099">
        <v>0.27715022166247572</v>
      </c>
      <c r="CO160" s="1106">
        <v>0.81</v>
      </c>
      <c r="CP160" s="1077"/>
      <c r="CQ160" s="1077"/>
      <c r="CR160" s="1822"/>
      <c r="CS160" s="1077"/>
      <c r="CT160" s="1102">
        <v>-3.1802677595146296</v>
      </c>
      <c r="CU160" s="1106">
        <v>0.1</v>
      </c>
      <c r="CV160" s="863"/>
      <c r="CW160" s="863"/>
      <c r="CX160" s="1822" t="e">
        <v>#N/A</v>
      </c>
      <c r="CY160" s="863"/>
      <c r="CZ160" s="1099">
        <v>-0.26231241499413893</v>
      </c>
      <c r="DA160" s="1106">
        <v>0.57999999999999996</v>
      </c>
      <c r="DB160" s="863"/>
      <c r="DC160" s="993"/>
      <c r="DD160" s="281"/>
      <c r="DF160" s="3">
        <v>136</v>
      </c>
      <c r="DG160" s="4">
        <v>2001</v>
      </c>
      <c r="DH160" s="4">
        <v>4.5326890000000004</v>
      </c>
      <c r="DI160" s="1172"/>
      <c r="DJ160" s="5"/>
      <c r="DK160" s="1444">
        <v>136</v>
      </c>
      <c r="DL160" s="1444">
        <v>2001</v>
      </c>
      <c r="DM160" s="1444">
        <v>-0.93607090000000004</v>
      </c>
      <c r="DN160" s="1440">
        <f t="shared" si="83"/>
        <v>-2.8082127000000003</v>
      </c>
      <c r="DO160" s="993"/>
      <c r="DP160" s="488"/>
      <c r="DQ160" s="247"/>
      <c r="DR160" s="247"/>
      <c r="DS160" s="247"/>
      <c r="DT160" s="247"/>
      <c r="DU160" s="247"/>
      <c r="DV160" s="261"/>
      <c r="DW160" s="261"/>
      <c r="DX160" s="261"/>
      <c r="DY160" s="261"/>
      <c r="DZ160" s="261"/>
      <c r="EA160" s="261"/>
      <c r="EB160" s="261"/>
      <c r="EC160" s="261"/>
      <c r="ED160" s="261"/>
      <c r="EE160" s="261"/>
      <c r="EF160" s="993"/>
      <c r="EG160" s="281"/>
      <c r="EH160" s="281"/>
      <c r="EI160" s="281"/>
      <c r="EJ160" s="281"/>
      <c r="EK160" s="281"/>
      <c r="EL160" s="281"/>
      <c r="EM160" s="281"/>
      <c r="EN160" s="281"/>
      <c r="EO160" s="281"/>
      <c r="EP160" s="281"/>
      <c r="EQ160" s="281"/>
      <c r="ER160" s="281"/>
      <c r="ES160" s="281"/>
      <c r="ET160" s="281"/>
      <c r="EU160" s="281"/>
      <c r="EV160" s="281"/>
      <c r="EW160" s="281"/>
      <c r="EX160" s="281"/>
      <c r="EY160" s="281"/>
      <c r="EZ160" s="281"/>
      <c r="FA160" s="281"/>
      <c r="FB160" s="281"/>
      <c r="FC160" s="281"/>
      <c r="FD160" s="281"/>
      <c r="FE160" s="281"/>
      <c r="FF160" s="281"/>
      <c r="FG160" s="281"/>
      <c r="FH160" s="281"/>
      <c r="FI160" s="281"/>
      <c r="FJ160" s="281"/>
      <c r="FK160" s="281"/>
      <c r="FL160" s="281"/>
      <c r="FM160" s="281"/>
      <c r="FN160" s="281"/>
      <c r="FO160" s="281"/>
      <c r="FP160" s="281"/>
      <c r="FQ160" s="281"/>
      <c r="FR160" s="281"/>
      <c r="FS160" s="281"/>
      <c r="FT160" s="281"/>
      <c r="FU160" s="281"/>
      <c r="FV160" s="281"/>
      <c r="FW160" s="281"/>
      <c r="FX160" s="281"/>
      <c r="FY160" s="281"/>
    </row>
    <row r="161" spans="1:181" s="25" customFormat="1">
      <c r="A161" s="98"/>
      <c r="G161" s="464"/>
      <c r="H161" s="98"/>
      <c r="I161" s="513">
        <v>2022</v>
      </c>
      <c r="K161" s="98"/>
      <c r="M161" s="289"/>
      <c r="N161" s="464"/>
      <c r="O161" s="98"/>
      <c r="AA161" s="464"/>
      <c r="AO161" s="464"/>
      <c r="AP161" s="432"/>
      <c r="AQ161" s="107" t="s">
        <v>424</v>
      </c>
      <c r="AR161" s="107"/>
      <c r="AS161" s="107"/>
      <c r="AT161" s="599">
        <f t="shared" si="89"/>
        <v>100.40391596609757</v>
      </c>
      <c r="AU161" s="599" t="e">
        <f t="shared" ca="1" si="89"/>
        <v>#DIV/0!</v>
      </c>
      <c r="AV161" s="599" t="e">
        <f t="shared" ca="1" si="89"/>
        <v>#DIV/0!</v>
      </c>
      <c r="AW161" s="599" t="e">
        <f t="shared" ca="1" si="89"/>
        <v>#DIV/0!</v>
      </c>
      <c r="AX161" s="599" t="e">
        <f t="shared" ca="1" si="89"/>
        <v>#DIV/0!</v>
      </c>
      <c r="AY161" s="599" t="e">
        <f t="shared" ca="1" si="89"/>
        <v>#DIV/0!</v>
      </c>
      <c r="AZ161" s="464"/>
      <c r="BA161" s="247"/>
      <c r="BB161" s="247"/>
      <c r="BC161" s="247"/>
      <c r="BD161" s="247"/>
      <c r="BE161" s="247"/>
      <c r="BF161" s="247"/>
      <c r="BG161" s="247"/>
      <c r="BH161" s="247"/>
      <c r="BI161" s="247"/>
      <c r="BJ161" s="247"/>
      <c r="BK161" s="254"/>
      <c r="BL161" s="255"/>
      <c r="BM161" s="247"/>
      <c r="BN161" s="247"/>
      <c r="BO161" s="247"/>
      <c r="BP161" s="247"/>
      <c r="BQ161" s="247"/>
      <c r="BR161" s="261"/>
      <c r="BS161" s="247"/>
      <c r="BT161" s="247"/>
      <c r="BU161" s="247"/>
      <c r="BV161" s="261"/>
      <c r="BW161" s="247"/>
      <c r="BX161" s="247"/>
      <c r="BY161" s="247"/>
      <c r="BZ161" s="254"/>
      <c r="CA161" s="255"/>
      <c r="CB161" s="247"/>
      <c r="CC161" s="247"/>
      <c r="CD161" s="247"/>
      <c r="CE161" s="247"/>
      <c r="CF161" s="247"/>
      <c r="CG161" s="254"/>
      <c r="CH161" s="17"/>
      <c r="CI161" s="888">
        <v>311</v>
      </c>
      <c r="CJ161" s="4"/>
      <c r="CK161" s="1077"/>
      <c r="CL161" s="1826"/>
      <c r="CM161" s="1077"/>
      <c r="CN161" s="1102"/>
      <c r="CO161" s="1103"/>
      <c r="CP161" s="1077"/>
      <c r="CQ161" s="1077"/>
      <c r="CR161" s="1822"/>
      <c r="CS161" s="1077"/>
      <c r="CT161" s="1102"/>
      <c r="CU161" s="1103"/>
      <c r="CV161" s="863"/>
      <c r="CW161" s="863"/>
      <c r="CX161" s="1822" t="e">
        <v>#N/A</v>
      </c>
      <c r="CY161" s="863"/>
      <c r="CZ161" s="1102"/>
      <c r="DA161" s="1103"/>
      <c r="DB161" s="863"/>
      <c r="DC161" s="993"/>
      <c r="DD161" s="281"/>
      <c r="DF161" s="3">
        <v>136</v>
      </c>
      <c r="DG161" s="4">
        <v>2002</v>
      </c>
      <c r="DH161" s="4">
        <v>3.6852420000000001</v>
      </c>
      <c r="DI161" s="1172"/>
      <c r="DJ161" s="5"/>
      <c r="DK161" s="1444">
        <v>136</v>
      </c>
      <c r="DL161" s="1444">
        <v>2002</v>
      </c>
      <c r="DM161" s="1444">
        <v>-0.84744649999999999</v>
      </c>
      <c r="DN161" s="1440">
        <f t="shared" si="83"/>
        <v>-2.5423394999999998</v>
      </c>
      <c r="DO161" s="993"/>
      <c r="DP161" s="488"/>
      <c r="DQ161" s="247"/>
      <c r="DR161" s="247"/>
      <c r="DS161" s="247"/>
      <c r="DT161" s="247"/>
      <c r="DU161" s="247"/>
      <c r="DV161" s="261"/>
      <c r="DW161" s="261"/>
      <c r="DX161" s="261"/>
      <c r="DY161" s="261"/>
      <c r="DZ161" s="261"/>
      <c r="EA161" s="261"/>
      <c r="EB161" s="261"/>
      <c r="EC161" s="261"/>
      <c r="ED161" s="261"/>
      <c r="EE161" s="261"/>
      <c r="EF161" s="993"/>
      <c r="EG161" s="281"/>
      <c r="EH161" s="281"/>
      <c r="EI161" s="281"/>
      <c r="EJ161" s="281"/>
      <c r="EK161" s="281"/>
      <c r="EL161" s="281"/>
      <c r="EM161" s="281"/>
      <c r="EN161" s="281"/>
      <c r="EO161" s="281"/>
      <c r="EP161" s="281"/>
      <c r="EQ161" s="281"/>
      <c r="ER161" s="281"/>
      <c r="ES161" s="281"/>
      <c r="ET161" s="281"/>
      <c r="EU161" s="281"/>
      <c r="EV161" s="281"/>
      <c r="EW161" s="281"/>
      <c r="EX161" s="281"/>
      <c r="EY161" s="281"/>
      <c r="EZ161" s="281"/>
      <c r="FA161" s="281"/>
      <c r="FB161" s="281"/>
      <c r="FC161" s="281"/>
      <c r="FD161" s="281"/>
      <c r="FE161" s="281"/>
      <c r="FF161" s="281"/>
      <c r="FG161" s="281"/>
      <c r="FH161" s="281"/>
      <c r="FI161" s="281"/>
      <c r="FJ161" s="281"/>
      <c r="FK161" s="281"/>
      <c r="FL161" s="281"/>
      <c r="FM161" s="281"/>
      <c r="FN161" s="281"/>
      <c r="FO161" s="281"/>
      <c r="FP161" s="281"/>
      <c r="FQ161" s="281"/>
      <c r="FR161" s="281"/>
      <c r="FS161" s="281"/>
      <c r="FT161" s="281"/>
      <c r="FU161" s="281"/>
      <c r="FV161" s="281"/>
      <c r="FW161" s="281"/>
      <c r="FX161" s="281"/>
      <c r="FY161" s="281"/>
    </row>
    <row r="162" spans="1:181" ht="15.75" thickBot="1">
      <c r="I162" s="513">
        <v>2023</v>
      </c>
      <c r="J162" s="25"/>
      <c r="K162" s="246" t="s">
        <v>282</v>
      </c>
      <c r="L162" s="25"/>
      <c r="M162" s="289"/>
      <c r="R162" s="25"/>
      <c r="S162" s="25"/>
      <c r="T162" s="25"/>
      <c r="U162" s="25"/>
      <c r="V162" s="25"/>
      <c r="W162" s="25"/>
      <c r="X162" s="25"/>
      <c r="Y162" s="25"/>
      <c r="Z162" s="25"/>
      <c r="AQ162" s="107" t="s">
        <v>425</v>
      </c>
      <c r="AR162" s="107"/>
      <c r="AS162" s="107"/>
      <c r="AT162" s="599">
        <f t="shared" si="89"/>
        <v>10.043774810504543</v>
      </c>
      <c r="AU162" s="599" t="e">
        <f t="shared" ca="1" si="89"/>
        <v>#DIV/0!</v>
      </c>
      <c r="AV162" s="599" t="e">
        <f t="shared" ca="1" si="89"/>
        <v>#DIV/0!</v>
      </c>
      <c r="AW162" s="599" t="e">
        <f t="shared" ca="1" si="89"/>
        <v>#DIV/0!</v>
      </c>
      <c r="AX162" s="599" t="e">
        <f t="shared" ca="1" si="89"/>
        <v>#DIV/0!</v>
      </c>
      <c r="AY162" s="599" t="e">
        <f t="shared" ca="1" si="89"/>
        <v>#DIV/0!</v>
      </c>
      <c r="CI162" s="888">
        <v>311</v>
      </c>
      <c r="CJ162" s="4"/>
      <c r="CL162" s="1826"/>
      <c r="CN162" s="1102"/>
      <c r="CO162" s="1103"/>
      <c r="CR162" s="1822"/>
      <c r="CT162" s="1102"/>
      <c r="CU162" s="1103"/>
      <c r="CV162" s="863"/>
      <c r="CW162" s="863"/>
      <c r="CX162" s="1822" t="e">
        <v>#N/A</v>
      </c>
      <c r="CY162" s="863"/>
      <c r="CZ162" s="1102"/>
      <c r="DA162" s="1103"/>
      <c r="DB162" s="863"/>
      <c r="DF162" s="3">
        <v>136</v>
      </c>
      <c r="DG162" s="4">
        <v>2003</v>
      </c>
      <c r="DH162" s="4">
        <v>2.6946289999999999</v>
      </c>
      <c r="DI162" s="1172"/>
      <c r="DJ162" s="5"/>
      <c r="DK162" s="1444">
        <v>136</v>
      </c>
      <c r="DL162" s="1444">
        <v>2003</v>
      </c>
      <c r="DM162" s="1444">
        <v>-0.99061279999999996</v>
      </c>
      <c r="DN162" s="1440">
        <f t="shared" si="83"/>
        <v>-2.9718383999999998</v>
      </c>
    </row>
    <row r="163" spans="1:181">
      <c r="I163" s="513">
        <v>2024</v>
      </c>
      <c r="J163" s="25"/>
      <c r="K163" s="900" t="s">
        <v>867</v>
      </c>
      <c r="L163" s="25"/>
      <c r="M163" s="289"/>
      <c r="R163" s="25"/>
      <c r="S163" s="25"/>
      <c r="T163" s="25"/>
      <c r="U163" s="25"/>
      <c r="V163" s="25"/>
      <c r="W163" s="25"/>
      <c r="X163" s="25"/>
      <c r="Y163" s="25"/>
      <c r="Z163" s="25"/>
      <c r="AQ163" s="107" t="s">
        <v>423</v>
      </c>
      <c r="AR163" s="107"/>
      <c r="AS163" s="107"/>
      <c r="AT163" s="599">
        <f t="shared" si="89"/>
        <v>3.5994671534530136</v>
      </c>
      <c r="AU163" s="599">
        <f t="shared" ca="1" si="89"/>
        <v>9.3137736604313091</v>
      </c>
      <c r="AV163" s="599">
        <f t="shared" ca="1" si="89"/>
        <v>18.073757129633336</v>
      </c>
      <c r="AW163" s="599">
        <f t="shared" ca="1" si="89"/>
        <v>25.45760339959476</v>
      </c>
      <c r="AX163" s="599">
        <f t="shared" ca="1" si="89"/>
        <v>30.438910168985327</v>
      </c>
      <c r="AY163" s="599">
        <f t="shared" ca="1" si="89"/>
        <v>35.196659379365123</v>
      </c>
      <c r="CI163" s="888">
        <v>311</v>
      </c>
      <c r="CJ163" s="4"/>
      <c r="CL163" s="1826"/>
      <c r="CN163" s="1102"/>
      <c r="CO163" s="1103"/>
      <c r="CR163" s="1825"/>
      <c r="CT163" s="1102"/>
      <c r="CU163" s="1103"/>
      <c r="CV163" s="1099"/>
      <c r="CW163" s="1099"/>
      <c r="CX163" s="1825" t="e">
        <v>#N/A</v>
      </c>
      <c r="CY163" s="1099"/>
      <c r="CZ163" s="1102"/>
      <c r="DA163" s="1103"/>
      <c r="DB163" s="1099"/>
      <c r="DF163" s="3">
        <v>136</v>
      </c>
      <c r="DG163" s="4">
        <v>2004</v>
      </c>
      <c r="DH163" s="4">
        <v>2.360249</v>
      </c>
      <c r="DI163" s="1172"/>
      <c r="DJ163" s="5"/>
      <c r="DK163" s="1444">
        <v>136</v>
      </c>
      <c r="DL163" s="1444">
        <v>2004</v>
      </c>
      <c r="DM163" s="1444">
        <v>-0.33438020000000002</v>
      </c>
      <c r="DN163" s="1440">
        <f t="shared" si="83"/>
        <v>-1.0031406</v>
      </c>
    </row>
    <row r="164" spans="1:181" s="284" customFormat="1">
      <c r="A164" s="98"/>
      <c r="B164" s="25"/>
      <c r="C164" s="25"/>
      <c r="D164" s="25"/>
      <c r="E164" s="25"/>
      <c r="F164" s="25"/>
      <c r="G164" s="464"/>
      <c r="H164" s="98"/>
      <c r="I164" s="513">
        <v>2025</v>
      </c>
      <c r="J164" s="25"/>
      <c r="K164" s="901" t="s">
        <v>868</v>
      </c>
      <c r="L164" s="25"/>
      <c r="M164" s="289"/>
      <c r="N164" s="464"/>
      <c r="O164" s="98"/>
      <c r="P164" s="25"/>
      <c r="Q164" s="25"/>
      <c r="R164" s="25"/>
      <c r="S164" s="25"/>
      <c r="T164" s="25"/>
      <c r="U164" s="25"/>
      <c r="V164" s="25"/>
      <c r="W164" s="25"/>
      <c r="X164" s="25"/>
      <c r="Y164" s="25"/>
      <c r="Z164" s="25"/>
      <c r="AA164" s="464"/>
      <c r="AB164" s="25"/>
      <c r="AC164" s="25"/>
      <c r="AD164" s="25"/>
      <c r="AE164" s="25"/>
      <c r="AF164" s="25"/>
      <c r="AG164" s="25"/>
      <c r="AH164" s="25"/>
      <c r="AI164" s="25"/>
      <c r="AJ164" s="25"/>
      <c r="AK164" s="25"/>
      <c r="AL164" s="25"/>
      <c r="AM164" s="25"/>
      <c r="AN164" s="25"/>
      <c r="AO164" s="464"/>
      <c r="AP164" s="25"/>
      <c r="AQ164" s="107" t="s">
        <v>418</v>
      </c>
      <c r="AR164" s="107"/>
      <c r="AS164" s="107"/>
      <c r="AT164" s="591">
        <f t="shared" si="89"/>
        <v>4.7697166816344838</v>
      </c>
      <c r="AU164" s="591">
        <f t="shared" si="89"/>
        <v>-2.9400730822444126</v>
      </c>
      <c r="AV164" s="591">
        <f t="shared" si="89"/>
        <v>-3.1140062952496854</v>
      </c>
      <c r="AW164" s="591">
        <f t="shared" si="89"/>
        <v>2.8871442593204177</v>
      </c>
      <c r="AX164" s="591">
        <f t="shared" si="89"/>
        <v>2.933023694707515</v>
      </c>
      <c r="AY164" s="591">
        <f t="shared" si="89"/>
        <v>2.8000000000000025</v>
      </c>
      <c r="AZ164" s="464"/>
      <c r="BA164" s="247"/>
      <c r="BB164" s="247"/>
      <c r="BC164" s="247"/>
      <c r="BD164" s="247"/>
      <c r="BE164" s="247"/>
      <c r="BF164" s="247"/>
      <c r="BG164" s="247"/>
      <c r="BH164" s="247"/>
      <c r="BI164" s="247"/>
      <c r="BJ164" s="247"/>
      <c r="BK164" s="254"/>
      <c r="BL164" s="255"/>
      <c r="BM164" s="247"/>
      <c r="BN164" s="247"/>
      <c r="BO164" s="247"/>
      <c r="BP164" s="247"/>
      <c r="BQ164" s="247"/>
      <c r="BR164" s="261"/>
      <c r="BS164" s="247"/>
      <c r="BT164" s="247"/>
      <c r="BU164" s="247"/>
      <c r="BV164" s="261"/>
      <c r="BW164" s="247"/>
      <c r="BX164" s="247"/>
      <c r="BY164" s="247"/>
      <c r="BZ164" s="254"/>
      <c r="CA164" s="255"/>
      <c r="CB164" s="247"/>
      <c r="CC164" s="247"/>
      <c r="CD164" s="247"/>
      <c r="CE164" s="247"/>
      <c r="CF164" s="247"/>
      <c r="CG164" s="254"/>
      <c r="CH164" s="17"/>
      <c r="CI164" s="888">
        <v>311</v>
      </c>
      <c r="CJ164" s="4" t="s">
        <v>2409</v>
      </c>
      <c r="CK164" s="1077"/>
      <c r="CL164" s="1826">
        <v>0.35208294360080616</v>
      </c>
      <c r="CM164" s="1077"/>
      <c r="CN164" s="1102"/>
      <c r="CO164" s="1103"/>
      <c r="CP164" s="1077"/>
      <c r="CQ164" s="1077"/>
      <c r="CR164" s="1823">
        <v>-7.9898351016096942</v>
      </c>
      <c r="CS164" s="1077"/>
      <c r="CT164" s="1102"/>
      <c r="CU164" s="1103"/>
      <c r="CV164" s="1099"/>
      <c r="CW164" s="1099"/>
      <c r="CX164" s="1823">
        <v>-0.26231241499413893</v>
      </c>
      <c r="CY164" s="1099"/>
      <c r="CZ164" s="1102"/>
      <c r="DA164" s="1103"/>
      <c r="DB164" s="1099"/>
      <c r="DC164" s="993"/>
      <c r="DD164" s="281"/>
      <c r="DF164" s="3">
        <v>136</v>
      </c>
      <c r="DG164" s="4">
        <v>2005</v>
      </c>
      <c r="DH164" s="4">
        <v>1.7921389999999999</v>
      </c>
      <c r="DI164" s="1172"/>
      <c r="DJ164" s="5"/>
      <c r="DK164" s="1444">
        <v>136</v>
      </c>
      <c r="DL164" s="1444">
        <v>2005</v>
      </c>
      <c r="DM164" s="1444">
        <v>-0.56811</v>
      </c>
      <c r="DN164" s="1440">
        <f t="shared" si="83"/>
        <v>-1.7043300000000001</v>
      </c>
      <c r="DO164" s="993"/>
      <c r="DP164" s="488"/>
      <c r="DQ164" s="247"/>
      <c r="DR164" s="247"/>
      <c r="DS164" s="247"/>
      <c r="DT164" s="247"/>
      <c r="DU164" s="247"/>
      <c r="DV164" s="261"/>
      <c r="DW164" s="261"/>
      <c r="DX164" s="261"/>
      <c r="DY164" s="261"/>
      <c r="DZ164" s="261"/>
      <c r="EA164" s="261"/>
      <c r="EB164" s="261"/>
      <c r="EC164" s="261"/>
      <c r="ED164" s="261"/>
      <c r="EE164" s="261"/>
      <c r="EF164" s="993"/>
      <c r="EG164" s="281"/>
      <c r="EH164" s="281"/>
      <c r="EI164" s="281"/>
      <c r="EJ164" s="281"/>
      <c r="EK164" s="281"/>
      <c r="EL164" s="281"/>
      <c r="EM164" s="281"/>
      <c r="EN164" s="281"/>
      <c r="EO164" s="281"/>
      <c r="EP164" s="281"/>
      <c r="EQ164" s="281"/>
      <c r="ER164" s="281"/>
      <c r="ES164" s="281"/>
      <c r="ET164" s="281"/>
      <c r="EU164" s="281"/>
      <c r="EV164" s="281"/>
      <c r="EW164" s="281"/>
      <c r="EX164" s="281"/>
      <c r="EY164" s="281"/>
      <c r="EZ164" s="281"/>
      <c r="FA164" s="281"/>
      <c r="FB164" s="281"/>
      <c r="FC164" s="281"/>
      <c r="FD164" s="281"/>
      <c r="FE164" s="281"/>
      <c r="FF164" s="281"/>
      <c r="FG164" s="281"/>
      <c r="FH164" s="281"/>
      <c r="FI164" s="281"/>
      <c r="FJ164" s="281"/>
      <c r="FK164" s="281"/>
      <c r="FL164" s="281"/>
      <c r="FM164" s="281"/>
      <c r="FN164" s="281"/>
      <c r="FO164" s="281"/>
      <c r="FP164" s="281"/>
      <c r="FQ164" s="281"/>
      <c r="FR164" s="281"/>
      <c r="FS164" s="281"/>
      <c r="FT164" s="281"/>
      <c r="FU164" s="281"/>
      <c r="FV164" s="281"/>
      <c r="FW164" s="281"/>
      <c r="FX164" s="281"/>
      <c r="FY164" s="281"/>
    </row>
    <row r="165" spans="1:181">
      <c r="I165" s="513">
        <v>2026</v>
      </c>
      <c r="J165" s="25"/>
      <c r="K165" s="901" t="s">
        <v>804</v>
      </c>
      <c r="L165" s="25"/>
      <c r="M165" s="289"/>
      <c r="R165" s="25"/>
      <c r="S165" s="25"/>
      <c r="T165" s="25"/>
      <c r="U165" s="25"/>
      <c r="V165" s="25"/>
      <c r="W165" s="25"/>
      <c r="X165" s="25"/>
      <c r="Y165" s="25"/>
      <c r="Z165" s="25"/>
      <c r="AP165" s="25"/>
      <c r="AQ165" s="107" t="s">
        <v>427</v>
      </c>
      <c r="AR165" s="107"/>
      <c r="AS165" s="107"/>
      <c r="AT165" s="591">
        <f t="shared" si="89"/>
        <v>4.2122999157540031</v>
      </c>
      <c r="AU165" s="591">
        <f t="shared" si="89"/>
        <v>1.5585753694680979</v>
      </c>
      <c r="AV165" s="591">
        <f t="shared" si="89"/>
        <v>1.2666567667486326</v>
      </c>
      <c r="AW165" s="591">
        <f t="shared" si="89"/>
        <v>2.5315565708619037</v>
      </c>
      <c r="AX165" s="591">
        <f t="shared" si="89"/>
        <v>2.4647711698661201</v>
      </c>
      <c r="AY165" s="591">
        <f t="shared" si="89"/>
        <v>2.5000000000000133</v>
      </c>
      <c r="CI165" s="888">
        <v>311</v>
      </c>
      <c r="CJ165" s="4" t="s">
        <v>2277</v>
      </c>
      <c r="CL165" s="1826">
        <v>3.0475907151140178</v>
      </c>
      <c r="CN165" s="1102"/>
      <c r="CO165" s="1103"/>
      <c r="CR165" s="1823">
        <v>-2.6719105552474161</v>
      </c>
      <c r="CT165" s="1102"/>
      <c r="CU165" s="1103"/>
      <c r="CV165" s="1099"/>
      <c r="CW165" s="1099"/>
      <c r="CX165" s="1823">
        <v>0.23118709460867048</v>
      </c>
      <c r="CY165" s="1099"/>
      <c r="CZ165" s="1102"/>
      <c r="DA165" s="1103"/>
      <c r="DB165" s="1099"/>
      <c r="DF165" s="3">
        <v>136</v>
      </c>
      <c r="DG165" s="4">
        <v>2006</v>
      </c>
      <c r="DH165" s="4">
        <v>1.517355</v>
      </c>
      <c r="DI165" s="1172"/>
      <c r="DJ165" s="5"/>
      <c r="DK165" s="1444">
        <v>136</v>
      </c>
      <c r="DL165" s="1444">
        <v>2006</v>
      </c>
      <c r="DM165" s="1444">
        <v>-0.27478409999999998</v>
      </c>
      <c r="DN165" s="1440">
        <f t="shared" si="83"/>
        <v>-0.82435229999999993</v>
      </c>
    </row>
    <row r="166" spans="1:181" ht="15.75" thickBot="1">
      <c r="I166" s="513">
        <v>2027</v>
      </c>
      <c r="J166" s="25"/>
      <c r="K166" s="902" t="s">
        <v>869</v>
      </c>
      <c r="L166" s="25"/>
      <c r="M166" s="289"/>
      <c r="R166" s="25"/>
      <c r="S166" s="25"/>
      <c r="T166" s="25"/>
      <c r="U166" s="25"/>
      <c r="V166" s="25"/>
      <c r="W166" s="25"/>
      <c r="X166" s="25"/>
      <c r="Y166" s="25"/>
      <c r="Z166" s="25"/>
      <c r="AP166" s="25"/>
      <c r="AQ166" s="107" t="s">
        <v>544</v>
      </c>
      <c r="AR166" s="107"/>
      <c r="AS166" s="107"/>
      <c r="AT166" s="591">
        <f t="shared" si="89"/>
        <v>-5.2301873674015509E-2</v>
      </c>
      <c r="AU166" s="591">
        <f t="shared" si="89"/>
        <v>-3.6524311379085517</v>
      </c>
      <c r="AV166" s="591">
        <f t="shared" si="89"/>
        <v>-6.3680588496737576</v>
      </c>
      <c r="AW166" s="591">
        <f t="shared" si="89"/>
        <v>0.22147723253581053</v>
      </c>
      <c r="AX166" s="591">
        <f t="shared" si="89"/>
        <v>0.87301076297996993</v>
      </c>
      <c r="AY166" s="591">
        <f t="shared" si="89"/>
        <v>0.87301076297997549</v>
      </c>
      <c r="AZ166" s="474"/>
      <c r="CI166" s="888">
        <v>311</v>
      </c>
      <c r="CJ166" s="4" t="s">
        <v>1243</v>
      </c>
      <c r="CL166" s="1826">
        <v>1.8869302656924365</v>
      </c>
      <c r="CN166" s="1102"/>
      <c r="CO166" s="1103"/>
      <c r="CR166" s="1823">
        <v>1.4603555132499011</v>
      </c>
      <c r="CT166" s="1102"/>
      <c r="CU166" s="1103"/>
      <c r="CV166" s="1099"/>
      <c r="CW166" s="1099"/>
      <c r="CX166" s="1823">
        <v>0.69197604751198161</v>
      </c>
      <c r="CY166" s="1099"/>
      <c r="CZ166" s="1102"/>
      <c r="DA166" s="1103"/>
      <c r="DB166" s="1099"/>
      <c r="DF166" s="3">
        <v>136</v>
      </c>
      <c r="DG166" s="4">
        <v>2007</v>
      </c>
      <c r="DH166" s="4">
        <v>1.9332389999999999</v>
      </c>
      <c r="DI166" s="1172"/>
      <c r="DJ166" s="5"/>
      <c r="DK166" s="1444">
        <v>136</v>
      </c>
      <c r="DL166" s="1444">
        <v>2007</v>
      </c>
      <c r="DM166" s="1444">
        <v>0.41588429999999998</v>
      </c>
      <c r="DN166" s="1440">
        <f t="shared" si="83"/>
        <v>1.2476528999999998</v>
      </c>
    </row>
    <row r="167" spans="1:181" s="284" customFormat="1">
      <c r="A167" s="98"/>
      <c r="B167" s="25"/>
      <c r="C167" s="25"/>
      <c r="D167" s="25"/>
      <c r="E167" s="25"/>
      <c r="F167" s="25"/>
      <c r="G167" s="464"/>
      <c r="H167" s="98"/>
      <c r="I167" s="513">
        <v>2028</v>
      </c>
      <c r="J167" s="25"/>
      <c r="K167" s="98"/>
      <c r="L167" s="25"/>
      <c r="M167" s="289"/>
      <c r="N167" s="464"/>
      <c r="O167" s="98"/>
      <c r="P167" s="25"/>
      <c r="Q167" s="25"/>
      <c r="R167" s="25"/>
      <c r="S167" s="25"/>
      <c r="T167" s="25"/>
      <c r="U167" s="25"/>
      <c r="V167" s="25"/>
      <c r="W167" s="25"/>
      <c r="X167" s="25"/>
      <c r="Y167" s="25"/>
      <c r="Z167" s="25"/>
      <c r="AA167" s="464"/>
      <c r="AB167" s="25"/>
      <c r="AC167" s="25"/>
      <c r="AD167" s="25"/>
      <c r="AE167" s="25"/>
      <c r="AF167" s="25"/>
      <c r="AG167" s="25"/>
      <c r="AH167" s="25"/>
      <c r="AI167" s="25"/>
      <c r="AJ167" s="25"/>
      <c r="AK167" s="25"/>
      <c r="AL167" s="25"/>
      <c r="AM167" s="25"/>
      <c r="AN167" s="25"/>
      <c r="AO167" s="464"/>
      <c r="AP167" s="25"/>
      <c r="AQ167" s="266" t="s">
        <v>428</v>
      </c>
      <c r="AR167" s="266"/>
      <c r="AS167" s="266"/>
      <c r="AT167" s="600">
        <f t="shared" si="89"/>
        <v>1.9586439007071743</v>
      </c>
      <c r="AU167" s="600">
        <f t="shared" ca="1" si="89"/>
        <v>2.4781166566290191</v>
      </c>
      <c r="AV167" s="600">
        <f t="shared" ca="1" si="89"/>
        <v>7.075202301934759</v>
      </c>
      <c r="AW167" s="600">
        <f t="shared" ca="1" si="89"/>
        <v>9.0262753013879689</v>
      </c>
      <c r="AX167" s="600">
        <f t="shared" ca="1" si="89"/>
        <v>12.349535011829886</v>
      </c>
      <c r="AY167" s="600">
        <f t="shared" ca="1" si="89"/>
        <v>13.772893049484617</v>
      </c>
      <c r="AZ167" s="475"/>
      <c r="BA167" s="247"/>
      <c r="BB167" s="247"/>
      <c r="BC167" s="247"/>
      <c r="BD167" s="247"/>
      <c r="BE167" s="247"/>
      <c r="BF167" s="247"/>
      <c r="BG167" s="247"/>
      <c r="BH167" s="247"/>
      <c r="BI167" s="247"/>
      <c r="BJ167" s="247"/>
      <c r="BK167" s="254"/>
      <c r="BL167" s="255"/>
      <c r="BM167" s="247"/>
      <c r="BN167" s="247"/>
      <c r="BO167" s="247"/>
      <c r="BP167" s="247"/>
      <c r="BQ167" s="247"/>
      <c r="BR167" s="261"/>
      <c r="BS167" s="247"/>
      <c r="BT167" s="247"/>
      <c r="BU167" s="247"/>
      <c r="BV167" s="261"/>
      <c r="BW167" s="247"/>
      <c r="BX167" s="247"/>
      <c r="BY167" s="247"/>
      <c r="BZ167" s="254"/>
      <c r="CA167" s="255"/>
      <c r="CB167" s="247"/>
      <c r="CC167" s="247"/>
      <c r="CD167" s="247"/>
      <c r="CE167" s="247"/>
      <c r="CF167" s="247"/>
      <c r="CG167" s="254"/>
      <c r="CH167" s="17"/>
      <c r="CI167" s="888">
        <v>311</v>
      </c>
      <c r="CJ167" s="4" t="s">
        <v>1244</v>
      </c>
      <c r="CK167" s="1077"/>
      <c r="CL167" s="1826">
        <v>1.0125131508445055</v>
      </c>
      <c r="CM167" s="1077"/>
      <c r="CN167" s="1102"/>
      <c r="CO167" s="1103"/>
      <c r="CP167" s="1077"/>
      <c r="CQ167" s="1077"/>
      <c r="CR167" s="1823">
        <v>-3.1802677595146296</v>
      </c>
      <c r="CS167" s="1077"/>
      <c r="CT167" s="1102"/>
      <c r="CU167" s="1103"/>
      <c r="CV167" s="1099"/>
      <c r="CW167" s="1099"/>
      <c r="CX167" s="1823">
        <v>-1.8575716938918896</v>
      </c>
      <c r="CY167" s="1099"/>
      <c r="CZ167" s="1102"/>
      <c r="DA167" s="1103"/>
      <c r="DB167" s="1099"/>
      <c r="DC167" s="993"/>
      <c r="DD167" s="281"/>
      <c r="DF167" s="3">
        <v>136</v>
      </c>
      <c r="DG167" s="4">
        <v>2008</v>
      </c>
      <c r="DH167" s="4">
        <v>2.493058</v>
      </c>
      <c r="DI167" s="1172"/>
      <c r="DJ167" s="5"/>
      <c r="DK167" s="1444">
        <v>136</v>
      </c>
      <c r="DL167" s="1444">
        <v>2008</v>
      </c>
      <c r="DM167" s="1444">
        <v>0.55981829999999999</v>
      </c>
      <c r="DN167" s="1440">
        <f t="shared" si="83"/>
        <v>1.6794549000000001</v>
      </c>
      <c r="DO167" s="993"/>
      <c r="DP167" s="488"/>
      <c r="DQ167" s="247"/>
      <c r="DR167" s="247"/>
      <c r="DS167" s="247"/>
      <c r="DT167" s="247"/>
      <c r="DU167" s="247"/>
      <c r="DV167" s="261"/>
      <c r="DW167" s="261"/>
      <c r="DX167" s="261"/>
      <c r="DY167" s="261"/>
      <c r="DZ167" s="261"/>
      <c r="EA167" s="261"/>
      <c r="EB167" s="261"/>
      <c r="EC167" s="261"/>
      <c r="ED167" s="261"/>
      <c r="EE167" s="261"/>
      <c r="EF167" s="993"/>
      <c r="EG167" s="281"/>
      <c r="EH167" s="281"/>
      <c r="EI167" s="281"/>
      <c r="EJ167" s="281"/>
      <c r="EK167" s="281"/>
      <c r="EL167" s="281"/>
      <c r="EM167" s="281"/>
      <c r="EN167" s="281"/>
      <c r="EO167" s="281"/>
      <c r="EP167" s="281"/>
      <c r="EQ167" s="281"/>
      <c r="ER167" s="281"/>
      <c r="ES167" s="281"/>
      <c r="ET167" s="281"/>
      <c r="EU167" s="281"/>
      <c r="EV167" s="281"/>
      <c r="EW167" s="281"/>
      <c r="EX167" s="281"/>
      <c r="EY167" s="281"/>
      <c r="EZ167" s="281"/>
      <c r="FA167" s="281"/>
      <c r="FB167" s="281"/>
      <c r="FC167" s="281"/>
      <c r="FD167" s="281"/>
      <c r="FE167" s="281"/>
      <c r="FF167" s="281"/>
      <c r="FG167" s="281"/>
      <c r="FH167" s="281"/>
      <c r="FI167" s="281"/>
      <c r="FJ167" s="281"/>
      <c r="FK167" s="281"/>
      <c r="FL167" s="281"/>
      <c r="FM167" s="281"/>
      <c r="FN167" s="281"/>
      <c r="FO167" s="281"/>
      <c r="FP167" s="281"/>
      <c r="FQ167" s="281"/>
      <c r="FR167" s="281"/>
      <c r="FS167" s="281"/>
      <c r="FT167" s="281"/>
      <c r="FU167" s="281"/>
      <c r="FV167" s="281"/>
      <c r="FW167" s="281"/>
      <c r="FX167" s="281"/>
      <c r="FY167" s="281"/>
    </row>
    <row r="168" spans="1:181" s="284" customFormat="1">
      <c r="A168" s="98"/>
      <c r="B168" s="25"/>
      <c r="C168" s="25"/>
      <c r="D168" s="25"/>
      <c r="E168" s="25"/>
      <c r="F168" s="25"/>
      <c r="G168" s="464"/>
      <c r="H168" s="98"/>
      <c r="I168" s="513">
        <v>2029</v>
      </c>
      <c r="J168" s="25"/>
      <c r="K168" s="98"/>
      <c r="L168" s="25"/>
      <c r="M168" s="289"/>
      <c r="N168" s="464"/>
      <c r="O168" s="98"/>
      <c r="P168" s="25"/>
      <c r="Q168" s="25"/>
      <c r="R168" s="25"/>
      <c r="S168" s="25"/>
      <c r="T168" s="25"/>
      <c r="U168" s="25"/>
      <c r="V168" s="25"/>
      <c r="W168" s="25"/>
      <c r="X168" s="25"/>
      <c r="Y168" s="25"/>
      <c r="Z168" s="25"/>
      <c r="AA168" s="464"/>
      <c r="AB168" s="25"/>
      <c r="AC168" s="25"/>
      <c r="AD168" s="25"/>
      <c r="AE168" s="25"/>
      <c r="AF168" s="25"/>
      <c r="AG168" s="25"/>
      <c r="AH168" s="25"/>
      <c r="AI168" s="25"/>
      <c r="AJ168" s="25"/>
      <c r="AK168" s="25"/>
      <c r="AL168" s="25"/>
      <c r="AM168" s="25"/>
      <c r="AN168" s="25"/>
      <c r="AO168" s="464"/>
      <c r="AP168" s="25"/>
      <c r="AQ168" s="25"/>
      <c r="AR168" s="25"/>
      <c r="AS168" s="25"/>
      <c r="AT168" s="25"/>
      <c r="AU168" s="25"/>
      <c r="AV168" s="25"/>
      <c r="AW168" s="25"/>
      <c r="AX168" s="25"/>
      <c r="AY168" s="25"/>
      <c r="AZ168" s="464"/>
      <c r="BA168" s="247"/>
      <c r="BB168" s="247"/>
      <c r="BC168" s="247"/>
      <c r="BD168" s="247"/>
      <c r="BE168" s="247"/>
      <c r="BF168" s="247"/>
      <c r="BG168" s="247"/>
      <c r="BH168" s="247"/>
      <c r="BI168" s="247"/>
      <c r="BJ168" s="247"/>
      <c r="BK168" s="254"/>
      <c r="BL168" s="255"/>
      <c r="BM168" s="247"/>
      <c r="BN168" s="247"/>
      <c r="BO168" s="247"/>
      <c r="BP168" s="247"/>
      <c r="BQ168" s="247"/>
      <c r="BR168" s="261"/>
      <c r="BS168" s="247"/>
      <c r="BT168" s="247"/>
      <c r="BU168" s="247"/>
      <c r="BV168" s="261"/>
      <c r="BW168" s="247"/>
      <c r="BX168" s="247"/>
      <c r="BY168" s="247"/>
      <c r="BZ168" s="254"/>
      <c r="CA168" s="255"/>
      <c r="CB168" s="247"/>
      <c r="CC168" s="247"/>
      <c r="CD168" s="247"/>
      <c r="CE168" s="247"/>
      <c r="CF168" s="247"/>
      <c r="CG168" s="254"/>
      <c r="CH168" s="17"/>
      <c r="CI168" s="888">
        <v>311</v>
      </c>
      <c r="CJ168" s="4" t="s">
        <v>1245</v>
      </c>
      <c r="CK168" s="1077"/>
      <c r="CL168" s="1826">
        <v>-0.69666519377236069</v>
      </c>
      <c r="CM168" s="1077"/>
      <c r="CN168" s="864"/>
      <c r="CO168" s="1103"/>
      <c r="CP168" s="1077"/>
      <c r="CQ168" s="1077"/>
      <c r="CR168" s="1823">
        <v>-5.10838820659718</v>
      </c>
      <c r="CS168" s="1077"/>
      <c r="CT168" s="864"/>
      <c r="CU168" s="1103"/>
      <c r="CV168" s="1099"/>
      <c r="CW168" s="1099"/>
      <c r="CX168" s="1823">
        <v>-4.5787778362029643</v>
      </c>
      <c r="CY168" s="1099"/>
      <c r="CZ168" s="864"/>
      <c r="DA168" s="1103"/>
      <c r="DB168" s="1099"/>
      <c r="DC168" s="993"/>
      <c r="DD168" s="281"/>
      <c r="DF168" s="3">
        <v>136</v>
      </c>
      <c r="DG168" s="4">
        <v>2009</v>
      </c>
      <c r="DH168" s="4">
        <v>2.4498660000000001</v>
      </c>
      <c r="DI168" s="1172"/>
      <c r="DJ168" s="5"/>
      <c r="DK168" s="1444">
        <v>136</v>
      </c>
      <c r="DL168" s="1444">
        <v>2009</v>
      </c>
      <c r="DM168" s="1444">
        <v>-4.3192000000000001E-2</v>
      </c>
      <c r="DN168" s="1440">
        <f t="shared" si="83"/>
        <v>-0.129576</v>
      </c>
      <c r="DO168" s="993"/>
      <c r="DP168" s="488"/>
      <c r="DQ168" s="247"/>
      <c r="DR168" s="247"/>
      <c r="DS168" s="247"/>
      <c r="DT168" s="247"/>
      <c r="DU168" s="247"/>
      <c r="DV168" s="261"/>
      <c r="DW168" s="261"/>
      <c r="DX168" s="261"/>
      <c r="DY168" s="261"/>
      <c r="DZ168" s="261"/>
      <c r="EA168" s="261"/>
      <c r="EB168" s="261"/>
      <c r="EC168" s="261"/>
      <c r="ED168" s="261"/>
      <c r="EE168" s="261"/>
      <c r="EF168" s="993"/>
      <c r="EG168" s="281"/>
      <c r="EH168" s="281"/>
      <c r="EI168" s="281"/>
      <c r="EJ168" s="281"/>
      <c r="EK168" s="281"/>
      <c r="EL168" s="281"/>
      <c r="EM168" s="281"/>
      <c r="EN168" s="281"/>
      <c r="EO168" s="281"/>
      <c r="EP168" s="281"/>
      <c r="EQ168" s="281"/>
      <c r="ER168" s="281"/>
      <c r="ES168" s="281"/>
      <c r="ET168" s="281"/>
      <c r="EU168" s="281"/>
      <c r="EV168" s="281"/>
      <c r="EW168" s="281"/>
      <c r="EX168" s="281"/>
      <c r="EY168" s="281"/>
      <c r="EZ168" s="281"/>
      <c r="FA168" s="281"/>
      <c r="FB168" s="281"/>
      <c r="FC168" s="281"/>
      <c r="FD168" s="281"/>
      <c r="FE168" s="281"/>
      <c r="FF168" s="281"/>
      <c r="FG168" s="281"/>
      <c r="FH168" s="281"/>
      <c r="FI168" s="281"/>
      <c r="FJ168" s="281"/>
      <c r="FK168" s="281"/>
      <c r="FL168" s="281"/>
      <c r="FM168" s="281"/>
      <c r="FN168" s="281"/>
      <c r="FO168" s="281"/>
      <c r="FP168" s="281"/>
      <c r="FQ168" s="281"/>
      <c r="FR168" s="281"/>
      <c r="FS168" s="281"/>
      <c r="FT168" s="281"/>
      <c r="FU168" s="281"/>
      <c r="FV168" s="281"/>
      <c r="FW168" s="281"/>
      <c r="FX168" s="281"/>
      <c r="FY168" s="281"/>
    </row>
    <row r="169" spans="1:181" s="284" customFormat="1">
      <c r="A169" s="98"/>
      <c r="B169" s="25"/>
      <c r="C169" s="25"/>
      <c r="D169" s="25"/>
      <c r="E169" s="25"/>
      <c r="F169" s="25"/>
      <c r="G169" s="464"/>
      <c r="H169" s="98"/>
      <c r="I169" s="513">
        <v>2030</v>
      </c>
      <c r="J169" s="25"/>
      <c r="K169" s="98"/>
      <c r="L169" s="25"/>
      <c r="M169" s="289"/>
      <c r="N169" s="464"/>
      <c r="O169" s="98"/>
      <c r="P169" s="25"/>
      <c r="Q169" s="25"/>
      <c r="R169" s="25"/>
      <c r="S169" s="25"/>
      <c r="T169" s="25"/>
      <c r="U169" s="25"/>
      <c r="V169" s="25"/>
      <c r="W169" s="25"/>
      <c r="X169" s="25"/>
      <c r="Y169" s="25"/>
      <c r="Z169" s="25"/>
      <c r="AA169" s="464"/>
      <c r="AB169" s="25"/>
      <c r="AC169" s="25"/>
      <c r="AD169" s="25"/>
      <c r="AE169" s="25"/>
      <c r="AF169" s="25"/>
      <c r="AG169" s="25"/>
      <c r="AH169" s="25"/>
      <c r="AI169" s="25"/>
      <c r="AJ169" s="25"/>
      <c r="AK169" s="25"/>
      <c r="AL169" s="25"/>
      <c r="AM169" s="25"/>
      <c r="AN169" s="25"/>
      <c r="AO169" s="464"/>
      <c r="AP169" s="259">
        <f>IF(AND(ScrutinyClassification_Final="Higher",CLTrigger=1),1,0)</f>
        <v>0</v>
      </c>
      <c r="AQ169" s="1333" t="str">
        <f>IF(ExtraShock3=1,"Contingent Liability Shock","")</f>
        <v/>
      </c>
      <c r="AR169" s="1333"/>
      <c r="AS169" s="1333"/>
      <c r="AT169" s="25"/>
      <c r="AU169" s="25"/>
      <c r="AV169" s="25"/>
      <c r="AW169" s="25"/>
      <c r="AX169" s="25"/>
      <c r="AY169" s="25"/>
      <c r="AZ169" s="464"/>
      <c r="BA169" s="247"/>
      <c r="BB169" s="247"/>
      <c r="BC169" s="247"/>
      <c r="BD169" s="247"/>
      <c r="BE169" s="247"/>
      <c r="BF169" s="247"/>
      <c r="BG169" s="247"/>
      <c r="BH169" s="247"/>
      <c r="BI169" s="247"/>
      <c r="BJ169" s="247"/>
      <c r="BK169" s="254"/>
      <c r="BL169" s="255"/>
      <c r="BM169" s="247"/>
      <c r="BN169" s="247"/>
      <c r="BO169" s="247"/>
      <c r="BP169" s="247"/>
      <c r="BQ169" s="247"/>
      <c r="BR169" s="261"/>
      <c r="BS169" s="247"/>
      <c r="BT169" s="247"/>
      <c r="BU169" s="247"/>
      <c r="BV169" s="261"/>
      <c r="BW169" s="247"/>
      <c r="BX169" s="247"/>
      <c r="BY169" s="247"/>
      <c r="BZ169" s="254"/>
      <c r="CA169" s="255"/>
      <c r="CB169" s="247"/>
      <c r="CC169" s="247"/>
      <c r="CD169" s="247"/>
      <c r="CE169" s="247"/>
      <c r="CF169" s="247"/>
      <c r="CG169" s="254"/>
      <c r="CH169" s="17"/>
      <c r="CI169" s="888">
        <v>311</v>
      </c>
      <c r="CJ169" s="4" t="s">
        <v>1246</v>
      </c>
      <c r="CK169" s="1077"/>
      <c r="CL169" s="1826">
        <v>0.27715022166247572</v>
      </c>
      <c r="CM169" s="1077"/>
      <c r="CN169" s="864"/>
      <c r="CO169" s="1103"/>
      <c r="CP169" s="1077"/>
      <c r="CQ169" s="1077"/>
      <c r="CR169" s="1823">
        <v>-3.4366623870407969</v>
      </c>
      <c r="CS169" s="1077"/>
      <c r="CT169" s="864"/>
      <c r="CU169" s="1103"/>
      <c r="CV169" s="1099"/>
      <c r="CW169" s="1099"/>
      <c r="CX169" s="1823">
        <v>0.77099486174004994</v>
      </c>
      <c r="CY169" s="1099"/>
      <c r="CZ169" s="864"/>
      <c r="DA169" s="1103"/>
      <c r="DB169" s="1099"/>
      <c r="DC169" s="993"/>
      <c r="DD169" s="281"/>
      <c r="DF169" s="3">
        <v>136</v>
      </c>
      <c r="DG169" s="4">
        <v>2010</v>
      </c>
      <c r="DH169" s="4">
        <v>1.6325000000000001</v>
      </c>
      <c r="DI169" s="1172"/>
      <c r="DJ169" s="5"/>
      <c r="DK169" s="1444">
        <v>136</v>
      </c>
      <c r="DL169" s="1444">
        <v>2010</v>
      </c>
      <c r="DM169" s="1444">
        <v>-0.81736580000000003</v>
      </c>
      <c r="DN169" s="1440">
        <f t="shared" si="83"/>
        <v>-2.4520974</v>
      </c>
      <c r="DO169" s="993"/>
      <c r="DP169" s="488"/>
      <c r="DQ169" s="247"/>
      <c r="DR169" s="247"/>
      <c r="DS169" s="247"/>
      <c r="DT169" s="247"/>
      <c r="DU169" s="247"/>
      <c r="DV169" s="261"/>
      <c r="DW169" s="261"/>
      <c r="DX169" s="261"/>
      <c r="DY169" s="261"/>
      <c r="DZ169" s="261"/>
      <c r="EA169" s="261"/>
      <c r="EB169" s="261"/>
      <c r="EC169" s="261"/>
      <c r="ED169" s="261"/>
      <c r="EE169" s="261"/>
      <c r="EF169" s="993"/>
      <c r="EG169" s="281"/>
      <c r="EH169" s="281"/>
      <c r="EI169" s="281"/>
      <c r="EJ169" s="281"/>
      <c r="EK169" s="281"/>
      <c r="EL169" s="281"/>
      <c r="EM169" s="281"/>
      <c r="EN169" s="281"/>
      <c r="EO169" s="281"/>
      <c r="EP169" s="281"/>
      <c r="EQ169" s="281"/>
      <c r="ER169" s="281"/>
      <c r="ES169" s="281"/>
      <c r="ET169" s="281"/>
      <c r="EU169" s="281"/>
      <c r="EV169" s="281"/>
      <c r="EW169" s="281"/>
      <c r="EX169" s="281"/>
      <c r="EY169" s="281"/>
      <c r="EZ169" s="281"/>
      <c r="FA169" s="281"/>
      <c r="FB169" s="281"/>
      <c r="FC169" s="281"/>
      <c r="FD169" s="281"/>
      <c r="FE169" s="281"/>
      <c r="FF169" s="281"/>
      <c r="FG169" s="281"/>
      <c r="FH169" s="281"/>
      <c r="FI169" s="281"/>
      <c r="FJ169" s="281"/>
      <c r="FK169" s="281"/>
      <c r="FL169" s="281"/>
      <c r="FM169" s="281"/>
      <c r="FN169" s="281"/>
      <c r="FO169" s="281"/>
      <c r="FP169" s="281"/>
      <c r="FQ169" s="281"/>
      <c r="FR169" s="281"/>
      <c r="FS169" s="281"/>
      <c r="FT169" s="281"/>
      <c r="FU169" s="281"/>
      <c r="FV169" s="281"/>
      <c r="FW169" s="281"/>
      <c r="FX169" s="281"/>
      <c r="FY169" s="281"/>
    </row>
    <row r="170" spans="1:181">
      <c r="I170" s="513">
        <v>2031</v>
      </c>
      <c r="J170" s="25"/>
      <c r="L170" s="25"/>
      <c r="M170" s="289"/>
      <c r="R170" s="25"/>
      <c r="S170" s="25"/>
      <c r="T170" s="25"/>
      <c r="U170" s="25"/>
      <c r="V170" s="25"/>
      <c r="W170" s="25"/>
      <c r="X170" s="25"/>
      <c r="Y170" s="25"/>
      <c r="Z170" s="25"/>
      <c r="AP170" s="289"/>
      <c r="AQ170" s="265" t="s">
        <v>421</v>
      </c>
      <c r="AR170" s="265"/>
      <c r="AS170" s="265"/>
      <c r="AT170" s="598" t="e">
        <f t="shared" ref="AT170:AY173" si="90">VLOOKUP(CONCATENATE($AQ$169,$AQ170),$P$7:$Z$158,U$2,FALSE)</f>
        <v>#N/A</v>
      </c>
      <c r="AU170" s="598" t="e">
        <f t="shared" si="90"/>
        <v>#N/A</v>
      </c>
      <c r="AV170" s="598" t="e">
        <f t="shared" si="90"/>
        <v>#N/A</v>
      </c>
      <c r="AW170" s="598" t="e">
        <f t="shared" si="90"/>
        <v>#N/A</v>
      </c>
      <c r="AX170" s="598" t="e">
        <f t="shared" si="90"/>
        <v>#N/A</v>
      </c>
      <c r="AY170" s="598" t="e">
        <f t="shared" si="90"/>
        <v>#N/A</v>
      </c>
      <c r="CI170" s="888">
        <v>311</v>
      </c>
      <c r="CJ170" s="4" t="s">
        <v>1247</v>
      </c>
      <c r="CL170" s="1826">
        <v>-3.768354299223593</v>
      </c>
      <c r="CN170" s="864"/>
      <c r="CO170" s="1103"/>
      <c r="CR170" s="1823">
        <v>214.71311089774335</v>
      </c>
      <c r="CT170" s="864"/>
      <c r="CU170" s="1103"/>
      <c r="CV170" s="1099"/>
      <c r="CW170" s="1099"/>
      <c r="CX170" s="1823">
        <v>-0.9511831377518396</v>
      </c>
      <c r="CY170" s="1099"/>
      <c r="CZ170" s="864"/>
      <c r="DA170" s="1103"/>
      <c r="DB170" s="1099"/>
      <c r="DF170" s="3">
        <v>138</v>
      </c>
      <c r="DG170" s="4">
        <v>1990</v>
      </c>
      <c r="DH170" s="4">
        <v>0.73555769999999998</v>
      </c>
      <c r="DI170" s="1172"/>
      <c r="DJ170" s="5"/>
      <c r="DK170" s="1444">
        <v>138</v>
      </c>
      <c r="DL170" s="1444">
        <v>1990</v>
      </c>
      <c r="DM170" s="1444">
        <v>-0.60644549999999997</v>
      </c>
      <c r="DN170" s="1440">
        <f t="shared" si="83"/>
        <v>-1.8193364999999999</v>
      </c>
    </row>
    <row r="171" spans="1:181">
      <c r="I171" s="513">
        <v>2032</v>
      </c>
      <c r="J171" s="25"/>
      <c r="L171" s="25"/>
      <c r="M171" s="289"/>
      <c r="R171" s="25"/>
      <c r="S171" s="25"/>
      <c r="T171" s="25"/>
      <c r="U171" s="25"/>
      <c r="V171" s="25"/>
      <c r="W171" s="25"/>
      <c r="X171" s="25"/>
      <c r="Y171" s="25"/>
      <c r="Z171" s="25"/>
      <c r="AP171" s="289"/>
      <c r="AQ171" s="107" t="s">
        <v>424</v>
      </c>
      <c r="AR171" s="107"/>
      <c r="AS171" s="107"/>
      <c r="AT171" s="599" t="e">
        <f t="shared" si="90"/>
        <v>#N/A</v>
      </c>
      <c r="AU171" s="599" t="e">
        <f t="shared" si="90"/>
        <v>#N/A</v>
      </c>
      <c r="AV171" s="599" t="e">
        <f t="shared" si="90"/>
        <v>#N/A</v>
      </c>
      <c r="AW171" s="599" t="e">
        <f t="shared" si="90"/>
        <v>#N/A</v>
      </c>
      <c r="AX171" s="599" t="e">
        <f t="shared" si="90"/>
        <v>#N/A</v>
      </c>
      <c r="AY171" s="599" t="e">
        <f t="shared" si="90"/>
        <v>#N/A</v>
      </c>
      <c r="AZ171" s="476"/>
      <c r="CI171" s="888">
        <v>311</v>
      </c>
      <c r="CJ171" s="4" t="s">
        <v>1248</v>
      </c>
      <c r="CL171" s="1826">
        <v>-8.8819947509627468</v>
      </c>
      <c r="CN171" s="864"/>
      <c r="CO171" s="1103"/>
      <c r="CR171" s="1823">
        <v>6.5756875857709254</v>
      </c>
      <c r="CT171" s="864"/>
      <c r="CU171" s="1103"/>
      <c r="CV171" s="1099"/>
      <c r="CW171" s="1099"/>
      <c r="CX171" s="1823">
        <v>3.0927054400609642</v>
      </c>
      <c r="CY171" s="1099"/>
      <c r="CZ171" s="864"/>
      <c r="DA171" s="1103"/>
      <c r="DB171" s="1099"/>
      <c r="DF171" s="3">
        <v>138</v>
      </c>
      <c r="DG171" s="4">
        <v>1991</v>
      </c>
      <c r="DH171" s="4">
        <v>0.91039939999999997</v>
      </c>
      <c r="DI171" s="1172"/>
      <c r="DJ171" s="5"/>
      <c r="DK171" s="1444">
        <v>138</v>
      </c>
      <c r="DL171" s="1444">
        <v>1991</v>
      </c>
      <c r="DM171" s="1444">
        <v>0.17484179999999999</v>
      </c>
      <c r="DN171" s="1440">
        <f t="shared" si="83"/>
        <v>0.52452539999999992</v>
      </c>
    </row>
    <row r="172" spans="1:181">
      <c r="I172" s="513">
        <v>2033</v>
      </c>
      <c r="J172" s="25"/>
      <c r="L172" s="25"/>
      <c r="M172" s="289"/>
      <c r="R172" s="25"/>
      <c r="S172" s="25"/>
      <c r="T172" s="25"/>
      <c r="U172" s="25"/>
      <c r="V172" s="25"/>
      <c r="W172" s="25"/>
      <c r="X172" s="25"/>
      <c r="Y172" s="25"/>
      <c r="Z172" s="25"/>
      <c r="AP172" s="289"/>
      <c r="AQ172" s="107" t="s">
        <v>425</v>
      </c>
      <c r="AR172" s="107"/>
      <c r="AS172" s="107"/>
      <c r="AT172" s="599" t="e">
        <f t="shared" si="90"/>
        <v>#N/A</v>
      </c>
      <c r="AU172" s="599" t="e">
        <f t="shared" si="90"/>
        <v>#N/A</v>
      </c>
      <c r="AV172" s="599" t="e">
        <f t="shared" si="90"/>
        <v>#N/A</v>
      </c>
      <c r="AW172" s="599" t="e">
        <f t="shared" si="90"/>
        <v>#N/A</v>
      </c>
      <c r="AX172" s="599" t="e">
        <f t="shared" si="90"/>
        <v>#N/A</v>
      </c>
      <c r="AY172" s="599" t="e">
        <f t="shared" si="90"/>
        <v>#N/A</v>
      </c>
      <c r="AZ172" s="474"/>
      <c r="CI172" s="888">
        <v>311</v>
      </c>
      <c r="CJ172" s="1091" t="s">
        <v>1249</v>
      </c>
      <c r="CL172" s="1826">
        <v>-12.899534639400313</v>
      </c>
      <c r="CN172" s="1104"/>
      <c r="CO172" s="1105"/>
      <c r="CR172" s="1824">
        <v>-12.915414616008377</v>
      </c>
      <c r="CT172" s="1104"/>
      <c r="CU172" s="1105"/>
      <c r="CV172" s="1100"/>
      <c r="CW172" s="1100"/>
      <c r="CX172" s="1824">
        <v>-0.4059542010888828</v>
      </c>
      <c r="CY172" s="1100"/>
      <c r="CZ172" s="1104"/>
      <c r="DA172" s="1105"/>
      <c r="DB172" s="1100"/>
      <c r="DF172" s="3">
        <v>138</v>
      </c>
      <c r="DG172" s="4">
        <v>1992</v>
      </c>
      <c r="DH172" s="4">
        <v>1.452863</v>
      </c>
      <c r="DI172" s="1172"/>
      <c r="DJ172" s="5"/>
      <c r="DK172" s="1444">
        <v>138</v>
      </c>
      <c r="DL172" s="1444">
        <v>1992</v>
      </c>
      <c r="DM172" s="1444">
        <v>0.54246340000000004</v>
      </c>
      <c r="DN172" s="1440">
        <f t="shared" si="83"/>
        <v>1.6273902000000002</v>
      </c>
    </row>
    <row r="173" spans="1:181">
      <c r="I173" s="513">
        <v>2034</v>
      </c>
      <c r="J173" s="25"/>
      <c r="L173" s="25"/>
      <c r="M173" s="289"/>
      <c r="R173" s="25"/>
      <c r="S173" s="25"/>
      <c r="T173" s="25"/>
      <c r="U173" s="25"/>
      <c r="V173" s="25"/>
      <c r="W173" s="25"/>
      <c r="X173" s="25"/>
      <c r="Y173" s="25"/>
      <c r="Z173" s="25"/>
      <c r="AP173" s="289"/>
      <c r="AQ173" s="107" t="s">
        <v>423</v>
      </c>
      <c r="AR173" s="107"/>
      <c r="AS173" s="107"/>
      <c r="AT173" s="599" t="e">
        <f t="shared" si="90"/>
        <v>#N/A</v>
      </c>
      <c r="AU173" s="599" t="e">
        <f t="shared" si="90"/>
        <v>#N/A</v>
      </c>
      <c r="AV173" s="599" t="e">
        <f t="shared" si="90"/>
        <v>#N/A</v>
      </c>
      <c r="AW173" s="599" t="e">
        <f t="shared" si="90"/>
        <v>#N/A</v>
      </c>
      <c r="AX173" s="599" t="e">
        <f t="shared" si="90"/>
        <v>#N/A</v>
      </c>
      <c r="AY173" s="599" t="e">
        <f t="shared" si="90"/>
        <v>#N/A</v>
      </c>
      <c r="AZ173" s="474"/>
      <c r="CI173" s="888">
        <v>213</v>
      </c>
      <c r="CJ173" s="4" t="s">
        <v>1250</v>
      </c>
      <c r="CL173" s="1826"/>
      <c r="CN173" s="1099">
        <v>-1.0976112024049716</v>
      </c>
      <c r="CO173" s="1106">
        <v>0.22</v>
      </c>
      <c r="CR173" s="1822"/>
      <c r="CT173" s="1102">
        <v>-1.2096785632192937</v>
      </c>
      <c r="CU173" s="1106">
        <v>0.28999999999999998</v>
      </c>
      <c r="CV173" s="863"/>
      <c r="CW173" s="863"/>
      <c r="CX173" s="1822" t="e">
        <v>#N/A</v>
      </c>
      <c r="CY173" s="863"/>
      <c r="CZ173" s="1099">
        <v>3.5065830199546753</v>
      </c>
      <c r="DA173" s="1106">
        <v>0.98</v>
      </c>
      <c r="DB173" s="863"/>
      <c r="DF173" s="3">
        <v>138</v>
      </c>
      <c r="DG173" s="4">
        <v>1993</v>
      </c>
      <c r="DH173" s="4">
        <v>2.9515829999999998</v>
      </c>
      <c r="DI173" s="1172"/>
      <c r="DJ173" s="5"/>
      <c r="DK173" s="1444">
        <v>138</v>
      </c>
      <c r="DL173" s="1444">
        <v>1993</v>
      </c>
      <c r="DM173" s="1444">
        <v>1.4987200000000001</v>
      </c>
      <c r="DN173" s="1440">
        <f t="shared" si="83"/>
        <v>4.4961599999999997</v>
      </c>
    </row>
    <row r="174" spans="1:181">
      <c r="I174" s="513">
        <v>2035</v>
      </c>
      <c r="J174" s="25"/>
      <c r="L174" s="25"/>
      <c r="M174" s="289"/>
      <c r="R174" s="25"/>
      <c r="S174" s="25"/>
      <c r="T174" s="25"/>
      <c r="U174" s="25"/>
      <c r="V174" s="25"/>
      <c r="W174" s="25"/>
      <c r="X174" s="25"/>
      <c r="Y174" s="25"/>
      <c r="Z174" s="25"/>
      <c r="AP174" s="289"/>
      <c r="AQ174" s="107" t="s">
        <v>418</v>
      </c>
      <c r="AR174" s="107"/>
      <c r="AS174" s="107"/>
      <c r="AT174" s="591" t="str">
        <f t="shared" ref="AT174:AY177" si="91">IFERROR(VLOOKUP(CONCATENATE($AQ$169,$AQ174),$P$7:$Z$158,U$2,FALSE),"")</f>
        <v/>
      </c>
      <c r="AU174" s="591" t="str">
        <f t="shared" si="91"/>
        <v/>
      </c>
      <c r="AV174" s="591" t="str">
        <f t="shared" si="91"/>
        <v/>
      </c>
      <c r="AW174" s="591" t="str">
        <f t="shared" si="91"/>
        <v/>
      </c>
      <c r="AX174" s="591" t="str">
        <f t="shared" si="91"/>
        <v/>
      </c>
      <c r="AY174" s="591" t="str">
        <f t="shared" si="91"/>
        <v/>
      </c>
      <c r="AZ174" s="474"/>
      <c r="CI174" s="888">
        <v>213</v>
      </c>
      <c r="CJ174" s="4"/>
      <c r="CL174" s="1826"/>
      <c r="CN174" s="1102"/>
      <c r="CO174" s="1103"/>
      <c r="CR174" s="1822"/>
      <c r="CT174" s="1102"/>
      <c r="CU174" s="1103"/>
      <c r="CV174" s="863"/>
      <c r="CW174" s="863"/>
      <c r="CX174" s="1822" t="e">
        <v>#N/A</v>
      </c>
      <c r="CY174" s="863"/>
      <c r="CZ174" s="1102"/>
      <c r="DA174" s="1103"/>
      <c r="DB174" s="863"/>
      <c r="DF174" s="3">
        <v>138</v>
      </c>
      <c r="DG174" s="4">
        <v>1994</v>
      </c>
      <c r="DH174" s="4">
        <v>3.017798</v>
      </c>
      <c r="DI174" s="1172"/>
      <c r="DJ174" s="5"/>
      <c r="DK174" s="1444">
        <v>138</v>
      </c>
      <c r="DL174" s="1444">
        <v>1994</v>
      </c>
      <c r="DM174" s="1444">
        <v>6.6215099999999999E-2</v>
      </c>
      <c r="DN174" s="1440">
        <f t="shared" si="83"/>
        <v>0.1986453</v>
      </c>
    </row>
    <row r="175" spans="1:181" ht="15.75" thickBot="1">
      <c r="I175" s="514">
        <v>2036</v>
      </c>
      <c r="J175" s="25"/>
      <c r="K175" s="25"/>
      <c r="L175" s="25"/>
      <c r="M175" s="289"/>
      <c r="R175" s="25"/>
      <c r="S175" s="25"/>
      <c r="T175" s="25"/>
      <c r="U175" s="25"/>
      <c r="V175" s="25"/>
      <c r="W175" s="25"/>
      <c r="X175" s="25"/>
      <c r="Y175" s="25"/>
      <c r="Z175" s="25"/>
      <c r="AP175" s="289"/>
      <c r="AQ175" s="107" t="s">
        <v>427</v>
      </c>
      <c r="AR175" s="107"/>
      <c r="AS175" s="107"/>
      <c r="AT175" s="591" t="str">
        <f t="shared" si="91"/>
        <v/>
      </c>
      <c r="AU175" s="591" t="str">
        <f t="shared" si="91"/>
        <v/>
      </c>
      <c r="AV175" s="591" t="str">
        <f t="shared" si="91"/>
        <v/>
      </c>
      <c r="AW175" s="591" t="str">
        <f t="shared" si="91"/>
        <v/>
      </c>
      <c r="AX175" s="591" t="str">
        <f t="shared" si="91"/>
        <v/>
      </c>
      <c r="AY175" s="591" t="str">
        <f t="shared" si="91"/>
        <v/>
      </c>
      <c r="AZ175" s="474"/>
      <c r="CI175" s="888">
        <v>213</v>
      </c>
      <c r="CJ175" s="4"/>
      <c r="CL175" s="1826"/>
      <c r="CN175" s="1102"/>
      <c r="CO175" s="1103"/>
      <c r="CR175" s="1822"/>
      <c r="CT175" s="1102"/>
      <c r="CU175" s="1103"/>
      <c r="CV175" s="863"/>
      <c r="CW175" s="863"/>
      <c r="CX175" s="1822" t="e">
        <v>#N/A</v>
      </c>
      <c r="CY175" s="863"/>
      <c r="CZ175" s="1102"/>
      <c r="DA175" s="1103"/>
      <c r="DB175" s="863"/>
      <c r="DF175" s="3">
        <v>138</v>
      </c>
      <c r="DG175" s="4">
        <v>1995</v>
      </c>
      <c r="DH175" s="4">
        <v>1.447818</v>
      </c>
      <c r="DI175" s="1172"/>
      <c r="DJ175" s="5"/>
      <c r="DK175" s="1444">
        <v>138</v>
      </c>
      <c r="DL175" s="1444">
        <v>1995</v>
      </c>
      <c r="DM175" s="1444">
        <v>-1.5699799999999999</v>
      </c>
      <c r="DN175" s="1440">
        <f t="shared" si="83"/>
        <v>-4.7099399999999996</v>
      </c>
    </row>
    <row r="176" spans="1:181">
      <c r="I176" s="477"/>
      <c r="J176" s="25"/>
      <c r="K176" s="25"/>
      <c r="L176" s="25"/>
      <c r="M176" s="289"/>
      <c r="R176" s="25"/>
      <c r="S176" s="25"/>
      <c r="T176" s="25"/>
      <c r="U176" s="25"/>
      <c r="V176" s="25"/>
      <c r="W176" s="25"/>
      <c r="X176" s="25"/>
      <c r="Y176" s="25"/>
      <c r="Z176" s="25"/>
      <c r="AP176" s="289"/>
      <c r="AQ176" s="107" t="s">
        <v>544</v>
      </c>
      <c r="AR176" s="107"/>
      <c r="AS176" s="107"/>
      <c r="AT176" s="591" t="str">
        <f t="shared" si="91"/>
        <v/>
      </c>
      <c r="AU176" s="591" t="str">
        <f t="shared" si="91"/>
        <v/>
      </c>
      <c r="AV176" s="591" t="str">
        <f t="shared" si="91"/>
        <v/>
      </c>
      <c r="AW176" s="591" t="str">
        <f t="shared" si="91"/>
        <v/>
      </c>
      <c r="AX176" s="591" t="str">
        <f t="shared" si="91"/>
        <v/>
      </c>
      <c r="AY176" s="591" t="str">
        <f t="shared" si="91"/>
        <v/>
      </c>
      <c r="AZ176" s="474"/>
      <c r="CI176" s="888">
        <v>213</v>
      </c>
      <c r="CJ176" s="4"/>
      <c r="CL176" s="1826"/>
      <c r="CN176" s="1102"/>
      <c r="CO176" s="1103"/>
      <c r="CR176" s="1825"/>
      <c r="CT176" s="1102"/>
      <c r="CU176" s="1103"/>
      <c r="CV176" s="1099"/>
      <c r="CW176" s="1099"/>
      <c r="CX176" s="1825" t="e">
        <v>#N/A</v>
      </c>
      <c r="CY176" s="1099"/>
      <c r="CZ176" s="1102"/>
      <c r="DA176" s="1103"/>
      <c r="DB176" s="1099"/>
      <c r="DF176" s="3">
        <v>138</v>
      </c>
      <c r="DG176" s="4">
        <v>1996</v>
      </c>
      <c r="DH176" s="4">
        <v>1.4977400000000001</v>
      </c>
      <c r="DI176" s="1172"/>
      <c r="DJ176" s="5"/>
      <c r="DK176" s="1444">
        <v>138</v>
      </c>
      <c r="DL176" s="1444">
        <v>1996</v>
      </c>
      <c r="DM176" s="1444">
        <v>4.9921399999999998E-2</v>
      </c>
      <c r="DN176" s="1440">
        <f t="shared" si="83"/>
        <v>0.14976419999999999</v>
      </c>
    </row>
    <row r="177" spans="9:118">
      <c r="I177" s="477"/>
      <c r="J177" s="25"/>
      <c r="K177" s="25"/>
      <c r="L177" s="25"/>
      <c r="M177" s="289"/>
      <c r="R177" s="25"/>
      <c r="S177" s="25"/>
      <c r="T177" s="25"/>
      <c r="U177" s="25"/>
      <c r="V177" s="25"/>
      <c r="W177" s="25"/>
      <c r="X177" s="25"/>
      <c r="Y177" s="25"/>
      <c r="Z177" s="25"/>
      <c r="AP177" s="289"/>
      <c r="AQ177" s="266" t="s">
        <v>428</v>
      </c>
      <c r="AR177" s="266"/>
      <c r="AS177" s="266"/>
      <c r="AT177" s="600" t="str">
        <f t="shared" si="91"/>
        <v/>
      </c>
      <c r="AU177" s="600" t="str">
        <f t="shared" si="91"/>
        <v/>
      </c>
      <c r="AV177" s="600" t="str">
        <f t="shared" si="91"/>
        <v/>
      </c>
      <c r="AW177" s="600" t="str">
        <f t="shared" si="91"/>
        <v/>
      </c>
      <c r="AX177" s="600" t="str">
        <f t="shared" si="91"/>
        <v/>
      </c>
      <c r="AY177" s="600" t="str">
        <f t="shared" si="91"/>
        <v/>
      </c>
      <c r="AZ177" s="475"/>
      <c r="CI177" s="888">
        <v>213</v>
      </c>
      <c r="CJ177" s="4" t="s">
        <v>2410</v>
      </c>
      <c r="CL177" s="1826">
        <v>8.7739236844200263E-2</v>
      </c>
      <c r="CN177" s="1102"/>
      <c r="CO177" s="1103"/>
      <c r="CR177" s="1823">
        <v>-1.2096785632192937</v>
      </c>
      <c r="CT177" s="1102"/>
      <c r="CU177" s="1103"/>
      <c r="CV177" s="1099"/>
      <c r="CW177" s="1099"/>
      <c r="CX177" s="1823">
        <v>5.1999464239046809</v>
      </c>
      <c r="CY177" s="1099"/>
      <c r="CZ177" s="1102"/>
      <c r="DA177" s="1103"/>
      <c r="DB177" s="1099"/>
      <c r="DF177" s="3">
        <v>138</v>
      </c>
      <c r="DG177" s="4">
        <v>1997</v>
      </c>
      <c r="DH177" s="4">
        <v>1.866611</v>
      </c>
      <c r="DI177" s="1172"/>
      <c r="DJ177" s="5"/>
      <c r="DK177" s="1444">
        <v>138</v>
      </c>
      <c r="DL177" s="1444">
        <v>1997</v>
      </c>
      <c r="DM177" s="1444">
        <v>0.36887110000000001</v>
      </c>
      <c r="DN177" s="1440">
        <f t="shared" si="83"/>
        <v>1.1066133</v>
      </c>
    </row>
    <row r="178" spans="9:118" ht="15.75" thickBot="1">
      <c r="I178" s="515" t="s">
        <v>329</v>
      </c>
      <c r="J178" s="25"/>
      <c r="K178" s="25"/>
      <c r="L178" s="25"/>
      <c r="M178" s="289"/>
      <c r="R178" s="25"/>
      <c r="S178" s="25"/>
      <c r="T178" s="25"/>
      <c r="U178" s="25"/>
      <c r="V178" s="25"/>
      <c r="W178" s="25"/>
      <c r="X178" s="25"/>
      <c r="Y178" s="25"/>
      <c r="Z178" s="25"/>
      <c r="AT178" s="25"/>
      <c r="AU178" s="25"/>
      <c r="AV178" s="25"/>
      <c r="AW178" s="25"/>
      <c r="AX178" s="25"/>
      <c r="AY178" s="25"/>
      <c r="AZ178" s="474"/>
      <c r="CI178" s="888">
        <v>213</v>
      </c>
      <c r="CJ178" s="4" t="s">
        <v>2278</v>
      </c>
      <c r="CL178" s="1826">
        <v>-1.9416757611159383</v>
      </c>
      <c r="CN178" s="1102"/>
      <c r="CO178" s="1103"/>
      <c r="CR178" s="1823">
        <v>-3.2645134983891744</v>
      </c>
      <c r="CT178" s="1102"/>
      <c r="CU178" s="1103"/>
      <c r="CV178" s="1099"/>
      <c r="CW178" s="1099"/>
      <c r="CX178" s="1823">
        <v>17.553983635667937</v>
      </c>
      <c r="CY178" s="1099"/>
      <c r="CZ178" s="1102"/>
      <c r="DA178" s="1103"/>
      <c r="DB178" s="1099"/>
      <c r="DF178" s="3">
        <v>138</v>
      </c>
      <c r="DG178" s="4">
        <v>1998</v>
      </c>
      <c r="DH178" s="4">
        <v>4.0026910000000004</v>
      </c>
      <c r="DI178" s="1172"/>
      <c r="DJ178" s="5"/>
      <c r="DK178" s="1444">
        <v>138</v>
      </c>
      <c r="DL178" s="1444">
        <v>1998</v>
      </c>
      <c r="DM178" s="1444">
        <v>2.1360809999999999</v>
      </c>
      <c r="DN178" s="1440">
        <f t="shared" si="83"/>
        <v>6.4082429999999997</v>
      </c>
    </row>
    <row r="179" spans="9:118">
      <c r="I179" s="512" t="s">
        <v>372</v>
      </c>
      <c r="J179" s="25"/>
      <c r="K179" s="25"/>
      <c r="L179" s="25"/>
      <c r="M179" s="289"/>
      <c r="R179" s="25"/>
      <c r="S179" s="25"/>
      <c r="T179" s="25"/>
      <c r="U179" s="25"/>
      <c r="V179" s="25"/>
      <c r="W179" s="25"/>
      <c r="X179" s="25"/>
      <c r="Y179" s="25"/>
      <c r="Z179" s="25"/>
      <c r="AP179" s="259">
        <f>IF(AND(ScrutinyClassification_Final="Higher",Custom1Trigger=1),1,0)</f>
        <v>0</v>
      </c>
      <c r="AQ179" s="1476" t="str">
        <f>IF(ExtraShock4=1,IF(ISBLANK(Custom1Name), "Customized shock 1",Custom1Name),"")</f>
        <v/>
      </c>
      <c r="AR179" s="1298"/>
      <c r="AS179" s="1298"/>
      <c r="AT179" s="25"/>
      <c r="AU179" s="25"/>
      <c r="AV179" s="25"/>
      <c r="AW179" s="25"/>
      <c r="AX179" s="25"/>
      <c r="AY179" s="25"/>
      <c r="AZ179" s="474"/>
      <c r="CI179" s="888">
        <v>213</v>
      </c>
      <c r="CJ179" s="4" t="s">
        <v>1251</v>
      </c>
      <c r="CL179" s="1826">
        <v>1.6471286484138363</v>
      </c>
      <c r="CN179" s="1102"/>
      <c r="CO179" s="1103"/>
      <c r="CR179" s="1823">
        <v>-3.5076497400662685</v>
      </c>
      <c r="CT179" s="1102"/>
      <c r="CU179" s="1103"/>
      <c r="CV179" s="1099"/>
      <c r="CW179" s="1099"/>
      <c r="CX179" s="1823">
        <v>0.74637115501395357</v>
      </c>
      <c r="CY179" s="1099"/>
      <c r="CZ179" s="1102"/>
      <c r="DA179" s="1103"/>
      <c r="DB179" s="1099"/>
      <c r="DF179" s="3">
        <v>138</v>
      </c>
      <c r="DG179" s="4">
        <v>1999</v>
      </c>
      <c r="DH179" s="4">
        <v>3.8652319999999998</v>
      </c>
      <c r="DI179" s="1172"/>
      <c r="DJ179" s="5"/>
      <c r="DK179" s="1444">
        <v>138</v>
      </c>
      <c r="DL179" s="1444">
        <v>1999</v>
      </c>
      <c r="DM179" s="1444">
        <v>-0.13745969999999999</v>
      </c>
      <c r="DN179" s="1440">
        <f t="shared" si="83"/>
        <v>-0.4123791</v>
      </c>
    </row>
    <row r="180" spans="9:118">
      <c r="I180" s="513" t="s">
        <v>373</v>
      </c>
      <c r="J180" s="25"/>
      <c r="K180" s="25"/>
      <c r="L180" s="25"/>
      <c r="M180" s="289"/>
      <c r="R180" s="25"/>
      <c r="S180" s="25"/>
      <c r="T180" s="25"/>
      <c r="U180" s="25"/>
      <c r="V180" s="25"/>
      <c r="W180" s="25"/>
      <c r="X180" s="25"/>
      <c r="Y180" s="25"/>
      <c r="Z180" s="25"/>
      <c r="AP180" s="259"/>
      <c r="AQ180" s="265" t="s">
        <v>421</v>
      </c>
      <c r="AR180" s="265"/>
      <c r="AS180" s="265"/>
      <c r="AT180" s="598" t="e">
        <f t="shared" ref="AT180:AY183" si="92">VLOOKUP(CONCATENATE($AQ$179,$AQ180),$P$7:$Z$158,U$2,FALSE)</f>
        <v>#N/A</v>
      </c>
      <c r="AU180" s="598" t="e">
        <f t="shared" si="92"/>
        <v>#N/A</v>
      </c>
      <c r="AV180" s="598" t="e">
        <f t="shared" si="92"/>
        <v>#N/A</v>
      </c>
      <c r="AW180" s="598" t="e">
        <f t="shared" si="92"/>
        <v>#N/A</v>
      </c>
      <c r="AX180" s="598" t="e">
        <f t="shared" si="92"/>
        <v>#N/A</v>
      </c>
      <c r="AY180" s="598" t="e">
        <f t="shared" si="92"/>
        <v>#N/A</v>
      </c>
      <c r="AZ180" s="474"/>
      <c r="CI180" s="888">
        <v>213</v>
      </c>
      <c r="CJ180" s="4" t="s">
        <v>1252</v>
      </c>
      <c r="CL180" s="1826">
        <v>-3.009173543754653</v>
      </c>
      <c r="CN180" s="1102"/>
      <c r="CO180" s="1103"/>
      <c r="CR180" s="1823">
        <v>-2.8538047613293518</v>
      </c>
      <c r="CT180" s="1102"/>
      <c r="CU180" s="1103"/>
      <c r="CV180" s="1099"/>
      <c r="CW180" s="1099"/>
      <c r="CX180" s="1823">
        <v>13.027911964524108</v>
      </c>
      <c r="CY180" s="1099"/>
      <c r="CZ180" s="1102"/>
      <c r="DA180" s="1103"/>
      <c r="DB180" s="1099"/>
      <c r="DF180" s="3">
        <v>138</v>
      </c>
      <c r="DG180" s="4">
        <v>2000</v>
      </c>
      <c r="DH180" s="4">
        <v>3.924674</v>
      </c>
      <c r="DI180" s="1172"/>
      <c r="DJ180" s="5"/>
      <c r="DK180" s="1444">
        <v>138</v>
      </c>
      <c r="DL180" s="1444">
        <v>2000</v>
      </c>
      <c r="DM180" s="1444">
        <v>5.9442000000000002E-2</v>
      </c>
      <c r="DN180" s="1440">
        <f t="shared" si="83"/>
        <v>0.17832600000000001</v>
      </c>
    </row>
    <row r="181" spans="9:118" ht="15.75" thickBot="1">
      <c r="I181" s="514" t="s">
        <v>764</v>
      </c>
      <c r="J181" s="25"/>
      <c r="K181" s="25"/>
      <c r="L181" s="25"/>
      <c r="M181" s="289"/>
      <c r="R181" s="25"/>
      <c r="S181" s="25"/>
      <c r="T181" s="25"/>
      <c r="U181" s="25"/>
      <c r="V181" s="25"/>
      <c r="W181" s="25"/>
      <c r="X181" s="25"/>
      <c r="Y181" s="25"/>
      <c r="Z181" s="25"/>
      <c r="AP181" s="259"/>
      <c r="AQ181" s="107" t="s">
        <v>424</v>
      </c>
      <c r="AR181" s="107"/>
      <c r="AS181" s="107"/>
      <c r="AT181" s="599" t="e">
        <f t="shared" si="92"/>
        <v>#N/A</v>
      </c>
      <c r="AU181" s="599" t="e">
        <f t="shared" si="92"/>
        <v>#N/A</v>
      </c>
      <c r="AV181" s="599" t="e">
        <f t="shared" si="92"/>
        <v>#N/A</v>
      </c>
      <c r="AW181" s="599" t="e">
        <f t="shared" si="92"/>
        <v>#N/A</v>
      </c>
      <c r="AX181" s="599" t="e">
        <f t="shared" si="92"/>
        <v>#N/A</v>
      </c>
      <c r="AY181" s="599" t="e">
        <f t="shared" si="92"/>
        <v>#N/A</v>
      </c>
      <c r="AZ181" s="475"/>
      <c r="CI181" s="888">
        <v>213</v>
      </c>
      <c r="CJ181" s="4" t="s">
        <v>1253</v>
      </c>
      <c r="CL181" s="1826">
        <v>-1.0976112024049716</v>
      </c>
      <c r="CN181" s="864"/>
      <c r="CO181" s="1103"/>
      <c r="CR181" s="1823">
        <v>-1.0124108940855403</v>
      </c>
      <c r="CT181" s="864"/>
      <c r="CU181" s="1103"/>
      <c r="CV181" s="1099"/>
      <c r="CW181" s="1099"/>
      <c r="CX181" s="1823">
        <v>5.2190267582927792</v>
      </c>
      <c r="CY181" s="1099"/>
      <c r="CZ181" s="864"/>
      <c r="DA181" s="1103"/>
      <c r="DB181" s="1099"/>
      <c r="DF181" s="3">
        <v>138</v>
      </c>
      <c r="DG181" s="4">
        <v>2010</v>
      </c>
      <c r="DH181" s="4">
        <v>-1.595655</v>
      </c>
      <c r="DI181" s="1172"/>
      <c r="DJ181" s="5"/>
      <c r="DK181" s="1444">
        <v>138</v>
      </c>
      <c r="DL181" s="1444">
        <v>2010</v>
      </c>
      <c r="DM181" s="1444">
        <v>-1.275371</v>
      </c>
      <c r="DN181" s="1440">
        <f t="shared" si="83"/>
        <v>-3.8261130000000003</v>
      </c>
    </row>
    <row r="182" spans="9:118">
      <c r="I182" s="477"/>
      <c r="J182" s="25"/>
      <c r="K182" s="25"/>
      <c r="L182" s="25"/>
      <c r="M182" s="289"/>
      <c r="R182" s="25"/>
      <c r="S182" s="25"/>
      <c r="T182" s="25"/>
      <c r="U182" s="25"/>
      <c r="V182" s="25"/>
      <c r="W182" s="25"/>
      <c r="X182" s="25"/>
      <c r="Y182" s="25"/>
      <c r="Z182" s="25"/>
      <c r="AP182" s="259"/>
      <c r="AQ182" s="107" t="s">
        <v>425</v>
      </c>
      <c r="AR182" s="107"/>
      <c r="AS182" s="107"/>
      <c r="AT182" s="599" t="e">
        <f t="shared" si="92"/>
        <v>#N/A</v>
      </c>
      <c r="AU182" s="599" t="e">
        <f t="shared" si="92"/>
        <v>#N/A</v>
      </c>
      <c r="AV182" s="599" t="e">
        <f t="shared" si="92"/>
        <v>#N/A</v>
      </c>
      <c r="AW182" s="599" t="e">
        <f t="shared" si="92"/>
        <v>#N/A</v>
      </c>
      <c r="AX182" s="599" t="e">
        <f t="shared" si="92"/>
        <v>#N/A</v>
      </c>
      <c r="AY182" s="599" t="e">
        <f t="shared" si="92"/>
        <v>#N/A</v>
      </c>
      <c r="CI182" s="888">
        <v>213</v>
      </c>
      <c r="CJ182" s="4" t="s">
        <v>1254</v>
      </c>
      <c r="CL182" s="1826">
        <v>-2.694399345125142</v>
      </c>
      <c r="CN182" s="864"/>
      <c r="CO182" s="1103"/>
      <c r="CR182" s="1823">
        <v>-0.6644578917244871</v>
      </c>
      <c r="CT182" s="864"/>
      <c r="CU182" s="1103"/>
      <c r="CV182" s="1099"/>
      <c r="CW182" s="1099"/>
      <c r="CX182" s="1823">
        <v>-6.227315172736775</v>
      </c>
      <c r="CY182" s="1099"/>
      <c r="CZ182" s="864"/>
      <c r="DA182" s="1103"/>
      <c r="DB182" s="1099"/>
      <c r="DF182" s="3">
        <v>144</v>
      </c>
      <c r="DG182" s="4">
        <v>1994</v>
      </c>
      <c r="DH182" s="4">
        <v>-1.3696459999999999</v>
      </c>
      <c r="DI182" s="1172"/>
      <c r="DJ182" s="5"/>
      <c r="DK182" s="1444">
        <v>144</v>
      </c>
      <c r="DL182" s="1444">
        <v>1994</v>
      </c>
      <c r="DM182" s="1444">
        <v>-3.5413600000000003E-2</v>
      </c>
      <c r="DN182" s="1440">
        <f t="shared" si="83"/>
        <v>-0.10624080000000001</v>
      </c>
    </row>
    <row r="183" spans="9:118" ht="15.75" thickBot="1">
      <c r="I183" s="515" t="s">
        <v>329</v>
      </c>
      <c r="J183" s="25"/>
      <c r="K183" s="25"/>
      <c r="L183" s="25"/>
      <c r="M183" s="289"/>
      <c r="R183" s="25"/>
      <c r="S183" s="25"/>
      <c r="T183" s="25"/>
      <c r="U183" s="25"/>
      <c r="V183" s="25"/>
      <c r="W183" s="25"/>
      <c r="X183" s="25"/>
      <c r="Y183" s="25"/>
      <c r="Z183" s="25"/>
      <c r="AP183" s="259"/>
      <c r="AQ183" s="107" t="s">
        <v>423</v>
      </c>
      <c r="AR183" s="107"/>
      <c r="AS183" s="107"/>
      <c r="AT183" s="599" t="e">
        <f t="shared" si="92"/>
        <v>#N/A</v>
      </c>
      <c r="AU183" s="599" t="e">
        <f t="shared" si="92"/>
        <v>#N/A</v>
      </c>
      <c r="AV183" s="599" t="e">
        <f t="shared" si="92"/>
        <v>#N/A</v>
      </c>
      <c r="AW183" s="599" t="e">
        <f t="shared" si="92"/>
        <v>#N/A</v>
      </c>
      <c r="AX183" s="599" t="e">
        <f t="shared" si="92"/>
        <v>#N/A</v>
      </c>
      <c r="AY183" s="599" t="e">
        <f t="shared" si="92"/>
        <v>#N/A</v>
      </c>
      <c r="CI183" s="888">
        <v>213</v>
      </c>
      <c r="CJ183" s="4" t="s">
        <v>1255</v>
      </c>
      <c r="CL183" s="1826">
        <v>5.8695428876335667</v>
      </c>
      <c r="CN183" s="864"/>
      <c r="CO183" s="1103"/>
      <c r="CR183" s="1823">
        <v>-6.15492516831051E-3</v>
      </c>
      <c r="CT183" s="864"/>
      <c r="CU183" s="1103"/>
      <c r="CV183" s="1099"/>
      <c r="CW183" s="1099"/>
      <c r="CX183" s="1823">
        <v>-0.85659650378550722</v>
      </c>
      <c r="CY183" s="1099"/>
      <c r="CZ183" s="864"/>
      <c r="DA183" s="1103"/>
      <c r="DB183" s="1099"/>
      <c r="DF183" s="3">
        <v>144</v>
      </c>
      <c r="DG183" s="4">
        <v>1995</v>
      </c>
      <c r="DH183" s="4">
        <v>-1.0257700000000001</v>
      </c>
      <c r="DI183" s="1172"/>
      <c r="DJ183" s="5"/>
      <c r="DK183" s="1444">
        <v>144</v>
      </c>
      <c r="DL183" s="1444">
        <v>1995</v>
      </c>
      <c r="DM183" s="1444">
        <v>0.34387570000000001</v>
      </c>
      <c r="DN183" s="1440">
        <f t="shared" si="83"/>
        <v>1.0316271000000001</v>
      </c>
    </row>
    <row r="184" spans="9:118">
      <c r="I184" s="900" t="s">
        <v>1153</v>
      </c>
      <c r="J184" s="25"/>
      <c r="K184" s="25"/>
      <c r="L184" s="25"/>
      <c r="M184" s="289"/>
      <c r="R184" s="25"/>
      <c r="S184" s="25"/>
      <c r="T184" s="25"/>
      <c r="U184" s="25"/>
      <c r="V184" s="25"/>
      <c r="W184" s="25"/>
      <c r="X184" s="25"/>
      <c r="Y184" s="25"/>
      <c r="Z184" s="25"/>
      <c r="AP184" s="259"/>
      <c r="AQ184" s="107" t="s">
        <v>418</v>
      </c>
      <c r="AR184" s="107"/>
      <c r="AS184" s="107"/>
      <c r="AT184" s="591" t="str">
        <f t="shared" ref="AT184:AY187" si="93">IFERROR(VLOOKUP(CONCATENATE($AQ$179,$AQ184),$P$7:$Z$158,U$2,FALSE),"")</f>
        <v/>
      </c>
      <c r="AU184" s="591" t="str">
        <f t="shared" si="93"/>
        <v/>
      </c>
      <c r="AV184" s="591" t="str">
        <f t="shared" si="93"/>
        <v/>
      </c>
      <c r="AW184" s="591" t="str">
        <f t="shared" si="93"/>
        <v/>
      </c>
      <c r="AX184" s="591" t="str">
        <f t="shared" si="93"/>
        <v/>
      </c>
      <c r="AY184" s="591" t="str">
        <f t="shared" si="93"/>
        <v/>
      </c>
      <c r="CI184" s="888">
        <v>213</v>
      </c>
      <c r="CJ184" s="4" t="s">
        <v>1256</v>
      </c>
      <c r="CL184" s="1826">
        <v>8.4603940100154809</v>
      </c>
      <c r="CN184" s="864"/>
      <c r="CO184" s="1103"/>
      <c r="CR184" s="1823">
        <v>1.2986647425834119</v>
      </c>
      <c r="CT184" s="864"/>
      <c r="CU184" s="1103"/>
      <c r="CV184" s="1099"/>
      <c r="CW184" s="1099"/>
      <c r="CX184" s="1823">
        <v>3.5065830199546753</v>
      </c>
      <c r="CY184" s="1099"/>
      <c r="CZ184" s="864"/>
      <c r="DA184" s="1103"/>
      <c r="DB184" s="1099"/>
      <c r="DF184" s="3">
        <v>144</v>
      </c>
      <c r="DG184" s="4">
        <v>1996</v>
      </c>
      <c r="DH184" s="4">
        <v>0.73672530000000003</v>
      </c>
      <c r="DI184" s="1172"/>
      <c r="DJ184" s="5"/>
      <c r="DK184" s="1444">
        <v>144</v>
      </c>
      <c r="DL184" s="1444">
        <v>1996</v>
      </c>
      <c r="DM184" s="1444">
        <v>1.7624949999999999</v>
      </c>
      <c r="DN184" s="1440">
        <f t="shared" si="83"/>
        <v>5.2874850000000002</v>
      </c>
    </row>
    <row r="185" spans="9:118">
      <c r="I185" s="901" t="s">
        <v>1154</v>
      </c>
      <c r="J185" s="25"/>
      <c r="K185" s="25"/>
      <c r="L185" s="25"/>
      <c r="M185" s="289"/>
      <c r="R185" s="25"/>
      <c r="S185" s="25"/>
      <c r="T185" s="25"/>
      <c r="U185" s="25"/>
      <c r="V185" s="25"/>
      <c r="W185" s="25"/>
      <c r="X185" s="25"/>
      <c r="Y185" s="25"/>
      <c r="Z185" s="25"/>
      <c r="AP185" s="259"/>
      <c r="AQ185" s="107" t="s">
        <v>427</v>
      </c>
      <c r="AR185" s="107"/>
      <c r="AS185" s="107"/>
      <c r="AT185" s="591" t="str">
        <f t="shared" si="93"/>
        <v/>
      </c>
      <c r="AU185" s="591" t="str">
        <f t="shared" si="93"/>
        <v/>
      </c>
      <c r="AV185" s="591" t="str">
        <f t="shared" si="93"/>
        <v/>
      </c>
      <c r="AW185" s="591" t="str">
        <f t="shared" si="93"/>
        <v/>
      </c>
      <c r="AX185" s="591" t="str">
        <f t="shared" si="93"/>
        <v/>
      </c>
      <c r="AY185" s="591" t="str">
        <f t="shared" si="93"/>
        <v/>
      </c>
      <c r="CI185" s="888">
        <v>213</v>
      </c>
      <c r="CJ185" s="1091" t="s">
        <v>1257</v>
      </c>
      <c r="CL185" s="1826">
        <v>-3.665327043951359</v>
      </c>
      <c r="CN185" s="1104"/>
      <c r="CO185" s="1105"/>
      <c r="CR185" s="1824">
        <v>-3.0696138577304333</v>
      </c>
      <c r="CT185" s="1104"/>
      <c r="CU185" s="1105"/>
      <c r="CV185" s="1100"/>
      <c r="CW185" s="1100"/>
      <c r="CX185" s="1824">
        <v>-4.6011601745798831</v>
      </c>
      <c r="CY185" s="1100"/>
      <c r="CZ185" s="1104"/>
      <c r="DA185" s="1105"/>
      <c r="DB185" s="1100"/>
      <c r="DF185" s="3">
        <v>144</v>
      </c>
      <c r="DG185" s="4">
        <v>1997</v>
      </c>
      <c r="DH185" s="4">
        <v>2.5152679999999998</v>
      </c>
      <c r="DI185" s="1172"/>
      <c r="DJ185" s="5"/>
      <c r="DK185" s="1444">
        <v>144</v>
      </c>
      <c r="DL185" s="1444">
        <v>1997</v>
      </c>
      <c r="DM185" s="1444">
        <v>1.778543</v>
      </c>
      <c r="DN185" s="1440">
        <f t="shared" si="83"/>
        <v>5.335629</v>
      </c>
    </row>
    <row r="186" spans="9:118" ht="15.75" thickBot="1">
      <c r="I186" s="902" t="s">
        <v>1152</v>
      </c>
      <c r="J186" s="25"/>
      <c r="K186" s="25"/>
      <c r="L186" s="25"/>
      <c r="M186" s="289"/>
      <c r="R186" s="25"/>
      <c r="S186" s="25"/>
      <c r="T186" s="25"/>
      <c r="U186" s="25"/>
      <c r="V186" s="25"/>
      <c r="W186" s="25"/>
      <c r="X186" s="25"/>
      <c r="Y186" s="25"/>
      <c r="Z186" s="25"/>
      <c r="AP186" s="259"/>
      <c r="AQ186" s="107" t="s">
        <v>544</v>
      </c>
      <c r="AR186" s="107"/>
      <c r="AS186" s="107"/>
      <c r="AT186" s="591" t="str">
        <f t="shared" si="93"/>
        <v/>
      </c>
      <c r="AU186" s="591" t="str">
        <f t="shared" si="93"/>
        <v/>
      </c>
      <c r="AV186" s="591" t="str">
        <f t="shared" si="93"/>
        <v/>
      </c>
      <c r="AW186" s="591" t="str">
        <f t="shared" si="93"/>
        <v/>
      </c>
      <c r="AX186" s="591" t="str">
        <f t="shared" si="93"/>
        <v/>
      </c>
      <c r="AY186" s="591" t="str">
        <f t="shared" si="93"/>
        <v/>
      </c>
      <c r="CI186" s="888">
        <v>911</v>
      </c>
      <c r="CJ186" s="4" t="s">
        <v>1258</v>
      </c>
      <c r="CL186" s="1826"/>
      <c r="CN186" s="1099">
        <v>0.26112121060244803</v>
      </c>
      <c r="CO186" s="1106">
        <v>0.81</v>
      </c>
      <c r="CR186" s="1822"/>
      <c r="CT186" s="1102">
        <v>-1.3719406602898618</v>
      </c>
      <c r="CU186" s="1106">
        <v>0.25</v>
      </c>
      <c r="CV186" s="863"/>
      <c r="CW186" s="863"/>
      <c r="CX186" s="1822" t="e">
        <v>#N/A</v>
      </c>
      <c r="CY186" s="863"/>
      <c r="CZ186" s="1099">
        <v>-1.8999999999998249</v>
      </c>
      <c r="DA186" s="1106">
        <v>7.0000000000000007E-2</v>
      </c>
      <c r="DB186" s="863"/>
      <c r="DF186" s="3">
        <v>144</v>
      </c>
      <c r="DG186" s="4">
        <v>1998</v>
      </c>
      <c r="DH186" s="4">
        <v>4.5816369999999997</v>
      </c>
      <c r="DI186" s="1172"/>
      <c r="DJ186" s="5"/>
      <c r="DK186" s="1444">
        <v>144</v>
      </c>
      <c r="DL186" s="1444">
        <v>1998</v>
      </c>
      <c r="DM186" s="1444">
        <v>2.0663689999999999</v>
      </c>
      <c r="DN186" s="1440">
        <f t="shared" si="83"/>
        <v>6.1991069999999997</v>
      </c>
    </row>
    <row r="187" spans="9:118">
      <c r="I187" s="477"/>
      <c r="J187" s="25"/>
      <c r="K187" s="25"/>
      <c r="L187" s="25"/>
      <c r="M187" s="289"/>
      <c r="R187" s="25"/>
      <c r="S187" s="25"/>
      <c r="T187" s="25"/>
      <c r="U187" s="25"/>
      <c r="V187" s="25"/>
      <c r="W187" s="25"/>
      <c r="X187" s="25"/>
      <c r="Y187" s="25"/>
      <c r="Z187" s="25"/>
      <c r="AP187" s="259"/>
      <c r="AQ187" s="266" t="s">
        <v>428</v>
      </c>
      <c r="AR187" s="266"/>
      <c r="AS187" s="266"/>
      <c r="AT187" s="600" t="str">
        <f t="shared" si="93"/>
        <v/>
      </c>
      <c r="AU187" s="600" t="str">
        <f t="shared" si="93"/>
        <v/>
      </c>
      <c r="AV187" s="600" t="str">
        <f t="shared" si="93"/>
        <v/>
      </c>
      <c r="AW187" s="600" t="str">
        <f t="shared" si="93"/>
        <v/>
      </c>
      <c r="AX187" s="600" t="str">
        <f t="shared" si="93"/>
        <v/>
      </c>
      <c r="AY187" s="600" t="str">
        <f t="shared" si="93"/>
        <v/>
      </c>
      <c r="CI187" s="888">
        <v>911</v>
      </c>
      <c r="CJ187" s="4"/>
      <c r="CL187" s="1826"/>
      <c r="CN187" s="1102"/>
      <c r="CO187" s="1103"/>
      <c r="CR187" s="1822"/>
      <c r="CT187" s="1102"/>
      <c r="CU187" s="1103"/>
      <c r="CV187" s="863"/>
      <c r="CW187" s="863"/>
      <c r="CX187" s="1822" t="e">
        <v>#N/A</v>
      </c>
      <c r="CY187" s="863"/>
      <c r="CZ187" s="1102"/>
      <c r="DA187" s="1103"/>
      <c r="DB187" s="863"/>
      <c r="DF187" s="3">
        <v>144</v>
      </c>
      <c r="DG187" s="4">
        <v>1999</v>
      </c>
      <c r="DH187" s="4">
        <v>4.8813120000000003</v>
      </c>
      <c r="DI187" s="1172"/>
      <c r="DJ187" s="5"/>
      <c r="DK187" s="1444">
        <v>144</v>
      </c>
      <c r="DL187" s="1444">
        <v>1999</v>
      </c>
      <c r="DM187" s="1444">
        <v>0.29967500000000002</v>
      </c>
      <c r="DN187" s="1440">
        <f t="shared" si="83"/>
        <v>0.89902500000000007</v>
      </c>
    </row>
    <row r="188" spans="9:118">
      <c r="I188" s="477"/>
      <c r="J188" s="25"/>
      <c r="K188" s="25"/>
      <c r="L188" s="25"/>
      <c r="M188" s="289"/>
      <c r="R188" s="25"/>
      <c r="S188" s="25"/>
      <c r="T188" s="25"/>
      <c r="U188" s="25"/>
      <c r="V188" s="25"/>
      <c r="W188" s="25"/>
      <c r="X188" s="25"/>
      <c r="Y188" s="25"/>
      <c r="Z188" s="25"/>
      <c r="AP188" s="25"/>
      <c r="AQ188" s="429"/>
      <c r="AR188" s="429"/>
      <c r="AS188" s="429"/>
      <c r="AT188" s="429"/>
      <c r="AU188" s="429"/>
      <c r="AV188" s="429"/>
      <c r="AW188" s="429"/>
      <c r="AX188" s="429"/>
      <c r="AY188" s="429"/>
      <c r="CI188" s="888">
        <v>911</v>
      </c>
      <c r="CJ188" s="4"/>
      <c r="CL188" s="1826"/>
      <c r="CN188" s="1102"/>
      <c r="CO188" s="1103"/>
      <c r="CR188" s="1822"/>
      <c r="CT188" s="1102"/>
      <c r="CU188" s="1103"/>
      <c r="CV188" s="863"/>
      <c r="CW188" s="863"/>
      <c r="CX188" s="1822" t="e">
        <v>#N/A</v>
      </c>
      <c r="CY188" s="863"/>
      <c r="CZ188" s="1102"/>
      <c r="DA188" s="1103"/>
      <c r="DB188" s="863"/>
      <c r="DF188" s="3">
        <v>144</v>
      </c>
      <c r="DG188" s="4">
        <v>2000</v>
      </c>
      <c r="DH188" s="4">
        <v>5.1082580000000002</v>
      </c>
      <c r="DI188" s="1172"/>
      <c r="DJ188" s="5"/>
      <c r="DK188" s="1444">
        <v>144</v>
      </c>
      <c r="DL188" s="1444">
        <v>2000</v>
      </c>
      <c r="DM188" s="1444">
        <v>0.22694619999999999</v>
      </c>
      <c r="DN188" s="1440">
        <f t="shared" si="83"/>
        <v>0.68083859999999996</v>
      </c>
    </row>
    <row r="189" spans="9:118" ht="15.75" thickBot="1">
      <c r="I189" s="477"/>
      <c r="J189" s="25"/>
      <c r="K189" s="25"/>
      <c r="L189" s="25"/>
      <c r="M189" s="289"/>
      <c r="R189" s="25"/>
      <c r="S189" s="25"/>
      <c r="T189" s="25"/>
      <c r="U189" s="25"/>
      <c r="V189" s="25"/>
      <c r="W189" s="25"/>
      <c r="X189" s="25"/>
      <c r="Y189" s="25"/>
      <c r="Z189" s="25"/>
      <c r="AP189" s="259">
        <f>IF(AND(ScrutinyClassification_Final="Higher",Custom2Trigger=1),1,0)</f>
        <v>0</v>
      </c>
      <c r="AQ189" s="1470" t="str">
        <f>IF(ExtraShock5=1,IF(ISBLANK(Custom2Name), "Customized shock 2",Custom2Name),"")</f>
        <v/>
      </c>
      <c r="AR189" s="1470"/>
      <c r="AS189" s="1470"/>
      <c r="AT189" s="25"/>
      <c r="AU189" s="25"/>
      <c r="AV189" s="25"/>
      <c r="AW189" s="25"/>
      <c r="AX189" s="25"/>
      <c r="AY189" s="25"/>
      <c r="CI189" s="888">
        <v>911</v>
      </c>
      <c r="CJ189" s="4"/>
      <c r="CL189" s="1826"/>
      <c r="CN189" s="1102"/>
      <c r="CO189" s="1103"/>
      <c r="CR189" s="1825"/>
      <c r="CT189" s="1102"/>
      <c r="CU189" s="1103"/>
      <c r="CV189" s="1099"/>
      <c r="CW189" s="1099"/>
      <c r="CX189" s="1825" t="e">
        <v>#N/A</v>
      </c>
      <c r="CY189" s="1099"/>
      <c r="CZ189" s="1102"/>
      <c r="DA189" s="1103"/>
      <c r="DB189" s="1099"/>
      <c r="DF189" s="3">
        <v>146</v>
      </c>
      <c r="DG189" s="4">
        <v>1998</v>
      </c>
      <c r="DH189" s="4">
        <v>0.2436536</v>
      </c>
      <c r="DI189" s="1172"/>
      <c r="DJ189" s="5"/>
      <c r="DK189" s="1444">
        <v>146</v>
      </c>
      <c r="DL189" s="1444">
        <v>1998</v>
      </c>
      <c r="DM189" s="1444">
        <v>-9.1276599999999999E-2</v>
      </c>
      <c r="DN189" s="1440">
        <f t="shared" si="83"/>
        <v>-0.27382980000000001</v>
      </c>
    </row>
    <row r="190" spans="9:118" ht="15.75" thickBot="1">
      <c r="I190" s="274" t="s">
        <v>394</v>
      </c>
      <c r="J190" s="550" t="s">
        <v>132</v>
      </c>
      <c r="K190" s="551" t="s">
        <v>130</v>
      </c>
      <c r="M190" s="259"/>
      <c r="R190" s="25"/>
      <c r="S190" s="25"/>
      <c r="T190" s="25"/>
      <c r="U190" s="25"/>
      <c r="V190" s="25"/>
      <c r="W190" s="25"/>
      <c r="X190" s="25"/>
      <c r="Y190" s="25"/>
      <c r="Z190" s="25"/>
      <c r="AP190" s="259"/>
      <c r="AQ190" s="265" t="s">
        <v>421</v>
      </c>
      <c r="AR190" s="265"/>
      <c r="AS190" s="265"/>
      <c r="AT190" s="598" t="e">
        <f t="shared" ref="AT190:AY193" si="94">VLOOKUP(CONCATENATE($AQ$189,$AQ190),$P$7:$Z$158,U$2,FALSE)</f>
        <v>#N/A</v>
      </c>
      <c r="AU190" s="598" t="e">
        <f t="shared" si="94"/>
        <v>#N/A</v>
      </c>
      <c r="AV190" s="598" t="e">
        <f t="shared" si="94"/>
        <v>#N/A</v>
      </c>
      <c r="AW190" s="598" t="e">
        <f t="shared" si="94"/>
        <v>#N/A</v>
      </c>
      <c r="AX190" s="598" t="e">
        <f t="shared" si="94"/>
        <v>#N/A</v>
      </c>
      <c r="AY190" s="598" t="e">
        <f t="shared" si="94"/>
        <v>#N/A</v>
      </c>
      <c r="CI190" s="888">
        <v>911</v>
      </c>
      <c r="CJ190" s="4" t="s">
        <v>2411</v>
      </c>
      <c r="CL190" s="1826">
        <v>4.9780947414717378</v>
      </c>
      <c r="CN190" s="1102"/>
      <c r="CO190" s="1103"/>
      <c r="CR190" s="1823">
        <v>-1.4346639145646038</v>
      </c>
      <c r="CT190" s="1102"/>
      <c r="CU190" s="1103"/>
      <c r="CV190" s="1099"/>
      <c r="CW190" s="1099"/>
      <c r="CX190" s="1823">
        <v>-1.8999999999998249</v>
      </c>
      <c r="CY190" s="1099"/>
      <c r="CZ190" s="1102"/>
      <c r="DA190" s="1103"/>
      <c r="DB190" s="1099"/>
      <c r="DF190" s="3">
        <v>146</v>
      </c>
      <c r="DG190" s="4">
        <v>1999</v>
      </c>
      <c r="DH190" s="4">
        <v>0.59218760000000004</v>
      </c>
      <c r="DI190" s="1172"/>
      <c r="DJ190" s="5"/>
      <c r="DK190" s="1444">
        <v>146</v>
      </c>
      <c r="DL190" s="1444">
        <v>1999</v>
      </c>
      <c r="DM190" s="1444">
        <v>0.34853400000000001</v>
      </c>
      <c r="DN190" s="1440">
        <f t="shared" si="83"/>
        <v>1.0456020000000001</v>
      </c>
    </row>
    <row r="191" spans="9:118">
      <c r="I191" s="41" t="s">
        <v>378</v>
      </c>
      <c r="J191" s="102" t="s">
        <v>378</v>
      </c>
      <c r="K191" s="1610" t="s">
        <v>395</v>
      </c>
      <c r="L191" s="530"/>
      <c r="M191" s="275"/>
      <c r="R191" s="25"/>
      <c r="S191" s="25"/>
      <c r="T191" s="25"/>
      <c r="U191" s="25"/>
      <c r="V191" s="25"/>
      <c r="W191" s="25"/>
      <c r="X191" s="25"/>
      <c r="Y191" s="25"/>
      <c r="Z191" s="25"/>
      <c r="AP191" s="259"/>
      <c r="AQ191" s="107" t="s">
        <v>424</v>
      </c>
      <c r="AR191" s="107"/>
      <c r="AS191" s="107"/>
      <c r="AT191" s="599" t="e">
        <f t="shared" si="94"/>
        <v>#N/A</v>
      </c>
      <c r="AU191" s="599" t="e">
        <f t="shared" si="94"/>
        <v>#N/A</v>
      </c>
      <c r="AV191" s="599" t="e">
        <f t="shared" si="94"/>
        <v>#N/A</v>
      </c>
      <c r="AW191" s="599" t="e">
        <f t="shared" si="94"/>
        <v>#N/A</v>
      </c>
      <c r="AX191" s="599" t="e">
        <f t="shared" si="94"/>
        <v>#N/A</v>
      </c>
      <c r="AY191" s="599" t="e">
        <f t="shared" si="94"/>
        <v>#N/A</v>
      </c>
      <c r="CI191" s="888">
        <v>911</v>
      </c>
      <c r="CJ191" s="4" t="s">
        <v>2279</v>
      </c>
      <c r="CL191" s="1826">
        <v>0.26112121060244803</v>
      </c>
      <c r="CN191" s="1102"/>
      <c r="CO191" s="1103"/>
      <c r="CR191" s="1823">
        <v>-2.8696412257544939</v>
      </c>
      <c r="CT191" s="1102"/>
      <c r="CU191" s="1103"/>
      <c r="CV191" s="1099"/>
      <c r="CW191" s="1099"/>
      <c r="CX191" s="1823">
        <v>-3.5439529078819612</v>
      </c>
      <c r="CY191" s="1099"/>
      <c r="CZ191" s="1102"/>
      <c r="DA191" s="1103"/>
      <c r="DB191" s="1099"/>
      <c r="DF191" s="3">
        <v>146</v>
      </c>
      <c r="DG191" s="4">
        <v>2000</v>
      </c>
      <c r="DH191" s="4">
        <v>1.2873969999999999</v>
      </c>
      <c r="DI191" s="1172"/>
      <c r="DJ191" s="5"/>
      <c r="DK191" s="1444">
        <v>146</v>
      </c>
      <c r="DL191" s="1444">
        <v>2000</v>
      </c>
      <c r="DM191" s="1444">
        <v>0.69520950000000004</v>
      </c>
      <c r="DN191" s="1440">
        <f t="shared" si="83"/>
        <v>2.0856285000000003</v>
      </c>
    </row>
    <row r="192" spans="9:118">
      <c r="I192" s="42" t="s">
        <v>380</v>
      </c>
      <c r="J192" s="98" t="s">
        <v>380</v>
      </c>
      <c r="K192" s="557" t="s">
        <v>396</v>
      </c>
      <c r="L192" s="530"/>
      <c r="M192" s="275"/>
      <c r="R192" s="25"/>
      <c r="S192" s="25"/>
      <c r="T192" s="25"/>
      <c r="U192" s="25"/>
      <c r="V192" s="25"/>
      <c r="W192" s="25"/>
      <c r="X192" s="25"/>
      <c r="Y192" s="25"/>
      <c r="Z192" s="25"/>
      <c r="AP192" s="259"/>
      <c r="AQ192" s="107" t="s">
        <v>425</v>
      </c>
      <c r="AR192" s="107"/>
      <c r="AS192" s="107"/>
      <c r="AT192" s="599" t="e">
        <f t="shared" si="94"/>
        <v>#N/A</v>
      </c>
      <c r="AU192" s="599" t="e">
        <f t="shared" si="94"/>
        <v>#N/A</v>
      </c>
      <c r="AV192" s="599" t="e">
        <f t="shared" si="94"/>
        <v>#N/A</v>
      </c>
      <c r="AW192" s="599" t="e">
        <f t="shared" si="94"/>
        <v>#N/A</v>
      </c>
      <c r="AX192" s="599" t="e">
        <f t="shared" si="94"/>
        <v>#N/A</v>
      </c>
      <c r="AY192" s="599" t="e">
        <f t="shared" si="94"/>
        <v>#N/A</v>
      </c>
      <c r="CI192" s="888">
        <v>911</v>
      </c>
      <c r="CJ192" s="4" t="s">
        <v>1259</v>
      </c>
      <c r="CL192" s="1826">
        <v>-1.4844246974631803</v>
      </c>
      <c r="CN192" s="1102"/>
      <c r="CO192" s="1103"/>
      <c r="CR192" s="1823">
        <v>-2.7278838310810944</v>
      </c>
      <c r="CT192" s="1102"/>
      <c r="CU192" s="1103"/>
      <c r="CV192" s="1099"/>
      <c r="CW192" s="1099"/>
      <c r="CX192" s="1823">
        <v>-2.8369706558111338</v>
      </c>
      <c r="CY192" s="1099"/>
      <c r="CZ192" s="1102"/>
      <c r="DA192" s="1103"/>
      <c r="DB192" s="1099"/>
      <c r="DF192" s="3">
        <v>146</v>
      </c>
      <c r="DG192" s="4">
        <v>2001</v>
      </c>
      <c r="DH192" s="4">
        <v>1.7922020000000001</v>
      </c>
      <c r="DI192" s="1172"/>
      <c r="DJ192" s="5"/>
      <c r="DK192" s="1444">
        <v>146</v>
      </c>
      <c r="DL192" s="1444">
        <v>2001</v>
      </c>
      <c r="DM192" s="1444">
        <v>0.50480539999999996</v>
      </c>
      <c r="DN192" s="1440">
        <f t="shared" si="83"/>
        <v>1.5144161999999999</v>
      </c>
    </row>
    <row r="193" spans="9:118">
      <c r="I193" s="42" t="s">
        <v>379</v>
      </c>
      <c r="J193" s="98" t="s">
        <v>379</v>
      </c>
      <c r="K193" s="557" t="s">
        <v>397</v>
      </c>
      <c r="L193" s="530"/>
      <c r="M193" s="275"/>
      <c r="R193" s="25"/>
      <c r="S193" s="25"/>
      <c r="T193" s="25"/>
      <c r="U193" s="25"/>
      <c r="V193" s="25"/>
      <c r="W193" s="25"/>
      <c r="X193" s="25"/>
      <c r="Y193" s="25"/>
      <c r="Z193" s="25"/>
      <c r="AP193" s="259"/>
      <c r="AQ193" s="107" t="s">
        <v>423</v>
      </c>
      <c r="AR193" s="107"/>
      <c r="AS193" s="107"/>
      <c r="AT193" s="599" t="e">
        <f t="shared" si="94"/>
        <v>#N/A</v>
      </c>
      <c r="AU193" s="599" t="e">
        <f t="shared" si="94"/>
        <v>#N/A</v>
      </c>
      <c r="AV193" s="599" t="e">
        <f t="shared" si="94"/>
        <v>#N/A</v>
      </c>
      <c r="AW193" s="599" t="e">
        <f t="shared" si="94"/>
        <v>#N/A</v>
      </c>
      <c r="AX193" s="599" t="e">
        <f t="shared" si="94"/>
        <v>#N/A</v>
      </c>
      <c r="AY193" s="599" t="e">
        <f t="shared" si="94"/>
        <v>#N/A</v>
      </c>
      <c r="CI193" s="888">
        <v>911</v>
      </c>
      <c r="CJ193" s="4" t="s">
        <v>1260</v>
      </c>
      <c r="CL193" s="1826">
        <v>-0.5673753245575921</v>
      </c>
      <c r="CN193" s="1102"/>
      <c r="CO193" s="1103"/>
      <c r="CR193" s="1823">
        <v>0.39512272981278929</v>
      </c>
      <c r="CT193" s="1102"/>
      <c r="CU193" s="1103"/>
      <c r="CV193" s="1099"/>
      <c r="CW193" s="1099"/>
      <c r="CX193" s="1823">
        <v>-1.3162562510973475</v>
      </c>
      <c r="CY193" s="1099"/>
      <c r="CZ193" s="1102"/>
      <c r="DA193" s="1103"/>
      <c r="DB193" s="1099"/>
      <c r="DF193" s="3">
        <v>146</v>
      </c>
      <c r="DG193" s="4">
        <v>2002</v>
      </c>
      <c r="DH193" s="4">
        <v>1.5871850000000001</v>
      </c>
      <c r="DI193" s="1172"/>
      <c r="DJ193" s="5"/>
      <c r="DK193" s="1444">
        <v>146</v>
      </c>
      <c r="DL193" s="1444">
        <v>2002</v>
      </c>
      <c r="DM193" s="1444">
        <v>-0.20501730000000001</v>
      </c>
      <c r="DN193" s="1440">
        <f t="shared" si="83"/>
        <v>-0.6150519000000001</v>
      </c>
    </row>
    <row r="194" spans="9:118">
      <c r="I194" s="42" t="s">
        <v>393</v>
      </c>
      <c r="J194" s="98" t="s">
        <v>393</v>
      </c>
      <c r="K194" s="557" t="s">
        <v>398</v>
      </c>
      <c r="L194" s="530"/>
      <c r="M194" s="275"/>
      <c r="R194" s="25"/>
      <c r="S194" s="25"/>
      <c r="T194" s="25"/>
      <c r="U194" s="25"/>
      <c r="V194" s="25"/>
      <c r="W194" s="25"/>
      <c r="X194" s="25"/>
      <c r="Y194" s="25"/>
      <c r="Z194" s="25"/>
      <c r="AP194" s="259"/>
      <c r="AQ194" s="107" t="s">
        <v>418</v>
      </c>
      <c r="AR194" s="107"/>
      <c r="AS194" s="107"/>
      <c r="AT194" s="591" t="str">
        <f t="shared" ref="AT194:AY197" si="95">IFERROR(VLOOKUP(CONCATENATE($AQ$189,$AQ194),$P$7:$Z$158,U$2,FALSE),"")</f>
        <v/>
      </c>
      <c r="AU194" s="591" t="str">
        <f t="shared" si="95"/>
        <v/>
      </c>
      <c r="AV194" s="591" t="str">
        <f t="shared" si="95"/>
        <v/>
      </c>
      <c r="AW194" s="591" t="str">
        <f t="shared" si="95"/>
        <v/>
      </c>
      <c r="AX194" s="591" t="str">
        <f t="shared" si="95"/>
        <v/>
      </c>
      <c r="AY194" s="591" t="str">
        <f t="shared" si="95"/>
        <v/>
      </c>
      <c r="CI194" s="888">
        <v>911</v>
      </c>
      <c r="CJ194" s="4" t="s">
        <v>1261</v>
      </c>
      <c r="CL194" s="1826">
        <v>-0.46737532455736108</v>
      </c>
      <c r="CN194" s="864"/>
      <c r="CO194" s="1103"/>
      <c r="CR194" s="1823">
        <v>0.65355169336158059</v>
      </c>
      <c r="CT194" s="864"/>
      <c r="CU194" s="1103"/>
      <c r="CV194" s="1099"/>
      <c r="CW194" s="1099"/>
      <c r="CX194" s="1823">
        <v>-1.3011158071412328</v>
      </c>
      <c r="CY194" s="1099"/>
      <c r="CZ194" s="864"/>
      <c r="DA194" s="1103"/>
      <c r="DB194" s="1099"/>
      <c r="DF194" s="3">
        <v>146</v>
      </c>
      <c r="DG194" s="4">
        <v>2003</v>
      </c>
      <c r="DH194" s="4">
        <v>1.4788680000000001</v>
      </c>
      <c r="DI194" s="1172"/>
      <c r="DJ194" s="5"/>
      <c r="DK194" s="1444">
        <v>146</v>
      </c>
      <c r="DL194" s="1444">
        <v>2003</v>
      </c>
      <c r="DM194" s="1444">
        <v>-0.1083177</v>
      </c>
      <c r="DN194" s="1440">
        <f t="shared" si="83"/>
        <v>-0.32495309999999999</v>
      </c>
    </row>
    <row r="195" spans="9:118">
      <c r="I195" s="42" t="s">
        <v>382</v>
      </c>
      <c r="J195" s="98" t="s">
        <v>382</v>
      </c>
      <c r="K195" s="557" t="s">
        <v>399</v>
      </c>
      <c r="L195" s="530"/>
      <c r="M195" s="275"/>
      <c r="R195" s="25"/>
      <c r="S195" s="25"/>
      <c r="T195" s="25"/>
      <c r="U195" s="25"/>
      <c r="V195" s="25"/>
      <c r="W195" s="25"/>
      <c r="X195" s="25"/>
      <c r="Y195" s="25"/>
      <c r="Z195" s="25"/>
      <c r="AP195" s="259"/>
      <c r="AQ195" s="107" t="s">
        <v>427</v>
      </c>
      <c r="AR195" s="107"/>
      <c r="AS195" s="107"/>
      <c r="AT195" s="591" t="str">
        <f t="shared" si="95"/>
        <v/>
      </c>
      <c r="AU195" s="591" t="str">
        <f t="shared" si="95"/>
        <v/>
      </c>
      <c r="AV195" s="591" t="str">
        <f t="shared" si="95"/>
        <v/>
      </c>
      <c r="AW195" s="591" t="str">
        <f t="shared" si="95"/>
        <v/>
      </c>
      <c r="AX195" s="591" t="str">
        <f t="shared" si="95"/>
        <v/>
      </c>
      <c r="AY195" s="591" t="str">
        <f t="shared" si="95"/>
        <v/>
      </c>
      <c r="CI195" s="888">
        <v>911</v>
      </c>
      <c r="CJ195" s="4" t="s">
        <v>1262</v>
      </c>
      <c r="CL195" s="1826">
        <v>2.8343561439782086</v>
      </c>
      <c r="CN195" s="864"/>
      <c r="CO195" s="1103"/>
      <c r="CR195" s="1823">
        <v>0.92777947167377706</v>
      </c>
      <c r="CT195" s="864"/>
      <c r="CU195" s="1103"/>
      <c r="CV195" s="1099"/>
      <c r="CW195" s="1099"/>
      <c r="CX195" s="1823">
        <v>-6.2315545087075677</v>
      </c>
      <c r="CY195" s="1099"/>
      <c r="CZ195" s="864"/>
      <c r="DA195" s="1103"/>
      <c r="DB195" s="1099"/>
      <c r="DF195" s="3">
        <v>146</v>
      </c>
      <c r="DG195" s="4">
        <v>2004</v>
      </c>
      <c r="DH195" s="4">
        <v>1.3179650000000001</v>
      </c>
      <c r="DI195" s="1172"/>
      <c r="DJ195" s="5"/>
      <c r="DK195" s="1444">
        <v>146</v>
      </c>
      <c r="DL195" s="1444">
        <v>2004</v>
      </c>
      <c r="DM195" s="1444">
        <v>-0.1609022</v>
      </c>
      <c r="DN195" s="1440">
        <f t="shared" si="83"/>
        <v>-0.48270659999999999</v>
      </c>
    </row>
    <row r="196" spans="9:118">
      <c r="I196" s="42" t="s">
        <v>381</v>
      </c>
      <c r="J196" s="98" t="s">
        <v>381</v>
      </c>
      <c r="K196" s="557" t="s">
        <v>400</v>
      </c>
      <c r="L196" s="530"/>
      <c r="M196" s="275"/>
      <c r="R196" s="25"/>
      <c r="S196" s="25"/>
      <c r="T196" s="25"/>
      <c r="U196" s="25"/>
      <c r="V196" s="25"/>
      <c r="W196" s="25"/>
      <c r="X196" s="25"/>
      <c r="Y196" s="25"/>
      <c r="Z196" s="25"/>
      <c r="AP196" s="259"/>
      <c r="AQ196" s="107" t="s">
        <v>544</v>
      </c>
      <c r="AR196" s="107"/>
      <c r="AS196" s="107"/>
      <c r="AT196" s="591" t="str">
        <f t="shared" si="95"/>
        <v/>
      </c>
      <c r="AU196" s="591" t="str">
        <f t="shared" si="95"/>
        <v/>
      </c>
      <c r="AV196" s="591" t="str">
        <f t="shared" si="95"/>
        <v/>
      </c>
      <c r="AW196" s="591" t="str">
        <f t="shared" si="95"/>
        <v/>
      </c>
      <c r="AX196" s="591" t="str">
        <f t="shared" si="95"/>
        <v/>
      </c>
      <c r="AY196" s="591" t="str">
        <f t="shared" si="95"/>
        <v/>
      </c>
      <c r="CI196" s="888">
        <v>911</v>
      </c>
      <c r="CJ196" s="4" t="s">
        <v>1263</v>
      </c>
      <c r="CL196" s="1826">
        <v>1.6996731743840106</v>
      </c>
      <c r="CN196" s="864"/>
      <c r="CO196" s="1103"/>
      <c r="CR196" s="1823">
        <v>1.7583074503524554</v>
      </c>
      <c r="CT196" s="864"/>
      <c r="CU196" s="1103"/>
      <c r="CV196" s="1099"/>
      <c r="CW196" s="1099"/>
      <c r="CX196" s="1823">
        <v>-0.95937936594131745</v>
      </c>
      <c r="CY196" s="1099"/>
      <c r="CZ196" s="864"/>
      <c r="DA196" s="1103"/>
      <c r="DB196" s="1099"/>
      <c r="DF196" s="3">
        <v>146</v>
      </c>
      <c r="DG196" s="4">
        <v>2005</v>
      </c>
      <c r="DH196" s="4">
        <v>1.6518729999999999</v>
      </c>
      <c r="DI196" s="1172"/>
      <c r="DJ196" s="5"/>
      <c r="DK196" s="1444">
        <v>146</v>
      </c>
      <c r="DL196" s="1444">
        <v>2005</v>
      </c>
      <c r="DM196" s="1444">
        <v>0.33390720000000002</v>
      </c>
      <c r="DN196" s="1440">
        <f t="shared" ref="DN196:DN259" si="96">DM196*3</f>
        <v>1.0017216</v>
      </c>
    </row>
    <row r="197" spans="9:118">
      <c r="I197" s="42" t="s">
        <v>383</v>
      </c>
      <c r="J197" s="98" t="s">
        <v>383</v>
      </c>
      <c r="K197" s="557" t="s">
        <v>401</v>
      </c>
      <c r="L197" s="530"/>
      <c r="M197" s="275"/>
      <c r="R197" s="25"/>
      <c r="S197" s="25"/>
      <c r="T197" s="25"/>
      <c r="U197" s="25"/>
      <c r="V197" s="25"/>
      <c r="W197" s="25"/>
      <c r="X197" s="25"/>
      <c r="Y197" s="25"/>
      <c r="Z197" s="25"/>
      <c r="AP197" s="259"/>
      <c r="AQ197" s="266" t="s">
        <v>428</v>
      </c>
      <c r="AR197" s="266"/>
      <c r="AS197" s="266"/>
      <c r="AT197" s="600" t="str">
        <f t="shared" si="95"/>
        <v/>
      </c>
      <c r="AU197" s="600" t="str">
        <f t="shared" si="95"/>
        <v/>
      </c>
      <c r="AV197" s="600" t="str">
        <f t="shared" si="95"/>
        <v/>
      </c>
      <c r="AW197" s="600" t="str">
        <f t="shared" si="95"/>
        <v/>
      </c>
      <c r="AX197" s="600" t="str">
        <f t="shared" si="95"/>
        <v/>
      </c>
      <c r="AY197" s="600" t="str">
        <f t="shared" si="95"/>
        <v/>
      </c>
      <c r="CI197" s="888">
        <v>911</v>
      </c>
      <c r="CJ197" s="4" t="s">
        <v>1264</v>
      </c>
      <c r="CL197" s="1826">
        <v>2.0962639690087133</v>
      </c>
      <c r="CN197" s="864"/>
      <c r="CO197" s="1103"/>
      <c r="CR197" s="1823">
        <v>-1.3719406602898618</v>
      </c>
      <c r="CT197" s="864"/>
      <c r="CU197" s="1103"/>
      <c r="CV197" s="1099"/>
      <c r="CW197" s="1099"/>
      <c r="CX197" s="1823">
        <v>1.9644894499259529</v>
      </c>
      <c r="CY197" s="1099"/>
      <c r="CZ197" s="864"/>
      <c r="DA197" s="1103"/>
      <c r="DB197" s="1099"/>
      <c r="DF197" s="3">
        <v>146</v>
      </c>
      <c r="DG197" s="4">
        <v>2006</v>
      </c>
      <c r="DH197" s="4">
        <v>2.268745</v>
      </c>
      <c r="DI197" s="1172"/>
      <c r="DJ197" s="5"/>
      <c r="DK197" s="1444">
        <v>146</v>
      </c>
      <c r="DL197" s="1444">
        <v>2006</v>
      </c>
      <c r="DM197" s="1444">
        <v>0.61687270000000005</v>
      </c>
      <c r="DN197" s="1440">
        <f t="shared" si="96"/>
        <v>1.8506181000000002</v>
      </c>
    </row>
    <row r="198" spans="9:118">
      <c r="I198" s="42" t="s">
        <v>386</v>
      </c>
      <c r="J198" s="98" t="s">
        <v>386</v>
      </c>
      <c r="K198" s="557" t="s">
        <v>402</v>
      </c>
      <c r="L198" s="530"/>
      <c r="M198" s="275"/>
      <c r="R198" s="25"/>
      <c r="S198" s="25"/>
      <c r="T198" s="25"/>
      <c r="U198" s="25"/>
      <c r="V198" s="25"/>
      <c r="W198" s="25"/>
      <c r="X198" s="25"/>
      <c r="Y198" s="25"/>
      <c r="Z198" s="25"/>
      <c r="AP198" s="437"/>
      <c r="AQ198" s="100"/>
      <c r="AR198" s="100"/>
      <c r="AS198" s="100"/>
      <c r="AT198" s="100"/>
      <c r="AU198" s="100"/>
      <c r="AV198" s="100"/>
      <c r="AW198" s="100"/>
      <c r="AX198" s="100"/>
      <c r="AY198" s="100"/>
      <c r="CI198" s="888">
        <v>911</v>
      </c>
      <c r="CJ198" s="1091" t="s">
        <v>1265</v>
      </c>
      <c r="CL198" s="1826">
        <v>-22.150111949137738</v>
      </c>
      <c r="CN198" s="1104"/>
      <c r="CO198" s="1105"/>
      <c r="CR198" s="1824">
        <v>-5.1403969968615453</v>
      </c>
      <c r="CT198" s="1104"/>
      <c r="CU198" s="1105"/>
      <c r="CV198" s="1100"/>
      <c r="CW198" s="1100"/>
      <c r="CX198" s="1824">
        <v>-2.9205598095029575</v>
      </c>
      <c r="CY198" s="1100"/>
      <c r="CZ198" s="1104"/>
      <c r="DA198" s="1105"/>
      <c r="DB198" s="1100"/>
      <c r="DF198" s="3">
        <v>146</v>
      </c>
      <c r="DG198" s="4">
        <v>2007</v>
      </c>
      <c r="DH198" s="4">
        <v>3.000807</v>
      </c>
      <c r="DI198" s="1172"/>
      <c r="DJ198" s="5"/>
      <c r="DK198" s="1444">
        <v>146</v>
      </c>
      <c r="DL198" s="1444">
        <v>2007</v>
      </c>
      <c r="DM198" s="1444">
        <v>0.73206130000000003</v>
      </c>
      <c r="DN198" s="1440">
        <f t="shared" si="96"/>
        <v>2.1961839000000003</v>
      </c>
    </row>
    <row r="199" spans="9:118">
      <c r="I199" s="42" t="s">
        <v>385</v>
      </c>
      <c r="J199" s="98" t="s">
        <v>384</v>
      </c>
      <c r="K199" s="557" t="s">
        <v>403</v>
      </c>
      <c r="L199" s="530"/>
      <c r="M199" s="275"/>
      <c r="R199" s="25"/>
      <c r="S199" s="25"/>
      <c r="T199" s="25"/>
      <c r="U199" s="25"/>
      <c r="V199" s="25"/>
      <c r="W199" s="25"/>
      <c r="X199" s="25"/>
      <c r="Y199" s="25"/>
      <c r="Z199" s="25"/>
      <c r="AP199" s="437"/>
      <c r="AQ199" s="100"/>
      <c r="AR199" s="100"/>
      <c r="AS199" s="100"/>
      <c r="AT199" s="100"/>
      <c r="AU199" s="100"/>
      <c r="AV199" s="100"/>
      <c r="AW199" s="100"/>
      <c r="AX199" s="100"/>
      <c r="AY199" s="100"/>
      <c r="CI199" s="888">
        <v>193</v>
      </c>
      <c r="CJ199" s="4" t="s">
        <v>1266</v>
      </c>
      <c r="CL199" s="1826"/>
      <c r="CN199" s="1099">
        <v>-0.69066998966105908</v>
      </c>
      <c r="CO199" s="1106">
        <v>0.35</v>
      </c>
      <c r="CR199" s="1822"/>
      <c r="CT199" s="1102">
        <v>-0.93203897133724123</v>
      </c>
      <c r="CU199" s="1106">
        <v>0.38</v>
      </c>
      <c r="CV199" s="863"/>
      <c r="CW199" s="863"/>
      <c r="CX199" s="1822" t="e">
        <v>#N/A</v>
      </c>
      <c r="CY199" s="863"/>
      <c r="CZ199" s="1099">
        <v>-0.24618629910022549</v>
      </c>
      <c r="DA199" s="1106">
        <v>0.6</v>
      </c>
      <c r="DB199" s="863"/>
      <c r="DF199" s="3">
        <v>156</v>
      </c>
      <c r="DG199" s="4">
        <v>1990</v>
      </c>
      <c r="DH199" s="4">
        <v>2.4794100000000001</v>
      </c>
      <c r="DI199" s="1172"/>
      <c r="DJ199" s="5"/>
      <c r="DK199" s="1444">
        <v>156</v>
      </c>
      <c r="DL199" s="1444">
        <v>1990</v>
      </c>
      <c r="DM199" s="1444">
        <v>0.1757551</v>
      </c>
      <c r="DN199" s="1440">
        <f t="shared" si="96"/>
        <v>0.52726530000000005</v>
      </c>
    </row>
    <row r="200" spans="9:118">
      <c r="I200" s="42" t="s">
        <v>384</v>
      </c>
      <c r="J200" s="98" t="s">
        <v>385</v>
      </c>
      <c r="K200" s="557" t="s">
        <v>404</v>
      </c>
      <c r="L200" s="530"/>
      <c r="M200" s="275"/>
      <c r="R200" s="25"/>
      <c r="S200" s="25"/>
      <c r="T200" s="25"/>
      <c r="U200" s="25"/>
      <c r="V200" s="25"/>
      <c r="W200" s="25"/>
      <c r="X200" s="25"/>
      <c r="Y200" s="25"/>
      <c r="Z200" s="25"/>
      <c r="AP200" s="437"/>
      <c r="AQ200" s="100"/>
      <c r="AR200" s="100"/>
      <c r="AS200" s="100"/>
      <c r="AT200" s="100"/>
      <c r="AU200" s="100"/>
      <c r="AV200" s="100"/>
      <c r="AW200" s="100"/>
      <c r="AX200" s="100"/>
      <c r="AY200" s="100"/>
      <c r="CI200" s="888">
        <v>193</v>
      </c>
      <c r="CJ200" s="4"/>
      <c r="CL200" s="1826"/>
      <c r="CN200" s="1102"/>
      <c r="CO200" s="1103"/>
      <c r="CR200" s="1822"/>
      <c r="CT200" s="1102"/>
      <c r="CU200" s="1103"/>
      <c r="CV200" s="863"/>
      <c r="CW200" s="863"/>
      <c r="CX200" s="1822" t="e">
        <v>#N/A</v>
      </c>
      <c r="CY200" s="863"/>
      <c r="CZ200" s="1102"/>
      <c r="DA200" s="1103"/>
      <c r="DB200" s="863"/>
      <c r="DF200" s="3">
        <v>156</v>
      </c>
      <c r="DG200" s="4">
        <v>1991</v>
      </c>
      <c r="DH200" s="4">
        <v>2.303061</v>
      </c>
      <c r="DI200" s="1172"/>
      <c r="DJ200" s="5"/>
      <c r="DK200" s="1444">
        <v>156</v>
      </c>
      <c r="DL200" s="1444">
        <v>1991</v>
      </c>
      <c r="DM200" s="1444">
        <v>-0.17634859999999999</v>
      </c>
      <c r="DN200" s="1440">
        <f t="shared" si="96"/>
        <v>-0.52904580000000001</v>
      </c>
    </row>
    <row r="201" spans="9:118">
      <c r="I201" s="42" t="s">
        <v>388</v>
      </c>
      <c r="J201" s="98" t="s">
        <v>388</v>
      </c>
      <c r="K201" s="557" t="s">
        <v>405</v>
      </c>
      <c r="L201" s="530"/>
      <c r="M201" s="275"/>
      <c r="R201" s="25"/>
      <c r="S201" s="25"/>
      <c r="T201" s="25"/>
      <c r="U201" s="25"/>
      <c r="V201" s="25"/>
      <c r="W201" s="25"/>
      <c r="X201" s="25"/>
      <c r="Y201" s="25"/>
      <c r="Z201" s="25"/>
      <c r="AP201" s="435"/>
      <c r="AQ201" s="429"/>
      <c r="AR201" s="429"/>
      <c r="AS201" s="429"/>
      <c r="AT201" s="429"/>
      <c r="AU201" s="429"/>
      <c r="AV201" s="429"/>
      <c r="AW201" s="429"/>
      <c r="AX201" s="429"/>
      <c r="AY201" s="429"/>
      <c r="CI201" s="888">
        <v>193</v>
      </c>
      <c r="CJ201" s="4"/>
      <c r="CL201" s="1826"/>
      <c r="CN201" s="1102"/>
      <c r="CO201" s="1103"/>
      <c r="CR201" s="1822"/>
      <c r="CT201" s="1102"/>
      <c r="CU201" s="1103"/>
      <c r="CV201" s="863"/>
      <c r="CW201" s="863"/>
      <c r="CX201" s="1822" t="e">
        <v>#N/A</v>
      </c>
      <c r="CY201" s="863"/>
      <c r="CZ201" s="1102"/>
      <c r="DA201" s="1103"/>
      <c r="DB201" s="863"/>
      <c r="DF201" s="3">
        <v>156</v>
      </c>
      <c r="DG201" s="4">
        <v>1992</v>
      </c>
      <c r="DH201" s="4">
        <v>1.9512080000000001</v>
      </c>
      <c r="DI201" s="1172"/>
      <c r="DJ201" s="5"/>
      <c r="DK201" s="1444">
        <v>156</v>
      </c>
      <c r="DL201" s="1444">
        <v>1992</v>
      </c>
      <c r="DM201" s="1444">
        <v>-0.35185339999999998</v>
      </c>
      <c r="DN201" s="1440">
        <f t="shared" si="96"/>
        <v>-1.0555601999999999</v>
      </c>
    </row>
    <row r="202" spans="9:118">
      <c r="I202" s="42" t="s">
        <v>387</v>
      </c>
      <c r="J202" s="98" t="s">
        <v>387</v>
      </c>
      <c r="K202" s="557" t="s">
        <v>406</v>
      </c>
      <c r="L202" s="530"/>
      <c r="M202" s="275"/>
      <c r="R202" s="25"/>
      <c r="S202" s="25"/>
      <c r="T202" s="25"/>
      <c r="U202" s="25"/>
      <c r="V202" s="25"/>
      <c r="W202" s="25"/>
      <c r="X202" s="25"/>
      <c r="Y202" s="25"/>
      <c r="Z202" s="25"/>
      <c r="CI202" s="888">
        <v>193</v>
      </c>
      <c r="CJ202" s="4"/>
      <c r="CL202" s="1826"/>
      <c r="CN202" s="1102"/>
      <c r="CO202" s="1103"/>
      <c r="CR202" s="1825"/>
      <c r="CT202" s="1102"/>
      <c r="CU202" s="1103"/>
      <c r="CV202" s="1099"/>
      <c r="CW202" s="1099"/>
      <c r="CX202" s="1825" t="e">
        <v>#N/A</v>
      </c>
      <c r="CY202" s="1099"/>
      <c r="CZ202" s="1102"/>
      <c r="DA202" s="1103"/>
      <c r="DB202" s="1099"/>
      <c r="DF202" s="3">
        <v>156</v>
      </c>
      <c r="DG202" s="4">
        <v>1993</v>
      </c>
      <c r="DH202" s="4">
        <v>1.668237</v>
      </c>
      <c r="DI202" s="1172"/>
      <c r="DJ202" s="5"/>
      <c r="DK202" s="1444">
        <v>156</v>
      </c>
      <c r="DL202" s="1444">
        <v>1993</v>
      </c>
      <c r="DM202" s="1444">
        <v>-0.28297030000000001</v>
      </c>
      <c r="DN202" s="1440">
        <f t="shared" si="96"/>
        <v>-0.84891090000000002</v>
      </c>
    </row>
    <row r="203" spans="9:118">
      <c r="I203" s="42" t="s">
        <v>389</v>
      </c>
      <c r="J203" s="98" t="s">
        <v>389</v>
      </c>
      <c r="K203" s="557" t="s">
        <v>407</v>
      </c>
      <c r="L203" s="530"/>
      <c r="M203" s="275"/>
      <c r="R203" s="25"/>
      <c r="S203" s="25"/>
      <c r="T203" s="25"/>
      <c r="U203" s="25"/>
      <c r="V203" s="25"/>
      <c r="W203" s="25"/>
      <c r="X203" s="25"/>
      <c r="Y203" s="25"/>
      <c r="Z203" s="25"/>
      <c r="CI203" s="888">
        <v>193</v>
      </c>
      <c r="CJ203" s="4" t="s">
        <v>2412</v>
      </c>
      <c r="CL203" s="1826">
        <v>-0.73033351159886317</v>
      </c>
      <c r="CN203" s="1102"/>
      <c r="CO203" s="1103"/>
      <c r="CR203" s="1823">
        <v>-0.90927226697700725</v>
      </c>
      <c r="CT203" s="1102"/>
      <c r="CU203" s="1103"/>
      <c r="CV203" s="1099"/>
      <c r="CW203" s="1099"/>
      <c r="CX203" s="1823">
        <v>1.6446709682621696</v>
      </c>
      <c r="CY203" s="1099"/>
      <c r="CZ203" s="1102"/>
      <c r="DA203" s="1103"/>
      <c r="DB203" s="1099"/>
      <c r="DF203" s="3">
        <v>156</v>
      </c>
      <c r="DG203" s="4">
        <v>1994</v>
      </c>
      <c r="DH203" s="4">
        <v>2.0513020000000002</v>
      </c>
      <c r="DI203" s="1172"/>
      <c r="DJ203" s="5"/>
      <c r="DK203" s="1444">
        <v>156</v>
      </c>
      <c r="DL203" s="1444">
        <v>1994</v>
      </c>
      <c r="DM203" s="1444">
        <v>0.38306440000000003</v>
      </c>
      <c r="DN203" s="1440">
        <f t="shared" si="96"/>
        <v>1.1491932</v>
      </c>
    </row>
    <row r="204" spans="9:118">
      <c r="I204" s="42" t="s">
        <v>391</v>
      </c>
      <c r="J204" s="98" t="s">
        <v>391</v>
      </c>
      <c r="K204" s="557" t="s">
        <v>408</v>
      </c>
      <c r="L204" s="530"/>
      <c r="M204" s="275"/>
      <c r="R204" s="25"/>
      <c r="S204" s="25"/>
      <c r="T204" s="25"/>
      <c r="U204" s="25"/>
      <c r="V204" s="25"/>
      <c r="W204" s="25"/>
      <c r="X204" s="25"/>
      <c r="Y204" s="25"/>
      <c r="Z204" s="25"/>
      <c r="CI204" s="888">
        <v>193</v>
      </c>
      <c r="CJ204" s="4" t="s">
        <v>2280</v>
      </c>
      <c r="CL204" s="1826">
        <v>-0.51564131424509796</v>
      </c>
      <c r="CN204" s="1102"/>
      <c r="CO204" s="1103"/>
      <c r="CR204" s="1823">
        <v>-0.14801085079609977</v>
      </c>
      <c r="CT204" s="1102"/>
      <c r="CU204" s="1103"/>
      <c r="CV204" s="1099"/>
      <c r="CW204" s="1099"/>
      <c r="CX204" s="1823">
        <v>-0.24618629910022549</v>
      </c>
      <c r="CY204" s="1099"/>
      <c r="CZ204" s="1102"/>
      <c r="DA204" s="1103"/>
      <c r="DB204" s="1099"/>
      <c r="DF204" s="3">
        <v>156</v>
      </c>
      <c r="DG204" s="4">
        <v>1995</v>
      </c>
      <c r="DH204" s="4">
        <v>3.1972839999999998</v>
      </c>
      <c r="DI204" s="1172"/>
      <c r="DJ204" s="5"/>
      <c r="DK204" s="1444">
        <v>156</v>
      </c>
      <c r="DL204" s="1444">
        <v>1995</v>
      </c>
      <c r="DM204" s="1444">
        <v>1.145983</v>
      </c>
      <c r="DN204" s="1440">
        <f t="shared" si="96"/>
        <v>3.4379489999999997</v>
      </c>
    </row>
    <row r="205" spans="9:118">
      <c r="I205" s="42" t="s">
        <v>390</v>
      </c>
      <c r="J205" s="98" t="s">
        <v>390</v>
      </c>
      <c r="K205" s="557" t="s">
        <v>409</v>
      </c>
      <c r="L205" s="530"/>
      <c r="M205" s="275"/>
      <c r="R205" s="25"/>
      <c r="S205" s="25"/>
      <c r="T205" s="25"/>
      <c r="U205" s="25"/>
      <c r="V205" s="25"/>
      <c r="W205" s="25"/>
      <c r="X205" s="25"/>
      <c r="Y205" s="25"/>
      <c r="Z205" s="25"/>
      <c r="AP205" s="25"/>
      <c r="AT205" s="25"/>
      <c r="AU205" s="25"/>
      <c r="AV205" s="25"/>
      <c r="AW205" s="25"/>
      <c r="AX205" s="25"/>
      <c r="AY205" s="25"/>
      <c r="CI205" s="888">
        <v>193</v>
      </c>
      <c r="CJ205" s="4" t="s">
        <v>1267</v>
      </c>
      <c r="CL205" s="1826">
        <v>-0.31764847563488985</v>
      </c>
      <c r="CN205" s="1102"/>
      <c r="CO205" s="1103"/>
      <c r="CR205" s="1823">
        <v>-0.65694256765161274</v>
      </c>
      <c r="CT205" s="1102"/>
      <c r="CU205" s="1103"/>
      <c r="CV205" s="1099"/>
      <c r="CW205" s="1099"/>
      <c r="CX205" s="1823">
        <v>-2.4305922834745455</v>
      </c>
      <c r="CY205" s="1099"/>
      <c r="CZ205" s="1102"/>
      <c r="DA205" s="1103"/>
      <c r="DB205" s="1099"/>
      <c r="DF205" s="3">
        <v>156</v>
      </c>
      <c r="DG205" s="4">
        <v>1996</v>
      </c>
      <c r="DH205" s="4">
        <v>5.0996940000000004</v>
      </c>
      <c r="DI205" s="1172"/>
      <c r="DJ205" s="5"/>
      <c r="DK205" s="1444">
        <v>156</v>
      </c>
      <c r="DL205" s="1444">
        <v>1996</v>
      </c>
      <c r="DM205" s="1444">
        <v>1.902409</v>
      </c>
      <c r="DN205" s="1440">
        <f t="shared" si="96"/>
        <v>5.7072269999999996</v>
      </c>
    </row>
    <row r="206" spans="9:118">
      <c r="I206" s="42" t="s">
        <v>392</v>
      </c>
      <c r="J206" s="98" t="s">
        <v>392</v>
      </c>
      <c r="K206" s="557" t="s">
        <v>410</v>
      </c>
      <c r="L206" s="530"/>
      <c r="M206" s="275"/>
      <c r="R206" s="25"/>
      <c r="S206" s="25"/>
      <c r="T206" s="25"/>
      <c r="U206" s="25"/>
      <c r="V206" s="25"/>
      <c r="W206" s="25"/>
      <c r="X206" s="25"/>
      <c r="Y206" s="25"/>
      <c r="Z206" s="25"/>
      <c r="AP206" s="25"/>
      <c r="AT206" s="25"/>
      <c r="AU206" s="25"/>
      <c r="AV206" s="25"/>
      <c r="AW206" s="25"/>
      <c r="AX206" s="25"/>
      <c r="AY206" s="25"/>
      <c r="CI206" s="888">
        <v>193</v>
      </c>
      <c r="CJ206" s="4" t="s">
        <v>1268</v>
      </c>
      <c r="CL206" s="1826">
        <v>-0.69066998966105908</v>
      </c>
      <c r="CN206" s="1102"/>
      <c r="CO206" s="1103"/>
      <c r="CR206" s="1823">
        <v>-2.2155985658097892</v>
      </c>
      <c r="CT206" s="1102"/>
      <c r="CU206" s="1103"/>
      <c r="CV206" s="1099"/>
      <c r="CW206" s="1099"/>
      <c r="CX206" s="1823">
        <v>-1.4817587282079407</v>
      </c>
      <c r="CY206" s="1099"/>
      <c r="CZ206" s="1102"/>
      <c r="DA206" s="1103"/>
      <c r="DB206" s="1099"/>
      <c r="DF206" s="3">
        <v>156</v>
      </c>
      <c r="DG206" s="4">
        <v>1997</v>
      </c>
      <c r="DH206" s="4">
        <v>7.2717939999999999</v>
      </c>
      <c r="DI206" s="1172"/>
      <c r="DJ206" s="5"/>
      <c r="DK206" s="1444">
        <v>156</v>
      </c>
      <c r="DL206" s="1444">
        <v>1997</v>
      </c>
      <c r="DM206" s="1444">
        <v>2.1721010000000001</v>
      </c>
      <c r="DN206" s="1440">
        <f t="shared" si="96"/>
        <v>6.5163030000000006</v>
      </c>
    </row>
    <row r="207" spans="9:118">
      <c r="I207" s="42" t="s">
        <v>969</v>
      </c>
      <c r="J207" s="98" t="s">
        <v>969</v>
      </c>
      <c r="K207" s="557" t="s">
        <v>411</v>
      </c>
      <c r="L207" s="530"/>
      <c r="M207" s="275"/>
      <c r="R207" s="25"/>
      <c r="S207" s="25"/>
      <c r="T207" s="25"/>
      <c r="U207" s="25"/>
      <c r="V207" s="25"/>
      <c r="W207" s="25"/>
      <c r="X207" s="25"/>
      <c r="Y207" s="25"/>
      <c r="Z207" s="25"/>
      <c r="AP207" s="25"/>
      <c r="AT207" s="25"/>
      <c r="AU207" s="25"/>
      <c r="AV207" s="25"/>
      <c r="AW207" s="25"/>
      <c r="AX207" s="25"/>
      <c r="AY207" s="25"/>
      <c r="CI207" s="888">
        <v>193</v>
      </c>
      <c r="CJ207" s="4" t="s">
        <v>1269</v>
      </c>
      <c r="CL207" s="1826">
        <v>-1.4449338444165978</v>
      </c>
      <c r="CN207" s="864"/>
      <c r="CO207" s="1103"/>
      <c r="CR207" s="1823">
        <v>-2.0199733818749661</v>
      </c>
      <c r="CT207" s="864"/>
      <c r="CU207" s="1103"/>
      <c r="CV207" s="1099"/>
      <c r="CW207" s="1099"/>
      <c r="CX207" s="1823">
        <v>-1.3705273216144584</v>
      </c>
      <c r="CY207" s="1099"/>
      <c r="CZ207" s="864"/>
      <c r="DA207" s="1103"/>
      <c r="DB207" s="1099"/>
      <c r="DF207" s="3">
        <v>156</v>
      </c>
      <c r="DG207" s="4">
        <v>1998</v>
      </c>
      <c r="DH207" s="4">
        <v>8.6162930000000006</v>
      </c>
      <c r="DI207" s="1172"/>
      <c r="DJ207" s="5"/>
      <c r="DK207" s="1444">
        <v>156</v>
      </c>
      <c r="DL207" s="1444">
        <v>1998</v>
      </c>
      <c r="DM207" s="1444">
        <v>1.3444990000000001</v>
      </c>
      <c r="DN207" s="1440">
        <f t="shared" si="96"/>
        <v>4.0334970000000006</v>
      </c>
    </row>
    <row r="208" spans="9:118">
      <c r="I208" s="42" t="s">
        <v>970</v>
      </c>
      <c r="J208" s="98" t="s">
        <v>970</v>
      </c>
      <c r="K208" s="557" t="s">
        <v>412</v>
      </c>
      <c r="L208" s="530"/>
      <c r="M208" s="275"/>
      <c r="R208" s="25"/>
      <c r="S208" s="25"/>
      <c r="T208" s="25"/>
      <c r="U208" s="25"/>
      <c r="V208" s="25"/>
      <c r="W208" s="25"/>
      <c r="X208" s="25"/>
      <c r="Y208" s="25"/>
      <c r="Z208" s="25"/>
      <c r="AP208" s="25"/>
      <c r="AT208" s="25"/>
      <c r="AU208" s="25"/>
      <c r="AV208" s="25"/>
      <c r="AW208" s="25"/>
      <c r="AX208" s="25"/>
      <c r="AY208" s="25"/>
      <c r="CI208" s="888">
        <v>193</v>
      </c>
      <c r="CJ208" s="4" t="s">
        <v>1270</v>
      </c>
      <c r="CL208" s="1826">
        <v>0.10456438922685729</v>
      </c>
      <c r="CN208" s="864"/>
      <c r="CO208" s="1103"/>
      <c r="CR208" s="1823">
        <v>-2.8791015207912722</v>
      </c>
      <c r="CT208" s="864"/>
      <c r="CU208" s="1103"/>
      <c r="CV208" s="1099"/>
      <c r="CW208" s="1099"/>
      <c r="CX208" s="1823">
        <v>0.3139147014875624</v>
      </c>
      <c r="CY208" s="1099"/>
      <c r="CZ208" s="864"/>
      <c r="DA208" s="1103"/>
      <c r="DB208" s="1099"/>
      <c r="DF208" s="3">
        <v>156</v>
      </c>
      <c r="DG208" s="4">
        <v>1999</v>
      </c>
      <c r="DH208" s="4">
        <v>9.1143219999999996</v>
      </c>
      <c r="DI208" s="1172"/>
      <c r="DJ208" s="5"/>
      <c r="DK208" s="1444">
        <v>156</v>
      </c>
      <c r="DL208" s="1444">
        <v>1999</v>
      </c>
      <c r="DM208" s="1444">
        <v>0.49802879999999999</v>
      </c>
      <c r="DN208" s="1440">
        <f t="shared" si="96"/>
        <v>1.4940864</v>
      </c>
    </row>
    <row r="209" spans="9:118">
      <c r="I209" s="42" t="s">
        <v>415</v>
      </c>
      <c r="J209" s="98" t="s">
        <v>415</v>
      </c>
      <c r="K209" s="557" t="s">
        <v>413</v>
      </c>
      <c r="L209" s="530"/>
      <c r="M209" s="275"/>
      <c r="R209" s="25"/>
      <c r="S209" s="25"/>
      <c r="T209" s="25"/>
      <c r="U209" s="25"/>
      <c r="V209" s="25"/>
      <c r="W209" s="25"/>
      <c r="X209" s="25"/>
      <c r="Y209" s="25"/>
      <c r="Z209" s="25"/>
      <c r="AP209" s="25"/>
      <c r="AT209" s="25"/>
      <c r="AU209" s="25"/>
      <c r="AV209" s="25"/>
      <c r="AW209" s="25"/>
      <c r="AX209" s="25"/>
      <c r="AY209" s="25"/>
      <c r="CI209" s="888">
        <v>193</v>
      </c>
      <c r="CJ209" s="4" t="s">
        <v>1271</v>
      </c>
      <c r="CL209" s="1826">
        <v>-1.0352943588017718</v>
      </c>
      <c r="CN209" s="864"/>
      <c r="CO209" s="1103"/>
      <c r="CR209" s="1823">
        <v>-0.93203897133724123</v>
      </c>
      <c r="CT209" s="864"/>
      <c r="CU209" s="1103"/>
      <c r="CV209" s="1099"/>
      <c r="CW209" s="1099"/>
      <c r="CX209" s="1823">
        <v>2.0206218806670742</v>
      </c>
      <c r="CY209" s="1099"/>
      <c r="CZ209" s="864"/>
      <c r="DA209" s="1103"/>
      <c r="DB209" s="1099"/>
      <c r="DF209" s="3">
        <v>156</v>
      </c>
      <c r="DG209" s="4">
        <v>2000</v>
      </c>
      <c r="DH209" s="4">
        <v>8.9897760000000009</v>
      </c>
      <c r="DI209" s="1172"/>
      <c r="DJ209" s="5"/>
      <c r="DK209" s="1444">
        <v>156</v>
      </c>
      <c r="DL209" s="1444">
        <v>2000</v>
      </c>
      <c r="DM209" s="1444">
        <v>-0.12454610000000001</v>
      </c>
      <c r="DN209" s="1440">
        <f t="shared" si="96"/>
        <v>-0.37363830000000003</v>
      </c>
    </row>
    <row r="210" spans="9:118">
      <c r="I210" s="42" t="s">
        <v>972</v>
      </c>
      <c r="J210" s="98" t="s">
        <v>971</v>
      </c>
      <c r="K210" s="557" t="s">
        <v>414</v>
      </c>
      <c r="L210" s="530"/>
      <c r="M210" s="275"/>
      <c r="R210" s="25"/>
      <c r="S210" s="25"/>
      <c r="T210" s="25"/>
      <c r="U210" s="25"/>
      <c r="V210" s="25"/>
      <c r="W210" s="25"/>
      <c r="X210" s="25"/>
      <c r="Y210" s="25"/>
      <c r="Z210" s="25"/>
      <c r="AP210" s="25"/>
      <c r="AT210" s="25"/>
      <c r="AU210" s="25"/>
      <c r="AV210" s="25"/>
      <c r="AW210" s="25"/>
      <c r="AX210" s="25"/>
      <c r="AY210" s="25"/>
      <c r="CI210" s="888">
        <v>193</v>
      </c>
      <c r="CJ210" s="4" t="s">
        <v>1272</v>
      </c>
      <c r="CL210" s="1826">
        <v>1.8966685935283276</v>
      </c>
      <c r="CN210" s="864"/>
      <c r="CO210" s="1103"/>
      <c r="CR210" s="1823">
        <v>-0.48675806730351656</v>
      </c>
      <c r="CT210" s="864"/>
      <c r="CU210" s="1103"/>
      <c r="CV210" s="1099"/>
      <c r="CW210" s="1099"/>
      <c r="CX210" s="1823">
        <v>3.3959062389818158</v>
      </c>
      <c r="CY210" s="1099"/>
      <c r="CZ210" s="864"/>
      <c r="DA210" s="1103"/>
      <c r="DB210" s="1099"/>
      <c r="DF210" s="3">
        <v>156</v>
      </c>
      <c r="DG210" s="4">
        <v>2001</v>
      </c>
      <c r="DH210" s="4">
        <v>8.2836459999999992</v>
      </c>
      <c r="DI210" s="1172"/>
      <c r="DJ210" s="5"/>
      <c r="DK210" s="1444">
        <v>156</v>
      </c>
      <c r="DL210" s="1444">
        <v>2001</v>
      </c>
      <c r="DM210" s="1444">
        <v>-0.70613000000000004</v>
      </c>
      <c r="DN210" s="1440">
        <f t="shared" si="96"/>
        <v>-2.1183900000000002</v>
      </c>
    </row>
    <row r="211" spans="9:118">
      <c r="I211" s="42"/>
      <c r="J211" s="98" t="s">
        <v>972</v>
      </c>
      <c r="K211" s="503" t="s">
        <v>415</v>
      </c>
      <c r="L211" s="530"/>
      <c r="M211" s="275"/>
      <c r="R211" s="25"/>
      <c r="S211" s="25"/>
      <c r="T211" s="25"/>
      <c r="U211" s="25"/>
      <c r="V211" s="25"/>
      <c r="W211" s="25"/>
      <c r="X211" s="25"/>
      <c r="Y211" s="25"/>
      <c r="Z211" s="25"/>
      <c r="AP211" s="25"/>
      <c r="AT211" s="25"/>
      <c r="AU211" s="25"/>
      <c r="AV211" s="25"/>
      <c r="AW211" s="25"/>
      <c r="AX211" s="25"/>
      <c r="AY211" s="25"/>
      <c r="CI211" s="888">
        <v>193</v>
      </c>
      <c r="CJ211" s="1091" t="s">
        <v>1273</v>
      </c>
      <c r="CL211" s="1826">
        <v>-1.7270302296936773</v>
      </c>
      <c r="CN211" s="1104"/>
      <c r="CO211" s="1105"/>
      <c r="CR211" s="1824">
        <v>-5.1116827289241256</v>
      </c>
      <c r="CT211" s="1104"/>
      <c r="CU211" s="1105"/>
      <c r="CV211" s="1100"/>
      <c r="CW211" s="1100"/>
      <c r="CX211" s="1824">
        <v>-3.9769716807242532</v>
      </c>
      <c r="CY211" s="1100"/>
      <c r="CZ211" s="1104"/>
      <c r="DA211" s="1105"/>
      <c r="DB211" s="1100"/>
      <c r="DF211" s="3">
        <v>156</v>
      </c>
      <c r="DG211" s="4">
        <v>2002</v>
      </c>
      <c r="DH211" s="4">
        <v>7.031301</v>
      </c>
      <c r="DI211" s="1172"/>
      <c r="DJ211" s="5"/>
      <c r="DK211" s="1444">
        <v>156</v>
      </c>
      <c r="DL211" s="1444">
        <v>2002</v>
      </c>
      <c r="DM211" s="1444">
        <v>-1.2523439999999999</v>
      </c>
      <c r="DN211" s="1440">
        <f t="shared" si="96"/>
        <v>-3.7570319999999997</v>
      </c>
    </row>
    <row r="212" spans="9:118" ht="15.75" thickBot="1">
      <c r="I212" s="43"/>
      <c r="J212" s="95"/>
      <c r="K212" s="558"/>
      <c r="L212" s="530"/>
      <c r="M212" s="275"/>
      <c r="R212" s="25"/>
      <c r="S212" s="25"/>
      <c r="T212" s="25"/>
      <c r="U212" s="25"/>
      <c r="V212" s="25"/>
      <c r="W212" s="25"/>
      <c r="X212" s="25"/>
      <c r="Y212" s="25"/>
      <c r="Z212" s="25"/>
      <c r="CI212" s="888">
        <v>122</v>
      </c>
      <c r="CJ212" s="4" t="s">
        <v>1274</v>
      </c>
      <c r="CL212" s="1826"/>
      <c r="CN212" s="1099">
        <v>-0.78268758863130494</v>
      </c>
      <c r="CO212" s="1106">
        <v>0.32</v>
      </c>
      <c r="CR212" s="1822"/>
      <c r="CT212" s="1102">
        <v>0.21972922071081957</v>
      </c>
      <c r="CU212" s="1106">
        <v>0.79</v>
      </c>
      <c r="CV212" s="863"/>
      <c r="CW212" s="863"/>
      <c r="CX212" s="1822" t="e">
        <v>#N/A</v>
      </c>
      <c r="CY212" s="863"/>
      <c r="CZ212" s="1099">
        <v>-0.10458886439265247</v>
      </c>
      <c r="DA212" s="1106">
        <v>0.66</v>
      </c>
      <c r="DB212" s="863"/>
      <c r="DF212" s="3">
        <v>156</v>
      </c>
      <c r="DG212" s="4">
        <v>2003</v>
      </c>
      <c r="DH212" s="4">
        <v>5.7386049999999997</v>
      </c>
      <c r="DI212" s="1172"/>
      <c r="DJ212" s="5"/>
      <c r="DK212" s="1444">
        <v>156</v>
      </c>
      <c r="DL212" s="1444">
        <v>2003</v>
      </c>
      <c r="DM212" s="1444">
        <v>-1.2926960000000001</v>
      </c>
      <c r="DN212" s="1440">
        <f t="shared" si="96"/>
        <v>-3.878088</v>
      </c>
    </row>
    <row r="213" spans="9:118">
      <c r="I213" s="477"/>
      <c r="J213" s="25"/>
      <c r="K213" s="25"/>
      <c r="L213" s="25"/>
      <c r="M213" s="289"/>
      <c r="R213" s="25"/>
      <c r="S213" s="25"/>
      <c r="T213" s="25"/>
      <c r="U213" s="25"/>
      <c r="V213" s="25"/>
      <c r="W213" s="25"/>
      <c r="X213" s="25"/>
      <c r="Y213" s="25"/>
      <c r="Z213" s="25"/>
      <c r="CI213" s="888">
        <v>122</v>
      </c>
      <c r="CJ213" s="4"/>
      <c r="CL213" s="1826"/>
      <c r="CN213" s="1102"/>
      <c r="CO213" s="1103"/>
      <c r="CR213" s="1822"/>
      <c r="CT213" s="1102"/>
      <c r="CU213" s="1103"/>
      <c r="CV213" s="863"/>
      <c r="CW213" s="863"/>
      <c r="CX213" s="1822" t="e">
        <v>#N/A</v>
      </c>
      <c r="CY213" s="863"/>
      <c r="CZ213" s="1102"/>
      <c r="DA213" s="1103"/>
      <c r="DB213" s="863"/>
      <c r="DF213" s="3">
        <v>156</v>
      </c>
      <c r="DG213" s="4">
        <v>2004</v>
      </c>
      <c r="DH213" s="4">
        <v>5.2892739999999998</v>
      </c>
      <c r="DI213" s="1172"/>
      <c r="DJ213" s="5"/>
      <c r="DK213" s="1444">
        <v>156</v>
      </c>
      <c r="DL213" s="1444">
        <v>2004</v>
      </c>
      <c r="DM213" s="1444">
        <v>-0.44933129999999999</v>
      </c>
      <c r="DN213" s="1440">
        <f t="shared" si="96"/>
        <v>-1.3479939000000001</v>
      </c>
    </row>
    <row r="214" spans="9:118" ht="15.75" thickBot="1">
      <c r="I214" s="477"/>
      <c r="J214" s="25"/>
      <c r="K214" s="25"/>
      <c r="L214" s="25"/>
      <c r="M214" s="289"/>
      <c r="R214" s="25"/>
      <c r="S214" s="25"/>
      <c r="T214" s="25"/>
      <c r="U214" s="25"/>
      <c r="V214" s="25"/>
      <c r="W214" s="25"/>
      <c r="X214" s="25"/>
      <c r="Y214" s="25"/>
      <c r="Z214" s="25"/>
      <c r="CI214" s="888">
        <v>122</v>
      </c>
      <c r="CJ214" s="4"/>
      <c r="CL214" s="1826"/>
      <c r="CN214" s="1102"/>
      <c r="CO214" s="1103"/>
      <c r="CR214" s="1822"/>
      <c r="CT214" s="1102"/>
      <c r="CU214" s="1103"/>
      <c r="CV214" s="863"/>
      <c r="CW214" s="863"/>
      <c r="CX214" s="1822" t="e">
        <v>#N/A</v>
      </c>
      <c r="CY214" s="863"/>
      <c r="CZ214" s="1102"/>
      <c r="DA214" s="1103"/>
      <c r="DB214" s="863"/>
      <c r="DF214" s="3">
        <v>156</v>
      </c>
      <c r="DG214" s="4">
        <v>2005</v>
      </c>
      <c r="DH214" s="4">
        <v>5.360976</v>
      </c>
      <c r="DI214" s="1172"/>
      <c r="DJ214" s="5"/>
      <c r="DK214" s="1444">
        <v>156</v>
      </c>
      <c r="DL214" s="1444">
        <v>2005</v>
      </c>
      <c r="DM214" s="1444">
        <v>7.1702299999999997E-2</v>
      </c>
      <c r="DN214" s="1440">
        <f t="shared" si="96"/>
        <v>0.21510689999999999</v>
      </c>
    </row>
    <row r="215" spans="9:118" ht="15.75" thickBot="1">
      <c r="I215" s="274" t="s">
        <v>329</v>
      </c>
      <c r="J215" s="644"/>
      <c r="K215" s="25"/>
      <c r="L215" s="25"/>
      <c r="M215" s="289"/>
      <c r="R215" s="25"/>
      <c r="S215" s="25"/>
      <c r="T215" s="25"/>
      <c r="U215" s="25"/>
      <c r="V215" s="25"/>
      <c r="W215" s="25"/>
      <c r="X215" s="25"/>
      <c r="Y215" s="25"/>
      <c r="Z215" s="25"/>
      <c r="CI215" s="888">
        <v>122</v>
      </c>
      <c r="CJ215" s="4"/>
      <c r="CL215" s="1826"/>
      <c r="CN215" s="1102"/>
      <c r="CO215" s="1103"/>
      <c r="CR215" s="1825"/>
      <c r="CT215" s="1102"/>
      <c r="CU215" s="1103"/>
      <c r="CV215" s="1099"/>
      <c r="CW215" s="1099"/>
      <c r="CX215" s="1825" t="e">
        <v>#N/A</v>
      </c>
      <c r="CY215" s="1099"/>
      <c r="CZ215" s="1102"/>
      <c r="DA215" s="1103"/>
      <c r="DB215" s="1099"/>
      <c r="DF215" s="3">
        <v>156</v>
      </c>
      <c r="DG215" s="4">
        <v>2006</v>
      </c>
      <c r="DH215" s="4">
        <v>5.32498</v>
      </c>
      <c r="DI215" s="1172"/>
      <c r="DJ215" s="5"/>
      <c r="DK215" s="1444">
        <v>156</v>
      </c>
      <c r="DL215" s="1444">
        <v>2006</v>
      </c>
      <c r="DM215" s="1444">
        <v>-3.5996300000000002E-2</v>
      </c>
      <c r="DN215" s="1440">
        <f t="shared" si="96"/>
        <v>-0.1079889</v>
      </c>
    </row>
    <row r="216" spans="9:118">
      <c r="I216" s="42" t="s">
        <v>460</v>
      </c>
      <c r="J216" s="503"/>
      <c r="K216" s="25"/>
      <c r="L216" s="25"/>
      <c r="M216" s="289"/>
      <c r="R216" s="25"/>
      <c r="S216" s="25"/>
      <c r="T216" s="25"/>
      <c r="U216" s="25"/>
      <c r="V216" s="25"/>
      <c r="W216" s="25"/>
      <c r="X216" s="25"/>
      <c r="Y216" s="25"/>
      <c r="Z216" s="25"/>
      <c r="CI216" s="888">
        <v>122</v>
      </c>
      <c r="CJ216" s="4" t="s">
        <v>2413</v>
      </c>
      <c r="CL216" s="1826">
        <v>1.5236021118775449</v>
      </c>
      <c r="CN216" s="1102"/>
      <c r="CO216" s="1103"/>
      <c r="CR216" s="1823">
        <v>0.40378614944722568</v>
      </c>
      <c r="CT216" s="1102"/>
      <c r="CU216" s="1103"/>
      <c r="CV216" s="1099"/>
      <c r="CW216" s="1099"/>
      <c r="CX216" s="1823">
        <v>-0.13188510929316699</v>
      </c>
      <c r="CY216" s="1099"/>
      <c r="CZ216" s="1102"/>
      <c r="DA216" s="1103"/>
      <c r="DB216" s="1099"/>
      <c r="DF216" s="3">
        <v>156</v>
      </c>
      <c r="DG216" s="4">
        <v>2007</v>
      </c>
      <c r="DH216" s="4">
        <v>5.0253030000000001</v>
      </c>
      <c r="DI216" s="1172"/>
      <c r="DJ216" s="5"/>
      <c r="DK216" s="1444">
        <v>156</v>
      </c>
      <c r="DL216" s="1444">
        <v>2007</v>
      </c>
      <c r="DM216" s="1444">
        <v>-0.29967640000000001</v>
      </c>
      <c r="DN216" s="1440">
        <f t="shared" si="96"/>
        <v>-0.89902919999999997</v>
      </c>
    </row>
    <row r="217" spans="9:118" ht="15.75" thickBot="1">
      <c r="I217" s="43" t="s">
        <v>461</v>
      </c>
      <c r="J217" s="504"/>
      <c r="K217" s="25"/>
      <c r="L217" s="25"/>
      <c r="M217" s="289"/>
      <c r="R217" s="25"/>
      <c r="S217" s="25"/>
      <c r="T217" s="25"/>
      <c r="U217" s="25"/>
      <c r="V217" s="25"/>
      <c r="W217" s="25"/>
      <c r="X217" s="25"/>
      <c r="Y217" s="25"/>
      <c r="Z217" s="25"/>
      <c r="CI217" s="888">
        <v>122</v>
      </c>
      <c r="CJ217" s="4" t="s">
        <v>2281</v>
      </c>
      <c r="CL217" s="1826">
        <v>-0.11360192870335406</v>
      </c>
      <c r="CN217" s="1102"/>
      <c r="CO217" s="1103"/>
      <c r="CR217" s="1823">
        <v>-0.6844788896159929</v>
      </c>
      <c r="CT217" s="1102"/>
      <c r="CU217" s="1103"/>
      <c r="CV217" s="1099"/>
      <c r="CW217" s="1099"/>
      <c r="CX217" s="1823">
        <v>-0.43113838286985451</v>
      </c>
      <c r="CY217" s="1099"/>
      <c r="CZ217" s="1102"/>
      <c r="DA217" s="1103"/>
      <c r="DB217" s="1099"/>
      <c r="DF217" s="3">
        <v>156</v>
      </c>
      <c r="DG217" s="4">
        <v>2008</v>
      </c>
      <c r="DH217" s="4">
        <v>4.1991800000000001</v>
      </c>
      <c r="DI217" s="1172"/>
      <c r="DJ217" s="5"/>
      <c r="DK217" s="1444">
        <v>156</v>
      </c>
      <c r="DL217" s="1444">
        <v>2008</v>
      </c>
      <c r="DM217" s="1444">
        <v>-0.82612379999999996</v>
      </c>
      <c r="DN217" s="1440">
        <f t="shared" si="96"/>
        <v>-2.4783713999999999</v>
      </c>
    </row>
    <row r="218" spans="9:118" ht="15.75" thickBot="1">
      <c r="I218" s="477"/>
      <c r="J218" s="25"/>
      <c r="K218" s="25"/>
      <c r="L218" s="25"/>
      <c r="M218" s="289"/>
      <c r="R218" s="25"/>
      <c r="S218" s="25"/>
      <c r="T218" s="25"/>
      <c r="U218" s="25"/>
      <c r="V218" s="25"/>
      <c r="W218" s="25"/>
      <c r="X218" s="25"/>
      <c r="Y218" s="25"/>
      <c r="Z218" s="25"/>
      <c r="CI218" s="888">
        <v>122</v>
      </c>
      <c r="CJ218" s="4" t="s">
        <v>1275</v>
      </c>
      <c r="CL218" s="1826">
        <v>-0.78268758863130494</v>
      </c>
      <c r="CN218" s="1102"/>
      <c r="CO218" s="1103"/>
      <c r="CR218" s="1823">
        <v>0.27957997532392798</v>
      </c>
      <c r="CT218" s="1102"/>
      <c r="CU218" s="1103"/>
      <c r="CV218" s="1099"/>
      <c r="CW218" s="1099"/>
      <c r="CX218" s="1823">
        <v>0.23723869268257891</v>
      </c>
      <c r="CY218" s="1099"/>
      <c r="CZ218" s="1102"/>
      <c r="DA218" s="1103"/>
      <c r="DB218" s="1099"/>
      <c r="DF218" s="3">
        <v>156</v>
      </c>
      <c r="DG218" s="4">
        <v>2009</v>
      </c>
      <c r="DH218" s="4">
        <v>2.6040999999999999</v>
      </c>
      <c r="DI218" s="1172"/>
      <c r="DJ218" s="5"/>
      <c r="DK218" s="1444">
        <v>156</v>
      </c>
      <c r="DL218" s="1444">
        <v>2009</v>
      </c>
      <c r="DM218" s="1444">
        <v>-1.5950789999999999</v>
      </c>
      <c r="DN218" s="1440">
        <f t="shared" si="96"/>
        <v>-4.7852369999999995</v>
      </c>
    </row>
    <row r="219" spans="9:118" ht="15.75" thickBot="1">
      <c r="I219" s="274" t="s">
        <v>329</v>
      </c>
      <c r="J219" s="675"/>
      <c r="K219" s="25"/>
      <c r="L219" s="25"/>
      <c r="M219" s="289"/>
      <c r="R219" s="25"/>
      <c r="S219" s="25"/>
      <c r="T219" s="25"/>
      <c r="U219" s="25"/>
      <c r="V219" s="25"/>
      <c r="W219" s="25"/>
      <c r="X219" s="25"/>
      <c r="Y219" s="25"/>
      <c r="Z219" s="25"/>
      <c r="CI219" s="888">
        <v>122</v>
      </c>
      <c r="CJ219" s="4" t="s">
        <v>1276</v>
      </c>
      <c r="CL219" s="1826">
        <v>-1.2926106321246364</v>
      </c>
      <c r="CN219" s="1102"/>
      <c r="CO219" s="1103"/>
      <c r="CR219" s="1823">
        <v>-1.1874747047171004</v>
      </c>
      <c r="CT219" s="1102"/>
      <c r="CU219" s="1103"/>
      <c r="CV219" s="1099"/>
      <c r="CW219" s="1099"/>
      <c r="CX219" s="1823">
        <v>-0.10458886439265247</v>
      </c>
      <c r="CY219" s="1099"/>
      <c r="CZ219" s="1102"/>
      <c r="DA219" s="1103"/>
      <c r="DB219" s="1099"/>
      <c r="DF219" s="3">
        <v>156</v>
      </c>
      <c r="DG219" s="4">
        <v>2010</v>
      </c>
      <c r="DH219" s="4">
        <v>0.7348787</v>
      </c>
      <c r="DI219" s="1172"/>
      <c r="DJ219" s="5"/>
      <c r="DK219" s="1444">
        <v>156</v>
      </c>
      <c r="DL219" s="1444">
        <v>2010</v>
      </c>
      <c r="DM219" s="1444">
        <v>-1.8692219999999999</v>
      </c>
      <c r="DN219" s="1440">
        <f t="shared" si="96"/>
        <v>-5.607666</v>
      </c>
    </row>
    <row r="220" spans="9:118">
      <c r="I220" s="42" t="s">
        <v>491</v>
      </c>
      <c r="J220" s="503"/>
      <c r="K220" s="25"/>
      <c r="L220" s="25"/>
      <c r="M220" s="289"/>
      <c r="R220" s="25"/>
      <c r="S220" s="25"/>
      <c r="T220" s="25"/>
      <c r="U220" s="25"/>
      <c r="V220" s="25"/>
      <c r="W220" s="25"/>
      <c r="X220" s="25"/>
      <c r="Y220" s="25"/>
      <c r="Z220" s="25"/>
      <c r="CI220" s="888">
        <v>122</v>
      </c>
      <c r="CJ220" s="4" t="s">
        <v>1277</v>
      </c>
      <c r="CL220" s="1826">
        <v>-1.6002216057337653</v>
      </c>
      <c r="CN220" s="864"/>
      <c r="CO220" s="1103"/>
      <c r="CR220" s="1823">
        <v>0.80250371986055924</v>
      </c>
      <c r="CT220" s="864"/>
      <c r="CU220" s="1103"/>
      <c r="CV220" s="1099"/>
      <c r="CW220" s="1099"/>
      <c r="CX220" s="1823">
        <v>-0.63866282485073911</v>
      </c>
      <c r="CY220" s="1099"/>
      <c r="CZ220" s="864"/>
      <c r="DA220" s="1103"/>
      <c r="DB220" s="1099"/>
      <c r="DF220" s="3">
        <v>158</v>
      </c>
      <c r="DG220" s="4">
        <v>1990</v>
      </c>
      <c r="DH220" s="4">
        <v>4.4358310000000003</v>
      </c>
      <c r="DI220" s="1172"/>
      <c r="DJ220" s="5"/>
      <c r="DK220" s="1444">
        <v>158</v>
      </c>
      <c r="DL220" s="1444">
        <v>1990</v>
      </c>
      <c r="DM220" s="1444">
        <v>-3.02622E-2</v>
      </c>
      <c r="DN220" s="1440">
        <f t="shared" si="96"/>
        <v>-9.0786599999999995E-2</v>
      </c>
    </row>
    <row r="221" spans="9:118" ht="15.75" thickBot="1">
      <c r="I221" s="43" t="s">
        <v>490</v>
      </c>
      <c r="J221" s="504"/>
      <c r="K221" s="25"/>
      <c r="L221" s="25"/>
      <c r="M221" s="289"/>
      <c r="R221" s="25"/>
      <c r="S221" s="25"/>
      <c r="T221" s="25"/>
      <c r="U221" s="25"/>
      <c r="V221" s="25"/>
      <c r="W221" s="25"/>
      <c r="X221" s="25"/>
      <c r="Y221" s="25"/>
      <c r="Z221" s="25"/>
      <c r="CI221" s="888">
        <v>122</v>
      </c>
      <c r="CJ221" s="4" t="s">
        <v>1278</v>
      </c>
      <c r="CL221" s="1826">
        <v>-1.3894995462338389</v>
      </c>
      <c r="CN221" s="864"/>
      <c r="CO221" s="1103"/>
      <c r="CR221" s="1823">
        <v>0.21972922071081957</v>
      </c>
      <c r="CT221" s="864"/>
      <c r="CU221" s="1103"/>
      <c r="CV221" s="1099"/>
      <c r="CW221" s="1099"/>
      <c r="CX221" s="1823">
        <v>-1.8540405626268797E-2</v>
      </c>
      <c r="CY221" s="1099"/>
      <c r="CZ221" s="864"/>
      <c r="DA221" s="1103"/>
      <c r="DB221" s="1099"/>
      <c r="DF221" s="3">
        <v>158</v>
      </c>
      <c r="DG221" s="4">
        <v>1991</v>
      </c>
      <c r="DH221" s="4">
        <v>4.2983570000000002</v>
      </c>
      <c r="DI221" s="1172"/>
      <c r="DJ221" s="5"/>
      <c r="DK221" s="1444">
        <v>158</v>
      </c>
      <c r="DL221" s="1444">
        <v>1991</v>
      </c>
      <c r="DM221" s="1444">
        <v>-0.13747429999999999</v>
      </c>
      <c r="DN221" s="1440">
        <f t="shared" si="96"/>
        <v>-0.41242289999999998</v>
      </c>
    </row>
    <row r="222" spans="9:118" ht="15.75" thickBot="1">
      <c r="I222" s="477"/>
      <c r="J222" s="25"/>
      <c r="K222" s="25"/>
      <c r="L222" s="25"/>
      <c r="M222" s="289"/>
      <c r="R222" s="25"/>
      <c r="S222" s="25"/>
      <c r="T222" s="25"/>
      <c r="U222" s="25"/>
      <c r="V222" s="25"/>
      <c r="W222" s="25"/>
      <c r="X222" s="25"/>
      <c r="Y222" s="25"/>
      <c r="Z222" s="25"/>
      <c r="CI222" s="888">
        <v>122</v>
      </c>
      <c r="CJ222" s="4" t="s">
        <v>1279</v>
      </c>
      <c r="CL222" s="1826">
        <v>0.98864032753475128</v>
      </c>
      <c r="CN222" s="864"/>
      <c r="CO222" s="1103"/>
      <c r="CR222" s="1823">
        <v>2.2751892976917754</v>
      </c>
      <c r="CT222" s="864"/>
      <c r="CU222" s="1103"/>
      <c r="CV222" s="1099"/>
      <c r="CW222" s="1099"/>
      <c r="CX222" s="1823">
        <v>0.7300717430317667</v>
      </c>
      <c r="CY222" s="1099"/>
      <c r="CZ222" s="864"/>
      <c r="DA222" s="1103"/>
      <c r="DB222" s="1099"/>
      <c r="DF222" s="3">
        <v>158</v>
      </c>
      <c r="DG222" s="4">
        <v>1992</v>
      </c>
      <c r="DH222" s="4">
        <v>3.9127350000000001</v>
      </c>
      <c r="DI222" s="1172"/>
      <c r="DJ222" s="5"/>
      <c r="DK222" s="1444">
        <v>158</v>
      </c>
      <c r="DL222" s="1444">
        <v>1992</v>
      </c>
      <c r="DM222" s="1444">
        <v>-0.38562170000000001</v>
      </c>
      <c r="DN222" s="1440">
        <f t="shared" si="96"/>
        <v>-1.1568651000000001</v>
      </c>
    </row>
    <row r="223" spans="9:118" ht="15.75" thickBot="1">
      <c r="I223" s="274" t="s">
        <v>329</v>
      </c>
      <c r="J223" s="1392"/>
      <c r="K223" s="25"/>
      <c r="L223" s="25"/>
      <c r="M223" s="289"/>
      <c r="R223" s="25"/>
      <c r="S223" s="25"/>
      <c r="T223" s="25"/>
      <c r="U223" s="25"/>
      <c r="V223" s="25"/>
      <c r="W223" s="25"/>
      <c r="X223" s="25"/>
      <c r="Y223" s="25"/>
      <c r="Z223" s="25"/>
      <c r="CI223" s="888">
        <v>122</v>
      </c>
      <c r="CJ223" s="4" t="s">
        <v>1280</v>
      </c>
      <c r="CL223" s="1826">
        <v>2.1332349342069099</v>
      </c>
      <c r="CN223" s="864"/>
      <c r="CO223" s="1103"/>
      <c r="CR223" s="1823">
        <v>-1.0407448162046662</v>
      </c>
      <c r="CT223" s="864"/>
      <c r="CU223" s="1103"/>
      <c r="CV223" s="1099"/>
      <c r="CW223" s="1099"/>
      <c r="CX223" s="1823">
        <v>0.28373992318778862</v>
      </c>
      <c r="CY223" s="1099"/>
      <c r="CZ223" s="864"/>
      <c r="DA223" s="1103"/>
      <c r="DB223" s="1099"/>
      <c r="DF223" s="3">
        <v>158</v>
      </c>
      <c r="DG223" s="4">
        <v>1993</v>
      </c>
      <c r="DH223" s="4">
        <v>2.6733069999999999</v>
      </c>
      <c r="DI223" s="1172"/>
      <c r="DJ223" s="5"/>
      <c r="DK223" s="1444">
        <v>158</v>
      </c>
      <c r="DL223" s="1444">
        <v>1993</v>
      </c>
      <c r="DM223" s="1444">
        <v>-1.2394270000000001</v>
      </c>
      <c r="DN223" s="1440">
        <f t="shared" si="96"/>
        <v>-3.7182810000000002</v>
      </c>
    </row>
    <row r="224" spans="9:118">
      <c r="I224" s="42" t="s">
        <v>915</v>
      </c>
      <c r="J224" s="503"/>
      <c r="K224" s="25"/>
      <c r="L224" s="25"/>
      <c r="M224" s="289"/>
      <c r="R224" s="25"/>
      <c r="S224" s="25"/>
      <c r="T224" s="25"/>
      <c r="U224" s="25"/>
      <c r="V224" s="25"/>
      <c r="W224" s="25"/>
      <c r="X224" s="25"/>
      <c r="Y224" s="25"/>
      <c r="Z224" s="25"/>
      <c r="CI224" s="888">
        <v>122</v>
      </c>
      <c r="CJ224" s="1091" t="s">
        <v>1281</v>
      </c>
      <c r="CL224" s="1826">
        <v>-5.558306522156709</v>
      </c>
      <c r="CN224" s="1104"/>
      <c r="CO224" s="1105"/>
      <c r="CR224" s="1824">
        <v>-2.592579530912877</v>
      </c>
      <c r="CT224" s="1104"/>
      <c r="CU224" s="1105"/>
      <c r="CV224" s="1100"/>
      <c r="CW224" s="1100"/>
      <c r="CX224" s="1824">
        <v>-1.0934857321010019</v>
      </c>
      <c r="CY224" s="1100"/>
      <c r="CZ224" s="1104"/>
      <c r="DA224" s="1105"/>
      <c r="DB224" s="1100"/>
      <c r="DF224" s="3">
        <v>158</v>
      </c>
      <c r="DG224" s="4">
        <v>1994</v>
      </c>
      <c r="DH224" s="4">
        <v>1.240254</v>
      </c>
      <c r="DI224" s="1172"/>
      <c r="DJ224" s="5"/>
      <c r="DK224" s="1444">
        <v>158</v>
      </c>
      <c r="DL224" s="1444">
        <v>1994</v>
      </c>
      <c r="DM224" s="1444">
        <v>-1.4330540000000001</v>
      </c>
      <c r="DN224" s="1440">
        <f t="shared" si="96"/>
        <v>-4.2991619999999999</v>
      </c>
    </row>
    <row r="225" spans="9:118" ht="15.75" thickBot="1">
      <c r="I225" s="43" t="s">
        <v>884</v>
      </c>
      <c r="J225" s="504"/>
      <c r="K225" s="25"/>
      <c r="L225" s="25"/>
      <c r="M225" s="289"/>
      <c r="R225" s="25"/>
      <c r="S225" s="25"/>
      <c r="T225" s="25"/>
      <c r="U225" s="25"/>
      <c r="V225" s="25"/>
      <c r="W225" s="25"/>
      <c r="X225" s="25"/>
      <c r="Y225" s="25"/>
      <c r="Z225" s="25"/>
      <c r="CI225" s="888">
        <v>912</v>
      </c>
      <c r="CJ225" s="4" t="s">
        <v>1282</v>
      </c>
      <c r="CL225" s="1826"/>
      <c r="CN225" s="1099">
        <v>-3.0443993336627959</v>
      </c>
      <c r="CO225" s="1106">
        <v>0.06</v>
      </c>
      <c r="CR225" s="1822"/>
      <c r="CT225" s="1102">
        <v>-2.4566523629196091</v>
      </c>
      <c r="CU225" s="1106">
        <v>0.13</v>
      </c>
      <c r="CV225" s="863"/>
      <c r="CW225" s="863"/>
      <c r="CX225" s="1822" t="e">
        <v>#N/A</v>
      </c>
      <c r="CY225" s="863"/>
      <c r="CZ225" s="1099">
        <v>0.18464460208588962</v>
      </c>
      <c r="DA225" s="1106">
        <v>0.71</v>
      </c>
      <c r="DB225" s="863"/>
      <c r="DF225" s="3">
        <v>158</v>
      </c>
      <c r="DG225" s="4">
        <v>1995</v>
      </c>
      <c r="DH225" s="4">
        <v>-0.27973510000000001</v>
      </c>
      <c r="DI225" s="1172"/>
      <c r="DJ225" s="5"/>
      <c r="DK225" s="1444">
        <v>158</v>
      </c>
      <c r="DL225" s="1444">
        <v>1995</v>
      </c>
      <c r="DM225" s="1444">
        <v>-1.519989</v>
      </c>
      <c r="DN225" s="1440">
        <f t="shared" si="96"/>
        <v>-4.5599670000000003</v>
      </c>
    </row>
    <row r="226" spans="9:118">
      <c r="I226" s="477"/>
      <c r="J226" s="25"/>
      <c r="K226" s="25"/>
      <c r="L226" s="25"/>
      <c r="M226" s="289"/>
      <c r="N226" s="465"/>
      <c r="R226" s="25"/>
      <c r="S226" s="25"/>
      <c r="T226" s="25"/>
      <c r="U226" s="25"/>
      <c r="V226" s="25"/>
      <c r="W226" s="25"/>
      <c r="X226" s="25"/>
      <c r="Y226" s="25"/>
      <c r="Z226" s="25"/>
      <c r="CI226" s="888">
        <v>912</v>
      </c>
      <c r="CJ226" s="4"/>
      <c r="CL226" s="1826"/>
      <c r="CN226" s="1102"/>
      <c r="CO226" s="1103"/>
      <c r="CR226" s="1822"/>
      <c r="CT226" s="1102"/>
      <c r="CU226" s="1103"/>
      <c r="CV226" s="863"/>
      <c r="CW226" s="863"/>
      <c r="CX226" s="1822" t="e">
        <v>#N/A</v>
      </c>
      <c r="CY226" s="863"/>
      <c r="CZ226" s="1102"/>
      <c r="DA226" s="1103"/>
      <c r="DB226" s="863"/>
      <c r="DF226" s="3">
        <v>158</v>
      </c>
      <c r="DG226" s="4">
        <v>1996</v>
      </c>
      <c r="DH226" s="4">
        <v>-1.20699</v>
      </c>
      <c r="DI226" s="1172"/>
      <c r="DJ226" s="5"/>
      <c r="DK226" s="1444">
        <v>158</v>
      </c>
      <c r="DL226" s="1444">
        <v>1996</v>
      </c>
      <c r="DM226" s="1444">
        <v>-0.92725500000000005</v>
      </c>
      <c r="DN226" s="1440">
        <f t="shared" si="96"/>
        <v>-2.781765</v>
      </c>
    </row>
    <row r="227" spans="9:118">
      <c r="I227" s="477"/>
      <c r="J227" s="25"/>
      <c r="K227" s="25"/>
      <c r="L227" s="25"/>
      <c r="M227" s="289"/>
      <c r="R227" s="25"/>
      <c r="S227" s="25"/>
      <c r="T227" s="25"/>
      <c r="U227" s="25"/>
      <c r="V227" s="25"/>
      <c r="W227" s="25"/>
      <c r="X227" s="25"/>
      <c r="Y227" s="25"/>
      <c r="Z227" s="25"/>
      <c r="CI227" s="888">
        <v>912</v>
      </c>
      <c r="CJ227" s="4"/>
      <c r="CL227" s="1826"/>
      <c r="CN227" s="1102"/>
      <c r="CO227" s="1103"/>
      <c r="CR227" s="1822"/>
      <c r="CT227" s="1102"/>
      <c r="CU227" s="1103"/>
      <c r="CV227" s="863"/>
      <c r="CW227" s="863"/>
      <c r="CX227" s="1822" t="e">
        <v>#N/A</v>
      </c>
      <c r="CY227" s="863"/>
      <c r="CZ227" s="1102"/>
      <c r="DA227" s="1103"/>
      <c r="DB227" s="863"/>
      <c r="DF227" s="3">
        <v>158</v>
      </c>
      <c r="DG227" s="4">
        <v>1997</v>
      </c>
      <c r="DH227" s="4">
        <v>-1.466207</v>
      </c>
      <c r="DI227" s="1172"/>
      <c r="DJ227" s="5"/>
      <c r="DK227" s="1444">
        <v>158</v>
      </c>
      <c r="DL227" s="1444">
        <v>1997</v>
      </c>
      <c r="DM227" s="1444">
        <v>-0.25921670000000002</v>
      </c>
      <c r="DN227" s="1440">
        <f t="shared" si="96"/>
        <v>-0.77765010000000001</v>
      </c>
    </row>
    <row r="228" spans="9:118">
      <c r="R228" s="25"/>
      <c r="S228" s="25"/>
      <c r="T228" s="25"/>
      <c r="U228" s="25"/>
      <c r="V228" s="25"/>
      <c r="W228" s="25"/>
      <c r="X228" s="25"/>
      <c r="Y228" s="25"/>
      <c r="Z228" s="25"/>
      <c r="CI228" s="888">
        <v>912</v>
      </c>
      <c r="CJ228" s="4"/>
      <c r="CL228" s="1826"/>
      <c r="CN228" s="1102"/>
      <c r="CO228" s="1103"/>
      <c r="CR228" s="1825"/>
      <c r="CT228" s="1102"/>
      <c r="CU228" s="1103"/>
      <c r="CV228" s="1099"/>
      <c r="CW228" s="1099"/>
      <c r="CX228" s="1825" t="e">
        <v>#N/A</v>
      </c>
      <c r="CY228" s="1099"/>
      <c r="CZ228" s="1102"/>
      <c r="DA228" s="1103"/>
      <c r="DB228" s="1099"/>
      <c r="DF228" s="3">
        <v>158</v>
      </c>
      <c r="DG228" s="4">
        <v>1998</v>
      </c>
      <c r="DH228" s="4">
        <v>-3.455514</v>
      </c>
      <c r="DI228" s="1172"/>
      <c r="DJ228" s="5"/>
      <c r="DK228" s="1444">
        <v>158</v>
      </c>
      <c r="DL228" s="1444">
        <v>1998</v>
      </c>
      <c r="DM228" s="1444">
        <v>-1.9893069999999999</v>
      </c>
      <c r="DN228" s="1440">
        <f t="shared" si="96"/>
        <v>-5.9679209999999996</v>
      </c>
    </row>
    <row r="229" spans="9:118">
      <c r="R229" s="25"/>
      <c r="S229" s="25"/>
      <c r="T229" s="25"/>
      <c r="U229" s="25"/>
      <c r="V229" s="25"/>
      <c r="W229" s="25"/>
      <c r="X229" s="25"/>
      <c r="Y229" s="25"/>
      <c r="Z229" s="25"/>
      <c r="CI229" s="888">
        <v>912</v>
      </c>
      <c r="CJ229" s="4" t="s">
        <v>2414</v>
      </c>
      <c r="CL229" s="1826">
        <v>-0.92065570183001677</v>
      </c>
      <c r="CN229" s="1102"/>
      <c r="CO229" s="1103"/>
      <c r="CR229" s="1823">
        <v>5.6231542110005721</v>
      </c>
      <c r="CT229" s="1102"/>
      <c r="CU229" s="1103"/>
      <c r="CV229" s="1099"/>
      <c r="CW229" s="1099"/>
      <c r="CX229" s="1823">
        <v>12.410540024126407</v>
      </c>
      <c r="CY229" s="1099"/>
      <c r="CZ229" s="1102"/>
      <c r="DA229" s="1103"/>
      <c r="DB229" s="1099"/>
      <c r="DF229" s="3">
        <v>158</v>
      </c>
      <c r="DG229" s="4">
        <v>1999</v>
      </c>
      <c r="DH229" s="4">
        <v>-3.8348589999999998</v>
      </c>
      <c r="DI229" s="1172"/>
      <c r="DJ229" s="5"/>
      <c r="DK229" s="1444">
        <v>158</v>
      </c>
      <c r="DL229" s="1444">
        <v>1999</v>
      </c>
      <c r="DM229" s="1444">
        <v>-0.37934469999999998</v>
      </c>
      <c r="DN229" s="1440">
        <f t="shared" si="96"/>
        <v>-1.1380341</v>
      </c>
    </row>
    <row r="230" spans="9:118">
      <c r="R230" s="25"/>
      <c r="S230" s="25"/>
      <c r="T230" s="25"/>
      <c r="U230" s="25"/>
      <c r="V230" s="25"/>
      <c r="W230" s="25"/>
      <c r="X230" s="25"/>
      <c r="Y230" s="25"/>
      <c r="Z230" s="25"/>
      <c r="CI230" s="888">
        <v>912</v>
      </c>
      <c r="CJ230" s="4" t="s">
        <v>2282</v>
      </c>
      <c r="CL230" s="1826">
        <v>-5.565253369669664</v>
      </c>
      <c r="CN230" s="1102"/>
      <c r="CO230" s="1103"/>
      <c r="CR230" s="1823">
        <v>-2.4566523629196091</v>
      </c>
      <c r="CT230" s="1102"/>
      <c r="CU230" s="1103"/>
      <c r="CV230" s="1099"/>
      <c r="CW230" s="1099"/>
      <c r="CX230" s="1823">
        <v>11.183218997861832</v>
      </c>
      <c r="CY230" s="1099"/>
      <c r="CZ230" s="1102"/>
      <c r="DA230" s="1103"/>
      <c r="DB230" s="1099"/>
      <c r="DF230" s="3">
        <v>158</v>
      </c>
      <c r="DG230" s="4">
        <v>2000</v>
      </c>
      <c r="DH230" s="4">
        <v>-4.8355670000000002</v>
      </c>
      <c r="DI230" s="1172"/>
      <c r="DJ230" s="5"/>
      <c r="DK230" s="1444">
        <v>158</v>
      </c>
      <c r="DL230" s="1444">
        <v>2000</v>
      </c>
      <c r="DM230" s="1444">
        <v>-1.0007090000000001</v>
      </c>
      <c r="DN230" s="1440">
        <f t="shared" si="96"/>
        <v>-3.0021270000000002</v>
      </c>
    </row>
    <row r="231" spans="9:118">
      <c r="R231" s="25"/>
      <c r="S231" s="25"/>
      <c r="T231" s="25"/>
      <c r="U231" s="25"/>
      <c r="V231" s="25"/>
      <c r="W231" s="25"/>
      <c r="X231" s="25"/>
      <c r="Y231" s="25"/>
      <c r="Z231" s="25"/>
      <c r="CI231" s="888">
        <v>912</v>
      </c>
      <c r="CJ231" s="4" t="s">
        <v>1283</v>
      </c>
      <c r="CL231" s="1826">
        <v>-3.5096092983513376</v>
      </c>
      <c r="CN231" s="1102"/>
      <c r="CO231" s="1103"/>
      <c r="CR231" s="1823">
        <v>-1.6606498592628673</v>
      </c>
      <c r="CT231" s="1102"/>
      <c r="CU231" s="1103"/>
      <c r="CV231" s="1099"/>
      <c r="CW231" s="1099"/>
      <c r="CX231" s="1823">
        <v>-13.489678598668755</v>
      </c>
      <c r="CY231" s="1099"/>
      <c r="CZ231" s="1102"/>
      <c r="DA231" s="1103"/>
      <c r="DB231" s="1099"/>
      <c r="DF231" s="3">
        <v>158</v>
      </c>
      <c r="DG231" s="4">
        <v>2001</v>
      </c>
      <c r="DH231" s="4">
        <v>-3.3225129999999998</v>
      </c>
      <c r="DI231" s="1172"/>
      <c r="DJ231" s="5"/>
      <c r="DK231" s="1444">
        <v>158</v>
      </c>
      <c r="DL231" s="1444">
        <v>2001</v>
      </c>
      <c r="DM231" s="1444">
        <v>1.5130539999999999</v>
      </c>
      <c r="DN231" s="1440">
        <f t="shared" si="96"/>
        <v>4.5391619999999993</v>
      </c>
    </row>
    <row r="232" spans="9:118">
      <c r="R232" s="25"/>
      <c r="S232" s="25"/>
      <c r="T232" s="25"/>
      <c r="U232" s="25"/>
      <c r="V232" s="25"/>
      <c r="W232" s="25"/>
      <c r="X232" s="25"/>
      <c r="Y232" s="25"/>
      <c r="Z232" s="25"/>
      <c r="CI232" s="888">
        <v>912</v>
      </c>
      <c r="CJ232" s="4" t="s">
        <v>1284</v>
      </c>
      <c r="CL232" s="1826">
        <v>-3.0443993336627959</v>
      </c>
      <c r="CN232" s="1102"/>
      <c r="CO232" s="1103"/>
      <c r="CR232" s="1823">
        <v>3.0192055721994211</v>
      </c>
      <c r="CT232" s="1102"/>
      <c r="CU232" s="1103"/>
      <c r="CV232" s="1099"/>
      <c r="CW232" s="1099"/>
      <c r="CX232" s="1823">
        <v>-6.9075746321670453</v>
      </c>
      <c r="CY232" s="1099"/>
      <c r="CZ232" s="1102"/>
      <c r="DA232" s="1103"/>
      <c r="DB232" s="1099"/>
      <c r="DF232" s="3">
        <v>158</v>
      </c>
      <c r="DG232" s="4">
        <v>2002</v>
      </c>
      <c r="DH232" s="4">
        <v>-3.7319969999999998</v>
      </c>
      <c r="DI232" s="1172"/>
      <c r="DJ232" s="5"/>
      <c r="DK232" s="1444">
        <v>158</v>
      </c>
      <c r="DL232" s="1444">
        <v>2002</v>
      </c>
      <c r="DM232" s="1444">
        <v>-0.40948410000000002</v>
      </c>
      <c r="DN232" s="1440">
        <f t="shared" si="96"/>
        <v>-1.2284523000000001</v>
      </c>
    </row>
    <row r="233" spans="9:118">
      <c r="R233" s="25"/>
      <c r="S233" s="25"/>
      <c r="T233" s="25"/>
      <c r="U233" s="25"/>
      <c r="V233" s="25"/>
      <c r="W233" s="25"/>
      <c r="X233" s="25"/>
      <c r="Y233" s="25"/>
      <c r="Z233" s="25"/>
      <c r="CI233" s="888">
        <v>912</v>
      </c>
      <c r="CJ233" s="4" t="s">
        <v>1285</v>
      </c>
      <c r="CL233" s="1826">
        <v>3.9013479631148078</v>
      </c>
      <c r="CN233" s="864"/>
      <c r="CO233" s="1103"/>
      <c r="CR233" s="1823">
        <v>-5.4302563270498325</v>
      </c>
      <c r="CT233" s="864"/>
      <c r="CU233" s="1103"/>
      <c r="CV233" s="1099"/>
      <c r="CW233" s="1099"/>
      <c r="CX233" s="1823">
        <v>-4.9907229679280318</v>
      </c>
      <c r="CY233" s="1099"/>
      <c r="CZ233" s="864"/>
      <c r="DA233" s="1103"/>
      <c r="DB233" s="1099"/>
      <c r="DF233" s="3">
        <v>158</v>
      </c>
      <c r="DG233" s="4">
        <v>2003</v>
      </c>
      <c r="DH233" s="4">
        <v>-3.9168609999999999</v>
      </c>
      <c r="DI233" s="1172"/>
      <c r="DJ233" s="5"/>
      <c r="DK233" s="1444">
        <v>158</v>
      </c>
      <c r="DL233" s="1444">
        <v>2003</v>
      </c>
      <c r="DM233" s="1444">
        <v>-0.184864</v>
      </c>
      <c r="DN233" s="1440">
        <f t="shared" si="96"/>
        <v>-0.55459199999999997</v>
      </c>
    </row>
    <row r="234" spans="9:118">
      <c r="R234" s="25"/>
      <c r="S234" s="25"/>
      <c r="T234" s="25"/>
      <c r="U234" s="25"/>
      <c r="V234" s="25"/>
      <c r="W234" s="25"/>
      <c r="X234" s="25"/>
      <c r="Y234" s="25"/>
      <c r="Z234" s="25"/>
      <c r="CI234" s="888">
        <v>912</v>
      </c>
      <c r="CJ234" s="4" t="s">
        <v>1286</v>
      </c>
      <c r="CL234" s="1826">
        <v>-0.33442342445867679</v>
      </c>
      <c r="CN234" s="864"/>
      <c r="CO234" s="1103"/>
      <c r="CR234" s="1823">
        <v>-12.654560557910495</v>
      </c>
      <c r="CT234" s="864"/>
      <c r="CU234" s="1103"/>
      <c r="CV234" s="1099"/>
      <c r="CW234" s="1099"/>
      <c r="CX234" s="1823">
        <v>0.18464460208588962</v>
      </c>
      <c r="CY234" s="1099"/>
      <c r="CZ234" s="864"/>
      <c r="DA234" s="1103"/>
      <c r="DB234" s="1099"/>
      <c r="DF234" s="3">
        <v>158</v>
      </c>
      <c r="DG234" s="4">
        <v>2004</v>
      </c>
      <c r="DH234" s="4">
        <v>-4.2554350000000003</v>
      </c>
      <c r="DI234" s="1172"/>
      <c r="DJ234" s="5"/>
      <c r="DK234" s="1444">
        <v>158</v>
      </c>
      <c r="DL234" s="1444">
        <v>2004</v>
      </c>
      <c r="DM234" s="1444">
        <v>-0.33857379999999998</v>
      </c>
      <c r="DN234" s="1440">
        <f t="shared" si="96"/>
        <v>-1.0157213999999999</v>
      </c>
    </row>
    <row r="235" spans="9:118">
      <c r="R235" s="25"/>
      <c r="S235" s="25"/>
      <c r="T235" s="25"/>
      <c r="U235" s="25"/>
      <c r="V235" s="25"/>
      <c r="W235" s="25"/>
      <c r="X235" s="25"/>
      <c r="Y235" s="25"/>
      <c r="Z235" s="25"/>
      <c r="CI235" s="888">
        <v>912</v>
      </c>
      <c r="CJ235" s="4" t="s">
        <v>1287</v>
      </c>
      <c r="CL235" s="1826">
        <v>-0.48345808833271486</v>
      </c>
      <c r="CN235" s="864"/>
      <c r="CO235" s="1103"/>
      <c r="CR235" s="1823">
        <v>-18.404862527091971</v>
      </c>
      <c r="CT235" s="864"/>
      <c r="CU235" s="1103"/>
      <c r="CV235" s="1099"/>
      <c r="CW235" s="1099"/>
      <c r="CX235" s="1823">
        <v>16.640683532422969</v>
      </c>
      <c r="CY235" s="1099"/>
      <c r="CZ235" s="864"/>
      <c r="DA235" s="1103"/>
      <c r="DB235" s="1099"/>
      <c r="DF235" s="3">
        <v>158</v>
      </c>
      <c r="DG235" s="4">
        <v>2005</v>
      </c>
      <c r="DH235" s="4">
        <v>-4.3473249999999997</v>
      </c>
      <c r="DI235" s="1172"/>
      <c r="DJ235" s="5"/>
      <c r="DK235" s="1444">
        <v>158</v>
      </c>
      <c r="DL235" s="1444">
        <v>2005</v>
      </c>
      <c r="DM235" s="1444">
        <v>-9.1890299999999994E-2</v>
      </c>
      <c r="DN235" s="1440">
        <f t="shared" si="96"/>
        <v>-0.2756709</v>
      </c>
    </row>
    <row r="236" spans="9:118">
      <c r="R236" s="25"/>
      <c r="S236" s="25"/>
      <c r="T236" s="25"/>
      <c r="U236" s="25"/>
      <c r="V236" s="25"/>
      <c r="W236" s="25"/>
      <c r="X236" s="25"/>
      <c r="Y236" s="25"/>
      <c r="Z236" s="25"/>
      <c r="CI236" s="888">
        <v>912</v>
      </c>
      <c r="CJ236" s="4" t="s">
        <v>1288</v>
      </c>
      <c r="CL236" s="1826">
        <v>-7.3675349358015652</v>
      </c>
      <c r="CN236" s="864"/>
      <c r="CO236" s="1103"/>
      <c r="CR236" s="1823">
        <v>4.739141917947391</v>
      </c>
      <c r="CT236" s="864"/>
      <c r="CU236" s="1103"/>
      <c r="CV236" s="1099"/>
      <c r="CW236" s="1099"/>
      <c r="CX236" s="1823">
        <v>2.9332552860345995</v>
      </c>
      <c r="CY236" s="1099"/>
      <c r="CZ236" s="864"/>
      <c r="DA236" s="1103"/>
      <c r="DB236" s="1099"/>
      <c r="DF236" s="3">
        <v>158</v>
      </c>
      <c r="DG236" s="4">
        <v>2006</v>
      </c>
      <c r="DH236" s="4">
        <v>-2.7828680000000001</v>
      </c>
      <c r="DI236" s="1172"/>
      <c r="DJ236" s="5"/>
      <c r="DK236" s="1444">
        <v>158</v>
      </c>
      <c r="DL236" s="1444">
        <v>2006</v>
      </c>
      <c r="DM236" s="1444">
        <v>1.564457</v>
      </c>
      <c r="DN236" s="1440">
        <f t="shared" si="96"/>
        <v>4.693371</v>
      </c>
    </row>
    <row r="237" spans="9:118">
      <c r="R237" s="25"/>
      <c r="S237" s="25"/>
      <c r="T237" s="25"/>
      <c r="U237" s="25"/>
      <c r="V237" s="25"/>
      <c r="W237" s="25"/>
      <c r="X237" s="25"/>
      <c r="Y237" s="25"/>
      <c r="Z237" s="25"/>
      <c r="CI237" s="888">
        <v>912</v>
      </c>
      <c r="CJ237" s="1091" t="s">
        <v>1289</v>
      </c>
      <c r="CL237" s="1826">
        <v>-6.3219472668085945</v>
      </c>
      <c r="CN237" s="1104"/>
      <c r="CO237" s="1105"/>
      <c r="CR237" s="1824">
        <v>-23.961026603410858</v>
      </c>
      <c r="CT237" s="1104"/>
      <c r="CU237" s="1105"/>
      <c r="CV237" s="1100"/>
      <c r="CW237" s="1100"/>
      <c r="CX237" s="1824">
        <v>-22.517162277894872</v>
      </c>
      <c r="CY237" s="1100"/>
      <c r="CZ237" s="1104"/>
      <c r="DA237" s="1105"/>
      <c r="DB237" s="1100"/>
      <c r="DF237" s="3">
        <v>158</v>
      </c>
      <c r="DG237" s="4">
        <v>2007</v>
      </c>
      <c r="DH237" s="4">
        <v>-1.951767</v>
      </c>
      <c r="DI237" s="1172"/>
      <c r="DJ237" s="5"/>
      <c r="DK237" s="1444">
        <v>158</v>
      </c>
      <c r="DL237" s="1444">
        <v>2007</v>
      </c>
      <c r="DM237" s="1444">
        <v>0.83110119999999998</v>
      </c>
      <c r="DN237" s="1440">
        <f t="shared" si="96"/>
        <v>2.4933036</v>
      </c>
    </row>
    <row r="238" spans="9:118">
      <c r="R238" s="25"/>
      <c r="S238" s="25"/>
      <c r="T238" s="25"/>
      <c r="U238" s="25"/>
      <c r="V238" s="25"/>
      <c r="W238" s="25"/>
      <c r="X238" s="25"/>
      <c r="Y238" s="25"/>
      <c r="Z238" s="25"/>
      <c r="CI238" s="888">
        <v>313</v>
      </c>
      <c r="CJ238" s="4" t="s">
        <v>1290</v>
      </c>
      <c r="CL238" s="1826"/>
      <c r="CN238" s="1099">
        <v>-1.4772138952074667</v>
      </c>
      <c r="CO238" s="1106">
        <v>0.15</v>
      </c>
      <c r="CR238" s="1822"/>
      <c r="CT238" s="1102">
        <v>-1.1922193251313948</v>
      </c>
      <c r="CU238" s="1106">
        <v>0.3</v>
      </c>
      <c r="CV238" s="863"/>
      <c r="CW238" s="863"/>
      <c r="CX238" s="1822" t="e">
        <v>#N/A</v>
      </c>
      <c r="CY238" s="863"/>
      <c r="CZ238" s="1099">
        <v>-0.42345007434822968</v>
      </c>
      <c r="DA238" s="1106">
        <v>0.49</v>
      </c>
      <c r="DB238" s="863"/>
      <c r="DF238" s="3">
        <v>158</v>
      </c>
      <c r="DG238" s="4">
        <v>2008</v>
      </c>
      <c r="DH238" s="4">
        <v>-0.48881859999999999</v>
      </c>
      <c r="DI238" s="1172"/>
      <c r="DJ238" s="5"/>
      <c r="DK238" s="1444">
        <v>158</v>
      </c>
      <c r="DL238" s="1444">
        <v>2008</v>
      </c>
      <c r="DM238" s="1444">
        <v>1.4629490000000001</v>
      </c>
      <c r="DN238" s="1440">
        <f t="shared" si="96"/>
        <v>4.3888470000000002</v>
      </c>
    </row>
    <row r="239" spans="9:118">
      <c r="R239" s="25"/>
      <c r="S239" s="25"/>
      <c r="T239" s="25"/>
      <c r="U239" s="25"/>
      <c r="V239" s="25"/>
      <c r="W239" s="25"/>
      <c r="X239" s="25"/>
      <c r="Y239" s="25"/>
      <c r="Z239" s="25"/>
      <c r="CI239" s="888">
        <v>313</v>
      </c>
      <c r="CJ239" s="4"/>
      <c r="CL239" s="1826"/>
      <c r="CN239" s="1102"/>
      <c r="CO239" s="1103"/>
      <c r="CR239" s="1822"/>
      <c r="CT239" s="1102"/>
      <c r="CU239" s="1103"/>
      <c r="CV239" s="863"/>
      <c r="CW239" s="863"/>
      <c r="CX239" s="1822" t="e">
        <v>#N/A</v>
      </c>
      <c r="CY239" s="863"/>
      <c r="CZ239" s="1102"/>
      <c r="DA239" s="1103"/>
      <c r="DB239" s="863"/>
      <c r="DF239" s="3">
        <v>158</v>
      </c>
      <c r="DG239" s="4">
        <v>2009</v>
      </c>
      <c r="DH239" s="4">
        <v>-2.082068</v>
      </c>
      <c r="DI239" s="1172"/>
      <c r="DJ239" s="5"/>
      <c r="DK239" s="1444">
        <v>158</v>
      </c>
      <c r="DL239" s="1444">
        <v>2009</v>
      </c>
      <c r="DM239" s="1444">
        <v>-1.5932489999999999</v>
      </c>
      <c r="DN239" s="1440">
        <f t="shared" si="96"/>
        <v>-4.7797469999999995</v>
      </c>
    </row>
    <row r="240" spans="9:118">
      <c r="R240" s="25"/>
      <c r="S240" s="25"/>
      <c r="T240" s="25"/>
      <c r="U240" s="25"/>
      <c r="V240" s="25"/>
      <c r="W240" s="25"/>
      <c r="X240" s="25"/>
      <c r="Y240" s="25"/>
      <c r="Z240" s="25"/>
      <c r="CI240" s="888">
        <v>313</v>
      </c>
      <c r="CJ240" s="4"/>
      <c r="CL240" s="1826"/>
      <c r="CN240" s="1102"/>
      <c r="CO240" s="1103"/>
      <c r="CR240" s="1822"/>
      <c r="CT240" s="1102"/>
      <c r="CU240" s="1103"/>
      <c r="CV240" s="863"/>
      <c r="CW240" s="863"/>
      <c r="CX240" s="1822" t="e">
        <v>#N/A</v>
      </c>
      <c r="CY240" s="863"/>
      <c r="CZ240" s="1102"/>
      <c r="DA240" s="1103"/>
      <c r="DB240" s="863"/>
      <c r="DF240" s="3">
        <v>158</v>
      </c>
      <c r="DG240" s="4">
        <v>2010</v>
      </c>
      <c r="DH240" s="4">
        <v>-2.9784329999999999</v>
      </c>
      <c r="DI240" s="1172"/>
      <c r="DJ240" s="5"/>
      <c r="DK240" s="1444">
        <v>158</v>
      </c>
      <c r="DL240" s="1444">
        <v>2010</v>
      </c>
      <c r="DM240" s="1444">
        <v>-0.89636459999999996</v>
      </c>
      <c r="DN240" s="1440">
        <f t="shared" si="96"/>
        <v>-2.6890937999999998</v>
      </c>
    </row>
    <row r="241" spans="18:118">
      <c r="R241" s="25"/>
      <c r="S241" s="25"/>
      <c r="T241" s="25"/>
      <c r="U241" s="25"/>
      <c r="V241" s="25"/>
      <c r="W241" s="25"/>
      <c r="X241" s="25"/>
      <c r="Y241" s="25"/>
      <c r="Z241" s="25"/>
      <c r="CI241" s="888">
        <v>313</v>
      </c>
      <c r="CJ241" s="4"/>
      <c r="CL241" s="1826"/>
      <c r="CN241" s="1102"/>
      <c r="CO241" s="1103"/>
      <c r="CR241" s="1825"/>
      <c r="CT241" s="1102"/>
      <c r="CU241" s="1103"/>
      <c r="CV241" s="1099"/>
      <c r="CW241" s="1099"/>
      <c r="CX241" s="1825" t="e">
        <v>#N/A</v>
      </c>
      <c r="CY241" s="1099"/>
      <c r="CZ241" s="1102"/>
      <c r="DA241" s="1103"/>
      <c r="DB241" s="1099"/>
      <c r="DF241" s="3">
        <v>174</v>
      </c>
      <c r="DG241" s="4">
        <v>1990</v>
      </c>
      <c r="DH241" s="4">
        <v>-5.1233050000000002</v>
      </c>
      <c r="DI241" s="1172"/>
      <c r="DJ241" s="5"/>
      <c r="DK241" s="1444">
        <v>174</v>
      </c>
      <c r="DL241" s="1444">
        <v>1990</v>
      </c>
      <c r="DM241" s="1444">
        <v>-1.2630509999999999</v>
      </c>
      <c r="DN241" s="1440">
        <f t="shared" si="96"/>
        <v>-3.7891529999999998</v>
      </c>
    </row>
    <row r="242" spans="18:118">
      <c r="R242" s="25"/>
      <c r="S242" s="25"/>
      <c r="T242" s="25"/>
      <c r="U242" s="25"/>
      <c r="V242" s="25"/>
      <c r="W242" s="25"/>
      <c r="X242" s="25"/>
      <c r="Y242" s="25"/>
      <c r="Z242" s="25"/>
      <c r="CI242" s="888">
        <v>313</v>
      </c>
      <c r="CJ242" s="4" t="s">
        <v>2415</v>
      </c>
      <c r="CL242" s="1826">
        <v>-0.20591185141814639</v>
      </c>
      <c r="CN242" s="1102"/>
      <c r="CO242" s="1103"/>
      <c r="CR242" s="1823">
        <v>-3.9988212821913507</v>
      </c>
      <c r="CT242" s="1102"/>
      <c r="CU242" s="1103"/>
      <c r="CV242" s="1099"/>
      <c r="CW242" s="1099"/>
      <c r="CX242" s="1823">
        <v>0.43296772075176793</v>
      </c>
      <c r="CY242" s="1099"/>
      <c r="CZ242" s="1102"/>
      <c r="DA242" s="1103"/>
      <c r="DB242" s="1099"/>
      <c r="DF242" s="3">
        <v>174</v>
      </c>
      <c r="DG242" s="4">
        <v>1991</v>
      </c>
      <c r="DH242" s="4">
        <v>-4.5704510000000003</v>
      </c>
      <c r="DI242" s="1172"/>
      <c r="DJ242" s="5"/>
      <c r="DK242" s="1444">
        <v>174</v>
      </c>
      <c r="DL242" s="1444">
        <v>1991</v>
      </c>
      <c r="DM242" s="1444">
        <v>0.55285390000000001</v>
      </c>
      <c r="DN242" s="1440">
        <f t="shared" si="96"/>
        <v>1.6585616999999999</v>
      </c>
    </row>
    <row r="243" spans="18:118">
      <c r="R243" s="25"/>
      <c r="S243" s="25"/>
      <c r="T243" s="25"/>
      <c r="U243" s="25"/>
      <c r="V243" s="25"/>
      <c r="W243" s="25"/>
      <c r="X243" s="25"/>
      <c r="Y243" s="25"/>
      <c r="Z243" s="25"/>
      <c r="CI243" s="888">
        <v>313</v>
      </c>
      <c r="CJ243" s="4" t="s">
        <v>2283</v>
      </c>
      <c r="CL243" s="1826">
        <v>-2.658528415563135</v>
      </c>
      <c r="CN243" s="1102"/>
      <c r="CO243" s="1103"/>
      <c r="CR243" s="1823">
        <v>-0.17687206877272485</v>
      </c>
      <c r="CT243" s="1102"/>
      <c r="CU243" s="1103"/>
      <c r="CV243" s="1099"/>
      <c r="CW243" s="1099"/>
      <c r="CX243" s="1823">
        <v>-1.317356380889847</v>
      </c>
      <c r="CY243" s="1099"/>
      <c r="CZ243" s="1102"/>
      <c r="DA243" s="1103"/>
      <c r="DB243" s="1099"/>
      <c r="DF243" s="3">
        <v>174</v>
      </c>
      <c r="DG243" s="4">
        <v>1992</v>
      </c>
      <c r="DH243" s="4">
        <v>-2.8951639999999998</v>
      </c>
      <c r="DI243" s="1172"/>
      <c r="DJ243" s="5"/>
      <c r="DK243" s="1444">
        <v>174</v>
      </c>
      <c r="DL243" s="1444">
        <v>1992</v>
      </c>
      <c r="DM243" s="1444">
        <v>1.6752880000000001</v>
      </c>
      <c r="DN243" s="1440">
        <f t="shared" si="96"/>
        <v>5.0258640000000003</v>
      </c>
    </row>
    <row r="244" spans="18:118">
      <c r="R244" s="25"/>
      <c r="S244" s="25"/>
      <c r="T244" s="25"/>
      <c r="U244" s="25"/>
      <c r="V244" s="25"/>
      <c r="W244" s="25"/>
      <c r="X244" s="25"/>
      <c r="Y244" s="25"/>
      <c r="Z244" s="25"/>
      <c r="CI244" s="888">
        <v>313</v>
      </c>
      <c r="CJ244" s="4" t="s">
        <v>1291</v>
      </c>
      <c r="CL244" s="1826">
        <v>-4.4426341286027622</v>
      </c>
      <c r="CN244" s="1102"/>
      <c r="CO244" s="1103"/>
      <c r="CR244" s="1823">
        <v>-1.0457304194997576</v>
      </c>
      <c r="CT244" s="1102"/>
      <c r="CU244" s="1103"/>
      <c r="CV244" s="1099"/>
      <c r="CW244" s="1099"/>
      <c r="CX244" s="1823">
        <v>1.4485672252675661</v>
      </c>
      <c r="CY244" s="1099"/>
      <c r="CZ244" s="1102"/>
      <c r="DA244" s="1103"/>
      <c r="DB244" s="1099"/>
      <c r="DF244" s="3">
        <v>174</v>
      </c>
      <c r="DG244" s="4">
        <v>1993</v>
      </c>
      <c r="DH244" s="4">
        <v>-1.1342190000000001</v>
      </c>
      <c r="DI244" s="1172"/>
      <c r="DJ244" s="5"/>
      <c r="DK244" s="1444">
        <v>174</v>
      </c>
      <c r="DL244" s="1444">
        <v>1993</v>
      </c>
      <c r="DM244" s="1444">
        <v>1.7609440000000001</v>
      </c>
      <c r="DN244" s="1440">
        <f t="shared" si="96"/>
        <v>5.282832</v>
      </c>
    </row>
    <row r="245" spans="18:118">
      <c r="R245" s="25"/>
      <c r="S245" s="25"/>
      <c r="T245" s="25"/>
      <c r="U245" s="25"/>
      <c r="V245" s="25"/>
      <c r="W245" s="25"/>
      <c r="X245" s="25"/>
      <c r="Y245" s="25"/>
      <c r="Z245" s="25"/>
      <c r="CI245" s="888">
        <v>313</v>
      </c>
      <c r="CJ245" s="4" t="s">
        <v>1292</v>
      </c>
      <c r="CL245" s="1826">
        <v>-1.4772138952074667</v>
      </c>
      <c r="CN245" s="1102"/>
      <c r="CO245" s="1103"/>
      <c r="CR245" s="1823">
        <v>-0.22001496171174129</v>
      </c>
      <c r="CT245" s="1102"/>
      <c r="CU245" s="1103"/>
      <c r="CV245" s="1099"/>
      <c r="CW245" s="1099"/>
      <c r="CX245" s="1823">
        <v>-2.1875757341031026</v>
      </c>
      <c r="CY245" s="1099"/>
      <c r="CZ245" s="1102"/>
      <c r="DA245" s="1103"/>
      <c r="DB245" s="1099"/>
      <c r="DF245" s="3">
        <v>174</v>
      </c>
      <c r="DG245" s="4">
        <v>1994</v>
      </c>
      <c r="DH245" s="4">
        <v>1.146747</v>
      </c>
      <c r="DI245" s="1172"/>
      <c r="DJ245" s="5"/>
      <c r="DK245" s="1444">
        <v>174</v>
      </c>
      <c r="DL245" s="1444">
        <v>1994</v>
      </c>
      <c r="DM245" s="1444">
        <v>2.280967</v>
      </c>
      <c r="DN245" s="1440">
        <f t="shared" si="96"/>
        <v>6.8429009999999995</v>
      </c>
    </row>
    <row r="246" spans="18:118">
      <c r="R246" s="25"/>
      <c r="S246" s="25"/>
      <c r="T246" s="25"/>
      <c r="U246" s="25"/>
      <c r="V246" s="25"/>
      <c r="W246" s="25"/>
      <c r="X246" s="25"/>
      <c r="Y246" s="25"/>
      <c r="Z246" s="25"/>
      <c r="CI246" s="888">
        <v>313</v>
      </c>
      <c r="CJ246" s="4" t="s">
        <v>1293</v>
      </c>
      <c r="CL246" s="1826">
        <v>-2.0325520511208661</v>
      </c>
      <c r="CN246" s="864"/>
      <c r="CO246" s="1103"/>
      <c r="CR246" s="1823">
        <v>-2.1923501803278125</v>
      </c>
      <c r="CT246" s="864"/>
      <c r="CU246" s="1103"/>
      <c r="CV246" s="1099"/>
      <c r="CW246" s="1099"/>
      <c r="CX246" s="1823">
        <v>-0.42345007434822968</v>
      </c>
      <c r="CY246" s="1099"/>
      <c r="CZ246" s="864"/>
      <c r="DA246" s="1103"/>
      <c r="DB246" s="1099"/>
      <c r="DF246" s="3">
        <v>174</v>
      </c>
      <c r="DG246" s="4">
        <v>1995</v>
      </c>
      <c r="DH246" s="4">
        <v>2.5107780000000002</v>
      </c>
      <c r="DI246" s="1172"/>
      <c r="DJ246" s="5"/>
      <c r="DK246" s="1444">
        <v>174</v>
      </c>
      <c r="DL246" s="1444">
        <v>1995</v>
      </c>
      <c r="DM246" s="1444">
        <v>1.364031</v>
      </c>
      <c r="DN246" s="1440">
        <f t="shared" si="96"/>
        <v>4.0920930000000002</v>
      </c>
    </row>
    <row r="247" spans="18:118">
      <c r="R247" s="25"/>
      <c r="S247" s="25"/>
      <c r="T247" s="25"/>
      <c r="U247" s="25"/>
      <c r="V247" s="25"/>
      <c r="W247" s="25"/>
      <c r="X247" s="25"/>
      <c r="Y247" s="25"/>
      <c r="Z247" s="25"/>
      <c r="CI247" s="888">
        <v>313</v>
      </c>
      <c r="CJ247" s="4" t="s">
        <v>1294</v>
      </c>
      <c r="CL247" s="1826">
        <v>-0.46791887638539209</v>
      </c>
      <c r="CN247" s="864"/>
      <c r="CO247" s="1103"/>
      <c r="CR247" s="1823">
        <v>-1.338708230763032</v>
      </c>
      <c r="CT247" s="864"/>
      <c r="CU247" s="1103"/>
      <c r="CV247" s="1099"/>
      <c r="CW247" s="1099"/>
      <c r="CX247" s="1823">
        <v>0.20091150986412232</v>
      </c>
      <c r="CY247" s="1099"/>
      <c r="CZ247" s="864"/>
      <c r="DA247" s="1103"/>
      <c r="DB247" s="1099"/>
      <c r="DF247" s="3">
        <v>174</v>
      </c>
      <c r="DG247" s="4">
        <v>1996</v>
      </c>
      <c r="DH247" s="4">
        <v>4.164498</v>
      </c>
      <c r="DI247" s="1172"/>
      <c r="DJ247" s="5"/>
      <c r="DK247" s="1444">
        <v>174</v>
      </c>
      <c r="DL247" s="1444">
        <v>1996</v>
      </c>
      <c r="DM247" s="1444">
        <v>1.6537200000000001</v>
      </c>
      <c r="DN247" s="1440">
        <f t="shared" si="96"/>
        <v>4.9611600000000005</v>
      </c>
    </row>
    <row r="248" spans="18:118">
      <c r="R248" s="25"/>
      <c r="S248" s="25"/>
      <c r="T248" s="25"/>
      <c r="U248" s="25"/>
      <c r="V248" s="25"/>
      <c r="W248" s="25"/>
      <c r="X248" s="25"/>
      <c r="Y248" s="25"/>
      <c r="Z248" s="25"/>
      <c r="CI248" s="888">
        <v>313</v>
      </c>
      <c r="CJ248" s="4" t="s">
        <v>1295</v>
      </c>
      <c r="CL248" s="1826">
        <v>-0.37109389539059978</v>
      </c>
      <c r="CN248" s="864"/>
      <c r="CO248" s="1103"/>
      <c r="CR248" s="1823" t="s">
        <v>1218</v>
      </c>
      <c r="CT248" s="864"/>
      <c r="CU248" s="1103"/>
      <c r="CV248" s="1099"/>
      <c r="CW248" s="1099"/>
      <c r="CX248" s="1823">
        <v>-2.7795707408387518</v>
      </c>
      <c r="CY248" s="1099"/>
      <c r="CZ248" s="864"/>
      <c r="DA248" s="1103"/>
      <c r="DB248" s="1099"/>
      <c r="DF248" s="3">
        <v>174</v>
      </c>
      <c r="DG248" s="4">
        <v>1997</v>
      </c>
      <c r="DH248" s="4">
        <v>3.9877210000000001</v>
      </c>
      <c r="DI248" s="1172"/>
      <c r="DJ248" s="5"/>
      <c r="DK248" s="1444">
        <v>174</v>
      </c>
      <c r="DL248" s="1444">
        <v>1997</v>
      </c>
      <c r="DM248" s="1444">
        <v>-0.1767775</v>
      </c>
      <c r="DN248" s="1440">
        <f t="shared" si="96"/>
        <v>-0.53033249999999998</v>
      </c>
    </row>
    <row r="249" spans="18:118">
      <c r="R249" s="25"/>
      <c r="S249" s="25"/>
      <c r="T249" s="25"/>
      <c r="U249" s="25"/>
      <c r="V249" s="25"/>
      <c r="W249" s="25"/>
      <c r="X249" s="25"/>
      <c r="Y249" s="25"/>
      <c r="Z249" s="25"/>
      <c r="CI249" s="888">
        <v>313</v>
      </c>
      <c r="CJ249" s="4" t="s">
        <v>1296</v>
      </c>
      <c r="CL249" s="1826">
        <v>1.4555014512891895</v>
      </c>
      <c r="CN249" s="864"/>
      <c r="CO249" s="1103"/>
      <c r="CR249" s="1823">
        <v>3.2056295614470121</v>
      </c>
      <c r="CT249" s="864"/>
      <c r="CU249" s="1103"/>
      <c r="CV249" s="1099"/>
      <c r="CW249" s="1099"/>
      <c r="CX249" s="1823">
        <v>-2.8687603484186672</v>
      </c>
      <c r="CY249" s="1099"/>
      <c r="CZ249" s="864"/>
      <c r="DA249" s="1103"/>
      <c r="DB249" s="1099"/>
      <c r="DF249" s="3">
        <v>174</v>
      </c>
      <c r="DG249" s="4">
        <v>1998</v>
      </c>
      <c r="DH249" s="4">
        <v>4.7765740000000001</v>
      </c>
      <c r="DI249" s="1172"/>
      <c r="DJ249" s="5"/>
      <c r="DK249" s="1444">
        <v>174</v>
      </c>
      <c r="DL249" s="1444">
        <v>1998</v>
      </c>
      <c r="DM249" s="1444">
        <v>0.78885249999999996</v>
      </c>
      <c r="DN249" s="1440">
        <f t="shared" si="96"/>
        <v>2.3665574999999999</v>
      </c>
    </row>
    <row r="250" spans="18:118">
      <c r="R250" s="25"/>
      <c r="S250" s="25"/>
      <c r="T250" s="25"/>
      <c r="U250" s="25"/>
      <c r="V250" s="25"/>
      <c r="W250" s="25"/>
      <c r="X250" s="25"/>
      <c r="Y250" s="25"/>
      <c r="Z250" s="25"/>
      <c r="CI250" s="888">
        <v>313</v>
      </c>
      <c r="CJ250" s="1091" t="s">
        <v>1297</v>
      </c>
      <c r="CL250" s="1826">
        <v>-8.0871472496658434</v>
      </c>
      <c r="CN250" s="1104"/>
      <c r="CO250" s="1105"/>
      <c r="CR250" s="1824">
        <v>-3.1448926219659104</v>
      </c>
      <c r="CT250" s="1104"/>
      <c r="CU250" s="1105"/>
      <c r="CV250" s="1100"/>
      <c r="CW250" s="1100"/>
      <c r="CX250" s="1824">
        <v>3.1519169004900842</v>
      </c>
      <c r="CY250" s="1100"/>
      <c r="CZ250" s="1104"/>
      <c r="DA250" s="1105"/>
      <c r="DB250" s="1100"/>
      <c r="DF250" s="3">
        <v>174</v>
      </c>
      <c r="DG250" s="4">
        <v>1999</v>
      </c>
      <c r="DH250" s="4">
        <v>4.9791020000000001</v>
      </c>
      <c r="DI250" s="1172"/>
      <c r="DJ250" s="5"/>
      <c r="DK250" s="1444">
        <v>174</v>
      </c>
      <c r="DL250" s="1444">
        <v>1999</v>
      </c>
      <c r="DM250" s="1444">
        <v>0.20252829999999999</v>
      </c>
      <c r="DN250" s="1440">
        <f t="shared" si="96"/>
        <v>0.60758489999999998</v>
      </c>
    </row>
    <row r="251" spans="18:118">
      <c r="R251" s="25"/>
      <c r="S251" s="25"/>
      <c r="T251" s="25"/>
      <c r="U251" s="25"/>
      <c r="V251" s="25"/>
      <c r="W251" s="25"/>
      <c r="X251" s="25"/>
      <c r="Y251" s="25"/>
      <c r="Z251" s="25"/>
      <c r="CI251" s="888">
        <v>419</v>
      </c>
      <c r="CJ251" s="4" t="s">
        <v>1298</v>
      </c>
      <c r="CL251" s="1826"/>
      <c r="CN251" s="1099">
        <v>0.81143846681917164</v>
      </c>
      <c r="CO251" s="1106">
        <v>0.95</v>
      </c>
      <c r="CR251" s="1822"/>
      <c r="CT251" s="1102">
        <v>-2.4133362755640024</v>
      </c>
      <c r="CU251" s="1106">
        <v>0.14000000000000001</v>
      </c>
      <c r="CV251" s="863"/>
      <c r="CW251" s="863"/>
      <c r="CX251" s="1822" t="e">
        <v>#N/A</v>
      </c>
      <c r="CY251" s="863"/>
      <c r="CZ251" s="1099">
        <v>-0.5839149173595144</v>
      </c>
      <c r="DA251" s="1106">
        <v>0.37</v>
      </c>
      <c r="DB251" s="863"/>
      <c r="DF251" s="3">
        <v>174</v>
      </c>
      <c r="DG251" s="4">
        <v>2000</v>
      </c>
      <c r="DH251" s="4">
        <v>5.1021900000000002</v>
      </c>
      <c r="DI251" s="1172"/>
      <c r="DJ251" s="5"/>
      <c r="DK251" s="1444">
        <v>174</v>
      </c>
      <c r="DL251" s="1444">
        <v>2000</v>
      </c>
      <c r="DM251" s="1444">
        <v>0.12308769999999999</v>
      </c>
      <c r="DN251" s="1440">
        <f t="shared" si="96"/>
        <v>0.36926309999999996</v>
      </c>
    </row>
    <row r="252" spans="18:118">
      <c r="R252" s="25"/>
      <c r="S252" s="25"/>
      <c r="T252" s="25"/>
      <c r="U252" s="25"/>
      <c r="V252" s="25"/>
      <c r="W252" s="25"/>
      <c r="X252" s="25"/>
      <c r="Y252" s="25"/>
      <c r="Z252" s="25"/>
      <c r="CI252" s="888">
        <v>419</v>
      </c>
      <c r="CJ252" s="4"/>
      <c r="CL252" s="1826"/>
      <c r="CN252" s="1102"/>
      <c r="CO252" s="1103"/>
      <c r="CR252" s="1822"/>
      <c r="CT252" s="1102"/>
      <c r="CU252" s="1103"/>
      <c r="CV252" s="863"/>
      <c r="CW252" s="863"/>
      <c r="CX252" s="1822" t="e">
        <v>#N/A</v>
      </c>
      <c r="CY252" s="863"/>
      <c r="CZ252" s="1102"/>
      <c r="DA252" s="1103"/>
      <c r="DB252" s="863"/>
      <c r="DF252" s="3">
        <v>174</v>
      </c>
      <c r="DG252" s="4">
        <v>2001</v>
      </c>
      <c r="DH252" s="4">
        <v>4.3287339999999999</v>
      </c>
      <c r="DI252" s="1172"/>
      <c r="DJ252" s="5"/>
      <c r="DK252" s="1444">
        <v>174</v>
      </c>
      <c r="DL252" s="1444">
        <v>2001</v>
      </c>
      <c r="DM252" s="1444">
        <v>-0.77345580000000003</v>
      </c>
      <c r="DN252" s="1440">
        <f t="shared" si="96"/>
        <v>-2.3203674000000003</v>
      </c>
    </row>
    <row r="253" spans="18:118">
      <c r="R253" s="25"/>
      <c r="S253" s="25"/>
      <c r="T253" s="25"/>
      <c r="U253" s="25"/>
      <c r="V253" s="25"/>
      <c r="W253" s="25"/>
      <c r="X253" s="25"/>
      <c r="Y253" s="25"/>
      <c r="Z253" s="25"/>
      <c r="CI253" s="888">
        <v>419</v>
      </c>
      <c r="CJ253" s="4"/>
      <c r="CL253" s="1826"/>
      <c r="CN253" s="1102"/>
      <c r="CO253" s="1103"/>
      <c r="CR253" s="1822"/>
      <c r="CT253" s="1102"/>
      <c r="CU253" s="1103"/>
      <c r="CV253" s="863"/>
      <c r="CW253" s="863"/>
      <c r="CX253" s="1822" t="e">
        <v>#N/A</v>
      </c>
      <c r="CY253" s="863"/>
      <c r="CZ253" s="1102"/>
      <c r="DA253" s="1103"/>
      <c r="DB253" s="863"/>
      <c r="DF253" s="3">
        <v>174</v>
      </c>
      <c r="DG253" s="4">
        <v>2002</v>
      </c>
      <c r="DH253" s="4">
        <v>3.1444100000000001</v>
      </c>
      <c r="DI253" s="1172"/>
      <c r="DJ253" s="5"/>
      <c r="DK253" s="1444">
        <v>174</v>
      </c>
      <c r="DL253" s="1444">
        <v>2002</v>
      </c>
      <c r="DM253" s="1444">
        <v>-1.1843239999999999</v>
      </c>
      <c r="DN253" s="1440">
        <f t="shared" si="96"/>
        <v>-3.5529719999999996</v>
      </c>
    </row>
    <row r="254" spans="18:118">
      <c r="R254" s="25"/>
      <c r="S254" s="25"/>
      <c r="T254" s="25"/>
      <c r="U254" s="25"/>
      <c r="V254" s="25"/>
      <c r="W254" s="25"/>
      <c r="X254" s="25"/>
      <c r="Y254" s="25"/>
      <c r="Z254" s="25"/>
      <c r="CI254" s="888">
        <v>419</v>
      </c>
      <c r="CJ254" s="4"/>
      <c r="CL254" s="1826"/>
      <c r="CN254" s="1102"/>
      <c r="CO254" s="1103"/>
      <c r="CR254" s="1825"/>
      <c r="CT254" s="1102"/>
      <c r="CU254" s="1103"/>
      <c r="CV254" s="1099"/>
      <c r="CW254" s="1099"/>
      <c r="CX254" s="1825" t="e">
        <v>#N/A</v>
      </c>
      <c r="CY254" s="1099"/>
      <c r="CZ254" s="1102"/>
      <c r="DA254" s="1103"/>
      <c r="DB254" s="1099"/>
      <c r="DF254" s="3">
        <v>174</v>
      </c>
      <c r="DG254" s="4">
        <v>2003</v>
      </c>
      <c r="DH254" s="4">
        <v>1.513144</v>
      </c>
      <c r="DI254" s="1172"/>
      <c r="DJ254" s="5"/>
      <c r="DK254" s="1444">
        <v>174</v>
      </c>
      <c r="DL254" s="1444">
        <v>2003</v>
      </c>
      <c r="DM254" s="1444">
        <v>-1.631265</v>
      </c>
      <c r="DN254" s="1440">
        <f t="shared" si="96"/>
        <v>-4.8937949999999999</v>
      </c>
    </row>
    <row r="255" spans="18:118">
      <c r="R255" s="25"/>
      <c r="S255" s="25"/>
      <c r="T255" s="25"/>
      <c r="U255" s="25"/>
      <c r="V255" s="25"/>
      <c r="W255" s="25"/>
      <c r="X255" s="25"/>
      <c r="Y255" s="25"/>
      <c r="Z255" s="25"/>
      <c r="CI255" s="888">
        <v>419</v>
      </c>
      <c r="CJ255" s="4" t="s">
        <v>2416</v>
      </c>
      <c r="CL255" s="1826">
        <v>1.1388411660354394</v>
      </c>
      <c r="CN255" s="1102"/>
      <c r="CO255" s="1103"/>
      <c r="CR255" s="1823">
        <v>-0.19858275023372229</v>
      </c>
      <c r="CT255" s="1102"/>
      <c r="CU255" s="1103"/>
      <c r="CV255" s="1099"/>
      <c r="CW255" s="1099"/>
      <c r="CX255" s="1823">
        <v>0.98384821812698053</v>
      </c>
      <c r="CY255" s="1099"/>
      <c r="CZ255" s="1102"/>
      <c r="DA255" s="1103"/>
      <c r="DB255" s="1099"/>
      <c r="DF255" s="3">
        <v>174</v>
      </c>
      <c r="DG255" s="4">
        <v>2004</v>
      </c>
      <c r="DH255" s="4">
        <v>-0.30404779999999998</v>
      </c>
      <c r="DI255" s="1172"/>
      <c r="DJ255" s="5"/>
      <c r="DK255" s="1444">
        <v>174</v>
      </c>
      <c r="DL255" s="1444">
        <v>2004</v>
      </c>
      <c r="DM255" s="1444">
        <v>-1.8171919999999999</v>
      </c>
      <c r="DN255" s="1440">
        <f t="shared" si="96"/>
        <v>-5.4515759999999993</v>
      </c>
    </row>
    <row r="256" spans="18:118">
      <c r="R256" s="25"/>
      <c r="S256" s="25"/>
      <c r="T256" s="25"/>
      <c r="U256" s="25"/>
      <c r="V256" s="25"/>
      <c r="W256" s="25"/>
      <c r="X256" s="25"/>
      <c r="Y256" s="25"/>
      <c r="Z256" s="25"/>
      <c r="CI256" s="888">
        <v>419</v>
      </c>
      <c r="CJ256" s="4" t="s">
        <v>2284</v>
      </c>
      <c r="CL256" s="1826">
        <v>0.81143846681917164</v>
      </c>
      <c r="CN256" s="1102"/>
      <c r="CO256" s="1103"/>
      <c r="CR256" s="1823">
        <v>-11.288561020475282</v>
      </c>
      <c r="CT256" s="1102"/>
      <c r="CU256" s="1103"/>
      <c r="CV256" s="1099"/>
      <c r="CW256" s="1099"/>
      <c r="CX256" s="1823">
        <v>-3.6528724381689734</v>
      </c>
      <c r="CY256" s="1099"/>
      <c r="CZ256" s="1102"/>
      <c r="DA256" s="1103"/>
      <c r="DB256" s="1099"/>
      <c r="DF256" s="3">
        <v>174</v>
      </c>
      <c r="DG256" s="4">
        <v>2005</v>
      </c>
      <c r="DH256" s="4">
        <v>-1.143421</v>
      </c>
      <c r="DI256" s="1172"/>
      <c r="DJ256" s="5"/>
      <c r="DK256" s="1444">
        <v>174</v>
      </c>
      <c r="DL256" s="1444">
        <v>2005</v>
      </c>
      <c r="DM256" s="1444">
        <v>-0.83937360000000005</v>
      </c>
      <c r="DN256" s="1440">
        <f t="shared" si="96"/>
        <v>-2.5181208000000002</v>
      </c>
    </row>
    <row r="257" spans="18:118">
      <c r="R257" s="25"/>
      <c r="S257" s="25"/>
      <c r="T257" s="25"/>
      <c r="U257" s="25"/>
      <c r="V257" s="25"/>
      <c r="W257" s="25"/>
      <c r="X257" s="25"/>
      <c r="Y257" s="25"/>
      <c r="Z257" s="25"/>
      <c r="CI257" s="888">
        <v>419</v>
      </c>
      <c r="CJ257" s="4" t="s">
        <v>1299</v>
      </c>
      <c r="CL257" s="1826">
        <v>-0.39464484380295684</v>
      </c>
      <c r="CN257" s="1102"/>
      <c r="CO257" s="1103"/>
      <c r="CR257" s="1823">
        <v>-12.868760551744346</v>
      </c>
      <c r="CT257" s="1102"/>
      <c r="CU257" s="1103"/>
      <c r="CV257" s="1099"/>
      <c r="CW257" s="1099"/>
      <c r="CX257" s="1823">
        <v>-8.8695100321937428</v>
      </c>
      <c r="CY257" s="1099"/>
      <c r="CZ257" s="1102"/>
      <c r="DA257" s="1103"/>
      <c r="DB257" s="1099"/>
      <c r="DF257" s="3">
        <v>174</v>
      </c>
      <c r="DG257" s="4">
        <v>2006</v>
      </c>
      <c r="DH257" s="4">
        <v>-1.639958</v>
      </c>
      <c r="DI257" s="1172"/>
      <c r="DJ257" s="5"/>
      <c r="DK257" s="1444">
        <v>174</v>
      </c>
      <c r="DL257" s="1444">
        <v>2006</v>
      </c>
      <c r="DM257" s="1444">
        <v>-0.49653659999999999</v>
      </c>
      <c r="DN257" s="1440">
        <f t="shared" si="96"/>
        <v>-1.4896098</v>
      </c>
    </row>
    <row r="258" spans="18:118">
      <c r="R258" s="25"/>
      <c r="S258" s="25"/>
      <c r="T258" s="25"/>
      <c r="U258" s="25"/>
      <c r="V258" s="25"/>
      <c r="W258" s="25"/>
      <c r="X258" s="25"/>
      <c r="Y258" s="25"/>
      <c r="Z258" s="25"/>
      <c r="CI258" s="888">
        <v>419</v>
      </c>
      <c r="CJ258" s="4" t="s">
        <v>1300</v>
      </c>
      <c r="CL258" s="1826">
        <v>1.2012445954933639</v>
      </c>
      <c r="CN258" s="1102"/>
      <c r="CO258" s="1103"/>
      <c r="CR258" s="1823">
        <v>-0.51111468976633923</v>
      </c>
      <c r="CT258" s="1102"/>
      <c r="CU258" s="1103"/>
      <c r="CV258" s="1099"/>
      <c r="CW258" s="1099"/>
      <c r="CX258" s="1823">
        <v>-0.64855055469632283</v>
      </c>
      <c r="CY258" s="1099"/>
      <c r="CZ258" s="1102"/>
      <c r="DA258" s="1103"/>
      <c r="DB258" s="1099"/>
      <c r="DF258" s="3">
        <v>174</v>
      </c>
      <c r="DG258" s="4">
        <v>2007</v>
      </c>
      <c r="DH258" s="4">
        <v>-1.94432</v>
      </c>
      <c r="DI258" s="1172"/>
      <c r="DJ258" s="5"/>
      <c r="DK258" s="1444">
        <v>174</v>
      </c>
      <c r="DL258" s="1444">
        <v>2007</v>
      </c>
      <c r="DM258" s="1444">
        <v>-0.30436190000000002</v>
      </c>
      <c r="DN258" s="1440">
        <f t="shared" si="96"/>
        <v>-0.91308570000000011</v>
      </c>
    </row>
    <row r="259" spans="18:118">
      <c r="R259" s="25"/>
      <c r="S259" s="25"/>
      <c r="T259" s="25"/>
      <c r="U259" s="25"/>
      <c r="V259" s="25"/>
      <c r="W259" s="25"/>
      <c r="X259" s="25"/>
      <c r="Y259" s="25"/>
      <c r="Z259" s="25"/>
      <c r="CI259" s="888">
        <v>419</v>
      </c>
      <c r="CJ259" s="4" t="s">
        <v>1301</v>
      </c>
      <c r="CL259" s="1826">
        <v>2.4961664325970609</v>
      </c>
      <c r="CN259" s="864"/>
      <c r="CO259" s="1103"/>
      <c r="CR259" s="1823">
        <v>-2.2661187694920186</v>
      </c>
      <c r="CT259" s="864"/>
      <c r="CU259" s="1103"/>
      <c r="CV259" s="1099"/>
      <c r="CW259" s="1099"/>
      <c r="CX259" s="1823">
        <v>0.98868211591644883</v>
      </c>
      <c r="CY259" s="1099"/>
      <c r="CZ259" s="864"/>
      <c r="DA259" s="1103"/>
      <c r="DB259" s="1099"/>
      <c r="DF259" s="3">
        <v>174</v>
      </c>
      <c r="DG259" s="4">
        <v>2008</v>
      </c>
      <c r="DH259" s="4">
        <v>-3.9571230000000002</v>
      </c>
      <c r="DI259" s="1172"/>
      <c r="DJ259" s="5"/>
      <c r="DK259" s="1444">
        <v>174</v>
      </c>
      <c r="DL259" s="1444">
        <v>2008</v>
      </c>
      <c r="DM259" s="1444">
        <v>-2.0128029999999999</v>
      </c>
      <c r="DN259" s="1440">
        <f t="shared" si="96"/>
        <v>-6.0384089999999997</v>
      </c>
    </row>
    <row r="260" spans="18:118">
      <c r="R260" s="25"/>
      <c r="S260" s="25"/>
      <c r="T260" s="25"/>
      <c r="U260" s="25"/>
      <c r="V260" s="25"/>
      <c r="W260" s="25"/>
      <c r="X260" s="25"/>
      <c r="Y260" s="25"/>
      <c r="Z260" s="25"/>
      <c r="CI260" s="888">
        <v>419</v>
      </c>
      <c r="CJ260" s="4" t="s">
        <v>1302</v>
      </c>
      <c r="CL260" s="1826">
        <v>-1.7037111637991686</v>
      </c>
      <c r="CN260" s="864"/>
      <c r="CO260" s="1103"/>
      <c r="CR260" s="1823">
        <v>-2.5605537816359862</v>
      </c>
      <c r="CT260" s="864"/>
      <c r="CU260" s="1103"/>
      <c r="CV260" s="1099"/>
      <c r="CW260" s="1099"/>
      <c r="CX260" s="1823">
        <v>-0.5839149173595144</v>
      </c>
      <c r="CY260" s="1099"/>
      <c r="CZ260" s="864"/>
      <c r="DA260" s="1103"/>
      <c r="DB260" s="1099"/>
      <c r="DF260" s="3">
        <v>174</v>
      </c>
      <c r="DG260" s="4">
        <v>2009</v>
      </c>
      <c r="DH260" s="4">
        <v>-7.2480169999999999</v>
      </c>
      <c r="DI260" s="1172"/>
      <c r="DJ260" s="5"/>
      <c r="DK260" s="1444">
        <v>174</v>
      </c>
      <c r="DL260" s="1444">
        <v>2009</v>
      </c>
      <c r="DM260" s="1444">
        <v>-3.2908940000000002</v>
      </c>
      <c r="DN260" s="1440">
        <f t="shared" ref="DN260:DN323" si="97">DM260*3</f>
        <v>-9.8726820000000011</v>
      </c>
    </row>
    <row r="261" spans="18:118">
      <c r="R261" s="25"/>
      <c r="S261" s="25"/>
      <c r="T261" s="25"/>
      <c r="U261" s="25"/>
      <c r="V261" s="25"/>
      <c r="W261" s="25"/>
      <c r="X261" s="25"/>
      <c r="Y261" s="25"/>
      <c r="Z261" s="25"/>
      <c r="CI261" s="888">
        <v>419</v>
      </c>
      <c r="CJ261" s="4" t="s">
        <v>1303</v>
      </c>
      <c r="CL261" s="1826">
        <v>-1.8615112427800971</v>
      </c>
      <c r="CN261" s="864"/>
      <c r="CO261" s="1103"/>
      <c r="CR261" s="1823" t="s">
        <v>1218</v>
      </c>
      <c r="CT261" s="864"/>
      <c r="CU261" s="1103"/>
      <c r="CV261" s="1099"/>
      <c r="CW261" s="1099"/>
      <c r="CX261" s="1823">
        <v>16.607397142422943</v>
      </c>
      <c r="CY261" s="1099"/>
      <c r="CZ261" s="864"/>
      <c r="DA261" s="1103"/>
      <c r="DB261" s="1099"/>
      <c r="DF261" s="3">
        <v>174</v>
      </c>
      <c r="DG261" s="4">
        <v>2010</v>
      </c>
      <c r="DH261" s="4">
        <v>-7.884798</v>
      </c>
      <c r="DI261" s="1172"/>
      <c r="DJ261" s="5"/>
      <c r="DK261" s="1444">
        <v>174</v>
      </c>
      <c r="DL261" s="1444">
        <v>2010</v>
      </c>
      <c r="DM261" s="1444">
        <v>-0.63678069999999998</v>
      </c>
      <c r="DN261" s="1440">
        <f t="shared" si="97"/>
        <v>-1.9103420999999998</v>
      </c>
    </row>
    <row r="262" spans="18:118">
      <c r="R262" s="25"/>
      <c r="S262" s="25"/>
      <c r="T262" s="25"/>
      <c r="U262" s="25"/>
      <c r="V262" s="25"/>
      <c r="W262" s="25"/>
      <c r="X262" s="25"/>
      <c r="Y262" s="25"/>
      <c r="Z262" s="25"/>
      <c r="CI262" s="888">
        <v>419</v>
      </c>
      <c r="CJ262" s="4" t="s">
        <v>1304</v>
      </c>
      <c r="CL262" s="1826">
        <v>1.0377472975256663</v>
      </c>
      <c r="CN262" s="864"/>
      <c r="CO262" s="1103"/>
      <c r="CR262" s="1823" t="s">
        <v>1218</v>
      </c>
      <c r="CT262" s="864"/>
      <c r="CU262" s="1103"/>
      <c r="CV262" s="1099"/>
      <c r="CW262" s="1099"/>
      <c r="CX262" s="1823">
        <v>5.1165706308615695</v>
      </c>
      <c r="CY262" s="1099"/>
      <c r="CZ262" s="864"/>
      <c r="DA262" s="1103"/>
      <c r="DB262" s="1099"/>
      <c r="DF262" s="3">
        <v>176</v>
      </c>
      <c r="DG262" s="4">
        <v>2009</v>
      </c>
      <c r="DH262" s="4">
        <v>1.7022010000000001</v>
      </c>
      <c r="DI262" s="1172"/>
      <c r="DJ262" s="5"/>
      <c r="DK262" s="1444">
        <v>176</v>
      </c>
      <c r="DL262" s="1444">
        <v>2009</v>
      </c>
      <c r="DM262" s="1444">
        <v>-2.7460429999999998</v>
      </c>
      <c r="DN262" s="1440">
        <f t="shared" si="97"/>
        <v>-8.2381289999999989</v>
      </c>
    </row>
    <row r="263" spans="18:118">
      <c r="R263" s="25"/>
      <c r="S263" s="25"/>
      <c r="T263" s="25"/>
      <c r="U263" s="25"/>
      <c r="V263" s="25"/>
      <c r="W263" s="25"/>
      <c r="X263" s="25"/>
      <c r="Y263" s="25"/>
      <c r="Z263" s="25"/>
      <c r="CI263" s="888">
        <v>419</v>
      </c>
      <c r="CJ263" s="1091" t="s">
        <v>1305</v>
      </c>
      <c r="CL263" s="1826">
        <v>-3.4465999481809688</v>
      </c>
      <c r="CN263" s="1104"/>
      <c r="CO263" s="1105"/>
      <c r="CR263" s="1824" t="s">
        <v>1218</v>
      </c>
      <c r="CT263" s="1104"/>
      <c r="CU263" s="1105"/>
      <c r="CV263" s="1100"/>
      <c r="CW263" s="1100"/>
      <c r="CX263" s="1824">
        <v>-13.292782725605282</v>
      </c>
      <c r="CY263" s="1100"/>
      <c r="CZ263" s="1104"/>
      <c r="DA263" s="1105"/>
      <c r="DB263" s="1100"/>
      <c r="DF263" s="3">
        <v>176</v>
      </c>
      <c r="DG263" s="4">
        <v>2010</v>
      </c>
      <c r="DH263" s="4">
        <v>0.95602120000000002</v>
      </c>
      <c r="DI263" s="1172"/>
      <c r="DJ263" s="5"/>
      <c r="DK263" s="1444">
        <v>176</v>
      </c>
      <c r="DL263" s="1444">
        <v>2010</v>
      </c>
      <c r="DM263" s="1444">
        <v>-0.74617979999999995</v>
      </c>
      <c r="DN263" s="1440">
        <f t="shared" si="97"/>
        <v>-2.2385393999999996</v>
      </c>
    </row>
    <row r="264" spans="18:118">
      <c r="R264" s="25"/>
      <c r="S264" s="25"/>
      <c r="T264" s="25"/>
      <c r="U264" s="25"/>
      <c r="V264" s="25"/>
      <c r="W264" s="25"/>
      <c r="X264" s="25"/>
      <c r="Y264" s="25"/>
      <c r="Z264" s="25"/>
      <c r="CI264" s="888">
        <v>316</v>
      </c>
      <c r="CJ264" s="4" t="s">
        <v>1306</v>
      </c>
      <c r="CL264" s="1826"/>
      <c r="CN264" s="1099">
        <v>-1.4178465910733249</v>
      </c>
      <c r="CO264" s="1106">
        <v>0.17</v>
      </c>
      <c r="CR264" s="1822"/>
      <c r="CT264" s="1102">
        <v>-3.2372284484396436</v>
      </c>
      <c r="CU264" s="1106">
        <v>0.09</v>
      </c>
      <c r="CV264" s="863"/>
      <c r="CW264" s="863"/>
      <c r="CX264" s="1822" t="e">
        <v>#N/A</v>
      </c>
      <c r="CY264" s="863"/>
      <c r="CZ264" s="1099">
        <v>-1.5449923369141836</v>
      </c>
      <c r="DA264" s="1106">
        <v>0.1</v>
      </c>
      <c r="DB264" s="863"/>
      <c r="DF264" s="3">
        <v>178</v>
      </c>
      <c r="DG264" s="4">
        <v>1990</v>
      </c>
      <c r="DH264" s="4">
        <v>4.0092949999999998</v>
      </c>
      <c r="DI264" s="1172"/>
      <c r="DJ264" s="5"/>
      <c r="DK264" s="1444">
        <v>178</v>
      </c>
      <c r="DL264" s="1444">
        <v>1990</v>
      </c>
      <c r="DM264" s="1444">
        <v>0.7771574</v>
      </c>
      <c r="DN264" s="1440">
        <f t="shared" si="97"/>
        <v>2.3314721999999999</v>
      </c>
    </row>
    <row r="265" spans="18:118">
      <c r="R265" s="25"/>
      <c r="S265" s="25"/>
      <c r="T265" s="25"/>
      <c r="U265" s="25"/>
      <c r="V265" s="25"/>
      <c r="W265" s="25"/>
      <c r="X265" s="25"/>
      <c r="Y265" s="25"/>
      <c r="Z265" s="25"/>
      <c r="CI265" s="888">
        <v>316</v>
      </c>
      <c r="CJ265" s="4"/>
      <c r="CL265" s="1826"/>
      <c r="CN265" s="1102"/>
      <c r="CO265" s="1103"/>
      <c r="CR265" s="1822"/>
      <c r="CT265" s="1102"/>
      <c r="CU265" s="1103"/>
      <c r="CV265" s="863"/>
      <c r="CW265" s="863"/>
      <c r="CX265" s="1822" t="e">
        <v>#N/A</v>
      </c>
      <c r="CY265" s="863"/>
      <c r="CZ265" s="1102"/>
      <c r="DA265" s="1103"/>
      <c r="DB265" s="863"/>
      <c r="DF265" s="3">
        <v>178</v>
      </c>
      <c r="DG265" s="4">
        <v>1991</v>
      </c>
      <c r="DH265" s="4">
        <v>4.2008219999999996</v>
      </c>
      <c r="DI265" s="1172"/>
      <c r="DJ265" s="5"/>
      <c r="DK265" s="1444">
        <v>178</v>
      </c>
      <c r="DL265" s="1444">
        <v>1991</v>
      </c>
      <c r="DM265" s="1444">
        <v>0.191527</v>
      </c>
      <c r="DN265" s="1440">
        <f t="shared" si="97"/>
        <v>0.57458100000000001</v>
      </c>
    </row>
    <row r="266" spans="18:118">
      <c r="R266" s="25"/>
      <c r="S266" s="25"/>
      <c r="T266" s="25"/>
      <c r="U266" s="25"/>
      <c r="V266" s="25"/>
      <c r="W266" s="25"/>
      <c r="X266" s="25"/>
      <c r="Y266" s="25"/>
      <c r="Z266" s="25"/>
      <c r="CI266" s="888">
        <v>316</v>
      </c>
      <c r="CJ266" s="4"/>
      <c r="CL266" s="1826"/>
      <c r="CN266" s="1102"/>
      <c r="CO266" s="1103"/>
      <c r="CR266" s="1822"/>
      <c r="CT266" s="1102"/>
      <c r="CU266" s="1103"/>
      <c r="CV266" s="863"/>
      <c r="CW266" s="863"/>
      <c r="CX266" s="1822" t="e">
        <v>#N/A</v>
      </c>
      <c r="CY266" s="863"/>
      <c r="CZ266" s="1102"/>
      <c r="DA266" s="1103"/>
      <c r="DB266" s="863"/>
      <c r="DF266" s="3">
        <v>178</v>
      </c>
      <c r="DG266" s="4">
        <v>1992</v>
      </c>
      <c r="DH266" s="4">
        <v>4.2897949999999998</v>
      </c>
      <c r="DI266" s="1172"/>
      <c r="DJ266" s="5"/>
      <c r="DK266" s="1444">
        <v>178</v>
      </c>
      <c r="DL266" s="1444">
        <v>1992</v>
      </c>
      <c r="DM266" s="1444">
        <v>8.8972399999999993E-2</v>
      </c>
      <c r="DN266" s="1440">
        <f t="shared" si="97"/>
        <v>0.26691719999999997</v>
      </c>
    </row>
    <row r="267" spans="18:118">
      <c r="R267" s="25"/>
      <c r="S267" s="25"/>
      <c r="T267" s="25"/>
      <c r="U267" s="25"/>
      <c r="V267" s="25"/>
      <c r="W267" s="25"/>
      <c r="X267" s="25"/>
      <c r="Y267" s="25"/>
      <c r="Z267" s="25"/>
      <c r="CI267" s="888">
        <v>316</v>
      </c>
      <c r="CJ267" s="4"/>
      <c r="CL267" s="1826"/>
      <c r="CN267" s="1102"/>
      <c r="CO267" s="1103"/>
      <c r="CR267" s="1825"/>
      <c r="CT267" s="1102"/>
      <c r="CU267" s="1103"/>
      <c r="CV267" s="1099"/>
      <c r="CW267" s="1099"/>
      <c r="CX267" s="1825" t="e">
        <v>#N/A</v>
      </c>
      <c r="CY267" s="1099"/>
      <c r="CZ267" s="1102"/>
      <c r="DA267" s="1103"/>
      <c r="DB267" s="1099"/>
      <c r="DF267" s="3">
        <v>178</v>
      </c>
      <c r="DG267" s="4">
        <v>1993</v>
      </c>
      <c r="DH267" s="4">
        <v>5.1967140000000001</v>
      </c>
      <c r="DI267" s="1172"/>
      <c r="DJ267" s="5"/>
      <c r="DK267" s="1444">
        <v>178</v>
      </c>
      <c r="DL267" s="1444">
        <v>1993</v>
      </c>
      <c r="DM267" s="1444">
        <v>0.90691949999999999</v>
      </c>
      <c r="DN267" s="1440">
        <f t="shared" si="97"/>
        <v>2.7207585000000001</v>
      </c>
    </row>
    <row r="268" spans="18:118">
      <c r="R268" s="25"/>
      <c r="S268" s="25"/>
      <c r="T268" s="25"/>
      <c r="U268" s="25"/>
      <c r="V268" s="25"/>
      <c r="W268" s="25"/>
      <c r="X268" s="25"/>
      <c r="Y268" s="25"/>
      <c r="Z268" s="25"/>
      <c r="CI268" s="888">
        <v>316</v>
      </c>
      <c r="CJ268" s="4" t="s">
        <v>2417</v>
      </c>
      <c r="CL268" s="1826">
        <v>-1.4178465910733249</v>
      </c>
      <c r="CN268" s="1102"/>
      <c r="CO268" s="1103"/>
      <c r="CR268" s="1823">
        <v>8.7332678585795769</v>
      </c>
      <c r="CT268" s="1102"/>
      <c r="CU268" s="1103"/>
      <c r="CV268" s="1099"/>
      <c r="CW268" s="1099"/>
      <c r="CX268" s="1823">
        <v>3.248947846842074</v>
      </c>
      <c r="CY268" s="1099"/>
      <c r="CZ268" s="1102"/>
      <c r="DA268" s="1103"/>
      <c r="DB268" s="1099"/>
      <c r="DF268" s="3">
        <v>178</v>
      </c>
      <c r="DG268" s="4">
        <v>1994</v>
      </c>
      <c r="DH268" s="4">
        <v>5.9689050000000003</v>
      </c>
      <c r="DI268" s="1172"/>
      <c r="DJ268" s="5"/>
      <c r="DK268" s="1444">
        <v>178</v>
      </c>
      <c r="DL268" s="1444">
        <v>1994</v>
      </c>
      <c r="DM268" s="1444">
        <v>0.77219070000000001</v>
      </c>
      <c r="DN268" s="1440">
        <f t="shared" si="97"/>
        <v>2.3165721000000001</v>
      </c>
    </row>
    <row r="269" spans="18:118">
      <c r="R269" s="25"/>
      <c r="S269" s="25"/>
      <c r="T269" s="25"/>
      <c r="U269" s="25"/>
      <c r="V269" s="25"/>
      <c r="W269" s="25"/>
      <c r="X269" s="25"/>
      <c r="Y269" s="25"/>
      <c r="Z269" s="25"/>
      <c r="CI269" s="888">
        <v>316</v>
      </c>
      <c r="CJ269" s="4" t="s">
        <v>2285</v>
      </c>
      <c r="CL269" s="1826">
        <v>0.20837946279646569</v>
      </c>
      <c r="CN269" s="1102"/>
      <c r="CO269" s="1103"/>
      <c r="CR269" s="1823">
        <v>9.3186336112489947</v>
      </c>
      <c r="CT269" s="1102"/>
      <c r="CU269" s="1103"/>
      <c r="CV269" s="1099"/>
      <c r="CW269" s="1099"/>
      <c r="CX269" s="1823">
        <v>-1.5449923369141836</v>
      </c>
      <c r="CY269" s="1099"/>
      <c r="CZ269" s="1102"/>
      <c r="DA269" s="1103"/>
      <c r="DB269" s="1099"/>
      <c r="DF269" s="3">
        <v>178</v>
      </c>
      <c r="DG269" s="4">
        <v>1995</v>
      </c>
      <c r="DH269" s="4">
        <v>6.1594100000000003</v>
      </c>
      <c r="DI269" s="1172"/>
      <c r="DJ269" s="5"/>
      <c r="DK269" s="1444">
        <v>178</v>
      </c>
      <c r="DL269" s="1444">
        <v>1995</v>
      </c>
      <c r="DM269" s="1444">
        <v>0.19050549999999999</v>
      </c>
      <c r="DN269" s="1440">
        <f t="shared" si="97"/>
        <v>0.57151649999999998</v>
      </c>
    </row>
    <row r="270" spans="18:118">
      <c r="R270" s="25"/>
      <c r="S270" s="25"/>
      <c r="T270" s="25"/>
      <c r="U270" s="25"/>
      <c r="V270" s="25"/>
      <c r="W270" s="25"/>
      <c r="X270" s="25"/>
      <c r="Y270" s="25"/>
      <c r="Z270" s="25"/>
      <c r="CI270" s="888">
        <v>316</v>
      </c>
      <c r="CJ270" s="4" t="s">
        <v>1307</v>
      </c>
      <c r="CL270" s="1826">
        <v>9.6052145048526327E-3</v>
      </c>
      <c r="CN270" s="1102"/>
      <c r="CO270" s="1103"/>
      <c r="CR270" s="1823">
        <v>-2.3191726894370333</v>
      </c>
      <c r="CT270" s="1102"/>
      <c r="CU270" s="1103"/>
      <c r="CV270" s="1099"/>
      <c r="CW270" s="1099"/>
      <c r="CX270" s="1823">
        <v>-1.0153387884460092</v>
      </c>
      <c r="CY270" s="1099"/>
      <c r="CZ270" s="1102"/>
      <c r="DA270" s="1103"/>
      <c r="DB270" s="1099"/>
      <c r="DF270" s="3">
        <v>178</v>
      </c>
      <c r="DG270" s="4">
        <v>1996</v>
      </c>
      <c r="DH270" s="4">
        <v>6.3502549999999998</v>
      </c>
      <c r="DI270" s="1172"/>
      <c r="DJ270" s="5"/>
      <c r="DK270" s="1444">
        <v>178</v>
      </c>
      <c r="DL270" s="1444">
        <v>1996</v>
      </c>
      <c r="DM270" s="1444">
        <v>0.19084480000000001</v>
      </c>
      <c r="DN270" s="1440">
        <f t="shared" si="97"/>
        <v>0.5725344</v>
      </c>
    </row>
    <row r="271" spans="18:118">
      <c r="R271" s="25"/>
      <c r="S271" s="25"/>
      <c r="T271" s="25"/>
      <c r="U271" s="25"/>
      <c r="V271" s="25"/>
      <c r="W271" s="25"/>
      <c r="X271" s="25"/>
      <c r="Y271" s="25"/>
      <c r="Z271" s="25"/>
      <c r="CI271" s="888">
        <v>316</v>
      </c>
      <c r="CJ271" s="4" t="s">
        <v>1308</v>
      </c>
      <c r="CL271" s="1826">
        <v>-0.77449034818690243</v>
      </c>
      <c r="CN271" s="1102"/>
      <c r="CO271" s="1103"/>
      <c r="CR271" s="1823">
        <v>-4.0293019084318091</v>
      </c>
      <c r="CT271" s="1102"/>
      <c r="CU271" s="1103"/>
      <c r="CV271" s="1099"/>
      <c r="CW271" s="1099"/>
      <c r="CX271" s="1823">
        <v>-4.1122207242320838</v>
      </c>
      <c r="CY271" s="1099"/>
      <c r="CZ271" s="1102"/>
      <c r="DA271" s="1103"/>
      <c r="DB271" s="1099"/>
      <c r="DF271" s="3">
        <v>178</v>
      </c>
      <c r="DG271" s="4">
        <v>1997</v>
      </c>
      <c r="DH271" s="4">
        <v>6.2416239999999998</v>
      </c>
      <c r="DI271" s="1172"/>
      <c r="DJ271" s="5"/>
      <c r="DK271" s="1444">
        <v>178</v>
      </c>
      <c r="DL271" s="1444">
        <v>1997</v>
      </c>
      <c r="DM271" s="1444">
        <v>-0.10863100000000001</v>
      </c>
      <c r="DN271" s="1440">
        <f t="shared" si="97"/>
        <v>-0.32589299999999999</v>
      </c>
    </row>
    <row r="272" spans="18:118">
      <c r="R272" s="25"/>
      <c r="S272" s="25"/>
      <c r="T272" s="25"/>
      <c r="U272" s="25"/>
      <c r="V272" s="25"/>
      <c r="W272" s="25"/>
      <c r="X272" s="25"/>
      <c r="Y272" s="25"/>
      <c r="Z272" s="25"/>
      <c r="CI272" s="888">
        <v>316</v>
      </c>
      <c r="CJ272" s="4" t="s">
        <v>1309</v>
      </c>
      <c r="CL272" s="1826">
        <v>-1.5000000000000078</v>
      </c>
      <c r="CN272" s="864"/>
      <c r="CO272" s="1103"/>
      <c r="CR272" s="1823">
        <v>-10.983857985073481</v>
      </c>
      <c r="CT272" s="864"/>
      <c r="CU272" s="1103"/>
      <c r="CV272" s="1099"/>
      <c r="CW272" s="1099"/>
      <c r="CX272" s="1823">
        <v>-4.4921106848418031</v>
      </c>
      <c r="CY272" s="1099"/>
      <c r="CZ272" s="864"/>
      <c r="DA272" s="1103"/>
      <c r="DB272" s="1099"/>
      <c r="DF272" s="3">
        <v>178</v>
      </c>
      <c r="DG272" s="4">
        <v>1998</v>
      </c>
      <c r="DH272" s="4">
        <v>6.6944739999999996</v>
      </c>
      <c r="DI272" s="1172"/>
      <c r="DJ272" s="5"/>
      <c r="DK272" s="1444">
        <v>178</v>
      </c>
      <c r="DL272" s="1444">
        <v>1998</v>
      </c>
      <c r="DM272" s="1444">
        <v>0.45284950000000002</v>
      </c>
      <c r="DN272" s="1440">
        <f t="shared" si="97"/>
        <v>1.3585484999999999</v>
      </c>
    </row>
    <row r="273" spans="18:118">
      <c r="R273" s="25"/>
      <c r="S273" s="25"/>
      <c r="T273" s="25"/>
      <c r="U273" s="25"/>
      <c r="V273" s="25"/>
      <c r="W273" s="25"/>
      <c r="X273" s="25"/>
      <c r="Y273" s="25"/>
      <c r="Z273" s="25"/>
      <c r="CI273" s="888">
        <v>316</v>
      </c>
      <c r="CJ273" s="4" t="s">
        <v>1310</v>
      </c>
      <c r="CL273" s="1826">
        <v>-2.490706319702602</v>
      </c>
      <c r="CN273" s="864"/>
      <c r="CO273" s="1103"/>
      <c r="CR273" s="1823">
        <v>-4.8415364200838296</v>
      </c>
      <c r="CT273" s="864"/>
      <c r="CU273" s="1103"/>
      <c r="CV273" s="1099"/>
      <c r="CW273" s="1099"/>
      <c r="CX273" s="1823">
        <v>-6.8077866757211272</v>
      </c>
      <c r="CY273" s="1099"/>
      <c r="CZ273" s="864"/>
      <c r="DA273" s="1103"/>
      <c r="DB273" s="1099"/>
      <c r="DF273" s="3">
        <v>182</v>
      </c>
      <c r="DG273" s="4">
        <v>2006</v>
      </c>
      <c r="DH273" s="4">
        <v>-1.0106440000000001</v>
      </c>
      <c r="DI273" s="1172"/>
      <c r="DJ273" s="5"/>
      <c r="DK273" s="1444">
        <v>182</v>
      </c>
      <c r="DL273" s="1444">
        <v>2006</v>
      </c>
      <c r="DM273" s="1444">
        <v>-0.29530070000000003</v>
      </c>
      <c r="DN273" s="1440">
        <f t="shared" si="97"/>
        <v>-0.88590210000000003</v>
      </c>
    </row>
    <row r="274" spans="18:118">
      <c r="R274" s="25"/>
      <c r="S274" s="25"/>
      <c r="T274" s="25"/>
      <c r="U274" s="25"/>
      <c r="V274" s="25"/>
      <c r="W274" s="25"/>
      <c r="X274" s="25"/>
      <c r="Y274" s="25"/>
      <c r="Z274" s="25"/>
      <c r="CI274" s="888">
        <v>316</v>
      </c>
      <c r="CJ274" s="4" t="s">
        <v>1311</v>
      </c>
      <c r="CL274" s="1826">
        <v>-2.4381496394790059</v>
      </c>
      <c r="CN274" s="864"/>
      <c r="CO274" s="1103"/>
      <c r="CR274" s="1823" t="s">
        <v>1218</v>
      </c>
      <c r="CT274" s="864"/>
      <c r="CU274" s="1103"/>
      <c r="CV274" s="1099"/>
      <c r="CW274" s="1099"/>
      <c r="CX274" s="1823">
        <v>-1.5419824060930971</v>
      </c>
      <c r="CY274" s="1099"/>
      <c r="CZ274" s="864"/>
      <c r="DA274" s="1103"/>
      <c r="DB274" s="1099"/>
      <c r="DF274" s="3">
        <v>182</v>
      </c>
      <c r="DG274" s="4">
        <v>2007</v>
      </c>
      <c r="DH274" s="4">
        <v>-0.97518179999999999</v>
      </c>
      <c r="DI274" s="1172"/>
      <c r="DJ274" s="5"/>
      <c r="DK274" s="1444">
        <v>182</v>
      </c>
      <c r="DL274" s="1444">
        <v>2007</v>
      </c>
      <c r="DM274" s="1444">
        <v>3.5462500000000001E-2</v>
      </c>
      <c r="DN274" s="1440">
        <f t="shared" si="97"/>
        <v>0.1063875</v>
      </c>
    </row>
    <row r="275" spans="18:118">
      <c r="R275" s="25"/>
      <c r="S275" s="25"/>
      <c r="T275" s="25"/>
      <c r="U275" s="25"/>
      <c r="V275" s="25"/>
      <c r="W275" s="25"/>
      <c r="X275" s="25"/>
      <c r="Y275" s="25"/>
      <c r="Z275" s="25"/>
      <c r="CI275" s="888">
        <v>316</v>
      </c>
      <c r="CJ275" s="4" t="s">
        <v>1312</v>
      </c>
      <c r="CL275" s="1826">
        <v>-0.2988111568357496</v>
      </c>
      <c r="CN275" s="864"/>
      <c r="CO275" s="1103"/>
      <c r="CR275" s="1823">
        <v>-2.4451549884474781</v>
      </c>
      <c r="CT275" s="864"/>
      <c r="CU275" s="1103"/>
      <c r="CV275" s="1099"/>
      <c r="CW275" s="1099"/>
      <c r="CX275" s="1823">
        <v>-7.6791625240142674</v>
      </c>
      <c r="CY275" s="1099"/>
      <c r="CZ275" s="864"/>
      <c r="DA275" s="1103"/>
      <c r="DB275" s="1099"/>
      <c r="DF275" s="3">
        <v>182</v>
      </c>
      <c r="DG275" s="4">
        <v>2008</v>
      </c>
      <c r="DH275" s="4">
        <v>-0.26781369999999999</v>
      </c>
      <c r="DI275" s="1172"/>
      <c r="DJ275" s="5"/>
      <c r="DK275" s="1444">
        <v>182</v>
      </c>
      <c r="DL275" s="1444">
        <v>2008</v>
      </c>
      <c r="DM275" s="1444">
        <v>0.707368</v>
      </c>
      <c r="DN275" s="1440">
        <f t="shared" si="97"/>
        <v>2.1221040000000002</v>
      </c>
    </row>
    <row r="276" spans="18:118">
      <c r="R276" s="25"/>
      <c r="S276" s="25"/>
      <c r="T276" s="25"/>
      <c r="U276" s="25"/>
      <c r="V276" s="25"/>
      <c r="W276" s="25"/>
      <c r="X276" s="25"/>
      <c r="Y276" s="25"/>
      <c r="Z276" s="25"/>
      <c r="CI276" s="888">
        <v>316</v>
      </c>
      <c r="CJ276" s="1091" t="s">
        <v>1313</v>
      </c>
      <c r="CL276" s="1826">
        <v>-7.2201724712109794</v>
      </c>
      <c r="CN276" s="1104"/>
      <c r="CO276" s="1105"/>
      <c r="CR276" s="1824">
        <v>-8.3880871259497347</v>
      </c>
      <c r="CT276" s="1104"/>
      <c r="CU276" s="1105"/>
      <c r="CV276" s="1100"/>
      <c r="CW276" s="1100"/>
      <c r="CX276" s="1824">
        <v>-0.49874574703249408</v>
      </c>
      <c r="CY276" s="1100"/>
      <c r="CZ276" s="1104"/>
      <c r="DA276" s="1105"/>
      <c r="DB276" s="1100"/>
      <c r="DF276" s="3">
        <v>182</v>
      </c>
      <c r="DG276" s="4">
        <v>2009</v>
      </c>
      <c r="DH276" s="4">
        <v>-2.1457449999999998</v>
      </c>
      <c r="DI276" s="1172"/>
      <c r="DJ276" s="5"/>
      <c r="DK276" s="1444">
        <v>182</v>
      </c>
      <c r="DL276" s="1444">
        <v>2009</v>
      </c>
      <c r="DM276" s="1444">
        <v>-1.877931</v>
      </c>
      <c r="DN276" s="1440">
        <f t="shared" si="97"/>
        <v>-5.6337929999999998</v>
      </c>
    </row>
    <row r="277" spans="18:118">
      <c r="R277" s="25"/>
      <c r="S277" s="25"/>
      <c r="T277" s="25"/>
      <c r="U277" s="25"/>
      <c r="V277" s="25"/>
      <c r="W277" s="25"/>
      <c r="X277" s="25"/>
      <c r="Y277" s="25"/>
      <c r="Z277" s="25"/>
      <c r="CI277" s="888">
        <v>913</v>
      </c>
      <c r="CJ277" s="4" t="s">
        <v>1314</v>
      </c>
      <c r="CL277" s="1826"/>
      <c r="CN277" s="1099">
        <v>-2.3222740446426728</v>
      </c>
      <c r="CO277" s="1106">
        <v>0.09</v>
      </c>
      <c r="CR277" s="1822"/>
      <c r="CT277" s="1102">
        <v>-0.2358962738537223</v>
      </c>
      <c r="CU277" s="1106">
        <v>0.62</v>
      </c>
      <c r="CV277" s="863"/>
      <c r="CW277" s="863"/>
      <c r="CX277" s="1822" t="e">
        <v>#N/A</v>
      </c>
      <c r="CY277" s="863"/>
      <c r="CZ277" s="1099">
        <v>-2.3177574337635125</v>
      </c>
      <c r="DA277" s="1106">
        <v>0.04</v>
      </c>
      <c r="DB277" s="863"/>
      <c r="DF277" s="3">
        <v>182</v>
      </c>
      <c r="DG277" s="4">
        <v>2010</v>
      </c>
      <c r="DH277" s="4">
        <v>-4.3685210000000003</v>
      </c>
      <c r="DI277" s="1172"/>
      <c r="DJ277" s="5"/>
      <c r="DK277" s="1444">
        <v>182</v>
      </c>
      <c r="DL277" s="1444">
        <v>2010</v>
      </c>
      <c r="DM277" s="1444">
        <v>-2.2227769999999998</v>
      </c>
      <c r="DN277" s="1440">
        <f t="shared" si="97"/>
        <v>-6.6683309999999993</v>
      </c>
    </row>
    <row r="278" spans="18:118">
      <c r="R278" s="25"/>
      <c r="S278" s="25"/>
      <c r="T278" s="25"/>
      <c r="U278" s="25"/>
      <c r="V278" s="25"/>
      <c r="W278" s="25"/>
      <c r="X278" s="25"/>
      <c r="Y278" s="25"/>
      <c r="Z278" s="25"/>
      <c r="CI278" s="888">
        <v>913</v>
      </c>
      <c r="CJ278" s="4"/>
      <c r="CL278" s="1826"/>
      <c r="CN278" s="1102"/>
      <c r="CO278" s="1103"/>
      <c r="CR278" s="1822"/>
      <c r="CT278" s="1102"/>
      <c r="CU278" s="1103"/>
      <c r="CV278" s="863"/>
      <c r="CW278" s="863"/>
      <c r="CX278" s="1822" t="e">
        <v>#N/A</v>
      </c>
      <c r="CY278" s="863"/>
      <c r="CZ278" s="1102"/>
      <c r="DA278" s="1103"/>
      <c r="DB278" s="863"/>
      <c r="DF278" s="3">
        <v>184</v>
      </c>
      <c r="DG278" s="4">
        <v>1996</v>
      </c>
      <c r="DH278" s="4">
        <v>-0.19846610000000001</v>
      </c>
      <c r="DI278" s="1172"/>
      <c r="DJ278" s="5"/>
      <c r="DK278" s="1444">
        <v>184</v>
      </c>
      <c r="DL278" s="1444">
        <v>1996</v>
      </c>
      <c r="DM278" s="1444">
        <v>1.0881590000000001</v>
      </c>
      <c r="DN278" s="1440">
        <f t="shared" si="97"/>
        <v>3.2644770000000003</v>
      </c>
    </row>
    <row r="279" spans="18:118">
      <c r="R279" s="25"/>
      <c r="S279" s="25"/>
      <c r="T279" s="25"/>
      <c r="U279" s="25"/>
      <c r="V279" s="25"/>
      <c r="W279" s="25"/>
      <c r="X279" s="25"/>
      <c r="Y279" s="25"/>
      <c r="Z279" s="25"/>
      <c r="CI279" s="888">
        <v>913</v>
      </c>
      <c r="CJ279" s="4"/>
      <c r="CL279" s="1826"/>
      <c r="CN279" s="1102"/>
      <c r="CO279" s="1103"/>
      <c r="CR279" s="1822"/>
      <c r="CT279" s="1102"/>
      <c r="CU279" s="1103"/>
      <c r="CV279" s="863"/>
      <c r="CW279" s="863"/>
      <c r="CX279" s="1822" t="e">
        <v>#N/A</v>
      </c>
      <c r="CY279" s="863"/>
      <c r="CZ279" s="1102"/>
      <c r="DA279" s="1103"/>
      <c r="DB279" s="863"/>
      <c r="DF279" s="3">
        <v>184</v>
      </c>
      <c r="DG279" s="4">
        <v>1997</v>
      </c>
      <c r="DH279" s="4">
        <v>0.5930569</v>
      </c>
      <c r="DI279" s="1172"/>
      <c r="DJ279" s="5"/>
      <c r="DK279" s="1444">
        <v>184</v>
      </c>
      <c r="DL279" s="1444">
        <v>1997</v>
      </c>
      <c r="DM279" s="1444">
        <v>0.79152299999999998</v>
      </c>
      <c r="DN279" s="1440">
        <f t="shared" si="97"/>
        <v>2.3745690000000002</v>
      </c>
    </row>
    <row r="280" spans="18:118">
      <c r="R280" s="25"/>
      <c r="S280" s="25"/>
      <c r="T280" s="25"/>
      <c r="U280" s="25"/>
      <c r="V280" s="25"/>
      <c r="W280" s="25"/>
      <c r="X280" s="25"/>
      <c r="Y280" s="25"/>
      <c r="Z280" s="25"/>
      <c r="CI280" s="888">
        <v>913</v>
      </c>
      <c r="CJ280" s="4"/>
      <c r="CL280" s="1826"/>
      <c r="CN280" s="1102"/>
      <c r="CO280" s="1103"/>
      <c r="CR280" s="1825"/>
      <c r="CT280" s="1102"/>
      <c r="CU280" s="1103"/>
      <c r="CV280" s="1099"/>
      <c r="CW280" s="1099"/>
      <c r="CX280" s="1825" t="e">
        <v>#N/A</v>
      </c>
      <c r="CY280" s="1099"/>
      <c r="CZ280" s="1102"/>
      <c r="DA280" s="1103"/>
      <c r="DB280" s="1099"/>
      <c r="DF280" s="3">
        <v>184</v>
      </c>
      <c r="DG280" s="4">
        <v>1998</v>
      </c>
      <c r="DH280" s="4">
        <v>1.6827479999999999</v>
      </c>
      <c r="DI280" s="1172"/>
      <c r="DJ280" s="5"/>
      <c r="DK280" s="1444">
        <v>184</v>
      </c>
      <c r="DL280" s="1444">
        <v>1998</v>
      </c>
      <c r="DM280" s="1444">
        <v>1.089691</v>
      </c>
      <c r="DN280" s="1440">
        <f t="shared" si="97"/>
        <v>3.2690729999999997</v>
      </c>
    </row>
    <row r="281" spans="18:118">
      <c r="R281" s="25"/>
      <c r="S281" s="25"/>
      <c r="T281" s="25"/>
      <c r="U281" s="25"/>
      <c r="V281" s="25"/>
      <c r="W281" s="25"/>
      <c r="X281" s="25"/>
      <c r="Y281" s="25"/>
      <c r="Z281" s="25"/>
      <c r="CI281" s="888">
        <v>913</v>
      </c>
      <c r="CJ281" s="4" t="s">
        <v>2418</v>
      </c>
      <c r="CL281" s="1826">
        <v>1.9993414891417345</v>
      </c>
      <c r="CN281" s="1102"/>
      <c r="CO281" s="1103"/>
      <c r="CR281" s="1823">
        <v>4.4946194634274139</v>
      </c>
      <c r="CT281" s="1102"/>
      <c r="CU281" s="1103"/>
      <c r="CV281" s="1099"/>
      <c r="CW281" s="1099"/>
      <c r="CX281" s="1823">
        <v>-3.3020006848086272</v>
      </c>
      <c r="CY281" s="1099"/>
      <c r="CZ281" s="1102"/>
      <c r="DA281" s="1103"/>
      <c r="DB281" s="1099"/>
      <c r="DF281" s="3">
        <v>184</v>
      </c>
      <c r="DG281" s="4">
        <v>1999</v>
      </c>
      <c r="DH281" s="4">
        <v>2.320773</v>
      </c>
      <c r="DI281" s="1172"/>
      <c r="DJ281" s="5"/>
      <c r="DK281" s="1444">
        <v>184</v>
      </c>
      <c r="DL281" s="1444">
        <v>1999</v>
      </c>
      <c r="DM281" s="1444">
        <v>0.63802490000000001</v>
      </c>
      <c r="DN281" s="1440">
        <f t="shared" si="97"/>
        <v>1.9140747</v>
      </c>
    </row>
    <row r="282" spans="18:118">
      <c r="R282" s="25"/>
      <c r="S282" s="25"/>
      <c r="T282" s="25"/>
      <c r="U282" s="25"/>
      <c r="V282" s="25"/>
      <c r="W282" s="25"/>
      <c r="X282" s="25"/>
      <c r="Y282" s="25"/>
      <c r="Z282" s="25"/>
      <c r="CI282" s="888">
        <v>913</v>
      </c>
      <c r="CJ282" s="4" t="s">
        <v>2286</v>
      </c>
      <c r="CL282" s="1826">
        <v>-2.391277435523631</v>
      </c>
      <c r="CN282" s="1102"/>
      <c r="CO282" s="1103"/>
      <c r="CR282" s="1823">
        <v>-0.82722372486765816</v>
      </c>
      <c r="CT282" s="1102"/>
      <c r="CU282" s="1103"/>
      <c r="CV282" s="1099"/>
      <c r="CW282" s="1099"/>
      <c r="CX282" s="1823">
        <v>-12.068751299778611</v>
      </c>
      <c r="CY282" s="1099"/>
      <c r="CZ282" s="1102"/>
      <c r="DA282" s="1103"/>
      <c r="DB282" s="1099"/>
      <c r="DF282" s="3">
        <v>184</v>
      </c>
      <c r="DG282" s="4">
        <v>2000</v>
      </c>
      <c r="DH282" s="4">
        <v>2.543418</v>
      </c>
      <c r="DI282" s="1172"/>
      <c r="DJ282" s="5"/>
      <c r="DK282" s="1444">
        <v>184</v>
      </c>
      <c r="DL282" s="1444">
        <v>2000</v>
      </c>
      <c r="DM282" s="1444">
        <v>0.22264510000000001</v>
      </c>
      <c r="DN282" s="1440">
        <f t="shared" si="97"/>
        <v>0.66793530000000001</v>
      </c>
    </row>
    <row r="283" spans="18:118">
      <c r="R283" s="25"/>
      <c r="S283" s="25"/>
      <c r="T283" s="25"/>
      <c r="U283" s="25"/>
      <c r="V283" s="25"/>
      <c r="W283" s="25"/>
      <c r="X283" s="25"/>
      <c r="Y283" s="25"/>
      <c r="Z283" s="25"/>
      <c r="CI283" s="888">
        <v>913</v>
      </c>
      <c r="CJ283" s="4" t="s">
        <v>1315</v>
      </c>
      <c r="CL283" s="1826">
        <v>-6.3261578212576692</v>
      </c>
      <c r="CN283" s="1102"/>
      <c r="CO283" s="1103"/>
      <c r="CR283" s="1823">
        <v>-0.58529239282361201</v>
      </c>
      <c r="CT283" s="1102"/>
      <c r="CU283" s="1103"/>
      <c r="CV283" s="1099"/>
      <c r="CW283" s="1099"/>
      <c r="CX283" s="1823">
        <v>-3.9830417472790103</v>
      </c>
      <c r="CY283" s="1099"/>
      <c r="CZ283" s="1102"/>
      <c r="DA283" s="1103"/>
      <c r="DB283" s="1099"/>
      <c r="DF283" s="3">
        <v>186</v>
      </c>
      <c r="DG283" s="4">
        <v>2002</v>
      </c>
      <c r="DH283" s="4">
        <v>10.30627</v>
      </c>
      <c r="DI283" s="1172"/>
      <c r="DJ283" s="5"/>
      <c r="DK283" s="1444">
        <v>186</v>
      </c>
      <c r="DL283" s="1444">
        <v>2001</v>
      </c>
      <c r="DM283" s="1444">
        <v>1.3789720000000001</v>
      </c>
      <c r="DN283" s="1440">
        <f t="shared" si="97"/>
        <v>4.1369160000000003</v>
      </c>
    </row>
    <row r="284" spans="18:118">
      <c r="R284" s="25"/>
      <c r="S284" s="25"/>
      <c r="T284" s="25"/>
      <c r="U284" s="25"/>
      <c r="V284" s="25"/>
      <c r="W284" s="25"/>
      <c r="X284" s="25"/>
      <c r="Y284" s="25"/>
      <c r="Z284" s="25"/>
      <c r="CI284" s="888">
        <v>913</v>
      </c>
      <c r="CJ284" s="4" t="s">
        <v>1316</v>
      </c>
      <c r="CL284" s="1826">
        <v>-1.0575450156084656</v>
      </c>
      <c r="CN284" s="1102"/>
      <c r="CO284" s="1103"/>
      <c r="CR284" s="1823">
        <v>1.4238636020222417</v>
      </c>
      <c r="CT284" s="1102"/>
      <c r="CU284" s="1103"/>
      <c r="CV284" s="1099"/>
      <c r="CW284" s="1099"/>
      <c r="CX284" s="1823">
        <v>-0.77708117616392869</v>
      </c>
      <c r="CY284" s="1099"/>
      <c r="CZ284" s="1102"/>
      <c r="DA284" s="1103"/>
      <c r="DB284" s="1099"/>
      <c r="DF284" s="3">
        <v>186</v>
      </c>
      <c r="DG284" s="4">
        <v>2003</v>
      </c>
      <c r="DH284" s="4">
        <v>8.4364889999999999</v>
      </c>
      <c r="DI284" s="1172"/>
      <c r="DJ284" s="5"/>
      <c r="DK284" s="1444">
        <v>186</v>
      </c>
      <c r="DL284" s="1444">
        <v>2002</v>
      </c>
      <c r="DM284" s="1444">
        <v>-1.871367</v>
      </c>
      <c r="DN284" s="1440">
        <f t="shared" si="97"/>
        <v>-5.6141009999999998</v>
      </c>
    </row>
    <row r="285" spans="18:118">
      <c r="R285" s="25"/>
      <c r="S285" s="25"/>
      <c r="T285" s="25"/>
      <c r="U285" s="25"/>
      <c r="V285" s="25"/>
      <c r="W285" s="25"/>
      <c r="X285" s="25"/>
      <c r="Y285" s="25"/>
      <c r="Z285" s="25"/>
      <c r="CI285" s="888">
        <v>913</v>
      </c>
      <c r="CJ285" s="4" t="s">
        <v>1317</v>
      </c>
      <c r="CL285" s="1826">
        <v>-2.3222740446426728</v>
      </c>
      <c r="CN285" s="864"/>
      <c r="CO285" s="1103"/>
      <c r="CR285" s="1823">
        <v>-1.570042272815199</v>
      </c>
      <c r="CT285" s="864"/>
      <c r="CU285" s="1103"/>
      <c r="CV285" s="1099"/>
      <c r="CW285" s="1099"/>
      <c r="CX285" s="1823">
        <v>-14.952280577972051</v>
      </c>
      <c r="CY285" s="1099"/>
      <c r="CZ285" s="864"/>
      <c r="DA285" s="1103"/>
      <c r="DB285" s="1099"/>
      <c r="DF285" s="3">
        <v>186</v>
      </c>
      <c r="DG285" s="4">
        <v>2004</v>
      </c>
      <c r="DH285" s="4">
        <v>7.4817039999999997</v>
      </c>
      <c r="DI285" s="1172"/>
      <c r="DJ285" s="5"/>
      <c r="DK285" s="1444">
        <v>186</v>
      </c>
      <c r="DL285" s="1444">
        <v>2003</v>
      </c>
      <c r="DM285" s="1444">
        <v>-1.8697779999999999</v>
      </c>
      <c r="DN285" s="1440">
        <f t="shared" si="97"/>
        <v>-5.6093339999999996</v>
      </c>
    </row>
    <row r="286" spans="18:118">
      <c r="R286" s="25"/>
      <c r="S286" s="25"/>
      <c r="T286" s="25"/>
      <c r="U286" s="25"/>
      <c r="V286" s="25"/>
      <c r="W286" s="25"/>
      <c r="X286" s="25"/>
      <c r="Y286" s="25"/>
      <c r="Z286" s="25"/>
      <c r="CI286" s="888">
        <v>913</v>
      </c>
      <c r="CJ286" s="4" t="s">
        <v>1318</v>
      </c>
      <c r="CL286" s="1826">
        <v>-3.0601382257047756</v>
      </c>
      <c r="CN286" s="864"/>
      <c r="CO286" s="1103"/>
      <c r="CR286" s="1823">
        <v>3.6410991932412227</v>
      </c>
      <c r="CT286" s="864"/>
      <c r="CU286" s="1103"/>
      <c r="CV286" s="1099"/>
      <c r="CW286" s="1099"/>
      <c r="CX286" s="1823">
        <v>64.942798697931408</v>
      </c>
      <c r="CY286" s="1099"/>
      <c r="CZ286" s="864"/>
      <c r="DA286" s="1103"/>
      <c r="DB286" s="1099"/>
      <c r="DF286" s="3">
        <v>196</v>
      </c>
      <c r="DG286" s="4">
        <v>1992</v>
      </c>
      <c r="DH286" s="4">
        <v>2.450796</v>
      </c>
      <c r="DI286" s="1172"/>
      <c r="DJ286" s="5"/>
      <c r="DK286" s="1444">
        <v>186</v>
      </c>
      <c r="DL286" s="1444">
        <v>2004</v>
      </c>
      <c r="DM286" s="1444">
        <v>-0.95478470000000004</v>
      </c>
      <c r="DN286" s="1440">
        <f t="shared" si="97"/>
        <v>-2.8643540999999999</v>
      </c>
    </row>
    <row r="287" spans="18:118">
      <c r="R287" s="25"/>
      <c r="S287" s="25"/>
      <c r="T287" s="25"/>
      <c r="U287" s="25"/>
      <c r="V287" s="25"/>
      <c r="W287" s="25"/>
      <c r="X287" s="25"/>
      <c r="Y287" s="25"/>
      <c r="Z287" s="25"/>
      <c r="CI287" s="888">
        <v>913</v>
      </c>
      <c r="CJ287" s="4" t="s">
        <v>1319</v>
      </c>
      <c r="CL287" s="1826">
        <v>0.94699538214309609</v>
      </c>
      <c r="CN287" s="864"/>
      <c r="CO287" s="1103"/>
      <c r="CR287" s="1823">
        <v>4.623978105497133</v>
      </c>
      <c r="CT287" s="864"/>
      <c r="CU287" s="1103"/>
      <c r="CV287" s="1099"/>
      <c r="CW287" s="1099"/>
      <c r="CX287" s="1823">
        <v>62.931443635882914</v>
      </c>
      <c r="CY287" s="1099"/>
      <c r="CZ287" s="864"/>
      <c r="DA287" s="1103"/>
      <c r="DB287" s="1099"/>
      <c r="DF287" s="3">
        <v>196</v>
      </c>
      <c r="DG287" s="4">
        <v>1993</v>
      </c>
      <c r="DH287" s="4">
        <v>3.0243150000000001</v>
      </c>
      <c r="DI287" s="1172"/>
      <c r="DJ287" s="5"/>
      <c r="DK287" s="1444">
        <v>196</v>
      </c>
      <c r="DL287" s="1444">
        <v>1992</v>
      </c>
      <c r="DM287" s="1444">
        <v>-6.44618E-2</v>
      </c>
      <c r="DN287" s="1440">
        <f t="shared" si="97"/>
        <v>-0.19338539999999999</v>
      </c>
    </row>
    <row r="288" spans="18:118">
      <c r="R288" s="25"/>
      <c r="S288" s="25"/>
      <c r="T288" s="25"/>
      <c r="U288" s="25"/>
      <c r="V288" s="25"/>
      <c r="W288" s="25"/>
      <c r="X288" s="25"/>
      <c r="Y288" s="25"/>
      <c r="Z288" s="25"/>
      <c r="CI288" s="888">
        <v>913</v>
      </c>
      <c r="CJ288" s="4" t="s">
        <v>1320</v>
      </c>
      <c r="CL288" s="1826">
        <v>6.0962184766257907</v>
      </c>
      <c r="CN288" s="864"/>
      <c r="CO288" s="1103"/>
      <c r="CR288" s="1823">
        <v>-1.2001895417956299</v>
      </c>
      <c r="CT288" s="864"/>
      <c r="CU288" s="1103"/>
      <c r="CV288" s="1099"/>
      <c r="CW288" s="1099"/>
      <c r="CX288" s="1823">
        <v>3.0486097738950448</v>
      </c>
      <c r="CY288" s="1099"/>
      <c r="CZ288" s="864"/>
      <c r="DA288" s="1103"/>
      <c r="DB288" s="1099"/>
      <c r="DF288" s="3">
        <v>213</v>
      </c>
      <c r="DG288" s="4">
        <v>1990</v>
      </c>
      <c r="DH288" s="4">
        <v>0.97856620000000005</v>
      </c>
      <c r="DI288" s="1172"/>
      <c r="DJ288" s="5"/>
      <c r="DK288" s="1444">
        <v>196</v>
      </c>
      <c r="DL288" s="1444">
        <v>1993</v>
      </c>
      <c r="DM288" s="1444">
        <v>0.57351940000000001</v>
      </c>
      <c r="DN288" s="1440">
        <f t="shared" si="97"/>
        <v>1.7205582000000001</v>
      </c>
    </row>
    <row r="289" spans="18:118">
      <c r="R289" s="25"/>
      <c r="S289" s="25"/>
      <c r="T289" s="25"/>
      <c r="U289" s="25"/>
      <c r="V289" s="25"/>
      <c r="W289" s="25"/>
      <c r="X289" s="25"/>
      <c r="Y289" s="25"/>
      <c r="Z289" s="25"/>
      <c r="CI289" s="888">
        <v>913</v>
      </c>
      <c r="CJ289" s="1091" t="s">
        <v>1321</v>
      </c>
      <c r="CL289" s="1826">
        <v>-6.6380678224400667</v>
      </c>
      <c r="CN289" s="1104"/>
      <c r="CO289" s="1105"/>
      <c r="CR289" s="1824">
        <v>-0.2358962738537223</v>
      </c>
      <c r="CT289" s="1104"/>
      <c r="CU289" s="1105"/>
      <c r="CV289" s="1100"/>
      <c r="CW289" s="1100"/>
      <c r="CX289" s="1824">
        <v>-2.3177574337635125</v>
      </c>
      <c r="CY289" s="1100"/>
      <c r="CZ289" s="1104"/>
      <c r="DA289" s="1105"/>
      <c r="DB289" s="1100"/>
      <c r="DF289" s="3">
        <v>213</v>
      </c>
      <c r="DG289" s="4">
        <v>1991</v>
      </c>
      <c r="DH289" s="4">
        <v>2.0652629999999998</v>
      </c>
      <c r="DI289" s="1172"/>
      <c r="DJ289" s="5"/>
      <c r="DK289" s="1444">
        <v>213</v>
      </c>
      <c r="DL289" s="1444">
        <v>1990</v>
      </c>
      <c r="DM289" s="1444">
        <v>-0.356408</v>
      </c>
      <c r="DN289" s="1440">
        <f t="shared" si="97"/>
        <v>-1.069224</v>
      </c>
    </row>
    <row r="290" spans="18:118">
      <c r="R290" s="25"/>
      <c r="S290" s="25"/>
      <c r="T290" s="25"/>
      <c r="U290" s="25"/>
      <c r="V290" s="25"/>
      <c r="W290" s="25"/>
      <c r="X290" s="25"/>
      <c r="Y290" s="25"/>
      <c r="Z290" s="25"/>
      <c r="CI290" s="888">
        <v>124</v>
      </c>
      <c r="CJ290" s="4" t="s">
        <v>1322</v>
      </c>
      <c r="CL290" s="1826"/>
      <c r="CN290" s="1099">
        <v>0.11407594452919323</v>
      </c>
      <c r="CO290" s="1106">
        <v>0.77</v>
      </c>
      <c r="CR290" s="1822"/>
      <c r="CT290" s="1102">
        <v>-0.31172216177432521</v>
      </c>
      <c r="CU290" s="1106">
        <v>0.59</v>
      </c>
      <c r="CV290" s="863"/>
      <c r="CW290" s="863"/>
      <c r="CX290" s="1822" t="e">
        <v>#N/A</v>
      </c>
      <c r="CY290" s="863"/>
      <c r="CZ290" s="1099">
        <v>-0.32598527473094951</v>
      </c>
      <c r="DA290" s="1106">
        <v>0.52</v>
      </c>
      <c r="DB290" s="863"/>
      <c r="DF290" s="3">
        <v>213</v>
      </c>
      <c r="DG290" s="4">
        <v>2002</v>
      </c>
      <c r="DH290" s="4">
        <v>0.96029500000000001</v>
      </c>
      <c r="DI290" s="1172"/>
      <c r="DJ290" s="5"/>
      <c r="DK290" s="1444">
        <v>213</v>
      </c>
      <c r="DL290" s="1444">
        <v>1991</v>
      </c>
      <c r="DM290" s="1444">
        <v>1.086697</v>
      </c>
      <c r="DN290" s="1440">
        <f t="shared" si="97"/>
        <v>3.2600910000000001</v>
      </c>
    </row>
    <row r="291" spans="18:118">
      <c r="R291" s="25"/>
      <c r="S291" s="25"/>
      <c r="T291" s="25"/>
      <c r="U291" s="25"/>
      <c r="V291" s="25"/>
      <c r="W291" s="25"/>
      <c r="X291" s="25"/>
      <c r="Y291" s="25"/>
      <c r="Z291" s="25"/>
      <c r="CI291" s="888">
        <v>124</v>
      </c>
      <c r="CJ291" s="4"/>
      <c r="CL291" s="1826"/>
      <c r="CN291" s="1102"/>
      <c r="CO291" s="1103"/>
      <c r="CR291" s="1822"/>
      <c r="CT291" s="1102"/>
      <c r="CU291" s="1103"/>
      <c r="CV291" s="863"/>
      <c r="CW291" s="863"/>
      <c r="CX291" s="1822" t="e">
        <v>#N/A</v>
      </c>
      <c r="CY291" s="863"/>
      <c r="CZ291" s="1102"/>
      <c r="DA291" s="1103"/>
      <c r="DB291" s="863"/>
      <c r="DF291" s="3">
        <v>213</v>
      </c>
      <c r="DG291" s="4">
        <v>2003</v>
      </c>
      <c r="DH291" s="4">
        <v>2.678293</v>
      </c>
      <c r="DI291" s="1172"/>
      <c r="DJ291" s="5"/>
      <c r="DK291" s="1444">
        <v>213</v>
      </c>
      <c r="DL291" s="1444">
        <v>2002</v>
      </c>
      <c r="DM291" s="1444">
        <v>1.577461</v>
      </c>
      <c r="DN291" s="1440">
        <f t="shared" si="97"/>
        <v>4.7323830000000005</v>
      </c>
    </row>
    <row r="292" spans="18:118">
      <c r="R292" s="25"/>
      <c r="S292" s="25"/>
      <c r="T292" s="25"/>
      <c r="U292" s="25"/>
      <c r="V292" s="25"/>
      <c r="W292" s="25"/>
      <c r="X292" s="25"/>
      <c r="Y292" s="25"/>
      <c r="Z292" s="25"/>
      <c r="CI292" s="888">
        <v>124</v>
      </c>
      <c r="CJ292" s="4"/>
      <c r="CL292" s="1826"/>
      <c r="CN292" s="1102"/>
      <c r="CO292" s="1103"/>
      <c r="CR292" s="1822"/>
      <c r="CT292" s="1102"/>
      <c r="CU292" s="1103"/>
      <c r="CV292" s="863"/>
      <c r="CW292" s="863"/>
      <c r="CX292" s="1822" t="e">
        <v>#N/A</v>
      </c>
      <c r="CY292" s="863"/>
      <c r="CZ292" s="1102"/>
      <c r="DA292" s="1103"/>
      <c r="DB292" s="863"/>
      <c r="DF292" s="3">
        <v>213</v>
      </c>
      <c r="DG292" s="4">
        <v>2004</v>
      </c>
      <c r="DH292" s="4">
        <v>5.2212680000000002</v>
      </c>
      <c r="DI292" s="1172"/>
      <c r="DJ292" s="5"/>
      <c r="DK292" s="1444">
        <v>213</v>
      </c>
      <c r="DL292" s="1444">
        <v>2003</v>
      </c>
      <c r="DM292" s="1444">
        <v>1.7179979999999999</v>
      </c>
      <c r="DN292" s="1440">
        <f t="shared" si="97"/>
        <v>5.153994</v>
      </c>
    </row>
    <row r="293" spans="18:118">
      <c r="R293" s="25"/>
      <c r="S293" s="25"/>
      <c r="T293" s="25"/>
      <c r="U293" s="25"/>
      <c r="V293" s="25"/>
      <c r="W293" s="25"/>
      <c r="X293" s="25"/>
      <c r="Y293" s="25"/>
      <c r="Z293" s="25"/>
      <c r="CI293" s="888">
        <v>124</v>
      </c>
      <c r="CJ293" s="4"/>
      <c r="CL293" s="1826"/>
      <c r="CN293" s="1102"/>
      <c r="CO293" s="1103"/>
      <c r="CR293" s="1825"/>
      <c r="CT293" s="1102"/>
      <c r="CU293" s="1103"/>
      <c r="CV293" s="1099"/>
      <c r="CW293" s="1099"/>
      <c r="CX293" s="1825" t="e">
        <v>#N/A</v>
      </c>
      <c r="CY293" s="1099"/>
      <c r="CZ293" s="1102"/>
      <c r="DA293" s="1103"/>
      <c r="DB293" s="1099"/>
      <c r="DF293" s="3">
        <v>213</v>
      </c>
      <c r="DG293" s="4">
        <v>2005</v>
      </c>
      <c r="DH293" s="4">
        <v>6.0663039999999997</v>
      </c>
      <c r="DI293" s="1172"/>
      <c r="DJ293" s="5"/>
      <c r="DK293" s="1444">
        <v>213</v>
      </c>
      <c r="DL293" s="1444">
        <v>2004</v>
      </c>
      <c r="DM293" s="1444">
        <v>2.5429750000000002</v>
      </c>
      <c r="DN293" s="1440">
        <f t="shared" si="97"/>
        <v>7.6289250000000006</v>
      </c>
    </row>
    <row r="294" spans="18:118">
      <c r="R294" s="25"/>
      <c r="S294" s="25"/>
      <c r="T294" s="25"/>
      <c r="U294" s="25"/>
      <c r="V294" s="25"/>
      <c r="W294" s="25"/>
      <c r="X294" s="25"/>
      <c r="Y294" s="25"/>
      <c r="Z294" s="25"/>
      <c r="CI294" s="888">
        <v>124</v>
      </c>
      <c r="CJ294" s="4" t="s">
        <v>2419</v>
      </c>
      <c r="CL294" s="1826">
        <v>0.31891670123016502</v>
      </c>
      <c r="CN294" s="1102"/>
      <c r="CO294" s="1103"/>
      <c r="CR294" s="1823">
        <v>1.3077734929675546</v>
      </c>
      <c r="CT294" s="1102"/>
      <c r="CU294" s="1103"/>
      <c r="CV294" s="1099"/>
      <c r="CW294" s="1099"/>
      <c r="CX294" s="1823">
        <v>0.89639111332571242</v>
      </c>
      <c r="CY294" s="1099"/>
      <c r="CZ294" s="1102"/>
      <c r="DA294" s="1103"/>
      <c r="DB294" s="1099"/>
      <c r="DF294" s="3">
        <v>213</v>
      </c>
      <c r="DG294" s="4">
        <v>2006</v>
      </c>
      <c r="DH294" s="4">
        <v>5.9920020000000003</v>
      </c>
      <c r="DI294" s="1172"/>
      <c r="DJ294" s="5"/>
      <c r="DK294" s="1444">
        <v>213</v>
      </c>
      <c r="DL294" s="1444">
        <v>2005</v>
      </c>
      <c r="DM294" s="1444">
        <v>0.84503640000000002</v>
      </c>
      <c r="DN294" s="1440">
        <f t="shared" si="97"/>
        <v>2.5351092</v>
      </c>
    </row>
    <row r="295" spans="18:118">
      <c r="R295" s="25"/>
      <c r="S295" s="25"/>
      <c r="T295" s="25"/>
      <c r="U295" s="25"/>
      <c r="V295" s="25"/>
      <c r="W295" s="25"/>
      <c r="X295" s="25"/>
      <c r="Y295" s="25"/>
      <c r="Z295" s="25"/>
      <c r="CI295" s="888">
        <v>124</v>
      </c>
      <c r="CJ295" s="4" t="s">
        <v>2287</v>
      </c>
      <c r="CL295" s="1826">
        <v>-3.8182615570554024E-2</v>
      </c>
      <c r="CN295" s="1102"/>
      <c r="CO295" s="1103"/>
      <c r="CR295" s="1823">
        <v>-0.30513003836367214</v>
      </c>
      <c r="CT295" s="1102"/>
      <c r="CU295" s="1103"/>
      <c r="CV295" s="1099"/>
      <c r="CW295" s="1099"/>
      <c r="CX295" s="1823">
        <v>0.70260579586754968</v>
      </c>
      <c r="CY295" s="1099"/>
      <c r="CZ295" s="1102"/>
      <c r="DA295" s="1103"/>
      <c r="DB295" s="1099"/>
      <c r="DF295" s="3">
        <v>213</v>
      </c>
      <c r="DG295" s="4">
        <v>2007</v>
      </c>
      <c r="DH295" s="4">
        <v>4.684571</v>
      </c>
      <c r="DI295" s="1172"/>
      <c r="DJ295" s="5"/>
      <c r="DK295" s="1444">
        <v>213</v>
      </c>
      <c r="DL295" s="1444">
        <v>2006</v>
      </c>
      <c r="DM295" s="1444">
        <v>-7.4302000000000007E-2</v>
      </c>
      <c r="DN295" s="1440">
        <f t="shared" si="97"/>
        <v>-0.22290600000000002</v>
      </c>
    </row>
    <row r="296" spans="18:118">
      <c r="R296" s="25"/>
      <c r="S296" s="25"/>
      <c r="T296" s="25"/>
      <c r="U296" s="25"/>
      <c r="V296" s="25"/>
      <c r="W296" s="25"/>
      <c r="X296" s="25"/>
      <c r="Y296" s="25"/>
      <c r="Z296" s="25"/>
      <c r="CI296" s="888">
        <v>124</v>
      </c>
      <c r="CJ296" s="4" t="s">
        <v>1323</v>
      </c>
      <c r="CL296" s="1826">
        <v>0.28723007961221669</v>
      </c>
      <c r="CN296" s="1102"/>
      <c r="CO296" s="1103"/>
      <c r="CR296" s="1823">
        <v>-0.68556264237982967</v>
      </c>
      <c r="CT296" s="1102"/>
      <c r="CU296" s="1103"/>
      <c r="CV296" s="1099"/>
      <c r="CW296" s="1099"/>
      <c r="CX296" s="1823">
        <v>-0.32598527473094951</v>
      </c>
      <c r="CY296" s="1099"/>
      <c r="CZ296" s="1102"/>
      <c r="DA296" s="1103"/>
      <c r="DB296" s="1099"/>
      <c r="DF296" s="3">
        <v>213</v>
      </c>
      <c r="DG296" s="4">
        <v>2008</v>
      </c>
      <c r="DH296" s="4">
        <v>3.8113410000000001</v>
      </c>
      <c r="DI296" s="1172"/>
      <c r="DJ296" s="5"/>
      <c r="DK296" s="1444">
        <v>213</v>
      </c>
      <c r="DL296" s="1444">
        <v>2007</v>
      </c>
      <c r="DM296" s="1444">
        <v>-1.307431</v>
      </c>
      <c r="DN296" s="1440">
        <f t="shared" si="97"/>
        <v>-3.9222929999999998</v>
      </c>
    </row>
    <row r="297" spans="18:118">
      <c r="R297" s="25"/>
      <c r="S297" s="25"/>
      <c r="T297" s="25"/>
      <c r="U297" s="25"/>
      <c r="V297" s="25"/>
      <c r="W297" s="25"/>
      <c r="X297" s="25"/>
      <c r="Y297" s="25"/>
      <c r="Z297" s="25"/>
      <c r="CI297" s="888">
        <v>124</v>
      </c>
      <c r="CJ297" s="4" t="s">
        <v>1324</v>
      </c>
      <c r="CL297" s="1826">
        <v>0.11407594452919323</v>
      </c>
      <c r="CN297" s="1102"/>
      <c r="CO297" s="1103"/>
      <c r="CR297" s="1823">
        <v>-1.6165426424708311</v>
      </c>
      <c r="CT297" s="1102"/>
      <c r="CU297" s="1103"/>
      <c r="CV297" s="1099"/>
      <c r="CW297" s="1099"/>
      <c r="CX297" s="1823">
        <v>-0.77112151626144687</v>
      </c>
      <c r="CY297" s="1099"/>
      <c r="CZ297" s="1102"/>
      <c r="DA297" s="1103"/>
      <c r="DB297" s="1099"/>
      <c r="DF297" s="3">
        <v>213</v>
      </c>
      <c r="DG297" s="4">
        <v>2009</v>
      </c>
      <c r="DH297" s="4">
        <v>2.4961730000000002</v>
      </c>
      <c r="DI297" s="1172"/>
      <c r="DJ297" s="5"/>
      <c r="DK297" s="1444">
        <v>213</v>
      </c>
      <c r="DL297" s="1444">
        <v>2008</v>
      </c>
      <c r="DM297" s="1444">
        <v>-0.87323050000000002</v>
      </c>
      <c r="DN297" s="1440">
        <f t="shared" si="97"/>
        <v>-2.6196915000000001</v>
      </c>
    </row>
    <row r="298" spans="18:118">
      <c r="R298" s="25"/>
      <c r="S298" s="25"/>
      <c r="T298" s="25"/>
      <c r="U298" s="25"/>
      <c r="V298" s="25"/>
      <c r="W298" s="25"/>
      <c r="X298" s="25"/>
      <c r="Y298" s="25"/>
      <c r="Z298" s="25"/>
      <c r="CI298" s="888">
        <v>124</v>
      </c>
      <c r="CJ298" s="4" t="s">
        <v>1325</v>
      </c>
      <c r="CL298" s="1826">
        <v>-0.55225538358096959</v>
      </c>
      <c r="CN298" s="864"/>
      <c r="CO298" s="1103"/>
      <c r="CR298" s="1823">
        <v>-1.1684566114492254</v>
      </c>
      <c r="CT298" s="864"/>
      <c r="CU298" s="1103"/>
      <c r="CV298" s="1099"/>
      <c r="CW298" s="1099"/>
      <c r="CX298" s="1823">
        <v>-0.46033146192993657</v>
      </c>
      <c r="CY298" s="1099"/>
      <c r="CZ298" s="864"/>
      <c r="DA298" s="1103"/>
      <c r="DB298" s="1099"/>
      <c r="DF298" s="3">
        <v>218</v>
      </c>
      <c r="DG298" s="4">
        <v>1990</v>
      </c>
      <c r="DH298" s="4">
        <v>-1.8202069999999999</v>
      </c>
      <c r="DI298" s="1172"/>
      <c r="DJ298" s="5"/>
      <c r="DK298" s="1444">
        <v>213</v>
      </c>
      <c r="DL298" s="1444">
        <v>2009</v>
      </c>
      <c r="DM298" s="1444">
        <v>-1.3151679999999999</v>
      </c>
      <c r="DN298" s="1440">
        <f t="shared" si="97"/>
        <v>-3.9455039999999997</v>
      </c>
    </row>
    <row r="299" spans="18:118">
      <c r="R299" s="25"/>
      <c r="S299" s="25"/>
      <c r="T299" s="25"/>
      <c r="U299" s="25"/>
      <c r="V299" s="25"/>
      <c r="W299" s="25"/>
      <c r="X299" s="25"/>
      <c r="Y299" s="25"/>
      <c r="Z299" s="25"/>
      <c r="CI299" s="888">
        <v>124</v>
      </c>
      <c r="CJ299" s="4" t="s">
        <v>1326</v>
      </c>
      <c r="CL299" s="1826">
        <v>-2.0847817356988276</v>
      </c>
      <c r="CN299" s="864"/>
      <c r="CO299" s="1103"/>
      <c r="CR299" s="1823">
        <v>-0.31172216177432521</v>
      </c>
      <c r="CT299" s="864"/>
      <c r="CU299" s="1103"/>
      <c r="CV299" s="1099"/>
      <c r="CW299" s="1099"/>
      <c r="CX299" s="1823">
        <v>-0.33464172386744884</v>
      </c>
      <c r="CY299" s="1099"/>
      <c r="CZ299" s="864"/>
      <c r="DA299" s="1103"/>
      <c r="DB299" s="1099"/>
      <c r="DF299" s="3">
        <v>218</v>
      </c>
      <c r="DG299" s="4">
        <v>1991</v>
      </c>
      <c r="DH299" s="4">
        <v>-1.6921299999999999</v>
      </c>
      <c r="DI299" s="1172"/>
      <c r="DJ299" s="5"/>
      <c r="DK299" s="1444">
        <v>218</v>
      </c>
      <c r="DL299" s="1444">
        <v>1990</v>
      </c>
      <c r="DM299" s="1444">
        <v>0.41870400000000002</v>
      </c>
      <c r="DN299" s="1440">
        <f t="shared" si="97"/>
        <v>1.2561120000000001</v>
      </c>
    </row>
    <row r="300" spans="18:118">
      <c r="R300" s="25"/>
      <c r="S300" s="25"/>
      <c r="T300" s="25"/>
      <c r="U300" s="25"/>
      <c r="V300" s="25"/>
      <c r="W300" s="25"/>
      <c r="X300" s="25"/>
      <c r="Y300" s="25"/>
      <c r="Z300" s="25"/>
      <c r="CI300" s="888">
        <v>124</v>
      </c>
      <c r="CJ300" s="4" t="s">
        <v>1327</v>
      </c>
      <c r="CL300" s="1826">
        <v>0.44836290682978985</v>
      </c>
      <c r="CN300" s="864"/>
      <c r="CO300" s="1103"/>
      <c r="CR300" s="1823">
        <v>-1.1300981965932877E-2</v>
      </c>
      <c r="CT300" s="864"/>
      <c r="CU300" s="1103"/>
      <c r="CV300" s="1099"/>
      <c r="CW300" s="1099"/>
      <c r="CX300" s="1823">
        <v>0.35994032570298717</v>
      </c>
      <c r="CY300" s="1099"/>
      <c r="CZ300" s="864"/>
      <c r="DA300" s="1103"/>
      <c r="DB300" s="1099"/>
      <c r="DF300" s="3">
        <v>218</v>
      </c>
      <c r="DG300" s="4">
        <v>1992</v>
      </c>
      <c r="DH300" s="4">
        <v>-1.6517280000000001</v>
      </c>
      <c r="DI300" s="1172"/>
      <c r="DJ300" s="5"/>
      <c r="DK300" s="1444">
        <v>218</v>
      </c>
      <c r="DL300" s="1444">
        <v>1991</v>
      </c>
      <c r="DM300" s="1444">
        <v>0.12807689999999999</v>
      </c>
      <c r="DN300" s="1440">
        <f t="shared" si="97"/>
        <v>0.38423069999999998</v>
      </c>
    </row>
    <row r="301" spans="18:118">
      <c r="R301" s="25"/>
      <c r="S301" s="25"/>
      <c r="T301" s="25"/>
      <c r="U301" s="25"/>
      <c r="V301" s="25"/>
      <c r="W301" s="25"/>
      <c r="X301" s="25"/>
      <c r="Y301" s="25"/>
      <c r="Z301" s="25"/>
      <c r="CI301" s="888">
        <v>124</v>
      </c>
      <c r="CJ301" s="4" t="s">
        <v>1328</v>
      </c>
      <c r="CL301" s="1826">
        <v>1.9792829763579909</v>
      </c>
      <c r="CN301" s="864"/>
      <c r="CO301" s="1103"/>
      <c r="CR301" s="1823">
        <v>0.62526852148952639</v>
      </c>
      <c r="CT301" s="864"/>
      <c r="CU301" s="1103"/>
      <c r="CV301" s="1099"/>
      <c r="CW301" s="1099"/>
      <c r="CX301" s="1823">
        <v>0.94706304348832404</v>
      </c>
      <c r="CY301" s="1099"/>
      <c r="CZ301" s="864"/>
      <c r="DA301" s="1103"/>
      <c r="DB301" s="1099"/>
      <c r="DF301" s="3">
        <v>218</v>
      </c>
      <c r="DG301" s="4">
        <v>1993</v>
      </c>
      <c r="DH301" s="4">
        <v>-2.2759969999999998</v>
      </c>
      <c r="DI301" s="1172"/>
      <c r="DJ301" s="5"/>
      <c r="DK301" s="1444">
        <v>218</v>
      </c>
      <c r="DL301" s="1444">
        <v>1992</v>
      </c>
      <c r="DM301" s="1444">
        <v>4.0402500000000001E-2</v>
      </c>
      <c r="DN301" s="1440">
        <f t="shared" si="97"/>
        <v>0.1212075</v>
      </c>
    </row>
    <row r="302" spans="18:118">
      <c r="R302" s="25"/>
      <c r="S302" s="25"/>
      <c r="T302" s="25"/>
      <c r="U302" s="25"/>
      <c r="V302" s="25"/>
      <c r="W302" s="25"/>
      <c r="X302" s="25"/>
      <c r="Y302" s="25"/>
      <c r="Z302" s="25"/>
      <c r="CI302" s="888">
        <v>124</v>
      </c>
      <c r="CJ302" s="1091" t="s">
        <v>1329</v>
      </c>
      <c r="CL302" s="1826">
        <v>-3.8289655406560019</v>
      </c>
      <c r="CN302" s="1104"/>
      <c r="CO302" s="1105"/>
      <c r="CR302" s="1824">
        <v>-5.709626173121114</v>
      </c>
      <c r="CT302" s="1104"/>
      <c r="CU302" s="1105"/>
      <c r="CV302" s="1100"/>
      <c r="CW302" s="1100"/>
      <c r="CX302" s="1824">
        <v>-0.5975745796057792</v>
      </c>
      <c r="CY302" s="1100"/>
      <c r="CZ302" s="1104"/>
      <c r="DA302" s="1105"/>
      <c r="DB302" s="1100"/>
      <c r="DF302" s="3">
        <v>218</v>
      </c>
      <c r="DG302" s="4">
        <v>1994</v>
      </c>
      <c r="DH302" s="4">
        <v>-1.913565</v>
      </c>
      <c r="DI302" s="1172"/>
      <c r="DJ302" s="5"/>
      <c r="DK302" s="1444">
        <v>218</v>
      </c>
      <c r="DL302" s="1444">
        <v>1993</v>
      </c>
      <c r="DM302" s="1444">
        <v>-0.62426950000000003</v>
      </c>
      <c r="DN302" s="1440">
        <f t="shared" si="97"/>
        <v>-1.8728085000000001</v>
      </c>
    </row>
    <row r="303" spans="18:118">
      <c r="R303" s="25"/>
      <c r="S303" s="25"/>
      <c r="T303" s="25"/>
      <c r="U303" s="25"/>
      <c r="V303" s="25"/>
      <c r="W303" s="25"/>
      <c r="X303" s="25"/>
      <c r="Y303" s="25"/>
      <c r="Z303" s="25"/>
      <c r="CI303" s="888">
        <v>339</v>
      </c>
      <c r="CJ303" s="4" t="s">
        <v>1330</v>
      </c>
      <c r="CL303" s="1826"/>
      <c r="CN303" s="1099">
        <v>-7.1350410997543134E-2</v>
      </c>
      <c r="CO303" s="1106">
        <v>0.67</v>
      </c>
      <c r="CR303" s="1822"/>
      <c r="CT303" s="1102">
        <v>-1.3669678202433393</v>
      </c>
      <c r="CU303" s="1106">
        <v>0.25</v>
      </c>
      <c r="CV303" s="863"/>
      <c r="CW303" s="863"/>
      <c r="CX303" s="1822" t="e">
        <v>#N/A</v>
      </c>
      <c r="CY303" s="863"/>
      <c r="CZ303" s="1099">
        <v>-0.58059132138611491</v>
      </c>
      <c r="DA303" s="1106">
        <v>0.39</v>
      </c>
      <c r="DB303" s="863"/>
      <c r="DF303" s="3">
        <v>218</v>
      </c>
      <c r="DG303" s="4">
        <v>1995</v>
      </c>
      <c r="DH303" s="4">
        <v>-1.1009359999999999</v>
      </c>
      <c r="DI303" s="1172"/>
      <c r="DJ303" s="5"/>
      <c r="DK303" s="1444">
        <v>218</v>
      </c>
      <c r="DL303" s="1444">
        <v>1994</v>
      </c>
      <c r="DM303" s="1444">
        <v>0.36243189999999997</v>
      </c>
      <c r="DN303" s="1440">
        <f t="shared" si="97"/>
        <v>1.0872956999999999</v>
      </c>
    </row>
    <row r="304" spans="18:118">
      <c r="R304" s="25"/>
      <c r="S304" s="25"/>
      <c r="T304" s="25"/>
      <c r="U304" s="25"/>
      <c r="V304" s="25"/>
      <c r="W304" s="25"/>
      <c r="X304" s="25"/>
      <c r="Y304" s="25"/>
      <c r="Z304" s="25"/>
      <c r="CI304" s="888">
        <v>339</v>
      </c>
      <c r="CJ304" s="4"/>
      <c r="CL304" s="1826"/>
      <c r="CN304" s="1102"/>
      <c r="CO304" s="1103"/>
      <c r="CR304" s="1822"/>
      <c r="CT304" s="1102"/>
      <c r="CU304" s="1103"/>
      <c r="CV304" s="863"/>
      <c r="CW304" s="863"/>
      <c r="CX304" s="1822" t="e">
        <v>#N/A</v>
      </c>
      <c r="CY304" s="863"/>
      <c r="CZ304" s="1102"/>
      <c r="DA304" s="1103"/>
      <c r="DB304" s="863"/>
      <c r="DF304" s="3">
        <v>218</v>
      </c>
      <c r="DG304" s="4">
        <v>1996</v>
      </c>
      <c r="DH304" s="4">
        <v>0.17889730000000001</v>
      </c>
      <c r="DI304" s="1172"/>
      <c r="DJ304" s="5"/>
      <c r="DK304" s="1444">
        <v>218</v>
      </c>
      <c r="DL304" s="1444">
        <v>1995</v>
      </c>
      <c r="DM304" s="1444">
        <v>0.81262900000000005</v>
      </c>
      <c r="DN304" s="1440">
        <f t="shared" si="97"/>
        <v>2.4378869999999999</v>
      </c>
    </row>
    <row r="305" spans="18:118">
      <c r="R305" s="25"/>
      <c r="S305" s="25"/>
      <c r="T305" s="25"/>
      <c r="U305" s="25"/>
      <c r="V305" s="25"/>
      <c r="W305" s="25"/>
      <c r="X305" s="25"/>
      <c r="Y305" s="25"/>
      <c r="Z305" s="25"/>
      <c r="CI305" s="888">
        <v>339</v>
      </c>
      <c r="CJ305" s="4"/>
      <c r="CL305" s="1826"/>
      <c r="CN305" s="1102"/>
      <c r="CO305" s="1103"/>
      <c r="CR305" s="1822"/>
      <c r="CT305" s="1102"/>
      <c r="CU305" s="1103"/>
      <c r="CV305" s="863"/>
      <c r="CW305" s="863"/>
      <c r="CX305" s="1822" t="e">
        <v>#N/A</v>
      </c>
      <c r="CY305" s="863"/>
      <c r="CZ305" s="1102"/>
      <c r="DA305" s="1103"/>
      <c r="DB305" s="863"/>
      <c r="DF305" s="3">
        <v>218</v>
      </c>
      <c r="DG305" s="4">
        <v>1997</v>
      </c>
      <c r="DH305" s="4">
        <v>-0.2097513</v>
      </c>
      <c r="DI305" s="1172"/>
      <c r="DJ305" s="5"/>
      <c r="DK305" s="1444">
        <v>218</v>
      </c>
      <c r="DL305" s="1444">
        <v>1996</v>
      </c>
      <c r="DM305" s="1444">
        <v>1.2798339999999999</v>
      </c>
      <c r="DN305" s="1440">
        <f t="shared" si="97"/>
        <v>3.8395019999999995</v>
      </c>
    </row>
    <row r="306" spans="18:118">
      <c r="R306" s="25"/>
      <c r="S306" s="25"/>
      <c r="T306" s="25"/>
      <c r="U306" s="25"/>
      <c r="V306" s="25"/>
      <c r="W306" s="25"/>
      <c r="X306" s="25"/>
      <c r="Y306" s="25"/>
      <c r="Z306" s="25"/>
      <c r="CI306" s="888">
        <v>339</v>
      </c>
      <c r="CJ306" s="4"/>
      <c r="CL306" s="1826"/>
      <c r="CN306" s="1102"/>
      <c r="CO306" s="1103"/>
      <c r="CR306" s="1825"/>
      <c r="CT306" s="1102"/>
      <c r="CU306" s="1103"/>
      <c r="CV306" s="1099"/>
      <c r="CW306" s="1099"/>
      <c r="CX306" s="1825" t="e">
        <v>#N/A</v>
      </c>
      <c r="CY306" s="1099"/>
      <c r="CZ306" s="1102"/>
      <c r="DA306" s="1103"/>
      <c r="DB306" s="1099"/>
      <c r="DF306" s="3">
        <v>218</v>
      </c>
      <c r="DG306" s="4">
        <v>1998</v>
      </c>
      <c r="DH306" s="4">
        <v>-1.8613930000000001</v>
      </c>
      <c r="DI306" s="1172"/>
      <c r="DJ306" s="5"/>
      <c r="DK306" s="1444">
        <v>218</v>
      </c>
      <c r="DL306" s="1444">
        <v>1997</v>
      </c>
      <c r="DM306" s="1444">
        <v>-0.38864850000000001</v>
      </c>
      <c r="DN306" s="1440">
        <f t="shared" si="97"/>
        <v>-1.1659455000000001</v>
      </c>
    </row>
    <row r="307" spans="18:118">
      <c r="R307" s="25"/>
      <c r="S307" s="25"/>
      <c r="T307" s="25"/>
      <c r="U307" s="25"/>
      <c r="V307" s="25"/>
      <c r="W307" s="25"/>
      <c r="X307" s="25"/>
      <c r="Y307" s="25"/>
      <c r="Z307" s="25"/>
      <c r="CI307" s="888">
        <v>339</v>
      </c>
      <c r="CJ307" s="4" t="s">
        <v>2420</v>
      </c>
      <c r="CL307" s="1826">
        <v>-1.9513272653710017</v>
      </c>
      <c r="CN307" s="1102"/>
      <c r="CO307" s="1103"/>
      <c r="CR307" s="1823">
        <v>-1.7648333403041807</v>
      </c>
      <c r="CT307" s="1102"/>
      <c r="CU307" s="1103"/>
      <c r="CV307" s="1099"/>
      <c r="CW307" s="1099"/>
      <c r="CX307" s="1823">
        <v>-0.4091058903272049</v>
      </c>
      <c r="CY307" s="1099"/>
      <c r="CZ307" s="1102"/>
      <c r="DA307" s="1103"/>
      <c r="DB307" s="1099"/>
      <c r="DF307" s="3">
        <v>218</v>
      </c>
      <c r="DG307" s="4">
        <v>1999</v>
      </c>
      <c r="DH307" s="4">
        <v>-2.7461669999999998</v>
      </c>
      <c r="DI307" s="1172"/>
      <c r="DJ307" s="5"/>
      <c r="DK307" s="1444">
        <v>218</v>
      </c>
      <c r="DL307" s="1444">
        <v>1998</v>
      </c>
      <c r="DM307" s="1444">
        <v>-1.6516420000000001</v>
      </c>
      <c r="DN307" s="1440">
        <f t="shared" si="97"/>
        <v>-4.9549260000000004</v>
      </c>
    </row>
    <row r="308" spans="18:118">
      <c r="R308" s="25"/>
      <c r="S308" s="25"/>
      <c r="T308" s="25"/>
      <c r="U308" s="25"/>
      <c r="V308" s="25"/>
      <c r="W308" s="25"/>
      <c r="X308" s="25"/>
      <c r="Y308" s="25"/>
      <c r="Z308" s="25"/>
      <c r="CI308" s="888">
        <v>339</v>
      </c>
      <c r="CJ308" s="4" t="s">
        <v>2288</v>
      </c>
      <c r="CL308" s="1826">
        <v>-3.4872358070768468</v>
      </c>
      <c r="CN308" s="1102"/>
      <c r="CO308" s="1103"/>
      <c r="CR308" s="1823">
        <v>-1.5295077334461846</v>
      </c>
      <c r="CT308" s="1102"/>
      <c r="CU308" s="1103"/>
      <c r="CV308" s="1099"/>
      <c r="CW308" s="1099"/>
      <c r="CX308" s="1823">
        <v>0.92464887500397186</v>
      </c>
      <c r="CY308" s="1099"/>
      <c r="CZ308" s="1102"/>
      <c r="DA308" s="1103"/>
      <c r="DB308" s="1099"/>
      <c r="DF308" s="3">
        <v>218</v>
      </c>
      <c r="DG308" s="4">
        <v>2000</v>
      </c>
      <c r="DH308" s="4">
        <v>-2.694591</v>
      </c>
      <c r="DI308" s="1172"/>
      <c r="DJ308" s="5"/>
      <c r="DK308" s="1444">
        <v>218</v>
      </c>
      <c r="DL308" s="1444">
        <v>1999</v>
      </c>
      <c r="DM308" s="1444">
        <v>-0.88477399999999995</v>
      </c>
      <c r="DN308" s="1440">
        <f t="shared" si="97"/>
        <v>-2.6543219999999996</v>
      </c>
    </row>
    <row r="309" spans="18:118">
      <c r="R309" s="25"/>
      <c r="S309" s="25"/>
      <c r="T309" s="25"/>
      <c r="U309" s="25"/>
      <c r="V309" s="25"/>
      <c r="W309" s="25"/>
      <c r="X309" s="25"/>
      <c r="Y309" s="25"/>
      <c r="Z309" s="25"/>
      <c r="CI309" s="888">
        <v>339</v>
      </c>
      <c r="CJ309" s="4" t="s">
        <v>1331</v>
      </c>
      <c r="CL309" s="1826">
        <v>0.37635001102042764</v>
      </c>
      <c r="CN309" s="1102"/>
      <c r="CO309" s="1103"/>
      <c r="CR309" s="1823">
        <v>-5.7332615572951937</v>
      </c>
      <c r="CT309" s="1102"/>
      <c r="CU309" s="1103"/>
      <c r="CV309" s="1099"/>
      <c r="CW309" s="1099"/>
      <c r="CX309" s="1823">
        <v>-2.2424826245657346</v>
      </c>
      <c r="CY309" s="1099"/>
      <c r="CZ309" s="1102"/>
      <c r="DA309" s="1103"/>
      <c r="DB309" s="1099"/>
      <c r="DF309" s="3">
        <v>218</v>
      </c>
      <c r="DG309" s="4">
        <v>2001</v>
      </c>
      <c r="DH309" s="4">
        <v>-2.617143</v>
      </c>
      <c r="DI309" s="1172"/>
      <c r="DJ309" s="5"/>
      <c r="DK309" s="1444">
        <v>218</v>
      </c>
      <c r="DL309" s="1444">
        <v>2000</v>
      </c>
      <c r="DM309" s="1444">
        <v>5.1575999999999997E-2</v>
      </c>
      <c r="DN309" s="1440">
        <f t="shared" si="97"/>
        <v>0.15472799999999998</v>
      </c>
    </row>
    <row r="310" spans="18:118">
      <c r="R310" s="25"/>
      <c r="S310" s="25"/>
      <c r="T310" s="25"/>
      <c r="U310" s="25"/>
      <c r="V310" s="25"/>
      <c r="W310" s="25"/>
      <c r="X310" s="25"/>
      <c r="Y310" s="25"/>
      <c r="Z310" s="25"/>
      <c r="CI310" s="888">
        <v>339</v>
      </c>
      <c r="CJ310" s="4" t="s">
        <v>1332</v>
      </c>
      <c r="CL310" s="1826">
        <v>1.0730364982084546</v>
      </c>
      <c r="CN310" s="1102"/>
      <c r="CO310" s="1103"/>
      <c r="CR310" s="1823">
        <v>-2.2719639828817764</v>
      </c>
      <c r="CT310" s="1102"/>
      <c r="CU310" s="1103"/>
      <c r="CV310" s="1099"/>
      <c r="CW310" s="1099"/>
      <c r="CX310" s="1823">
        <v>-0.5000038365738898</v>
      </c>
      <c r="CY310" s="1099"/>
      <c r="CZ310" s="1102"/>
      <c r="DA310" s="1103"/>
      <c r="DB310" s="1099"/>
      <c r="DF310" s="3">
        <v>218</v>
      </c>
      <c r="DG310" s="4">
        <v>2002</v>
      </c>
      <c r="DH310" s="4">
        <v>-3.7322069999999998</v>
      </c>
      <c r="DI310" s="1172"/>
      <c r="DJ310" s="5"/>
      <c r="DK310" s="1444">
        <v>218</v>
      </c>
      <c r="DL310" s="1444">
        <v>2001</v>
      </c>
      <c r="DM310" s="1444">
        <v>7.7448600000000006E-2</v>
      </c>
      <c r="DN310" s="1440">
        <f t="shared" si="97"/>
        <v>0.23234580000000002</v>
      </c>
    </row>
    <row r="311" spans="18:118">
      <c r="R311" s="25"/>
      <c r="S311" s="25"/>
      <c r="T311" s="25"/>
      <c r="U311" s="25"/>
      <c r="V311" s="25"/>
      <c r="W311" s="25"/>
      <c r="X311" s="25"/>
      <c r="Y311" s="25"/>
      <c r="Z311" s="25"/>
      <c r="CI311" s="888">
        <v>339</v>
      </c>
      <c r="CJ311" s="4" t="s">
        <v>1333</v>
      </c>
      <c r="CL311" s="1826">
        <v>-0.9743250770105174</v>
      </c>
      <c r="CN311" s="864"/>
      <c r="CO311" s="1103"/>
      <c r="CR311" s="1823">
        <v>-1.2044279070404942</v>
      </c>
      <c r="CT311" s="864"/>
      <c r="CU311" s="1103"/>
      <c r="CV311" s="1099"/>
      <c r="CW311" s="1099"/>
      <c r="CX311" s="1823">
        <v>-0.5595418063021107</v>
      </c>
      <c r="CY311" s="1099"/>
      <c r="CZ311" s="864"/>
      <c r="DA311" s="1103"/>
      <c r="DB311" s="1099"/>
      <c r="DF311" s="3">
        <v>218</v>
      </c>
      <c r="DG311" s="4">
        <v>2003</v>
      </c>
      <c r="DH311" s="4">
        <v>-4.5785809999999998</v>
      </c>
      <c r="DI311" s="1172"/>
      <c r="DJ311" s="5"/>
      <c r="DK311" s="1444">
        <v>218</v>
      </c>
      <c r="DL311" s="1444">
        <v>2002</v>
      </c>
      <c r="DM311" s="1444">
        <v>-1.115065</v>
      </c>
      <c r="DN311" s="1440">
        <f t="shared" si="97"/>
        <v>-3.3451949999999999</v>
      </c>
    </row>
    <row r="312" spans="18:118">
      <c r="R312" s="25"/>
      <c r="S312" s="25"/>
      <c r="T312" s="25"/>
      <c r="U312" s="25"/>
      <c r="V312" s="25"/>
      <c r="W312" s="25"/>
      <c r="X312" s="25"/>
      <c r="Y312" s="25"/>
      <c r="Z312" s="25"/>
      <c r="CI312" s="888">
        <v>339</v>
      </c>
      <c r="CJ312" s="4" t="s">
        <v>1334</v>
      </c>
      <c r="CL312" s="1826">
        <v>1.5109850009858841</v>
      </c>
      <c r="CN312" s="864"/>
      <c r="CO312" s="1103"/>
      <c r="CR312" s="1823">
        <v>-0.29095163400703661</v>
      </c>
      <c r="CT312" s="864"/>
      <c r="CU312" s="1103"/>
      <c r="CV312" s="1099"/>
      <c r="CW312" s="1099"/>
      <c r="CX312" s="1823">
        <v>-0.95195129244163401</v>
      </c>
      <c r="CY312" s="1099"/>
      <c r="CZ312" s="864"/>
      <c r="DA312" s="1103"/>
      <c r="DB312" s="1099"/>
      <c r="DF312" s="3">
        <v>218</v>
      </c>
      <c r="DG312" s="4">
        <v>2004</v>
      </c>
      <c r="DH312" s="4">
        <v>-3.8596949999999999</v>
      </c>
      <c r="DI312" s="1172"/>
      <c r="DJ312" s="5"/>
      <c r="DK312" s="1444">
        <v>218</v>
      </c>
      <c r="DL312" s="1444">
        <v>2003</v>
      </c>
      <c r="DM312" s="1444">
        <v>-0.84637410000000002</v>
      </c>
      <c r="DN312" s="1440">
        <f t="shared" si="97"/>
        <v>-2.5391222999999998</v>
      </c>
    </row>
    <row r="313" spans="18:118">
      <c r="R313" s="25"/>
      <c r="S313" s="25"/>
      <c r="T313" s="25"/>
      <c r="U313" s="25"/>
      <c r="V313" s="25"/>
      <c r="W313" s="25"/>
      <c r="X313" s="25"/>
      <c r="Y313" s="25"/>
      <c r="Z313" s="25"/>
      <c r="CI313" s="888">
        <v>339</v>
      </c>
      <c r="CJ313" s="4" t="s">
        <v>1335</v>
      </c>
      <c r="CL313" s="1826">
        <v>-7.1350410997543134E-2</v>
      </c>
      <c r="CN313" s="864"/>
      <c r="CO313" s="1103"/>
      <c r="CR313" s="1823" t="s">
        <v>1218</v>
      </c>
      <c r="CT313" s="864"/>
      <c r="CU313" s="1103"/>
      <c r="CV313" s="1099"/>
      <c r="CW313" s="1099"/>
      <c r="CX313" s="1823">
        <v>-0.58059132138611491</v>
      </c>
      <c r="CY313" s="1099"/>
      <c r="CZ313" s="864"/>
      <c r="DA313" s="1103"/>
      <c r="DB313" s="1099"/>
      <c r="DF313" s="3">
        <v>218</v>
      </c>
      <c r="DG313" s="4">
        <v>2005</v>
      </c>
      <c r="DH313" s="4">
        <v>-1.949856</v>
      </c>
      <c r="DI313" s="1172"/>
      <c r="DJ313" s="5"/>
      <c r="DK313" s="1444">
        <v>218</v>
      </c>
      <c r="DL313" s="1444">
        <v>2004</v>
      </c>
      <c r="DM313" s="1444">
        <v>0.71888640000000004</v>
      </c>
      <c r="DN313" s="1440">
        <f t="shared" si="97"/>
        <v>2.1566592</v>
      </c>
    </row>
    <row r="314" spans="18:118">
      <c r="R314" s="25"/>
      <c r="S314" s="25"/>
      <c r="T314" s="25"/>
      <c r="U314" s="25"/>
      <c r="V314" s="25"/>
      <c r="W314" s="25"/>
      <c r="X314" s="25"/>
      <c r="Y314" s="25"/>
      <c r="Z314" s="25"/>
      <c r="CI314" s="888">
        <v>339</v>
      </c>
      <c r="CJ314" s="4" t="s">
        <v>1336</v>
      </c>
      <c r="CL314" s="1826">
        <v>0.74283791174095848</v>
      </c>
      <c r="CN314" s="864"/>
      <c r="CO314" s="1103"/>
      <c r="CR314" s="1823">
        <v>0.88550576434431894</v>
      </c>
      <c r="CT314" s="864"/>
      <c r="CU314" s="1103"/>
      <c r="CV314" s="1099"/>
      <c r="CW314" s="1099"/>
      <c r="CX314" s="1823">
        <v>-1.3878476319822091</v>
      </c>
      <c r="CY314" s="1099"/>
      <c r="CZ314" s="864"/>
      <c r="DA314" s="1103"/>
      <c r="DB314" s="1099"/>
      <c r="DF314" s="3">
        <v>218</v>
      </c>
      <c r="DG314" s="4">
        <v>2006</v>
      </c>
      <c r="DH314" s="4">
        <v>1.5105599999999999</v>
      </c>
      <c r="DI314" s="1172"/>
      <c r="DJ314" s="5"/>
      <c r="DK314" s="1444">
        <v>218</v>
      </c>
      <c r="DL314" s="1444">
        <v>2005</v>
      </c>
      <c r="DM314" s="1444">
        <v>1.9098390000000001</v>
      </c>
      <c r="DN314" s="1440">
        <f t="shared" si="97"/>
        <v>5.7295170000000004</v>
      </c>
    </row>
    <row r="315" spans="18:118">
      <c r="R315" s="25"/>
      <c r="S315" s="25"/>
      <c r="T315" s="25"/>
      <c r="U315" s="25"/>
      <c r="V315" s="25"/>
      <c r="W315" s="25"/>
      <c r="X315" s="25"/>
      <c r="Y315" s="25"/>
      <c r="Z315" s="25"/>
      <c r="CI315" s="888">
        <v>339</v>
      </c>
      <c r="CJ315" s="1091" t="s">
        <v>1337</v>
      </c>
      <c r="CL315" s="1826">
        <v>-2.3436459603814668</v>
      </c>
      <c r="CN315" s="1104"/>
      <c r="CO315" s="1105"/>
      <c r="CR315" s="1824">
        <v>1.3253777751882343</v>
      </c>
      <c r="CT315" s="1104"/>
      <c r="CU315" s="1105"/>
      <c r="CV315" s="1100"/>
      <c r="CW315" s="1100"/>
      <c r="CX315" s="1824">
        <v>-3.0152715488306265</v>
      </c>
      <c r="CY315" s="1100"/>
      <c r="CZ315" s="1104"/>
      <c r="DA315" s="1105"/>
      <c r="DB315" s="1100"/>
      <c r="DF315" s="3">
        <v>223</v>
      </c>
      <c r="DG315" s="4">
        <v>2001</v>
      </c>
      <c r="DH315" s="4">
        <v>3.4894430000000001</v>
      </c>
      <c r="DI315" s="1172"/>
      <c r="DJ315" s="5"/>
      <c r="DK315" s="1444">
        <v>218</v>
      </c>
      <c r="DL315" s="1444">
        <v>2006</v>
      </c>
      <c r="DM315" s="1444">
        <v>3.4604159999999999</v>
      </c>
      <c r="DN315" s="1440">
        <f t="shared" si="97"/>
        <v>10.381247999999999</v>
      </c>
    </row>
    <row r="316" spans="18:118">
      <c r="R316" s="25"/>
      <c r="S316" s="25"/>
      <c r="T316" s="25"/>
      <c r="U316" s="25"/>
      <c r="V316" s="25"/>
      <c r="W316" s="25"/>
      <c r="X316" s="25"/>
      <c r="Y316" s="25"/>
      <c r="Z316" s="25"/>
      <c r="CI316" s="888">
        <v>218</v>
      </c>
      <c r="CJ316" s="4" t="s">
        <v>1338</v>
      </c>
      <c r="CL316" s="1826"/>
      <c r="CN316" s="1099">
        <v>0.6520496283476005</v>
      </c>
      <c r="CO316" s="1106">
        <v>0.91</v>
      </c>
      <c r="CR316" s="1822"/>
      <c r="CT316" s="1102">
        <v>0.21311666520274364</v>
      </c>
      <c r="CU316" s="1106">
        <v>0.78</v>
      </c>
      <c r="CV316" s="863"/>
      <c r="CW316" s="863"/>
      <c r="CX316" s="1822" t="e">
        <v>#N/A</v>
      </c>
      <c r="CY316" s="863"/>
      <c r="CZ316" s="1099">
        <v>-0.97049868937139383</v>
      </c>
      <c r="DA316" s="1106">
        <v>0.25</v>
      </c>
      <c r="DB316" s="863"/>
      <c r="DF316" s="3">
        <v>223</v>
      </c>
      <c r="DG316" s="4">
        <v>2002</v>
      </c>
      <c r="DH316" s="4">
        <v>3.5359799999999999</v>
      </c>
      <c r="DI316" s="1172"/>
      <c r="DJ316" s="5"/>
      <c r="DK316" s="1444">
        <v>223</v>
      </c>
      <c r="DL316" s="1444">
        <v>2001</v>
      </c>
      <c r="DM316" s="1444">
        <v>1.4048510000000001</v>
      </c>
      <c r="DN316" s="1440">
        <f t="shared" si="97"/>
        <v>4.2145530000000004</v>
      </c>
    </row>
    <row r="317" spans="18:118">
      <c r="R317" s="25"/>
      <c r="S317" s="25"/>
      <c r="T317" s="25"/>
      <c r="U317" s="25"/>
      <c r="V317" s="25"/>
      <c r="W317" s="25"/>
      <c r="X317" s="25"/>
      <c r="Y317" s="25"/>
      <c r="Z317" s="25"/>
      <c r="CI317" s="888">
        <v>218</v>
      </c>
      <c r="CJ317" s="4"/>
      <c r="CL317" s="1826"/>
      <c r="CN317" s="1102"/>
      <c r="CO317" s="1103"/>
      <c r="CR317" s="1822"/>
      <c r="CT317" s="1102"/>
      <c r="CU317" s="1103"/>
      <c r="CV317" s="863"/>
      <c r="CW317" s="863"/>
      <c r="CX317" s="1822" t="e">
        <v>#N/A</v>
      </c>
      <c r="CY317" s="863"/>
      <c r="CZ317" s="1102"/>
      <c r="DA317" s="1103"/>
      <c r="DB317" s="863"/>
      <c r="DF317" s="3">
        <v>223</v>
      </c>
      <c r="DG317" s="4">
        <v>2003</v>
      </c>
      <c r="DH317" s="4">
        <v>3.9155039999999999</v>
      </c>
      <c r="DI317" s="1172"/>
      <c r="DJ317" s="5"/>
      <c r="DK317" s="1444">
        <v>223</v>
      </c>
      <c r="DL317" s="1444">
        <v>2002</v>
      </c>
      <c r="DM317" s="1444">
        <v>4.6537200000000001E-2</v>
      </c>
      <c r="DN317" s="1440">
        <f t="shared" si="97"/>
        <v>0.1396116</v>
      </c>
    </row>
    <row r="318" spans="18:118">
      <c r="R318" s="25"/>
      <c r="S318" s="25"/>
      <c r="T318" s="25"/>
      <c r="U318" s="25"/>
      <c r="V318" s="25"/>
      <c r="W318" s="25"/>
      <c r="X318" s="25"/>
      <c r="Y318" s="25"/>
      <c r="Z318" s="25"/>
      <c r="CI318" s="888">
        <v>218</v>
      </c>
      <c r="CJ318" s="4"/>
      <c r="CL318" s="1826"/>
      <c r="CN318" s="1102"/>
      <c r="CO318" s="1103"/>
      <c r="CR318" s="1822"/>
      <c r="CT318" s="1102"/>
      <c r="CU318" s="1103"/>
      <c r="CV318" s="863"/>
      <c r="CW318" s="863"/>
      <c r="CX318" s="1822" t="e">
        <v>#N/A</v>
      </c>
      <c r="CY318" s="863"/>
      <c r="CZ318" s="1102"/>
      <c r="DA318" s="1103"/>
      <c r="DB318" s="863"/>
      <c r="DF318" s="3">
        <v>223</v>
      </c>
      <c r="DG318" s="4">
        <v>2004</v>
      </c>
      <c r="DH318" s="4">
        <v>4.032978</v>
      </c>
      <c r="DI318" s="1172"/>
      <c r="DJ318" s="5"/>
      <c r="DK318" s="1444">
        <v>223</v>
      </c>
      <c r="DL318" s="1444">
        <v>2003</v>
      </c>
      <c r="DM318" s="1444">
        <v>0.37952399999999997</v>
      </c>
      <c r="DN318" s="1440">
        <f t="shared" si="97"/>
        <v>1.1385719999999999</v>
      </c>
    </row>
    <row r="319" spans="18:118">
      <c r="R319" s="25"/>
      <c r="S319" s="25"/>
      <c r="T319" s="25"/>
      <c r="U319" s="25"/>
      <c r="V319" s="25"/>
      <c r="W319" s="25"/>
      <c r="X319" s="25"/>
      <c r="Y319" s="25"/>
      <c r="Z319" s="25"/>
      <c r="CI319" s="888">
        <v>218</v>
      </c>
      <c r="CJ319" s="4"/>
      <c r="CL319" s="1826"/>
      <c r="CN319" s="1102"/>
      <c r="CO319" s="1103"/>
      <c r="CR319" s="1825"/>
      <c r="CT319" s="1102"/>
      <c r="CU319" s="1103"/>
      <c r="CV319" s="1099"/>
      <c r="CW319" s="1099"/>
      <c r="CX319" s="1825" t="e">
        <v>#N/A</v>
      </c>
      <c r="CY319" s="1099"/>
      <c r="CZ319" s="1102"/>
      <c r="DA319" s="1103"/>
      <c r="DB319" s="1099"/>
      <c r="DF319" s="3">
        <v>223</v>
      </c>
      <c r="DG319" s="4">
        <v>2005</v>
      </c>
      <c r="DH319" s="4">
        <v>4.2435260000000001</v>
      </c>
      <c r="DI319" s="1172"/>
      <c r="DJ319" s="5"/>
      <c r="DK319" s="1444">
        <v>223</v>
      </c>
      <c r="DL319" s="1444">
        <v>2004</v>
      </c>
      <c r="DM319" s="1444">
        <v>0.1174738</v>
      </c>
      <c r="DN319" s="1440">
        <f t="shared" si="97"/>
        <v>0.3524214</v>
      </c>
    </row>
    <row r="320" spans="18:118">
      <c r="R320" s="25"/>
      <c r="S320" s="25"/>
      <c r="T320" s="25"/>
      <c r="U320" s="25"/>
      <c r="V320" s="25"/>
      <c r="W320" s="25"/>
      <c r="X320" s="25"/>
      <c r="Y320" s="25"/>
      <c r="Z320" s="25"/>
      <c r="CI320" s="888">
        <v>218</v>
      </c>
      <c r="CJ320" s="4" t="s">
        <v>2421</v>
      </c>
      <c r="CL320" s="1826">
        <v>0.70000000000018314</v>
      </c>
      <c r="CN320" s="1102"/>
      <c r="CO320" s="1103"/>
      <c r="CR320" s="1823">
        <v>-0.91932781321940205</v>
      </c>
      <c r="CT320" s="1102"/>
      <c r="CU320" s="1103"/>
      <c r="CV320" s="1099"/>
      <c r="CW320" s="1099"/>
      <c r="CX320" s="1823">
        <v>-1.4330216789310946</v>
      </c>
      <c r="CY320" s="1099"/>
      <c r="CZ320" s="1102"/>
      <c r="DA320" s="1103"/>
      <c r="DB320" s="1099"/>
      <c r="DF320" s="3">
        <v>223</v>
      </c>
      <c r="DG320" s="4">
        <v>2006</v>
      </c>
      <c r="DH320" s="4">
        <v>3.9965459999999999</v>
      </c>
      <c r="DI320" s="1172"/>
      <c r="DJ320" s="5"/>
      <c r="DK320" s="1444">
        <v>223</v>
      </c>
      <c r="DL320" s="1444">
        <v>2005</v>
      </c>
      <c r="DM320" s="1444">
        <v>0.2105486</v>
      </c>
      <c r="DN320" s="1440">
        <f t="shared" si="97"/>
        <v>0.63164580000000004</v>
      </c>
    </row>
    <row r="321" spans="18:118">
      <c r="R321" s="25"/>
      <c r="S321" s="25"/>
      <c r="T321" s="25"/>
      <c r="U321" s="25"/>
      <c r="V321" s="25"/>
      <c r="W321" s="25"/>
      <c r="X321" s="25"/>
      <c r="Y321" s="25"/>
      <c r="Z321" s="25"/>
      <c r="CI321" s="888">
        <v>218</v>
      </c>
      <c r="CJ321" s="4" t="s">
        <v>2289</v>
      </c>
      <c r="CL321" s="1826">
        <v>1.3920508925088448E-2</v>
      </c>
      <c r="CN321" s="1102"/>
      <c r="CO321" s="1103"/>
      <c r="CR321" s="1823">
        <v>-1.0616230018643087</v>
      </c>
      <c r="CT321" s="1102"/>
      <c r="CU321" s="1103"/>
      <c r="CV321" s="1099"/>
      <c r="CW321" s="1099"/>
      <c r="CX321" s="1823">
        <v>-2.2114716215980681</v>
      </c>
      <c r="CY321" s="1099"/>
      <c r="CZ321" s="1102"/>
      <c r="DA321" s="1103"/>
      <c r="DB321" s="1099"/>
      <c r="DF321" s="3">
        <v>223</v>
      </c>
      <c r="DG321" s="4">
        <v>2007</v>
      </c>
      <c r="DH321" s="4">
        <v>3.6544050000000001</v>
      </c>
      <c r="DI321" s="1172"/>
      <c r="DJ321" s="5"/>
      <c r="DK321" s="1444">
        <v>223</v>
      </c>
      <c r="DL321" s="1444">
        <v>2006</v>
      </c>
      <c r="DM321" s="1444">
        <v>-0.2469807</v>
      </c>
      <c r="DN321" s="1440">
        <f t="shared" si="97"/>
        <v>-0.74094210000000005</v>
      </c>
    </row>
    <row r="322" spans="18:118">
      <c r="R322" s="25"/>
      <c r="S322" s="25"/>
      <c r="T322" s="25"/>
      <c r="U322" s="25"/>
      <c r="V322" s="25"/>
      <c r="W322" s="25"/>
      <c r="X322" s="25"/>
      <c r="Y322" s="25"/>
      <c r="Z322" s="25"/>
      <c r="CI322" s="888">
        <v>218</v>
      </c>
      <c r="CJ322" s="4" t="s">
        <v>1339</v>
      </c>
      <c r="CL322" s="1826">
        <v>-0.15219123991663963</v>
      </c>
      <c r="CN322" s="1102"/>
      <c r="CO322" s="1103"/>
      <c r="CR322" s="1823">
        <v>-6.0802609948912121</v>
      </c>
      <c r="CT322" s="1102"/>
      <c r="CU322" s="1103"/>
      <c r="CV322" s="1099"/>
      <c r="CW322" s="1099"/>
      <c r="CX322" s="1823">
        <v>-9.1523268641669802</v>
      </c>
      <c r="CY322" s="1099"/>
      <c r="CZ322" s="1102"/>
      <c r="DA322" s="1103"/>
      <c r="DB322" s="1099"/>
      <c r="DF322" s="3">
        <v>223</v>
      </c>
      <c r="DG322" s="4">
        <v>2008</v>
      </c>
      <c r="DH322" s="4">
        <v>3.3142149999999999</v>
      </c>
      <c r="DI322" s="1172"/>
      <c r="DJ322" s="5"/>
      <c r="DK322" s="1444">
        <v>223</v>
      </c>
      <c r="DL322" s="1444">
        <v>2007</v>
      </c>
      <c r="DM322" s="1444">
        <v>-0.34214119999999998</v>
      </c>
      <c r="DN322" s="1440">
        <f t="shared" si="97"/>
        <v>-1.0264236</v>
      </c>
    </row>
    <row r="323" spans="18:118">
      <c r="R323" s="25"/>
      <c r="S323" s="25"/>
      <c r="T323" s="25"/>
      <c r="U323" s="25"/>
      <c r="V323" s="25"/>
      <c r="W323" s="25"/>
      <c r="X323" s="25"/>
      <c r="Y323" s="25"/>
      <c r="Z323" s="25"/>
      <c r="CI323" s="888">
        <v>218</v>
      </c>
      <c r="CJ323" s="4" t="s">
        <v>1340</v>
      </c>
      <c r="CL323" s="1826">
        <v>0.46056967606510391</v>
      </c>
      <c r="CN323" s="1102"/>
      <c r="CO323" s="1103"/>
      <c r="CR323" s="1823">
        <v>-2.4275374908070431</v>
      </c>
      <c r="CT323" s="1102"/>
      <c r="CU323" s="1103"/>
      <c r="CV323" s="1099"/>
      <c r="CW323" s="1099"/>
      <c r="CX323" s="1823">
        <v>-0.97049868937139383</v>
      </c>
      <c r="CY323" s="1099"/>
      <c r="CZ323" s="1102"/>
      <c r="DA323" s="1103"/>
      <c r="DB323" s="1099"/>
      <c r="DF323" s="3">
        <v>223</v>
      </c>
      <c r="DG323" s="4">
        <v>2009</v>
      </c>
      <c r="DH323" s="4">
        <v>3.0473180000000002</v>
      </c>
      <c r="DI323" s="1172"/>
      <c r="DJ323" s="5"/>
      <c r="DK323" s="1444">
        <v>223</v>
      </c>
      <c r="DL323" s="1444">
        <v>2008</v>
      </c>
      <c r="DM323" s="1444">
        <v>-0.34018949999999998</v>
      </c>
      <c r="DN323" s="1440">
        <f t="shared" si="97"/>
        <v>-1.0205685</v>
      </c>
    </row>
    <row r="324" spans="18:118">
      <c r="R324" s="25"/>
      <c r="S324" s="25"/>
      <c r="T324" s="25"/>
      <c r="U324" s="25"/>
      <c r="V324" s="25"/>
      <c r="W324" s="25"/>
      <c r="X324" s="25"/>
      <c r="Y324" s="25"/>
      <c r="Z324" s="25"/>
      <c r="CI324" s="888">
        <v>218</v>
      </c>
      <c r="CJ324" s="4" t="s">
        <v>1341</v>
      </c>
      <c r="CL324" s="1826">
        <v>1.775131015743848</v>
      </c>
      <c r="CN324" s="864"/>
      <c r="CO324" s="1103"/>
      <c r="CR324" s="1823">
        <v>0.21311666520274364</v>
      </c>
      <c r="CT324" s="864"/>
      <c r="CU324" s="1103"/>
      <c r="CV324" s="1099"/>
      <c r="CW324" s="1099"/>
      <c r="CX324" s="1823">
        <v>2.4744344387449351</v>
      </c>
      <c r="CY324" s="1099"/>
      <c r="CZ324" s="864"/>
      <c r="DA324" s="1103"/>
      <c r="DB324" s="1099"/>
      <c r="DF324" s="3">
        <v>223</v>
      </c>
      <c r="DG324" s="4">
        <v>2010</v>
      </c>
      <c r="DH324" s="4">
        <v>2.6979470000000001</v>
      </c>
      <c r="DI324" s="1172"/>
      <c r="DJ324" s="5"/>
      <c r="DK324" s="1444">
        <v>223</v>
      </c>
      <c r="DL324" s="1444">
        <v>2009</v>
      </c>
      <c r="DM324" s="1444">
        <v>-0.26689689999999999</v>
      </c>
      <c r="DN324" s="1440">
        <f t="shared" ref="DN324:DN387" si="98">DM324*3</f>
        <v>-0.80069069999999998</v>
      </c>
    </row>
    <row r="325" spans="18:118">
      <c r="R325" s="25"/>
      <c r="S325" s="25"/>
      <c r="T325" s="25"/>
      <c r="U325" s="25"/>
      <c r="V325" s="25"/>
      <c r="W325" s="25"/>
      <c r="X325" s="25"/>
      <c r="Y325" s="25"/>
      <c r="Z325" s="25"/>
      <c r="CI325" s="888">
        <v>218</v>
      </c>
      <c r="CJ325" s="4" t="s">
        <v>1342</v>
      </c>
      <c r="CL325" s="1826">
        <v>0.6520496283476005</v>
      </c>
      <c r="CN325" s="864"/>
      <c r="CO325" s="1103"/>
      <c r="CR325" s="1823">
        <v>0.5288724827104816</v>
      </c>
      <c r="CT325" s="864"/>
      <c r="CU325" s="1103"/>
      <c r="CV325" s="1099"/>
      <c r="CW325" s="1099"/>
      <c r="CX325" s="1823">
        <v>2.0137767737555317</v>
      </c>
      <c r="CY325" s="1099"/>
      <c r="CZ325" s="864"/>
      <c r="DA325" s="1103"/>
      <c r="DB325" s="1099"/>
      <c r="DF325" s="3">
        <v>238</v>
      </c>
      <c r="DG325" s="4">
        <v>1990</v>
      </c>
      <c r="DH325" s="4">
        <v>1.5635619999999999</v>
      </c>
      <c r="DI325" s="1172"/>
      <c r="DJ325" s="5"/>
      <c r="DK325" s="1444">
        <v>223</v>
      </c>
      <c r="DL325" s="1444">
        <v>2010</v>
      </c>
      <c r="DM325" s="1444">
        <v>-0.3493716</v>
      </c>
      <c r="DN325" s="1440">
        <f t="shared" si="98"/>
        <v>-1.0481148</v>
      </c>
    </row>
    <row r="326" spans="18:118">
      <c r="R326" s="25"/>
      <c r="S326" s="25"/>
      <c r="T326" s="25"/>
      <c r="U326" s="25"/>
      <c r="V326" s="25"/>
      <c r="W326" s="25"/>
      <c r="X326" s="25"/>
      <c r="Y326" s="25"/>
      <c r="Z326" s="25"/>
      <c r="CI326" s="888">
        <v>218</v>
      </c>
      <c r="CJ326" s="4" t="s">
        <v>1343</v>
      </c>
      <c r="CL326" s="1826">
        <v>1.1479604486920181</v>
      </c>
      <c r="CN326" s="864"/>
      <c r="CO326" s="1103"/>
      <c r="CR326" s="1823">
        <v>0.3120848432886999</v>
      </c>
      <c r="CT326" s="864"/>
      <c r="CU326" s="1103"/>
      <c r="CV326" s="1099"/>
      <c r="CW326" s="1099"/>
      <c r="CX326" s="1823">
        <v>11.212212144486429</v>
      </c>
      <c r="CY326" s="1099"/>
      <c r="CZ326" s="864"/>
      <c r="DA326" s="1103"/>
      <c r="DB326" s="1099"/>
      <c r="DF326" s="3">
        <v>238</v>
      </c>
      <c r="DG326" s="4">
        <v>1991</v>
      </c>
      <c r="DH326" s="4">
        <v>1.451557</v>
      </c>
      <c r="DI326" s="1172"/>
      <c r="DJ326" s="5"/>
      <c r="DK326" s="1444">
        <v>238</v>
      </c>
      <c r="DL326" s="1444">
        <v>1990</v>
      </c>
      <c r="DM326" s="1444">
        <v>0.32546229999999998</v>
      </c>
      <c r="DN326" s="1440">
        <f t="shared" si="98"/>
        <v>0.97638689999999995</v>
      </c>
    </row>
    <row r="327" spans="18:118">
      <c r="R327" s="25"/>
      <c r="S327" s="25"/>
      <c r="T327" s="25"/>
      <c r="U327" s="25"/>
      <c r="V327" s="25"/>
      <c r="W327" s="25"/>
      <c r="X327" s="25"/>
      <c r="Y327" s="25"/>
      <c r="Z327" s="25"/>
      <c r="CI327" s="888">
        <v>218</v>
      </c>
      <c r="CJ327" s="4" t="s">
        <v>1344</v>
      </c>
      <c r="CL327" s="1826">
        <v>1.2267233555764023</v>
      </c>
      <c r="CN327" s="864"/>
      <c r="CO327" s="1103"/>
      <c r="CR327" s="1823">
        <v>4.8672298652190502</v>
      </c>
      <c r="CT327" s="864"/>
      <c r="CU327" s="1103"/>
      <c r="CV327" s="1099"/>
      <c r="CW327" s="1099"/>
      <c r="CX327" s="1823">
        <v>0.93628110261969244</v>
      </c>
      <c r="CY327" s="1099"/>
      <c r="CZ327" s="864"/>
      <c r="DA327" s="1103"/>
      <c r="DB327" s="1099"/>
      <c r="DF327" s="3">
        <v>238</v>
      </c>
      <c r="DG327" s="4">
        <v>1992</v>
      </c>
      <c r="DH327" s="4">
        <v>2.2846139999999999</v>
      </c>
      <c r="DI327" s="1172"/>
      <c r="DJ327" s="5"/>
      <c r="DK327" s="1444">
        <v>238</v>
      </c>
      <c r="DL327" s="1444">
        <v>1991</v>
      </c>
      <c r="DM327" s="1444">
        <v>-0.1120042</v>
      </c>
      <c r="DN327" s="1440">
        <f t="shared" si="98"/>
        <v>-0.33601259999999999</v>
      </c>
    </row>
    <row r="328" spans="18:118">
      <c r="R328" s="25"/>
      <c r="S328" s="25"/>
      <c r="T328" s="25"/>
      <c r="U328" s="25"/>
      <c r="V328" s="25"/>
      <c r="W328" s="25"/>
      <c r="X328" s="25"/>
      <c r="Y328" s="25"/>
      <c r="Z328" s="25"/>
      <c r="CI328" s="888">
        <v>218</v>
      </c>
      <c r="CJ328" s="1091" t="s">
        <v>1345</v>
      </c>
      <c r="CL328" s="1826">
        <v>-1.6430005700352748</v>
      </c>
      <c r="CN328" s="1104"/>
      <c r="CO328" s="1105"/>
      <c r="CR328" s="1824">
        <v>1.6535207093521858</v>
      </c>
      <c r="CT328" s="1104"/>
      <c r="CU328" s="1105"/>
      <c r="CV328" s="1100"/>
      <c r="CW328" s="1100"/>
      <c r="CX328" s="1824">
        <v>-11.899892125850144</v>
      </c>
      <c r="CY328" s="1100"/>
      <c r="CZ328" s="1104"/>
      <c r="DA328" s="1105"/>
      <c r="DB328" s="1100"/>
      <c r="DF328" s="3">
        <v>238</v>
      </c>
      <c r="DG328" s="4">
        <v>1993</v>
      </c>
      <c r="DH328" s="4">
        <v>2.605464</v>
      </c>
      <c r="DI328" s="1172"/>
      <c r="DJ328" s="5"/>
      <c r="DK328" s="1444">
        <v>238</v>
      </c>
      <c r="DL328" s="1444">
        <v>1992</v>
      </c>
      <c r="DM328" s="1444">
        <v>0.83305649999999998</v>
      </c>
      <c r="DN328" s="1440">
        <f t="shared" si="98"/>
        <v>2.4991694999999998</v>
      </c>
    </row>
    <row r="329" spans="18:118">
      <c r="R329" s="25"/>
      <c r="S329" s="25"/>
      <c r="T329" s="25"/>
      <c r="U329" s="25"/>
      <c r="V329" s="25"/>
      <c r="W329" s="25"/>
      <c r="X329" s="25"/>
      <c r="Y329" s="25"/>
      <c r="Z329" s="25"/>
      <c r="CI329" s="888">
        <v>963</v>
      </c>
      <c r="CJ329" s="4" t="s">
        <v>1346</v>
      </c>
      <c r="CL329" s="1826"/>
      <c r="CN329" s="1099">
        <v>-0.50000000000012612</v>
      </c>
      <c r="CO329" s="1106">
        <v>0.42</v>
      </c>
      <c r="CR329" s="1822"/>
      <c r="CT329" s="1102">
        <v>0.22811057614720798</v>
      </c>
      <c r="CU329" s="1106">
        <v>0.8</v>
      </c>
      <c r="CV329" s="863"/>
      <c r="CW329" s="863"/>
      <c r="CX329" s="1822" t="e">
        <v>#N/A</v>
      </c>
      <c r="CY329" s="863"/>
      <c r="CZ329" s="1099">
        <v>-0.79496403575489183</v>
      </c>
      <c r="DA329" s="1106">
        <v>0.31</v>
      </c>
      <c r="DB329" s="863"/>
      <c r="DF329" s="3">
        <v>243</v>
      </c>
      <c r="DG329" s="4">
        <v>1990</v>
      </c>
      <c r="DH329" s="4">
        <v>2.207052</v>
      </c>
      <c r="DI329" s="1172"/>
      <c r="DJ329" s="5"/>
      <c r="DK329" s="1444">
        <v>238</v>
      </c>
      <c r="DL329" s="1444">
        <v>1993</v>
      </c>
      <c r="DM329" s="1444">
        <v>0.32085039999999998</v>
      </c>
      <c r="DN329" s="1440">
        <f t="shared" si="98"/>
        <v>0.96255119999999994</v>
      </c>
    </row>
    <row r="330" spans="18:118">
      <c r="R330" s="25"/>
      <c r="S330" s="25"/>
      <c r="T330" s="25"/>
      <c r="U330" s="25"/>
      <c r="V330" s="25"/>
      <c r="W330" s="25"/>
      <c r="X330" s="25"/>
      <c r="Y330" s="25"/>
      <c r="Z330" s="25"/>
      <c r="CI330" s="888">
        <v>963</v>
      </c>
      <c r="CJ330" s="4"/>
      <c r="CL330" s="1826"/>
      <c r="CN330" s="1102"/>
      <c r="CO330" s="1103"/>
      <c r="CR330" s="1822"/>
      <c r="CT330" s="1102"/>
      <c r="CU330" s="1103"/>
      <c r="CV330" s="863"/>
      <c r="CW330" s="863"/>
      <c r="CX330" s="1822" t="e">
        <v>#N/A</v>
      </c>
      <c r="CY330" s="863"/>
      <c r="CZ330" s="1102"/>
      <c r="DA330" s="1103"/>
      <c r="DB330" s="863"/>
      <c r="DF330" s="3">
        <v>243</v>
      </c>
      <c r="DG330" s="4">
        <v>1991</v>
      </c>
      <c r="DH330" s="4">
        <v>3.3226</v>
      </c>
      <c r="DI330" s="1172"/>
      <c r="DJ330" s="5"/>
      <c r="DK330" s="1444">
        <v>243</v>
      </c>
      <c r="DL330" s="1444">
        <v>1990</v>
      </c>
      <c r="DM330" s="1444">
        <v>0.94888790000000001</v>
      </c>
      <c r="DN330" s="1440">
        <f t="shared" si="98"/>
        <v>2.8466637000000001</v>
      </c>
    </row>
    <row r="331" spans="18:118">
      <c r="R331" s="25"/>
      <c r="S331" s="25"/>
      <c r="T331" s="25"/>
      <c r="U331" s="25"/>
      <c r="V331" s="25"/>
      <c r="W331" s="25"/>
      <c r="X331" s="25"/>
      <c r="Y331" s="25"/>
      <c r="Z331" s="25"/>
      <c r="CI331" s="888">
        <v>963</v>
      </c>
      <c r="CJ331" s="4"/>
      <c r="CL331" s="1826"/>
      <c r="CN331" s="1102"/>
      <c r="CO331" s="1103"/>
      <c r="CR331" s="1822"/>
      <c r="CT331" s="1102"/>
      <c r="CU331" s="1103"/>
      <c r="CV331" s="863"/>
      <c r="CW331" s="863"/>
      <c r="CX331" s="1822" t="e">
        <v>#N/A</v>
      </c>
      <c r="CY331" s="863"/>
      <c r="CZ331" s="1102"/>
      <c r="DA331" s="1103"/>
      <c r="DB331" s="863"/>
      <c r="DF331" s="3">
        <v>268</v>
      </c>
      <c r="DG331" s="4">
        <v>1990</v>
      </c>
      <c r="DH331" s="4">
        <v>0.2560653</v>
      </c>
      <c r="DI331" s="1172"/>
      <c r="DJ331" s="5"/>
      <c r="DK331" s="1444">
        <v>243</v>
      </c>
      <c r="DL331" s="1444">
        <v>1991</v>
      </c>
      <c r="DM331" s="1444">
        <v>1.115548</v>
      </c>
      <c r="DN331" s="1440">
        <f t="shared" si="98"/>
        <v>3.346644</v>
      </c>
    </row>
    <row r="332" spans="18:118">
      <c r="R332" s="25"/>
      <c r="S332" s="25"/>
      <c r="T332" s="25"/>
      <c r="U332" s="25"/>
      <c r="V332" s="25"/>
      <c r="W332" s="25"/>
      <c r="X332" s="25"/>
      <c r="Y332" s="25"/>
      <c r="Z332" s="25"/>
      <c r="CI332" s="888">
        <v>963</v>
      </c>
      <c r="CJ332" s="4"/>
      <c r="CL332" s="1826"/>
      <c r="CN332" s="1102"/>
      <c r="CO332" s="1103"/>
      <c r="CR332" s="1825"/>
      <c r="CT332" s="1102"/>
      <c r="CU332" s="1103"/>
      <c r="CV332" s="1099"/>
      <c r="CW332" s="1099"/>
      <c r="CX332" s="1825" t="e">
        <v>#N/A</v>
      </c>
      <c r="CY332" s="1099"/>
      <c r="CZ332" s="1102"/>
      <c r="DA332" s="1103"/>
      <c r="DB332" s="1099"/>
      <c r="DF332" s="3">
        <v>268</v>
      </c>
      <c r="DG332" s="4">
        <v>1991</v>
      </c>
      <c r="DH332" s="4">
        <v>3.037585</v>
      </c>
      <c r="DI332" s="1172"/>
      <c r="DJ332" s="5"/>
      <c r="DK332" s="1444">
        <v>268</v>
      </c>
      <c r="DL332" s="1444">
        <v>1990</v>
      </c>
      <c r="DM332" s="1444">
        <v>1.062783</v>
      </c>
      <c r="DN332" s="1440">
        <f t="shared" si="98"/>
        <v>3.1883490000000001</v>
      </c>
    </row>
    <row r="333" spans="18:118">
      <c r="R333" s="25"/>
      <c r="S333" s="25"/>
      <c r="T333" s="25"/>
      <c r="U333" s="25"/>
      <c r="V333" s="25"/>
      <c r="W333" s="25"/>
      <c r="X333" s="25"/>
      <c r="Y333" s="25"/>
      <c r="Z333" s="25"/>
      <c r="CI333" s="888">
        <v>963</v>
      </c>
      <c r="CJ333" s="4" t="s">
        <v>2422</v>
      </c>
      <c r="CL333" s="1826">
        <v>-0.50000000000012612</v>
      </c>
      <c r="CN333" s="1102"/>
      <c r="CO333" s="1103"/>
      <c r="CR333" s="1823">
        <v>2.9432678434502115</v>
      </c>
      <c r="CT333" s="1102"/>
      <c r="CU333" s="1103"/>
      <c r="CV333" s="1099"/>
      <c r="CW333" s="1099"/>
      <c r="CX333" s="1823">
        <v>0.58192880864291352</v>
      </c>
      <c r="CY333" s="1099"/>
      <c r="CZ333" s="1102"/>
      <c r="DA333" s="1103"/>
      <c r="DB333" s="1099"/>
      <c r="DF333" s="3">
        <v>268</v>
      </c>
      <c r="DG333" s="4">
        <v>1992</v>
      </c>
      <c r="DH333" s="4">
        <v>4.6848939999999999</v>
      </c>
      <c r="DI333" s="1172"/>
      <c r="DJ333" s="5"/>
      <c r="DK333" s="1444">
        <v>268</v>
      </c>
      <c r="DL333" s="1444">
        <v>1991</v>
      </c>
      <c r="DM333" s="1444">
        <v>2.7815189999999999</v>
      </c>
      <c r="DN333" s="1440">
        <f t="shared" si="98"/>
        <v>8.344557</v>
      </c>
    </row>
    <row r="334" spans="18:118">
      <c r="R334" s="25"/>
      <c r="S334" s="25"/>
      <c r="T334" s="25"/>
      <c r="U334" s="25"/>
      <c r="V334" s="25"/>
      <c r="W334" s="25"/>
      <c r="X334" s="25"/>
      <c r="Y334" s="25"/>
      <c r="Z334" s="25"/>
      <c r="CI334" s="888">
        <v>963</v>
      </c>
      <c r="CJ334" s="4" t="s">
        <v>2290</v>
      </c>
      <c r="CL334" s="1826">
        <v>0.11542314741462301</v>
      </c>
      <c r="CN334" s="1102"/>
      <c r="CO334" s="1103"/>
      <c r="CR334" s="1823">
        <v>1.8916691393859917</v>
      </c>
      <c r="CT334" s="1102"/>
      <c r="CU334" s="1103"/>
      <c r="CV334" s="1099"/>
      <c r="CW334" s="1099"/>
      <c r="CX334" s="1823">
        <v>-0.149353624264281</v>
      </c>
      <c r="CY334" s="1099"/>
      <c r="CZ334" s="1102"/>
      <c r="DA334" s="1103"/>
      <c r="DB334" s="1099"/>
      <c r="DF334" s="3">
        <v>268</v>
      </c>
      <c r="DG334" s="4">
        <v>1993</v>
      </c>
      <c r="DH334" s="4">
        <v>6.5611269999999999</v>
      </c>
      <c r="DI334" s="1172"/>
      <c r="DJ334" s="5"/>
      <c r="DK334" s="1444">
        <v>268</v>
      </c>
      <c r="DL334" s="1444">
        <v>1992</v>
      </c>
      <c r="DM334" s="1444">
        <v>1.6473100000000001</v>
      </c>
      <c r="DN334" s="1440">
        <f t="shared" si="98"/>
        <v>4.9419300000000002</v>
      </c>
    </row>
    <row r="335" spans="18:118">
      <c r="CI335" s="888">
        <v>963</v>
      </c>
      <c r="CJ335" s="4" t="s">
        <v>1347</v>
      </c>
      <c r="CL335" s="1826">
        <v>-0.12659372657044177</v>
      </c>
      <c r="CN335" s="1102"/>
      <c r="CO335" s="1103"/>
      <c r="CR335" s="1823">
        <v>1.1788479225170321</v>
      </c>
      <c r="CT335" s="1102"/>
      <c r="CU335" s="1103"/>
      <c r="CV335" s="1099"/>
      <c r="CW335" s="1099"/>
      <c r="CX335" s="1823">
        <v>-0.49192289721707927</v>
      </c>
      <c r="CY335" s="1099"/>
      <c r="CZ335" s="1102"/>
      <c r="DA335" s="1103"/>
      <c r="DB335" s="1099"/>
      <c r="DF335" s="3">
        <v>268</v>
      </c>
      <c r="DG335" s="4">
        <v>1994</v>
      </c>
      <c r="DH335" s="4">
        <v>5.5358270000000003</v>
      </c>
      <c r="DI335" s="1172"/>
      <c r="DJ335" s="5"/>
      <c r="DK335" s="1444">
        <v>268</v>
      </c>
      <c r="DL335" s="1444">
        <v>1993</v>
      </c>
      <c r="DM335" s="1444">
        <v>1.8762319999999999</v>
      </c>
      <c r="DN335" s="1440">
        <f t="shared" si="98"/>
        <v>5.6286959999999997</v>
      </c>
    </row>
    <row r="336" spans="18:118">
      <c r="CI336" s="888">
        <v>963</v>
      </c>
      <c r="CJ336" s="4" t="s">
        <v>1348</v>
      </c>
      <c r="CL336" s="1826">
        <v>-0.91812498181532964</v>
      </c>
      <c r="CN336" s="1102"/>
      <c r="CO336" s="1103"/>
      <c r="CR336" s="1823">
        <v>-2.1240480969689375</v>
      </c>
      <c r="CT336" s="1102"/>
      <c r="CU336" s="1103"/>
      <c r="CV336" s="1099"/>
      <c r="CW336" s="1099"/>
      <c r="CX336" s="1823">
        <v>-2.0406420129956624</v>
      </c>
      <c r="CY336" s="1099"/>
      <c r="CZ336" s="1102"/>
      <c r="DA336" s="1103"/>
      <c r="DB336" s="1099"/>
      <c r="DF336" s="3">
        <v>268</v>
      </c>
      <c r="DG336" s="4">
        <v>1995</v>
      </c>
      <c r="DH336" s="4">
        <v>4.2613469999999998</v>
      </c>
      <c r="DI336" s="1172"/>
      <c r="DJ336" s="5"/>
      <c r="DK336" s="1444">
        <v>268</v>
      </c>
      <c r="DL336" s="1444">
        <v>1994</v>
      </c>
      <c r="DM336" s="1444">
        <v>-1.0253000000000001</v>
      </c>
      <c r="DN336" s="1440">
        <f t="shared" si="98"/>
        <v>-3.0759000000000003</v>
      </c>
    </row>
    <row r="337" spans="87:118">
      <c r="CI337" s="888">
        <v>963</v>
      </c>
      <c r="CJ337" s="4" t="s">
        <v>1349</v>
      </c>
      <c r="CL337" s="1826">
        <v>1.4779935186136908</v>
      </c>
      <c r="CN337" s="864"/>
      <c r="CO337" s="1103"/>
      <c r="CR337" s="1823">
        <v>0.22811057614720798</v>
      </c>
      <c r="CT337" s="864"/>
      <c r="CU337" s="1103"/>
      <c r="CV337" s="1099"/>
      <c r="CW337" s="1099"/>
      <c r="CX337" s="1823">
        <v>-3.3600313810409621</v>
      </c>
      <c r="CY337" s="1099"/>
      <c r="CZ337" s="864"/>
      <c r="DA337" s="1103"/>
      <c r="DB337" s="1099"/>
      <c r="DF337" s="3">
        <v>268</v>
      </c>
      <c r="DG337" s="4">
        <v>1996</v>
      </c>
      <c r="DH337" s="4">
        <v>2.570379</v>
      </c>
      <c r="DI337" s="1172"/>
      <c r="DJ337" s="5"/>
      <c r="DK337" s="1444">
        <v>268</v>
      </c>
      <c r="DL337" s="1444">
        <v>1995</v>
      </c>
      <c r="DM337" s="1444">
        <v>-1.2744800000000001</v>
      </c>
      <c r="DN337" s="1440">
        <f t="shared" si="98"/>
        <v>-3.8234400000000002</v>
      </c>
    </row>
    <row r="338" spans="87:118">
      <c r="CI338" s="888">
        <v>963</v>
      </c>
      <c r="CJ338" s="4" t="s">
        <v>1350</v>
      </c>
      <c r="CL338" s="1826">
        <v>-5.2090151631333894</v>
      </c>
      <c r="CN338" s="864"/>
      <c r="CO338" s="1103"/>
      <c r="CR338" s="1823">
        <v>-0.8971676229129637</v>
      </c>
      <c r="CT338" s="864"/>
      <c r="CU338" s="1103"/>
      <c r="CV338" s="1099"/>
      <c r="CW338" s="1099"/>
      <c r="CX338" s="1823">
        <v>-2.0699476722357151</v>
      </c>
      <c r="CY338" s="1099"/>
      <c r="CZ338" s="864"/>
      <c r="DA338" s="1103"/>
      <c r="DB338" s="1099"/>
      <c r="DF338" s="3">
        <v>268</v>
      </c>
      <c r="DG338" s="4">
        <v>1997</v>
      </c>
      <c r="DH338" s="4">
        <v>1.7890889999999999</v>
      </c>
      <c r="DI338" s="1172"/>
      <c r="DJ338" s="5"/>
      <c r="DK338" s="1444">
        <v>268</v>
      </c>
      <c r="DL338" s="1444">
        <v>1996</v>
      </c>
      <c r="DM338" s="1444">
        <v>-1.690968</v>
      </c>
      <c r="DN338" s="1440">
        <f t="shared" si="98"/>
        <v>-5.0729040000000003</v>
      </c>
    </row>
    <row r="339" spans="87:118">
      <c r="CI339" s="888">
        <v>963</v>
      </c>
      <c r="CJ339" s="4" t="s">
        <v>1351</v>
      </c>
      <c r="CL339" s="1826">
        <v>-2.7360608159993651</v>
      </c>
      <c r="CN339" s="864"/>
      <c r="CO339" s="1103"/>
      <c r="CR339" s="1823">
        <v>2.0834515100413165</v>
      </c>
      <c r="CT339" s="864"/>
      <c r="CU339" s="1103"/>
      <c r="CV339" s="1099"/>
      <c r="CW339" s="1099"/>
      <c r="CX339" s="1823">
        <v>-0.18576904647941861</v>
      </c>
      <c r="CY339" s="1099"/>
      <c r="CZ339" s="864"/>
      <c r="DA339" s="1103"/>
      <c r="DB339" s="1099"/>
      <c r="DF339" s="3">
        <v>268</v>
      </c>
      <c r="DG339" s="4">
        <v>1998</v>
      </c>
      <c r="DH339" s="4">
        <v>2.1193360000000001</v>
      </c>
      <c r="DI339" s="1172"/>
      <c r="DJ339" s="5"/>
      <c r="DK339" s="1444">
        <v>268</v>
      </c>
      <c r="DL339" s="1444">
        <v>1997</v>
      </c>
      <c r="DM339" s="1444">
        <v>-0.78128960000000003</v>
      </c>
      <c r="DN339" s="1440">
        <f t="shared" si="98"/>
        <v>-2.3438688000000001</v>
      </c>
    </row>
    <row r="340" spans="87:118">
      <c r="CI340" s="888">
        <v>963</v>
      </c>
      <c r="CJ340" s="4" t="s">
        <v>1352</v>
      </c>
      <c r="CL340" s="1826">
        <v>0.19701361871445466</v>
      </c>
      <c r="CN340" s="864"/>
      <c r="CO340" s="1103"/>
      <c r="CR340" s="1823">
        <v>-2.3300439091111818</v>
      </c>
      <c r="CT340" s="864"/>
      <c r="CU340" s="1103"/>
      <c r="CV340" s="1099"/>
      <c r="CW340" s="1099"/>
      <c r="CX340" s="1823">
        <v>-1.2237877231886236</v>
      </c>
      <c r="CY340" s="1099"/>
      <c r="CZ340" s="864"/>
      <c r="DA340" s="1103"/>
      <c r="DB340" s="1099"/>
      <c r="DF340" s="3">
        <v>268</v>
      </c>
      <c r="DG340" s="4">
        <v>1999</v>
      </c>
      <c r="DH340" s="4">
        <v>2.4541140000000001</v>
      </c>
      <c r="DI340" s="1172"/>
      <c r="DJ340" s="5"/>
      <c r="DK340" s="1444">
        <v>268</v>
      </c>
      <c r="DL340" s="1444">
        <v>1998</v>
      </c>
      <c r="DM340" s="1444">
        <v>0.33024730000000002</v>
      </c>
      <c r="DN340" s="1440">
        <f t="shared" si="98"/>
        <v>0.99074190000000006</v>
      </c>
    </row>
    <row r="341" spans="87:118">
      <c r="CI341" s="888">
        <v>963</v>
      </c>
      <c r="CJ341" s="1091" t="s">
        <v>1353</v>
      </c>
      <c r="CL341" s="1826">
        <v>-8.544906659507296</v>
      </c>
      <c r="CN341" s="1104"/>
      <c r="CO341" s="1105"/>
      <c r="CR341" s="1824">
        <v>-5.5769124885191612</v>
      </c>
      <c r="CT341" s="1104"/>
      <c r="CU341" s="1105"/>
      <c r="CV341" s="1100"/>
      <c r="CW341" s="1100"/>
      <c r="CX341" s="1824">
        <v>-0.79496403575489183</v>
      </c>
      <c r="CY341" s="1100"/>
      <c r="CZ341" s="1104"/>
      <c r="DA341" s="1105"/>
      <c r="DB341" s="1100"/>
      <c r="DF341" s="3">
        <v>268</v>
      </c>
      <c r="DG341" s="4">
        <v>2000</v>
      </c>
      <c r="DH341" s="4">
        <v>2.8390490000000002</v>
      </c>
      <c r="DI341" s="1172"/>
      <c r="DJ341" s="5"/>
      <c r="DK341" s="1444">
        <v>268</v>
      </c>
      <c r="DL341" s="1444">
        <v>1999</v>
      </c>
      <c r="DM341" s="1444">
        <v>0.33477780000000001</v>
      </c>
      <c r="DN341" s="1440">
        <f t="shared" si="98"/>
        <v>1.0043334000000002</v>
      </c>
    </row>
    <row r="342" spans="87:118">
      <c r="CI342" s="888">
        <v>616</v>
      </c>
      <c r="CJ342" s="4" t="s">
        <v>1354</v>
      </c>
      <c r="CL342" s="1826"/>
      <c r="CN342" s="1099">
        <v>-2.1329756258782901</v>
      </c>
      <c r="CO342" s="1106">
        <v>0.11</v>
      </c>
      <c r="CR342" s="1822"/>
      <c r="CT342" s="1102">
        <v>-3.9178886979724448</v>
      </c>
      <c r="CU342" s="1106">
        <v>7.0000000000000007E-2</v>
      </c>
      <c r="CV342" s="863"/>
      <c r="CW342" s="863"/>
      <c r="CX342" s="1822" t="e">
        <v>#N/A</v>
      </c>
      <c r="CY342" s="863"/>
      <c r="CZ342" s="1099">
        <v>-0.93798388215893724</v>
      </c>
      <c r="DA342" s="1106">
        <v>0.26</v>
      </c>
      <c r="DB342" s="863"/>
      <c r="DF342" s="3">
        <v>268</v>
      </c>
      <c r="DG342" s="4">
        <v>2001</v>
      </c>
      <c r="DH342" s="4">
        <v>0.39199610000000001</v>
      </c>
      <c r="DI342" s="1172"/>
      <c r="DJ342" s="5"/>
      <c r="DK342" s="1444">
        <v>268</v>
      </c>
      <c r="DL342" s="1444">
        <v>2000</v>
      </c>
      <c r="DM342" s="1444">
        <v>0.38493460000000002</v>
      </c>
      <c r="DN342" s="1440">
        <f t="shared" si="98"/>
        <v>1.1548038</v>
      </c>
    </row>
    <row r="343" spans="87:118">
      <c r="CI343" s="888">
        <v>616</v>
      </c>
      <c r="CJ343" s="4"/>
      <c r="CL343" s="1826"/>
      <c r="CN343" s="1102"/>
      <c r="CO343" s="1103"/>
      <c r="CR343" s="1822"/>
      <c r="CT343" s="1102"/>
      <c r="CU343" s="1103"/>
      <c r="CV343" s="863"/>
      <c r="CW343" s="863"/>
      <c r="CX343" s="1822" t="e">
        <v>#N/A</v>
      </c>
      <c r="CY343" s="863"/>
      <c r="CZ343" s="1102"/>
      <c r="DA343" s="1103"/>
      <c r="DB343" s="863"/>
      <c r="DF343" s="3">
        <v>268</v>
      </c>
      <c r="DG343" s="4">
        <v>2002</v>
      </c>
      <c r="DH343" s="4">
        <v>-1.439395</v>
      </c>
      <c r="DI343" s="1172"/>
      <c r="DJ343" s="5"/>
      <c r="DK343" s="1444">
        <v>268</v>
      </c>
      <c r="DL343" s="1444">
        <v>2001</v>
      </c>
      <c r="DM343" s="1444">
        <v>-2.4470529999999999</v>
      </c>
      <c r="DN343" s="1440">
        <f t="shared" si="98"/>
        <v>-7.3411589999999993</v>
      </c>
    </row>
    <row r="344" spans="87:118">
      <c r="CI344" s="888">
        <v>616</v>
      </c>
      <c r="CJ344" s="4"/>
      <c r="CL344" s="1826"/>
      <c r="CN344" s="1102"/>
      <c r="CO344" s="1103"/>
      <c r="CR344" s="1822"/>
      <c r="CT344" s="1102"/>
      <c r="CU344" s="1103"/>
      <c r="CV344" s="863"/>
      <c r="CW344" s="863"/>
      <c r="CX344" s="1822" t="e">
        <v>#N/A</v>
      </c>
      <c r="CY344" s="863"/>
      <c r="CZ344" s="1102"/>
      <c r="DA344" s="1103"/>
      <c r="DB344" s="863"/>
      <c r="DF344" s="3">
        <v>268</v>
      </c>
      <c r="DG344" s="4">
        <v>2003</v>
      </c>
      <c r="DH344" s="4">
        <v>-3.666922</v>
      </c>
      <c r="DI344" s="1172"/>
      <c r="DJ344" s="5"/>
      <c r="DK344" s="1444">
        <v>268</v>
      </c>
      <c r="DL344" s="1444">
        <v>2002</v>
      </c>
      <c r="DM344" s="1444">
        <v>-1.831391</v>
      </c>
      <c r="DN344" s="1440">
        <f t="shared" si="98"/>
        <v>-5.494173</v>
      </c>
    </row>
    <row r="345" spans="87:118">
      <c r="CI345" s="888">
        <v>616</v>
      </c>
      <c r="CJ345" s="4"/>
      <c r="CL345" s="1826"/>
      <c r="CN345" s="1102"/>
      <c r="CO345" s="1103"/>
      <c r="CR345" s="1825"/>
      <c r="CT345" s="1102"/>
      <c r="CU345" s="1103"/>
      <c r="CV345" s="1099"/>
      <c r="CW345" s="1099"/>
      <c r="CX345" s="1825" t="e">
        <v>#N/A</v>
      </c>
      <c r="CY345" s="1099"/>
      <c r="CZ345" s="1102"/>
      <c r="DA345" s="1103"/>
      <c r="DB345" s="1099"/>
      <c r="DF345" s="3">
        <v>268</v>
      </c>
      <c r="DG345" s="4">
        <v>2004</v>
      </c>
      <c r="DH345" s="4">
        <v>-2.5237940000000001</v>
      </c>
      <c r="DI345" s="1172"/>
      <c r="DJ345" s="5"/>
      <c r="DK345" s="1444">
        <v>268</v>
      </c>
      <c r="DL345" s="1444">
        <v>2003</v>
      </c>
      <c r="DM345" s="1444">
        <v>-2.2275269999999998</v>
      </c>
      <c r="DN345" s="1440">
        <f t="shared" si="98"/>
        <v>-6.682580999999999</v>
      </c>
    </row>
    <row r="346" spans="87:118">
      <c r="CI346" s="888">
        <v>616</v>
      </c>
      <c r="CJ346" s="4" t="s">
        <v>2423</v>
      </c>
      <c r="CL346" s="1826">
        <v>-2.1329756258782901</v>
      </c>
      <c r="CN346" s="1102"/>
      <c r="CO346" s="1103"/>
      <c r="CR346" s="1823">
        <v>3.8996894737916508</v>
      </c>
      <c r="CT346" s="1102"/>
      <c r="CU346" s="1103"/>
      <c r="CV346" s="1099"/>
      <c r="CW346" s="1099"/>
      <c r="CX346" s="1823">
        <v>-2.7116621675128258</v>
      </c>
      <c r="CY346" s="1099"/>
      <c r="CZ346" s="1102"/>
      <c r="DA346" s="1103"/>
      <c r="DB346" s="1099"/>
      <c r="DF346" s="3">
        <v>268</v>
      </c>
      <c r="DG346" s="4">
        <v>2005</v>
      </c>
      <c r="DH346" s="4">
        <v>-1.0254840000000001</v>
      </c>
      <c r="DI346" s="1172"/>
      <c r="DJ346" s="5"/>
      <c r="DK346" s="1444">
        <v>268</v>
      </c>
      <c r="DL346" s="1444">
        <v>2004</v>
      </c>
      <c r="DM346" s="1444">
        <v>1.1431279999999999</v>
      </c>
      <c r="DN346" s="1440">
        <f t="shared" si="98"/>
        <v>3.4293839999999998</v>
      </c>
    </row>
    <row r="347" spans="87:118">
      <c r="CI347" s="888">
        <v>616</v>
      </c>
      <c r="CJ347" s="4" t="s">
        <v>2291</v>
      </c>
      <c r="CL347" s="1826">
        <v>0.28358284387998189</v>
      </c>
      <c r="CN347" s="1102"/>
      <c r="CO347" s="1103"/>
      <c r="CR347" s="1823">
        <v>-3.9178886979724448</v>
      </c>
      <c r="CT347" s="1102"/>
      <c r="CU347" s="1103"/>
      <c r="CV347" s="1099"/>
      <c r="CW347" s="1099"/>
      <c r="CX347" s="1823">
        <v>7.6101766634407744</v>
      </c>
      <c r="CY347" s="1099"/>
      <c r="CZ347" s="1102"/>
      <c r="DA347" s="1103"/>
      <c r="DB347" s="1099"/>
      <c r="DF347" s="3">
        <v>273</v>
      </c>
      <c r="DG347" s="4">
        <v>1990</v>
      </c>
      <c r="DH347" s="4">
        <v>7.9885950000000001</v>
      </c>
      <c r="DI347" s="1172"/>
      <c r="DJ347" s="5"/>
      <c r="DK347" s="1444">
        <v>268</v>
      </c>
      <c r="DL347" s="1444">
        <v>2005</v>
      </c>
      <c r="DM347" s="1444">
        <v>1.4983089999999999</v>
      </c>
      <c r="DN347" s="1440">
        <f t="shared" si="98"/>
        <v>4.4949269999999997</v>
      </c>
    </row>
    <row r="348" spans="87:118">
      <c r="CI348" s="888">
        <v>616</v>
      </c>
      <c r="CJ348" s="4" t="s">
        <v>1355</v>
      </c>
      <c r="CL348" s="1826">
        <v>-6.0890799138814948</v>
      </c>
      <c r="CN348" s="1102"/>
      <c r="CO348" s="1103"/>
      <c r="CR348" s="1823">
        <v>-6.6120005331816492</v>
      </c>
      <c r="CT348" s="1102"/>
      <c r="CU348" s="1103"/>
      <c r="CV348" s="1099"/>
      <c r="CW348" s="1099"/>
      <c r="CX348" s="1823">
        <v>-0.93798388215893724</v>
      </c>
      <c r="CY348" s="1099"/>
      <c r="CZ348" s="1102"/>
      <c r="DA348" s="1103"/>
      <c r="DB348" s="1099"/>
      <c r="DF348" s="3">
        <v>278</v>
      </c>
      <c r="DG348" s="4">
        <v>1991</v>
      </c>
      <c r="DH348" s="4">
        <v>-8.8425189999999994</v>
      </c>
      <c r="DI348" s="1172"/>
      <c r="DJ348" s="5"/>
      <c r="DK348" s="1444">
        <v>273</v>
      </c>
      <c r="DL348" s="1444">
        <v>1990</v>
      </c>
      <c r="DM348" s="1444">
        <v>-0.36295319999999998</v>
      </c>
      <c r="DN348" s="1440">
        <f t="shared" si="98"/>
        <v>-1.0888595999999999</v>
      </c>
    </row>
    <row r="349" spans="87:118">
      <c r="CI349" s="888">
        <v>616</v>
      </c>
      <c r="CJ349" s="4" t="s">
        <v>1356</v>
      </c>
      <c r="CL349" s="1826">
        <v>-0.98657985360609635</v>
      </c>
      <c r="CN349" s="1102"/>
      <c r="CO349" s="1103"/>
      <c r="CR349" s="1823">
        <v>-2.2399072444863783</v>
      </c>
      <c r="CT349" s="1102"/>
      <c r="CU349" s="1103"/>
      <c r="CV349" s="1099"/>
      <c r="CW349" s="1099"/>
      <c r="CX349" s="1823">
        <v>5.0283538543853954</v>
      </c>
      <c r="CY349" s="1099"/>
      <c r="CZ349" s="1102"/>
      <c r="DA349" s="1103"/>
      <c r="DB349" s="1099"/>
      <c r="DF349" s="3">
        <v>278</v>
      </c>
      <c r="DG349" s="4">
        <v>1992</v>
      </c>
      <c r="DH349" s="4">
        <v>-6.2846320000000002</v>
      </c>
      <c r="DI349" s="1172"/>
      <c r="DJ349" s="5"/>
      <c r="DK349" s="1444">
        <v>278</v>
      </c>
      <c r="DL349" s="1444">
        <v>1992</v>
      </c>
      <c r="DM349" s="1444">
        <v>7.0180920000000002</v>
      </c>
      <c r="DN349" s="1440">
        <f t="shared" si="98"/>
        <v>21.054276000000002</v>
      </c>
    </row>
    <row r="350" spans="87:118">
      <c r="CI350" s="888">
        <v>616</v>
      </c>
      <c r="CJ350" s="4" t="s">
        <v>1357</v>
      </c>
      <c r="CL350" s="1826">
        <v>1.321924745160433</v>
      </c>
      <c r="CN350" s="864"/>
      <c r="CO350" s="1103"/>
      <c r="CR350" s="1823">
        <v>-5.1433560399988867</v>
      </c>
      <c r="CT350" s="864"/>
      <c r="CU350" s="1103"/>
      <c r="CV350" s="1099"/>
      <c r="CW350" s="1099"/>
      <c r="CX350" s="1823">
        <v>-1.443907115589468</v>
      </c>
      <c r="CY350" s="1099"/>
      <c r="CZ350" s="864"/>
      <c r="DA350" s="1103"/>
      <c r="DB350" s="1099"/>
      <c r="DF350" s="3">
        <v>278</v>
      </c>
      <c r="DG350" s="4">
        <v>1993</v>
      </c>
      <c r="DH350" s="4">
        <v>-1.5270710000000001</v>
      </c>
      <c r="DI350" s="1172"/>
      <c r="DJ350" s="5"/>
      <c r="DK350" s="1444">
        <v>278</v>
      </c>
      <c r="DL350" s="1444">
        <v>1993</v>
      </c>
      <c r="DM350" s="1444">
        <v>4.7575609999999999</v>
      </c>
      <c r="DN350" s="1440">
        <f t="shared" si="98"/>
        <v>14.272683000000001</v>
      </c>
    </row>
    <row r="351" spans="87:118">
      <c r="CI351" s="888">
        <v>616</v>
      </c>
      <c r="CJ351" s="4" t="s">
        <v>1358</v>
      </c>
      <c r="CL351" s="1826">
        <v>-2.4494929023447911</v>
      </c>
      <c r="CN351" s="864"/>
      <c r="CO351" s="1103"/>
      <c r="CR351" s="1823">
        <v>-6.5166345898084685</v>
      </c>
      <c r="CT351" s="864"/>
      <c r="CU351" s="1103"/>
      <c r="CV351" s="1099"/>
      <c r="CW351" s="1099"/>
      <c r="CX351" s="1823">
        <v>-6.9402432767589062</v>
      </c>
      <c r="CY351" s="1099"/>
      <c r="CZ351" s="864"/>
      <c r="DA351" s="1103"/>
      <c r="DB351" s="1099"/>
      <c r="DF351" s="3">
        <v>278</v>
      </c>
      <c r="DG351" s="4">
        <v>1994</v>
      </c>
      <c r="DH351" s="4">
        <v>-1.121221</v>
      </c>
      <c r="DI351" s="1172"/>
      <c r="DJ351" s="5"/>
      <c r="DK351" s="1444">
        <v>278</v>
      </c>
      <c r="DL351" s="1444">
        <v>1994</v>
      </c>
      <c r="DM351" s="1444">
        <v>0.40585070000000001</v>
      </c>
      <c r="DN351" s="1440">
        <f t="shared" si="98"/>
        <v>1.2175521</v>
      </c>
    </row>
    <row r="352" spans="87:118">
      <c r="CI352" s="888">
        <v>616</v>
      </c>
      <c r="CJ352" s="4" t="s">
        <v>1359</v>
      </c>
      <c r="CL352" s="1826">
        <v>-3.6130705836584731E-2</v>
      </c>
      <c r="CN352" s="864"/>
      <c r="CO352" s="1103"/>
      <c r="CR352" s="1823">
        <v>-1.1639439237510736</v>
      </c>
      <c r="CT352" s="864"/>
      <c r="CU352" s="1103"/>
      <c r="CV352" s="1099"/>
      <c r="CW352" s="1099"/>
      <c r="CX352" s="1823">
        <v>5.6514433307275578</v>
      </c>
      <c r="CY352" s="1099"/>
      <c r="CZ352" s="864"/>
      <c r="DA352" s="1103"/>
      <c r="DB352" s="1099"/>
      <c r="DF352" s="3">
        <v>278</v>
      </c>
      <c r="DG352" s="4">
        <v>1995</v>
      </c>
      <c r="DH352" s="4">
        <v>-0.29601179999999999</v>
      </c>
      <c r="DI352" s="1172"/>
      <c r="DJ352" s="5"/>
      <c r="DK352" s="1444">
        <v>278</v>
      </c>
      <c r="DL352" s="1444">
        <v>1995</v>
      </c>
      <c r="DM352" s="1444">
        <v>0.82520879999999996</v>
      </c>
      <c r="DN352" s="1440">
        <f t="shared" si="98"/>
        <v>2.4756263999999999</v>
      </c>
    </row>
    <row r="353" spans="87:118">
      <c r="CI353" s="888">
        <v>616</v>
      </c>
      <c r="CJ353" s="4" t="s">
        <v>1360</v>
      </c>
      <c r="CL353" s="1826">
        <v>-7.147492563240867</v>
      </c>
      <c r="CN353" s="864"/>
      <c r="CO353" s="1103"/>
      <c r="CR353" s="1823">
        <v>0.82758293096078983</v>
      </c>
      <c r="CT353" s="864"/>
      <c r="CU353" s="1103"/>
      <c r="CV353" s="1099"/>
      <c r="CW353" s="1099"/>
      <c r="CX353" s="1823">
        <v>11.218999925889243</v>
      </c>
      <c r="CY353" s="1099"/>
      <c r="CZ353" s="864"/>
      <c r="DA353" s="1103"/>
      <c r="DB353" s="1099"/>
      <c r="DF353" s="3">
        <v>278</v>
      </c>
      <c r="DG353" s="4">
        <v>1996</v>
      </c>
      <c r="DH353" s="4">
        <v>-0.24651780000000001</v>
      </c>
      <c r="DI353" s="1172"/>
      <c r="DJ353" s="5"/>
      <c r="DK353" s="1444">
        <v>278</v>
      </c>
      <c r="DL353" s="1444">
        <v>1996</v>
      </c>
      <c r="DM353" s="1444">
        <v>4.9494000000000003E-2</v>
      </c>
      <c r="DN353" s="1440">
        <f t="shared" si="98"/>
        <v>0.148482</v>
      </c>
    </row>
    <row r="354" spans="87:118">
      <c r="CI354" s="888">
        <v>616</v>
      </c>
      <c r="CJ354" s="1091" t="s">
        <v>1361</v>
      </c>
      <c r="CL354" s="1826">
        <v>-7.9201932332209086</v>
      </c>
      <c r="CN354" s="1104"/>
      <c r="CO354" s="1105"/>
      <c r="CR354" s="1824">
        <v>-13.934064760964782</v>
      </c>
      <c r="CT354" s="1104"/>
      <c r="CU354" s="1105"/>
      <c r="CV354" s="1100"/>
      <c r="CW354" s="1100"/>
      <c r="CX354" s="1824">
        <v>-12.260715009936547</v>
      </c>
      <c r="CY354" s="1100"/>
      <c r="CZ354" s="1104"/>
      <c r="DA354" s="1105"/>
      <c r="DB354" s="1100"/>
      <c r="DF354" s="3">
        <v>278</v>
      </c>
      <c r="DG354" s="4">
        <v>1997</v>
      </c>
      <c r="DH354" s="4">
        <v>1.035903</v>
      </c>
      <c r="DI354" s="1172"/>
      <c r="DJ354" s="5"/>
      <c r="DK354" s="1444">
        <v>278</v>
      </c>
      <c r="DL354" s="1444">
        <v>1997</v>
      </c>
      <c r="DM354" s="1444">
        <v>1.2824199999999999</v>
      </c>
      <c r="DN354" s="1440">
        <f t="shared" si="98"/>
        <v>3.8472599999999995</v>
      </c>
    </row>
    <row r="355" spans="87:118">
      <c r="CI355" s="888">
        <v>223</v>
      </c>
      <c r="CJ355" s="4" t="s">
        <v>1362</v>
      </c>
      <c r="CL355" s="1826"/>
      <c r="CN355" s="1099">
        <v>-3.0950272930377807</v>
      </c>
      <c r="CO355" s="1106">
        <v>0.05</v>
      </c>
      <c r="CR355" s="1822"/>
      <c r="CT355" s="1102">
        <v>-1.3296674971073998</v>
      </c>
      <c r="CU355" s="1106">
        <v>0.27</v>
      </c>
      <c r="CV355" s="863"/>
      <c r="CW355" s="863"/>
      <c r="CX355" s="1822" t="e">
        <v>#N/A</v>
      </c>
      <c r="CY355" s="863"/>
      <c r="CZ355" s="1099">
        <v>1.8744661016873883</v>
      </c>
      <c r="DA355" s="1106">
        <v>0.93</v>
      </c>
      <c r="DB355" s="863"/>
      <c r="DF355" s="3">
        <v>278</v>
      </c>
      <c r="DG355" s="4">
        <v>1998</v>
      </c>
      <c r="DH355" s="4">
        <v>1.1447909999999999</v>
      </c>
      <c r="DI355" s="1172"/>
      <c r="DJ355" s="5"/>
      <c r="DK355" s="1444">
        <v>278</v>
      </c>
      <c r="DL355" s="1444">
        <v>1998</v>
      </c>
      <c r="DM355" s="1444">
        <v>0.1088891</v>
      </c>
      <c r="DN355" s="1440">
        <f t="shared" si="98"/>
        <v>0.32666729999999999</v>
      </c>
    </row>
    <row r="356" spans="87:118">
      <c r="CI356" s="888">
        <v>223</v>
      </c>
      <c r="CJ356" s="4"/>
      <c r="CL356" s="1826"/>
      <c r="CN356" s="1102"/>
      <c r="CO356" s="1103"/>
      <c r="CR356" s="1822"/>
      <c r="CT356" s="1102"/>
      <c r="CU356" s="1103"/>
      <c r="CV356" s="863"/>
      <c r="CW356" s="863"/>
      <c r="CX356" s="1822" t="e">
        <v>#N/A</v>
      </c>
      <c r="CY356" s="863"/>
      <c r="CZ356" s="1102"/>
      <c r="DA356" s="1103"/>
      <c r="DB356" s="863"/>
      <c r="DF356" s="3">
        <v>278</v>
      </c>
      <c r="DG356" s="4">
        <v>1999</v>
      </c>
      <c r="DH356" s="4">
        <v>0.54284220000000005</v>
      </c>
      <c r="DI356" s="1172"/>
      <c r="DJ356" s="5"/>
      <c r="DK356" s="1444">
        <v>278</v>
      </c>
      <c r="DL356" s="1444">
        <v>1999</v>
      </c>
      <c r="DM356" s="1444">
        <v>-0.60194919999999996</v>
      </c>
      <c r="DN356" s="1440">
        <f t="shared" si="98"/>
        <v>-1.8058475999999999</v>
      </c>
    </row>
    <row r="357" spans="87:118">
      <c r="CI357" s="888">
        <v>223</v>
      </c>
      <c r="CJ357" s="4"/>
      <c r="CL357" s="1826"/>
      <c r="CN357" s="1102"/>
      <c r="CO357" s="1103"/>
      <c r="CR357" s="1822"/>
      <c r="CT357" s="1102"/>
      <c r="CU357" s="1103"/>
      <c r="CV357" s="863"/>
      <c r="CW357" s="863"/>
      <c r="CX357" s="1822" t="e">
        <v>#N/A</v>
      </c>
      <c r="CY357" s="863"/>
      <c r="CZ357" s="1102"/>
      <c r="DA357" s="1103"/>
      <c r="DB357" s="863"/>
      <c r="DF357" s="3">
        <v>278</v>
      </c>
      <c r="DG357" s="4">
        <v>2000</v>
      </c>
      <c r="DH357" s="4">
        <v>-1.8482259999999999</v>
      </c>
      <c r="DI357" s="1172"/>
      <c r="DJ357" s="5"/>
      <c r="DK357" s="1444">
        <v>278</v>
      </c>
      <c r="DL357" s="1444">
        <v>2000</v>
      </c>
      <c r="DM357" s="1444">
        <v>-2.3910680000000002</v>
      </c>
      <c r="DN357" s="1440">
        <f t="shared" si="98"/>
        <v>-7.1732040000000001</v>
      </c>
    </row>
    <row r="358" spans="87:118">
      <c r="CI358" s="888">
        <v>223</v>
      </c>
      <c r="CJ358" s="4"/>
      <c r="CL358" s="1826"/>
      <c r="CN358" s="1102"/>
      <c r="CO358" s="1103"/>
      <c r="CR358" s="1825"/>
      <c r="CT358" s="1102"/>
      <c r="CU358" s="1103"/>
      <c r="CV358" s="1099"/>
      <c r="CW358" s="1099"/>
      <c r="CX358" s="1825" t="e">
        <v>#N/A</v>
      </c>
      <c r="CY358" s="1099"/>
      <c r="CZ358" s="1102"/>
      <c r="DA358" s="1103"/>
      <c r="DB358" s="1099"/>
      <c r="DF358" s="3">
        <v>278</v>
      </c>
      <c r="DG358" s="4">
        <v>2001</v>
      </c>
      <c r="DH358" s="4">
        <v>-3.7641879999999999</v>
      </c>
      <c r="DI358" s="1172"/>
      <c r="DJ358" s="5"/>
      <c r="DK358" s="1444">
        <v>278</v>
      </c>
      <c r="DL358" s="1444">
        <v>2001</v>
      </c>
      <c r="DM358" s="1444">
        <v>-1.915961</v>
      </c>
      <c r="DN358" s="1440">
        <f t="shared" si="98"/>
        <v>-5.7478829999999999</v>
      </c>
    </row>
    <row r="359" spans="87:118">
      <c r="CI359" s="888">
        <v>223</v>
      </c>
      <c r="CJ359" s="4" t="s">
        <v>2424</v>
      </c>
      <c r="CL359" s="1826">
        <v>0.98479638096123456</v>
      </c>
      <c r="CN359" s="1102"/>
      <c r="CO359" s="1103"/>
      <c r="CR359" s="1823">
        <v>-0.30398707540817616</v>
      </c>
      <c r="CT359" s="1102"/>
      <c r="CU359" s="1103"/>
      <c r="CV359" s="1099"/>
      <c r="CW359" s="1099"/>
      <c r="CX359" s="1823">
        <v>-2.8599140793107742</v>
      </c>
      <c r="CY359" s="1099"/>
      <c r="CZ359" s="1102"/>
      <c r="DA359" s="1103"/>
      <c r="DB359" s="1099"/>
      <c r="DF359" s="3">
        <v>278</v>
      </c>
      <c r="DG359" s="4">
        <v>2002</v>
      </c>
      <c r="DH359" s="4">
        <v>-4.3514189999999999</v>
      </c>
      <c r="DI359" s="1172"/>
      <c r="DJ359" s="5"/>
      <c r="DK359" s="1444">
        <v>278</v>
      </c>
      <c r="DL359" s="1444">
        <v>2002</v>
      </c>
      <c r="DM359" s="1444">
        <v>-0.76236199999999998</v>
      </c>
      <c r="DN359" s="1440">
        <f t="shared" si="98"/>
        <v>-2.287086</v>
      </c>
    </row>
    <row r="360" spans="87:118">
      <c r="CI360" s="888">
        <v>223</v>
      </c>
      <c r="CJ360" s="4" t="s">
        <v>2292</v>
      </c>
      <c r="CL360" s="1826">
        <v>-4.4518761189938587</v>
      </c>
      <c r="CN360" s="1102"/>
      <c r="CO360" s="1103"/>
      <c r="CR360" s="1823">
        <v>-4.5040585277016794</v>
      </c>
      <c r="CT360" s="1102"/>
      <c r="CU360" s="1103"/>
      <c r="CV360" s="1099"/>
      <c r="CW360" s="1099"/>
      <c r="CX360" s="1823">
        <v>2.3859959443265941</v>
      </c>
      <c r="CY360" s="1099"/>
      <c r="CZ360" s="1102"/>
      <c r="DA360" s="1103"/>
      <c r="DB360" s="1099"/>
      <c r="DF360" s="3">
        <v>278</v>
      </c>
      <c r="DG360" s="4">
        <v>2003</v>
      </c>
      <c r="DH360" s="4">
        <v>-4.1144489999999996</v>
      </c>
      <c r="DI360" s="1172"/>
      <c r="DJ360" s="5"/>
      <c r="DK360" s="1444">
        <v>278</v>
      </c>
      <c r="DL360" s="1444">
        <v>2003</v>
      </c>
      <c r="DM360" s="1444">
        <v>0.47393990000000003</v>
      </c>
      <c r="DN360" s="1440">
        <f t="shared" si="98"/>
        <v>1.4218197000000001</v>
      </c>
    </row>
    <row r="361" spans="87:118">
      <c r="CI361" s="888">
        <v>223</v>
      </c>
      <c r="CJ361" s="4" t="s">
        <v>1363</v>
      </c>
      <c r="CL361" s="1826">
        <v>-6.4206158408618244</v>
      </c>
      <c r="CN361" s="1102"/>
      <c r="CO361" s="1103"/>
      <c r="CR361" s="1823">
        <v>-4.9963854437011008</v>
      </c>
      <c r="CT361" s="1102"/>
      <c r="CU361" s="1103"/>
      <c r="CV361" s="1099"/>
      <c r="CW361" s="1099"/>
      <c r="CX361" s="1823">
        <v>2.8808334951824097</v>
      </c>
      <c r="CY361" s="1099"/>
      <c r="CZ361" s="1102"/>
      <c r="DA361" s="1103"/>
      <c r="DB361" s="1099"/>
      <c r="DF361" s="3">
        <v>278</v>
      </c>
      <c r="DG361" s="4">
        <v>2005</v>
      </c>
      <c r="DH361" s="4">
        <v>2.4934229999999999</v>
      </c>
      <c r="DI361" s="1172"/>
      <c r="DJ361" s="5"/>
      <c r="DK361" s="1444">
        <v>278</v>
      </c>
      <c r="DL361" s="1444">
        <v>2006</v>
      </c>
      <c r="DM361" s="1444">
        <v>1.2912030000000001</v>
      </c>
      <c r="DN361" s="1440">
        <f t="shared" si="98"/>
        <v>3.8736090000000001</v>
      </c>
    </row>
    <row r="362" spans="87:118">
      <c r="CI362" s="888">
        <v>223</v>
      </c>
      <c r="CJ362" s="4" t="s">
        <v>1364</v>
      </c>
      <c r="CL362" s="1826">
        <v>-3.9393913433602474</v>
      </c>
      <c r="CN362" s="1102"/>
      <c r="CO362" s="1103"/>
      <c r="CR362" s="1823">
        <v>-3.6720789728651297</v>
      </c>
      <c r="CT362" s="1102"/>
      <c r="CU362" s="1103"/>
      <c r="CV362" s="1099"/>
      <c r="CW362" s="1099"/>
      <c r="CX362" s="1823">
        <v>1.8744661016873883</v>
      </c>
      <c r="CY362" s="1099"/>
      <c r="CZ362" s="1102"/>
      <c r="DA362" s="1103"/>
      <c r="DB362" s="1099"/>
      <c r="DF362" s="3">
        <v>278</v>
      </c>
      <c r="DG362" s="4">
        <v>2006</v>
      </c>
      <c r="DH362" s="4">
        <v>3.1390250000000002</v>
      </c>
      <c r="DI362" s="1172"/>
      <c r="DJ362" s="5"/>
      <c r="DK362" s="1444">
        <v>278</v>
      </c>
      <c r="DL362" s="1444">
        <v>2007</v>
      </c>
      <c r="DM362" s="1444">
        <v>0.63408469999999995</v>
      </c>
      <c r="DN362" s="1440">
        <f t="shared" si="98"/>
        <v>1.9022540999999999</v>
      </c>
    </row>
    <row r="363" spans="87:118">
      <c r="CI363" s="888">
        <v>223</v>
      </c>
      <c r="CJ363" s="4" t="s">
        <v>1365</v>
      </c>
      <c r="CL363" s="1826">
        <v>-1.4060496469751897</v>
      </c>
      <c r="CN363" s="864"/>
      <c r="CO363" s="1103"/>
      <c r="CR363" s="1823">
        <v>-1.3296674971073998</v>
      </c>
      <c r="CT363" s="864"/>
      <c r="CU363" s="1103"/>
      <c r="CV363" s="1099"/>
      <c r="CW363" s="1099"/>
      <c r="CX363" s="1823">
        <v>1.546197458732383</v>
      </c>
      <c r="CY363" s="1099"/>
      <c r="CZ363" s="864"/>
      <c r="DA363" s="1103"/>
      <c r="DB363" s="1099"/>
      <c r="DF363" s="3">
        <v>278</v>
      </c>
      <c r="DG363" s="4">
        <v>2007</v>
      </c>
      <c r="DH363" s="4">
        <v>3.3465479999999999</v>
      </c>
      <c r="DI363" s="1172"/>
      <c r="DJ363" s="5"/>
      <c r="DK363" s="1444">
        <v>278</v>
      </c>
      <c r="DL363" s="1444">
        <v>2008</v>
      </c>
      <c r="DM363" s="1444">
        <v>-0.2353953</v>
      </c>
      <c r="DN363" s="1440">
        <f t="shared" si="98"/>
        <v>-0.70618590000000003</v>
      </c>
    </row>
    <row r="364" spans="87:118">
      <c r="CI364" s="888">
        <v>223</v>
      </c>
      <c r="CJ364" s="4" t="s">
        <v>1366</v>
      </c>
      <c r="CL364" s="1826">
        <v>-3.0950272930377807</v>
      </c>
      <c r="CN364" s="864"/>
      <c r="CO364" s="1103"/>
      <c r="CR364" s="1823">
        <v>-0.89277751680203021</v>
      </c>
      <c r="CT364" s="864"/>
      <c r="CU364" s="1103"/>
      <c r="CV364" s="1099"/>
      <c r="CW364" s="1099"/>
      <c r="CX364" s="1823">
        <v>8.3448326074545776E-2</v>
      </c>
      <c r="CY364" s="1099"/>
      <c r="CZ364" s="864"/>
      <c r="DA364" s="1103"/>
      <c r="DB364" s="1099"/>
      <c r="DF364" s="3">
        <v>278</v>
      </c>
      <c r="DG364" s="4">
        <v>2008</v>
      </c>
      <c r="DH364" s="4">
        <v>3.1111520000000001</v>
      </c>
      <c r="DI364" s="1172"/>
      <c r="DJ364" s="5"/>
      <c r="DK364" s="1444">
        <v>278</v>
      </c>
      <c r="DL364" s="1444">
        <v>2009</v>
      </c>
      <c r="DM364" s="1444">
        <v>-0.57003789999999999</v>
      </c>
      <c r="DN364" s="1440">
        <f t="shared" si="98"/>
        <v>-1.7101137</v>
      </c>
    </row>
    <row r="365" spans="87:118">
      <c r="CI365" s="888">
        <v>223</v>
      </c>
      <c r="CJ365" s="4" t="s">
        <v>1367</v>
      </c>
      <c r="CL365" s="1826">
        <v>-1.3649702028326582</v>
      </c>
      <c r="CN365" s="864"/>
      <c r="CO365" s="1103"/>
      <c r="CR365" s="1823">
        <v>-8.6862850658235846E-2</v>
      </c>
      <c r="CT365" s="864"/>
      <c r="CU365" s="1103"/>
      <c r="CV365" s="1099"/>
      <c r="CW365" s="1099"/>
      <c r="CX365" s="1823">
        <v>2.4310317367150622</v>
      </c>
      <c r="CY365" s="1099"/>
      <c r="CZ365" s="864"/>
      <c r="DA365" s="1103"/>
      <c r="DB365" s="1099"/>
      <c r="DF365" s="3">
        <v>278</v>
      </c>
      <c r="DG365" s="4">
        <v>2009</v>
      </c>
      <c r="DH365" s="4">
        <v>2.541115</v>
      </c>
      <c r="DI365" s="1172"/>
      <c r="DJ365" s="5"/>
      <c r="DK365" s="1444">
        <v>278</v>
      </c>
      <c r="DL365" s="1444">
        <v>2010</v>
      </c>
      <c r="DM365" s="1444">
        <v>-0.4064951</v>
      </c>
      <c r="DN365" s="1440">
        <f t="shared" si="98"/>
        <v>-1.2194853000000001</v>
      </c>
    </row>
    <row r="366" spans="87:118">
      <c r="CI366" s="888">
        <v>223</v>
      </c>
      <c r="CJ366" s="4" t="s">
        <v>1368</v>
      </c>
      <c r="CL366" s="1826">
        <v>5.3681472023441188</v>
      </c>
      <c r="CN366" s="864"/>
      <c r="CO366" s="1103"/>
      <c r="CR366" s="1823">
        <v>-0.92031169474564845</v>
      </c>
      <c r="CT366" s="864"/>
      <c r="CU366" s="1103"/>
      <c r="CV366" s="1099"/>
      <c r="CW366" s="1099"/>
      <c r="CX366" s="1823">
        <v>3.7535920303088464</v>
      </c>
      <c r="CY366" s="1099"/>
      <c r="CZ366" s="864"/>
      <c r="DA366" s="1103"/>
      <c r="DB366" s="1099"/>
      <c r="DF366" s="3">
        <v>278</v>
      </c>
      <c r="DG366" s="4">
        <v>2010</v>
      </c>
      <c r="DH366" s="4">
        <v>2.1346189999999998</v>
      </c>
      <c r="DI366" s="1172"/>
      <c r="DJ366" s="5"/>
      <c r="DK366" s="1444">
        <v>283</v>
      </c>
      <c r="DL366" s="1444">
        <v>1990</v>
      </c>
      <c r="DM366" s="1444">
        <v>1.5211840000000001</v>
      </c>
      <c r="DN366" s="1440">
        <f t="shared" si="98"/>
        <v>4.5635520000000005</v>
      </c>
    </row>
    <row r="367" spans="87:118">
      <c r="CI367" s="888">
        <v>223</v>
      </c>
      <c r="CJ367" s="1091" t="s">
        <v>1369</v>
      </c>
      <c r="CL367" s="1826">
        <v>-4.2946345696656305</v>
      </c>
      <c r="CN367" s="1104"/>
      <c r="CO367" s="1105"/>
      <c r="CR367" s="1824">
        <v>-1.4778685792252877</v>
      </c>
      <c r="CT367" s="1104"/>
      <c r="CU367" s="1105"/>
      <c r="CV367" s="1100"/>
      <c r="CW367" s="1100"/>
      <c r="CX367" s="1824">
        <v>1.1624528027623757</v>
      </c>
      <c r="CY367" s="1100"/>
      <c r="CZ367" s="1104"/>
      <c r="DA367" s="1105"/>
      <c r="DB367" s="1100"/>
      <c r="DF367" s="3">
        <v>283</v>
      </c>
      <c r="DG367" s="4">
        <v>1990</v>
      </c>
      <c r="DH367" s="4">
        <v>1.9996849999999999</v>
      </c>
      <c r="DI367" s="1172"/>
      <c r="DJ367" s="5"/>
      <c r="DK367" s="1444">
        <v>283</v>
      </c>
      <c r="DL367" s="1444">
        <v>1991</v>
      </c>
      <c r="DM367" s="1444">
        <v>1.3885179999999999</v>
      </c>
      <c r="DN367" s="1440">
        <f t="shared" si="98"/>
        <v>4.1655540000000002</v>
      </c>
    </row>
    <row r="368" spans="87:118">
      <c r="CI368" s="888">
        <v>516</v>
      </c>
      <c r="CJ368" s="4" t="s">
        <v>1370</v>
      </c>
      <c r="CL368" s="1826"/>
      <c r="CN368" s="1099">
        <v>-3.349980377617511</v>
      </c>
      <c r="CO368" s="1106">
        <v>0.04</v>
      </c>
      <c r="CR368" s="1822"/>
      <c r="CT368" s="1102">
        <v>-9.6191413816779949</v>
      </c>
      <c r="CU368" s="1106">
        <v>0</v>
      </c>
      <c r="CV368" s="863"/>
      <c r="CW368" s="863"/>
      <c r="CX368" s="1822" t="e">
        <v>#N/A</v>
      </c>
      <c r="CY368" s="863"/>
      <c r="CZ368" s="1099">
        <v>-1.5028667599550947</v>
      </c>
      <c r="DA368" s="1106">
        <v>0.12</v>
      </c>
      <c r="DB368" s="863"/>
      <c r="DF368" s="3">
        <v>283</v>
      </c>
      <c r="DG368" s="4">
        <v>1991</v>
      </c>
      <c r="DH368" s="4">
        <v>3.3882029999999999</v>
      </c>
      <c r="DI368" s="1172"/>
      <c r="DJ368" s="5"/>
      <c r="DK368" s="1444">
        <v>283</v>
      </c>
      <c r="DL368" s="1444">
        <v>1992</v>
      </c>
      <c r="DM368" s="1444">
        <v>-2.1372100000000002E-2</v>
      </c>
      <c r="DN368" s="1440">
        <f t="shared" si="98"/>
        <v>-6.4116300000000001E-2</v>
      </c>
    </row>
    <row r="369" spans="87:118">
      <c r="CI369" s="888">
        <v>516</v>
      </c>
      <c r="CJ369" s="4"/>
      <c r="CL369" s="1826"/>
      <c r="CN369" s="1102"/>
      <c r="CO369" s="1103"/>
      <c r="CR369" s="1822"/>
      <c r="CT369" s="1102"/>
      <c r="CU369" s="1103"/>
      <c r="CV369" s="863"/>
      <c r="CW369" s="863"/>
      <c r="CX369" s="1822" t="e">
        <v>#N/A</v>
      </c>
      <c r="CY369" s="863"/>
      <c r="CZ369" s="1102"/>
      <c r="DA369" s="1103"/>
      <c r="DB369" s="863"/>
      <c r="DF369" s="3">
        <v>283</v>
      </c>
      <c r="DG369" s="4">
        <v>1992</v>
      </c>
      <c r="DH369" s="4">
        <v>3.3668309999999999</v>
      </c>
      <c r="DI369" s="1172"/>
      <c r="DJ369" s="5"/>
      <c r="DK369" s="1444">
        <v>283</v>
      </c>
      <c r="DL369" s="1444">
        <v>1993</v>
      </c>
      <c r="DM369" s="1444">
        <v>-4.775137</v>
      </c>
      <c r="DN369" s="1440">
        <f t="shared" si="98"/>
        <v>-14.325410999999999</v>
      </c>
    </row>
    <row r="370" spans="87:118">
      <c r="CI370" s="888">
        <v>516</v>
      </c>
      <c r="CJ370" s="4"/>
      <c r="CL370" s="1826"/>
      <c r="CN370" s="1102"/>
      <c r="CO370" s="1103"/>
      <c r="CR370" s="1822"/>
      <c r="CT370" s="1102"/>
      <c r="CU370" s="1103"/>
      <c r="CV370" s="863"/>
      <c r="CW370" s="863"/>
      <c r="CX370" s="1822" t="e">
        <v>#N/A</v>
      </c>
      <c r="CY370" s="863"/>
      <c r="CZ370" s="1102"/>
      <c r="DA370" s="1103"/>
      <c r="DB370" s="863"/>
      <c r="DF370" s="3">
        <v>283</v>
      </c>
      <c r="DG370" s="4">
        <v>1993</v>
      </c>
      <c r="DH370" s="4">
        <v>-1.4083060000000001</v>
      </c>
      <c r="DI370" s="1172"/>
      <c r="DJ370" s="5"/>
      <c r="DK370" s="1444">
        <v>283</v>
      </c>
      <c r="DL370" s="1444">
        <v>1994</v>
      </c>
      <c r="DM370" s="1444">
        <v>4.1998410000000002</v>
      </c>
      <c r="DN370" s="1440">
        <f t="shared" si="98"/>
        <v>12.599523000000001</v>
      </c>
    </row>
    <row r="371" spans="87:118">
      <c r="CI371" s="888">
        <v>516</v>
      </c>
      <c r="CJ371" s="4"/>
      <c r="CL371" s="1826"/>
      <c r="CN371" s="1102"/>
      <c r="CO371" s="1103"/>
      <c r="CR371" s="1825"/>
      <c r="CT371" s="1102"/>
      <c r="CU371" s="1103"/>
      <c r="CV371" s="1099"/>
      <c r="CW371" s="1099"/>
      <c r="CX371" s="1825" t="e">
        <v>#N/A</v>
      </c>
      <c r="CY371" s="1099"/>
      <c r="CZ371" s="1102"/>
      <c r="DA371" s="1103"/>
      <c r="DB371" s="1099"/>
      <c r="DF371" s="3">
        <v>283</v>
      </c>
      <c r="DG371" s="4">
        <v>1994</v>
      </c>
      <c r="DH371" s="4">
        <v>2.7915359999999998</v>
      </c>
      <c r="DI371" s="1172"/>
      <c r="DJ371" s="5"/>
      <c r="DK371" s="1444">
        <v>283</v>
      </c>
      <c r="DL371" s="1444">
        <v>1995</v>
      </c>
      <c r="DM371" s="1444">
        <v>3.3539270000000001</v>
      </c>
      <c r="DN371" s="1440">
        <f t="shared" si="98"/>
        <v>10.061781</v>
      </c>
    </row>
    <row r="372" spans="87:118">
      <c r="CI372" s="888">
        <v>516</v>
      </c>
      <c r="CJ372" s="4" t="s">
        <v>2425</v>
      </c>
      <c r="CL372" s="1826">
        <v>-2.4887774059736159</v>
      </c>
      <c r="CN372" s="1102"/>
      <c r="CO372" s="1103"/>
      <c r="CR372" s="1823">
        <v>5.0069748525295097</v>
      </c>
      <c r="CT372" s="1102"/>
      <c r="CU372" s="1103"/>
      <c r="CV372" s="1099"/>
      <c r="CW372" s="1099"/>
      <c r="CX372" s="1823">
        <v>3.1781086258574938</v>
      </c>
      <c r="CY372" s="1099"/>
      <c r="CZ372" s="1102"/>
      <c r="DA372" s="1103"/>
      <c r="DB372" s="1099"/>
      <c r="DF372" s="3">
        <v>283</v>
      </c>
      <c r="DG372" s="4">
        <v>1995</v>
      </c>
      <c r="DH372" s="4">
        <v>6.1454630000000003</v>
      </c>
      <c r="DI372" s="1172"/>
      <c r="DJ372" s="5"/>
      <c r="DK372" s="1444">
        <v>283</v>
      </c>
      <c r="DL372" s="1444">
        <v>1996</v>
      </c>
      <c r="DM372" s="1444">
        <v>3.8303889999999998</v>
      </c>
      <c r="DN372" s="1440">
        <f t="shared" si="98"/>
        <v>11.491166999999999</v>
      </c>
    </row>
    <row r="373" spans="87:118">
      <c r="CI373" s="888">
        <v>516</v>
      </c>
      <c r="CJ373" s="4" t="s">
        <v>2293</v>
      </c>
      <c r="CL373" s="1826">
        <v>-5.2208019416531606</v>
      </c>
      <c r="CN373" s="1102"/>
      <c r="CO373" s="1103"/>
      <c r="CR373" s="1823">
        <v>-15.06637724223587</v>
      </c>
      <c r="CT373" s="1102"/>
      <c r="CU373" s="1103"/>
      <c r="CV373" s="1099"/>
      <c r="CW373" s="1099"/>
      <c r="CX373" s="1823">
        <v>-17.354136238900971</v>
      </c>
      <c r="CY373" s="1099"/>
      <c r="CZ373" s="1102"/>
      <c r="DA373" s="1103"/>
      <c r="DB373" s="1099"/>
      <c r="DF373" s="3">
        <v>283</v>
      </c>
      <c r="DG373" s="4">
        <v>1996</v>
      </c>
      <c r="DH373" s="4">
        <v>9.9758519999999997</v>
      </c>
      <c r="DI373" s="1172"/>
      <c r="DJ373" s="5"/>
      <c r="DK373" s="1444">
        <v>283</v>
      </c>
      <c r="DL373" s="1444">
        <v>1997</v>
      </c>
      <c r="DM373" s="1444">
        <v>-3.7774619999999999</v>
      </c>
      <c r="DN373" s="1440">
        <f t="shared" si="98"/>
        <v>-11.332386</v>
      </c>
    </row>
    <row r="374" spans="87:118">
      <c r="CI374" s="888">
        <v>516</v>
      </c>
      <c r="CJ374" s="4" t="s">
        <v>1371</v>
      </c>
      <c r="CL374" s="1826">
        <v>-3.4196308813034975</v>
      </c>
      <c r="CN374" s="1102"/>
      <c r="CO374" s="1103"/>
      <c r="CR374" s="1823">
        <v>-31.067047725216508</v>
      </c>
      <c r="CT374" s="1102"/>
      <c r="CU374" s="1103"/>
      <c r="CV374" s="1099"/>
      <c r="CW374" s="1099"/>
      <c r="CX374" s="1823">
        <v>-14.613008979331854</v>
      </c>
      <c r="CY374" s="1099"/>
      <c r="CZ374" s="1102"/>
      <c r="DA374" s="1103"/>
      <c r="DB374" s="1099"/>
      <c r="DF374" s="3">
        <v>283</v>
      </c>
      <c r="DG374" s="4">
        <v>1997</v>
      </c>
      <c r="DH374" s="4">
        <v>6.1983899999999998</v>
      </c>
      <c r="DI374" s="1172"/>
      <c r="DJ374" s="5"/>
      <c r="DK374" s="1444">
        <v>283</v>
      </c>
      <c r="DL374" s="1444">
        <v>1998</v>
      </c>
      <c r="DM374" s="1444">
        <v>-2.9233579999999999</v>
      </c>
      <c r="DN374" s="1440">
        <f t="shared" si="98"/>
        <v>-8.7700739999999993</v>
      </c>
    </row>
    <row r="375" spans="87:118">
      <c r="CI375" s="888">
        <v>516</v>
      </c>
      <c r="CJ375" s="4" t="s">
        <v>1372</v>
      </c>
      <c r="CL375" s="1826">
        <v>-8.3459755975312735</v>
      </c>
      <c r="CN375" s="1102"/>
      <c r="CO375" s="1103"/>
      <c r="CR375" s="1823">
        <v>2.7073097415463474</v>
      </c>
      <c r="CT375" s="1102"/>
      <c r="CU375" s="1103"/>
      <c r="CV375" s="1099"/>
      <c r="CW375" s="1099"/>
      <c r="CX375" s="1823">
        <v>-1.8641839750614768</v>
      </c>
      <c r="CY375" s="1099"/>
      <c r="CZ375" s="1102"/>
      <c r="DA375" s="1103"/>
      <c r="DB375" s="1099"/>
      <c r="DF375" s="3">
        <v>283</v>
      </c>
      <c r="DG375" s="4">
        <v>1998</v>
      </c>
      <c r="DH375" s="4">
        <v>3.2750309999999998</v>
      </c>
      <c r="DI375" s="1172"/>
      <c r="DJ375" s="5"/>
      <c r="DK375" s="1444">
        <v>283</v>
      </c>
      <c r="DL375" s="1444">
        <v>1999</v>
      </c>
      <c r="DM375" s="1444">
        <v>-0.95892770000000005</v>
      </c>
      <c r="DN375" s="1440">
        <f t="shared" si="98"/>
        <v>-2.8767830999999999</v>
      </c>
    </row>
    <row r="376" spans="87:118">
      <c r="CI376" s="888">
        <v>516</v>
      </c>
      <c r="CJ376" s="4" t="s">
        <v>1373</v>
      </c>
      <c r="CL376" s="1826">
        <v>-3.349980377617511</v>
      </c>
      <c r="CN376" s="864"/>
      <c r="CO376" s="1103"/>
      <c r="CR376" s="1823">
        <v>-18.747189193827399</v>
      </c>
      <c r="CT376" s="864"/>
      <c r="CU376" s="1103"/>
      <c r="CV376" s="1099"/>
      <c r="CW376" s="1099"/>
      <c r="CX376" s="1823">
        <v>-1.3921734039005107</v>
      </c>
      <c r="CY376" s="1099"/>
      <c r="CZ376" s="864"/>
      <c r="DA376" s="1103"/>
      <c r="DB376" s="1099"/>
      <c r="DF376" s="3">
        <v>283</v>
      </c>
      <c r="DG376" s="4">
        <v>1999</v>
      </c>
      <c r="DH376" s="4">
        <v>2.316103</v>
      </c>
      <c r="DI376" s="1172"/>
      <c r="DJ376" s="5"/>
      <c r="DK376" s="1444">
        <v>283</v>
      </c>
      <c r="DL376" s="1444">
        <v>2000</v>
      </c>
      <c r="DM376" s="1444">
        <v>-6.9440600000000005E-2</v>
      </c>
      <c r="DN376" s="1440">
        <f t="shared" si="98"/>
        <v>-0.2083218</v>
      </c>
    </row>
    <row r="377" spans="87:118">
      <c r="CI377" s="888">
        <v>516</v>
      </c>
      <c r="CJ377" s="4" t="s">
        <v>1374</v>
      </c>
      <c r="CL377" s="1826">
        <v>-1.6865546302796282</v>
      </c>
      <c r="CN377" s="864"/>
      <c r="CO377" s="1103"/>
      <c r="CR377" s="1823">
        <v>-4.1719055211201201</v>
      </c>
      <c r="CT377" s="864"/>
      <c r="CU377" s="1103"/>
      <c r="CV377" s="1099"/>
      <c r="CW377" s="1099"/>
      <c r="CX377" s="1823">
        <v>-1.5028667599550947</v>
      </c>
      <c r="CY377" s="1099"/>
      <c r="CZ377" s="864"/>
      <c r="DA377" s="1103"/>
      <c r="DB377" s="1099"/>
      <c r="DF377" s="3">
        <v>283</v>
      </c>
      <c r="DG377" s="4">
        <v>2000</v>
      </c>
      <c r="DH377" s="4">
        <v>2.2466629999999999</v>
      </c>
      <c r="DI377" s="1172"/>
      <c r="DJ377" s="5"/>
      <c r="DK377" s="1444">
        <v>283</v>
      </c>
      <c r="DL377" s="1444">
        <v>2001</v>
      </c>
      <c r="DM377" s="1444">
        <v>0.78027170000000001</v>
      </c>
      <c r="DN377" s="1440">
        <f t="shared" si="98"/>
        <v>2.3408150999999999</v>
      </c>
    </row>
    <row r="378" spans="87:118">
      <c r="CI378" s="888">
        <v>516</v>
      </c>
      <c r="CJ378" s="4" t="s">
        <v>1375</v>
      </c>
      <c r="CL378" s="1826">
        <v>1.2100540885243358</v>
      </c>
      <c r="CN378" s="864"/>
      <c r="CO378" s="1103"/>
      <c r="CR378" s="1823" t="s">
        <v>1218</v>
      </c>
      <c r="CT378" s="864"/>
      <c r="CU378" s="1103"/>
      <c r="CV378" s="1099"/>
      <c r="CW378" s="1099"/>
      <c r="CX378" s="1823">
        <v>14.923810869953019</v>
      </c>
      <c r="CY378" s="1099"/>
      <c r="CZ378" s="864"/>
      <c r="DA378" s="1103"/>
      <c r="DB378" s="1099"/>
      <c r="DF378" s="3">
        <v>283</v>
      </c>
      <c r="DG378" s="4">
        <v>2001</v>
      </c>
      <c r="DH378" s="4">
        <v>3.0269349999999999</v>
      </c>
      <c r="DI378" s="1172"/>
      <c r="DJ378" s="5"/>
      <c r="DK378" s="1444">
        <v>283</v>
      </c>
      <c r="DL378" s="1444">
        <v>2002</v>
      </c>
      <c r="DM378" s="1444">
        <v>0.64963499999999996</v>
      </c>
      <c r="DN378" s="1440">
        <f t="shared" si="98"/>
        <v>1.9489049999999999</v>
      </c>
    </row>
    <row r="379" spans="87:118">
      <c r="CI379" s="888">
        <v>516</v>
      </c>
      <c r="CJ379" s="4" t="s">
        <v>1376</v>
      </c>
      <c r="CL379" s="1826">
        <v>2.0032351909034221</v>
      </c>
      <c r="CN379" s="864"/>
      <c r="CO379" s="1103"/>
      <c r="CR379" s="1823" t="s">
        <v>1218</v>
      </c>
      <c r="CT379" s="864"/>
      <c r="CU379" s="1103"/>
      <c r="CV379" s="1099"/>
      <c r="CW379" s="1099"/>
      <c r="CX379" s="1823">
        <v>0.16592099226649637</v>
      </c>
      <c r="CY379" s="1099"/>
      <c r="CZ379" s="864"/>
      <c r="DA379" s="1103"/>
      <c r="DB379" s="1099"/>
      <c r="DF379" s="3">
        <v>283</v>
      </c>
      <c r="DG379" s="4">
        <v>2002</v>
      </c>
      <c r="DH379" s="4">
        <v>3.6765699999999999</v>
      </c>
      <c r="DI379" s="1172"/>
      <c r="DJ379" s="5"/>
      <c r="DK379" s="1444">
        <v>283</v>
      </c>
      <c r="DL379" s="1444">
        <v>2003</v>
      </c>
      <c r="DM379" s="1444">
        <v>-0.16309670000000001</v>
      </c>
      <c r="DN379" s="1440">
        <f t="shared" si="98"/>
        <v>-0.48929010000000006</v>
      </c>
    </row>
    <row r="380" spans="87:118">
      <c r="CI380" s="888">
        <v>516</v>
      </c>
      <c r="CJ380" s="1091" t="s">
        <v>1377</v>
      </c>
      <c r="CL380" s="1826">
        <v>-4.5809151692804715</v>
      </c>
      <c r="CN380" s="1104"/>
      <c r="CO380" s="1105"/>
      <c r="CR380" s="1824" t="s">
        <v>1218</v>
      </c>
      <c r="CT380" s="1104"/>
      <c r="CU380" s="1105"/>
      <c r="CV380" s="1100"/>
      <c r="CW380" s="1100"/>
      <c r="CX380" s="1824">
        <v>-19.501080423161614</v>
      </c>
      <c r="CY380" s="1100"/>
      <c r="CZ380" s="1104"/>
      <c r="DA380" s="1105"/>
      <c r="DB380" s="1100"/>
      <c r="DF380" s="3">
        <v>283</v>
      </c>
      <c r="DG380" s="4">
        <v>2003</v>
      </c>
      <c r="DH380" s="4">
        <v>3.5134729999999998</v>
      </c>
      <c r="DI380" s="1172"/>
      <c r="DJ380" s="5"/>
      <c r="DK380" s="1444">
        <v>283</v>
      </c>
      <c r="DL380" s="1444">
        <v>2004</v>
      </c>
      <c r="DM380" s="1444">
        <v>-0.2184912</v>
      </c>
      <c r="DN380" s="1440">
        <f t="shared" si="98"/>
        <v>-0.65547359999999999</v>
      </c>
    </row>
    <row r="381" spans="87:118">
      <c r="CI381" s="888">
        <v>918</v>
      </c>
      <c r="CJ381" s="4" t="s">
        <v>1378</v>
      </c>
      <c r="CL381" s="1826"/>
      <c r="CN381" s="1099">
        <v>-0.15907452414329315</v>
      </c>
      <c r="CO381" s="1106">
        <v>0.6</v>
      </c>
      <c r="CR381" s="1822"/>
      <c r="CT381" s="1102">
        <v>-1.0295382926737429</v>
      </c>
      <c r="CU381" s="1106">
        <v>0.33</v>
      </c>
      <c r="CV381" s="863"/>
      <c r="CW381" s="863"/>
      <c r="CX381" s="1822" t="e">
        <v>#N/A</v>
      </c>
      <c r="CY381" s="863"/>
      <c r="CZ381" s="1099">
        <v>-3.0103250102619938E-2</v>
      </c>
      <c r="DA381" s="1106">
        <v>0.68</v>
      </c>
      <c r="DB381" s="863"/>
      <c r="DF381" s="3">
        <v>283</v>
      </c>
      <c r="DG381" s="4">
        <v>2004</v>
      </c>
      <c r="DH381" s="4">
        <v>3.2949820000000001</v>
      </c>
      <c r="DI381" s="1172"/>
      <c r="DJ381" s="5"/>
      <c r="DK381" s="1444">
        <v>283</v>
      </c>
      <c r="DL381" s="1444">
        <v>2005</v>
      </c>
      <c r="DM381" s="1444">
        <v>0.62604059999999995</v>
      </c>
      <c r="DN381" s="1440">
        <f t="shared" si="98"/>
        <v>1.8781217999999997</v>
      </c>
    </row>
    <row r="382" spans="87:118">
      <c r="CI382" s="888">
        <v>918</v>
      </c>
      <c r="CJ382" s="4"/>
      <c r="CL382" s="1826"/>
      <c r="CN382" s="1102"/>
      <c r="CO382" s="1103"/>
      <c r="CR382" s="1822"/>
      <c r="CT382" s="1102"/>
      <c r="CU382" s="1103"/>
      <c r="CV382" s="863"/>
      <c r="CW382" s="863"/>
      <c r="CX382" s="1822" t="e">
        <v>#N/A</v>
      </c>
      <c r="CY382" s="863"/>
      <c r="CZ382" s="1102"/>
      <c r="DA382" s="1103"/>
      <c r="DB382" s="863"/>
      <c r="DF382" s="3">
        <v>283</v>
      </c>
      <c r="DG382" s="4">
        <v>2005</v>
      </c>
      <c r="DH382" s="4">
        <v>3.9210219999999998</v>
      </c>
      <c r="DI382" s="1172"/>
      <c r="DJ382" s="5"/>
      <c r="DK382" s="1444">
        <v>283</v>
      </c>
      <c r="DL382" s="1444">
        <v>2006</v>
      </c>
      <c r="DM382" s="1444">
        <v>1.5982890000000001</v>
      </c>
      <c r="DN382" s="1440">
        <f t="shared" si="98"/>
        <v>4.794867</v>
      </c>
    </row>
    <row r="383" spans="87:118">
      <c r="CI383" s="888">
        <v>918</v>
      </c>
      <c r="CJ383" s="4"/>
      <c r="CL383" s="1826"/>
      <c r="CN383" s="1102"/>
      <c r="CO383" s="1103"/>
      <c r="CR383" s="1822"/>
      <c r="CT383" s="1102"/>
      <c r="CU383" s="1103"/>
      <c r="CV383" s="863"/>
      <c r="CW383" s="863"/>
      <c r="CX383" s="1822" t="e">
        <v>#N/A</v>
      </c>
      <c r="CY383" s="863"/>
      <c r="CZ383" s="1102"/>
      <c r="DA383" s="1103"/>
      <c r="DB383" s="863"/>
      <c r="DF383" s="3">
        <v>283</v>
      </c>
      <c r="DG383" s="4">
        <v>2006</v>
      </c>
      <c r="DH383" s="4">
        <v>5.5193110000000001</v>
      </c>
      <c r="DI383" s="1172"/>
      <c r="DJ383" s="5"/>
      <c r="DK383" s="1444">
        <v>298</v>
      </c>
      <c r="DL383" s="1444">
        <v>1990</v>
      </c>
      <c r="DM383" s="1444">
        <v>1.265231</v>
      </c>
      <c r="DN383" s="1440">
        <f t="shared" si="98"/>
        <v>3.795693</v>
      </c>
    </row>
    <row r="384" spans="87:118">
      <c r="CI384" s="888">
        <v>918</v>
      </c>
      <c r="CJ384" s="4"/>
      <c r="CL384" s="1826"/>
      <c r="CN384" s="1102"/>
      <c r="CO384" s="1103"/>
      <c r="CR384" s="1825"/>
      <c r="CT384" s="1102"/>
      <c r="CU384" s="1103"/>
      <c r="CV384" s="1099"/>
      <c r="CW384" s="1099"/>
      <c r="CX384" s="1825" t="e">
        <v>#N/A</v>
      </c>
      <c r="CY384" s="1099"/>
      <c r="CZ384" s="1102"/>
      <c r="DA384" s="1103"/>
      <c r="DB384" s="1099"/>
      <c r="DF384" s="3">
        <v>298</v>
      </c>
      <c r="DG384" s="4">
        <v>1990</v>
      </c>
      <c r="DH384" s="4">
        <v>-0.55939799999999995</v>
      </c>
      <c r="DI384" s="1172"/>
      <c r="DJ384" s="5"/>
      <c r="DK384" s="1444">
        <v>298</v>
      </c>
      <c r="DL384" s="1444">
        <v>2002</v>
      </c>
      <c r="DM384" s="1444">
        <v>1.383651</v>
      </c>
      <c r="DN384" s="1440">
        <f t="shared" si="98"/>
        <v>4.1509529999999994</v>
      </c>
    </row>
    <row r="385" spans="87:118">
      <c r="CI385" s="888">
        <v>918</v>
      </c>
      <c r="CJ385" s="4" t="s">
        <v>2426</v>
      </c>
      <c r="CL385" s="1826">
        <v>1.2615372148926332</v>
      </c>
      <c r="CN385" s="1102"/>
      <c r="CO385" s="1103"/>
      <c r="CR385" s="1823">
        <v>2.1192110379460631</v>
      </c>
      <c r="CT385" s="1102"/>
      <c r="CU385" s="1103"/>
      <c r="CV385" s="1099"/>
      <c r="CW385" s="1099"/>
      <c r="CX385" s="1823">
        <v>-3.0103250102619938E-2</v>
      </c>
      <c r="CY385" s="1099"/>
      <c r="CZ385" s="1102"/>
      <c r="DA385" s="1103"/>
      <c r="DB385" s="1099"/>
      <c r="DF385" s="3">
        <v>298</v>
      </c>
      <c r="DG385" s="4">
        <v>2002</v>
      </c>
      <c r="DH385" s="4">
        <v>-0.1248672</v>
      </c>
      <c r="DI385" s="1172"/>
      <c r="DJ385" s="5"/>
      <c r="DK385" s="1444">
        <v>298</v>
      </c>
      <c r="DL385" s="1444">
        <v>2003</v>
      </c>
      <c r="DM385" s="1444">
        <v>2.1964730000000001</v>
      </c>
      <c r="DN385" s="1440">
        <f t="shared" si="98"/>
        <v>6.5894190000000004</v>
      </c>
    </row>
    <row r="386" spans="87:118">
      <c r="CI386" s="888">
        <v>918</v>
      </c>
      <c r="CJ386" s="4" t="s">
        <v>2294</v>
      </c>
      <c r="CL386" s="1826">
        <v>2.4411277881999602</v>
      </c>
      <c r="CN386" s="1102"/>
      <c r="CO386" s="1103"/>
      <c r="CR386" s="1823">
        <v>3.6043958442519628</v>
      </c>
      <c r="CT386" s="1102"/>
      <c r="CU386" s="1103"/>
      <c r="CV386" s="1099"/>
      <c r="CW386" s="1099"/>
      <c r="CX386" s="1823">
        <v>1.6205563022255824</v>
      </c>
      <c r="CY386" s="1099"/>
      <c r="CZ386" s="1102"/>
      <c r="DA386" s="1103"/>
      <c r="DB386" s="1099"/>
      <c r="DF386" s="3">
        <v>298</v>
      </c>
      <c r="DG386" s="4">
        <v>2003</v>
      </c>
      <c r="DH386" s="4">
        <v>2.0716060000000001</v>
      </c>
      <c r="DI386" s="1172"/>
      <c r="DJ386" s="5"/>
      <c r="DK386" s="1444">
        <v>298</v>
      </c>
      <c r="DL386" s="1444">
        <v>2004</v>
      </c>
      <c r="DM386" s="1444">
        <v>1.9249959999999999</v>
      </c>
      <c r="DN386" s="1440">
        <f t="shared" si="98"/>
        <v>5.7749879999999996</v>
      </c>
    </row>
    <row r="387" spans="87:118">
      <c r="CI387" s="888">
        <v>918</v>
      </c>
      <c r="CJ387" s="4" t="s">
        <v>1379</v>
      </c>
      <c r="CL387" s="1826">
        <v>1.1174413489034065</v>
      </c>
      <c r="CN387" s="1102"/>
      <c r="CO387" s="1103"/>
      <c r="CR387" s="1823">
        <v>-1.3190692546828306</v>
      </c>
      <c r="CT387" s="1102"/>
      <c r="CU387" s="1103"/>
      <c r="CV387" s="1099"/>
      <c r="CW387" s="1099"/>
      <c r="CX387" s="1823">
        <v>1.272353761710193</v>
      </c>
      <c r="CY387" s="1099"/>
      <c r="CZ387" s="1102"/>
      <c r="DA387" s="1103"/>
      <c r="DB387" s="1099"/>
      <c r="DF387" s="3">
        <v>298</v>
      </c>
      <c r="DG387" s="4">
        <v>2004</v>
      </c>
      <c r="DH387" s="4">
        <v>3.9966020000000002</v>
      </c>
      <c r="DI387" s="1172"/>
      <c r="DJ387" s="5"/>
      <c r="DK387" s="1444">
        <v>298</v>
      </c>
      <c r="DL387" s="1444">
        <v>2005</v>
      </c>
      <c r="DM387" s="1444">
        <v>1.310109</v>
      </c>
      <c r="DN387" s="1440">
        <f t="shared" si="98"/>
        <v>3.9303270000000001</v>
      </c>
    </row>
    <row r="388" spans="87:118">
      <c r="CI388" s="888">
        <v>918</v>
      </c>
      <c r="CJ388" s="4" t="s">
        <v>1380</v>
      </c>
      <c r="CL388" s="1826">
        <v>-0.75114642881625593</v>
      </c>
      <c r="CN388" s="1102"/>
      <c r="CO388" s="1103"/>
      <c r="CR388" s="1823">
        <v>-3.2593108482830582</v>
      </c>
      <c r="CT388" s="1102"/>
      <c r="CU388" s="1103"/>
      <c r="CV388" s="1099"/>
      <c r="CW388" s="1099"/>
      <c r="CX388" s="1823">
        <v>-1.4621599684041138</v>
      </c>
      <c r="CY388" s="1099"/>
      <c r="CZ388" s="1102"/>
      <c r="DA388" s="1103"/>
      <c r="DB388" s="1099"/>
      <c r="DF388" s="3">
        <v>298</v>
      </c>
      <c r="DG388" s="4">
        <v>2005</v>
      </c>
      <c r="DH388" s="4">
        <v>5.306711</v>
      </c>
      <c r="DI388" s="1172"/>
      <c r="DJ388" s="5"/>
      <c r="DK388" s="1444">
        <v>298</v>
      </c>
      <c r="DL388" s="1444">
        <v>2006</v>
      </c>
      <c r="DM388" s="1444">
        <v>-3.1788200000000003E-2</v>
      </c>
      <c r="DN388" s="1440">
        <f t="shared" ref="DN388:DN451" si="99">DM388*3</f>
        <v>-9.5364600000000008E-2</v>
      </c>
    </row>
    <row r="389" spans="87:118">
      <c r="CI389" s="888">
        <v>918</v>
      </c>
      <c r="CJ389" s="4" t="s">
        <v>1381</v>
      </c>
      <c r="CL389" s="1826">
        <v>-0.43413761015970342</v>
      </c>
      <c r="CN389" s="864"/>
      <c r="CO389" s="1103"/>
      <c r="CR389" s="1823">
        <v>-0.51417963968718505</v>
      </c>
      <c r="CT389" s="864"/>
      <c r="CU389" s="1103"/>
      <c r="CV389" s="1099"/>
      <c r="CW389" s="1099"/>
      <c r="CX389" s="1823">
        <v>-3.0968347327352124</v>
      </c>
      <c r="CY389" s="1099"/>
      <c r="CZ389" s="864"/>
      <c r="DA389" s="1103"/>
      <c r="DB389" s="1099"/>
      <c r="DF389" s="3">
        <v>298</v>
      </c>
      <c r="DG389" s="4">
        <v>2006</v>
      </c>
      <c r="DH389" s="4">
        <v>5.2749220000000001</v>
      </c>
      <c r="DI389" s="1172"/>
      <c r="DJ389" s="5"/>
      <c r="DK389" s="1444">
        <v>298</v>
      </c>
      <c r="DL389" s="1444">
        <v>2007</v>
      </c>
      <c r="DM389" s="1444">
        <v>-0.70553160000000004</v>
      </c>
      <c r="DN389" s="1440">
        <f t="shared" si="99"/>
        <v>-2.1165948000000001</v>
      </c>
    </row>
    <row r="390" spans="87:118">
      <c r="CI390" s="888">
        <v>918</v>
      </c>
      <c r="CJ390" s="4" t="s">
        <v>1382</v>
      </c>
      <c r="CL390" s="1826">
        <v>-2.9136026388117453</v>
      </c>
      <c r="CN390" s="864"/>
      <c r="CO390" s="1103"/>
      <c r="CR390" s="1823">
        <v>0.70094419542477937</v>
      </c>
      <c r="CT390" s="864"/>
      <c r="CU390" s="1103"/>
      <c r="CV390" s="1099"/>
      <c r="CW390" s="1099"/>
      <c r="CX390" s="1823">
        <v>-0.27484029667013443</v>
      </c>
      <c r="CY390" s="1099"/>
      <c r="CZ390" s="864"/>
      <c r="DA390" s="1103"/>
      <c r="DB390" s="1099"/>
      <c r="DF390" s="3">
        <v>298</v>
      </c>
      <c r="DG390" s="4">
        <v>2007</v>
      </c>
      <c r="DH390" s="4">
        <v>4.5693910000000004</v>
      </c>
      <c r="DI390" s="1172"/>
      <c r="DJ390" s="5"/>
      <c r="DK390" s="1444">
        <v>298</v>
      </c>
      <c r="DL390" s="1444">
        <v>2008</v>
      </c>
      <c r="DM390" s="1444">
        <v>-1.84256</v>
      </c>
      <c r="DN390" s="1440">
        <f t="shared" si="99"/>
        <v>-5.5276800000000001</v>
      </c>
    </row>
    <row r="391" spans="87:118">
      <c r="CI391" s="888">
        <v>918</v>
      </c>
      <c r="CJ391" s="4" t="s">
        <v>1383</v>
      </c>
      <c r="CL391" s="1826">
        <v>-0.15907452414329315</v>
      </c>
      <c r="CN391" s="864"/>
      <c r="CO391" s="1103"/>
      <c r="CR391" s="1823">
        <v>-1.0295382926737429</v>
      </c>
      <c r="CT391" s="864"/>
      <c r="CU391" s="1103"/>
      <c r="CV391" s="1099"/>
      <c r="CW391" s="1099"/>
      <c r="CX391" s="1823">
        <v>3.3501998698572253</v>
      </c>
      <c r="CY391" s="1099"/>
      <c r="CZ391" s="864"/>
      <c r="DA391" s="1103"/>
      <c r="DB391" s="1099"/>
      <c r="DF391" s="3">
        <v>298</v>
      </c>
      <c r="DG391" s="4">
        <v>2008</v>
      </c>
      <c r="DH391" s="4">
        <v>2.7268309999999998</v>
      </c>
      <c r="DI391" s="1172"/>
      <c r="DJ391" s="5"/>
      <c r="DK391" s="1444">
        <v>298</v>
      </c>
      <c r="DL391" s="1444">
        <v>2009</v>
      </c>
      <c r="DM391" s="1444">
        <v>-1.2911710000000001</v>
      </c>
      <c r="DN391" s="1440">
        <f t="shared" si="99"/>
        <v>-3.873513</v>
      </c>
    </row>
    <row r="392" spans="87:118">
      <c r="CI392" s="888">
        <v>918</v>
      </c>
      <c r="CJ392" s="4" t="s">
        <v>1384</v>
      </c>
      <c r="CL392" s="1826">
        <v>1.3927564657219693</v>
      </c>
      <c r="CN392" s="864"/>
      <c r="CO392" s="1103"/>
      <c r="CR392" s="1823">
        <v>-3.0088164780299063</v>
      </c>
      <c r="CT392" s="864"/>
      <c r="CU392" s="1103"/>
      <c r="CV392" s="1099"/>
      <c r="CW392" s="1099"/>
      <c r="CX392" s="1823">
        <v>1.3650247550307122</v>
      </c>
      <c r="CY392" s="1099"/>
      <c r="CZ392" s="864"/>
      <c r="DA392" s="1103"/>
      <c r="DB392" s="1099"/>
      <c r="DF392" s="3">
        <v>298</v>
      </c>
      <c r="DG392" s="4">
        <v>2009</v>
      </c>
      <c r="DH392" s="4">
        <v>1.4356599999999999</v>
      </c>
      <c r="DI392" s="1172"/>
      <c r="DJ392" s="5"/>
      <c r="DK392" s="1444">
        <v>298</v>
      </c>
      <c r="DL392" s="1444">
        <v>2010</v>
      </c>
      <c r="DM392" s="1444">
        <v>-0.85833459999999995</v>
      </c>
      <c r="DN392" s="1440">
        <f t="shared" si="99"/>
        <v>-2.5750037999999997</v>
      </c>
    </row>
    <row r="393" spans="87:118">
      <c r="CI393" s="888">
        <v>918</v>
      </c>
      <c r="CJ393" s="1091" t="s">
        <v>1385</v>
      </c>
      <c r="CL393" s="1826">
        <v>-10.276404598619706</v>
      </c>
      <c r="CN393" s="1104"/>
      <c r="CO393" s="1105"/>
      <c r="CR393" s="1824">
        <v>-4.2605546755857109</v>
      </c>
      <c r="CT393" s="1104"/>
      <c r="CU393" s="1105"/>
      <c r="CV393" s="1100"/>
      <c r="CW393" s="1100"/>
      <c r="CX393" s="1824">
        <v>-3.3924441404509453</v>
      </c>
      <c r="CY393" s="1100"/>
      <c r="CZ393" s="1104"/>
      <c r="DA393" s="1105"/>
      <c r="DB393" s="1100"/>
      <c r="DF393" s="3">
        <v>298</v>
      </c>
      <c r="DG393" s="4">
        <v>2010</v>
      </c>
      <c r="DH393" s="4">
        <v>0.5773258</v>
      </c>
      <c r="DI393" s="1172"/>
      <c r="DJ393" s="5"/>
      <c r="DK393" s="1444">
        <v>299</v>
      </c>
      <c r="DL393" s="1444">
        <v>1990</v>
      </c>
      <c r="DM393" s="1444">
        <v>2.6303139999999998</v>
      </c>
      <c r="DN393" s="1440">
        <f t="shared" si="99"/>
        <v>7.890941999999999</v>
      </c>
    </row>
    <row r="394" spans="87:118">
      <c r="CI394" s="888">
        <v>156</v>
      </c>
      <c r="CJ394" s="4" t="s">
        <v>1386</v>
      </c>
      <c r="CL394" s="1826"/>
      <c r="CN394" s="1099">
        <v>-0.61085539791550336</v>
      </c>
      <c r="CO394" s="1106">
        <v>0.38</v>
      </c>
      <c r="CR394" s="1822"/>
      <c r="CT394" s="1102">
        <v>0.10366814465626417</v>
      </c>
      <c r="CU394" s="1106">
        <v>0.73</v>
      </c>
      <c r="CV394" s="863"/>
      <c r="CW394" s="863"/>
      <c r="CX394" s="1822" t="e">
        <v>#N/A</v>
      </c>
      <c r="CY394" s="863"/>
      <c r="CZ394" s="1099">
        <v>-0.51295315655836049</v>
      </c>
      <c r="DA394" s="1106">
        <v>0.43</v>
      </c>
      <c r="DB394" s="863"/>
      <c r="DF394" s="3">
        <v>299</v>
      </c>
      <c r="DG394" s="4">
        <v>1990</v>
      </c>
      <c r="DH394" s="4">
        <v>2.6288469999999999</v>
      </c>
      <c r="DI394" s="1172"/>
      <c r="DJ394" s="5"/>
      <c r="DK394" s="1444">
        <v>299</v>
      </c>
      <c r="DL394" s="1444">
        <v>1991</v>
      </c>
      <c r="DM394" s="1444">
        <v>2.452083</v>
      </c>
      <c r="DN394" s="1440">
        <f t="shared" si="99"/>
        <v>7.356249</v>
      </c>
    </row>
    <row r="395" spans="87:118">
      <c r="CI395" s="888">
        <v>156</v>
      </c>
      <c r="CJ395" s="4"/>
      <c r="CL395" s="1826"/>
      <c r="CN395" s="1102"/>
      <c r="CO395" s="1103"/>
      <c r="CR395" s="1822"/>
      <c r="CT395" s="1102"/>
      <c r="CU395" s="1103"/>
      <c r="CV395" s="863"/>
      <c r="CW395" s="863"/>
      <c r="CX395" s="1822" t="e">
        <v>#N/A</v>
      </c>
      <c r="CY395" s="863"/>
      <c r="CZ395" s="1102"/>
      <c r="DA395" s="1103"/>
      <c r="DB395" s="863"/>
      <c r="DF395" s="3">
        <v>299</v>
      </c>
      <c r="DG395" s="4">
        <v>1991</v>
      </c>
      <c r="DH395" s="4">
        <v>5.0809300000000004</v>
      </c>
      <c r="DI395" s="1172"/>
      <c r="DJ395" s="5"/>
      <c r="DK395" s="1444">
        <v>299</v>
      </c>
      <c r="DL395" s="1444">
        <v>1992</v>
      </c>
      <c r="DM395" s="1444">
        <v>-2.2306370000000002</v>
      </c>
      <c r="DN395" s="1440">
        <f t="shared" si="99"/>
        <v>-6.6919110000000011</v>
      </c>
    </row>
    <row r="396" spans="87:118">
      <c r="CI396" s="888">
        <v>156</v>
      </c>
      <c r="CJ396" s="4"/>
      <c r="CL396" s="1826"/>
      <c r="CN396" s="1102"/>
      <c r="CO396" s="1103"/>
      <c r="CR396" s="1822"/>
      <c r="CT396" s="1102"/>
      <c r="CU396" s="1103"/>
      <c r="CV396" s="863"/>
      <c r="CW396" s="863"/>
      <c r="CX396" s="1822" t="e">
        <v>#N/A</v>
      </c>
      <c r="CY396" s="863"/>
      <c r="CZ396" s="1102"/>
      <c r="DA396" s="1103"/>
      <c r="DB396" s="863"/>
      <c r="DF396" s="3">
        <v>299</v>
      </c>
      <c r="DG396" s="4">
        <v>1992</v>
      </c>
      <c r="DH396" s="4">
        <v>2.8502930000000002</v>
      </c>
      <c r="DI396" s="1172"/>
      <c r="DJ396" s="5"/>
      <c r="DK396" s="1444">
        <v>299</v>
      </c>
      <c r="DL396" s="1444">
        <v>1993</v>
      </c>
      <c r="DM396" s="1444">
        <v>-2.461112</v>
      </c>
      <c r="DN396" s="1440">
        <f t="shared" si="99"/>
        <v>-7.3833359999999999</v>
      </c>
    </row>
    <row r="397" spans="87:118">
      <c r="CI397" s="888">
        <v>156</v>
      </c>
      <c r="CJ397" s="4"/>
      <c r="CL397" s="1826"/>
      <c r="CN397" s="1102"/>
      <c r="CO397" s="1103"/>
      <c r="CR397" s="1825"/>
      <c r="CT397" s="1102"/>
      <c r="CU397" s="1103"/>
      <c r="CV397" s="1099"/>
      <c r="CW397" s="1099"/>
      <c r="CX397" s="1825" t="e">
        <v>#N/A</v>
      </c>
      <c r="CY397" s="1099"/>
      <c r="CZ397" s="1102"/>
      <c r="DA397" s="1103"/>
      <c r="DB397" s="1099"/>
      <c r="DF397" s="3">
        <v>299</v>
      </c>
      <c r="DG397" s="4">
        <v>1993</v>
      </c>
      <c r="DH397" s="4">
        <v>0.38918130000000001</v>
      </c>
      <c r="DI397" s="1172"/>
      <c r="DJ397" s="5"/>
      <c r="DK397" s="1444">
        <v>299</v>
      </c>
      <c r="DL397" s="1444">
        <v>1994</v>
      </c>
      <c r="DM397" s="1444">
        <v>-2.900169</v>
      </c>
      <c r="DN397" s="1440">
        <f t="shared" si="99"/>
        <v>-8.700507</v>
      </c>
    </row>
    <row r="398" spans="87:118">
      <c r="CI398" s="888">
        <v>156</v>
      </c>
      <c r="CJ398" s="4" t="s">
        <v>2427</v>
      </c>
      <c r="CL398" s="1826">
        <v>1.0879181433650331</v>
      </c>
      <c r="CN398" s="1102"/>
      <c r="CO398" s="1103"/>
      <c r="CR398" s="1823">
        <v>0.84512598556599039</v>
      </c>
      <c r="CT398" s="1102"/>
      <c r="CU398" s="1103"/>
      <c r="CV398" s="1099"/>
      <c r="CW398" s="1099"/>
      <c r="CX398" s="1823">
        <v>7.9516472109497638E-2</v>
      </c>
      <c r="CY398" s="1099"/>
      <c r="CZ398" s="1102"/>
      <c r="DA398" s="1103"/>
      <c r="DB398" s="1099"/>
      <c r="DF398" s="3">
        <v>299</v>
      </c>
      <c r="DG398" s="4">
        <v>1994</v>
      </c>
      <c r="DH398" s="4">
        <v>-2.5109880000000002</v>
      </c>
      <c r="DI398" s="1172"/>
      <c r="DJ398" s="5"/>
      <c r="DK398" s="1444">
        <v>299</v>
      </c>
      <c r="DL398" s="1444">
        <v>1995</v>
      </c>
      <c r="DM398" s="1444">
        <v>0.38087460000000001</v>
      </c>
      <c r="DN398" s="1440">
        <f t="shared" si="99"/>
        <v>1.1426238</v>
      </c>
    </row>
    <row r="399" spans="87:118">
      <c r="CI399" s="888">
        <v>156</v>
      </c>
      <c r="CJ399" s="4" t="s">
        <v>2295</v>
      </c>
      <c r="CL399" s="1826">
        <v>-0.61085539791550336</v>
      </c>
      <c r="CN399" s="1102"/>
      <c r="CO399" s="1103"/>
      <c r="CR399" s="1823">
        <v>0.49084916032016235</v>
      </c>
      <c r="CT399" s="1102"/>
      <c r="CU399" s="1103"/>
      <c r="CV399" s="1099"/>
      <c r="CW399" s="1099"/>
      <c r="CX399" s="1823">
        <v>-1.9722025598926289</v>
      </c>
      <c r="CY399" s="1099"/>
      <c r="CZ399" s="1102"/>
      <c r="DA399" s="1103"/>
      <c r="DB399" s="1099"/>
      <c r="DF399" s="3">
        <v>299</v>
      </c>
      <c r="DG399" s="4">
        <v>1995</v>
      </c>
      <c r="DH399" s="4">
        <v>-2.1301130000000001</v>
      </c>
      <c r="DI399" s="1172"/>
      <c r="DJ399" s="5"/>
      <c r="DK399" s="1444">
        <v>299</v>
      </c>
      <c r="DL399" s="1444">
        <v>1996</v>
      </c>
      <c r="DM399" s="1444">
        <v>3.4574240000000001</v>
      </c>
      <c r="DN399" s="1440">
        <f t="shared" si="99"/>
        <v>10.372272000000001</v>
      </c>
    </row>
    <row r="400" spans="87:118">
      <c r="CI400" s="888">
        <v>156</v>
      </c>
      <c r="CJ400" s="4" t="s">
        <v>1387</v>
      </c>
      <c r="CL400" s="1826">
        <v>-1.4236010229971194</v>
      </c>
      <c r="CN400" s="1102"/>
      <c r="CO400" s="1103"/>
      <c r="CR400" s="1823">
        <v>1.1268894541747398</v>
      </c>
      <c r="CT400" s="1102"/>
      <c r="CU400" s="1103"/>
      <c r="CV400" s="1099"/>
      <c r="CW400" s="1099"/>
      <c r="CX400" s="1823">
        <v>-2.5361809094986216</v>
      </c>
      <c r="CY400" s="1099"/>
      <c r="CZ400" s="1102"/>
      <c r="DA400" s="1103"/>
      <c r="DB400" s="1099"/>
      <c r="DF400" s="3">
        <v>299</v>
      </c>
      <c r="DG400" s="4">
        <v>1996</v>
      </c>
      <c r="DH400" s="4">
        <v>1.3273109999999999</v>
      </c>
      <c r="DI400" s="1172"/>
      <c r="DJ400" s="5"/>
      <c r="DK400" s="1444">
        <v>436</v>
      </c>
      <c r="DL400" s="1444">
        <v>1990</v>
      </c>
      <c r="DM400" s="1444">
        <v>1.2563260000000001</v>
      </c>
      <c r="DN400" s="1440">
        <f t="shared" si="99"/>
        <v>3.7689780000000002</v>
      </c>
    </row>
    <row r="401" spans="87:118">
      <c r="CI401" s="888">
        <v>156</v>
      </c>
      <c r="CJ401" s="4" t="s">
        <v>1388</v>
      </c>
      <c r="CL401" s="1826">
        <v>8.610924405957654E-2</v>
      </c>
      <c r="CN401" s="1102"/>
      <c r="CO401" s="1103"/>
      <c r="CR401" s="1823">
        <v>1.8959394151561628</v>
      </c>
      <c r="CT401" s="1102"/>
      <c r="CU401" s="1103"/>
      <c r="CV401" s="1099"/>
      <c r="CW401" s="1099"/>
      <c r="CX401" s="1823">
        <v>-8.920491172319478E-2</v>
      </c>
      <c r="CY401" s="1099"/>
      <c r="CZ401" s="1102"/>
      <c r="DA401" s="1103"/>
      <c r="DB401" s="1099"/>
      <c r="DF401" s="3">
        <v>436</v>
      </c>
      <c r="DG401" s="4">
        <v>1990</v>
      </c>
      <c r="DH401" s="4">
        <v>2.1518259999999998</v>
      </c>
      <c r="DI401" s="1172"/>
      <c r="DJ401" s="5"/>
      <c r="DK401" s="1444">
        <v>436</v>
      </c>
      <c r="DL401" s="1444">
        <v>1991</v>
      </c>
      <c r="DM401" s="1444">
        <v>1.0504039999999999</v>
      </c>
      <c r="DN401" s="1440">
        <f t="shared" si="99"/>
        <v>3.1512119999999997</v>
      </c>
    </row>
    <row r="402" spans="87:118">
      <c r="CI402" s="888">
        <v>156</v>
      </c>
      <c r="CJ402" s="4" t="s">
        <v>1389</v>
      </c>
      <c r="CL402" s="1826">
        <v>-0.15937496065550283</v>
      </c>
      <c r="CN402" s="864"/>
      <c r="CO402" s="1103"/>
      <c r="CR402" s="1823">
        <v>0.10366814465626417</v>
      </c>
      <c r="CT402" s="864"/>
      <c r="CU402" s="1103"/>
      <c r="CV402" s="1099"/>
      <c r="CW402" s="1099"/>
      <c r="CX402" s="1823">
        <v>-0.71328696495549715</v>
      </c>
      <c r="CY402" s="1099"/>
      <c r="CZ402" s="864"/>
      <c r="DA402" s="1103"/>
      <c r="DB402" s="1099"/>
      <c r="DF402" s="3">
        <v>436</v>
      </c>
      <c r="DG402" s="4">
        <v>1991</v>
      </c>
      <c r="DH402" s="4">
        <v>3.2022300000000001</v>
      </c>
      <c r="DI402" s="1172"/>
      <c r="DJ402" s="5"/>
      <c r="DK402" s="1444">
        <v>436</v>
      </c>
      <c r="DL402" s="1444">
        <v>1992</v>
      </c>
      <c r="DM402" s="1444">
        <v>0.6157224</v>
      </c>
      <c r="DN402" s="1440">
        <f t="shared" si="99"/>
        <v>1.8471671999999999</v>
      </c>
    </row>
    <row r="403" spans="87:118">
      <c r="CI403" s="888">
        <v>156</v>
      </c>
      <c r="CJ403" s="4" t="s">
        <v>1390</v>
      </c>
      <c r="CL403" s="1826">
        <v>-0.91557058251803602</v>
      </c>
      <c r="CN403" s="864"/>
      <c r="CO403" s="1103"/>
      <c r="CR403" s="1823">
        <v>-0.18320030546217181</v>
      </c>
      <c r="CT403" s="864"/>
      <c r="CU403" s="1103"/>
      <c r="CV403" s="1099"/>
      <c r="CW403" s="1099"/>
      <c r="CX403" s="1823">
        <v>-0.51295315655836049</v>
      </c>
      <c r="CY403" s="1099"/>
      <c r="CZ403" s="864"/>
      <c r="DA403" s="1103"/>
      <c r="DB403" s="1099"/>
      <c r="DF403" s="3">
        <v>436</v>
      </c>
      <c r="DG403" s="4">
        <v>1992</v>
      </c>
      <c r="DH403" s="4">
        <v>3.8179530000000002</v>
      </c>
      <c r="DI403" s="1172"/>
      <c r="DJ403" s="5"/>
      <c r="DK403" s="1444">
        <v>436</v>
      </c>
      <c r="DL403" s="1444">
        <v>1993</v>
      </c>
      <c r="DM403" s="1444">
        <v>0.18159310000000001</v>
      </c>
      <c r="DN403" s="1440">
        <f t="shared" si="99"/>
        <v>0.54477930000000008</v>
      </c>
    </row>
    <row r="404" spans="87:118">
      <c r="CI404" s="888">
        <v>156</v>
      </c>
      <c r="CJ404" s="4" t="s">
        <v>1391</v>
      </c>
      <c r="CL404" s="1826">
        <v>-0.63712413366221776</v>
      </c>
      <c r="CN404" s="864"/>
      <c r="CO404" s="1103"/>
      <c r="CR404" s="1823">
        <v>-1.4759654622455241</v>
      </c>
      <c r="CT404" s="864"/>
      <c r="CU404" s="1103"/>
      <c r="CV404" s="1099"/>
      <c r="CW404" s="1099"/>
      <c r="CX404" s="1823">
        <v>1.2465211197420012</v>
      </c>
      <c r="CY404" s="1099"/>
      <c r="CZ404" s="864"/>
      <c r="DA404" s="1103"/>
      <c r="DB404" s="1099"/>
      <c r="DF404" s="3">
        <v>436</v>
      </c>
      <c r="DG404" s="4">
        <v>1993</v>
      </c>
      <c r="DH404" s="4">
        <v>3.999546</v>
      </c>
      <c r="DI404" s="1172"/>
      <c r="DJ404" s="5"/>
      <c r="DK404" s="1444">
        <v>436</v>
      </c>
      <c r="DL404" s="1444">
        <v>1994</v>
      </c>
      <c r="DM404" s="1444">
        <v>-2.4296479999999998</v>
      </c>
      <c r="DN404" s="1440">
        <f t="shared" si="99"/>
        <v>-7.288943999999999</v>
      </c>
    </row>
    <row r="405" spans="87:118">
      <c r="CI405" s="888">
        <v>156</v>
      </c>
      <c r="CJ405" s="4" t="s">
        <v>1392</v>
      </c>
      <c r="CL405" s="1826">
        <v>2.0561983621008171</v>
      </c>
      <c r="CN405" s="864"/>
      <c r="CO405" s="1103"/>
      <c r="CR405" s="1823">
        <v>-1.7202534517314505</v>
      </c>
      <c r="CT405" s="864"/>
      <c r="CU405" s="1103"/>
      <c r="CV405" s="1099"/>
      <c r="CW405" s="1099"/>
      <c r="CX405" s="1823">
        <v>1.6191675174018871</v>
      </c>
      <c r="CY405" s="1099"/>
      <c r="CZ405" s="864"/>
      <c r="DA405" s="1103"/>
      <c r="DB405" s="1099"/>
      <c r="DF405" s="3">
        <v>436</v>
      </c>
      <c r="DG405" s="4">
        <v>1994</v>
      </c>
      <c r="DH405" s="4">
        <v>1.569898</v>
      </c>
      <c r="DI405" s="1172"/>
      <c r="DJ405" s="5"/>
      <c r="DK405" s="1444">
        <v>436</v>
      </c>
      <c r="DL405" s="1444">
        <v>1995</v>
      </c>
      <c r="DM405" s="1444">
        <v>-0.77905800000000003</v>
      </c>
      <c r="DN405" s="1440">
        <f t="shared" si="99"/>
        <v>-2.3371740000000001</v>
      </c>
    </row>
    <row r="406" spans="87:118">
      <c r="CI406" s="888">
        <v>156</v>
      </c>
      <c r="CJ406" s="1091" t="s">
        <v>1393</v>
      </c>
      <c r="CL406" s="1826">
        <v>-4.4099989243294599</v>
      </c>
      <c r="CN406" s="1104"/>
      <c r="CO406" s="1105"/>
      <c r="CR406" s="1824">
        <v>-5.0590716554298734</v>
      </c>
      <c r="CT406" s="1104"/>
      <c r="CU406" s="1105"/>
      <c r="CV406" s="1100"/>
      <c r="CW406" s="1100"/>
      <c r="CX406" s="1824">
        <v>-3.9100542320092453</v>
      </c>
      <c r="CY406" s="1100"/>
      <c r="CZ406" s="1104"/>
      <c r="DA406" s="1105"/>
      <c r="DB406" s="1100"/>
      <c r="DF406" s="3">
        <v>436</v>
      </c>
      <c r="DG406" s="4">
        <v>1995</v>
      </c>
      <c r="DH406" s="4">
        <v>0.79084019999999999</v>
      </c>
      <c r="DI406" s="1172"/>
      <c r="DJ406" s="5"/>
      <c r="DK406" s="1444">
        <v>436</v>
      </c>
      <c r="DL406" s="1444">
        <v>1996</v>
      </c>
      <c r="DM406" s="1444">
        <v>-1.6704049999999999</v>
      </c>
      <c r="DN406" s="1440">
        <f t="shared" si="99"/>
        <v>-5.011215</v>
      </c>
    </row>
    <row r="407" spans="87:118">
      <c r="CI407" s="888">
        <v>228</v>
      </c>
      <c r="CJ407" s="4" t="s">
        <v>1394</v>
      </c>
      <c r="CL407" s="1826"/>
      <c r="CN407" s="1099">
        <v>-0.63484652626586957</v>
      </c>
      <c r="CO407" s="1106">
        <v>0.37</v>
      </c>
      <c r="CR407" s="1822"/>
      <c r="CT407" s="1102">
        <v>-0.27647590361071461</v>
      </c>
      <c r="CU407" s="1106">
        <v>0.59</v>
      </c>
      <c r="CV407" s="863"/>
      <c r="CW407" s="863"/>
      <c r="CX407" s="1822" t="e">
        <v>#N/A</v>
      </c>
      <c r="CY407" s="863"/>
      <c r="CZ407" s="1099">
        <v>2.1849911185525137</v>
      </c>
      <c r="DA407" s="1106">
        <v>0.96</v>
      </c>
      <c r="DB407" s="863"/>
      <c r="DF407" s="3">
        <v>436</v>
      </c>
      <c r="DG407" s="4">
        <v>1996</v>
      </c>
      <c r="DH407" s="4">
        <v>-0.87956509999999999</v>
      </c>
      <c r="DI407" s="1172"/>
      <c r="DJ407" s="5"/>
      <c r="DK407" s="1444">
        <v>436</v>
      </c>
      <c r="DL407" s="1444">
        <v>1997</v>
      </c>
      <c r="DM407" s="1444">
        <v>-0.51336689999999996</v>
      </c>
      <c r="DN407" s="1440">
        <f t="shared" si="99"/>
        <v>-1.5401007</v>
      </c>
    </row>
    <row r="408" spans="87:118">
      <c r="CI408" s="888">
        <v>228</v>
      </c>
      <c r="CJ408" s="4"/>
      <c r="CL408" s="1826"/>
      <c r="CN408" s="1102"/>
      <c r="CO408" s="1103"/>
      <c r="CR408" s="1822"/>
      <c r="CT408" s="1102"/>
      <c r="CU408" s="1103"/>
      <c r="CV408" s="863"/>
      <c r="CW408" s="863"/>
      <c r="CX408" s="1822" t="e">
        <v>#N/A</v>
      </c>
      <c r="CY408" s="863"/>
      <c r="CZ408" s="1102"/>
      <c r="DA408" s="1103"/>
      <c r="DB408" s="863"/>
      <c r="DF408" s="3">
        <v>436</v>
      </c>
      <c r="DG408" s="4">
        <v>1997</v>
      </c>
      <c r="DH408" s="4">
        <v>-1.3929320000000001</v>
      </c>
      <c r="DI408" s="1172"/>
      <c r="DJ408" s="5"/>
      <c r="DK408" s="1444">
        <v>436</v>
      </c>
      <c r="DL408" s="1444">
        <v>1998</v>
      </c>
      <c r="DM408" s="1444">
        <v>0.11489489999999999</v>
      </c>
      <c r="DN408" s="1440">
        <f t="shared" si="99"/>
        <v>0.34468469999999996</v>
      </c>
    </row>
    <row r="409" spans="87:118">
      <c r="CI409" s="888">
        <v>228</v>
      </c>
      <c r="CJ409" s="4"/>
      <c r="CL409" s="1826"/>
      <c r="CN409" s="1102"/>
      <c r="CO409" s="1103"/>
      <c r="CR409" s="1822"/>
      <c r="CT409" s="1102"/>
      <c r="CU409" s="1103"/>
      <c r="CV409" s="863"/>
      <c r="CW409" s="863"/>
      <c r="CX409" s="1822" t="e">
        <v>#N/A</v>
      </c>
      <c r="CY409" s="863"/>
      <c r="CZ409" s="1102"/>
      <c r="DA409" s="1103"/>
      <c r="DB409" s="863"/>
      <c r="DF409" s="3">
        <v>436</v>
      </c>
      <c r="DG409" s="4">
        <v>1998</v>
      </c>
      <c r="DH409" s="4">
        <v>-1.2780370000000001</v>
      </c>
      <c r="DI409" s="1172"/>
      <c r="DJ409" s="5"/>
      <c r="DK409" s="1444">
        <v>436</v>
      </c>
      <c r="DL409" s="1444">
        <v>1999</v>
      </c>
      <c r="DM409" s="1444">
        <v>1.5612140000000001</v>
      </c>
      <c r="DN409" s="1440">
        <f t="shared" si="99"/>
        <v>4.6836420000000007</v>
      </c>
    </row>
    <row r="410" spans="87:118">
      <c r="CI410" s="888">
        <v>228</v>
      </c>
      <c r="CJ410" s="4"/>
      <c r="CL410" s="1826"/>
      <c r="CN410" s="1102"/>
      <c r="CO410" s="1103"/>
      <c r="CR410" s="1825"/>
      <c r="CT410" s="1102"/>
      <c r="CU410" s="1103"/>
      <c r="CV410" s="1099"/>
      <c r="CW410" s="1099"/>
      <c r="CX410" s="1825" t="e">
        <v>#N/A</v>
      </c>
      <c r="CY410" s="1099"/>
      <c r="CZ410" s="1102"/>
      <c r="DA410" s="1103"/>
      <c r="DB410" s="1099"/>
      <c r="DF410" s="3">
        <v>436</v>
      </c>
      <c r="DG410" s="4">
        <v>1999</v>
      </c>
      <c r="DH410" s="4">
        <v>0.28317710000000001</v>
      </c>
      <c r="DI410" s="1172"/>
      <c r="DJ410" s="5"/>
      <c r="DK410" s="1444">
        <v>436</v>
      </c>
      <c r="DL410" s="1444">
        <v>2000</v>
      </c>
      <c r="DM410" s="1444">
        <v>2.3582179999999999</v>
      </c>
      <c r="DN410" s="1440">
        <f t="shared" si="99"/>
        <v>7.0746539999999998</v>
      </c>
    </row>
    <row r="411" spans="87:118">
      <c r="CI411" s="888">
        <v>228</v>
      </c>
      <c r="CJ411" s="4" t="s">
        <v>2428</v>
      </c>
      <c r="CL411" s="1826">
        <v>-0.63484652626586957</v>
      </c>
      <c r="CN411" s="1102"/>
      <c r="CO411" s="1103"/>
      <c r="CR411" s="1823">
        <v>0.33740261464174104</v>
      </c>
      <c r="CT411" s="1102"/>
      <c r="CU411" s="1103"/>
      <c r="CV411" s="1099"/>
      <c r="CW411" s="1099"/>
      <c r="CX411" s="1823">
        <v>2.1849911185525137</v>
      </c>
      <c r="CY411" s="1099"/>
      <c r="CZ411" s="1102"/>
      <c r="DA411" s="1103"/>
      <c r="DB411" s="1099"/>
      <c r="DF411" s="3">
        <v>436</v>
      </c>
      <c r="DG411" s="4">
        <v>2000</v>
      </c>
      <c r="DH411" s="4">
        <v>2.6413950000000002</v>
      </c>
      <c r="DI411" s="1172"/>
      <c r="DJ411" s="5"/>
      <c r="DK411" s="1444">
        <v>436</v>
      </c>
      <c r="DL411" s="1444">
        <v>2001</v>
      </c>
      <c r="DM411" s="1444">
        <v>1.3591839999999999</v>
      </c>
      <c r="DN411" s="1440">
        <f t="shared" si="99"/>
        <v>4.0775519999999998</v>
      </c>
    </row>
    <row r="412" spans="87:118">
      <c r="CI412" s="888">
        <v>228</v>
      </c>
      <c r="CJ412" s="4" t="s">
        <v>2296</v>
      </c>
      <c r="CL412" s="1826">
        <v>-2.0701347383188482</v>
      </c>
      <c r="CN412" s="1102"/>
      <c r="CO412" s="1103"/>
      <c r="CR412" s="1823">
        <v>-0.84337879862863696</v>
      </c>
      <c r="CT412" s="1102"/>
      <c r="CU412" s="1103"/>
      <c r="CV412" s="1099"/>
      <c r="CW412" s="1099"/>
      <c r="CX412" s="1823">
        <v>2.197959446998214</v>
      </c>
      <c r="CY412" s="1099"/>
      <c r="CZ412" s="1102"/>
      <c r="DA412" s="1103"/>
      <c r="DB412" s="1099"/>
      <c r="DF412" s="3">
        <v>436</v>
      </c>
      <c r="DG412" s="4">
        <v>2001</v>
      </c>
      <c r="DH412" s="4">
        <v>4.0005790000000001</v>
      </c>
      <c r="DI412" s="1172"/>
      <c r="DJ412" s="5"/>
      <c r="DK412" s="1444">
        <v>436</v>
      </c>
      <c r="DL412" s="1444">
        <v>2002</v>
      </c>
      <c r="DM412" s="1444">
        <v>3.5347799999999999E-2</v>
      </c>
      <c r="DN412" s="1440">
        <f t="shared" si="99"/>
        <v>0.1060434</v>
      </c>
    </row>
    <row r="413" spans="87:118">
      <c r="CI413" s="888">
        <v>228</v>
      </c>
      <c r="CJ413" s="4" t="s">
        <v>1395</v>
      </c>
      <c r="CL413" s="1826">
        <v>-1.7989416184690121</v>
      </c>
      <c r="CN413" s="1102"/>
      <c r="CO413" s="1103"/>
      <c r="CR413" s="1823">
        <v>-1.2291132514141263</v>
      </c>
      <c r="CT413" s="1102"/>
      <c r="CU413" s="1103"/>
      <c r="CV413" s="1099"/>
      <c r="CW413" s="1099"/>
      <c r="CX413" s="1823">
        <v>1.1800042999730298</v>
      </c>
      <c r="CY413" s="1099"/>
      <c r="CZ413" s="1102"/>
      <c r="DA413" s="1103"/>
      <c r="DB413" s="1099"/>
      <c r="DF413" s="3">
        <v>436</v>
      </c>
      <c r="DG413" s="4">
        <v>2002</v>
      </c>
      <c r="DH413" s="4">
        <v>4.035927</v>
      </c>
      <c r="DI413" s="1172"/>
      <c r="DJ413" s="5"/>
      <c r="DK413" s="1444">
        <v>436</v>
      </c>
      <c r="DL413" s="1444">
        <v>2003</v>
      </c>
      <c r="DM413" s="1444">
        <v>-0.58717220000000003</v>
      </c>
      <c r="DN413" s="1440">
        <f t="shared" si="99"/>
        <v>-1.7615166000000002</v>
      </c>
    </row>
    <row r="414" spans="87:118">
      <c r="CI414" s="888">
        <v>228</v>
      </c>
      <c r="CJ414" s="4" t="s">
        <v>1396</v>
      </c>
      <c r="CL414" s="1826">
        <v>-2.7897477315624513</v>
      </c>
      <c r="CN414" s="1102"/>
      <c r="CO414" s="1103"/>
      <c r="CR414" s="1823">
        <v>-1.3812803330103769</v>
      </c>
      <c r="CT414" s="1102"/>
      <c r="CU414" s="1103"/>
      <c r="CV414" s="1099"/>
      <c r="CW414" s="1099"/>
      <c r="CX414" s="1823">
        <v>2.5585011529948249</v>
      </c>
      <c r="CY414" s="1099"/>
      <c r="CZ414" s="1102"/>
      <c r="DA414" s="1103"/>
      <c r="DB414" s="1099"/>
      <c r="DF414" s="3">
        <v>436</v>
      </c>
      <c r="DG414" s="4">
        <v>2003</v>
      </c>
      <c r="DH414" s="4">
        <v>3.4487549999999998</v>
      </c>
      <c r="DI414" s="1172"/>
      <c r="DJ414" s="5"/>
      <c r="DK414" s="1444">
        <v>436</v>
      </c>
      <c r="DL414" s="1444">
        <v>2004</v>
      </c>
      <c r="DM414" s="1444">
        <v>0.46113399999999999</v>
      </c>
      <c r="DN414" s="1440">
        <f t="shared" si="99"/>
        <v>1.383402</v>
      </c>
    </row>
    <row r="415" spans="87:118">
      <c r="CI415" s="888">
        <v>228</v>
      </c>
      <c r="CJ415" s="4" t="s">
        <v>1397</v>
      </c>
      <c r="CL415" s="1826">
        <v>-0.21385579121799037</v>
      </c>
      <c r="CN415" s="864"/>
      <c r="CO415" s="1103"/>
      <c r="CR415" s="1823">
        <v>-0.27647590361071461</v>
      </c>
      <c r="CT415" s="864"/>
      <c r="CU415" s="1103"/>
      <c r="CV415" s="1099"/>
      <c r="CW415" s="1099"/>
      <c r="CX415" s="1823">
        <v>-0.73207363817360283</v>
      </c>
      <c r="CY415" s="1099"/>
      <c r="CZ415" s="864"/>
      <c r="DA415" s="1103"/>
      <c r="DB415" s="1099"/>
      <c r="DF415" s="3">
        <v>436</v>
      </c>
      <c r="DG415" s="4">
        <v>2004</v>
      </c>
      <c r="DH415" s="4">
        <v>3.9098890000000002</v>
      </c>
      <c r="DI415" s="1172"/>
      <c r="DJ415" s="5"/>
      <c r="DK415" s="1444">
        <v>436</v>
      </c>
      <c r="DL415" s="1444">
        <v>2005</v>
      </c>
      <c r="DM415" s="1444">
        <v>1.2822800000000001</v>
      </c>
      <c r="DN415" s="1440">
        <f t="shared" si="99"/>
        <v>3.8468400000000003</v>
      </c>
    </row>
    <row r="416" spans="87:118">
      <c r="CI416" s="888">
        <v>228</v>
      </c>
      <c r="CJ416" s="4" t="s">
        <v>1398</v>
      </c>
      <c r="CL416" s="1826">
        <v>0.51967504777185525</v>
      </c>
      <c r="CN416" s="864"/>
      <c r="CO416" s="1103"/>
      <c r="CR416" s="1823">
        <v>0.54709060713353375</v>
      </c>
      <c r="CT416" s="864"/>
      <c r="CU416" s="1103"/>
      <c r="CV416" s="1099"/>
      <c r="CW416" s="1099"/>
      <c r="CX416" s="1823">
        <v>-0.58293680601087572</v>
      </c>
      <c r="CY416" s="1099"/>
      <c r="CZ416" s="864"/>
      <c r="DA416" s="1103"/>
      <c r="DB416" s="1099"/>
      <c r="DF416" s="3">
        <v>436</v>
      </c>
      <c r="DG416" s="4">
        <v>2005</v>
      </c>
      <c r="DH416" s="4">
        <v>5.1921689999999998</v>
      </c>
      <c r="DI416" s="1172"/>
      <c r="DJ416" s="5"/>
      <c r="DK416" s="1444">
        <v>436</v>
      </c>
      <c r="DL416" s="1444">
        <v>2006</v>
      </c>
      <c r="DM416" s="1444">
        <v>1.2045870000000001</v>
      </c>
      <c r="DN416" s="1440">
        <f t="shared" si="99"/>
        <v>3.6137610000000002</v>
      </c>
    </row>
    <row r="417" spans="87:118">
      <c r="CI417" s="888">
        <v>228</v>
      </c>
      <c r="CJ417" s="4" t="s">
        <v>1399</v>
      </c>
      <c r="CL417" s="1826">
        <v>-9.591081886387709E-2</v>
      </c>
      <c r="CN417" s="864"/>
      <c r="CO417" s="1103"/>
      <c r="CR417" s="1823">
        <v>2.8772778258567699</v>
      </c>
      <c r="CT417" s="864"/>
      <c r="CU417" s="1103"/>
      <c r="CV417" s="1099"/>
      <c r="CW417" s="1099"/>
      <c r="CX417" s="1823">
        <v>1.861634708004805</v>
      </c>
      <c r="CY417" s="1099"/>
      <c r="CZ417" s="864"/>
      <c r="DA417" s="1103"/>
      <c r="DB417" s="1099"/>
      <c r="DF417" s="3">
        <v>436</v>
      </c>
      <c r="DG417" s="4">
        <v>2006</v>
      </c>
      <c r="DH417" s="4">
        <v>6.3967559999999999</v>
      </c>
      <c r="DI417" s="1172"/>
      <c r="DJ417" s="5"/>
      <c r="DK417" s="1444">
        <v>436</v>
      </c>
      <c r="DL417" s="1444">
        <v>2007</v>
      </c>
      <c r="DM417" s="1444">
        <v>0.18292320000000001</v>
      </c>
      <c r="DN417" s="1440">
        <f t="shared" si="99"/>
        <v>0.54876959999999997</v>
      </c>
    </row>
    <row r="418" spans="87:118">
      <c r="CI418" s="888">
        <v>228</v>
      </c>
      <c r="CJ418" s="4" t="s">
        <v>1400</v>
      </c>
      <c r="CL418" s="1826">
        <v>3.1094247266760249</v>
      </c>
      <c r="CN418" s="864"/>
      <c r="CO418" s="1103"/>
      <c r="CR418" s="1823">
        <v>0.88401557886793347</v>
      </c>
      <c r="CT418" s="864"/>
      <c r="CU418" s="1103"/>
      <c r="CV418" s="1099"/>
      <c r="CW418" s="1099"/>
      <c r="CX418" s="1823">
        <v>7.350126776297337</v>
      </c>
      <c r="CY418" s="1099"/>
      <c r="CZ418" s="864"/>
      <c r="DA418" s="1103"/>
      <c r="DB418" s="1099"/>
      <c r="DF418" s="3">
        <v>436</v>
      </c>
      <c r="DG418" s="4">
        <v>2007</v>
      </c>
      <c r="DH418" s="4">
        <v>6.5796789999999996</v>
      </c>
      <c r="DI418" s="1172"/>
      <c r="DJ418" s="5"/>
      <c r="DK418" s="1444">
        <v>436</v>
      </c>
      <c r="DL418" s="1444">
        <v>2008</v>
      </c>
      <c r="DM418" s="1444">
        <v>-1.7079629999999999</v>
      </c>
      <c r="DN418" s="1440">
        <f t="shared" si="99"/>
        <v>-5.1238890000000001</v>
      </c>
    </row>
    <row r="419" spans="87:118">
      <c r="CI419" s="888">
        <v>228</v>
      </c>
      <c r="CJ419" s="1091" t="s">
        <v>1401</v>
      </c>
      <c r="CL419" s="1826">
        <v>-6.1933851255225685</v>
      </c>
      <c r="CN419" s="1104"/>
      <c r="CO419" s="1105"/>
      <c r="CR419" s="1824">
        <v>-9.7551683039842594</v>
      </c>
      <c r="CT419" s="1104"/>
      <c r="CU419" s="1105"/>
      <c r="CV419" s="1100"/>
      <c r="CW419" s="1100"/>
      <c r="CX419" s="1824">
        <v>3.837557069374907</v>
      </c>
      <c r="CY419" s="1100"/>
      <c r="CZ419" s="1104"/>
      <c r="DA419" s="1105"/>
      <c r="DB419" s="1100"/>
      <c r="DF419" s="3">
        <v>436</v>
      </c>
      <c r="DG419" s="4">
        <v>2008</v>
      </c>
      <c r="DH419" s="4">
        <v>4.8717160000000002</v>
      </c>
      <c r="DI419" s="1172"/>
      <c r="DJ419" s="5"/>
      <c r="DK419" s="1444">
        <v>436</v>
      </c>
      <c r="DL419" s="1444">
        <v>2009</v>
      </c>
      <c r="DM419" s="1444">
        <v>-2.3672049999999998</v>
      </c>
      <c r="DN419" s="1440">
        <f t="shared" si="99"/>
        <v>-7.1016149999999989</v>
      </c>
    </row>
    <row r="420" spans="87:118">
      <c r="CI420" s="888">
        <v>924</v>
      </c>
      <c r="CJ420" s="4" t="s">
        <v>1402</v>
      </c>
      <c r="CL420" s="1826"/>
      <c r="CN420" s="1099">
        <v>-0.38346959610944253</v>
      </c>
      <c r="CO420" s="1106">
        <v>0.48</v>
      </c>
      <c r="CR420" s="1822"/>
      <c r="CT420" s="1102">
        <v>-0.92649152833622728</v>
      </c>
      <c r="CU420" s="1106">
        <v>0.39</v>
      </c>
      <c r="CV420" s="863"/>
      <c r="CW420" s="863"/>
      <c r="CX420" s="1822" t="e">
        <v>#N/A</v>
      </c>
      <c r="CY420" s="863"/>
      <c r="CZ420" s="1099">
        <v>0.2101887076900617</v>
      </c>
      <c r="DA420" s="1106">
        <v>0.73</v>
      </c>
      <c r="DB420" s="863"/>
      <c r="DF420" s="3">
        <v>436</v>
      </c>
      <c r="DG420" s="4">
        <v>2009</v>
      </c>
      <c r="DH420" s="4">
        <v>2.5045120000000001</v>
      </c>
      <c r="DI420" s="1172"/>
      <c r="DJ420" s="5"/>
      <c r="DK420" s="1444">
        <v>436</v>
      </c>
      <c r="DL420" s="1444">
        <v>2010</v>
      </c>
      <c r="DM420" s="1444">
        <v>-1.9482820000000001</v>
      </c>
      <c r="DN420" s="1440">
        <f t="shared" si="99"/>
        <v>-5.8448460000000004</v>
      </c>
    </row>
    <row r="421" spans="87:118">
      <c r="CI421" s="888">
        <v>924</v>
      </c>
      <c r="CJ421" s="4"/>
      <c r="CL421" s="1826"/>
      <c r="CN421" s="1102"/>
      <c r="CO421" s="1103"/>
      <c r="CR421" s="1822"/>
      <c r="CT421" s="1102"/>
      <c r="CU421" s="1103"/>
      <c r="CV421" s="863"/>
      <c r="CW421" s="863"/>
      <c r="CX421" s="1822" t="e">
        <v>#N/A</v>
      </c>
      <c r="CY421" s="863"/>
      <c r="CZ421" s="1102"/>
      <c r="DA421" s="1103"/>
      <c r="DB421" s="863"/>
      <c r="DF421" s="3">
        <v>436</v>
      </c>
      <c r="DG421" s="4">
        <v>2010</v>
      </c>
      <c r="DH421" s="4">
        <v>0.55622939999999998</v>
      </c>
      <c r="DI421" s="1172"/>
      <c r="DJ421" s="5"/>
      <c r="DK421" s="1444">
        <v>534</v>
      </c>
      <c r="DL421" s="1444">
        <v>1994</v>
      </c>
      <c r="DM421" s="1444">
        <v>0.49533890000000003</v>
      </c>
      <c r="DN421" s="1440">
        <f t="shared" si="99"/>
        <v>1.4860167</v>
      </c>
    </row>
    <row r="422" spans="87:118">
      <c r="CI422" s="888">
        <v>924</v>
      </c>
      <c r="CJ422" s="4"/>
      <c r="CL422" s="1826"/>
      <c r="CN422" s="1102"/>
      <c r="CO422" s="1103"/>
      <c r="CR422" s="1822"/>
      <c r="CT422" s="1102"/>
      <c r="CU422" s="1103"/>
      <c r="CV422" s="863"/>
      <c r="CW422" s="863"/>
      <c r="CX422" s="1822" t="e">
        <v>#N/A</v>
      </c>
      <c r="CY422" s="863"/>
      <c r="CZ422" s="1102"/>
      <c r="DA422" s="1103"/>
      <c r="DB422" s="863"/>
      <c r="DF422" s="3">
        <v>534</v>
      </c>
      <c r="DG422" s="4">
        <v>1994</v>
      </c>
      <c r="DH422" s="4">
        <v>-3.3885869999999998</v>
      </c>
      <c r="DI422" s="1172"/>
      <c r="DJ422" s="5"/>
      <c r="DK422" s="1444">
        <v>534</v>
      </c>
      <c r="DL422" s="1444">
        <v>1995</v>
      </c>
      <c r="DM422" s="1444">
        <v>0.438942</v>
      </c>
      <c r="DN422" s="1440">
        <f t="shared" si="99"/>
        <v>1.3168260000000001</v>
      </c>
    </row>
    <row r="423" spans="87:118">
      <c r="CI423" s="888">
        <v>924</v>
      </c>
      <c r="CJ423" s="4"/>
      <c r="CL423" s="1826"/>
      <c r="CN423" s="1102"/>
      <c r="CO423" s="1103"/>
      <c r="CR423" s="1825"/>
      <c r="CT423" s="1102"/>
      <c r="CU423" s="1103"/>
      <c r="CV423" s="1099"/>
      <c r="CW423" s="1099"/>
      <c r="CX423" s="1825" t="e">
        <v>#N/A</v>
      </c>
      <c r="CY423" s="1099"/>
      <c r="CZ423" s="1102"/>
      <c r="DA423" s="1103"/>
      <c r="DB423" s="1099"/>
      <c r="DF423" s="3">
        <v>534</v>
      </c>
      <c r="DG423" s="4">
        <v>1995</v>
      </c>
      <c r="DH423" s="4">
        <v>-2.9496449999999999</v>
      </c>
      <c r="DI423" s="1172"/>
      <c r="DJ423" s="5"/>
      <c r="DK423" s="1444">
        <v>534</v>
      </c>
      <c r="DL423" s="1444">
        <v>1996</v>
      </c>
      <c r="DM423" s="1444">
        <v>0.47816439999999999</v>
      </c>
      <c r="DN423" s="1440">
        <f t="shared" si="99"/>
        <v>1.4344931999999999</v>
      </c>
    </row>
    <row r="424" spans="87:118">
      <c r="CI424" s="888">
        <v>924</v>
      </c>
      <c r="CJ424" s="4" t="s">
        <v>2429</v>
      </c>
      <c r="CL424" s="1826">
        <v>0.65587233377073062</v>
      </c>
      <c r="CN424" s="1102"/>
      <c r="CO424" s="1103"/>
      <c r="CR424" s="1823">
        <v>-1.2169445253852802</v>
      </c>
      <c r="CT424" s="1102"/>
      <c r="CU424" s="1103"/>
      <c r="CV424" s="1099"/>
      <c r="CW424" s="1099"/>
      <c r="CX424" s="1823">
        <v>1.1533737660675449</v>
      </c>
      <c r="CY424" s="1099"/>
      <c r="CZ424" s="1102"/>
      <c r="DA424" s="1103"/>
      <c r="DB424" s="1099"/>
      <c r="DF424" s="3">
        <v>534</v>
      </c>
      <c r="DG424" s="4">
        <v>1996</v>
      </c>
      <c r="DH424" s="4">
        <v>-2.4714809999999998</v>
      </c>
      <c r="DI424" s="1172"/>
      <c r="DJ424" s="5"/>
      <c r="DK424" s="1444">
        <v>534</v>
      </c>
      <c r="DL424" s="1444">
        <v>1997</v>
      </c>
      <c r="DM424" s="1444">
        <v>-0.24259459999999999</v>
      </c>
      <c r="DN424" s="1440">
        <f t="shared" si="99"/>
        <v>-0.72778379999999998</v>
      </c>
    </row>
    <row r="425" spans="87:118">
      <c r="CI425" s="888">
        <v>924</v>
      </c>
      <c r="CJ425" s="4" t="s">
        <v>2297</v>
      </c>
      <c r="CL425" s="1826">
        <v>0.4197966567350857</v>
      </c>
      <c r="CN425" s="1102"/>
      <c r="CO425" s="1103"/>
      <c r="CR425" s="1823">
        <v>-1.2870200723172283</v>
      </c>
      <c r="CT425" s="1102"/>
      <c r="CU425" s="1103"/>
      <c r="CV425" s="1099"/>
      <c r="CW425" s="1099"/>
      <c r="CX425" s="1823">
        <v>-0.42148994326242378</v>
      </c>
      <c r="CY425" s="1099"/>
      <c r="CZ425" s="1102"/>
      <c r="DA425" s="1103"/>
      <c r="DB425" s="1099"/>
      <c r="DF425" s="3">
        <v>534</v>
      </c>
      <c r="DG425" s="4">
        <v>1997</v>
      </c>
      <c r="DH425" s="4">
        <v>-2.7140749999999998</v>
      </c>
      <c r="DI425" s="1172"/>
      <c r="DJ425" s="5"/>
      <c r="DK425" s="1444">
        <v>534</v>
      </c>
      <c r="DL425" s="1444">
        <v>1998</v>
      </c>
      <c r="DM425" s="1444">
        <v>-0.58596839999999994</v>
      </c>
      <c r="DN425" s="1440">
        <f t="shared" si="99"/>
        <v>-1.7579051999999997</v>
      </c>
    </row>
    <row r="426" spans="87:118">
      <c r="CI426" s="888">
        <v>924</v>
      </c>
      <c r="CJ426" s="4" t="s">
        <v>1403</v>
      </c>
      <c r="CL426" s="1826">
        <v>-0.38346959610944253</v>
      </c>
      <c r="CN426" s="1102"/>
      <c r="CO426" s="1103"/>
      <c r="CR426" s="1823">
        <v>-1.2070980965313394</v>
      </c>
      <c r="CT426" s="1102"/>
      <c r="CU426" s="1103"/>
      <c r="CV426" s="1099"/>
      <c r="CW426" s="1099"/>
      <c r="CX426" s="1823">
        <v>-1.6071076394346402</v>
      </c>
      <c r="CY426" s="1099"/>
      <c r="CZ426" s="1102"/>
      <c r="DA426" s="1103"/>
      <c r="DB426" s="1099"/>
      <c r="DF426" s="3">
        <v>534</v>
      </c>
      <c r="DG426" s="4">
        <v>1998</v>
      </c>
      <c r="DH426" s="4">
        <v>-3.3000440000000002</v>
      </c>
      <c r="DI426" s="1172"/>
      <c r="DJ426" s="5"/>
      <c r="DK426" s="1444">
        <v>534</v>
      </c>
      <c r="DL426" s="1444">
        <v>1999</v>
      </c>
      <c r="DM426" s="1444">
        <v>-0.4568565</v>
      </c>
      <c r="DN426" s="1440">
        <f t="shared" si="99"/>
        <v>-1.3705695</v>
      </c>
    </row>
    <row r="427" spans="87:118">
      <c r="CI427" s="888">
        <v>924</v>
      </c>
      <c r="CJ427" s="4" t="s">
        <v>1404</v>
      </c>
      <c r="CL427" s="1826">
        <v>-0.94075264800464709</v>
      </c>
      <c r="CN427" s="1102"/>
      <c r="CO427" s="1103"/>
      <c r="CR427" s="1823">
        <v>-0.34518336795667676</v>
      </c>
      <c r="CT427" s="1102"/>
      <c r="CU427" s="1103"/>
      <c r="CV427" s="1099"/>
      <c r="CW427" s="1099"/>
      <c r="CX427" s="1823">
        <v>-1.5460253337579202</v>
      </c>
      <c r="CY427" s="1099"/>
      <c r="CZ427" s="1102"/>
      <c r="DA427" s="1103"/>
      <c r="DB427" s="1099"/>
      <c r="DF427" s="3">
        <v>534</v>
      </c>
      <c r="DG427" s="4">
        <v>1999</v>
      </c>
      <c r="DH427" s="4">
        <v>-3.7568999999999999</v>
      </c>
      <c r="DI427" s="1172"/>
      <c r="DJ427" s="5"/>
      <c r="DK427" s="1444">
        <v>534</v>
      </c>
      <c r="DL427" s="1444">
        <v>2000</v>
      </c>
      <c r="DM427" s="1444">
        <v>-0.36818109999999998</v>
      </c>
      <c r="DN427" s="1440">
        <f t="shared" si="99"/>
        <v>-1.1045433</v>
      </c>
    </row>
    <row r="428" spans="87:118">
      <c r="CI428" s="888">
        <v>924</v>
      </c>
      <c r="CJ428" s="4" t="s">
        <v>1405</v>
      </c>
      <c r="CL428" s="1826">
        <v>-1.0407759596754458</v>
      </c>
      <c r="CN428" s="864"/>
      <c r="CO428" s="1103"/>
      <c r="CR428" s="1823">
        <v>-0.25836402180115131</v>
      </c>
      <c r="CT428" s="864"/>
      <c r="CU428" s="1103"/>
      <c r="CV428" s="1099"/>
      <c r="CW428" s="1099"/>
      <c r="CX428" s="1823">
        <v>0.43729800451842404</v>
      </c>
      <c r="CY428" s="1099"/>
      <c r="CZ428" s="864"/>
      <c r="DA428" s="1103"/>
      <c r="DB428" s="1099"/>
      <c r="DF428" s="3">
        <v>534</v>
      </c>
      <c r="DG428" s="4">
        <v>2000</v>
      </c>
      <c r="DH428" s="4">
        <v>-4.1250819999999999</v>
      </c>
      <c r="DI428" s="1172"/>
      <c r="DJ428" s="5"/>
      <c r="DK428" s="1444">
        <v>534</v>
      </c>
      <c r="DL428" s="1444">
        <v>2001</v>
      </c>
      <c r="DM428" s="1444">
        <v>-0.1230275</v>
      </c>
      <c r="DN428" s="1440">
        <f t="shared" si="99"/>
        <v>-0.36908249999999998</v>
      </c>
    </row>
    <row r="429" spans="87:118">
      <c r="CI429" s="888">
        <v>924</v>
      </c>
      <c r="CJ429" s="4" t="s">
        <v>1406</v>
      </c>
      <c r="CL429" s="1826">
        <v>-1.8703839479904678</v>
      </c>
      <c r="CN429" s="864"/>
      <c r="CO429" s="1103"/>
      <c r="CR429" s="1823">
        <v>-0.92649152833622728</v>
      </c>
      <c r="CT429" s="864"/>
      <c r="CU429" s="1103"/>
      <c r="CV429" s="1099"/>
      <c r="CW429" s="1099"/>
      <c r="CX429" s="1823">
        <v>0.2101887076900617</v>
      </c>
      <c r="CY429" s="1099"/>
      <c r="CZ429" s="864"/>
      <c r="DA429" s="1103"/>
      <c r="DB429" s="1099"/>
      <c r="DF429" s="3">
        <v>534</v>
      </c>
      <c r="DG429" s="4">
        <v>2001</v>
      </c>
      <c r="DH429" s="4">
        <v>-4.2481090000000004</v>
      </c>
      <c r="DI429" s="1172"/>
      <c r="DJ429" s="5"/>
      <c r="DK429" s="1444">
        <v>534</v>
      </c>
      <c r="DL429" s="1444">
        <v>2002</v>
      </c>
      <c r="DM429" s="1444">
        <v>0.58821009999999996</v>
      </c>
      <c r="DN429" s="1440">
        <f t="shared" si="99"/>
        <v>1.7646302999999999</v>
      </c>
    </row>
    <row r="430" spans="87:118">
      <c r="CI430" s="888">
        <v>924</v>
      </c>
      <c r="CJ430" s="4" t="s">
        <v>1407</v>
      </c>
      <c r="CL430" s="1826">
        <v>-0.61322847787113233</v>
      </c>
      <c r="CN430" s="864"/>
      <c r="CO430" s="1103"/>
      <c r="CR430" s="1823">
        <v>1.4899476289969771</v>
      </c>
      <c r="CT430" s="864"/>
      <c r="CU430" s="1103"/>
      <c r="CV430" s="1099"/>
      <c r="CW430" s="1099"/>
      <c r="CX430" s="1823">
        <v>5.2824431578503477</v>
      </c>
      <c r="CY430" s="1099"/>
      <c r="CZ430" s="864"/>
      <c r="DA430" s="1103"/>
      <c r="DB430" s="1099"/>
      <c r="DF430" s="3">
        <v>534</v>
      </c>
      <c r="DG430" s="4">
        <v>2002</v>
      </c>
      <c r="DH430" s="4">
        <v>-3.6598989999999998</v>
      </c>
      <c r="DI430" s="1172"/>
      <c r="DJ430" s="5"/>
      <c r="DK430" s="1444">
        <v>534</v>
      </c>
      <c r="DL430" s="1444">
        <v>2003</v>
      </c>
      <c r="DM430" s="1444">
        <v>1.6457200000000001</v>
      </c>
      <c r="DN430" s="1440">
        <f t="shared" si="99"/>
        <v>4.9371600000000004</v>
      </c>
    </row>
    <row r="431" spans="87:118">
      <c r="CI431" s="888">
        <v>924</v>
      </c>
      <c r="CJ431" s="4" t="s">
        <v>1408</v>
      </c>
      <c r="CL431" s="1826">
        <v>2.9369909321639271</v>
      </c>
      <c r="CN431" s="864"/>
      <c r="CO431" s="1103"/>
      <c r="CR431" s="1823">
        <v>1.223933006937223</v>
      </c>
      <c r="CT431" s="864"/>
      <c r="CU431" s="1103"/>
      <c r="CV431" s="1099"/>
      <c r="CW431" s="1099"/>
      <c r="CX431" s="1823">
        <v>4.8919850151413273</v>
      </c>
      <c r="CY431" s="1099"/>
      <c r="CZ431" s="864"/>
      <c r="DA431" s="1103"/>
      <c r="DB431" s="1099"/>
      <c r="DF431" s="3">
        <v>534</v>
      </c>
      <c r="DG431" s="4">
        <v>2003</v>
      </c>
      <c r="DH431" s="4">
        <v>-2.0141789999999999</v>
      </c>
      <c r="DI431" s="1172"/>
      <c r="DJ431" s="5"/>
      <c r="DK431" s="1444">
        <v>534</v>
      </c>
      <c r="DL431" s="1444">
        <v>2004</v>
      </c>
      <c r="DM431" s="1444">
        <v>1.7403470000000001</v>
      </c>
      <c r="DN431" s="1440">
        <f t="shared" si="99"/>
        <v>5.2210410000000005</v>
      </c>
    </row>
    <row r="432" spans="87:118">
      <c r="CI432" s="888">
        <v>924</v>
      </c>
      <c r="CJ432" s="1091" t="s">
        <v>1409</v>
      </c>
      <c r="CL432" s="1826">
        <v>-0.26076898035872631</v>
      </c>
      <c r="CN432" s="1104"/>
      <c r="CO432" s="1105"/>
      <c r="CR432" s="1824">
        <v>-2.3566164573102557</v>
      </c>
      <c r="CT432" s="1104"/>
      <c r="CU432" s="1105"/>
      <c r="CV432" s="1100"/>
      <c r="CW432" s="1100"/>
      <c r="CX432" s="1824">
        <v>-4.2398856425414255</v>
      </c>
      <c r="CY432" s="1100"/>
      <c r="CZ432" s="1104"/>
      <c r="DA432" s="1105"/>
      <c r="DB432" s="1100"/>
      <c r="DF432" s="3">
        <v>534</v>
      </c>
      <c r="DG432" s="4">
        <v>2004</v>
      </c>
      <c r="DH432" s="4">
        <v>-0.27383180000000001</v>
      </c>
      <c r="DI432" s="1172"/>
      <c r="DJ432" s="5"/>
      <c r="DK432" s="1444">
        <v>534</v>
      </c>
      <c r="DL432" s="1444">
        <v>2005</v>
      </c>
      <c r="DM432" s="1444">
        <v>0.87592460000000005</v>
      </c>
      <c r="DN432" s="1440">
        <f t="shared" si="99"/>
        <v>2.6277737999999999</v>
      </c>
    </row>
    <row r="433" spans="87:118">
      <c r="CI433" s="888">
        <v>233</v>
      </c>
      <c r="CJ433" s="4" t="s">
        <v>1410</v>
      </c>
      <c r="CL433" s="1826"/>
      <c r="CN433" s="1099">
        <v>-0.29519762314571629</v>
      </c>
      <c r="CO433" s="1106">
        <v>0.51</v>
      </c>
      <c r="CR433" s="1822"/>
      <c r="CT433" s="1102">
        <v>-0.48066691978425724</v>
      </c>
      <c r="CU433" s="1106">
        <v>0.5</v>
      </c>
      <c r="CV433" s="863"/>
      <c r="CW433" s="863"/>
      <c r="CX433" s="1822" t="e">
        <v>#N/A</v>
      </c>
      <c r="CY433" s="863"/>
      <c r="CZ433" s="1099">
        <v>-4.0802915683476382E-2</v>
      </c>
      <c r="DA433" s="1106">
        <v>0.66</v>
      </c>
      <c r="DB433" s="863"/>
      <c r="DF433" s="3">
        <v>534</v>
      </c>
      <c r="DG433" s="4">
        <v>2005</v>
      </c>
      <c r="DH433" s="4">
        <v>0.60209279999999998</v>
      </c>
      <c r="DI433" s="1172"/>
      <c r="DJ433" s="5"/>
      <c r="DK433" s="1444">
        <v>534</v>
      </c>
      <c r="DL433" s="1444">
        <v>2006</v>
      </c>
      <c r="DM433" s="1444">
        <v>0.27288950000000001</v>
      </c>
      <c r="DN433" s="1440">
        <f t="shared" si="99"/>
        <v>0.81866850000000002</v>
      </c>
    </row>
    <row r="434" spans="87:118">
      <c r="CI434" s="888">
        <v>233</v>
      </c>
      <c r="CJ434" s="4"/>
      <c r="CL434" s="1826"/>
      <c r="CN434" s="1102"/>
      <c r="CO434" s="1103"/>
      <c r="CR434" s="1822"/>
      <c r="CT434" s="1102"/>
      <c r="CU434" s="1103"/>
      <c r="CV434" s="863"/>
      <c r="CW434" s="863"/>
      <c r="CX434" s="1822" t="e">
        <v>#N/A</v>
      </c>
      <c r="CY434" s="863"/>
      <c r="CZ434" s="1102"/>
      <c r="DA434" s="1103"/>
      <c r="DB434" s="863"/>
      <c r="DF434" s="3">
        <v>534</v>
      </c>
      <c r="DG434" s="4">
        <v>2006</v>
      </c>
      <c r="DH434" s="4">
        <v>0.87498220000000004</v>
      </c>
      <c r="DI434" s="1172"/>
      <c r="DJ434" s="5"/>
      <c r="DK434" s="1444">
        <v>534</v>
      </c>
      <c r="DL434" s="1444">
        <v>2007</v>
      </c>
      <c r="DM434" s="1444">
        <v>0.55365589999999998</v>
      </c>
      <c r="DN434" s="1440">
        <f t="shared" si="99"/>
        <v>1.6609677</v>
      </c>
    </row>
    <row r="435" spans="87:118">
      <c r="CI435" s="888">
        <v>233</v>
      </c>
      <c r="CJ435" s="4"/>
      <c r="CL435" s="1826"/>
      <c r="CN435" s="1102"/>
      <c r="CO435" s="1103"/>
      <c r="CR435" s="1822"/>
      <c r="CT435" s="1102"/>
      <c r="CU435" s="1103"/>
      <c r="CV435" s="863"/>
      <c r="CW435" s="863"/>
      <c r="CX435" s="1822" t="e">
        <v>#N/A</v>
      </c>
      <c r="CY435" s="863"/>
      <c r="CZ435" s="1102"/>
      <c r="DA435" s="1103"/>
      <c r="DB435" s="863"/>
      <c r="DF435" s="3">
        <v>534</v>
      </c>
      <c r="DG435" s="4">
        <v>2007</v>
      </c>
      <c r="DH435" s="4">
        <v>1.4286380000000001</v>
      </c>
      <c r="DI435" s="1172"/>
      <c r="DJ435" s="5"/>
      <c r="DK435" s="1444">
        <v>534</v>
      </c>
      <c r="DL435" s="1444">
        <v>2008</v>
      </c>
      <c r="DM435" s="1444">
        <v>-0.4286045</v>
      </c>
      <c r="DN435" s="1440">
        <f t="shared" si="99"/>
        <v>-1.2858134999999999</v>
      </c>
    </row>
    <row r="436" spans="87:118">
      <c r="CI436" s="888">
        <v>233</v>
      </c>
      <c r="CJ436" s="4"/>
      <c r="CL436" s="1826"/>
      <c r="CN436" s="1102"/>
      <c r="CO436" s="1103"/>
      <c r="CR436" s="1825"/>
      <c r="CT436" s="1102"/>
      <c r="CU436" s="1103"/>
      <c r="CV436" s="1099"/>
      <c r="CW436" s="1099"/>
      <c r="CX436" s="1825" t="e">
        <v>#N/A</v>
      </c>
      <c r="CY436" s="1099"/>
      <c r="CZ436" s="1102"/>
      <c r="DA436" s="1103"/>
      <c r="DB436" s="1099"/>
      <c r="DF436" s="3">
        <v>534</v>
      </c>
      <c r="DG436" s="4">
        <v>2008</v>
      </c>
      <c r="DH436" s="4">
        <v>1.0000340000000001</v>
      </c>
      <c r="DI436" s="1172"/>
      <c r="DJ436" s="5"/>
      <c r="DK436" s="1444">
        <v>534</v>
      </c>
      <c r="DL436" s="1444">
        <v>2009</v>
      </c>
      <c r="DM436" s="1444">
        <v>-1.5095430000000001</v>
      </c>
      <c r="DN436" s="1440">
        <f t="shared" si="99"/>
        <v>-4.5286290000000005</v>
      </c>
    </row>
    <row r="437" spans="87:118">
      <c r="CI437" s="888">
        <v>233</v>
      </c>
      <c r="CJ437" s="4" t="s">
        <v>2430</v>
      </c>
      <c r="CL437" s="1826">
        <v>-1.2004458719142574</v>
      </c>
      <c r="CN437" s="1102"/>
      <c r="CO437" s="1103"/>
      <c r="CR437" s="1823">
        <v>-0.48066691978425724</v>
      </c>
      <c r="CT437" s="1102"/>
      <c r="CU437" s="1103"/>
      <c r="CV437" s="1099"/>
      <c r="CW437" s="1099"/>
      <c r="CX437" s="1823">
        <v>1.3708635418885402</v>
      </c>
      <c r="CY437" s="1099"/>
      <c r="CZ437" s="1102"/>
      <c r="DA437" s="1103"/>
      <c r="DB437" s="1099"/>
      <c r="DF437" s="3">
        <v>534</v>
      </c>
      <c r="DG437" s="4">
        <v>2009</v>
      </c>
      <c r="DH437" s="4">
        <v>-0.5095092</v>
      </c>
      <c r="DI437" s="1172"/>
      <c r="DJ437" s="5"/>
      <c r="DK437" s="1444">
        <v>534</v>
      </c>
      <c r="DL437" s="1444">
        <v>2010</v>
      </c>
      <c r="DM437" s="1444">
        <v>-1.9915970000000001</v>
      </c>
      <c r="DN437" s="1440">
        <f t="shared" si="99"/>
        <v>-5.9747909999999997</v>
      </c>
    </row>
    <row r="438" spans="87:118">
      <c r="CI438" s="888">
        <v>233</v>
      </c>
      <c r="CJ438" s="4" t="s">
        <v>2298</v>
      </c>
      <c r="CL438" s="1826">
        <v>-1.6598517004564437</v>
      </c>
      <c r="CN438" s="1102"/>
      <c r="CO438" s="1103"/>
      <c r="CR438" s="1823">
        <v>0.17728227827263696</v>
      </c>
      <c r="CT438" s="1102"/>
      <c r="CU438" s="1103"/>
      <c r="CV438" s="1099"/>
      <c r="CW438" s="1099"/>
      <c r="CX438" s="1823">
        <v>1.2429682712744019</v>
      </c>
      <c r="CY438" s="1099"/>
      <c r="CZ438" s="1102"/>
      <c r="DA438" s="1103"/>
      <c r="DB438" s="1099"/>
      <c r="DF438" s="3">
        <v>534</v>
      </c>
      <c r="DG438" s="4">
        <v>2010</v>
      </c>
      <c r="DH438" s="4">
        <v>-2.5011060000000001</v>
      </c>
      <c r="DI438" s="1172"/>
      <c r="DJ438" s="5"/>
      <c r="DK438" s="1444">
        <v>536</v>
      </c>
      <c r="DL438" s="1444">
        <v>1999</v>
      </c>
      <c r="DM438" s="1444">
        <v>0.35447099999999998</v>
      </c>
      <c r="DN438" s="1440">
        <f t="shared" si="99"/>
        <v>1.0634129999999999</v>
      </c>
    </row>
    <row r="439" spans="87:118">
      <c r="CI439" s="888">
        <v>233</v>
      </c>
      <c r="CJ439" s="4" t="s">
        <v>1411</v>
      </c>
      <c r="CL439" s="1826">
        <v>-1.4218373562964568</v>
      </c>
      <c r="CN439" s="1102"/>
      <c r="CO439" s="1103"/>
      <c r="CR439" s="1823">
        <v>-1.7162150652770052</v>
      </c>
      <c r="CT439" s="1102"/>
      <c r="CU439" s="1103"/>
      <c r="CV439" s="1099"/>
      <c r="CW439" s="1099"/>
      <c r="CX439" s="1823">
        <v>-4.0802915683476382E-2</v>
      </c>
      <c r="CY439" s="1099"/>
      <c r="CZ439" s="1102"/>
      <c r="DA439" s="1103"/>
      <c r="DB439" s="1099"/>
      <c r="DF439" s="3">
        <v>536</v>
      </c>
      <c r="DG439" s="4">
        <v>1999</v>
      </c>
      <c r="DH439" s="4">
        <v>1.3954299999999999</v>
      </c>
      <c r="DI439" s="1172"/>
      <c r="DJ439" s="5"/>
      <c r="DK439" s="1444">
        <v>536</v>
      </c>
      <c r="DL439" s="1444">
        <v>2000</v>
      </c>
      <c r="DM439" s="1444">
        <v>0.57425579999999998</v>
      </c>
      <c r="DN439" s="1440">
        <f t="shared" si="99"/>
        <v>1.7227673999999999</v>
      </c>
    </row>
    <row r="440" spans="87:118">
      <c r="CI440" s="888">
        <v>233</v>
      </c>
      <c r="CJ440" s="4" t="s">
        <v>1412</v>
      </c>
      <c r="CL440" s="1826">
        <v>-0.12875753624225439</v>
      </c>
      <c r="CN440" s="1102"/>
      <c r="CO440" s="1103"/>
      <c r="CR440" s="1823">
        <v>-0.60612639963433856</v>
      </c>
      <c r="CT440" s="1102"/>
      <c r="CU440" s="1103"/>
      <c r="CV440" s="1099"/>
      <c r="CW440" s="1099"/>
      <c r="CX440" s="1823">
        <v>-0.82928320571519865</v>
      </c>
      <c r="CY440" s="1099"/>
      <c r="CZ440" s="1102"/>
      <c r="DA440" s="1103"/>
      <c r="DB440" s="1099"/>
      <c r="DF440" s="3">
        <v>536</v>
      </c>
      <c r="DG440" s="4">
        <v>2000</v>
      </c>
      <c r="DH440" s="4">
        <v>1.969686</v>
      </c>
      <c r="DI440" s="1172"/>
      <c r="DJ440" s="5"/>
      <c r="DK440" s="1444">
        <v>536</v>
      </c>
      <c r="DL440" s="1444">
        <v>2001</v>
      </c>
      <c r="DM440" s="1444">
        <v>0.90697119999999998</v>
      </c>
      <c r="DN440" s="1440">
        <f t="shared" si="99"/>
        <v>2.7209135999999998</v>
      </c>
    </row>
    <row r="441" spans="87:118">
      <c r="CI441" s="888">
        <v>233</v>
      </c>
      <c r="CJ441" s="4" t="s">
        <v>1413</v>
      </c>
      <c r="CL441" s="1826">
        <v>0.50576556150022434</v>
      </c>
      <c r="CN441" s="864"/>
      <c r="CO441" s="1103"/>
      <c r="CR441" s="1823">
        <v>1.0681318495842125</v>
      </c>
      <c r="CT441" s="864"/>
      <c r="CU441" s="1103"/>
      <c r="CV441" s="1099"/>
      <c r="CW441" s="1099"/>
      <c r="CX441" s="1823">
        <v>-0.66825356288855775</v>
      </c>
      <c r="CY441" s="1099"/>
      <c r="CZ441" s="864"/>
      <c r="DA441" s="1103"/>
      <c r="DB441" s="1099"/>
      <c r="DF441" s="3">
        <v>536</v>
      </c>
      <c r="DG441" s="4">
        <v>2001</v>
      </c>
      <c r="DH441" s="4">
        <v>2.8766569999999998</v>
      </c>
      <c r="DI441" s="1172"/>
      <c r="DJ441" s="5"/>
      <c r="DK441" s="1444">
        <v>536</v>
      </c>
      <c r="DL441" s="1444">
        <v>2002</v>
      </c>
      <c r="DM441" s="1444">
        <v>0.55387330000000001</v>
      </c>
      <c r="DN441" s="1440">
        <f t="shared" si="99"/>
        <v>1.6616199</v>
      </c>
    </row>
    <row r="442" spans="87:118">
      <c r="CI442" s="888">
        <v>233</v>
      </c>
      <c r="CJ442" s="4" t="s">
        <v>1414</v>
      </c>
      <c r="CL442" s="1826">
        <v>-0.29519762314571629</v>
      </c>
      <c r="CN442" s="864"/>
      <c r="CO442" s="1103"/>
      <c r="CR442" s="1823">
        <v>1.0584385119456234</v>
      </c>
      <c r="CT442" s="864"/>
      <c r="CU442" s="1103"/>
      <c r="CV442" s="1099"/>
      <c r="CW442" s="1099"/>
      <c r="CX442" s="1823">
        <v>2.7534183768029408E-2</v>
      </c>
      <c r="CY442" s="1099"/>
      <c r="CZ442" s="864"/>
      <c r="DA442" s="1103"/>
      <c r="DB442" s="1099"/>
      <c r="DF442" s="3">
        <v>536</v>
      </c>
      <c r="DG442" s="4">
        <v>2002</v>
      </c>
      <c r="DH442" s="4">
        <v>3.4305310000000002</v>
      </c>
      <c r="DI442" s="1172"/>
      <c r="DJ442" s="5"/>
      <c r="DK442" s="1444">
        <v>536</v>
      </c>
      <c r="DL442" s="1444">
        <v>2003</v>
      </c>
      <c r="DM442" s="1444">
        <v>0.1899739</v>
      </c>
      <c r="DN442" s="1440">
        <f t="shared" si="99"/>
        <v>0.56992169999999998</v>
      </c>
    </row>
    <row r="443" spans="87:118">
      <c r="CI443" s="888">
        <v>233</v>
      </c>
      <c r="CJ443" s="4" t="s">
        <v>1415</v>
      </c>
      <c r="CL443" s="1826">
        <v>2.6453288867848315</v>
      </c>
      <c r="CN443" s="864"/>
      <c r="CO443" s="1103"/>
      <c r="CR443" s="1823">
        <v>0.94805875975708076</v>
      </c>
      <c r="CT443" s="864"/>
      <c r="CU443" s="1103"/>
      <c r="CV443" s="1099"/>
      <c r="CW443" s="1099"/>
      <c r="CX443" s="1823">
        <v>2.2906542996378199</v>
      </c>
      <c r="CY443" s="1099"/>
      <c r="CZ443" s="864"/>
      <c r="DA443" s="1103"/>
      <c r="DB443" s="1099"/>
      <c r="DF443" s="3">
        <v>536</v>
      </c>
      <c r="DG443" s="4">
        <v>2003</v>
      </c>
      <c r="DH443" s="4">
        <v>3.6205050000000001</v>
      </c>
      <c r="DI443" s="1172"/>
      <c r="DJ443" s="5"/>
      <c r="DK443" s="1444">
        <v>536</v>
      </c>
      <c r="DL443" s="1444">
        <v>2004</v>
      </c>
      <c r="DM443" s="1444">
        <v>-0.3735038</v>
      </c>
      <c r="DN443" s="1440">
        <f t="shared" si="99"/>
        <v>-1.1205114</v>
      </c>
    </row>
    <row r="444" spans="87:118">
      <c r="CI444" s="888">
        <v>233</v>
      </c>
      <c r="CJ444" s="4" t="s">
        <v>1416</v>
      </c>
      <c r="CL444" s="1826">
        <v>2.7511851735726403</v>
      </c>
      <c r="CN444" s="864"/>
      <c r="CO444" s="1103"/>
      <c r="CR444" s="1823">
        <v>-1.8023427599630171</v>
      </c>
      <c r="CT444" s="864"/>
      <c r="CU444" s="1103"/>
      <c r="CV444" s="1099"/>
      <c r="CW444" s="1099"/>
      <c r="CX444" s="1823">
        <v>-1.1736036343204392</v>
      </c>
      <c r="CY444" s="1099"/>
      <c r="CZ444" s="864"/>
      <c r="DA444" s="1103"/>
      <c r="DB444" s="1099"/>
      <c r="DF444" s="3">
        <v>536</v>
      </c>
      <c r="DG444" s="4">
        <v>2004</v>
      </c>
      <c r="DH444" s="4">
        <v>3.247001</v>
      </c>
      <c r="DI444" s="1172"/>
      <c r="DJ444" s="5"/>
      <c r="DK444" s="1444">
        <v>564</v>
      </c>
      <c r="DL444" s="1444">
        <v>1990</v>
      </c>
      <c r="DM444" s="1444">
        <v>2.5208050000000002</v>
      </c>
      <c r="DN444" s="1440">
        <f t="shared" si="99"/>
        <v>7.5624150000000006</v>
      </c>
    </row>
    <row r="445" spans="87:118">
      <c r="CI445" s="888">
        <v>233</v>
      </c>
      <c r="CJ445" s="1091" t="s">
        <v>1417</v>
      </c>
      <c r="CL445" s="1826">
        <v>-3.048080369589</v>
      </c>
      <c r="CN445" s="1104"/>
      <c r="CO445" s="1105"/>
      <c r="CR445" s="1824">
        <v>-2.861580112738106</v>
      </c>
      <c r="CT445" s="1104"/>
      <c r="CU445" s="1105"/>
      <c r="CV445" s="1100"/>
      <c r="CW445" s="1100"/>
      <c r="CX445" s="1824">
        <v>-1.095737498071951</v>
      </c>
      <c r="CY445" s="1100"/>
      <c r="CZ445" s="1104"/>
      <c r="DA445" s="1105"/>
      <c r="DB445" s="1100"/>
      <c r="DF445" s="3">
        <v>564</v>
      </c>
      <c r="DG445" s="4">
        <v>1990</v>
      </c>
      <c r="DH445" s="4">
        <v>-2.8840460000000001</v>
      </c>
      <c r="DI445" s="1172"/>
      <c r="DJ445" s="5"/>
      <c r="DK445" s="1444">
        <v>564</v>
      </c>
      <c r="DL445" s="1444">
        <v>1991</v>
      </c>
      <c r="DM445" s="1444">
        <v>1.557884</v>
      </c>
      <c r="DN445" s="1440">
        <f t="shared" si="99"/>
        <v>4.6736520000000006</v>
      </c>
    </row>
    <row r="446" spans="87:118">
      <c r="CI446" s="888">
        <v>238</v>
      </c>
      <c r="CJ446" s="4" t="s">
        <v>1418</v>
      </c>
      <c r="CL446" s="1826"/>
      <c r="CN446" s="1099">
        <v>-5.6367794564673446E-3</v>
      </c>
      <c r="CO446" s="1106">
        <v>0.7</v>
      </c>
      <c r="CR446" s="1822"/>
      <c r="CT446" s="1102">
        <v>-0.70326033571616642</v>
      </c>
      <c r="CU446" s="1106">
        <v>0.45</v>
      </c>
      <c r="CV446" s="863"/>
      <c r="CW446" s="863"/>
      <c r="CX446" s="1822" t="e">
        <v>#N/A</v>
      </c>
      <c r="CY446" s="863"/>
      <c r="CZ446" s="1099">
        <v>-1.5049845793707317</v>
      </c>
      <c r="DA446" s="1106">
        <v>0.11</v>
      </c>
      <c r="DB446" s="863"/>
      <c r="DF446" s="3">
        <v>564</v>
      </c>
      <c r="DG446" s="4">
        <v>1991</v>
      </c>
      <c r="DH446" s="4">
        <v>-1.326163</v>
      </c>
      <c r="DI446" s="1172"/>
      <c r="DJ446" s="5"/>
      <c r="DK446" s="1444">
        <v>564</v>
      </c>
      <c r="DL446" s="1444">
        <v>1992</v>
      </c>
      <c r="DM446" s="1444">
        <v>0.17766850000000001</v>
      </c>
      <c r="DN446" s="1440">
        <f t="shared" si="99"/>
        <v>0.53300550000000002</v>
      </c>
    </row>
    <row r="447" spans="87:118">
      <c r="CI447" s="888">
        <v>238</v>
      </c>
      <c r="CJ447" s="4"/>
      <c r="CL447" s="1826"/>
      <c r="CN447" s="1102"/>
      <c r="CO447" s="1103"/>
      <c r="CR447" s="1822"/>
      <c r="CT447" s="1102"/>
      <c r="CU447" s="1103"/>
      <c r="CV447" s="863"/>
      <c r="CW447" s="863"/>
      <c r="CX447" s="1822" t="e">
        <v>#N/A</v>
      </c>
      <c r="CY447" s="863"/>
      <c r="CZ447" s="1102"/>
      <c r="DA447" s="1103"/>
      <c r="DB447" s="863"/>
      <c r="DF447" s="3">
        <v>564</v>
      </c>
      <c r="DG447" s="4">
        <v>1992</v>
      </c>
      <c r="DH447" s="4">
        <v>-1.1484939999999999</v>
      </c>
      <c r="DI447" s="1172"/>
      <c r="DJ447" s="5"/>
      <c r="DK447" s="1444">
        <v>564</v>
      </c>
      <c r="DL447" s="1444">
        <v>1993</v>
      </c>
      <c r="DM447" s="1444">
        <v>-0.49392350000000002</v>
      </c>
      <c r="DN447" s="1440">
        <f t="shared" si="99"/>
        <v>-1.4817705000000001</v>
      </c>
    </row>
    <row r="448" spans="87:118">
      <c r="CI448" s="888">
        <v>238</v>
      </c>
      <c r="CJ448" s="4"/>
      <c r="CL448" s="1826"/>
      <c r="CN448" s="1102"/>
      <c r="CO448" s="1103"/>
      <c r="CR448" s="1822"/>
      <c r="CT448" s="1102"/>
      <c r="CU448" s="1103"/>
      <c r="CV448" s="863"/>
      <c r="CW448" s="863"/>
      <c r="CX448" s="1822" t="e">
        <v>#N/A</v>
      </c>
      <c r="CY448" s="863"/>
      <c r="CZ448" s="1102"/>
      <c r="DA448" s="1103"/>
      <c r="DB448" s="863"/>
      <c r="DF448" s="3">
        <v>564</v>
      </c>
      <c r="DG448" s="4">
        <v>1993</v>
      </c>
      <c r="DH448" s="4">
        <v>-1.6424179999999999</v>
      </c>
      <c r="DI448" s="1172"/>
      <c r="DJ448" s="5"/>
      <c r="DK448" s="1444">
        <v>564</v>
      </c>
      <c r="DL448" s="1444">
        <v>1994</v>
      </c>
      <c r="DM448" s="1444">
        <v>0.14731620000000001</v>
      </c>
      <c r="DN448" s="1440">
        <f t="shared" si="99"/>
        <v>0.44194860000000002</v>
      </c>
    </row>
    <row r="449" spans="87:118">
      <c r="CI449" s="888">
        <v>238</v>
      </c>
      <c r="CJ449" s="4"/>
      <c r="CL449" s="1826"/>
      <c r="CN449" s="1102"/>
      <c r="CO449" s="1103"/>
      <c r="CR449" s="1825"/>
      <c r="CT449" s="1102"/>
      <c r="CU449" s="1103"/>
      <c r="CV449" s="1099"/>
      <c r="CW449" s="1099"/>
      <c r="CX449" s="1825" t="e">
        <v>#N/A</v>
      </c>
      <c r="CY449" s="1099"/>
      <c r="CZ449" s="1102"/>
      <c r="DA449" s="1103"/>
      <c r="DB449" s="1099"/>
      <c r="DF449" s="3">
        <v>564</v>
      </c>
      <c r="DG449" s="4">
        <v>1994</v>
      </c>
      <c r="DH449" s="4">
        <v>-1.4951019999999999</v>
      </c>
      <c r="DI449" s="1172"/>
      <c r="DJ449" s="5"/>
      <c r="DK449" s="1444">
        <v>564</v>
      </c>
      <c r="DL449" s="1444">
        <v>1995</v>
      </c>
      <c r="DM449" s="1444">
        <v>0.1377815</v>
      </c>
      <c r="DN449" s="1440">
        <f t="shared" si="99"/>
        <v>0.4133445</v>
      </c>
    </row>
    <row r="450" spans="87:118">
      <c r="CI450" s="888">
        <v>238</v>
      </c>
      <c r="CJ450" s="4" t="s">
        <v>2431</v>
      </c>
      <c r="CL450" s="1826">
        <v>-1.0499999999997147</v>
      </c>
      <c r="CN450" s="1102"/>
      <c r="CO450" s="1103"/>
      <c r="CR450" s="1823">
        <v>-1.5932000704711793</v>
      </c>
      <c r="CT450" s="1102"/>
      <c r="CU450" s="1103"/>
      <c r="CV450" s="1099"/>
      <c r="CW450" s="1099"/>
      <c r="CX450" s="1823">
        <v>-1.5270358451674499</v>
      </c>
      <c r="CY450" s="1099"/>
      <c r="CZ450" s="1102"/>
      <c r="DA450" s="1103"/>
      <c r="DB450" s="1099"/>
      <c r="DF450" s="3">
        <v>564</v>
      </c>
      <c r="DG450" s="4">
        <v>1995</v>
      </c>
      <c r="DH450" s="4">
        <v>-1.3573200000000001</v>
      </c>
      <c r="DI450" s="1172"/>
      <c r="DJ450" s="5"/>
      <c r="DK450" s="1444">
        <v>564</v>
      </c>
      <c r="DL450" s="1444">
        <v>1996</v>
      </c>
      <c r="DM450" s="1444">
        <v>0.17950430000000001</v>
      </c>
      <c r="DN450" s="1440">
        <f t="shared" si="99"/>
        <v>0.53851289999999996</v>
      </c>
    </row>
    <row r="451" spans="87:118">
      <c r="CI451" s="888">
        <v>238</v>
      </c>
      <c r="CJ451" s="4" t="s">
        <v>2299</v>
      </c>
      <c r="CL451" s="1826">
        <v>0.10837279468998773</v>
      </c>
      <c r="CN451" s="1102"/>
      <c r="CO451" s="1103"/>
      <c r="CR451" s="1823">
        <v>-0.54651605266660441</v>
      </c>
      <c r="CT451" s="1102"/>
      <c r="CU451" s="1103"/>
      <c r="CV451" s="1099"/>
      <c r="CW451" s="1099"/>
      <c r="CX451" s="1823">
        <v>-1.5049845793707317</v>
      </c>
      <c r="CY451" s="1099"/>
      <c r="CZ451" s="1102"/>
      <c r="DA451" s="1103"/>
      <c r="DB451" s="1099"/>
      <c r="DF451" s="3">
        <v>564</v>
      </c>
      <c r="DG451" s="4">
        <v>1996</v>
      </c>
      <c r="DH451" s="4">
        <v>-1.177816</v>
      </c>
      <c r="DI451" s="1172"/>
      <c r="DJ451" s="5"/>
      <c r="DK451" s="1444">
        <v>564</v>
      </c>
      <c r="DL451" s="1444">
        <v>1997</v>
      </c>
      <c r="DM451" s="1444">
        <v>-2.9674900000000001E-2</v>
      </c>
      <c r="DN451" s="1440">
        <f t="shared" si="99"/>
        <v>-8.9024699999999998E-2</v>
      </c>
    </row>
    <row r="452" spans="87:118">
      <c r="CI452" s="888">
        <v>238</v>
      </c>
      <c r="CJ452" s="4" t="s">
        <v>1419</v>
      </c>
      <c r="CL452" s="1826">
        <v>0.62326686272711385</v>
      </c>
      <c r="CN452" s="1102"/>
      <c r="CO452" s="1103"/>
      <c r="CR452" s="1823">
        <v>0.21475811768840769</v>
      </c>
      <c r="CT452" s="1102"/>
      <c r="CU452" s="1103"/>
      <c r="CV452" s="1099"/>
      <c r="CW452" s="1099"/>
      <c r="CX452" s="1823">
        <v>-2.6002612536606433</v>
      </c>
      <c r="CY452" s="1099"/>
      <c r="CZ452" s="1102"/>
      <c r="DA452" s="1103"/>
      <c r="DB452" s="1099"/>
      <c r="DF452" s="3">
        <v>564</v>
      </c>
      <c r="DG452" s="4">
        <v>1997</v>
      </c>
      <c r="DH452" s="4">
        <v>-1.2074910000000001</v>
      </c>
      <c r="DI452" s="1172"/>
      <c r="DJ452" s="5"/>
      <c r="DK452" s="1444">
        <v>564</v>
      </c>
      <c r="DL452" s="1444">
        <v>1998</v>
      </c>
      <c r="DM452" s="1444">
        <v>0.73322730000000003</v>
      </c>
      <c r="DN452" s="1440">
        <f t="shared" ref="DN452:DN503" si="100">DM452*3</f>
        <v>2.1996818999999999</v>
      </c>
    </row>
    <row r="453" spans="87:118">
      <c r="CI453" s="888">
        <v>238</v>
      </c>
      <c r="CJ453" s="4" t="s">
        <v>1420</v>
      </c>
      <c r="CL453" s="1826">
        <v>-1.4345098135672023</v>
      </c>
      <c r="CN453" s="1102"/>
      <c r="CO453" s="1103"/>
      <c r="CR453" s="1823">
        <v>-0.39735609348061951</v>
      </c>
      <c r="CT453" s="1102"/>
      <c r="CU453" s="1103"/>
      <c r="CV453" s="1099"/>
      <c r="CW453" s="1099"/>
      <c r="CX453" s="1823">
        <v>-0.62785386543257182</v>
      </c>
      <c r="CY453" s="1099"/>
      <c r="CZ453" s="1102"/>
      <c r="DA453" s="1103"/>
      <c r="DB453" s="1099"/>
      <c r="DF453" s="3">
        <v>564</v>
      </c>
      <c r="DG453" s="4">
        <v>1998</v>
      </c>
      <c r="DH453" s="4">
        <v>-0.47426360000000001</v>
      </c>
      <c r="DI453" s="1172"/>
      <c r="DJ453" s="5"/>
      <c r="DK453" s="1444">
        <v>564</v>
      </c>
      <c r="DL453" s="1444">
        <v>1999</v>
      </c>
      <c r="DM453" s="1444">
        <v>1.3512139999999999</v>
      </c>
      <c r="DN453" s="1440">
        <f t="shared" si="100"/>
        <v>4.053642</v>
      </c>
    </row>
    <row r="454" spans="87:118">
      <c r="CI454" s="888">
        <v>238</v>
      </c>
      <c r="CJ454" s="4" t="s">
        <v>1421</v>
      </c>
      <c r="CL454" s="1826">
        <v>-0.76272602919024113</v>
      </c>
      <c r="CN454" s="864"/>
      <c r="CO454" s="1103"/>
      <c r="CR454" s="1823">
        <v>-1.8156687770042446</v>
      </c>
      <c r="CT454" s="864"/>
      <c r="CU454" s="1103"/>
      <c r="CV454" s="1099"/>
      <c r="CW454" s="1099"/>
      <c r="CX454" s="1823">
        <v>-1.5229817747397885</v>
      </c>
      <c r="CY454" s="1099"/>
      <c r="CZ454" s="864"/>
      <c r="DA454" s="1103"/>
      <c r="DB454" s="1099"/>
      <c r="DF454" s="3">
        <v>564</v>
      </c>
      <c r="DG454" s="4">
        <v>1999</v>
      </c>
      <c r="DH454" s="4">
        <v>0.87695060000000002</v>
      </c>
      <c r="DI454" s="1172"/>
      <c r="DJ454" s="5"/>
      <c r="DK454" s="1444">
        <v>564</v>
      </c>
      <c r="DL454" s="1444">
        <v>2000</v>
      </c>
      <c r="DM454" s="1444">
        <v>1.025658</v>
      </c>
      <c r="DN454" s="1440">
        <f t="shared" si="100"/>
        <v>3.0769739999999999</v>
      </c>
    </row>
    <row r="455" spans="87:118">
      <c r="CI455" s="888">
        <v>238</v>
      </c>
      <c r="CJ455" s="4" t="s">
        <v>1422</v>
      </c>
      <c r="CL455" s="1826">
        <v>0.73385193000091675</v>
      </c>
      <c r="CN455" s="864"/>
      <c r="CO455" s="1103"/>
      <c r="CR455" s="1823">
        <v>-0.58739345839026247</v>
      </c>
      <c r="CT455" s="864"/>
      <c r="CU455" s="1103"/>
      <c r="CV455" s="1099"/>
      <c r="CW455" s="1099"/>
      <c r="CX455" s="1823">
        <v>-1.5093409507996114</v>
      </c>
      <c r="CY455" s="1099"/>
      <c r="CZ455" s="864"/>
      <c r="DA455" s="1103"/>
      <c r="DB455" s="1099"/>
      <c r="DF455" s="3">
        <v>564</v>
      </c>
      <c r="DG455" s="4">
        <v>2000</v>
      </c>
      <c r="DH455" s="4">
        <v>1.902609</v>
      </c>
      <c r="DI455" s="1172"/>
      <c r="DJ455" s="5"/>
      <c r="DK455" s="1444">
        <v>564</v>
      </c>
      <c r="DL455" s="1444">
        <v>2001</v>
      </c>
      <c r="DM455" s="1444">
        <v>0.80900819999999996</v>
      </c>
      <c r="DN455" s="1440">
        <f t="shared" si="100"/>
        <v>2.4270245999999998</v>
      </c>
    </row>
    <row r="456" spans="87:118">
      <c r="CI456" s="888">
        <v>238</v>
      </c>
      <c r="CJ456" s="4" t="s">
        <v>1423</v>
      </c>
      <c r="CL456" s="1826">
        <v>-5.6367794564673446E-3</v>
      </c>
      <c r="CN456" s="864"/>
      <c r="CO456" s="1103"/>
      <c r="CR456" s="1823">
        <v>-0.70326033571616642</v>
      </c>
      <c r="CT456" s="864"/>
      <c r="CU456" s="1103"/>
      <c r="CV456" s="1099"/>
      <c r="CW456" s="1099"/>
      <c r="CX456" s="1823">
        <v>-1.2452073600433122</v>
      </c>
      <c r="CY456" s="1099"/>
      <c r="CZ456" s="864"/>
      <c r="DA456" s="1103"/>
      <c r="DB456" s="1099"/>
      <c r="DF456" s="3">
        <v>564</v>
      </c>
      <c r="DG456" s="4">
        <v>2001</v>
      </c>
      <c r="DH456" s="4">
        <v>2.7116169999999999</v>
      </c>
      <c r="DI456" s="1172"/>
      <c r="DJ456" s="5"/>
      <c r="DK456" s="1444">
        <v>564</v>
      </c>
      <c r="DL456" s="1444">
        <v>2002</v>
      </c>
      <c r="DM456" s="1444">
        <v>0.1801662</v>
      </c>
      <c r="DN456" s="1440">
        <f t="shared" si="100"/>
        <v>0.54049860000000005</v>
      </c>
    </row>
    <row r="457" spans="87:118">
      <c r="CI457" s="888">
        <v>238</v>
      </c>
      <c r="CJ457" s="4" t="s">
        <v>1424</v>
      </c>
      <c r="CL457" s="1826">
        <v>3.1798793196569877</v>
      </c>
      <c r="CN457" s="864"/>
      <c r="CO457" s="1103"/>
      <c r="CR457" s="1823">
        <v>-1.7381960028530847</v>
      </c>
      <c r="CT457" s="864"/>
      <c r="CU457" s="1103"/>
      <c r="CV457" s="1099"/>
      <c r="CW457" s="1099"/>
      <c r="CX457" s="1823">
        <v>0.16375969216011121</v>
      </c>
      <c r="CY457" s="1099"/>
      <c r="CZ457" s="864"/>
      <c r="DA457" s="1103"/>
      <c r="DB457" s="1099"/>
      <c r="DF457" s="3">
        <v>564</v>
      </c>
      <c r="DG457" s="4">
        <v>2002</v>
      </c>
      <c r="DH457" s="4">
        <v>2.8917830000000002</v>
      </c>
      <c r="DI457" s="1172"/>
      <c r="DJ457" s="5"/>
      <c r="DK457" s="1444">
        <v>564</v>
      </c>
      <c r="DL457" s="1444">
        <v>2003</v>
      </c>
      <c r="DM457" s="1444">
        <v>1.1171979999999999</v>
      </c>
      <c r="DN457" s="1440">
        <f t="shared" si="100"/>
        <v>3.3515939999999995</v>
      </c>
    </row>
    <row r="458" spans="87:118">
      <c r="CI458" s="888">
        <v>238</v>
      </c>
      <c r="CJ458" s="1091" t="s">
        <v>1425</v>
      </c>
      <c r="CL458" s="1826">
        <v>-5.2908977081734552</v>
      </c>
      <c r="CN458" s="1104"/>
      <c r="CO458" s="1105"/>
      <c r="CR458" s="1824">
        <v>-4.6292025180148233</v>
      </c>
      <c r="CT458" s="1104"/>
      <c r="CU458" s="1105"/>
      <c r="CV458" s="1100"/>
      <c r="CW458" s="1100"/>
      <c r="CX458" s="1824">
        <v>0.77920335518880801</v>
      </c>
      <c r="CY458" s="1100"/>
      <c r="CZ458" s="1104"/>
      <c r="DA458" s="1105"/>
      <c r="DB458" s="1100"/>
      <c r="DF458" s="3">
        <v>564</v>
      </c>
      <c r="DG458" s="4">
        <v>2003</v>
      </c>
      <c r="DH458" s="4">
        <v>4.0089810000000003</v>
      </c>
      <c r="DI458" s="1172"/>
      <c r="DJ458" s="5"/>
      <c r="DK458" s="1444">
        <v>564</v>
      </c>
      <c r="DL458" s="1444">
        <v>2004</v>
      </c>
      <c r="DM458" s="1444">
        <v>-9.3967300000000004E-2</v>
      </c>
      <c r="DN458" s="1440">
        <f t="shared" si="100"/>
        <v>-0.28190190000000004</v>
      </c>
    </row>
    <row r="459" spans="87:118">
      <c r="CI459" s="888">
        <v>662</v>
      </c>
      <c r="CJ459" s="4" t="s">
        <v>1426</v>
      </c>
      <c r="CL459" s="1826"/>
      <c r="CN459" s="1099">
        <v>-5.3699734726560422E-2</v>
      </c>
      <c r="CO459" s="1106">
        <v>0.69</v>
      </c>
      <c r="CR459" s="1822"/>
      <c r="CT459" s="1102">
        <v>-0.46289885955798071</v>
      </c>
      <c r="CU459" s="1106">
        <v>0.51</v>
      </c>
      <c r="CV459" s="863"/>
      <c r="CW459" s="863"/>
      <c r="CX459" s="1822" t="e">
        <v>#N/A</v>
      </c>
      <c r="CY459" s="863"/>
      <c r="CZ459" s="1099">
        <v>-0.42588892141074686</v>
      </c>
      <c r="DA459" s="1106">
        <v>0.48</v>
      </c>
      <c r="DB459" s="863"/>
      <c r="DF459" s="3">
        <v>564</v>
      </c>
      <c r="DG459" s="4">
        <v>2004</v>
      </c>
      <c r="DH459" s="4">
        <v>3.9150140000000002</v>
      </c>
      <c r="DI459" s="1172"/>
      <c r="DJ459" s="5"/>
      <c r="DK459" s="1444">
        <v>564</v>
      </c>
      <c r="DL459" s="1444">
        <v>2005</v>
      </c>
      <c r="DM459" s="1444">
        <v>-0.74145229999999995</v>
      </c>
      <c r="DN459" s="1440">
        <f t="shared" si="100"/>
        <v>-2.2243569000000001</v>
      </c>
    </row>
    <row r="460" spans="87:118">
      <c r="CI460" s="888">
        <v>662</v>
      </c>
      <c r="CJ460" s="4"/>
      <c r="CL460" s="1826"/>
      <c r="CN460" s="1102"/>
      <c r="CO460" s="1103"/>
      <c r="CR460" s="1822"/>
      <c r="CT460" s="1102"/>
      <c r="CU460" s="1103"/>
      <c r="CV460" s="863"/>
      <c r="CW460" s="863"/>
      <c r="CX460" s="1822" t="e">
        <v>#N/A</v>
      </c>
      <c r="CY460" s="863"/>
      <c r="CZ460" s="1102"/>
      <c r="DA460" s="1103"/>
      <c r="DB460" s="863"/>
      <c r="DF460" s="3">
        <v>564</v>
      </c>
      <c r="DG460" s="4">
        <v>2005</v>
      </c>
      <c r="DH460" s="4">
        <v>3.1735609999999999</v>
      </c>
      <c r="DI460" s="1172"/>
      <c r="DJ460" s="5"/>
      <c r="DK460" s="1444">
        <v>564</v>
      </c>
      <c r="DL460" s="1444">
        <v>2006</v>
      </c>
      <c r="DM460" s="1444">
        <v>-1.9331860000000001</v>
      </c>
      <c r="DN460" s="1440">
        <f t="shared" si="100"/>
        <v>-5.7995580000000002</v>
      </c>
    </row>
    <row r="461" spans="87:118">
      <c r="CI461" s="888">
        <v>662</v>
      </c>
      <c r="CJ461" s="4"/>
      <c r="CL461" s="1826"/>
      <c r="CN461" s="1102"/>
      <c r="CO461" s="1103"/>
      <c r="CR461" s="1822"/>
      <c r="CT461" s="1102"/>
      <c r="CU461" s="1103"/>
      <c r="CV461" s="863"/>
      <c r="CW461" s="863"/>
      <c r="CX461" s="1822" t="e">
        <v>#N/A</v>
      </c>
      <c r="CY461" s="863"/>
      <c r="CZ461" s="1102"/>
      <c r="DA461" s="1103"/>
      <c r="DB461" s="863"/>
      <c r="DF461" s="3">
        <v>564</v>
      </c>
      <c r="DG461" s="4">
        <v>2006</v>
      </c>
      <c r="DH461" s="4">
        <v>1.240375</v>
      </c>
      <c r="DI461" s="1172"/>
      <c r="DJ461" s="5"/>
      <c r="DK461" s="1444">
        <v>566</v>
      </c>
      <c r="DL461" s="1444">
        <v>1990</v>
      </c>
      <c r="DM461" s="1444">
        <v>-0.95246839999999999</v>
      </c>
      <c r="DN461" s="1440">
        <f t="shared" si="100"/>
        <v>-2.8574052000000001</v>
      </c>
    </row>
    <row r="462" spans="87:118">
      <c r="CI462" s="888">
        <v>662</v>
      </c>
      <c r="CJ462" s="4"/>
      <c r="CL462" s="1826"/>
      <c r="CN462" s="1102"/>
      <c r="CO462" s="1103"/>
      <c r="CR462" s="1825"/>
      <c r="CT462" s="1102"/>
      <c r="CU462" s="1103"/>
      <c r="CV462" s="1099"/>
      <c r="CW462" s="1099"/>
      <c r="CX462" s="1825" t="e">
        <v>#N/A</v>
      </c>
      <c r="CY462" s="1099"/>
      <c r="CZ462" s="1102"/>
      <c r="DA462" s="1103"/>
      <c r="DB462" s="1099"/>
      <c r="DF462" s="3">
        <v>566</v>
      </c>
      <c r="DG462" s="4">
        <v>1990</v>
      </c>
      <c r="DH462" s="4">
        <v>2.756869</v>
      </c>
      <c r="DI462" s="1172"/>
      <c r="DJ462" s="5"/>
      <c r="DK462" s="1444">
        <v>566</v>
      </c>
      <c r="DL462" s="1444">
        <v>1994</v>
      </c>
      <c r="DM462" s="1444">
        <v>0.36631859999999999</v>
      </c>
      <c r="DN462" s="1440">
        <f t="shared" si="100"/>
        <v>1.0989557999999999</v>
      </c>
    </row>
    <row r="463" spans="87:118">
      <c r="CI463" s="888">
        <v>662</v>
      </c>
      <c r="CJ463" s="4" t="s">
        <v>2432</v>
      </c>
      <c r="CL463" s="1826">
        <v>-0.19115928756978384</v>
      </c>
      <c r="CN463" s="1102"/>
      <c r="CO463" s="1103"/>
      <c r="CR463" s="1823">
        <v>-0.71077691125175435</v>
      </c>
      <c r="CT463" s="1102"/>
      <c r="CU463" s="1103"/>
      <c r="CV463" s="1099"/>
      <c r="CW463" s="1099"/>
      <c r="CX463" s="1823">
        <v>-1.1395391378431081</v>
      </c>
      <c r="CY463" s="1099"/>
      <c r="CZ463" s="1102"/>
      <c r="DA463" s="1103"/>
      <c r="DB463" s="1099"/>
      <c r="DF463" s="3">
        <v>566</v>
      </c>
      <c r="DG463" s="4">
        <v>1994</v>
      </c>
      <c r="DH463" s="4">
        <v>4.023326</v>
      </c>
      <c r="DI463" s="1172"/>
      <c r="DJ463" s="5"/>
      <c r="DK463" s="1444">
        <v>566</v>
      </c>
      <c r="DL463" s="1444">
        <v>2003</v>
      </c>
      <c r="DM463" s="1444">
        <v>0.37114979999999997</v>
      </c>
      <c r="DN463" s="1440">
        <f t="shared" si="100"/>
        <v>1.1134493999999999</v>
      </c>
    </row>
    <row r="464" spans="87:118">
      <c r="CI464" s="888">
        <v>662</v>
      </c>
      <c r="CJ464" s="4" t="s">
        <v>2300</v>
      </c>
      <c r="CL464" s="1826">
        <v>0.58513428512018884</v>
      </c>
      <c r="CN464" s="1102"/>
      <c r="CO464" s="1103"/>
      <c r="CR464" s="1823">
        <v>-0.21502080786420708</v>
      </c>
      <c r="CT464" s="1102"/>
      <c r="CU464" s="1103"/>
      <c r="CV464" s="1099"/>
      <c r="CW464" s="1099"/>
      <c r="CX464" s="1823">
        <v>-0.42588892141074686</v>
      </c>
      <c r="CY464" s="1099"/>
      <c r="CZ464" s="1102"/>
      <c r="DA464" s="1103"/>
      <c r="DB464" s="1099"/>
      <c r="DF464" s="3">
        <v>566</v>
      </c>
      <c r="DG464" s="4">
        <v>2003</v>
      </c>
      <c r="DH464" s="4">
        <v>1.2697130000000001</v>
      </c>
      <c r="DI464" s="1172"/>
      <c r="DJ464" s="5"/>
      <c r="DK464" s="1444">
        <v>566</v>
      </c>
      <c r="DL464" s="1444">
        <v>2004</v>
      </c>
      <c r="DM464" s="1444">
        <v>0.25769320000000001</v>
      </c>
      <c r="DN464" s="1440">
        <f t="shared" si="100"/>
        <v>0.77307959999999998</v>
      </c>
    </row>
    <row r="465" spans="87:118">
      <c r="CI465" s="888">
        <v>662</v>
      </c>
      <c r="CJ465" s="4" t="s">
        <v>1427</v>
      </c>
      <c r="CL465" s="1826">
        <v>1.2991899754070193</v>
      </c>
      <c r="CN465" s="1102"/>
      <c r="CO465" s="1103"/>
      <c r="CR465" s="1823">
        <v>3.3718135245898395E-2</v>
      </c>
      <c r="CT465" s="1102"/>
      <c r="CU465" s="1103"/>
      <c r="CV465" s="1099"/>
      <c r="CW465" s="1099"/>
      <c r="CX465" s="1823">
        <v>-0.20135264939839215</v>
      </c>
      <c r="CY465" s="1099"/>
      <c r="CZ465" s="1102"/>
      <c r="DA465" s="1103"/>
      <c r="DB465" s="1099"/>
      <c r="DF465" s="3">
        <v>566</v>
      </c>
      <c r="DG465" s="4">
        <v>2004</v>
      </c>
      <c r="DH465" s="4">
        <v>1.527407</v>
      </c>
      <c r="DI465" s="1172"/>
      <c r="DJ465" s="5"/>
      <c r="DK465" s="1444">
        <v>566</v>
      </c>
      <c r="DL465" s="1444">
        <v>2005</v>
      </c>
      <c r="DM465" s="1444">
        <v>1.0063949999999999</v>
      </c>
      <c r="DN465" s="1440">
        <f t="shared" si="100"/>
        <v>3.0191849999999998</v>
      </c>
    </row>
    <row r="466" spans="87:118">
      <c r="CI466" s="888">
        <v>662</v>
      </c>
      <c r="CJ466" s="4" t="s">
        <v>1428</v>
      </c>
      <c r="CL466" s="1826">
        <v>-5.3699734726560422E-2</v>
      </c>
      <c r="CN466" s="1102"/>
      <c r="CO466" s="1103"/>
      <c r="CR466" s="1823">
        <v>1.8538053342986416E-2</v>
      </c>
      <c r="CT466" s="1102"/>
      <c r="CU466" s="1103"/>
      <c r="CV466" s="1099"/>
      <c r="CW466" s="1099"/>
      <c r="CX466" s="1823">
        <v>-1.9265448840339672</v>
      </c>
      <c r="CY466" s="1099"/>
      <c r="CZ466" s="1102"/>
      <c r="DA466" s="1103"/>
      <c r="DB466" s="1099"/>
      <c r="DF466" s="3">
        <v>566</v>
      </c>
      <c r="DG466" s="4">
        <v>2005</v>
      </c>
      <c r="DH466" s="4">
        <v>2.533801</v>
      </c>
      <c r="DI466" s="1172"/>
      <c r="DJ466" s="5"/>
      <c r="DK466" s="1444">
        <v>652</v>
      </c>
      <c r="DL466" s="1444">
        <v>1995</v>
      </c>
      <c r="DM466" s="1444">
        <v>0.22610469999999999</v>
      </c>
      <c r="DN466" s="1440">
        <f t="shared" si="100"/>
        <v>0.67831409999999992</v>
      </c>
    </row>
    <row r="467" spans="87:118">
      <c r="CI467" s="888">
        <v>662</v>
      </c>
      <c r="CJ467" s="4" t="s">
        <v>1429</v>
      </c>
      <c r="CL467" s="1826">
        <v>2.4901967993248348</v>
      </c>
      <c r="CN467" s="864"/>
      <c r="CO467" s="1103"/>
      <c r="CR467" s="1823">
        <v>-3.8798690974691907E-2</v>
      </c>
      <c r="CT467" s="864"/>
      <c r="CU467" s="1103"/>
      <c r="CV467" s="1099"/>
      <c r="CW467" s="1099"/>
      <c r="CX467" s="1823">
        <v>0.13982249524266432</v>
      </c>
      <c r="CY467" s="1099"/>
      <c r="CZ467" s="864"/>
      <c r="DA467" s="1103"/>
      <c r="DB467" s="1099"/>
      <c r="DF467" s="3">
        <v>652</v>
      </c>
      <c r="DG467" s="4">
        <v>1995</v>
      </c>
      <c r="DH467" s="4">
        <v>-5.9590649999999998</v>
      </c>
      <c r="DI467" s="1172"/>
      <c r="DJ467" s="5"/>
      <c r="DK467" s="1444">
        <v>652</v>
      </c>
      <c r="DL467" s="1444">
        <v>1996</v>
      </c>
      <c r="DM467" s="1444">
        <v>8.2498100000000005E-2</v>
      </c>
      <c r="DN467" s="1440">
        <f t="shared" si="100"/>
        <v>0.2474943</v>
      </c>
    </row>
    <row r="468" spans="87:118">
      <c r="CI468" s="888">
        <v>662</v>
      </c>
      <c r="CJ468" s="4" t="s">
        <v>1430</v>
      </c>
      <c r="CL468" s="1826">
        <v>3.7412301513536317</v>
      </c>
      <c r="CN468" s="864"/>
      <c r="CO468" s="1103"/>
      <c r="CR468" s="1823" t="s">
        <v>1218</v>
      </c>
      <c r="CT468" s="864"/>
      <c r="CU468" s="1103"/>
      <c r="CV468" s="1099"/>
      <c r="CW468" s="1099"/>
      <c r="CX468" s="1823">
        <v>-1.9340427796788793</v>
      </c>
      <c r="CY468" s="1099"/>
      <c r="CZ468" s="864"/>
      <c r="DA468" s="1103"/>
      <c r="DB468" s="1099"/>
      <c r="DF468" s="3">
        <v>652</v>
      </c>
      <c r="DG468" s="4">
        <v>1996</v>
      </c>
      <c r="DH468" s="4">
        <v>-5.8765669999999997</v>
      </c>
      <c r="DI468" s="1172"/>
      <c r="DJ468" s="5"/>
      <c r="DK468" s="1444">
        <v>652</v>
      </c>
      <c r="DL468" s="1444">
        <v>1997</v>
      </c>
      <c r="DM468" s="1444">
        <v>-9.3954200000000002E-2</v>
      </c>
      <c r="DN468" s="1440">
        <f t="shared" si="100"/>
        <v>-0.28186260000000002</v>
      </c>
    </row>
    <row r="469" spans="87:118">
      <c r="CI469" s="888">
        <v>662</v>
      </c>
      <c r="CJ469" s="4" t="s">
        <v>1431</v>
      </c>
      <c r="CL469" s="1826">
        <v>-8.7360344030823747</v>
      </c>
      <c r="CN469" s="864"/>
      <c r="CO469" s="1103"/>
      <c r="CR469" s="1823">
        <v>-0.89085726132804854</v>
      </c>
      <c r="CT469" s="864"/>
      <c r="CU469" s="1103"/>
      <c r="CV469" s="1099"/>
      <c r="CW469" s="1099"/>
      <c r="CX469" s="1823">
        <v>2.3750383113063176</v>
      </c>
      <c r="CY469" s="1099"/>
      <c r="CZ469" s="864"/>
      <c r="DA469" s="1103"/>
      <c r="DB469" s="1099"/>
      <c r="DF469" s="3">
        <v>652</v>
      </c>
      <c r="DG469" s="4">
        <v>1997</v>
      </c>
      <c r="DH469" s="4">
        <v>-5.9705209999999997</v>
      </c>
      <c r="DI469" s="1172"/>
      <c r="DJ469" s="5"/>
      <c r="DK469" s="1444">
        <v>652</v>
      </c>
      <c r="DL469" s="1444">
        <v>1998</v>
      </c>
      <c r="DM469" s="1444">
        <v>0.46033350000000001</v>
      </c>
      <c r="DN469" s="1440">
        <f t="shared" si="100"/>
        <v>1.3810005000000001</v>
      </c>
    </row>
    <row r="470" spans="87:118">
      <c r="CI470" s="888">
        <v>662</v>
      </c>
      <c r="CJ470" s="4" t="s">
        <v>1432</v>
      </c>
      <c r="CL470" s="1826">
        <v>-1.8350402913212895</v>
      </c>
      <c r="CN470" s="864"/>
      <c r="CO470" s="1103"/>
      <c r="CR470" s="1823">
        <v>-0.79305672626418799</v>
      </c>
      <c r="CT470" s="864"/>
      <c r="CU470" s="1103"/>
      <c r="CV470" s="1099"/>
      <c r="CW470" s="1099"/>
      <c r="CX470" s="1823">
        <v>1.1352849211922251</v>
      </c>
      <c r="CY470" s="1099"/>
      <c r="CZ470" s="864"/>
      <c r="DA470" s="1103"/>
      <c r="DB470" s="1099"/>
      <c r="DF470" s="3">
        <v>652</v>
      </c>
      <c r="DG470" s="4">
        <v>1998</v>
      </c>
      <c r="DH470" s="4">
        <v>-5.5101880000000003</v>
      </c>
      <c r="DI470" s="1172"/>
      <c r="DJ470" s="5"/>
      <c r="DK470" s="1444">
        <v>652</v>
      </c>
      <c r="DL470" s="1444">
        <v>1999</v>
      </c>
      <c r="DM470" s="1444">
        <v>0.43874740000000001</v>
      </c>
      <c r="DN470" s="1440">
        <f t="shared" si="100"/>
        <v>1.3162422</v>
      </c>
    </row>
    <row r="471" spans="87:118">
      <c r="CI471" s="888">
        <v>662</v>
      </c>
      <c r="CJ471" s="1091" t="s">
        <v>1433</v>
      </c>
      <c r="CL471" s="1826">
        <v>-1.3740761589787347</v>
      </c>
      <c r="CN471" s="1104"/>
      <c r="CO471" s="1105"/>
      <c r="CR471" s="1824">
        <v>-0.84247548532133121</v>
      </c>
      <c r="CT471" s="1104"/>
      <c r="CU471" s="1105"/>
      <c r="CV471" s="1100"/>
      <c r="CW471" s="1100"/>
      <c r="CX471" s="1824">
        <v>-2.9542108732699464</v>
      </c>
      <c r="CY471" s="1100"/>
      <c r="CZ471" s="1104"/>
      <c r="DA471" s="1105"/>
      <c r="DB471" s="1100"/>
      <c r="DF471" s="3">
        <v>652</v>
      </c>
      <c r="DG471" s="4">
        <v>1999</v>
      </c>
      <c r="DH471" s="4">
        <v>-5.0714399999999999</v>
      </c>
      <c r="DI471" s="1172"/>
      <c r="DJ471" s="5"/>
      <c r="DK471" s="1444">
        <v>652</v>
      </c>
      <c r="DL471" s="1444">
        <v>2000</v>
      </c>
      <c r="DM471" s="1444">
        <v>1.500332</v>
      </c>
      <c r="DN471" s="1440">
        <f t="shared" si="100"/>
        <v>4.5009959999999998</v>
      </c>
    </row>
    <row r="472" spans="87:118">
      <c r="CI472" s="888">
        <v>960</v>
      </c>
      <c r="CJ472" s="4" t="s">
        <v>1434</v>
      </c>
      <c r="CL472" s="1826"/>
      <c r="CN472" s="1099">
        <v>-1.8607542353874003</v>
      </c>
      <c r="CO472" s="1106">
        <v>0.12</v>
      </c>
      <c r="CR472" s="1822"/>
      <c r="CT472" s="1102">
        <v>-0.32074755496163376</v>
      </c>
      <c r="CU472" s="1106">
        <v>0.57999999999999996</v>
      </c>
      <c r="CV472" s="863"/>
      <c r="CW472" s="863"/>
      <c r="CX472" s="1822" t="e">
        <v>#N/A</v>
      </c>
      <c r="CY472" s="863"/>
      <c r="CZ472" s="1099">
        <v>-1.1009726103113249</v>
      </c>
      <c r="DA472" s="1106">
        <v>0.23</v>
      </c>
      <c r="DB472" s="863"/>
      <c r="DF472" s="3">
        <v>652</v>
      </c>
      <c r="DG472" s="4">
        <v>2000</v>
      </c>
      <c r="DH472" s="4">
        <v>-3.5711080000000002</v>
      </c>
      <c r="DI472" s="1172"/>
      <c r="DJ472" s="5"/>
      <c r="DK472" s="1444">
        <v>652</v>
      </c>
      <c r="DL472" s="1444">
        <v>2001</v>
      </c>
      <c r="DM472" s="1444">
        <v>1.1842200000000001</v>
      </c>
      <c r="DN472" s="1440">
        <f t="shared" si="100"/>
        <v>3.5526600000000004</v>
      </c>
    </row>
    <row r="473" spans="87:118">
      <c r="CI473" s="888">
        <v>960</v>
      </c>
      <c r="CJ473" s="4"/>
      <c r="CL473" s="1826"/>
      <c r="CN473" s="1102"/>
      <c r="CO473" s="1103"/>
      <c r="CR473" s="1822"/>
      <c r="CT473" s="1102"/>
      <c r="CU473" s="1103"/>
      <c r="CV473" s="863"/>
      <c r="CW473" s="863"/>
      <c r="CX473" s="1822" t="e">
        <v>#N/A</v>
      </c>
      <c r="CY473" s="863"/>
      <c r="CZ473" s="1102"/>
      <c r="DA473" s="1103"/>
      <c r="DB473" s="863"/>
      <c r="DF473" s="3">
        <v>652</v>
      </c>
      <c r="DG473" s="4">
        <v>2001</v>
      </c>
      <c r="DH473" s="4">
        <v>-2.386889</v>
      </c>
      <c r="DI473" s="1172"/>
      <c r="DJ473" s="5"/>
      <c r="DK473" s="1444">
        <v>652</v>
      </c>
      <c r="DL473" s="1444">
        <v>2002</v>
      </c>
      <c r="DM473" s="1444">
        <v>1.4777469999999999</v>
      </c>
      <c r="DN473" s="1440">
        <f t="shared" si="100"/>
        <v>4.4332409999999998</v>
      </c>
    </row>
    <row r="474" spans="87:118">
      <c r="CI474" s="888">
        <v>960</v>
      </c>
      <c r="CJ474" s="4"/>
      <c r="CL474" s="1826"/>
      <c r="CN474" s="1102"/>
      <c r="CO474" s="1103"/>
      <c r="CR474" s="1822"/>
      <c r="CT474" s="1102"/>
      <c r="CU474" s="1103"/>
      <c r="CV474" s="863"/>
      <c r="CW474" s="863"/>
      <c r="CX474" s="1822" t="e">
        <v>#N/A</v>
      </c>
      <c r="CY474" s="863"/>
      <c r="CZ474" s="1102"/>
      <c r="DA474" s="1103"/>
      <c r="DB474" s="863"/>
      <c r="DF474" s="3">
        <v>652</v>
      </c>
      <c r="DG474" s="4">
        <v>2002</v>
      </c>
      <c r="DH474" s="4">
        <v>-0.90914200000000001</v>
      </c>
      <c r="DI474" s="1172"/>
      <c r="DJ474" s="5"/>
      <c r="DK474" s="1444">
        <v>652</v>
      </c>
      <c r="DL474" s="1444">
        <v>2003</v>
      </c>
      <c r="DM474" s="1444">
        <v>1.068136</v>
      </c>
      <c r="DN474" s="1440">
        <f t="shared" si="100"/>
        <v>3.2044079999999999</v>
      </c>
    </row>
    <row r="475" spans="87:118">
      <c r="CI475" s="888">
        <v>960</v>
      </c>
      <c r="CJ475" s="4"/>
      <c r="CL475" s="1826"/>
      <c r="CN475" s="1102"/>
      <c r="CO475" s="1103"/>
      <c r="CR475" s="1825"/>
      <c r="CT475" s="1102"/>
      <c r="CU475" s="1103"/>
      <c r="CV475" s="1099"/>
      <c r="CW475" s="1099"/>
      <c r="CX475" s="1825" t="e">
        <v>#N/A</v>
      </c>
      <c r="CY475" s="1099"/>
      <c r="CZ475" s="1102"/>
      <c r="DA475" s="1103"/>
      <c r="DB475" s="1099"/>
      <c r="DF475" s="3">
        <v>652</v>
      </c>
      <c r="DG475" s="4">
        <v>2003</v>
      </c>
      <c r="DH475" s="4">
        <v>0.15899389999999999</v>
      </c>
      <c r="DI475" s="1172"/>
      <c r="DJ475" s="5"/>
      <c r="DK475" s="1444">
        <v>652</v>
      </c>
      <c r="DL475" s="1444">
        <v>2004</v>
      </c>
      <c r="DM475" s="1444">
        <v>0.3879068</v>
      </c>
      <c r="DN475" s="1440">
        <f t="shared" si="100"/>
        <v>1.1637203999999999</v>
      </c>
    </row>
    <row r="476" spans="87:118">
      <c r="CI476" s="888">
        <v>960</v>
      </c>
      <c r="CJ476" s="4" t="s">
        <v>2433</v>
      </c>
      <c r="CL476" s="1826">
        <v>0.67849723579268861</v>
      </c>
      <c r="CN476" s="1102"/>
      <c r="CO476" s="1103"/>
      <c r="CR476" s="1823">
        <v>2.8135480754843347</v>
      </c>
      <c r="CT476" s="1102"/>
      <c r="CU476" s="1103"/>
      <c r="CV476" s="1099"/>
      <c r="CW476" s="1099"/>
      <c r="CX476" s="1823">
        <v>9.0887742572030028E-2</v>
      </c>
      <c r="CY476" s="1099"/>
      <c r="CZ476" s="1102"/>
      <c r="DA476" s="1103"/>
      <c r="DB476" s="1099"/>
      <c r="DF476" s="3">
        <v>652</v>
      </c>
      <c r="DG476" s="4">
        <v>2004</v>
      </c>
      <c r="DH476" s="4">
        <v>0.54690070000000002</v>
      </c>
      <c r="DI476" s="1172"/>
      <c r="DJ476" s="5"/>
      <c r="DK476" s="1444">
        <v>652</v>
      </c>
      <c r="DL476" s="1444">
        <v>2005</v>
      </c>
      <c r="DM476" s="1444">
        <v>0.49868420000000002</v>
      </c>
      <c r="DN476" s="1440">
        <f t="shared" si="100"/>
        <v>1.4960526000000001</v>
      </c>
    </row>
    <row r="477" spans="87:118">
      <c r="CI477" s="888">
        <v>960</v>
      </c>
      <c r="CJ477" s="4" t="s">
        <v>2301</v>
      </c>
      <c r="CL477" s="1826">
        <v>2.1655900682824285</v>
      </c>
      <c r="CN477" s="1102"/>
      <c r="CO477" s="1103"/>
      <c r="CR477" s="1823">
        <v>1.7704517821101047</v>
      </c>
      <c r="CT477" s="1102"/>
      <c r="CU477" s="1103"/>
      <c r="CV477" s="1099"/>
      <c r="CW477" s="1099"/>
      <c r="CX477" s="1823">
        <v>-1.1009726103113249</v>
      </c>
      <c r="CY477" s="1099"/>
      <c r="CZ477" s="1102"/>
      <c r="DA477" s="1103"/>
      <c r="DB477" s="1099"/>
      <c r="DF477" s="3">
        <v>652</v>
      </c>
      <c r="DG477" s="4">
        <v>2005</v>
      </c>
      <c r="DH477" s="4">
        <v>1.045585</v>
      </c>
      <c r="DI477" s="1172"/>
      <c r="DJ477" s="5"/>
      <c r="DK477" s="1444">
        <v>918</v>
      </c>
      <c r="DL477" s="1444">
        <v>1996</v>
      </c>
      <c r="DM477" s="1444">
        <v>1.1851339999999999</v>
      </c>
      <c r="DN477" s="1440">
        <f t="shared" si="100"/>
        <v>3.555402</v>
      </c>
    </row>
    <row r="478" spans="87:118">
      <c r="CI478" s="888">
        <v>960</v>
      </c>
      <c r="CJ478" s="4" t="s">
        <v>1435</v>
      </c>
      <c r="CL478" s="1826">
        <v>1.2412594205751102</v>
      </c>
      <c r="CN478" s="1102"/>
      <c r="CO478" s="1103"/>
      <c r="CR478" s="1823">
        <v>-0.32074755496163376</v>
      </c>
      <c r="CT478" s="1102"/>
      <c r="CU478" s="1103"/>
      <c r="CV478" s="1099"/>
      <c r="CW478" s="1099"/>
      <c r="CX478" s="1823">
        <v>-0.89718032043769425</v>
      </c>
      <c r="CY478" s="1099"/>
      <c r="CZ478" s="1102"/>
      <c r="DA478" s="1103"/>
      <c r="DB478" s="1099"/>
      <c r="DF478" s="3">
        <v>918</v>
      </c>
      <c r="DG478" s="4">
        <v>1995</v>
      </c>
      <c r="DH478" s="4">
        <v>1.056548</v>
      </c>
      <c r="DI478" s="1172"/>
      <c r="DJ478" s="5"/>
      <c r="DK478" s="1444">
        <v>918</v>
      </c>
      <c r="DL478" s="1444">
        <v>1997</v>
      </c>
      <c r="DM478" s="1444">
        <v>-0.3688959</v>
      </c>
      <c r="DN478" s="1440">
        <f t="shared" si="100"/>
        <v>-1.1066876999999999</v>
      </c>
    </row>
    <row r="479" spans="87:118">
      <c r="CI479" s="888">
        <v>960</v>
      </c>
      <c r="CJ479" s="4" t="s">
        <v>1436</v>
      </c>
      <c r="CL479" s="1826">
        <v>-1.8607542353874003</v>
      </c>
      <c r="CN479" s="1102"/>
      <c r="CO479" s="1103"/>
      <c r="CR479" s="1823">
        <v>-1.1937880074525713</v>
      </c>
      <c r="CT479" s="1102"/>
      <c r="CU479" s="1103"/>
      <c r="CV479" s="1099"/>
      <c r="CW479" s="1099"/>
      <c r="CX479" s="1823">
        <v>-2.8853996885914093</v>
      </c>
      <c r="CY479" s="1099"/>
      <c r="CZ479" s="1102"/>
      <c r="DA479" s="1103"/>
      <c r="DB479" s="1099"/>
      <c r="DF479" s="3">
        <v>918</v>
      </c>
      <c r="DG479" s="4">
        <v>1996</v>
      </c>
      <c r="DH479" s="4">
        <v>1.6491150000000001</v>
      </c>
      <c r="DI479" s="1172"/>
      <c r="DJ479" s="5"/>
      <c r="DK479" s="1444">
        <v>918</v>
      </c>
      <c r="DL479" s="1444">
        <v>1998</v>
      </c>
      <c r="DM479" s="1444">
        <v>2.6316989999999998</v>
      </c>
      <c r="DN479" s="1440">
        <f t="shared" si="100"/>
        <v>7.8950969999999998</v>
      </c>
    </row>
    <row r="480" spans="87:118">
      <c r="CI480" s="888">
        <v>960</v>
      </c>
      <c r="CJ480" s="4" t="s">
        <v>1437</v>
      </c>
      <c r="CL480" s="1826">
        <v>-1.8956504563621337</v>
      </c>
      <c r="CN480" s="864"/>
      <c r="CO480" s="1103"/>
      <c r="CR480" s="1823">
        <v>2.1401671318709958E-2</v>
      </c>
      <c r="CT480" s="864"/>
      <c r="CU480" s="1103"/>
      <c r="CV480" s="1099"/>
      <c r="CW480" s="1099"/>
      <c r="CX480" s="1823">
        <v>-2.1518791691380796</v>
      </c>
      <c r="CY480" s="1099"/>
      <c r="CZ480" s="864"/>
      <c r="DA480" s="1103"/>
      <c r="DB480" s="1099"/>
      <c r="DF480" s="3">
        <v>918</v>
      </c>
      <c r="DG480" s="4">
        <v>1997</v>
      </c>
      <c r="DH480" s="4">
        <v>1.205662</v>
      </c>
      <c r="DI480" s="1172"/>
      <c r="DJ480" s="5"/>
      <c r="DK480" s="1444">
        <v>918</v>
      </c>
      <c r="DL480" s="1444">
        <v>1999</v>
      </c>
      <c r="DM480" s="1444">
        <v>2.0623369999999999</v>
      </c>
      <c r="DN480" s="1440">
        <f t="shared" si="100"/>
        <v>6.187011</v>
      </c>
    </row>
    <row r="481" spans="87:118">
      <c r="CI481" s="888">
        <v>960</v>
      </c>
      <c r="CJ481" s="4" t="s">
        <v>1438</v>
      </c>
      <c r="CL481" s="1826">
        <v>-3.6367490592113842</v>
      </c>
      <c r="CN481" s="864"/>
      <c r="CO481" s="1103"/>
      <c r="CR481" s="1823">
        <v>2.5965368474818731</v>
      </c>
      <c r="CT481" s="864"/>
      <c r="CU481" s="1103"/>
      <c r="CV481" s="1099"/>
      <c r="CW481" s="1099"/>
      <c r="CX481" s="1823">
        <v>-1.1529250760715337</v>
      </c>
      <c r="CY481" s="1099"/>
      <c r="CZ481" s="864"/>
      <c r="DA481" s="1103"/>
      <c r="DB481" s="1099"/>
      <c r="DF481" s="3">
        <v>918</v>
      </c>
      <c r="DG481" s="4">
        <v>1998</v>
      </c>
      <c r="DH481" s="4">
        <v>3.8373620000000002</v>
      </c>
      <c r="DI481" s="1172"/>
      <c r="DJ481" s="5"/>
      <c r="DK481" s="1444">
        <v>918</v>
      </c>
      <c r="DL481" s="1444">
        <v>2000</v>
      </c>
      <c r="DM481" s="1444">
        <v>2.3769650000000002</v>
      </c>
      <c r="DN481" s="1440">
        <f t="shared" si="100"/>
        <v>7.1308950000000006</v>
      </c>
    </row>
    <row r="482" spans="87:118">
      <c r="CI482" s="888">
        <v>960</v>
      </c>
      <c r="CJ482" s="4" t="s">
        <v>1439</v>
      </c>
      <c r="CL482" s="1826">
        <v>-2.5469029402280654</v>
      </c>
      <c r="CN482" s="864"/>
      <c r="CO482" s="1103"/>
      <c r="CR482" s="1823">
        <v>-2.181028973281077</v>
      </c>
      <c r="CT482" s="864"/>
      <c r="CU482" s="1103"/>
      <c r="CV482" s="1099"/>
      <c r="CW482" s="1099"/>
      <c r="CX482" s="1823">
        <v>-0.73646949880076429</v>
      </c>
      <c r="CY482" s="1099"/>
      <c r="CZ482" s="864"/>
      <c r="DA482" s="1103"/>
      <c r="DB482" s="1099"/>
      <c r="DF482" s="3">
        <v>918</v>
      </c>
      <c r="DG482" s="4">
        <v>1999</v>
      </c>
      <c r="DH482" s="4">
        <v>5.899699</v>
      </c>
      <c r="DI482" s="1172"/>
      <c r="DJ482" s="5"/>
      <c r="DK482" s="1444">
        <v>918</v>
      </c>
      <c r="DL482" s="1444">
        <v>2001</v>
      </c>
      <c r="DM482" s="1444">
        <v>3.65283E-2</v>
      </c>
      <c r="DN482" s="1440">
        <f t="shared" si="100"/>
        <v>0.1095849</v>
      </c>
    </row>
    <row r="483" spans="87:118">
      <c r="CI483" s="888">
        <v>960</v>
      </c>
      <c r="CJ483" s="4" t="s">
        <v>1440</v>
      </c>
      <c r="CL483" s="1826">
        <v>-1.4450394677029892</v>
      </c>
      <c r="CN483" s="864"/>
      <c r="CO483" s="1103"/>
      <c r="CR483" s="1823">
        <v>-2.5891214502078337</v>
      </c>
      <c r="CT483" s="864"/>
      <c r="CU483" s="1103"/>
      <c r="CV483" s="1099"/>
      <c r="CW483" s="1099"/>
      <c r="CX483" s="1823">
        <v>-1.1776459563169563</v>
      </c>
      <c r="CY483" s="1099"/>
      <c r="CZ483" s="864"/>
      <c r="DA483" s="1103"/>
      <c r="DB483" s="1099"/>
      <c r="DF483" s="3">
        <v>918</v>
      </c>
      <c r="DG483" s="4">
        <v>2000</v>
      </c>
      <c r="DH483" s="4">
        <v>8.2766640000000002</v>
      </c>
      <c r="DI483" s="1172"/>
      <c r="DJ483" s="5"/>
      <c r="DK483" s="1444">
        <v>918</v>
      </c>
      <c r="DL483" s="1444">
        <v>2002</v>
      </c>
      <c r="DM483" s="1444">
        <v>-1.3385210000000001</v>
      </c>
      <c r="DN483" s="1440">
        <f t="shared" si="100"/>
        <v>-4.0155630000000002</v>
      </c>
    </row>
    <row r="484" spans="87:118">
      <c r="CI484" s="888">
        <v>960</v>
      </c>
      <c r="CJ484" s="1091" t="s">
        <v>1441</v>
      </c>
      <c r="CL484" s="1826">
        <v>-9.7972028848545722</v>
      </c>
      <c r="CN484" s="1104"/>
      <c r="CO484" s="1105"/>
      <c r="CR484" s="1824">
        <v>-3.1501301392420089</v>
      </c>
      <c r="CT484" s="1104"/>
      <c r="CU484" s="1105"/>
      <c r="CV484" s="1100"/>
      <c r="CW484" s="1100"/>
      <c r="CX484" s="1824">
        <v>-0.1590358960051006</v>
      </c>
      <c r="CY484" s="1100"/>
      <c r="CZ484" s="1104"/>
      <c r="DA484" s="1105"/>
      <c r="DB484" s="1100"/>
      <c r="DF484" s="3">
        <v>918</v>
      </c>
      <c r="DG484" s="4">
        <v>2001</v>
      </c>
      <c r="DH484" s="4">
        <v>8.3131920000000008</v>
      </c>
      <c r="DI484" s="1172"/>
      <c r="DJ484" s="5"/>
      <c r="DK484" s="1444">
        <v>922</v>
      </c>
      <c r="DL484" s="1444">
        <v>1999</v>
      </c>
      <c r="DM484" s="1444">
        <v>3.8395800000000002</v>
      </c>
      <c r="DN484" s="1440">
        <f t="shared" si="100"/>
        <v>11.518740000000001</v>
      </c>
    </row>
    <row r="485" spans="87:118">
      <c r="CI485" s="888">
        <v>423</v>
      </c>
      <c r="CJ485" s="4" t="s">
        <v>1442</v>
      </c>
      <c r="CL485" s="1826"/>
      <c r="CN485" s="1099">
        <v>-1.385498552228257</v>
      </c>
      <c r="CO485" s="1106">
        <v>0.18</v>
      </c>
      <c r="CR485" s="1822"/>
      <c r="CT485" s="1102">
        <v>0.43217535618582903</v>
      </c>
      <c r="CU485" s="1106">
        <v>0.84</v>
      </c>
      <c r="CV485" s="863"/>
      <c r="CW485" s="863"/>
      <c r="CX485" s="1822" t="e">
        <v>#N/A</v>
      </c>
      <c r="CY485" s="863"/>
      <c r="CZ485" s="1099">
        <v>-1.248539108926606</v>
      </c>
      <c r="DA485" s="1106">
        <v>0.19</v>
      </c>
      <c r="DB485" s="863"/>
      <c r="DF485" s="3">
        <v>918</v>
      </c>
      <c r="DG485" s="4">
        <v>2002</v>
      </c>
      <c r="DH485" s="4">
        <v>6.9746709999999998</v>
      </c>
      <c r="DI485" s="1172"/>
      <c r="DJ485" s="5"/>
      <c r="DK485" s="1444">
        <v>922</v>
      </c>
      <c r="DL485" s="1444">
        <v>2000</v>
      </c>
      <c r="DM485" s="1444">
        <v>3.507755</v>
      </c>
      <c r="DN485" s="1440">
        <f t="shared" si="100"/>
        <v>10.523265</v>
      </c>
    </row>
    <row r="486" spans="87:118">
      <c r="CI486" s="888">
        <v>423</v>
      </c>
      <c r="CJ486" s="4"/>
      <c r="CL486" s="1826"/>
      <c r="CN486" s="1102"/>
      <c r="CO486" s="1103"/>
      <c r="CR486" s="1822"/>
      <c r="CT486" s="1102"/>
      <c r="CU486" s="1103"/>
      <c r="CV486" s="863"/>
      <c r="CW486" s="863"/>
      <c r="CX486" s="1822" t="e">
        <v>#N/A</v>
      </c>
      <c r="CY486" s="863"/>
      <c r="CZ486" s="1102"/>
      <c r="DA486" s="1103"/>
      <c r="DB486" s="863"/>
      <c r="DF486" s="3">
        <v>922</v>
      </c>
      <c r="DG486" s="4">
        <v>1999</v>
      </c>
      <c r="DH486" s="4">
        <v>3.9231959999999999</v>
      </c>
      <c r="DI486" s="1172"/>
      <c r="DJ486" s="5"/>
      <c r="DK486" s="1444">
        <v>922</v>
      </c>
      <c r="DL486" s="1444">
        <v>2001</v>
      </c>
      <c r="DM486" s="1444">
        <v>1.7266589999999999</v>
      </c>
      <c r="DN486" s="1440">
        <f t="shared" si="100"/>
        <v>5.1799770000000001</v>
      </c>
    </row>
    <row r="487" spans="87:118">
      <c r="CI487" s="888">
        <v>423</v>
      </c>
      <c r="CJ487" s="4"/>
      <c r="CL487" s="1826"/>
      <c r="CN487" s="1102"/>
      <c r="CO487" s="1103"/>
      <c r="CR487" s="1822"/>
      <c r="CT487" s="1102"/>
      <c r="CU487" s="1103"/>
      <c r="CV487" s="863"/>
      <c r="CW487" s="863"/>
      <c r="CX487" s="1822" t="e">
        <v>#N/A</v>
      </c>
      <c r="CY487" s="863"/>
      <c r="CZ487" s="1102"/>
      <c r="DA487" s="1103"/>
      <c r="DB487" s="863"/>
      <c r="DF487" s="3">
        <v>922</v>
      </c>
      <c r="DG487" s="4">
        <v>2000</v>
      </c>
      <c r="DH487" s="4">
        <v>5.6217699999999997</v>
      </c>
      <c r="DI487" s="1172"/>
      <c r="DJ487" s="5"/>
      <c r="DK487" s="1444">
        <v>944</v>
      </c>
      <c r="DL487" s="1444">
        <v>1991</v>
      </c>
      <c r="DM487" s="1444">
        <v>-4.5995410000000003</v>
      </c>
      <c r="DN487" s="1440">
        <f t="shared" si="100"/>
        <v>-13.798623000000001</v>
      </c>
    </row>
    <row r="488" spans="87:118">
      <c r="CI488" s="888">
        <v>423</v>
      </c>
      <c r="CJ488" s="4"/>
      <c r="CL488" s="1826"/>
      <c r="CN488" s="1102"/>
      <c r="CO488" s="1103"/>
      <c r="CR488" s="1825"/>
      <c r="CT488" s="1102"/>
      <c r="CU488" s="1103"/>
      <c r="CV488" s="1099"/>
      <c r="CW488" s="1099"/>
      <c r="CX488" s="1825" t="e">
        <v>#N/A</v>
      </c>
      <c r="CY488" s="1099"/>
      <c r="CZ488" s="1102"/>
      <c r="DA488" s="1103"/>
      <c r="DB488" s="1099"/>
      <c r="DF488" s="3">
        <v>922</v>
      </c>
      <c r="DG488" s="4">
        <v>2001</v>
      </c>
      <c r="DH488" s="4">
        <v>7.3484290000000003</v>
      </c>
      <c r="DI488" s="1172"/>
      <c r="DJ488" s="5"/>
      <c r="DK488" s="1444">
        <v>944</v>
      </c>
      <c r="DL488" s="1444">
        <v>1992</v>
      </c>
      <c r="DM488" s="1444">
        <v>-4.4944889999999997</v>
      </c>
      <c r="DN488" s="1440">
        <f t="shared" si="100"/>
        <v>-13.483466999999999</v>
      </c>
    </row>
    <row r="489" spans="87:118">
      <c r="CI489" s="888">
        <v>423</v>
      </c>
      <c r="CJ489" s="4" t="s">
        <v>2434</v>
      </c>
      <c r="CL489" s="1826">
        <v>1.8803930140573142</v>
      </c>
      <c r="CN489" s="1102"/>
      <c r="CO489" s="1103"/>
      <c r="CR489" s="1823">
        <v>1.3885024995935757</v>
      </c>
      <c r="CT489" s="1102"/>
      <c r="CU489" s="1103"/>
      <c r="CV489" s="1099"/>
      <c r="CW489" s="1099"/>
      <c r="CX489" s="1823">
        <v>-0.54780246281857448</v>
      </c>
      <c r="CY489" s="1099"/>
      <c r="CZ489" s="1102"/>
      <c r="DA489" s="1103"/>
      <c r="DB489" s="1099"/>
      <c r="DF489" s="3">
        <v>944</v>
      </c>
      <c r="DG489" s="4">
        <v>1990</v>
      </c>
      <c r="DH489" s="4">
        <v>6.5064599999999997</v>
      </c>
      <c r="DI489" s="1172"/>
      <c r="DJ489" s="5"/>
      <c r="DK489" s="1444">
        <v>944</v>
      </c>
      <c r="DL489" s="1444">
        <v>1993</v>
      </c>
      <c r="DM489" s="1444">
        <v>-3.9071769999999999</v>
      </c>
      <c r="DN489" s="1440">
        <f t="shared" si="100"/>
        <v>-11.721530999999999</v>
      </c>
    </row>
    <row r="490" spans="87:118">
      <c r="CI490" s="888">
        <v>423</v>
      </c>
      <c r="CJ490" s="4" t="s">
        <v>2302</v>
      </c>
      <c r="CL490" s="1826">
        <v>1.6189889228676673</v>
      </c>
      <c r="CN490" s="1102"/>
      <c r="CO490" s="1103"/>
      <c r="CR490" s="1823">
        <v>0.26631246541705744</v>
      </c>
      <c r="CT490" s="1102"/>
      <c r="CU490" s="1103"/>
      <c r="CV490" s="1099"/>
      <c r="CW490" s="1099"/>
      <c r="CX490" s="1823">
        <v>-1.5131546083362104</v>
      </c>
      <c r="CY490" s="1099"/>
      <c r="CZ490" s="1102"/>
      <c r="DA490" s="1103"/>
      <c r="DB490" s="1099"/>
      <c r="DF490" s="3">
        <v>944</v>
      </c>
      <c r="DG490" s="4">
        <v>1991</v>
      </c>
      <c r="DH490" s="4">
        <v>4.2066889999999999</v>
      </c>
      <c r="DI490" s="1172"/>
      <c r="DJ490" s="5"/>
      <c r="DK490" s="1444">
        <v>944</v>
      </c>
      <c r="DL490" s="1444">
        <v>1994</v>
      </c>
      <c r="DM490" s="1444">
        <v>-1.6445190000000001</v>
      </c>
      <c r="DN490" s="1440">
        <f t="shared" si="100"/>
        <v>-4.9335570000000004</v>
      </c>
    </row>
    <row r="491" spans="87:118">
      <c r="CI491" s="888">
        <v>423</v>
      </c>
      <c r="CJ491" s="4" t="s">
        <v>1443</v>
      </c>
      <c r="CL491" s="1826">
        <v>0.82359000752670797</v>
      </c>
      <c r="CN491" s="1102"/>
      <c r="CO491" s="1103"/>
      <c r="CR491" s="1823">
        <v>3.2100746271860894</v>
      </c>
      <c r="CT491" s="1102"/>
      <c r="CU491" s="1103"/>
      <c r="CV491" s="1099"/>
      <c r="CW491" s="1099"/>
      <c r="CX491" s="1823">
        <v>-2.8097483859379127</v>
      </c>
      <c r="CY491" s="1099"/>
      <c r="CZ491" s="1102"/>
      <c r="DA491" s="1103"/>
      <c r="DB491" s="1099"/>
      <c r="DF491" s="3">
        <v>944</v>
      </c>
      <c r="DG491" s="4">
        <v>1992</v>
      </c>
      <c r="DH491" s="4">
        <v>1.9769540000000001</v>
      </c>
      <c r="DI491" s="1172"/>
      <c r="DJ491" s="5"/>
      <c r="DK491" s="1444">
        <v>944</v>
      </c>
      <c r="DL491" s="1444">
        <v>1995</v>
      </c>
      <c r="DM491" s="1444">
        <v>0.1523755</v>
      </c>
      <c r="DN491" s="1440">
        <f t="shared" si="100"/>
        <v>0.45712649999999999</v>
      </c>
    </row>
    <row r="492" spans="87:118">
      <c r="CI492" s="888">
        <v>423</v>
      </c>
      <c r="CJ492" s="4" t="s">
        <v>1444</v>
      </c>
      <c r="CL492" s="1826">
        <v>-2.4965244463589902</v>
      </c>
      <c r="CN492" s="1102"/>
      <c r="CO492" s="1103"/>
      <c r="CR492" s="1823" t="s">
        <v>1218</v>
      </c>
      <c r="CT492" s="1102"/>
      <c r="CU492" s="1103"/>
      <c r="CV492" s="1099"/>
      <c r="CW492" s="1099"/>
      <c r="CX492" s="1823">
        <v>-1.248539108926606</v>
      </c>
      <c r="CY492" s="1099"/>
      <c r="CZ492" s="1102"/>
      <c r="DA492" s="1103"/>
      <c r="DB492" s="1099"/>
      <c r="DF492" s="3">
        <v>944</v>
      </c>
      <c r="DG492" s="4">
        <v>1993</v>
      </c>
      <c r="DH492" s="4">
        <v>-1.9302239999999999</v>
      </c>
      <c r="DI492" s="1172"/>
      <c r="DJ492" s="5"/>
      <c r="DK492" s="1444">
        <v>944</v>
      </c>
      <c r="DL492" s="1444">
        <v>1996</v>
      </c>
      <c r="DM492" s="1444">
        <v>2.4207640000000001</v>
      </c>
      <c r="DN492" s="1440">
        <f t="shared" si="100"/>
        <v>7.2622920000000004</v>
      </c>
    </row>
    <row r="493" spans="87:118">
      <c r="CI493" s="888">
        <v>423</v>
      </c>
      <c r="CJ493" s="4" t="s">
        <v>1445</v>
      </c>
      <c r="CL493" s="1826">
        <v>-6.1422475696925734</v>
      </c>
      <c r="CN493" s="864"/>
      <c r="CO493" s="1103"/>
      <c r="CR493" s="1823">
        <v>-3.9116062483555147</v>
      </c>
      <c r="CT493" s="864"/>
      <c r="CU493" s="1103"/>
      <c r="CV493" s="1099"/>
      <c r="CW493" s="1099"/>
      <c r="CX493" s="1823">
        <v>-1.9770466695885038</v>
      </c>
      <c r="CY493" s="1099"/>
      <c r="CZ493" s="864"/>
      <c r="DA493" s="1103"/>
      <c r="DB493" s="1099"/>
      <c r="DF493" s="3">
        <v>944</v>
      </c>
      <c r="DG493" s="4">
        <v>1994</v>
      </c>
      <c r="DH493" s="4">
        <v>-3.5747429999999998</v>
      </c>
      <c r="DI493" s="1172"/>
      <c r="DJ493" s="5"/>
      <c r="DK493" s="1444">
        <v>944</v>
      </c>
      <c r="DL493" s="1444">
        <v>1997</v>
      </c>
      <c r="DM493" s="1444">
        <v>1.488575</v>
      </c>
      <c r="DN493" s="1440">
        <f t="shared" si="100"/>
        <v>4.4657249999999999</v>
      </c>
    </row>
    <row r="494" spans="87:118">
      <c r="CI494" s="888">
        <v>423</v>
      </c>
      <c r="CJ494" s="4" t="s">
        <v>1446</v>
      </c>
      <c r="CL494" s="1826">
        <v>-4.6135269535185612</v>
      </c>
      <c r="CN494" s="864"/>
      <c r="CO494" s="1103"/>
      <c r="CR494" s="1823">
        <v>-1.9958609578547184</v>
      </c>
      <c r="CT494" s="864"/>
      <c r="CU494" s="1103"/>
      <c r="CV494" s="1099"/>
      <c r="CW494" s="1099"/>
      <c r="CX494" s="1823">
        <v>-0.9404090986646878</v>
      </c>
      <c r="CY494" s="1099"/>
      <c r="CZ494" s="864"/>
      <c r="DA494" s="1103"/>
      <c r="DB494" s="1099"/>
      <c r="DF494" s="3">
        <v>944</v>
      </c>
      <c r="DG494" s="4">
        <v>1995</v>
      </c>
      <c r="DH494" s="4">
        <v>-3.4223669999999999</v>
      </c>
      <c r="DI494" s="1172"/>
      <c r="DJ494" s="5"/>
      <c r="DK494" s="1444">
        <v>944</v>
      </c>
      <c r="DL494" s="1444">
        <v>1998</v>
      </c>
      <c r="DM494" s="1444">
        <v>1.271674</v>
      </c>
      <c r="DN494" s="1440">
        <f t="shared" si="100"/>
        <v>3.8150219999999999</v>
      </c>
    </row>
    <row r="495" spans="87:118">
      <c r="CI495" s="888">
        <v>423</v>
      </c>
      <c r="CJ495" s="4" t="s">
        <v>1447</v>
      </c>
      <c r="CL495" s="1826">
        <v>-1.385498552228257</v>
      </c>
      <c r="CN495" s="864"/>
      <c r="CO495" s="1103"/>
      <c r="CR495" s="1823">
        <v>0.59803824695460062</v>
      </c>
      <c r="CT495" s="864"/>
      <c r="CU495" s="1103"/>
      <c r="CV495" s="1099"/>
      <c r="CW495" s="1099"/>
      <c r="CX495" s="1823">
        <v>0.6009994690806626</v>
      </c>
      <c r="CY495" s="1099"/>
      <c r="CZ495" s="864"/>
      <c r="DA495" s="1103"/>
      <c r="DB495" s="1099"/>
      <c r="DF495" s="3">
        <v>944</v>
      </c>
      <c r="DG495" s="4">
        <v>1996</v>
      </c>
      <c r="DH495" s="4">
        <v>-1.001603</v>
      </c>
      <c r="DI495" s="1172"/>
      <c r="DJ495" s="5"/>
      <c r="DK495" s="1444">
        <v>944</v>
      </c>
      <c r="DL495" s="1444">
        <v>1999</v>
      </c>
      <c r="DM495" s="1444">
        <v>0.56746839999999998</v>
      </c>
      <c r="DN495" s="1440">
        <f t="shared" si="100"/>
        <v>1.7024051999999998</v>
      </c>
    </row>
    <row r="496" spans="87:118">
      <c r="CI496" s="888">
        <v>423</v>
      </c>
      <c r="CJ496" s="4" t="s">
        <v>1448</v>
      </c>
      <c r="CL496" s="1826">
        <v>-0.95918553492864489</v>
      </c>
      <c r="CN496" s="864"/>
      <c r="CO496" s="1103"/>
      <c r="CR496" s="1823" t="s">
        <v>1218</v>
      </c>
      <c r="CT496" s="864"/>
      <c r="CU496" s="1103"/>
      <c r="CV496" s="1099"/>
      <c r="CW496" s="1099"/>
      <c r="CX496" s="1823">
        <v>-0.17763288006971512</v>
      </c>
      <c r="CY496" s="1099"/>
      <c r="CZ496" s="864"/>
      <c r="DA496" s="1103"/>
      <c r="DB496" s="1099"/>
      <c r="DF496" s="3">
        <v>944</v>
      </c>
      <c r="DG496" s="4">
        <v>1997</v>
      </c>
      <c r="DH496" s="4">
        <v>0.48697190000000001</v>
      </c>
      <c r="DI496" s="1172"/>
      <c r="DJ496" s="5"/>
      <c r="DK496" s="1444">
        <v>944</v>
      </c>
      <c r="DL496" s="1444">
        <v>2006</v>
      </c>
      <c r="DM496" s="1444">
        <v>-1.3859269999999999</v>
      </c>
      <c r="DN496" s="1440">
        <f t="shared" si="100"/>
        <v>-4.1577809999999999</v>
      </c>
    </row>
    <row r="497" spans="87:118">
      <c r="CI497" s="888">
        <v>423</v>
      </c>
      <c r="CJ497" s="1091" t="s">
        <v>1449</v>
      </c>
      <c r="CL497" s="1826">
        <v>-5.1616199272662175</v>
      </c>
      <c r="CN497" s="1104"/>
      <c r="CO497" s="1105"/>
      <c r="CR497" s="1824" t="s">
        <v>1218</v>
      </c>
      <c r="CT497" s="1104"/>
      <c r="CU497" s="1105"/>
      <c r="CV497" s="1100"/>
      <c r="CW497" s="1100"/>
      <c r="CX497" s="1824">
        <v>-3.1941391679897273</v>
      </c>
      <c r="CY497" s="1100"/>
      <c r="CZ497" s="1104"/>
      <c r="DA497" s="1105"/>
      <c r="DB497" s="1100"/>
      <c r="DF497" s="3">
        <v>944</v>
      </c>
      <c r="DG497" s="4">
        <v>1998</v>
      </c>
      <c r="DH497" s="4">
        <v>1.7586459999999999</v>
      </c>
      <c r="DI497" s="1172"/>
      <c r="DJ497" s="5"/>
      <c r="DK497" s="1444">
        <v>944</v>
      </c>
      <c r="DL497" s="1444">
        <v>2007</v>
      </c>
      <c r="DM497" s="1444">
        <v>-0.34831820000000002</v>
      </c>
      <c r="DN497" s="1440">
        <f t="shared" si="100"/>
        <v>-1.0449546000000001</v>
      </c>
    </row>
    <row r="498" spans="87:118">
      <c r="CI498" s="888">
        <v>935</v>
      </c>
      <c r="CJ498" s="4" t="s">
        <v>1450</v>
      </c>
      <c r="CL498" s="1826"/>
      <c r="CN498" s="1099">
        <v>-0.13349321613519782</v>
      </c>
      <c r="CO498" s="1106">
        <v>0.62</v>
      </c>
      <c r="CR498" s="1822"/>
      <c r="CT498" s="1102">
        <v>1.3873562170786808</v>
      </c>
      <c r="CU498" s="1106">
        <v>0.92</v>
      </c>
      <c r="CV498" s="863"/>
      <c r="CW498" s="863"/>
      <c r="CX498" s="1822" t="e">
        <v>#N/A</v>
      </c>
      <c r="CY498" s="863"/>
      <c r="CZ498" s="1099">
        <v>-0.43156809307091581</v>
      </c>
      <c r="DA498" s="1106">
        <v>0.48</v>
      </c>
      <c r="DB498" s="863"/>
      <c r="DF498" s="3">
        <v>944</v>
      </c>
      <c r="DG498" s="4">
        <v>1999</v>
      </c>
      <c r="DH498" s="4">
        <v>2.3261150000000002</v>
      </c>
      <c r="DI498" s="1172"/>
      <c r="DJ498" s="5"/>
      <c r="DK498" s="1444">
        <v>944</v>
      </c>
      <c r="DL498" s="1444">
        <v>2008</v>
      </c>
      <c r="DM498" s="1444">
        <v>0.68548920000000002</v>
      </c>
      <c r="DN498" s="1440">
        <f t="shared" si="100"/>
        <v>2.0564676</v>
      </c>
    </row>
    <row r="499" spans="87:118">
      <c r="CI499" s="888">
        <v>935</v>
      </c>
      <c r="CJ499" s="4"/>
      <c r="CL499" s="1826"/>
      <c r="CN499" s="1102"/>
      <c r="CO499" s="1103"/>
      <c r="CR499" s="1822"/>
      <c r="CT499" s="1102"/>
      <c r="CU499" s="1103"/>
      <c r="CV499" s="863"/>
      <c r="CW499" s="863"/>
      <c r="CX499" s="1822" t="e">
        <v>#N/A</v>
      </c>
      <c r="CY499" s="863"/>
      <c r="CZ499" s="1102"/>
      <c r="DA499" s="1103"/>
      <c r="DB499" s="863"/>
      <c r="DF499" s="3">
        <v>944</v>
      </c>
      <c r="DG499" s="4">
        <v>2006</v>
      </c>
      <c r="DH499" s="4">
        <v>-3.3696000000000002</v>
      </c>
      <c r="DI499" s="1172"/>
      <c r="DJ499" s="5"/>
      <c r="DK499" s="1444">
        <v>944</v>
      </c>
      <c r="DL499" s="1444">
        <v>2009</v>
      </c>
      <c r="DM499" s="1444">
        <v>2.6552069999999999</v>
      </c>
      <c r="DN499" s="1440">
        <f t="shared" si="100"/>
        <v>7.9656209999999996</v>
      </c>
    </row>
    <row r="500" spans="87:118">
      <c r="CI500" s="888">
        <v>935</v>
      </c>
      <c r="CJ500" s="4"/>
      <c r="CL500" s="1826"/>
      <c r="CN500" s="1102"/>
      <c r="CO500" s="1103"/>
      <c r="CR500" s="1822"/>
      <c r="CT500" s="1102"/>
      <c r="CU500" s="1103"/>
      <c r="CV500" s="863"/>
      <c r="CW500" s="863"/>
      <c r="CX500" s="1822" t="e">
        <v>#N/A</v>
      </c>
      <c r="CY500" s="863"/>
      <c r="CZ500" s="1102"/>
      <c r="DA500" s="1103"/>
      <c r="DB500" s="863"/>
      <c r="DF500" s="3">
        <v>944</v>
      </c>
      <c r="DG500" s="4">
        <v>2007</v>
      </c>
      <c r="DH500" s="4">
        <v>-3.7179180000000001</v>
      </c>
      <c r="DI500" s="1172"/>
      <c r="DJ500" s="5"/>
      <c r="DK500" s="1444">
        <v>944</v>
      </c>
      <c r="DL500" s="1444">
        <v>2010</v>
      </c>
      <c r="DM500" s="1444">
        <v>1.2268939999999999</v>
      </c>
      <c r="DN500" s="1440">
        <f t="shared" si="100"/>
        <v>3.680682</v>
      </c>
    </row>
    <row r="501" spans="87:118">
      <c r="CI501" s="888">
        <v>935</v>
      </c>
      <c r="CJ501" s="4"/>
      <c r="CL501" s="1826"/>
      <c r="CN501" s="1102"/>
      <c r="CO501" s="1103"/>
      <c r="CR501" s="1825"/>
      <c r="CT501" s="1102"/>
      <c r="CU501" s="1103"/>
      <c r="CV501" s="1099"/>
      <c r="CW501" s="1099"/>
      <c r="CX501" s="1825" t="e">
        <v>#N/A</v>
      </c>
      <c r="CY501" s="1099"/>
      <c r="CZ501" s="1102"/>
      <c r="DA501" s="1103"/>
      <c r="DB501" s="1099"/>
      <c r="DF501" s="3">
        <v>944</v>
      </c>
      <c r="DG501" s="4">
        <v>2008</v>
      </c>
      <c r="DH501" s="4">
        <v>-3.032429</v>
      </c>
      <c r="DI501" s="1172"/>
      <c r="DJ501" s="5"/>
      <c r="DK501" s="1444">
        <v>964</v>
      </c>
      <c r="DL501" s="1444">
        <v>1992</v>
      </c>
      <c r="DM501" s="1444">
        <v>-3.8068680000000001</v>
      </c>
      <c r="DN501" s="1440">
        <f t="shared" si="100"/>
        <v>-11.420604000000001</v>
      </c>
    </row>
    <row r="502" spans="87:118">
      <c r="CI502" s="888">
        <v>935</v>
      </c>
      <c r="CJ502" s="4" t="s">
        <v>2435</v>
      </c>
      <c r="CL502" s="1826">
        <v>1.9309940208413963</v>
      </c>
      <c r="CN502" s="1102"/>
      <c r="CO502" s="1103"/>
      <c r="CR502" s="1823">
        <v>2.5453333517386896</v>
      </c>
      <c r="CT502" s="1102"/>
      <c r="CU502" s="1103"/>
      <c r="CV502" s="1099"/>
      <c r="CW502" s="1099"/>
      <c r="CX502" s="1823">
        <v>-1.0788356719880414</v>
      </c>
      <c r="CY502" s="1099"/>
      <c r="CZ502" s="1102"/>
      <c r="DA502" s="1103"/>
      <c r="DB502" s="1099"/>
      <c r="DF502" s="3">
        <v>944</v>
      </c>
      <c r="DG502" s="4">
        <v>2009</v>
      </c>
      <c r="DH502" s="4">
        <v>-0.3772218</v>
      </c>
      <c r="DI502" s="1172"/>
      <c r="DJ502" s="5"/>
      <c r="DK502" s="1444">
        <v>964</v>
      </c>
      <c r="DL502" s="1444">
        <v>1993</v>
      </c>
      <c r="DM502" s="1444">
        <v>-1.3199129999999999</v>
      </c>
      <c r="DN502" s="1440">
        <f t="shared" si="100"/>
        <v>-3.9597389999999999</v>
      </c>
    </row>
    <row r="503" spans="87:118">
      <c r="CI503" s="888">
        <v>935</v>
      </c>
      <c r="CJ503" s="4" t="s">
        <v>2303</v>
      </c>
      <c r="CL503" s="1826">
        <v>-0.13349321613519782</v>
      </c>
      <c r="CN503" s="1102"/>
      <c r="CO503" s="1103"/>
      <c r="CR503" s="1823">
        <v>1.6147647604626263</v>
      </c>
      <c r="CT503" s="1102"/>
      <c r="CU503" s="1103"/>
      <c r="CV503" s="1099"/>
      <c r="CW503" s="1099"/>
      <c r="CX503" s="1823">
        <v>-0.18726654475906557</v>
      </c>
      <c r="CY503" s="1099"/>
      <c r="CZ503" s="1102"/>
      <c r="DA503" s="1103"/>
      <c r="DB503" s="1099"/>
      <c r="DF503" s="3">
        <v>944</v>
      </c>
      <c r="DG503" s="4">
        <v>2010</v>
      </c>
      <c r="DH503" s="4">
        <v>0.84967190000000004</v>
      </c>
      <c r="DI503" s="1172"/>
      <c r="DJ503" s="5"/>
      <c r="DK503" s="1444">
        <v>964</v>
      </c>
      <c r="DL503" s="1444">
        <v>1994</v>
      </c>
      <c r="DM503" s="1444">
        <v>2.2570299999999999</v>
      </c>
      <c r="DN503" s="1440">
        <f t="shared" si="100"/>
        <v>6.7710899999999992</v>
      </c>
    </row>
    <row r="504" spans="87:118">
      <c r="CI504" s="888">
        <v>935</v>
      </c>
      <c r="CJ504" s="4" t="s">
        <v>1451</v>
      </c>
      <c r="CL504" s="1826">
        <v>2.5179169753468811</v>
      </c>
      <c r="CN504" s="1102"/>
      <c r="CO504" s="1103"/>
      <c r="CR504" s="1823">
        <v>1.2561849945118821</v>
      </c>
      <c r="CT504" s="1102"/>
      <c r="CU504" s="1103"/>
      <c r="CV504" s="1099"/>
      <c r="CW504" s="1099"/>
      <c r="CX504" s="1823">
        <v>-0.61611424166623752</v>
      </c>
      <c r="CY504" s="1099"/>
      <c r="CZ504" s="1102"/>
      <c r="DA504" s="1103"/>
      <c r="DB504" s="1099"/>
      <c r="DF504" s="3">
        <v>964</v>
      </c>
      <c r="DG504" s="4">
        <v>1990</v>
      </c>
      <c r="DH504" s="4">
        <v>2.9098489999999999</v>
      </c>
      <c r="DI504" s="1172"/>
      <c r="DJ504" s="5"/>
      <c r="DK504" s="4"/>
      <c r="DL504" s="4"/>
      <c r="DM504" s="4"/>
      <c r="DN504" s="1439"/>
    </row>
    <row r="505" spans="87:118">
      <c r="CI505" s="888">
        <v>935</v>
      </c>
      <c r="CJ505" s="4" t="s">
        <v>1452</v>
      </c>
      <c r="CL505" s="1826">
        <v>0.34593906639754435</v>
      </c>
      <c r="CN505" s="1102"/>
      <c r="CO505" s="1103"/>
      <c r="CR505" s="1823">
        <v>0.5431088653681555</v>
      </c>
      <c r="CT505" s="1102"/>
      <c r="CU505" s="1103"/>
      <c r="CV505" s="1099"/>
      <c r="CW505" s="1099"/>
      <c r="CX505" s="1823">
        <v>1.0995224627732072</v>
      </c>
      <c r="CY505" s="1099"/>
      <c r="CZ505" s="1102"/>
      <c r="DA505" s="1103"/>
      <c r="DB505" s="1099"/>
      <c r="DF505" s="3">
        <v>964</v>
      </c>
      <c r="DG505" s="4">
        <v>1991</v>
      </c>
      <c r="DH505" s="4">
        <v>-1.757679</v>
      </c>
      <c r="DI505" s="1172"/>
      <c r="DJ505" s="5"/>
      <c r="DK505" s="4"/>
      <c r="DL505" s="4"/>
      <c r="DM505" s="4"/>
      <c r="DN505" s="1439"/>
    </row>
    <row r="506" spans="87:118">
      <c r="CI506" s="888">
        <v>935</v>
      </c>
      <c r="CJ506" s="4" t="s">
        <v>1453</v>
      </c>
      <c r="CL506" s="1826">
        <v>-2.7651440876826987</v>
      </c>
      <c r="CN506" s="864"/>
      <c r="CO506" s="1103"/>
      <c r="CR506" s="1823">
        <v>1.812507159576126</v>
      </c>
      <c r="CT506" s="864"/>
      <c r="CU506" s="1103"/>
      <c r="CV506" s="1099"/>
      <c r="CW506" s="1099"/>
      <c r="CX506" s="1823">
        <v>-7.5887370364946527E-4</v>
      </c>
      <c r="CY506" s="1099"/>
      <c r="CZ506" s="864"/>
      <c r="DA506" s="1103"/>
      <c r="DB506" s="1099"/>
      <c r="DF506" s="3">
        <v>964</v>
      </c>
      <c r="DG506" s="4">
        <v>1992</v>
      </c>
      <c r="DH506" s="4">
        <v>-2.7397480000000001</v>
      </c>
      <c r="DI506" s="1172"/>
      <c r="DJ506" s="5"/>
      <c r="DK506" s="4"/>
      <c r="DL506" s="4"/>
      <c r="DM506" s="4"/>
      <c r="DN506" s="1439"/>
    </row>
    <row r="507" spans="87:118">
      <c r="CI507" s="888">
        <v>935</v>
      </c>
      <c r="CJ507" s="4" t="s">
        <v>1454</v>
      </c>
      <c r="CL507" s="1826">
        <v>-3.8731397463023258</v>
      </c>
      <c r="CN507" s="864"/>
      <c r="CO507" s="1103"/>
      <c r="CR507" s="1823">
        <v>-0.91311797097837344</v>
      </c>
      <c r="CT507" s="864"/>
      <c r="CU507" s="1103"/>
      <c r="CV507" s="1099"/>
      <c r="CW507" s="1099"/>
      <c r="CX507" s="1823">
        <v>-0.43156809307091581</v>
      </c>
      <c r="CY507" s="1099"/>
      <c r="CZ507" s="864"/>
      <c r="DA507" s="1103"/>
      <c r="DB507" s="1099"/>
      <c r="DF507" s="3">
        <v>964</v>
      </c>
      <c r="DG507" s="4">
        <v>1993</v>
      </c>
      <c r="DH507" s="4">
        <v>-4.0596610000000002</v>
      </c>
      <c r="DI507" s="1172"/>
      <c r="DJ507" s="5"/>
      <c r="DK507" s="4"/>
      <c r="DL507" s="4"/>
      <c r="DM507" s="4"/>
      <c r="DN507" s="1439"/>
    </row>
    <row r="508" spans="87:118">
      <c r="CI508" s="888">
        <v>935</v>
      </c>
      <c r="CJ508" s="4" t="s">
        <v>1455</v>
      </c>
      <c r="CL508" s="1826">
        <v>-0.74167121040576145</v>
      </c>
      <c r="CN508" s="864"/>
      <c r="CO508" s="1103"/>
      <c r="CR508" s="1823">
        <v>1.5185274396454793</v>
      </c>
      <c r="CT508" s="864"/>
      <c r="CU508" s="1103"/>
      <c r="CV508" s="1099"/>
      <c r="CW508" s="1099"/>
      <c r="CX508" s="1823">
        <v>-2.3668614219072879</v>
      </c>
      <c r="CY508" s="1099"/>
      <c r="CZ508" s="864"/>
      <c r="DA508" s="1103"/>
      <c r="DB508" s="1099"/>
      <c r="DF508" s="3">
        <v>964</v>
      </c>
      <c r="DG508" s="4">
        <v>1994</v>
      </c>
      <c r="DH508" s="4">
        <v>-1.802632</v>
      </c>
      <c r="DI508" s="1172"/>
      <c r="DJ508" s="5"/>
      <c r="DK508" s="4"/>
      <c r="DL508" s="4"/>
      <c r="DM508" s="4"/>
      <c r="DN508" s="1439"/>
    </row>
    <row r="509" spans="87:118" ht="15.75" thickBot="1">
      <c r="CI509" s="888">
        <v>935</v>
      </c>
      <c r="CJ509" s="4" t="s">
        <v>1456</v>
      </c>
      <c r="CL509" s="1826">
        <v>2.6608189324028833</v>
      </c>
      <c r="CN509" s="864"/>
      <c r="CO509" s="1103"/>
      <c r="CR509" s="1823" t="s">
        <v>1218</v>
      </c>
      <c r="CT509" s="864"/>
      <c r="CU509" s="1103"/>
      <c r="CV509" s="1099"/>
      <c r="CW509" s="1099"/>
      <c r="CX509" s="1823">
        <v>-2.7821011740595183</v>
      </c>
      <c r="CY509" s="1099"/>
      <c r="CZ509" s="864"/>
      <c r="DA509" s="1103"/>
      <c r="DB509" s="1099"/>
      <c r="DF509" s="198"/>
      <c r="DG509" s="535"/>
      <c r="DH509" s="535"/>
      <c r="DI509" s="742"/>
      <c r="DJ509" s="198"/>
      <c r="DK509" s="1427"/>
      <c r="DL509" s="1427"/>
      <c r="DM509" s="1427"/>
      <c r="DN509" s="1445"/>
    </row>
    <row r="510" spans="87:118">
      <c r="CI510" s="888">
        <v>935</v>
      </c>
      <c r="CJ510" s="1091" t="s">
        <v>1457</v>
      </c>
      <c r="CL510" s="1826">
        <v>-8.7986074696418797</v>
      </c>
      <c r="CN510" s="1104"/>
      <c r="CO510" s="1105"/>
      <c r="CR510" s="1824">
        <v>-3.8473504112738759</v>
      </c>
      <c r="CT510" s="1104"/>
      <c r="CU510" s="1105"/>
      <c r="CV510" s="1100"/>
      <c r="CW510" s="1100"/>
      <c r="CX510" s="1824">
        <v>0.85702513398880953</v>
      </c>
      <c r="CY510" s="1100"/>
      <c r="CZ510" s="1104"/>
      <c r="DA510" s="1105"/>
      <c r="DB510" s="1100"/>
    </row>
    <row r="511" spans="87:118">
      <c r="CI511" s="888">
        <v>128</v>
      </c>
      <c r="CJ511" s="4" t="s">
        <v>1458</v>
      </c>
      <c r="CL511" s="1826"/>
      <c r="CN511" s="1099">
        <v>-8.1748718973013501E-2</v>
      </c>
      <c r="CO511" s="1106">
        <v>0.66</v>
      </c>
      <c r="CR511" s="1822"/>
      <c r="CT511" s="1102">
        <v>1.6265802214636373</v>
      </c>
      <c r="CU511" s="1106">
        <v>0.95</v>
      </c>
      <c r="CV511" s="863"/>
      <c r="CW511" s="863"/>
      <c r="CX511" s="1822" t="e">
        <v>#N/A</v>
      </c>
      <c r="CY511" s="863"/>
      <c r="CZ511" s="1099">
        <v>-0.6604981051496982</v>
      </c>
      <c r="DA511" s="1106">
        <v>0.35</v>
      </c>
      <c r="DB511" s="863"/>
    </row>
    <row r="512" spans="87:118">
      <c r="CI512" s="888">
        <v>128</v>
      </c>
      <c r="CJ512" s="4"/>
      <c r="CL512" s="1826"/>
      <c r="CN512" s="1102"/>
      <c r="CO512" s="1103"/>
      <c r="CR512" s="1822"/>
      <c r="CT512" s="1102"/>
      <c r="CU512" s="1103"/>
      <c r="CV512" s="863"/>
      <c r="CW512" s="863"/>
      <c r="CX512" s="1822" t="e">
        <v>#N/A</v>
      </c>
      <c r="CY512" s="863"/>
      <c r="CZ512" s="1102"/>
      <c r="DA512" s="1103"/>
      <c r="DB512" s="863"/>
    </row>
    <row r="513" spans="87:106">
      <c r="CI513" s="888">
        <v>128</v>
      </c>
      <c r="CJ513" s="4"/>
      <c r="CL513" s="1826"/>
      <c r="CN513" s="1102"/>
      <c r="CO513" s="1103"/>
      <c r="CR513" s="1822"/>
      <c r="CT513" s="1102"/>
      <c r="CU513" s="1103"/>
      <c r="CV513" s="863"/>
      <c r="CW513" s="863"/>
      <c r="CX513" s="1822" t="e">
        <v>#N/A</v>
      </c>
      <c r="CY513" s="863"/>
      <c r="CZ513" s="1102"/>
      <c r="DA513" s="1103"/>
      <c r="DB513" s="863"/>
    </row>
    <row r="514" spans="87:106">
      <c r="CI514" s="888">
        <v>128</v>
      </c>
      <c r="CJ514" s="4"/>
      <c r="CL514" s="1826"/>
      <c r="CN514" s="1102"/>
      <c r="CO514" s="1103"/>
      <c r="CR514" s="1825"/>
      <c r="CT514" s="1102"/>
      <c r="CU514" s="1103"/>
      <c r="CV514" s="1099"/>
      <c r="CW514" s="1099"/>
      <c r="CX514" s="1825" t="e">
        <v>#N/A</v>
      </c>
      <c r="CY514" s="1099"/>
      <c r="CZ514" s="1102"/>
      <c r="DA514" s="1103"/>
      <c r="DB514" s="1099"/>
    </row>
    <row r="515" spans="87:106">
      <c r="CI515" s="888">
        <v>128</v>
      </c>
      <c r="CJ515" s="4" t="s">
        <v>2436</v>
      </c>
      <c r="CL515" s="1826">
        <v>0.31721173268576441</v>
      </c>
      <c r="CN515" s="1102"/>
      <c r="CO515" s="1103"/>
      <c r="CR515" s="1823">
        <v>1.7895954950761226</v>
      </c>
      <c r="CT515" s="1102"/>
      <c r="CU515" s="1103"/>
      <c r="CV515" s="1099"/>
      <c r="CW515" s="1099"/>
      <c r="CX515" s="1823">
        <v>-0.31966977752449743</v>
      </c>
      <c r="CY515" s="1099"/>
      <c r="CZ515" s="1102"/>
      <c r="DA515" s="1103"/>
      <c r="DB515" s="1099"/>
    </row>
    <row r="516" spans="87:106">
      <c r="CI516" s="888">
        <v>128</v>
      </c>
      <c r="CJ516" s="4" t="s">
        <v>2304</v>
      </c>
      <c r="CL516" s="1826">
        <v>-3.905692876104272E-2</v>
      </c>
      <c r="CN516" s="1102"/>
      <c r="CO516" s="1103"/>
      <c r="CR516" s="1823">
        <v>1.5970533829281357</v>
      </c>
      <c r="CT516" s="1102"/>
      <c r="CU516" s="1103"/>
      <c r="CV516" s="1099"/>
      <c r="CW516" s="1099"/>
      <c r="CX516" s="1823">
        <v>-1.9783288407404072</v>
      </c>
      <c r="CY516" s="1099"/>
      <c r="CZ516" s="1102"/>
      <c r="DA516" s="1103"/>
      <c r="DB516" s="1099"/>
    </row>
    <row r="517" spans="87:106">
      <c r="CI517" s="888">
        <v>128</v>
      </c>
      <c r="CJ517" s="4" t="s">
        <v>1459</v>
      </c>
      <c r="CL517" s="1826">
        <v>-6.7047855730768102E-2</v>
      </c>
      <c r="CN517" s="1102"/>
      <c r="CO517" s="1103"/>
      <c r="CR517" s="1823">
        <v>1.6265802214636373</v>
      </c>
      <c r="CT517" s="1102"/>
      <c r="CU517" s="1103"/>
      <c r="CV517" s="1099"/>
      <c r="CW517" s="1099"/>
      <c r="CX517" s="1823">
        <v>-0.6604981051496982</v>
      </c>
      <c r="CY517" s="1099"/>
      <c r="CZ517" s="1102"/>
      <c r="DA517" s="1103"/>
      <c r="DB517" s="1099"/>
    </row>
    <row r="518" spans="87:106">
      <c r="CI518" s="888">
        <v>128</v>
      </c>
      <c r="CJ518" s="4" t="s">
        <v>1460</v>
      </c>
      <c r="CL518" s="1826">
        <v>-8.1748718973013501E-2</v>
      </c>
      <c r="CN518" s="1102"/>
      <c r="CO518" s="1103"/>
      <c r="CR518" s="1823">
        <v>3.9074002918517161</v>
      </c>
      <c r="CT518" s="1102"/>
      <c r="CU518" s="1103"/>
      <c r="CV518" s="1099"/>
      <c r="CW518" s="1099"/>
      <c r="CX518" s="1823">
        <v>-0.97211213394764162</v>
      </c>
      <c r="CY518" s="1099"/>
      <c r="CZ518" s="1102"/>
      <c r="DA518" s="1103"/>
      <c r="DB518" s="1099"/>
    </row>
    <row r="519" spans="87:106">
      <c r="CI519" s="888">
        <v>128</v>
      </c>
      <c r="CJ519" s="4" t="s">
        <v>1461</v>
      </c>
      <c r="CL519" s="1826">
        <v>-1.6621696460146866</v>
      </c>
      <c r="CN519" s="864"/>
      <c r="CO519" s="1103"/>
      <c r="CR519" s="1823">
        <v>1.3256330609551448</v>
      </c>
      <c r="CT519" s="864"/>
      <c r="CU519" s="1103"/>
      <c r="CV519" s="1099"/>
      <c r="CW519" s="1099"/>
      <c r="CX519" s="1823">
        <v>-0.61634432376461734</v>
      </c>
      <c r="CY519" s="1099"/>
      <c r="CZ519" s="864"/>
      <c r="DA519" s="1103"/>
      <c r="DB519" s="1099"/>
    </row>
    <row r="520" spans="87:106">
      <c r="CI520" s="888">
        <v>128</v>
      </c>
      <c r="CJ520" s="4" t="s">
        <v>1462</v>
      </c>
      <c r="CL520" s="1826">
        <v>-2.3866446956345699</v>
      </c>
      <c r="CN520" s="864"/>
      <c r="CO520" s="1103"/>
      <c r="CR520" s="1823">
        <v>-1.313804345706469</v>
      </c>
      <c r="CT520" s="864"/>
      <c r="CU520" s="1103"/>
      <c r="CV520" s="1099"/>
      <c r="CW520" s="1099"/>
      <c r="CX520" s="1823">
        <v>0.41384433030704582</v>
      </c>
      <c r="CY520" s="1099"/>
      <c r="CZ520" s="864"/>
      <c r="DA520" s="1103"/>
      <c r="DB520" s="1099"/>
    </row>
    <row r="521" spans="87:106">
      <c r="CI521" s="888">
        <v>128</v>
      </c>
      <c r="CJ521" s="4" t="s">
        <v>1463</v>
      </c>
      <c r="CL521" s="1826">
        <v>-0.45287849844606076</v>
      </c>
      <c r="CN521" s="864"/>
      <c r="CO521" s="1103"/>
      <c r="CR521" s="1823">
        <v>2.6174817806903681</v>
      </c>
      <c r="CT521" s="864"/>
      <c r="CU521" s="1103"/>
      <c r="CV521" s="1099"/>
      <c r="CW521" s="1099"/>
      <c r="CX521" s="1823">
        <v>-1.4348185132871036</v>
      </c>
      <c r="CY521" s="1099"/>
      <c r="CZ521" s="864"/>
      <c r="DA521" s="1103"/>
      <c r="DB521" s="1099"/>
    </row>
    <row r="522" spans="87:106">
      <c r="CI522" s="888">
        <v>128</v>
      </c>
      <c r="CJ522" s="4" t="s">
        <v>1464</v>
      </c>
      <c r="CL522" s="1826">
        <v>0.9005833256884539</v>
      </c>
      <c r="CN522" s="864"/>
      <c r="CO522" s="1103"/>
      <c r="CR522" s="1823">
        <v>2.0587177283796705</v>
      </c>
      <c r="CT522" s="864"/>
      <c r="CU522" s="1103"/>
      <c r="CV522" s="1099"/>
      <c r="CW522" s="1099"/>
      <c r="CX522" s="1823">
        <v>3.3340857878884744</v>
      </c>
      <c r="CY522" s="1099"/>
      <c r="CZ522" s="864"/>
      <c r="DA522" s="1103"/>
      <c r="DB522" s="1099"/>
    </row>
    <row r="523" spans="87:106">
      <c r="CI523" s="888">
        <v>128</v>
      </c>
      <c r="CJ523" s="1091" t="s">
        <v>1465</v>
      </c>
      <c r="CL523" s="1826">
        <v>-5.744962426810198</v>
      </c>
      <c r="CN523" s="1104"/>
      <c r="CO523" s="1105"/>
      <c r="CR523" s="1824">
        <v>-5.6903217458409356</v>
      </c>
      <c r="CT523" s="1104"/>
      <c r="CU523" s="1105"/>
      <c r="CV523" s="1100"/>
      <c r="CW523" s="1100"/>
      <c r="CX523" s="1824">
        <v>-1.8186896325164092</v>
      </c>
      <c r="CY523" s="1100"/>
      <c r="CZ523" s="1104"/>
      <c r="DA523" s="1105"/>
      <c r="DB523" s="1100"/>
    </row>
    <row r="524" spans="87:106">
      <c r="CI524" s="888">
        <v>243</v>
      </c>
      <c r="CJ524" s="4" t="s">
        <v>1466</v>
      </c>
      <c r="CL524" s="1826"/>
      <c r="CN524" s="1099">
        <v>0.27774191226580225</v>
      </c>
      <c r="CO524" s="1106">
        <v>0.82</v>
      </c>
      <c r="CR524" s="1822"/>
      <c r="CT524" s="1102">
        <v>-0.45581764026911109</v>
      </c>
      <c r="CU524" s="1106">
        <v>0.52</v>
      </c>
      <c r="CV524" s="863"/>
      <c r="CW524" s="863"/>
      <c r="CX524" s="1822" t="e">
        <v>#N/A</v>
      </c>
      <c r="CY524" s="863"/>
      <c r="CZ524" s="1099">
        <v>-2.7098812904443421</v>
      </c>
      <c r="DA524" s="1106">
        <v>0.03</v>
      </c>
      <c r="DB524" s="863"/>
    </row>
    <row r="525" spans="87:106">
      <c r="CI525" s="888">
        <v>243</v>
      </c>
      <c r="CJ525" s="4"/>
      <c r="CL525" s="1826"/>
      <c r="CN525" s="1102"/>
      <c r="CO525" s="1103"/>
      <c r="CR525" s="1822"/>
      <c r="CT525" s="1102"/>
      <c r="CU525" s="1103"/>
      <c r="CV525" s="863"/>
      <c r="CW525" s="863"/>
      <c r="CX525" s="1822" t="e">
        <v>#N/A</v>
      </c>
      <c r="CY525" s="863"/>
      <c r="CZ525" s="1102"/>
      <c r="DA525" s="1103"/>
      <c r="DB525" s="863"/>
    </row>
    <row r="526" spans="87:106">
      <c r="CI526" s="888">
        <v>243</v>
      </c>
      <c r="CJ526" s="4"/>
      <c r="CL526" s="1826"/>
      <c r="CN526" s="1102"/>
      <c r="CO526" s="1103"/>
      <c r="CR526" s="1822"/>
      <c r="CT526" s="1102"/>
      <c r="CU526" s="1103"/>
      <c r="CV526" s="863"/>
      <c r="CW526" s="863"/>
      <c r="CX526" s="1822" t="e">
        <v>#N/A</v>
      </c>
      <c r="CY526" s="863"/>
      <c r="CZ526" s="1102"/>
      <c r="DA526" s="1103"/>
      <c r="DB526" s="863"/>
    </row>
    <row r="527" spans="87:106">
      <c r="CI527" s="888">
        <v>243</v>
      </c>
      <c r="CJ527" s="4"/>
      <c r="CL527" s="1826"/>
      <c r="CN527" s="1102"/>
      <c r="CO527" s="1103"/>
      <c r="CR527" s="1825"/>
      <c r="CT527" s="1102"/>
      <c r="CU527" s="1103"/>
      <c r="CV527" s="1099"/>
      <c r="CW527" s="1099"/>
      <c r="CX527" s="1825" t="e">
        <v>#N/A</v>
      </c>
      <c r="CY527" s="1099"/>
      <c r="CZ527" s="1102"/>
      <c r="DA527" s="1103"/>
      <c r="DB527" s="1099"/>
    </row>
    <row r="528" spans="87:106">
      <c r="CI528" s="888">
        <v>243</v>
      </c>
      <c r="CJ528" s="4" t="s">
        <v>2437</v>
      </c>
      <c r="CL528" s="1826">
        <v>6.9529496175668726E-2</v>
      </c>
      <c r="CN528" s="1102"/>
      <c r="CO528" s="1103"/>
      <c r="CR528" s="1823">
        <v>0.34953855550194129</v>
      </c>
      <c r="CT528" s="1102"/>
      <c r="CU528" s="1103"/>
      <c r="CV528" s="1099"/>
      <c r="CW528" s="1099"/>
      <c r="CX528" s="1823">
        <v>-0.71994379206571724</v>
      </c>
      <c r="CY528" s="1099"/>
      <c r="CZ528" s="1102"/>
      <c r="DA528" s="1103"/>
      <c r="DB528" s="1099"/>
    </row>
    <row r="529" spans="87:106">
      <c r="CI529" s="888">
        <v>243</v>
      </c>
      <c r="CJ529" s="4" t="s">
        <v>2305</v>
      </c>
      <c r="CL529" s="1826">
        <v>2.1453001804868448</v>
      </c>
      <c r="CN529" s="1102"/>
      <c r="CO529" s="1103"/>
      <c r="CR529" s="1823">
        <v>-1.0015134912150975E-2</v>
      </c>
      <c r="CT529" s="1102"/>
      <c r="CU529" s="1103"/>
      <c r="CV529" s="1099"/>
      <c r="CW529" s="1099"/>
      <c r="CX529" s="1823">
        <v>-2.7098812904443421</v>
      </c>
      <c r="CY529" s="1099"/>
      <c r="CZ529" s="1102"/>
      <c r="DA529" s="1103"/>
      <c r="DB529" s="1099"/>
    </row>
    <row r="530" spans="87:106">
      <c r="CI530" s="888">
        <v>243</v>
      </c>
      <c r="CJ530" s="4" t="s">
        <v>1467</v>
      </c>
      <c r="CL530" s="1826">
        <v>2.9409361896996389</v>
      </c>
      <c r="CN530" s="1102"/>
      <c r="CO530" s="1103"/>
      <c r="CR530" s="1823">
        <v>3.1290097828843875</v>
      </c>
      <c r="CT530" s="1102"/>
      <c r="CU530" s="1103"/>
      <c r="CV530" s="1099"/>
      <c r="CW530" s="1099"/>
      <c r="CX530" s="1823">
        <v>-3.3658702418961171</v>
      </c>
      <c r="CY530" s="1099"/>
      <c r="CZ530" s="1102"/>
      <c r="DA530" s="1103"/>
      <c r="DB530" s="1099"/>
    </row>
    <row r="531" spans="87:106">
      <c r="CI531" s="888">
        <v>243</v>
      </c>
      <c r="CJ531" s="4" t="s">
        <v>1468</v>
      </c>
      <c r="CL531" s="1826">
        <v>3.9108783658674362</v>
      </c>
      <c r="CN531" s="1102"/>
      <c r="CO531" s="1103"/>
      <c r="CR531" s="1823">
        <v>-1.9380525156181929</v>
      </c>
      <c r="CT531" s="1102"/>
      <c r="CU531" s="1103"/>
      <c r="CV531" s="1099"/>
      <c r="CW531" s="1099"/>
      <c r="CX531" s="1823">
        <v>-3.3000540453697749</v>
      </c>
      <c r="CY531" s="1099"/>
      <c r="CZ531" s="1102"/>
      <c r="DA531" s="1103"/>
      <c r="DB531" s="1099"/>
    </row>
    <row r="532" spans="87:106">
      <c r="CI532" s="888">
        <v>243</v>
      </c>
      <c r="CJ532" s="4" t="s">
        <v>1469</v>
      </c>
      <c r="CL532" s="1826">
        <v>0.27774191226580225</v>
      </c>
      <c r="CN532" s="864"/>
      <c r="CO532" s="1103"/>
      <c r="CR532" s="1823">
        <v>-1.0409147804527443</v>
      </c>
      <c r="CT532" s="864"/>
      <c r="CU532" s="1103"/>
      <c r="CV532" s="1099"/>
      <c r="CW532" s="1099"/>
      <c r="CX532" s="1823">
        <v>-2.7907110380661124</v>
      </c>
      <c r="CY532" s="1099"/>
      <c r="CZ532" s="864"/>
      <c r="DA532" s="1103"/>
      <c r="DB532" s="1099"/>
    </row>
    <row r="533" spans="87:106">
      <c r="CI533" s="888">
        <v>243</v>
      </c>
      <c r="CJ533" s="4" t="s">
        <v>1470</v>
      </c>
      <c r="CL533" s="1826">
        <v>-1.612326663093433</v>
      </c>
      <c r="CN533" s="864"/>
      <c r="CO533" s="1103"/>
      <c r="CR533" s="1823">
        <v>-5.911734533210188</v>
      </c>
      <c r="CT533" s="864"/>
      <c r="CU533" s="1103"/>
      <c r="CV533" s="1099"/>
      <c r="CW533" s="1099"/>
      <c r="CX533" s="1823">
        <v>0.22735239154177123</v>
      </c>
      <c r="CY533" s="1099"/>
      <c r="CZ533" s="864"/>
      <c r="DA533" s="1103"/>
      <c r="DB533" s="1099"/>
    </row>
    <row r="534" spans="87:106">
      <c r="CI534" s="888">
        <v>243</v>
      </c>
      <c r="CJ534" s="4" t="s">
        <v>1471</v>
      </c>
      <c r="CL534" s="1826">
        <v>-1.5170853685958647</v>
      </c>
      <c r="CN534" s="864"/>
      <c r="CO534" s="1103"/>
      <c r="CR534" s="1823">
        <v>-0.45581764026911109</v>
      </c>
      <c r="CT534" s="864"/>
      <c r="CU534" s="1103"/>
      <c r="CV534" s="1099"/>
      <c r="CW534" s="1099"/>
      <c r="CX534" s="1823">
        <v>1.6652642349063331</v>
      </c>
      <c r="CY534" s="1099"/>
      <c r="CZ534" s="864"/>
      <c r="DA534" s="1103"/>
      <c r="DB534" s="1099"/>
    </row>
    <row r="535" spans="87:106">
      <c r="CI535" s="888">
        <v>243</v>
      </c>
      <c r="CJ535" s="4" t="s">
        <v>1472</v>
      </c>
      <c r="CL535" s="1826">
        <v>5.7511894120868803</v>
      </c>
      <c r="CN535" s="864"/>
      <c r="CO535" s="1103"/>
      <c r="CR535" s="1823">
        <v>0.93236701626303697</v>
      </c>
      <c r="CT535" s="864"/>
      <c r="CU535" s="1103"/>
      <c r="CV535" s="1099"/>
      <c r="CW535" s="1099"/>
      <c r="CX535" s="1823">
        <v>-7.0943684283454713</v>
      </c>
      <c r="CY535" s="1099"/>
      <c r="CZ535" s="864"/>
      <c r="DA535" s="1103"/>
      <c r="DB535" s="1099"/>
    </row>
    <row r="536" spans="87:106">
      <c r="CI536" s="888">
        <v>243</v>
      </c>
      <c r="CJ536" s="1091" t="s">
        <v>1473</v>
      </c>
      <c r="CL536" s="1826">
        <v>0.15411590185838264</v>
      </c>
      <c r="CN536" s="1104"/>
      <c r="CO536" s="1105"/>
      <c r="CR536" s="1824">
        <v>-2.5640407640761866</v>
      </c>
      <c r="CT536" s="1104"/>
      <c r="CU536" s="1105"/>
      <c r="CV536" s="1100"/>
      <c r="CW536" s="1100"/>
      <c r="CX536" s="1824">
        <v>-1.8306157900218958</v>
      </c>
      <c r="CY536" s="1100"/>
      <c r="CZ536" s="1104"/>
      <c r="DA536" s="1105"/>
      <c r="DB536" s="1100"/>
    </row>
    <row r="537" spans="87:106">
      <c r="CI537" s="888">
        <v>248</v>
      </c>
      <c r="CJ537" s="4" t="s">
        <v>1474</v>
      </c>
      <c r="CL537" s="1826"/>
      <c r="CN537" s="1099">
        <v>0.75491797034853469</v>
      </c>
      <c r="CO537" s="1106">
        <v>0.93</v>
      </c>
      <c r="CR537" s="1822"/>
      <c r="CT537" s="1102">
        <v>-3.1766705890524625</v>
      </c>
      <c r="CU537" s="1106">
        <v>0.11</v>
      </c>
      <c r="CV537" s="863"/>
      <c r="CW537" s="863"/>
      <c r="CX537" s="1822" t="e">
        <v>#N/A</v>
      </c>
      <c r="CY537" s="863"/>
      <c r="CZ537" s="1099">
        <v>-0.55746200633856846</v>
      </c>
      <c r="DA537" s="1106">
        <v>0.4</v>
      </c>
      <c r="DB537" s="863"/>
    </row>
    <row r="538" spans="87:106">
      <c r="CI538" s="888">
        <v>248</v>
      </c>
      <c r="CJ538" s="4"/>
      <c r="CL538" s="1826"/>
      <c r="CN538" s="1102"/>
      <c r="CO538" s="1103"/>
      <c r="CR538" s="1822"/>
      <c r="CT538" s="1102"/>
      <c r="CU538" s="1103"/>
      <c r="CV538" s="863"/>
      <c r="CW538" s="863"/>
      <c r="CX538" s="1822" t="e">
        <v>#N/A</v>
      </c>
      <c r="CY538" s="863"/>
      <c r="CZ538" s="1102"/>
      <c r="DA538" s="1103"/>
      <c r="DB538" s="863"/>
    </row>
    <row r="539" spans="87:106">
      <c r="CI539" s="888">
        <v>248</v>
      </c>
      <c r="CJ539" s="4"/>
      <c r="CL539" s="1826"/>
      <c r="CN539" s="1102"/>
      <c r="CO539" s="1103"/>
      <c r="CR539" s="1822"/>
      <c r="CT539" s="1102"/>
      <c r="CU539" s="1103"/>
      <c r="CV539" s="863"/>
      <c r="CW539" s="863"/>
      <c r="CX539" s="1822" t="e">
        <v>#N/A</v>
      </c>
      <c r="CY539" s="863"/>
      <c r="CZ539" s="1102"/>
      <c r="DA539" s="1103"/>
      <c r="DB539" s="863"/>
    </row>
    <row r="540" spans="87:106">
      <c r="CI540" s="888">
        <v>248</v>
      </c>
      <c r="CJ540" s="4"/>
      <c r="CL540" s="1826"/>
      <c r="CN540" s="1102"/>
      <c r="CO540" s="1103"/>
      <c r="CR540" s="1825"/>
      <c r="CT540" s="1102"/>
      <c r="CU540" s="1103"/>
      <c r="CV540" s="1099"/>
      <c r="CW540" s="1099"/>
      <c r="CX540" s="1825" t="e">
        <v>#N/A</v>
      </c>
      <c r="CY540" s="1099"/>
      <c r="CZ540" s="1102"/>
      <c r="DA540" s="1103"/>
      <c r="DB540" s="1099"/>
    </row>
    <row r="541" spans="87:106">
      <c r="CI541" s="888">
        <v>248</v>
      </c>
      <c r="CJ541" s="4" t="s">
        <v>2438</v>
      </c>
      <c r="CL541" s="1826">
        <v>7.0184665758893487</v>
      </c>
      <c r="CN541" s="1102"/>
      <c r="CO541" s="1103"/>
      <c r="CR541" s="1823">
        <v>-6.4731399291182363</v>
      </c>
      <c r="CT541" s="1102"/>
      <c r="CU541" s="1103"/>
      <c r="CV541" s="1099"/>
      <c r="CW541" s="1099"/>
      <c r="CX541" s="1823">
        <v>-0.3117084374321063</v>
      </c>
      <c r="CY541" s="1099"/>
      <c r="CZ541" s="1102"/>
      <c r="DA541" s="1103"/>
      <c r="DB541" s="1099"/>
    </row>
    <row r="542" spans="87:106">
      <c r="CI542" s="888">
        <v>248</v>
      </c>
      <c r="CJ542" s="4" t="s">
        <v>2306</v>
      </c>
      <c r="CL542" s="1826">
        <v>-5.2050897415337491</v>
      </c>
      <c r="CN542" s="1102"/>
      <c r="CO542" s="1103"/>
      <c r="CR542" s="1823">
        <v>-3.1766705890524625</v>
      </c>
      <c r="CT542" s="1102"/>
      <c r="CU542" s="1103"/>
      <c r="CV542" s="1099"/>
      <c r="CW542" s="1099"/>
      <c r="CX542" s="1823">
        <v>-2.2584299526020999</v>
      </c>
      <c r="CY542" s="1099"/>
      <c r="CZ542" s="1102"/>
      <c r="DA542" s="1103"/>
      <c r="DB542" s="1099"/>
    </row>
    <row r="543" spans="87:106">
      <c r="CI543" s="888">
        <v>248</v>
      </c>
      <c r="CJ543" s="4" t="s">
        <v>1475</v>
      </c>
      <c r="CL543" s="1826">
        <v>-3.3401689891562332</v>
      </c>
      <c r="CN543" s="1102"/>
      <c r="CO543" s="1103"/>
      <c r="CR543" s="1823">
        <v>-1.3280118400572034</v>
      </c>
      <c r="CT543" s="1102"/>
      <c r="CU543" s="1103"/>
      <c r="CV543" s="1099"/>
      <c r="CW543" s="1099"/>
      <c r="CX543" s="1823">
        <v>-3.7126791760401838</v>
      </c>
      <c r="CY543" s="1099"/>
      <c r="CZ543" s="1102"/>
      <c r="DA543" s="1103"/>
      <c r="DB543" s="1099"/>
    </row>
    <row r="544" spans="87:106">
      <c r="CI544" s="888">
        <v>248</v>
      </c>
      <c r="CJ544" s="4" t="s">
        <v>1476</v>
      </c>
      <c r="CL544" s="1826">
        <v>-0.25605488877696736</v>
      </c>
      <c r="CN544" s="1102"/>
      <c r="CO544" s="1103"/>
      <c r="CR544" s="1823">
        <v>-4.3248024630537225</v>
      </c>
      <c r="CT544" s="1102"/>
      <c r="CU544" s="1103"/>
      <c r="CV544" s="1099"/>
      <c r="CW544" s="1099"/>
      <c r="CX544" s="1823">
        <v>-0.55746200633856846</v>
      </c>
      <c r="CY544" s="1099"/>
      <c r="CZ544" s="1102"/>
      <c r="DA544" s="1103"/>
      <c r="DB544" s="1099"/>
    </row>
    <row r="545" spans="87:106">
      <c r="CI545" s="888">
        <v>248</v>
      </c>
      <c r="CJ545" s="4" t="s">
        <v>1477</v>
      </c>
      <c r="CL545" s="1826">
        <v>0.75491797034853469</v>
      </c>
      <c r="CN545" s="864"/>
      <c r="CO545" s="1103"/>
      <c r="CR545" s="1823">
        <v>-3.8744813721834417</v>
      </c>
      <c r="CT545" s="864"/>
      <c r="CU545" s="1103"/>
      <c r="CV545" s="1099"/>
      <c r="CW545" s="1099"/>
      <c r="CX545" s="1823">
        <v>-1.1376400164249483</v>
      </c>
      <c r="CY545" s="1099"/>
      <c r="CZ545" s="864"/>
      <c r="DA545" s="1103"/>
      <c r="DB545" s="1099"/>
    </row>
    <row r="546" spans="87:106">
      <c r="CI546" s="888">
        <v>248</v>
      </c>
      <c r="CJ546" s="4" t="s">
        <v>1478</v>
      </c>
      <c r="CL546" s="1826">
        <v>2.3359611196795282</v>
      </c>
      <c r="CN546" s="864"/>
      <c r="CO546" s="1103"/>
      <c r="CR546" s="1823">
        <v>-0.34512187013848178</v>
      </c>
      <c r="CT546" s="864"/>
      <c r="CU546" s="1103"/>
      <c r="CV546" s="1099"/>
      <c r="CW546" s="1099"/>
      <c r="CX546" s="1823">
        <v>1.5855038665821395</v>
      </c>
      <c r="CY546" s="1099"/>
      <c r="CZ546" s="864"/>
      <c r="DA546" s="1103"/>
      <c r="DB546" s="1099"/>
    </row>
    <row r="547" spans="87:106">
      <c r="CI547" s="888">
        <v>248</v>
      </c>
      <c r="CJ547" s="4" t="s">
        <v>1479</v>
      </c>
      <c r="CL547" s="1826">
        <v>5.7335465438886484</v>
      </c>
      <c r="CN547" s="864"/>
      <c r="CO547" s="1103"/>
      <c r="CR547" s="1823">
        <v>2.9029289800932201</v>
      </c>
      <c r="CT547" s="864"/>
      <c r="CU547" s="1103"/>
      <c r="CV547" s="1099"/>
      <c r="CW547" s="1099"/>
      <c r="CX547" s="1823">
        <v>2.7760367630840213</v>
      </c>
      <c r="CY547" s="1099"/>
      <c r="CZ547" s="864"/>
      <c r="DA547" s="1103"/>
      <c r="DB547" s="1099"/>
    </row>
    <row r="548" spans="87:106">
      <c r="CI548" s="888">
        <v>248</v>
      </c>
      <c r="CJ548" s="4" t="s">
        <v>1480</v>
      </c>
      <c r="CL548" s="1826">
        <v>2.5816024864575096</v>
      </c>
      <c r="CN548" s="864"/>
      <c r="CO548" s="1103"/>
      <c r="CR548" s="1823">
        <v>-0.68405579318454923</v>
      </c>
      <c r="CT548" s="864"/>
      <c r="CU548" s="1103"/>
      <c r="CV548" s="1099"/>
      <c r="CW548" s="1099"/>
      <c r="CX548" s="1823">
        <v>3.2278895864474366</v>
      </c>
      <c r="CY548" s="1099"/>
      <c r="CZ548" s="864"/>
      <c r="DA548" s="1103"/>
      <c r="DB548" s="1099"/>
    </row>
    <row r="549" spans="87:106">
      <c r="CI549" s="888">
        <v>248</v>
      </c>
      <c r="CJ549" s="1091" t="s">
        <v>1481</v>
      </c>
      <c r="CL549" s="1826">
        <v>-3.7199203116915145</v>
      </c>
      <c r="CN549" s="1104"/>
      <c r="CO549" s="1105"/>
      <c r="CR549" s="1824">
        <v>-8.740530772538385</v>
      </c>
      <c r="CT549" s="1104"/>
      <c r="CU549" s="1105"/>
      <c r="CV549" s="1100"/>
      <c r="CW549" s="1100"/>
      <c r="CX549" s="1824">
        <v>-7.7671384457611152</v>
      </c>
      <c r="CY549" s="1100"/>
      <c r="CZ549" s="1104"/>
      <c r="DA549" s="1105"/>
      <c r="DB549" s="1100"/>
    </row>
    <row r="550" spans="87:106">
      <c r="CI550" s="888">
        <v>469</v>
      </c>
      <c r="CJ550" s="4" t="s">
        <v>1482</v>
      </c>
      <c r="CL550" s="1826"/>
      <c r="CN550" s="1099">
        <v>-1.0500967371483463</v>
      </c>
      <c r="CO550" s="1106">
        <v>0.23</v>
      </c>
      <c r="CR550" s="1822"/>
      <c r="CT550" s="1102">
        <v>-1.3623157773107155</v>
      </c>
      <c r="CU550" s="1106">
        <v>0.26</v>
      </c>
      <c r="CV550" s="863"/>
      <c r="CW550" s="863"/>
      <c r="CX550" s="1822" t="e">
        <v>#N/A</v>
      </c>
      <c r="CY550" s="863"/>
      <c r="CZ550" s="1099">
        <v>1.152364629571899</v>
      </c>
      <c r="DA550" s="1106">
        <v>0.86</v>
      </c>
      <c r="DB550" s="863"/>
    </row>
    <row r="551" spans="87:106">
      <c r="CI551" s="888">
        <v>469</v>
      </c>
      <c r="CJ551" s="4"/>
      <c r="CL551" s="1826"/>
      <c r="CN551" s="1102"/>
      <c r="CO551" s="1103"/>
      <c r="CR551" s="1822"/>
      <c r="CT551" s="1102"/>
      <c r="CU551" s="1103"/>
      <c r="CV551" s="863"/>
      <c r="CW551" s="863"/>
      <c r="CX551" s="1822" t="e">
        <v>#N/A</v>
      </c>
      <c r="CY551" s="863"/>
      <c r="CZ551" s="1102"/>
      <c r="DA551" s="1103"/>
      <c r="DB551" s="863"/>
    </row>
    <row r="552" spans="87:106">
      <c r="CI552" s="888">
        <v>469</v>
      </c>
      <c r="CJ552" s="4"/>
      <c r="CL552" s="1826"/>
      <c r="CN552" s="1102"/>
      <c r="CO552" s="1103"/>
      <c r="CR552" s="1822"/>
      <c r="CT552" s="1102"/>
      <c r="CU552" s="1103"/>
      <c r="CV552" s="863"/>
      <c r="CW552" s="863"/>
      <c r="CX552" s="1822" t="e">
        <v>#N/A</v>
      </c>
      <c r="CY552" s="863"/>
      <c r="CZ552" s="1102"/>
      <c r="DA552" s="1103"/>
      <c r="DB552" s="863"/>
    </row>
    <row r="553" spans="87:106">
      <c r="CI553" s="888">
        <v>469</v>
      </c>
      <c r="CJ553" s="4"/>
      <c r="CL553" s="1826"/>
      <c r="CN553" s="1102"/>
      <c r="CO553" s="1103"/>
      <c r="CR553" s="1825"/>
      <c r="CT553" s="1102"/>
      <c r="CU553" s="1103"/>
      <c r="CV553" s="1099"/>
      <c r="CW553" s="1099"/>
      <c r="CX553" s="1825" t="e">
        <v>#N/A</v>
      </c>
      <c r="CY553" s="1099"/>
      <c r="CZ553" s="1102"/>
      <c r="DA553" s="1103"/>
      <c r="DB553" s="1099"/>
    </row>
    <row r="554" spans="87:106">
      <c r="CI554" s="888">
        <v>469</v>
      </c>
      <c r="CJ554" s="4" t="s">
        <v>2439</v>
      </c>
      <c r="CL554" s="1826">
        <v>-2.5697561510903633E-2</v>
      </c>
      <c r="CN554" s="1102"/>
      <c r="CO554" s="1103"/>
      <c r="CR554" s="1823">
        <v>-0.56198279140419327</v>
      </c>
      <c r="CT554" s="1102"/>
      <c r="CU554" s="1103"/>
      <c r="CV554" s="1099"/>
      <c r="CW554" s="1099"/>
      <c r="CX554" s="1823">
        <v>13.675346008065338</v>
      </c>
      <c r="CY554" s="1099"/>
      <c r="CZ554" s="1102"/>
      <c r="DA554" s="1103"/>
      <c r="DB554" s="1099"/>
    </row>
    <row r="555" spans="87:106">
      <c r="CI555" s="888">
        <v>469</v>
      </c>
      <c r="CJ555" s="4" t="s">
        <v>2307</v>
      </c>
      <c r="CL555" s="1826">
        <v>3.6101052432015557E-2</v>
      </c>
      <c r="CN555" s="1102"/>
      <c r="CO555" s="1103"/>
      <c r="CR555" s="1823">
        <v>-1.046550175776676</v>
      </c>
      <c r="CT555" s="1102"/>
      <c r="CU555" s="1103"/>
      <c r="CV555" s="1099"/>
      <c r="CW555" s="1099"/>
      <c r="CX555" s="1823">
        <v>-4.2251661030054306</v>
      </c>
      <c r="CY555" s="1099"/>
      <c r="CZ555" s="1102"/>
      <c r="DA555" s="1103"/>
      <c r="DB555" s="1099"/>
    </row>
    <row r="556" spans="87:106">
      <c r="CI556" s="888">
        <v>469</v>
      </c>
      <c r="CJ556" s="4" t="s">
        <v>1483</v>
      </c>
      <c r="CL556" s="1826">
        <v>0.28161210940226677</v>
      </c>
      <c r="CN556" s="1102"/>
      <c r="CO556" s="1103"/>
      <c r="CR556" s="1823">
        <v>-0.36043146217078981</v>
      </c>
      <c r="CT556" s="1102"/>
      <c r="CU556" s="1103"/>
      <c r="CV556" s="1099"/>
      <c r="CW556" s="1099"/>
      <c r="CX556" s="1823">
        <v>-0.1728453352798649</v>
      </c>
      <c r="CY556" s="1099"/>
      <c r="CZ556" s="1102"/>
      <c r="DA556" s="1103"/>
      <c r="DB556" s="1099"/>
    </row>
    <row r="557" spans="87:106">
      <c r="CI557" s="888">
        <v>469</v>
      </c>
      <c r="CJ557" s="4" t="s">
        <v>1484</v>
      </c>
      <c r="CL557" s="1826">
        <v>-1.0500967371483463</v>
      </c>
      <c r="CN557" s="1102"/>
      <c r="CO557" s="1103"/>
      <c r="CR557" s="1823">
        <v>-4.8058132212364821</v>
      </c>
      <c r="CT557" s="1102"/>
      <c r="CU557" s="1103"/>
      <c r="CV557" s="1099"/>
      <c r="CW557" s="1099"/>
      <c r="CX557" s="1823">
        <v>-1.9722060762270139</v>
      </c>
      <c r="CY557" s="1099"/>
      <c r="CZ557" s="1102"/>
      <c r="DA557" s="1103"/>
      <c r="DB557" s="1099"/>
    </row>
    <row r="558" spans="87:106">
      <c r="CI558" s="888">
        <v>469</v>
      </c>
      <c r="CJ558" s="4" t="s">
        <v>1485</v>
      </c>
      <c r="CL558" s="1826">
        <v>-1.2400498138661797</v>
      </c>
      <c r="CN558" s="864"/>
      <c r="CO558" s="1103"/>
      <c r="CR558" s="1823">
        <v>-4.3106881146989924</v>
      </c>
      <c r="CT558" s="864"/>
      <c r="CU558" s="1103"/>
      <c r="CV558" s="1099"/>
      <c r="CW558" s="1099"/>
      <c r="CX558" s="1823">
        <v>-3.126685309660914</v>
      </c>
      <c r="CY558" s="1099"/>
      <c r="CZ558" s="864"/>
      <c r="DA558" s="1103"/>
      <c r="DB558" s="1099"/>
    </row>
    <row r="559" spans="87:106">
      <c r="CI559" s="888">
        <v>469</v>
      </c>
      <c r="CJ559" s="4" t="s">
        <v>1486</v>
      </c>
      <c r="CL559" s="1826">
        <v>-1.7852118221551296</v>
      </c>
      <c r="CN559" s="864"/>
      <c r="CO559" s="1103"/>
      <c r="CR559" s="1823">
        <v>-1.3623157773107155</v>
      </c>
      <c r="CT559" s="864"/>
      <c r="CU559" s="1103"/>
      <c r="CV559" s="1099"/>
      <c r="CW559" s="1099"/>
      <c r="CX559" s="1823">
        <v>1.4294199852206688</v>
      </c>
      <c r="CY559" s="1099"/>
      <c r="CZ559" s="864"/>
      <c r="DA559" s="1103"/>
      <c r="DB559" s="1099"/>
    </row>
    <row r="560" spans="87:106">
      <c r="CI560" s="888">
        <v>469</v>
      </c>
      <c r="CJ560" s="4" t="s">
        <v>1487</v>
      </c>
      <c r="CL560" s="1826">
        <v>-3.7503799204744044</v>
      </c>
      <c r="CN560" s="864"/>
      <c r="CO560" s="1103"/>
      <c r="CR560" s="1823">
        <v>-0.96487178692188413</v>
      </c>
      <c r="CT560" s="864"/>
      <c r="CU560" s="1103"/>
      <c r="CV560" s="1099"/>
      <c r="CW560" s="1099"/>
      <c r="CX560" s="1823">
        <v>2.6695518045836391</v>
      </c>
      <c r="CY560" s="1099"/>
      <c r="CZ560" s="864"/>
      <c r="DA560" s="1103"/>
      <c r="DB560" s="1099"/>
    </row>
    <row r="561" spans="87:106">
      <c r="CI561" s="888">
        <v>469</v>
      </c>
      <c r="CJ561" s="4" t="s">
        <v>1488</v>
      </c>
      <c r="CL561" s="1826">
        <v>2.1510868045212321</v>
      </c>
      <c r="CN561" s="864"/>
      <c r="CO561" s="1103"/>
      <c r="CR561" s="1823">
        <v>-1.7534538569909297</v>
      </c>
      <c r="CT561" s="864"/>
      <c r="CU561" s="1103"/>
      <c r="CV561" s="1099"/>
      <c r="CW561" s="1099"/>
      <c r="CX561" s="1823">
        <v>1.152364629571899</v>
      </c>
      <c r="CY561" s="1099"/>
      <c r="CZ561" s="864"/>
      <c r="DA561" s="1103"/>
      <c r="DB561" s="1099"/>
    </row>
    <row r="562" spans="87:106">
      <c r="CI562" s="888">
        <v>469</v>
      </c>
      <c r="CJ562" s="1091" t="s">
        <v>1489</v>
      </c>
      <c r="CL562" s="1826">
        <v>-2.4054525392790556</v>
      </c>
      <c r="CN562" s="1104"/>
      <c r="CO562" s="1105"/>
      <c r="CR562" s="1824">
        <v>-2.8973388917066973</v>
      </c>
      <c r="CT562" s="1104"/>
      <c r="CU562" s="1105"/>
      <c r="CV562" s="1100"/>
      <c r="CW562" s="1100"/>
      <c r="CX562" s="1824">
        <v>1.7127424537941529</v>
      </c>
      <c r="CY562" s="1100"/>
      <c r="CZ562" s="1104"/>
      <c r="DA562" s="1105"/>
      <c r="DB562" s="1100"/>
    </row>
    <row r="563" spans="87:106">
      <c r="CI563" s="888">
        <v>253</v>
      </c>
      <c r="CJ563" s="4" t="s">
        <v>1490</v>
      </c>
      <c r="CL563" s="1826"/>
      <c r="CN563" s="1099">
        <v>-0.19999999999999707</v>
      </c>
      <c r="CO563" s="1106">
        <v>0.56000000000000005</v>
      </c>
      <c r="CR563" s="1822"/>
      <c r="CT563" s="1102">
        <v>-0.95898547115024846</v>
      </c>
      <c r="CU563" s="1106">
        <v>0.36</v>
      </c>
      <c r="CV563" s="863"/>
      <c r="CW563" s="863"/>
      <c r="CX563" s="1822" t="e">
        <v>#N/A</v>
      </c>
      <c r="CY563" s="863"/>
      <c r="CZ563" s="1099">
        <v>-1.2530672034435035</v>
      </c>
      <c r="DA563" s="1106">
        <v>0.18</v>
      </c>
      <c r="DB563" s="863"/>
    </row>
    <row r="564" spans="87:106">
      <c r="CI564" s="888">
        <v>253</v>
      </c>
      <c r="CJ564" s="4"/>
      <c r="CL564" s="1826"/>
      <c r="CN564" s="1102"/>
      <c r="CO564" s="1103"/>
      <c r="CR564" s="1822"/>
      <c r="CT564" s="1102"/>
      <c r="CU564" s="1103"/>
      <c r="CV564" s="863"/>
      <c r="CW564" s="863"/>
      <c r="CX564" s="1822" t="e">
        <v>#N/A</v>
      </c>
      <c r="CY564" s="863"/>
      <c r="CZ564" s="1102"/>
      <c r="DA564" s="1103"/>
      <c r="DB564" s="863"/>
    </row>
    <row r="565" spans="87:106">
      <c r="CI565" s="888">
        <v>253</v>
      </c>
      <c r="CJ565" s="4"/>
      <c r="CL565" s="1826"/>
      <c r="CN565" s="1102"/>
      <c r="CO565" s="1103"/>
      <c r="CR565" s="1822"/>
      <c r="CT565" s="1102"/>
      <c r="CU565" s="1103"/>
      <c r="CV565" s="863"/>
      <c r="CW565" s="863"/>
      <c r="CX565" s="1822" t="e">
        <v>#N/A</v>
      </c>
      <c r="CY565" s="863"/>
      <c r="CZ565" s="1102"/>
      <c r="DA565" s="1103"/>
      <c r="DB565" s="863"/>
    </row>
    <row r="566" spans="87:106">
      <c r="CI566" s="888">
        <v>253</v>
      </c>
      <c r="CJ566" s="4"/>
      <c r="CL566" s="1826"/>
      <c r="CN566" s="1102"/>
      <c r="CO566" s="1103"/>
      <c r="CR566" s="1825"/>
      <c r="CT566" s="1102"/>
      <c r="CU566" s="1103"/>
      <c r="CV566" s="1099"/>
      <c r="CW566" s="1099"/>
      <c r="CX566" s="1825" t="e">
        <v>#N/A</v>
      </c>
      <c r="CY566" s="1099"/>
      <c r="CZ566" s="1102"/>
      <c r="DA566" s="1103"/>
      <c r="DB566" s="1099"/>
    </row>
    <row r="567" spans="87:106">
      <c r="CI567" s="888">
        <v>253</v>
      </c>
      <c r="CJ567" s="4" t="s">
        <v>2440</v>
      </c>
      <c r="CL567" s="1826">
        <v>-0.19999999999999707</v>
      </c>
      <c r="CN567" s="1102"/>
      <c r="CO567" s="1103"/>
      <c r="CR567" s="1823">
        <v>1.8712798188198341</v>
      </c>
      <c r="CT567" s="1102"/>
      <c r="CU567" s="1103"/>
      <c r="CV567" s="1099"/>
      <c r="CW567" s="1099"/>
      <c r="CX567" s="1823">
        <v>0.34522286245729372</v>
      </c>
      <c r="CY567" s="1099"/>
      <c r="CZ567" s="1102"/>
      <c r="DA567" s="1103"/>
      <c r="DB567" s="1099"/>
    </row>
    <row r="568" spans="87:106">
      <c r="CI568" s="888">
        <v>253</v>
      </c>
      <c r="CJ568" s="4" t="s">
        <v>2308</v>
      </c>
      <c r="CL568" s="1826">
        <v>-0.18313609467455239</v>
      </c>
      <c r="CN568" s="1102"/>
      <c r="CO568" s="1103"/>
      <c r="CR568" s="1823">
        <v>1.4003541686810512</v>
      </c>
      <c r="CT568" s="1102"/>
      <c r="CU568" s="1103"/>
      <c r="CV568" s="1099"/>
      <c r="CW568" s="1099"/>
      <c r="CX568" s="1823">
        <v>-1.2530672034435035</v>
      </c>
      <c r="CY568" s="1099"/>
      <c r="CZ568" s="1102"/>
      <c r="DA568" s="1103"/>
      <c r="DB568" s="1099"/>
    </row>
    <row r="569" spans="87:106">
      <c r="CI569" s="888">
        <v>253</v>
      </c>
      <c r="CJ569" s="4" t="s">
        <v>1491</v>
      </c>
      <c r="CL569" s="1826">
        <v>0.75506222153940938</v>
      </c>
      <c r="CN569" s="1102"/>
      <c r="CO569" s="1103"/>
      <c r="CR569" s="1823">
        <v>1.2121853887101524</v>
      </c>
      <c r="CT569" s="1102"/>
      <c r="CU569" s="1103"/>
      <c r="CV569" s="1099"/>
      <c r="CW569" s="1099"/>
      <c r="CX569" s="1823">
        <v>-1.7111471922301011</v>
      </c>
      <c r="CY569" s="1099"/>
      <c r="CZ569" s="1102"/>
      <c r="DA569" s="1103"/>
      <c r="DB569" s="1099"/>
    </row>
    <row r="570" spans="87:106">
      <c r="CI570" s="888">
        <v>253</v>
      </c>
      <c r="CJ570" s="4" t="s">
        <v>1492</v>
      </c>
      <c r="CL570" s="1826">
        <v>0.35194415299751802</v>
      </c>
      <c r="CN570" s="1102"/>
      <c r="CO570" s="1103"/>
      <c r="CR570" s="1823">
        <v>-0.95898547115024846</v>
      </c>
      <c r="CT570" s="1102"/>
      <c r="CU570" s="1103"/>
      <c r="CV570" s="1099"/>
      <c r="CW570" s="1099"/>
      <c r="CX570" s="1823">
        <v>-1.0453666888961484</v>
      </c>
      <c r="CY570" s="1099"/>
      <c r="CZ570" s="1102"/>
      <c r="DA570" s="1103"/>
      <c r="DB570" s="1099"/>
    </row>
    <row r="571" spans="87:106">
      <c r="CI571" s="888">
        <v>253</v>
      </c>
      <c r="CJ571" s="4" t="s">
        <v>1493</v>
      </c>
      <c r="CL571" s="1826">
        <v>-0.82411100648560565</v>
      </c>
      <c r="CN571" s="864"/>
      <c r="CO571" s="1103"/>
      <c r="CR571" s="1823">
        <v>-1.7702692117650849</v>
      </c>
      <c r="CT571" s="864"/>
      <c r="CU571" s="1103"/>
      <c r="CV571" s="1099"/>
      <c r="CW571" s="1099"/>
      <c r="CX571" s="1823">
        <v>-2.7961958123842185</v>
      </c>
      <c r="CY571" s="1099"/>
      <c r="CZ571" s="864"/>
      <c r="DA571" s="1103"/>
      <c r="DB571" s="1099"/>
    </row>
    <row r="572" spans="87:106">
      <c r="CI572" s="888">
        <v>253</v>
      </c>
      <c r="CJ572" s="4" t="s">
        <v>1494</v>
      </c>
      <c r="CL572" s="1826">
        <v>-1.0705385245548227</v>
      </c>
      <c r="CN572" s="864"/>
      <c r="CO572" s="1103"/>
      <c r="CR572" s="1823">
        <v>-1.3761110316002381</v>
      </c>
      <c r="CT572" s="864"/>
      <c r="CU572" s="1103"/>
      <c r="CV572" s="1099"/>
      <c r="CW572" s="1099"/>
      <c r="CX572" s="1823">
        <v>-1.71389747929875</v>
      </c>
      <c r="CY572" s="1099"/>
      <c r="CZ572" s="864"/>
      <c r="DA572" s="1103"/>
      <c r="DB572" s="1099"/>
    </row>
    <row r="573" spans="87:106">
      <c r="CI573" s="888">
        <v>253</v>
      </c>
      <c r="CJ573" s="4" t="s">
        <v>1495</v>
      </c>
      <c r="CL573" s="1826">
        <v>-0.48902327229338938</v>
      </c>
      <c r="CN573" s="864"/>
      <c r="CO573" s="1103"/>
      <c r="CR573" s="1823">
        <v>0.54945646208413967</v>
      </c>
      <c r="CT573" s="864"/>
      <c r="CU573" s="1103"/>
      <c r="CV573" s="1099"/>
      <c r="CW573" s="1099"/>
      <c r="CX573" s="1823">
        <v>3.2234667243544308</v>
      </c>
      <c r="CY573" s="1099"/>
      <c r="CZ573" s="864"/>
      <c r="DA573" s="1103"/>
      <c r="DB573" s="1099"/>
    </row>
    <row r="574" spans="87:106">
      <c r="CI574" s="888">
        <v>253</v>
      </c>
      <c r="CJ574" s="4" t="s">
        <v>1496</v>
      </c>
      <c r="CL574" s="1826">
        <v>0.92621010073935084</v>
      </c>
      <c r="CN574" s="864"/>
      <c r="CO574" s="1103"/>
      <c r="CR574" s="1823">
        <v>-1.2182202263661748</v>
      </c>
      <c r="CT574" s="864"/>
      <c r="CU574" s="1103"/>
      <c r="CV574" s="1099"/>
      <c r="CW574" s="1099"/>
      <c r="CX574" s="1823">
        <v>-0.19031683829724777</v>
      </c>
      <c r="CY574" s="1099"/>
      <c r="CZ574" s="864"/>
      <c r="DA574" s="1103"/>
      <c r="DB574" s="1099"/>
    </row>
    <row r="575" spans="87:106">
      <c r="CI575" s="888">
        <v>253</v>
      </c>
      <c r="CJ575" s="1091" t="s">
        <v>1497</v>
      </c>
      <c r="CL575" s="1826">
        <v>-6.9403874398299337</v>
      </c>
      <c r="CN575" s="1104"/>
      <c r="CO575" s="1105"/>
      <c r="CR575" s="1824">
        <v>-3.7753038650454807</v>
      </c>
      <c r="CT575" s="1104"/>
      <c r="CU575" s="1105"/>
      <c r="CV575" s="1100"/>
      <c r="CW575" s="1100"/>
      <c r="CX575" s="1824">
        <v>-4.0489080486304729</v>
      </c>
      <c r="CY575" s="1100"/>
      <c r="CZ575" s="1104"/>
      <c r="DA575" s="1105"/>
      <c r="DB575" s="1100"/>
    </row>
    <row r="576" spans="87:106">
      <c r="CI576" s="888">
        <v>642</v>
      </c>
      <c r="CJ576" s="4" t="s">
        <v>1498</v>
      </c>
      <c r="CL576" s="1826"/>
      <c r="CN576" s="1099">
        <v>0.5381944412333477</v>
      </c>
      <c r="CO576" s="1106">
        <v>0.87</v>
      </c>
      <c r="CR576" s="1822"/>
      <c r="CT576" s="1102">
        <v>-6.2903674302378771</v>
      </c>
      <c r="CU576" s="1106">
        <v>0.03</v>
      </c>
      <c r="CV576" s="863"/>
      <c r="CW576" s="863"/>
      <c r="CX576" s="1822" t="e">
        <v>#N/A</v>
      </c>
      <c r="CY576" s="863"/>
      <c r="CZ576" s="1099">
        <v>-5.0189685358987548</v>
      </c>
      <c r="DA576" s="1106">
        <v>0.01</v>
      </c>
      <c r="DB576" s="863"/>
    </row>
    <row r="577" spans="87:106">
      <c r="CI577" s="888">
        <v>642</v>
      </c>
      <c r="CJ577" s="4"/>
      <c r="CL577" s="1826"/>
      <c r="CN577" s="1102"/>
      <c r="CO577" s="1103"/>
      <c r="CR577" s="1822"/>
      <c r="CT577" s="1102"/>
      <c r="CU577" s="1103"/>
      <c r="CV577" s="863"/>
      <c r="CW577" s="863"/>
      <c r="CX577" s="1822" t="e">
        <v>#N/A</v>
      </c>
      <c r="CY577" s="863"/>
      <c r="CZ577" s="1102"/>
      <c r="DA577" s="1103"/>
      <c r="DB577" s="863"/>
    </row>
    <row r="578" spans="87:106">
      <c r="CI578" s="888">
        <v>642</v>
      </c>
      <c r="CJ578" s="4"/>
      <c r="CL578" s="1826"/>
      <c r="CN578" s="1102"/>
      <c r="CO578" s="1103"/>
      <c r="CR578" s="1822"/>
      <c r="CT578" s="1102"/>
      <c r="CU578" s="1103"/>
      <c r="CV578" s="863"/>
      <c r="CW578" s="863"/>
      <c r="CX578" s="1822" t="e">
        <v>#N/A</v>
      </c>
      <c r="CY578" s="863"/>
      <c r="CZ578" s="1102"/>
      <c r="DA578" s="1103"/>
      <c r="DB578" s="863"/>
    </row>
    <row r="579" spans="87:106">
      <c r="CI579" s="888">
        <v>642</v>
      </c>
      <c r="CJ579" s="4"/>
      <c r="CL579" s="1826"/>
      <c r="CN579" s="1102"/>
      <c r="CO579" s="1103"/>
      <c r="CR579" s="1825"/>
      <c r="CT579" s="1102"/>
      <c r="CU579" s="1103"/>
      <c r="CV579" s="1099"/>
      <c r="CW579" s="1099"/>
      <c r="CX579" s="1825" t="e">
        <v>#N/A</v>
      </c>
      <c r="CY579" s="1099"/>
      <c r="CZ579" s="1102"/>
      <c r="DA579" s="1103"/>
      <c r="DB579" s="1099"/>
    </row>
    <row r="580" spans="87:106">
      <c r="CI580" s="888">
        <v>642</v>
      </c>
      <c r="CJ580" s="4" t="s">
        <v>2441</v>
      </c>
      <c r="CL580" s="1826">
        <v>-2.4608138030472535</v>
      </c>
      <c r="CN580" s="1102"/>
      <c r="CO580" s="1103"/>
      <c r="CR580" s="1823">
        <v>7.1262973915536136</v>
      </c>
      <c r="CT580" s="1102"/>
      <c r="CU580" s="1103"/>
      <c r="CV580" s="1099"/>
      <c r="CW580" s="1099"/>
      <c r="CX580" s="1823">
        <v>1.5797579580916272</v>
      </c>
      <c r="CY580" s="1099"/>
      <c r="CZ580" s="1102"/>
      <c r="DA580" s="1103"/>
      <c r="DB580" s="1099"/>
    </row>
    <row r="581" spans="87:106">
      <c r="CI581" s="888">
        <v>642</v>
      </c>
      <c r="CJ581" s="4" t="s">
        <v>2309</v>
      </c>
      <c r="CL581" s="1826">
        <v>-13.393812778716951</v>
      </c>
      <c r="CN581" s="1102"/>
      <c r="CO581" s="1103"/>
      <c r="CR581" s="1823">
        <v>-4.7202747341602995</v>
      </c>
      <c r="CT581" s="1102"/>
      <c r="CU581" s="1103"/>
      <c r="CV581" s="1099"/>
      <c r="CW581" s="1099"/>
      <c r="CX581" s="1823">
        <v>-13.438223370094413</v>
      </c>
      <c r="CY581" s="1099"/>
      <c r="CZ581" s="1102"/>
      <c r="DA581" s="1103"/>
      <c r="DB581" s="1099"/>
    </row>
    <row r="582" spans="87:106">
      <c r="CI582" s="888">
        <v>642</v>
      </c>
      <c r="CJ582" s="4" t="s">
        <v>1499</v>
      </c>
      <c r="CL582" s="1826">
        <v>0.81710885741508399</v>
      </c>
      <c r="CN582" s="1102"/>
      <c r="CO582" s="1103"/>
      <c r="CR582" s="1823">
        <v>-15.343263401138371</v>
      </c>
      <c r="CT582" s="1102"/>
      <c r="CU582" s="1103"/>
      <c r="CV582" s="1099"/>
      <c r="CW582" s="1099"/>
      <c r="CX582" s="1823">
        <v>-11.427448089877545</v>
      </c>
      <c r="CY582" s="1099"/>
      <c r="CZ582" s="1102"/>
      <c r="DA582" s="1103"/>
      <c r="DB582" s="1099"/>
    </row>
    <row r="583" spans="87:106">
      <c r="CI583" s="888">
        <v>642</v>
      </c>
      <c r="CJ583" s="4" t="s">
        <v>1500</v>
      </c>
      <c r="CL583" s="1826">
        <v>0.5381944412333477</v>
      </c>
      <c r="CN583" s="1102"/>
      <c r="CO583" s="1103"/>
      <c r="CR583" s="1823">
        <v>-6.0860984345982674</v>
      </c>
      <c r="CT583" s="1102"/>
      <c r="CU583" s="1103"/>
      <c r="CV583" s="1099"/>
      <c r="CW583" s="1099"/>
      <c r="CX583" s="1823">
        <v>-7.4876905659865542</v>
      </c>
      <c r="CY583" s="1099"/>
      <c r="CZ583" s="1102"/>
      <c r="DA583" s="1103"/>
      <c r="DB583" s="1099"/>
    </row>
    <row r="584" spans="87:106">
      <c r="CI584" s="888">
        <v>642</v>
      </c>
      <c r="CJ584" s="4" t="s">
        <v>1501</v>
      </c>
      <c r="CL584" s="1826">
        <v>-11.628021539900693</v>
      </c>
      <c r="CN584" s="864"/>
      <c r="CO584" s="1103"/>
      <c r="CR584" s="1823">
        <v>-6.787096680767946</v>
      </c>
      <c r="CT584" s="864"/>
      <c r="CU584" s="1103"/>
      <c r="CV584" s="1099"/>
      <c r="CW584" s="1099"/>
      <c r="CX584" s="1823">
        <v>-5.0189685358987548</v>
      </c>
      <c r="CY584" s="1099"/>
      <c r="CZ584" s="864"/>
      <c r="DA584" s="1103"/>
      <c r="DB584" s="1099"/>
    </row>
    <row r="585" spans="87:106">
      <c r="CI585" s="888">
        <v>642</v>
      </c>
      <c r="CJ585" s="4" t="s">
        <v>1502</v>
      </c>
      <c r="CL585" s="1826">
        <v>-0.81053752114827304</v>
      </c>
      <c r="CN585" s="864"/>
      <c r="CO585" s="1103"/>
      <c r="CR585" s="1823">
        <v>-6.2903674302378771</v>
      </c>
      <c r="CT585" s="864"/>
      <c r="CU585" s="1103"/>
      <c r="CV585" s="1099"/>
      <c r="CW585" s="1099"/>
      <c r="CX585" s="1823">
        <v>6.23922894330813</v>
      </c>
      <c r="CY585" s="1099"/>
      <c r="CZ585" s="864"/>
      <c r="DA585" s="1103"/>
      <c r="DB585" s="1099"/>
    </row>
    <row r="586" spans="87:106">
      <c r="CI586" s="888">
        <v>642</v>
      </c>
      <c r="CJ586" s="4" t="s">
        <v>1503</v>
      </c>
      <c r="CL586" s="1826">
        <v>2.3961488692390569</v>
      </c>
      <c r="CN586" s="864"/>
      <c r="CO586" s="1103"/>
      <c r="CR586" s="1823">
        <v>5.6020438094942051</v>
      </c>
      <c r="CT586" s="864"/>
      <c r="CU586" s="1103"/>
      <c r="CV586" s="1099"/>
      <c r="CW586" s="1099"/>
      <c r="CX586" s="1823">
        <v>15.273783598852262</v>
      </c>
      <c r="CY586" s="1099"/>
      <c r="CZ586" s="864"/>
      <c r="DA586" s="1103"/>
      <c r="DB586" s="1099"/>
    </row>
    <row r="587" spans="87:106">
      <c r="CI587" s="888">
        <v>642</v>
      </c>
      <c r="CJ587" s="4" t="s">
        <v>1504</v>
      </c>
      <c r="CL587" s="1826">
        <v>2.0730001698889753</v>
      </c>
      <c r="CN587" s="864"/>
      <c r="CO587" s="1103"/>
      <c r="CR587" s="1823">
        <v>-11.06854344258169</v>
      </c>
      <c r="CT587" s="864"/>
      <c r="CU587" s="1103"/>
      <c r="CV587" s="1099"/>
      <c r="CW587" s="1099"/>
      <c r="CX587" s="1823">
        <v>9.2138840868360212</v>
      </c>
      <c r="CY587" s="1099"/>
      <c r="CZ587" s="864"/>
      <c r="DA587" s="1103"/>
      <c r="DB587" s="1099"/>
    </row>
    <row r="588" spans="87:106">
      <c r="CI588" s="888">
        <v>642</v>
      </c>
      <c r="CJ588" s="1091" t="s">
        <v>1505</v>
      </c>
      <c r="CL588" s="1826">
        <v>0.8171993740270258</v>
      </c>
      <c r="CN588" s="1104"/>
      <c r="CO588" s="1105"/>
      <c r="CR588" s="1824">
        <v>-21.83868937511626</v>
      </c>
      <c r="CT588" s="1104"/>
      <c r="CU588" s="1105"/>
      <c r="CV588" s="1100"/>
      <c r="CW588" s="1100"/>
      <c r="CX588" s="1824">
        <v>-30.265406195812258</v>
      </c>
      <c r="CY588" s="1100"/>
      <c r="CZ588" s="1104"/>
      <c r="DA588" s="1105"/>
      <c r="DB588" s="1100"/>
    </row>
    <row r="589" spans="87:106">
      <c r="CI589" s="888">
        <v>939</v>
      </c>
      <c r="CJ589" s="4" t="s">
        <v>1506</v>
      </c>
      <c r="CL589" s="1826"/>
      <c r="CN589" s="1099">
        <v>-0.26251491195693966</v>
      </c>
      <c r="CO589" s="1106">
        <v>0.52</v>
      </c>
      <c r="CR589" s="1822"/>
      <c r="CT589" s="1102">
        <v>-2.391703894583308E-2</v>
      </c>
      <c r="CU589" s="1106">
        <v>0.7</v>
      </c>
      <c r="CV589" s="863"/>
      <c r="CW589" s="863"/>
      <c r="CX589" s="1822" t="e">
        <v>#N/A</v>
      </c>
      <c r="CY589" s="863"/>
      <c r="CZ589" s="1099">
        <v>1.0770873193907218</v>
      </c>
      <c r="DA589" s="1106">
        <v>0.85</v>
      </c>
      <c r="DB589" s="863"/>
    </row>
    <row r="590" spans="87:106">
      <c r="CI590" s="888">
        <v>939</v>
      </c>
      <c r="CJ590" s="4"/>
      <c r="CL590" s="1826"/>
      <c r="CN590" s="1102"/>
      <c r="CO590" s="1103"/>
      <c r="CR590" s="1822"/>
      <c r="CT590" s="1102"/>
      <c r="CU590" s="1103"/>
      <c r="CV590" s="863"/>
      <c r="CW590" s="863"/>
      <c r="CX590" s="1822" t="e">
        <v>#N/A</v>
      </c>
      <c r="CY590" s="863"/>
      <c r="CZ590" s="1102"/>
      <c r="DA590" s="1103"/>
      <c r="DB590" s="863"/>
    </row>
    <row r="591" spans="87:106">
      <c r="CI591" s="888">
        <v>939</v>
      </c>
      <c r="CJ591" s="4"/>
      <c r="CL591" s="1826"/>
      <c r="CN591" s="1102"/>
      <c r="CO591" s="1103"/>
      <c r="CR591" s="1822"/>
      <c r="CT591" s="1102"/>
      <c r="CU591" s="1103"/>
      <c r="CV591" s="863"/>
      <c r="CW591" s="863"/>
      <c r="CX591" s="1822" t="e">
        <v>#N/A</v>
      </c>
      <c r="CY591" s="863"/>
      <c r="CZ591" s="1102"/>
      <c r="DA591" s="1103"/>
      <c r="DB591" s="863"/>
    </row>
    <row r="592" spans="87:106">
      <c r="CI592" s="888">
        <v>939</v>
      </c>
      <c r="CJ592" s="4"/>
      <c r="CL592" s="1826"/>
      <c r="CN592" s="1102"/>
      <c r="CO592" s="1103"/>
      <c r="CR592" s="1825"/>
      <c r="CT592" s="1102"/>
      <c r="CU592" s="1103"/>
      <c r="CV592" s="1099"/>
      <c r="CW592" s="1099"/>
      <c r="CX592" s="1825" t="e">
        <v>#N/A</v>
      </c>
      <c r="CY592" s="1099"/>
      <c r="CZ592" s="1102"/>
      <c r="DA592" s="1103"/>
      <c r="DB592" s="1099"/>
    </row>
    <row r="593" spans="87:106">
      <c r="CI593" s="888">
        <v>939</v>
      </c>
      <c r="CJ593" s="4" t="s">
        <v>2442</v>
      </c>
      <c r="CL593" s="1826">
        <v>2.0596039258235317</v>
      </c>
      <c r="CN593" s="1102"/>
      <c r="CO593" s="1103"/>
      <c r="CR593" s="1823">
        <v>-0.18963375741453137</v>
      </c>
      <c r="CT593" s="1102"/>
      <c r="CU593" s="1103"/>
      <c r="CV593" s="1099"/>
      <c r="CW593" s="1099"/>
      <c r="CX593" s="1823">
        <v>1.409801895112945</v>
      </c>
      <c r="CY593" s="1099"/>
      <c r="CZ593" s="1102"/>
      <c r="DA593" s="1103"/>
      <c r="DB593" s="1099"/>
    </row>
    <row r="594" spans="87:106">
      <c r="CI594" s="888">
        <v>939</v>
      </c>
      <c r="CJ594" s="4" t="s">
        <v>2310</v>
      </c>
      <c r="CL594" s="1826">
        <v>-1.3312019843995735</v>
      </c>
      <c r="CN594" s="1102"/>
      <c r="CO594" s="1103"/>
      <c r="CR594" s="1823">
        <v>-0.22092364567608253</v>
      </c>
      <c r="CT594" s="1102"/>
      <c r="CU594" s="1103"/>
      <c r="CV594" s="1099"/>
      <c r="CW594" s="1099"/>
      <c r="CX594" s="1823">
        <v>-0.66690649699071947</v>
      </c>
      <c r="CY594" s="1099"/>
      <c r="CZ594" s="1102"/>
      <c r="DA594" s="1103"/>
      <c r="DB594" s="1099"/>
    </row>
    <row r="595" spans="87:106">
      <c r="CI595" s="888">
        <v>939</v>
      </c>
      <c r="CJ595" s="4" t="s">
        <v>1507</v>
      </c>
      <c r="CL595" s="1826">
        <v>-1.7665299411157502</v>
      </c>
      <c r="CN595" s="1102"/>
      <c r="CO595" s="1103"/>
      <c r="CR595" s="1823">
        <v>-0.20489928950172306</v>
      </c>
      <c r="CT595" s="1102"/>
      <c r="CU595" s="1103"/>
      <c r="CV595" s="1099"/>
      <c r="CW595" s="1099"/>
      <c r="CX595" s="1823">
        <v>-3.6664869326824041</v>
      </c>
      <c r="CY595" s="1099"/>
      <c r="CZ595" s="1102"/>
      <c r="DA595" s="1103"/>
      <c r="DB595" s="1099"/>
    </row>
    <row r="596" spans="87:106">
      <c r="CI596" s="888">
        <v>939</v>
      </c>
      <c r="CJ596" s="4" t="s">
        <v>1508</v>
      </c>
      <c r="CL596" s="1826">
        <v>-0.26251491195693966</v>
      </c>
      <c r="CN596" s="1102"/>
      <c r="CO596" s="1103"/>
      <c r="CR596" s="1823">
        <v>0.19155956698343768</v>
      </c>
      <c r="CT596" s="1102"/>
      <c r="CU596" s="1103"/>
      <c r="CV596" s="1099"/>
      <c r="CW596" s="1099"/>
      <c r="CX596" s="1823">
        <v>-0.86258527999950907</v>
      </c>
      <c r="CY596" s="1099"/>
      <c r="CZ596" s="1102"/>
      <c r="DA596" s="1103"/>
      <c r="DB596" s="1099"/>
    </row>
    <row r="597" spans="87:106">
      <c r="CI597" s="888">
        <v>939</v>
      </c>
      <c r="CJ597" s="4" t="s">
        <v>1509</v>
      </c>
      <c r="CL597" s="1826">
        <v>-1.925181810524969</v>
      </c>
      <c r="CN597" s="864"/>
      <c r="CO597" s="1103"/>
      <c r="CR597" s="1823">
        <v>-2.391703894583308E-2</v>
      </c>
      <c r="CT597" s="864"/>
      <c r="CU597" s="1103"/>
      <c r="CV597" s="1099"/>
      <c r="CW597" s="1099"/>
      <c r="CX597" s="1823">
        <v>2.2022198649183204</v>
      </c>
      <c r="CY597" s="1099"/>
      <c r="CZ597" s="864"/>
      <c r="DA597" s="1103"/>
      <c r="DB597" s="1099"/>
    </row>
    <row r="598" spans="87:106">
      <c r="CI598" s="888">
        <v>939</v>
      </c>
      <c r="CJ598" s="4" t="s">
        <v>1510</v>
      </c>
      <c r="CL598" s="1826">
        <v>0.24561711595494096</v>
      </c>
      <c r="CN598" s="864"/>
      <c r="CO598" s="1103"/>
      <c r="CR598" s="1823">
        <v>0.28928193592889939</v>
      </c>
      <c r="CT598" s="864"/>
      <c r="CU598" s="1103"/>
      <c r="CV598" s="1099"/>
      <c r="CW598" s="1099"/>
      <c r="CX598" s="1823">
        <v>2.1061039180598859</v>
      </c>
      <c r="CY598" s="1099"/>
      <c r="CZ598" s="864"/>
      <c r="DA598" s="1103"/>
      <c r="DB598" s="1099"/>
    </row>
    <row r="599" spans="87:106">
      <c r="CI599" s="888">
        <v>939</v>
      </c>
      <c r="CJ599" s="4" t="s">
        <v>1511</v>
      </c>
      <c r="CL599" s="1826">
        <v>4.6764681167927762</v>
      </c>
      <c r="CN599" s="864"/>
      <c r="CO599" s="1103"/>
      <c r="CR599" s="1823">
        <v>4.313992813072332</v>
      </c>
      <c r="CT599" s="864"/>
      <c r="CU599" s="1103"/>
      <c r="CV599" s="1099"/>
      <c r="CW599" s="1099"/>
      <c r="CX599" s="1823">
        <v>2.8336199009877379</v>
      </c>
      <c r="CY599" s="1099"/>
      <c r="CZ599" s="864"/>
      <c r="DA599" s="1103"/>
      <c r="DB599" s="1099"/>
    </row>
    <row r="600" spans="87:106">
      <c r="CI600" s="888">
        <v>939</v>
      </c>
      <c r="CJ600" s="4" t="s">
        <v>1512</v>
      </c>
      <c r="CL600" s="1826">
        <v>3.3088059375190291</v>
      </c>
      <c r="CN600" s="864"/>
      <c r="CO600" s="1103"/>
      <c r="CR600" s="1823">
        <v>7.3095659768961925</v>
      </c>
      <c r="CT600" s="864"/>
      <c r="CU600" s="1103"/>
      <c r="CV600" s="1099"/>
      <c r="CW600" s="1099"/>
      <c r="CX600" s="1823">
        <v>1.0770873193907218</v>
      </c>
      <c r="CY600" s="1099"/>
      <c r="CZ600" s="864"/>
      <c r="DA600" s="1103"/>
      <c r="DB600" s="1099"/>
    </row>
    <row r="601" spans="87:106">
      <c r="CI601" s="888">
        <v>939</v>
      </c>
      <c r="CJ601" s="1091" t="s">
        <v>1513</v>
      </c>
      <c r="CL601" s="1826">
        <v>-17.610224928284666</v>
      </c>
      <c r="CN601" s="1104"/>
      <c r="CO601" s="1105"/>
      <c r="CR601" s="1824">
        <v>-1.8712930703985526</v>
      </c>
      <c r="CT601" s="1104"/>
      <c r="CU601" s="1105"/>
      <c r="CV601" s="1100"/>
      <c r="CW601" s="1100"/>
      <c r="CX601" s="1824">
        <v>-4.1515412152902611</v>
      </c>
      <c r="CY601" s="1100"/>
      <c r="CZ601" s="1104"/>
      <c r="DA601" s="1105"/>
      <c r="DB601" s="1100"/>
    </row>
    <row r="602" spans="87:106">
      <c r="CI602" s="888">
        <v>644</v>
      </c>
      <c r="CJ602" s="4" t="s">
        <v>1514</v>
      </c>
      <c r="CL602" s="1826"/>
      <c r="CN602" s="1099">
        <v>2.9085930313775279</v>
      </c>
      <c r="CO602" s="1106">
        <v>1</v>
      </c>
      <c r="CR602" s="1822"/>
      <c r="CT602" s="1102">
        <v>0.48187430787634788</v>
      </c>
      <c r="CU602" s="1106">
        <v>0.85</v>
      </c>
      <c r="CV602" s="863"/>
      <c r="CW602" s="863"/>
      <c r="CX602" s="1822" t="e">
        <v>#N/A</v>
      </c>
      <c r="CY602" s="863"/>
      <c r="CZ602" s="1099">
        <v>2.6144191397948955</v>
      </c>
      <c r="DA602" s="1106">
        <v>0.96</v>
      </c>
      <c r="DB602" s="863"/>
    </row>
    <row r="603" spans="87:106">
      <c r="CI603" s="888">
        <v>644</v>
      </c>
      <c r="CJ603" s="4"/>
      <c r="CL603" s="1826"/>
      <c r="CN603" s="1102"/>
      <c r="CO603" s="1103"/>
      <c r="CR603" s="1822"/>
      <c r="CT603" s="1102"/>
      <c r="CU603" s="1103"/>
      <c r="CV603" s="863"/>
      <c r="CW603" s="863"/>
      <c r="CX603" s="1822" t="e">
        <v>#N/A</v>
      </c>
      <c r="CY603" s="863"/>
      <c r="CZ603" s="1102"/>
      <c r="DA603" s="1103"/>
      <c r="DB603" s="863"/>
    </row>
    <row r="604" spans="87:106">
      <c r="CI604" s="888">
        <v>644</v>
      </c>
      <c r="CJ604" s="4"/>
      <c r="CL604" s="1826"/>
      <c r="CN604" s="1102"/>
      <c r="CO604" s="1103"/>
      <c r="CR604" s="1822"/>
      <c r="CT604" s="1102"/>
      <c r="CU604" s="1103"/>
      <c r="CV604" s="863"/>
      <c r="CW604" s="863"/>
      <c r="CX604" s="1822" t="e">
        <v>#N/A</v>
      </c>
      <c r="CY604" s="863"/>
      <c r="CZ604" s="1102"/>
      <c r="DA604" s="1103"/>
      <c r="DB604" s="863"/>
    </row>
    <row r="605" spans="87:106">
      <c r="CI605" s="888">
        <v>644</v>
      </c>
      <c r="CJ605" s="4"/>
      <c r="CL605" s="1826"/>
      <c r="CN605" s="1102"/>
      <c r="CO605" s="1103"/>
      <c r="CR605" s="1825"/>
      <c r="CT605" s="1102"/>
      <c r="CU605" s="1103"/>
      <c r="CV605" s="1099"/>
      <c r="CW605" s="1099"/>
      <c r="CX605" s="1825" t="e">
        <v>#N/A</v>
      </c>
      <c r="CY605" s="1099"/>
      <c r="CZ605" s="1102"/>
      <c r="DA605" s="1103"/>
      <c r="DB605" s="1099"/>
    </row>
    <row r="606" spans="87:106">
      <c r="CI606" s="888">
        <v>644</v>
      </c>
      <c r="CJ606" s="4" t="s">
        <v>2443</v>
      </c>
      <c r="CL606" s="1826">
        <v>3.8736208998119581</v>
      </c>
      <c r="CN606" s="1102"/>
      <c r="CO606" s="1103"/>
      <c r="CR606" s="1823">
        <v>-0.76764633973536611</v>
      </c>
      <c r="CT606" s="1102"/>
      <c r="CU606" s="1103"/>
      <c r="CV606" s="1099"/>
      <c r="CW606" s="1099"/>
      <c r="CX606" s="1823">
        <v>-3.136625751983475</v>
      </c>
      <c r="CY606" s="1099"/>
      <c r="CZ606" s="1102"/>
      <c r="DA606" s="1103"/>
      <c r="DB606" s="1099"/>
    </row>
    <row r="607" spans="87:106">
      <c r="CI607" s="888">
        <v>644</v>
      </c>
      <c r="CJ607" s="4" t="s">
        <v>2311</v>
      </c>
      <c r="CL607" s="1826">
        <v>-0.49635677912457687</v>
      </c>
      <c r="CN607" s="1102"/>
      <c r="CO607" s="1103"/>
      <c r="CR607" s="1823">
        <v>0.48187430787634788</v>
      </c>
      <c r="CT607" s="1102"/>
      <c r="CU607" s="1103"/>
      <c r="CV607" s="1099"/>
      <c r="CW607" s="1099"/>
      <c r="CX607" s="1823">
        <v>2.9587447266990816</v>
      </c>
      <c r="CY607" s="1099"/>
      <c r="CZ607" s="1102"/>
      <c r="DA607" s="1103"/>
      <c r="DB607" s="1099"/>
    </row>
    <row r="608" spans="87:106">
      <c r="CI608" s="888">
        <v>644</v>
      </c>
      <c r="CJ608" s="4" t="s">
        <v>1515</v>
      </c>
      <c r="CL608" s="1826">
        <v>2.9231467418883295</v>
      </c>
      <c r="CN608" s="1102"/>
      <c r="CO608" s="1103"/>
      <c r="CR608" s="1823">
        <v>0.66177667205089508</v>
      </c>
      <c r="CT608" s="1102"/>
      <c r="CU608" s="1103"/>
      <c r="CV608" s="1099"/>
      <c r="CW608" s="1099"/>
      <c r="CX608" s="1823">
        <v>2.6144191397948955</v>
      </c>
      <c r="CY608" s="1099"/>
      <c r="CZ608" s="1102"/>
      <c r="DA608" s="1103"/>
      <c r="DB608" s="1099"/>
    </row>
    <row r="609" spans="87:106">
      <c r="CI609" s="888">
        <v>644</v>
      </c>
      <c r="CJ609" s="4" t="s">
        <v>1516</v>
      </c>
      <c r="CL609" s="1826">
        <v>3.8157115338305827</v>
      </c>
      <c r="CN609" s="1102"/>
      <c r="CO609" s="1103"/>
      <c r="CR609" s="1823">
        <v>-2.2074621428851811</v>
      </c>
      <c r="CT609" s="1102"/>
      <c r="CU609" s="1103"/>
      <c r="CV609" s="1099"/>
      <c r="CW609" s="1099"/>
      <c r="CX609" s="1823">
        <v>2.0918161296060216</v>
      </c>
      <c r="CY609" s="1099"/>
      <c r="CZ609" s="1102"/>
      <c r="DA609" s="1103"/>
      <c r="DB609" s="1099"/>
    </row>
    <row r="610" spans="87:106">
      <c r="CI610" s="888">
        <v>644</v>
      </c>
      <c r="CJ610" s="4" t="s">
        <v>1517</v>
      </c>
      <c r="CL610" s="1826">
        <v>4.3638606442186418</v>
      </c>
      <c r="CN610" s="864"/>
      <c r="CO610" s="1103"/>
      <c r="CR610" s="1823">
        <v>9.5444350476762141E-2</v>
      </c>
      <c r="CT610" s="864"/>
      <c r="CU610" s="1103"/>
      <c r="CV610" s="1099"/>
      <c r="CW610" s="1099"/>
      <c r="CX610" s="1823">
        <v>-16.967612835764996</v>
      </c>
      <c r="CY610" s="1099"/>
      <c r="CZ610" s="864"/>
      <c r="DA610" s="1103"/>
      <c r="DB610" s="1099"/>
    </row>
    <row r="611" spans="87:106">
      <c r="CI611" s="888">
        <v>644</v>
      </c>
      <c r="CJ611" s="4" t="s">
        <v>1518</v>
      </c>
      <c r="CL611" s="1826">
        <v>0.52323136191189157</v>
      </c>
      <c r="CN611" s="864"/>
      <c r="CO611" s="1103"/>
      <c r="CR611" s="1823">
        <v>0.74937036170025206</v>
      </c>
      <c r="CT611" s="864"/>
      <c r="CU611" s="1103"/>
      <c r="CV611" s="1099"/>
      <c r="CW611" s="1099"/>
      <c r="CX611" s="1823">
        <v>23.482864762393469</v>
      </c>
      <c r="CY611" s="1099"/>
      <c r="CZ611" s="864"/>
      <c r="DA611" s="1103"/>
      <c r="DB611" s="1099"/>
    </row>
    <row r="612" spans="87:106">
      <c r="CI612" s="888">
        <v>644</v>
      </c>
      <c r="CJ612" s="4" t="s">
        <v>1519</v>
      </c>
      <c r="CL612" s="1826">
        <v>-0.16321831102736084</v>
      </c>
      <c r="CN612" s="864"/>
      <c r="CO612" s="1103"/>
      <c r="CR612" s="1823">
        <v>3.1178354321468889</v>
      </c>
      <c r="CT612" s="864"/>
      <c r="CU612" s="1103"/>
      <c r="CV612" s="1099"/>
      <c r="CW612" s="1099"/>
      <c r="CX612" s="1823">
        <v>15.659296399385681</v>
      </c>
      <c r="CY612" s="1099"/>
      <c r="CZ612" s="864"/>
      <c r="DA612" s="1103"/>
      <c r="DB612" s="1099"/>
    </row>
    <row r="613" spans="87:106">
      <c r="CI613" s="888">
        <v>644</v>
      </c>
      <c r="CJ613" s="4" t="s">
        <v>1520</v>
      </c>
      <c r="CL613" s="1826">
        <v>1.4664254573775528</v>
      </c>
      <c r="CN613" s="864"/>
      <c r="CO613" s="1103"/>
      <c r="CR613" s="1823">
        <v>-0.55280684138231551</v>
      </c>
      <c r="CT613" s="864"/>
      <c r="CU613" s="1103"/>
      <c r="CV613" s="1099"/>
      <c r="CW613" s="1099"/>
      <c r="CX613" s="1823">
        <v>-8.1052731570402585</v>
      </c>
      <c r="CY613" s="1099"/>
      <c r="CZ613" s="864"/>
      <c r="DA613" s="1103"/>
      <c r="DB613" s="1099"/>
    </row>
    <row r="614" spans="87:106">
      <c r="CI614" s="888">
        <v>644</v>
      </c>
      <c r="CJ614" s="1091" t="s">
        <v>1521</v>
      </c>
      <c r="CL614" s="1826">
        <v>2.9085930313775279</v>
      </c>
      <c r="CN614" s="1104"/>
      <c r="CO614" s="1105"/>
      <c r="CR614" s="1824">
        <v>2.1230967852905005</v>
      </c>
      <c r="CT614" s="1104"/>
      <c r="CU614" s="1105"/>
      <c r="CV614" s="1100"/>
      <c r="CW614" s="1100"/>
      <c r="CX614" s="1824">
        <v>10.643836731653682</v>
      </c>
      <c r="CY614" s="1100"/>
      <c r="CZ614" s="1104"/>
      <c r="DA614" s="1105"/>
      <c r="DB614" s="1100"/>
    </row>
    <row r="615" spans="87:106">
      <c r="CI615" s="888">
        <v>819</v>
      </c>
      <c r="CJ615" s="4" t="s">
        <v>1522</v>
      </c>
      <c r="CL615" s="1826"/>
      <c r="CN615" s="1099">
        <v>-9.9999999999990319E-2</v>
      </c>
      <c r="CO615" s="1106">
        <v>0.64</v>
      </c>
      <c r="CR615" s="1822"/>
      <c r="CT615" s="1102">
        <v>2.2112069213239549E-2</v>
      </c>
      <c r="CU615" s="1106">
        <v>0.71</v>
      </c>
      <c r="CV615" s="863"/>
      <c r="CW615" s="863"/>
      <c r="CX615" s="1822" t="e">
        <v>#N/A</v>
      </c>
      <c r="CY615" s="863"/>
      <c r="CZ615" s="1099">
        <v>0.73210875293445987</v>
      </c>
      <c r="DA615" s="1106">
        <v>0.82</v>
      </c>
      <c r="DB615" s="863"/>
    </row>
    <row r="616" spans="87:106">
      <c r="CI616" s="888">
        <v>819</v>
      </c>
      <c r="CJ616" s="4"/>
      <c r="CL616" s="1826"/>
      <c r="CN616" s="1102"/>
      <c r="CO616" s="1103"/>
      <c r="CR616" s="1822"/>
      <c r="CT616" s="1102"/>
      <c r="CU616" s="1103"/>
      <c r="CV616" s="863"/>
      <c r="CW616" s="863"/>
      <c r="CX616" s="1822" t="e">
        <v>#N/A</v>
      </c>
      <c r="CY616" s="863"/>
      <c r="CZ616" s="1102"/>
      <c r="DA616" s="1103"/>
      <c r="DB616" s="863"/>
    </row>
    <row r="617" spans="87:106">
      <c r="CI617" s="888">
        <v>819</v>
      </c>
      <c r="CJ617" s="4"/>
      <c r="CL617" s="1826"/>
      <c r="CN617" s="1102"/>
      <c r="CO617" s="1103"/>
      <c r="CR617" s="1822"/>
      <c r="CT617" s="1102"/>
      <c r="CU617" s="1103"/>
      <c r="CV617" s="863"/>
      <c r="CW617" s="863"/>
      <c r="CX617" s="1822" t="e">
        <v>#N/A</v>
      </c>
      <c r="CY617" s="863"/>
      <c r="CZ617" s="1102"/>
      <c r="DA617" s="1103"/>
      <c r="DB617" s="863"/>
    </row>
    <row r="618" spans="87:106">
      <c r="CI618" s="888">
        <v>819</v>
      </c>
      <c r="CJ618" s="4"/>
      <c r="CL618" s="1826"/>
      <c r="CN618" s="1102"/>
      <c r="CO618" s="1103"/>
      <c r="CR618" s="1825"/>
      <c r="CT618" s="1102"/>
      <c r="CU618" s="1103"/>
      <c r="CV618" s="1099"/>
      <c r="CW618" s="1099"/>
      <c r="CX618" s="1825" t="e">
        <v>#N/A</v>
      </c>
      <c r="CY618" s="1099"/>
      <c r="CZ618" s="1102"/>
      <c r="DA618" s="1103"/>
      <c r="DB618" s="1099"/>
    </row>
    <row r="619" spans="87:106">
      <c r="CI619" s="888">
        <v>819</v>
      </c>
      <c r="CJ619" s="4" t="s">
        <v>2444</v>
      </c>
      <c r="CL619" s="1826">
        <v>-9.9999999999990319E-2</v>
      </c>
      <c r="CN619" s="1102"/>
      <c r="CO619" s="1103"/>
      <c r="CR619" s="1823">
        <v>-0.44043682807096324</v>
      </c>
      <c r="CT619" s="1102"/>
      <c r="CU619" s="1103"/>
      <c r="CV619" s="1099"/>
      <c r="CW619" s="1099"/>
      <c r="CX619" s="1823">
        <v>-0.19999999999955786</v>
      </c>
      <c r="CY619" s="1099"/>
      <c r="CZ619" s="1102"/>
      <c r="DA619" s="1103"/>
      <c r="DB619" s="1099"/>
    </row>
    <row r="620" spans="87:106">
      <c r="CI620" s="888">
        <v>819</v>
      </c>
      <c r="CJ620" s="4" t="s">
        <v>2312</v>
      </c>
      <c r="CL620" s="1826">
        <v>-2.5990341947342168</v>
      </c>
      <c r="CN620" s="1102"/>
      <c r="CO620" s="1103"/>
      <c r="CR620" s="1823">
        <v>0.69199157225698027</v>
      </c>
      <c r="CT620" s="1102"/>
      <c r="CU620" s="1103"/>
      <c r="CV620" s="1099"/>
      <c r="CW620" s="1099"/>
      <c r="CX620" s="1823">
        <v>3.0264389550042785</v>
      </c>
      <c r="CY620" s="1099"/>
      <c r="CZ620" s="1102"/>
      <c r="DA620" s="1103"/>
      <c r="DB620" s="1099"/>
    </row>
    <row r="621" spans="87:106">
      <c r="CI621" s="888">
        <v>819</v>
      </c>
      <c r="CJ621" s="4" t="s">
        <v>1523</v>
      </c>
      <c r="CL621" s="1826">
        <v>1.2676856631484892</v>
      </c>
      <c r="CN621" s="1102"/>
      <c r="CO621" s="1103"/>
      <c r="CR621" s="1823">
        <v>-1.9209208538701459</v>
      </c>
      <c r="CT621" s="1102"/>
      <c r="CU621" s="1103"/>
      <c r="CV621" s="1099"/>
      <c r="CW621" s="1099"/>
      <c r="CX621" s="1823">
        <v>1.918977817891022</v>
      </c>
      <c r="CY621" s="1099"/>
      <c r="CZ621" s="1102"/>
      <c r="DA621" s="1103"/>
      <c r="DB621" s="1099"/>
    </row>
    <row r="622" spans="87:106">
      <c r="CI622" s="888">
        <v>819</v>
      </c>
      <c r="CJ622" s="4" t="s">
        <v>1524</v>
      </c>
      <c r="CL622" s="1826">
        <v>3.2484773499986344</v>
      </c>
      <c r="CN622" s="1102"/>
      <c r="CO622" s="1103"/>
      <c r="CR622" s="1823">
        <v>-1.1884326750782477</v>
      </c>
      <c r="CT622" s="1102"/>
      <c r="CU622" s="1103"/>
      <c r="CV622" s="1099"/>
      <c r="CW622" s="1099"/>
      <c r="CX622" s="1823">
        <v>0.73210875293445987</v>
      </c>
      <c r="CY622" s="1099"/>
      <c r="CZ622" s="1102"/>
      <c r="DA622" s="1103"/>
      <c r="DB622" s="1099"/>
    </row>
    <row r="623" spans="87:106">
      <c r="CI623" s="888">
        <v>819</v>
      </c>
      <c r="CJ623" s="4" t="s">
        <v>1525</v>
      </c>
      <c r="CL623" s="1826">
        <v>2.9558337268995638</v>
      </c>
      <c r="CN623" s="864"/>
      <c r="CO623" s="1103"/>
      <c r="CR623" s="1823">
        <v>1.0723983306623439</v>
      </c>
      <c r="CT623" s="864"/>
      <c r="CU623" s="1103"/>
      <c r="CV623" s="1099"/>
      <c r="CW623" s="1099"/>
      <c r="CX623" s="1823">
        <v>-1.1559731659457206</v>
      </c>
      <c r="CY623" s="1099"/>
      <c r="CZ623" s="864"/>
      <c r="DA623" s="1103"/>
      <c r="DB623" s="1099"/>
    </row>
    <row r="624" spans="87:106">
      <c r="CI624" s="888">
        <v>819</v>
      </c>
      <c r="CJ624" s="4" t="s">
        <v>1526</v>
      </c>
      <c r="CL624" s="1826">
        <v>0.5339580073000334</v>
      </c>
      <c r="CN624" s="864"/>
      <c r="CO624" s="1103"/>
      <c r="CR624" s="1823">
        <v>0.48466096649744239</v>
      </c>
      <c r="CT624" s="864"/>
      <c r="CU624" s="1103"/>
      <c r="CV624" s="1099"/>
      <c r="CW624" s="1099"/>
      <c r="CX624" s="1823">
        <v>-0.19528622216074965</v>
      </c>
      <c r="CY624" s="1099"/>
      <c r="CZ624" s="864"/>
      <c r="DA624" s="1103"/>
      <c r="DB624" s="1099"/>
    </row>
    <row r="625" spans="87:106">
      <c r="CI625" s="888">
        <v>819</v>
      </c>
      <c r="CJ625" s="4" t="s">
        <v>1527</v>
      </c>
      <c r="CL625" s="1826">
        <v>-0.53591421814664586</v>
      </c>
      <c r="CN625" s="864"/>
      <c r="CO625" s="1103"/>
      <c r="CR625" s="1823" t="s">
        <v>1218</v>
      </c>
      <c r="CT625" s="864"/>
      <c r="CU625" s="1103"/>
      <c r="CV625" s="1099"/>
      <c r="CW625" s="1099"/>
      <c r="CX625" s="1823">
        <v>3.7986090804282941</v>
      </c>
      <c r="CY625" s="1099"/>
      <c r="CZ625" s="864"/>
      <c r="DA625" s="1103"/>
      <c r="DB625" s="1099"/>
    </row>
    <row r="626" spans="87:106">
      <c r="CI626" s="888">
        <v>819</v>
      </c>
      <c r="CJ626" s="4" t="s">
        <v>1528</v>
      </c>
      <c r="CL626" s="1826">
        <v>-1.3651754989677378</v>
      </c>
      <c r="CN626" s="864"/>
      <c r="CO626" s="1103"/>
      <c r="CR626" s="1823">
        <v>2.7403197130854493</v>
      </c>
      <c r="CT626" s="864"/>
      <c r="CU626" s="1103"/>
      <c r="CV626" s="1099"/>
      <c r="CW626" s="1099"/>
      <c r="CX626" s="1823">
        <v>4.1515235775413153</v>
      </c>
      <c r="CY626" s="1099"/>
      <c r="CZ626" s="864"/>
      <c r="DA626" s="1103"/>
      <c r="DB626" s="1099"/>
    </row>
    <row r="627" spans="87:106">
      <c r="CI627" s="888">
        <v>819</v>
      </c>
      <c r="CJ627" s="1091" t="s">
        <v>1529</v>
      </c>
      <c r="CL627" s="1826">
        <v>-5.7832014055667962</v>
      </c>
      <c r="CN627" s="1104"/>
      <c r="CO627" s="1105"/>
      <c r="CR627" s="1824">
        <v>-2.5319069432078809</v>
      </c>
      <c r="CT627" s="1104"/>
      <c r="CU627" s="1105"/>
      <c r="CV627" s="1100"/>
      <c r="CW627" s="1100"/>
      <c r="CX627" s="1824">
        <v>0.12629775919429376</v>
      </c>
      <c r="CY627" s="1100"/>
      <c r="CZ627" s="1104"/>
      <c r="DA627" s="1105"/>
      <c r="DB627" s="1100"/>
    </row>
    <row r="628" spans="87:106">
      <c r="CI628" s="888">
        <v>172</v>
      </c>
      <c r="CJ628" s="4" t="s">
        <v>1530</v>
      </c>
      <c r="CL628" s="1826"/>
      <c r="CN628" s="1099">
        <v>-0.8384897775402147</v>
      </c>
      <c r="CO628" s="1106">
        <v>0.28999999999999998</v>
      </c>
      <c r="CR628" s="1822"/>
      <c r="CT628" s="1102">
        <v>-0.47360560084001646</v>
      </c>
      <c r="CU628" s="1106">
        <v>0.51</v>
      </c>
      <c r="CV628" s="863"/>
      <c r="CW628" s="863"/>
      <c r="CX628" s="1822" t="e">
        <v>#N/A</v>
      </c>
      <c r="CY628" s="863"/>
      <c r="CZ628" s="1099">
        <v>-0.50562821725390095</v>
      </c>
      <c r="DA628" s="1106">
        <v>0.44</v>
      </c>
      <c r="DB628" s="863"/>
    </row>
    <row r="629" spans="87:106">
      <c r="CI629" s="888">
        <v>172</v>
      </c>
      <c r="CJ629" s="4"/>
      <c r="CL629" s="1826"/>
      <c r="CN629" s="1102"/>
      <c r="CO629" s="1103"/>
      <c r="CR629" s="1822"/>
      <c r="CT629" s="1102"/>
      <c r="CU629" s="1103"/>
      <c r="CV629" s="863"/>
      <c r="CW629" s="863"/>
      <c r="CX629" s="1822" t="e">
        <v>#N/A</v>
      </c>
      <c r="CY629" s="863"/>
      <c r="CZ629" s="1102"/>
      <c r="DA629" s="1103"/>
      <c r="DB629" s="863"/>
    </row>
    <row r="630" spans="87:106">
      <c r="CI630" s="888">
        <v>172</v>
      </c>
      <c r="CJ630" s="4"/>
      <c r="CL630" s="1826"/>
      <c r="CN630" s="1102"/>
      <c r="CO630" s="1103"/>
      <c r="CR630" s="1822"/>
      <c r="CT630" s="1102"/>
      <c r="CU630" s="1103"/>
      <c r="CV630" s="863"/>
      <c r="CW630" s="863"/>
      <c r="CX630" s="1822" t="e">
        <v>#N/A</v>
      </c>
      <c r="CY630" s="863"/>
      <c r="CZ630" s="1102"/>
      <c r="DA630" s="1103"/>
      <c r="DB630" s="863"/>
    </row>
    <row r="631" spans="87:106">
      <c r="CI631" s="888">
        <v>172</v>
      </c>
      <c r="CJ631" s="4"/>
      <c r="CL631" s="1826"/>
      <c r="CN631" s="1102"/>
      <c r="CO631" s="1103"/>
      <c r="CR631" s="1825"/>
      <c r="CT631" s="1102"/>
      <c r="CU631" s="1103"/>
      <c r="CV631" s="1099"/>
      <c r="CW631" s="1099"/>
      <c r="CX631" s="1825" t="e">
        <v>#N/A</v>
      </c>
      <c r="CY631" s="1099"/>
      <c r="CZ631" s="1102"/>
      <c r="DA631" s="1103"/>
      <c r="DB631" s="1099"/>
    </row>
    <row r="632" spans="87:106">
      <c r="CI632" s="888">
        <v>172</v>
      </c>
      <c r="CJ632" s="4" t="s">
        <v>2445</v>
      </c>
      <c r="CL632" s="1826">
        <v>1.9216276010035909</v>
      </c>
      <c r="CN632" s="1102"/>
      <c r="CO632" s="1103"/>
      <c r="CR632" s="1823">
        <v>1.3166167312839807</v>
      </c>
      <c r="CT632" s="1102"/>
      <c r="CU632" s="1103"/>
      <c r="CV632" s="1099"/>
      <c r="CW632" s="1099"/>
      <c r="CX632" s="1823">
        <v>-0.50562821725390095</v>
      </c>
      <c r="CY632" s="1099"/>
      <c r="CZ632" s="1102"/>
      <c r="DA632" s="1103"/>
      <c r="DB632" s="1099"/>
    </row>
    <row r="633" spans="87:106">
      <c r="CI633" s="888">
        <v>172</v>
      </c>
      <c r="CJ633" s="4" t="s">
        <v>2313</v>
      </c>
      <c r="CL633" s="1826">
        <v>0.71401463483861072</v>
      </c>
      <c r="CN633" s="1102"/>
      <c r="CO633" s="1103"/>
      <c r="CR633" s="1823">
        <v>8.5866804826683518E-2</v>
      </c>
      <c r="CT633" s="1102"/>
      <c r="CU633" s="1103"/>
      <c r="CV633" s="1099"/>
      <c r="CW633" s="1099"/>
      <c r="CX633" s="1823">
        <v>-0.59629451717886273</v>
      </c>
      <c r="CY633" s="1099"/>
      <c r="CZ633" s="1102"/>
      <c r="DA633" s="1103"/>
      <c r="DB633" s="1099"/>
    </row>
    <row r="634" spans="87:106">
      <c r="CI634" s="888">
        <v>172</v>
      </c>
      <c r="CJ634" s="4" t="s">
        <v>1531</v>
      </c>
      <c r="CL634" s="1826">
        <v>-0.8384897775402147</v>
      </c>
      <c r="CN634" s="1102"/>
      <c r="CO634" s="1103"/>
      <c r="CR634" s="1823">
        <v>-0.47360560084001646</v>
      </c>
      <c r="CT634" s="1102"/>
      <c r="CU634" s="1103"/>
      <c r="CV634" s="1099"/>
      <c r="CW634" s="1099"/>
      <c r="CX634" s="1823">
        <v>0.23715874518923941</v>
      </c>
      <c r="CY634" s="1099"/>
      <c r="CZ634" s="1102"/>
      <c r="DA634" s="1103"/>
      <c r="DB634" s="1099"/>
    </row>
    <row r="635" spans="87:106">
      <c r="CI635" s="888">
        <v>172</v>
      </c>
      <c r="CJ635" s="4" t="s">
        <v>1532</v>
      </c>
      <c r="CL635" s="1826">
        <v>-1.8584048552400101</v>
      </c>
      <c r="CN635" s="1102"/>
      <c r="CO635" s="1103"/>
      <c r="CR635" s="1823">
        <v>-1.4724769297601275</v>
      </c>
      <c r="CT635" s="1102"/>
      <c r="CU635" s="1103"/>
      <c r="CV635" s="1099"/>
      <c r="CW635" s="1099"/>
      <c r="CX635" s="1823">
        <v>-0.81222329312936492</v>
      </c>
      <c r="CY635" s="1099"/>
      <c r="CZ635" s="1102"/>
      <c r="DA635" s="1103"/>
      <c r="DB635" s="1099"/>
    </row>
    <row r="636" spans="87:106">
      <c r="CI636" s="888">
        <v>172</v>
      </c>
      <c r="CJ636" s="4" t="s">
        <v>1533</v>
      </c>
      <c r="CL636" s="1826">
        <v>-3.1575972359414184</v>
      </c>
      <c r="CN636" s="864"/>
      <c r="CO636" s="1103"/>
      <c r="CR636" s="1823">
        <v>-0.72742917849020072</v>
      </c>
      <c r="CT636" s="864"/>
      <c r="CU636" s="1103"/>
      <c r="CV636" s="1099"/>
      <c r="CW636" s="1099"/>
      <c r="CX636" s="1823">
        <v>0.18368688904540775</v>
      </c>
      <c r="CY636" s="1099"/>
      <c r="CZ636" s="864"/>
      <c r="DA636" s="1103"/>
      <c r="DB636" s="1099"/>
    </row>
    <row r="637" spans="87:106">
      <c r="CI637" s="888">
        <v>172</v>
      </c>
      <c r="CJ637" s="4" t="s">
        <v>1534</v>
      </c>
      <c r="CL637" s="1826">
        <v>-3.4838420533445045</v>
      </c>
      <c r="CN637" s="864"/>
      <c r="CO637" s="1103"/>
      <c r="CR637" s="1823">
        <v>-0.56091673210496218</v>
      </c>
      <c r="CT637" s="864"/>
      <c r="CU637" s="1103"/>
      <c r="CV637" s="1099"/>
      <c r="CW637" s="1099"/>
      <c r="CX637" s="1823">
        <v>0.6966260229122816</v>
      </c>
      <c r="CY637" s="1099"/>
      <c r="CZ637" s="864"/>
      <c r="DA637" s="1103"/>
      <c r="DB637" s="1099"/>
    </row>
    <row r="638" spans="87:106">
      <c r="CI638" s="888">
        <v>172</v>
      </c>
      <c r="CJ638" s="4" t="s">
        <v>1535</v>
      </c>
      <c r="CL638" s="1826">
        <v>0.57731936190390076</v>
      </c>
      <c r="CN638" s="864"/>
      <c r="CO638" s="1103"/>
      <c r="CR638" s="1823">
        <v>2.5926558736562058</v>
      </c>
      <c r="CT638" s="864"/>
      <c r="CU638" s="1103"/>
      <c r="CV638" s="1099"/>
      <c r="CW638" s="1099"/>
      <c r="CX638" s="1823">
        <v>2.3660243703571449</v>
      </c>
      <c r="CY638" s="1099"/>
      <c r="CZ638" s="864"/>
      <c r="DA638" s="1103"/>
      <c r="DB638" s="1099"/>
    </row>
    <row r="639" spans="87:106">
      <c r="CI639" s="888">
        <v>172</v>
      </c>
      <c r="CJ639" s="4" t="s">
        <v>1536</v>
      </c>
      <c r="CL639" s="1826">
        <v>4.9698376429032196</v>
      </c>
      <c r="CN639" s="864"/>
      <c r="CO639" s="1103"/>
      <c r="CR639" s="1823">
        <v>0.98475558227218052</v>
      </c>
      <c r="CT639" s="864"/>
      <c r="CU639" s="1103"/>
      <c r="CV639" s="1099"/>
      <c r="CW639" s="1099"/>
      <c r="CX639" s="1823">
        <v>-0.53591919199575277</v>
      </c>
      <c r="CY639" s="1099"/>
      <c r="CZ639" s="864"/>
      <c r="DA639" s="1103"/>
      <c r="DB639" s="1099"/>
    </row>
    <row r="640" spans="87:106">
      <c r="CI640" s="888">
        <v>172</v>
      </c>
      <c r="CJ640" s="1091" t="s">
        <v>1537</v>
      </c>
      <c r="CL640" s="1826">
        <v>-10.314017429114944</v>
      </c>
      <c r="CN640" s="1104"/>
      <c r="CO640" s="1105"/>
      <c r="CR640" s="1824">
        <v>-7.877139460773896</v>
      </c>
      <c r="CT640" s="1104"/>
      <c r="CU640" s="1105"/>
      <c r="CV640" s="1100"/>
      <c r="CW640" s="1100"/>
      <c r="CX640" s="1824">
        <v>-1.0547639181058668</v>
      </c>
      <c r="CY640" s="1100"/>
      <c r="CZ640" s="1104"/>
      <c r="DA640" s="1105"/>
      <c r="DB640" s="1100"/>
    </row>
    <row r="641" spans="87:106">
      <c r="CI641" s="888">
        <v>132</v>
      </c>
      <c r="CJ641" s="4" t="s">
        <v>1538</v>
      </c>
      <c r="CL641" s="1826"/>
      <c r="CN641" s="1099">
        <v>-0.29884549412556227</v>
      </c>
      <c r="CO641" s="1106">
        <v>0.5</v>
      </c>
      <c r="CR641" s="1822"/>
      <c r="CT641" s="1102">
        <v>-0.45484289883247753</v>
      </c>
      <c r="CU641" s="1106">
        <v>0.53</v>
      </c>
      <c r="CV641" s="863"/>
      <c r="CW641" s="863"/>
      <c r="CX641" s="1822" t="e">
        <v>#N/A</v>
      </c>
      <c r="CY641" s="863"/>
      <c r="CZ641" s="1099">
        <v>-0.31144900090888461</v>
      </c>
      <c r="DA641" s="1106">
        <v>0.55000000000000004</v>
      </c>
      <c r="DB641" s="863"/>
    </row>
    <row r="642" spans="87:106">
      <c r="CI642" s="888">
        <v>132</v>
      </c>
      <c r="CJ642" s="4"/>
      <c r="CL642" s="1826"/>
      <c r="CN642" s="1102"/>
      <c r="CO642" s="1103"/>
      <c r="CR642" s="1822"/>
      <c r="CT642" s="1102"/>
      <c r="CU642" s="1103"/>
      <c r="CV642" s="863"/>
      <c r="CW642" s="863"/>
      <c r="CX642" s="1822" t="e">
        <v>#N/A</v>
      </c>
      <c r="CY642" s="863"/>
      <c r="CZ642" s="1102"/>
      <c r="DA642" s="1103"/>
      <c r="DB642" s="863"/>
    </row>
    <row r="643" spans="87:106">
      <c r="CI643" s="888">
        <v>132</v>
      </c>
      <c r="CJ643" s="4"/>
      <c r="CL643" s="1826"/>
      <c r="CN643" s="1102"/>
      <c r="CO643" s="1103"/>
      <c r="CR643" s="1822"/>
      <c r="CT643" s="1102"/>
      <c r="CU643" s="1103"/>
      <c r="CV643" s="863"/>
      <c r="CW643" s="863"/>
      <c r="CX643" s="1822" t="e">
        <v>#N/A</v>
      </c>
      <c r="CY643" s="863"/>
      <c r="CZ643" s="1102"/>
      <c r="DA643" s="1103"/>
      <c r="DB643" s="863"/>
    </row>
    <row r="644" spans="87:106">
      <c r="CI644" s="888">
        <v>132</v>
      </c>
      <c r="CJ644" s="4"/>
      <c r="CL644" s="1826"/>
      <c r="CN644" s="1102"/>
      <c r="CO644" s="1103"/>
      <c r="CR644" s="1825"/>
      <c r="CT644" s="1102"/>
      <c r="CU644" s="1103"/>
      <c r="CV644" s="1099"/>
      <c r="CW644" s="1099"/>
      <c r="CX644" s="1825" t="e">
        <v>#N/A</v>
      </c>
      <c r="CY644" s="1099"/>
      <c r="CZ644" s="1102"/>
      <c r="DA644" s="1103"/>
      <c r="DB644" s="1099"/>
    </row>
    <row r="645" spans="87:106">
      <c r="CI645" s="888">
        <v>132</v>
      </c>
      <c r="CJ645" s="4" t="s">
        <v>2446</v>
      </c>
      <c r="CL645" s="1826">
        <v>0.55100376894415293</v>
      </c>
      <c r="CN645" s="1102"/>
      <c r="CO645" s="1103"/>
      <c r="CR645" s="1823">
        <v>0.53672007726834792</v>
      </c>
      <c r="CT645" s="1102"/>
      <c r="CU645" s="1103"/>
      <c r="CV645" s="1099"/>
      <c r="CW645" s="1099"/>
      <c r="CX645" s="1823">
        <v>-9.9788554371522453E-2</v>
      </c>
      <c r="CY645" s="1099"/>
      <c r="CZ645" s="1102"/>
      <c r="DA645" s="1103"/>
      <c r="DB645" s="1099"/>
    </row>
    <row r="646" spans="87:106">
      <c r="CI646" s="888">
        <v>132</v>
      </c>
      <c r="CJ646" s="4" t="s">
        <v>2314</v>
      </c>
      <c r="CL646" s="1826">
        <v>-0.29884549412556227</v>
      </c>
      <c r="CN646" s="1102"/>
      <c r="CO646" s="1103"/>
      <c r="CR646" s="1823">
        <v>0.1791600341349604</v>
      </c>
      <c r="CT646" s="1102"/>
      <c r="CU646" s="1103"/>
      <c r="CV646" s="1099"/>
      <c r="CW646" s="1099"/>
      <c r="CX646" s="1823">
        <v>-0.31144900090888461</v>
      </c>
      <c r="CY646" s="1099"/>
      <c r="CZ646" s="1102"/>
      <c r="DA646" s="1103"/>
      <c r="DB646" s="1099"/>
    </row>
    <row r="647" spans="87:106">
      <c r="CI647" s="888">
        <v>132</v>
      </c>
      <c r="CJ647" s="4" t="s">
        <v>1539</v>
      </c>
      <c r="CL647" s="1826">
        <v>-0.25581967530116478</v>
      </c>
      <c r="CN647" s="1102"/>
      <c r="CO647" s="1103"/>
      <c r="CR647" s="1823">
        <v>-0.61224775690282507</v>
      </c>
      <c r="CT647" s="1102"/>
      <c r="CU647" s="1103"/>
      <c r="CV647" s="1099"/>
      <c r="CW647" s="1099"/>
      <c r="CX647" s="1823">
        <v>-0.6717258156276914</v>
      </c>
      <c r="CY647" s="1099"/>
      <c r="CZ647" s="1102"/>
      <c r="DA647" s="1103"/>
      <c r="DB647" s="1099"/>
    </row>
    <row r="648" spans="87:106">
      <c r="CI648" s="888">
        <v>132</v>
      </c>
      <c r="CJ648" s="4" t="s">
        <v>1540</v>
      </c>
      <c r="CL648" s="1826">
        <v>-0.70246593882656527</v>
      </c>
      <c r="CN648" s="1102"/>
      <c r="CO648" s="1103"/>
      <c r="CR648" s="1823">
        <v>-0.80348013720833045</v>
      </c>
      <c r="CT648" s="1102"/>
      <c r="CU648" s="1103"/>
      <c r="CV648" s="1099"/>
      <c r="CW648" s="1099"/>
      <c r="CX648" s="1823">
        <v>-1.1620162333040056</v>
      </c>
      <c r="CY648" s="1099"/>
      <c r="CZ648" s="1102"/>
      <c r="DA648" s="1103"/>
      <c r="DB648" s="1099"/>
    </row>
    <row r="649" spans="87:106">
      <c r="CI649" s="888">
        <v>132</v>
      </c>
      <c r="CJ649" s="4" t="s">
        <v>1541</v>
      </c>
      <c r="CL649" s="1826">
        <v>-0.72274851363188386</v>
      </c>
      <c r="CN649" s="864"/>
      <c r="CO649" s="1103"/>
      <c r="CR649" s="1823">
        <v>-0.45484289883247753</v>
      </c>
      <c r="CT649" s="864"/>
      <c r="CU649" s="1103"/>
      <c r="CV649" s="1099"/>
      <c r="CW649" s="1099"/>
      <c r="CX649" s="1823">
        <v>-0.88323672869123182</v>
      </c>
      <c r="CY649" s="1099"/>
      <c r="CZ649" s="864"/>
      <c r="DA649" s="1103"/>
      <c r="DB649" s="1099"/>
    </row>
    <row r="650" spans="87:106">
      <c r="CI650" s="888">
        <v>132</v>
      </c>
      <c r="CJ650" s="4" t="s">
        <v>1542</v>
      </c>
      <c r="CL650" s="1826">
        <v>-1.7703744181696657</v>
      </c>
      <c r="CN650" s="864"/>
      <c r="CO650" s="1103"/>
      <c r="CR650" s="1823">
        <v>-0.18799045888057941</v>
      </c>
      <c r="CT650" s="864"/>
      <c r="CU650" s="1103"/>
      <c r="CV650" s="1099"/>
      <c r="CW650" s="1099"/>
      <c r="CX650" s="1823">
        <v>-0.21198861137047942</v>
      </c>
      <c r="CY650" s="1099"/>
      <c r="CZ650" s="864"/>
      <c r="DA650" s="1103"/>
      <c r="DB650" s="1099"/>
    </row>
    <row r="651" spans="87:106">
      <c r="CI651" s="888">
        <v>132</v>
      </c>
      <c r="CJ651" s="4" t="s">
        <v>1543</v>
      </c>
      <c r="CL651" s="1826">
        <v>-5.9819866677140565E-2</v>
      </c>
      <c r="CN651" s="864"/>
      <c r="CO651" s="1103"/>
      <c r="CR651" s="1823">
        <v>1.7004484089182652</v>
      </c>
      <c r="CT651" s="864"/>
      <c r="CU651" s="1103"/>
      <c r="CV651" s="1099"/>
      <c r="CW651" s="1099"/>
      <c r="CX651" s="1823">
        <v>-1.0835018060901369E-2</v>
      </c>
      <c r="CY651" s="1099"/>
      <c r="CZ651" s="864"/>
      <c r="DA651" s="1103"/>
      <c r="DB651" s="1099"/>
    </row>
    <row r="652" spans="87:106">
      <c r="CI652" s="888">
        <v>132</v>
      </c>
      <c r="CJ652" s="4" t="s">
        <v>1544</v>
      </c>
      <c r="CL652" s="1826">
        <v>0.96954758726593848</v>
      </c>
      <c r="CN652" s="864"/>
      <c r="CO652" s="1103"/>
      <c r="CR652" s="1823">
        <v>-0.69578535105373174</v>
      </c>
      <c r="CT652" s="864"/>
      <c r="CU652" s="1103"/>
      <c r="CV652" s="1099"/>
      <c r="CW652" s="1099"/>
      <c r="CX652" s="1823">
        <v>-0.23870908211410991</v>
      </c>
      <c r="CY652" s="1099"/>
      <c r="CZ652" s="864"/>
      <c r="DA652" s="1103"/>
      <c r="DB652" s="1099"/>
    </row>
    <row r="653" spans="87:106">
      <c r="CI653" s="888">
        <v>132</v>
      </c>
      <c r="CJ653" s="1091" t="s">
        <v>1545</v>
      </c>
      <c r="CL653" s="1826">
        <v>-3.7885051754549002</v>
      </c>
      <c r="CN653" s="1104"/>
      <c r="CO653" s="1105"/>
      <c r="CR653" s="1824">
        <v>-4.7610838322952205</v>
      </c>
      <c r="CT653" s="1104"/>
      <c r="CU653" s="1105"/>
      <c r="CV653" s="1100"/>
      <c r="CW653" s="1100"/>
      <c r="CX653" s="1824">
        <v>-1.3932748879353378</v>
      </c>
      <c r="CY653" s="1100"/>
      <c r="CZ653" s="1104"/>
      <c r="DA653" s="1105"/>
      <c r="DB653" s="1100"/>
    </row>
    <row r="654" spans="87:106">
      <c r="CI654" s="888">
        <v>646</v>
      </c>
      <c r="CJ654" s="4" t="s">
        <v>1546</v>
      </c>
      <c r="CL654" s="1826"/>
      <c r="CN654" s="1099">
        <v>-2.455603855559525</v>
      </c>
      <c r="CO654" s="1106">
        <v>7.0000000000000007E-2</v>
      </c>
      <c r="CR654" s="1822"/>
      <c r="CT654" s="1102">
        <v>-1.6775415001902818</v>
      </c>
      <c r="CU654" s="1106">
        <v>0.21</v>
      </c>
      <c r="CV654" s="863"/>
      <c r="CW654" s="863"/>
      <c r="CX654" s="1822" t="e">
        <v>#N/A</v>
      </c>
      <c r="CY654" s="863"/>
      <c r="CZ654" s="1099">
        <v>-0.19238918899905899</v>
      </c>
      <c r="DA654" s="1106">
        <v>0.62</v>
      </c>
      <c r="DB654" s="863"/>
    </row>
    <row r="655" spans="87:106">
      <c r="CI655" s="888">
        <v>646</v>
      </c>
      <c r="CJ655" s="4"/>
      <c r="CL655" s="1826"/>
      <c r="CN655" s="1102"/>
      <c r="CO655" s="1103"/>
      <c r="CR655" s="1822"/>
      <c r="CT655" s="1102"/>
      <c r="CU655" s="1103"/>
      <c r="CV655" s="863"/>
      <c r="CW655" s="863"/>
      <c r="CX655" s="1822" t="e">
        <v>#N/A</v>
      </c>
      <c r="CY655" s="863"/>
      <c r="CZ655" s="1102"/>
      <c r="DA655" s="1103"/>
      <c r="DB655" s="863"/>
    </row>
    <row r="656" spans="87:106">
      <c r="CI656" s="888">
        <v>646</v>
      </c>
      <c r="CJ656" s="4"/>
      <c r="CL656" s="1826"/>
      <c r="CN656" s="1102"/>
      <c r="CO656" s="1103"/>
      <c r="CR656" s="1822"/>
      <c r="CT656" s="1102"/>
      <c r="CU656" s="1103"/>
      <c r="CV656" s="863"/>
      <c r="CW656" s="863"/>
      <c r="CX656" s="1822" t="e">
        <v>#N/A</v>
      </c>
      <c r="CY656" s="863"/>
      <c r="CZ656" s="1102"/>
      <c r="DA656" s="1103"/>
      <c r="DB656" s="863"/>
    </row>
    <row r="657" spans="87:106">
      <c r="CI657" s="888">
        <v>646</v>
      </c>
      <c r="CJ657" s="4"/>
      <c r="CL657" s="1826"/>
      <c r="CN657" s="1102"/>
      <c r="CO657" s="1103"/>
      <c r="CR657" s="1825"/>
      <c r="CT657" s="1102"/>
      <c r="CU657" s="1103"/>
      <c r="CV657" s="1099"/>
      <c r="CW657" s="1099"/>
      <c r="CX657" s="1825" t="e">
        <v>#N/A</v>
      </c>
      <c r="CY657" s="1099"/>
      <c r="CZ657" s="1102"/>
      <c r="DA657" s="1103"/>
      <c r="DB657" s="1099"/>
    </row>
    <row r="658" spans="87:106">
      <c r="CI658" s="888">
        <v>646</v>
      </c>
      <c r="CJ658" s="4" t="s">
        <v>2447</v>
      </c>
      <c r="CL658" s="1826">
        <v>-3.6578830366382173</v>
      </c>
      <c r="CN658" s="1102"/>
      <c r="CO658" s="1103"/>
      <c r="CR658" s="1823">
        <v>2.5007760664427514</v>
      </c>
      <c r="CT658" s="1102"/>
      <c r="CU658" s="1103"/>
      <c r="CV658" s="1099"/>
      <c r="CW658" s="1099"/>
      <c r="CX658" s="1823">
        <v>0.77600082025087769</v>
      </c>
      <c r="CY658" s="1099"/>
      <c r="CZ658" s="1102"/>
      <c r="DA658" s="1103"/>
      <c r="DB658" s="1099"/>
    </row>
    <row r="659" spans="87:106">
      <c r="CI659" s="888">
        <v>646</v>
      </c>
      <c r="CJ659" s="4" t="s">
        <v>2315</v>
      </c>
      <c r="CL659" s="1826">
        <v>-3.3795490811137912</v>
      </c>
      <c r="CN659" s="1102"/>
      <c r="CO659" s="1103"/>
      <c r="CR659" s="1823">
        <v>-4.0962902904873202</v>
      </c>
      <c r="CT659" s="1102"/>
      <c r="CU659" s="1103"/>
      <c r="CV659" s="1099"/>
      <c r="CW659" s="1099"/>
      <c r="CX659" s="1823">
        <v>-6.4741484987786366</v>
      </c>
      <c r="CY659" s="1099"/>
      <c r="CZ659" s="1102"/>
      <c r="DA659" s="1103"/>
      <c r="DB659" s="1099"/>
    </row>
    <row r="660" spans="87:106">
      <c r="CI660" s="888">
        <v>646</v>
      </c>
      <c r="CJ660" s="4" t="s">
        <v>1547</v>
      </c>
      <c r="CL660" s="1826">
        <v>-2.455603855559525</v>
      </c>
      <c r="CN660" s="1102"/>
      <c r="CO660" s="1103"/>
      <c r="CR660" s="1823">
        <v>1.9272692931100379</v>
      </c>
      <c r="CT660" s="1102"/>
      <c r="CU660" s="1103"/>
      <c r="CV660" s="1099"/>
      <c r="CW660" s="1099"/>
      <c r="CX660" s="1823">
        <v>-5.8428894451355387</v>
      </c>
      <c r="CY660" s="1099"/>
      <c r="CZ660" s="1102"/>
      <c r="DA660" s="1103"/>
      <c r="DB660" s="1099"/>
    </row>
    <row r="661" spans="87:106">
      <c r="CI661" s="888">
        <v>646</v>
      </c>
      <c r="CJ661" s="4" t="s">
        <v>1548</v>
      </c>
      <c r="CL661" s="1826">
        <v>-2.5057977509611646</v>
      </c>
      <c r="CN661" s="1102"/>
      <c r="CO661" s="1103"/>
      <c r="CR661" s="1823">
        <v>3.9280517326117095</v>
      </c>
      <c r="CT661" s="1102"/>
      <c r="CU661" s="1103"/>
      <c r="CV661" s="1099"/>
      <c r="CW661" s="1099"/>
      <c r="CX661" s="1823">
        <v>1.235331160544703</v>
      </c>
      <c r="CY661" s="1099"/>
      <c r="CZ661" s="1102"/>
      <c r="DA661" s="1103"/>
      <c r="DB661" s="1099"/>
    </row>
    <row r="662" spans="87:106">
      <c r="CI662" s="888">
        <v>646</v>
      </c>
      <c r="CJ662" s="4" t="s">
        <v>1549</v>
      </c>
      <c r="CL662" s="1826">
        <v>3.343814487854897</v>
      </c>
      <c r="CN662" s="864"/>
      <c r="CO662" s="1103"/>
      <c r="CR662" s="1823">
        <v>-1.6775415001902818</v>
      </c>
      <c r="CT662" s="864"/>
      <c r="CU662" s="1103"/>
      <c r="CV662" s="1099"/>
      <c r="CW662" s="1099"/>
      <c r="CX662" s="1823">
        <v>-0.19238918899905899</v>
      </c>
      <c r="CY662" s="1099"/>
      <c r="CZ662" s="864"/>
      <c r="DA662" s="1103"/>
      <c r="DB662" s="1099"/>
    </row>
    <row r="663" spans="87:106">
      <c r="CI663" s="888">
        <v>646</v>
      </c>
      <c r="CJ663" s="4" t="s">
        <v>1550</v>
      </c>
      <c r="CL663" s="1826">
        <v>2.2556795275935104</v>
      </c>
      <c r="CN663" s="864"/>
      <c r="CO663" s="1103"/>
      <c r="CR663" s="1823">
        <v>-6.4689063439380643</v>
      </c>
      <c r="CT663" s="864"/>
      <c r="CU663" s="1103"/>
      <c r="CV663" s="1099"/>
      <c r="CW663" s="1099"/>
      <c r="CX663" s="1823">
        <v>-3.805812699578051</v>
      </c>
      <c r="CY663" s="1099"/>
      <c r="CZ663" s="864"/>
      <c r="DA663" s="1103"/>
      <c r="DB663" s="1099"/>
    </row>
    <row r="664" spans="87:106">
      <c r="CI664" s="888">
        <v>646</v>
      </c>
      <c r="CJ664" s="4" t="s">
        <v>1551</v>
      </c>
      <c r="CL664" s="1826">
        <v>2.1130780854635622</v>
      </c>
      <c r="CN664" s="864"/>
      <c r="CO664" s="1103"/>
      <c r="CR664" s="1823">
        <v>-3.3856979986950244</v>
      </c>
      <c r="CT664" s="864"/>
      <c r="CU664" s="1103"/>
      <c r="CV664" s="1099"/>
      <c r="CW664" s="1099"/>
      <c r="CX664" s="1823">
        <v>8.6461435631195673</v>
      </c>
      <c r="CY664" s="1099"/>
      <c r="CZ664" s="864"/>
      <c r="DA664" s="1103"/>
      <c r="DB664" s="1099"/>
    </row>
    <row r="665" spans="87:106">
      <c r="CI665" s="888">
        <v>646</v>
      </c>
      <c r="CJ665" s="4" t="s">
        <v>1552</v>
      </c>
      <c r="CL665" s="1826">
        <v>3.8671025680209294</v>
      </c>
      <c r="CN665" s="864"/>
      <c r="CO665" s="1103"/>
      <c r="CR665" s="1823" t="s">
        <v>1218</v>
      </c>
      <c r="CT665" s="864"/>
      <c r="CU665" s="1103"/>
      <c r="CV665" s="1099"/>
      <c r="CW665" s="1099"/>
      <c r="CX665" s="1823">
        <v>8.6096608431293848</v>
      </c>
      <c r="CY665" s="1099"/>
      <c r="CZ665" s="864"/>
      <c r="DA665" s="1103"/>
      <c r="DB665" s="1099"/>
    </row>
    <row r="666" spans="87:106">
      <c r="CI666" s="888">
        <v>646</v>
      </c>
      <c r="CJ666" s="1091" t="s">
        <v>1553</v>
      </c>
      <c r="CL666" s="1826">
        <v>-5.2387274305330287</v>
      </c>
      <c r="CN666" s="1104"/>
      <c r="CO666" s="1105"/>
      <c r="CR666" s="1824" t="s">
        <v>1218</v>
      </c>
      <c r="CT666" s="1104"/>
      <c r="CU666" s="1105"/>
      <c r="CV666" s="1100"/>
      <c r="CW666" s="1100"/>
      <c r="CX666" s="1824">
        <v>-18.603476822887195</v>
      </c>
      <c r="CY666" s="1100"/>
      <c r="CZ666" s="1104"/>
      <c r="DA666" s="1105"/>
      <c r="DB666" s="1100"/>
    </row>
    <row r="667" spans="87:106">
      <c r="CI667" s="888">
        <v>134</v>
      </c>
      <c r="CJ667" s="4" t="s">
        <v>1554</v>
      </c>
      <c r="CL667" s="1826"/>
      <c r="CN667" s="1099">
        <v>0.12583037466790459</v>
      </c>
      <c r="CO667" s="1106">
        <v>0.79</v>
      </c>
      <c r="CR667" s="1822"/>
      <c r="CT667" s="1102">
        <v>0.52923033411608889</v>
      </c>
      <c r="CU667" s="1106">
        <v>0.86</v>
      </c>
      <c r="CV667" s="863"/>
      <c r="CW667" s="863"/>
      <c r="CX667" s="1822" t="e">
        <v>#N/A</v>
      </c>
      <c r="CY667" s="863"/>
      <c r="CZ667" s="1099">
        <v>0.53833691903283132</v>
      </c>
      <c r="DA667" s="1106">
        <v>0.79</v>
      </c>
      <c r="DB667" s="863"/>
    </row>
    <row r="668" spans="87:106">
      <c r="CI668" s="888">
        <v>134</v>
      </c>
      <c r="CJ668" s="4"/>
      <c r="CL668" s="1826"/>
      <c r="CN668" s="1102"/>
      <c r="CO668" s="1103"/>
      <c r="CR668" s="1822"/>
      <c r="CT668" s="1102"/>
      <c r="CU668" s="1103"/>
      <c r="CV668" s="863"/>
      <c r="CW668" s="863"/>
      <c r="CX668" s="1822" t="e">
        <v>#N/A</v>
      </c>
      <c r="CY668" s="863"/>
      <c r="CZ668" s="1102"/>
      <c r="DA668" s="1103"/>
      <c r="DB668" s="863"/>
    </row>
    <row r="669" spans="87:106">
      <c r="CI669" s="888">
        <v>134</v>
      </c>
      <c r="CJ669" s="4"/>
      <c r="CL669" s="1826"/>
      <c r="CN669" s="1102"/>
      <c r="CO669" s="1103"/>
      <c r="CR669" s="1822"/>
      <c r="CT669" s="1102"/>
      <c r="CU669" s="1103"/>
      <c r="CV669" s="863"/>
      <c r="CW669" s="863"/>
      <c r="CX669" s="1822" t="e">
        <v>#N/A</v>
      </c>
      <c r="CY669" s="863"/>
      <c r="CZ669" s="1102"/>
      <c r="DA669" s="1103"/>
      <c r="DB669" s="863"/>
    </row>
    <row r="670" spans="87:106">
      <c r="CI670" s="888">
        <v>134</v>
      </c>
      <c r="CJ670" s="4"/>
      <c r="CL670" s="1826"/>
      <c r="CN670" s="1102"/>
      <c r="CO670" s="1103"/>
      <c r="CR670" s="1825"/>
      <c r="CT670" s="1102"/>
      <c r="CU670" s="1103"/>
      <c r="CV670" s="1099"/>
      <c r="CW670" s="1099"/>
      <c r="CX670" s="1825" t="e">
        <v>#N/A</v>
      </c>
      <c r="CY670" s="1099"/>
      <c r="CZ670" s="1102"/>
      <c r="DA670" s="1103"/>
      <c r="DB670" s="1099"/>
    </row>
    <row r="671" spans="87:106">
      <c r="CI671" s="888">
        <v>134</v>
      </c>
      <c r="CJ671" s="4" t="s">
        <v>2448</v>
      </c>
      <c r="CL671" s="1826">
        <v>0.89056068965422663</v>
      </c>
      <c r="CN671" s="1102"/>
      <c r="CO671" s="1103"/>
      <c r="CR671" s="1823">
        <v>1.1536045978297844</v>
      </c>
      <c r="CT671" s="1102"/>
      <c r="CU671" s="1103"/>
      <c r="CV671" s="1099"/>
      <c r="CW671" s="1099"/>
      <c r="CX671" s="1823">
        <v>8.8021519685505645E-2</v>
      </c>
      <c r="CY671" s="1099"/>
      <c r="CZ671" s="1102"/>
      <c r="DA671" s="1103"/>
      <c r="DB671" s="1099"/>
    </row>
    <row r="672" spans="87:106">
      <c r="CI672" s="888">
        <v>134</v>
      </c>
      <c r="CJ672" s="4" t="s">
        <v>2316</v>
      </c>
      <c r="CL672" s="1826">
        <v>0.19011315794994554</v>
      </c>
      <c r="CN672" s="1102"/>
      <c r="CO672" s="1103"/>
      <c r="CR672" s="1823">
        <v>0.52923033411608889</v>
      </c>
      <c r="CT672" s="1102"/>
      <c r="CU672" s="1103"/>
      <c r="CV672" s="1099"/>
      <c r="CW672" s="1099"/>
      <c r="CX672" s="1823">
        <v>0.27426404737955479</v>
      </c>
      <c r="CY672" s="1099"/>
      <c r="CZ672" s="1102"/>
      <c r="DA672" s="1103"/>
      <c r="DB672" s="1099"/>
    </row>
    <row r="673" spans="87:106">
      <c r="CI673" s="888">
        <v>134</v>
      </c>
      <c r="CJ673" s="4" t="s">
        <v>1555</v>
      </c>
      <c r="CL673" s="1826">
        <v>-7.6540217576776426E-2</v>
      </c>
      <c r="CN673" s="1102"/>
      <c r="CO673" s="1103"/>
      <c r="CR673" s="1823">
        <v>0.51326712230445226</v>
      </c>
      <c r="CT673" s="1102"/>
      <c r="CU673" s="1103"/>
      <c r="CV673" s="1099"/>
      <c r="CW673" s="1099"/>
      <c r="CX673" s="1823">
        <v>0.3297387926115265</v>
      </c>
      <c r="CY673" s="1099"/>
      <c r="CZ673" s="1102"/>
      <c r="DA673" s="1103"/>
      <c r="DB673" s="1099"/>
    </row>
    <row r="674" spans="87:106">
      <c r="CI674" s="888">
        <v>134</v>
      </c>
      <c r="CJ674" s="4" t="s">
        <v>1556</v>
      </c>
      <c r="CL674" s="1826">
        <v>0.12583037466790459</v>
      </c>
      <c r="CN674" s="1102"/>
      <c r="CO674" s="1103"/>
      <c r="CR674" s="1823">
        <v>-7.4280964809738448E-2</v>
      </c>
      <c r="CT674" s="1102"/>
      <c r="CU674" s="1103"/>
      <c r="CV674" s="1099"/>
      <c r="CW674" s="1099"/>
      <c r="CX674" s="1823">
        <v>0.66170599800019758</v>
      </c>
      <c r="CY674" s="1099"/>
      <c r="CZ674" s="1102"/>
      <c r="DA674" s="1103"/>
      <c r="DB674" s="1099"/>
    </row>
    <row r="675" spans="87:106">
      <c r="CI675" s="888">
        <v>134</v>
      </c>
      <c r="CJ675" s="4" t="s">
        <v>1557</v>
      </c>
      <c r="CL675" s="1826">
        <v>-1.2592928711574076</v>
      </c>
      <c r="CN675" s="864"/>
      <c r="CO675" s="1103"/>
      <c r="CR675" s="1823">
        <v>0.43230839644740526</v>
      </c>
      <c r="CT675" s="864"/>
      <c r="CU675" s="1103"/>
      <c r="CV675" s="1099"/>
      <c r="CW675" s="1099"/>
      <c r="CX675" s="1823">
        <v>0.56084693801524099</v>
      </c>
      <c r="CY675" s="1099"/>
      <c r="CZ675" s="864"/>
      <c r="DA675" s="1103"/>
      <c r="DB675" s="1099"/>
    </row>
    <row r="676" spans="87:106">
      <c r="CI676" s="888">
        <v>134</v>
      </c>
      <c r="CJ676" s="4" t="s">
        <v>1558</v>
      </c>
      <c r="CL676" s="1826">
        <v>-1.1954775900704069</v>
      </c>
      <c r="CN676" s="864"/>
      <c r="CO676" s="1103"/>
      <c r="CR676" s="1823">
        <v>1.3957785843775006</v>
      </c>
      <c r="CT676" s="864"/>
      <c r="CU676" s="1103"/>
      <c r="CV676" s="1099"/>
      <c r="CW676" s="1099"/>
      <c r="CX676" s="1823">
        <v>0.53833691903283132</v>
      </c>
      <c r="CY676" s="1099"/>
      <c r="CZ676" s="864"/>
      <c r="DA676" s="1103"/>
      <c r="DB676" s="1099"/>
    </row>
    <row r="677" spans="87:106">
      <c r="CI677" s="888">
        <v>134</v>
      </c>
      <c r="CJ677" s="4" t="s">
        <v>1559</v>
      </c>
      <c r="CL677" s="1826">
        <v>1.3482261741743478</v>
      </c>
      <c r="CN677" s="864"/>
      <c r="CO677" s="1103"/>
      <c r="CR677" s="1823">
        <v>3.9962326292423569</v>
      </c>
      <c r="CT677" s="864"/>
      <c r="CU677" s="1103"/>
      <c r="CV677" s="1099"/>
      <c r="CW677" s="1099"/>
      <c r="CX677" s="1823">
        <v>-0.13575067543450248</v>
      </c>
      <c r="CY677" s="1099"/>
      <c r="CZ677" s="864"/>
      <c r="DA677" s="1103"/>
      <c r="DB677" s="1099"/>
    </row>
    <row r="678" spans="87:106">
      <c r="CI678" s="888">
        <v>134</v>
      </c>
      <c r="CJ678" s="4" t="s">
        <v>1560</v>
      </c>
      <c r="CL678" s="1826">
        <v>4.5612822393649779</v>
      </c>
      <c r="CN678" s="864"/>
      <c r="CO678" s="1103"/>
      <c r="CR678" s="1823">
        <v>1.5543997946623125</v>
      </c>
      <c r="CT678" s="864"/>
      <c r="CU678" s="1103"/>
      <c r="CV678" s="1099"/>
      <c r="CW678" s="1099"/>
      <c r="CX678" s="1823">
        <v>1.079123896724453</v>
      </c>
      <c r="CY678" s="1099"/>
      <c r="CZ678" s="864"/>
      <c r="DA678" s="1103"/>
      <c r="DB678" s="1099"/>
    </row>
    <row r="679" spans="87:106">
      <c r="CI679" s="888">
        <v>134</v>
      </c>
      <c r="CJ679" s="1091" t="s">
        <v>1561</v>
      </c>
      <c r="CL679" s="1826">
        <v>-5.7061303321192751</v>
      </c>
      <c r="CN679" s="1104"/>
      <c r="CO679" s="1105"/>
      <c r="CR679" s="1824">
        <v>-2.8516730560182992</v>
      </c>
      <c r="CT679" s="1104"/>
      <c r="CU679" s="1105"/>
      <c r="CV679" s="1100"/>
      <c r="CW679" s="1100"/>
      <c r="CX679" s="1824">
        <v>0.94585973741939955</v>
      </c>
      <c r="CY679" s="1100"/>
      <c r="CZ679" s="1104"/>
      <c r="DA679" s="1105"/>
      <c r="DB679" s="1100"/>
    </row>
    <row r="680" spans="87:106">
      <c r="CI680" s="888">
        <v>652</v>
      </c>
      <c r="CJ680" s="4" t="s">
        <v>1562</v>
      </c>
      <c r="CL680" s="1826"/>
      <c r="CN680" s="1099">
        <v>-1.4738757162892435</v>
      </c>
      <c r="CO680" s="1106">
        <v>0.16</v>
      </c>
      <c r="CR680" s="1822"/>
      <c r="CT680" s="1102">
        <v>-3.6447091388778312</v>
      </c>
      <c r="CU680" s="1106">
        <v>7.0000000000000007E-2</v>
      </c>
      <c r="CV680" s="863"/>
      <c r="CW680" s="863"/>
      <c r="CX680" s="1822" t="e">
        <v>#N/A</v>
      </c>
      <c r="CY680" s="863"/>
      <c r="CZ680" s="1099">
        <v>7.5265131998590746</v>
      </c>
      <c r="DA680" s="1106">
        <v>1</v>
      </c>
      <c r="DB680" s="863"/>
    </row>
    <row r="681" spans="87:106">
      <c r="CI681" s="888">
        <v>652</v>
      </c>
      <c r="CJ681" s="4"/>
      <c r="CL681" s="1826"/>
      <c r="CN681" s="1102"/>
      <c r="CO681" s="1103"/>
      <c r="CR681" s="1822"/>
      <c r="CT681" s="1102"/>
      <c r="CU681" s="1103"/>
      <c r="CV681" s="863"/>
      <c r="CW681" s="863"/>
      <c r="CX681" s="1822" t="e">
        <v>#N/A</v>
      </c>
      <c r="CY681" s="863"/>
      <c r="CZ681" s="1102"/>
      <c r="DA681" s="1103"/>
      <c r="DB681" s="863"/>
    </row>
    <row r="682" spans="87:106">
      <c r="CI682" s="888">
        <v>652</v>
      </c>
      <c r="CJ682" s="4"/>
      <c r="CL682" s="1826"/>
      <c r="CN682" s="1102"/>
      <c r="CO682" s="1103"/>
      <c r="CR682" s="1822"/>
      <c r="CT682" s="1102"/>
      <c r="CU682" s="1103"/>
      <c r="CV682" s="863"/>
      <c r="CW682" s="863"/>
      <c r="CX682" s="1822" t="e">
        <v>#N/A</v>
      </c>
      <c r="CY682" s="863"/>
      <c r="CZ682" s="1102"/>
      <c r="DA682" s="1103"/>
      <c r="DB682" s="863"/>
    </row>
    <row r="683" spans="87:106">
      <c r="CI683" s="888">
        <v>652</v>
      </c>
      <c r="CJ683" s="4"/>
      <c r="CL683" s="1826"/>
      <c r="CN683" s="1102"/>
      <c r="CO683" s="1103"/>
      <c r="CR683" s="1825"/>
      <c r="CT683" s="1102"/>
      <c r="CU683" s="1103"/>
      <c r="CV683" s="1099"/>
      <c r="CW683" s="1099"/>
      <c r="CX683" s="1825" t="e">
        <v>#N/A</v>
      </c>
      <c r="CY683" s="1099"/>
      <c r="CZ683" s="1102"/>
      <c r="DA683" s="1103"/>
      <c r="DB683" s="1099"/>
    </row>
    <row r="684" spans="87:106">
      <c r="CI684" s="888">
        <v>652</v>
      </c>
      <c r="CJ684" s="4" t="s">
        <v>2449</v>
      </c>
      <c r="CL684" s="1826">
        <v>0.74407387878938103</v>
      </c>
      <c r="CN684" s="1102"/>
      <c r="CO684" s="1103"/>
      <c r="CR684" s="1823">
        <v>-2.5186493412580591</v>
      </c>
      <c r="CT684" s="1102"/>
      <c r="CU684" s="1103"/>
      <c r="CV684" s="1099"/>
      <c r="CW684" s="1099"/>
      <c r="CX684" s="1823">
        <v>4.6901653673837682</v>
      </c>
      <c r="CY684" s="1099"/>
      <c r="CZ684" s="1102"/>
      <c r="DA684" s="1103"/>
      <c r="DB684" s="1099"/>
    </row>
    <row r="685" spans="87:106">
      <c r="CI685" s="888">
        <v>652</v>
      </c>
      <c r="CJ685" s="4" t="s">
        <v>2317</v>
      </c>
      <c r="CL685" s="1826">
        <v>-2.6289684030400977</v>
      </c>
      <c r="CN685" s="1102"/>
      <c r="CO685" s="1103"/>
      <c r="CR685" s="1823">
        <v>-3.6447091388778312</v>
      </c>
      <c r="CT685" s="1102"/>
      <c r="CU685" s="1103"/>
      <c r="CV685" s="1099"/>
      <c r="CW685" s="1099"/>
      <c r="CX685" s="1823">
        <v>8.1077901811415796</v>
      </c>
      <c r="CY685" s="1099"/>
      <c r="CZ685" s="1102"/>
      <c r="DA685" s="1103"/>
      <c r="DB685" s="1099"/>
    </row>
    <row r="686" spans="87:106">
      <c r="CI686" s="888">
        <v>652</v>
      </c>
      <c r="CJ686" s="4" t="s">
        <v>1563</v>
      </c>
      <c r="CL686" s="1826">
        <v>-1.4738757162892435</v>
      </c>
      <c r="CN686" s="1102"/>
      <c r="CO686" s="1103"/>
      <c r="CR686" s="1823">
        <v>2.5158727245575574</v>
      </c>
      <c r="CT686" s="1102"/>
      <c r="CU686" s="1103"/>
      <c r="CV686" s="1099"/>
      <c r="CW686" s="1099"/>
      <c r="CX686" s="1823">
        <v>6.6007314437111742</v>
      </c>
      <c r="CY686" s="1099"/>
      <c r="CZ686" s="1102"/>
      <c r="DA686" s="1103"/>
      <c r="DB686" s="1099"/>
    </row>
    <row r="687" spans="87:106">
      <c r="CI687" s="888">
        <v>652</v>
      </c>
      <c r="CJ687" s="4" t="s">
        <v>1564</v>
      </c>
      <c r="CL687" s="1826">
        <v>-2.8577922952393529</v>
      </c>
      <c r="CN687" s="1102"/>
      <c r="CO687" s="1103"/>
      <c r="CR687" s="1823">
        <v>-6.0723189008054508</v>
      </c>
      <c r="CT687" s="1102"/>
      <c r="CU687" s="1103"/>
      <c r="CV687" s="1099"/>
      <c r="CW687" s="1099"/>
      <c r="CX687" s="1823">
        <v>7.5265131998590746</v>
      </c>
      <c r="CY687" s="1099"/>
      <c r="CZ687" s="1102"/>
      <c r="DA687" s="1103"/>
      <c r="DB687" s="1099"/>
    </row>
    <row r="688" spans="87:106">
      <c r="CI688" s="888">
        <v>652</v>
      </c>
      <c r="CJ688" s="4" t="s">
        <v>1565</v>
      </c>
      <c r="CL688" s="1826">
        <v>-7.1219774005319536E-2</v>
      </c>
      <c r="CN688" s="864"/>
      <c r="CO688" s="1103"/>
      <c r="CR688" s="1823">
        <v>-5.3479184478982127</v>
      </c>
      <c r="CT688" s="864"/>
      <c r="CU688" s="1103"/>
      <c r="CV688" s="1099"/>
      <c r="CW688" s="1099"/>
      <c r="CX688" s="1823">
        <v>7.9321986312070489</v>
      </c>
      <c r="CY688" s="1099"/>
      <c r="CZ688" s="864"/>
      <c r="DA688" s="1103"/>
      <c r="DB688" s="1099"/>
    </row>
    <row r="689" spans="87:106">
      <c r="CI689" s="888">
        <v>652</v>
      </c>
      <c r="CJ689" s="4" t="s">
        <v>1566</v>
      </c>
      <c r="CL689" s="1826">
        <v>0.59731549656953398</v>
      </c>
      <c r="CN689" s="864"/>
      <c r="CO689" s="1103"/>
      <c r="CR689" s="1823">
        <v>-9.4743026547141529</v>
      </c>
      <c r="CT689" s="864"/>
      <c r="CU689" s="1103"/>
      <c r="CV689" s="1099"/>
      <c r="CW689" s="1099"/>
      <c r="CX689" s="1823">
        <v>4.6108983592538895</v>
      </c>
      <c r="CY689" s="1099"/>
      <c r="CZ689" s="864"/>
      <c r="DA689" s="1103"/>
      <c r="DB689" s="1099"/>
    </row>
    <row r="690" spans="87:106">
      <c r="CI690" s="888">
        <v>652</v>
      </c>
      <c r="CJ690" s="4" t="s">
        <v>1567</v>
      </c>
      <c r="CL690" s="1826">
        <v>-5.7567140935990952</v>
      </c>
      <c r="CN690" s="864"/>
      <c r="CO690" s="1103"/>
      <c r="CR690" s="1823">
        <v>-0.12448209167915573</v>
      </c>
      <c r="CT690" s="864"/>
      <c r="CU690" s="1103"/>
      <c r="CV690" s="1099"/>
      <c r="CW690" s="1099"/>
      <c r="CX690" s="1823">
        <v>3.5569152299913398</v>
      </c>
      <c r="CY690" s="1099"/>
      <c r="CZ690" s="864"/>
      <c r="DA690" s="1103"/>
      <c r="DB690" s="1099"/>
    </row>
    <row r="691" spans="87:106">
      <c r="CI691" s="888">
        <v>652</v>
      </c>
      <c r="CJ691" s="4" t="s">
        <v>1568</v>
      </c>
      <c r="CL691" s="1826">
        <v>3.0007546088103032</v>
      </c>
      <c r="CN691" s="864"/>
      <c r="CO691" s="1103"/>
      <c r="CR691" s="1823" t="s">
        <v>1218</v>
      </c>
      <c r="CT691" s="864"/>
      <c r="CU691" s="1103"/>
      <c r="CV691" s="1099"/>
      <c r="CW691" s="1099"/>
      <c r="CX691" s="1823">
        <v>11.796466078420064</v>
      </c>
      <c r="CY691" s="1099"/>
      <c r="CZ691" s="864"/>
      <c r="DA691" s="1103"/>
      <c r="DB691" s="1099"/>
    </row>
    <row r="692" spans="87:106">
      <c r="CI692" s="888">
        <v>652</v>
      </c>
      <c r="CJ692" s="1091" t="s">
        <v>1569</v>
      </c>
      <c r="CL692" s="1826">
        <v>-2.8118452561666167</v>
      </c>
      <c r="CN692" s="1104"/>
      <c r="CO692" s="1105"/>
      <c r="CR692" s="1824" t="s">
        <v>1218</v>
      </c>
      <c r="CT692" s="1104"/>
      <c r="CU692" s="1105"/>
      <c r="CV692" s="1100"/>
      <c r="CW692" s="1100"/>
      <c r="CX692" s="1824">
        <v>7.7689509170672864</v>
      </c>
      <c r="CY692" s="1100"/>
      <c r="CZ692" s="1104"/>
      <c r="DA692" s="1105"/>
      <c r="DB692" s="1100"/>
    </row>
    <row r="693" spans="87:106">
      <c r="CI693" s="888">
        <v>174</v>
      </c>
      <c r="CJ693" s="4" t="s">
        <v>1570</v>
      </c>
      <c r="CL693" s="1826"/>
      <c r="CN693" s="1099">
        <v>-3.9298529665067274</v>
      </c>
      <c r="CO693" s="1106">
        <v>0.02</v>
      </c>
      <c r="CR693" s="1822"/>
      <c r="CT693" s="1102">
        <v>-1.5061951238743114</v>
      </c>
      <c r="CU693" s="1106">
        <v>0.22</v>
      </c>
      <c r="CV693" s="863"/>
      <c r="CW693" s="863"/>
      <c r="CX693" s="1822" t="e">
        <v>#N/A</v>
      </c>
      <c r="CY693" s="863"/>
      <c r="CZ693" s="1099">
        <v>-1.4395087419409667</v>
      </c>
      <c r="DA693" s="1106">
        <v>0.14000000000000001</v>
      </c>
      <c r="DB693" s="863"/>
    </row>
    <row r="694" spans="87:106">
      <c r="CI694" s="888">
        <v>174</v>
      </c>
      <c r="CJ694" s="4"/>
      <c r="CL694" s="1826"/>
      <c r="CN694" s="1102"/>
      <c r="CO694" s="1103"/>
      <c r="CR694" s="1822"/>
      <c r="CT694" s="1102"/>
      <c r="CU694" s="1103"/>
      <c r="CV694" s="863"/>
      <c r="CW694" s="863"/>
      <c r="CX694" s="1822" t="e">
        <v>#N/A</v>
      </c>
      <c r="CY694" s="863"/>
      <c r="CZ694" s="1102"/>
      <c r="DA694" s="1103"/>
      <c r="DB694" s="863"/>
    </row>
    <row r="695" spans="87:106">
      <c r="CI695" s="888">
        <v>174</v>
      </c>
      <c r="CJ695" s="4"/>
      <c r="CL695" s="1826"/>
      <c r="CN695" s="1102"/>
      <c r="CO695" s="1103"/>
      <c r="CR695" s="1822"/>
      <c r="CT695" s="1102"/>
      <c r="CU695" s="1103"/>
      <c r="CV695" s="863"/>
      <c r="CW695" s="863"/>
      <c r="CX695" s="1822" t="e">
        <v>#N/A</v>
      </c>
      <c r="CY695" s="863"/>
      <c r="CZ695" s="1102"/>
      <c r="DA695" s="1103"/>
      <c r="DB695" s="863"/>
    </row>
    <row r="696" spans="87:106">
      <c r="CI696" s="888">
        <v>174</v>
      </c>
      <c r="CJ696" s="4"/>
      <c r="CL696" s="1826"/>
      <c r="CN696" s="1102"/>
      <c r="CO696" s="1103"/>
      <c r="CR696" s="1825"/>
      <c r="CT696" s="1102"/>
      <c r="CU696" s="1103"/>
      <c r="CV696" s="1099"/>
      <c r="CW696" s="1099"/>
      <c r="CX696" s="1825" t="e">
        <v>#N/A</v>
      </c>
      <c r="CY696" s="1099"/>
      <c r="CZ696" s="1102"/>
      <c r="DA696" s="1103"/>
      <c r="DB696" s="1099"/>
    </row>
    <row r="697" spans="87:106">
      <c r="CI697" s="888">
        <v>174</v>
      </c>
      <c r="CJ697" s="4" t="s">
        <v>2450</v>
      </c>
      <c r="CL697" s="1826">
        <v>-1.310379178403936</v>
      </c>
      <c r="CN697" s="1102"/>
      <c r="CO697" s="1103"/>
      <c r="CR697" s="1823">
        <v>0.2226058302597167</v>
      </c>
      <c r="CT697" s="1102"/>
      <c r="CU697" s="1103"/>
      <c r="CV697" s="1099"/>
      <c r="CW697" s="1099"/>
      <c r="CX697" s="1823">
        <v>-0.29813222040636178</v>
      </c>
      <c r="CY697" s="1099"/>
      <c r="CZ697" s="1102"/>
      <c r="DA697" s="1103"/>
      <c r="DB697" s="1099"/>
    </row>
    <row r="698" spans="87:106">
      <c r="CI698" s="888">
        <v>174</v>
      </c>
      <c r="CJ698" s="4" t="s">
        <v>2318</v>
      </c>
      <c r="CL698" s="1826">
        <v>-3.9298529665067274</v>
      </c>
      <c r="CN698" s="1102"/>
      <c r="CO698" s="1103"/>
      <c r="CR698" s="1823">
        <v>-0.73476598602747334</v>
      </c>
      <c r="CT698" s="1102"/>
      <c r="CU698" s="1103"/>
      <c r="CV698" s="1099"/>
      <c r="CW698" s="1099"/>
      <c r="CX698" s="1823">
        <v>-1.9843609513540992</v>
      </c>
      <c r="CY698" s="1099"/>
      <c r="CZ698" s="1102"/>
      <c r="DA698" s="1103"/>
      <c r="DB698" s="1099"/>
    </row>
    <row r="699" spans="87:106">
      <c r="CI699" s="888">
        <v>174</v>
      </c>
      <c r="CJ699" s="4" t="s">
        <v>1571</v>
      </c>
      <c r="CL699" s="1826">
        <v>-3.1362091711735629</v>
      </c>
      <c r="CN699" s="1102"/>
      <c r="CO699" s="1103"/>
      <c r="CR699" s="1823">
        <v>-2.7577723947726511</v>
      </c>
      <c r="CT699" s="1102"/>
      <c r="CU699" s="1103"/>
      <c r="CV699" s="1099"/>
      <c r="CW699" s="1099"/>
      <c r="CX699" s="1823">
        <v>-1.4395087419409667</v>
      </c>
      <c r="CY699" s="1099"/>
      <c r="CZ699" s="1102"/>
      <c r="DA699" s="1103"/>
      <c r="DB699" s="1099"/>
    </row>
    <row r="700" spans="87:106">
      <c r="CI700" s="888">
        <v>174</v>
      </c>
      <c r="CJ700" s="4" t="s">
        <v>1572</v>
      </c>
      <c r="CL700" s="1826">
        <v>5.7703100993877099E-2</v>
      </c>
      <c r="CN700" s="1102"/>
      <c r="CO700" s="1103"/>
      <c r="CR700" s="1823">
        <v>-1.5061951238743114</v>
      </c>
      <c r="CT700" s="1102"/>
      <c r="CU700" s="1103"/>
      <c r="CV700" s="1099"/>
      <c r="CW700" s="1099"/>
      <c r="CX700" s="1823">
        <v>-1.8238591409540237</v>
      </c>
      <c r="CY700" s="1099"/>
      <c r="CZ700" s="1102"/>
      <c r="DA700" s="1103"/>
      <c r="DB700" s="1099"/>
    </row>
    <row r="701" spans="87:106">
      <c r="CI701" s="888">
        <v>174</v>
      </c>
      <c r="CJ701" s="4" t="s">
        <v>1573</v>
      </c>
      <c r="CL701" s="1826">
        <v>-3.9408484499864236</v>
      </c>
      <c r="CN701" s="864"/>
      <c r="CO701" s="1103"/>
      <c r="CR701" s="1823">
        <v>-0.60563080352956855</v>
      </c>
      <c r="CT701" s="864"/>
      <c r="CU701" s="1103"/>
      <c r="CV701" s="1099"/>
      <c r="CW701" s="1099"/>
      <c r="CX701" s="1823">
        <v>-1.798870700252631</v>
      </c>
      <c r="CY701" s="1099"/>
      <c r="CZ701" s="864"/>
      <c r="DA701" s="1103"/>
      <c r="DB701" s="1099"/>
    </row>
    <row r="702" spans="87:106">
      <c r="CI702" s="888">
        <v>174</v>
      </c>
      <c r="CJ702" s="4" t="s">
        <v>1574</v>
      </c>
      <c r="CL702" s="1826">
        <v>-8.0579152836374881</v>
      </c>
      <c r="CN702" s="864"/>
      <c r="CO702" s="1103"/>
      <c r="CR702" s="1823">
        <v>-2.2149415028721338</v>
      </c>
      <c r="CT702" s="864"/>
      <c r="CU702" s="1103"/>
      <c r="CV702" s="1099"/>
      <c r="CW702" s="1099"/>
      <c r="CX702" s="1823">
        <v>-0.76258346202141913</v>
      </c>
      <c r="CY702" s="1099"/>
      <c r="CZ702" s="864"/>
      <c r="DA702" s="1103"/>
      <c r="DB702" s="1099"/>
    </row>
    <row r="703" spans="87:106">
      <c r="CI703" s="888">
        <v>174</v>
      </c>
      <c r="CJ703" s="4" t="s">
        <v>1575</v>
      </c>
      <c r="CL703" s="1826">
        <v>-6.0558292594303706</v>
      </c>
      <c r="CN703" s="864"/>
      <c r="CO703" s="1103"/>
      <c r="CR703" s="1823">
        <v>0.16183131646813065</v>
      </c>
      <c r="CT703" s="864"/>
      <c r="CU703" s="1103"/>
      <c r="CV703" s="1099"/>
      <c r="CW703" s="1099"/>
      <c r="CX703" s="1823">
        <v>0.14954714068449304</v>
      </c>
      <c r="CY703" s="1099"/>
      <c r="CZ703" s="864"/>
      <c r="DA703" s="1103"/>
      <c r="DB703" s="1099"/>
    </row>
    <row r="704" spans="87:106">
      <c r="CI704" s="888">
        <v>174</v>
      </c>
      <c r="CJ704" s="4" t="s">
        <v>1576</v>
      </c>
      <c r="CL704" s="1826">
        <v>-2.9068043334989282</v>
      </c>
      <c r="CN704" s="864"/>
      <c r="CO704" s="1103"/>
      <c r="CR704" s="1823">
        <v>-4.3767389738761908</v>
      </c>
      <c r="CT704" s="864"/>
      <c r="CU704" s="1103"/>
      <c r="CV704" s="1099"/>
      <c r="CW704" s="1099"/>
      <c r="CX704" s="1823">
        <v>-0.43882529301688256</v>
      </c>
      <c r="CY704" s="1099"/>
      <c r="CZ704" s="864"/>
      <c r="DA704" s="1103"/>
      <c r="DB704" s="1099"/>
    </row>
    <row r="705" spans="87:106">
      <c r="CI705" s="888">
        <v>174</v>
      </c>
      <c r="CJ705" s="1091" t="s">
        <v>1577</v>
      </c>
      <c r="CL705" s="1826">
        <v>-5.377006414624276</v>
      </c>
      <c r="CN705" s="1104"/>
      <c r="CO705" s="1105"/>
      <c r="CR705" s="1824">
        <v>-12.998793920678249</v>
      </c>
      <c r="CT705" s="1104"/>
      <c r="CU705" s="1105"/>
      <c r="CV705" s="1100"/>
      <c r="CW705" s="1100"/>
      <c r="CX705" s="1824">
        <v>-1.5992194756788389</v>
      </c>
      <c r="CY705" s="1100"/>
      <c r="CZ705" s="1104"/>
      <c r="DA705" s="1105"/>
      <c r="DB705" s="1100"/>
    </row>
    <row r="706" spans="87:106">
      <c r="CI706" s="888">
        <v>258</v>
      </c>
      <c r="CJ706" s="4" t="s">
        <v>1578</v>
      </c>
      <c r="CL706" s="1826"/>
      <c r="CN706" s="1099">
        <v>0.4800287174327722</v>
      </c>
      <c r="CO706" s="1106">
        <v>0.85</v>
      </c>
      <c r="CR706" s="1822"/>
      <c r="CT706" s="1102">
        <v>0.11921803250447693</v>
      </c>
      <c r="CU706" s="1106">
        <v>0.74</v>
      </c>
      <c r="CV706" s="863"/>
      <c r="CW706" s="863"/>
      <c r="CX706" s="1822" t="e">
        <v>#N/A</v>
      </c>
      <c r="CY706" s="863"/>
      <c r="CZ706" s="1099">
        <v>-0.93127070449438065</v>
      </c>
      <c r="DA706" s="1106">
        <v>0.28000000000000003</v>
      </c>
      <c r="DB706" s="863"/>
    </row>
    <row r="707" spans="87:106">
      <c r="CI707" s="888">
        <v>258</v>
      </c>
      <c r="CJ707" s="4"/>
      <c r="CL707" s="1826"/>
      <c r="CN707" s="1102"/>
      <c r="CO707" s="1103"/>
      <c r="CR707" s="1822"/>
      <c r="CT707" s="1102"/>
      <c r="CU707" s="1103"/>
      <c r="CV707" s="863"/>
      <c r="CW707" s="863"/>
      <c r="CX707" s="1822" t="e">
        <v>#N/A</v>
      </c>
      <c r="CY707" s="863"/>
      <c r="CZ707" s="1102"/>
      <c r="DA707" s="1103"/>
      <c r="DB707" s="863"/>
    </row>
    <row r="708" spans="87:106">
      <c r="CI708" s="888">
        <v>258</v>
      </c>
      <c r="CJ708" s="4"/>
      <c r="CL708" s="1826"/>
      <c r="CN708" s="1102"/>
      <c r="CO708" s="1103"/>
      <c r="CR708" s="1822"/>
      <c r="CT708" s="1102"/>
      <c r="CU708" s="1103"/>
      <c r="CV708" s="863"/>
      <c r="CW708" s="863"/>
      <c r="CX708" s="1822" t="e">
        <v>#N/A</v>
      </c>
      <c r="CY708" s="863"/>
      <c r="CZ708" s="1102"/>
      <c r="DA708" s="1103"/>
      <c r="DB708" s="863"/>
    </row>
    <row r="709" spans="87:106">
      <c r="CI709" s="888">
        <v>258</v>
      </c>
      <c r="CJ709" s="4"/>
      <c r="CL709" s="1826"/>
      <c r="CN709" s="1102"/>
      <c r="CO709" s="1103"/>
      <c r="CR709" s="1825"/>
      <c r="CT709" s="1102"/>
      <c r="CU709" s="1103"/>
      <c r="CV709" s="1099"/>
      <c r="CW709" s="1099"/>
      <c r="CX709" s="1825" t="e">
        <v>#N/A</v>
      </c>
      <c r="CY709" s="1099"/>
      <c r="CZ709" s="1102"/>
      <c r="DA709" s="1103"/>
      <c r="DB709" s="1099"/>
    </row>
    <row r="710" spans="87:106">
      <c r="CI710" s="888">
        <v>258</v>
      </c>
      <c r="CJ710" s="4" t="s">
        <v>2451</v>
      </c>
      <c r="CL710" s="1826">
        <v>-1.1475545285488651</v>
      </c>
      <c r="CN710" s="1102"/>
      <c r="CO710" s="1103"/>
      <c r="CR710" s="1823">
        <v>0.2386714961637956</v>
      </c>
      <c r="CT710" s="1102"/>
      <c r="CU710" s="1103"/>
      <c r="CV710" s="1099"/>
      <c r="CW710" s="1099"/>
      <c r="CX710" s="1823">
        <v>1.1942019593849484</v>
      </c>
      <c r="CY710" s="1099"/>
      <c r="CZ710" s="1102"/>
      <c r="DA710" s="1103"/>
      <c r="DB710" s="1099"/>
    </row>
    <row r="711" spans="87:106">
      <c r="CI711" s="888">
        <v>258</v>
      </c>
      <c r="CJ711" s="4" t="s">
        <v>2319</v>
      </c>
      <c r="CL711" s="1826">
        <v>-0.83331494150484486</v>
      </c>
      <c r="CN711" s="1102"/>
      <c r="CO711" s="1103"/>
      <c r="CR711" s="1823">
        <v>1.0247074089345665</v>
      </c>
      <c r="CT711" s="1102"/>
      <c r="CU711" s="1103"/>
      <c r="CV711" s="1099"/>
      <c r="CW711" s="1099"/>
      <c r="CX711" s="1823">
        <v>0.97057614079559462</v>
      </c>
      <c r="CY711" s="1099"/>
      <c r="CZ711" s="1102"/>
      <c r="DA711" s="1103"/>
      <c r="DB711" s="1099"/>
    </row>
    <row r="712" spans="87:106">
      <c r="CI712" s="888">
        <v>258</v>
      </c>
      <c r="CJ712" s="4" t="s">
        <v>1579</v>
      </c>
      <c r="CL712" s="1826">
        <v>0.64874293759665758</v>
      </c>
      <c r="CN712" s="1102"/>
      <c r="CO712" s="1103"/>
      <c r="CR712" s="1823">
        <v>0.68600523243168499</v>
      </c>
      <c r="CT712" s="1102"/>
      <c r="CU712" s="1103"/>
      <c r="CV712" s="1099"/>
      <c r="CW712" s="1099"/>
      <c r="CX712" s="1823">
        <v>-0.93127070449438065</v>
      </c>
      <c r="CY712" s="1099"/>
      <c r="CZ712" s="1102"/>
      <c r="DA712" s="1103"/>
      <c r="DB712" s="1099"/>
    </row>
    <row r="713" spans="87:106">
      <c r="CI713" s="888">
        <v>258</v>
      </c>
      <c r="CJ713" s="4" t="s">
        <v>1580</v>
      </c>
      <c r="CL713" s="1826">
        <v>0.84970792075637114</v>
      </c>
      <c r="CN713" s="1102"/>
      <c r="CO713" s="1103"/>
      <c r="CR713" s="1823">
        <v>0.11921803250447693</v>
      </c>
      <c r="CT713" s="1102"/>
      <c r="CU713" s="1103"/>
      <c r="CV713" s="1099"/>
      <c r="CW713" s="1099"/>
      <c r="CX713" s="1823">
        <v>-1.0976694616874911</v>
      </c>
      <c r="CY713" s="1099"/>
      <c r="CZ713" s="1102"/>
      <c r="DA713" s="1103"/>
      <c r="DB713" s="1099"/>
    </row>
    <row r="714" spans="87:106">
      <c r="CI714" s="888">
        <v>258</v>
      </c>
      <c r="CJ714" s="4" t="s">
        <v>1581</v>
      </c>
      <c r="CL714" s="1826">
        <v>0.4800287174327722</v>
      </c>
      <c r="CN714" s="864"/>
      <c r="CO714" s="1103"/>
      <c r="CR714" s="1823">
        <v>-0.12332716555100293</v>
      </c>
      <c r="CT714" s="864"/>
      <c r="CU714" s="1103"/>
      <c r="CV714" s="1099"/>
      <c r="CW714" s="1099"/>
      <c r="CX714" s="1823">
        <v>-1.5134180731152749</v>
      </c>
      <c r="CY714" s="1099"/>
      <c r="CZ714" s="864"/>
      <c r="DA714" s="1103"/>
      <c r="DB714" s="1099"/>
    </row>
    <row r="715" spans="87:106">
      <c r="CI715" s="888">
        <v>258</v>
      </c>
      <c r="CJ715" s="4" t="s">
        <v>1582</v>
      </c>
      <c r="CL715" s="1826">
        <v>-0.19932096978239278</v>
      </c>
      <c r="CN715" s="864"/>
      <c r="CO715" s="1103"/>
      <c r="CR715" s="1823">
        <v>-9.4923040765671596E-2</v>
      </c>
      <c r="CT715" s="864"/>
      <c r="CU715" s="1103"/>
      <c r="CV715" s="1099"/>
      <c r="CW715" s="1099"/>
      <c r="CX715" s="1823">
        <v>-3.0939949318167566</v>
      </c>
      <c r="CY715" s="1099"/>
      <c r="CZ715" s="864"/>
      <c r="DA715" s="1103"/>
      <c r="DB715" s="1099"/>
    </row>
    <row r="716" spans="87:106">
      <c r="CI716" s="888">
        <v>258</v>
      </c>
      <c r="CJ716" s="4" t="s">
        <v>1583</v>
      </c>
      <c r="CL716" s="1826">
        <v>0.63967357867734842</v>
      </c>
      <c r="CN716" s="864"/>
      <c r="CO716" s="1103"/>
      <c r="CR716" s="1823">
        <v>-0.27962696397189712</v>
      </c>
      <c r="CT716" s="864"/>
      <c r="CU716" s="1103"/>
      <c r="CV716" s="1099"/>
      <c r="CW716" s="1099"/>
      <c r="CX716" s="1823">
        <v>2.0185687919809818</v>
      </c>
      <c r="CY716" s="1099"/>
      <c r="CZ716" s="864"/>
      <c r="DA716" s="1103"/>
      <c r="DB716" s="1099"/>
    </row>
    <row r="717" spans="87:106">
      <c r="CI717" s="888">
        <v>258</v>
      </c>
      <c r="CJ717" s="4" t="s">
        <v>1584</v>
      </c>
      <c r="CL717" s="1826">
        <v>0.98302825564860319</v>
      </c>
      <c r="CN717" s="864"/>
      <c r="CO717" s="1103"/>
      <c r="CR717" s="1823" t="s">
        <v>1218</v>
      </c>
      <c r="CT717" s="864"/>
      <c r="CU717" s="1103"/>
      <c r="CV717" s="1099"/>
      <c r="CW717" s="1099"/>
      <c r="CX717" s="1823">
        <v>0.24197101198288351</v>
      </c>
      <c r="CY717" s="1099"/>
      <c r="CZ717" s="864"/>
      <c r="DA717" s="1103"/>
      <c r="DB717" s="1099"/>
    </row>
    <row r="718" spans="87:106">
      <c r="CI718" s="888">
        <v>258</v>
      </c>
      <c r="CJ718" s="1091" t="s">
        <v>1585</v>
      </c>
      <c r="CL718" s="1826">
        <v>-3.9610536618645522</v>
      </c>
      <c r="CN718" s="1104"/>
      <c r="CO718" s="1105"/>
      <c r="CR718" s="1824" t="s">
        <v>1218</v>
      </c>
      <c r="CT718" s="1104"/>
      <c r="CU718" s="1105"/>
      <c r="CV718" s="1100"/>
      <c r="CW718" s="1100"/>
      <c r="CX718" s="1824">
        <v>-3.2200108575717397</v>
      </c>
      <c r="CY718" s="1100"/>
      <c r="CZ718" s="1104"/>
      <c r="DA718" s="1105"/>
      <c r="DB718" s="1100"/>
    </row>
    <row r="719" spans="87:106">
      <c r="CI719" s="888">
        <v>268</v>
      </c>
      <c r="CJ719" s="4" t="s">
        <v>1586</v>
      </c>
      <c r="CL719" s="1826"/>
      <c r="CN719" s="1099">
        <v>0.35220151459996396</v>
      </c>
      <c r="CO719" s="1106">
        <v>0.83</v>
      </c>
      <c r="CR719" s="1822"/>
      <c r="CT719" s="1102">
        <v>-0.42326153233572383</v>
      </c>
      <c r="CU719" s="1106">
        <v>0.55000000000000004</v>
      </c>
      <c r="CV719" s="863"/>
      <c r="CW719" s="863"/>
      <c r="CX719" s="1822" t="e">
        <v>#N/A</v>
      </c>
      <c r="CY719" s="863"/>
      <c r="CZ719" s="1099">
        <v>-0.84285717533696136</v>
      </c>
      <c r="DA719" s="1106">
        <v>0.3</v>
      </c>
      <c r="DB719" s="863"/>
    </row>
    <row r="720" spans="87:106">
      <c r="CI720" s="888">
        <v>268</v>
      </c>
      <c r="CJ720" s="4"/>
      <c r="CL720" s="1826"/>
      <c r="CN720" s="1102"/>
      <c r="CO720" s="1103"/>
      <c r="CR720" s="1822"/>
      <c r="CT720" s="1102"/>
      <c r="CU720" s="1103"/>
      <c r="CV720" s="863"/>
      <c r="CW720" s="863"/>
      <c r="CX720" s="1822" t="e">
        <v>#N/A</v>
      </c>
      <c r="CY720" s="863"/>
      <c r="CZ720" s="1102"/>
      <c r="DA720" s="1103"/>
      <c r="DB720" s="863"/>
    </row>
    <row r="721" spans="87:106">
      <c r="CI721" s="888">
        <v>268</v>
      </c>
      <c r="CJ721" s="4"/>
      <c r="CL721" s="1826"/>
      <c r="CN721" s="1102"/>
      <c r="CO721" s="1103"/>
      <c r="CR721" s="1822"/>
      <c r="CT721" s="1102"/>
      <c r="CU721" s="1103"/>
      <c r="CV721" s="863"/>
      <c r="CW721" s="863"/>
      <c r="CX721" s="1822" t="e">
        <v>#N/A</v>
      </c>
      <c r="CY721" s="863"/>
      <c r="CZ721" s="1102"/>
      <c r="DA721" s="1103"/>
      <c r="DB721" s="863"/>
    </row>
    <row r="722" spans="87:106">
      <c r="CI722" s="888">
        <v>268</v>
      </c>
      <c r="CJ722" s="4"/>
      <c r="CL722" s="1826"/>
      <c r="CN722" s="1102"/>
      <c r="CO722" s="1103"/>
      <c r="CR722" s="1825"/>
      <c r="CT722" s="1102"/>
      <c r="CU722" s="1103"/>
      <c r="CV722" s="1099"/>
      <c r="CW722" s="1099"/>
      <c r="CX722" s="1825" t="e">
        <v>#N/A</v>
      </c>
      <c r="CY722" s="1099"/>
      <c r="CZ722" s="1102"/>
      <c r="DA722" s="1103"/>
      <c r="DB722" s="1099"/>
    </row>
    <row r="723" spans="87:106">
      <c r="CI723" s="888">
        <v>268</v>
      </c>
      <c r="CJ723" s="4" t="s">
        <v>2452</v>
      </c>
      <c r="CL723" s="1826">
        <v>1.0852447811987269</v>
      </c>
      <c r="CN723" s="1102"/>
      <c r="CO723" s="1103"/>
      <c r="CR723" s="1823">
        <v>1.0126478224174105</v>
      </c>
      <c r="CT723" s="1102"/>
      <c r="CU723" s="1103"/>
      <c r="CV723" s="1099"/>
      <c r="CW723" s="1099"/>
      <c r="CX723" s="1823">
        <v>1.8775889295831076</v>
      </c>
      <c r="CY723" s="1099"/>
      <c r="CZ723" s="1102"/>
      <c r="DA723" s="1103"/>
      <c r="DB723" s="1099"/>
    </row>
    <row r="724" spans="87:106">
      <c r="CI724" s="888">
        <v>268</v>
      </c>
      <c r="CJ724" s="4" t="s">
        <v>2320</v>
      </c>
      <c r="CL724" s="1826">
        <v>0.35220151459996396</v>
      </c>
      <c r="CN724" s="1102"/>
      <c r="CO724" s="1103"/>
      <c r="CR724" s="1823">
        <v>0.72927106115322582</v>
      </c>
      <c r="CT724" s="1102"/>
      <c r="CU724" s="1103"/>
      <c r="CV724" s="1099"/>
      <c r="CW724" s="1099"/>
      <c r="CX724" s="1823">
        <v>-0.84285717533696136</v>
      </c>
      <c r="CY724" s="1099"/>
      <c r="CZ724" s="1102"/>
      <c r="DA724" s="1103"/>
      <c r="DB724" s="1099"/>
    </row>
    <row r="725" spans="87:106">
      <c r="CI725" s="888">
        <v>268</v>
      </c>
      <c r="CJ725" s="4" t="s">
        <v>1587</v>
      </c>
      <c r="CL725" s="1826">
        <v>0.54069688299231</v>
      </c>
      <c r="CN725" s="1102"/>
      <c r="CO725" s="1103"/>
      <c r="CR725" s="1823">
        <v>4.2851530681385732</v>
      </c>
      <c r="CT725" s="1102"/>
      <c r="CU725" s="1103"/>
      <c r="CV725" s="1099"/>
      <c r="CW725" s="1099"/>
      <c r="CX725" s="1823">
        <v>0.15148582793296494</v>
      </c>
      <c r="CY725" s="1099"/>
      <c r="CZ725" s="1102"/>
      <c r="DA725" s="1103"/>
      <c r="DB725" s="1099"/>
    </row>
    <row r="726" spans="87:106">
      <c r="CI726" s="888">
        <v>268</v>
      </c>
      <c r="CJ726" s="4" t="s">
        <v>1588</v>
      </c>
      <c r="CL726" s="1826">
        <v>8.5214961299818093E-2</v>
      </c>
      <c r="CN726" s="1102"/>
      <c r="CO726" s="1103"/>
      <c r="CR726" s="1823">
        <v>5.7712958395913283E-2</v>
      </c>
      <c r="CT726" s="1102"/>
      <c r="CU726" s="1103"/>
      <c r="CV726" s="1099"/>
      <c r="CW726" s="1099"/>
      <c r="CX726" s="1823">
        <v>-0.10069539389341742</v>
      </c>
      <c r="CY726" s="1099"/>
      <c r="CZ726" s="1102"/>
      <c r="DA726" s="1103"/>
      <c r="DB726" s="1099"/>
    </row>
    <row r="727" spans="87:106">
      <c r="CI727" s="888">
        <v>268</v>
      </c>
      <c r="CJ727" s="4" t="s">
        <v>1589</v>
      </c>
      <c r="CL727" s="1826">
        <v>-0.70849972484279045</v>
      </c>
      <c r="CN727" s="864"/>
      <c r="CO727" s="1103"/>
      <c r="CR727" s="1823">
        <v>-5.4694092122969842</v>
      </c>
      <c r="CT727" s="864"/>
      <c r="CU727" s="1103"/>
      <c r="CV727" s="1099"/>
      <c r="CW727" s="1099"/>
      <c r="CX727" s="1823">
        <v>-8.7682698718733807</v>
      </c>
      <c r="CY727" s="1099"/>
      <c r="CZ727" s="864"/>
      <c r="DA727" s="1103"/>
      <c r="DB727" s="1099"/>
    </row>
    <row r="728" spans="87:106">
      <c r="CI728" s="888">
        <v>268</v>
      </c>
      <c r="CJ728" s="4" t="s">
        <v>1590</v>
      </c>
      <c r="CL728" s="1826">
        <v>-0.13685855835956806</v>
      </c>
      <c r="CN728" s="864"/>
      <c r="CO728" s="1103"/>
      <c r="CR728" s="1823">
        <v>-2.5863457120674456</v>
      </c>
      <c r="CT728" s="864"/>
      <c r="CU728" s="1103"/>
      <c r="CV728" s="1099"/>
      <c r="CW728" s="1099"/>
      <c r="CX728" s="1823">
        <v>-3.4422985215120923</v>
      </c>
      <c r="CY728" s="1099"/>
      <c r="CZ728" s="864"/>
      <c r="DA728" s="1103"/>
      <c r="DB728" s="1099"/>
    </row>
    <row r="729" spans="87:106">
      <c r="CI729" s="888">
        <v>268</v>
      </c>
      <c r="CJ729" s="4" t="s">
        <v>1591</v>
      </c>
      <c r="CL729" s="1826">
        <v>1.7124163115867019</v>
      </c>
      <c r="CN729" s="864"/>
      <c r="CO729" s="1103"/>
      <c r="CR729" s="1823" t="s">
        <v>1218</v>
      </c>
      <c r="CT729" s="864"/>
      <c r="CU729" s="1103"/>
      <c r="CV729" s="1099"/>
      <c r="CW729" s="1099"/>
      <c r="CX729" s="1823">
        <v>1.3162084982385052</v>
      </c>
      <c r="CY729" s="1099"/>
      <c r="CZ729" s="864"/>
      <c r="DA729" s="1103"/>
      <c r="DB729" s="1099"/>
    </row>
    <row r="730" spans="87:106">
      <c r="CI730" s="888">
        <v>268</v>
      </c>
      <c r="CJ730" s="4" t="s">
        <v>1592</v>
      </c>
      <c r="CL730" s="1826">
        <v>0.8736549107091891</v>
      </c>
      <c r="CN730" s="864"/>
      <c r="CO730" s="1103"/>
      <c r="CR730" s="1823">
        <v>-0.90423602306736095</v>
      </c>
      <c r="CT730" s="864"/>
      <c r="CU730" s="1103"/>
      <c r="CV730" s="1099"/>
      <c r="CW730" s="1099"/>
      <c r="CX730" s="1823">
        <v>-2.3060103603566322</v>
      </c>
      <c r="CY730" s="1099"/>
      <c r="CZ730" s="864"/>
      <c r="DA730" s="1103"/>
      <c r="DB730" s="1099"/>
    </row>
    <row r="731" spans="87:106">
      <c r="CI731" s="888">
        <v>268</v>
      </c>
      <c r="CJ731" s="1091" t="s">
        <v>1593</v>
      </c>
      <c r="CL731" s="1826">
        <v>-6.7310200979757289</v>
      </c>
      <c r="CN731" s="1104"/>
      <c r="CO731" s="1105"/>
      <c r="CR731" s="1824">
        <v>-4.6269772547348387</v>
      </c>
      <c r="CT731" s="1104"/>
      <c r="CU731" s="1105"/>
      <c r="CV731" s="1100"/>
      <c r="CW731" s="1100"/>
      <c r="CX731" s="1824">
        <v>-3.5849157475486031</v>
      </c>
      <c r="CY731" s="1100"/>
      <c r="CZ731" s="1104"/>
      <c r="DA731" s="1105"/>
      <c r="DB731" s="1100"/>
    </row>
    <row r="732" spans="87:106">
      <c r="CI732" s="888">
        <v>532</v>
      </c>
      <c r="CJ732" s="4" t="s">
        <v>1594</v>
      </c>
      <c r="CL732" s="1826"/>
      <c r="CN732" s="1099">
        <v>-1.336753645882391</v>
      </c>
      <c r="CO732" s="1106">
        <v>0.19</v>
      </c>
      <c r="CR732" s="1822"/>
      <c r="CT732" s="1102">
        <v>1.1338214961865489</v>
      </c>
      <c r="CU732" s="1106">
        <v>0.91</v>
      </c>
      <c r="CV732" s="863"/>
      <c r="CW732" s="863"/>
      <c r="CX732" s="1822" t="e">
        <v>#N/A</v>
      </c>
      <c r="CY732" s="863"/>
      <c r="CZ732" s="1099">
        <v>-1.0136199774012677</v>
      </c>
      <c r="DA732" s="1106">
        <v>0.24</v>
      </c>
      <c r="DB732" s="863"/>
    </row>
    <row r="733" spans="87:106">
      <c r="CI733" s="888">
        <v>532</v>
      </c>
      <c r="CJ733" s="4"/>
      <c r="CL733" s="1826"/>
      <c r="CN733" s="1102"/>
      <c r="CO733" s="1103"/>
      <c r="CR733" s="1822"/>
      <c r="CT733" s="1102"/>
      <c r="CU733" s="1103"/>
      <c r="CV733" s="863"/>
      <c r="CW733" s="863"/>
      <c r="CX733" s="1822" t="e">
        <v>#N/A</v>
      </c>
      <c r="CY733" s="863"/>
      <c r="CZ733" s="1102"/>
      <c r="DA733" s="1103"/>
      <c r="DB733" s="863"/>
    </row>
    <row r="734" spans="87:106">
      <c r="CI734" s="888">
        <v>532</v>
      </c>
      <c r="CJ734" s="4"/>
      <c r="CL734" s="1826"/>
      <c r="CN734" s="1102"/>
      <c r="CO734" s="1103"/>
      <c r="CR734" s="1822"/>
      <c r="CT734" s="1102"/>
      <c r="CU734" s="1103"/>
      <c r="CV734" s="863"/>
      <c r="CW734" s="863"/>
      <c r="CX734" s="1822" t="e">
        <v>#N/A</v>
      </c>
      <c r="CY734" s="863"/>
      <c r="CZ734" s="1102"/>
      <c r="DA734" s="1103"/>
      <c r="DB734" s="863"/>
    </row>
    <row r="735" spans="87:106">
      <c r="CI735" s="888">
        <v>532</v>
      </c>
      <c r="CJ735" s="4"/>
      <c r="CL735" s="1826"/>
      <c r="CN735" s="1102"/>
      <c r="CO735" s="1103"/>
      <c r="CR735" s="1825"/>
      <c r="CT735" s="1102"/>
      <c r="CU735" s="1103"/>
      <c r="CV735" s="1099"/>
      <c r="CW735" s="1099"/>
      <c r="CX735" s="1825" t="e">
        <v>#N/A</v>
      </c>
      <c r="CY735" s="1099"/>
      <c r="CZ735" s="1102"/>
      <c r="DA735" s="1103"/>
      <c r="DB735" s="1099"/>
    </row>
    <row r="736" spans="87:106">
      <c r="CI736" s="888">
        <v>532</v>
      </c>
      <c r="CJ736" s="4" t="s">
        <v>2453</v>
      </c>
      <c r="CL736" s="1826">
        <v>1.3812947286800967</v>
      </c>
      <c r="CN736" s="1102"/>
      <c r="CO736" s="1103"/>
      <c r="CR736" s="1823">
        <v>3.3730628544629808</v>
      </c>
      <c r="CT736" s="1102"/>
      <c r="CU736" s="1103"/>
      <c r="CV736" s="1099"/>
      <c r="CW736" s="1099"/>
      <c r="CX736" s="1823">
        <v>0.9652104468667746</v>
      </c>
      <c r="CY736" s="1099"/>
      <c r="CZ736" s="1102"/>
      <c r="DA736" s="1103"/>
      <c r="DB736" s="1099"/>
    </row>
    <row r="737" spans="87:106">
      <c r="CI737" s="888">
        <v>532</v>
      </c>
      <c r="CJ737" s="4" t="s">
        <v>2321</v>
      </c>
      <c r="CL737" s="1826">
        <v>-0.97968309212193061</v>
      </c>
      <c r="CN737" s="1102"/>
      <c r="CO737" s="1103"/>
      <c r="CR737" s="1823">
        <v>1.1338214961865489</v>
      </c>
      <c r="CT737" s="1102"/>
      <c r="CU737" s="1103"/>
      <c r="CV737" s="1099"/>
      <c r="CW737" s="1099"/>
      <c r="CX737" s="1823">
        <v>-1.9306206028515056</v>
      </c>
      <c r="CY737" s="1099"/>
      <c r="CZ737" s="1102"/>
      <c r="DA737" s="1103"/>
      <c r="DB737" s="1099"/>
    </row>
    <row r="738" spans="87:106">
      <c r="CI738" s="888">
        <v>532</v>
      </c>
      <c r="CJ738" s="4" t="s">
        <v>1595</v>
      </c>
      <c r="CL738" s="1826">
        <v>-1.4689647249267139</v>
      </c>
      <c r="CN738" s="1102"/>
      <c r="CO738" s="1103"/>
      <c r="CR738" s="1823">
        <v>0.28188586522026088</v>
      </c>
      <c r="CT738" s="1102"/>
      <c r="CU738" s="1103"/>
      <c r="CV738" s="1099"/>
      <c r="CW738" s="1099"/>
      <c r="CX738" s="1823">
        <v>0.25161683724831674</v>
      </c>
      <c r="CY738" s="1099"/>
      <c r="CZ738" s="1102"/>
      <c r="DA738" s="1103"/>
      <c r="DB738" s="1099"/>
    </row>
    <row r="739" spans="87:106">
      <c r="CI739" s="888">
        <v>532</v>
      </c>
      <c r="CJ739" s="4" t="s">
        <v>1596</v>
      </c>
      <c r="CL739" s="1826">
        <v>-1.7441718527472223</v>
      </c>
      <c r="CN739" s="1102"/>
      <c r="CO739" s="1103"/>
      <c r="CR739" s="1823">
        <v>1.1819156524055603</v>
      </c>
      <c r="CT739" s="1102"/>
      <c r="CU739" s="1103"/>
      <c r="CV739" s="1099"/>
      <c r="CW739" s="1099"/>
      <c r="CX739" s="1823">
        <v>-1.0136199774012677</v>
      </c>
      <c r="CY739" s="1099"/>
      <c r="CZ739" s="1102"/>
      <c r="DA739" s="1103"/>
      <c r="DB739" s="1099"/>
    </row>
    <row r="740" spans="87:106">
      <c r="CI740" s="888">
        <v>532</v>
      </c>
      <c r="CJ740" s="4" t="s">
        <v>1597</v>
      </c>
      <c r="CL740" s="1826">
        <v>-1.336753645882391</v>
      </c>
      <c r="CN740" s="864"/>
      <c r="CO740" s="1103"/>
      <c r="CR740" s="1823">
        <v>-0.92508793231446873</v>
      </c>
      <c r="CT740" s="864"/>
      <c r="CU740" s="1103"/>
      <c r="CV740" s="1099"/>
      <c r="CW740" s="1099"/>
      <c r="CX740" s="1823">
        <v>-1.0403491037642225</v>
      </c>
      <c r="CY740" s="1099"/>
      <c r="CZ740" s="864"/>
      <c r="DA740" s="1103"/>
      <c r="DB740" s="1099"/>
    </row>
    <row r="741" spans="87:106">
      <c r="CI741" s="888">
        <v>532</v>
      </c>
      <c r="CJ741" s="4" t="s">
        <v>1598</v>
      </c>
      <c r="CL741" s="1826">
        <v>-2.6434412568816965</v>
      </c>
      <c r="CN741" s="864"/>
      <c r="CO741" s="1103"/>
      <c r="CR741" s="1823">
        <v>-3.2972268659310164</v>
      </c>
      <c r="CT741" s="864"/>
      <c r="CU741" s="1103"/>
      <c r="CV741" s="1099"/>
      <c r="CW741" s="1099"/>
      <c r="CX741" s="1823">
        <v>-0.37528080507240213</v>
      </c>
      <c r="CY741" s="1099"/>
      <c r="CZ741" s="864"/>
      <c r="DA741" s="1103"/>
      <c r="DB741" s="1099"/>
    </row>
    <row r="742" spans="87:106">
      <c r="CI742" s="888">
        <v>532</v>
      </c>
      <c r="CJ742" s="4" t="s">
        <v>1599</v>
      </c>
      <c r="CL742" s="1826">
        <v>0.44331784827322185</v>
      </c>
      <c r="CN742" s="864"/>
      <c r="CO742" s="1103"/>
      <c r="CR742" s="1823">
        <v>5.0145410713312062</v>
      </c>
      <c r="CT742" s="864"/>
      <c r="CU742" s="1103"/>
      <c r="CV742" s="1099"/>
      <c r="CW742" s="1099"/>
      <c r="CX742" s="1823">
        <v>4.6633707432622016</v>
      </c>
      <c r="CY742" s="1099"/>
      <c r="CZ742" s="864"/>
      <c r="DA742" s="1103"/>
      <c r="DB742" s="1099"/>
    </row>
    <row r="743" spans="87:106">
      <c r="CI743" s="888">
        <v>532</v>
      </c>
      <c r="CJ743" s="4" t="s">
        <v>1600</v>
      </c>
      <c r="CL743" s="1826">
        <v>6.5261465997179871</v>
      </c>
      <c r="CN743" s="864"/>
      <c r="CO743" s="1103"/>
      <c r="CR743" s="1823" t="s">
        <v>1218</v>
      </c>
      <c r="CT743" s="864"/>
      <c r="CU743" s="1103"/>
      <c r="CV743" s="1099"/>
      <c r="CW743" s="1099"/>
      <c r="CX743" s="1823">
        <v>-1.4992317146291598</v>
      </c>
      <c r="CY743" s="1099"/>
      <c r="CZ743" s="864"/>
      <c r="DA743" s="1103"/>
      <c r="DB743" s="1099"/>
    </row>
    <row r="744" spans="87:106">
      <c r="CI744" s="888">
        <v>532</v>
      </c>
      <c r="CJ744" s="1091" t="s">
        <v>1601</v>
      </c>
      <c r="CL744" s="1826">
        <v>-7.4399524778593733</v>
      </c>
      <c r="CN744" s="1104"/>
      <c r="CO744" s="1105"/>
      <c r="CR744" s="1824" t="s">
        <v>1218</v>
      </c>
      <c r="CT744" s="1104"/>
      <c r="CU744" s="1105"/>
      <c r="CV744" s="1100"/>
      <c r="CW744" s="1100"/>
      <c r="CX744" s="1824">
        <v>-3.8948712675803492</v>
      </c>
      <c r="CY744" s="1100"/>
      <c r="CZ744" s="1104"/>
      <c r="DA744" s="1105"/>
      <c r="DB744" s="1100"/>
    </row>
    <row r="745" spans="87:106">
      <c r="CI745" s="888">
        <v>944</v>
      </c>
      <c r="CJ745" s="4" t="s">
        <v>1602</v>
      </c>
      <c r="CL745" s="1826"/>
      <c r="CN745" s="1099">
        <v>-8.6812509795672455E-2</v>
      </c>
      <c r="CO745" s="1106">
        <v>0.66</v>
      </c>
      <c r="CR745" s="1822"/>
      <c r="CT745" s="1102">
        <v>0.62327442856961279</v>
      </c>
      <c r="CU745" s="1106">
        <v>0.87</v>
      </c>
      <c r="CV745" s="863"/>
      <c r="CW745" s="863"/>
      <c r="CX745" s="1822" t="e">
        <v>#N/A</v>
      </c>
      <c r="CY745" s="863"/>
      <c r="CZ745" s="1099">
        <v>0.44430693494848938</v>
      </c>
      <c r="DA745" s="1106">
        <v>0.75</v>
      </c>
      <c r="DB745" s="863"/>
    </row>
    <row r="746" spans="87:106">
      <c r="CI746" s="888">
        <v>944</v>
      </c>
      <c r="CJ746" s="4"/>
      <c r="CL746" s="1826"/>
      <c r="CN746" s="1102"/>
      <c r="CO746" s="1103"/>
      <c r="CR746" s="1822"/>
      <c r="CT746" s="1102"/>
      <c r="CU746" s="1103"/>
      <c r="CV746" s="863"/>
      <c r="CW746" s="863"/>
      <c r="CX746" s="1822" t="e">
        <v>#N/A</v>
      </c>
      <c r="CY746" s="863"/>
      <c r="CZ746" s="1102"/>
      <c r="DA746" s="1103"/>
      <c r="DB746" s="863"/>
    </row>
    <row r="747" spans="87:106">
      <c r="CI747" s="888">
        <v>944</v>
      </c>
      <c r="CJ747" s="4"/>
      <c r="CL747" s="1826"/>
      <c r="CN747" s="1102"/>
      <c r="CO747" s="1103"/>
      <c r="CR747" s="1822"/>
      <c r="CT747" s="1102"/>
      <c r="CU747" s="1103"/>
      <c r="CV747" s="863"/>
      <c r="CW747" s="863"/>
      <c r="CX747" s="1822" t="e">
        <v>#N/A</v>
      </c>
      <c r="CY747" s="863"/>
      <c r="CZ747" s="1102"/>
      <c r="DA747" s="1103"/>
      <c r="DB747" s="863"/>
    </row>
    <row r="748" spans="87:106">
      <c r="CI748" s="888">
        <v>944</v>
      </c>
      <c r="CJ748" s="4"/>
      <c r="CL748" s="1826"/>
      <c r="CN748" s="1102"/>
      <c r="CO748" s="1103"/>
      <c r="CR748" s="1825"/>
      <c r="CT748" s="1102"/>
      <c r="CU748" s="1103"/>
      <c r="CV748" s="1099"/>
      <c r="CW748" s="1099"/>
      <c r="CX748" s="1825" t="e">
        <v>#N/A</v>
      </c>
      <c r="CY748" s="1099"/>
      <c r="CZ748" s="1102"/>
      <c r="DA748" s="1103"/>
      <c r="DB748" s="1099"/>
    </row>
    <row r="749" spans="87:106">
      <c r="CI749" s="888">
        <v>944</v>
      </c>
      <c r="CJ749" s="4" t="s">
        <v>2454</v>
      </c>
      <c r="CL749" s="1826">
        <v>1.5387103698067359</v>
      </c>
      <c r="CN749" s="1102"/>
      <c r="CO749" s="1103"/>
      <c r="CR749" s="1823">
        <v>-0.41403989895283178</v>
      </c>
      <c r="CT749" s="1102"/>
      <c r="CU749" s="1103"/>
      <c r="CV749" s="1099"/>
      <c r="CW749" s="1099"/>
      <c r="CX749" s="1823">
        <v>1.1656018029569264</v>
      </c>
      <c r="CY749" s="1099"/>
      <c r="CZ749" s="1102"/>
      <c r="DA749" s="1103"/>
      <c r="DB749" s="1099"/>
    </row>
    <row r="750" spans="87:106">
      <c r="CI750" s="888">
        <v>944</v>
      </c>
      <c r="CJ750" s="4" t="s">
        <v>2322</v>
      </c>
      <c r="CL750" s="1826">
        <v>-8.6812509795672455E-2</v>
      </c>
      <c r="CN750" s="1102"/>
      <c r="CO750" s="1103"/>
      <c r="CR750" s="1823">
        <v>0.32847268937999141</v>
      </c>
      <c r="CT750" s="1102"/>
      <c r="CU750" s="1103"/>
      <c r="CV750" s="1099"/>
      <c r="CW750" s="1099"/>
      <c r="CX750" s="1823">
        <v>-1.7407156328669076</v>
      </c>
      <c r="CY750" s="1099"/>
      <c r="CZ750" s="1102"/>
      <c r="DA750" s="1103"/>
      <c r="DB750" s="1099"/>
    </row>
    <row r="751" spans="87:106">
      <c r="CI751" s="888">
        <v>944</v>
      </c>
      <c r="CJ751" s="4" t="s">
        <v>1603</v>
      </c>
      <c r="CL751" s="1826">
        <v>1.4118780012917629</v>
      </c>
      <c r="CN751" s="1102"/>
      <c r="CO751" s="1103"/>
      <c r="CR751" s="1823">
        <v>0.62327442856961279</v>
      </c>
      <c r="CT751" s="1102"/>
      <c r="CU751" s="1103"/>
      <c r="CV751" s="1099"/>
      <c r="CW751" s="1099"/>
      <c r="CX751" s="1823">
        <v>-0.56406392817621409</v>
      </c>
      <c r="CY751" s="1099"/>
      <c r="CZ751" s="1102"/>
      <c r="DA751" s="1103"/>
      <c r="DB751" s="1099"/>
    </row>
    <row r="752" spans="87:106">
      <c r="CI752" s="888">
        <v>944</v>
      </c>
      <c r="CJ752" s="4" t="s">
        <v>1604</v>
      </c>
      <c r="CL752" s="1826">
        <v>2.4859423033334798</v>
      </c>
      <c r="CN752" s="1102"/>
      <c r="CO752" s="1103"/>
      <c r="CR752" s="1823">
        <v>0.78185147786336628</v>
      </c>
      <c r="CT752" s="1102"/>
      <c r="CU752" s="1103"/>
      <c r="CV752" s="1099"/>
      <c r="CW752" s="1099"/>
      <c r="CX752" s="1823">
        <v>0.44468550830656728</v>
      </c>
      <c r="CY752" s="1099"/>
      <c r="CZ752" s="1102"/>
      <c r="DA752" s="1103"/>
      <c r="DB752" s="1099"/>
    </row>
    <row r="753" spans="87:106">
      <c r="CI753" s="888">
        <v>944</v>
      </c>
      <c r="CJ753" s="4" t="s">
        <v>1605</v>
      </c>
      <c r="CL753" s="1826">
        <v>-0.27811853134970788</v>
      </c>
      <c r="CN753" s="864"/>
      <c r="CO753" s="1103"/>
      <c r="CR753" s="1823">
        <v>1.0307958078582935</v>
      </c>
      <c r="CT753" s="864"/>
      <c r="CU753" s="1103"/>
      <c r="CV753" s="1099"/>
      <c r="CW753" s="1099"/>
      <c r="CX753" s="1823">
        <v>0.34462268722022094</v>
      </c>
      <c r="CY753" s="1099"/>
      <c r="CZ753" s="864"/>
      <c r="DA753" s="1103"/>
      <c r="DB753" s="1099"/>
    </row>
    <row r="754" spans="87:106">
      <c r="CI754" s="888">
        <v>944</v>
      </c>
      <c r="CJ754" s="4" t="s">
        <v>1606</v>
      </c>
      <c r="CL754" s="1826">
        <v>-4.4623904852140619</v>
      </c>
      <c r="CN754" s="864"/>
      <c r="CO754" s="1103"/>
      <c r="CR754" s="1823">
        <v>2.4027834391528473</v>
      </c>
      <c r="CT754" s="864"/>
      <c r="CU754" s="1103"/>
      <c r="CV754" s="1099"/>
      <c r="CW754" s="1099"/>
      <c r="CX754" s="1823">
        <v>0.5281597718723221</v>
      </c>
      <c r="CY754" s="1099"/>
      <c r="CZ754" s="864"/>
      <c r="DA754" s="1103"/>
      <c r="DB754" s="1099"/>
    </row>
    <row r="755" spans="87:106">
      <c r="CI755" s="888">
        <v>944</v>
      </c>
      <c r="CJ755" s="4" t="s">
        <v>1607</v>
      </c>
      <c r="CL755" s="1826">
        <v>-1.5432389164121099</v>
      </c>
      <c r="CN755" s="864"/>
      <c r="CO755" s="1103"/>
      <c r="CR755" s="1823">
        <v>6.7468003732090276</v>
      </c>
      <c r="CT755" s="864"/>
      <c r="CU755" s="1103"/>
      <c r="CV755" s="1099"/>
      <c r="CW755" s="1099"/>
      <c r="CX755" s="1823">
        <v>0.44430693494848938</v>
      </c>
      <c r="CY755" s="1099"/>
      <c r="CZ755" s="864"/>
      <c r="DA755" s="1103"/>
      <c r="DB755" s="1099"/>
    </row>
    <row r="756" spans="87:106">
      <c r="CI756" s="888">
        <v>944</v>
      </c>
      <c r="CJ756" s="4" t="s">
        <v>1608</v>
      </c>
      <c r="CL756" s="1826">
        <v>1.7187914967016602</v>
      </c>
      <c r="CN756" s="864"/>
      <c r="CO756" s="1103"/>
      <c r="CR756" s="1823">
        <v>-2.1502918553955306</v>
      </c>
      <c r="CT756" s="864"/>
      <c r="CU756" s="1103"/>
      <c r="CV756" s="1099"/>
      <c r="CW756" s="1099"/>
      <c r="CX756" s="1823">
        <v>5.7642196402127865E-2</v>
      </c>
      <c r="CY756" s="1099"/>
      <c r="CZ756" s="864"/>
      <c r="DA756" s="1103"/>
      <c r="DB756" s="1099"/>
    </row>
    <row r="757" spans="87:106">
      <c r="CI757" s="888">
        <v>944</v>
      </c>
      <c r="CJ757" s="1091" t="s">
        <v>1609</v>
      </c>
      <c r="CL757" s="1826">
        <v>-9.1927349738388706</v>
      </c>
      <c r="CN757" s="1104"/>
      <c r="CO757" s="1105"/>
      <c r="CR757" s="1824">
        <v>-0.71259422138261952</v>
      </c>
      <c r="CT757" s="1104"/>
      <c r="CU757" s="1105"/>
      <c r="CV757" s="1100"/>
      <c r="CW757" s="1100"/>
      <c r="CX757" s="1824">
        <v>0.87040057654563174</v>
      </c>
      <c r="CY757" s="1100"/>
      <c r="CZ757" s="1104"/>
      <c r="DA757" s="1105"/>
      <c r="DB757" s="1100"/>
    </row>
    <row r="758" spans="87:106">
      <c r="CI758" s="888">
        <v>176</v>
      </c>
      <c r="CJ758" s="4" t="s">
        <v>1610</v>
      </c>
      <c r="CL758" s="1826"/>
      <c r="CN758" s="1099">
        <v>0.48325219374742101</v>
      </c>
      <c r="CO758" s="1106">
        <v>0.86</v>
      </c>
      <c r="CR758" s="1822"/>
      <c r="CT758" s="1102">
        <v>-0.25674765920158826</v>
      </c>
      <c r="CU758" s="1106">
        <v>0.61</v>
      </c>
      <c r="CV758" s="863"/>
      <c r="CW758" s="863"/>
      <c r="CX758" s="1822" t="e">
        <v>#N/A</v>
      </c>
      <c r="CY758" s="863"/>
      <c r="CZ758" s="1099">
        <v>-0.18770299526006307</v>
      </c>
      <c r="DA758" s="1106">
        <v>0.62</v>
      </c>
      <c r="DB758" s="863"/>
    </row>
    <row r="759" spans="87:106">
      <c r="CI759" s="888">
        <v>176</v>
      </c>
      <c r="CJ759" s="4"/>
      <c r="CL759" s="1826"/>
      <c r="CN759" s="1102"/>
      <c r="CO759" s="1103"/>
      <c r="CR759" s="1822"/>
      <c r="CT759" s="1102"/>
      <c r="CU759" s="1103"/>
      <c r="CV759" s="863"/>
      <c r="CW759" s="863"/>
      <c r="CX759" s="1822" t="e">
        <v>#N/A</v>
      </c>
      <c r="CY759" s="863"/>
      <c r="CZ759" s="1102"/>
      <c r="DA759" s="1103"/>
      <c r="DB759" s="863"/>
    </row>
    <row r="760" spans="87:106">
      <c r="CI760" s="888">
        <v>176</v>
      </c>
      <c r="CJ760" s="4"/>
      <c r="CL760" s="1826"/>
      <c r="CN760" s="1102"/>
      <c r="CO760" s="1103"/>
      <c r="CR760" s="1822"/>
      <c r="CT760" s="1102"/>
      <c r="CU760" s="1103"/>
      <c r="CV760" s="863"/>
      <c r="CW760" s="863"/>
      <c r="CX760" s="1822" t="e">
        <v>#N/A</v>
      </c>
      <c r="CY760" s="863"/>
      <c r="CZ760" s="1102"/>
      <c r="DA760" s="1103"/>
      <c r="DB760" s="863"/>
    </row>
    <row r="761" spans="87:106">
      <c r="CI761" s="888">
        <v>176</v>
      </c>
      <c r="CJ761" s="4"/>
      <c r="CL761" s="1826"/>
      <c r="CN761" s="1102"/>
      <c r="CO761" s="1103"/>
      <c r="CR761" s="1825"/>
      <c r="CT761" s="1102"/>
      <c r="CU761" s="1103"/>
      <c r="CV761" s="1099"/>
      <c r="CW761" s="1099"/>
      <c r="CX761" s="1825" t="e">
        <v>#N/A</v>
      </c>
      <c r="CY761" s="1099"/>
      <c r="CZ761" s="1102"/>
      <c r="DA761" s="1103"/>
      <c r="DB761" s="1099"/>
    </row>
    <row r="762" spans="87:106">
      <c r="CI762" s="888">
        <v>176</v>
      </c>
      <c r="CJ762" s="4" t="s">
        <v>2455</v>
      </c>
      <c r="CL762" s="1826">
        <v>0.48325219374742101</v>
      </c>
      <c r="CN762" s="1102"/>
      <c r="CO762" s="1103"/>
      <c r="CR762" s="1823">
        <v>2.9071845084458032</v>
      </c>
      <c r="CT762" s="1102"/>
      <c r="CU762" s="1103"/>
      <c r="CV762" s="1099"/>
      <c r="CW762" s="1099"/>
      <c r="CX762" s="1823">
        <v>-2.9589648324309161</v>
      </c>
      <c r="CY762" s="1099"/>
      <c r="CZ762" s="1102"/>
      <c r="DA762" s="1103"/>
      <c r="DB762" s="1099"/>
    </row>
    <row r="763" spans="87:106">
      <c r="CI763" s="888">
        <v>176</v>
      </c>
      <c r="CJ763" s="4" t="s">
        <v>2323</v>
      </c>
      <c r="CL763" s="1826">
        <v>4.2676368480789444</v>
      </c>
      <c r="CN763" s="1102"/>
      <c r="CO763" s="1103"/>
      <c r="CR763" s="1823">
        <v>12.840357127628295</v>
      </c>
      <c r="CT763" s="1102"/>
      <c r="CU763" s="1103"/>
      <c r="CV763" s="1099"/>
      <c r="CW763" s="1099"/>
      <c r="CX763" s="1823">
        <v>-3.9666726571600197E-2</v>
      </c>
      <c r="CY763" s="1099"/>
      <c r="CZ763" s="1102"/>
      <c r="DA763" s="1103"/>
      <c r="DB763" s="1099"/>
    </row>
    <row r="764" spans="87:106">
      <c r="CI764" s="888">
        <v>176</v>
      </c>
      <c r="CJ764" s="4" t="s">
        <v>1611</v>
      </c>
      <c r="CL764" s="1826">
        <v>1.0391085831594031</v>
      </c>
      <c r="CN764" s="1102"/>
      <c r="CO764" s="1103"/>
      <c r="CR764" s="1823">
        <v>-0.41442264730672296</v>
      </c>
      <c r="CT764" s="1102"/>
      <c r="CU764" s="1103"/>
      <c r="CV764" s="1099"/>
      <c r="CW764" s="1099"/>
      <c r="CX764" s="1823">
        <v>3.7787614175542603</v>
      </c>
      <c r="CY764" s="1099"/>
      <c r="CZ764" s="1102"/>
      <c r="DA764" s="1103"/>
      <c r="DB764" s="1099"/>
    </row>
    <row r="765" spans="87:106">
      <c r="CI765" s="888">
        <v>176</v>
      </c>
      <c r="CJ765" s="4" t="s">
        <v>1612</v>
      </c>
      <c r="CL765" s="1826">
        <v>-0.1718100202378916</v>
      </c>
      <c r="CN765" s="1102"/>
      <c r="CO765" s="1103"/>
      <c r="CR765" s="1823">
        <v>0.28901193038406436</v>
      </c>
      <c r="CT765" s="1102"/>
      <c r="CU765" s="1103"/>
      <c r="CV765" s="1099"/>
      <c r="CW765" s="1099"/>
      <c r="CX765" s="1823">
        <v>-1.4243150760040599</v>
      </c>
      <c r="CY765" s="1099"/>
      <c r="CZ765" s="1102"/>
      <c r="DA765" s="1103"/>
      <c r="DB765" s="1099"/>
    </row>
    <row r="766" spans="87:106">
      <c r="CI766" s="888">
        <v>176</v>
      </c>
      <c r="CJ766" s="4" t="s">
        <v>1613</v>
      </c>
      <c r="CL766" s="1826">
        <v>0.87638572547026561</v>
      </c>
      <c r="CN766" s="864"/>
      <c r="CO766" s="1103"/>
      <c r="CR766" s="1823">
        <v>-0.25674765920158826</v>
      </c>
      <c r="CT766" s="864"/>
      <c r="CU766" s="1103"/>
      <c r="CV766" s="1099"/>
      <c r="CW766" s="1099"/>
      <c r="CX766" s="1823">
        <v>-2.2327558290071687</v>
      </c>
      <c r="CY766" s="1099"/>
      <c r="CZ766" s="864"/>
      <c r="DA766" s="1103"/>
      <c r="DB766" s="1099"/>
    </row>
    <row r="767" spans="87:106">
      <c r="CI767" s="888">
        <v>176</v>
      </c>
      <c r="CJ767" s="4" t="s">
        <v>1614</v>
      </c>
      <c r="CL767" s="1826">
        <v>-1.4536093807310169</v>
      </c>
      <c r="CN767" s="864"/>
      <c r="CO767" s="1103"/>
      <c r="CR767" s="1823">
        <v>-3.4869668805354435</v>
      </c>
      <c r="CT767" s="864"/>
      <c r="CU767" s="1103"/>
      <c r="CV767" s="1099"/>
      <c r="CW767" s="1099"/>
      <c r="CX767" s="1823">
        <v>-0.18770299526006307</v>
      </c>
      <c r="CY767" s="1099"/>
      <c r="CZ767" s="864"/>
      <c r="DA767" s="1103"/>
      <c r="DB767" s="1099"/>
    </row>
    <row r="768" spans="87:106">
      <c r="CI768" s="888">
        <v>176</v>
      </c>
      <c r="CJ768" s="4" t="s">
        <v>1615</v>
      </c>
      <c r="CL768" s="1826">
        <v>0.58967517746798315</v>
      </c>
      <c r="CN768" s="864"/>
      <c r="CO768" s="1103"/>
      <c r="CR768" s="1823">
        <v>-2.0237439612935519</v>
      </c>
      <c r="CT768" s="864"/>
      <c r="CU768" s="1103"/>
      <c r="CV768" s="1099"/>
      <c r="CW768" s="1099"/>
      <c r="CX768" s="1823">
        <v>-0.63811565448567631</v>
      </c>
      <c r="CY768" s="1099"/>
      <c r="CZ768" s="864"/>
      <c r="DA768" s="1103"/>
      <c r="DB768" s="1099"/>
    </row>
    <row r="769" spans="87:106">
      <c r="CI769" s="888">
        <v>176</v>
      </c>
      <c r="CJ769" s="4" t="s">
        <v>1616</v>
      </c>
      <c r="CL769" s="1826">
        <v>-3.8228780979646162</v>
      </c>
      <c r="CN769" s="864"/>
      <c r="CO769" s="1103"/>
      <c r="CR769" s="1823">
        <v>2.5401000867902765</v>
      </c>
      <c r="CT769" s="864"/>
      <c r="CU769" s="1103"/>
      <c r="CV769" s="1099"/>
      <c r="CW769" s="1099"/>
      <c r="CX769" s="1823">
        <v>3.0378871728727015</v>
      </c>
      <c r="CY769" s="1099"/>
      <c r="CZ769" s="864"/>
      <c r="DA769" s="1103"/>
      <c r="DB769" s="1099"/>
    </row>
    <row r="770" spans="87:106">
      <c r="CI770" s="888">
        <v>176</v>
      </c>
      <c r="CJ770" s="1091" t="s">
        <v>1617</v>
      </c>
      <c r="CL770" s="1826">
        <v>-6.9926760428329464</v>
      </c>
      <c r="CN770" s="1104"/>
      <c r="CO770" s="1105"/>
      <c r="CR770" s="1824">
        <v>-7.9450569802407935</v>
      </c>
      <c r="CT770" s="1104"/>
      <c r="CU770" s="1105"/>
      <c r="CV770" s="1100"/>
      <c r="CW770" s="1100"/>
      <c r="CX770" s="1824">
        <v>6.9419078865309807</v>
      </c>
      <c r="CY770" s="1100"/>
      <c r="CZ770" s="1104"/>
      <c r="DA770" s="1105"/>
      <c r="DB770" s="1100"/>
    </row>
    <row r="771" spans="87:106">
      <c r="CI771" s="888">
        <v>534</v>
      </c>
      <c r="CJ771" s="4" t="s">
        <v>1618</v>
      </c>
      <c r="CL771" s="1826"/>
      <c r="CN771" s="1099">
        <v>-0.39283357798641205</v>
      </c>
      <c r="CO771" s="1106">
        <v>0.46</v>
      </c>
      <c r="CR771" s="1822"/>
      <c r="CT771" s="1102">
        <v>-3.728879957547937E-2</v>
      </c>
      <c r="CU771" s="1106">
        <v>0.69</v>
      </c>
      <c r="CV771" s="863"/>
      <c r="CW771" s="863"/>
      <c r="CX771" s="1822" t="e">
        <v>#N/A</v>
      </c>
      <c r="CY771" s="863"/>
      <c r="CZ771" s="1099">
        <v>-0.30091894240429795</v>
      </c>
      <c r="DA771" s="1106">
        <v>0.56000000000000005</v>
      </c>
      <c r="DB771" s="863"/>
    </row>
    <row r="772" spans="87:106">
      <c r="CI772" s="888">
        <v>534</v>
      </c>
      <c r="CJ772" s="4"/>
      <c r="CL772" s="1826"/>
      <c r="CN772" s="1102"/>
      <c r="CO772" s="1103"/>
      <c r="CR772" s="1822"/>
      <c r="CT772" s="1102"/>
      <c r="CU772" s="1103"/>
      <c r="CV772" s="863"/>
      <c r="CW772" s="863"/>
      <c r="CX772" s="1822" t="e">
        <v>#N/A</v>
      </c>
      <c r="CY772" s="863"/>
      <c r="CZ772" s="1102"/>
      <c r="DA772" s="1103"/>
      <c r="DB772" s="863"/>
    </row>
    <row r="773" spans="87:106">
      <c r="CI773" s="888">
        <v>534</v>
      </c>
      <c r="CJ773" s="4"/>
      <c r="CL773" s="1826"/>
      <c r="CN773" s="1102"/>
      <c r="CO773" s="1103"/>
      <c r="CR773" s="1822"/>
      <c r="CT773" s="1102"/>
      <c r="CU773" s="1103"/>
      <c r="CV773" s="863"/>
      <c r="CW773" s="863"/>
      <c r="CX773" s="1822" t="e">
        <v>#N/A</v>
      </c>
      <c r="CY773" s="863"/>
      <c r="CZ773" s="1102"/>
      <c r="DA773" s="1103"/>
      <c r="DB773" s="863"/>
    </row>
    <row r="774" spans="87:106">
      <c r="CI774" s="888">
        <v>534</v>
      </c>
      <c r="CJ774" s="4"/>
      <c r="CL774" s="1826"/>
      <c r="CN774" s="1102"/>
      <c r="CO774" s="1103"/>
      <c r="CR774" s="1825"/>
      <c r="CT774" s="1102"/>
      <c r="CU774" s="1103"/>
      <c r="CV774" s="1099"/>
      <c r="CW774" s="1099"/>
      <c r="CX774" s="1825" t="e">
        <v>#N/A</v>
      </c>
      <c r="CY774" s="1099"/>
      <c r="CZ774" s="1102"/>
      <c r="DA774" s="1103"/>
      <c r="DB774" s="1099"/>
    </row>
    <row r="775" spans="87:106">
      <c r="CI775" s="888">
        <v>534</v>
      </c>
      <c r="CJ775" s="4" t="s">
        <v>2456</v>
      </c>
      <c r="CL775" s="1826">
        <v>-0.75353881906822906</v>
      </c>
      <c r="CN775" s="1102"/>
      <c r="CO775" s="1103"/>
      <c r="CR775" s="1823">
        <v>0.15346726590306403</v>
      </c>
      <c r="CT775" s="1102"/>
      <c r="CU775" s="1103"/>
      <c r="CV775" s="1099"/>
      <c r="CW775" s="1099"/>
      <c r="CX775" s="1823">
        <v>-1.1263805111537719</v>
      </c>
      <c r="CY775" s="1099"/>
      <c r="CZ775" s="1102"/>
      <c r="DA775" s="1103"/>
      <c r="DB775" s="1099"/>
    </row>
    <row r="776" spans="87:106">
      <c r="CI776" s="888">
        <v>534</v>
      </c>
      <c r="CJ776" s="4" t="s">
        <v>2324</v>
      </c>
      <c r="CL776" s="1826">
        <v>-0.35538355289445001</v>
      </c>
      <c r="CN776" s="1102"/>
      <c r="CO776" s="1103"/>
      <c r="CR776" s="1823">
        <v>0.58296041911147389</v>
      </c>
      <c r="CT776" s="1102"/>
      <c r="CU776" s="1103"/>
      <c r="CV776" s="1099"/>
      <c r="CW776" s="1099"/>
      <c r="CX776" s="1823">
        <v>-1.7789430502923373</v>
      </c>
      <c r="CY776" s="1099"/>
      <c r="CZ776" s="1102"/>
      <c r="DA776" s="1103"/>
      <c r="DB776" s="1099"/>
    </row>
    <row r="777" spans="87:106">
      <c r="CI777" s="888">
        <v>534</v>
      </c>
      <c r="CJ777" s="4" t="s">
        <v>1619</v>
      </c>
      <c r="CL777" s="1826">
        <v>1.5802814337978361</v>
      </c>
      <c r="CN777" s="1102"/>
      <c r="CO777" s="1103"/>
      <c r="CR777" s="1823">
        <v>-0.24014368855082546</v>
      </c>
      <c r="CT777" s="1102"/>
      <c r="CU777" s="1103"/>
      <c r="CV777" s="1099"/>
      <c r="CW777" s="1099"/>
      <c r="CX777" s="1823">
        <v>-4.4804262874901379</v>
      </c>
      <c r="CY777" s="1099"/>
      <c r="CZ777" s="1102"/>
      <c r="DA777" s="1103"/>
      <c r="DB777" s="1099"/>
    </row>
    <row r="778" spans="87:106">
      <c r="CI778" s="888">
        <v>534</v>
      </c>
      <c r="CJ778" s="4" t="s">
        <v>1620</v>
      </c>
      <c r="CL778" s="1826">
        <v>1.0132175387527775</v>
      </c>
      <c r="CN778" s="1102"/>
      <c r="CO778" s="1103"/>
      <c r="CR778" s="1823">
        <v>1.1721988891097079</v>
      </c>
      <c r="CT778" s="1102"/>
      <c r="CU778" s="1103"/>
      <c r="CV778" s="1099"/>
      <c r="CW778" s="1099"/>
      <c r="CX778" s="1823">
        <v>-3.6181577970529673</v>
      </c>
      <c r="CY778" s="1099"/>
      <c r="CZ778" s="1102"/>
      <c r="DA778" s="1103"/>
      <c r="DB778" s="1099"/>
    </row>
    <row r="779" spans="87:106">
      <c r="CI779" s="888">
        <v>534</v>
      </c>
      <c r="CJ779" s="4" t="s">
        <v>1621</v>
      </c>
      <c r="CL779" s="1826">
        <v>-0.39283357798641205</v>
      </c>
      <c r="CN779" s="864"/>
      <c r="CO779" s="1103"/>
      <c r="CR779" s="1823">
        <v>0.99537502673426737</v>
      </c>
      <c r="CT779" s="864"/>
      <c r="CU779" s="1103"/>
      <c r="CV779" s="1099"/>
      <c r="CW779" s="1099"/>
      <c r="CX779" s="1823">
        <v>-0.30091894240429795</v>
      </c>
      <c r="CY779" s="1099"/>
      <c r="CZ779" s="864"/>
      <c r="DA779" s="1103"/>
      <c r="DB779" s="1099"/>
    </row>
    <row r="780" spans="87:106">
      <c r="CI780" s="888">
        <v>534</v>
      </c>
      <c r="CJ780" s="4" t="s">
        <v>1622</v>
      </c>
      <c r="CL780" s="1826">
        <v>-3.0870064103597752</v>
      </c>
      <c r="CN780" s="864"/>
      <c r="CO780" s="1103"/>
      <c r="CR780" s="1823">
        <v>-3.728879957547937E-2</v>
      </c>
      <c r="CT780" s="864"/>
      <c r="CU780" s="1103"/>
      <c r="CV780" s="1099"/>
      <c r="CW780" s="1099"/>
      <c r="CX780" s="1823">
        <v>1.7923869311893013</v>
      </c>
      <c r="CY780" s="1099"/>
      <c r="CZ780" s="864"/>
      <c r="DA780" s="1103"/>
      <c r="DB780" s="1099"/>
    </row>
    <row r="781" spans="87:106">
      <c r="CI781" s="888">
        <v>534</v>
      </c>
      <c r="CJ781" s="4" t="s">
        <v>1623</v>
      </c>
      <c r="CL781" s="1826">
        <v>-0.68419794338145135</v>
      </c>
      <c r="CN781" s="864"/>
      <c r="CO781" s="1103"/>
      <c r="CR781" s="1823">
        <v>-1.9421159207199543</v>
      </c>
      <c r="CT781" s="864"/>
      <c r="CU781" s="1103"/>
      <c r="CV781" s="1099"/>
      <c r="CW781" s="1099"/>
      <c r="CX781" s="1823">
        <v>3.8316903919449423</v>
      </c>
      <c r="CY781" s="1099"/>
      <c r="CZ781" s="864"/>
      <c r="DA781" s="1103"/>
      <c r="DB781" s="1099"/>
    </row>
    <row r="782" spans="87:106">
      <c r="CI782" s="888">
        <v>534</v>
      </c>
      <c r="CJ782" s="4" t="s">
        <v>1624</v>
      </c>
      <c r="CL782" s="1826">
        <v>5.0164307843217673</v>
      </c>
      <c r="CN782" s="864"/>
      <c r="CO782" s="1103"/>
      <c r="CR782" s="1823">
        <v>-1.6494039586047444</v>
      </c>
      <c r="CT782" s="864"/>
      <c r="CU782" s="1103"/>
      <c r="CV782" s="1099"/>
      <c r="CW782" s="1099"/>
      <c r="CX782" s="1823">
        <v>6.6783915235995419</v>
      </c>
      <c r="CY782" s="1099"/>
      <c r="CZ782" s="864"/>
      <c r="DA782" s="1103"/>
      <c r="DB782" s="1099"/>
    </row>
    <row r="783" spans="87:106">
      <c r="CI783" s="888">
        <v>534</v>
      </c>
      <c r="CJ783" s="1091" t="s">
        <v>1625</v>
      </c>
      <c r="CL783" s="1826">
        <v>-1.2292339685392788</v>
      </c>
      <c r="CN783" s="1104"/>
      <c r="CO783" s="1105"/>
      <c r="CR783" s="1824">
        <v>-5.0561622164598523</v>
      </c>
      <c r="CT783" s="1104"/>
      <c r="CU783" s="1105"/>
      <c r="CV783" s="1100"/>
      <c r="CW783" s="1100"/>
      <c r="CX783" s="1824">
        <v>0.72355476906031946</v>
      </c>
      <c r="CY783" s="1100"/>
      <c r="CZ783" s="1104"/>
      <c r="DA783" s="1105"/>
      <c r="DB783" s="1100"/>
    </row>
    <row r="784" spans="87:106">
      <c r="CI784" s="888">
        <v>536</v>
      </c>
      <c r="CJ784" s="4" t="s">
        <v>1626</v>
      </c>
      <c r="CL784" s="1826"/>
      <c r="CN784" s="1099">
        <v>-0.46667530152720094</v>
      </c>
      <c r="CO784" s="1106">
        <v>0.44</v>
      </c>
      <c r="CR784" s="1822"/>
      <c r="CT784" s="1102">
        <v>-0.13801580257825785</v>
      </c>
      <c r="CU784" s="1106">
        <v>0.62</v>
      </c>
      <c r="CV784" s="863"/>
      <c r="CW784" s="863"/>
      <c r="CX784" s="1822" t="e">
        <v>#N/A</v>
      </c>
      <c r="CY784" s="863"/>
      <c r="CZ784" s="1099">
        <v>-0.21289507916962869</v>
      </c>
      <c r="DA784" s="1106">
        <v>0.61</v>
      </c>
      <c r="DB784" s="863"/>
    </row>
    <row r="785" spans="87:106">
      <c r="CI785" s="888">
        <v>536</v>
      </c>
      <c r="CJ785" s="4"/>
      <c r="CL785" s="1826"/>
      <c r="CN785" s="1102"/>
      <c r="CO785" s="1103"/>
      <c r="CR785" s="1822"/>
      <c r="CT785" s="1102"/>
      <c r="CU785" s="1103"/>
      <c r="CV785" s="863"/>
      <c r="CW785" s="863"/>
      <c r="CX785" s="1822" t="e">
        <v>#N/A</v>
      </c>
      <c r="CY785" s="863"/>
      <c r="CZ785" s="1102"/>
      <c r="DA785" s="1103"/>
      <c r="DB785" s="863"/>
    </row>
    <row r="786" spans="87:106">
      <c r="CI786" s="888">
        <v>536</v>
      </c>
      <c r="CJ786" s="4"/>
      <c r="CL786" s="1826"/>
      <c r="CN786" s="1102"/>
      <c r="CO786" s="1103"/>
      <c r="CR786" s="1822"/>
      <c r="CT786" s="1102"/>
      <c r="CU786" s="1103"/>
      <c r="CV786" s="863"/>
      <c r="CW786" s="863"/>
      <c r="CX786" s="1822" t="e">
        <v>#N/A</v>
      </c>
      <c r="CY786" s="863"/>
      <c r="CZ786" s="1102"/>
      <c r="DA786" s="1103"/>
      <c r="DB786" s="863"/>
    </row>
    <row r="787" spans="87:106">
      <c r="CI787" s="888">
        <v>536</v>
      </c>
      <c r="CJ787" s="4"/>
      <c r="CL787" s="1826"/>
      <c r="CN787" s="1102"/>
      <c r="CO787" s="1103"/>
      <c r="CR787" s="1825"/>
      <c r="CT787" s="1102"/>
      <c r="CU787" s="1103"/>
      <c r="CV787" s="1099"/>
      <c r="CW787" s="1099"/>
      <c r="CX787" s="1825" t="e">
        <v>#N/A</v>
      </c>
      <c r="CY787" s="1099"/>
      <c r="CZ787" s="1102"/>
      <c r="DA787" s="1103"/>
      <c r="DB787" s="1099"/>
    </row>
    <row r="788" spans="87:106">
      <c r="CI788" s="888">
        <v>536</v>
      </c>
      <c r="CJ788" s="4" t="s">
        <v>2457</v>
      </c>
      <c r="CL788" s="1826">
        <v>-0.23236747319251094</v>
      </c>
      <c r="CN788" s="1102"/>
      <c r="CO788" s="1103"/>
      <c r="CR788" s="1823">
        <v>0.29908926551091786</v>
      </c>
      <c r="CT788" s="1102"/>
      <c r="CU788" s="1103"/>
      <c r="CV788" s="1099"/>
      <c r="CW788" s="1099"/>
      <c r="CX788" s="1823">
        <v>-0.20553570852761283</v>
      </c>
      <c r="CY788" s="1099"/>
      <c r="CZ788" s="1102"/>
      <c r="DA788" s="1103"/>
      <c r="DB788" s="1099"/>
    </row>
    <row r="789" spans="87:106">
      <c r="CI789" s="888">
        <v>536</v>
      </c>
      <c r="CJ789" s="4" t="s">
        <v>2325</v>
      </c>
      <c r="CL789" s="1826">
        <v>-0.46667530152720094</v>
      </c>
      <c r="CN789" s="1102"/>
      <c r="CO789" s="1103"/>
      <c r="CR789" s="1823">
        <v>-0.27960188880131587</v>
      </c>
      <c r="CT789" s="1102"/>
      <c r="CU789" s="1103"/>
      <c r="CV789" s="1099"/>
      <c r="CW789" s="1099"/>
      <c r="CX789" s="1823">
        <v>-3.2874286831090798</v>
      </c>
      <c r="CY789" s="1099"/>
      <c r="CZ789" s="1102"/>
      <c r="DA789" s="1103"/>
      <c r="DB789" s="1099"/>
    </row>
    <row r="790" spans="87:106">
      <c r="CI790" s="888">
        <v>536</v>
      </c>
      <c r="CJ790" s="4" t="s">
        <v>1627</v>
      </c>
      <c r="CL790" s="1826">
        <v>-0.92374541828824341</v>
      </c>
      <c r="CN790" s="1102"/>
      <c r="CO790" s="1103"/>
      <c r="CR790" s="1823">
        <v>-0.13801580257825785</v>
      </c>
      <c r="CT790" s="1102"/>
      <c r="CU790" s="1103"/>
      <c r="CV790" s="1099"/>
      <c r="CW790" s="1099"/>
      <c r="CX790" s="1823">
        <v>-1.4629762264588884</v>
      </c>
      <c r="CY790" s="1099"/>
      <c r="CZ790" s="1102"/>
      <c r="DA790" s="1103"/>
      <c r="DB790" s="1099"/>
    </row>
    <row r="791" spans="87:106">
      <c r="CI791" s="888">
        <v>536</v>
      </c>
      <c r="CJ791" s="4" t="s">
        <v>1628</v>
      </c>
      <c r="CL791" s="1826">
        <v>-1.3761109480102593</v>
      </c>
      <c r="CN791" s="1102"/>
      <c r="CO791" s="1103"/>
      <c r="CR791" s="1823">
        <v>-0.87469803093715048</v>
      </c>
      <c r="CT791" s="1102"/>
      <c r="CU791" s="1103"/>
      <c r="CV791" s="1099"/>
      <c r="CW791" s="1099"/>
      <c r="CX791" s="1823">
        <v>-0.21289507916962869</v>
      </c>
      <c r="CY791" s="1099"/>
      <c r="CZ791" s="1102"/>
      <c r="DA791" s="1103"/>
      <c r="DB791" s="1099"/>
    </row>
    <row r="792" spans="87:106">
      <c r="CI792" s="888">
        <v>536</v>
      </c>
      <c r="CJ792" s="4" t="s">
        <v>1629</v>
      </c>
      <c r="CL792" s="1826">
        <v>-1.0214509443508746</v>
      </c>
      <c r="CN792" s="864"/>
      <c r="CO792" s="1103"/>
      <c r="CR792" s="1823">
        <v>-0.95565956107503336</v>
      </c>
      <c r="CT792" s="864"/>
      <c r="CU792" s="1103"/>
      <c r="CV792" s="1099"/>
      <c r="CW792" s="1099"/>
      <c r="CX792" s="1823">
        <v>-3.49334520561532</v>
      </c>
      <c r="CY792" s="1099"/>
      <c r="CZ792" s="864"/>
      <c r="DA792" s="1103"/>
      <c r="DB792" s="1099"/>
    </row>
    <row r="793" spans="87:106">
      <c r="CI793" s="888">
        <v>536</v>
      </c>
      <c r="CJ793" s="4" t="s">
        <v>1630</v>
      </c>
      <c r="CL793" s="1826">
        <v>-0.23632949020924965</v>
      </c>
      <c r="CN793" s="864"/>
      <c r="CO793" s="1103"/>
      <c r="CR793" s="1823">
        <v>-0.53665016147264955</v>
      </c>
      <c r="CT793" s="864"/>
      <c r="CU793" s="1103"/>
      <c r="CV793" s="1099"/>
      <c r="CW793" s="1099"/>
      <c r="CX793" s="1823">
        <v>-1.4815218485701527</v>
      </c>
      <c r="CY793" s="1099"/>
      <c r="CZ793" s="864"/>
      <c r="DA793" s="1103"/>
      <c r="DB793" s="1099"/>
    </row>
    <row r="794" spans="87:106">
      <c r="CI794" s="888">
        <v>536</v>
      </c>
      <c r="CJ794" s="4" t="s">
        <v>1631</v>
      </c>
      <c r="CL794" s="1826">
        <v>0.29040285267397437</v>
      </c>
      <c r="CN794" s="864"/>
      <c r="CO794" s="1103"/>
      <c r="CR794" s="1823">
        <v>0.15524248358723508</v>
      </c>
      <c r="CT794" s="864"/>
      <c r="CU794" s="1103"/>
      <c r="CV794" s="1099"/>
      <c r="CW794" s="1099"/>
      <c r="CX794" s="1823">
        <v>2.4490904795369879</v>
      </c>
      <c r="CY794" s="1099"/>
      <c r="CZ794" s="864"/>
      <c r="DA794" s="1103"/>
      <c r="DB794" s="1099"/>
    </row>
    <row r="795" spans="87:106">
      <c r="CI795" s="888">
        <v>536</v>
      </c>
      <c r="CJ795" s="4" t="s">
        <v>1632</v>
      </c>
      <c r="CL795" s="1826">
        <v>2.6953585350068936</v>
      </c>
      <c r="CN795" s="864"/>
      <c r="CO795" s="1103"/>
      <c r="CR795" s="1823">
        <v>0.44379918457528333</v>
      </c>
      <c r="CT795" s="864"/>
      <c r="CU795" s="1103"/>
      <c r="CV795" s="1099"/>
      <c r="CW795" s="1099"/>
      <c r="CX795" s="1823">
        <v>2.1694897255678782</v>
      </c>
      <c r="CY795" s="1099"/>
      <c r="CZ795" s="864"/>
      <c r="DA795" s="1103"/>
      <c r="DB795" s="1099"/>
    </row>
    <row r="796" spans="87:106">
      <c r="CI796" s="888">
        <v>536</v>
      </c>
      <c r="CJ796" s="1091" t="s">
        <v>1633</v>
      </c>
      <c r="CL796" s="1826">
        <v>-1.7243645280204287</v>
      </c>
      <c r="CN796" s="1104"/>
      <c r="CO796" s="1105"/>
      <c r="CR796" s="1824">
        <v>5.2932048434818649E-2</v>
      </c>
      <c r="CT796" s="1104"/>
      <c r="CU796" s="1105"/>
      <c r="CV796" s="1100"/>
      <c r="CW796" s="1100"/>
      <c r="CX796" s="1824">
        <v>2.3459841955333607</v>
      </c>
      <c r="CY796" s="1100"/>
      <c r="CZ796" s="1104"/>
      <c r="DA796" s="1105"/>
      <c r="DB796" s="1100"/>
    </row>
    <row r="797" spans="87:106">
      <c r="CI797" s="888">
        <v>429</v>
      </c>
      <c r="CJ797" s="4" t="s">
        <v>1634</v>
      </c>
      <c r="CL797" s="1826"/>
      <c r="CN797" s="1099">
        <v>-0.17874394365125923</v>
      </c>
      <c r="CO797" s="1106">
        <v>0.57999999999999996</v>
      </c>
      <c r="CR797" s="1822"/>
      <c r="CT797" s="1102">
        <v>0.12434899495373419</v>
      </c>
      <c r="CU797" s="1106">
        <v>0.75</v>
      </c>
      <c r="CV797" s="863"/>
      <c r="CW797" s="863"/>
      <c r="CX797" s="1822" t="e">
        <v>#N/A</v>
      </c>
      <c r="CY797" s="863"/>
      <c r="CZ797" s="1099">
        <v>-1.9822804859852283</v>
      </c>
      <c r="DA797" s="1106">
        <v>0.06</v>
      </c>
      <c r="DB797" s="863"/>
    </row>
    <row r="798" spans="87:106">
      <c r="CI798" s="888">
        <v>429</v>
      </c>
      <c r="CJ798" s="4"/>
      <c r="CL798" s="1826"/>
      <c r="CN798" s="1102"/>
      <c r="CO798" s="1103"/>
      <c r="CR798" s="1822"/>
      <c r="CT798" s="1102"/>
      <c r="CU798" s="1103"/>
      <c r="CV798" s="863"/>
      <c r="CW798" s="863"/>
      <c r="CX798" s="1822" t="e">
        <v>#N/A</v>
      </c>
      <c r="CY798" s="863"/>
      <c r="CZ798" s="1102"/>
      <c r="DA798" s="1103"/>
      <c r="DB798" s="863"/>
    </row>
    <row r="799" spans="87:106">
      <c r="CI799" s="888">
        <v>429</v>
      </c>
      <c r="CJ799" s="4"/>
      <c r="CL799" s="1826"/>
      <c r="CN799" s="1102"/>
      <c r="CO799" s="1103"/>
      <c r="CR799" s="1822"/>
      <c r="CT799" s="1102"/>
      <c r="CU799" s="1103"/>
      <c r="CV799" s="863"/>
      <c r="CW799" s="863"/>
      <c r="CX799" s="1822" t="e">
        <v>#N/A</v>
      </c>
      <c r="CY799" s="863"/>
      <c r="CZ799" s="1102"/>
      <c r="DA799" s="1103"/>
      <c r="DB799" s="863"/>
    </row>
    <row r="800" spans="87:106">
      <c r="CI800" s="888">
        <v>429</v>
      </c>
      <c r="CJ800" s="4"/>
      <c r="CL800" s="1826"/>
      <c r="CN800" s="1102"/>
      <c r="CO800" s="1103"/>
      <c r="CR800" s="1825"/>
      <c r="CT800" s="1102"/>
      <c r="CU800" s="1103"/>
      <c r="CV800" s="1099"/>
      <c r="CW800" s="1099"/>
      <c r="CX800" s="1825" t="e">
        <v>#N/A</v>
      </c>
      <c r="CY800" s="1099"/>
      <c r="CZ800" s="1102"/>
      <c r="DA800" s="1103"/>
      <c r="DB800" s="1099"/>
    </row>
    <row r="801" spans="87:106">
      <c r="CI801" s="888">
        <v>429</v>
      </c>
      <c r="CJ801" s="4" t="s">
        <v>2458</v>
      </c>
      <c r="CL801" s="1826">
        <v>0.53848061226419519</v>
      </c>
      <c r="CN801" s="1102"/>
      <c r="CO801" s="1103"/>
      <c r="CR801" s="1823">
        <v>-1.5105094623559303</v>
      </c>
      <c r="CT801" s="1102"/>
      <c r="CU801" s="1103"/>
      <c r="CV801" s="1099"/>
      <c r="CW801" s="1099"/>
      <c r="CX801" s="1823">
        <v>2.0321580502313648</v>
      </c>
      <c r="CY801" s="1099"/>
      <c r="CZ801" s="1102"/>
      <c r="DA801" s="1103"/>
      <c r="DB801" s="1099"/>
    </row>
    <row r="802" spans="87:106">
      <c r="CI802" s="888">
        <v>429</v>
      </c>
      <c r="CJ802" s="4" t="s">
        <v>2326</v>
      </c>
      <c r="CL802" s="1826">
        <v>11.229310104958524</v>
      </c>
      <c r="CN802" s="1102"/>
      <c r="CO802" s="1103"/>
      <c r="CR802" s="1823">
        <v>0.11571455655150942</v>
      </c>
      <c r="CT802" s="1102"/>
      <c r="CU802" s="1103"/>
      <c r="CV802" s="1099"/>
      <c r="CW802" s="1099"/>
      <c r="CX802" s="1823">
        <v>-16.592420941037997</v>
      </c>
      <c r="CY802" s="1099"/>
      <c r="CZ802" s="1102"/>
      <c r="DA802" s="1103"/>
      <c r="DB802" s="1099"/>
    </row>
    <row r="803" spans="87:106">
      <c r="CI803" s="888">
        <v>429</v>
      </c>
      <c r="CJ803" s="4" t="s">
        <v>1635</v>
      </c>
      <c r="CL803" s="1826">
        <v>-3.9614961098061565</v>
      </c>
      <c r="CN803" s="1102"/>
      <c r="CO803" s="1103"/>
      <c r="CR803" s="1823">
        <v>0.58234439914592628</v>
      </c>
      <c r="CT803" s="1102"/>
      <c r="CU803" s="1103"/>
      <c r="CV803" s="1099"/>
      <c r="CW803" s="1099"/>
      <c r="CX803" s="1823">
        <v>-17.991784022556487</v>
      </c>
      <c r="CY803" s="1099"/>
      <c r="CZ803" s="1102"/>
      <c r="DA803" s="1103"/>
      <c r="DB803" s="1099"/>
    </row>
    <row r="804" spans="87:106">
      <c r="CI804" s="888">
        <v>429</v>
      </c>
      <c r="CJ804" s="4" t="s">
        <v>1636</v>
      </c>
      <c r="CL804" s="1826">
        <v>3.2541017012993065</v>
      </c>
      <c r="CN804" s="1102"/>
      <c r="CO804" s="1103"/>
      <c r="CR804" s="1823">
        <v>2.7543956279167734</v>
      </c>
      <c r="CT804" s="1102"/>
      <c r="CU804" s="1103"/>
      <c r="CV804" s="1099"/>
      <c r="CW804" s="1099"/>
      <c r="CX804" s="1823">
        <v>-12.473219766626507</v>
      </c>
      <c r="CY804" s="1099"/>
      <c r="CZ804" s="1102"/>
      <c r="DA804" s="1103"/>
      <c r="DB804" s="1099"/>
    </row>
    <row r="805" spans="87:106">
      <c r="CI805" s="888">
        <v>429</v>
      </c>
      <c r="CJ805" s="4" t="s">
        <v>1637</v>
      </c>
      <c r="CL805" s="1826">
        <v>-3.1782764840522404</v>
      </c>
      <c r="CN805" s="864"/>
      <c r="CO805" s="1103"/>
      <c r="CR805" s="1823">
        <v>0.12434899495373419</v>
      </c>
      <c r="CT805" s="864"/>
      <c r="CU805" s="1103"/>
      <c r="CV805" s="1099"/>
      <c r="CW805" s="1099"/>
      <c r="CX805" s="1823">
        <v>21.877522227919464</v>
      </c>
      <c r="CY805" s="1099"/>
      <c r="CZ805" s="864"/>
      <c r="DA805" s="1103"/>
      <c r="DB805" s="1099"/>
    </row>
    <row r="806" spans="87:106">
      <c r="CI806" s="888">
        <v>429</v>
      </c>
      <c r="CJ806" s="4" t="s">
        <v>1638</v>
      </c>
      <c r="CL806" s="1826">
        <v>-8.615308662133355</v>
      </c>
      <c r="CN806" s="864"/>
      <c r="CO806" s="1103"/>
      <c r="CR806" s="1823">
        <v>-4.8024400954657267</v>
      </c>
      <c r="CT806" s="864"/>
      <c r="CU806" s="1103"/>
      <c r="CV806" s="1099"/>
      <c r="CW806" s="1099"/>
      <c r="CX806" s="1823">
        <v>8.3883401183744351</v>
      </c>
      <c r="CY806" s="1099"/>
      <c r="CZ806" s="864"/>
      <c r="DA806" s="1103"/>
      <c r="DB806" s="1099"/>
    </row>
    <row r="807" spans="87:106">
      <c r="CI807" s="888">
        <v>429</v>
      </c>
      <c r="CJ807" s="4" t="s">
        <v>1639</v>
      </c>
      <c r="CL807" s="1826">
        <v>-0.17874394365125923</v>
      </c>
      <c r="CN807" s="864"/>
      <c r="CO807" s="1103"/>
      <c r="CR807" s="1823">
        <v>4.6507641788793297</v>
      </c>
      <c r="CT807" s="864"/>
      <c r="CU807" s="1103"/>
      <c r="CV807" s="1099"/>
      <c r="CW807" s="1099"/>
      <c r="CX807" s="1823">
        <v>16.071430933974057</v>
      </c>
      <c r="CY807" s="1099"/>
      <c r="CZ807" s="864"/>
      <c r="DA807" s="1103"/>
      <c r="DB807" s="1099"/>
    </row>
    <row r="808" spans="87:106">
      <c r="CI808" s="888">
        <v>429</v>
      </c>
      <c r="CJ808" s="4" t="s">
        <v>1640</v>
      </c>
      <c r="CL808" s="1826">
        <v>2.8566797550916871</v>
      </c>
      <c r="CN808" s="864"/>
      <c r="CO808" s="1103"/>
      <c r="CR808" s="1823">
        <v>1.8171444662365008</v>
      </c>
      <c r="CT808" s="864"/>
      <c r="CU808" s="1103"/>
      <c r="CV808" s="1099"/>
      <c r="CW808" s="1099"/>
      <c r="CX808" s="1823">
        <v>-1.9822804859852283</v>
      </c>
      <c r="CY808" s="1099"/>
      <c r="CZ808" s="864"/>
      <c r="DA808" s="1103"/>
      <c r="DB808" s="1099"/>
    </row>
    <row r="809" spans="87:106">
      <c r="CI809" s="888">
        <v>429</v>
      </c>
      <c r="CJ809" s="1091" t="s">
        <v>1641</v>
      </c>
      <c r="CL809" s="1826">
        <v>-4.6333129077636563</v>
      </c>
      <c r="CN809" s="1104"/>
      <c r="CO809" s="1105"/>
      <c r="CR809" s="1824">
        <v>-1.995119522629635</v>
      </c>
      <c r="CT809" s="1104"/>
      <c r="CU809" s="1105"/>
      <c r="CV809" s="1100"/>
      <c r="CW809" s="1100"/>
      <c r="CX809" s="1824">
        <v>-10.302851552301432</v>
      </c>
      <c r="CY809" s="1100"/>
      <c r="CZ809" s="1104"/>
      <c r="DA809" s="1105"/>
      <c r="DB809" s="1100"/>
    </row>
    <row r="810" spans="87:106">
      <c r="CI810" s="888">
        <v>433</v>
      </c>
      <c r="CJ810" s="4" t="s">
        <v>1642</v>
      </c>
      <c r="CL810" s="1826"/>
      <c r="CN810" s="1099">
        <v>-2.2755075054821674</v>
      </c>
      <c r="CO810" s="1106">
        <v>0.1</v>
      </c>
      <c r="CR810" s="1822"/>
      <c r="CT810" s="1102">
        <v>-7.7097264563449501</v>
      </c>
      <c r="CU810" s="1106">
        <v>0.01</v>
      </c>
      <c r="CV810" s="863"/>
      <c r="CW810" s="863"/>
      <c r="CX810" s="1822" t="e">
        <v>#N/A</v>
      </c>
      <c r="CY810" s="863"/>
      <c r="CZ810" s="1099">
        <v>-0.55247637566152907</v>
      </c>
      <c r="DA810" s="1106">
        <v>0.4</v>
      </c>
      <c r="DB810" s="863"/>
    </row>
    <row r="811" spans="87:106">
      <c r="CI811" s="888">
        <v>433</v>
      </c>
      <c r="CJ811" s="4"/>
      <c r="CL811" s="1826"/>
      <c r="CN811" s="1102"/>
      <c r="CO811" s="1103"/>
      <c r="CR811" s="1822"/>
      <c r="CT811" s="1102"/>
      <c r="CU811" s="1103"/>
      <c r="CV811" s="863"/>
      <c r="CW811" s="863"/>
      <c r="CX811" s="1822" t="e">
        <v>#N/A</v>
      </c>
      <c r="CY811" s="863"/>
      <c r="CZ811" s="1102"/>
      <c r="DA811" s="1103"/>
      <c r="DB811" s="863"/>
    </row>
    <row r="812" spans="87:106">
      <c r="CI812" s="888">
        <v>433</v>
      </c>
      <c r="CJ812" s="4"/>
      <c r="CL812" s="1826"/>
      <c r="CN812" s="1102"/>
      <c r="CO812" s="1103"/>
      <c r="CR812" s="1822"/>
      <c r="CT812" s="1102"/>
      <c r="CU812" s="1103"/>
      <c r="CV812" s="863"/>
      <c r="CW812" s="863"/>
      <c r="CX812" s="1822" t="e">
        <v>#N/A</v>
      </c>
      <c r="CY812" s="863"/>
      <c r="CZ812" s="1102"/>
      <c r="DA812" s="1103"/>
      <c r="DB812" s="863"/>
    </row>
    <row r="813" spans="87:106">
      <c r="CI813" s="888">
        <v>433</v>
      </c>
      <c r="CJ813" s="4"/>
      <c r="CL813" s="1826"/>
      <c r="CN813" s="1102"/>
      <c r="CO813" s="1103"/>
      <c r="CR813" s="1825"/>
      <c r="CT813" s="1102"/>
      <c r="CU813" s="1103"/>
      <c r="CV813" s="1099"/>
      <c r="CW813" s="1099"/>
      <c r="CX813" s="1825" t="e">
        <v>#N/A</v>
      </c>
      <c r="CY813" s="1099"/>
      <c r="CZ813" s="1102"/>
      <c r="DA813" s="1103"/>
      <c r="DB813" s="1099"/>
    </row>
    <row r="814" spans="87:106">
      <c r="CI814" s="888">
        <v>433</v>
      </c>
      <c r="CJ814" s="4" t="s">
        <v>2459</v>
      </c>
      <c r="CL814" s="1826">
        <v>-4.0716134010340443</v>
      </c>
      <c r="CN814" s="1102"/>
      <c r="CO814" s="1103"/>
      <c r="CR814" s="1823">
        <v>8.4687607295956671</v>
      </c>
      <c r="CT814" s="1102"/>
      <c r="CU814" s="1103"/>
      <c r="CV814" s="1099"/>
      <c r="CW814" s="1099"/>
      <c r="CX814" s="1823">
        <v>8.9636761867791641</v>
      </c>
      <c r="CY814" s="1099"/>
      <c r="CZ814" s="1102"/>
      <c r="DA814" s="1103"/>
      <c r="DB814" s="1099"/>
    </row>
    <row r="815" spans="87:106">
      <c r="CI815" s="888">
        <v>433</v>
      </c>
      <c r="CJ815" s="4" t="s">
        <v>2327</v>
      </c>
      <c r="CL815" s="1826">
        <v>3.3729564168964759</v>
      </c>
      <c r="CN815" s="1102"/>
      <c r="CO815" s="1103"/>
      <c r="CR815" s="1823">
        <v>-8.126743304002197</v>
      </c>
      <c r="CT815" s="1102"/>
      <c r="CU815" s="1103"/>
      <c r="CV815" s="1099"/>
      <c r="CW815" s="1099"/>
      <c r="CX815" s="1823">
        <v>-19.615511281563705</v>
      </c>
      <c r="CY815" s="1099"/>
      <c r="CZ815" s="1102"/>
      <c r="DA815" s="1103"/>
      <c r="DB815" s="1099"/>
    </row>
    <row r="816" spans="87:106">
      <c r="CI816" s="888">
        <v>433</v>
      </c>
      <c r="CJ816" s="4" t="s">
        <v>1643</v>
      </c>
      <c r="CL816" s="1826">
        <v>-1.8845627442140351</v>
      </c>
      <c r="CN816" s="1102"/>
      <c r="CO816" s="1103"/>
      <c r="CR816" s="1823">
        <v>-12.403256097228809</v>
      </c>
      <c r="CT816" s="1102"/>
      <c r="CU816" s="1103"/>
      <c r="CV816" s="1099"/>
      <c r="CW816" s="1099"/>
      <c r="CX816" s="1823">
        <v>-25.657057169130848</v>
      </c>
      <c r="CY816" s="1099"/>
      <c r="CZ816" s="1102"/>
      <c r="DA816" s="1103"/>
      <c r="DB816" s="1099"/>
    </row>
    <row r="817" spans="87:106">
      <c r="CI817" s="888">
        <v>433</v>
      </c>
      <c r="CJ817" s="4" t="s">
        <v>1644</v>
      </c>
      <c r="CL817" s="1826">
        <v>-10.567707988325186</v>
      </c>
      <c r="CN817" s="1102"/>
      <c r="CO817" s="1103"/>
      <c r="CR817" s="1823">
        <v>-7.7097264563449501</v>
      </c>
      <c r="CT817" s="1102"/>
      <c r="CU817" s="1103"/>
      <c r="CV817" s="1099"/>
      <c r="CW817" s="1099"/>
      <c r="CX817" s="1823">
        <v>-2.0750464288009223</v>
      </c>
      <c r="CY817" s="1099"/>
      <c r="CZ817" s="1102"/>
      <c r="DA817" s="1103"/>
      <c r="DB817" s="1099"/>
    </row>
    <row r="818" spans="87:106">
      <c r="CI818" s="888">
        <v>433</v>
      </c>
      <c r="CJ818" s="4" t="s">
        <v>1645</v>
      </c>
      <c r="CL818" s="1826">
        <v>-6.8981367956180701</v>
      </c>
      <c r="CN818" s="864"/>
      <c r="CO818" s="1103"/>
      <c r="CR818" s="1823">
        <v>-13.205087144299739</v>
      </c>
      <c r="CT818" s="864"/>
      <c r="CU818" s="1103"/>
      <c r="CV818" s="1099"/>
      <c r="CW818" s="1099"/>
      <c r="CX818" s="1823">
        <v>-0.55247637566152907</v>
      </c>
      <c r="CY818" s="1099"/>
      <c r="CZ818" s="864"/>
      <c r="DA818" s="1103"/>
      <c r="DB818" s="1099"/>
    </row>
    <row r="819" spans="87:106">
      <c r="CI819" s="888">
        <v>433</v>
      </c>
      <c r="CJ819" s="4" t="s">
        <v>1646</v>
      </c>
      <c r="CL819" s="1826">
        <v>-2.2755075054821674</v>
      </c>
      <c r="CN819" s="864"/>
      <c r="CO819" s="1103"/>
      <c r="CR819" s="1823">
        <v>-0.20939988989714386</v>
      </c>
      <c r="CT819" s="864"/>
      <c r="CU819" s="1103"/>
      <c r="CV819" s="1099"/>
      <c r="CW819" s="1099"/>
      <c r="CX819" s="1823">
        <v>0.13787316967889574</v>
      </c>
      <c r="CY819" s="1099"/>
      <c r="CZ819" s="864"/>
      <c r="DA819" s="1103"/>
      <c r="DB819" s="1099"/>
    </row>
    <row r="820" spans="87:106">
      <c r="CI820" s="888">
        <v>433</v>
      </c>
      <c r="CJ820" s="4" t="s">
        <v>1647</v>
      </c>
      <c r="CL820" s="1826">
        <v>0.70816331150027523</v>
      </c>
      <c r="CN820" s="864"/>
      <c r="CO820" s="1103"/>
      <c r="CR820" s="1823">
        <v>10.235041241274256</v>
      </c>
      <c r="CT820" s="864"/>
      <c r="CU820" s="1103"/>
      <c r="CV820" s="1099"/>
      <c r="CW820" s="1099"/>
      <c r="CX820" s="1823">
        <v>15.569400998573316</v>
      </c>
      <c r="CY820" s="1099"/>
      <c r="CZ820" s="864"/>
      <c r="DA820" s="1103"/>
      <c r="DB820" s="1099"/>
    </row>
    <row r="821" spans="87:106">
      <c r="CI821" s="888">
        <v>433</v>
      </c>
      <c r="CJ821" s="4" t="s">
        <v>1648</v>
      </c>
      <c r="CL821" s="1826">
        <v>-5.8418243150312321</v>
      </c>
      <c r="CN821" s="864"/>
      <c r="CO821" s="1103"/>
      <c r="CR821" s="1823">
        <v>-1.7412634977450647</v>
      </c>
      <c r="CT821" s="864"/>
      <c r="CU821" s="1103"/>
      <c r="CV821" s="1099"/>
      <c r="CW821" s="1099"/>
      <c r="CX821" s="1823">
        <v>6.9658704571373526</v>
      </c>
      <c r="CY821" s="1099"/>
      <c r="CZ821" s="864"/>
      <c r="DA821" s="1103"/>
      <c r="DB821" s="1099"/>
    </row>
    <row r="822" spans="87:106">
      <c r="CI822" s="888">
        <v>433</v>
      </c>
      <c r="CJ822" s="1091" t="s">
        <v>1649</v>
      </c>
      <c r="CL822" s="1826">
        <v>-2.2340154150995426</v>
      </c>
      <c r="CN822" s="1104"/>
      <c r="CO822" s="1105"/>
      <c r="CR822" s="1824">
        <v>-30.54867327486064</v>
      </c>
      <c r="CT822" s="1104"/>
      <c r="CU822" s="1105"/>
      <c r="CV822" s="1100"/>
      <c r="CW822" s="1100"/>
      <c r="CX822" s="1824">
        <v>-35.764397233555329</v>
      </c>
      <c r="CY822" s="1100"/>
      <c r="CZ822" s="1104"/>
      <c r="DA822" s="1105"/>
      <c r="DB822" s="1100"/>
    </row>
    <row r="823" spans="87:106">
      <c r="CI823" s="888">
        <v>178</v>
      </c>
      <c r="CJ823" s="4" t="s">
        <v>1650</v>
      </c>
      <c r="CL823" s="1826"/>
      <c r="CN823" s="1099">
        <v>1.8552400291515108</v>
      </c>
      <c r="CO823" s="1106">
        <v>0.98</v>
      </c>
      <c r="CR823" s="1822"/>
      <c r="CT823" s="1102">
        <v>-1.1154945930743303</v>
      </c>
      <c r="CU823" s="1106">
        <v>0.32</v>
      </c>
      <c r="CV823" s="863"/>
      <c r="CW823" s="863"/>
      <c r="CX823" s="1822" t="e">
        <v>#N/A</v>
      </c>
      <c r="CY823" s="863"/>
      <c r="CZ823" s="1099">
        <v>-1.2876726888453056</v>
      </c>
      <c r="DA823" s="1106">
        <v>0.18</v>
      </c>
      <c r="DB823" s="863"/>
    </row>
    <row r="824" spans="87:106">
      <c r="CI824" s="888">
        <v>178</v>
      </c>
      <c r="CJ824" s="4"/>
      <c r="CL824" s="1826"/>
      <c r="CN824" s="1102"/>
      <c r="CO824" s="1103"/>
      <c r="CR824" s="1822"/>
      <c r="CT824" s="1102"/>
      <c r="CU824" s="1103"/>
      <c r="CV824" s="863"/>
      <c r="CW824" s="863"/>
      <c r="CX824" s="1822" t="e">
        <v>#N/A</v>
      </c>
      <c r="CY824" s="863"/>
      <c r="CZ824" s="1102"/>
      <c r="DA824" s="1103"/>
      <c r="DB824" s="863"/>
    </row>
    <row r="825" spans="87:106">
      <c r="CI825" s="888">
        <v>178</v>
      </c>
      <c r="CJ825" s="4"/>
      <c r="CL825" s="1826"/>
      <c r="CN825" s="1102"/>
      <c r="CO825" s="1103"/>
      <c r="CR825" s="1822"/>
      <c r="CT825" s="1102"/>
      <c r="CU825" s="1103"/>
      <c r="CV825" s="863"/>
      <c r="CW825" s="863"/>
      <c r="CX825" s="1822" t="e">
        <v>#N/A</v>
      </c>
      <c r="CY825" s="863"/>
      <c r="CZ825" s="1102"/>
      <c r="DA825" s="1103"/>
      <c r="DB825" s="863"/>
    </row>
    <row r="826" spans="87:106">
      <c r="CI826" s="888">
        <v>178</v>
      </c>
      <c r="CJ826" s="4"/>
      <c r="CL826" s="1826"/>
      <c r="CN826" s="1102"/>
      <c r="CO826" s="1103"/>
      <c r="CR826" s="1825"/>
      <c r="CT826" s="1102"/>
      <c r="CU826" s="1103"/>
      <c r="CV826" s="1099"/>
      <c r="CW826" s="1099"/>
      <c r="CX826" s="1825" t="e">
        <v>#N/A</v>
      </c>
      <c r="CY826" s="1099"/>
      <c r="CZ826" s="1102"/>
      <c r="DA826" s="1103"/>
      <c r="DB826" s="1099"/>
    </row>
    <row r="827" spans="87:106">
      <c r="CI827" s="888">
        <v>178</v>
      </c>
      <c r="CJ827" s="4" t="s">
        <v>2460</v>
      </c>
      <c r="CL827" s="1826">
        <v>4.1679542163511449</v>
      </c>
      <c r="CN827" s="1102"/>
      <c r="CO827" s="1103"/>
      <c r="CR827" s="1823">
        <v>-1.3158048638702557</v>
      </c>
      <c r="CT827" s="1102"/>
      <c r="CU827" s="1103"/>
      <c r="CV827" s="1099"/>
      <c r="CW827" s="1099"/>
      <c r="CX827" s="1823">
        <v>-1.7497759325073805</v>
      </c>
      <c r="CY827" s="1099"/>
      <c r="CZ827" s="1102"/>
      <c r="DA827" s="1103"/>
      <c r="DB827" s="1099"/>
    </row>
    <row r="828" spans="87:106">
      <c r="CI828" s="888">
        <v>178</v>
      </c>
      <c r="CJ828" s="4" t="s">
        <v>2328</v>
      </c>
      <c r="CL828" s="1826">
        <v>1.8552400291515108</v>
      </c>
      <c r="CN828" s="1102"/>
      <c r="CO828" s="1103"/>
      <c r="CR828" s="1823">
        <v>1.9077309169534429E-2</v>
      </c>
      <c r="CT828" s="1102"/>
      <c r="CU828" s="1103"/>
      <c r="CV828" s="1099"/>
      <c r="CW828" s="1099"/>
      <c r="CX828" s="1823">
        <v>-1.2876726888453056</v>
      </c>
      <c r="CY828" s="1099"/>
      <c r="CZ828" s="1102"/>
      <c r="DA828" s="1103"/>
      <c r="DB828" s="1099"/>
    </row>
    <row r="829" spans="87:106">
      <c r="CI829" s="888">
        <v>178</v>
      </c>
      <c r="CJ829" s="4" t="s">
        <v>1651</v>
      </c>
      <c r="CL829" s="1826">
        <v>23.797761590734652</v>
      </c>
      <c r="CN829" s="1102"/>
      <c r="CO829" s="1103"/>
      <c r="CR829" s="1823">
        <v>-1.1154945930743303</v>
      </c>
      <c r="CT829" s="1102"/>
      <c r="CU829" s="1103"/>
      <c r="CV829" s="1099"/>
      <c r="CW829" s="1099"/>
      <c r="CX829" s="1823">
        <v>3.9821139529070861</v>
      </c>
      <c r="CY829" s="1099"/>
      <c r="CZ829" s="1102"/>
      <c r="DA829" s="1103"/>
      <c r="DB829" s="1099"/>
    </row>
    <row r="830" spans="87:106">
      <c r="CI830" s="888">
        <v>178</v>
      </c>
      <c r="CJ830" s="4" t="s">
        <v>1652</v>
      </c>
      <c r="CL830" s="1826">
        <v>2.9759387768717867</v>
      </c>
      <c r="CN830" s="1102"/>
      <c r="CO830" s="1103"/>
      <c r="CR830" s="1823">
        <v>-0.28907452904173286</v>
      </c>
      <c r="CT830" s="1102"/>
      <c r="CU830" s="1103"/>
      <c r="CV830" s="1099"/>
      <c r="CW830" s="1099"/>
      <c r="CX830" s="1823">
        <v>-1.2561218185739738</v>
      </c>
      <c r="CY830" s="1099"/>
      <c r="CZ830" s="1102"/>
      <c r="DA830" s="1103"/>
      <c r="DB830" s="1099"/>
    </row>
    <row r="831" spans="87:106">
      <c r="CI831" s="888">
        <v>178</v>
      </c>
      <c r="CJ831" s="4" t="s">
        <v>1653</v>
      </c>
      <c r="CL831" s="1826">
        <v>-1.8518209680186057</v>
      </c>
      <c r="CN831" s="864"/>
      <c r="CO831" s="1103"/>
      <c r="CR831" s="1823">
        <v>-0.11541997914361257</v>
      </c>
      <c r="CT831" s="864"/>
      <c r="CU831" s="1103"/>
      <c r="CV831" s="1099"/>
      <c r="CW831" s="1099"/>
      <c r="CX831" s="1823">
        <v>-0.18987849204386054</v>
      </c>
      <c r="CY831" s="1099"/>
      <c r="CZ831" s="864"/>
      <c r="DA831" s="1103"/>
      <c r="DB831" s="1099"/>
    </row>
    <row r="832" spans="87:106">
      <c r="CI832" s="888">
        <v>178</v>
      </c>
      <c r="CJ832" s="4" t="s">
        <v>1654</v>
      </c>
      <c r="CL832" s="1826">
        <v>-1.7513877391800046</v>
      </c>
      <c r="CN832" s="864"/>
      <c r="CO832" s="1103"/>
      <c r="CR832" s="1823">
        <v>2.4836974119871513E-2</v>
      </c>
      <c r="CT832" s="864"/>
      <c r="CU832" s="1103"/>
      <c r="CV832" s="1099"/>
      <c r="CW832" s="1099"/>
      <c r="CX832" s="1823">
        <v>-0.10936919798492595</v>
      </c>
      <c r="CY832" s="1099"/>
      <c r="CZ832" s="864"/>
      <c r="DA832" s="1103"/>
      <c r="DB832" s="1099"/>
    </row>
    <row r="833" spans="87:106">
      <c r="CI833" s="888">
        <v>178</v>
      </c>
      <c r="CJ833" s="4" t="s">
        <v>1655</v>
      </c>
      <c r="CL833" s="1826">
        <v>-0.50556664192911605</v>
      </c>
      <c r="CN833" s="864"/>
      <c r="CO833" s="1103"/>
      <c r="CR833" s="1823">
        <v>-2.1518926906235816</v>
      </c>
      <c r="CT833" s="864"/>
      <c r="CU833" s="1103"/>
      <c r="CV833" s="1099"/>
      <c r="CW833" s="1099"/>
      <c r="CX833" s="1823">
        <v>-1.5778595368415305</v>
      </c>
      <c r="CY833" s="1099"/>
      <c r="CZ833" s="864"/>
      <c r="DA833" s="1103"/>
      <c r="DB833" s="1099"/>
    </row>
    <row r="834" spans="87:106">
      <c r="CI834" s="888">
        <v>178</v>
      </c>
      <c r="CJ834" s="4" t="s">
        <v>1656</v>
      </c>
      <c r="CL834" s="1826">
        <v>2.5703504445938878</v>
      </c>
      <c r="CN834" s="864"/>
      <c r="CO834" s="1103"/>
      <c r="CR834" s="1823">
        <v>-13.366075133223951</v>
      </c>
      <c r="CT834" s="864"/>
      <c r="CU834" s="1103"/>
      <c r="CV834" s="1099"/>
      <c r="CW834" s="1099"/>
      <c r="CX834" s="1823">
        <v>-1.3931372742410337</v>
      </c>
      <c r="CY834" s="1099"/>
      <c r="CZ834" s="864"/>
      <c r="DA834" s="1103"/>
      <c r="DB834" s="1099"/>
    </row>
    <row r="835" spans="87:106">
      <c r="CI835" s="888">
        <v>178</v>
      </c>
      <c r="CJ835" s="1091" t="s">
        <v>1657</v>
      </c>
      <c r="CL835" s="1826">
        <v>-10.579907661023588</v>
      </c>
      <c r="CN835" s="1104"/>
      <c r="CO835" s="1105"/>
      <c r="CR835" s="1824">
        <v>-11.85271727577252</v>
      </c>
      <c r="CT835" s="1104"/>
      <c r="CU835" s="1105"/>
      <c r="CV835" s="1100"/>
      <c r="CW835" s="1100"/>
      <c r="CX835" s="1824">
        <v>-5.4694878616993003</v>
      </c>
      <c r="CY835" s="1100"/>
      <c r="CZ835" s="1104"/>
      <c r="DA835" s="1105"/>
      <c r="DB835" s="1100"/>
    </row>
    <row r="836" spans="87:106">
      <c r="CI836" s="888">
        <v>436</v>
      </c>
      <c r="CJ836" s="4" t="s">
        <v>1658</v>
      </c>
      <c r="CL836" s="1826"/>
      <c r="CN836" s="1099">
        <v>-0.48926555441668018</v>
      </c>
      <c r="CO836" s="1106">
        <v>0.43</v>
      </c>
      <c r="CR836" s="1822"/>
      <c r="CT836" s="1102">
        <v>0.16275602513279067</v>
      </c>
      <c r="CU836" s="1106">
        <v>0.77</v>
      </c>
      <c r="CV836" s="863"/>
      <c r="CW836" s="863"/>
      <c r="CX836" s="1822" t="e">
        <v>#N/A</v>
      </c>
      <c r="CY836" s="863"/>
      <c r="CZ836" s="1099">
        <v>0.34832187630885025</v>
      </c>
      <c r="DA836" s="1106">
        <v>0.74</v>
      </c>
      <c r="DB836" s="863"/>
    </row>
    <row r="837" spans="87:106">
      <c r="CI837" s="888">
        <v>436</v>
      </c>
      <c r="CJ837" s="4"/>
      <c r="CL837" s="1826"/>
      <c r="CN837" s="1102"/>
      <c r="CO837" s="1103"/>
      <c r="CR837" s="1822"/>
      <c r="CT837" s="1102"/>
      <c r="CU837" s="1103"/>
      <c r="CV837" s="863"/>
      <c r="CW837" s="863"/>
      <c r="CX837" s="1822" t="e">
        <v>#N/A</v>
      </c>
      <c r="CY837" s="863"/>
      <c r="CZ837" s="1102"/>
      <c r="DA837" s="1103"/>
      <c r="DB837" s="863"/>
    </row>
    <row r="838" spans="87:106">
      <c r="CI838" s="888">
        <v>436</v>
      </c>
      <c r="CJ838" s="4"/>
      <c r="CL838" s="1826"/>
      <c r="CN838" s="1102"/>
      <c r="CO838" s="1103"/>
      <c r="CR838" s="1822"/>
      <c r="CT838" s="1102"/>
      <c r="CU838" s="1103"/>
      <c r="CV838" s="863"/>
      <c r="CW838" s="863"/>
      <c r="CX838" s="1822" t="e">
        <v>#N/A</v>
      </c>
      <c r="CY838" s="863"/>
      <c r="CZ838" s="1102"/>
      <c r="DA838" s="1103"/>
      <c r="DB838" s="863"/>
    </row>
    <row r="839" spans="87:106">
      <c r="CI839" s="888">
        <v>436</v>
      </c>
      <c r="CJ839" s="4"/>
      <c r="CL839" s="1826"/>
      <c r="CN839" s="1102"/>
      <c r="CO839" s="1103"/>
      <c r="CR839" s="1825"/>
      <c r="CT839" s="1102"/>
      <c r="CU839" s="1103"/>
      <c r="CV839" s="1099"/>
      <c r="CW839" s="1099"/>
      <c r="CX839" s="1825" t="e">
        <v>#N/A</v>
      </c>
      <c r="CY839" s="1099"/>
      <c r="CZ839" s="1102"/>
      <c r="DA839" s="1103"/>
      <c r="DB839" s="1099"/>
    </row>
    <row r="840" spans="87:106">
      <c r="CI840" s="888">
        <v>436</v>
      </c>
      <c r="CJ840" s="4" t="s">
        <v>2461</v>
      </c>
      <c r="CL840" s="1826">
        <v>0.30251820423912701</v>
      </c>
      <c r="CN840" s="1102"/>
      <c r="CO840" s="1103"/>
      <c r="CR840" s="1823">
        <v>1.376301723180517</v>
      </c>
      <c r="CT840" s="1102"/>
      <c r="CU840" s="1103"/>
      <c r="CV840" s="1099"/>
      <c r="CW840" s="1099"/>
      <c r="CX840" s="1823">
        <v>-0.19670502589045588</v>
      </c>
      <c r="CY840" s="1099"/>
      <c r="CZ840" s="1102"/>
      <c r="DA840" s="1103"/>
      <c r="DB840" s="1099"/>
    </row>
    <row r="841" spans="87:106">
      <c r="CI841" s="888">
        <v>436</v>
      </c>
      <c r="CJ841" s="4" t="s">
        <v>2329</v>
      </c>
      <c r="CL841" s="1826">
        <v>0.68447461388303266</v>
      </c>
      <c r="CN841" s="1102"/>
      <c r="CO841" s="1103"/>
      <c r="CR841" s="1823">
        <v>0.58732360690549257</v>
      </c>
      <c r="CT841" s="1102"/>
      <c r="CU841" s="1103"/>
      <c r="CV841" s="1099"/>
      <c r="CW841" s="1099"/>
      <c r="CX841" s="1823">
        <v>-0.59923204614472114</v>
      </c>
      <c r="CY841" s="1099"/>
      <c r="CZ841" s="1102"/>
      <c r="DA841" s="1103"/>
      <c r="DB841" s="1099"/>
    </row>
    <row r="842" spans="87:106">
      <c r="CI842" s="888">
        <v>436</v>
      </c>
      <c r="CJ842" s="4" t="s">
        <v>1659</v>
      </c>
      <c r="CL842" s="1826">
        <v>-0.91068618298631732</v>
      </c>
      <c r="CN842" s="1102"/>
      <c r="CO842" s="1103"/>
      <c r="CR842" s="1823">
        <v>0.16275602513279067</v>
      </c>
      <c r="CT842" s="1102"/>
      <c r="CU842" s="1103"/>
      <c r="CV842" s="1099"/>
      <c r="CW842" s="1099"/>
      <c r="CX842" s="1823">
        <v>0.34832187630885025</v>
      </c>
      <c r="CY842" s="1099"/>
      <c r="CZ842" s="1102"/>
      <c r="DA842" s="1103"/>
      <c r="DB842" s="1099"/>
    </row>
    <row r="843" spans="87:106">
      <c r="CI843" s="888">
        <v>436</v>
      </c>
      <c r="CJ843" s="4" t="s">
        <v>1660</v>
      </c>
      <c r="CL843" s="1826">
        <v>-1.3930006215392061</v>
      </c>
      <c r="CN843" s="1102"/>
      <c r="CO843" s="1103"/>
      <c r="CR843" s="1823">
        <v>-1.0421695038085161</v>
      </c>
      <c r="CT843" s="1102"/>
      <c r="CU843" s="1103"/>
      <c r="CV843" s="1099"/>
      <c r="CW843" s="1099"/>
      <c r="CX843" s="1823">
        <v>-1.2502118914692006</v>
      </c>
      <c r="CY843" s="1099"/>
      <c r="CZ843" s="1102"/>
      <c r="DA843" s="1103"/>
      <c r="DB843" s="1099"/>
    </row>
    <row r="844" spans="87:106">
      <c r="CI844" s="888">
        <v>436</v>
      </c>
      <c r="CJ844" s="4" t="s">
        <v>1661</v>
      </c>
      <c r="CL844" s="1826">
        <v>-0.59197643398771538</v>
      </c>
      <c r="CN844" s="864"/>
      <c r="CO844" s="1103"/>
      <c r="CR844" s="1823">
        <v>-1.4240557203553217</v>
      </c>
      <c r="CT844" s="864"/>
      <c r="CU844" s="1103"/>
      <c r="CV844" s="1099"/>
      <c r="CW844" s="1099"/>
      <c r="CX844" s="1823">
        <v>0.47318882427363884</v>
      </c>
      <c r="CY844" s="1099"/>
      <c r="CZ844" s="864"/>
      <c r="DA844" s="1103"/>
      <c r="DB844" s="1099"/>
    </row>
    <row r="845" spans="87:106">
      <c r="CI845" s="888">
        <v>436</v>
      </c>
      <c r="CJ845" s="4" t="s">
        <v>1662</v>
      </c>
      <c r="CL845" s="1826">
        <v>-0.48926555441668018</v>
      </c>
      <c r="CN845" s="864"/>
      <c r="CO845" s="1103"/>
      <c r="CR845" s="1823">
        <v>-3.2316108129063017</v>
      </c>
      <c r="CT845" s="864"/>
      <c r="CU845" s="1103"/>
      <c r="CV845" s="1099"/>
      <c r="CW845" s="1099"/>
      <c r="CX845" s="1823">
        <v>1.6034012286230785</v>
      </c>
      <c r="CY845" s="1099"/>
      <c r="CZ845" s="864"/>
      <c r="DA845" s="1103"/>
      <c r="DB845" s="1099"/>
    </row>
    <row r="846" spans="87:106">
      <c r="CI846" s="888">
        <v>436</v>
      </c>
      <c r="CJ846" s="4" t="s">
        <v>1663</v>
      </c>
      <c r="CL846" s="1826">
        <v>1.0607039659363009</v>
      </c>
      <c r="CN846" s="864"/>
      <c r="CO846" s="1103"/>
      <c r="CR846" s="1823">
        <v>0.68523075467844241</v>
      </c>
      <c r="CT846" s="864"/>
      <c r="CU846" s="1103"/>
      <c r="CV846" s="1099"/>
      <c r="CW846" s="1099"/>
      <c r="CX846" s="1823">
        <v>-0.17291324360586469</v>
      </c>
      <c r="CY846" s="1099"/>
      <c r="CZ846" s="864"/>
      <c r="DA846" s="1103"/>
      <c r="DB846" s="1099"/>
    </row>
    <row r="847" spans="87:106">
      <c r="CI847" s="888">
        <v>436</v>
      </c>
      <c r="CJ847" s="4" t="s">
        <v>1664</v>
      </c>
      <c r="CL847" s="1826">
        <v>4.5791219794029114</v>
      </c>
      <c r="CN847" s="864"/>
      <c r="CO847" s="1103"/>
      <c r="CR847" s="1823">
        <v>2.3703625276928348</v>
      </c>
      <c r="CT847" s="864"/>
      <c r="CU847" s="1103"/>
      <c r="CV847" s="1099"/>
      <c r="CW847" s="1099"/>
      <c r="CX847" s="1823">
        <v>0.38415415671624631</v>
      </c>
      <c r="CY847" s="1099"/>
      <c r="CZ847" s="864"/>
      <c r="DA847" s="1103"/>
      <c r="DB847" s="1099"/>
    </row>
    <row r="848" spans="87:106">
      <c r="CI848" s="888">
        <v>436</v>
      </c>
      <c r="CJ848" s="1091" t="s">
        <v>1665</v>
      </c>
      <c r="CL848" s="1826">
        <v>-2.6139362877346528</v>
      </c>
      <c r="CN848" s="1104"/>
      <c r="CO848" s="1105"/>
      <c r="CR848" s="1824">
        <v>-5.2639389211957965</v>
      </c>
      <c r="CT848" s="1104"/>
      <c r="CU848" s="1105"/>
      <c r="CV848" s="1100"/>
      <c r="CW848" s="1100"/>
      <c r="CX848" s="1824">
        <v>3.0370114249782034</v>
      </c>
      <c r="CY848" s="1100"/>
      <c r="CZ848" s="1104"/>
      <c r="DA848" s="1105"/>
      <c r="DB848" s="1100"/>
    </row>
    <row r="849" spans="87:106">
      <c r="CI849" s="888">
        <v>136</v>
      </c>
      <c r="CJ849" s="4" t="s">
        <v>1666</v>
      </c>
      <c r="CL849" s="1826"/>
      <c r="CN849" s="1099">
        <v>-0.785224681096234</v>
      </c>
      <c r="CO849" s="1106">
        <v>0.31</v>
      </c>
      <c r="CR849" s="1822"/>
      <c r="CT849" s="1102">
        <v>-0.70009649992959888</v>
      </c>
      <c r="CU849" s="1106">
        <v>0.46</v>
      </c>
      <c r="CV849" s="863"/>
      <c r="CW849" s="863"/>
      <c r="CX849" s="1822" t="e">
        <v>#N/A</v>
      </c>
      <c r="CY849" s="863"/>
      <c r="CZ849" s="1099">
        <v>-0.32017234022640662</v>
      </c>
      <c r="DA849" s="1106">
        <v>0.53</v>
      </c>
      <c r="DB849" s="863"/>
    </row>
    <row r="850" spans="87:106">
      <c r="CI850" s="888">
        <v>136</v>
      </c>
      <c r="CJ850" s="4"/>
      <c r="CL850" s="1826"/>
      <c r="CN850" s="1102"/>
      <c r="CO850" s="1103"/>
      <c r="CR850" s="1822"/>
      <c r="CT850" s="1102"/>
      <c r="CU850" s="1103"/>
      <c r="CV850" s="863"/>
      <c r="CW850" s="863"/>
      <c r="CX850" s="1822" t="e">
        <v>#N/A</v>
      </c>
      <c r="CY850" s="863"/>
      <c r="CZ850" s="1102"/>
      <c r="DA850" s="1103"/>
      <c r="DB850" s="863"/>
    </row>
    <row r="851" spans="87:106">
      <c r="CI851" s="888">
        <v>136</v>
      </c>
      <c r="CJ851" s="4"/>
      <c r="CL851" s="1826"/>
      <c r="CN851" s="1102"/>
      <c r="CO851" s="1103"/>
      <c r="CR851" s="1822"/>
      <c r="CT851" s="1102"/>
      <c r="CU851" s="1103"/>
      <c r="CV851" s="863"/>
      <c r="CW851" s="863"/>
      <c r="CX851" s="1822" t="e">
        <v>#N/A</v>
      </c>
      <c r="CY851" s="863"/>
      <c r="CZ851" s="1102"/>
      <c r="DA851" s="1103"/>
      <c r="DB851" s="863"/>
    </row>
    <row r="852" spans="87:106">
      <c r="CI852" s="888">
        <v>136</v>
      </c>
      <c r="CJ852" s="4"/>
      <c r="CL852" s="1826"/>
      <c r="CN852" s="1102"/>
      <c r="CO852" s="1103"/>
      <c r="CR852" s="1825"/>
      <c r="CT852" s="1102"/>
      <c r="CU852" s="1103"/>
      <c r="CV852" s="1099"/>
      <c r="CW852" s="1099"/>
      <c r="CX852" s="1825" t="e">
        <v>#N/A</v>
      </c>
      <c r="CY852" s="1099"/>
      <c r="CZ852" s="1102"/>
      <c r="DA852" s="1103"/>
      <c r="DB852" s="1099"/>
    </row>
    <row r="853" spans="87:106">
      <c r="CI853" s="888">
        <v>136</v>
      </c>
      <c r="CJ853" s="4" t="s">
        <v>2462</v>
      </c>
      <c r="CL853" s="1826">
        <v>0.31994508456615556</v>
      </c>
      <c r="CN853" s="1102"/>
      <c r="CO853" s="1103"/>
      <c r="CR853" s="1823">
        <v>-0.56720350053087065</v>
      </c>
      <c r="CT853" s="1102"/>
      <c r="CU853" s="1103"/>
      <c r="CV853" s="1099"/>
      <c r="CW853" s="1099"/>
      <c r="CX853" s="1823">
        <v>-0.32017234022640662</v>
      </c>
      <c r="CY853" s="1099"/>
      <c r="CZ853" s="1102"/>
      <c r="DA853" s="1103"/>
      <c r="DB853" s="1099"/>
    </row>
    <row r="854" spans="87:106">
      <c r="CI854" s="888">
        <v>136</v>
      </c>
      <c r="CJ854" s="4" t="s">
        <v>2330</v>
      </c>
      <c r="CL854" s="1826">
        <v>-0.23787783031756016</v>
      </c>
      <c r="CN854" s="1102"/>
      <c r="CO854" s="1103"/>
      <c r="CR854" s="1823">
        <v>-0.70009649992959888</v>
      </c>
      <c r="CT854" s="1102"/>
      <c r="CU854" s="1103"/>
      <c r="CV854" s="1099"/>
      <c r="CW854" s="1099"/>
      <c r="CX854" s="1823">
        <v>-4.797941938725625E-3</v>
      </c>
      <c r="CY854" s="1099"/>
      <c r="CZ854" s="1102"/>
      <c r="DA854" s="1103"/>
      <c r="DB854" s="1099"/>
    </row>
    <row r="855" spans="87:106">
      <c r="CI855" s="888">
        <v>136</v>
      </c>
      <c r="CJ855" s="4" t="s">
        <v>1667</v>
      </c>
      <c r="CL855" s="1826">
        <v>-0.36539763833421213</v>
      </c>
      <c r="CN855" s="1102"/>
      <c r="CO855" s="1103"/>
      <c r="CR855" s="1823">
        <v>-2.0697234454908209</v>
      </c>
      <c r="CT855" s="1102"/>
      <c r="CU855" s="1103"/>
      <c r="CV855" s="1099"/>
      <c r="CW855" s="1099"/>
      <c r="CX855" s="1823">
        <v>-0.57299175076697917</v>
      </c>
      <c r="CY855" s="1099"/>
      <c r="CZ855" s="1102"/>
      <c r="DA855" s="1103"/>
      <c r="DB855" s="1099"/>
    </row>
    <row r="856" spans="87:106">
      <c r="CI856" s="888">
        <v>136</v>
      </c>
      <c r="CJ856" s="4" t="s">
        <v>1668</v>
      </c>
      <c r="CL856" s="1826">
        <v>-0.85960813027603744</v>
      </c>
      <c r="CN856" s="1102"/>
      <c r="CO856" s="1103"/>
      <c r="CR856" s="1823">
        <v>-1.5153927868197379</v>
      </c>
      <c r="CT856" s="1102"/>
      <c r="CU856" s="1103"/>
      <c r="CV856" s="1099"/>
      <c r="CW856" s="1099"/>
      <c r="CX856" s="1823">
        <v>-0.49252261667009289</v>
      </c>
      <c r="CY856" s="1099"/>
      <c r="CZ856" s="1102"/>
      <c r="DA856" s="1103"/>
      <c r="DB856" s="1099"/>
    </row>
    <row r="857" spans="87:106">
      <c r="CI857" s="888">
        <v>136</v>
      </c>
      <c r="CJ857" s="4" t="s">
        <v>1669</v>
      </c>
      <c r="CL857" s="1826">
        <v>-1.4097716194973351</v>
      </c>
      <c r="CN857" s="864"/>
      <c r="CO857" s="1103"/>
      <c r="CR857" s="1823">
        <v>-2.1891222717955658</v>
      </c>
      <c r="CT857" s="864"/>
      <c r="CU857" s="1103"/>
      <c r="CV857" s="1099"/>
      <c r="CW857" s="1099"/>
      <c r="CX857" s="1823">
        <v>9.6631217459284269E-3</v>
      </c>
      <c r="CY857" s="1099"/>
      <c r="CZ857" s="864"/>
      <c r="DA857" s="1103"/>
      <c r="DB857" s="1099"/>
    </row>
    <row r="858" spans="87:106">
      <c r="CI858" s="888">
        <v>136</v>
      </c>
      <c r="CJ858" s="4" t="s">
        <v>1670</v>
      </c>
      <c r="CL858" s="1826">
        <v>-3.6719138162916263</v>
      </c>
      <c r="CN858" s="864"/>
      <c r="CO858" s="1103"/>
      <c r="CR858" s="1823">
        <v>1.0662359814520603</v>
      </c>
      <c r="CT858" s="864"/>
      <c r="CU858" s="1103"/>
      <c r="CV858" s="1099"/>
      <c r="CW858" s="1099"/>
      <c r="CX858" s="1823">
        <v>-0.56239070329192309</v>
      </c>
      <c r="CY858" s="1099"/>
      <c r="CZ858" s="864"/>
      <c r="DA858" s="1103"/>
      <c r="DB858" s="1099"/>
    </row>
    <row r="859" spans="87:106">
      <c r="CI859" s="888">
        <v>136</v>
      </c>
      <c r="CJ859" s="4" t="s">
        <v>1671</v>
      </c>
      <c r="CL859" s="1826">
        <v>-0.785224681096234</v>
      </c>
      <c r="CN859" s="864"/>
      <c r="CO859" s="1103"/>
      <c r="CR859" s="1823">
        <v>1.249806167400318</v>
      </c>
      <c r="CT859" s="864"/>
      <c r="CU859" s="1103"/>
      <c r="CV859" s="1099"/>
      <c r="CW859" s="1099"/>
      <c r="CX859" s="1823">
        <v>-0.37328107053298831</v>
      </c>
      <c r="CY859" s="1099"/>
      <c r="CZ859" s="864"/>
      <c r="DA859" s="1103"/>
      <c r="DB859" s="1099"/>
    </row>
    <row r="860" spans="87:106">
      <c r="CI860" s="888">
        <v>136</v>
      </c>
      <c r="CJ860" s="4" t="s">
        <v>1672</v>
      </c>
      <c r="CL860" s="1826">
        <v>2.1932441583725222</v>
      </c>
      <c r="CN860" s="864"/>
      <c r="CO860" s="1103"/>
      <c r="CR860" s="1823">
        <v>0.4868873332993266</v>
      </c>
      <c r="CT860" s="864"/>
      <c r="CU860" s="1103"/>
      <c r="CV860" s="1099"/>
      <c r="CW860" s="1099"/>
      <c r="CX860" s="1823">
        <v>-0.30900145573244986</v>
      </c>
      <c r="CY860" s="1099"/>
      <c r="CZ860" s="864"/>
      <c r="DA860" s="1103"/>
      <c r="DB860" s="1099"/>
    </row>
    <row r="861" spans="87:106">
      <c r="CI861" s="888">
        <v>136</v>
      </c>
      <c r="CJ861" s="1091" t="s">
        <v>1673</v>
      </c>
      <c r="CL861" s="1826">
        <v>-5.4683973890648936</v>
      </c>
      <c r="CN861" s="1104"/>
      <c r="CO861" s="1105"/>
      <c r="CR861" s="1824">
        <v>-3.2260908690301831</v>
      </c>
      <c r="CT861" s="1104"/>
      <c r="CU861" s="1105"/>
      <c r="CV861" s="1100"/>
      <c r="CW861" s="1100"/>
      <c r="CX861" s="1824">
        <v>0.17039250426780805</v>
      </c>
      <c r="CY861" s="1100"/>
      <c r="CZ861" s="1104"/>
      <c r="DA861" s="1105"/>
      <c r="DB861" s="1100"/>
    </row>
    <row r="862" spans="87:106">
      <c r="CI862" s="888">
        <v>343</v>
      </c>
      <c r="CJ862" s="4" t="s">
        <v>1674</v>
      </c>
      <c r="CL862" s="1826"/>
      <c r="CN862" s="1099">
        <v>-0.85085982312496289</v>
      </c>
      <c r="CO862" s="1106">
        <v>0.28999999999999998</v>
      </c>
      <c r="CR862" s="1822"/>
      <c r="CT862" s="1102">
        <v>-1.0559495677262554E-2</v>
      </c>
      <c r="CU862" s="1106">
        <v>0.7</v>
      </c>
      <c r="CV862" s="863"/>
      <c r="CW862" s="863"/>
      <c r="CX862" s="1822" t="e">
        <v>#N/A</v>
      </c>
      <c r="CY862" s="863"/>
      <c r="CZ862" s="1099">
        <v>-1.4374533176161393</v>
      </c>
      <c r="DA862" s="1106">
        <v>0.15</v>
      </c>
      <c r="DB862" s="863"/>
    </row>
    <row r="863" spans="87:106">
      <c r="CI863" s="888">
        <v>343</v>
      </c>
      <c r="CJ863" s="4"/>
      <c r="CL863" s="1826"/>
      <c r="CN863" s="1102"/>
      <c r="CO863" s="1103"/>
      <c r="CR863" s="1822"/>
      <c r="CT863" s="1102"/>
      <c r="CU863" s="1103"/>
      <c r="CV863" s="863"/>
      <c r="CW863" s="863"/>
      <c r="CX863" s="1822" t="e">
        <v>#N/A</v>
      </c>
      <c r="CY863" s="863"/>
      <c r="CZ863" s="1102"/>
      <c r="DA863" s="1103"/>
      <c r="DB863" s="863"/>
    </row>
    <row r="864" spans="87:106">
      <c r="CI864" s="888">
        <v>343</v>
      </c>
      <c r="CJ864" s="4"/>
      <c r="CL864" s="1826"/>
      <c r="CN864" s="1102"/>
      <c r="CO864" s="1103"/>
      <c r="CR864" s="1822"/>
      <c r="CT864" s="1102"/>
      <c r="CU864" s="1103"/>
      <c r="CV864" s="863"/>
      <c r="CW864" s="863"/>
      <c r="CX864" s="1822" t="e">
        <v>#N/A</v>
      </c>
      <c r="CY864" s="863"/>
      <c r="CZ864" s="1102"/>
      <c r="DA864" s="1103"/>
      <c r="DB864" s="863"/>
    </row>
    <row r="865" spans="87:106">
      <c r="CI865" s="888">
        <v>343</v>
      </c>
      <c r="CJ865" s="4"/>
      <c r="CL865" s="1826"/>
      <c r="CN865" s="1102"/>
      <c r="CO865" s="1103"/>
      <c r="CR865" s="1825"/>
      <c r="CT865" s="1102"/>
      <c r="CU865" s="1103"/>
      <c r="CV865" s="1099"/>
      <c r="CW865" s="1099"/>
      <c r="CX865" s="1825" t="e">
        <v>#N/A</v>
      </c>
      <c r="CY865" s="1099"/>
      <c r="CZ865" s="1102"/>
      <c r="DA865" s="1103"/>
      <c r="DB865" s="1099"/>
    </row>
    <row r="866" spans="87:106">
      <c r="CI866" s="888">
        <v>343</v>
      </c>
      <c r="CJ866" s="4" t="s">
        <v>2463</v>
      </c>
      <c r="CL866" s="1826">
        <v>-1.5843955526195845</v>
      </c>
      <c r="CN866" s="1102"/>
      <c r="CO866" s="1103"/>
      <c r="CR866" s="1823">
        <v>-6.2794861710403715E-2</v>
      </c>
      <c r="CT866" s="1102"/>
      <c r="CU866" s="1103"/>
      <c r="CV866" s="1099"/>
      <c r="CW866" s="1099"/>
      <c r="CX866" s="1823">
        <v>-1.5457296101760876</v>
      </c>
      <c r="CY866" s="1099"/>
      <c r="CZ866" s="1102"/>
      <c r="DA866" s="1103"/>
      <c r="DB866" s="1099"/>
    </row>
    <row r="867" spans="87:106">
      <c r="CI867" s="888">
        <v>343</v>
      </c>
      <c r="CJ867" s="4" t="s">
        <v>2331</v>
      </c>
      <c r="CL867" s="1826">
        <v>-0.75361690430628414</v>
      </c>
      <c r="CN867" s="1102"/>
      <c r="CO867" s="1103"/>
      <c r="CR867" s="1823">
        <v>0.11263097697835001</v>
      </c>
      <c r="CT867" s="1102"/>
      <c r="CU867" s="1103"/>
      <c r="CV867" s="1099"/>
      <c r="CW867" s="1099"/>
      <c r="CX867" s="1823">
        <v>-2.7305179556342258</v>
      </c>
      <c r="CY867" s="1099"/>
      <c r="CZ867" s="1102"/>
      <c r="DA867" s="1103"/>
      <c r="DB867" s="1099"/>
    </row>
    <row r="868" spans="87:106">
      <c r="CI868" s="888">
        <v>343</v>
      </c>
      <c r="CJ868" s="4" t="s">
        <v>1675</v>
      </c>
      <c r="CL868" s="1826">
        <v>-0.74281830047441255</v>
      </c>
      <c r="CN868" s="1102"/>
      <c r="CO868" s="1103"/>
      <c r="CR868" s="1823">
        <v>-0.36020793093543446</v>
      </c>
      <c r="CT868" s="1102"/>
      <c r="CU868" s="1103"/>
      <c r="CV868" s="1099"/>
      <c r="CW868" s="1099"/>
      <c r="CX868" s="1823">
        <v>-1.4374533176161393</v>
      </c>
      <c r="CY868" s="1099"/>
      <c r="CZ868" s="1102"/>
      <c r="DA868" s="1103"/>
      <c r="DB868" s="1099"/>
    </row>
    <row r="869" spans="87:106">
      <c r="CI869" s="888">
        <v>343</v>
      </c>
      <c r="CJ869" s="4" t="s">
        <v>1676</v>
      </c>
      <c r="CL869" s="1826">
        <v>-0.72040692010192597</v>
      </c>
      <c r="CN869" s="1102"/>
      <c r="CO869" s="1103"/>
      <c r="CR869" s="1823">
        <v>4.1675870355878608E-2</v>
      </c>
      <c r="CT869" s="1102"/>
      <c r="CU869" s="1103"/>
      <c r="CV869" s="1099"/>
      <c r="CW869" s="1099"/>
      <c r="CX869" s="1823">
        <v>-2.3650658246852601</v>
      </c>
      <c r="CY869" s="1099"/>
      <c r="CZ869" s="1102"/>
      <c r="DA869" s="1103"/>
      <c r="DB869" s="1099"/>
    </row>
    <row r="870" spans="87:106">
      <c r="CI870" s="888">
        <v>343</v>
      </c>
      <c r="CJ870" s="4" t="s">
        <v>1677</v>
      </c>
      <c r="CL870" s="1826">
        <v>-0.85085982312496289</v>
      </c>
      <c r="CN870" s="864"/>
      <c r="CO870" s="1103"/>
      <c r="CR870" s="1823">
        <v>5.1018086579628079</v>
      </c>
      <c r="CT870" s="864"/>
      <c r="CU870" s="1103"/>
      <c r="CV870" s="1099"/>
      <c r="CW870" s="1099"/>
      <c r="CX870" s="1823">
        <v>2.5865643389466451</v>
      </c>
      <c r="CY870" s="1099"/>
      <c r="CZ870" s="864"/>
      <c r="DA870" s="1103"/>
      <c r="DB870" s="1099"/>
    </row>
    <row r="871" spans="87:106">
      <c r="CI871" s="888">
        <v>343</v>
      </c>
      <c r="CJ871" s="4" t="s">
        <v>1678</v>
      </c>
      <c r="CL871" s="1826">
        <v>-2.910537733644166</v>
      </c>
      <c r="CN871" s="864"/>
      <c r="CO871" s="1103"/>
      <c r="CR871" s="1823">
        <v>-1.582558768466459</v>
      </c>
      <c r="CT871" s="864"/>
      <c r="CU871" s="1103"/>
      <c r="CV871" s="1099"/>
      <c r="CW871" s="1099"/>
      <c r="CX871" s="1823">
        <v>-0.81261724233654054</v>
      </c>
      <c r="CY871" s="1099"/>
      <c r="CZ871" s="864"/>
      <c r="DA871" s="1103"/>
      <c r="DB871" s="1099"/>
    </row>
    <row r="872" spans="87:106">
      <c r="CI872" s="888">
        <v>343</v>
      </c>
      <c r="CJ872" s="4" t="s">
        <v>1679</v>
      </c>
      <c r="CL872" s="1826">
        <v>4.58190401127192E-2</v>
      </c>
      <c r="CN872" s="864"/>
      <c r="CO872" s="1103"/>
      <c r="CR872" s="1823" t="s">
        <v>1218</v>
      </c>
      <c r="CT872" s="864"/>
      <c r="CU872" s="1103"/>
      <c r="CV872" s="1099"/>
      <c r="CW872" s="1099"/>
      <c r="CX872" s="1823">
        <v>-1.8534891087737213</v>
      </c>
      <c r="CY872" s="1099"/>
      <c r="CZ872" s="864"/>
      <c r="DA872" s="1103"/>
      <c r="DB872" s="1099"/>
    </row>
    <row r="873" spans="87:106">
      <c r="CI873" s="888">
        <v>343</v>
      </c>
      <c r="CJ873" s="4" t="s">
        <v>1680</v>
      </c>
      <c r="CL873" s="1826">
        <v>-1.1376552876695651</v>
      </c>
      <c r="CN873" s="864"/>
      <c r="CO873" s="1103"/>
      <c r="CR873" s="1823">
        <v>1.5131275231703234</v>
      </c>
      <c r="CT873" s="864"/>
      <c r="CU873" s="1103"/>
      <c r="CV873" s="1099"/>
      <c r="CW873" s="1099"/>
      <c r="CX873" s="1823">
        <v>1.1265112769411374</v>
      </c>
      <c r="CY873" s="1099"/>
      <c r="CZ873" s="864"/>
      <c r="DA873" s="1103"/>
      <c r="DB873" s="1099"/>
    </row>
    <row r="874" spans="87:106">
      <c r="CI874" s="888">
        <v>343</v>
      </c>
      <c r="CJ874" s="1091" t="s">
        <v>1681</v>
      </c>
      <c r="CL874" s="1826">
        <v>-5.8260052924171752</v>
      </c>
      <c r="CN874" s="1104"/>
      <c r="CO874" s="1105"/>
      <c r="CR874" s="1824">
        <v>-2.3392223446969176</v>
      </c>
      <c r="CT874" s="1104"/>
      <c r="CU874" s="1105"/>
      <c r="CV874" s="1100"/>
      <c r="CW874" s="1100"/>
      <c r="CX874" s="1824">
        <v>0.93470626174817362</v>
      </c>
      <c r="CY874" s="1100"/>
      <c r="CZ874" s="1104"/>
      <c r="DA874" s="1105"/>
      <c r="DB874" s="1100"/>
    </row>
    <row r="875" spans="87:106">
      <c r="CI875" s="888">
        <v>158</v>
      </c>
      <c r="CJ875" s="4" t="s">
        <v>1682</v>
      </c>
      <c r="CL875" s="1826"/>
      <c r="CN875" s="1099">
        <v>-0.23298602494291709</v>
      </c>
      <c r="CO875" s="1106">
        <v>0.55000000000000004</v>
      </c>
      <c r="CR875" s="1822"/>
      <c r="CT875" s="1102">
        <v>-0.27599263471119873</v>
      </c>
      <c r="CU875" s="1106">
        <v>0.6</v>
      </c>
      <c r="CV875" s="863"/>
      <c r="CW875" s="863"/>
      <c r="CX875" s="1822" t="e">
        <v>#N/A</v>
      </c>
      <c r="CY875" s="863"/>
      <c r="CZ875" s="1099">
        <v>-0.63920884041588777</v>
      </c>
      <c r="DA875" s="1106">
        <v>0.36</v>
      </c>
      <c r="DB875" s="863"/>
    </row>
    <row r="876" spans="87:106">
      <c r="CI876" s="888">
        <v>158</v>
      </c>
      <c r="CJ876" s="4"/>
      <c r="CL876" s="1826"/>
      <c r="CN876" s="1102"/>
      <c r="CO876" s="1103"/>
      <c r="CR876" s="1822"/>
      <c r="CT876" s="1102"/>
      <c r="CU876" s="1103"/>
      <c r="CV876" s="863"/>
      <c r="CW876" s="863"/>
      <c r="CX876" s="1822" t="e">
        <v>#N/A</v>
      </c>
      <c r="CY876" s="863"/>
      <c r="CZ876" s="1102"/>
      <c r="DA876" s="1103"/>
      <c r="DB876" s="863"/>
    </row>
    <row r="877" spans="87:106">
      <c r="CI877" s="888">
        <v>158</v>
      </c>
      <c r="CJ877" s="4"/>
      <c r="CL877" s="1826"/>
      <c r="CN877" s="1102"/>
      <c r="CO877" s="1103"/>
      <c r="CR877" s="1822"/>
      <c r="CT877" s="1102"/>
      <c r="CU877" s="1103"/>
      <c r="CV877" s="863"/>
      <c r="CW877" s="863"/>
      <c r="CX877" s="1822" t="e">
        <v>#N/A</v>
      </c>
      <c r="CY877" s="863"/>
      <c r="CZ877" s="1102"/>
      <c r="DA877" s="1103"/>
      <c r="DB877" s="863"/>
    </row>
    <row r="878" spans="87:106">
      <c r="CI878" s="888">
        <v>158</v>
      </c>
      <c r="CJ878" s="4"/>
      <c r="CL878" s="1826"/>
      <c r="CN878" s="1102"/>
      <c r="CO878" s="1103"/>
      <c r="CR878" s="1825"/>
      <c r="CT878" s="1102"/>
      <c r="CU878" s="1103"/>
      <c r="CV878" s="1099"/>
      <c r="CW878" s="1099"/>
      <c r="CX878" s="1825" t="e">
        <v>#N/A</v>
      </c>
      <c r="CY878" s="1099"/>
      <c r="CZ878" s="1102"/>
      <c r="DA878" s="1103"/>
      <c r="DB878" s="1099"/>
    </row>
    <row r="879" spans="87:106">
      <c r="CI879" s="888">
        <v>158</v>
      </c>
      <c r="CJ879" s="4" t="s">
        <v>2464</v>
      </c>
      <c r="CL879" s="1826">
        <v>1.7705834143321766</v>
      </c>
      <c r="CN879" s="1102"/>
      <c r="CO879" s="1103"/>
      <c r="CR879" s="1823">
        <v>0.24585736034625016</v>
      </c>
      <c r="CT879" s="1102"/>
      <c r="CU879" s="1103"/>
      <c r="CV879" s="1099"/>
      <c r="CW879" s="1099"/>
      <c r="CX879" s="1823">
        <v>-1.2322455354169661</v>
      </c>
      <c r="CY879" s="1099"/>
      <c r="CZ879" s="1102"/>
      <c r="DA879" s="1103"/>
      <c r="DB879" s="1099"/>
    </row>
    <row r="880" spans="87:106">
      <c r="CI880" s="888">
        <v>158</v>
      </c>
      <c r="CJ880" s="4" t="s">
        <v>2332</v>
      </c>
      <c r="CL880" s="1826">
        <v>-0.23298602494291709</v>
      </c>
      <c r="CN880" s="1102"/>
      <c r="CO880" s="1103"/>
      <c r="CR880" s="1823">
        <v>1.4822340643496625</v>
      </c>
      <c r="CT880" s="1102"/>
      <c r="CU880" s="1103"/>
      <c r="CV880" s="1099"/>
      <c r="CW880" s="1099"/>
      <c r="CX880" s="1823">
        <v>-0.25988069128727509</v>
      </c>
      <c r="CY880" s="1099"/>
      <c r="CZ880" s="1102"/>
      <c r="DA880" s="1103"/>
      <c r="DB880" s="1099"/>
    </row>
    <row r="881" spans="87:106">
      <c r="CI881" s="888">
        <v>158</v>
      </c>
      <c r="CJ881" s="4" t="s">
        <v>1683</v>
      </c>
      <c r="CL881" s="1826">
        <v>0.2393332087515061</v>
      </c>
      <c r="CN881" s="1102"/>
      <c r="CO881" s="1103"/>
      <c r="CR881" s="1823">
        <v>2.416660532970937</v>
      </c>
      <c r="CT881" s="1102"/>
      <c r="CU881" s="1103"/>
      <c r="CV881" s="1099"/>
      <c r="CW881" s="1099"/>
      <c r="CX881" s="1823">
        <v>0.9925786169612838</v>
      </c>
      <c r="CY881" s="1099"/>
      <c r="CZ881" s="1102"/>
      <c r="DA881" s="1103"/>
      <c r="DB881" s="1099"/>
    </row>
    <row r="882" spans="87:106">
      <c r="CI882" s="888">
        <v>158</v>
      </c>
      <c r="CJ882" s="4" t="s">
        <v>1684</v>
      </c>
      <c r="CL882" s="1826">
        <v>-1.4434245137390211</v>
      </c>
      <c r="CN882" s="1102"/>
      <c r="CO882" s="1103"/>
      <c r="CR882" s="1823">
        <v>0.63111680352471566</v>
      </c>
      <c r="CT882" s="1102"/>
      <c r="CU882" s="1103"/>
      <c r="CV882" s="1099"/>
      <c r="CW882" s="1099"/>
      <c r="CX882" s="1823">
        <v>-0.146992172031428</v>
      </c>
      <c r="CY882" s="1099"/>
      <c r="CZ882" s="1102"/>
      <c r="DA882" s="1103"/>
      <c r="DB882" s="1099"/>
    </row>
    <row r="883" spans="87:106">
      <c r="CI883" s="888">
        <v>158</v>
      </c>
      <c r="CJ883" s="4" t="s">
        <v>1685</v>
      </c>
      <c r="CL883" s="1826">
        <v>-9.3463854591740558E-2</v>
      </c>
      <c r="CN883" s="864"/>
      <c r="CO883" s="1103"/>
      <c r="CR883" s="1823">
        <v>-0.27599263471119873</v>
      </c>
      <c r="CT883" s="864"/>
      <c r="CU883" s="1103"/>
      <c r="CV883" s="1099"/>
      <c r="CW883" s="1099"/>
      <c r="CX883" s="1823">
        <v>-0.40923009436747859</v>
      </c>
      <c r="CY883" s="1099"/>
      <c r="CZ883" s="864"/>
      <c r="DA883" s="1103"/>
      <c r="DB883" s="1099"/>
    </row>
    <row r="884" spans="87:106">
      <c r="CI884" s="888">
        <v>158</v>
      </c>
      <c r="CJ884" s="4" t="s">
        <v>1686</v>
      </c>
      <c r="CL884" s="1826">
        <v>-0.62121425643216455</v>
      </c>
      <c r="CN884" s="864"/>
      <c r="CO884" s="1103"/>
      <c r="CR884" s="1823">
        <v>-0.86673005147726467</v>
      </c>
      <c r="CT884" s="864"/>
      <c r="CU884" s="1103"/>
      <c r="CV884" s="1099"/>
      <c r="CW884" s="1099"/>
      <c r="CX884" s="1823">
        <v>-0.78040599670746735</v>
      </c>
      <c r="CY884" s="1099"/>
      <c r="CZ884" s="864"/>
      <c r="DA884" s="1103"/>
      <c r="DB884" s="1099"/>
    </row>
    <row r="885" spans="87:106">
      <c r="CI885" s="888">
        <v>158</v>
      </c>
      <c r="CJ885" s="4" t="s">
        <v>1687</v>
      </c>
      <c r="CL885" s="1826">
        <v>-2.5340939566027672</v>
      </c>
      <c r="CN885" s="864"/>
      <c r="CO885" s="1103"/>
      <c r="CR885" s="1823">
        <v>-1.6975748222621592</v>
      </c>
      <c r="CT885" s="864"/>
      <c r="CU885" s="1103"/>
      <c r="CV885" s="1099"/>
      <c r="CW885" s="1099"/>
      <c r="CX885" s="1823">
        <v>-0.63920884041588777</v>
      </c>
      <c r="CY885" s="1099"/>
      <c r="CZ885" s="864"/>
      <c r="DA885" s="1103"/>
      <c r="DB885" s="1099"/>
    </row>
    <row r="886" spans="87:106">
      <c r="CI886" s="888">
        <v>158</v>
      </c>
      <c r="CJ886" s="4" t="s">
        <v>1688</v>
      </c>
      <c r="CL886" s="1826">
        <v>3.9195101967945774</v>
      </c>
      <c r="CN886" s="864"/>
      <c r="CO886" s="1103"/>
      <c r="CR886" s="1823">
        <v>-0.47231252641789823</v>
      </c>
      <c r="CT886" s="864"/>
      <c r="CU886" s="1103"/>
      <c r="CV886" s="1099"/>
      <c r="CW886" s="1099"/>
      <c r="CX886" s="1823">
        <v>-1.3572708240723075</v>
      </c>
      <c r="CY886" s="1099"/>
      <c r="CZ886" s="864"/>
      <c r="DA886" s="1103"/>
      <c r="DB886" s="1099"/>
    </row>
    <row r="887" spans="87:106">
      <c r="CI887" s="888">
        <v>158</v>
      </c>
      <c r="CJ887" s="1091" t="s">
        <v>1689</v>
      </c>
      <c r="CL887" s="1826">
        <v>-7.7742910419964879</v>
      </c>
      <c r="CN887" s="1104"/>
      <c r="CO887" s="1105"/>
      <c r="CR887" s="1824">
        <v>-7.5057733475422506</v>
      </c>
      <c r="CT887" s="1104"/>
      <c r="CU887" s="1105"/>
      <c r="CV887" s="1100"/>
      <c r="CW887" s="1100"/>
      <c r="CX887" s="1824">
        <v>-1.3379204486297924</v>
      </c>
      <c r="CY887" s="1100"/>
      <c r="CZ887" s="1104"/>
      <c r="DA887" s="1105"/>
      <c r="DB887" s="1100"/>
    </row>
    <row r="888" spans="87:106">
      <c r="CI888" s="888">
        <v>439</v>
      </c>
      <c r="CJ888" s="4" t="s">
        <v>1690</v>
      </c>
      <c r="CL888" s="1826"/>
      <c r="CN888" s="1099">
        <v>-1.617121625496901</v>
      </c>
      <c r="CO888" s="1106">
        <v>0.14000000000000001</v>
      </c>
      <c r="CR888" s="1822"/>
      <c r="CT888" s="1102">
        <v>-1.7802981352220448</v>
      </c>
      <c r="CU888" s="1106">
        <v>0.18</v>
      </c>
      <c r="CV888" s="863"/>
      <c r="CW888" s="863"/>
      <c r="CX888" s="1822" t="e">
        <v>#N/A</v>
      </c>
      <c r="CY888" s="863"/>
      <c r="CZ888" s="1099">
        <v>-0.25999999999961565</v>
      </c>
      <c r="DA888" s="1106">
        <v>0.59</v>
      </c>
      <c r="DB888" s="863"/>
    </row>
    <row r="889" spans="87:106">
      <c r="CI889" s="888">
        <v>439</v>
      </c>
      <c r="CJ889" s="4"/>
      <c r="CL889" s="1826"/>
      <c r="CN889" s="1102"/>
      <c r="CO889" s="1103"/>
      <c r="CR889" s="1822"/>
      <c r="CT889" s="1102"/>
      <c r="CU889" s="1103"/>
      <c r="CV889" s="863"/>
      <c r="CW889" s="863"/>
      <c r="CX889" s="1822" t="e">
        <v>#N/A</v>
      </c>
      <c r="CY889" s="863"/>
      <c r="CZ889" s="1102"/>
      <c r="DA889" s="1103"/>
      <c r="DB889" s="863"/>
    </row>
    <row r="890" spans="87:106">
      <c r="CI890" s="888">
        <v>439</v>
      </c>
      <c r="CJ890" s="4"/>
      <c r="CL890" s="1826"/>
      <c r="CN890" s="1102"/>
      <c r="CO890" s="1103"/>
      <c r="CR890" s="1822"/>
      <c r="CT890" s="1102"/>
      <c r="CU890" s="1103"/>
      <c r="CV890" s="863"/>
      <c r="CW890" s="863"/>
      <c r="CX890" s="1822" t="e">
        <v>#N/A</v>
      </c>
      <c r="CY890" s="863"/>
      <c r="CZ890" s="1102"/>
      <c r="DA890" s="1103"/>
      <c r="DB890" s="863"/>
    </row>
    <row r="891" spans="87:106">
      <c r="CI891" s="888">
        <v>439</v>
      </c>
      <c r="CJ891" s="4"/>
      <c r="CL891" s="1826"/>
      <c r="CN891" s="1102"/>
      <c r="CO891" s="1103"/>
      <c r="CR891" s="1825"/>
      <c r="CT891" s="1102"/>
      <c r="CU891" s="1103"/>
      <c r="CV891" s="1099"/>
      <c r="CW891" s="1099"/>
      <c r="CX891" s="1825" t="e">
        <v>#N/A</v>
      </c>
      <c r="CY891" s="1099"/>
      <c r="CZ891" s="1102"/>
      <c r="DA891" s="1103"/>
      <c r="DB891" s="1099"/>
    </row>
    <row r="892" spans="87:106">
      <c r="CI892" s="888">
        <v>439</v>
      </c>
      <c r="CJ892" s="4" t="s">
        <v>2465</v>
      </c>
      <c r="CL892" s="1826">
        <v>-1.4000000000003108</v>
      </c>
      <c r="CN892" s="1102"/>
      <c r="CO892" s="1103"/>
      <c r="CR892" s="1823">
        <v>-0.63619017551685131</v>
      </c>
      <c r="CT892" s="1102"/>
      <c r="CU892" s="1103"/>
      <c r="CV892" s="1099"/>
      <c r="CW892" s="1099"/>
      <c r="CX892" s="1823">
        <v>-0.25999999999961565</v>
      </c>
      <c r="CY892" s="1099"/>
      <c r="CZ892" s="1102"/>
      <c r="DA892" s="1103"/>
      <c r="DB892" s="1099"/>
    </row>
    <row r="893" spans="87:106">
      <c r="CI893" s="888">
        <v>439</v>
      </c>
      <c r="CJ893" s="4" t="s">
        <v>2333</v>
      </c>
      <c r="CL893" s="1826">
        <v>-2.487289995772302</v>
      </c>
      <c r="CN893" s="1102"/>
      <c r="CO893" s="1103"/>
      <c r="CR893" s="1823">
        <v>-2.4411412547477642</v>
      </c>
      <c r="CT893" s="1102"/>
      <c r="CU893" s="1103"/>
      <c r="CV893" s="1099"/>
      <c r="CW893" s="1099"/>
      <c r="CX893" s="1823">
        <v>-1.6514717483475905</v>
      </c>
      <c r="CY893" s="1099"/>
      <c r="CZ893" s="1102"/>
      <c r="DA893" s="1103"/>
      <c r="DB893" s="1099"/>
    </row>
    <row r="894" spans="87:106">
      <c r="CI894" s="888">
        <v>439</v>
      </c>
      <c r="CJ894" s="4" t="s">
        <v>1691</v>
      </c>
      <c r="CL894" s="1826">
        <v>-1.617121625496901</v>
      </c>
      <c r="CN894" s="1102"/>
      <c r="CO894" s="1103"/>
      <c r="CR894" s="1823">
        <v>-0.8241219507587908</v>
      </c>
      <c r="CT894" s="1102"/>
      <c r="CU894" s="1103"/>
      <c r="CV894" s="1099"/>
      <c r="CW894" s="1099"/>
      <c r="CX894" s="1823">
        <v>-0.51616945420253479</v>
      </c>
      <c r="CY894" s="1099"/>
      <c r="CZ894" s="1102"/>
      <c r="DA894" s="1103"/>
      <c r="DB894" s="1099"/>
    </row>
    <row r="895" spans="87:106">
      <c r="CI895" s="888">
        <v>439</v>
      </c>
      <c r="CJ895" s="4" t="s">
        <v>1692</v>
      </c>
      <c r="CL895" s="1826">
        <v>-0.40382546318966561</v>
      </c>
      <c r="CN895" s="1102"/>
      <c r="CO895" s="1103"/>
      <c r="CR895" s="1823">
        <v>2.0016623023011206</v>
      </c>
      <c r="CT895" s="1102"/>
      <c r="CU895" s="1103"/>
      <c r="CV895" s="1099"/>
      <c r="CW895" s="1099"/>
      <c r="CX895" s="1823">
        <v>-0.54121767650206909</v>
      </c>
      <c r="CY895" s="1099"/>
      <c r="CZ895" s="1102"/>
      <c r="DA895" s="1103"/>
      <c r="DB895" s="1099"/>
    </row>
    <row r="896" spans="87:106">
      <c r="CI896" s="888">
        <v>439</v>
      </c>
      <c r="CJ896" s="4" t="s">
        <v>1693</v>
      </c>
      <c r="CL896" s="1826">
        <v>-0.17059275984310407</v>
      </c>
      <c r="CN896" s="864"/>
      <c r="CO896" s="1103"/>
      <c r="CR896" s="1823">
        <v>-6.0515909782810642</v>
      </c>
      <c r="CT896" s="864"/>
      <c r="CU896" s="1103"/>
      <c r="CV896" s="1099"/>
      <c r="CW896" s="1099"/>
      <c r="CX896" s="1823">
        <v>2.1193408819945523</v>
      </c>
      <c r="CY896" s="1099"/>
      <c r="CZ896" s="864"/>
      <c r="DA896" s="1103"/>
      <c r="DB896" s="1099"/>
    </row>
    <row r="897" spans="87:106">
      <c r="CI897" s="888">
        <v>439</v>
      </c>
      <c r="CJ897" s="4" t="s">
        <v>1694</v>
      </c>
      <c r="CL897" s="1826">
        <v>-1.2494781632658576</v>
      </c>
      <c r="CN897" s="864"/>
      <c r="CO897" s="1103"/>
      <c r="CR897" s="1823">
        <v>-1.9297956369637972</v>
      </c>
      <c r="CT897" s="864"/>
      <c r="CU897" s="1103"/>
      <c r="CV897" s="1099"/>
      <c r="CW897" s="1099"/>
      <c r="CX897" s="1823">
        <v>-1.1053464321357067</v>
      </c>
      <c r="CY897" s="1099"/>
      <c r="CZ897" s="864"/>
      <c r="DA897" s="1103"/>
      <c r="DB897" s="1099"/>
    </row>
    <row r="898" spans="87:106">
      <c r="CI898" s="888">
        <v>439</v>
      </c>
      <c r="CJ898" s="4" t="s">
        <v>1695</v>
      </c>
      <c r="CL898" s="1826">
        <v>-1.9109895621713888</v>
      </c>
      <c r="CN898" s="864"/>
      <c r="CO898" s="1103"/>
      <c r="CR898" s="1823">
        <v>-1.7802981352220448</v>
      </c>
      <c r="CT898" s="864"/>
      <c r="CU898" s="1103"/>
      <c r="CV898" s="1099"/>
      <c r="CW898" s="1099"/>
      <c r="CX898" s="1823">
        <v>1.7481392781058975</v>
      </c>
      <c r="CY898" s="1099"/>
      <c r="CZ898" s="864"/>
      <c r="DA898" s="1103"/>
      <c r="DB898" s="1099"/>
    </row>
    <row r="899" spans="87:106">
      <c r="CI899" s="888">
        <v>439</v>
      </c>
      <c r="CJ899" s="4" t="s">
        <v>1696</v>
      </c>
      <c r="CL899" s="1826">
        <v>-1.6888234755296763</v>
      </c>
      <c r="CN899" s="864"/>
      <c r="CO899" s="1103"/>
      <c r="CR899" s="1823">
        <v>0.22358356926942013</v>
      </c>
      <c r="CT899" s="864"/>
      <c r="CU899" s="1103"/>
      <c r="CV899" s="1099"/>
      <c r="CW899" s="1099"/>
      <c r="CX899" s="1823">
        <v>4.8489795101961697</v>
      </c>
      <c r="CY899" s="1099"/>
      <c r="CZ899" s="864"/>
      <c r="DA899" s="1103"/>
      <c r="DB899" s="1099"/>
    </row>
    <row r="900" spans="87:106">
      <c r="CI900" s="888">
        <v>439</v>
      </c>
      <c r="CJ900" s="1091" t="s">
        <v>1697</v>
      </c>
      <c r="CL900" s="1826">
        <v>-3.4746619705206259</v>
      </c>
      <c r="CN900" s="1104"/>
      <c r="CO900" s="1105"/>
      <c r="CR900" s="1824">
        <v>-4.0197679078673882</v>
      </c>
      <c r="CT900" s="1104"/>
      <c r="CU900" s="1105"/>
      <c r="CV900" s="1100"/>
      <c r="CW900" s="1100"/>
      <c r="CX900" s="1824">
        <v>1.5814565291451066</v>
      </c>
      <c r="CY900" s="1100"/>
      <c r="CZ900" s="1104"/>
      <c r="DA900" s="1105"/>
      <c r="DB900" s="1100"/>
    </row>
    <row r="901" spans="87:106">
      <c r="CI901" s="888">
        <v>916</v>
      </c>
      <c r="CJ901" s="4" t="s">
        <v>1698</v>
      </c>
      <c r="CL901" s="1826"/>
      <c r="CN901" s="1099">
        <v>-0.59115514163590177</v>
      </c>
      <c r="CO901" s="1106">
        <v>0.39</v>
      </c>
      <c r="CR901" s="1822"/>
      <c r="CT901" s="1102">
        <v>-2.2179554084156923</v>
      </c>
      <c r="CU901" s="1106">
        <v>0.15</v>
      </c>
      <c r="CV901" s="863"/>
      <c r="CW901" s="863"/>
      <c r="CX901" s="1822" t="e">
        <v>#N/A</v>
      </c>
      <c r="CY901" s="863"/>
      <c r="CZ901" s="1099">
        <v>2.9480734105615696</v>
      </c>
      <c r="DA901" s="1106">
        <v>0.97</v>
      </c>
      <c r="DB901" s="863"/>
    </row>
    <row r="902" spans="87:106">
      <c r="CI902" s="888">
        <v>916</v>
      </c>
      <c r="CJ902" s="4"/>
      <c r="CL902" s="1826"/>
      <c r="CN902" s="1102"/>
      <c r="CO902" s="1103"/>
      <c r="CR902" s="1822"/>
      <c r="CT902" s="1102"/>
      <c r="CU902" s="1103"/>
      <c r="CV902" s="863"/>
      <c r="CW902" s="863"/>
      <c r="CX902" s="1822" t="e">
        <v>#N/A</v>
      </c>
      <c r="CY902" s="863"/>
      <c r="CZ902" s="1102"/>
      <c r="DA902" s="1103"/>
      <c r="DB902" s="863"/>
    </row>
    <row r="903" spans="87:106">
      <c r="CI903" s="888">
        <v>916</v>
      </c>
      <c r="CJ903" s="4"/>
      <c r="CL903" s="1826"/>
      <c r="CN903" s="1102"/>
      <c r="CO903" s="1103"/>
      <c r="CR903" s="1822"/>
      <c r="CT903" s="1102"/>
      <c r="CU903" s="1103"/>
      <c r="CV903" s="863"/>
      <c r="CW903" s="863"/>
      <c r="CX903" s="1822" t="e">
        <v>#N/A</v>
      </c>
      <c r="CY903" s="863"/>
      <c r="CZ903" s="1102"/>
      <c r="DA903" s="1103"/>
      <c r="DB903" s="863"/>
    </row>
    <row r="904" spans="87:106">
      <c r="CI904" s="888">
        <v>916</v>
      </c>
      <c r="CJ904" s="4"/>
      <c r="CL904" s="1826"/>
      <c r="CN904" s="1102"/>
      <c r="CO904" s="1103"/>
      <c r="CR904" s="1825"/>
      <c r="CT904" s="1102"/>
      <c r="CU904" s="1103"/>
      <c r="CV904" s="1099"/>
      <c r="CW904" s="1099"/>
      <c r="CX904" s="1825" t="e">
        <v>#N/A</v>
      </c>
      <c r="CY904" s="1099"/>
      <c r="CZ904" s="1102"/>
      <c r="DA904" s="1103"/>
      <c r="DB904" s="1099"/>
    </row>
    <row r="905" spans="87:106">
      <c r="CI905" s="888">
        <v>916</v>
      </c>
      <c r="CJ905" s="4" t="s">
        <v>2466</v>
      </c>
      <c r="CL905" s="1826">
        <v>2.9372628028176386</v>
      </c>
      <c r="CN905" s="1102"/>
      <c r="CO905" s="1103"/>
      <c r="CR905" s="1823">
        <v>-2.2179554084156923</v>
      </c>
      <c r="CT905" s="1102"/>
      <c r="CU905" s="1103"/>
      <c r="CV905" s="1099"/>
      <c r="CW905" s="1099"/>
      <c r="CX905" s="1823">
        <v>-0.57397403409597736</v>
      </c>
      <c r="CY905" s="1099"/>
      <c r="CZ905" s="1102"/>
      <c r="DA905" s="1103"/>
      <c r="DB905" s="1099"/>
    </row>
    <row r="906" spans="87:106">
      <c r="CI906" s="888">
        <v>916</v>
      </c>
      <c r="CJ906" s="4" t="s">
        <v>2334</v>
      </c>
      <c r="CL906" s="1826">
        <v>-2.066951929507042</v>
      </c>
      <c r="CN906" s="1102"/>
      <c r="CO906" s="1103"/>
      <c r="CR906" s="1823">
        <v>-2.5425515234030174</v>
      </c>
      <c r="CT906" s="1102"/>
      <c r="CU906" s="1103"/>
      <c r="CV906" s="1099"/>
      <c r="CW906" s="1099"/>
      <c r="CX906" s="1823">
        <v>2.9480734105615696</v>
      </c>
      <c r="CY906" s="1099"/>
      <c r="CZ906" s="1102"/>
      <c r="DA906" s="1103"/>
      <c r="DB906" s="1099"/>
    </row>
    <row r="907" spans="87:106">
      <c r="CI907" s="888">
        <v>916</v>
      </c>
      <c r="CJ907" s="4" t="s">
        <v>1699</v>
      </c>
      <c r="CL907" s="1826">
        <v>-4.9450235097408672</v>
      </c>
      <c r="CN907" s="1102"/>
      <c r="CO907" s="1103"/>
      <c r="CR907" s="1823">
        <v>-9.4990637562585434</v>
      </c>
      <c r="CT907" s="1102"/>
      <c r="CU907" s="1103"/>
      <c r="CV907" s="1099"/>
      <c r="CW907" s="1099"/>
      <c r="CX907" s="1823">
        <v>-4.8604998080619071</v>
      </c>
      <c r="CY907" s="1099"/>
      <c r="CZ907" s="1102"/>
      <c r="DA907" s="1103"/>
      <c r="DB907" s="1099"/>
    </row>
    <row r="908" spans="87:106">
      <c r="CI908" s="888">
        <v>916</v>
      </c>
      <c r="CJ908" s="4" t="s">
        <v>1700</v>
      </c>
      <c r="CL908" s="1826">
        <v>-1.3499999999996639</v>
      </c>
      <c r="CN908" s="1102"/>
      <c r="CO908" s="1103"/>
      <c r="CR908" s="1823">
        <v>-2.8924464736536573</v>
      </c>
      <c r="CT908" s="1102"/>
      <c r="CU908" s="1103"/>
      <c r="CV908" s="1099"/>
      <c r="CW908" s="1099"/>
      <c r="CX908" s="1823">
        <v>3.7131847865206242</v>
      </c>
      <c r="CY908" s="1099"/>
      <c r="CZ908" s="1102"/>
      <c r="DA908" s="1103"/>
      <c r="DB908" s="1099"/>
    </row>
    <row r="909" spans="87:106">
      <c r="CI909" s="888">
        <v>916</v>
      </c>
      <c r="CJ909" s="4" t="s">
        <v>1701</v>
      </c>
      <c r="CL909" s="1826">
        <v>-1.0000044881053327E-7</v>
      </c>
      <c r="CN909" s="864"/>
      <c r="CO909" s="1103"/>
      <c r="CR909" s="1823">
        <v>0.14940265304972122</v>
      </c>
      <c r="CT909" s="864"/>
      <c r="CU909" s="1103"/>
      <c r="CV909" s="1099"/>
      <c r="CW909" s="1099"/>
      <c r="CX909" s="1823">
        <v>5.3884678595032494</v>
      </c>
      <c r="CY909" s="1099"/>
      <c r="CZ909" s="864"/>
      <c r="DA909" s="1103"/>
      <c r="DB909" s="1099"/>
    </row>
    <row r="910" spans="87:106">
      <c r="CI910" s="888">
        <v>916</v>
      </c>
      <c r="CJ910" s="4" t="s">
        <v>1702</v>
      </c>
      <c r="CL910" s="1826">
        <v>-0.59115514163590177</v>
      </c>
      <c r="CN910" s="864"/>
      <c r="CO910" s="1103"/>
      <c r="CR910" s="1823">
        <v>1.6682105115271573</v>
      </c>
      <c r="CT910" s="864"/>
      <c r="CU910" s="1103"/>
      <c r="CV910" s="1099"/>
      <c r="CW910" s="1099"/>
      <c r="CX910" s="1823">
        <v>1.3635981454496626</v>
      </c>
      <c r="CY910" s="1099"/>
      <c r="CZ910" s="864"/>
      <c r="DA910" s="1103"/>
      <c r="DB910" s="1099"/>
    </row>
    <row r="911" spans="87:106">
      <c r="CI911" s="888">
        <v>916</v>
      </c>
      <c r="CJ911" s="4" t="s">
        <v>1703</v>
      </c>
      <c r="CL911" s="1826">
        <v>3.2999999999995246</v>
      </c>
      <c r="CN911" s="864"/>
      <c r="CO911" s="1103"/>
      <c r="CR911" s="1823">
        <v>8.6010583684354796</v>
      </c>
      <c r="CT911" s="864"/>
      <c r="CU911" s="1103"/>
      <c r="CV911" s="1099"/>
      <c r="CW911" s="1099"/>
      <c r="CX911" s="1823">
        <v>7.8696530010215309</v>
      </c>
      <c r="CY911" s="1099"/>
      <c r="CZ911" s="864"/>
      <c r="DA911" s="1103"/>
      <c r="DB911" s="1099"/>
    </row>
    <row r="912" spans="87:106">
      <c r="CI912" s="888">
        <v>916</v>
      </c>
      <c r="CJ912" s="4" t="s">
        <v>1704</v>
      </c>
      <c r="CL912" s="1826">
        <v>5.7513162242537135</v>
      </c>
      <c r="CN912" s="864"/>
      <c r="CO912" s="1103"/>
      <c r="CR912" s="1823">
        <v>2.3972855671346918</v>
      </c>
      <c r="CT912" s="864"/>
      <c r="CU912" s="1103"/>
      <c r="CV912" s="1099"/>
      <c r="CW912" s="1099"/>
      <c r="CX912" s="1823">
        <v>7.1886808534233602</v>
      </c>
      <c r="CY912" s="1099"/>
      <c r="CZ912" s="864"/>
      <c r="DA912" s="1103"/>
      <c r="DB912" s="1099"/>
    </row>
    <row r="913" spans="87:106">
      <c r="CI913" s="888">
        <v>916</v>
      </c>
      <c r="CJ913" s="1091" t="s">
        <v>1705</v>
      </c>
      <c r="CL913" s="1826">
        <v>-5.8186782569930831</v>
      </c>
      <c r="CN913" s="1104"/>
      <c r="CO913" s="1105"/>
      <c r="CR913" s="1824">
        <v>-5.9555751073981389</v>
      </c>
      <c r="CT913" s="1104"/>
      <c r="CU913" s="1105"/>
      <c r="CV913" s="1100"/>
      <c r="CW913" s="1100"/>
      <c r="CX913" s="1824">
        <v>-3.1055250391727078</v>
      </c>
      <c r="CY913" s="1100"/>
      <c r="CZ913" s="1104"/>
      <c r="DA913" s="1105"/>
      <c r="DB913" s="1100"/>
    </row>
    <row r="914" spans="87:106">
      <c r="CI914" s="888">
        <v>664</v>
      </c>
      <c r="CJ914" s="4" t="s">
        <v>1706</v>
      </c>
      <c r="CL914" s="1826"/>
      <c r="CN914" s="1099">
        <v>-0.9111394160224382</v>
      </c>
      <c r="CO914" s="1106">
        <v>0.26</v>
      </c>
      <c r="CR914" s="1822"/>
      <c r="CT914" s="1102">
        <v>-1.7842241883064895</v>
      </c>
      <c r="CU914" s="1106">
        <v>0.18</v>
      </c>
      <c r="CV914" s="863"/>
      <c r="CW914" s="863"/>
      <c r="CX914" s="1822" t="e">
        <v>#N/A</v>
      </c>
      <c r="CY914" s="863"/>
      <c r="CZ914" s="1099">
        <v>1.48626672409286</v>
      </c>
      <c r="DA914" s="1106">
        <v>0.92</v>
      </c>
      <c r="DB914" s="863"/>
    </row>
    <row r="915" spans="87:106">
      <c r="CI915" s="888">
        <v>664</v>
      </c>
      <c r="CJ915" s="4"/>
      <c r="CL915" s="1826"/>
      <c r="CN915" s="1102"/>
      <c r="CO915" s="1103"/>
      <c r="CR915" s="1822"/>
      <c r="CT915" s="1102"/>
      <c r="CU915" s="1103"/>
      <c r="CV915" s="863"/>
      <c r="CW915" s="863"/>
      <c r="CX915" s="1822" t="e">
        <v>#N/A</v>
      </c>
      <c r="CY915" s="863"/>
      <c r="CZ915" s="1102"/>
      <c r="DA915" s="1103"/>
      <c r="DB915" s="863"/>
    </row>
    <row r="916" spans="87:106">
      <c r="CI916" s="888">
        <v>664</v>
      </c>
      <c r="CJ916" s="4"/>
      <c r="CL916" s="1826"/>
      <c r="CN916" s="1102"/>
      <c r="CO916" s="1103"/>
      <c r="CR916" s="1822"/>
      <c r="CT916" s="1102"/>
      <c r="CU916" s="1103"/>
      <c r="CV916" s="863"/>
      <c r="CW916" s="863"/>
      <c r="CX916" s="1822" t="e">
        <v>#N/A</v>
      </c>
      <c r="CY916" s="863"/>
      <c r="CZ916" s="1102"/>
      <c r="DA916" s="1103"/>
      <c r="DB916" s="863"/>
    </row>
    <row r="917" spans="87:106">
      <c r="CI917" s="888">
        <v>664</v>
      </c>
      <c r="CJ917" s="4"/>
      <c r="CL917" s="1826"/>
      <c r="CN917" s="1102"/>
      <c r="CO917" s="1103"/>
      <c r="CR917" s="1825"/>
      <c r="CT917" s="1102"/>
      <c r="CU917" s="1103"/>
      <c r="CV917" s="1099"/>
      <c r="CW917" s="1099"/>
      <c r="CX917" s="1825" t="e">
        <v>#N/A</v>
      </c>
      <c r="CY917" s="1099"/>
      <c r="CZ917" s="1102"/>
      <c r="DA917" s="1103"/>
      <c r="DB917" s="1099"/>
    </row>
    <row r="918" spans="87:106">
      <c r="CI918" s="888">
        <v>664</v>
      </c>
      <c r="CJ918" s="4" t="s">
        <v>2467</v>
      </c>
      <c r="CL918" s="1826">
        <v>-1.3226717894905065</v>
      </c>
      <c r="CN918" s="1102"/>
      <c r="CO918" s="1103"/>
      <c r="CR918" s="1823">
        <v>-1.7842241883064895</v>
      </c>
      <c r="CT918" s="1102"/>
      <c r="CU918" s="1103"/>
      <c r="CV918" s="1099"/>
      <c r="CW918" s="1099"/>
      <c r="CX918" s="1823">
        <v>3.8214768067430906</v>
      </c>
      <c r="CY918" s="1099"/>
      <c r="CZ918" s="1102"/>
      <c r="DA918" s="1103"/>
      <c r="DB918" s="1099"/>
    </row>
    <row r="919" spans="87:106">
      <c r="CI919" s="888">
        <v>664</v>
      </c>
      <c r="CJ919" s="4" t="s">
        <v>2335</v>
      </c>
      <c r="CL919" s="1826">
        <v>-1.3070042954046688</v>
      </c>
      <c r="CN919" s="1102"/>
      <c r="CO919" s="1103"/>
      <c r="CR919" s="1823">
        <v>-1.228770191711444</v>
      </c>
      <c r="CT919" s="1102"/>
      <c r="CU919" s="1103"/>
      <c r="CV919" s="1099"/>
      <c r="CW919" s="1099"/>
      <c r="CX919" s="1823">
        <v>1.5524501485283633</v>
      </c>
      <c r="CY919" s="1099"/>
      <c r="CZ919" s="1102"/>
      <c r="DA919" s="1103"/>
      <c r="DB919" s="1099"/>
    </row>
    <row r="920" spans="87:106">
      <c r="CI920" s="888">
        <v>664</v>
      </c>
      <c r="CJ920" s="4" t="s">
        <v>1707</v>
      </c>
      <c r="CL920" s="1826">
        <v>-0.67195978904907872</v>
      </c>
      <c r="CN920" s="1102"/>
      <c r="CO920" s="1103"/>
      <c r="CR920" s="1823">
        <v>-2.5358360632585564</v>
      </c>
      <c r="CT920" s="1102"/>
      <c r="CU920" s="1103"/>
      <c r="CV920" s="1099"/>
      <c r="CW920" s="1099"/>
      <c r="CX920" s="1823">
        <v>1.48626672409286</v>
      </c>
      <c r="CY920" s="1099"/>
      <c r="CZ920" s="1102"/>
      <c r="DA920" s="1103"/>
      <c r="DB920" s="1099"/>
    </row>
    <row r="921" spans="87:106">
      <c r="CI921" s="888">
        <v>664</v>
      </c>
      <c r="CJ921" s="4" t="s">
        <v>1708</v>
      </c>
      <c r="CL921" s="1826">
        <v>-0.9111394160224382</v>
      </c>
      <c r="CN921" s="1102"/>
      <c r="CO921" s="1103"/>
      <c r="CR921" s="1823">
        <v>-2.7976853428357273</v>
      </c>
      <c r="CT921" s="1102"/>
      <c r="CU921" s="1103"/>
      <c r="CV921" s="1099"/>
      <c r="CW921" s="1099"/>
      <c r="CX921" s="1823">
        <v>1.4992036037957313</v>
      </c>
      <c r="CY921" s="1099"/>
      <c r="CZ921" s="1102"/>
      <c r="DA921" s="1103"/>
      <c r="DB921" s="1099"/>
    </row>
    <row r="922" spans="87:106">
      <c r="CI922" s="888">
        <v>664</v>
      </c>
      <c r="CJ922" s="4" t="s">
        <v>1709</v>
      </c>
      <c r="CL922" s="1826">
        <v>4.1900657274798192E-2</v>
      </c>
      <c r="CN922" s="864"/>
      <c r="CO922" s="1103"/>
      <c r="CR922" s="1823">
        <v>-1.8463167472128041</v>
      </c>
      <c r="CT922" s="864"/>
      <c r="CU922" s="1103"/>
      <c r="CV922" s="1099"/>
      <c r="CW922" s="1099"/>
      <c r="CX922" s="1823">
        <v>-4.0143449484396285</v>
      </c>
      <c r="CY922" s="1099"/>
      <c r="CZ922" s="864"/>
      <c r="DA922" s="1103"/>
      <c r="DB922" s="1099"/>
    </row>
    <row r="923" spans="87:106">
      <c r="CI923" s="888">
        <v>664</v>
      </c>
      <c r="CJ923" s="4" t="s">
        <v>1710</v>
      </c>
      <c r="CL923" s="1826">
        <v>-1.9756593128327351</v>
      </c>
      <c r="CN923" s="864"/>
      <c r="CO923" s="1103"/>
      <c r="CR923" s="1823">
        <v>-1.2486182990154924</v>
      </c>
      <c r="CT923" s="864"/>
      <c r="CU923" s="1103"/>
      <c r="CV923" s="1099"/>
      <c r="CW923" s="1099"/>
      <c r="CX923" s="1823">
        <v>1.3278921093903406</v>
      </c>
      <c r="CY923" s="1099"/>
      <c r="CZ923" s="864"/>
      <c r="DA923" s="1103"/>
      <c r="DB923" s="1099"/>
    </row>
    <row r="924" spans="87:106">
      <c r="CI924" s="888">
        <v>664</v>
      </c>
      <c r="CJ924" s="4" t="s">
        <v>1711</v>
      </c>
      <c r="CL924" s="1826">
        <v>-1.4023467511222112</v>
      </c>
      <c r="CN924" s="864"/>
      <c r="CO924" s="1103"/>
      <c r="CR924" s="1823">
        <v>-0.45421643913796217</v>
      </c>
      <c r="CT924" s="864"/>
      <c r="CU924" s="1103"/>
      <c r="CV924" s="1099"/>
      <c r="CW924" s="1099"/>
      <c r="CX924" s="1823">
        <v>9.5273844125773799</v>
      </c>
      <c r="CY924" s="1099"/>
      <c r="CZ924" s="864"/>
      <c r="DA924" s="1103"/>
      <c r="DB924" s="1099"/>
    </row>
    <row r="925" spans="87:106">
      <c r="CI925" s="888">
        <v>664</v>
      </c>
      <c r="CJ925" s="4" t="s">
        <v>1712</v>
      </c>
      <c r="CL925" s="1826">
        <v>1.542654560018331</v>
      </c>
      <c r="CN925" s="864"/>
      <c r="CO925" s="1103"/>
      <c r="CR925" s="1823">
        <v>-1.3547411979255317</v>
      </c>
      <c r="CT925" s="864"/>
      <c r="CU925" s="1103"/>
      <c r="CV925" s="1099"/>
      <c r="CW925" s="1099"/>
      <c r="CX925" s="1823">
        <v>-7.0050706577724249</v>
      </c>
      <c r="CY925" s="1099"/>
      <c r="CZ925" s="864"/>
      <c r="DA925" s="1103"/>
      <c r="DB925" s="1099"/>
    </row>
    <row r="926" spans="87:106">
      <c r="CI926" s="888">
        <v>664</v>
      </c>
      <c r="CJ926" s="1091" t="s">
        <v>1713</v>
      </c>
      <c r="CL926" s="1826">
        <v>-0.84784720216125775</v>
      </c>
      <c r="CN926" s="1104"/>
      <c r="CO926" s="1105"/>
      <c r="CR926" s="1824">
        <v>-2.6890107110898818</v>
      </c>
      <c r="CT926" s="1104"/>
      <c r="CU926" s="1105"/>
      <c r="CV926" s="1100"/>
      <c r="CW926" s="1100"/>
      <c r="CX926" s="1824">
        <v>-0.73038289480023266</v>
      </c>
      <c r="CY926" s="1100"/>
      <c r="CZ926" s="1104"/>
      <c r="DA926" s="1105"/>
      <c r="DB926" s="1100"/>
    </row>
    <row r="927" spans="87:106">
      <c r="CI927" s="888">
        <v>542</v>
      </c>
      <c r="CJ927" s="4" t="s">
        <v>1714</v>
      </c>
      <c r="CL927" s="1826"/>
      <c r="CN927" s="1099">
        <v>-0.97974822333170053</v>
      </c>
      <c r="CO927" s="1106">
        <v>0.25</v>
      </c>
      <c r="CR927" s="1822"/>
      <c r="CT927" s="1102">
        <v>-1.650359286966133</v>
      </c>
      <c r="CU927" s="1106">
        <v>0.22</v>
      </c>
      <c r="CV927" s="863"/>
      <c r="CW927" s="863"/>
      <c r="CX927" s="1822" t="e">
        <v>#N/A</v>
      </c>
      <c r="CY927" s="863"/>
      <c r="CZ927" s="1099">
        <v>0.48032453673086106</v>
      </c>
      <c r="DA927" s="1106">
        <v>0.77</v>
      </c>
      <c r="DB927" s="863"/>
    </row>
    <row r="928" spans="87:106">
      <c r="CI928" s="888">
        <v>542</v>
      </c>
      <c r="CJ928" s="4"/>
      <c r="CL928" s="1826"/>
      <c r="CN928" s="1102"/>
      <c r="CO928" s="1103"/>
      <c r="CR928" s="1822"/>
      <c r="CT928" s="1102"/>
      <c r="CU928" s="1103"/>
      <c r="CV928" s="863"/>
      <c r="CW928" s="863"/>
      <c r="CX928" s="1822" t="e">
        <v>#N/A</v>
      </c>
      <c r="CY928" s="863"/>
      <c r="CZ928" s="1102"/>
      <c r="DA928" s="1103"/>
      <c r="DB928" s="863"/>
    </row>
    <row r="929" spans="87:106">
      <c r="CI929" s="888">
        <v>542</v>
      </c>
      <c r="CJ929" s="4"/>
      <c r="CL929" s="1826"/>
      <c r="CN929" s="1102"/>
      <c r="CO929" s="1103"/>
      <c r="CR929" s="1822"/>
      <c r="CT929" s="1102"/>
      <c r="CU929" s="1103"/>
      <c r="CV929" s="863"/>
      <c r="CW929" s="863"/>
      <c r="CX929" s="1822" t="e">
        <v>#N/A</v>
      </c>
      <c r="CY929" s="863"/>
      <c r="CZ929" s="1102"/>
      <c r="DA929" s="1103"/>
      <c r="DB929" s="863"/>
    </row>
    <row r="930" spans="87:106">
      <c r="CI930" s="888">
        <v>542</v>
      </c>
      <c r="CJ930" s="4"/>
      <c r="CL930" s="1826"/>
      <c r="CN930" s="1102"/>
      <c r="CO930" s="1103"/>
      <c r="CR930" s="1825"/>
      <c r="CT930" s="1102"/>
      <c r="CU930" s="1103"/>
      <c r="CV930" s="1099"/>
      <c r="CW930" s="1099"/>
      <c r="CX930" s="1825" t="e">
        <v>#N/A</v>
      </c>
      <c r="CY930" s="1099"/>
      <c r="CZ930" s="1102"/>
      <c r="DA930" s="1103"/>
      <c r="DB930" s="1099"/>
    </row>
    <row r="931" spans="87:106">
      <c r="CI931" s="888">
        <v>542</v>
      </c>
      <c r="CJ931" s="4" t="s">
        <v>2468</v>
      </c>
      <c r="CL931" s="1826">
        <v>0.21656980477685162</v>
      </c>
      <c r="CN931" s="1102"/>
      <c r="CO931" s="1103"/>
      <c r="CR931" s="1823">
        <v>0.11250337323784987</v>
      </c>
      <c r="CT931" s="1102"/>
      <c r="CU931" s="1103"/>
      <c r="CV931" s="1099"/>
      <c r="CW931" s="1099"/>
      <c r="CX931" s="1823">
        <v>0.8971141264258331</v>
      </c>
      <c r="CY931" s="1099"/>
      <c r="CZ931" s="1102"/>
      <c r="DA931" s="1103"/>
      <c r="DB931" s="1099"/>
    </row>
    <row r="932" spans="87:106">
      <c r="CI932" s="888">
        <v>542</v>
      </c>
      <c r="CJ932" s="4" t="s">
        <v>2336</v>
      </c>
      <c r="CL932" s="1826">
        <v>-0.63199692810787633</v>
      </c>
      <c r="CN932" s="1102"/>
      <c r="CO932" s="1103"/>
      <c r="CR932" s="1823">
        <v>0.57877764899360717</v>
      </c>
      <c r="CT932" s="1102"/>
      <c r="CU932" s="1103"/>
      <c r="CV932" s="1099"/>
      <c r="CW932" s="1099"/>
      <c r="CX932" s="1823">
        <v>0.62227979435641068</v>
      </c>
      <c r="CY932" s="1099"/>
      <c r="CZ932" s="1102"/>
      <c r="DA932" s="1103"/>
      <c r="DB932" s="1099"/>
    </row>
    <row r="933" spans="87:106">
      <c r="CI933" s="888">
        <v>542</v>
      </c>
      <c r="CJ933" s="4" t="s">
        <v>1715</v>
      </c>
      <c r="CL933" s="1826">
        <v>-1.006223168621899</v>
      </c>
      <c r="CN933" s="1102"/>
      <c r="CO933" s="1103"/>
      <c r="CR933" s="1823">
        <v>-1.0887119339397415</v>
      </c>
      <c r="CT933" s="1102"/>
      <c r="CU933" s="1103"/>
      <c r="CV933" s="1099"/>
      <c r="CW933" s="1099"/>
      <c r="CX933" s="1823">
        <v>0.8775555805173465</v>
      </c>
      <c r="CY933" s="1099"/>
      <c r="CZ933" s="1102"/>
      <c r="DA933" s="1103"/>
      <c r="DB933" s="1099"/>
    </row>
    <row r="934" spans="87:106">
      <c r="CI934" s="888">
        <v>542</v>
      </c>
      <c r="CJ934" s="4" t="s">
        <v>1716</v>
      </c>
      <c r="CL934" s="1826">
        <v>-0.58435004307464977</v>
      </c>
      <c r="CN934" s="1102"/>
      <c r="CO934" s="1103"/>
      <c r="CR934" s="1823">
        <v>-2.156894593817011</v>
      </c>
      <c r="CT934" s="1102"/>
      <c r="CU934" s="1103"/>
      <c r="CV934" s="1099"/>
      <c r="CW934" s="1099"/>
      <c r="CX934" s="1823">
        <v>-1.8290697372674245</v>
      </c>
      <c r="CY934" s="1099"/>
      <c r="CZ934" s="1102"/>
      <c r="DA934" s="1103"/>
      <c r="DB934" s="1099"/>
    </row>
    <row r="935" spans="87:106">
      <c r="CI935" s="888">
        <v>542</v>
      </c>
      <c r="CJ935" s="4" t="s">
        <v>1717</v>
      </c>
      <c r="CL935" s="1826">
        <v>-0.97974822333170053</v>
      </c>
      <c r="CN935" s="864"/>
      <c r="CO935" s="1103"/>
      <c r="CR935" s="1823">
        <v>-2.2580581651214886</v>
      </c>
      <c r="CT935" s="864"/>
      <c r="CU935" s="1103"/>
      <c r="CV935" s="1099"/>
      <c r="CW935" s="1099"/>
      <c r="CX935" s="1823">
        <v>-2.269931075865411</v>
      </c>
      <c r="CY935" s="1099"/>
      <c r="CZ935" s="864"/>
      <c r="DA935" s="1103"/>
      <c r="DB935" s="1099"/>
    </row>
    <row r="936" spans="87:106">
      <c r="CI936" s="888">
        <v>542</v>
      </c>
      <c r="CJ936" s="4" t="s">
        <v>1718</v>
      </c>
      <c r="CL936" s="1826">
        <v>-2.1389788689745171</v>
      </c>
      <c r="CN936" s="864"/>
      <c r="CO936" s="1103"/>
      <c r="CR936" s="1823">
        <v>-2.8874018328300428</v>
      </c>
      <c r="CT936" s="864"/>
      <c r="CU936" s="1103"/>
      <c r="CV936" s="1099"/>
      <c r="CW936" s="1099"/>
      <c r="CX936" s="1823">
        <v>-1.8984241622092892</v>
      </c>
      <c r="CY936" s="1099"/>
      <c r="CZ936" s="864"/>
      <c r="DA936" s="1103"/>
      <c r="DB936" s="1099"/>
    </row>
    <row r="937" spans="87:106">
      <c r="CI937" s="888">
        <v>542</v>
      </c>
      <c r="CJ937" s="4" t="s">
        <v>1719</v>
      </c>
      <c r="CL937" s="1826">
        <v>-1.4112331009859229</v>
      </c>
      <c r="CN937" s="864"/>
      <c r="CO937" s="1103"/>
      <c r="CR937" s="1823">
        <v>-1.650359286966133</v>
      </c>
      <c r="CT937" s="864"/>
      <c r="CU937" s="1103"/>
      <c r="CV937" s="1099"/>
      <c r="CW937" s="1099"/>
      <c r="CX937" s="1823">
        <v>-0.73490378715021376</v>
      </c>
      <c r="CY937" s="1099"/>
      <c r="CZ937" s="864"/>
      <c r="DA937" s="1103"/>
      <c r="DB937" s="1099"/>
    </row>
    <row r="938" spans="87:106">
      <c r="CI938" s="888">
        <v>542</v>
      </c>
      <c r="CJ938" s="4" t="s">
        <v>1720</v>
      </c>
      <c r="CL938" s="1826">
        <v>4.7877405133842839</v>
      </c>
      <c r="CN938" s="864"/>
      <c r="CO938" s="1103"/>
      <c r="CR938" s="1823" t="s">
        <v>1218</v>
      </c>
      <c r="CT938" s="864"/>
      <c r="CU938" s="1103"/>
      <c r="CV938" s="1099"/>
      <c r="CW938" s="1099"/>
      <c r="CX938" s="1823">
        <v>1.1351496835883679</v>
      </c>
      <c r="CY938" s="1099"/>
      <c r="CZ938" s="864"/>
      <c r="DA938" s="1103"/>
      <c r="DB938" s="1099"/>
    </row>
    <row r="939" spans="87:106">
      <c r="CI939" s="888">
        <v>542</v>
      </c>
      <c r="CJ939" s="1091" t="s">
        <v>1721</v>
      </c>
      <c r="CL939" s="1826">
        <v>-4.1601315097558862</v>
      </c>
      <c r="CN939" s="1104"/>
      <c r="CO939" s="1105"/>
      <c r="CR939" s="1824" t="s">
        <v>1218</v>
      </c>
      <c r="CT939" s="1104"/>
      <c r="CU939" s="1105"/>
      <c r="CV939" s="1100"/>
      <c r="CW939" s="1100"/>
      <c r="CX939" s="1824">
        <v>0.48032453673086106</v>
      </c>
      <c r="CY939" s="1100"/>
      <c r="CZ939" s="1104"/>
      <c r="DA939" s="1105"/>
      <c r="DB939" s="1100"/>
    </row>
    <row r="940" spans="87:106">
      <c r="CI940" s="888">
        <v>967</v>
      </c>
      <c r="CJ940" s="4" t="s">
        <v>1722</v>
      </c>
      <c r="CL940" s="1826"/>
      <c r="CN940" s="1099">
        <v>-0.45004697776223601</v>
      </c>
      <c r="CO940" s="1106">
        <v>0.45</v>
      </c>
      <c r="CR940" s="1822"/>
      <c r="CT940" s="1102">
        <v>1.1915755972526003</v>
      </c>
      <c r="CU940" s="1106">
        <v>0.92</v>
      </c>
      <c r="CV940" s="863"/>
      <c r="CW940" s="863"/>
      <c r="CX940" s="1822" t="e">
        <v>#N/A</v>
      </c>
      <c r="CY940" s="863"/>
      <c r="CZ940" s="1099">
        <v>-0.53941882805204688</v>
      </c>
      <c r="DA940" s="1106">
        <v>0.42</v>
      </c>
      <c r="DB940" s="863"/>
    </row>
    <row r="941" spans="87:106">
      <c r="CI941" s="888">
        <v>967</v>
      </c>
      <c r="CJ941" s="4"/>
      <c r="CL941" s="1826"/>
      <c r="CN941" s="1102"/>
      <c r="CO941" s="1103"/>
      <c r="CR941" s="1822"/>
      <c r="CT941" s="1102"/>
      <c r="CU941" s="1103"/>
      <c r="CV941" s="863"/>
      <c r="CW941" s="863"/>
      <c r="CX941" s="1822" t="e">
        <v>#N/A</v>
      </c>
      <c r="CY941" s="863"/>
      <c r="CZ941" s="1102"/>
      <c r="DA941" s="1103"/>
      <c r="DB941" s="863"/>
    </row>
    <row r="942" spans="87:106">
      <c r="CI942" s="888">
        <v>967</v>
      </c>
      <c r="CJ942" s="4"/>
      <c r="CL942" s="1826"/>
      <c r="CN942" s="1102"/>
      <c r="CO942" s="1103"/>
      <c r="CR942" s="1822"/>
      <c r="CT942" s="1102"/>
      <c r="CU942" s="1103"/>
      <c r="CV942" s="863"/>
      <c r="CW942" s="863"/>
      <c r="CX942" s="1822" t="e">
        <v>#N/A</v>
      </c>
      <c r="CY942" s="863"/>
      <c r="CZ942" s="1102"/>
      <c r="DA942" s="1103"/>
      <c r="DB942" s="863"/>
    </row>
    <row r="943" spans="87:106">
      <c r="CI943" s="888">
        <v>967</v>
      </c>
      <c r="CJ943" s="4"/>
      <c r="CL943" s="1826"/>
      <c r="CN943" s="1102"/>
      <c r="CO943" s="1103"/>
      <c r="CR943" s="1825"/>
      <c r="CT943" s="1102"/>
      <c r="CU943" s="1103"/>
      <c r="CV943" s="1099"/>
      <c r="CW943" s="1099"/>
      <c r="CX943" s="1825" t="e">
        <v>#N/A</v>
      </c>
      <c r="CY943" s="1099"/>
      <c r="CZ943" s="1102"/>
      <c r="DA943" s="1103"/>
      <c r="DB943" s="1099"/>
    </row>
    <row r="944" spans="87:106">
      <c r="CI944" s="888">
        <v>967</v>
      </c>
      <c r="CJ944" s="4" t="s">
        <v>2469</v>
      </c>
      <c r="CL944" s="1826">
        <v>-0.17999999999986827</v>
      </c>
      <c r="CN944" s="1102"/>
      <c r="CO944" s="1103"/>
      <c r="CR944" s="1823">
        <v>1.1915755972526003</v>
      </c>
      <c r="CT944" s="1102"/>
      <c r="CU944" s="1103"/>
      <c r="CV944" s="1099"/>
      <c r="CW944" s="1099"/>
      <c r="CX944" s="1823">
        <v>-0.23016465730537017</v>
      </c>
      <c r="CY944" s="1099"/>
      <c r="CZ944" s="1102"/>
      <c r="DA944" s="1103"/>
      <c r="DB944" s="1099"/>
    </row>
    <row r="945" spans="87:106">
      <c r="CI945" s="888">
        <v>967</v>
      </c>
      <c r="CJ945" s="4" t="s">
        <v>2337</v>
      </c>
      <c r="CL945" s="1826">
        <v>0.56234348099902265</v>
      </c>
      <c r="CN945" s="1102"/>
      <c r="CO945" s="1103"/>
      <c r="CR945" s="1823">
        <v>2.7097418408986531</v>
      </c>
      <c r="CT945" s="1102"/>
      <c r="CU945" s="1103"/>
      <c r="CV945" s="1099"/>
      <c r="CW945" s="1099"/>
      <c r="CX945" s="1823">
        <v>-1.1153315471365022</v>
      </c>
      <c r="CY945" s="1099"/>
      <c r="CZ945" s="1102"/>
      <c r="DA945" s="1103"/>
      <c r="DB945" s="1099"/>
    </row>
    <row r="946" spans="87:106">
      <c r="CI946" s="888">
        <v>967</v>
      </c>
      <c r="CJ946" s="4" t="s">
        <v>1723</v>
      </c>
      <c r="CL946" s="1826">
        <v>-0.45004697776223601</v>
      </c>
      <c r="CN946" s="1102"/>
      <c r="CO946" s="1103"/>
      <c r="CR946" s="1823">
        <v>0.27740508555577548</v>
      </c>
      <c r="CT946" s="1102"/>
      <c r="CU946" s="1103"/>
      <c r="CV946" s="1099"/>
      <c r="CW946" s="1099"/>
      <c r="CX946" s="1823">
        <v>-1.7571031377830426</v>
      </c>
      <c r="CY946" s="1099"/>
      <c r="CZ946" s="1102"/>
      <c r="DA946" s="1103"/>
      <c r="DB946" s="1099"/>
    </row>
    <row r="947" spans="87:106">
      <c r="CI947" s="888">
        <v>967</v>
      </c>
      <c r="CJ947" s="4" t="s">
        <v>1724</v>
      </c>
      <c r="CL947" s="1826">
        <v>-3.1173842981333415</v>
      </c>
      <c r="CN947" s="1102"/>
      <c r="CO947" s="1103"/>
      <c r="CR947" s="1823" t="s">
        <v>1218</v>
      </c>
      <c r="CT947" s="1102"/>
      <c r="CU947" s="1103"/>
      <c r="CV947" s="1099"/>
      <c r="CW947" s="1099"/>
      <c r="CX947" s="1823">
        <v>1.2294842994042785</v>
      </c>
      <c r="CY947" s="1099"/>
      <c r="CZ947" s="1102"/>
      <c r="DA947" s="1103"/>
      <c r="DB947" s="1099"/>
    </row>
    <row r="948" spans="87:106">
      <c r="CI948" s="888">
        <v>967</v>
      </c>
      <c r="CJ948" s="4" t="s">
        <v>1725</v>
      </c>
      <c r="CL948" s="1826">
        <v>-0.71070728573477382</v>
      </c>
      <c r="CN948" s="864"/>
      <c r="CO948" s="1103"/>
      <c r="CR948" s="1823" t="s">
        <v>1218</v>
      </c>
      <c r="CT948" s="864"/>
      <c r="CU948" s="1103"/>
      <c r="CV948" s="1099"/>
      <c r="CW948" s="1099"/>
      <c r="CX948" s="1823">
        <v>-0.53941882805204688</v>
      </c>
      <c r="CY948" s="1099"/>
      <c r="CZ948" s="864"/>
      <c r="DA948" s="1103"/>
      <c r="DB948" s="1099"/>
    </row>
    <row r="949" spans="87:106">
      <c r="CI949" s="888">
        <v>967</v>
      </c>
      <c r="CJ949" s="4" t="s">
        <v>1726</v>
      </c>
      <c r="CL949" s="1826">
        <v>-2.6629442356100883</v>
      </c>
      <c r="CN949" s="864"/>
      <c r="CO949" s="1103"/>
      <c r="CR949" s="1823" t="s">
        <v>1218</v>
      </c>
      <c r="CT949" s="864"/>
      <c r="CU949" s="1103"/>
      <c r="CV949" s="1099"/>
      <c r="CW949" s="1099"/>
      <c r="CX949" s="1823">
        <v>-1.5288042818555128</v>
      </c>
      <c r="CY949" s="1099"/>
      <c r="CZ949" s="864"/>
      <c r="DA949" s="1103"/>
      <c r="DB949" s="1099"/>
    </row>
    <row r="950" spans="87:106">
      <c r="CI950" s="888">
        <v>967</v>
      </c>
      <c r="CJ950" s="4" t="s">
        <v>1727</v>
      </c>
      <c r="CL950" s="1826">
        <v>-1.3450015593555635</v>
      </c>
      <c r="CN950" s="864"/>
      <c r="CO950" s="1103"/>
      <c r="CR950" s="1823" t="s">
        <v>1218</v>
      </c>
      <c r="CT950" s="864"/>
      <c r="CU950" s="1103"/>
      <c r="CV950" s="1099"/>
      <c r="CW950" s="1099"/>
      <c r="CX950" s="1823">
        <v>2.8338546446564026</v>
      </c>
      <c r="CY950" s="1099"/>
      <c r="CZ950" s="864"/>
      <c r="DA950" s="1103"/>
      <c r="DB950" s="1099"/>
    </row>
    <row r="951" spans="87:106">
      <c r="CI951" s="888">
        <v>967</v>
      </c>
      <c r="CJ951" s="4" t="s">
        <v>1728</v>
      </c>
      <c r="CL951" s="1826">
        <v>3.8963508370097371</v>
      </c>
      <c r="CN951" s="864"/>
      <c r="CO951" s="1103"/>
      <c r="CR951" s="1823" t="s">
        <v>1218</v>
      </c>
      <c r="CT951" s="864"/>
      <c r="CU951" s="1103"/>
      <c r="CV951" s="1099"/>
      <c r="CW951" s="1099"/>
      <c r="CX951" s="1823" t="s">
        <v>1218</v>
      </c>
      <c r="CY951" s="1099"/>
      <c r="CZ951" s="864"/>
      <c r="DA951" s="1103"/>
      <c r="DB951" s="1099"/>
    </row>
    <row r="952" spans="87:106">
      <c r="CI952" s="888">
        <v>967</v>
      </c>
      <c r="CJ952" s="1091" t="s">
        <v>1729</v>
      </c>
      <c r="CL952" s="1826">
        <v>2.8604404309745544</v>
      </c>
      <c r="CN952" s="1104"/>
      <c r="CO952" s="1105"/>
      <c r="CR952" s="1824" t="s">
        <v>1218</v>
      </c>
      <c r="CT952" s="1104"/>
      <c r="CU952" s="1105"/>
      <c r="CV952" s="1100"/>
      <c r="CW952" s="1100"/>
      <c r="CX952" s="1824" t="s">
        <v>1218</v>
      </c>
      <c r="CY952" s="1100"/>
      <c r="CZ952" s="1104"/>
      <c r="DA952" s="1105"/>
      <c r="DB952" s="1100"/>
    </row>
    <row r="953" spans="87:106">
      <c r="CI953" s="888">
        <v>443</v>
      </c>
      <c r="CJ953" s="4" t="s">
        <v>1730</v>
      </c>
      <c r="CL953" s="1826"/>
      <c r="CN953" s="1099">
        <v>-0.36564594272218898</v>
      </c>
      <c r="CO953" s="1106">
        <v>0.48</v>
      </c>
      <c r="CR953" s="1822"/>
      <c r="CT953" s="1102">
        <v>3.1352705232958691</v>
      </c>
      <c r="CU953" s="1106">
        <v>0.98</v>
      </c>
      <c r="CV953" s="863"/>
      <c r="CW953" s="863"/>
      <c r="CX953" s="1822" t="e">
        <v>#N/A</v>
      </c>
      <c r="CY953" s="863"/>
      <c r="CZ953" s="1099">
        <v>1.2277447838901576</v>
      </c>
      <c r="DA953" s="1106">
        <v>0.88</v>
      </c>
      <c r="DB953" s="863"/>
    </row>
    <row r="954" spans="87:106">
      <c r="CI954" s="888">
        <v>443</v>
      </c>
      <c r="CJ954" s="4"/>
      <c r="CL954" s="1826"/>
      <c r="CN954" s="1102"/>
      <c r="CO954" s="1103"/>
      <c r="CR954" s="1822"/>
      <c r="CT954" s="1102"/>
      <c r="CU954" s="1103"/>
      <c r="CV954" s="863"/>
      <c r="CW954" s="863"/>
      <c r="CX954" s="1822" t="e">
        <v>#N/A</v>
      </c>
      <c r="CY954" s="863"/>
      <c r="CZ954" s="1102"/>
      <c r="DA954" s="1103"/>
      <c r="DB954" s="863"/>
    </row>
    <row r="955" spans="87:106">
      <c r="CI955" s="888">
        <v>443</v>
      </c>
      <c r="CJ955" s="4"/>
      <c r="CL955" s="1826"/>
      <c r="CN955" s="1102"/>
      <c r="CO955" s="1103"/>
      <c r="CR955" s="1822"/>
      <c r="CT955" s="1102"/>
      <c r="CU955" s="1103"/>
      <c r="CV955" s="863"/>
      <c r="CW955" s="863"/>
      <c r="CX955" s="1822" t="e">
        <v>#N/A</v>
      </c>
      <c r="CY955" s="863"/>
      <c r="CZ955" s="1102"/>
      <c r="DA955" s="1103"/>
      <c r="DB955" s="863"/>
    </row>
    <row r="956" spans="87:106">
      <c r="CI956" s="888">
        <v>443</v>
      </c>
      <c r="CJ956" s="4"/>
      <c r="CL956" s="1826"/>
      <c r="CN956" s="1102"/>
      <c r="CO956" s="1103"/>
      <c r="CR956" s="1825"/>
      <c r="CT956" s="1102"/>
      <c r="CU956" s="1103"/>
      <c r="CV956" s="1099"/>
      <c r="CW956" s="1099"/>
      <c r="CX956" s="1825" t="e">
        <v>#N/A</v>
      </c>
      <c r="CY956" s="1099"/>
      <c r="CZ956" s="1102"/>
      <c r="DA956" s="1103"/>
      <c r="DB956" s="1099"/>
    </row>
    <row r="957" spans="87:106">
      <c r="CI957" s="888">
        <v>443</v>
      </c>
      <c r="CJ957" s="4" t="s">
        <v>2470</v>
      </c>
      <c r="CL957" s="1826">
        <v>-5.1342762606136017</v>
      </c>
      <c r="CN957" s="1102"/>
      <c r="CO957" s="1103"/>
      <c r="CR957" s="1823">
        <v>10.776242698650186</v>
      </c>
      <c r="CT957" s="1102"/>
      <c r="CU957" s="1103"/>
      <c r="CV957" s="1099"/>
      <c r="CW957" s="1099"/>
      <c r="CX957" s="1823">
        <v>1.2277447838901576</v>
      </c>
      <c r="CY957" s="1099"/>
      <c r="CZ957" s="1102"/>
      <c r="DA957" s="1103"/>
      <c r="DB957" s="1099"/>
    </row>
    <row r="958" spans="87:106">
      <c r="CI958" s="888">
        <v>443</v>
      </c>
      <c r="CJ958" s="4" t="s">
        <v>2338</v>
      </c>
      <c r="CL958" s="1826">
        <v>0.34679309929810009</v>
      </c>
      <c r="CN958" s="1102"/>
      <c r="CO958" s="1103"/>
      <c r="CR958" s="1823">
        <v>-10.864543589494732</v>
      </c>
      <c r="CT958" s="1102"/>
      <c r="CU958" s="1103"/>
      <c r="CV958" s="1099"/>
      <c r="CW958" s="1099"/>
      <c r="CX958" s="1823">
        <v>-13.573341317256359</v>
      </c>
      <c r="CY958" s="1099"/>
      <c r="CZ958" s="1102"/>
      <c r="DA958" s="1103"/>
      <c r="DB958" s="1099"/>
    </row>
    <row r="959" spans="87:106">
      <c r="CI959" s="888">
        <v>443</v>
      </c>
      <c r="CJ959" s="4" t="s">
        <v>1731</v>
      </c>
      <c r="CL959" s="1826">
        <v>-0.90101176084972234</v>
      </c>
      <c r="CN959" s="1102"/>
      <c r="CO959" s="1103"/>
      <c r="CR959" s="1823">
        <v>-21.910520778377929</v>
      </c>
      <c r="CT959" s="1102"/>
      <c r="CU959" s="1103"/>
      <c r="CV959" s="1099"/>
      <c r="CW959" s="1099"/>
      <c r="CX959" s="1823">
        <v>-25.036700852065355</v>
      </c>
      <c r="CY959" s="1099"/>
      <c r="CZ959" s="1102"/>
      <c r="DA959" s="1103"/>
      <c r="DB959" s="1099"/>
    </row>
    <row r="960" spans="87:106">
      <c r="CI960" s="888">
        <v>443</v>
      </c>
      <c r="CJ960" s="4" t="s">
        <v>1732</v>
      </c>
      <c r="CL960" s="1826">
        <v>-3.1184826833309227</v>
      </c>
      <c r="CN960" s="1102"/>
      <c r="CO960" s="1103"/>
      <c r="CR960" s="1823">
        <v>6.5024316285797177</v>
      </c>
      <c r="CT960" s="1102"/>
      <c r="CU960" s="1103"/>
      <c r="CV960" s="1099"/>
      <c r="CW960" s="1099"/>
      <c r="CX960" s="1823">
        <v>0.13121142305197608</v>
      </c>
      <c r="CY960" s="1099"/>
      <c r="CZ960" s="1102"/>
      <c r="DA960" s="1103"/>
      <c r="DB960" s="1099"/>
    </row>
    <row r="961" spans="87:106">
      <c r="CI961" s="888">
        <v>443</v>
      </c>
      <c r="CJ961" s="4" t="s">
        <v>1733</v>
      </c>
      <c r="CL961" s="1826">
        <v>-0.36564594272218898</v>
      </c>
      <c r="CN961" s="864"/>
      <c r="CO961" s="1103"/>
      <c r="CR961" s="1823">
        <v>3.7607777249645657</v>
      </c>
      <c r="CT961" s="864"/>
      <c r="CU961" s="1103"/>
      <c r="CV961" s="1099"/>
      <c r="CW961" s="1099"/>
      <c r="CX961" s="1823">
        <v>4.0360042920566306</v>
      </c>
      <c r="CY961" s="1099"/>
      <c r="CZ961" s="864"/>
      <c r="DA961" s="1103"/>
      <c r="DB961" s="1099"/>
    </row>
    <row r="962" spans="87:106">
      <c r="CI962" s="888">
        <v>443</v>
      </c>
      <c r="CJ962" s="4" t="s">
        <v>1734</v>
      </c>
      <c r="CL962" s="1826">
        <v>1.0499303157459501</v>
      </c>
      <c r="CN962" s="864"/>
      <c r="CO962" s="1103"/>
      <c r="CR962" s="1823">
        <v>7.2488752632284488</v>
      </c>
      <c r="CT962" s="864"/>
      <c r="CU962" s="1103"/>
      <c r="CV962" s="1099"/>
      <c r="CW962" s="1099"/>
      <c r="CX962" s="1823">
        <v>6.8596460060908129</v>
      </c>
      <c r="CY962" s="1099"/>
      <c r="CZ962" s="864"/>
      <c r="DA962" s="1103"/>
      <c r="DB962" s="1099"/>
    </row>
    <row r="963" spans="87:106">
      <c r="CI963" s="888">
        <v>443</v>
      </c>
      <c r="CJ963" s="4" t="s">
        <v>1735</v>
      </c>
      <c r="CL963" s="1826">
        <v>1.4593409236616912</v>
      </c>
      <c r="CN963" s="864"/>
      <c r="CO963" s="1103"/>
      <c r="CR963" s="1823">
        <v>3.1352705232958691</v>
      </c>
      <c r="CT963" s="864"/>
      <c r="CU963" s="1103"/>
      <c r="CV963" s="1099"/>
      <c r="CW963" s="1099"/>
      <c r="CX963" s="1823">
        <v>18.239820174142935</v>
      </c>
      <c r="CY963" s="1099"/>
      <c r="CZ963" s="864"/>
      <c r="DA963" s="1103"/>
      <c r="DB963" s="1099"/>
    </row>
    <row r="964" spans="87:106">
      <c r="CI964" s="888">
        <v>443</v>
      </c>
      <c r="CJ964" s="4" t="s">
        <v>1736</v>
      </c>
      <c r="CL964" s="1826">
        <v>1.0340285655144497</v>
      </c>
      <c r="CN964" s="864"/>
      <c r="CO964" s="1103"/>
      <c r="CR964" s="1823">
        <v>-3.679645603828396</v>
      </c>
      <c r="CT964" s="864"/>
      <c r="CU964" s="1103"/>
      <c r="CV964" s="1099"/>
      <c r="CW964" s="1099"/>
      <c r="CX964" s="1823">
        <v>1.6021245851138701</v>
      </c>
      <c r="CY964" s="1099"/>
      <c r="CZ964" s="864"/>
      <c r="DA964" s="1103"/>
      <c r="DB964" s="1099"/>
    </row>
    <row r="965" spans="87:106">
      <c r="CI965" s="888">
        <v>443</v>
      </c>
      <c r="CJ965" s="1091" t="s">
        <v>1737</v>
      </c>
      <c r="CL965" s="1826">
        <v>-11.39483553613943</v>
      </c>
      <c r="CN965" s="1104"/>
      <c r="CO965" s="1105"/>
      <c r="CR965" s="1824">
        <v>-5.8146416864856256</v>
      </c>
      <c r="CT965" s="1104"/>
      <c r="CU965" s="1105"/>
      <c r="CV965" s="1100"/>
      <c r="CW965" s="1100"/>
      <c r="CX965" s="1824">
        <v>-16.140456115041026</v>
      </c>
      <c r="CY965" s="1100"/>
      <c r="CZ965" s="1104"/>
      <c r="DA965" s="1105"/>
      <c r="DB965" s="1100"/>
    </row>
    <row r="966" spans="87:106">
      <c r="CI966" s="888">
        <v>941</v>
      </c>
      <c r="CJ966" s="4" t="s">
        <v>1738</v>
      </c>
      <c r="CL966" s="1826"/>
      <c r="CN966" s="1099">
        <v>0.90594522267050603</v>
      </c>
      <c r="CO966" s="1106">
        <v>0.96</v>
      </c>
      <c r="CR966" s="1822"/>
      <c r="CT966" s="1102">
        <v>-0.89828605715458731</v>
      </c>
      <c r="CU966" s="1106">
        <v>0.4</v>
      </c>
      <c r="CV966" s="863"/>
      <c r="CW966" s="863"/>
      <c r="CX966" s="1822" t="e">
        <v>#N/A</v>
      </c>
      <c r="CY966" s="863"/>
      <c r="CZ966" s="1099">
        <v>-0.88435486103482597</v>
      </c>
      <c r="DA966" s="1106">
        <v>0.28999999999999998</v>
      </c>
      <c r="DB966" s="863"/>
    </row>
    <row r="967" spans="87:106">
      <c r="CI967" s="888">
        <v>941</v>
      </c>
      <c r="CJ967" s="4"/>
      <c r="CL967" s="1826"/>
      <c r="CN967" s="1102"/>
      <c r="CO967" s="1103"/>
      <c r="CR967" s="1822"/>
      <c r="CT967" s="1102"/>
      <c r="CU967" s="1103"/>
      <c r="CV967" s="863"/>
      <c r="CW967" s="863"/>
      <c r="CX967" s="1822" t="e">
        <v>#N/A</v>
      </c>
      <c r="CY967" s="863"/>
      <c r="CZ967" s="1102"/>
      <c r="DA967" s="1103"/>
      <c r="DB967" s="863"/>
    </row>
    <row r="968" spans="87:106">
      <c r="CI968" s="888">
        <v>941</v>
      </c>
      <c r="CJ968" s="4"/>
      <c r="CL968" s="1826"/>
      <c r="CN968" s="1102"/>
      <c r="CO968" s="1103"/>
      <c r="CR968" s="1822"/>
      <c r="CT968" s="1102"/>
      <c r="CU968" s="1103"/>
      <c r="CV968" s="863"/>
      <c r="CW968" s="863"/>
      <c r="CX968" s="1822" t="e">
        <v>#N/A</v>
      </c>
      <c r="CY968" s="863"/>
      <c r="CZ968" s="1102"/>
      <c r="DA968" s="1103"/>
      <c r="DB968" s="863"/>
    </row>
    <row r="969" spans="87:106">
      <c r="CI969" s="888">
        <v>941</v>
      </c>
      <c r="CJ969" s="4"/>
      <c r="CL969" s="1826"/>
      <c r="CN969" s="1102"/>
      <c r="CO969" s="1103"/>
      <c r="CR969" s="1825"/>
      <c r="CT969" s="1102"/>
      <c r="CU969" s="1103"/>
      <c r="CV969" s="1099"/>
      <c r="CW969" s="1099"/>
      <c r="CX969" s="1825" t="e">
        <v>#N/A</v>
      </c>
      <c r="CY969" s="1099"/>
      <c r="CZ969" s="1102"/>
      <c r="DA969" s="1103"/>
      <c r="DB969" s="1099"/>
    </row>
    <row r="970" spans="87:106">
      <c r="CI970" s="888">
        <v>941</v>
      </c>
      <c r="CJ970" s="4" t="s">
        <v>2471</v>
      </c>
      <c r="CL970" s="1826">
        <v>0.90594522267050603</v>
      </c>
      <c r="CN970" s="1102"/>
      <c r="CO970" s="1103"/>
      <c r="CR970" s="1823">
        <v>1.6824625896543677</v>
      </c>
      <c r="CT970" s="1102"/>
      <c r="CU970" s="1103"/>
      <c r="CV970" s="1099"/>
      <c r="CW970" s="1099"/>
      <c r="CX970" s="1823">
        <v>1.5446565157489884</v>
      </c>
      <c r="CY970" s="1099"/>
      <c r="CZ970" s="1102"/>
      <c r="DA970" s="1103"/>
      <c r="DB970" s="1099"/>
    </row>
    <row r="971" spans="87:106">
      <c r="CI971" s="888">
        <v>941</v>
      </c>
      <c r="CJ971" s="4" t="s">
        <v>2339</v>
      </c>
      <c r="CL971" s="1826">
        <v>-1.1326579392803593</v>
      </c>
      <c r="CN971" s="1102"/>
      <c r="CO971" s="1103"/>
      <c r="CR971" s="1823">
        <v>0.85577271891326723</v>
      </c>
      <c r="CT971" s="1102"/>
      <c r="CU971" s="1103"/>
      <c r="CV971" s="1099"/>
      <c r="CW971" s="1099"/>
      <c r="CX971" s="1823">
        <v>-1.3268968218994792</v>
      </c>
      <c r="CY971" s="1099"/>
      <c r="CZ971" s="1102"/>
      <c r="DA971" s="1103"/>
      <c r="DB971" s="1099"/>
    </row>
    <row r="972" spans="87:106">
      <c r="CI972" s="888">
        <v>941</v>
      </c>
      <c r="CJ972" s="4" t="s">
        <v>1739</v>
      </c>
      <c r="CL972" s="1826">
        <v>-1.6718824470821598</v>
      </c>
      <c r="CN972" s="1102"/>
      <c r="CO972" s="1103"/>
      <c r="CR972" s="1823">
        <v>-2.1352403656918879</v>
      </c>
      <c r="CT972" s="1102"/>
      <c r="CU972" s="1103"/>
      <c r="CV972" s="1099"/>
      <c r="CW972" s="1099"/>
      <c r="CX972" s="1823">
        <v>-2.1960394685578479</v>
      </c>
      <c r="CY972" s="1099"/>
      <c r="CZ972" s="1102"/>
      <c r="DA972" s="1103"/>
      <c r="DB972" s="1099"/>
    </row>
    <row r="973" spans="87:106">
      <c r="CI973" s="888">
        <v>941</v>
      </c>
      <c r="CJ973" s="4" t="s">
        <v>1740</v>
      </c>
      <c r="CL973" s="1826">
        <v>-1.836736352316426</v>
      </c>
      <c r="CN973" s="1102"/>
      <c r="CO973" s="1103"/>
      <c r="CR973" s="1823">
        <v>-0.89828605715458731</v>
      </c>
      <c r="CT973" s="1102"/>
      <c r="CU973" s="1103"/>
      <c r="CV973" s="1099"/>
      <c r="CW973" s="1099"/>
      <c r="CX973" s="1823">
        <v>-0.88435486103482597</v>
      </c>
      <c r="CY973" s="1099"/>
      <c r="CZ973" s="1102"/>
      <c r="DA973" s="1103"/>
      <c r="DB973" s="1099"/>
    </row>
    <row r="974" spans="87:106">
      <c r="CI974" s="888">
        <v>941</v>
      </c>
      <c r="CJ974" s="4" t="s">
        <v>1741</v>
      </c>
      <c r="CL974" s="1826">
        <v>1.719843305327089</v>
      </c>
      <c r="CN974" s="864"/>
      <c r="CO974" s="1103"/>
      <c r="CR974" s="1823">
        <v>-0.90218105550754724</v>
      </c>
      <c r="CT974" s="864"/>
      <c r="CU974" s="1103"/>
      <c r="CV974" s="1099"/>
      <c r="CW974" s="1099"/>
      <c r="CX974" s="1823">
        <v>-1.048019434304909</v>
      </c>
      <c r="CY974" s="1099"/>
      <c r="CZ974" s="864"/>
      <c r="DA974" s="1103"/>
      <c r="DB974" s="1099"/>
    </row>
    <row r="975" spans="87:106">
      <c r="CI975" s="888">
        <v>941</v>
      </c>
      <c r="CJ975" s="4" t="s">
        <v>1742</v>
      </c>
      <c r="CL975" s="1826">
        <v>1.1775406739297418</v>
      </c>
      <c r="CN975" s="864"/>
      <c r="CO975" s="1103"/>
      <c r="CR975" s="1823">
        <v>1.4708355066246861</v>
      </c>
      <c r="CT975" s="864"/>
      <c r="CU975" s="1103"/>
      <c r="CV975" s="1099"/>
      <c r="CW975" s="1099"/>
      <c r="CX975" s="1823">
        <v>1.8993490211200588</v>
      </c>
      <c r="CY975" s="1099"/>
      <c r="CZ975" s="864"/>
      <c r="DA975" s="1103"/>
      <c r="DB975" s="1099"/>
    </row>
    <row r="976" spans="87:106">
      <c r="CI976" s="888">
        <v>941</v>
      </c>
      <c r="CJ976" s="4" t="s">
        <v>1743</v>
      </c>
      <c r="CL976" s="1826">
        <v>2.7411067405772673</v>
      </c>
      <c r="CN976" s="864"/>
      <c r="CO976" s="1103"/>
      <c r="CR976" s="1823">
        <v>4.1132208447770582</v>
      </c>
      <c r="CT976" s="864"/>
      <c r="CU976" s="1103"/>
      <c r="CV976" s="1099"/>
      <c r="CW976" s="1099"/>
      <c r="CX976" s="1823">
        <v>7.7570025203086637</v>
      </c>
      <c r="CY976" s="1099"/>
      <c r="CZ976" s="864"/>
      <c r="DA976" s="1103"/>
      <c r="DB976" s="1099"/>
    </row>
    <row r="977" spans="87:106">
      <c r="CI977" s="888">
        <v>941</v>
      </c>
      <c r="CJ977" s="4" t="s">
        <v>1744</v>
      </c>
      <c r="CL977" s="1826">
        <v>1.6995966008651988</v>
      </c>
      <c r="CN977" s="864"/>
      <c r="CO977" s="1103"/>
      <c r="CR977" s="1823">
        <v>-5.1992798844770149</v>
      </c>
      <c r="CT977" s="864"/>
      <c r="CU977" s="1103"/>
      <c r="CV977" s="1099"/>
      <c r="CW977" s="1099"/>
      <c r="CX977" s="1823">
        <v>1.7052946573850503</v>
      </c>
      <c r="CY977" s="1099"/>
      <c r="CZ977" s="864"/>
      <c r="DA977" s="1103"/>
      <c r="DB977" s="1099"/>
    </row>
    <row r="978" spans="87:106">
      <c r="CI978" s="888">
        <v>941</v>
      </c>
      <c r="CJ978" s="1091" t="s">
        <v>1745</v>
      </c>
      <c r="CL978" s="1826">
        <v>-18.408363462072796</v>
      </c>
      <c r="CN978" s="1104"/>
      <c r="CO978" s="1105"/>
      <c r="CR978" s="1824">
        <v>-5.1672463512925608</v>
      </c>
      <c r="CT978" s="1104"/>
      <c r="CU978" s="1105"/>
      <c r="CV978" s="1100"/>
      <c r="CW978" s="1100"/>
      <c r="CX978" s="1824">
        <v>-11.467611930058697</v>
      </c>
      <c r="CY978" s="1100"/>
      <c r="CZ978" s="1104"/>
      <c r="DA978" s="1105"/>
      <c r="DB978" s="1100"/>
    </row>
    <row r="979" spans="87:106">
      <c r="CI979" s="888">
        <v>446</v>
      </c>
      <c r="CJ979" s="4" t="s">
        <v>1746</v>
      </c>
      <c r="CL979" s="1826"/>
      <c r="CN979" s="1099">
        <v>-1.5000000000000426</v>
      </c>
      <c r="CO979" s="1106">
        <v>0.14000000000000001</v>
      </c>
      <c r="CR979" s="1822"/>
      <c r="CT979" s="1102">
        <v>-0.1162718303908199</v>
      </c>
      <c r="CU979" s="1106">
        <v>0.64</v>
      </c>
      <c r="CV979" s="863"/>
      <c r="CW979" s="863"/>
      <c r="CX979" s="1822" t="e">
        <v>#N/A</v>
      </c>
      <c r="CY979" s="863"/>
      <c r="CZ979" s="1099">
        <v>0.46006393295617976</v>
      </c>
      <c r="DA979" s="1106">
        <v>0.76</v>
      </c>
      <c r="DB979" s="863"/>
    </row>
    <row r="980" spans="87:106">
      <c r="CI980" s="888">
        <v>446</v>
      </c>
      <c r="CJ980" s="4"/>
      <c r="CL980" s="1826"/>
      <c r="CN980" s="1102"/>
      <c r="CO980" s="1103"/>
      <c r="CR980" s="1822"/>
      <c r="CT980" s="1102"/>
      <c r="CU980" s="1103"/>
      <c r="CV980" s="863"/>
      <c r="CW980" s="863"/>
      <c r="CX980" s="1822" t="e">
        <v>#N/A</v>
      </c>
      <c r="CY980" s="863"/>
      <c r="CZ980" s="1102"/>
      <c r="DA980" s="1103"/>
      <c r="DB980" s="863"/>
    </row>
    <row r="981" spans="87:106">
      <c r="CI981" s="888">
        <v>446</v>
      </c>
      <c r="CJ981" s="4"/>
      <c r="CL981" s="1826"/>
      <c r="CN981" s="1102"/>
      <c r="CO981" s="1103"/>
      <c r="CR981" s="1822"/>
      <c r="CT981" s="1102"/>
      <c r="CU981" s="1103"/>
      <c r="CV981" s="863"/>
      <c r="CW981" s="863"/>
      <c r="CX981" s="1822" t="e">
        <v>#N/A</v>
      </c>
      <c r="CY981" s="863"/>
      <c r="CZ981" s="1102"/>
      <c r="DA981" s="1103"/>
      <c r="DB981" s="863"/>
    </row>
    <row r="982" spans="87:106">
      <c r="CI982" s="888">
        <v>446</v>
      </c>
      <c r="CJ982" s="4"/>
      <c r="CL982" s="1826"/>
      <c r="CN982" s="1102"/>
      <c r="CO982" s="1103"/>
      <c r="CR982" s="1825"/>
      <c r="CT982" s="1102"/>
      <c r="CU982" s="1103"/>
      <c r="CV982" s="1099"/>
      <c r="CW982" s="1099"/>
      <c r="CX982" s="1825" t="e">
        <v>#N/A</v>
      </c>
      <c r="CY982" s="1099"/>
      <c r="CZ982" s="1102"/>
      <c r="DA982" s="1103"/>
      <c r="DB982" s="1099"/>
    </row>
    <row r="983" spans="87:106">
      <c r="CI983" s="888">
        <v>446</v>
      </c>
      <c r="CJ983" s="4" t="s">
        <v>2472</v>
      </c>
      <c r="CL983" s="1826">
        <v>-0.79999999999993743</v>
      </c>
      <c r="CN983" s="1102"/>
      <c r="CO983" s="1103"/>
      <c r="CR983" s="1823">
        <v>-0.1162718303908199</v>
      </c>
      <c r="CT983" s="1102"/>
      <c r="CU983" s="1103"/>
      <c r="CV983" s="1099"/>
      <c r="CW983" s="1099"/>
      <c r="CX983" s="1823">
        <v>2.1030020186603018</v>
      </c>
      <c r="CY983" s="1099"/>
      <c r="CZ983" s="1102"/>
      <c r="DA983" s="1103"/>
      <c r="DB983" s="1099"/>
    </row>
    <row r="984" spans="87:106">
      <c r="CI984" s="888">
        <v>446</v>
      </c>
      <c r="CJ984" s="4" t="s">
        <v>2340</v>
      </c>
      <c r="CL984" s="1826">
        <v>-1.4999999999998792</v>
      </c>
      <c r="CN984" s="1102"/>
      <c r="CO984" s="1103"/>
      <c r="CR984" s="1823">
        <v>-0.41415621169650307</v>
      </c>
      <c r="CT984" s="1102"/>
      <c r="CU984" s="1103"/>
      <c r="CV984" s="1099"/>
      <c r="CW984" s="1099"/>
      <c r="CX984" s="1823">
        <v>-2.5949119486881487</v>
      </c>
      <c r="CY984" s="1099"/>
      <c r="CZ984" s="1102"/>
      <c r="DA984" s="1103"/>
      <c r="DB984" s="1099"/>
    </row>
    <row r="985" spans="87:106">
      <c r="CI985" s="888">
        <v>446</v>
      </c>
      <c r="CJ985" s="4" t="s">
        <v>1747</v>
      </c>
      <c r="CL985" s="1826">
        <v>-1.5000000000000426</v>
      </c>
      <c r="CN985" s="1102"/>
      <c r="CO985" s="1103"/>
      <c r="CR985" s="1823">
        <v>1.4475585643478071</v>
      </c>
      <c r="CT985" s="1102"/>
      <c r="CU985" s="1103"/>
      <c r="CV985" s="1099"/>
      <c r="CW985" s="1099"/>
      <c r="CX985" s="1823">
        <v>-0.95824167509103408</v>
      </c>
      <c r="CY985" s="1099"/>
      <c r="CZ985" s="1102"/>
      <c r="DA985" s="1103"/>
      <c r="DB985" s="1099"/>
    </row>
    <row r="986" spans="87:106">
      <c r="CI986" s="888">
        <v>446</v>
      </c>
      <c r="CJ986" s="4" t="s">
        <v>1748</v>
      </c>
      <c r="CL986" s="1826">
        <v>-2.0000000000002096</v>
      </c>
      <c r="CN986" s="1102"/>
      <c r="CO986" s="1103"/>
      <c r="CR986" s="1823">
        <v>2.398524737162905</v>
      </c>
      <c r="CT986" s="1102"/>
      <c r="CU986" s="1103"/>
      <c r="CV986" s="1099"/>
      <c r="CW986" s="1099"/>
      <c r="CX986" s="1823">
        <v>0.46006393295617976</v>
      </c>
      <c r="CY986" s="1099"/>
      <c r="CZ986" s="1102"/>
      <c r="DA986" s="1103"/>
      <c r="DB986" s="1099"/>
    </row>
    <row r="987" spans="87:106">
      <c r="CI987" s="888">
        <v>446</v>
      </c>
      <c r="CJ987" s="4" t="s">
        <v>1749</v>
      </c>
      <c r="CL987" s="1826">
        <v>-1.500000000000258</v>
      </c>
      <c r="CN987" s="864"/>
      <c r="CO987" s="1103"/>
      <c r="CR987" s="1823">
        <v>-1.6928098645960008</v>
      </c>
      <c r="CT987" s="864"/>
      <c r="CU987" s="1103"/>
      <c r="CV987" s="1099"/>
      <c r="CW987" s="1099"/>
      <c r="CX987" s="1823">
        <v>1.8706091468801747</v>
      </c>
      <c r="CY987" s="1099"/>
      <c r="CZ987" s="864"/>
      <c r="DA987" s="1103"/>
      <c r="DB987" s="1099"/>
    </row>
    <row r="988" spans="87:106">
      <c r="CI988" s="888">
        <v>446</v>
      </c>
      <c r="CJ988" s="4" t="s">
        <v>1750</v>
      </c>
      <c r="CL988" s="1826">
        <v>-3.5000000000000488</v>
      </c>
      <c r="CN988" s="864"/>
      <c r="CO988" s="1103"/>
      <c r="CR988" s="1823">
        <v>-1.2322148526434042</v>
      </c>
      <c r="CT988" s="864"/>
      <c r="CU988" s="1103"/>
      <c r="CV988" s="1099"/>
      <c r="CW988" s="1099"/>
      <c r="CX988" s="1823">
        <v>1.6822781774904279</v>
      </c>
      <c r="CY988" s="1099"/>
      <c r="CZ988" s="864"/>
      <c r="DA988" s="1103"/>
      <c r="DB988" s="1099"/>
    </row>
    <row r="989" spans="87:106">
      <c r="CI989" s="888">
        <v>446</v>
      </c>
      <c r="CJ989" s="4" t="s">
        <v>1751</v>
      </c>
      <c r="CL989" s="1826">
        <v>-2.9999999999999254</v>
      </c>
      <c r="CN989" s="864"/>
      <c r="CO989" s="1103"/>
      <c r="CR989" s="1823">
        <v>-6.5319975682289311E-2</v>
      </c>
      <c r="CT989" s="864"/>
      <c r="CU989" s="1103"/>
      <c r="CV989" s="1099"/>
      <c r="CW989" s="1099"/>
      <c r="CX989" s="1823">
        <v>0.17607801198428552</v>
      </c>
      <c r="CY989" s="1099"/>
      <c r="CZ989" s="864"/>
      <c r="DA989" s="1103"/>
      <c r="DB989" s="1099"/>
    </row>
    <row r="990" spans="87:106">
      <c r="CI990" s="888">
        <v>446</v>
      </c>
      <c r="CJ990" s="4" t="s">
        <v>1752</v>
      </c>
      <c r="CL990" s="1826">
        <v>2.9999999999998197</v>
      </c>
      <c r="CN990" s="864"/>
      <c r="CO990" s="1103"/>
      <c r="CR990" s="1823">
        <v>-0.52676745436009842</v>
      </c>
      <c r="CT990" s="864"/>
      <c r="CU990" s="1103"/>
      <c r="CV990" s="1099"/>
      <c r="CW990" s="1099"/>
      <c r="CX990" s="1823">
        <v>-1.8989687066184084</v>
      </c>
      <c r="CY990" s="1099"/>
      <c r="CZ990" s="864"/>
      <c r="DA990" s="1103"/>
      <c r="DB990" s="1099"/>
    </row>
    <row r="991" spans="87:106">
      <c r="CI991" s="888">
        <v>446</v>
      </c>
      <c r="CJ991" s="1091" t="s">
        <v>1753</v>
      </c>
      <c r="CL991" s="1826">
        <v>3.9999999999999574</v>
      </c>
      <c r="CN991" s="1104"/>
      <c r="CO991" s="1105"/>
      <c r="CR991" s="1824">
        <v>0.31781150905116551</v>
      </c>
      <c r="CT991" s="1104"/>
      <c r="CU991" s="1105"/>
      <c r="CV991" s="1100"/>
      <c r="CW991" s="1100"/>
      <c r="CX991" s="1824">
        <v>2.9978533262252141</v>
      </c>
      <c r="CY991" s="1100"/>
      <c r="CZ991" s="1104"/>
      <c r="DA991" s="1105"/>
      <c r="DB991" s="1100"/>
    </row>
    <row r="992" spans="87:106">
      <c r="CI992" s="888">
        <v>672</v>
      </c>
      <c r="CJ992" s="4" t="s">
        <v>1754</v>
      </c>
      <c r="CL992" s="1826"/>
      <c r="CN992" s="1099">
        <v>-25.062636593286623</v>
      </c>
      <c r="CO992" s="1106">
        <v>0</v>
      </c>
      <c r="CR992" s="1822"/>
      <c r="CT992" s="1102">
        <v>-34.682082966192993</v>
      </c>
      <c r="CU992" s="1106">
        <v>0</v>
      </c>
      <c r="CV992" s="863"/>
      <c r="CW992" s="863"/>
      <c r="CX992" s="1822" t="e">
        <v>#N/A</v>
      </c>
      <c r="CY992" s="863"/>
      <c r="CZ992" s="1099">
        <v>-5.9901157855662914</v>
      </c>
      <c r="DA992" s="1106">
        <v>0</v>
      </c>
      <c r="DB992" s="863"/>
    </row>
    <row r="993" spans="87:106">
      <c r="CI993" s="888">
        <v>672</v>
      </c>
      <c r="CJ993" s="4"/>
      <c r="CL993" s="1826"/>
      <c r="CN993" s="1102"/>
      <c r="CO993" s="1103"/>
      <c r="CR993" s="1822"/>
      <c r="CT993" s="1102"/>
      <c r="CU993" s="1103"/>
      <c r="CV993" s="863"/>
      <c r="CW993" s="863"/>
      <c r="CX993" s="1822" t="e">
        <v>#N/A</v>
      </c>
      <c r="CY993" s="863"/>
      <c r="CZ993" s="1102"/>
      <c r="DA993" s="1103"/>
      <c r="DB993" s="863"/>
    </row>
    <row r="994" spans="87:106">
      <c r="CI994" s="888">
        <v>672</v>
      </c>
      <c r="CJ994" s="4"/>
      <c r="CL994" s="1826"/>
      <c r="CN994" s="1102"/>
      <c r="CO994" s="1103"/>
      <c r="CR994" s="1822"/>
      <c r="CT994" s="1102"/>
      <c r="CU994" s="1103"/>
      <c r="CV994" s="863"/>
      <c r="CW994" s="863"/>
      <c r="CX994" s="1822" t="e">
        <v>#N/A</v>
      </c>
      <c r="CY994" s="863"/>
      <c r="CZ994" s="1102"/>
      <c r="DA994" s="1103"/>
      <c r="DB994" s="863"/>
    </row>
    <row r="995" spans="87:106">
      <c r="CI995" s="888">
        <v>672</v>
      </c>
      <c r="CJ995" s="4"/>
      <c r="CL995" s="1826"/>
      <c r="CN995" s="1102"/>
      <c r="CO995" s="1103"/>
      <c r="CR995" s="1825"/>
      <c r="CT995" s="1102"/>
      <c r="CU995" s="1103"/>
      <c r="CV995" s="1099"/>
      <c r="CW995" s="1099"/>
      <c r="CX995" s="1825" t="e">
        <v>#N/A</v>
      </c>
      <c r="CY995" s="1099"/>
      <c r="CZ995" s="1102"/>
      <c r="DA995" s="1103"/>
      <c r="DB995" s="1099"/>
    </row>
    <row r="996" spans="87:106">
      <c r="CI996" s="888">
        <v>672</v>
      </c>
      <c r="CJ996" s="4" t="s">
        <v>2473</v>
      </c>
      <c r="CL996" s="1826">
        <v>58.569846882262688</v>
      </c>
      <c r="CN996" s="1102"/>
      <c r="CO996" s="1103"/>
      <c r="CR996" s="1823">
        <v>2.8015763743410531</v>
      </c>
      <c r="CT996" s="1102"/>
      <c r="CU996" s="1103"/>
      <c r="CV996" s="1099"/>
      <c r="CW996" s="1099"/>
      <c r="CX996" s="1823">
        <v>-9.2124406845697404</v>
      </c>
      <c r="CY996" s="1099"/>
      <c r="CZ996" s="1102"/>
      <c r="DA996" s="1103"/>
      <c r="DB996" s="1099"/>
    </row>
    <row r="997" spans="87:106">
      <c r="CI997" s="888">
        <v>672</v>
      </c>
      <c r="CJ997" s="4" t="s">
        <v>2341</v>
      </c>
      <c r="CL997" s="1826">
        <v>-25.062636593286623</v>
      </c>
      <c r="CN997" s="1102"/>
      <c r="CO997" s="1103"/>
      <c r="CR997" s="1823">
        <v>-69.979840861068126</v>
      </c>
      <c r="CT997" s="1102"/>
      <c r="CU997" s="1103"/>
      <c r="CV997" s="1099"/>
      <c r="CW997" s="1099"/>
      <c r="CX997" s="1823">
        <v>10.848381532348499</v>
      </c>
      <c r="CY997" s="1099"/>
      <c r="CZ997" s="1102"/>
      <c r="DA997" s="1103"/>
      <c r="DB997" s="1099"/>
    </row>
    <row r="998" spans="87:106">
      <c r="CI998" s="888">
        <v>672</v>
      </c>
      <c r="CJ998" s="4" t="s">
        <v>1755</v>
      </c>
      <c r="CL998" s="1826">
        <v>-37.116025696627197</v>
      </c>
      <c r="CN998" s="1102"/>
      <c r="CO998" s="1103"/>
      <c r="CR998" s="1823">
        <v>-58.167683369072208</v>
      </c>
      <c r="CT998" s="1102"/>
      <c r="CU998" s="1103"/>
      <c r="CV998" s="1099"/>
      <c r="CW998" s="1099"/>
      <c r="CX998" s="1823">
        <v>-5.9901157855662914</v>
      </c>
      <c r="CY998" s="1099"/>
      <c r="CZ998" s="1102"/>
      <c r="DA998" s="1103"/>
      <c r="DB998" s="1099"/>
    </row>
    <row r="999" spans="87:106">
      <c r="CI999" s="888">
        <v>672</v>
      </c>
      <c r="CJ999" s="4" t="s">
        <v>1756</v>
      </c>
      <c r="CL999" s="1826">
        <v>-34.131242227929135</v>
      </c>
      <c r="CN999" s="1102"/>
      <c r="CO999" s="1103"/>
      <c r="CR999" s="1823">
        <v>-53.68196978741635</v>
      </c>
      <c r="CT999" s="1102"/>
      <c r="CU999" s="1103"/>
      <c r="CV999" s="1099"/>
      <c r="CW999" s="1099"/>
      <c r="CX999" s="1823">
        <v>-6.6500878461330784</v>
      </c>
      <c r="CY999" s="1099"/>
      <c r="CZ999" s="1102"/>
      <c r="DA999" s="1103"/>
      <c r="DB999" s="1099"/>
    </row>
    <row r="1000" spans="87:106">
      <c r="CI1000" s="888">
        <v>672</v>
      </c>
      <c r="CJ1000" s="4" t="s">
        <v>1757</v>
      </c>
      <c r="CL1000" s="1826">
        <v>-34.539412089072798</v>
      </c>
      <c r="CN1000" s="864"/>
      <c r="CO1000" s="1103"/>
      <c r="CR1000" s="1823" t="s">
        <v>1218</v>
      </c>
      <c r="CT1000" s="864"/>
      <c r="CU1000" s="1103"/>
      <c r="CV1000" s="1099"/>
      <c r="CW1000" s="1099"/>
      <c r="CX1000" s="1823">
        <v>-6.3375900192085064</v>
      </c>
      <c r="CY1000" s="1099"/>
      <c r="CZ1000" s="864"/>
      <c r="DA1000" s="1103"/>
      <c r="DB1000" s="1099"/>
    </row>
    <row r="1001" spans="87:106">
      <c r="CI1001" s="888">
        <v>672</v>
      </c>
      <c r="CJ1001" s="4" t="s">
        <v>1758</v>
      </c>
      <c r="CL1001" s="1826">
        <v>104.48327894205309</v>
      </c>
      <c r="CN1001" s="864"/>
      <c r="CO1001" s="1103"/>
      <c r="CR1001" s="1823" t="s">
        <v>1218</v>
      </c>
      <c r="CT1001" s="864"/>
      <c r="CU1001" s="1103"/>
      <c r="CV1001" s="1099"/>
      <c r="CW1001" s="1099"/>
      <c r="CX1001" s="1823">
        <v>18.968721093127986</v>
      </c>
      <c r="CY1001" s="1099"/>
      <c r="CZ1001" s="864"/>
      <c r="DA1001" s="1103"/>
      <c r="DB1001" s="1099"/>
    </row>
    <row r="1002" spans="87:106">
      <c r="CI1002" s="888">
        <v>672</v>
      </c>
      <c r="CJ1002" s="4" t="s">
        <v>1759</v>
      </c>
      <c r="CL1002" s="1826">
        <v>-68.218993965848881</v>
      </c>
      <c r="CN1002" s="864"/>
      <c r="CO1002" s="1103"/>
      <c r="CR1002" s="1823">
        <v>-34.682082966192993</v>
      </c>
      <c r="CT1002" s="864"/>
      <c r="CU1002" s="1103"/>
      <c r="CV1002" s="1099"/>
      <c r="CW1002" s="1099"/>
      <c r="CX1002" s="1823">
        <v>14.715138272630689</v>
      </c>
      <c r="CY1002" s="1099"/>
      <c r="CZ1002" s="864"/>
      <c r="DA1002" s="1103"/>
      <c r="DB1002" s="1099"/>
    </row>
    <row r="1003" spans="87:106">
      <c r="CI1003" s="888">
        <v>672</v>
      </c>
      <c r="CJ1003" s="4" t="s">
        <v>1760</v>
      </c>
      <c r="CL1003" s="1826">
        <v>-0.26685554103858511</v>
      </c>
      <c r="CN1003" s="864"/>
      <c r="CO1003" s="1103"/>
      <c r="CR1003" s="1823">
        <v>-2.9277104584870601</v>
      </c>
      <c r="CT1003" s="864"/>
      <c r="CU1003" s="1103"/>
      <c r="CV1003" s="1099"/>
      <c r="CW1003" s="1099"/>
      <c r="CX1003" s="1823">
        <v>11.525554301898438</v>
      </c>
      <c r="CY1003" s="1099"/>
      <c r="CZ1003" s="864"/>
      <c r="DA1003" s="1103"/>
      <c r="DB1003" s="1099"/>
    </row>
    <row r="1004" spans="87:106">
      <c r="CI1004" s="888">
        <v>672</v>
      </c>
      <c r="CJ1004" s="1091" t="s">
        <v>1761</v>
      </c>
      <c r="CL1004" s="1826">
        <v>-12.083906607052864</v>
      </c>
      <c r="CN1004" s="1104"/>
      <c r="CO1004" s="1105"/>
      <c r="CR1004" s="1824">
        <v>-29.970163272762701</v>
      </c>
      <c r="CT1004" s="1104"/>
      <c r="CU1004" s="1105"/>
      <c r="CV1004" s="1100"/>
      <c r="CW1004" s="1100"/>
      <c r="CX1004" s="1824">
        <v>-33.267050665613681</v>
      </c>
      <c r="CY1004" s="1100"/>
      <c r="CZ1004" s="1104"/>
      <c r="DA1004" s="1105"/>
      <c r="DB1004" s="1100"/>
    </row>
    <row r="1005" spans="87:106">
      <c r="CI1005" s="888">
        <v>946</v>
      </c>
      <c r="CJ1005" s="4" t="s">
        <v>1762</v>
      </c>
      <c r="CL1005" s="1826"/>
      <c r="CN1005" s="1099">
        <v>-9.4705598765603582E-2</v>
      </c>
      <c r="CO1005" s="1106">
        <v>0.65</v>
      </c>
      <c r="CR1005" s="1822"/>
      <c r="CT1005" s="1102">
        <v>1.4433356199820382</v>
      </c>
      <c r="CU1005" s="1106">
        <v>0.94</v>
      </c>
      <c r="CV1005" s="863"/>
      <c r="CW1005" s="863"/>
      <c r="CX1005" s="1822" t="e">
        <v>#N/A</v>
      </c>
      <c r="CY1005" s="863"/>
      <c r="CZ1005" s="1099">
        <v>-1.5404138314619851</v>
      </c>
      <c r="DA1005" s="1106">
        <v>0.11</v>
      </c>
      <c r="DB1005" s="863"/>
    </row>
    <row r="1006" spans="87:106">
      <c r="CI1006" s="888">
        <v>946</v>
      </c>
      <c r="CJ1006" s="4"/>
      <c r="CL1006" s="1826"/>
      <c r="CN1006" s="1102"/>
      <c r="CO1006" s="1103"/>
      <c r="CR1006" s="1822"/>
      <c r="CT1006" s="1102"/>
      <c r="CU1006" s="1103"/>
      <c r="CV1006" s="863"/>
      <c r="CW1006" s="863"/>
      <c r="CX1006" s="1822" t="e">
        <v>#N/A</v>
      </c>
      <c r="CY1006" s="863"/>
      <c r="CZ1006" s="1102"/>
      <c r="DA1006" s="1103"/>
      <c r="DB1006" s="863"/>
    </row>
    <row r="1007" spans="87:106">
      <c r="CI1007" s="888">
        <v>946</v>
      </c>
      <c r="CJ1007" s="4"/>
      <c r="CL1007" s="1826"/>
      <c r="CN1007" s="1102"/>
      <c r="CO1007" s="1103"/>
      <c r="CR1007" s="1822"/>
      <c r="CT1007" s="1102"/>
      <c r="CU1007" s="1103"/>
      <c r="CV1007" s="863"/>
      <c r="CW1007" s="863"/>
      <c r="CX1007" s="1822" t="e">
        <v>#N/A</v>
      </c>
      <c r="CY1007" s="863"/>
      <c r="CZ1007" s="1102"/>
      <c r="DA1007" s="1103"/>
      <c r="DB1007" s="863"/>
    </row>
    <row r="1008" spans="87:106">
      <c r="CI1008" s="888">
        <v>946</v>
      </c>
      <c r="CJ1008" s="4"/>
      <c r="CL1008" s="1826"/>
      <c r="CN1008" s="1102"/>
      <c r="CO1008" s="1103"/>
      <c r="CR1008" s="1825"/>
      <c r="CT1008" s="1102"/>
      <c r="CU1008" s="1103"/>
      <c r="CV1008" s="1099"/>
      <c r="CW1008" s="1099"/>
      <c r="CX1008" s="1825" t="e">
        <v>#N/A</v>
      </c>
      <c r="CY1008" s="1099"/>
      <c r="CZ1008" s="1102"/>
      <c r="DA1008" s="1103"/>
      <c r="DB1008" s="1099"/>
    </row>
    <row r="1009" spans="87:106">
      <c r="CI1009" s="888">
        <v>946</v>
      </c>
      <c r="CJ1009" s="4" t="s">
        <v>2474</v>
      </c>
      <c r="CL1009" s="1826">
        <v>0.68958790968524353</v>
      </c>
      <c r="CN1009" s="1102"/>
      <c r="CO1009" s="1103"/>
      <c r="CR1009" s="1823">
        <v>1.4433356199820382</v>
      </c>
      <c r="CT1009" s="1102"/>
      <c r="CU1009" s="1103"/>
      <c r="CV1009" s="1099"/>
      <c r="CW1009" s="1099"/>
      <c r="CX1009" s="1823">
        <v>2.7121471389939558</v>
      </c>
      <c r="CY1009" s="1099"/>
      <c r="CZ1009" s="1102"/>
      <c r="DA1009" s="1103"/>
      <c r="DB1009" s="1099"/>
    </row>
    <row r="1010" spans="87:106">
      <c r="CI1010" s="888">
        <v>946</v>
      </c>
      <c r="CJ1010" s="4" t="s">
        <v>2342</v>
      </c>
      <c r="CL1010" s="1826">
        <v>-0.8680079380904635</v>
      </c>
      <c r="CN1010" s="1102"/>
      <c r="CO1010" s="1103"/>
      <c r="CR1010" s="1823">
        <v>1.6360366676245166</v>
      </c>
      <c r="CT1010" s="1102"/>
      <c r="CU1010" s="1103"/>
      <c r="CV1010" s="1099"/>
      <c r="CW1010" s="1099"/>
      <c r="CX1010" s="1823">
        <v>-1.5404138314619851</v>
      </c>
      <c r="CY1010" s="1099"/>
      <c r="CZ1010" s="1102"/>
      <c r="DA1010" s="1103"/>
      <c r="DB1010" s="1099"/>
    </row>
    <row r="1011" spans="87:106">
      <c r="CI1011" s="888">
        <v>946</v>
      </c>
      <c r="CJ1011" s="4" t="s">
        <v>1763</v>
      </c>
      <c r="CL1011" s="1826">
        <v>-1.6755687587402921</v>
      </c>
      <c r="CN1011" s="1102"/>
      <c r="CO1011" s="1103"/>
      <c r="CR1011" s="1823">
        <v>1.1812776712209019</v>
      </c>
      <c r="CT1011" s="1102"/>
      <c r="CU1011" s="1103"/>
      <c r="CV1011" s="1099"/>
      <c r="CW1011" s="1099"/>
      <c r="CX1011" s="1823">
        <v>-2.1561391950720066</v>
      </c>
      <c r="CY1011" s="1099"/>
      <c r="CZ1011" s="1102"/>
      <c r="DA1011" s="1103"/>
      <c r="DB1011" s="1099"/>
    </row>
    <row r="1012" spans="87:106">
      <c r="CI1012" s="888">
        <v>946</v>
      </c>
      <c r="CJ1012" s="4" t="s">
        <v>1764</v>
      </c>
      <c r="CL1012" s="1826">
        <v>-0.23427982697978234</v>
      </c>
      <c r="CN1012" s="1102"/>
      <c r="CO1012" s="1103"/>
      <c r="CR1012" s="1823">
        <v>1.6125045552698347</v>
      </c>
      <c r="CT1012" s="1102"/>
      <c r="CU1012" s="1103"/>
      <c r="CV1012" s="1099"/>
      <c r="CW1012" s="1099"/>
      <c r="CX1012" s="1823">
        <v>-2.1242957882206013</v>
      </c>
      <c r="CY1012" s="1099"/>
      <c r="CZ1012" s="1102"/>
      <c r="DA1012" s="1103"/>
      <c r="DB1012" s="1099"/>
    </row>
    <row r="1013" spans="87:106">
      <c r="CI1013" s="888">
        <v>946</v>
      </c>
      <c r="CJ1013" s="4" t="s">
        <v>1765</v>
      </c>
      <c r="CL1013" s="1826">
        <v>0.51415859561927091</v>
      </c>
      <c r="CN1013" s="864"/>
      <c r="CO1013" s="1103"/>
      <c r="CR1013" s="1823">
        <v>-0.29269111586396113</v>
      </c>
      <c r="CT1013" s="864"/>
      <c r="CU1013" s="1103"/>
      <c r="CV1013" s="1099"/>
      <c r="CW1013" s="1099"/>
      <c r="CX1013" s="1823">
        <v>-1.6850751343991117</v>
      </c>
      <c r="CY1013" s="1099"/>
      <c r="CZ1013" s="864"/>
      <c r="DA1013" s="1103"/>
      <c r="DB1013" s="1099"/>
    </row>
    <row r="1014" spans="87:106">
      <c r="CI1014" s="888">
        <v>946</v>
      </c>
      <c r="CJ1014" s="4" t="s">
        <v>1766</v>
      </c>
      <c r="CL1014" s="1826">
        <v>-9.4705598765603582E-2</v>
      </c>
      <c r="CN1014" s="864"/>
      <c r="CO1014" s="1103"/>
      <c r="CR1014" s="1823">
        <v>2.1679261045615639</v>
      </c>
      <c r="CT1014" s="864"/>
      <c r="CU1014" s="1103"/>
      <c r="CV1014" s="1099"/>
      <c r="CW1014" s="1099"/>
      <c r="CX1014" s="1823">
        <v>-8.6018291740233011E-2</v>
      </c>
      <c r="CY1014" s="1099"/>
      <c r="CZ1014" s="864"/>
      <c r="DA1014" s="1103"/>
      <c r="DB1014" s="1099"/>
    </row>
    <row r="1015" spans="87:106">
      <c r="CI1015" s="888">
        <v>946</v>
      </c>
      <c r="CJ1015" s="4" t="s">
        <v>1767</v>
      </c>
      <c r="CL1015" s="1826">
        <v>2.635632482316649</v>
      </c>
      <c r="CN1015" s="864"/>
      <c r="CO1015" s="1103"/>
      <c r="CR1015" s="1823">
        <v>3.5958827431386795</v>
      </c>
      <c r="CT1015" s="864"/>
      <c r="CU1015" s="1103"/>
      <c r="CV1015" s="1099"/>
      <c r="CW1015" s="1099"/>
      <c r="CX1015" s="1823">
        <v>5.320811837356775</v>
      </c>
      <c r="CY1015" s="1099"/>
      <c r="CZ1015" s="864"/>
      <c r="DA1015" s="1103"/>
      <c r="DB1015" s="1099"/>
    </row>
    <row r="1016" spans="87:106">
      <c r="CI1016" s="888">
        <v>946</v>
      </c>
      <c r="CJ1016" s="4" t="s">
        <v>1768</v>
      </c>
      <c r="CL1016" s="1826">
        <v>4.4401932628714471</v>
      </c>
      <c r="CN1016" s="864"/>
      <c r="CO1016" s="1103"/>
      <c r="CR1016" s="1823">
        <v>-2.3923931939105891</v>
      </c>
      <c r="CT1016" s="864"/>
      <c r="CU1016" s="1103"/>
      <c r="CV1016" s="1099"/>
      <c r="CW1016" s="1099"/>
      <c r="CX1016" s="1823">
        <v>0.96972823329488289</v>
      </c>
      <c r="CY1016" s="1099"/>
      <c r="CZ1016" s="864"/>
      <c r="DA1016" s="1103"/>
      <c r="DB1016" s="1099"/>
    </row>
    <row r="1017" spans="87:106">
      <c r="CI1017" s="888">
        <v>946</v>
      </c>
      <c r="CJ1017" s="1091" t="s">
        <v>1769</v>
      </c>
      <c r="CL1017" s="1826">
        <v>-20.241712623697659</v>
      </c>
      <c r="CN1017" s="1104"/>
      <c r="CO1017" s="1105"/>
      <c r="CR1017" s="1824">
        <v>-8.2584218486340966</v>
      </c>
      <c r="CT1017" s="1104"/>
      <c r="CU1017" s="1105"/>
      <c r="CV1017" s="1100"/>
      <c r="CW1017" s="1100"/>
      <c r="CX1017" s="1824">
        <v>-10.533352388849606</v>
      </c>
      <c r="CY1017" s="1100"/>
      <c r="CZ1017" s="1104"/>
      <c r="DA1017" s="1105"/>
      <c r="DB1017" s="1100"/>
    </row>
    <row r="1018" spans="87:106">
      <c r="CI1018" s="888">
        <v>137</v>
      </c>
      <c r="CJ1018" s="4" t="s">
        <v>1770</v>
      </c>
      <c r="CL1018" s="1826"/>
      <c r="CN1018" s="1099">
        <v>0.11776690757129327</v>
      </c>
      <c r="CO1018" s="1106">
        <v>0.78</v>
      </c>
      <c r="CR1018" s="1822"/>
      <c r="CT1018" s="1102">
        <v>1.7421877971300157</v>
      </c>
      <c r="CU1018" s="1106">
        <v>0.96</v>
      </c>
      <c r="CV1018" s="863"/>
      <c r="CW1018" s="863"/>
      <c r="CX1018" s="1822" t="e">
        <v>#N/A</v>
      </c>
      <c r="CY1018" s="863"/>
      <c r="CZ1018" s="1099">
        <v>-0.72932415102764037</v>
      </c>
      <c r="DA1018" s="1106">
        <v>0.33</v>
      </c>
      <c r="DB1018" s="863"/>
    </row>
    <row r="1019" spans="87:106">
      <c r="CI1019" s="888">
        <v>137</v>
      </c>
      <c r="CJ1019" s="4"/>
      <c r="CL1019" s="1826"/>
      <c r="CN1019" s="1102"/>
      <c r="CO1019" s="1103"/>
      <c r="CR1019" s="1822"/>
      <c r="CT1019" s="1102"/>
      <c r="CU1019" s="1103"/>
      <c r="CV1019" s="863"/>
      <c r="CW1019" s="863"/>
      <c r="CX1019" s="1822" t="e">
        <v>#N/A</v>
      </c>
      <c r="CY1019" s="863"/>
      <c r="CZ1019" s="1102"/>
      <c r="DA1019" s="1103"/>
      <c r="DB1019" s="863"/>
    </row>
    <row r="1020" spans="87:106">
      <c r="CI1020" s="888">
        <v>137</v>
      </c>
      <c r="CJ1020" s="4"/>
      <c r="CL1020" s="1826"/>
      <c r="CN1020" s="1102"/>
      <c r="CO1020" s="1103"/>
      <c r="CR1020" s="1822"/>
      <c r="CT1020" s="1102"/>
      <c r="CU1020" s="1103"/>
      <c r="CV1020" s="863"/>
      <c r="CW1020" s="863"/>
      <c r="CX1020" s="1822" t="e">
        <v>#N/A</v>
      </c>
      <c r="CY1020" s="863"/>
      <c r="CZ1020" s="1102"/>
      <c r="DA1020" s="1103"/>
      <c r="DB1020" s="863"/>
    </row>
    <row r="1021" spans="87:106">
      <c r="CI1021" s="888">
        <v>137</v>
      </c>
      <c r="CJ1021" s="4"/>
      <c r="CL1021" s="1826"/>
      <c r="CN1021" s="1102"/>
      <c r="CO1021" s="1103"/>
      <c r="CR1021" s="1825"/>
      <c r="CT1021" s="1102"/>
      <c r="CU1021" s="1103"/>
      <c r="CV1021" s="1099"/>
      <c r="CW1021" s="1099"/>
      <c r="CX1021" s="1825" t="e">
        <v>#N/A</v>
      </c>
      <c r="CY1021" s="1099"/>
      <c r="CZ1021" s="1102"/>
      <c r="DA1021" s="1103"/>
      <c r="DB1021" s="1099"/>
    </row>
    <row r="1022" spans="87:106">
      <c r="CI1022" s="888">
        <v>137</v>
      </c>
      <c r="CJ1022" s="4" t="s">
        <v>2475</v>
      </c>
      <c r="CL1022" s="1826">
        <v>0.11776690757129327</v>
      </c>
      <c r="CN1022" s="1102"/>
      <c r="CO1022" s="1103"/>
      <c r="CR1022" s="1823">
        <v>1.215674367301643</v>
      </c>
      <c r="CT1022" s="1102"/>
      <c r="CU1022" s="1103"/>
      <c r="CV1022" s="1099"/>
      <c r="CW1022" s="1099"/>
      <c r="CX1022" s="1823">
        <v>-1.0436795629795117</v>
      </c>
      <c r="CY1022" s="1099"/>
      <c r="CZ1022" s="1102"/>
      <c r="DA1022" s="1103"/>
      <c r="DB1022" s="1099"/>
    </row>
    <row r="1023" spans="87:106">
      <c r="CI1023" s="888">
        <v>137</v>
      </c>
      <c r="CJ1023" s="4" t="s">
        <v>2343</v>
      </c>
      <c r="CL1023" s="1826">
        <v>0.77207648232679649</v>
      </c>
      <c r="CN1023" s="1102"/>
      <c r="CO1023" s="1103"/>
      <c r="CR1023" s="1823">
        <v>1.3166919249269098</v>
      </c>
      <c r="CT1023" s="1102"/>
      <c r="CU1023" s="1103"/>
      <c r="CV1023" s="1099"/>
      <c r="CW1023" s="1099"/>
      <c r="CX1023" s="1823">
        <v>-3.5394389736397303</v>
      </c>
      <c r="CY1023" s="1099"/>
      <c r="CZ1023" s="1102"/>
      <c r="DA1023" s="1103"/>
      <c r="DB1023" s="1099"/>
    </row>
    <row r="1024" spans="87:106">
      <c r="CI1024" s="888">
        <v>137</v>
      </c>
      <c r="CJ1024" s="4" t="s">
        <v>1771</v>
      </c>
      <c r="CL1024" s="1826">
        <v>1.6728130882588252</v>
      </c>
      <c r="CN1024" s="1102"/>
      <c r="CO1024" s="1103"/>
      <c r="CR1024" s="1823">
        <v>3.3821568776085398</v>
      </c>
      <c r="CT1024" s="1102"/>
      <c r="CU1024" s="1103"/>
      <c r="CV1024" s="1099"/>
      <c r="CW1024" s="1099"/>
      <c r="CX1024" s="1823">
        <v>-1.6526113103850744</v>
      </c>
      <c r="CY1024" s="1099"/>
      <c r="CZ1024" s="1102"/>
      <c r="DA1024" s="1103"/>
      <c r="DB1024" s="1099"/>
    </row>
    <row r="1025" spans="87:106">
      <c r="CI1025" s="888">
        <v>137</v>
      </c>
      <c r="CJ1025" s="4" t="s">
        <v>1772</v>
      </c>
      <c r="CL1025" s="1826">
        <v>2.7380890291538709</v>
      </c>
      <c r="CN1025" s="1102"/>
      <c r="CO1025" s="1103"/>
      <c r="CR1025" s="1823">
        <v>2.1676836693331216</v>
      </c>
      <c r="CT1025" s="1102"/>
      <c r="CU1025" s="1103"/>
      <c r="CV1025" s="1099"/>
      <c r="CW1025" s="1099"/>
      <c r="CX1025" s="1823">
        <v>-0.72932415102764037</v>
      </c>
      <c r="CY1025" s="1099"/>
      <c r="CZ1025" s="1102"/>
      <c r="DA1025" s="1103"/>
      <c r="DB1025" s="1099"/>
    </row>
    <row r="1026" spans="87:106">
      <c r="CI1026" s="888">
        <v>137</v>
      </c>
      <c r="CJ1026" s="4" t="s">
        <v>1773</v>
      </c>
      <c r="CL1026" s="1826">
        <v>7.8187685951015551E-2</v>
      </c>
      <c r="CN1026" s="864"/>
      <c r="CO1026" s="1103"/>
      <c r="CR1026" s="1823">
        <v>2.8681961644829461</v>
      </c>
      <c r="CT1026" s="864"/>
      <c r="CU1026" s="1103"/>
      <c r="CV1026" s="1099"/>
      <c r="CW1026" s="1099"/>
      <c r="CX1026" s="1823">
        <v>0.66897121275944094</v>
      </c>
      <c r="CY1026" s="1099"/>
      <c r="CZ1026" s="864"/>
      <c r="DA1026" s="1103"/>
      <c r="DB1026" s="1099"/>
    </row>
    <row r="1027" spans="87:106">
      <c r="CI1027" s="888">
        <v>137</v>
      </c>
      <c r="CJ1027" s="4" t="s">
        <v>1774</v>
      </c>
      <c r="CL1027" s="1826">
        <v>-3.3076321751320044</v>
      </c>
      <c r="CN1027" s="864"/>
      <c r="CO1027" s="1103"/>
      <c r="CR1027" s="1823">
        <v>0.88722714075166342</v>
      </c>
      <c r="CT1027" s="864"/>
      <c r="CU1027" s="1103"/>
      <c r="CV1027" s="1099"/>
      <c r="CW1027" s="1099"/>
      <c r="CX1027" s="1823">
        <v>1.0876964346236651</v>
      </c>
      <c r="CY1027" s="1099"/>
      <c r="CZ1027" s="864"/>
      <c r="DA1027" s="1103"/>
      <c r="DB1027" s="1099"/>
    </row>
    <row r="1028" spans="87:106">
      <c r="CI1028" s="888">
        <v>137</v>
      </c>
      <c r="CJ1028" s="4" t="s">
        <v>1775</v>
      </c>
      <c r="CL1028" s="1826">
        <v>-0.73227285549626808</v>
      </c>
      <c r="CN1028" s="864"/>
      <c r="CO1028" s="1103"/>
      <c r="CR1028" s="1823">
        <v>5.4367186245002159</v>
      </c>
      <c r="CT1028" s="864"/>
      <c r="CU1028" s="1103"/>
      <c r="CV1028" s="1099"/>
      <c r="CW1028" s="1099"/>
      <c r="CX1028" s="1823">
        <v>3.6196401973722394</v>
      </c>
      <c r="CY1028" s="1099"/>
      <c r="CZ1028" s="864"/>
      <c r="DA1028" s="1103"/>
      <c r="DB1028" s="1099"/>
    </row>
    <row r="1029" spans="87:106">
      <c r="CI1029" s="888">
        <v>137</v>
      </c>
      <c r="CJ1029" s="4" t="s">
        <v>1776</v>
      </c>
      <c r="CL1029" s="1826">
        <v>2.878461005713544</v>
      </c>
      <c r="CN1029" s="864"/>
      <c r="CO1029" s="1103"/>
      <c r="CR1029" s="1823" t="s">
        <v>1218</v>
      </c>
      <c r="CT1029" s="864"/>
      <c r="CU1029" s="1103"/>
      <c r="CV1029" s="1099"/>
      <c r="CW1029" s="1099"/>
      <c r="CX1029" s="1823">
        <v>3.219210124286958</v>
      </c>
      <c r="CY1029" s="1099"/>
      <c r="CZ1029" s="864"/>
      <c r="DA1029" s="1103"/>
      <c r="DB1029" s="1099"/>
    </row>
    <row r="1030" spans="87:106">
      <c r="CI1030" s="888">
        <v>137</v>
      </c>
      <c r="CJ1030" s="1091" t="s">
        <v>1777</v>
      </c>
      <c r="CL1030" s="1826">
        <v>-6.8445033765468839</v>
      </c>
      <c r="CN1030" s="1104"/>
      <c r="CO1030" s="1105"/>
      <c r="CR1030" s="1824">
        <v>0.35617516563849749</v>
      </c>
      <c r="CT1030" s="1104"/>
      <c r="CU1030" s="1105"/>
      <c r="CV1030" s="1100"/>
      <c r="CW1030" s="1100"/>
      <c r="CX1030" s="1824">
        <v>-2.4977719645489707</v>
      </c>
      <c r="CY1030" s="1100"/>
      <c r="CZ1030" s="1104"/>
      <c r="DA1030" s="1105"/>
      <c r="DB1030" s="1100"/>
    </row>
    <row r="1031" spans="87:106">
      <c r="CI1031" s="888">
        <v>962</v>
      </c>
      <c r="CJ1031" s="4" t="s">
        <v>1778</v>
      </c>
      <c r="CL1031" s="1826"/>
      <c r="CN1031" s="1099">
        <v>-0.53950641650159392</v>
      </c>
      <c r="CO1031" s="1106">
        <v>0.4</v>
      </c>
      <c r="CR1031" s="1822"/>
      <c r="CT1031" s="1102">
        <v>-0.42659197749262789</v>
      </c>
      <c r="CU1031" s="1106">
        <v>0.54</v>
      </c>
      <c r="CV1031" s="863"/>
      <c r="CW1031" s="863"/>
      <c r="CX1031" s="1822" t="e">
        <v>#N/A</v>
      </c>
      <c r="CY1031" s="863"/>
      <c r="CZ1031" s="1099">
        <v>7.1269491910882499E-2</v>
      </c>
      <c r="DA1031" s="1106">
        <v>0.7</v>
      </c>
      <c r="DB1031" s="863"/>
    </row>
    <row r="1032" spans="87:106">
      <c r="CI1032" s="888">
        <v>962</v>
      </c>
      <c r="CJ1032" s="4"/>
      <c r="CL1032" s="1826"/>
      <c r="CN1032" s="1102"/>
      <c r="CO1032" s="1103"/>
      <c r="CR1032" s="1822"/>
      <c r="CT1032" s="1102"/>
      <c r="CU1032" s="1103"/>
      <c r="CV1032" s="863"/>
      <c r="CW1032" s="863"/>
      <c r="CX1032" s="1822" t="e">
        <v>#N/A</v>
      </c>
      <c r="CY1032" s="863"/>
      <c r="CZ1032" s="1102"/>
      <c r="DA1032" s="1103"/>
      <c r="DB1032" s="863"/>
    </row>
    <row r="1033" spans="87:106">
      <c r="CI1033" s="888">
        <v>962</v>
      </c>
      <c r="CJ1033" s="4"/>
      <c r="CL1033" s="1826"/>
      <c r="CN1033" s="1102"/>
      <c r="CO1033" s="1103"/>
      <c r="CR1033" s="1822"/>
      <c r="CT1033" s="1102"/>
      <c r="CU1033" s="1103"/>
      <c r="CV1033" s="863"/>
      <c r="CW1033" s="863"/>
      <c r="CX1033" s="1822" t="e">
        <v>#N/A</v>
      </c>
      <c r="CY1033" s="863"/>
      <c r="CZ1033" s="1102"/>
      <c r="DA1033" s="1103"/>
      <c r="DB1033" s="863"/>
    </row>
    <row r="1034" spans="87:106">
      <c r="CI1034" s="888">
        <v>962</v>
      </c>
      <c r="CJ1034" s="4"/>
      <c r="CL1034" s="1826"/>
      <c r="CN1034" s="1102"/>
      <c r="CO1034" s="1103"/>
      <c r="CR1034" s="1825"/>
      <c r="CT1034" s="1102"/>
      <c r="CU1034" s="1103"/>
      <c r="CV1034" s="1099"/>
      <c r="CW1034" s="1099"/>
      <c r="CX1034" s="1825" t="e">
        <v>#N/A</v>
      </c>
      <c r="CY1034" s="1099"/>
      <c r="CZ1034" s="1102"/>
      <c r="DA1034" s="1103"/>
      <c r="DB1034" s="1099"/>
    </row>
    <row r="1035" spans="87:106">
      <c r="CI1035" s="888">
        <v>962</v>
      </c>
      <c r="CJ1035" s="4" t="s">
        <v>2476</v>
      </c>
      <c r="CL1035" s="1826">
        <v>-3.5797963100715391</v>
      </c>
      <c r="CN1035" s="1102"/>
      <c r="CO1035" s="1103"/>
      <c r="CR1035" s="1823">
        <v>0.45794855058471495</v>
      </c>
      <c r="CT1035" s="1102"/>
      <c r="CU1035" s="1103"/>
      <c r="CV1035" s="1099"/>
      <c r="CW1035" s="1099"/>
      <c r="CX1035" s="1823">
        <v>1.9499331835364011</v>
      </c>
      <c r="CY1035" s="1099"/>
      <c r="CZ1035" s="1102"/>
      <c r="DA1035" s="1103"/>
      <c r="DB1035" s="1099"/>
    </row>
    <row r="1036" spans="87:106">
      <c r="CI1036" s="888">
        <v>962</v>
      </c>
      <c r="CJ1036" s="4" t="s">
        <v>2344</v>
      </c>
      <c r="CL1036" s="1826">
        <v>-0.99036524598994902</v>
      </c>
      <c r="CN1036" s="1102"/>
      <c r="CO1036" s="1103"/>
      <c r="CR1036" s="1823">
        <v>0.7290073000476649</v>
      </c>
      <c r="CT1036" s="1102"/>
      <c r="CU1036" s="1103"/>
      <c r="CV1036" s="1099"/>
      <c r="CW1036" s="1099"/>
      <c r="CX1036" s="1823">
        <v>2.1134196555023865</v>
      </c>
      <c r="CY1036" s="1099"/>
      <c r="CZ1036" s="1102"/>
      <c r="DA1036" s="1103"/>
      <c r="DB1036" s="1099"/>
    </row>
    <row r="1037" spans="87:106">
      <c r="CI1037" s="888">
        <v>962</v>
      </c>
      <c r="CJ1037" s="4" t="s">
        <v>1779</v>
      </c>
      <c r="CL1037" s="1826">
        <v>0.40559815282062628</v>
      </c>
      <c r="CN1037" s="1102"/>
      <c r="CO1037" s="1103"/>
      <c r="CR1037" s="1823">
        <v>-0.42659197749262789</v>
      </c>
      <c r="CT1037" s="1102"/>
      <c r="CU1037" s="1103"/>
      <c r="CV1037" s="1099"/>
      <c r="CW1037" s="1099"/>
      <c r="CX1037" s="1823">
        <v>7.1269491910882499E-2</v>
      </c>
      <c r="CY1037" s="1099"/>
      <c r="CZ1037" s="1102"/>
      <c r="DA1037" s="1103"/>
      <c r="DB1037" s="1099"/>
    </row>
    <row r="1038" spans="87:106">
      <c r="CI1038" s="888">
        <v>962</v>
      </c>
      <c r="CJ1038" s="4" t="s">
        <v>1780</v>
      </c>
      <c r="CL1038" s="1826">
        <v>0.41462505201813871</v>
      </c>
      <c r="CN1038" s="1102"/>
      <c r="CO1038" s="1103"/>
      <c r="CR1038" s="1823">
        <v>-3.2287927702148957</v>
      </c>
      <c r="CT1038" s="1102"/>
      <c r="CU1038" s="1103"/>
      <c r="CV1038" s="1099"/>
      <c r="CW1038" s="1099"/>
      <c r="CX1038" s="1823">
        <v>-1.0056853571551958</v>
      </c>
      <c r="CY1038" s="1099"/>
      <c r="CZ1038" s="1102"/>
      <c r="DA1038" s="1103"/>
      <c r="DB1038" s="1099"/>
    </row>
    <row r="1039" spans="87:106">
      <c r="CI1039" s="888">
        <v>962</v>
      </c>
      <c r="CJ1039" s="4" t="s">
        <v>1781</v>
      </c>
      <c r="CL1039" s="1826">
        <v>-0.53950641650159392</v>
      </c>
      <c r="CN1039" s="864"/>
      <c r="CO1039" s="1103"/>
      <c r="CR1039" s="1823">
        <v>-1.6002382397023158</v>
      </c>
      <c r="CT1039" s="864"/>
      <c r="CU1039" s="1103"/>
      <c r="CV1039" s="1099"/>
      <c r="CW1039" s="1099"/>
      <c r="CX1039" s="1823">
        <v>1.5800991399376763</v>
      </c>
      <c r="CY1039" s="1099"/>
      <c r="CZ1039" s="864"/>
      <c r="DA1039" s="1103"/>
      <c r="DB1039" s="1099"/>
    </row>
    <row r="1040" spans="87:106">
      <c r="CI1040" s="888">
        <v>962</v>
      </c>
      <c r="CJ1040" s="4" t="s">
        <v>1782</v>
      </c>
      <c r="CL1040" s="1826">
        <v>-4.0366205944397633</v>
      </c>
      <c r="CN1040" s="864"/>
      <c r="CO1040" s="1103"/>
      <c r="CR1040" s="1823">
        <v>-1.7350542780978364</v>
      </c>
      <c r="CT1040" s="864"/>
      <c r="CU1040" s="1103"/>
      <c r="CV1040" s="1099"/>
      <c r="CW1040" s="1099"/>
      <c r="CX1040" s="1823">
        <v>-3.5931739415895456</v>
      </c>
      <c r="CY1040" s="1099"/>
      <c r="CZ1040" s="864"/>
      <c r="DA1040" s="1103"/>
      <c r="DB1040" s="1099"/>
    </row>
    <row r="1041" spans="87:106">
      <c r="CI1041" s="888">
        <v>962</v>
      </c>
      <c r="CJ1041" s="4" t="s">
        <v>1783</v>
      </c>
      <c r="CL1041" s="1826">
        <v>-0.14735417004745432</v>
      </c>
      <c r="CN1041" s="864"/>
      <c r="CO1041" s="1103"/>
      <c r="CR1041" s="1823">
        <v>0.86072917336187271</v>
      </c>
      <c r="CT1041" s="864"/>
      <c r="CU1041" s="1103"/>
      <c r="CV1041" s="1099"/>
      <c r="CW1041" s="1099"/>
      <c r="CX1041" s="1823">
        <v>8.6316771816567162E-2</v>
      </c>
      <c r="CY1041" s="1099"/>
      <c r="CZ1041" s="864"/>
      <c r="DA1041" s="1103"/>
      <c r="DB1041" s="1099"/>
    </row>
    <row r="1042" spans="87:106">
      <c r="CI1042" s="888">
        <v>962</v>
      </c>
      <c r="CJ1042" s="4" t="s">
        <v>1784</v>
      </c>
      <c r="CL1042" s="1826">
        <v>0.80000000000031968</v>
      </c>
      <c r="CN1042" s="864"/>
      <c r="CO1042" s="1103"/>
      <c r="CR1042" s="1823" t="s">
        <v>1218</v>
      </c>
      <c r="CT1042" s="864"/>
      <c r="CU1042" s="1103"/>
      <c r="CV1042" s="1099"/>
      <c r="CW1042" s="1099"/>
      <c r="CX1042" s="1823">
        <v>-2.435705178235283</v>
      </c>
      <c r="CY1042" s="1099"/>
      <c r="CZ1042" s="864"/>
      <c r="DA1042" s="1103"/>
      <c r="DB1042" s="1099"/>
    </row>
    <row r="1043" spans="87:106">
      <c r="CI1043" s="888">
        <v>962</v>
      </c>
      <c r="CJ1043" s="1091" t="s">
        <v>1785</v>
      </c>
      <c r="CL1043" s="1826">
        <v>-5.9000000000002215</v>
      </c>
      <c r="CN1043" s="1104"/>
      <c r="CO1043" s="1105"/>
      <c r="CR1043" s="1824" t="s">
        <v>1218</v>
      </c>
      <c r="CT1043" s="1104"/>
      <c r="CU1043" s="1105"/>
      <c r="CV1043" s="1100"/>
      <c r="CW1043" s="1100"/>
      <c r="CX1043" s="1824">
        <v>-4.276369040487805</v>
      </c>
      <c r="CY1043" s="1100"/>
      <c r="CZ1043" s="1104"/>
      <c r="DA1043" s="1105"/>
      <c r="DB1043" s="1100"/>
    </row>
    <row r="1044" spans="87:106">
      <c r="CI1044" s="888">
        <v>548</v>
      </c>
      <c r="CJ1044" s="4" t="s">
        <v>1786</v>
      </c>
      <c r="CL1044" s="1826"/>
      <c r="CN1044" s="1099">
        <v>4.4825018119896143E-2</v>
      </c>
      <c r="CO1044" s="1106">
        <v>0.74</v>
      </c>
      <c r="CR1044" s="1822"/>
      <c r="CT1044" s="1102">
        <v>-4.9286361400546652E-2</v>
      </c>
      <c r="CU1044" s="1106">
        <v>0.67</v>
      </c>
      <c r="CV1044" s="863"/>
      <c r="CW1044" s="863"/>
      <c r="CX1044" s="1822" t="e">
        <v>#N/A</v>
      </c>
      <c r="CY1044" s="863"/>
      <c r="CZ1044" s="1099">
        <v>-1.777525654777061</v>
      </c>
      <c r="DA1044" s="1106">
        <v>0.09</v>
      </c>
      <c r="DB1044" s="863"/>
    </row>
    <row r="1045" spans="87:106">
      <c r="CI1045" s="888">
        <v>548</v>
      </c>
      <c r="CJ1045" s="4"/>
      <c r="CL1045" s="1826"/>
      <c r="CN1045" s="1102"/>
      <c r="CO1045" s="1103"/>
      <c r="CR1045" s="1822"/>
      <c r="CT1045" s="1102"/>
      <c r="CU1045" s="1103"/>
      <c r="CV1045" s="863"/>
      <c r="CW1045" s="863"/>
      <c r="CX1045" s="1822" t="e">
        <v>#N/A</v>
      </c>
      <c r="CY1045" s="863"/>
      <c r="CZ1045" s="1102"/>
      <c r="DA1045" s="1103"/>
      <c r="DB1045" s="863"/>
    </row>
    <row r="1046" spans="87:106">
      <c r="CI1046" s="888">
        <v>548</v>
      </c>
      <c r="CJ1046" s="4"/>
      <c r="CL1046" s="1826"/>
      <c r="CN1046" s="1102"/>
      <c r="CO1046" s="1103"/>
      <c r="CR1046" s="1822"/>
      <c r="CT1046" s="1102"/>
      <c r="CU1046" s="1103"/>
      <c r="CV1046" s="863"/>
      <c r="CW1046" s="863"/>
      <c r="CX1046" s="1822" t="e">
        <v>#N/A</v>
      </c>
      <c r="CY1046" s="863"/>
      <c r="CZ1046" s="1102"/>
      <c r="DA1046" s="1103"/>
      <c r="DB1046" s="863"/>
    </row>
    <row r="1047" spans="87:106">
      <c r="CI1047" s="888">
        <v>548</v>
      </c>
      <c r="CJ1047" s="4"/>
      <c r="CL1047" s="1826"/>
      <c r="CN1047" s="1102"/>
      <c r="CO1047" s="1103"/>
      <c r="CR1047" s="1825"/>
      <c r="CT1047" s="1102"/>
      <c r="CU1047" s="1103"/>
      <c r="CV1047" s="1099"/>
      <c r="CW1047" s="1099"/>
      <c r="CX1047" s="1825" t="e">
        <v>#N/A</v>
      </c>
      <c r="CY1047" s="1099"/>
      <c r="CZ1047" s="1102"/>
      <c r="DA1047" s="1103"/>
      <c r="DB1047" s="1099"/>
    </row>
    <row r="1048" spans="87:106">
      <c r="CI1048" s="888">
        <v>548</v>
      </c>
      <c r="CJ1048" s="4" t="s">
        <v>2477</v>
      </c>
      <c r="CL1048" s="1826">
        <v>1.101859456591475</v>
      </c>
      <c r="CN1048" s="1102"/>
      <c r="CO1048" s="1103"/>
      <c r="CR1048" s="1823">
        <v>-0.51067944170101476</v>
      </c>
      <c r="CT1048" s="1102"/>
      <c r="CU1048" s="1103"/>
      <c r="CV1048" s="1099"/>
      <c r="CW1048" s="1099"/>
      <c r="CX1048" s="1823">
        <v>1.4948001960902237</v>
      </c>
      <c r="CY1048" s="1099"/>
      <c r="CZ1048" s="1102"/>
      <c r="DA1048" s="1103"/>
      <c r="DB1048" s="1099"/>
    </row>
    <row r="1049" spans="87:106">
      <c r="CI1049" s="888">
        <v>548</v>
      </c>
      <c r="CJ1049" s="4" t="s">
        <v>2345</v>
      </c>
      <c r="CL1049" s="1826">
        <v>-0.68014868035604348</v>
      </c>
      <c r="CN1049" s="1102"/>
      <c r="CO1049" s="1103"/>
      <c r="CR1049" s="1823">
        <v>-4.9286361400546652E-2</v>
      </c>
      <c r="CT1049" s="1102"/>
      <c r="CU1049" s="1103"/>
      <c r="CV1049" s="1099"/>
      <c r="CW1049" s="1099"/>
      <c r="CX1049" s="1823">
        <v>-1.777525654777061</v>
      </c>
      <c r="CY1049" s="1099"/>
      <c r="CZ1049" s="1102"/>
      <c r="DA1049" s="1103"/>
      <c r="DB1049" s="1099"/>
    </row>
    <row r="1050" spans="87:106">
      <c r="CI1050" s="888">
        <v>548</v>
      </c>
      <c r="CJ1050" s="4" t="s">
        <v>1787</v>
      </c>
      <c r="CL1050" s="1826">
        <v>-3.2325734366018821E-2</v>
      </c>
      <c r="CN1050" s="1102"/>
      <c r="CO1050" s="1103"/>
      <c r="CR1050" s="1823">
        <v>-0.44356956882455778</v>
      </c>
      <c r="CT1050" s="1102"/>
      <c r="CU1050" s="1103"/>
      <c r="CV1050" s="1099"/>
      <c r="CW1050" s="1099"/>
      <c r="CX1050" s="1823">
        <v>-4.0729776364150743</v>
      </c>
      <c r="CY1050" s="1099"/>
      <c r="CZ1050" s="1102"/>
      <c r="DA1050" s="1103"/>
      <c r="DB1050" s="1099"/>
    </row>
    <row r="1051" spans="87:106">
      <c r="CI1051" s="888">
        <v>548</v>
      </c>
      <c r="CJ1051" s="4" t="s">
        <v>1788</v>
      </c>
      <c r="CL1051" s="1826">
        <v>0.79260934195925703</v>
      </c>
      <c r="CN1051" s="1102"/>
      <c r="CO1051" s="1103"/>
      <c r="CR1051" s="1823">
        <v>0.98381378522717411</v>
      </c>
      <c r="CT1051" s="1102"/>
      <c r="CU1051" s="1103"/>
      <c r="CV1051" s="1099"/>
      <c r="CW1051" s="1099"/>
      <c r="CX1051" s="1823">
        <v>7.2974974456187169E-2</v>
      </c>
      <c r="CY1051" s="1099"/>
      <c r="CZ1051" s="1102"/>
      <c r="DA1051" s="1103"/>
      <c r="DB1051" s="1099"/>
    </row>
    <row r="1052" spans="87:106">
      <c r="CI1052" s="888">
        <v>548</v>
      </c>
      <c r="CJ1052" s="4" t="s">
        <v>1789</v>
      </c>
      <c r="CL1052" s="1826">
        <v>4.4825018119896143E-2</v>
      </c>
      <c r="CN1052" s="864"/>
      <c r="CO1052" s="1103"/>
      <c r="CR1052" s="1823">
        <v>0.49819286789104922</v>
      </c>
      <c r="CT1052" s="864"/>
      <c r="CU1052" s="1103"/>
      <c r="CV1052" s="1099"/>
      <c r="CW1052" s="1099"/>
      <c r="CX1052" s="1823">
        <v>-2.9909672837693542</v>
      </c>
      <c r="CY1052" s="1099"/>
      <c r="CZ1052" s="864"/>
      <c r="DA1052" s="1103"/>
      <c r="DB1052" s="1099"/>
    </row>
    <row r="1053" spans="87:106">
      <c r="CI1053" s="888">
        <v>548</v>
      </c>
      <c r="CJ1053" s="4" t="s">
        <v>1790</v>
      </c>
      <c r="CL1053" s="1826">
        <v>0.43998031911154811</v>
      </c>
      <c r="CN1053" s="864"/>
      <c r="CO1053" s="1103"/>
      <c r="CR1053" s="1823">
        <v>1.497759046460309</v>
      </c>
      <c r="CT1053" s="864"/>
      <c r="CU1053" s="1103"/>
      <c r="CV1053" s="1099"/>
      <c r="CW1053" s="1099"/>
      <c r="CX1053" s="1823">
        <v>-1.9807464962335009</v>
      </c>
      <c r="CY1053" s="1099"/>
      <c r="CZ1053" s="864"/>
      <c r="DA1053" s="1103"/>
      <c r="DB1053" s="1099"/>
    </row>
    <row r="1054" spans="87:106">
      <c r="CI1054" s="888">
        <v>548</v>
      </c>
      <c r="CJ1054" s="4" t="s">
        <v>1791</v>
      </c>
      <c r="CL1054" s="1826">
        <v>3.3791516099755725E-2</v>
      </c>
      <c r="CN1054" s="864"/>
      <c r="CO1054" s="1103"/>
      <c r="CR1054" s="1823">
        <v>1.726102427776413</v>
      </c>
      <c r="CT1054" s="864"/>
      <c r="CU1054" s="1103"/>
      <c r="CV1054" s="1099"/>
      <c r="CW1054" s="1099"/>
      <c r="CX1054" s="1823">
        <v>2.8578536854522847</v>
      </c>
      <c r="CY1054" s="1099"/>
      <c r="CZ1054" s="864"/>
      <c r="DA1054" s="1103"/>
      <c r="DB1054" s="1099"/>
    </row>
    <row r="1055" spans="87:106">
      <c r="CI1055" s="888">
        <v>548</v>
      </c>
      <c r="CJ1055" s="4" t="s">
        <v>1792</v>
      </c>
      <c r="CL1055" s="1826">
        <v>5.8575702121831217</v>
      </c>
      <c r="CN1055" s="864"/>
      <c r="CO1055" s="1103"/>
      <c r="CR1055" s="1823">
        <v>-0.25081205448563271</v>
      </c>
      <c r="CT1055" s="864"/>
      <c r="CU1055" s="1103"/>
      <c r="CV1055" s="1099"/>
      <c r="CW1055" s="1099"/>
      <c r="CX1055" s="1823">
        <v>2.5918819890398712</v>
      </c>
      <c r="CY1055" s="1099"/>
      <c r="CZ1055" s="864"/>
      <c r="DA1055" s="1103"/>
      <c r="DB1055" s="1099"/>
    </row>
    <row r="1056" spans="87:106">
      <c r="CI1056" s="888">
        <v>548</v>
      </c>
      <c r="CJ1056" s="1091" t="s">
        <v>1793</v>
      </c>
      <c r="CL1056" s="1826">
        <v>-6.9637543593602818</v>
      </c>
      <c r="CN1056" s="1104"/>
      <c r="CO1056" s="1105"/>
      <c r="CR1056" s="1824">
        <v>-2.5906558279638374</v>
      </c>
      <c r="CT1056" s="1104"/>
      <c r="CU1056" s="1105"/>
      <c r="CV1056" s="1100"/>
      <c r="CW1056" s="1100"/>
      <c r="CX1056" s="1824">
        <v>-8.3632833539432951</v>
      </c>
      <c r="CY1056" s="1100"/>
      <c r="CZ1056" s="1104"/>
      <c r="DA1056" s="1105"/>
      <c r="DB1056" s="1100"/>
    </row>
    <row r="1057" spans="87:106">
      <c r="CI1057" s="888">
        <v>181</v>
      </c>
      <c r="CJ1057" s="4" t="s">
        <v>1794</v>
      </c>
      <c r="CL1057" s="1826"/>
      <c r="CN1057" s="1099">
        <v>1.193933331777091</v>
      </c>
      <c r="CO1057" s="1106">
        <v>0.97</v>
      </c>
      <c r="CR1057" s="1822"/>
      <c r="CT1057" s="1102">
        <v>0.95097678538887709</v>
      </c>
      <c r="CU1057" s="1106">
        <v>0.88</v>
      </c>
      <c r="CV1057" s="863"/>
      <c r="CW1057" s="863"/>
      <c r="CX1057" s="1822" t="e">
        <v>#N/A</v>
      </c>
      <c r="CY1057" s="863"/>
      <c r="CZ1057" s="1099">
        <v>-0.14978642188830893</v>
      </c>
      <c r="DA1057" s="1106">
        <v>0.64</v>
      </c>
      <c r="DB1057" s="863"/>
    </row>
    <row r="1058" spans="87:106">
      <c r="CI1058" s="888">
        <v>181</v>
      </c>
      <c r="CJ1058" s="4"/>
      <c r="CL1058" s="1826"/>
      <c r="CN1058" s="1102"/>
      <c r="CO1058" s="1103"/>
      <c r="CR1058" s="1822"/>
      <c r="CT1058" s="1102"/>
      <c r="CU1058" s="1103"/>
      <c r="CV1058" s="863"/>
      <c r="CW1058" s="863"/>
      <c r="CX1058" s="1822" t="e">
        <v>#N/A</v>
      </c>
      <c r="CY1058" s="863"/>
      <c r="CZ1058" s="1102"/>
      <c r="DA1058" s="1103"/>
      <c r="DB1058" s="863"/>
    </row>
    <row r="1059" spans="87:106">
      <c r="CI1059" s="888">
        <v>181</v>
      </c>
      <c r="CJ1059" s="4"/>
      <c r="CL1059" s="1826"/>
      <c r="CN1059" s="1102"/>
      <c r="CO1059" s="1103"/>
      <c r="CR1059" s="1822"/>
      <c r="CT1059" s="1102"/>
      <c r="CU1059" s="1103"/>
      <c r="CV1059" s="863"/>
      <c r="CW1059" s="863"/>
      <c r="CX1059" s="1822" t="e">
        <v>#N/A</v>
      </c>
      <c r="CY1059" s="863"/>
      <c r="CZ1059" s="1102"/>
      <c r="DA1059" s="1103"/>
      <c r="DB1059" s="863"/>
    </row>
    <row r="1060" spans="87:106">
      <c r="CI1060" s="888">
        <v>181</v>
      </c>
      <c r="CJ1060" s="4"/>
      <c r="CL1060" s="1826"/>
      <c r="CN1060" s="1102"/>
      <c r="CO1060" s="1103"/>
      <c r="CR1060" s="1825"/>
      <c r="CT1060" s="1102"/>
      <c r="CU1060" s="1103"/>
      <c r="CV1060" s="1099"/>
      <c r="CW1060" s="1099"/>
      <c r="CX1060" s="1825" t="e">
        <v>#N/A</v>
      </c>
      <c r="CY1060" s="1099"/>
      <c r="CZ1060" s="1102"/>
      <c r="DA1060" s="1103"/>
      <c r="DB1060" s="1099"/>
    </row>
    <row r="1061" spans="87:106">
      <c r="CI1061" s="888">
        <v>181</v>
      </c>
      <c r="CJ1061" s="4" t="s">
        <v>2478</v>
      </c>
      <c r="CL1061" s="1826">
        <v>3.5390696724612667</v>
      </c>
      <c r="CN1061" s="1102"/>
      <c r="CO1061" s="1103"/>
      <c r="CR1061" s="1823">
        <v>2.4841271783493002</v>
      </c>
      <c r="CT1061" s="1102"/>
      <c r="CU1061" s="1103"/>
      <c r="CV1061" s="1099"/>
      <c r="CW1061" s="1099"/>
      <c r="CX1061" s="1823">
        <v>7.5957458096746144E-2</v>
      </c>
      <c r="CY1061" s="1099"/>
      <c r="CZ1061" s="1102"/>
      <c r="DA1061" s="1103"/>
      <c r="DB1061" s="1099"/>
    </row>
    <row r="1062" spans="87:106">
      <c r="CI1062" s="888">
        <v>181</v>
      </c>
      <c r="CJ1062" s="4" t="s">
        <v>2346</v>
      </c>
      <c r="CL1062" s="1826">
        <v>2.7409318206709683</v>
      </c>
      <c r="CN1062" s="1102"/>
      <c r="CO1062" s="1103"/>
      <c r="CR1062" s="1823">
        <v>1.9266445423394976</v>
      </c>
      <c r="CT1062" s="1102"/>
      <c r="CU1062" s="1103"/>
      <c r="CV1062" s="1099"/>
      <c r="CW1062" s="1099"/>
      <c r="CX1062" s="1823">
        <v>9.6495642542771209E-2</v>
      </c>
      <c r="CY1062" s="1099"/>
      <c r="CZ1062" s="1102"/>
      <c r="DA1062" s="1103"/>
      <c r="DB1062" s="1099"/>
    </row>
    <row r="1063" spans="87:106">
      <c r="CI1063" s="888">
        <v>181</v>
      </c>
      <c r="CJ1063" s="4" t="s">
        <v>1795</v>
      </c>
      <c r="CL1063" s="1826">
        <v>5.6579036749203961</v>
      </c>
      <c r="CN1063" s="1102"/>
      <c r="CO1063" s="1103"/>
      <c r="CR1063" s="1823">
        <v>1.1487811879682526</v>
      </c>
      <c r="CT1063" s="1102"/>
      <c r="CU1063" s="1103"/>
      <c r="CV1063" s="1099"/>
      <c r="CW1063" s="1099"/>
      <c r="CX1063" s="1823">
        <v>-0.14978642188830893</v>
      </c>
      <c r="CY1063" s="1099"/>
      <c r="CZ1063" s="1102"/>
      <c r="DA1063" s="1103"/>
      <c r="DB1063" s="1099"/>
    </row>
    <row r="1064" spans="87:106">
      <c r="CI1064" s="888">
        <v>181</v>
      </c>
      <c r="CJ1064" s="4" t="s">
        <v>1796</v>
      </c>
      <c r="CL1064" s="1826">
        <v>1.8986564435438225</v>
      </c>
      <c r="CN1064" s="1102"/>
      <c r="CO1064" s="1103"/>
      <c r="CR1064" s="1823">
        <v>0.76516836548851119</v>
      </c>
      <c r="CT1064" s="1102"/>
      <c r="CU1064" s="1103"/>
      <c r="CV1064" s="1099"/>
      <c r="CW1064" s="1099"/>
      <c r="CX1064" s="1823">
        <v>-0.69912382652823157</v>
      </c>
      <c r="CY1064" s="1099"/>
      <c r="CZ1064" s="1102"/>
      <c r="DA1064" s="1103"/>
      <c r="DB1064" s="1099"/>
    </row>
    <row r="1065" spans="87:106">
      <c r="CI1065" s="888">
        <v>181</v>
      </c>
      <c r="CJ1065" s="4" t="s">
        <v>1797</v>
      </c>
      <c r="CL1065" s="1826">
        <v>0.67320457550933632</v>
      </c>
      <c r="CN1065" s="864"/>
      <c r="CO1065" s="1103"/>
      <c r="CR1065" s="1823">
        <v>-0.8136938675559664</v>
      </c>
      <c r="CT1065" s="864"/>
      <c r="CU1065" s="1103"/>
      <c r="CV1065" s="1099"/>
      <c r="CW1065" s="1099"/>
      <c r="CX1065" s="1823">
        <v>-0.43104154144168128</v>
      </c>
      <c r="CY1065" s="1099"/>
      <c r="CZ1065" s="864"/>
      <c r="DA1065" s="1103"/>
      <c r="DB1065" s="1099"/>
    </row>
    <row r="1066" spans="87:106">
      <c r="CI1066" s="888">
        <v>181</v>
      </c>
      <c r="CJ1066" s="4" t="s">
        <v>1798</v>
      </c>
      <c r="CL1066" s="1826">
        <v>-1.3339828598854793</v>
      </c>
      <c r="CN1066" s="864"/>
      <c r="CO1066" s="1103"/>
      <c r="CR1066" s="1823">
        <v>-0.30219615477449352</v>
      </c>
      <c r="CT1066" s="864"/>
      <c r="CU1066" s="1103"/>
      <c r="CV1066" s="1099"/>
      <c r="CW1066" s="1099"/>
      <c r="CX1066" s="1823">
        <v>-0.36604695005245391</v>
      </c>
      <c r="CY1066" s="1099"/>
      <c r="CZ1066" s="864"/>
      <c r="DA1066" s="1103"/>
      <c r="DB1066" s="1099"/>
    </row>
    <row r="1067" spans="87:106">
      <c r="CI1067" s="888">
        <v>181</v>
      </c>
      <c r="CJ1067" s="4" t="s">
        <v>1799</v>
      </c>
      <c r="CL1067" s="1826">
        <v>0.21742544864352631</v>
      </c>
      <c r="CN1067" s="864"/>
      <c r="CO1067" s="1103"/>
      <c r="CR1067" s="1823">
        <v>1.1367852052892431</v>
      </c>
      <c r="CT1067" s="864"/>
      <c r="CU1067" s="1103"/>
      <c r="CV1067" s="1099"/>
      <c r="CW1067" s="1099"/>
      <c r="CX1067" s="1823">
        <v>-8.4996151487684024E-3</v>
      </c>
      <c r="CY1067" s="1099"/>
      <c r="CZ1067" s="864"/>
      <c r="DA1067" s="1103"/>
      <c r="DB1067" s="1099"/>
    </row>
    <row r="1068" spans="87:106">
      <c r="CI1068" s="888">
        <v>181</v>
      </c>
      <c r="CJ1068" s="4" t="s">
        <v>1800</v>
      </c>
      <c r="CL1068" s="1826">
        <v>1.193933331777091</v>
      </c>
      <c r="CN1068" s="864"/>
      <c r="CO1068" s="1103"/>
      <c r="CR1068" s="1823">
        <v>-1.6220077025246953</v>
      </c>
      <c r="CT1068" s="864"/>
      <c r="CU1068" s="1103"/>
      <c r="CV1068" s="1099"/>
      <c r="CW1068" s="1099"/>
      <c r="CX1068" s="1823">
        <v>1.4664929192339322</v>
      </c>
      <c r="CY1068" s="1099"/>
      <c r="CZ1068" s="864"/>
      <c r="DA1068" s="1103"/>
      <c r="DB1068" s="1099"/>
    </row>
    <row r="1069" spans="87:106">
      <c r="CI1069" s="888">
        <v>181</v>
      </c>
      <c r="CJ1069" s="1091" t="s">
        <v>1801</v>
      </c>
      <c r="CL1069" s="1826">
        <v>-5.4061037435899086</v>
      </c>
      <c r="CN1069" s="1104"/>
      <c r="CO1069" s="1105"/>
      <c r="CR1069" s="1824" t="s">
        <v>1218</v>
      </c>
      <c r="CT1069" s="1104"/>
      <c r="CU1069" s="1105"/>
      <c r="CV1069" s="1100"/>
      <c r="CW1069" s="1100"/>
      <c r="CX1069" s="1824">
        <v>-0.6711654590905396</v>
      </c>
      <c r="CY1069" s="1100"/>
      <c r="CZ1069" s="1104"/>
      <c r="DA1069" s="1105"/>
      <c r="DB1069" s="1100"/>
    </row>
    <row r="1070" spans="87:106">
      <c r="CI1070" s="888">
        <v>684</v>
      </c>
      <c r="CJ1070" s="4" t="s">
        <v>1802</v>
      </c>
      <c r="CL1070" s="1826"/>
      <c r="CN1070" s="1099">
        <v>-0.7349383271506662</v>
      </c>
      <c r="CO1070" s="1106">
        <v>0.33</v>
      </c>
      <c r="CR1070" s="1822"/>
      <c r="CT1070" s="1102">
        <v>-0.59022412884791542</v>
      </c>
      <c r="CU1070" s="1106">
        <v>0.48</v>
      </c>
      <c r="CV1070" s="863"/>
      <c r="CW1070" s="863"/>
      <c r="CX1070" s="1822" t="e">
        <v>#N/A</v>
      </c>
      <c r="CY1070" s="863"/>
      <c r="CZ1070" s="1099">
        <v>-2.6770849468892974</v>
      </c>
      <c r="DA1070" s="1106">
        <v>0.03</v>
      </c>
      <c r="DB1070" s="863"/>
    </row>
    <row r="1071" spans="87:106">
      <c r="CI1071" s="888">
        <v>684</v>
      </c>
      <c r="CJ1071" s="4"/>
      <c r="CL1071" s="1826"/>
      <c r="CN1071" s="1102"/>
      <c r="CO1071" s="1103"/>
      <c r="CR1071" s="1822"/>
      <c r="CT1071" s="1102"/>
      <c r="CU1071" s="1103"/>
      <c r="CV1071" s="863"/>
      <c r="CW1071" s="863"/>
      <c r="CX1071" s="1822" t="e">
        <v>#N/A</v>
      </c>
      <c r="CY1071" s="863"/>
      <c r="CZ1071" s="1102"/>
      <c r="DA1071" s="1103"/>
      <c r="DB1071" s="863"/>
    </row>
    <row r="1072" spans="87:106">
      <c r="CI1072" s="888">
        <v>684</v>
      </c>
      <c r="CJ1072" s="4"/>
      <c r="CL1072" s="1826"/>
      <c r="CN1072" s="1102"/>
      <c r="CO1072" s="1103"/>
      <c r="CR1072" s="1822"/>
      <c r="CT1072" s="1102"/>
      <c r="CU1072" s="1103"/>
      <c r="CV1072" s="863"/>
      <c r="CW1072" s="863"/>
      <c r="CX1072" s="1822" t="e">
        <v>#N/A</v>
      </c>
      <c r="CY1072" s="863"/>
      <c r="CZ1072" s="1102"/>
      <c r="DA1072" s="1103"/>
      <c r="DB1072" s="863"/>
    </row>
    <row r="1073" spans="87:106">
      <c r="CI1073" s="888">
        <v>684</v>
      </c>
      <c r="CJ1073" s="4"/>
      <c r="CL1073" s="1826"/>
      <c r="CN1073" s="1102"/>
      <c r="CO1073" s="1103"/>
      <c r="CR1073" s="1825"/>
      <c r="CT1073" s="1102"/>
      <c r="CU1073" s="1103"/>
      <c r="CV1073" s="1099"/>
      <c r="CW1073" s="1099"/>
      <c r="CX1073" s="1825" t="e">
        <v>#N/A</v>
      </c>
      <c r="CY1073" s="1099"/>
      <c r="CZ1073" s="1102"/>
      <c r="DA1073" s="1103"/>
      <c r="DB1073" s="1099"/>
    </row>
    <row r="1074" spans="87:106">
      <c r="CI1074" s="888">
        <v>684</v>
      </c>
      <c r="CJ1074" s="4" t="s">
        <v>2479</v>
      </c>
      <c r="CL1074" s="1826">
        <v>-4.1806745874561901E-2</v>
      </c>
      <c r="CN1074" s="1102"/>
      <c r="CO1074" s="1103"/>
      <c r="CR1074" s="1823">
        <v>-0.59022412884791542</v>
      </c>
      <c r="CT1074" s="1102"/>
      <c r="CU1074" s="1103"/>
      <c r="CV1074" s="1099"/>
      <c r="CW1074" s="1099"/>
      <c r="CX1074" s="1823">
        <v>-1.8058831953944021</v>
      </c>
      <c r="CY1074" s="1099"/>
      <c r="CZ1074" s="1102"/>
      <c r="DA1074" s="1103"/>
      <c r="DB1074" s="1099"/>
    </row>
    <row r="1075" spans="87:106">
      <c r="CI1075" s="888">
        <v>684</v>
      </c>
      <c r="CJ1075" s="4" t="s">
        <v>2347</v>
      </c>
      <c r="CL1075" s="1826">
        <v>0.38913690870758932</v>
      </c>
      <c r="CN1075" s="1102"/>
      <c r="CO1075" s="1103"/>
      <c r="CR1075" s="1823">
        <v>-0.7791064753364747</v>
      </c>
      <c r="CT1075" s="1102"/>
      <c r="CU1075" s="1103"/>
      <c r="CV1075" s="1099"/>
      <c r="CW1075" s="1099"/>
      <c r="CX1075" s="1823">
        <v>-0.70366803923586918</v>
      </c>
      <c r="CY1075" s="1099"/>
      <c r="CZ1075" s="1102"/>
      <c r="DA1075" s="1103"/>
      <c r="DB1075" s="1099"/>
    </row>
    <row r="1076" spans="87:106">
      <c r="CI1076" s="888">
        <v>684</v>
      </c>
      <c r="CJ1076" s="4" t="s">
        <v>1803</v>
      </c>
      <c r="CL1076" s="1826">
        <v>-0.54490962577359969</v>
      </c>
      <c r="CN1076" s="1102"/>
      <c r="CO1076" s="1103"/>
      <c r="CR1076" s="1823">
        <v>-0.92780255949759216</v>
      </c>
      <c r="CT1076" s="1102"/>
      <c r="CU1076" s="1103"/>
      <c r="CV1076" s="1099"/>
      <c r="CW1076" s="1099"/>
      <c r="CX1076" s="1823">
        <v>-3.2943482050023691</v>
      </c>
      <c r="CY1076" s="1099"/>
      <c r="CZ1076" s="1102"/>
      <c r="DA1076" s="1103"/>
      <c r="DB1076" s="1099"/>
    </row>
    <row r="1077" spans="87:106">
      <c r="CI1077" s="888">
        <v>684</v>
      </c>
      <c r="CJ1077" s="4" t="s">
        <v>1804</v>
      </c>
      <c r="CL1077" s="1826">
        <v>-0.7349383271506662</v>
      </c>
      <c r="CN1077" s="1102"/>
      <c r="CO1077" s="1103"/>
      <c r="CR1077" s="1823">
        <v>-1.832253763864284</v>
      </c>
      <c r="CT1077" s="1102"/>
      <c r="CU1077" s="1103"/>
      <c r="CV1077" s="1099"/>
      <c r="CW1077" s="1099"/>
      <c r="CX1077" s="1823">
        <v>-2.7078825616668163</v>
      </c>
      <c r="CY1077" s="1099"/>
      <c r="CZ1077" s="1102"/>
      <c r="DA1077" s="1103"/>
      <c r="DB1077" s="1099"/>
    </row>
    <row r="1078" spans="87:106">
      <c r="CI1078" s="888">
        <v>684</v>
      </c>
      <c r="CJ1078" s="4" t="s">
        <v>1805</v>
      </c>
      <c r="CL1078" s="1826">
        <v>-0.80592290246261689</v>
      </c>
      <c r="CN1078" s="864"/>
      <c r="CO1078" s="1103"/>
      <c r="CR1078" s="1823">
        <v>-1.0577487418261871</v>
      </c>
      <c r="CT1078" s="864"/>
      <c r="CU1078" s="1103"/>
      <c r="CV1078" s="1099"/>
      <c r="CW1078" s="1099"/>
      <c r="CX1078" s="1823">
        <v>-2.6770849468892974</v>
      </c>
      <c r="CY1078" s="1099"/>
      <c r="CZ1078" s="864"/>
      <c r="DA1078" s="1103"/>
      <c r="DB1078" s="1099"/>
    </row>
    <row r="1079" spans="87:106">
      <c r="CI1079" s="888">
        <v>684</v>
      </c>
      <c r="CJ1079" s="4" t="s">
        <v>1806</v>
      </c>
      <c r="CL1079" s="1826">
        <v>-0.91244451873168586</v>
      </c>
      <c r="CN1079" s="864"/>
      <c r="CO1079" s="1103"/>
      <c r="CR1079" s="1823">
        <v>1.5056204491622276</v>
      </c>
      <c r="CT1079" s="864"/>
      <c r="CU1079" s="1103"/>
      <c r="CV1079" s="1099"/>
      <c r="CW1079" s="1099"/>
      <c r="CX1079" s="1823">
        <v>-1.4107189650139267</v>
      </c>
      <c r="CY1079" s="1099"/>
      <c r="CZ1079" s="864"/>
      <c r="DA1079" s="1103"/>
      <c r="DB1079" s="1099"/>
    </row>
    <row r="1080" spans="87:106">
      <c r="CI1080" s="888">
        <v>684</v>
      </c>
      <c r="CJ1080" s="4" t="s">
        <v>1807</v>
      </c>
      <c r="CL1080" s="1826">
        <v>-0.90774085711329544</v>
      </c>
      <c r="CN1080" s="864"/>
      <c r="CO1080" s="1103"/>
      <c r="CR1080" s="1823">
        <v>1.5595621427132282</v>
      </c>
      <c r="CT1080" s="864"/>
      <c r="CU1080" s="1103"/>
      <c r="CV1080" s="1099"/>
      <c r="CW1080" s="1099"/>
      <c r="CX1080" s="1823">
        <v>-5.0362373474968969E-2</v>
      </c>
      <c r="CY1080" s="1099"/>
      <c r="CZ1080" s="864"/>
      <c r="DA1080" s="1103"/>
      <c r="DB1080" s="1099"/>
    </row>
    <row r="1081" spans="87:106">
      <c r="CI1081" s="888">
        <v>684</v>
      </c>
      <c r="CJ1081" s="4" t="s">
        <v>1808</v>
      </c>
      <c r="CL1081" s="1826">
        <v>1.8531700950967398</v>
      </c>
      <c r="CN1081" s="864"/>
      <c r="CO1081" s="1103"/>
      <c r="CR1081" s="1823">
        <v>2.4243805543368455</v>
      </c>
      <c r="CT1081" s="864"/>
      <c r="CU1081" s="1103"/>
      <c r="CV1081" s="1099"/>
      <c r="CW1081" s="1099"/>
      <c r="CX1081" s="1823">
        <v>-3.9176509334168044</v>
      </c>
      <c r="CY1081" s="1099"/>
      <c r="CZ1081" s="864"/>
      <c r="DA1081" s="1103"/>
      <c r="DB1081" s="1099"/>
    </row>
    <row r="1082" spans="87:106">
      <c r="CI1082" s="888">
        <v>684</v>
      </c>
      <c r="CJ1082" s="1091" t="s">
        <v>1809</v>
      </c>
      <c r="CL1082" s="1826">
        <v>-2.9517656185109153</v>
      </c>
      <c r="CN1082" s="1104"/>
      <c r="CO1082" s="1105"/>
      <c r="CR1082" s="1824">
        <v>-0.55504303910257136</v>
      </c>
      <c r="CT1082" s="1104"/>
      <c r="CU1082" s="1105"/>
      <c r="CV1082" s="1100"/>
      <c r="CW1082" s="1100"/>
      <c r="CX1082" s="1824">
        <v>-8.0131142864042761</v>
      </c>
      <c r="CY1082" s="1100"/>
      <c r="CZ1082" s="1104"/>
      <c r="DA1082" s="1105"/>
      <c r="DB1082" s="1100"/>
    </row>
    <row r="1083" spans="87:106">
      <c r="CI1083" s="888">
        <v>273</v>
      </c>
      <c r="CJ1083" s="4" t="s">
        <v>1810</v>
      </c>
      <c r="CL1083" s="1826"/>
      <c r="CN1083" s="1099">
        <v>-0.54982089639102805</v>
      </c>
      <c r="CO1083" s="1106">
        <v>0.4</v>
      </c>
      <c r="CR1083" s="1822"/>
      <c r="CT1083" s="1102">
        <v>-0.80748737063825604</v>
      </c>
      <c r="CU1083" s="1106">
        <v>0.42</v>
      </c>
      <c r="CV1083" s="863"/>
      <c r="CW1083" s="863"/>
      <c r="CX1083" s="1822" t="e">
        <v>#N/A</v>
      </c>
      <c r="CY1083" s="863"/>
      <c r="CZ1083" s="1099">
        <v>1.2136598233749369</v>
      </c>
      <c r="DA1083" s="1106">
        <v>0.87</v>
      </c>
      <c r="DB1083" s="863"/>
    </row>
    <row r="1084" spans="87:106">
      <c r="CI1084" s="888">
        <v>273</v>
      </c>
      <c r="CJ1084" s="4"/>
      <c r="CL1084" s="1826"/>
      <c r="CN1084" s="1102"/>
      <c r="CO1084" s="1103"/>
      <c r="CR1084" s="1822"/>
      <c r="CT1084" s="1102"/>
      <c r="CU1084" s="1103"/>
      <c r="CV1084" s="863"/>
      <c r="CW1084" s="863"/>
      <c r="CX1084" s="1822" t="e">
        <v>#N/A</v>
      </c>
      <c r="CY1084" s="863"/>
      <c r="CZ1084" s="1102"/>
      <c r="DA1084" s="1103"/>
      <c r="DB1084" s="863"/>
    </row>
    <row r="1085" spans="87:106">
      <c r="CI1085" s="888">
        <v>273</v>
      </c>
      <c r="CJ1085" s="4"/>
      <c r="CL1085" s="1826"/>
      <c r="CN1085" s="1102"/>
      <c r="CO1085" s="1103"/>
      <c r="CR1085" s="1822"/>
      <c r="CT1085" s="1102"/>
      <c r="CU1085" s="1103"/>
      <c r="CV1085" s="863"/>
      <c r="CW1085" s="863"/>
      <c r="CX1085" s="1822" t="e">
        <v>#N/A</v>
      </c>
      <c r="CY1085" s="863"/>
      <c r="CZ1085" s="1102"/>
      <c r="DA1085" s="1103"/>
      <c r="DB1085" s="863"/>
    </row>
    <row r="1086" spans="87:106">
      <c r="CI1086" s="888">
        <v>273</v>
      </c>
      <c r="CJ1086" s="4"/>
      <c r="CL1086" s="1826"/>
      <c r="CN1086" s="1102"/>
      <c r="CO1086" s="1103"/>
      <c r="CR1086" s="1825"/>
      <c r="CT1086" s="1102"/>
      <c r="CU1086" s="1103"/>
      <c r="CV1086" s="1099"/>
      <c r="CW1086" s="1099"/>
      <c r="CX1086" s="1825" t="e">
        <v>#N/A</v>
      </c>
      <c r="CY1086" s="1099"/>
      <c r="CZ1086" s="1102"/>
      <c r="DA1086" s="1103"/>
      <c r="DB1086" s="1099"/>
    </row>
    <row r="1087" spans="87:106">
      <c r="CI1087" s="888">
        <v>273</v>
      </c>
      <c r="CJ1087" s="4" t="s">
        <v>2480</v>
      </c>
      <c r="CL1087" s="1826">
        <v>-0.53650976458461175</v>
      </c>
      <c r="CN1087" s="1102"/>
      <c r="CO1087" s="1103"/>
      <c r="CR1087" s="1823">
        <v>2.8138903395282302</v>
      </c>
      <c r="CT1087" s="1102"/>
      <c r="CU1087" s="1103"/>
      <c r="CV1087" s="1099"/>
      <c r="CW1087" s="1099"/>
      <c r="CX1087" s="1823">
        <v>2.5922810485415773</v>
      </c>
      <c r="CY1087" s="1099"/>
      <c r="CZ1087" s="1102"/>
      <c r="DA1087" s="1103"/>
      <c r="DB1087" s="1099"/>
    </row>
    <row r="1088" spans="87:106">
      <c r="CI1088" s="888">
        <v>273</v>
      </c>
      <c r="CJ1088" s="4" t="s">
        <v>2348</v>
      </c>
      <c r="CL1088" s="1826">
        <v>-0.40384901655009475</v>
      </c>
      <c r="CN1088" s="1102"/>
      <c r="CO1088" s="1103"/>
      <c r="CR1088" s="1823">
        <v>1.196679040654435</v>
      </c>
      <c r="CT1088" s="1102"/>
      <c r="CU1088" s="1103"/>
      <c r="CV1088" s="1099"/>
      <c r="CW1088" s="1099"/>
      <c r="CX1088" s="1823">
        <v>2.02310264363823</v>
      </c>
      <c r="CY1088" s="1099"/>
      <c r="CZ1088" s="1102"/>
      <c r="DA1088" s="1103"/>
      <c r="DB1088" s="1099"/>
    </row>
    <row r="1089" spans="87:106">
      <c r="CI1089" s="888">
        <v>273</v>
      </c>
      <c r="CJ1089" s="4" t="s">
        <v>1811</v>
      </c>
      <c r="CL1089" s="1826">
        <v>-0.85601003866894576</v>
      </c>
      <c r="CN1089" s="1102"/>
      <c r="CO1089" s="1103"/>
      <c r="CR1089" s="1823">
        <v>-0.12969038676470102</v>
      </c>
      <c r="CT1089" s="1102"/>
      <c r="CU1089" s="1103"/>
      <c r="CV1089" s="1099"/>
      <c r="CW1089" s="1099"/>
      <c r="CX1089" s="1823">
        <v>-1.1047496902148559</v>
      </c>
      <c r="CY1089" s="1099"/>
      <c r="CZ1089" s="1102"/>
      <c r="DA1089" s="1103"/>
      <c r="DB1089" s="1099"/>
    </row>
    <row r="1090" spans="87:106">
      <c r="CI1090" s="888">
        <v>273</v>
      </c>
      <c r="CJ1090" s="4" t="s">
        <v>1812</v>
      </c>
      <c r="CL1090" s="1826">
        <v>-1.1495785924496991</v>
      </c>
      <c r="CN1090" s="1102"/>
      <c r="CO1090" s="1103"/>
      <c r="CR1090" s="1823">
        <v>-1.9456065292611617</v>
      </c>
      <c r="CT1090" s="1102"/>
      <c r="CU1090" s="1103"/>
      <c r="CV1090" s="1099"/>
      <c r="CW1090" s="1099"/>
      <c r="CX1090" s="1823">
        <v>1.5796399905082126</v>
      </c>
      <c r="CY1090" s="1099"/>
      <c r="CZ1090" s="1102"/>
      <c r="DA1090" s="1103"/>
      <c r="DB1090" s="1099"/>
    </row>
    <row r="1091" spans="87:106">
      <c r="CI1091" s="888">
        <v>273</v>
      </c>
      <c r="CJ1091" s="4" t="s">
        <v>1813</v>
      </c>
      <c r="CL1091" s="1826">
        <v>-2.2603662955364916</v>
      </c>
      <c r="CN1091" s="864"/>
      <c r="CO1091" s="1103"/>
      <c r="CR1091" s="1823">
        <v>-1.7629370056609748</v>
      </c>
      <c r="CT1091" s="864"/>
      <c r="CU1091" s="1103"/>
      <c r="CV1091" s="1099"/>
      <c r="CW1091" s="1099"/>
      <c r="CX1091" s="1823">
        <v>-1.4651571259111438</v>
      </c>
      <c r="CY1091" s="1099"/>
      <c r="CZ1091" s="864"/>
      <c r="DA1091" s="1103"/>
      <c r="DB1091" s="1099"/>
    </row>
    <row r="1092" spans="87:106">
      <c r="CI1092" s="888">
        <v>273</v>
      </c>
      <c r="CJ1092" s="4" t="s">
        <v>1814</v>
      </c>
      <c r="CL1092" s="1826">
        <v>-0.12701285317387567</v>
      </c>
      <c r="CN1092" s="864"/>
      <c r="CO1092" s="1103"/>
      <c r="CR1092" s="1823">
        <v>-1.3150812714550661</v>
      </c>
      <c r="CT1092" s="864"/>
      <c r="CU1092" s="1103"/>
      <c r="CV1092" s="1099"/>
      <c r="CW1092" s="1099"/>
      <c r="CX1092" s="1823">
        <v>0.31216118530965176</v>
      </c>
      <c r="CY1092" s="1099"/>
      <c r="CZ1092" s="864"/>
      <c r="DA1092" s="1103"/>
      <c r="DB1092" s="1099"/>
    </row>
    <row r="1093" spans="87:106">
      <c r="CI1093" s="888">
        <v>273</v>
      </c>
      <c r="CJ1093" s="4" t="s">
        <v>1815</v>
      </c>
      <c r="CL1093" s="1826">
        <v>-0.54982089639102805</v>
      </c>
      <c r="CN1093" s="864"/>
      <c r="CO1093" s="1103"/>
      <c r="CR1093" s="1823">
        <v>0.47383751651125655</v>
      </c>
      <c r="CT1093" s="864"/>
      <c r="CU1093" s="1103"/>
      <c r="CV1093" s="1099"/>
      <c r="CW1093" s="1099"/>
      <c r="CX1093" s="1823">
        <v>1.7989149974991472</v>
      </c>
      <c r="CY1093" s="1099"/>
      <c r="CZ1093" s="864"/>
      <c r="DA1093" s="1103"/>
      <c r="DB1093" s="1099"/>
    </row>
    <row r="1094" spans="87:106">
      <c r="CI1094" s="888">
        <v>273</v>
      </c>
      <c r="CJ1094" s="4" t="s">
        <v>1816</v>
      </c>
      <c r="CL1094" s="1826">
        <v>4.5253639125285385</v>
      </c>
      <c r="CN1094" s="864"/>
      <c r="CO1094" s="1103"/>
      <c r="CR1094" s="1823">
        <v>-0.80748737063825604</v>
      </c>
      <c r="CT1094" s="864"/>
      <c r="CU1094" s="1103"/>
      <c r="CV1094" s="1099"/>
      <c r="CW1094" s="1099"/>
      <c r="CX1094" s="1823">
        <v>1.2114034084906997</v>
      </c>
      <c r="CY1094" s="1099"/>
      <c r="CZ1094" s="864"/>
      <c r="DA1094" s="1103"/>
      <c r="DB1094" s="1099"/>
    </row>
    <row r="1095" spans="87:106">
      <c r="CI1095" s="888">
        <v>273</v>
      </c>
      <c r="CJ1095" s="1091" t="s">
        <v>1817</v>
      </c>
      <c r="CL1095" s="1826">
        <v>-8.365417396411285</v>
      </c>
      <c r="CN1095" s="1104"/>
      <c r="CO1095" s="1105"/>
      <c r="CR1095" s="1824">
        <v>-3.1912692349941598</v>
      </c>
      <c r="CT1095" s="1104"/>
      <c r="CU1095" s="1105"/>
      <c r="CV1095" s="1100"/>
      <c r="CW1095" s="1100"/>
      <c r="CX1095" s="1824">
        <v>1.2136598233749369</v>
      </c>
      <c r="CY1095" s="1100"/>
      <c r="CZ1095" s="1104"/>
      <c r="DA1095" s="1105"/>
      <c r="DB1095" s="1100"/>
    </row>
    <row r="1096" spans="87:106">
      <c r="CI1096" s="888">
        <v>948</v>
      </c>
      <c r="CJ1096" s="4" t="s">
        <v>1818</v>
      </c>
      <c r="CL1096" s="1826"/>
      <c r="CN1096" s="1099">
        <v>-0.19864468264472279</v>
      </c>
      <c r="CO1096" s="1106">
        <v>0.56999999999999995</v>
      </c>
      <c r="CR1096" s="1822"/>
      <c r="CT1096" s="1102">
        <v>-5.203480823906224</v>
      </c>
      <c r="CU1096" s="1106">
        <v>0.05</v>
      </c>
      <c r="CV1096" s="863"/>
      <c r="CW1096" s="863"/>
      <c r="CX1096" s="1822" t="e">
        <v>#N/A</v>
      </c>
      <c r="CY1096" s="863"/>
      <c r="CZ1096" s="1099">
        <v>2.1181592130211433</v>
      </c>
      <c r="DA1096" s="1106">
        <v>0.95</v>
      </c>
      <c r="DB1096" s="863"/>
    </row>
    <row r="1097" spans="87:106">
      <c r="CI1097" s="888">
        <v>948</v>
      </c>
      <c r="CJ1097" s="4"/>
      <c r="CL1097" s="1826"/>
      <c r="CN1097" s="1102"/>
      <c r="CO1097" s="1103"/>
      <c r="CR1097" s="1822"/>
      <c r="CT1097" s="1102"/>
      <c r="CU1097" s="1103"/>
      <c r="CV1097" s="863"/>
      <c r="CW1097" s="863"/>
      <c r="CX1097" s="1822" t="e">
        <v>#N/A</v>
      </c>
      <c r="CY1097" s="863"/>
      <c r="CZ1097" s="1102"/>
      <c r="DA1097" s="1103"/>
      <c r="DB1097" s="863"/>
    </row>
    <row r="1098" spans="87:106">
      <c r="CI1098" s="888">
        <v>948</v>
      </c>
      <c r="CJ1098" s="4"/>
      <c r="CL1098" s="1826"/>
      <c r="CN1098" s="1102"/>
      <c r="CO1098" s="1103"/>
      <c r="CR1098" s="1822"/>
      <c r="CT1098" s="1102"/>
      <c r="CU1098" s="1103"/>
      <c r="CV1098" s="863"/>
      <c r="CW1098" s="863"/>
      <c r="CX1098" s="1822" t="e">
        <v>#N/A</v>
      </c>
      <c r="CY1098" s="863"/>
      <c r="CZ1098" s="1102"/>
      <c r="DA1098" s="1103"/>
      <c r="DB1098" s="863"/>
    </row>
    <row r="1099" spans="87:106">
      <c r="CI1099" s="888">
        <v>948</v>
      </c>
      <c r="CJ1099" s="4"/>
      <c r="CL1099" s="1826"/>
      <c r="CN1099" s="1102"/>
      <c r="CO1099" s="1103"/>
      <c r="CR1099" s="1825"/>
      <c r="CT1099" s="1102"/>
      <c r="CU1099" s="1103"/>
      <c r="CV1099" s="1099"/>
      <c r="CW1099" s="1099"/>
      <c r="CX1099" s="1825" t="e">
        <v>#N/A</v>
      </c>
      <c r="CY1099" s="1099"/>
      <c r="CZ1099" s="1102"/>
      <c r="DA1099" s="1103"/>
      <c r="DB1099" s="1099"/>
    </row>
    <row r="1100" spans="87:106">
      <c r="CI1100" s="888">
        <v>948</v>
      </c>
      <c r="CJ1100" s="4" t="s">
        <v>2481</v>
      </c>
      <c r="CL1100" s="1826">
        <v>2.6103397800214325</v>
      </c>
      <c r="CN1100" s="1102"/>
      <c r="CO1100" s="1103"/>
      <c r="CR1100" s="1823">
        <v>4.9033803585952329</v>
      </c>
      <c r="CT1100" s="1102"/>
      <c r="CU1100" s="1103"/>
      <c r="CV1100" s="1099"/>
      <c r="CW1100" s="1099"/>
      <c r="CX1100" s="1823">
        <v>2.908467421708532</v>
      </c>
      <c r="CY1100" s="1099"/>
      <c r="CZ1100" s="1102"/>
      <c r="DA1100" s="1103"/>
      <c r="DB1100" s="1099"/>
    </row>
    <row r="1101" spans="87:106">
      <c r="CI1101" s="888">
        <v>948</v>
      </c>
      <c r="CJ1101" s="4" t="s">
        <v>2349</v>
      </c>
      <c r="CL1101" s="1826">
        <v>-2.9920587287330762</v>
      </c>
      <c r="CN1101" s="1102"/>
      <c r="CO1101" s="1103"/>
      <c r="CR1101" s="1823">
        <v>-8.7224858773021197</v>
      </c>
      <c r="CT1101" s="1102"/>
      <c r="CU1101" s="1103"/>
      <c r="CV1101" s="1099"/>
      <c r="CW1101" s="1099"/>
      <c r="CX1101" s="1823">
        <v>-4.8042514494170838</v>
      </c>
      <c r="CY1101" s="1099"/>
      <c r="CZ1101" s="1102"/>
      <c r="DA1101" s="1103"/>
      <c r="DB1101" s="1099"/>
    </row>
    <row r="1102" spans="87:106">
      <c r="CI1102" s="888">
        <v>948</v>
      </c>
      <c r="CJ1102" s="4" t="s">
        <v>1819</v>
      </c>
      <c r="CL1102" s="1826">
        <v>-5.3638499294781141</v>
      </c>
      <c r="CN1102" s="1102"/>
      <c r="CO1102" s="1103"/>
      <c r="CR1102" s="1823">
        <v>-2.9096130622218546</v>
      </c>
      <c r="CT1102" s="1102"/>
      <c r="CU1102" s="1103"/>
      <c r="CV1102" s="1099"/>
      <c r="CW1102" s="1099"/>
      <c r="CX1102" s="1823">
        <v>-8.2367446708700314</v>
      </c>
      <c r="CY1102" s="1099"/>
      <c r="CZ1102" s="1102"/>
      <c r="DA1102" s="1103"/>
      <c r="DB1102" s="1099"/>
    </row>
    <row r="1103" spans="87:106">
      <c r="CI1103" s="888">
        <v>948</v>
      </c>
      <c r="CJ1103" s="4" t="s">
        <v>1820</v>
      </c>
      <c r="CL1103" s="1826">
        <v>-3.7152787282275126</v>
      </c>
      <c r="CN1103" s="1102"/>
      <c r="CO1103" s="1103"/>
      <c r="CR1103" s="1823">
        <v>-8.8099446846441634</v>
      </c>
      <c r="CT1103" s="1102"/>
      <c r="CU1103" s="1103"/>
      <c r="CV1103" s="1099"/>
      <c r="CW1103" s="1099"/>
      <c r="CX1103" s="1823">
        <v>2.1181592130211433</v>
      </c>
      <c r="CY1103" s="1099"/>
      <c r="CZ1103" s="1102"/>
      <c r="DA1103" s="1103"/>
      <c r="DB1103" s="1099"/>
    </row>
    <row r="1104" spans="87:106">
      <c r="CI1104" s="888">
        <v>948</v>
      </c>
      <c r="CJ1104" s="4" t="s">
        <v>1821</v>
      </c>
      <c r="CL1104" s="1826">
        <v>-0.19864468264472279</v>
      </c>
      <c r="CN1104" s="864"/>
      <c r="CO1104" s="1103"/>
      <c r="CR1104" s="1823">
        <v>-8.1724887513113345</v>
      </c>
      <c r="CT1104" s="864"/>
      <c r="CU1104" s="1103"/>
      <c r="CV1104" s="1099"/>
      <c r="CW1104" s="1099"/>
      <c r="CX1104" s="1823">
        <v>-10.268175018552956</v>
      </c>
      <c r="CY1104" s="1099"/>
      <c r="CZ1104" s="864"/>
      <c r="DA1104" s="1103"/>
      <c r="DB1104" s="1099"/>
    </row>
    <row r="1105" spans="87:106">
      <c r="CI1105" s="888">
        <v>948</v>
      </c>
      <c r="CJ1105" s="4" t="s">
        <v>1822</v>
      </c>
      <c r="CL1105" s="1826">
        <v>5.2552842373880804</v>
      </c>
      <c r="CN1105" s="864"/>
      <c r="CO1105" s="1103"/>
      <c r="CR1105" s="1823">
        <v>-7.4973485855905935</v>
      </c>
      <c r="CT1105" s="864"/>
      <c r="CU1105" s="1103"/>
      <c r="CV1105" s="1099"/>
      <c r="CW1105" s="1099"/>
      <c r="CX1105" s="1823">
        <v>5.3501345254148855</v>
      </c>
      <c r="CY1105" s="1099"/>
      <c r="CZ1105" s="864"/>
      <c r="DA1105" s="1103"/>
      <c r="DB1105" s="1099"/>
    </row>
    <row r="1106" spans="87:106">
      <c r="CI1106" s="888">
        <v>948</v>
      </c>
      <c r="CJ1106" s="4" t="s">
        <v>1823</v>
      </c>
      <c r="CL1106" s="1826">
        <v>10.430897766293306</v>
      </c>
      <c r="CN1106" s="864"/>
      <c r="CO1106" s="1103"/>
      <c r="CR1106" s="1823" t="s">
        <v>1218</v>
      </c>
      <c r="CT1106" s="864"/>
      <c r="CU1106" s="1103"/>
      <c r="CV1106" s="1099"/>
      <c r="CW1106" s="1099"/>
      <c r="CX1106" s="1823">
        <v>9.3718413563562262</v>
      </c>
      <c r="CY1106" s="1099"/>
      <c r="CZ1106" s="864"/>
      <c r="DA1106" s="1103"/>
      <c r="DB1106" s="1099"/>
    </row>
    <row r="1107" spans="87:106">
      <c r="CI1107" s="888">
        <v>948</v>
      </c>
      <c r="CJ1107" s="4" t="s">
        <v>1824</v>
      </c>
      <c r="CL1107" s="1826">
        <v>2.0828664652405644</v>
      </c>
      <c r="CN1107" s="864"/>
      <c r="CO1107" s="1103"/>
      <c r="CR1107" s="1823">
        <v>5.4481680100626697</v>
      </c>
      <c r="CT1107" s="864"/>
      <c r="CU1107" s="1103"/>
      <c r="CV1107" s="1099"/>
      <c r="CW1107" s="1099"/>
      <c r="CX1107" s="1823">
        <v>10.650374010218982</v>
      </c>
      <c r="CY1107" s="1099"/>
      <c r="CZ1107" s="864"/>
      <c r="DA1107" s="1103"/>
      <c r="DB1107" s="1099"/>
    </row>
    <row r="1108" spans="87:106">
      <c r="CI1108" s="888">
        <v>948</v>
      </c>
      <c r="CJ1108" s="1091" t="s">
        <v>1825</v>
      </c>
      <c r="CL1108" s="1826">
        <v>-9.3491190797321941</v>
      </c>
      <c r="CN1108" s="1104"/>
      <c r="CO1108" s="1105"/>
      <c r="CR1108" s="1824">
        <v>-2.8862506585169321</v>
      </c>
      <c r="CT1108" s="1104"/>
      <c r="CU1108" s="1105"/>
      <c r="CV1108" s="1100"/>
      <c r="CW1108" s="1100"/>
      <c r="CX1108" s="1824">
        <v>-1.7386548507120643</v>
      </c>
      <c r="CY1108" s="1100"/>
      <c r="CZ1108" s="1104"/>
      <c r="DA1108" s="1105"/>
      <c r="DB1108" s="1100"/>
    </row>
    <row r="1109" spans="87:106">
      <c r="CI1109" s="888">
        <v>943</v>
      </c>
      <c r="CJ1109" s="4" t="s">
        <v>1826</v>
      </c>
      <c r="CL1109" s="1826"/>
      <c r="CN1109" s="1099">
        <v>-0.21780349004711641</v>
      </c>
      <c r="CO1109" s="1106">
        <v>0.55000000000000004</v>
      </c>
      <c r="CR1109" s="1822"/>
      <c r="CT1109" s="1102">
        <v>1.0348571680982421</v>
      </c>
      <c r="CU1109" s="1106">
        <v>0.89</v>
      </c>
      <c r="CV1109" s="863"/>
      <c r="CW1109" s="863"/>
      <c r="CX1109" s="1822" t="e">
        <v>#N/A</v>
      </c>
      <c r="CY1109" s="863"/>
      <c r="CZ1109" s="1099">
        <v>9.7993372635248877E-2</v>
      </c>
      <c r="DA1109" s="1106">
        <v>0.7</v>
      </c>
      <c r="DB1109" s="863"/>
    </row>
    <row r="1110" spans="87:106">
      <c r="CI1110" s="888">
        <v>943</v>
      </c>
      <c r="CJ1110" s="4"/>
      <c r="CL1110" s="1826"/>
      <c r="CN1110" s="1102"/>
      <c r="CO1110" s="1103"/>
      <c r="CR1110" s="1822"/>
      <c r="CT1110" s="1102"/>
      <c r="CU1110" s="1103"/>
      <c r="CV1110" s="863"/>
      <c r="CW1110" s="863"/>
      <c r="CX1110" s="1822" t="e">
        <v>#N/A</v>
      </c>
      <c r="CY1110" s="863"/>
      <c r="CZ1110" s="1102"/>
      <c r="DA1110" s="1103"/>
      <c r="DB1110" s="863"/>
    </row>
    <row r="1111" spans="87:106">
      <c r="CI1111" s="888">
        <v>943</v>
      </c>
      <c r="CJ1111" s="4"/>
      <c r="CL1111" s="1826"/>
      <c r="CN1111" s="1102"/>
      <c r="CO1111" s="1103"/>
      <c r="CR1111" s="1822"/>
      <c r="CT1111" s="1102"/>
      <c r="CU1111" s="1103"/>
      <c r="CV1111" s="863"/>
      <c r="CW1111" s="863"/>
      <c r="CX1111" s="1822" t="e">
        <v>#N/A</v>
      </c>
      <c r="CY1111" s="863"/>
      <c r="CZ1111" s="1102"/>
      <c r="DA1111" s="1103"/>
      <c r="DB1111" s="863"/>
    </row>
    <row r="1112" spans="87:106">
      <c r="CI1112" s="888">
        <v>943</v>
      </c>
      <c r="CJ1112" s="4"/>
      <c r="CL1112" s="1826"/>
      <c r="CN1112" s="1102"/>
      <c r="CO1112" s="1103"/>
      <c r="CR1112" s="1825"/>
      <c r="CT1112" s="1102"/>
      <c r="CU1112" s="1103"/>
      <c r="CV1112" s="1099"/>
      <c r="CW1112" s="1099"/>
      <c r="CX1112" s="1825" t="e">
        <v>#N/A</v>
      </c>
      <c r="CY1112" s="1099"/>
      <c r="CZ1112" s="1102"/>
      <c r="DA1112" s="1103"/>
      <c r="DB1112" s="1099"/>
    </row>
    <row r="1113" spans="87:106">
      <c r="CI1113" s="888">
        <v>943</v>
      </c>
      <c r="CJ1113" s="4" t="s">
        <v>2482</v>
      </c>
      <c r="CL1113" s="1826">
        <v>1.6893061259954241</v>
      </c>
      <c r="CN1113" s="1102"/>
      <c r="CO1113" s="1103"/>
      <c r="CR1113" s="1823">
        <v>1.8066139352670163</v>
      </c>
      <c r="CT1113" s="1102"/>
      <c r="CU1113" s="1103"/>
      <c r="CV1113" s="1099"/>
      <c r="CW1113" s="1099"/>
      <c r="CX1113" s="1823">
        <v>1.0840080744788472</v>
      </c>
      <c r="CY1113" s="1099"/>
      <c r="CZ1113" s="1102"/>
      <c r="DA1113" s="1103"/>
      <c r="DB1113" s="1099"/>
    </row>
    <row r="1114" spans="87:106">
      <c r="CI1114" s="888">
        <v>943</v>
      </c>
      <c r="CJ1114" s="4" t="s">
        <v>2350</v>
      </c>
      <c r="CL1114" s="1826">
        <v>-0.5639599777800095</v>
      </c>
      <c r="CN1114" s="1102"/>
      <c r="CO1114" s="1103"/>
      <c r="CR1114" s="1823">
        <v>0.69378076726816751</v>
      </c>
      <c r="CT1114" s="1102"/>
      <c r="CU1114" s="1103"/>
      <c r="CV1114" s="1099"/>
      <c r="CW1114" s="1099"/>
      <c r="CX1114" s="1823">
        <v>4.1353782699541428</v>
      </c>
      <c r="CY1114" s="1099"/>
      <c r="CZ1114" s="1102"/>
      <c r="DA1114" s="1103"/>
      <c r="DB1114" s="1099"/>
    </row>
    <row r="1115" spans="87:106">
      <c r="CI1115" s="888">
        <v>943</v>
      </c>
      <c r="CJ1115" s="4" t="s">
        <v>1827</v>
      </c>
      <c r="CL1115" s="1826">
        <v>0.47895567019166974</v>
      </c>
      <c r="CN1115" s="1102"/>
      <c r="CO1115" s="1103"/>
      <c r="CR1115" s="1823">
        <v>1.0259228320923599</v>
      </c>
      <c r="CT1115" s="1102"/>
      <c r="CU1115" s="1103"/>
      <c r="CV1115" s="1099"/>
      <c r="CW1115" s="1099"/>
      <c r="CX1115" s="1823">
        <v>9.7993372635248877E-2</v>
      </c>
      <c r="CY1115" s="1099"/>
      <c r="CZ1115" s="1102"/>
      <c r="DA1115" s="1103"/>
      <c r="DB1115" s="1099"/>
    </row>
    <row r="1116" spans="87:106">
      <c r="CI1116" s="888">
        <v>943</v>
      </c>
      <c r="CJ1116" s="4" t="s">
        <v>1828</v>
      </c>
      <c r="CL1116" s="1826">
        <v>-0.21780349004711641</v>
      </c>
      <c r="CN1116" s="1102"/>
      <c r="CO1116" s="1103"/>
      <c r="CR1116" s="1823">
        <v>1.0348571680982421</v>
      </c>
      <c r="CT1116" s="1102"/>
      <c r="CU1116" s="1103"/>
      <c r="CV1116" s="1099"/>
      <c r="CW1116" s="1099"/>
      <c r="CX1116" s="1823">
        <v>-0.89992973141174937</v>
      </c>
      <c r="CY1116" s="1099"/>
      <c r="CZ1116" s="1102"/>
      <c r="DA1116" s="1103"/>
      <c r="DB1116" s="1099"/>
    </row>
    <row r="1117" spans="87:106">
      <c r="CI1117" s="888">
        <v>943</v>
      </c>
      <c r="CJ1117" s="4" t="s">
        <v>1829</v>
      </c>
      <c r="CL1117" s="1826">
        <v>1.7943960434737307</v>
      </c>
      <c r="CN1117" s="864"/>
      <c r="CO1117" s="1103"/>
      <c r="CR1117" s="1823">
        <v>1.239529178162718</v>
      </c>
      <c r="CT1117" s="864"/>
      <c r="CU1117" s="1103"/>
      <c r="CV1117" s="1099"/>
      <c r="CW1117" s="1099"/>
      <c r="CX1117" s="1823">
        <v>0.36565927060290448</v>
      </c>
      <c r="CY1117" s="1099"/>
      <c r="CZ1117" s="864"/>
      <c r="DA1117" s="1103"/>
      <c r="DB1117" s="1099"/>
    </row>
    <row r="1118" spans="87:106">
      <c r="CI1118" s="888">
        <v>943</v>
      </c>
      <c r="CJ1118" s="4" t="s">
        <v>1830</v>
      </c>
      <c r="CL1118" s="1826">
        <v>-6.0064750925289587</v>
      </c>
      <c r="CN1118" s="864"/>
      <c r="CO1118" s="1103"/>
      <c r="CR1118" s="1823">
        <v>-2.878962870061105</v>
      </c>
      <c r="CT1118" s="864"/>
      <c r="CU1118" s="1103"/>
      <c r="CV1118" s="1099"/>
      <c r="CW1118" s="1099"/>
      <c r="CX1118" s="1823">
        <v>-1.3323919915370581</v>
      </c>
      <c r="CY1118" s="1099"/>
      <c r="CZ1118" s="864"/>
      <c r="DA1118" s="1103"/>
      <c r="DB1118" s="1099"/>
    </row>
    <row r="1119" spans="87:106">
      <c r="CI1119" s="888">
        <v>943</v>
      </c>
      <c r="CJ1119" s="4" t="s">
        <v>1831</v>
      </c>
      <c r="CL1119" s="1826">
        <v>-1.3861896825923923</v>
      </c>
      <c r="CN1119" s="864"/>
      <c r="CO1119" s="1103"/>
      <c r="CR1119" s="1823" t="s">
        <v>1218</v>
      </c>
      <c r="CT1119" s="864"/>
      <c r="CU1119" s="1103"/>
      <c r="CV1119" s="1099"/>
      <c r="CW1119" s="1099"/>
      <c r="CX1119" s="1823">
        <v>-0.95191762461246265</v>
      </c>
      <c r="CY1119" s="1099"/>
      <c r="CZ1119" s="864"/>
      <c r="DA1119" s="1103"/>
      <c r="DB1119" s="1099"/>
    </row>
    <row r="1120" spans="87:106">
      <c r="CI1120" s="888">
        <v>943</v>
      </c>
      <c r="CJ1120" s="4" t="s">
        <v>1832</v>
      </c>
      <c r="CL1120" s="1826">
        <v>4.4517338375087236</v>
      </c>
      <c r="CN1120" s="864"/>
      <c r="CO1120" s="1103"/>
      <c r="CR1120" s="1823">
        <v>4.1304770564131523</v>
      </c>
      <c r="CT1120" s="864"/>
      <c r="CU1120" s="1103"/>
      <c r="CV1120" s="1099"/>
      <c r="CW1120" s="1099"/>
      <c r="CX1120" s="1823">
        <v>0.63262280137607219</v>
      </c>
      <c r="CY1120" s="1099"/>
      <c r="CZ1120" s="864"/>
      <c r="DA1120" s="1103"/>
      <c r="DB1120" s="1099"/>
    </row>
    <row r="1121" spans="87:106">
      <c r="CI1121" s="888">
        <v>943</v>
      </c>
      <c r="CJ1121" s="1091" t="s">
        <v>1833</v>
      </c>
      <c r="CL1121" s="1826">
        <v>-11.145544554455189</v>
      </c>
      <c r="CN1121" s="1104"/>
      <c r="CO1121" s="1105"/>
      <c r="CR1121" s="1824" t="s">
        <v>1218</v>
      </c>
      <c r="CT1121" s="1104"/>
      <c r="CU1121" s="1105"/>
      <c r="CV1121" s="1100"/>
      <c r="CW1121" s="1100"/>
      <c r="CX1121" s="1824">
        <v>-2.3421697044105407</v>
      </c>
      <c r="CY1121" s="1100"/>
      <c r="CZ1121" s="1104"/>
      <c r="DA1121" s="1105"/>
      <c r="DB1121" s="1100"/>
    </row>
    <row r="1122" spans="87:106">
      <c r="CI1122" s="888">
        <v>686</v>
      </c>
      <c r="CJ1122" s="4" t="s">
        <v>1834</v>
      </c>
      <c r="CL1122" s="1826"/>
      <c r="CN1122" s="1099">
        <v>-0.7002168087684022</v>
      </c>
      <c r="CO1122" s="1106">
        <v>0.34</v>
      </c>
      <c r="CR1122" s="1822"/>
      <c r="CT1122" s="1102">
        <v>-0.73789443903819329</v>
      </c>
      <c r="CU1122" s="1106">
        <v>0.44</v>
      </c>
      <c r="CV1122" s="863"/>
      <c r="CW1122" s="863"/>
      <c r="CX1122" s="1822" t="e">
        <v>#N/A</v>
      </c>
      <c r="CY1122" s="863"/>
      <c r="CZ1122" s="1099">
        <v>-1.4536867484313534</v>
      </c>
      <c r="DA1122" s="1106">
        <v>0.14000000000000001</v>
      </c>
      <c r="DB1122" s="863"/>
    </row>
    <row r="1123" spans="87:106">
      <c r="CI1123" s="888">
        <v>686</v>
      </c>
      <c r="CJ1123" s="4"/>
      <c r="CL1123" s="1826"/>
      <c r="CN1123" s="1102"/>
      <c r="CO1123" s="1103"/>
      <c r="CR1123" s="1822"/>
      <c r="CT1123" s="1102"/>
      <c r="CU1123" s="1103"/>
      <c r="CV1123" s="863"/>
      <c r="CW1123" s="863"/>
      <c r="CX1123" s="1822" t="e">
        <v>#N/A</v>
      </c>
      <c r="CY1123" s="863"/>
      <c r="CZ1123" s="1102"/>
      <c r="DA1123" s="1103"/>
      <c r="DB1123" s="863"/>
    </row>
    <row r="1124" spans="87:106">
      <c r="CI1124" s="888">
        <v>686</v>
      </c>
      <c r="CJ1124" s="4"/>
      <c r="CL1124" s="1826"/>
      <c r="CN1124" s="1102"/>
      <c r="CO1124" s="1103"/>
      <c r="CR1124" s="1822"/>
      <c r="CT1124" s="1102"/>
      <c r="CU1124" s="1103"/>
      <c r="CV1124" s="863"/>
      <c r="CW1124" s="863"/>
      <c r="CX1124" s="1822" t="e">
        <v>#N/A</v>
      </c>
      <c r="CY1124" s="863"/>
      <c r="CZ1124" s="1102"/>
      <c r="DA1124" s="1103"/>
      <c r="DB1124" s="863"/>
    </row>
    <row r="1125" spans="87:106">
      <c r="CI1125" s="888">
        <v>686</v>
      </c>
      <c r="CJ1125" s="4"/>
      <c r="CL1125" s="1826"/>
      <c r="CN1125" s="1102"/>
      <c r="CO1125" s="1103"/>
      <c r="CR1125" s="1825"/>
      <c r="CT1125" s="1102"/>
      <c r="CU1125" s="1103"/>
      <c r="CV1125" s="1099"/>
      <c r="CW1125" s="1099"/>
      <c r="CX1125" s="1825" t="e">
        <v>#N/A</v>
      </c>
      <c r="CY1125" s="1099"/>
      <c r="CZ1125" s="1102"/>
      <c r="DA1125" s="1103"/>
      <c r="DB1125" s="1099"/>
    </row>
    <row r="1126" spans="87:106">
      <c r="CI1126" s="888">
        <v>686</v>
      </c>
      <c r="CJ1126" s="4" t="s">
        <v>2483</v>
      </c>
      <c r="CL1126" s="1826">
        <v>9.7348787934542713E-2</v>
      </c>
      <c r="CN1126" s="1102"/>
      <c r="CO1126" s="1103"/>
      <c r="CR1126" s="1823">
        <v>-0.41322620522473852</v>
      </c>
      <c r="CT1126" s="1102"/>
      <c r="CU1126" s="1103"/>
      <c r="CV1126" s="1099"/>
      <c r="CW1126" s="1099"/>
      <c r="CX1126" s="1823">
        <v>-0.49953970531605885</v>
      </c>
      <c r="CY1126" s="1099"/>
      <c r="CZ1126" s="1102"/>
      <c r="DA1126" s="1103"/>
      <c r="DB1126" s="1099"/>
    </row>
    <row r="1127" spans="87:106">
      <c r="CI1127" s="888">
        <v>686</v>
      </c>
      <c r="CJ1127" s="4" t="s">
        <v>2351</v>
      </c>
      <c r="CL1127" s="1826">
        <v>-3.7532251460566988</v>
      </c>
      <c r="CN1127" s="1102"/>
      <c r="CO1127" s="1103"/>
      <c r="CR1127" s="1823">
        <v>-0.73789443903819329</v>
      </c>
      <c r="CT1127" s="1102"/>
      <c r="CU1127" s="1103"/>
      <c r="CV1127" s="1099"/>
      <c r="CW1127" s="1099"/>
      <c r="CX1127" s="1823">
        <v>-0.20702341481344821</v>
      </c>
      <c r="CY1127" s="1099"/>
      <c r="CZ1127" s="1102"/>
      <c r="DA1127" s="1103"/>
      <c r="DB1127" s="1099"/>
    </row>
    <row r="1128" spans="87:106">
      <c r="CI1128" s="888">
        <v>686</v>
      </c>
      <c r="CJ1128" s="4" t="s">
        <v>1835</v>
      </c>
      <c r="CL1128" s="1826">
        <v>-0.37959810024715601</v>
      </c>
      <c r="CN1128" s="1102"/>
      <c r="CO1128" s="1103"/>
      <c r="CR1128" s="1823">
        <v>0.19990368418799487</v>
      </c>
      <c r="CT1128" s="1102"/>
      <c r="CU1128" s="1103"/>
      <c r="CV1128" s="1099"/>
      <c r="CW1128" s="1099"/>
      <c r="CX1128" s="1823">
        <v>-0.51851098397872186</v>
      </c>
      <c r="CY1128" s="1099"/>
      <c r="CZ1128" s="1102"/>
      <c r="DA1128" s="1103"/>
      <c r="DB1128" s="1099"/>
    </row>
    <row r="1129" spans="87:106">
      <c r="CI1129" s="888">
        <v>686</v>
      </c>
      <c r="CJ1129" s="4" t="s">
        <v>1836</v>
      </c>
      <c r="CL1129" s="1826">
        <v>-2.3579208925409914</v>
      </c>
      <c r="CN1129" s="1102"/>
      <c r="CO1129" s="1103"/>
      <c r="CR1129" s="1823">
        <v>-0.6729798514174663</v>
      </c>
      <c r="CT1129" s="1102"/>
      <c r="CU1129" s="1103"/>
      <c r="CV1129" s="1099"/>
      <c r="CW1129" s="1099"/>
      <c r="CX1129" s="1823">
        <v>-2.3546856071228843</v>
      </c>
      <c r="CY1129" s="1099"/>
      <c r="CZ1129" s="1102"/>
      <c r="DA1129" s="1103"/>
      <c r="DB1129" s="1099"/>
    </row>
    <row r="1130" spans="87:106">
      <c r="CI1130" s="888">
        <v>686</v>
      </c>
      <c r="CJ1130" s="4" t="s">
        <v>1837</v>
      </c>
      <c r="CL1130" s="1826">
        <v>7.7551175111062243E-2</v>
      </c>
      <c r="CN1130" s="864"/>
      <c r="CO1130" s="1103"/>
      <c r="CR1130" s="1823">
        <v>-6.2743733108296951E-2</v>
      </c>
      <c r="CT1130" s="864"/>
      <c r="CU1130" s="1103"/>
      <c r="CV1130" s="1099"/>
      <c r="CW1130" s="1099"/>
      <c r="CX1130" s="1823">
        <v>-1.4536867484313534</v>
      </c>
      <c r="CY1130" s="1099"/>
      <c r="CZ1130" s="864"/>
      <c r="DA1130" s="1103"/>
      <c r="DB1130" s="1099"/>
    </row>
    <row r="1131" spans="87:106">
      <c r="CI1131" s="888">
        <v>686</v>
      </c>
      <c r="CJ1131" s="4" t="s">
        <v>1838</v>
      </c>
      <c r="CL1131" s="1826">
        <v>-1.8885923234207098</v>
      </c>
      <c r="CN1131" s="864"/>
      <c r="CO1131" s="1103"/>
      <c r="CR1131" s="1823">
        <v>-2.7040136337029623</v>
      </c>
      <c r="CT1131" s="864"/>
      <c r="CU1131" s="1103"/>
      <c r="CV1131" s="1099"/>
      <c r="CW1131" s="1099"/>
      <c r="CX1131" s="1823">
        <v>-2.4227089361650536</v>
      </c>
      <c r="CY1131" s="1099"/>
      <c r="CZ1131" s="864"/>
      <c r="DA1131" s="1103"/>
      <c r="DB1131" s="1099"/>
    </row>
    <row r="1132" spans="87:106">
      <c r="CI1132" s="888">
        <v>686</v>
      </c>
      <c r="CJ1132" s="4" t="s">
        <v>1839</v>
      </c>
      <c r="CL1132" s="1826">
        <v>0.48511229771193332</v>
      </c>
      <c r="CN1132" s="864"/>
      <c r="CO1132" s="1103"/>
      <c r="CR1132" s="1823">
        <v>-3.3582404521820193</v>
      </c>
      <c r="CT1132" s="864"/>
      <c r="CU1132" s="1103"/>
      <c r="CV1132" s="1099"/>
      <c r="CW1132" s="1099"/>
      <c r="CX1132" s="1823">
        <v>-2.5396463231300319</v>
      </c>
      <c r="CY1132" s="1099"/>
      <c r="CZ1132" s="864"/>
      <c r="DA1132" s="1103"/>
      <c r="DB1132" s="1099"/>
    </row>
    <row r="1133" spans="87:106">
      <c r="CI1133" s="888">
        <v>686</v>
      </c>
      <c r="CJ1133" s="4" t="s">
        <v>1840</v>
      </c>
      <c r="CL1133" s="1826">
        <v>-0.7002168087684022</v>
      </c>
      <c r="CN1133" s="864"/>
      <c r="CO1133" s="1103"/>
      <c r="CR1133" s="1823">
        <v>-2.3304633816551279</v>
      </c>
      <c r="CT1133" s="864"/>
      <c r="CU1133" s="1103"/>
      <c r="CV1133" s="1099"/>
      <c r="CW1133" s="1099"/>
      <c r="CX1133" s="1823">
        <v>-2.1743151311437128</v>
      </c>
      <c r="CY1133" s="1099"/>
      <c r="CZ1133" s="864"/>
      <c r="DA1133" s="1103"/>
      <c r="DB1133" s="1099"/>
    </row>
    <row r="1134" spans="87:106">
      <c r="CI1134" s="888">
        <v>686</v>
      </c>
      <c r="CJ1134" s="1091" t="s">
        <v>1841</v>
      </c>
      <c r="CL1134" s="1826">
        <v>-0.76828560979294025</v>
      </c>
      <c r="CN1134" s="1104"/>
      <c r="CO1134" s="1105"/>
      <c r="CR1134" s="1824">
        <v>-1.3541858896290135</v>
      </c>
      <c r="CT1134" s="1104"/>
      <c r="CU1134" s="1105"/>
      <c r="CV1134" s="1100"/>
      <c r="CW1134" s="1100"/>
      <c r="CX1134" s="1824">
        <v>-0.16376915537169334</v>
      </c>
      <c r="CY1134" s="1100"/>
      <c r="CZ1134" s="1104"/>
      <c r="DA1134" s="1105"/>
      <c r="DB1134" s="1100"/>
    </row>
    <row r="1135" spans="87:106">
      <c r="CI1135" s="888">
        <v>728</v>
      </c>
      <c r="CJ1135" s="4" t="s">
        <v>1842</v>
      </c>
      <c r="CL1135" s="1826"/>
      <c r="CN1135" s="1099">
        <v>0.80386111551633821</v>
      </c>
      <c r="CO1135" s="1106">
        <v>0.94</v>
      </c>
      <c r="CR1135" s="1822"/>
      <c r="CT1135" s="1102">
        <v>-2.1612493090775784</v>
      </c>
      <c r="CU1135" s="1106">
        <v>0.16</v>
      </c>
      <c r="CV1135" s="863"/>
      <c r="CW1135" s="863"/>
      <c r="CX1135" s="1822" t="e">
        <v>#N/A</v>
      </c>
      <c r="CY1135" s="863"/>
      <c r="CZ1135" s="1099">
        <v>1.3570650188713156</v>
      </c>
      <c r="DA1135" s="1106">
        <v>0.91</v>
      </c>
      <c r="DB1135" s="863"/>
    </row>
    <row r="1136" spans="87:106">
      <c r="CI1136" s="888">
        <v>728</v>
      </c>
      <c r="CJ1136" s="4"/>
      <c r="CL1136" s="1826"/>
      <c r="CN1136" s="1102"/>
      <c r="CO1136" s="1103"/>
      <c r="CR1136" s="1822"/>
      <c r="CT1136" s="1102"/>
      <c r="CU1136" s="1103"/>
      <c r="CV1136" s="863"/>
      <c r="CW1136" s="863"/>
      <c r="CX1136" s="1822" t="e">
        <v>#N/A</v>
      </c>
      <c r="CY1136" s="863"/>
      <c r="CZ1136" s="1102"/>
      <c r="DA1136" s="1103"/>
      <c r="DB1136" s="863"/>
    </row>
    <row r="1137" spans="87:106">
      <c r="CI1137" s="888">
        <v>728</v>
      </c>
      <c r="CJ1137" s="4"/>
      <c r="CL1137" s="1826"/>
      <c r="CN1137" s="1102"/>
      <c r="CO1137" s="1103"/>
      <c r="CR1137" s="1822"/>
      <c r="CT1137" s="1102"/>
      <c r="CU1137" s="1103"/>
      <c r="CV1137" s="863"/>
      <c r="CW1137" s="863"/>
      <c r="CX1137" s="1822" t="e">
        <v>#N/A</v>
      </c>
      <c r="CY1137" s="863"/>
      <c r="CZ1137" s="1102"/>
      <c r="DA1137" s="1103"/>
      <c r="DB1137" s="863"/>
    </row>
    <row r="1138" spans="87:106">
      <c r="CI1138" s="888">
        <v>728</v>
      </c>
      <c r="CJ1138" s="4"/>
      <c r="CL1138" s="1826"/>
      <c r="CN1138" s="1102"/>
      <c r="CO1138" s="1103"/>
      <c r="CR1138" s="1825"/>
      <c r="CT1138" s="1102"/>
      <c r="CU1138" s="1103"/>
      <c r="CV1138" s="1099"/>
      <c r="CW1138" s="1099"/>
      <c r="CX1138" s="1825" t="e">
        <v>#N/A</v>
      </c>
      <c r="CY1138" s="1099"/>
      <c r="CZ1138" s="1102"/>
      <c r="DA1138" s="1103"/>
      <c r="DB1138" s="1099"/>
    </row>
    <row r="1139" spans="87:106">
      <c r="CI1139" s="888">
        <v>728</v>
      </c>
      <c r="CJ1139" s="4" t="s">
        <v>2484</v>
      </c>
      <c r="CL1139" s="1826">
        <v>-7.0036948422274756</v>
      </c>
      <c r="CN1139" s="1102"/>
      <c r="CO1139" s="1103"/>
      <c r="CR1139" s="1823">
        <v>-2.1612493090775784</v>
      </c>
      <c r="CT1139" s="1102"/>
      <c r="CU1139" s="1103"/>
      <c r="CV1139" s="1099"/>
      <c r="CW1139" s="1099"/>
      <c r="CX1139" s="1823">
        <v>0.197271905780112</v>
      </c>
      <c r="CY1139" s="1099"/>
      <c r="CZ1139" s="1102"/>
      <c r="DA1139" s="1103"/>
      <c r="DB1139" s="1099"/>
    </row>
    <row r="1140" spans="87:106">
      <c r="CI1140" s="888">
        <v>728</v>
      </c>
      <c r="CJ1140" s="4" t="s">
        <v>2352</v>
      </c>
      <c r="CL1140" s="1826">
        <v>-5.4184917166627216</v>
      </c>
      <c r="CN1140" s="1102"/>
      <c r="CO1140" s="1103"/>
      <c r="CR1140" s="1823">
        <v>-1.91845845001074</v>
      </c>
      <c r="CT1140" s="1102"/>
      <c r="CU1140" s="1103"/>
      <c r="CV1140" s="1099"/>
      <c r="CW1140" s="1099"/>
      <c r="CX1140" s="1823">
        <v>2.1061480625642739</v>
      </c>
      <c r="CY1140" s="1099"/>
      <c r="CZ1140" s="1102"/>
      <c r="DA1140" s="1103"/>
      <c r="DB1140" s="1099"/>
    </row>
    <row r="1141" spans="87:106">
      <c r="CI1141" s="888">
        <v>728</v>
      </c>
      <c r="CJ1141" s="4" t="s">
        <v>1843</v>
      </c>
      <c r="CL1141" s="1826">
        <v>0.80386111551633821</v>
      </c>
      <c r="CN1141" s="1102"/>
      <c r="CO1141" s="1103"/>
      <c r="CR1141" s="1823">
        <v>-5.7169951930967846</v>
      </c>
      <c r="CT1141" s="1102"/>
      <c r="CU1141" s="1103"/>
      <c r="CV1141" s="1099"/>
      <c r="CW1141" s="1099"/>
      <c r="CX1141" s="1823">
        <v>-5.9324931029578192</v>
      </c>
      <c r="CY1141" s="1099"/>
      <c r="CZ1141" s="1102"/>
      <c r="DA1141" s="1103"/>
      <c r="DB1141" s="1099"/>
    </row>
    <row r="1142" spans="87:106">
      <c r="CI1142" s="888">
        <v>728</v>
      </c>
      <c r="CJ1142" s="4" t="s">
        <v>1844</v>
      </c>
      <c r="CL1142" s="1826">
        <v>2.4181021185857974</v>
      </c>
      <c r="CN1142" s="1102"/>
      <c r="CO1142" s="1103"/>
      <c r="CR1142" s="1823">
        <v>-3.4641724449343263</v>
      </c>
      <c r="CT1142" s="1102"/>
      <c r="CU1142" s="1103"/>
      <c r="CV1142" s="1099"/>
      <c r="CW1142" s="1099"/>
      <c r="CX1142" s="1823">
        <v>2.2804757664827449</v>
      </c>
      <c r="CY1142" s="1099"/>
      <c r="CZ1142" s="1102"/>
      <c r="DA1142" s="1103"/>
      <c r="DB1142" s="1099"/>
    </row>
    <row r="1143" spans="87:106">
      <c r="CI1143" s="888">
        <v>728</v>
      </c>
      <c r="CJ1143" s="4" t="s">
        <v>1845</v>
      </c>
      <c r="CL1143" s="1826">
        <v>0.89609314615457691</v>
      </c>
      <c r="CN1143" s="864"/>
      <c r="CO1143" s="1103"/>
      <c r="CR1143" s="1823">
        <v>-1.1664747594575899</v>
      </c>
      <c r="CT1143" s="864"/>
      <c r="CU1143" s="1103"/>
      <c r="CV1143" s="1099"/>
      <c r="CW1143" s="1099"/>
      <c r="CX1143" s="1823">
        <v>6.3919064761102309</v>
      </c>
      <c r="CY1143" s="1099"/>
      <c r="CZ1143" s="864"/>
      <c r="DA1143" s="1103"/>
      <c r="DB1143" s="1099"/>
    </row>
    <row r="1144" spans="87:106">
      <c r="CI1144" s="888">
        <v>728</v>
      </c>
      <c r="CJ1144" s="4" t="s">
        <v>1846</v>
      </c>
      <c r="CL1144" s="1826">
        <v>0.55170086246148031</v>
      </c>
      <c r="CN1144" s="864"/>
      <c r="CO1144" s="1103"/>
      <c r="CR1144" s="1823">
        <v>-1.1637521338620921E-2</v>
      </c>
      <c r="CT1144" s="864"/>
      <c r="CU1144" s="1103"/>
      <c r="CV1144" s="1099"/>
      <c r="CW1144" s="1099"/>
      <c r="CX1144" s="1823">
        <v>5.1074923071877647</v>
      </c>
      <c r="CY1144" s="1099"/>
      <c r="CZ1144" s="864"/>
      <c r="DA1144" s="1103"/>
      <c r="DB1144" s="1099"/>
    </row>
    <row r="1145" spans="87:106">
      <c r="CI1145" s="888">
        <v>728</v>
      </c>
      <c r="CJ1145" s="4" t="s">
        <v>1847</v>
      </c>
      <c r="CL1145" s="1826">
        <v>2.6560112640661591</v>
      </c>
      <c r="CN1145" s="864"/>
      <c r="CO1145" s="1103"/>
      <c r="CR1145" s="1823">
        <v>-2.3359969309917936</v>
      </c>
      <c r="CT1145" s="864"/>
      <c r="CU1145" s="1103"/>
      <c r="CV1145" s="1099"/>
      <c r="CW1145" s="1099"/>
      <c r="CX1145" s="1823">
        <v>-1.1679363396366886</v>
      </c>
      <c r="CY1145" s="1099"/>
      <c r="CZ1145" s="864"/>
      <c r="DA1145" s="1103"/>
      <c r="DB1145" s="1099"/>
    </row>
    <row r="1146" spans="87:106">
      <c r="CI1146" s="888">
        <v>728</v>
      </c>
      <c r="CJ1146" s="4" t="s">
        <v>1848</v>
      </c>
      <c r="CL1146" s="1826">
        <v>4.8002833753149448</v>
      </c>
      <c r="CN1146" s="864"/>
      <c r="CO1146" s="1103"/>
      <c r="CR1146" s="1823">
        <v>-3.0124730371769135</v>
      </c>
      <c r="CT1146" s="864"/>
      <c r="CU1146" s="1103"/>
      <c r="CV1146" s="1099"/>
      <c r="CW1146" s="1099"/>
      <c r="CX1146" s="1823">
        <v>-5.0643123210018564</v>
      </c>
      <c r="CY1146" s="1099"/>
      <c r="CZ1146" s="864"/>
      <c r="DA1146" s="1103"/>
      <c r="DB1146" s="1099"/>
    </row>
    <row r="1147" spans="87:106">
      <c r="CI1147" s="888">
        <v>728</v>
      </c>
      <c r="CJ1147" s="1091" t="s">
        <v>1849</v>
      </c>
      <c r="CL1147" s="1826">
        <v>-5.3079796190522242</v>
      </c>
      <c r="CN1147" s="1104"/>
      <c r="CO1147" s="1105"/>
      <c r="CR1147" s="1824">
        <v>-1.1879836297274791</v>
      </c>
      <c r="CT1147" s="1104"/>
      <c r="CU1147" s="1105"/>
      <c r="CV1147" s="1100"/>
      <c r="CW1147" s="1100"/>
      <c r="CX1147" s="1824">
        <v>1.3570650188713156</v>
      </c>
      <c r="CY1147" s="1100"/>
      <c r="CZ1147" s="1104"/>
      <c r="DA1147" s="1105"/>
      <c r="DB1147" s="1100"/>
    </row>
    <row r="1148" spans="87:106">
      <c r="CI1148" s="888">
        <v>138</v>
      </c>
      <c r="CJ1148" s="4" t="s">
        <v>1850</v>
      </c>
      <c r="CL1148" s="1826"/>
      <c r="CN1148" s="1099">
        <v>-6.6678723871354428E-2</v>
      </c>
      <c r="CO1148" s="1106">
        <v>0.68</v>
      </c>
      <c r="CR1148" s="1822"/>
      <c r="CT1148" s="1102">
        <v>-4.593602921023443E-2</v>
      </c>
      <c r="CU1148" s="1106">
        <v>0.68</v>
      </c>
      <c r="CV1148" s="863"/>
      <c r="CW1148" s="863"/>
      <c r="CX1148" s="1822" t="e">
        <v>#N/A</v>
      </c>
      <c r="CY1148" s="863"/>
      <c r="CZ1148" s="1099">
        <v>-0.34154978675463543</v>
      </c>
      <c r="DA1148" s="1106">
        <v>0.51</v>
      </c>
      <c r="DB1148" s="863"/>
    </row>
    <row r="1149" spans="87:106">
      <c r="CI1149" s="888">
        <v>138</v>
      </c>
      <c r="CJ1149" s="4"/>
      <c r="CL1149" s="1826"/>
      <c r="CN1149" s="1102"/>
      <c r="CO1149" s="1103"/>
      <c r="CR1149" s="1822"/>
      <c r="CT1149" s="1102"/>
      <c r="CU1149" s="1103"/>
      <c r="CV1149" s="863"/>
      <c r="CW1149" s="863"/>
      <c r="CX1149" s="1822" t="e">
        <v>#N/A</v>
      </c>
      <c r="CY1149" s="863"/>
      <c r="CZ1149" s="1102"/>
      <c r="DA1149" s="1103"/>
      <c r="DB1149" s="863"/>
    </row>
    <row r="1150" spans="87:106">
      <c r="CI1150" s="888">
        <v>138</v>
      </c>
      <c r="CJ1150" s="4"/>
      <c r="CL1150" s="1826"/>
      <c r="CN1150" s="1102"/>
      <c r="CO1150" s="1103"/>
      <c r="CR1150" s="1822"/>
      <c r="CT1150" s="1102"/>
      <c r="CU1150" s="1103"/>
      <c r="CV1150" s="863"/>
      <c r="CW1150" s="863"/>
      <c r="CX1150" s="1822" t="e">
        <v>#N/A</v>
      </c>
      <c r="CY1150" s="863"/>
      <c r="CZ1150" s="1102"/>
      <c r="DA1150" s="1103"/>
      <c r="DB1150" s="863"/>
    </row>
    <row r="1151" spans="87:106">
      <c r="CI1151" s="888">
        <v>138</v>
      </c>
      <c r="CJ1151" s="4"/>
      <c r="CL1151" s="1826"/>
      <c r="CN1151" s="1102"/>
      <c r="CO1151" s="1103"/>
      <c r="CR1151" s="1825"/>
      <c r="CT1151" s="1102"/>
      <c r="CU1151" s="1103"/>
      <c r="CV1151" s="1099"/>
      <c r="CW1151" s="1099"/>
      <c r="CX1151" s="1825" t="e">
        <v>#N/A</v>
      </c>
      <c r="CY1151" s="1099"/>
      <c r="CZ1151" s="1102"/>
      <c r="DA1151" s="1103"/>
      <c r="DB1151" s="1099"/>
    </row>
    <row r="1152" spans="87:106">
      <c r="CI1152" s="888">
        <v>138</v>
      </c>
      <c r="CJ1152" s="4" t="s">
        <v>2485</v>
      </c>
      <c r="CL1152" s="1826">
        <v>1.2220080447938528</v>
      </c>
      <c r="CN1152" s="1102"/>
      <c r="CO1152" s="1103"/>
      <c r="CR1152" s="1823">
        <v>1.4292222241145616</v>
      </c>
      <c r="CT1152" s="1102"/>
      <c r="CU1152" s="1103"/>
      <c r="CV1152" s="1099"/>
      <c r="CW1152" s="1099"/>
      <c r="CX1152" s="1823">
        <v>-0.53216669860123222</v>
      </c>
      <c r="CY1152" s="1099"/>
      <c r="CZ1152" s="1102"/>
      <c r="DA1152" s="1103"/>
      <c r="DB1152" s="1099"/>
    </row>
    <row r="1153" spans="87:106">
      <c r="CI1153" s="888">
        <v>138</v>
      </c>
      <c r="CJ1153" s="4" t="s">
        <v>2353</v>
      </c>
      <c r="CL1153" s="1826">
        <v>0.65076902601667563</v>
      </c>
      <c r="CN1153" s="1102"/>
      <c r="CO1153" s="1103"/>
      <c r="CR1153" s="1823">
        <v>1.0301002138739235</v>
      </c>
      <c r="CT1153" s="1102"/>
      <c r="CU1153" s="1103"/>
      <c r="CV1153" s="1099"/>
      <c r="CW1153" s="1099"/>
      <c r="CX1153" s="1823">
        <v>-0.34154978675463543</v>
      </c>
      <c r="CY1153" s="1099"/>
      <c r="CZ1153" s="1102"/>
      <c r="DA1153" s="1103"/>
      <c r="DB1153" s="1099"/>
    </row>
    <row r="1154" spans="87:106">
      <c r="CI1154" s="888">
        <v>138</v>
      </c>
      <c r="CJ1154" s="4" t="s">
        <v>1851</v>
      </c>
      <c r="CL1154" s="1826">
        <v>0.33120222209184536</v>
      </c>
      <c r="CN1154" s="1102"/>
      <c r="CO1154" s="1103"/>
      <c r="CR1154" s="1823">
        <v>-0.10431758540521296</v>
      </c>
      <c r="CT1154" s="1102"/>
      <c r="CU1154" s="1103"/>
      <c r="CV1154" s="1099"/>
      <c r="CW1154" s="1099"/>
      <c r="CX1154" s="1823">
        <v>-0.98778636947595844</v>
      </c>
      <c r="CY1154" s="1099"/>
      <c r="CZ1154" s="1102"/>
      <c r="DA1154" s="1103"/>
      <c r="DB1154" s="1099"/>
    </row>
    <row r="1155" spans="87:106">
      <c r="CI1155" s="888">
        <v>138</v>
      </c>
      <c r="CJ1155" s="4" t="s">
        <v>1852</v>
      </c>
      <c r="CL1155" s="1826">
        <v>-6.6678723871354428E-2</v>
      </c>
      <c r="CN1155" s="1102"/>
      <c r="CO1155" s="1103"/>
      <c r="CR1155" s="1823">
        <v>1.343891743562303</v>
      </c>
      <c r="CT1155" s="1102"/>
      <c r="CU1155" s="1103"/>
      <c r="CV1155" s="1099"/>
      <c r="CW1155" s="1099"/>
      <c r="CX1155" s="1823">
        <v>-0.59213128336486109</v>
      </c>
      <c r="CY1155" s="1099"/>
      <c r="CZ1155" s="1102"/>
      <c r="DA1155" s="1103"/>
      <c r="DB1155" s="1099"/>
    </row>
    <row r="1156" spans="87:106">
      <c r="CI1156" s="888">
        <v>138</v>
      </c>
      <c r="CJ1156" s="4" t="s">
        <v>1853</v>
      </c>
      <c r="CL1156" s="1826">
        <v>-1.5475017425101538</v>
      </c>
      <c r="CN1156" s="864"/>
      <c r="CO1156" s="1103"/>
      <c r="CR1156" s="1823">
        <v>2.2069840924641602</v>
      </c>
      <c r="CT1156" s="864"/>
      <c r="CU1156" s="1103"/>
      <c r="CV1156" s="1099"/>
      <c r="CW1156" s="1099"/>
      <c r="CX1156" s="1823">
        <v>-0.1326196816505274</v>
      </c>
      <c r="CY1156" s="1099"/>
      <c r="CZ1156" s="864"/>
      <c r="DA1156" s="1103"/>
      <c r="DB1156" s="1099"/>
    </row>
    <row r="1157" spans="87:106">
      <c r="CI1157" s="888">
        <v>138</v>
      </c>
      <c r="CJ1157" s="4" t="s">
        <v>1854</v>
      </c>
      <c r="CL1157" s="1826">
        <v>-2.7474347240277872</v>
      </c>
      <c r="CN1157" s="864"/>
      <c r="CO1157" s="1103"/>
      <c r="CR1157" s="1823">
        <v>-1.7492459847483899</v>
      </c>
      <c r="CT1157" s="864"/>
      <c r="CU1157" s="1103"/>
      <c r="CV1157" s="1099"/>
      <c r="CW1157" s="1099"/>
      <c r="CX1157" s="1823">
        <v>-0.12143397479941243</v>
      </c>
      <c r="CY1157" s="1099"/>
      <c r="CZ1157" s="864"/>
      <c r="DA1157" s="1103"/>
      <c r="DB1157" s="1099"/>
    </row>
    <row r="1158" spans="87:106">
      <c r="CI1158" s="888">
        <v>138</v>
      </c>
      <c r="CJ1158" s="4" t="s">
        <v>1855</v>
      </c>
      <c r="CL1158" s="1826">
        <v>-0.35568974875471338</v>
      </c>
      <c r="CN1158" s="864"/>
      <c r="CO1158" s="1103"/>
      <c r="CR1158" s="1823">
        <v>-4.593602921023443E-2</v>
      </c>
      <c r="CT1158" s="864"/>
      <c r="CU1158" s="1103"/>
      <c r="CV1158" s="1099"/>
      <c r="CW1158" s="1099"/>
      <c r="CX1158" s="1823">
        <v>0.74733222371812325</v>
      </c>
      <c r="CY1158" s="1099"/>
      <c r="CZ1158" s="864"/>
      <c r="DA1158" s="1103"/>
      <c r="DB1158" s="1099"/>
    </row>
    <row r="1159" spans="87:106">
      <c r="CI1159" s="888">
        <v>138</v>
      </c>
      <c r="CJ1159" s="4" t="s">
        <v>1856</v>
      </c>
      <c r="CL1159" s="1826">
        <v>2.2926062544339865</v>
      </c>
      <c r="CN1159" s="864"/>
      <c r="CO1159" s="1103"/>
      <c r="CR1159" s="1823">
        <v>-1.3806417610828818</v>
      </c>
      <c r="CT1159" s="864"/>
      <c r="CU1159" s="1103"/>
      <c r="CV1159" s="1099"/>
      <c r="CW1159" s="1099"/>
      <c r="CX1159" s="1823">
        <v>0.15862572488948024</v>
      </c>
      <c r="CY1159" s="1099"/>
      <c r="CZ1159" s="864"/>
      <c r="DA1159" s="1103"/>
      <c r="DB1159" s="1099"/>
    </row>
    <row r="1160" spans="87:106">
      <c r="CI1160" s="888">
        <v>138</v>
      </c>
      <c r="CJ1160" s="1091" t="s">
        <v>1857</v>
      </c>
      <c r="CL1160" s="1826">
        <v>-5.4674679723383868</v>
      </c>
      <c r="CN1160" s="1104"/>
      <c r="CO1160" s="1105"/>
      <c r="CR1160" s="1824">
        <v>-6.7805198478008162</v>
      </c>
      <c r="CT1160" s="1104"/>
      <c r="CU1160" s="1105"/>
      <c r="CV1160" s="1100"/>
      <c r="CW1160" s="1100"/>
      <c r="CX1160" s="1824">
        <v>-2.0016975544107152</v>
      </c>
      <c r="CY1160" s="1100"/>
      <c r="CZ1160" s="1104"/>
      <c r="DA1160" s="1105"/>
      <c r="DB1160" s="1100"/>
    </row>
    <row r="1161" spans="87:106">
      <c r="CI1161" s="888">
        <v>196</v>
      </c>
      <c r="CJ1161" s="4" t="s">
        <v>1858</v>
      </c>
      <c r="CL1161" s="1826"/>
      <c r="CN1161" s="1099">
        <v>0.11342205204517253</v>
      </c>
      <c r="CO1161" s="1106">
        <v>0.77</v>
      </c>
      <c r="CR1161" s="1822"/>
      <c r="CT1161" s="1102">
        <v>0.31838256617178118</v>
      </c>
      <c r="CU1161" s="1106">
        <v>0.81</v>
      </c>
      <c r="CV1161" s="863"/>
      <c r="CW1161" s="863"/>
      <c r="CX1161" s="1822" t="e">
        <v>#N/A</v>
      </c>
      <c r="CY1161" s="863"/>
      <c r="CZ1161" s="1099">
        <v>0.33258212772516327</v>
      </c>
      <c r="DA1161" s="1106">
        <v>0.74</v>
      </c>
      <c r="DB1161" s="863"/>
    </row>
    <row r="1162" spans="87:106">
      <c r="CI1162" s="888">
        <v>196</v>
      </c>
      <c r="CJ1162" s="4"/>
      <c r="CL1162" s="1826"/>
      <c r="CN1162" s="1102"/>
      <c r="CO1162" s="1103"/>
      <c r="CR1162" s="1822"/>
      <c r="CT1162" s="1102"/>
      <c r="CU1162" s="1103"/>
      <c r="CV1162" s="863"/>
      <c r="CW1162" s="863"/>
      <c r="CX1162" s="1822" t="e">
        <v>#N/A</v>
      </c>
      <c r="CY1162" s="863"/>
      <c r="CZ1162" s="1102"/>
      <c r="DA1162" s="1103"/>
      <c r="DB1162" s="863"/>
    </row>
    <row r="1163" spans="87:106">
      <c r="CI1163" s="888">
        <v>196</v>
      </c>
      <c r="CJ1163" s="4"/>
      <c r="CL1163" s="1826"/>
      <c r="CN1163" s="1102"/>
      <c r="CO1163" s="1103"/>
      <c r="CR1163" s="1822"/>
      <c r="CT1163" s="1102"/>
      <c r="CU1163" s="1103"/>
      <c r="CV1163" s="863"/>
      <c r="CW1163" s="863"/>
      <c r="CX1163" s="1822" t="e">
        <v>#N/A</v>
      </c>
      <c r="CY1163" s="863"/>
      <c r="CZ1163" s="1102"/>
      <c r="DA1163" s="1103"/>
      <c r="DB1163" s="863"/>
    </row>
    <row r="1164" spans="87:106">
      <c r="CI1164" s="888">
        <v>196</v>
      </c>
      <c r="CJ1164" s="4"/>
      <c r="CL1164" s="1826"/>
      <c r="CN1164" s="1102"/>
      <c r="CO1164" s="1103"/>
      <c r="CR1164" s="1825"/>
      <c r="CT1164" s="1102"/>
      <c r="CU1164" s="1103"/>
      <c r="CV1164" s="1099"/>
      <c r="CW1164" s="1099"/>
      <c r="CX1164" s="1825" t="e">
        <v>#N/A</v>
      </c>
      <c r="CY1164" s="1099"/>
      <c r="CZ1164" s="1102"/>
      <c r="DA1164" s="1103"/>
      <c r="DB1164" s="1099"/>
    </row>
    <row r="1165" spans="87:106">
      <c r="CI1165" s="888">
        <v>196</v>
      </c>
      <c r="CJ1165" s="4" t="s">
        <v>2486</v>
      </c>
      <c r="CL1165" s="1826">
        <v>0.57776164027224031</v>
      </c>
      <c r="CN1165" s="1102"/>
      <c r="CO1165" s="1103"/>
      <c r="CR1165" s="1823">
        <v>1.5558497938240756</v>
      </c>
      <c r="CT1165" s="1102"/>
      <c r="CU1165" s="1103"/>
      <c r="CV1165" s="1099"/>
      <c r="CW1165" s="1099"/>
      <c r="CX1165" s="1823">
        <v>2.032401557789222</v>
      </c>
      <c r="CY1165" s="1099"/>
      <c r="CZ1165" s="1102"/>
      <c r="DA1165" s="1103"/>
      <c r="DB1165" s="1099"/>
    </row>
    <row r="1166" spans="87:106">
      <c r="CI1166" s="888">
        <v>196</v>
      </c>
      <c r="CJ1166" s="4" t="s">
        <v>2354</v>
      </c>
      <c r="CL1166" s="1826">
        <v>1.4042506659918335</v>
      </c>
      <c r="CN1166" s="1102"/>
      <c r="CO1166" s="1103"/>
      <c r="CR1166" s="1823">
        <v>1.3032811873837642</v>
      </c>
      <c r="CT1166" s="1102"/>
      <c r="CU1166" s="1103"/>
      <c r="CV1166" s="1099"/>
      <c r="CW1166" s="1099"/>
      <c r="CX1166" s="1823">
        <v>-0.65641375942919122</v>
      </c>
      <c r="CY1166" s="1099"/>
      <c r="CZ1166" s="1102"/>
      <c r="DA1166" s="1103"/>
      <c r="DB1166" s="1099"/>
    </row>
    <row r="1167" spans="87:106">
      <c r="CI1167" s="888">
        <v>196</v>
      </c>
      <c r="CJ1167" s="4" t="s">
        <v>1859</v>
      </c>
      <c r="CL1167" s="1826">
        <v>0.11342205204517253</v>
      </c>
      <c r="CN1167" s="1102"/>
      <c r="CO1167" s="1103"/>
      <c r="CR1167" s="1823">
        <v>-1.1289424325205077E-2</v>
      </c>
      <c r="CT1167" s="1102"/>
      <c r="CU1167" s="1103"/>
      <c r="CV1167" s="1099"/>
      <c r="CW1167" s="1099"/>
      <c r="CX1167" s="1823">
        <v>-1.5476930811293026</v>
      </c>
      <c r="CY1167" s="1099"/>
      <c r="CZ1167" s="1102"/>
      <c r="DA1167" s="1103"/>
      <c r="DB1167" s="1099"/>
    </row>
    <row r="1168" spans="87:106">
      <c r="CI1168" s="888">
        <v>196</v>
      </c>
      <c r="CJ1168" s="4" t="s">
        <v>1860</v>
      </c>
      <c r="CL1168" s="1826">
        <v>0.41372252963833445</v>
      </c>
      <c r="CN1168" s="1102"/>
      <c r="CO1168" s="1103"/>
      <c r="CR1168" s="1823">
        <v>0.84353106425940694</v>
      </c>
      <c r="CT1168" s="1102"/>
      <c r="CU1168" s="1103"/>
      <c r="CV1168" s="1099"/>
      <c r="CW1168" s="1099"/>
      <c r="CX1168" s="1823">
        <v>-8.038022610649298E-2</v>
      </c>
      <c r="CY1168" s="1099"/>
      <c r="CZ1168" s="1102"/>
      <c r="DA1168" s="1103"/>
      <c r="DB1168" s="1099"/>
    </row>
    <row r="1169" spans="87:106">
      <c r="CI1169" s="888">
        <v>196</v>
      </c>
      <c r="CJ1169" s="4" t="s">
        <v>1861</v>
      </c>
      <c r="CL1169" s="1826">
        <v>-1.0018110032663934</v>
      </c>
      <c r="CN1169" s="864"/>
      <c r="CO1169" s="1103"/>
      <c r="CR1169" s="1823">
        <v>0.31838256617178118</v>
      </c>
      <c r="CT1169" s="864"/>
      <c r="CU1169" s="1103"/>
      <c r="CV1169" s="1099"/>
      <c r="CW1169" s="1099"/>
      <c r="CX1169" s="1823">
        <v>0.93942909397691388</v>
      </c>
      <c r="CY1169" s="1099"/>
      <c r="CZ1169" s="864"/>
      <c r="DA1169" s="1103"/>
      <c r="DB1169" s="1099"/>
    </row>
    <row r="1170" spans="87:106">
      <c r="CI1170" s="888">
        <v>196</v>
      </c>
      <c r="CJ1170" s="4" t="s">
        <v>1862</v>
      </c>
      <c r="CL1170" s="1826">
        <v>-1.4756472239716936</v>
      </c>
      <c r="CN1170" s="864"/>
      <c r="CO1170" s="1103"/>
      <c r="CR1170" s="1823">
        <v>0.38010231649703075</v>
      </c>
      <c r="CT1170" s="864"/>
      <c r="CU1170" s="1103"/>
      <c r="CV1170" s="1099"/>
      <c r="CW1170" s="1099"/>
      <c r="CX1170" s="1823">
        <v>-1.2368207017450084</v>
      </c>
      <c r="CY1170" s="1099"/>
      <c r="CZ1170" s="864"/>
      <c r="DA1170" s="1103"/>
      <c r="DB1170" s="1099"/>
    </row>
    <row r="1171" spans="87:106">
      <c r="CI1171" s="888">
        <v>196</v>
      </c>
      <c r="CJ1171" s="4" t="s">
        <v>1863</v>
      </c>
      <c r="CL1171" s="1826">
        <v>-1.8074525064928211</v>
      </c>
      <c r="CN1171" s="864"/>
      <c r="CO1171" s="1103"/>
      <c r="CR1171" s="1823">
        <v>-2.7106312454489387</v>
      </c>
      <c r="CT1171" s="864"/>
      <c r="CU1171" s="1103"/>
      <c r="CV1171" s="1099"/>
      <c r="CW1171" s="1099"/>
      <c r="CX1171" s="1823">
        <v>0.85648821009275311</v>
      </c>
      <c r="CY1171" s="1099"/>
      <c r="CZ1171" s="864"/>
      <c r="DA1171" s="1103"/>
      <c r="DB1171" s="1099"/>
    </row>
    <row r="1172" spans="87:106">
      <c r="CI1172" s="888">
        <v>196</v>
      </c>
      <c r="CJ1172" s="4" t="s">
        <v>1864</v>
      </c>
      <c r="CL1172" s="1826">
        <v>0.75316251128444356</v>
      </c>
      <c r="CN1172" s="864"/>
      <c r="CO1172" s="1103"/>
      <c r="CR1172" s="1823">
        <v>-0.9643590548383707</v>
      </c>
      <c r="CT1172" s="864"/>
      <c r="CU1172" s="1103"/>
      <c r="CV1172" s="1099"/>
      <c r="CW1172" s="1099"/>
      <c r="CX1172" s="1823">
        <v>4.1262816243080076</v>
      </c>
      <c r="CY1172" s="1099"/>
      <c r="CZ1172" s="864"/>
      <c r="DA1172" s="1103"/>
      <c r="DB1172" s="1099"/>
    </row>
    <row r="1173" spans="87:106">
      <c r="CI1173" s="888">
        <v>196</v>
      </c>
      <c r="CJ1173" s="1091" t="s">
        <v>1865</v>
      </c>
      <c r="CL1173" s="1826">
        <v>-4.2294712284376237</v>
      </c>
      <c r="CN1173" s="1104"/>
      <c r="CO1173" s="1105"/>
      <c r="CR1173" s="1824">
        <v>-4.8684455034130218</v>
      </c>
      <c r="CT1173" s="1104"/>
      <c r="CU1173" s="1105"/>
      <c r="CV1173" s="1100"/>
      <c r="CW1173" s="1100"/>
      <c r="CX1173" s="1824">
        <v>0.33258212772516327</v>
      </c>
      <c r="CY1173" s="1100"/>
      <c r="CZ1173" s="1104"/>
      <c r="DA1173" s="1105"/>
      <c r="DB1173" s="1100"/>
    </row>
    <row r="1174" spans="87:106">
      <c r="CI1174" s="888">
        <v>278</v>
      </c>
      <c r="CJ1174" s="4" t="s">
        <v>1866</v>
      </c>
      <c r="CL1174" s="1826"/>
      <c r="CN1174" s="1099">
        <v>0.70277595844835217</v>
      </c>
      <c r="CO1174" s="1106">
        <v>0.92</v>
      </c>
      <c r="CR1174" s="1822"/>
      <c r="CT1174" s="1102">
        <v>-0.73621885678055077</v>
      </c>
      <c r="CU1174" s="1106">
        <v>0.44</v>
      </c>
      <c r="CV1174" s="863"/>
      <c r="CW1174" s="863"/>
      <c r="CX1174" s="1822" t="e">
        <v>#N/A</v>
      </c>
      <c r="CY1174" s="863"/>
      <c r="CZ1174" s="1099">
        <v>-0.14391938189312636</v>
      </c>
      <c r="DA1174" s="1106">
        <v>0.65</v>
      </c>
      <c r="DB1174" s="863"/>
    </row>
    <row r="1175" spans="87:106">
      <c r="CI1175" s="888">
        <v>278</v>
      </c>
      <c r="CJ1175" s="4"/>
      <c r="CL1175" s="1826"/>
      <c r="CN1175" s="1102"/>
      <c r="CO1175" s="1103"/>
      <c r="CR1175" s="1822"/>
      <c r="CT1175" s="1102"/>
      <c r="CU1175" s="1103"/>
      <c r="CV1175" s="863"/>
      <c r="CW1175" s="863"/>
      <c r="CX1175" s="1822" t="e">
        <v>#N/A</v>
      </c>
      <c r="CY1175" s="863"/>
      <c r="CZ1175" s="1102"/>
      <c r="DA1175" s="1103"/>
      <c r="DB1175" s="863"/>
    </row>
    <row r="1176" spans="87:106">
      <c r="CI1176" s="888">
        <v>278</v>
      </c>
      <c r="CJ1176" s="4"/>
      <c r="CL1176" s="1826"/>
      <c r="CN1176" s="1102"/>
      <c r="CO1176" s="1103"/>
      <c r="CR1176" s="1822"/>
      <c r="CT1176" s="1102"/>
      <c r="CU1176" s="1103"/>
      <c r="CV1176" s="863"/>
      <c r="CW1176" s="863"/>
      <c r="CX1176" s="1822" t="e">
        <v>#N/A</v>
      </c>
      <c r="CY1176" s="863"/>
      <c r="CZ1176" s="1102"/>
      <c r="DA1176" s="1103"/>
      <c r="DB1176" s="863"/>
    </row>
    <row r="1177" spans="87:106">
      <c r="CI1177" s="888">
        <v>278</v>
      </c>
      <c r="CJ1177" s="4"/>
      <c r="CL1177" s="1826"/>
      <c r="CN1177" s="1102"/>
      <c r="CO1177" s="1103"/>
      <c r="CR1177" s="1825"/>
      <c r="CT1177" s="1102"/>
      <c r="CU1177" s="1103"/>
      <c r="CV1177" s="1099"/>
      <c r="CW1177" s="1099"/>
      <c r="CX1177" s="1825" t="e">
        <v>#N/A</v>
      </c>
      <c r="CY1177" s="1099"/>
      <c r="CZ1177" s="1102"/>
      <c r="DA1177" s="1103"/>
      <c r="DB1177" s="1099"/>
    </row>
    <row r="1178" spans="87:106">
      <c r="CI1178" s="888">
        <v>278</v>
      </c>
      <c r="CJ1178" s="4" t="s">
        <v>2487</v>
      </c>
      <c r="CL1178" s="1826">
        <v>0.59999999999982112</v>
      </c>
      <c r="CN1178" s="1102"/>
      <c r="CO1178" s="1103"/>
      <c r="CR1178" s="1823">
        <v>-0.28513649540527025</v>
      </c>
      <c r="CT1178" s="1102"/>
      <c r="CU1178" s="1103"/>
      <c r="CV1178" s="1099"/>
      <c r="CW1178" s="1099"/>
      <c r="CX1178" s="1823">
        <v>-2.9841483447688293</v>
      </c>
      <c r="CY1178" s="1099"/>
      <c r="CZ1178" s="1102"/>
      <c r="DA1178" s="1103"/>
      <c r="DB1178" s="1099"/>
    </row>
    <row r="1179" spans="87:106">
      <c r="CI1179" s="888">
        <v>278</v>
      </c>
      <c r="CJ1179" s="4" t="s">
        <v>2355</v>
      </c>
      <c r="CL1179" s="1826">
        <v>0.40218104836289381</v>
      </c>
      <c r="CN1179" s="1102"/>
      <c r="CO1179" s="1103"/>
      <c r="CR1179" s="1823">
        <v>-0.86317455418268685</v>
      </c>
      <c r="CT1179" s="1102"/>
      <c r="CU1179" s="1103"/>
      <c r="CV1179" s="1099"/>
      <c r="CW1179" s="1099"/>
      <c r="CX1179" s="1823">
        <v>-2.9152063991505397</v>
      </c>
      <c r="CY1179" s="1099"/>
      <c r="CZ1179" s="1102"/>
      <c r="DA1179" s="1103"/>
      <c r="DB1179" s="1099"/>
    </row>
    <row r="1180" spans="87:106">
      <c r="CI1180" s="888">
        <v>278</v>
      </c>
      <c r="CJ1180" s="4" t="s">
        <v>1867</v>
      </c>
      <c r="CL1180" s="1826">
        <v>0.92895440404279128</v>
      </c>
      <c r="CN1180" s="1102"/>
      <c r="CO1180" s="1103"/>
      <c r="CR1180" s="1823">
        <v>-1.8976964800285088</v>
      </c>
      <c r="CT1180" s="1102"/>
      <c r="CU1180" s="1103"/>
      <c r="CV1180" s="1099"/>
      <c r="CW1180" s="1099"/>
      <c r="CX1180" s="1823">
        <v>0.72600717058420194</v>
      </c>
      <c r="CY1180" s="1099"/>
      <c r="CZ1180" s="1102"/>
      <c r="DA1180" s="1103"/>
      <c r="DB1180" s="1099"/>
    </row>
    <row r="1181" spans="87:106">
      <c r="CI1181" s="888">
        <v>278</v>
      </c>
      <c r="CJ1181" s="4" t="s">
        <v>1868</v>
      </c>
      <c r="CL1181" s="1826">
        <v>0.70277595844835217</v>
      </c>
      <c r="CN1181" s="1102"/>
      <c r="CO1181" s="1103"/>
      <c r="CR1181" s="1823">
        <v>-0.6092631593784148</v>
      </c>
      <c r="CT1181" s="1102"/>
      <c r="CU1181" s="1103"/>
      <c r="CV1181" s="1099"/>
      <c r="CW1181" s="1099"/>
      <c r="CX1181" s="1823">
        <v>1.6665207070453301</v>
      </c>
      <c r="CY1181" s="1099"/>
      <c r="CZ1181" s="1102"/>
      <c r="DA1181" s="1103"/>
      <c r="DB1181" s="1099"/>
    </row>
    <row r="1182" spans="87:106">
      <c r="CI1182" s="888">
        <v>278</v>
      </c>
      <c r="CJ1182" s="4" t="s">
        <v>1869</v>
      </c>
      <c r="CL1182" s="1826">
        <v>0.4463288554184448</v>
      </c>
      <c r="CN1182" s="864"/>
      <c r="CO1182" s="1103"/>
      <c r="CR1182" s="1823">
        <v>-0.97624799727486433</v>
      </c>
      <c r="CT1182" s="864"/>
      <c r="CU1182" s="1103"/>
      <c r="CV1182" s="1099"/>
      <c r="CW1182" s="1099"/>
      <c r="CX1182" s="1823">
        <v>-3.2532897986873985</v>
      </c>
      <c r="CY1182" s="1099"/>
      <c r="CZ1182" s="864"/>
      <c r="DA1182" s="1103"/>
      <c r="DB1182" s="1099"/>
    </row>
    <row r="1183" spans="87:106">
      <c r="CI1183" s="888">
        <v>278</v>
      </c>
      <c r="CJ1183" s="4" t="s">
        <v>1870</v>
      </c>
      <c r="CL1183" s="1826">
        <v>1.5045521504927342</v>
      </c>
      <c r="CN1183" s="864"/>
      <c r="CO1183" s="1103"/>
      <c r="CR1183" s="1823">
        <v>-0.47589245073079045</v>
      </c>
      <c r="CT1183" s="864"/>
      <c r="CU1183" s="1103"/>
      <c r="CV1183" s="1099"/>
      <c r="CW1183" s="1099"/>
      <c r="CX1183" s="1823">
        <v>0.4215641632871332</v>
      </c>
      <c r="CY1183" s="1099"/>
      <c r="CZ1183" s="864"/>
      <c r="DA1183" s="1103"/>
      <c r="DB1183" s="1099"/>
    </row>
    <row r="1184" spans="87:106">
      <c r="CI1184" s="888">
        <v>278</v>
      </c>
      <c r="CJ1184" s="4" t="s">
        <v>1871</v>
      </c>
      <c r="CL1184" s="1826">
        <v>2.9222877563297236</v>
      </c>
      <c r="CN1184" s="864"/>
      <c r="CO1184" s="1103"/>
      <c r="CR1184" s="1823" t="s">
        <v>1218</v>
      </c>
      <c r="CT1184" s="864"/>
      <c r="CU1184" s="1103"/>
      <c r="CV1184" s="1099"/>
      <c r="CW1184" s="1099"/>
      <c r="CX1184" s="1823">
        <v>5.5814137765922345</v>
      </c>
      <c r="CY1184" s="1099"/>
      <c r="CZ1184" s="864"/>
      <c r="DA1184" s="1103"/>
      <c r="DB1184" s="1099"/>
    </row>
    <row r="1185" spans="87:106">
      <c r="CI1185" s="888">
        <v>278</v>
      </c>
      <c r="CJ1185" s="4" t="s">
        <v>1872</v>
      </c>
      <c r="CL1185" s="1826">
        <v>3.4803702540387667</v>
      </c>
      <c r="CN1185" s="864"/>
      <c r="CO1185" s="1103"/>
      <c r="CR1185" s="1823">
        <v>1.0990506497853394</v>
      </c>
      <c r="CT1185" s="864"/>
      <c r="CU1185" s="1103"/>
      <c r="CV1185" s="1099"/>
      <c r="CW1185" s="1099"/>
      <c r="CX1185" s="1823">
        <v>-0.14391938189312636</v>
      </c>
      <c r="CY1185" s="1099"/>
      <c r="CZ1185" s="864"/>
      <c r="DA1185" s="1103"/>
      <c r="DB1185" s="1099"/>
    </row>
    <row r="1186" spans="87:106">
      <c r="CI1186" s="888">
        <v>278</v>
      </c>
      <c r="CJ1186" s="1091" t="s">
        <v>1873</v>
      </c>
      <c r="CL1186" s="1826">
        <v>-5.66924249428331</v>
      </c>
      <c r="CN1186" s="1104"/>
      <c r="CO1186" s="1105"/>
      <c r="CR1186" s="1824">
        <v>-2.296468543670426</v>
      </c>
      <c r="CT1186" s="1104"/>
      <c r="CU1186" s="1105"/>
      <c r="CV1186" s="1100"/>
      <c r="CW1186" s="1100"/>
      <c r="CX1186" s="1824">
        <v>-3.5880526734721045</v>
      </c>
      <c r="CY1186" s="1100"/>
      <c r="CZ1186" s="1104"/>
      <c r="DA1186" s="1105"/>
      <c r="DB1186" s="1100"/>
    </row>
    <row r="1187" spans="87:106">
      <c r="CI1187" s="888">
        <v>694</v>
      </c>
      <c r="CJ1187" s="4" t="s">
        <v>1874</v>
      </c>
      <c r="CL1187" s="1826"/>
      <c r="CN1187" s="1099">
        <v>-1.1778879840927301</v>
      </c>
      <c r="CO1187" s="1106">
        <v>0.21</v>
      </c>
      <c r="CR1187" s="1822"/>
      <c r="CT1187" s="1102">
        <v>-2.4558266805651288</v>
      </c>
      <c r="CU1187" s="1106">
        <v>0.14000000000000001</v>
      </c>
      <c r="CV1187" s="863"/>
      <c r="CW1187" s="863"/>
      <c r="CX1187" s="1822" t="e">
        <v>#N/A</v>
      </c>
      <c r="CY1187" s="863"/>
      <c r="CZ1187" s="1099">
        <v>-1.372054355631116</v>
      </c>
      <c r="DA1187" s="1106">
        <v>0.17</v>
      </c>
      <c r="DB1187" s="863"/>
    </row>
    <row r="1188" spans="87:106">
      <c r="CI1188" s="888">
        <v>694</v>
      </c>
      <c r="CJ1188" s="4"/>
      <c r="CL1188" s="1826"/>
      <c r="CN1188" s="1102"/>
      <c r="CO1188" s="1103"/>
      <c r="CR1188" s="1822"/>
      <c r="CT1188" s="1102"/>
      <c r="CU1188" s="1103"/>
      <c r="CV1188" s="863"/>
      <c r="CW1188" s="863"/>
      <c r="CX1188" s="1822" t="e">
        <v>#N/A</v>
      </c>
      <c r="CY1188" s="863"/>
      <c r="CZ1188" s="1102"/>
      <c r="DA1188" s="1103"/>
      <c r="DB1188" s="863"/>
    </row>
    <row r="1189" spans="87:106">
      <c r="CI1189" s="888">
        <v>694</v>
      </c>
      <c r="CJ1189" s="4"/>
      <c r="CL1189" s="1826"/>
      <c r="CN1189" s="1102"/>
      <c r="CO1189" s="1103"/>
      <c r="CR1189" s="1822"/>
      <c r="CT1189" s="1102"/>
      <c r="CU1189" s="1103"/>
      <c r="CV1189" s="863"/>
      <c r="CW1189" s="863"/>
      <c r="CX1189" s="1822" t="e">
        <v>#N/A</v>
      </c>
      <c r="CY1189" s="863"/>
      <c r="CZ1189" s="1102"/>
      <c r="DA1189" s="1103"/>
      <c r="DB1189" s="863"/>
    </row>
    <row r="1190" spans="87:106">
      <c r="CI1190" s="888">
        <v>694</v>
      </c>
      <c r="CJ1190" s="4"/>
      <c r="CL1190" s="1826"/>
      <c r="CN1190" s="1102"/>
      <c r="CO1190" s="1103"/>
      <c r="CR1190" s="1825"/>
      <c r="CT1190" s="1102"/>
      <c r="CU1190" s="1103"/>
      <c r="CV1190" s="1099"/>
      <c r="CW1190" s="1099"/>
      <c r="CX1190" s="1825" t="e">
        <v>#N/A</v>
      </c>
      <c r="CY1190" s="1099"/>
      <c r="CZ1190" s="1102"/>
      <c r="DA1190" s="1103"/>
      <c r="DB1190" s="1099"/>
    </row>
    <row r="1191" spans="87:106">
      <c r="CI1191" s="888">
        <v>694</v>
      </c>
      <c r="CJ1191" s="4" t="s">
        <v>2488</v>
      </c>
      <c r="CL1191" s="1826">
        <v>-2.6412570246839953</v>
      </c>
      <c r="CN1191" s="1102"/>
      <c r="CO1191" s="1103"/>
      <c r="CR1191" s="1823">
        <v>-0.92248096398411894</v>
      </c>
      <c r="CT1191" s="1102"/>
      <c r="CU1191" s="1103"/>
      <c r="CV1191" s="1099"/>
      <c r="CW1191" s="1099"/>
      <c r="CX1191" s="1823">
        <v>-0.58345596043620596</v>
      </c>
      <c r="CY1191" s="1099"/>
      <c r="CZ1191" s="1102"/>
      <c r="DA1191" s="1103"/>
      <c r="DB1191" s="1099"/>
    </row>
    <row r="1192" spans="87:106">
      <c r="CI1192" s="888">
        <v>694</v>
      </c>
      <c r="CJ1192" s="4" t="s">
        <v>2356</v>
      </c>
      <c r="CL1192" s="1826">
        <v>-6.570557858154805</v>
      </c>
      <c r="CN1192" s="1102"/>
      <c r="CO1192" s="1103"/>
      <c r="CR1192" s="1823">
        <v>-2.0597705363738554</v>
      </c>
      <c r="CT1192" s="1102"/>
      <c r="CU1192" s="1103"/>
      <c r="CV1192" s="1099"/>
      <c r="CW1192" s="1099"/>
      <c r="CX1192" s="1823">
        <v>-1.372054355631116</v>
      </c>
      <c r="CY1192" s="1099"/>
      <c r="CZ1192" s="1102"/>
      <c r="DA1192" s="1103"/>
      <c r="DB1192" s="1099"/>
    </row>
    <row r="1193" spans="87:106">
      <c r="CI1193" s="888">
        <v>694</v>
      </c>
      <c r="CJ1193" s="4" t="s">
        <v>1875</v>
      </c>
      <c r="CL1193" s="1826">
        <v>-4.3693874519785254</v>
      </c>
      <c r="CN1193" s="1102"/>
      <c r="CO1193" s="1103"/>
      <c r="CR1193" s="1823">
        <v>-2.4558266805651288</v>
      </c>
      <c r="CT1193" s="1102"/>
      <c r="CU1193" s="1103"/>
      <c r="CV1193" s="1099"/>
      <c r="CW1193" s="1099"/>
      <c r="CX1193" s="1823">
        <v>0.32319581066849912</v>
      </c>
      <c r="CY1193" s="1099"/>
      <c r="CZ1193" s="1102"/>
      <c r="DA1193" s="1103"/>
      <c r="DB1193" s="1099"/>
    </row>
    <row r="1194" spans="87:106">
      <c r="CI1194" s="888">
        <v>694</v>
      </c>
      <c r="CJ1194" s="4" t="s">
        <v>1876</v>
      </c>
      <c r="CL1194" s="1826">
        <v>-0.70799039987400469</v>
      </c>
      <c r="CN1194" s="1102"/>
      <c r="CO1194" s="1103"/>
      <c r="CR1194" s="1823">
        <v>-1.9622137751655508</v>
      </c>
      <c r="CT1194" s="1102"/>
      <c r="CU1194" s="1103"/>
      <c r="CV1194" s="1099"/>
      <c r="CW1194" s="1099"/>
      <c r="CX1194" s="1823">
        <v>0.93713445864557476</v>
      </c>
      <c r="CY1194" s="1099"/>
      <c r="CZ1194" s="1102"/>
      <c r="DA1194" s="1103"/>
      <c r="DB1194" s="1099"/>
    </row>
    <row r="1195" spans="87:106">
      <c r="CI1195" s="888">
        <v>694</v>
      </c>
      <c r="CJ1195" s="4" t="s">
        <v>1877</v>
      </c>
      <c r="CL1195" s="1826">
        <v>-1.1778879840927301</v>
      </c>
      <c r="CN1195" s="864"/>
      <c r="CO1195" s="1103"/>
      <c r="CR1195" s="1823">
        <v>-6.7654620968404275</v>
      </c>
      <c r="CT1195" s="864"/>
      <c r="CU1195" s="1103"/>
      <c r="CV1195" s="1099"/>
      <c r="CW1195" s="1099"/>
      <c r="CX1195" s="1823">
        <v>0.7920324937549017</v>
      </c>
      <c r="CY1195" s="1099"/>
      <c r="CZ1195" s="864"/>
      <c r="DA1195" s="1103"/>
      <c r="DB1195" s="1099"/>
    </row>
    <row r="1196" spans="87:106">
      <c r="CI1196" s="888">
        <v>694</v>
      </c>
      <c r="CJ1196" s="4" t="s">
        <v>1878</v>
      </c>
      <c r="CL1196" s="1826">
        <v>2.8033412919429956E-2</v>
      </c>
      <c r="CN1196" s="864"/>
      <c r="CO1196" s="1103"/>
      <c r="CR1196" s="1823">
        <v>-3.0940621056281343</v>
      </c>
      <c r="CT1196" s="864"/>
      <c r="CU1196" s="1103"/>
      <c r="CV1196" s="1099"/>
      <c r="CW1196" s="1099"/>
      <c r="CX1196" s="1823">
        <v>-3.9979298873492302</v>
      </c>
      <c r="CY1196" s="1099"/>
      <c r="CZ1196" s="864"/>
      <c r="DA1196" s="1103"/>
      <c r="DB1196" s="1099"/>
    </row>
    <row r="1197" spans="87:106">
      <c r="CI1197" s="888">
        <v>694</v>
      </c>
      <c r="CJ1197" s="4" t="s">
        <v>1879</v>
      </c>
      <c r="CL1197" s="1826">
        <v>3.9143345990276579E-2</v>
      </c>
      <c r="CN1197" s="864"/>
      <c r="CO1197" s="1103"/>
      <c r="CR1197" s="1823">
        <v>2.9918445557284561</v>
      </c>
      <c r="CT1197" s="864"/>
      <c r="CU1197" s="1103"/>
      <c r="CV1197" s="1099"/>
      <c r="CW1197" s="1099"/>
      <c r="CX1197" s="1823">
        <v>-7.0720738114365354</v>
      </c>
      <c r="CY1197" s="1099"/>
      <c r="CZ1197" s="864"/>
      <c r="DA1197" s="1103"/>
      <c r="DB1197" s="1099"/>
    </row>
    <row r="1198" spans="87:106">
      <c r="CI1198" s="888">
        <v>694</v>
      </c>
      <c r="CJ1198" s="4" t="s">
        <v>1880</v>
      </c>
      <c r="CL1198" s="1826">
        <v>5.367223583537311</v>
      </c>
      <c r="CN1198" s="864"/>
      <c r="CO1198" s="1103"/>
      <c r="CR1198" s="1823">
        <v>-5.1234091696307855</v>
      </c>
      <c r="CT1198" s="864"/>
      <c r="CU1198" s="1103"/>
      <c r="CV1198" s="1099"/>
      <c r="CW1198" s="1099"/>
      <c r="CX1198" s="1823">
        <v>-4.3007063860688941</v>
      </c>
      <c r="CY1198" s="1099"/>
      <c r="CZ1198" s="864"/>
      <c r="DA1198" s="1103"/>
      <c r="DB1198" s="1099"/>
    </row>
    <row r="1199" spans="87:106">
      <c r="CI1199" s="888">
        <v>694</v>
      </c>
      <c r="CJ1199" s="1091" t="s">
        <v>1881</v>
      </c>
      <c r="CL1199" s="1826">
        <v>-1.3668594101863061</v>
      </c>
      <c r="CN1199" s="1104"/>
      <c r="CO1199" s="1105"/>
      <c r="CR1199" s="1824">
        <v>-18.384621802164745</v>
      </c>
      <c r="CT1199" s="1104"/>
      <c r="CU1199" s="1105"/>
      <c r="CV1199" s="1100"/>
      <c r="CW1199" s="1100"/>
      <c r="CX1199" s="1824">
        <v>-8.7112661058604637</v>
      </c>
      <c r="CY1199" s="1100"/>
      <c r="CZ1199" s="1104"/>
      <c r="DA1199" s="1105"/>
      <c r="DB1199" s="1100"/>
    </row>
    <row r="1200" spans="87:106">
      <c r="CI1200" s="888">
        <v>142</v>
      </c>
      <c r="CJ1200" s="4" t="s">
        <v>1882</v>
      </c>
      <c r="CL1200" s="1826"/>
      <c r="CN1200" s="1099">
        <v>-0.24191703021367572</v>
      </c>
      <c r="CO1200" s="1106">
        <v>0.54</v>
      </c>
      <c r="CR1200" s="1822"/>
      <c r="CT1200" s="1102">
        <v>-1.4056692109280071</v>
      </c>
      <c r="CU1200" s="1106">
        <v>0.24</v>
      </c>
      <c r="CV1200" s="863"/>
      <c r="CW1200" s="863"/>
      <c r="CX1200" s="1822" t="e">
        <v>#N/A</v>
      </c>
      <c r="CY1200" s="863"/>
      <c r="CZ1200" s="1099">
        <v>-0.54050039289208041</v>
      </c>
      <c r="DA1200" s="1106">
        <v>0.41</v>
      </c>
      <c r="DB1200" s="863"/>
    </row>
    <row r="1201" spans="87:106">
      <c r="CI1201" s="888">
        <v>142</v>
      </c>
      <c r="CJ1201" s="4"/>
      <c r="CL1201" s="1826"/>
      <c r="CN1201" s="1102"/>
      <c r="CO1201" s="1103"/>
      <c r="CR1201" s="1822"/>
      <c r="CT1201" s="1102"/>
      <c r="CU1201" s="1103"/>
      <c r="CV1201" s="863"/>
      <c r="CW1201" s="863"/>
      <c r="CX1201" s="1822" t="e">
        <v>#N/A</v>
      </c>
      <c r="CY1201" s="863"/>
      <c r="CZ1201" s="1102"/>
      <c r="DA1201" s="1103"/>
      <c r="DB1201" s="863"/>
    </row>
    <row r="1202" spans="87:106">
      <c r="CI1202" s="888">
        <v>142</v>
      </c>
      <c r="CJ1202" s="4"/>
      <c r="CL1202" s="1826"/>
      <c r="CN1202" s="1102"/>
      <c r="CO1202" s="1103"/>
      <c r="CR1202" s="1822"/>
      <c r="CT1202" s="1102"/>
      <c r="CU1202" s="1103"/>
      <c r="CV1202" s="863"/>
      <c r="CW1202" s="863"/>
      <c r="CX1202" s="1822" t="e">
        <v>#N/A</v>
      </c>
      <c r="CY1202" s="863"/>
      <c r="CZ1202" s="1102"/>
      <c r="DA1202" s="1103"/>
      <c r="DB1202" s="863"/>
    </row>
    <row r="1203" spans="87:106">
      <c r="CI1203" s="888">
        <v>142</v>
      </c>
      <c r="CJ1203" s="4"/>
      <c r="CL1203" s="1826"/>
      <c r="CN1203" s="1102"/>
      <c r="CO1203" s="1103"/>
      <c r="CR1203" s="1825"/>
      <c r="CT1203" s="1102"/>
      <c r="CU1203" s="1103"/>
      <c r="CV1203" s="1099"/>
      <c r="CW1203" s="1099"/>
      <c r="CX1203" s="1825" t="e">
        <v>#N/A</v>
      </c>
      <c r="CY1203" s="1099"/>
      <c r="CZ1203" s="1102"/>
      <c r="DA1203" s="1103"/>
      <c r="DB1203" s="1099"/>
    </row>
    <row r="1204" spans="87:106">
      <c r="CI1204" s="888">
        <v>142</v>
      </c>
      <c r="CJ1204" s="4" t="s">
        <v>2489</v>
      </c>
      <c r="CL1204" s="1826">
        <v>0.2943133970351286</v>
      </c>
      <c r="CN1204" s="1102"/>
      <c r="CO1204" s="1103"/>
      <c r="CR1204" s="1823">
        <v>-0.17414047209078864</v>
      </c>
      <c r="CT1204" s="1102"/>
      <c r="CU1204" s="1103"/>
      <c r="CV1204" s="1099"/>
      <c r="CW1204" s="1099"/>
      <c r="CX1204" s="1823">
        <v>-0.54050039289208041</v>
      </c>
      <c r="CY1204" s="1099"/>
      <c r="CZ1204" s="1102"/>
      <c r="DA1204" s="1103"/>
      <c r="DB1204" s="1099"/>
    </row>
    <row r="1205" spans="87:106">
      <c r="CI1205" s="888">
        <v>142</v>
      </c>
      <c r="CJ1205" s="4" t="s">
        <v>2357</v>
      </c>
      <c r="CL1205" s="1826">
        <v>-0.45708037791020262</v>
      </c>
      <c r="CN1205" s="1102"/>
      <c r="CO1205" s="1103"/>
      <c r="CR1205" s="1823">
        <v>-3.5890005709253336</v>
      </c>
      <c r="CT1205" s="1102"/>
      <c r="CU1205" s="1103"/>
      <c r="CV1205" s="1099"/>
      <c r="CW1205" s="1099"/>
      <c r="CX1205" s="1823">
        <v>-3.2664284116832207</v>
      </c>
      <c r="CY1205" s="1099"/>
      <c r="CZ1205" s="1102"/>
      <c r="DA1205" s="1103"/>
      <c r="DB1205" s="1099"/>
    </row>
    <row r="1206" spans="87:106">
      <c r="CI1206" s="888">
        <v>142</v>
      </c>
      <c r="CJ1206" s="4" t="s">
        <v>1883</v>
      </c>
      <c r="CL1206" s="1826">
        <v>-0.24191703021367572</v>
      </c>
      <c r="CN1206" s="1102"/>
      <c r="CO1206" s="1103"/>
      <c r="CR1206" s="1823">
        <v>-4.6861139405818575</v>
      </c>
      <c r="CT1206" s="1102"/>
      <c r="CU1206" s="1103"/>
      <c r="CV1206" s="1099"/>
      <c r="CW1206" s="1099"/>
      <c r="CX1206" s="1823">
        <v>-3.5047525020333943</v>
      </c>
      <c r="CY1206" s="1099"/>
      <c r="CZ1206" s="1102"/>
      <c r="DA1206" s="1103"/>
      <c r="DB1206" s="1099"/>
    </row>
    <row r="1207" spans="87:106">
      <c r="CI1207" s="888">
        <v>142</v>
      </c>
      <c r="CJ1207" s="4" t="s">
        <v>1884</v>
      </c>
      <c r="CL1207" s="1826">
        <v>2.2974691292964255E-2</v>
      </c>
      <c r="CN1207" s="1102"/>
      <c r="CO1207" s="1103"/>
      <c r="CR1207" s="1823">
        <v>-2.5726099826532502</v>
      </c>
      <c r="CT1207" s="1102"/>
      <c r="CU1207" s="1103"/>
      <c r="CV1207" s="1099"/>
      <c r="CW1207" s="1099"/>
      <c r="CX1207" s="1823">
        <v>-1.2486066292503983</v>
      </c>
      <c r="CY1207" s="1099"/>
      <c r="CZ1207" s="1102"/>
      <c r="DA1207" s="1103"/>
      <c r="DB1207" s="1099"/>
    </row>
    <row r="1208" spans="87:106">
      <c r="CI1208" s="888">
        <v>142</v>
      </c>
      <c r="CJ1208" s="4" t="s">
        <v>1885</v>
      </c>
      <c r="CL1208" s="1826">
        <v>-1.2953937605417332</v>
      </c>
      <c r="CN1208" s="864"/>
      <c r="CO1208" s="1103"/>
      <c r="CR1208" s="1823">
        <v>-1.4056692109280071</v>
      </c>
      <c r="CT1208" s="864"/>
      <c r="CU1208" s="1103"/>
      <c r="CV1208" s="1099"/>
      <c r="CW1208" s="1099"/>
      <c r="CX1208" s="1823">
        <v>1.2743094444741887</v>
      </c>
      <c r="CY1208" s="1099"/>
      <c r="CZ1208" s="864"/>
      <c r="DA1208" s="1103"/>
      <c r="DB1208" s="1099"/>
    </row>
    <row r="1209" spans="87:106">
      <c r="CI1209" s="888">
        <v>142</v>
      </c>
      <c r="CJ1209" s="4" t="s">
        <v>1886</v>
      </c>
      <c r="CL1209" s="1826">
        <v>0.32102189986364893</v>
      </c>
      <c r="CN1209" s="864"/>
      <c r="CO1209" s="1103"/>
      <c r="CR1209" s="1823">
        <v>1.9383701136758056</v>
      </c>
      <c r="CT1209" s="864"/>
      <c r="CU1209" s="1103"/>
      <c r="CV1209" s="1099"/>
      <c r="CW1209" s="1099"/>
      <c r="CX1209" s="1823">
        <v>0.407832252082724</v>
      </c>
      <c r="CY1209" s="1099"/>
      <c r="CZ1209" s="864"/>
      <c r="DA1209" s="1103"/>
      <c r="DB1209" s="1099"/>
    </row>
    <row r="1210" spans="87:106">
      <c r="CI1210" s="888">
        <v>142</v>
      </c>
      <c r="CJ1210" s="4" t="s">
        <v>1887</v>
      </c>
      <c r="CL1210" s="1826">
        <v>-0.46703984379948338</v>
      </c>
      <c r="CN1210" s="864"/>
      <c r="CO1210" s="1103"/>
      <c r="CR1210" s="1823">
        <v>2.7117543121600409</v>
      </c>
      <c r="CT1210" s="864"/>
      <c r="CU1210" s="1103"/>
      <c r="CV1210" s="1099"/>
      <c r="CW1210" s="1099"/>
      <c r="CX1210" s="1823">
        <v>3.4632955138540469</v>
      </c>
      <c r="CY1210" s="1099"/>
      <c r="CZ1210" s="864"/>
      <c r="DA1210" s="1103"/>
      <c r="DB1210" s="1099"/>
    </row>
    <row r="1211" spans="87:106">
      <c r="CI1211" s="888">
        <v>142</v>
      </c>
      <c r="CJ1211" s="4" t="s">
        <v>1888</v>
      </c>
      <c r="CL1211" s="1826">
        <v>0.33626689146135802</v>
      </c>
      <c r="CN1211" s="864"/>
      <c r="CO1211" s="1103"/>
      <c r="CR1211" s="1823">
        <v>0.4169155580713495</v>
      </c>
      <c r="CT1211" s="864"/>
      <c r="CU1211" s="1103"/>
      <c r="CV1211" s="1099"/>
      <c r="CW1211" s="1099"/>
      <c r="CX1211" s="1823">
        <v>1.1881157225503838</v>
      </c>
      <c r="CY1211" s="1099"/>
      <c r="CZ1211" s="864"/>
      <c r="DA1211" s="1103"/>
      <c r="DB1211" s="1099"/>
    </row>
    <row r="1212" spans="87:106">
      <c r="CI1212" s="888">
        <v>142</v>
      </c>
      <c r="CJ1212" s="1091" t="s">
        <v>1889</v>
      </c>
      <c r="CL1212" s="1826">
        <v>-3.7669774226475656</v>
      </c>
      <c r="CN1212" s="1104"/>
      <c r="CO1212" s="1105"/>
      <c r="CR1212" s="1824">
        <v>-8.877850463050116</v>
      </c>
      <c r="CT1212" s="1104"/>
      <c r="CU1212" s="1105"/>
      <c r="CV1212" s="1100"/>
      <c r="CW1212" s="1100"/>
      <c r="CX1212" s="1824">
        <v>-6.647236392207243</v>
      </c>
      <c r="CY1212" s="1100"/>
      <c r="CZ1212" s="1104"/>
      <c r="DA1212" s="1105"/>
      <c r="DB1212" s="1100"/>
    </row>
    <row r="1213" spans="87:106">
      <c r="CI1213" s="888">
        <v>449</v>
      </c>
      <c r="CJ1213" s="4" t="s">
        <v>1890</v>
      </c>
      <c r="CL1213" s="1826"/>
      <c r="CN1213" s="1099">
        <v>-0.1767467377007641</v>
      </c>
      <c r="CO1213" s="1106">
        <v>0.59</v>
      </c>
      <c r="CR1213" s="1822"/>
      <c r="CT1213" s="1102">
        <v>-7.2224570964766066</v>
      </c>
      <c r="CU1213" s="1106">
        <v>0.02</v>
      </c>
      <c r="CV1213" s="863"/>
      <c r="CW1213" s="863"/>
      <c r="CX1213" s="1822" t="e">
        <v>#N/A</v>
      </c>
      <c r="CY1213" s="863"/>
      <c r="CZ1213" s="1099">
        <v>0.18747642691765787</v>
      </c>
      <c r="DA1213" s="1106">
        <v>0.72</v>
      </c>
      <c r="DB1213" s="863"/>
    </row>
    <row r="1214" spans="87:106">
      <c r="CI1214" s="888">
        <v>449</v>
      </c>
      <c r="CJ1214" s="4"/>
      <c r="CL1214" s="1826"/>
      <c r="CN1214" s="1102"/>
      <c r="CO1214" s="1103"/>
      <c r="CR1214" s="1822"/>
      <c r="CT1214" s="1102"/>
      <c r="CU1214" s="1103"/>
      <c r="CV1214" s="863"/>
      <c r="CW1214" s="863"/>
      <c r="CX1214" s="1822" t="e">
        <v>#N/A</v>
      </c>
      <c r="CY1214" s="863"/>
      <c r="CZ1214" s="1102"/>
      <c r="DA1214" s="1103"/>
      <c r="DB1214" s="863"/>
    </row>
    <row r="1215" spans="87:106">
      <c r="CI1215" s="888">
        <v>449</v>
      </c>
      <c r="CJ1215" s="4"/>
      <c r="CL1215" s="1826"/>
      <c r="CN1215" s="1102"/>
      <c r="CO1215" s="1103"/>
      <c r="CR1215" s="1822"/>
      <c r="CT1215" s="1102"/>
      <c r="CU1215" s="1103"/>
      <c r="CV1215" s="863"/>
      <c r="CW1215" s="863"/>
      <c r="CX1215" s="1822" t="e">
        <v>#N/A</v>
      </c>
      <c r="CY1215" s="863"/>
      <c r="CZ1215" s="1102"/>
      <c r="DA1215" s="1103"/>
      <c r="DB1215" s="863"/>
    </row>
    <row r="1216" spans="87:106">
      <c r="CI1216" s="888">
        <v>449</v>
      </c>
      <c r="CJ1216" s="4"/>
      <c r="CL1216" s="1826"/>
      <c r="CN1216" s="1102"/>
      <c r="CO1216" s="1103"/>
      <c r="CR1216" s="1825"/>
      <c r="CT1216" s="1102"/>
      <c r="CU1216" s="1103"/>
      <c r="CV1216" s="1099"/>
      <c r="CW1216" s="1099"/>
      <c r="CX1216" s="1825" t="e">
        <v>#N/A</v>
      </c>
      <c r="CY1216" s="1099"/>
      <c r="CZ1216" s="1102"/>
      <c r="DA1216" s="1103"/>
      <c r="DB1216" s="1099"/>
    </row>
    <row r="1217" spans="87:106">
      <c r="CI1217" s="888">
        <v>449</v>
      </c>
      <c r="CJ1217" s="4" t="s">
        <v>2490</v>
      </c>
      <c r="CL1217" s="1826">
        <v>-2.0109232628973865</v>
      </c>
      <c r="CN1217" s="1102"/>
      <c r="CO1217" s="1103"/>
      <c r="CR1217" s="1823">
        <v>6.4868700450904484</v>
      </c>
      <c r="CT1217" s="1102"/>
      <c r="CU1217" s="1103"/>
      <c r="CV1217" s="1099"/>
      <c r="CW1217" s="1099"/>
      <c r="CX1217" s="1823">
        <v>4.2960402372238953</v>
      </c>
      <c r="CY1217" s="1099"/>
      <c r="CZ1217" s="1102"/>
      <c r="DA1217" s="1103"/>
      <c r="DB1217" s="1099"/>
    </row>
    <row r="1218" spans="87:106">
      <c r="CI1218" s="888">
        <v>449</v>
      </c>
      <c r="CJ1218" s="4" t="s">
        <v>2358</v>
      </c>
      <c r="CL1218" s="1826">
        <v>-1.3254938018653148</v>
      </c>
      <c r="CN1218" s="1102"/>
      <c r="CO1218" s="1103"/>
      <c r="CR1218" s="1823">
        <v>-8.6911513959668856</v>
      </c>
      <c r="CT1218" s="1102"/>
      <c r="CU1218" s="1103"/>
      <c r="CV1218" s="1099"/>
      <c r="CW1218" s="1099"/>
      <c r="CX1218" s="1823">
        <v>-10.770359291832083</v>
      </c>
      <c r="CY1218" s="1099"/>
      <c r="CZ1218" s="1102"/>
      <c r="DA1218" s="1103"/>
      <c r="DB1218" s="1099"/>
    </row>
    <row r="1219" spans="87:106">
      <c r="CI1219" s="888">
        <v>449</v>
      </c>
      <c r="CJ1219" s="4" t="s">
        <v>1891</v>
      </c>
      <c r="CL1219" s="1826">
        <v>0.81828574185481795</v>
      </c>
      <c r="CN1219" s="1102"/>
      <c r="CO1219" s="1103"/>
      <c r="CR1219" s="1823">
        <v>-10.888761925470003</v>
      </c>
      <c r="CT1219" s="1102"/>
      <c r="CU1219" s="1103"/>
      <c r="CV1219" s="1099"/>
      <c r="CW1219" s="1099"/>
      <c r="CX1219" s="1823">
        <v>-15.343520643354527</v>
      </c>
      <c r="CY1219" s="1099"/>
      <c r="CZ1219" s="1102"/>
      <c r="DA1219" s="1103"/>
      <c r="DB1219" s="1099"/>
    </row>
    <row r="1220" spans="87:106">
      <c r="CI1220" s="888">
        <v>449</v>
      </c>
      <c r="CJ1220" s="4" t="s">
        <v>1892</v>
      </c>
      <c r="CL1220" s="1826">
        <v>-0.50451896925238549</v>
      </c>
      <c r="CN1220" s="1102"/>
      <c r="CO1220" s="1103"/>
      <c r="CR1220" s="1823">
        <v>-1.7046994053695697</v>
      </c>
      <c r="CT1220" s="1102"/>
      <c r="CU1220" s="1103"/>
      <c r="CV1220" s="1099"/>
      <c r="CW1220" s="1099"/>
      <c r="CX1220" s="1823">
        <v>0.18747642691765787</v>
      </c>
      <c r="CY1220" s="1099"/>
      <c r="CZ1220" s="1102"/>
      <c r="DA1220" s="1103"/>
      <c r="DB1220" s="1099"/>
    </row>
    <row r="1221" spans="87:106">
      <c r="CI1221" s="888">
        <v>449</v>
      </c>
      <c r="CJ1221" s="4" t="s">
        <v>1893</v>
      </c>
      <c r="CL1221" s="1826">
        <v>0.72932224792702538</v>
      </c>
      <c r="CN1221" s="864"/>
      <c r="CO1221" s="1103"/>
      <c r="CR1221" s="1823">
        <v>-7.2224570964766066</v>
      </c>
      <c r="CT1221" s="864"/>
      <c r="CU1221" s="1103"/>
      <c r="CV1221" s="1099"/>
      <c r="CW1221" s="1099"/>
      <c r="CX1221" s="1823">
        <v>-0.75682648015599541</v>
      </c>
      <c r="CY1221" s="1099"/>
      <c r="CZ1221" s="864"/>
      <c r="DA1221" s="1103"/>
      <c r="DB1221" s="1099"/>
    </row>
    <row r="1222" spans="87:106">
      <c r="CI1222" s="888">
        <v>449</v>
      </c>
      <c r="CJ1222" s="4" t="s">
        <v>1894</v>
      </c>
      <c r="CL1222" s="1826">
        <v>0.90990644796704423</v>
      </c>
      <c r="CN1222" s="864"/>
      <c r="CO1222" s="1103"/>
      <c r="CR1222" s="1823">
        <v>-11.226898818850135</v>
      </c>
      <c r="CT1222" s="864"/>
      <c r="CU1222" s="1103"/>
      <c r="CV1222" s="1099"/>
      <c r="CW1222" s="1099"/>
      <c r="CX1222" s="1823">
        <v>6.1680466761245443</v>
      </c>
      <c r="CY1222" s="1099"/>
      <c r="CZ1222" s="864"/>
      <c r="DA1222" s="1103"/>
      <c r="DB1222" s="1099"/>
    </row>
    <row r="1223" spans="87:106">
      <c r="CI1223" s="888">
        <v>449</v>
      </c>
      <c r="CJ1223" s="4" t="s">
        <v>1895</v>
      </c>
      <c r="CL1223" s="1826">
        <v>-0.1767467377007641</v>
      </c>
      <c r="CN1223" s="864"/>
      <c r="CO1223" s="1103"/>
      <c r="CR1223" s="1823">
        <v>-3.53340847669811</v>
      </c>
      <c r="CT1223" s="864"/>
      <c r="CU1223" s="1103"/>
      <c r="CV1223" s="1099"/>
      <c r="CW1223" s="1099"/>
      <c r="CX1223" s="1823">
        <v>9.8177361023346279</v>
      </c>
      <c r="CY1223" s="1099"/>
      <c r="CZ1223" s="864"/>
      <c r="DA1223" s="1103"/>
      <c r="DB1223" s="1099"/>
    </row>
    <row r="1224" spans="87:106">
      <c r="CI1224" s="888">
        <v>449</v>
      </c>
      <c r="CJ1224" s="4" t="s">
        <v>1896</v>
      </c>
      <c r="CL1224" s="1826">
        <v>0.17233218282588636</v>
      </c>
      <c r="CN1224" s="864"/>
      <c r="CO1224" s="1103"/>
      <c r="CR1224" s="1823">
        <v>5.1422534342241564</v>
      </c>
      <c r="CT1224" s="864"/>
      <c r="CU1224" s="1103"/>
      <c r="CV1224" s="1099"/>
      <c r="CW1224" s="1099"/>
      <c r="CX1224" s="1823">
        <v>9.0659059581922286</v>
      </c>
      <c r="CY1224" s="1099"/>
      <c r="CZ1224" s="864"/>
      <c r="DA1224" s="1103"/>
      <c r="DB1224" s="1099"/>
    </row>
    <row r="1225" spans="87:106">
      <c r="CI1225" s="888">
        <v>449</v>
      </c>
      <c r="CJ1225" s="1091" t="s">
        <v>1897</v>
      </c>
      <c r="CL1225" s="1826">
        <v>-4.9491806790656598</v>
      </c>
      <c r="CN1225" s="1104"/>
      <c r="CO1225" s="1105"/>
      <c r="CR1225" s="1824">
        <v>-14.412822023308134</v>
      </c>
      <c r="CT1225" s="1104"/>
      <c r="CU1225" s="1105"/>
      <c r="CV1225" s="1100"/>
      <c r="CW1225" s="1100"/>
      <c r="CX1225" s="1824">
        <v>-25.026861517438505</v>
      </c>
      <c r="CY1225" s="1100"/>
      <c r="CZ1225" s="1104"/>
      <c r="DA1225" s="1105"/>
      <c r="DB1225" s="1100"/>
    </row>
    <row r="1226" spans="87:106">
      <c r="CI1226" s="888">
        <v>564</v>
      </c>
      <c r="CJ1226" s="4" t="s">
        <v>1898</v>
      </c>
      <c r="CL1226" s="1826"/>
      <c r="CN1226" s="1099">
        <v>0.25868653524032226</v>
      </c>
      <c r="CO1226" s="1106">
        <v>0.8</v>
      </c>
      <c r="CR1226" s="1822"/>
      <c r="CT1226" s="1102">
        <v>-2.0406618819562468</v>
      </c>
      <c r="CU1226" s="1106">
        <v>0.17</v>
      </c>
      <c r="CV1226" s="863"/>
      <c r="CW1226" s="863"/>
      <c r="CX1226" s="1822" t="e">
        <v>#N/A</v>
      </c>
      <c r="CY1226" s="863"/>
      <c r="CZ1226" s="1099">
        <v>-1.8287611073073293</v>
      </c>
      <c r="DA1226" s="1106">
        <v>0.08</v>
      </c>
      <c r="DB1226" s="863"/>
    </row>
    <row r="1227" spans="87:106">
      <c r="CI1227" s="888">
        <v>564</v>
      </c>
      <c r="CJ1227" s="4"/>
      <c r="CL1227" s="1826"/>
      <c r="CN1227" s="1102"/>
      <c r="CO1227" s="1103"/>
      <c r="CR1227" s="1822"/>
      <c r="CT1227" s="1102"/>
      <c r="CU1227" s="1103"/>
      <c r="CV1227" s="863"/>
      <c r="CW1227" s="863"/>
      <c r="CX1227" s="1822" t="e">
        <v>#N/A</v>
      </c>
      <c r="CY1227" s="863"/>
      <c r="CZ1227" s="1102"/>
      <c r="DA1227" s="1103"/>
      <c r="DB1227" s="863"/>
    </row>
    <row r="1228" spans="87:106">
      <c r="CI1228" s="888">
        <v>564</v>
      </c>
      <c r="CJ1228" s="4"/>
      <c r="CL1228" s="1826"/>
      <c r="CN1228" s="1102"/>
      <c r="CO1228" s="1103"/>
      <c r="CR1228" s="1822"/>
      <c r="CT1228" s="1102"/>
      <c r="CU1228" s="1103"/>
      <c r="CV1228" s="863"/>
      <c r="CW1228" s="863"/>
      <c r="CX1228" s="1822" t="e">
        <v>#N/A</v>
      </c>
      <c r="CY1228" s="863"/>
      <c r="CZ1228" s="1102"/>
      <c r="DA1228" s="1103"/>
      <c r="DB1228" s="863"/>
    </row>
    <row r="1229" spans="87:106">
      <c r="CI1229" s="888">
        <v>564</v>
      </c>
      <c r="CJ1229" s="4"/>
      <c r="CL1229" s="1826"/>
      <c r="CN1229" s="1102"/>
      <c r="CO1229" s="1103"/>
      <c r="CR1229" s="1825"/>
      <c r="CT1229" s="1102"/>
      <c r="CU1229" s="1103"/>
      <c r="CV1229" s="1099"/>
      <c r="CW1229" s="1099"/>
      <c r="CX1229" s="1825" t="e">
        <v>#N/A</v>
      </c>
      <c r="CY1229" s="1099"/>
      <c r="CZ1229" s="1102"/>
      <c r="DA1229" s="1103"/>
      <c r="DB1229" s="1099"/>
    </row>
    <row r="1230" spans="87:106">
      <c r="CI1230" s="888">
        <v>564</v>
      </c>
      <c r="CJ1230" s="4" t="s">
        <v>2491</v>
      </c>
      <c r="CL1230" s="1826">
        <v>0.57668132458699439</v>
      </c>
      <c r="CN1230" s="1102"/>
      <c r="CO1230" s="1103"/>
      <c r="CR1230" s="1823">
        <v>-2.6608290143961844</v>
      </c>
      <c r="CT1230" s="1102"/>
      <c r="CU1230" s="1103"/>
      <c r="CV1230" s="1099"/>
      <c r="CW1230" s="1099"/>
      <c r="CX1230" s="1823">
        <v>-1.2609191831087148</v>
      </c>
      <c r="CY1230" s="1099"/>
      <c r="CZ1230" s="1102"/>
      <c r="DA1230" s="1103"/>
      <c r="DB1230" s="1099"/>
    </row>
    <row r="1231" spans="87:106">
      <c r="CI1231" s="888">
        <v>564</v>
      </c>
      <c r="CJ1231" s="4" t="s">
        <v>2359</v>
      </c>
      <c r="CL1231" s="1826">
        <v>-0.19778553771569296</v>
      </c>
      <c r="CN1231" s="1102"/>
      <c r="CO1231" s="1103"/>
      <c r="CR1231" s="1823">
        <v>-0.76760469125572561</v>
      </c>
      <c r="CT1231" s="1102"/>
      <c r="CU1231" s="1103"/>
      <c r="CV1231" s="1099"/>
      <c r="CW1231" s="1099"/>
      <c r="CX1231" s="1823">
        <v>-3.0246616161696345</v>
      </c>
      <c r="CY1231" s="1099"/>
      <c r="CZ1231" s="1102"/>
      <c r="DA1231" s="1103"/>
      <c r="DB1231" s="1099"/>
    </row>
    <row r="1232" spans="87:106">
      <c r="CI1232" s="888">
        <v>564</v>
      </c>
      <c r="CJ1232" s="4" t="s">
        <v>1899</v>
      </c>
      <c r="CL1232" s="1826">
        <v>0.33745228930699422</v>
      </c>
      <c r="CN1232" s="1102"/>
      <c r="CO1232" s="1103"/>
      <c r="CR1232" s="1823">
        <v>-0.9590577492536444</v>
      </c>
      <c r="CT1232" s="1102"/>
      <c r="CU1232" s="1103"/>
      <c r="CV1232" s="1099"/>
      <c r="CW1232" s="1099"/>
      <c r="CX1232" s="1823">
        <v>-4.0052571540215851</v>
      </c>
      <c r="CY1232" s="1099"/>
      <c r="CZ1232" s="1102"/>
      <c r="DA1232" s="1103"/>
      <c r="DB1232" s="1099"/>
    </row>
    <row r="1233" spans="87:106">
      <c r="CI1233" s="888">
        <v>564</v>
      </c>
      <c r="CJ1233" s="4" t="s">
        <v>1900</v>
      </c>
      <c r="CL1233" s="1826">
        <v>0.71900931522444944</v>
      </c>
      <c r="CN1233" s="1102"/>
      <c r="CO1233" s="1103"/>
      <c r="CR1233" s="1823">
        <v>2.2757085625054412</v>
      </c>
      <c r="CT1233" s="1102"/>
      <c r="CU1233" s="1103"/>
      <c r="CV1233" s="1099"/>
      <c r="CW1233" s="1099"/>
      <c r="CX1233" s="1823">
        <v>-1.8287611073073293</v>
      </c>
      <c r="CY1233" s="1099"/>
      <c r="CZ1233" s="1102"/>
      <c r="DA1233" s="1103"/>
      <c r="DB1233" s="1099"/>
    </row>
    <row r="1234" spans="87:106">
      <c r="CI1234" s="888">
        <v>564</v>
      </c>
      <c r="CJ1234" s="4" t="s">
        <v>1901</v>
      </c>
      <c r="CL1234" s="1826">
        <v>0.19571885867909522</v>
      </c>
      <c r="CN1234" s="864"/>
      <c r="CO1234" s="1103"/>
      <c r="CR1234" s="1823">
        <v>-2.0406618819562468</v>
      </c>
      <c r="CT1234" s="864"/>
      <c r="CU1234" s="1103"/>
      <c r="CV1234" s="1099"/>
      <c r="CW1234" s="1099"/>
      <c r="CX1234" s="1823">
        <v>-4.3137053850748668</v>
      </c>
      <c r="CY1234" s="1099"/>
      <c r="CZ1234" s="864"/>
      <c r="DA1234" s="1103"/>
      <c r="DB1234" s="1099"/>
    </row>
    <row r="1235" spans="87:106">
      <c r="CI1235" s="888">
        <v>564</v>
      </c>
      <c r="CJ1235" s="4" t="s">
        <v>1902</v>
      </c>
      <c r="CL1235" s="1826">
        <v>0.36126684898163308</v>
      </c>
      <c r="CN1235" s="864"/>
      <c r="CO1235" s="1103"/>
      <c r="CR1235" s="1823">
        <v>-4.2887485380196999</v>
      </c>
      <c r="CT1235" s="864"/>
      <c r="CU1235" s="1103"/>
      <c r="CV1235" s="1099"/>
      <c r="CW1235" s="1099"/>
      <c r="CX1235" s="1823">
        <v>-8.7147882397596028</v>
      </c>
      <c r="CY1235" s="1099"/>
      <c r="CZ1235" s="864"/>
      <c r="DA1235" s="1103"/>
      <c r="DB1235" s="1099"/>
    </row>
    <row r="1236" spans="87:106">
      <c r="CI1236" s="888">
        <v>564</v>
      </c>
      <c r="CJ1236" s="4" t="s">
        <v>1903</v>
      </c>
      <c r="CL1236" s="1826">
        <v>-0.96245412061304636</v>
      </c>
      <c r="CN1236" s="864"/>
      <c r="CO1236" s="1103"/>
      <c r="CR1236" s="1823">
        <v>-2.1983817498093843</v>
      </c>
      <c r="CT1236" s="864"/>
      <c r="CU1236" s="1103"/>
      <c r="CV1236" s="1099"/>
      <c r="CW1236" s="1099"/>
      <c r="CX1236" s="1823">
        <v>10.722614917478552</v>
      </c>
      <c r="CY1236" s="1099"/>
      <c r="CZ1236" s="864"/>
      <c r="DA1236" s="1103"/>
      <c r="DB1236" s="1099"/>
    </row>
    <row r="1237" spans="87:106">
      <c r="CI1237" s="888">
        <v>564</v>
      </c>
      <c r="CJ1237" s="4" t="s">
        <v>1904</v>
      </c>
      <c r="CL1237" s="1826">
        <v>0.25868653524032226</v>
      </c>
      <c r="CN1237" s="864"/>
      <c r="CO1237" s="1103"/>
      <c r="CR1237" s="1823">
        <v>-3.1270965815482992</v>
      </c>
      <c r="CT1237" s="864"/>
      <c r="CU1237" s="1103"/>
      <c r="CV1237" s="1099"/>
      <c r="CW1237" s="1099"/>
      <c r="CX1237" s="1823">
        <v>6.3789144325788811</v>
      </c>
      <c r="CY1237" s="1099"/>
      <c r="CZ1237" s="864"/>
      <c r="DA1237" s="1103"/>
      <c r="DB1237" s="1099"/>
    </row>
    <row r="1238" spans="87:106">
      <c r="CI1238" s="888">
        <v>564</v>
      </c>
      <c r="CJ1238" s="1091" t="s">
        <v>1905</v>
      </c>
      <c r="CL1238" s="1826">
        <v>-3.3318827319236961</v>
      </c>
      <c r="CN1238" s="1104"/>
      <c r="CO1238" s="1105"/>
      <c r="CR1238" s="1824">
        <v>-0.1708485376079098</v>
      </c>
      <c r="CT1238" s="1104"/>
      <c r="CU1238" s="1105"/>
      <c r="CV1238" s="1100"/>
      <c r="CW1238" s="1100"/>
      <c r="CX1238" s="1824">
        <v>12.821028530501717</v>
      </c>
      <c r="CY1238" s="1100"/>
      <c r="CZ1238" s="1104"/>
      <c r="DA1238" s="1105"/>
      <c r="DB1238" s="1100"/>
    </row>
    <row r="1239" spans="87:106">
      <c r="CI1239" s="888">
        <v>565</v>
      </c>
      <c r="CJ1239" s="4" t="s">
        <v>1906</v>
      </c>
      <c r="CL1239" s="1826"/>
      <c r="CN1239" s="1099">
        <v>0</v>
      </c>
      <c r="CO1239" s="1106">
        <v>0.7</v>
      </c>
      <c r="CR1239" s="1822"/>
      <c r="CT1239" s="1102">
        <v>2.4478534344365368</v>
      </c>
      <c r="CU1239" s="1106">
        <v>0.97</v>
      </c>
      <c r="CV1239" s="863"/>
      <c r="CW1239" s="863"/>
      <c r="CX1239" s="1822" t="e">
        <v>#N/A</v>
      </c>
      <c r="CY1239" s="863"/>
      <c r="CZ1239" s="1099">
        <v>1.2559557665989125</v>
      </c>
      <c r="DA1239" s="1106">
        <v>0.88</v>
      </c>
      <c r="DB1239" s="863"/>
    </row>
    <row r="1240" spans="87:106">
      <c r="CI1240" s="888">
        <v>565</v>
      </c>
      <c r="CJ1240" s="4"/>
      <c r="CL1240" s="1826"/>
      <c r="CN1240" s="1102"/>
      <c r="CO1240" s="1103"/>
      <c r="CR1240" s="1822"/>
      <c r="CT1240" s="1102"/>
      <c r="CU1240" s="1103"/>
      <c r="CV1240" s="863"/>
      <c r="CW1240" s="863"/>
      <c r="CX1240" s="1822" t="e">
        <v>#N/A</v>
      </c>
      <c r="CY1240" s="863"/>
      <c r="CZ1240" s="1102"/>
      <c r="DA1240" s="1103"/>
      <c r="DB1240" s="863"/>
    </row>
    <row r="1241" spans="87:106">
      <c r="CI1241" s="888">
        <v>565</v>
      </c>
      <c r="CJ1241" s="4"/>
      <c r="CL1241" s="1826"/>
      <c r="CN1241" s="1102"/>
      <c r="CO1241" s="1103"/>
      <c r="CR1241" s="1822"/>
      <c r="CT1241" s="1102"/>
      <c r="CU1241" s="1103"/>
      <c r="CV1241" s="863"/>
      <c r="CW1241" s="863"/>
      <c r="CX1241" s="1822" t="e">
        <v>#N/A</v>
      </c>
      <c r="CY1241" s="863"/>
      <c r="CZ1241" s="1102"/>
      <c r="DA1241" s="1103"/>
      <c r="DB1241" s="863"/>
    </row>
    <row r="1242" spans="87:106">
      <c r="CI1242" s="888">
        <v>565</v>
      </c>
      <c r="CJ1242" s="4"/>
      <c r="CL1242" s="1826"/>
      <c r="CN1242" s="1102"/>
      <c r="CO1242" s="1103"/>
      <c r="CR1242" s="1825"/>
      <c r="CT1242" s="1102"/>
      <c r="CU1242" s="1103"/>
      <c r="CV1242" s="1099"/>
      <c r="CW1242" s="1099"/>
      <c r="CX1242" s="1825" t="e">
        <v>#N/A</v>
      </c>
      <c r="CY1242" s="1099"/>
      <c r="CZ1242" s="1102"/>
      <c r="DA1242" s="1103"/>
      <c r="DB1242" s="1099"/>
    </row>
    <row r="1243" spans="87:106">
      <c r="CI1243" s="888">
        <v>565</v>
      </c>
      <c r="CJ1243" s="4" t="s">
        <v>2492</v>
      </c>
      <c r="CL1243" s="1826">
        <v>-5.9955826694653185</v>
      </c>
      <c r="CN1243" s="1102"/>
      <c r="CO1243" s="1103"/>
      <c r="CR1243" s="1823">
        <v>-5.9092704730152068</v>
      </c>
      <c r="CT1243" s="1102"/>
      <c r="CU1243" s="1103"/>
      <c r="CV1243" s="1099"/>
      <c r="CW1243" s="1099"/>
      <c r="CX1243" s="1823">
        <v>-0.20456437122602278</v>
      </c>
      <c r="CY1243" s="1099"/>
      <c r="CZ1243" s="1102"/>
      <c r="DA1243" s="1103"/>
      <c r="DB1243" s="1099"/>
    </row>
    <row r="1244" spans="87:106">
      <c r="CI1244" s="888">
        <v>565</v>
      </c>
      <c r="CJ1244" s="4" t="s">
        <v>2360</v>
      </c>
      <c r="CL1244" s="1826">
        <v>-2.1691346816073747</v>
      </c>
      <c r="CN1244" s="1102"/>
      <c r="CO1244" s="1103"/>
      <c r="CR1244" s="1823">
        <v>2.4478534344365368</v>
      </c>
      <c r="CT1244" s="1102"/>
      <c r="CU1244" s="1103"/>
      <c r="CV1244" s="1099"/>
      <c r="CW1244" s="1099"/>
      <c r="CX1244" s="1823">
        <v>1.1236292267168517</v>
      </c>
      <c r="CY1244" s="1099"/>
      <c r="CZ1244" s="1102"/>
      <c r="DA1244" s="1103"/>
      <c r="DB1244" s="1099"/>
    </row>
    <row r="1245" spans="87:106">
      <c r="CI1245" s="888">
        <v>565</v>
      </c>
      <c r="CJ1245" s="4" t="s">
        <v>1907</v>
      </c>
      <c r="CL1245" s="1826">
        <v>7.0721944134071517</v>
      </c>
      <c r="CN1245" s="1102"/>
      <c r="CO1245" s="1103"/>
      <c r="CR1245" s="1823">
        <v>4.1272063183483372</v>
      </c>
      <c r="CT1245" s="1102"/>
      <c r="CU1245" s="1103"/>
      <c r="CV1245" s="1099"/>
      <c r="CW1245" s="1099"/>
      <c r="CX1245" s="1823">
        <v>1.2559557665989125</v>
      </c>
      <c r="CY1245" s="1099"/>
      <c r="CZ1245" s="1102"/>
      <c r="DA1245" s="1103"/>
      <c r="DB1245" s="1099"/>
    </row>
    <row r="1246" spans="87:106">
      <c r="CI1246" s="888">
        <v>565</v>
      </c>
      <c r="CJ1246" s="4" t="s">
        <v>1908</v>
      </c>
      <c r="CL1246" s="1826">
        <v>4.2340798768946577</v>
      </c>
      <c r="CN1246" s="1102"/>
      <c r="CO1246" s="1103"/>
      <c r="CR1246" s="1823" t="s">
        <v>1218</v>
      </c>
      <c r="CT1246" s="1102"/>
      <c r="CU1246" s="1103"/>
      <c r="CV1246" s="1099"/>
      <c r="CW1246" s="1099"/>
      <c r="CX1246" s="1823">
        <v>5.2320414006579608</v>
      </c>
      <c r="CY1246" s="1099"/>
      <c r="CZ1246" s="1102"/>
      <c r="DA1246" s="1103"/>
      <c r="DB1246" s="1099"/>
    </row>
    <row r="1247" spans="87:106">
      <c r="CI1247" s="888">
        <v>565</v>
      </c>
      <c r="CJ1247" s="4" t="s">
        <v>1909</v>
      </c>
      <c r="CL1247" s="1826">
        <v>-0.23436445142236487</v>
      </c>
      <c r="CN1247" s="864"/>
      <c r="CO1247" s="1103"/>
      <c r="CR1247" s="1823" t="s">
        <v>1218</v>
      </c>
      <c r="CT1247" s="864"/>
      <c r="CU1247" s="1103"/>
      <c r="CV1247" s="1099"/>
      <c r="CW1247" s="1099"/>
      <c r="CX1247" s="1823">
        <v>6.0537508951042023</v>
      </c>
      <c r="CY1247" s="1099"/>
      <c r="CZ1247" s="864"/>
      <c r="DA1247" s="1103"/>
      <c r="DB1247" s="1099"/>
    </row>
    <row r="1248" spans="87:106">
      <c r="CI1248" s="888">
        <v>565</v>
      </c>
      <c r="CJ1248" s="4" t="s">
        <v>1910</v>
      </c>
      <c r="CL1248" s="1826">
        <v>5.5185301263511715</v>
      </c>
      <c r="CN1248" s="864"/>
      <c r="CO1248" s="1103"/>
      <c r="CR1248" s="1823" t="s">
        <v>1218</v>
      </c>
      <c r="CT1248" s="864"/>
      <c r="CU1248" s="1103"/>
      <c r="CV1248" s="1099"/>
      <c r="CW1248" s="1099"/>
      <c r="CX1248" s="1823">
        <v>1.3408870531945611</v>
      </c>
      <c r="CY1248" s="1099"/>
      <c r="CZ1248" s="864"/>
      <c r="DA1248" s="1103"/>
      <c r="DB1248" s="1099"/>
    </row>
    <row r="1249" spans="87:106">
      <c r="CI1249" s="888">
        <v>565</v>
      </c>
      <c r="CJ1249" s="4" t="s">
        <v>1911</v>
      </c>
      <c r="CL1249" s="1826">
        <v>0</v>
      </c>
      <c r="CN1249" s="864"/>
      <c r="CO1249" s="1103"/>
      <c r="CR1249" s="1823" t="s">
        <v>1218</v>
      </c>
      <c r="CT1249" s="864"/>
      <c r="CU1249" s="1103"/>
      <c r="CV1249" s="1099"/>
      <c r="CW1249" s="1099"/>
      <c r="CX1249" s="1823">
        <v>0</v>
      </c>
      <c r="CY1249" s="1099"/>
      <c r="CZ1249" s="864"/>
      <c r="DA1249" s="1103"/>
      <c r="DB1249" s="1099"/>
    </row>
    <row r="1250" spans="87:106">
      <c r="CI1250" s="888">
        <v>565</v>
      </c>
      <c r="CJ1250" s="4" t="s">
        <v>1912</v>
      </c>
      <c r="CL1250" s="1826">
        <v>0</v>
      </c>
      <c r="CN1250" s="864"/>
      <c r="CO1250" s="1103"/>
      <c r="CR1250" s="1823" t="s">
        <v>1218</v>
      </c>
      <c r="CT1250" s="864"/>
      <c r="CU1250" s="1103"/>
      <c r="CV1250" s="1099"/>
      <c r="CW1250" s="1099"/>
      <c r="CX1250" s="1823" t="s">
        <v>1218</v>
      </c>
      <c r="CY1250" s="1099"/>
      <c r="CZ1250" s="864"/>
      <c r="DA1250" s="1103"/>
      <c r="DB1250" s="1099"/>
    </row>
    <row r="1251" spans="87:106">
      <c r="CI1251" s="888">
        <v>565</v>
      </c>
      <c r="CJ1251" s="1091" t="s">
        <v>1913</v>
      </c>
      <c r="CL1251" s="1826">
        <v>0</v>
      </c>
      <c r="CN1251" s="1104"/>
      <c r="CO1251" s="1105"/>
      <c r="CR1251" s="1824" t="s">
        <v>1218</v>
      </c>
      <c r="CT1251" s="1104"/>
      <c r="CU1251" s="1105"/>
      <c r="CV1251" s="1100"/>
      <c r="CW1251" s="1100"/>
      <c r="CX1251" s="1824" t="s">
        <v>1218</v>
      </c>
      <c r="CY1251" s="1100"/>
      <c r="CZ1251" s="1104"/>
      <c r="DA1251" s="1105"/>
      <c r="DB1251" s="1100"/>
    </row>
    <row r="1252" spans="87:106">
      <c r="CI1252" s="888">
        <v>283</v>
      </c>
      <c r="CJ1252" s="4" t="s">
        <v>1914</v>
      </c>
      <c r="CL1252" s="1826"/>
      <c r="CN1252" s="1099">
        <v>-1.0434787842243418</v>
      </c>
      <c r="CO1252" s="1106">
        <v>0.24</v>
      </c>
      <c r="CR1252" s="1822"/>
      <c r="CT1252" s="1102">
        <v>-0.99538942164288202</v>
      </c>
      <c r="CU1252" s="1106">
        <v>0.34</v>
      </c>
      <c r="CV1252" s="863"/>
      <c r="CW1252" s="863"/>
      <c r="CX1252" s="1822" t="e">
        <v>#N/A</v>
      </c>
      <c r="CY1252" s="863"/>
      <c r="CZ1252" s="1099">
        <v>-0.48958897149213754</v>
      </c>
      <c r="DA1252" s="1106">
        <v>0.44</v>
      </c>
      <c r="DB1252" s="863"/>
    </row>
    <row r="1253" spans="87:106">
      <c r="CI1253" s="888">
        <v>283</v>
      </c>
      <c r="CJ1253" s="4"/>
      <c r="CL1253" s="1826"/>
      <c r="CN1253" s="1102"/>
      <c r="CO1253" s="1103"/>
      <c r="CR1253" s="1822"/>
      <c r="CT1253" s="1102"/>
      <c r="CU1253" s="1103"/>
      <c r="CV1253" s="863"/>
      <c r="CW1253" s="863"/>
      <c r="CX1253" s="1822" t="e">
        <v>#N/A</v>
      </c>
      <c r="CY1253" s="863"/>
      <c r="CZ1253" s="1102"/>
      <c r="DA1253" s="1103"/>
      <c r="DB1253" s="863"/>
    </row>
    <row r="1254" spans="87:106">
      <c r="CI1254" s="888">
        <v>283</v>
      </c>
      <c r="CJ1254" s="4"/>
      <c r="CL1254" s="1826"/>
      <c r="CN1254" s="1102"/>
      <c r="CO1254" s="1103"/>
      <c r="CR1254" s="1822"/>
      <c r="CT1254" s="1102"/>
      <c r="CU1254" s="1103"/>
      <c r="CV1254" s="863"/>
      <c r="CW1254" s="863"/>
      <c r="CX1254" s="1822" t="e">
        <v>#N/A</v>
      </c>
      <c r="CY1254" s="863"/>
      <c r="CZ1254" s="1102"/>
      <c r="DA1254" s="1103"/>
      <c r="DB1254" s="863"/>
    </row>
    <row r="1255" spans="87:106">
      <c r="CI1255" s="888">
        <v>283</v>
      </c>
      <c r="CJ1255" s="4"/>
      <c r="CL1255" s="1826"/>
      <c r="CN1255" s="1102"/>
      <c r="CO1255" s="1103"/>
      <c r="CR1255" s="1825"/>
      <c r="CT1255" s="1102"/>
      <c r="CU1255" s="1103"/>
      <c r="CV1255" s="1099"/>
      <c r="CW1255" s="1099"/>
      <c r="CX1255" s="1825" t="e">
        <v>#N/A</v>
      </c>
      <c r="CY1255" s="1099"/>
      <c r="CZ1255" s="1102"/>
      <c r="DA1255" s="1103"/>
      <c r="DB1255" s="1099"/>
    </row>
    <row r="1256" spans="87:106">
      <c r="CI1256" s="888">
        <v>283</v>
      </c>
      <c r="CJ1256" s="4" t="s">
        <v>2493</v>
      </c>
      <c r="CL1256" s="1826">
        <v>-1.0434787842243418</v>
      </c>
      <c r="CN1256" s="1102"/>
      <c r="CO1256" s="1103"/>
      <c r="CR1256" s="1823">
        <v>-0.66521888230843829</v>
      </c>
      <c r="CT1256" s="1102"/>
      <c r="CU1256" s="1103"/>
      <c r="CV1256" s="1099"/>
      <c r="CW1256" s="1099"/>
      <c r="CX1256" s="1823">
        <v>-0.48958897149213754</v>
      </c>
      <c r="CY1256" s="1099"/>
      <c r="CZ1256" s="1102"/>
      <c r="DA1256" s="1103"/>
      <c r="DB1256" s="1099"/>
    </row>
    <row r="1257" spans="87:106">
      <c r="CI1257" s="888">
        <v>283</v>
      </c>
      <c r="CJ1257" s="4" t="s">
        <v>2361</v>
      </c>
      <c r="CL1257" s="1826">
        <v>-1.4131601370491618</v>
      </c>
      <c r="CN1257" s="1102"/>
      <c r="CO1257" s="1103"/>
      <c r="CR1257" s="1823">
        <v>1.0866772460874352</v>
      </c>
      <c r="CT1257" s="1102"/>
      <c r="CU1257" s="1103"/>
      <c r="CV1257" s="1099"/>
      <c r="CW1257" s="1099"/>
      <c r="CX1257" s="1823">
        <v>-0.70489820976973516</v>
      </c>
      <c r="CY1257" s="1099"/>
      <c r="CZ1257" s="1102"/>
      <c r="DA1257" s="1103"/>
      <c r="DB1257" s="1099"/>
    </row>
    <row r="1258" spans="87:106">
      <c r="CI1258" s="888">
        <v>283</v>
      </c>
      <c r="CJ1258" s="4" t="s">
        <v>1915</v>
      </c>
      <c r="CL1258" s="1826">
        <v>-1.1251722816289442</v>
      </c>
      <c r="CN1258" s="1102"/>
      <c r="CO1258" s="1103"/>
      <c r="CR1258" s="1823">
        <v>-0.61881771418660336</v>
      </c>
      <c r="CT1258" s="1102"/>
      <c r="CU1258" s="1103"/>
      <c r="CV1258" s="1099"/>
      <c r="CW1258" s="1099"/>
      <c r="CX1258" s="1823">
        <v>-3.0577438639909915</v>
      </c>
      <c r="CY1258" s="1099"/>
      <c r="CZ1258" s="1102"/>
      <c r="DA1258" s="1103"/>
      <c r="DB1258" s="1099"/>
    </row>
    <row r="1259" spans="87:106">
      <c r="CI1259" s="888">
        <v>283</v>
      </c>
      <c r="CJ1259" s="4" t="s">
        <v>1916</v>
      </c>
      <c r="CL1259" s="1826">
        <v>-1.1798759993715962</v>
      </c>
      <c r="CN1259" s="1102"/>
      <c r="CO1259" s="1103"/>
      <c r="CR1259" s="1823">
        <v>9.4452739519143014E-2</v>
      </c>
      <c r="CT1259" s="1102"/>
      <c r="CU1259" s="1103"/>
      <c r="CV1259" s="1099"/>
      <c r="CW1259" s="1099"/>
      <c r="CX1259" s="1823">
        <v>0.84801747562569929</v>
      </c>
      <c r="CY1259" s="1099"/>
      <c r="CZ1259" s="1102"/>
      <c r="DA1259" s="1103"/>
      <c r="DB1259" s="1099"/>
    </row>
    <row r="1260" spans="87:106">
      <c r="CI1260" s="888">
        <v>283</v>
      </c>
      <c r="CJ1260" s="4" t="s">
        <v>1917</v>
      </c>
      <c r="CL1260" s="1826">
        <v>1.8143007564905922</v>
      </c>
      <c r="CN1260" s="864"/>
      <c r="CO1260" s="1103"/>
      <c r="CR1260" s="1823">
        <v>-1.0003226952293951</v>
      </c>
      <c r="CT1260" s="864"/>
      <c r="CU1260" s="1103"/>
      <c r="CV1260" s="1099"/>
      <c r="CW1260" s="1099"/>
      <c r="CX1260" s="1823">
        <v>1.2644400682303099</v>
      </c>
      <c r="CY1260" s="1099"/>
      <c r="CZ1260" s="864"/>
      <c r="DA1260" s="1103"/>
      <c r="DB1260" s="1099"/>
    </row>
    <row r="1261" spans="87:106">
      <c r="CI1261" s="888">
        <v>283</v>
      </c>
      <c r="CJ1261" s="4" t="s">
        <v>1918</v>
      </c>
      <c r="CL1261" s="1826">
        <v>3.5571462217292442</v>
      </c>
      <c r="CN1261" s="864"/>
      <c r="CO1261" s="1103"/>
      <c r="CR1261" s="1823">
        <v>-1.0137589609615818</v>
      </c>
      <c r="CT1261" s="864"/>
      <c r="CU1261" s="1103"/>
      <c r="CV1261" s="1099"/>
      <c r="CW1261" s="1099"/>
      <c r="CX1261" s="1823">
        <v>6.4193342642385964E-2</v>
      </c>
      <c r="CY1261" s="1099"/>
      <c r="CZ1261" s="864"/>
      <c r="DA1261" s="1103"/>
      <c r="DB1261" s="1099"/>
    </row>
    <row r="1262" spans="87:106">
      <c r="CI1262" s="888">
        <v>283</v>
      </c>
      <c r="CJ1262" s="4" t="s">
        <v>1919</v>
      </c>
      <c r="CL1262" s="1826">
        <v>4.5783571986739231</v>
      </c>
      <c r="CN1262" s="864"/>
      <c r="CO1262" s="1103"/>
      <c r="CR1262" s="1823">
        <v>-0.99538942164288202</v>
      </c>
      <c r="CT1262" s="864"/>
      <c r="CU1262" s="1103"/>
      <c r="CV1262" s="1099"/>
      <c r="CW1262" s="1099"/>
      <c r="CX1262" s="1823">
        <v>1.2576607688296599</v>
      </c>
      <c r="CY1262" s="1099"/>
      <c r="CZ1262" s="864"/>
      <c r="DA1262" s="1103"/>
      <c r="DB1262" s="1099"/>
    </row>
    <row r="1263" spans="87:106">
      <c r="CI1263" s="888">
        <v>283</v>
      </c>
      <c r="CJ1263" s="4" t="s">
        <v>1920</v>
      </c>
      <c r="CL1263" s="1826">
        <v>3.5521063409106866</v>
      </c>
      <c r="CN1263" s="864"/>
      <c r="CO1263" s="1103"/>
      <c r="CR1263" s="1823">
        <v>-1.4723565213389325</v>
      </c>
      <c r="CT1263" s="864"/>
      <c r="CU1263" s="1103"/>
      <c r="CV1263" s="1099"/>
      <c r="CW1263" s="1099"/>
      <c r="CX1263" s="1823">
        <v>-0.74766480734281515</v>
      </c>
      <c r="CY1263" s="1099"/>
      <c r="CZ1263" s="864"/>
      <c r="DA1263" s="1103"/>
      <c r="DB1263" s="1099"/>
    </row>
    <row r="1264" spans="87:106">
      <c r="CI1264" s="888">
        <v>283</v>
      </c>
      <c r="CJ1264" s="1091" t="s">
        <v>1921</v>
      </c>
      <c r="CL1264" s="1826">
        <v>-4.0043525089219782</v>
      </c>
      <c r="CN1264" s="1104"/>
      <c r="CO1264" s="1105"/>
      <c r="CR1264" s="1824">
        <v>-1.1023286573553266</v>
      </c>
      <c r="CT1264" s="1104"/>
      <c r="CU1264" s="1105"/>
      <c r="CV1264" s="1100"/>
      <c r="CW1264" s="1100"/>
      <c r="CX1264" s="1824">
        <v>-3.7414386750396442</v>
      </c>
      <c r="CY1264" s="1100"/>
      <c r="CZ1264" s="1104"/>
      <c r="DA1264" s="1105"/>
      <c r="DB1264" s="1100"/>
    </row>
    <row r="1265" spans="87:106">
      <c r="CI1265" s="888">
        <v>288</v>
      </c>
      <c r="CJ1265" s="4" t="s">
        <v>1922</v>
      </c>
      <c r="CL1265" s="1826"/>
      <c r="CN1265" s="1099">
        <v>3.0774456308117148E-2</v>
      </c>
      <c r="CO1265" s="1106">
        <v>0.73</v>
      </c>
      <c r="CR1265" s="1822"/>
      <c r="CT1265" s="1102">
        <v>0.36715803310124423</v>
      </c>
      <c r="CU1265" s="1106">
        <v>0.82</v>
      </c>
      <c r="CV1265" s="863"/>
      <c r="CW1265" s="863"/>
      <c r="CX1265" s="1822" t="e">
        <v>#N/A</v>
      </c>
      <c r="CY1265" s="863"/>
      <c r="CZ1265" s="1099">
        <v>-0.94895681732650061</v>
      </c>
      <c r="DA1265" s="1106">
        <v>0.25</v>
      </c>
      <c r="DB1265" s="863"/>
    </row>
    <row r="1266" spans="87:106">
      <c r="CI1266" s="888">
        <v>288</v>
      </c>
      <c r="CJ1266" s="4"/>
      <c r="CL1266" s="1826"/>
      <c r="CN1266" s="1102"/>
      <c r="CO1266" s="1103"/>
      <c r="CR1266" s="1822"/>
      <c r="CT1266" s="1102"/>
      <c r="CU1266" s="1103"/>
      <c r="CV1266" s="863"/>
      <c r="CW1266" s="863"/>
      <c r="CX1266" s="1822" t="e">
        <v>#N/A</v>
      </c>
      <c r="CY1266" s="863"/>
      <c r="CZ1266" s="1102"/>
      <c r="DA1266" s="1103"/>
      <c r="DB1266" s="863"/>
    </row>
    <row r="1267" spans="87:106">
      <c r="CI1267" s="888">
        <v>288</v>
      </c>
      <c r="CJ1267" s="4"/>
      <c r="CL1267" s="1826"/>
      <c r="CN1267" s="1102"/>
      <c r="CO1267" s="1103"/>
      <c r="CR1267" s="1822"/>
      <c r="CT1267" s="1102"/>
      <c r="CU1267" s="1103"/>
      <c r="CV1267" s="863"/>
      <c r="CW1267" s="863"/>
      <c r="CX1267" s="1822" t="e">
        <v>#N/A</v>
      </c>
      <c r="CY1267" s="863"/>
      <c r="CZ1267" s="1102"/>
      <c r="DA1267" s="1103"/>
      <c r="DB1267" s="863"/>
    </row>
    <row r="1268" spans="87:106">
      <c r="CI1268" s="888">
        <v>288</v>
      </c>
      <c r="CJ1268" s="4"/>
      <c r="CL1268" s="1826"/>
      <c r="CN1268" s="1102"/>
      <c r="CO1268" s="1103"/>
      <c r="CR1268" s="1825"/>
      <c r="CT1268" s="1102"/>
      <c r="CU1268" s="1103"/>
      <c r="CV1268" s="1099"/>
      <c r="CW1268" s="1099"/>
      <c r="CX1268" s="1825" t="e">
        <v>#N/A</v>
      </c>
      <c r="CY1268" s="1099"/>
      <c r="CZ1268" s="1102"/>
      <c r="DA1268" s="1103"/>
      <c r="DB1268" s="1099"/>
    </row>
    <row r="1269" spans="87:106">
      <c r="CI1269" s="888">
        <v>288</v>
      </c>
      <c r="CJ1269" s="4" t="s">
        <v>2494</v>
      </c>
      <c r="CL1269" s="1826">
        <v>1.0842078310822054</v>
      </c>
      <c r="CN1269" s="1102"/>
      <c r="CO1269" s="1103"/>
      <c r="CR1269" s="1823">
        <v>1.6474171864181648</v>
      </c>
      <c r="CT1269" s="1102"/>
      <c r="CU1269" s="1103"/>
      <c r="CV1269" s="1099"/>
      <c r="CW1269" s="1099"/>
      <c r="CX1269" s="1823">
        <v>-0.94895681732650061</v>
      </c>
      <c r="CY1269" s="1099"/>
      <c r="CZ1269" s="1102"/>
      <c r="DA1269" s="1103"/>
      <c r="DB1269" s="1099"/>
    </row>
    <row r="1270" spans="87:106">
      <c r="CI1270" s="888">
        <v>288</v>
      </c>
      <c r="CJ1270" s="4" t="s">
        <v>2362</v>
      </c>
      <c r="CL1270" s="1826">
        <v>3.0774456308117148E-2</v>
      </c>
      <c r="CN1270" s="1102"/>
      <c r="CO1270" s="1103"/>
      <c r="CR1270" s="1823">
        <v>0.54317997984175126</v>
      </c>
      <c r="CT1270" s="1102"/>
      <c r="CU1270" s="1103"/>
      <c r="CV1270" s="1099"/>
      <c r="CW1270" s="1099"/>
      <c r="CX1270" s="1823">
        <v>1.14818166577634</v>
      </c>
      <c r="CY1270" s="1099"/>
      <c r="CZ1270" s="1102"/>
      <c r="DA1270" s="1103"/>
      <c r="DB1270" s="1099"/>
    </row>
    <row r="1271" spans="87:106">
      <c r="CI1271" s="888">
        <v>288</v>
      </c>
      <c r="CJ1271" s="4" t="s">
        <v>1923</v>
      </c>
      <c r="CL1271" s="1826">
        <v>-1.5377636888234192</v>
      </c>
      <c r="CN1271" s="1102"/>
      <c r="CO1271" s="1103"/>
      <c r="CR1271" s="1823">
        <v>0.36715803310124423</v>
      </c>
      <c r="CT1271" s="1102"/>
      <c r="CU1271" s="1103"/>
      <c r="CV1271" s="1099"/>
      <c r="CW1271" s="1099"/>
      <c r="CX1271" s="1823">
        <v>-4.7110937321634516</v>
      </c>
      <c r="CY1271" s="1099"/>
      <c r="CZ1271" s="1102"/>
      <c r="DA1271" s="1103"/>
      <c r="DB1271" s="1099"/>
    </row>
    <row r="1272" spans="87:106">
      <c r="CI1272" s="888">
        <v>288</v>
      </c>
      <c r="CJ1272" s="4" t="s">
        <v>1924</v>
      </c>
      <c r="CL1272" s="1826">
        <v>0.12233374500917016</v>
      </c>
      <c r="CN1272" s="1102"/>
      <c r="CO1272" s="1103"/>
      <c r="CR1272" s="1823">
        <v>0.10405336272241936</v>
      </c>
      <c r="CT1272" s="1102"/>
      <c r="CU1272" s="1103"/>
      <c r="CV1272" s="1099"/>
      <c r="CW1272" s="1099"/>
      <c r="CX1272" s="1823">
        <v>0.14023051098816808</v>
      </c>
      <c r="CY1272" s="1099"/>
      <c r="CZ1272" s="1102"/>
      <c r="DA1272" s="1103"/>
      <c r="DB1272" s="1099"/>
    </row>
    <row r="1273" spans="87:106">
      <c r="CI1273" s="888">
        <v>288</v>
      </c>
      <c r="CJ1273" s="4" t="s">
        <v>1925</v>
      </c>
      <c r="CL1273" s="1826">
        <v>5.6796034677924965</v>
      </c>
      <c r="CN1273" s="864"/>
      <c r="CO1273" s="1103"/>
      <c r="CR1273" s="1823">
        <v>0.57214147982292285</v>
      </c>
      <c r="CT1273" s="864"/>
      <c r="CU1273" s="1103"/>
      <c r="CV1273" s="1099"/>
      <c r="CW1273" s="1099"/>
      <c r="CX1273" s="1823">
        <v>-3.857460345653533</v>
      </c>
      <c r="CY1273" s="1099"/>
      <c r="CZ1273" s="864"/>
      <c r="DA1273" s="1103"/>
      <c r="DB1273" s="1099"/>
    </row>
    <row r="1274" spans="87:106">
      <c r="CI1274" s="888">
        <v>288</v>
      </c>
      <c r="CJ1274" s="4" t="s">
        <v>1926</v>
      </c>
      <c r="CL1274" s="1826">
        <v>-5.7373373782367931</v>
      </c>
      <c r="CN1274" s="864"/>
      <c r="CO1274" s="1103"/>
      <c r="CR1274" s="1823">
        <v>0.19053161829820509</v>
      </c>
      <c r="CT1274" s="864"/>
      <c r="CU1274" s="1103"/>
      <c r="CV1274" s="1099"/>
      <c r="CW1274" s="1099"/>
      <c r="CX1274" s="1823">
        <v>-5.9493645563321254</v>
      </c>
      <c r="CY1274" s="1099"/>
      <c r="CZ1274" s="864"/>
      <c r="DA1274" s="1103"/>
      <c r="DB1274" s="1099"/>
    </row>
    <row r="1275" spans="87:106">
      <c r="CI1275" s="888">
        <v>288</v>
      </c>
      <c r="CJ1275" s="4" t="s">
        <v>1927</v>
      </c>
      <c r="CL1275" s="1826">
        <v>-0.65931183531247495</v>
      </c>
      <c r="CN1275" s="864"/>
      <c r="CO1275" s="1103"/>
      <c r="CR1275" s="1823">
        <v>-0.59515750066254336</v>
      </c>
      <c r="CT1275" s="864"/>
      <c r="CU1275" s="1103"/>
      <c r="CV1275" s="1099"/>
      <c r="CW1275" s="1099"/>
      <c r="CX1275" s="1823">
        <v>5.2126401125637321</v>
      </c>
      <c r="CY1275" s="1099"/>
      <c r="CZ1275" s="864"/>
      <c r="DA1275" s="1103"/>
      <c r="DB1275" s="1099"/>
    </row>
    <row r="1276" spans="87:106">
      <c r="CI1276" s="888">
        <v>288</v>
      </c>
      <c r="CJ1276" s="4" t="s">
        <v>1928</v>
      </c>
      <c r="CL1276" s="1826">
        <v>13.545762919678452</v>
      </c>
      <c r="CN1276" s="864"/>
      <c r="CO1276" s="1103"/>
      <c r="CR1276" s="1823">
        <v>1.4147120053311379</v>
      </c>
      <c r="CT1276" s="864"/>
      <c r="CU1276" s="1103"/>
      <c r="CV1276" s="1099"/>
      <c r="CW1276" s="1099"/>
      <c r="CX1276" s="1823">
        <v>1.8224882407831435</v>
      </c>
      <c r="CY1276" s="1099"/>
      <c r="CZ1276" s="864"/>
      <c r="DA1276" s="1103"/>
      <c r="DB1276" s="1099"/>
    </row>
    <row r="1277" spans="87:106">
      <c r="CI1277" s="888">
        <v>288</v>
      </c>
      <c r="CJ1277" s="1091" t="s">
        <v>1929</v>
      </c>
      <c r="CL1277" s="1826">
        <v>-8.3465937174436178</v>
      </c>
      <c r="CN1277" s="1104"/>
      <c r="CO1277" s="1105"/>
      <c r="CR1277" s="1824">
        <v>0.2156610993154926</v>
      </c>
      <c r="CT1277" s="1104"/>
      <c r="CU1277" s="1105"/>
      <c r="CV1277" s="1100"/>
      <c r="CW1277" s="1100"/>
      <c r="CX1277" s="1824">
        <v>-2.2648367140100434</v>
      </c>
      <c r="CY1277" s="1100"/>
      <c r="CZ1277" s="1104"/>
      <c r="DA1277" s="1105"/>
      <c r="DB1277" s="1100"/>
    </row>
    <row r="1278" spans="87:106">
      <c r="CI1278" s="888">
        <v>293</v>
      </c>
      <c r="CJ1278" s="4" t="s">
        <v>1930</v>
      </c>
      <c r="CL1278" s="1826"/>
      <c r="CN1278" s="1099">
        <v>-0.92261805470062264</v>
      </c>
      <c r="CO1278" s="1106">
        <v>0.25</v>
      </c>
      <c r="CR1278" s="1822"/>
      <c r="CT1278" s="1102">
        <v>-0.99169890222311752</v>
      </c>
      <c r="CU1278" s="1106">
        <v>0.35</v>
      </c>
      <c r="CV1278" s="863"/>
      <c r="CW1278" s="863"/>
      <c r="CX1278" s="1822" t="e">
        <v>#N/A</v>
      </c>
      <c r="CY1278" s="863"/>
      <c r="CZ1278" s="1099">
        <v>1.0093912368907416</v>
      </c>
      <c r="DA1278" s="1106">
        <v>0.85</v>
      </c>
      <c r="DB1278" s="863"/>
    </row>
    <row r="1279" spans="87:106">
      <c r="CI1279" s="888">
        <v>293</v>
      </c>
      <c r="CJ1279" s="4"/>
      <c r="CL1279" s="1826"/>
      <c r="CN1279" s="1102"/>
      <c r="CO1279" s="1103"/>
      <c r="CR1279" s="1822"/>
      <c r="CT1279" s="1102"/>
      <c r="CU1279" s="1103"/>
      <c r="CV1279" s="863"/>
      <c r="CW1279" s="863"/>
      <c r="CX1279" s="1822" t="e">
        <v>#N/A</v>
      </c>
      <c r="CY1279" s="863"/>
      <c r="CZ1279" s="1102"/>
      <c r="DA1279" s="1103"/>
      <c r="DB1279" s="863"/>
    </row>
    <row r="1280" spans="87:106">
      <c r="CI1280" s="888">
        <v>293</v>
      </c>
      <c r="CJ1280" s="4"/>
      <c r="CL1280" s="1826"/>
      <c r="CN1280" s="1102"/>
      <c r="CO1280" s="1103"/>
      <c r="CR1280" s="1822"/>
      <c r="CT1280" s="1102"/>
      <c r="CU1280" s="1103"/>
      <c r="CV1280" s="863"/>
      <c r="CW1280" s="863"/>
      <c r="CX1280" s="1822" t="e">
        <v>#N/A</v>
      </c>
      <c r="CY1280" s="863"/>
      <c r="CZ1280" s="1102"/>
      <c r="DA1280" s="1103"/>
      <c r="DB1280" s="863"/>
    </row>
    <row r="1281" spans="87:106">
      <c r="CI1281" s="888">
        <v>293</v>
      </c>
      <c r="CJ1281" s="4"/>
      <c r="CL1281" s="1826"/>
      <c r="CN1281" s="1102"/>
      <c r="CO1281" s="1103"/>
      <c r="CR1281" s="1825"/>
      <c r="CT1281" s="1102"/>
      <c r="CU1281" s="1103"/>
      <c r="CV1281" s="1099"/>
      <c r="CW1281" s="1099"/>
      <c r="CX1281" s="1825" t="e">
        <v>#N/A</v>
      </c>
      <c r="CY1281" s="1099"/>
      <c r="CZ1281" s="1102"/>
      <c r="DA1281" s="1103"/>
      <c r="DB1281" s="1099"/>
    </row>
    <row r="1282" spans="87:106">
      <c r="CI1282" s="888">
        <v>293</v>
      </c>
      <c r="CJ1282" s="4" t="s">
        <v>2495</v>
      </c>
      <c r="CL1282" s="1826">
        <v>-1.6133177902270939</v>
      </c>
      <c r="CN1282" s="1102"/>
      <c r="CO1282" s="1103"/>
      <c r="CR1282" s="1823">
        <v>-1.8742287099785575</v>
      </c>
      <c r="CT1282" s="1102"/>
      <c r="CU1282" s="1103"/>
      <c r="CV1282" s="1099"/>
      <c r="CW1282" s="1099"/>
      <c r="CX1282" s="1823">
        <v>1.7903098045325121</v>
      </c>
      <c r="CY1282" s="1099"/>
      <c r="CZ1282" s="1102"/>
      <c r="DA1282" s="1103"/>
      <c r="DB1282" s="1099"/>
    </row>
    <row r="1283" spans="87:106">
      <c r="CI1283" s="888">
        <v>293</v>
      </c>
      <c r="CJ1283" s="4" t="s">
        <v>2363</v>
      </c>
      <c r="CL1283" s="1826">
        <v>-0.92261805470062264</v>
      </c>
      <c r="CN1283" s="1102"/>
      <c r="CO1283" s="1103"/>
      <c r="CR1283" s="1823">
        <v>-0.99169890222311752</v>
      </c>
      <c r="CT1283" s="1102"/>
      <c r="CU1283" s="1103"/>
      <c r="CV1283" s="1099"/>
      <c r="CW1283" s="1099"/>
      <c r="CX1283" s="1823">
        <v>2.207334411645129</v>
      </c>
      <c r="CY1283" s="1099"/>
      <c r="CZ1283" s="1102"/>
      <c r="DA1283" s="1103"/>
      <c r="DB1283" s="1099"/>
    </row>
    <row r="1284" spans="87:106">
      <c r="CI1284" s="888">
        <v>293</v>
      </c>
      <c r="CJ1284" s="4" t="s">
        <v>1931</v>
      </c>
      <c r="CL1284" s="1826">
        <v>-2.4844196304077064</v>
      </c>
      <c r="CN1284" s="1102"/>
      <c r="CO1284" s="1103"/>
      <c r="CR1284" s="1823">
        <v>-2.2331174769184985</v>
      </c>
      <c r="CT1284" s="1102"/>
      <c r="CU1284" s="1103"/>
      <c r="CV1284" s="1099"/>
      <c r="CW1284" s="1099"/>
      <c r="CX1284" s="1823">
        <v>0.93145692548225556</v>
      </c>
      <c r="CY1284" s="1099"/>
      <c r="CZ1284" s="1102"/>
      <c r="DA1284" s="1103"/>
      <c r="DB1284" s="1099"/>
    </row>
    <row r="1285" spans="87:106">
      <c r="CI1285" s="888">
        <v>293</v>
      </c>
      <c r="CJ1285" s="4" t="s">
        <v>1932</v>
      </c>
      <c r="CL1285" s="1826">
        <v>-3.7640007445518577</v>
      </c>
      <c r="CN1285" s="1102"/>
      <c r="CO1285" s="1103"/>
      <c r="CR1285" s="1823">
        <v>-1.795681618412996</v>
      </c>
      <c r="CT1285" s="1102"/>
      <c r="CU1285" s="1103"/>
      <c r="CV1285" s="1099"/>
      <c r="CW1285" s="1099"/>
      <c r="CX1285" s="1823">
        <v>0.82604007782509647</v>
      </c>
      <c r="CY1285" s="1099"/>
      <c r="CZ1285" s="1102"/>
      <c r="DA1285" s="1103"/>
      <c r="DB1285" s="1099"/>
    </row>
    <row r="1286" spans="87:106">
      <c r="CI1286" s="888">
        <v>293</v>
      </c>
      <c r="CJ1286" s="4" t="s">
        <v>1933</v>
      </c>
      <c r="CL1286" s="1826">
        <v>-0.25377897709495034</v>
      </c>
      <c r="CN1286" s="864"/>
      <c r="CO1286" s="1103"/>
      <c r="CR1286" s="1823">
        <v>-0.33006391618587871</v>
      </c>
      <c r="CT1286" s="864"/>
      <c r="CU1286" s="1103"/>
      <c r="CV1286" s="1099"/>
      <c r="CW1286" s="1099"/>
      <c r="CX1286" s="1823">
        <v>-0.72399631217731564</v>
      </c>
      <c r="CY1286" s="1099"/>
      <c r="CZ1286" s="864"/>
      <c r="DA1286" s="1103"/>
      <c r="DB1286" s="1099"/>
    </row>
    <row r="1287" spans="87:106">
      <c r="CI1287" s="888">
        <v>293</v>
      </c>
      <c r="CJ1287" s="4" t="s">
        <v>1934</v>
      </c>
      <c r="CL1287" s="1826">
        <v>0.45993068032092221</v>
      </c>
      <c r="CN1287" s="864"/>
      <c r="CO1287" s="1103"/>
      <c r="CR1287" s="1823">
        <v>1.9969098677979615</v>
      </c>
      <c r="CT1287" s="864"/>
      <c r="CU1287" s="1103"/>
      <c r="CV1287" s="1099"/>
      <c r="CW1287" s="1099"/>
      <c r="CX1287" s="1823">
        <v>-1.1357957277719273</v>
      </c>
      <c r="CY1287" s="1099"/>
      <c r="CZ1287" s="864"/>
      <c r="DA1287" s="1103"/>
      <c r="DB1287" s="1099"/>
    </row>
    <row r="1288" spans="87:106">
      <c r="CI1288" s="888">
        <v>293</v>
      </c>
      <c r="CJ1288" s="4" t="s">
        <v>1935</v>
      </c>
      <c r="CL1288" s="1826">
        <v>0.94202726537981363</v>
      </c>
      <c r="CN1288" s="864"/>
      <c r="CO1288" s="1103"/>
      <c r="CR1288" s="1823">
        <v>2.7130007168910097</v>
      </c>
      <c r="CT1288" s="864"/>
      <c r="CU1288" s="1103"/>
      <c r="CV1288" s="1099"/>
      <c r="CW1288" s="1099"/>
      <c r="CX1288" s="1823">
        <v>3.3955450840085359</v>
      </c>
      <c r="CY1288" s="1099"/>
      <c r="CZ1288" s="864"/>
      <c r="DA1288" s="1103"/>
      <c r="DB1288" s="1099"/>
    </row>
    <row r="1289" spans="87:106">
      <c r="CI1289" s="888">
        <v>293</v>
      </c>
      <c r="CJ1289" s="4" t="s">
        <v>1936</v>
      </c>
      <c r="CL1289" s="1826">
        <v>4.3086622465575193</v>
      </c>
      <c r="CN1289" s="864"/>
      <c r="CO1289" s="1103"/>
      <c r="CR1289" s="1823">
        <v>0.66769911910607005</v>
      </c>
      <c r="CT1289" s="864"/>
      <c r="CU1289" s="1103"/>
      <c r="CV1289" s="1099"/>
      <c r="CW1289" s="1099"/>
      <c r="CX1289" s="1823">
        <v>1.0093912368907416</v>
      </c>
      <c r="CY1289" s="1099"/>
      <c r="CZ1289" s="864"/>
      <c r="DA1289" s="1103"/>
      <c r="DB1289" s="1099"/>
    </row>
    <row r="1290" spans="87:106">
      <c r="CI1290" s="888">
        <v>293</v>
      </c>
      <c r="CJ1290" s="1091" t="s">
        <v>1937</v>
      </c>
      <c r="CL1290" s="1826">
        <v>-5.1383412570113682</v>
      </c>
      <c r="CN1290" s="1104"/>
      <c r="CO1290" s="1105"/>
      <c r="CR1290" s="1824">
        <v>-3.4083058471034597</v>
      </c>
      <c r="CT1290" s="1104"/>
      <c r="CU1290" s="1105"/>
      <c r="CV1290" s="1100"/>
      <c r="CW1290" s="1100"/>
      <c r="CX1290" s="1824">
        <v>1.5502739401558121</v>
      </c>
      <c r="CY1290" s="1100"/>
      <c r="CZ1290" s="1104"/>
      <c r="DA1290" s="1105"/>
      <c r="DB1290" s="1100"/>
    </row>
    <row r="1291" spans="87:106">
      <c r="CI1291" s="888">
        <v>566</v>
      </c>
      <c r="CJ1291" s="4" t="s">
        <v>1938</v>
      </c>
      <c r="CL1291" s="1826"/>
      <c r="CN1291" s="1099">
        <v>0.62847579274987808</v>
      </c>
      <c r="CO1291" s="1106">
        <v>0.89</v>
      </c>
      <c r="CR1291" s="1822"/>
      <c r="CT1291" s="1102">
        <v>0.78454784034164771</v>
      </c>
      <c r="CU1291" s="1106">
        <v>0.88</v>
      </c>
      <c r="CV1291" s="863"/>
      <c r="CW1291" s="863"/>
      <c r="CX1291" s="1822" t="e">
        <v>#N/A</v>
      </c>
      <c r="CY1291" s="863"/>
      <c r="CZ1291" s="1099">
        <v>-1.1512486057764124</v>
      </c>
      <c r="DA1291" s="1106">
        <v>0.21</v>
      </c>
      <c r="DB1291" s="863"/>
    </row>
    <row r="1292" spans="87:106">
      <c r="CI1292" s="888">
        <v>566</v>
      </c>
      <c r="CJ1292" s="4"/>
      <c r="CL1292" s="1826"/>
      <c r="CN1292" s="1102"/>
      <c r="CO1292" s="1103"/>
      <c r="CR1292" s="1822"/>
      <c r="CT1292" s="1102"/>
      <c r="CU1292" s="1103"/>
      <c r="CV1292" s="863"/>
      <c r="CW1292" s="863"/>
      <c r="CX1292" s="1822" t="e">
        <v>#N/A</v>
      </c>
      <c r="CY1292" s="863"/>
      <c r="CZ1292" s="1102"/>
      <c r="DA1292" s="1103"/>
      <c r="DB1292" s="863"/>
    </row>
    <row r="1293" spans="87:106">
      <c r="CI1293" s="888">
        <v>566</v>
      </c>
      <c r="CJ1293" s="4"/>
      <c r="CL1293" s="1826"/>
      <c r="CN1293" s="1102"/>
      <c r="CO1293" s="1103"/>
      <c r="CR1293" s="1822"/>
      <c r="CT1293" s="1102"/>
      <c r="CU1293" s="1103"/>
      <c r="CV1293" s="863"/>
      <c r="CW1293" s="863"/>
      <c r="CX1293" s="1822" t="e">
        <v>#N/A</v>
      </c>
      <c r="CY1293" s="863"/>
      <c r="CZ1293" s="1102"/>
      <c r="DA1293" s="1103"/>
      <c r="DB1293" s="863"/>
    </row>
    <row r="1294" spans="87:106">
      <c r="CI1294" s="888">
        <v>566</v>
      </c>
      <c r="CJ1294" s="4"/>
      <c r="CL1294" s="1826"/>
      <c r="CN1294" s="1102"/>
      <c r="CO1294" s="1103"/>
      <c r="CR1294" s="1825"/>
      <c r="CT1294" s="1102"/>
      <c r="CU1294" s="1103"/>
      <c r="CV1294" s="1099"/>
      <c r="CW1294" s="1099"/>
      <c r="CX1294" s="1825" t="e">
        <v>#N/A</v>
      </c>
      <c r="CY1294" s="1099"/>
      <c r="CZ1294" s="1102"/>
      <c r="DA1294" s="1103"/>
      <c r="DB1294" s="1099"/>
    </row>
    <row r="1295" spans="87:106">
      <c r="CI1295" s="888">
        <v>566</v>
      </c>
      <c r="CJ1295" s="4" t="s">
        <v>2496</v>
      </c>
      <c r="CL1295" s="1826">
        <v>0.4696147832652029</v>
      </c>
      <c r="CN1295" s="1102"/>
      <c r="CO1295" s="1103"/>
      <c r="CR1295" s="1823">
        <v>0.34528513082763257</v>
      </c>
      <c r="CT1295" s="1102"/>
      <c r="CU1295" s="1103"/>
      <c r="CV1295" s="1099"/>
      <c r="CW1295" s="1099"/>
      <c r="CX1295" s="1823">
        <v>-1.1512486057764124</v>
      </c>
      <c r="CY1295" s="1099"/>
      <c r="CZ1295" s="1102"/>
      <c r="DA1295" s="1103"/>
      <c r="DB1295" s="1099"/>
    </row>
    <row r="1296" spans="87:106">
      <c r="CI1296" s="888">
        <v>566</v>
      </c>
      <c r="CJ1296" s="4" t="s">
        <v>2364</v>
      </c>
      <c r="CL1296" s="1826">
        <v>0.62847579274987808</v>
      </c>
      <c r="CN1296" s="1102"/>
      <c r="CO1296" s="1103"/>
      <c r="CR1296" s="1823">
        <v>0.22222102496457219</v>
      </c>
      <c r="CT1296" s="1102"/>
      <c r="CU1296" s="1103"/>
      <c r="CV1296" s="1099"/>
      <c r="CW1296" s="1099"/>
      <c r="CX1296" s="1823">
        <v>-1.1854874279066088</v>
      </c>
      <c r="CY1296" s="1099"/>
      <c r="CZ1296" s="1102"/>
      <c r="DA1296" s="1103"/>
      <c r="DB1296" s="1099"/>
    </row>
    <row r="1297" spans="87:106">
      <c r="CI1297" s="888">
        <v>566</v>
      </c>
      <c r="CJ1297" s="4" t="s">
        <v>1939</v>
      </c>
      <c r="CL1297" s="1826">
        <v>-0.59781082876376335</v>
      </c>
      <c r="CN1297" s="1102"/>
      <c r="CO1297" s="1103"/>
      <c r="CR1297" s="1823">
        <v>1.0243780659775279</v>
      </c>
      <c r="CT1297" s="1102"/>
      <c r="CU1297" s="1103"/>
      <c r="CV1297" s="1099"/>
      <c r="CW1297" s="1099"/>
      <c r="CX1297" s="1823">
        <v>-4.2441071382633488</v>
      </c>
      <c r="CY1297" s="1099"/>
      <c r="CZ1297" s="1102"/>
      <c r="DA1297" s="1103"/>
      <c r="DB1297" s="1099"/>
    </row>
    <row r="1298" spans="87:106">
      <c r="CI1298" s="888">
        <v>566</v>
      </c>
      <c r="CJ1298" s="4" t="s">
        <v>1940</v>
      </c>
      <c r="CL1298" s="1826">
        <v>0.66376256677481038</v>
      </c>
      <c r="CN1298" s="1102"/>
      <c r="CO1298" s="1103"/>
      <c r="CR1298" s="1823">
        <v>1.5119844996587939</v>
      </c>
      <c r="CT1298" s="1102"/>
      <c r="CU1298" s="1103"/>
      <c r="CV1298" s="1099"/>
      <c r="CW1298" s="1099"/>
      <c r="CX1298" s="1823">
        <v>-1.3907885337066883E-2</v>
      </c>
      <c r="CY1298" s="1099"/>
      <c r="CZ1298" s="1102"/>
      <c r="DA1298" s="1103"/>
      <c r="DB1298" s="1099"/>
    </row>
    <row r="1299" spans="87:106">
      <c r="CI1299" s="888">
        <v>566</v>
      </c>
      <c r="CJ1299" s="4" t="s">
        <v>1941</v>
      </c>
      <c r="CL1299" s="1826">
        <v>2.4560799719172266</v>
      </c>
      <c r="CN1299" s="864"/>
      <c r="CO1299" s="1103"/>
      <c r="CR1299" s="1823">
        <v>0.78454784034164771</v>
      </c>
      <c r="CT1299" s="864"/>
      <c r="CU1299" s="1103"/>
      <c r="CV1299" s="1099"/>
      <c r="CW1299" s="1099"/>
      <c r="CX1299" s="1823">
        <v>-2.1686128653011574</v>
      </c>
      <c r="CY1299" s="1099"/>
      <c r="CZ1299" s="864"/>
      <c r="DA1299" s="1103"/>
      <c r="DB1299" s="1099"/>
    </row>
    <row r="1300" spans="87:106">
      <c r="CI1300" s="888">
        <v>566</v>
      </c>
      <c r="CJ1300" s="4" t="s">
        <v>1942</v>
      </c>
      <c r="CL1300" s="1826">
        <v>1.8475796242704288</v>
      </c>
      <c r="CN1300" s="864"/>
      <c r="CO1300" s="1103"/>
      <c r="CR1300" s="1823">
        <v>0.77566113554103455</v>
      </c>
      <c r="CT1300" s="864"/>
      <c r="CU1300" s="1103"/>
      <c r="CV1300" s="1099"/>
      <c r="CW1300" s="1099"/>
      <c r="CX1300" s="1823">
        <v>-2.3566363035392097</v>
      </c>
      <c r="CY1300" s="1099"/>
      <c r="CZ1300" s="864"/>
      <c r="DA1300" s="1103"/>
      <c r="DB1300" s="1099"/>
    </row>
    <row r="1301" spans="87:106">
      <c r="CI1301" s="888">
        <v>566</v>
      </c>
      <c r="CJ1301" s="4" t="s">
        <v>1943</v>
      </c>
      <c r="CL1301" s="1826">
        <v>-4.2987410856676789E-2</v>
      </c>
      <c r="CN1301" s="864"/>
      <c r="CO1301" s="1103"/>
      <c r="CR1301" s="1823">
        <v>1.253544139272202</v>
      </c>
      <c r="CT1301" s="864"/>
      <c r="CU1301" s="1103"/>
      <c r="CV1301" s="1099"/>
      <c r="CW1301" s="1099"/>
      <c r="CX1301" s="1823">
        <v>5.7956809168673296E-2</v>
      </c>
      <c r="CY1301" s="1099"/>
      <c r="CZ1301" s="864"/>
      <c r="DA1301" s="1103"/>
      <c r="DB1301" s="1099"/>
    </row>
    <row r="1302" spans="87:106">
      <c r="CI1302" s="888">
        <v>566</v>
      </c>
      <c r="CJ1302" s="4" t="s">
        <v>1944</v>
      </c>
      <c r="CL1302" s="1826">
        <v>6.6607055348549835</v>
      </c>
      <c r="CN1302" s="864"/>
      <c r="CO1302" s="1103"/>
      <c r="CR1302" s="1823" t="s">
        <v>1218</v>
      </c>
      <c r="CT1302" s="864"/>
      <c r="CU1302" s="1103"/>
      <c r="CV1302" s="1099"/>
      <c r="CW1302" s="1099"/>
      <c r="CX1302" s="1823">
        <v>0.69629262304213846</v>
      </c>
      <c r="CY1302" s="1099"/>
      <c r="CZ1302" s="864"/>
      <c r="DA1302" s="1103"/>
      <c r="DB1302" s="1099"/>
    </row>
    <row r="1303" spans="87:106">
      <c r="CI1303" s="888">
        <v>566</v>
      </c>
      <c r="CJ1303" s="1091" t="s">
        <v>1945</v>
      </c>
      <c r="CL1303" s="1826">
        <v>-4.752000945848815</v>
      </c>
      <c r="CN1303" s="1104"/>
      <c r="CO1303" s="1105"/>
      <c r="CR1303" s="1824" t="s">
        <v>1218</v>
      </c>
      <c r="CT1303" s="1104"/>
      <c r="CU1303" s="1105"/>
      <c r="CV1303" s="1100"/>
      <c r="CW1303" s="1100"/>
      <c r="CX1303" s="1824">
        <v>-1.044186254268376</v>
      </c>
      <c r="CY1303" s="1100"/>
      <c r="CZ1303" s="1104"/>
      <c r="DA1303" s="1105"/>
      <c r="DB1303" s="1100"/>
    </row>
    <row r="1304" spans="87:106">
      <c r="CI1304" s="888">
        <v>964</v>
      </c>
      <c r="CJ1304" s="4" t="s">
        <v>1946</v>
      </c>
      <c r="CL1304" s="1826"/>
      <c r="CN1304" s="1099">
        <v>0.6392251234728028</v>
      </c>
      <c r="CO1304" s="1106">
        <v>0.9</v>
      </c>
      <c r="CR1304" s="1822"/>
      <c r="CT1304" s="1102">
        <v>-0.61548111662789651</v>
      </c>
      <c r="CU1304" s="1106">
        <v>0.47</v>
      </c>
      <c r="CV1304" s="863"/>
      <c r="CW1304" s="863"/>
      <c r="CX1304" s="1822" t="e">
        <v>#N/A</v>
      </c>
      <c r="CY1304" s="863"/>
      <c r="CZ1304" s="1099">
        <v>-0.93415689969692339</v>
      </c>
      <c r="DA1304" s="1106">
        <v>0.27</v>
      </c>
      <c r="DB1304" s="863"/>
    </row>
    <row r="1305" spans="87:106">
      <c r="CI1305" s="888">
        <v>964</v>
      </c>
      <c r="CJ1305" s="4"/>
      <c r="CL1305" s="1826"/>
      <c r="CN1305" s="1102"/>
      <c r="CO1305" s="1103"/>
      <c r="CR1305" s="1822"/>
      <c r="CT1305" s="1102"/>
      <c r="CU1305" s="1103"/>
      <c r="CV1305" s="863"/>
      <c r="CW1305" s="863"/>
      <c r="CX1305" s="1822" t="e">
        <v>#N/A</v>
      </c>
      <c r="CY1305" s="863"/>
      <c r="CZ1305" s="1102"/>
      <c r="DA1305" s="1103"/>
      <c r="DB1305" s="863"/>
    </row>
    <row r="1306" spans="87:106">
      <c r="CI1306" s="888">
        <v>964</v>
      </c>
      <c r="CJ1306" s="4"/>
      <c r="CL1306" s="1826"/>
      <c r="CN1306" s="1102"/>
      <c r="CO1306" s="1103"/>
      <c r="CR1306" s="1822"/>
      <c r="CT1306" s="1102"/>
      <c r="CU1306" s="1103"/>
      <c r="CV1306" s="863"/>
      <c r="CW1306" s="863"/>
      <c r="CX1306" s="1822" t="e">
        <v>#N/A</v>
      </c>
      <c r="CY1306" s="863"/>
      <c r="CZ1306" s="1102"/>
      <c r="DA1306" s="1103"/>
      <c r="DB1306" s="863"/>
    </row>
    <row r="1307" spans="87:106">
      <c r="CI1307" s="888">
        <v>964</v>
      </c>
      <c r="CJ1307" s="4"/>
      <c r="CL1307" s="1826"/>
      <c r="CN1307" s="1102"/>
      <c r="CO1307" s="1103"/>
      <c r="CR1307" s="1825"/>
      <c r="CT1307" s="1102"/>
      <c r="CU1307" s="1103"/>
      <c r="CV1307" s="1099"/>
      <c r="CW1307" s="1099"/>
      <c r="CX1307" s="1825" t="e">
        <v>#N/A</v>
      </c>
      <c r="CY1307" s="1099"/>
      <c r="CZ1307" s="1102"/>
      <c r="DA1307" s="1103"/>
      <c r="DB1307" s="1099"/>
    </row>
    <row r="1308" spans="87:106">
      <c r="CI1308" s="888">
        <v>964</v>
      </c>
      <c r="CJ1308" s="4" t="s">
        <v>2497</v>
      </c>
      <c r="CL1308" s="1826">
        <v>0.95810513031249789</v>
      </c>
      <c r="CN1308" s="1102"/>
      <c r="CO1308" s="1103"/>
      <c r="CR1308" s="1823">
        <v>1.2436300890746514</v>
      </c>
      <c r="CT1308" s="1102"/>
      <c r="CU1308" s="1103"/>
      <c r="CV1308" s="1099"/>
      <c r="CW1308" s="1099"/>
      <c r="CX1308" s="1823">
        <v>1.2744571746179876</v>
      </c>
      <c r="CY1308" s="1099"/>
      <c r="CZ1308" s="1102"/>
      <c r="DA1308" s="1103"/>
      <c r="DB1308" s="1099"/>
    </row>
    <row r="1309" spans="87:106">
      <c r="CI1309" s="888">
        <v>964</v>
      </c>
      <c r="CJ1309" s="4" t="s">
        <v>2365</v>
      </c>
      <c r="CL1309" s="1826">
        <v>-0.61496087736045979</v>
      </c>
      <c r="CN1309" s="1102"/>
      <c r="CO1309" s="1103"/>
      <c r="CR1309" s="1823">
        <v>-0.61548111662789651</v>
      </c>
      <c r="CT1309" s="1102"/>
      <c r="CU1309" s="1103"/>
      <c r="CV1309" s="1099"/>
      <c r="CW1309" s="1099"/>
      <c r="CX1309" s="1823">
        <v>-0.93415689969692339</v>
      </c>
      <c r="CY1309" s="1099"/>
      <c r="CZ1309" s="1102"/>
      <c r="DA1309" s="1103"/>
      <c r="DB1309" s="1099"/>
    </row>
    <row r="1310" spans="87:106">
      <c r="CI1310" s="888">
        <v>964</v>
      </c>
      <c r="CJ1310" s="4" t="s">
        <v>1947</v>
      </c>
      <c r="CL1310" s="1826">
        <v>0.6392251234728028</v>
      </c>
      <c r="CN1310" s="1102"/>
      <c r="CO1310" s="1103"/>
      <c r="CR1310" s="1823">
        <v>-2.0962328111146511E-2</v>
      </c>
      <c r="CT1310" s="1102"/>
      <c r="CU1310" s="1103"/>
      <c r="CV1310" s="1099"/>
      <c r="CW1310" s="1099"/>
      <c r="CX1310" s="1823">
        <v>-1.6882504670759246</v>
      </c>
      <c r="CY1310" s="1099"/>
      <c r="CZ1310" s="1102"/>
      <c r="DA1310" s="1103"/>
      <c r="DB1310" s="1099"/>
    </row>
    <row r="1311" spans="87:106">
      <c r="CI1311" s="888">
        <v>964</v>
      </c>
      <c r="CJ1311" s="4" t="s">
        <v>1948</v>
      </c>
      <c r="CL1311" s="1826">
        <v>1.1111074407238206</v>
      </c>
      <c r="CN1311" s="1102"/>
      <c r="CO1311" s="1103"/>
      <c r="CR1311" s="1823">
        <v>-1.2201735846064556</v>
      </c>
      <c r="CT1311" s="1102"/>
      <c r="CU1311" s="1103"/>
      <c r="CV1311" s="1099"/>
      <c r="CW1311" s="1099"/>
      <c r="CX1311" s="1823">
        <v>-1.7661410235988597</v>
      </c>
      <c r="CY1311" s="1099"/>
      <c r="CZ1311" s="1102"/>
      <c r="DA1311" s="1103"/>
      <c r="DB1311" s="1099"/>
    </row>
    <row r="1312" spans="87:106">
      <c r="CI1312" s="888">
        <v>964</v>
      </c>
      <c r="CJ1312" s="4" t="s">
        <v>1949</v>
      </c>
      <c r="CL1312" s="1826">
        <v>-1.5184827584999676</v>
      </c>
      <c r="CN1312" s="864"/>
      <c r="CO1312" s="1103"/>
      <c r="CR1312" s="1823">
        <v>-1.6453514252945507</v>
      </c>
      <c r="CT1312" s="864"/>
      <c r="CU1312" s="1103"/>
      <c r="CV1312" s="1099"/>
      <c r="CW1312" s="1099"/>
      <c r="CX1312" s="1823">
        <v>-1.5371833454016208</v>
      </c>
      <c r="CY1312" s="1099"/>
      <c r="CZ1312" s="864"/>
      <c r="DA1312" s="1103"/>
      <c r="DB1312" s="1099"/>
    </row>
    <row r="1313" spans="87:106">
      <c r="CI1313" s="888">
        <v>964</v>
      </c>
      <c r="CJ1313" s="4" t="s">
        <v>1950</v>
      </c>
      <c r="CL1313" s="1826">
        <v>-1.6724251385271147</v>
      </c>
      <c r="CN1313" s="864"/>
      <c r="CO1313" s="1103"/>
      <c r="CR1313" s="1823">
        <v>0.26368528957518933</v>
      </c>
      <c r="CT1313" s="864"/>
      <c r="CU1313" s="1103"/>
      <c r="CV1313" s="1099"/>
      <c r="CW1313" s="1099"/>
      <c r="CX1313" s="1823">
        <v>-0.26135889372682763</v>
      </c>
      <c r="CY1313" s="1099"/>
      <c r="CZ1313" s="864"/>
      <c r="DA1313" s="1103"/>
      <c r="DB1313" s="1099"/>
    </row>
    <row r="1314" spans="87:106">
      <c r="CI1314" s="888">
        <v>964</v>
      </c>
      <c r="CJ1314" s="4" t="s">
        <v>1951</v>
      </c>
      <c r="CL1314" s="1826">
        <v>1.0819583979920284</v>
      </c>
      <c r="CN1314" s="864"/>
      <c r="CO1314" s="1103"/>
      <c r="CR1314" s="1823">
        <v>1.7780848252853079</v>
      </c>
      <c r="CT1314" s="864"/>
      <c r="CU1314" s="1103"/>
      <c r="CV1314" s="1099"/>
      <c r="CW1314" s="1099"/>
      <c r="CX1314" s="1823">
        <v>0.77539154582456993</v>
      </c>
      <c r="CY1314" s="1099"/>
      <c r="CZ1314" s="864"/>
      <c r="DA1314" s="1103"/>
      <c r="DB1314" s="1099"/>
    </row>
    <row r="1315" spans="87:106">
      <c r="CI1315" s="888">
        <v>964</v>
      </c>
      <c r="CJ1315" s="4" t="s">
        <v>1952</v>
      </c>
      <c r="CL1315" s="1826">
        <v>2.6800914410932672</v>
      </c>
      <c r="CN1315" s="864"/>
      <c r="CO1315" s="1103"/>
      <c r="CR1315" s="1823">
        <v>-3.6671032317318857</v>
      </c>
      <c r="CT1315" s="864"/>
      <c r="CU1315" s="1103"/>
      <c r="CV1315" s="1099"/>
      <c r="CW1315" s="1099"/>
      <c r="CX1315" s="1823">
        <v>-1.2340951035846908</v>
      </c>
      <c r="CY1315" s="1099"/>
      <c r="CZ1315" s="864"/>
      <c r="DA1315" s="1103"/>
      <c r="DB1315" s="1099"/>
    </row>
    <row r="1316" spans="87:106">
      <c r="CI1316" s="888">
        <v>964</v>
      </c>
      <c r="CJ1316" s="1091" t="s">
        <v>1953</v>
      </c>
      <c r="CL1316" s="1826">
        <v>-2.8027347370465643</v>
      </c>
      <c r="CN1316" s="1104"/>
      <c r="CO1316" s="1105"/>
      <c r="CR1316" s="1824">
        <v>-3.7906661387219369</v>
      </c>
      <c r="CT1316" s="1104"/>
      <c r="CU1316" s="1105"/>
      <c r="CV1316" s="1100"/>
      <c r="CW1316" s="1100"/>
      <c r="CX1316" s="1824">
        <v>0.85745629117645672</v>
      </c>
      <c r="CY1316" s="1100"/>
      <c r="CZ1316" s="1104"/>
      <c r="DA1316" s="1105"/>
      <c r="DB1316" s="1100"/>
    </row>
    <row r="1317" spans="87:106">
      <c r="CI1317" s="888">
        <v>182</v>
      </c>
      <c r="CJ1317" s="4" t="s">
        <v>1954</v>
      </c>
      <c r="CL1317" s="1826"/>
      <c r="CN1317" s="1099">
        <v>7.6747172585033496E-2</v>
      </c>
      <c r="CO1317" s="1106">
        <v>0.75</v>
      </c>
      <c r="CR1317" s="1822"/>
      <c r="CT1317" s="1102">
        <v>-1.422948603367173</v>
      </c>
      <c r="CU1317" s="1106">
        <v>0.23</v>
      </c>
      <c r="CV1317" s="863"/>
      <c r="CW1317" s="863"/>
      <c r="CX1317" s="1822" t="e">
        <v>#N/A</v>
      </c>
      <c r="CY1317" s="863"/>
      <c r="CZ1317" s="1099">
        <v>-3.0402110456283493E-2</v>
      </c>
      <c r="DA1317" s="1106">
        <v>0.67</v>
      </c>
      <c r="DB1317" s="863"/>
    </row>
    <row r="1318" spans="87:106">
      <c r="CI1318" s="888">
        <v>182</v>
      </c>
      <c r="CJ1318" s="4"/>
      <c r="CL1318" s="1826"/>
      <c r="CN1318" s="1102"/>
      <c r="CO1318" s="1103"/>
      <c r="CR1318" s="1822"/>
      <c r="CT1318" s="1102"/>
      <c r="CU1318" s="1103"/>
      <c r="CV1318" s="863"/>
      <c r="CW1318" s="863"/>
      <c r="CX1318" s="1822" t="e">
        <v>#N/A</v>
      </c>
      <c r="CY1318" s="863"/>
      <c r="CZ1318" s="1102"/>
      <c r="DA1318" s="1103"/>
      <c r="DB1318" s="863"/>
    </row>
    <row r="1319" spans="87:106">
      <c r="CI1319" s="888">
        <v>182</v>
      </c>
      <c r="CJ1319" s="4"/>
      <c r="CL1319" s="1826"/>
      <c r="CN1319" s="1102"/>
      <c r="CO1319" s="1103"/>
      <c r="CR1319" s="1822"/>
      <c r="CT1319" s="1102"/>
      <c r="CU1319" s="1103"/>
      <c r="CV1319" s="863"/>
      <c r="CW1319" s="863"/>
      <c r="CX1319" s="1822" t="e">
        <v>#N/A</v>
      </c>
      <c r="CY1319" s="863"/>
      <c r="CZ1319" s="1102"/>
      <c r="DA1319" s="1103"/>
      <c r="DB1319" s="863"/>
    </row>
    <row r="1320" spans="87:106">
      <c r="CI1320" s="888">
        <v>182</v>
      </c>
      <c r="CJ1320" s="4"/>
      <c r="CL1320" s="1826"/>
      <c r="CN1320" s="1102"/>
      <c r="CO1320" s="1103"/>
      <c r="CR1320" s="1825"/>
      <c r="CT1320" s="1102"/>
      <c r="CU1320" s="1103"/>
      <c r="CV1320" s="1099"/>
      <c r="CW1320" s="1099"/>
      <c r="CX1320" s="1825" t="e">
        <v>#N/A</v>
      </c>
      <c r="CY1320" s="1099"/>
      <c r="CZ1320" s="1102"/>
      <c r="DA1320" s="1103"/>
      <c r="DB1320" s="1099"/>
    </row>
    <row r="1321" spans="87:106">
      <c r="CI1321" s="888">
        <v>182</v>
      </c>
      <c r="CJ1321" s="4" t="s">
        <v>2498</v>
      </c>
      <c r="CL1321" s="1826">
        <v>1.4148341157214452</v>
      </c>
      <c r="CN1321" s="1102"/>
      <c r="CO1321" s="1103"/>
      <c r="CR1321" s="1823">
        <v>1.4630868335292551</v>
      </c>
      <c r="CT1321" s="1102"/>
      <c r="CU1321" s="1103"/>
      <c r="CV1321" s="1099"/>
      <c r="CW1321" s="1099"/>
      <c r="CX1321" s="1823">
        <v>6.3981825754910737E-4</v>
      </c>
      <c r="CY1321" s="1099"/>
      <c r="CZ1321" s="1102"/>
      <c r="DA1321" s="1103"/>
      <c r="DB1321" s="1099"/>
    </row>
    <row r="1322" spans="87:106">
      <c r="CI1322" s="888">
        <v>182</v>
      </c>
      <c r="CJ1322" s="4" t="s">
        <v>2366</v>
      </c>
      <c r="CL1322" s="1826">
        <v>7.6747172585033496E-2</v>
      </c>
      <c r="CN1322" s="1102"/>
      <c r="CO1322" s="1103"/>
      <c r="CR1322" s="1823">
        <v>0.2242178481334387</v>
      </c>
      <c r="CT1322" s="1102"/>
      <c r="CU1322" s="1103"/>
      <c r="CV1322" s="1099"/>
      <c r="CW1322" s="1099"/>
      <c r="CX1322" s="1823">
        <v>0.22789791210990717</v>
      </c>
      <c r="CY1322" s="1099"/>
      <c r="CZ1322" s="1102"/>
      <c r="DA1322" s="1103"/>
      <c r="DB1322" s="1099"/>
    </row>
    <row r="1323" spans="87:106">
      <c r="CI1323" s="888">
        <v>182</v>
      </c>
      <c r="CJ1323" s="4" t="s">
        <v>1955</v>
      </c>
      <c r="CL1323" s="1826">
        <v>0.14501525298668128</v>
      </c>
      <c r="CN1323" s="1102"/>
      <c r="CO1323" s="1103"/>
      <c r="CR1323" s="1823">
        <v>-2.0510794771402381</v>
      </c>
      <c r="CT1323" s="1102"/>
      <c r="CU1323" s="1103"/>
      <c r="CV1323" s="1099"/>
      <c r="CW1323" s="1099"/>
      <c r="CX1323" s="1823">
        <v>1.0696941824418305</v>
      </c>
      <c r="CY1323" s="1099"/>
      <c r="CZ1323" s="1102"/>
      <c r="DA1323" s="1103"/>
      <c r="DB1323" s="1099"/>
    </row>
    <row r="1324" spans="87:106">
      <c r="CI1324" s="888">
        <v>182</v>
      </c>
      <c r="CJ1324" s="4" t="s">
        <v>1956</v>
      </c>
      <c r="CL1324" s="1826">
        <v>0.26718104345759086</v>
      </c>
      <c r="CN1324" s="1102"/>
      <c r="CO1324" s="1103"/>
      <c r="CR1324" s="1823">
        <v>-2.7695687999928822</v>
      </c>
      <c r="CT1324" s="1102"/>
      <c r="CU1324" s="1103"/>
      <c r="CV1324" s="1099"/>
      <c r="CW1324" s="1099"/>
      <c r="CX1324" s="1823">
        <v>-0.30826644289582383</v>
      </c>
      <c r="CY1324" s="1099"/>
      <c r="CZ1324" s="1102"/>
      <c r="DA1324" s="1103"/>
      <c r="DB1324" s="1099"/>
    </row>
    <row r="1325" spans="87:106">
      <c r="CI1325" s="888">
        <v>182</v>
      </c>
      <c r="CJ1325" s="4" t="s">
        <v>1957</v>
      </c>
      <c r="CL1325" s="1826">
        <v>-1.9539462595986801</v>
      </c>
      <c r="CN1325" s="864"/>
      <c r="CO1325" s="1103"/>
      <c r="CR1325" s="1823">
        <v>-1.422948603367173</v>
      </c>
      <c r="CT1325" s="864"/>
      <c r="CU1325" s="1103"/>
      <c r="CV1325" s="1099"/>
      <c r="CW1325" s="1099"/>
      <c r="CX1325" s="1823">
        <v>0.88341798682000849</v>
      </c>
      <c r="CY1325" s="1099"/>
      <c r="CZ1325" s="864"/>
      <c r="DA1325" s="1103"/>
      <c r="DB1325" s="1099"/>
    </row>
    <row r="1326" spans="87:106">
      <c r="CI1326" s="888">
        <v>182</v>
      </c>
      <c r="CJ1326" s="4" t="s">
        <v>1958</v>
      </c>
      <c r="CL1326" s="1826">
        <v>-2.7492218639103996</v>
      </c>
      <c r="CN1326" s="864"/>
      <c r="CO1326" s="1103"/>
      <c r="CR1326" s="1823">
        <v>-1.7553828494528032</v>
      </c>
      <c r="CT1326" s="864"/>
      <c r="CU1326" s="1103"/>
      <c r="CV1326" s="1099"/>
      <c r="CW1326" s="1099"/>
      <c r="CX1326" s="1823">
        <v>-1.8509626961740542</v>
      </c>
      <c r="CY1326" s="1099"/>
      <c r="CZ1326" s="864"/>
      <c r="DA1326" s="1103"/>
      <c r="DB1326" s="1099"/>
    </row>
    <row r="1327" spans="87:106">
      <c r="CI1327" s="888">
        <v>182</v>
      </c>
      <c r="CJ1327" s="4" t="s">
        <v>1959</v>
      </c>
      <c r="CL1327" s="1826">
        <v>-2.2064342745135304</v>
      </c>
      <c r="CN1327" s="864"/>
      <c r="CO1327" s="1103"/>
      <c r="CR1327" s="1823">
        <v>3.3853745588385751</v>
      </c>
      <c r="CT1327" s="864"/>
      <c r="CU1327" s="1103"/>
      <c r="CV1327" s="1099"/>
      <c r="CW1327" s="1099"/>
      <c r="CX1327" s="1823">
        <v>-0.57137976674415514</v>
      </c>
      <c r="CY1327" s="1099"/>
      <c r="CZ1327" s="864"/>
      <c r="DA1327" s="1103"/>
      <c r="DB1327" s="1099"/>
    </row>
    <row r="1328" spans="87:106">
      <c r="CI1328" s="888">
        <v>182</v>
      </c>
      <c r="CJ1328" s="4" t="s">
        <v>1960</v>
      </c>
      <c r="CL1328" s="1826">
        <v>1.8831685199827848</v>
      </c>
      <c r="CN1328" s="864"/>
      <c r="CO1328" s="1103"/>
      <c r="CR1328" s="1823" t="s">
        <v>1218</v>
      </c>
      <c r="CT1328" s="864"/>
      <c r="CU1328" s="1103"/>
      <c r="CV1328" s="1099"/>
      <c r="CW1328" s="1099"/>
      <c r="CX1328" s="1823">
        <v>-3.0402110456283493E-2</v>
      </c>
      <c r="CY1328" s="1099"/>
      <c r="CZ1328" s="864"/>
      <c r="DA1328" s="1103"/>
      <c r="DB1328" s="1099"/>
    </row>
    <row r="1329" spans="87:106">
      <c r="CI1329" s="888">
        <v>182</v>
      </c>
      <c r="CJ1329" s="1091" t="s">
        <v>1961</v>
      </c>
      <c r="CL1329" s="1826">
        <v>-3.8739957788836996</v>
      </c>
      <c r="CN1329" s="1104"/>
      <c r="CO1329" s="1105"/>
      <c r="CR1329" s="1824" t="s">
        <v>1218</v>
      </c>
      <c r="CT1329" s="1104"/>
      <c r="CU1329" s="1105"/>
      <c r="CV1329" s="1100"/>
      <c r="CW1329" s="1100"/>
      <c r="CX1329" s="1824">
        <v>-1.9755372635340185</v>
      </c>
      <c r="CY1329" s="1100"/>
      <c r="CZ1329" s="1104"/>
      <c r="DA1329" s="1105"/>
      <c r="DB1329" s="1100"/>
    </row>
    <row r="1330" spans="87:106">
      <c r="CI1330" s="888">
        <v>453</v>
      </c>
      <c r="CJ1330" s="4" t="s">
        <v>1962</v>
      </c>
      <c r="CL1330" s="1826"/>
      <c r="CN1330" s="1099">
        <v>-1.2975843793366733</v>
      </c>
      <c r="CO1330" s="1106">
        <v>0.2</v>
      </c>
      <c r="CR1330" s="1822"/>
      <c r="CT1330" s="1102">
        <v>-3.576348500648252</v>
      </c>
      <c r="CU1330" s="1106">
        <v>0.08</v>
      </c>
      <c r="CV1330" s="863"/>
      <c r="CW1330" s="863"/>
      <c r="CX1330" s="1822" t="e">
        <v>#N/A</v>
      </c>
      <c r="CY1330" s="863"/>
      <c r="CZ1330" s="1099">
        <v>0.93967397835637967</v>
      </c>
      <c r="DA1330" s="1106">
        <v>0.84</v>
      </c>
      <c r="DB1330" s="863"/>
    </row>
    <row r="1331" spans="87:106">
      <c r="CI1331" s="888">
        <v>453</v>
      </c>
      <c r="CJ1331" s="4"/>
      <c r="CL1331" s="1826"/>
      <c r="CN1331" s="1102"/>
      <c r="CO1331" s="1103"/>
      <c r="CR1331" s="1822"/>
      <c r="CT1331" s="1102"/>
      <c r="CU1331" s="1103"/>
      <c r="CV1331" s="863"/>
      <c r="CW1331" s="863"/>
      <c r="CX1331" s="1822" t="e">
        <v>#N/A</v>
      </c>
      <c r="CY1331" s="863"/>
      <c r="CZ1331" s="1102"/>
      <c r="DA1331" s="1103"/>
      <c r="DB1331" s="863"/>
    </row>
    <row r="1332" spans="87:106">
      <c r="CI1332" s="888">
        <v>453</v>
      </c>
      <c r="CJ1332" s="4"/>
      <c r="CL1332" s="1826"/>
      <c r="CN1332" s="1102"/>
      <c r="CO1332" s="1103"/>
      <c r="CR1332" s="1822"/>
      <c r="CT1332" s="1102"/>
      <c r="CU1332" s="1103"/>
      <c r="CV1332" s="863"/>
      <c r="CW1332" s="863"/>
      <c r="CX1332" s="1822" t="e">
        <v>#N/A</v>
      </c>
      <c r="CY1332" s="863"/>
      <c r="CZ1332" s="1102"/>
      <c r="DA1332" s="1103"/>
      <c r="DB1332" s="863"/>
    </row>
    <row r="1333" spans="87:106">
      <c r="CI1333" s="888">
        <v>453</v>
      </c>
      <c r="CJ1333" s="4"/>
      <c r="CL1333" s="1826"/>
      <c r="CN1333" s="1102"/>
      <c r="CO1333" s="1103"/>
      <c r="CR1333" s="1825"/>
      <c r="CT1333" s="1102"/>
      <c r="CU1333" s="1103"/>
      <c r="CV1333" s="1099"/>
      <c r="CW1333" s="1099"/>
      <c r="CX1333" s="1825" t="e">
        <v>#N/A</v>
      </c>
      <c r="CY1333" s="1099"/>
      <c r="CZ1333" s="1102"/>
      <c r="DA1333" s="1103"/>
      <c r="DB1333" s="1099"/>
    </row>
    <row r="1334" spans="87:106">
      <c r="CI1334" s="888">
        <v>453</v>
      </c>
      <c r="CJ1334" s="4" t="s">
        <v>2499</v>
      </c>
      <c r="CL1334" s="1826">
        <v>-1.2975843793366733</v>
      </c>
      <c r="CN1334" s="1102"/>
      <c r="CO1334" s="1103"/>
      <c r="CR1334" s="1823">
        <v>7.0141972029611548</v>
      </c>
      <c r="CT1334" s="1102"/>
      <c r="CU1334" s="1103"/>
      <c r="CV1334" s="1099"/>
      <c r="CW1334" s="1099"/>
      <c r="CX1334" s="1823">
        <v>4.2445546609840488</v>
      </c>
      <c r="CY1334" s="1099"/>
      <c r="CZ1334" s="1102"/>
      <c r="DA1334" s="1103"/>
      <c r="DB1334" s="1099"/>
    </row>
    <row r="1335" spans="87:106">
      <c r="CI1335" s="888">
        <v>453</v>
      </c>
      <c r="CJ1335" s="4" t="s">
        <v>2367</v>
      </c>
      <c r="CL1335" s="1826">
        <v>-4.2206864471352024</v>
      </c>
      <c r="CN1335" s="1102"/>
      <c r="CO1335" s="1103"/>
      <c r="CR1335" s="1823">
        <v>-5.9340612204325147</v>
      </c>
      <c r="CT1335" s="1102"/>
      <c r="CU1335" s="1103"/>
      <c r="CV1335" s="1099"/>
      <c r="CW1335" s="1099"/>
      <c r="CX1335" s="1823">
        <v>-7.3403613446102156</v>
      </c>
      <c r="CY1335" s="1099"/>
      <c r="CZ1335" s="1102"/>
      <c r="DA1335" s="1103"/>
      <c r="DB1335" s="1099"/>
    </row>
    <row r="1336" spans="87:106">
      <c r="CI1336" s="888">
        <v>453</v>
      </c>
      <c r="CJ1336" s="4" t="s">
        <v>1963</v>
      </c>
      <c r="CL1336" s="1826">
        <v>-3.5253231767590805</v>
      </c>
      <c r="CN1336" s="1102"/>
      <c r="CO1336" s="1103"/>
      <c r="CR1336" s="1823">
        <v>1.3344975322114188</v>
      </c>
      <c r="CT1336" s="1102"/>
      <c r="CU1336" s="1103"/>
      <c r="CV1336" s="1099"/>
      <c r="CW1336" s="1099"/>
      <c r="CX1336" s="1823">
        <v>-21.289198268919048</v>
      </c>
      <c r="CY1336" s="1099"/>
      <c r="CZ1336" s="1102"/>
      <c r="DA1336" s="1103"/>
      <c r="DB1336" s="1099"/>
    </row>
    <row r="1337" spans="87:106">
      <c r="CI1337" s="888">
        <v>453</v>
      </c>
      <c r="CJ1337" s="4" t="s">
        <v>1964</v>
      </c>
      <c r="CL1337" s="1826">
        <v>-1.0392485481376692</v>
      </c>
      <c r="CN1337" s="1102"/>
      <c r="CO1337" s="1103"/>
      <c r="CR1337" s="1823">
        <v>19.17071519493663</v>
      </c>
      <c r="CT1337" s="1102"/>
      <c r="CU1337" s="1103"/>
      <c r="CV1337" s="1099"/>
      <c r="CW1337" s="1099"/>
      <c r="CX1337" s="1823">
        <v>0.93967397835637967</v>
      </c>
      <c r="CY1337" s="1099"/>
      <c r="CZ1337" s="1102"/>
      <c r="DA1337" s="1103"/>
      <c r="DB1337" s="1099"/>
    </row>
    <row r="1338" spans="87:106">
      <c r="CI1338" s="888">
        <v>453</v>
      </c>
      <c r="CJ1338" s="4" t="s">
        <v>1965</v>
      </c>
      <c r="CL1338" s="1826">
        <v>1.7647999440914104</v>
      </c>
      <c r="CN1338" s="864"/>
      <c r="CO1338" s="1103"/>
      <c r="CR1338" s="1823">
        <v>12.193723251761837</v>
      </c>
      <c r="CT1338" s="864"/>
      <c r="CU1338" s="1103"/>
      <c r="CV1338" s="1099"/>
      <c r="CW1338" s="1099"/>
      <c r="CX1338" s="1823">
        <v>3.4589827389378867</v>
      </c>
      <c r="CY1338" s="1099"/>
      <c r="CZ1338" s="864"/>
      <c r="DA1338" s="1103"/>
      <c r="DB1338" s="1099"/>
    </row>
    <row r="1339" spans="87:106">
      <c r="CI1339" s="888">
        <v>453</v>
      </c>
      <c r="CJ1339" s="4" t="s">
        <v>1966</v>
      </c>
      <c r="CL1339" s="1826">
        <v>-0.87838035415983828</v>
      </c>
      <c r="CN1339" s="864"/>
      <c r="CO1339" s="1103"/>
      <c r="CR1339" s="1823">
        <v>-6.3660965421157734</v>
      </c>
      <c r="CT1339" s="864"/>
      <c r="CU1339" s="1103"/>
      <c r="CV1339" s="1099"/>
      <c r="CW1339" s="1099"/>
      <c r="CX1339" s="1823">
        <v>3.8104942077409047</v>
      </c>
      <c r="CY1339" s="1099"/>
      <c r="CZ1339" s="864"/>
      <c r="DA1339" s="1103"/>
      <c r="DB1339" s="1099"/>
    </row>
    <row r="1340" spans="87:106">
      <c r="CI1340" s="888">
        <v>453</v>
      </c>
      <c r="CJ1340" s="4" t="s">
        <v>1967</v>
      </c>
      <c r="CL1340" s="1826">
        <v>-1.3530379868327014</v>
      </c>
      <c r="CN1340" s="864"/>
      <c r="CO1340" s="1103"/>
      <c r="CR1340" s="1823">
        <v>-17.587756981270836</v>
      </c>
      <c r="CT1340" s="864"/>
      <c r="CU1340" s="1103"/>
      <c r="CV1340" s="1099"/>
      <c r="CW1340" s="1099"/>
      <c r="CX1340" s="1823">
        <v>16.466324441901129</v>
      </c>
      <c r="CY1340" s="1099"/>
      <c r="CZ1340" s="864"/>
      <c r="DA1340" s="1103"/>
      <c r="DB1340" s="1099"/>
    </row>
    <row r="1341" spans="87:106">
      <c r="CI1341" s="888">
        <v>453</v>
      </c>
      <c r="CJ1341" s="4" t="s">
        <v>1968</v>
      </c>
      <c r="CL1341" s="1826">
        <v>0.26680274398904302</v>
      </c>
      <c r="CN1341" s="864"/>
      <c r="CO1341" s="1103"/>
      <c r="CR1341" s="1823">
        <v>-3.576348500648252</v>
      </c>
      <c r="CT1341" s="864"/>
      <c r="CU1341" s="1103"/>
      <c r="CV1341" s="1099"/>
      <c r="CW1341" s="1099"/>
      <c r="CX1341" s="1823">
        <v>-2.9792284054719911</v>
      </c>
      <c r="CY1341" s="1099"/>
      <c r="CZ1341" s="864"/>
      <c r="DA1341" s="1103"/>
      <c r="DB1341" s="1099"/>
    </row>
    <row r="1342" spans="87:106">
      <c r="CI1342" s="888">
        <v>453</v>
      </c>
      <c r="CJ1342" s="1091" t="s">
        <v>1969</v>
      </c>
      <c r="CL1342" s="1826">
        <v>-4.4940477969312926</v>
      </c>
      <c r="CN1342" s="1104"/>
      <c r="CO1342" s="1105"/>
      <c r="CR1342" s="1824">
        <v>-3.9027256805754256</v>
      </c>
      <c r="CT1342" s="1104"/>
      <c r="CU1342" s="1105"/>
      <c r="CV1342" s="1100"/>
      <c r="CW1342" s="1100"/>
      <c r="CX1342" s="1824">
        <v>-21.188783406399189</v>
      </c>
      <c r="CY1342" s="1100"/>
      <c r="CZ1342" s="1104"/>
      <c r="DA1342" s="1105"/>
      <c r="DB1342" s="1100"/>
    </row>
    <row r="1343" spans="87:106">
      <c r="CI1343" s="888">
        <v>968</v>
      </c>
      <c r="CJ1343" s="4" t="s">
        <v>1970</v>
      </c>
      <c r="CL1343" s="1826"/>
      <c r="CN1343" s="1099">
        <v>0.36920094891828326</v>
      </c>
      <c r="CO1343" s="1106">
        <v>0.84</v>
      </c>
      <c r="CR1343" s="1822"/>
      <c r="CT1343" s="1102">
        <v>-0.52089049526920128</v>
      </c>
      <c r="CU1343" s="1106">
        <v>0.48</v>
      </c>
      <c r="CV1343" s="863"/>
      <c r="CW1343" s="863"/>
      <c r="CX1343" s="1822" t="e">
        <v>#N/A</v>
      </c>
      <c r="CY1343" s="863"/>
      <c r="CZ1343" s="1099">
        <v>-0.48401743724977919</v>
      </c>
      <c r="DA1343" s="1106">
        <v>0.45</v>
      </c>
      <c r="DB1343" s="863"/>
    </row>
    <row r="1344" spans="87:106">
      <c r="CI1344" s="888">
        <v>968</v>
      </c>
      <c r="CJ1344" s="4"/>
      <c r="CL1344" s="1826"/>
      <c r="CN1344" s="1102"/>
      <c r="CO1344" s="1103"/>
      <c r="CR1344" s="1822"/>
      <c r="CT1344" s="1102"/>
      <c r="CU1344" s="1103"/>
      <c r="CV1344" s="863"/>
      <c r="CW1344" s="863"/>
      <c r="CX1344" s="1822" t="e">
        <v>#N/A</v>
      </c>
      <c r="CY1344" s="863"/>
      <c r="CZ1344" s="1102"/>
      <c r="DA1344" s="1103"/>
      <c r="DB1344" s="863"/>
    </row>
    <row r="1345" spans="87:106">
      <c r="CI1345" s="888">
        <v>968</v>
      </c>
      <c r="CJ1345" s="4"/>
      <c r="CL1345" s="1826"/>
      <c r="CN1345" s="1102"/>
      <c r="CO1345" s="1103"/>
      <c r="CR1345" s="1822"/>
      <c r="CT1345" s="1102"/>
      <c r="CU1345" s="1103"/>
      <c r="CV1345" s="863"/>
      <c r="CW1345" s="863"/>
      <c r="CX1345" s="1822" t="e">
        <v>#N/A</v>
      </c>
      <c r="CY1345" s="863"/>
      <c r="CZ1345" s="1102"/>
      <c r="DA1345" s="1103"/>
      <c r="DB1345" s="863"/>
    </row>
    <row r="1346" spans="87:106">
      <c r="CI1346" s="888">
        <v>968</v>
      </c>
      <c r="CJ1346" s="4"/>
      <c r="CL1346" s="1826"/>
      <c r="CN1346" s="1102"/>
      <c r="CO1346" s="1103"/>
      <c r="CR1346" s="1825"/>
      <c r="CT1346" s="1102"/>
      <c r="CU1346" s="1103"/>
      <c r="CV1346" s="1099"/>
      <c r="CW1346" s="1099"/>
      <c r="CX1346" s="1825" t="e">
        <v>#N/A</v>
      </c>
      <c r="CY1346" s="1099"/>
      <c r="CZ1346" s="1102"/>
      <c r="DA1346" s="1103"/>
      <c r="DB1346" s="1099"/>
    </row>
    <row r="1347" spans="87:106">
      <c r="CI1347" s="888">
        <v>968</v>
      </c>
      <c r="CJ1347" s="4" t="s">
        <v>2500</v>
      </c>
      <c r="CL1347" s="1826">
        <v>3.3930845443120612</v>
      </c>
      <c r="CN1347" s="1102"/>
      <c r="CO1347" s="1103"/>
      <c r="CR1347" s="1823">
        <v>-0.37925925498120638</v>
      </c>
      <c r="CT1347" s="1102"/>
      <c r="CU1347" s="1103"/>
      <c r="CV1347" s="1099"/>
      <c r="CW1347" s="1099"/>
      <c r="CX1347" s="1823">
        <v>2.6867977023073366</v>
      </c>
      <c r="CY1347" s="1099"/>
      <c r="CZ1347" s="1102"/>
      <c r="DA1347" s="1103"/>
      <c r="DB1347" s="1099"/>
    </row>
    <row r="1348" spans="87:106">
      <c r="CI1348" s="888">
        <v>968</v>
      </c>
      <c r="CJ1348" s="4" t="s">
        <v>2368</v>
      </c>
      <c r="CL1348" s="1826">
        <v>1.9206932209031899</v>
      </c>
      <c r="CN1348" s="1102"/>
      <c r="CO1348" s="1103"/>
      <c r="CR1348" s="1823">
        <v>-1.0057815032279092</v>
      </c>
      <c r="CT1348" s="1102"/>
      <c r="CU1348" s="1103"/>
      <c r="CV1348" s="1099"/>
      <c r="CW1348" s="1099"/>
      <c r="CX1348" s="1823">
        <v>-0.48401743724977919</v>
      </c>
      <c r="CY1348" s="1099"/>
      <c r="CZ1348" s="1102"/>
      <c r="DA1348" s="1103"/>
      <c r="DB1348" s="1099"/>
    </row>
    <row r="1349" spans="87:106">
      <c r="CI1349" s="888">
        <v>968</v>
      </c>
      <c r="CJ1349" s="4" t="s">
        <v>1971</v>
      </c>
      <c r="CL1349" s="1826">
        <v>1.4479438020515953</v>
      </c>
      <c r="CN1349" s="1102"/>
      <c r="CO1349" s="1103"/>
      <c r="CR1349" s="1823">
        <v>-0.52089049526920128</v>
      </c>
      <c r="CT1349" s="1102"/>
      <c r="CU1349" s="1103"/>
      <c r="CV1349" s="1099"/>
      <c r="CW1349" s="1099"/>
      <c r="CX1349" s="1823">
        <v>-0.40802905663207722</v>
      </c>
      <c r="CY1349" s="1099"/>
      <c r="CZ1349" s="1102"/>
      <c r="DA1349" s="1103"/>
      <c r="DB1349" s="1099"/>
    </row>
    <row r="1350" spans="87:106">
      <c r="CI1350" s="888">
        <v>968</v>
      </c>
      <c r="CJ1350" s="4" t="s">
        <v>1972</v>
      </c>
      <c r="CL1350" s="1826">
        <v>0.97676403843823367</v>
      </c>
      <c r="CN1350" s="1102"/>
      <c r="CO1350" s="1103"/>
      <c r="CR1350" s="1823">
        <v>-0.43054793332089253</v>
      </c>
      <c r="CT1350" s="1102"/>
      <c r="CU1350" s="1103"/>
      <c r="CV1350" s="1099"/>
      <c r="CW1350" s="1099"/>
      <c r="CX1350" s="1823">
        <v>-1.9642425546412063</v>
      </c>
      <c r="CY1350" s="1099"/>
      <c r="CZ1350" s="1102"/>
      <c r="DA1350" s="1103"/>
      <c r="DB1350" s="1099"/>
    </row>
    <row r="1351" spans="87:106">
      <c r="CI1351" s="888">
        <v>968</v>
      </c>
      <c r="CJ1351" s="4" t="s">
        <v>1973</v>
      </c>
      <c r="CL1351" s="1826">
        <v>0.36920094891828326</v>
      </c>
      <c r="CN1351" s="864"/>
      <c r="CO1351" s="1103"/>
      <c r="CR1351" s="1823">
        <v>-1.3680714168229335</v>
      </c>
      <c r="CT1351" s="864"/>
      <c r="CU1351" s="1103"/>
      <c r="CV1351" s="1099"/>
      <c r="CW1351" s="1099"/>
      <c r="CX1351" s="1823">
        <v>-0.15794269267208216</v>
      </c>
      <c r="CY1351" s="1099"/>
      <c r="CZ1351" s="864"/>
      <c r="DA1351" s="1103"/>
      <c r="DB1351" s="1099"/>
    </row>
    <row r="1352" spans="87:106">
      <c r="CI1352" s="888">
        <v>968</v>
      </c>
      <c r="CJ1352" s="4" t="s">
        <v>1974</v>
      </c>
      <c r="CL1352" s="1826">
        <v>-3.6680403016902701</v>
      </c>
      <c r="CN1352" s="864"/>
      <c r="CO1352" s="1103"/>
      <c r="CR1352" s="1823">
        <v>0.55619486529166984</v>
      </c>
      <c r="CT1352" s="864"/>
      <c r="CU1352" s="1103"/>
      <c r="CV1352" s="1099"/>
      <c r="CW1352" s="1099"/>
      <c r="CX1352" s="1823">
        <v>0.20675787931200329</v>
      </c>
      <c r="CY1352" s="1099"/>
      <c r="CZ1352" s="864"/>
      <c r="DA1352" s="1103"/>
      <c r="DB1352" s="1099"/>
    </row>
    <row r="1353" spans="87:106">
      <c r="CI1353" s="888">
        <v>968</v>
      </c>
      <c r="CJ1353" s="4" t="s">
        <v>1975</v>
      </c>
      <c r="CL1353" s="1826">
        <v>-2.9685871312599943</v>
      </c>
      <c r="CN1353" s="864"/>
      <c r="CO1353" s="1103"/>
      <c r="CR1353" s="1823">
        <v>0.32232742015764959</v>
      </c>
      <c r="CT1353" s="864"/>
      <c r="CU1353" s="1103"/>
      <c r="CV1353" s="1099"/>
      <c r="CW1353" s="1099"/>
      <c r="CX1353" s="1823">
        <v>-0.53067836285050785</v>
      </c>
      <c r="CY1353" s="1099"/>
      <c r="CZ1353" s="864"/>
      <c r="DA1353" s="1103"/>
      <c r="DB1353" s="1099"/>
    </row>
    <row r="1354" spans="87:106">
      <c r="CI1354" s="888">
        <v>968</v>
      </c>
      <c r="CJ1354" s="4" t="s">
        <v>1976</v>
      </c>
      <c r="CL1354" s="1826">
        <v>-1.6050321305984365</v>
      </c>
      <c r="CN1354" s="864"/>
      <c r="CO1354" s="1103"/>
      <c r="CR1354" s="1823">
        <v>-3.2164932226372147</v>
      </c>
      <c r="CT1354" s="864"/>
      <c r="CU1354" s="1103"/>
      <c r="CV1354" s="1099"/>
      <c r="CW1354" s="1099"/>
      <c r="CX1354" s="1823">
        <v>-1.0258440255445258</v>
      </c>
      <c r="CY1354" s="1099"/>
      <c r="CZ1354" s="864"/>
      <c r="DA1354" s="1103"/>
      <c r="DB1354" s="1099"/>
    </row>
    <row r="1355" spans="87:106">
      <c r="CI1355" s="888">
        <v>968</v>
      </c>
      <c r="CJ1355" s="1091" t="s">
        <v>1977</v>
      </c>
      <c r="CL1355" s="1826">
        <v>-11.818350772296832</v>
      </c>
      <c r="CN1355" s="1104"/>
      <c r="CO1355" s="1105"/>
      <c r="CR1355" s="1824">
        <v>-5.5641030285440314</v>
      </c>
      <c r="CT1355" s="1104"/>
      <c r="CU1355" s="1105"/>
      <c r="CV1355" s="1100"/>
      <c r="CW1355" s="1100"/>
      <c r="CX1355" s="1824">
        <v>-3.1726524401243656</v>
      </c>
      <c r="CY1355" s="1100"/>
      <c r="CZ1355" s="1104"/>
      <c r="DA1355" s="1105"/>
      <c r="DB1355" s="1100"/>
    </row>
    <row r="1356" spans="87:106">
      <c r="CI1356" s="888">
        <v>922</v>
      </c>
      <c r="CJ1356" s="4" t="s">
        <v>1978</v>
      </c>
      <c r="CL1356" s="1826"/>
      <c r="CN1356" s="1099">
        <v>-1.112211966640329</v>
      </c>
      <c r="CO1356" s="1106">
        <v>0.22</v>
      </c>
      <c r="CR1356" s="1822"/>
      <c r="CT1356" s="1102">
        <v>-0.32308961523495899</v>
      </c>
      <c r="CU1356" s="1106">
        <v>0.56999999999999995</v>
      </c>
      <c r="CV1356" s="863"/>
      <c r="CW1356" s="863"/>
      <c r="CX1356" s="1822" t="e">
        <v>#N/A</v>
      </c>
      <c r="CY1356" s="863"/>
      <c r="CZ1356" s="1099">
        <v>-1.1343020241879307</v>
      </c>
      <c r="DA1356" s="1106">
        <v>0.22</v>
      </c>
      <c r="DB1356" s="863"/>
    </row>
    <row r="1357" spans="87:106">
      <c r="CI1357" s="888">
        <v>922</v>
      </c>
      <c r="CJ1357" s="4"/>
      <c r="CL1357" s="1826"/>
      <c r="CN1357" s="1102"/>
      <c r="CO1357" s="1103"/>
      <c r="CR1357" s="1822"/>
      <c r="CT1357" s="1102"/>
      <c r="CU1357" s="1103"/>
      <c r="CV1357" s="863"/>
      <c r="CW1357" s="863"/>
      <c r="CX1357" s="1822" t="e">
        <v>#N/A</v>
      </c>
      <c r="CY1357" s="863"/>
      <c r="CZ1357" s="1102"/>
      <c r="DA1357" s="1103"/>
      <c r="DB1357" s="863"/>
    </row>
    <row r="1358" spans="87:106">
      <c r="CI1358" s="888">
        <v>922</v>
      </c>
      <c r="CJ1358" s="4"/>
      <c r="CL1358" s="1826"/>
      <c r="CN1358" s="1102"/>
      <c r="CO1358" s="1103"/>
      <c r="CR1358" s="1822"/>
      <c r="CT1358" s="1102"/>
      <c r="CU1358" s="1103"/>
      <c r="CV1358" s="863"/>
      <c r="CW1358" s="863"/>
      <c r="CX1358" s="1822" t="e">
        <v>#N/A</v>
      </c>
      <c r="CY1358" s="863"/>
      <c r="CZ1358" s="1102"/>
      <c r="DA1358" s="1103"/>
      <c r="DB1358" s="863"/>
    </row>
    <row r="1359" spans="87:106">
      <c r="CI1359" s="888">
        <v>922</v>
      </c>
      <c r="CJ1359" s="4"/>
      <c r="CL1359" s="1826"/>
      <c r="CN1359" s="1102"/>
      <c r="CO1359" s="1103"/>
      <c r="CR1359" s="1825"/>
      <c r="CT1359" s="1102"/>
      <c r="CU1359" s="1103"/>
      <c r="CV1359" s="1099"/>
      <c r="CW1359" s="1099"/>
      <c r="CX1359" s="1825" t="e">
        <v>#N/A</v>
      </c>
      <c r="CY1359" s="1099"/>
      <c r="CZ1359" s="1102"/>
      <c r="DA1359" s="1103"/>
      <c r="DB1359" s="1099"/>
    </row>
    <row r="1360" spans="87:106">
      <c r="CI1360" s="888">
        <v>922</v>
      </c>
      <c r="CJ1360" s="4" t="s">
        <v>2501</v>
      </c>
      <c r="CL1360" s="1826">
        <v>0.73625064963708187</v>
      </c>
      <c r="CN1360" s="1102"/>
      <c r="CO1360" s="1103"/>
      <c r="CR1360" s="1823">
        <v>1.1762995682608255</v>
      </c>
      <c r="CT1360" s="1102"/>
      <c r="CU1360" s="1103"/>
      <c r="CV1360" s="1099"/>
      <c r="CW1360" s="1099"/>
      <c r="CX1360" s="1823">
        <v>-1.1343020241879307</v>
      </c>
      <c r="CY1360" s="1099"/>
      <c r="CZ1360" s="1102"/>
      <c r="DA1360" s="1103"/>
      <c r="DB1360" s="1099"/>
    </row>
    <row r="1361" spans="87:106">
      <c r="CI1361" s="888">
        <v>922</v>
      </c>
      <c r="CJ1361" s="4" t="s">
        <v>2369</v>
      </c>
      <c r="CL1361" s="1826">
        <v>0.89560527406863755</v>
      </c>
      <c r="CN1361" s="1102"/>
      <c r="CO1361" s="1103"/>
      <c r="CR1361" s="1823">
        <v>-1.2271420942973978</v>
      </c>
      <c r="CT1361" s="1102"/>
      <c r="CU1361" s="1103"/>
      <c r="CV1361" s="1099"/>
      <c r="CW1361" s="1099"/>
      <c r="CX1361" s="1823">
        <v>-12.740032246669209</v>
      </c>
      <c r="CY1361" s="1099"/>
      <c r="CZ1361" s="1102"/>
      <c r="DA1361" s="1103"/>
      <c r="DB1361" s="1099"/>
    </row>
    <row r="1362" spans="87:106">
      <c r="CI1362" s="888">
        <v>922</v>
      </c>
      <c r="CJ1362" s="4" t="s">
        <v>1979</v>
      </c>
      <c r="CL1362" s="1826">
        <v>-5.1594002064916769</v>
      </c>
      <c r="CN1362" s="1102"/>
      <c r="CO1362" s="1103"/>
      <c r="CR1362" s="1823">
        <v>-2.82898645110786</v>
      </c>
      <c r="CT1362" s="1102"/>
      <c r="CU1362" s="1103"/>
      <c r="CV1362" s="1099"/>
      <c r="CW1362" s="1099"/>
      <c r="CX1362" s="1823">
        <v>3.4424102140524484</v>
      </c>
      <c r="CY1362" s="1099"/>
      <c r="CZ1362" s="1102"/>
      <c r="DA1362" s="1103"/>
      <c r="DB1362" s="1099"/>
    </row>
    <row r="1363" spans="87:106">
      <c r="CI1363" s="888">
        <v>922</v>
      </c>
      <c r="CJ1363" s="4" t="s">
        <v>1980</v>
      </c>
      <c r="CL1363" s="1826">
        <v>-3.0347512171512672</v>
      </c>
      <c r="CN1363" s="1102"/>
      <c r="CO1363" s="1103"/>
      <c r="CR1363" s="1823">
        <v>-0.32308961523495899</v>
      </c>
      <c r="CT1363" s="1102"/>
      <c r="CU1363" s="1103"/>
      <c r="CV1363" s="1099"/>
      <c r="CW1363" s="1099"/>
      <c r="CX1363" s="1823">
        <v>2.9252225567832273</v>
      </c>
      <c r="CY1363" s="1099"/>
      <c r="CZ1363" s="1102"/>
      <c r="DA1363" s="1103"/>
      <c r="DB1363" s="1099"/>
    </row>
    <row r="1364" spans="87:106">
      <c r="CI1364" s="888">
        <v>922</v>
      </c>
      <c r="CJ1364" s="4" t="s">
        <v>1981</v>
      </c>
      <c r="CL1364" s="1826">
        <v>-2.6333957059367581</v>
      </c>
      <c r="CN1364" s="864"/>
      <c r="CO1364" s="1103"/>
      <c r="CR1364" s="1823">
        <v>-1.2024157069746644</v>
      </c>
      <c r="CT1364" s="864"/>
      <c r="CU1364" s="1103"/>
      <c r="CV1364" s="1099"/>
      <c r="CW1364" s="1099"/>
      <c r="CX1364" s="1823">
        <v>-3.3262357952909083</v>
      </c>
      <c r="CY1364" s="1099"/>
      <c r="CZ1364" s="864"/>
      <c r="DA1364" s="1103"/>
      <c r="DB1364" s="1099"/>
    </row>
    <row r="1365" spans="87:106">
      <c r="CI1365" s="888">
        <v>922</v>
      </c>
      <c r="CJ1365" s="4" t="s">
        <v>1982</v>
      </c>
      <c r="CL1365" s="1826">
        <v>-1.112211966640329</v>
      </c>
      <c r="CN1365" s="864"/>
      <c r="CO1365" s="1103"/>
      <c r="CR1365" s="1823">
        <v>1.7150122020512475</v>
      </c>
      <c r="CT1365" s="864"/>
      <c r="CU1365" s="1103"/>
      <c r="CV1365" s="1099"/>
      <c r="CW1365" s="1099"/>
      <c r="CX1365" s="1823">
        <v>-0.85138026448122517</v>
      </c>
      <c r="CY1365" s="1099"/>
      <c r="CZ1365" s="864"/>
      <c r="DA1365" s="1103"/>
      <c r="DB1365" s="1099"/>
    </row>
    <row r="1366" spans="87:106">
      <c r="CI1366" s="888">
        <v>922</v>
      </c>
      <c r="CJ1366" s="4" t="s">
        <v>1983</v>
      </c>
      <c r="CL1366" s="1826">
        <v>1.0131791901358573</v>
      </c>
      <c r="CN1366" s="864"/>
      <c r="CO1366" s="1103"/>
      <c r="CR1366" s="1823">
        <v>3.8387961388648177</v>
      </c>
      <c r="CT1366" s="864"/>
      <c r="CU1366" s="1103"/>
      <c r="CV1366" s="1099"/>
      <c r="CW1366" s="1099"/>
      <c r="CX1366" s="1823">
        <v>9.0102783848227155</v>
      </c>
      <c r="CY1366" s="1099"/>
      <c r="CZ1366" s="864"/>
      <c r="DA1366" s="1103"/>
      <c r="DB1366" s="1099"/>
    </row>
    <row r="1367" spans="87:106">
      <c r="CI1367" s="888">
        <v>922</v>
      </c>
      <c r="CJ1367" s="4" t="s">
        <v>1984</v>
      </c>
      <c r="CL1367" s="1826">
        <v>3.8000000000001926</v>
      </c>
      <c r="CN1367" s="864"/>
      <c r="CO1367" s="1103"/>
      <c r="CR1367" s="1823">
        <v>1.2440089338332863</v>
      </c>
      <c r="CT1367" s="864"/>
      <c r="CU1367" s="1103"/>
      <c r="CV1367" s="1099"/>
      <c r="CW1367" s="1099"/>
      <c r="CX1367" s="1823">
        <v>-2.6843803921857194</v>
      </c>
      <c r="CY1367" s="1099"/>
      <c r="CZ1367" s="864"/>
      <c r="DA1367" s="1103"/>
      <c r="DB1367" s="1099"/>
    </row>
    <row r="1368" spans="87:106">
      <c r="CI1368" s="888">
        <v>922</v>
      </c>
      <c r="CJ1368" s="1091" t="s">
        <v>1985</v>
      </c>
      <c r="CL1368" s="1826">
        <v>-14.099999999999993</v>
      </c>
      <c r="CN1368" s="1104"/>
      <c r="CO1368" s="1105"/>
      <c r="CR1368" s="1824">
        <v>-9.3456906612711101</v>
      </c>
      <c r="CT1368" s="1104"/>
      <c r="CU1368" s="1105"/>
      <c r="CV1368" s="1100"/>
      <c r="CW1368" s="1100"/>
      <c r="CX1368" s="1824">
        <v>-7.2472435621141713</v>
      </c>
      <c r="CY1368" s="1100"/>
      <c r="CZ1368" s="1104"/>
      <c r="DA1368" s="1105"/>
      <c r="DB1368" s="1100"/>
    </row>
    <row r="1369" spans="87:106">
      <c r="CI1369" s="888">
        <v>456</v>
      </c>
      <c r="CJ1369" s="4" t="s">
        <v>1986</v>
      </c>
      <c r="CL1369" s="1826"/>
      <c r="CN1369" s="1099">
        <v>-0.52666264076879576</v>
      </c>
      <c r="CO1369" s="1106">
        <v>0.41</v>
      </c>
      <c r="CR1369" s="1822"/>
      <c r="CT1369" s="1102">
        <v>-1.7513390291750852</v>
      </c>
      <c r="CU1369" s="1106">
        <v>0.19</v>
      </c>
      <c r="CV1369" s="863"/>
      <c r="CW1369" s="863"/>
      <c r="CX1369" s="1822" t="e">
        <v>#N/A</v>
      </c>
      <c r="CY1369" s="863"/>
      <c r="CZ1369" s="1099">
        <v>0.52539675807161568</v>
      </c>
      <c r="DA1369" s="1106">
        <v>0.78</v>
      </c>
      <c r="DB1369" s="863"/>
    </row>
    <row r="1370" spans="87:106">
      <c r="CI1370" s="888">
        <v>456</v>
      </c>
      <c r="CJ1370" s="4"/>
      <c r="CL1370" s="1826"/>
      <c r="CN1370" s="1102"/>
      <c r="CO1370" s="1103"/>
      <c r="CR1370" s="1822"/>
      <c r="CT1370" s="1102"/>
      <c r="CU1370" s="1103"/>
      <c r="CV1370" s="863"/>
      <c r="CW1370" s="863"/>
      <c r="CX1370" s="1822" t="e">
        <v>#N/A</v>
      </c>
      <c r="CY1370" s="863"/>
      <c r="CZ1370" s="1102"/>
      <c r="DA1370" s="1103"/>
      <c r="DB1370" s="863"/>
    </row>
    <row r="1371" spans="87:106">
      <c r="CI1371" s="888">
        <v>456</v>
      </c>
      <c r="CJ1371" s="4"/>
      <c r="CL1371" s="1826"/>
      <c r="CN1371" s="1102"/>
      <c r="CO1371" s="1103"/>
      <c r="CR1371" s="1822"/>
      <c r="CT1371" s="1102"/>
      <c r="CU1371" s="1103"/>
      <c r="CV1371" s="863"/>
      <c r="CW1371" s="863"/>
      <c r="CX1371" s="1822" t="e">
        <v>#N/A</v>
      </c>
      <c r="CY1371" s="863"/>
      <c r="CZ1371" s="1102"/>
      <c r="DA1371" s="1103"/>
      <c r="DB1371" s="863"/>
    </row>
    <row r="1372" spans="87:106">
      <c r="CI1372" s="888">
        <v>456</v>
      </c>
      <c r="CJ1372" s="4"/>
      <c r="CL1372" s="1826"/>
      <c r="CN1372" s="1102"/>
      <c r="CO1372" s="1103"/>
      <c r="CR1372" s="1825"/>
      <c r="CT1372" s="1102"/>
      <c r="CU1372" s="1103"/>
      <c r="CV1372" s="1099"/>
      <c r="CW1372" s="1099"/>
      <c r="CX1372" s="1825" t="e">
        <v>#N/A</v>
      </c>
      <c r="CY1372" s="1099"/>
      <c r="CZ1372" s="1102"/>
      <c r="DA1372" s="1103"/>
      <c r="DB1372" s="1099"/>
    </row>
    <row r="1373" spans="87:106">
      <c r="CI1373" s="888">
        <v>456</v>
      </c>
      <c r="CJ1373" s="4" t="s">
        <v>2502</v>
      </c>
      <c r="CL1373" s="1826">
        <v>-2.651613956675992</v>
      </c>
      <c r="CN1373" s="1102"/>
      <c r="CO1373" s="1103"/>
      <c r="CR1373" s="1823">
        <v>2.3579734570613642</v>
      </c>
      <c r="CT1373" s="1102"/>
      <c r="CU1373" s="1103"/>
      <c r="CV1373" s="1099"/>
      <c r="CW1373" s="1099"/>
      <c r="CX1373" s="1823">
        <v>2.1280337538680349</v>
      </c>
      <c r="CY1373" s="1099"/>
      <c r="CZ1373" s="1102"/>
      <c r="DA1373" s="1103"/>
      <c r="DB1373" s="1099"/>
    </row>
    <row r="1374" spans="87:106">
      <c r="CI1374" s="888">
        <v>456</v>
      </c>
      <c r="CJ1374" s="4" t="s">
        <v>2370</v>
      </c>
      <c r="CL1374" s="1826">
        <v>-1.0600905405225018</v>
      </c>
      <c r="CN1374" s="1102"/>
      <c r="CO1374" s="1103"/>
      <c r="CR1374" s="1823">
        <v>-11.403377727404692</v>
      </c>
      <c r="CT1374" s="1102"/>
      <c r="CU1374" s="1103"/>
      <c r="CV1374" s="1099"/>
      <c r="CW1374" s="1099"/>
      <c r="CX1374" s="1823">
        <v>-8.8949271148689046</v>
      </c>
      <c r="CY1374" s="1099"/>
      <c r="CZ1374" s="1102"/>
      <c r="DA1374" s="1103"/>
      <c r="DB1374" s="1099"/>
    </row>
    <row r="1375" spans="87:106">
      <c r="CI1375" s="888">
        <v>456</v>
      </c>
      <c r="CJ1375" s="4" t="s">
        <v>1987</v>
      </c>
      <c r="CL1375" s="1826">
        <v>-9.8855378400519278E-2</v>
      </c>
      <c r="CN1375" s="1102"/>
      <c r="CO1375" s="1103"/>
      <c r="CR1375" s="1823">
        <v>-21.509579277424713</v>
      </c>
      <c r="CT1375" s="1102"/>
      <c r="CU1375" s="1103"/>
      <c r="CV1375" s="1099"/>
      <c r="CW1375" s="1099"/>
      <c r="CX1375" s="1823">
        <v>-15.464492165687306</v>
      </c>
      <c r="CY1375" s="1099"/>
      <c r="CZ1375" s="1102"/>
      <c r="DA1375" s="1103"/>
      <c r="DB1375" s="1099"/>
    </row>
    <row r="1376" spans="87:106">
      <c r="CI1376" s="888">
        <v>456</v>
      </c>
      <c r="CJ1376" s="4" t="s">
        <v>1988</v>
      </c>
      <c r="CL1376" s="1826">
        <v>-0.52666264076879576</v>
      </c>
      <c r="CN1376" s="1102"/>
      <c r="CO1376" s="1103"/>
      <c r="CR1376" s="1823">
        <v>-10.544829637513553</v>
      </c>
      <c r="CT1376" s="1102"/>
      <c r="CU1376" s="1103"/>
      <c r="CV1376" s="1099"/>
      <c r="CW1376" s="1099"/>
      <c r="CX1376" s="1823">
        <v>-0.32574364561250135</v>
      </c>
      <c r="CY1376" s="1099"/>
      <c r="CZ1376" s="1102"/>
      <c r="DA1376" s="1103"/>
      <c r="DB1376" s="1099"/>
    </row>
    <row r="1377" spans="87:106">
      <c r="CI1377" s="888">
        <v>456</v>
      </c>
      <c r="CJ1377" s="4" t="s">
        <v>1989</v>
      </c>
      <c r="CL1377" s="1826">
        <v>-1.4764093579653736</v>
      </c>
      <c r="CN1377" s="864"/>
      <c r="CO1377" s="1103"/>
      <c r="CR1377" s="1823">
        <v>-1.7513390291750852</v>
      </c>
      <c r="CT1377" s="864"/>
      <c r="CU1377" s="1103"/>
      <c r="CV1377" s="1099"/>
      <c r="CW1377" s="1099"/>
      <c r="CX1377" s="1823">
        <v>0.52539675807161568</v>
      </c>
      <c r="CY1377" s="1099"/>
      <c r="CZ1377" s="864"/>
      <c r="DA1377" s="1103"/>
      <c r="DB1377" s="1099"/>
    </row>
    <row r="1378" spans="87:106">
      <c r="CI1378" s="888">
        <v>456</v>
      </c>
      <c r="CJ1378" s="4" t="s">
        <v>1990</v>
      </c>
      <c r="CL1378" s="1826">
        <v>2.7963914726640544</v>
      </c>
      <c r="CN1378" s="864"/>
      <c r="CO1378" s="1103"/>
      <c r="CR1378" s="1823">
        <v>0.68108338813841129</v>
      </c>
      <c r="CT1378" s="864"/>
      <c r="CU1378" s="1103"/>
      <c r="CV1378" s="1099"/>
      <c r="CW1378" s="1099"/>
      <c r="CX1378" s="1823">
        <v>1.9265027672280119</v>
      </c>
      <c r="CY1378" s="1099"/>
      <c r="CZ1378" s="864"/>
      <c r="DA1378" s="1103"/>
      <c r="DB1378" s="1099"/>
    </row>
    <row r="1379" spans="87:106">
      <c r="CI1379" s="888">
        <v>456</v>
      </c>
      <c r="CJ1379" s="4" t="s">
        <v>1991</v>
      </c>
      <c r="CL1379" s="1826">
        <v>4.440966470436706</v>
      </c>
      <c r="CN1379" s="864"/>
      <c r="CO1379" s="1103"/>
      <c r="CR1379" s="1823">
        <v>3.9199496362189254</v>
      </c>
      <c r="CT1379" s="864"/>
      <c r="CU1379" s="1103"/>
      <c r="CV1379" s="1099"/>
      <c r="CW1379" s="1099"/>
      <c r="CX1379" s="1823">
        <v>12.415688835259584</v>
      </c>
      <c r="CY1379" s="1099"/>
      <c r="CZ1379" s="864"/>
      <c r="DA1379" s="1103"/>
      <c r="DB1379" s="1099"/>
    </row>
    <row r="1380" spans="87:106">
      <c r="CI1380" s="888">
        <v>456</v>
      </c>
      <c r="CJ1380" s="4" t="s">
        <v>1992</v>
      </c>
      <c r="CL1380" s="1826">
        <v>1.742045936552052</v>
      </c>
      <c r="CN1380" s="864"/>
      <c r="CO1380" s="1103"/>
      <c r="CR1380" s="1823">
        <v>8.1690058150751117</v>
      </c>
      <c r="CT1380" s="864"/>
      <c r="CU1380" s="1103"/>
      <c r="CV1380" s="1099"/>
      <c r="CW1380" s="1099"/>
      <c r="CX1380" s="1823">
        <v>4.228387808766362</v>
      </c>
      <c r="CY1380" s="1099"/>
      <c r="CZ1380" s="864"/>
      <c r="DA1380" s="1103"/>
      <c r="DB1380" s="1099"/>
    </row>
    <row r="1381" spans="87:106">
      <c r="CI1381" s="888">
        <v>456</v>
      </c>
      <c r="CJ1381" s="1091" t="s">
        <v>1993</v>
      </c>
      <c r="CL1381" s="1826">
        <v>-5.005222896994554</v>
      </c>
      <c r="CN1381" s="1104"/>
      <c r="CO1381" s="1105"/>
      <c r="CR1381" s="1824">
        <v>-26.189151440743395</v>
      </c>
      <c r="CT1381" s="1104"/>
      <c r="CU1381" s="1105"/>
      <c r="CV1381" s="1100"/>
      <c r="CW1381" s="1100"/>
      <c r="CX1381" s="1824">
        <v>-24.746863138331996</v>
      </c>
      <c r="CY1381" s="1100"/>
      <c r="CZ1381" s="1104"/>
      <c r="DA1381" s="1105"/>
      <c r="DB1381" s="1100"/>
    </row>
    <row r="1382" spans="87:106">
      <c r="CI1382" s="888">
        <v>722</v>
      </c>
      <c r="CJ1382" s="4" t="s">
        <v>1994</v>
      </c>
      <c r="CL1382" s="1826"/>
      <c r="CN1382" s="1099">
        <v>-0.25221316418231421</v>
      </c>
      <c r="CO1382" s="1106">
        <v>0.53</v>
      </c>
      <c r="CR1382" s="1822"/>
      <c r="CT1382" s="1102">
        <v>-0.81304699090046029</v>
      </c>
      <c r="CU1382" s="1106">
        <v>0.41</v>
      </c>
      <c r="CV1382" s="863"/>
      <c r="CW1382" s="863"/>
      <c r="CX1382" s="1822" t="e">
        <v>#N/A</v>
      </c>
      <c r="CY1382" s="863"/>
      <c r="CZ1382" s="1099">
        <v>-1.1426379307522767</v>
      </c>
      <c r="DA1382" s="1106">
        <v>0.22</v>
      </c>
      <c r="DB1382" s="863"/>
    </row>
    <row r="1383" spans="87:106">
      <c r="CI1383" s="888">
        <v>722</v>
      </c>
      <c r="CJ1383" s="4"/>
      <c r="CL1383" s="1826"/>
      <c r="CN1383" s="1102"/>
      <c r="CO1383" s="1103"/>
      <c r="CR1383" s="1822"/>
      <c r="CT1383" s="1102"/>
      <c r="CU1383" s="1103"/>
      <c r="CV1383" s="863"/>
      <c r="CW1383" s="863"/>
      <c r="CX1383" s="1822" t="e">
        <v>#N/A</v>
      </c>
      <c r="CY1383" s="863"/>
      <c r="CZ1383" s="1102"/>
      <c r="DA1383" s="1103"/>
      <c r="DB1383" s="863"/>
    </row>
    <row r="1384" spans="87:106">
      <c r="CI1384" s="888">
        <v>722</v>
      </c>
      <c r="CJ1384" s="4"/>
      <c r="CL1384" s="1826"/>
      <c r="CN1384" s="1102"/>
      <c r="CO1384" s="1103"/>
      <c r="CR1384" s="1822"/>
      <c r="CT1384" s="1102"/>
      <c r="CU1384" s="1103"/>
      <c r="CV1384" s="863"/>
      <c r="CW1384" s="863"/>
      <c r="CX1384" s="1822" t="e">
        <v>#N/A</v>
      </c>
      <c r="CY1384" s="863"/>
      <c r="CZ1384" s="1102"/>
      <c r="DA1384" s="1103"/>
      <c r="DB1384" s="863"/>
    </row>
    <row r="1385" spans="87:106">
      <c r="CI1385" s="888">
        <v>722</v>
      </c>
      <c r="CJ1385" s="4"/>
      <c r="CL1385" s="1826"/>
      <c r="CN1385" s="1102"/>
      <c r="CO1385" s="1103"/>
      <c r="CR1385" s="1825"/>
      <c r="CT1385" s="1102"/>
      <c r="CU1385" s="1103"/>
      <c r="CV1385" s="1099"/>
      <c r="CW1385" s="1099"/>
      <c r="CX1385" s="1825" t="e">
        <v>#N/A</v>
      </c>
      <c r="CY1385" s="1099"/>
      <c r="CZ1385" s="1102"/>
      <c r="DA1385" s="1103"/>
      <c r="DB1385" s="1099"/>
    </row>
    <row r="1386" spans="87:106">
      <c r="CI1386" s="888">
        <v>722</v>
      </c>
      <c r="CJ1386" s="4" t="s">
        <v>2503</v>
      </c>
      <c r="CL1386" s="1826">
        <v>0.31698374193789736</v>
      </c>
      <c r="CN1386" s="1102"/>
      <c r="CO1386" s="1103"/>
      <c r="CR1386" s="1823">
        <v>-0.14167500522979259</v>
      </c>
      <c r="CT1386" s="1102"/>
      <c r="CU1386" s="1103"/>
      <c r="CV1386" s="1099"/>
      <c r="CW1386" s="1099"/>
      <c r="CX1386" s="1823">
        <v>0.57337074341524907</v>
      </c>
      <c r="CY1386" s="1099"/>
      <c r="CZ1386" s="1102"/>
      <c r="DA1386" s="1103"/>
      <c r="DB1386" s="1099"/>
    </row>
    <row r="1387" spans="87:106">
      <c r="CI1387" s="888">
        <v>722</v>
      </c>
      <c r="CJ1387" s="4" t="s">
        <v>2371</v>
      </c>
      <c r="CL1387" s="1826">
        <v>1.6707255293170675</v>
      </c>
      <c r="CN1387" s="1102"/>
      <c r="CO1387" s="1103"/>
      <c r="CR1387" s="1823">
        <v>0.39471599777709621</v>
      </c>
      <c r="CT1387" s="1102"/>
      <c r="CU1387" s="1103"/>
      <c r="CV1387" s="1099"/>
      <c r="CW1387" s="1099"/>
      <c r="CX1387" s="1823">
        <v>-1.1426379307522767</v>
      </c>
      <c r="CY1387" s="1099"/>
      <c r="CZ1387" s="1102"/>
      <c r="DA1387" s="1103"/>
      <c r="DB1387" s="1099"/>
    </row>
    <row r="1388" spans="87:106">
      <c r="CI1388" s="888">
        <v>722</v>
      </c>
      <c r="CJ1388" s="4" t="s">
        <v>1995</v>
      </c>
      <c r="CL1388" s="1826">
        <v>1.6652145222343551</v>
      </c>
      <c r="CN1388" s="1102"/>
      <c r="CO1388" s="1103"/>
      <c r="CR1388" s="1823">
        <v>-0.81304699090046029</v>
      </c>
      <c r="CT1388" s="1102"/>
      <c r="CU1388" s="1103"/>
      <c r="CV1388" s="1099"/>
      <c r="CW1388" s="1099"/>
      <c r="CX1388" s="1823">
        <v>-2.2812827704267171</v>
      </c>
      <c r="CY1388" s="1099"/>
      <c r="CZ1388" s="1102"/>
      <c r="DA1388" s="1103"/>
      <c r="DB1388" s="1099"/>
    </row>
    <row r="1389" spans="87:106">
      <c r="CI1389" s="888">
        <v>722</v>
      </c>
      <c r="CJ1389" s="4" t="s">
        <v>1996</v>
      </c>
      <c r="CL1389" s="1826">
        <v>-0.25221316418231421</v>
      </c>
      <c r="CN1389" s="1102"/>
      <c r="CO1389" s="1103"/>
      <c r="CR1389" s="1823">
        <v>-0.70627685862072287</v>
      </c>
      <c r="CT1389" s="1102"/>
      <c r="CU1389" s="1103"/>
      <c r="CV1389" s="1099"/>
      <c r="CW1389" s="1099"/>
      <c r="CX1389" s="1823">
        <v>-3.2471417234659663</v>
      </c>
      <c r="CY1389" s="1099"/>
      <c r="CZ1389" s="1102"/>
      <c r="DA1389" s="1103"/>
      <c r="DB1389" s="1099"/>
    </row>
    <row r="1390" spans="87:106">
      <c r="CI1390" s="888">
        <v>722</v>
      </c>
      <c r="CJ1390" s="4" t="s">
        <v>1997</v>
      </c>
      <c r="CL1390" s="1826">
        <v>-1.0622551421218103</v>
      </c>
      <c r="CN1390" s="864"/>
      <c r="CO1390" s="1103"/>
      <c r="CR1390" s="1823">
        <v>-1.0692614665090665</v>
      </c>
      <c r="CT1390" s="864"/>
      <c r="CU1390" s="1103"/>
      <c r="CV1390" s="1099"/>
      <c r="CW1390" s="1099"/>
      <c r="CX1390" s="1823">
        <v>-3.9247593344419744</v>
      </c>
      <c r="CY1390" s="1099"/>
      <c r="CZ1390" s="864"/>
      <c r="DA1390" s="1103"/>
      <c r="DB1390" s="1099"/>
    </row>
    <row r="1391" spans="87:106">
      <c r="CI1391" s="888">
        <v>722</v>
      </c>
      <c r="CJ1391" s="4" t="s">
        <v>1998</v>
      </c>
      <c r="CL1391" s="1826">
        <v>-1.3190932008736973</v>
      </c>
      <c r="CN1391" s="864"/>
      <c r="CO1391" s="1103"/>
      <c r="CR1391" s="1823">
        <v>-0.16209754165745949</v>
      </c>
      <c r="CT1391" s="864"/>
      <c r="CU1391" s="1103"/>
      <c r="CV1391" s="1099"/>
      <c r="CW1391" s="1099"/>
      <c r="CX1391" s="1823">
        <v>-0.63085773641360698</v>
      </c>
      <c r="CY1391" s="1099"/>
      <c r="CZ1391" s="864"/>
      <c r="DA1391" s="1103"/>
      <c r="DB1391" s="1099"/>
    </row>
    <row r="1392" spans="87:106">
      <c r="CI1392" s="888">
        <v>722</v>
      </c>
      <c r="CJ1392" s="4" t="s">
        <v>1999</v>
      </c>
      <c r="CL1392" s="1826">
        <v>-1.4749442096386214</v>
      </c>
      <c r="CN1392" s="864"/>
      <c r="CO1392" s="1103"/>
      <c r="CR1392" s="1823">
        <v>-1.5248047372130813</v>
      </c>
      <c r="CT1392" s="864"/>
      <c r="CU1392" s="1103"/>
      <c r="CV1392" s="1099"/>
      <c r="CW1392" s="1099"/>
      <c r="CX1392" s="1823">
        <v>2.2521394526885863</v>
      </c>
      <c r="CY1392" s="1099"/>
      <c r="CZ1392" s="864"/>
      <c r="DA1392" s="1103"/>
      <c r="DB1392" s="1099"/>
    </row>
    <row r="1393" spans="87:106">
      <c r="CI1393" s="888">
        <v>722</v>
      </c>
      <c r="CJ1393" s="4" t="s">
        <v>2000</v>
      </c>
      <c r="CL1393" s="1826">
        <v>0.69314519875606972</v>
      </c>
      <c r="CN1393" s="864"/>
      <c r="CO1393" s="1103"/>
      <c r="CR1393" s="1823">
        <v>-1.1174664346791996</v>
      </c>
      <c r="CT1393" s="864"/>
      <c r="CU1393" s="1103"/>
      <c r="CV1393" s="1099"/>
      <c r="CW1393" s="1099"/>
      <c r="CX1393" s="1823">
        <v>-0.64770772797581255</v>
      </c>
      <c r="CY1393" s="1099"/>
      <c r="CZ1393" s="864"/>
      <c r="DA1393" s="1103"/>
      <c r="DB1393" s="1099"/>
    </row>
    <row r="1394" spans="87:106">
      <c r="CI1394" s="888">
        <v>722</v>
      </c>
      <c r="CJ1394" s="1091" t="s">
        <v>2001</v>
      </c>
      <c r="CL1394" s="1826">
        <v>-3.7350202450399754</v>
      </c>
      <c r="CN1394" s="1104"/>
      <c r="CO1394" s="1105"/>
      <c r="CR1394" s="1824">
        <v>-0.87004896306307256</v>
      </c>
      <c r="CT1394" s="1104"/>
      <c r="CU1394" s="1105"/>
      <c r="CV1394" s="1100"/>
      <c r="CW1394" s="1100"/>
      <c r="CX1394" s="1824">
        <v>-3.3448025412872338</v>
      </c>
      <c r="CY1394" s="1100"/>
      <c r="CZ1394" s="1104"/>
      <c r="DA1394" s="1105"/>
      <c r="DB1394" s="1100"/>
    </row>
    <row r="1395" spans="87:106">
      <c r="CI1395" s="888">
        <v>942</v>
      </c>
      <c r="CJ1395" s="4" t="s">
        <v>2002</v>
      </c>
      <c r="CL1395" s="1826"/>
      <c r="CN1395" s="1099">
        <v>-0.74331452937192666</v>
      </c>
      <c r="CO1395" s="1106">
        <v>0.33</v>
      </c>
      <c r="CR1395" s="1822"/>
      <c r="CT1395" s="1102">
        <v>-0.50854538456682086</v>
      </c>
      <c r="CU1395" s="1106">
        <v>0.49</v>
      </c>
      <c r="CV1395" s="863"/>
      <c r="CW1395" s="863"/>
      <c r="CX1395" s="1822" t="e">
        <v>#N/A</v>
      </c>
      <c r="CY1395" s="863"/>
      <c r="CZ1395" s="1099">
        <v>0.49924353848139491</v>
      </c>
      <c r="DA1395" s="1106">
        <v>0.77</v>
      </c>
      <c r="DB1395" s="863"/>
    </row>
    <row r="1396" spans="87:106">
      <c r="CI1396" s="888">
        <v>942</v>
      </c>
      <c r="CJ1396" s="4"/>
      <c r="CL1396" s="1826"/>
      <c r="CN1396" s="1102"/>
      <c r="CO1396" s="1103"/>
      <c r="CR1396" s="1822"/>
      <c r="CT1396" s="1102"/>
      <c r="CU1396" s="1103"/>
      <c r="CV1396" s="863"/>
      <c r="CW1396" s="863"/>
      <c r="CX1396" s="1822" t="e">
        <v>#N/A</v>
      </c>
      <c r="CY1396" s="863"/>
      <c r="CZ1396" s="1102"/>
      <c r="DA1396" s="1103"/>
      <c r="DB1396" s="863"/>
    </row>
    <row r="1397" spans="87:106">
      <c r="CI1397" s="888">
        <v>942</v>
      </c>
      <c r="CJ1397" s="4"/>
      <c r="CL1397" s="1826"/>
      <c r="CN1397" s="1102"/>
      <c r="CO1397" s="1103"/>
      <c r="CR1397" s="1822"/>
      <c r="CT1397" s="1102"/>
      <c r="CU1397" s="1103"/>
      <c r="CV1397" s="863"/>
      <c r="CW1397" s="863"/>
      <c r="CX1397" s="1822" t="e">
        <v>#N/A</v>
      </c>
      <c r="CY1397" s="863"/>
      <c r="CZ1397" s="1102"/>
      <c r="DA1397" s="1103"/>
      <c r="DB1397" s="863"/>
    </row>
    <row r="1398" spans="87:106">
      <c r="CI1398" s="888">
        <v>942</v>
      </c>
      <c r="CJ1398" s="4"/>
      <c r="CL1398" s="1826"/>
      <c r="CN1398" s="1102"/>
      <c r="CO1398" s="1103"/>
      <c r="CR1398" s="1825"/>
      <c r="CT1398" s="1102"/>
      <c r="CU1398" s="1103"/>
      <c r="CV1398" s="1099"/>
      <c r="CW1398" s="1099"/>
      <c r="CX1398" s="1825" t="e">
        <v>#N/A</v>
      </c>
      <c r="CY1398" s="1099"/>
      <c r="CZ1398" s="1102"/>
      <c r="DA1398" s="1103"/>
      <c r="DB1398" s="1099"/>
    </row>
    <row r="1399" spans="87:106">
      <c r="CI1399" s="888">
        <v>942</v>
      </c>
      <c r="CJ1399" s="4" t="s">
        <v>2504</v>
      </c>
      <c r="CL1399" s="1826">
        <v>-0.43784874573109356</v>
      </c>
      <c r="CN1399" s="1102"/>
      <c r="CO1399" s="1103"/>
      <c r="CR1399" s="1823">
        <v>2.9741884074057685</v>
      </c>
      <c r="CT1399" s="1102"/>
      <c r="CU1399" s="1103"/>
      <c r="CV1399" s="1099"/>
      <c r="CW1399" s="1099"/>
      <c r="CX1399" s="1823">
        <v>0.49924353848139491</v>
      </c>
      <c r="CY1399" s="1099"/>
      <c r="CZ1399" s="1102"/>
      <c r="DA1399" s="1103"/>
      <c r="DB1399" s="1099"/>
    </row>
    <row r="1400" spans="87:106">
      <c r="CI1400" s="888">
        <v>942</v>
      </c>
      <c r="CJ1400" s="4" t="s">
        <v>2372</v>
      </c>
      <c r="CL1400" s="1826">
        <v>1.297323718590546</v>
      </c>
      <c r="CN1400" s="1102"/>
      <c r="CO1400" s="1103"/>
      <c r="CR1400" s="1823">
        <v>2.650973948931405</v>
      </c>
      <c r="CT1400" s="1102"/>
      <c r="CU1400" s="1103"/>
      <c r="CV1400" s="1099"/>
      <c r="CW1400" s="1099"/>
      <c r="CX1400" s="1823">
        <v>-1.5654552950191984</v>
      </c>
      <c r="CY1400" s="1099"/>
      <c r="CZ1400" s="1102"/>
      <c r="DA1400" s="1103"/>
      <c r="DB1400" s="1099"/>
    </row>
    <row r="1401" spans="87:106">
      <c r="CI1401" s="888">
        <v>942</v>
      </c>
      <c r="CJ1401" s="4" t="s">
        <v>2003</v>
      </c>
      <c r="CL1401" s="1826">
        <v>-0.74331452937192666</v>
      </c>
      <c r="CN1401" s="1102"/>
      <c r="CO1401" s="1103"/>
      <c r="CR1401" s="1823">
        <v>4.0493990620361942</v>
      </c>
      <c r="CT1401" s="1102"/>
      <c r="CU1401" s="1103"/>
      <c r="CV1401" s="1099"/>
      <c r="CW1401" s="1099"/>
      <c r="CX1401" s="1823">
        <v>-1.5243584497167881</v>
      </c>
      <c r="CY1401" s="1099"/>
      <c r="CZ1401" s="1102"/>
      <c r="DA1401" s="1103"/>
      <c r="DB1401" s="1099"/>
    </row>
    <row r="1402" spans="87:106">
      <c r="CI1402" s="888">
        <v>942</v>
      </c>
      <c r="CJ1402" s="4" t="s">
        <v>2004</v>
      </c>
      <c r="CL1402" s="1826">
        <v>-3.8317607825878133</v>
      </c>
      <c r="CN1402" s="1102"/>
      <c r="CO1402" s="1103"/>
      <c r="CR1402" s="1823">
        <v>-3.2652365301059549</v>
      </c>
      <c r="CT1402" s="1102"/>
      <c r="CU1402" s="1103"/>
      <c r="CV1402" s="1099"/>
      <c r="CW1402" s="1099"/>
      <c r="CX1402" s="1823">
        <v>-2.5776393993467721</v>
      </c>
      <c r="CY1402" s="1099"/>
      <c r="CZ1402" s="1102"/>
      <c r="DA1402" s="1103"/>
      <c r="DB1402" s="1099"/>
    </row>
    <row r="1403" spans="87:106">
      <c r="CI1403" s="888">
        <v>942</v>
      </c>
      <c r="CJ1403" s="4" t="s">
        <v>2005</v>
      </c>
      <c r="CL1403" s="1826">
        <v>-0.40534313772021724</v>
      </c>
      <c r="CN1403" s="864"/>
      <c r="CO1403" s="1103"/>
      <c r="CR1403" s="1823">
        <v>-0.50854538456682086</v>
      </c>
      <c r="CT1403" s="864"/>
      <c r="CU1403" s="1103"/>
      <c r="CV1403" s="1099"/>
      <c r="CW1403" s="1099"/>
      <c r="CX1403" s="1823">
        <v>1.6134727724319466</v>
      </c>
      <c r="CY1403" s="1099"/>
      <c r="CZ1403" s="864"/>
      <c r="DA1403" s="1103"/>
      <c r="DB1403" s="1099"/>
    </row>
    <row r="1404" spans="87:106">
      <c r="CI1404" s="888">
        <v>942</v>
      </c>
      <c r="CJ1404" s="4" t="s">
        <v>2006</v>
      </c>
      <c r="CL1404" s="1826">
        <v>-6.5229737808595196</v>
      </c>
      <c r="CN1404" s="864"/>
      <c r="CO1404" s="1103"/>
      <c r="CR1404" s="1823">
        <v>-3.6877882357187497</v>
      </c>
      <c r="CT1404" s="864"/>
      <c r="CU1404" s="1103"/>
      <c r="CV1404" s="1099"/>
      <c r="CW1404" s="1099"/>
      <c r="CX1404" s="1823">
        <v>1.8475565281232615</v>
      </c>
      <c r="CY1404" s="1099"/>
      <c r="CZ1404" s="864"/>
      <c r="DA1404" s="1103"/>
      <c r="DB1404" s="1099"/>
    </row>
    <row r="1405" spans="87:106">
      <c r="CI1405" s="888">
        <v>942</v>
      </c>
      <c r="CJ1405" s="4" t="s">
        <v>2007</v>
      </c>
      <c r="CL1405" s="1826">
        <v>-1.4000000000000508</v>
      </c>
      <c r="CN1405" s="864"/>
      <c r="CO1405" s="1103"/>
      <c r="CR1405" s="1823">
        <v>1.6267753527420741</v>
      </c>
      <c r="CT1405" s="864"/>
      <c r="CU1405" s="1103"/>
      <c r="CV1405" s="1099"/>
      <c r="CW1405" s="1099"/>
      <c r="CX1405" s="1823">
        <v>3.161608300348008</v>
      </c>
      <c r="CY1405" s="1099"/>
      <c r="CZ1405" s="864"/>
      <c r="DA1405" s="1103"/>
      <c r="DB1405" s="1099"/>
    </row>
    <row r="1406" spans="87:106">
      <c r="CI1406" s="888">
        <v>942</v>
      </c>
      <c r="CJ1406" s="4" t="s">
        <v>2008</v>
      </c>
      <c r="CL1406" s="1826">
        <v>1.0095430337640507</v>
      </c>
      <c r="CN1406" s="864"/>
      <c r="CO1406" s="1103"/>
      <c r="CR1406" s="1823">
        <v>-1.6299199880660651</v>
      </c>
      <c r="CT1406" s="864"/>
      <c r="CU1406" s="1103"/>
      <c r="CV1406" s="1099"/>
      <c r="CW1406" s="1099"/>
      <c r="CX1406" s="1823">
        <v>0.79484633199095178</v>
      </c>
      <c r="CY1406" s="1099"/>
      <c r="CZ1406" s="864"/>
      <c r="DA1406" s="1103"/>
      <c r="DB1406" s="1099"/>
    </row>
    <row r="1407" spans="87:106">
      <c r="CI1407" s="888">
        <v>942</v>
      </c>
      <c r="CJ1407" s="1091" t="s">
        <v>2009</v>
      </c>
      <c r="CL1407" s="1826">
        <v>-9.1232944900693074</v>
      </c>
      <c r="CN1407" s="1104"/>
      <c r="CO1407" s="1105"/>
      <c r="CR1407" s="1824">
        <v>-1.2437138484094139</v>
      </c>
      <c r="CT1407" s="1104"/>
      <c r="CU1407" s="1105"/>
      <c r="CV1407" s="1100"/>
      <c r="CW1407" s="1100"/>
      <c r="CX1407" s="1824">
        <v>-2.2073241294463495</v>
      </c>
      <c r="CY1407" s="1100"/>
      <c r="CZ1407" s="1104"/>
      <c r="DA1407" s="1105"/>
      <c r="DB1407" s="1100"/>
    </row>
    <row r="1408" spans="87:106">
      <c r="CI1408" s="888">
        <v>718</v>
      </c>
      <c r="CJ1408" s="4" t="s">
        <v>2010</v>
      </c>
      <c r="CL1408" s="1826"/>
      <c r="CN1408" s="1099">
        <v>0.7391808247183338</v>
      </c>
      <c r="CO1408" s="1106">
        <v>0.92</v>
      </c>
      <c r="CR1408" s="1822"/>
      <c r="CT1408" s="1102">
        <v>0.1329242875528136</v>
      </c>
      <c r="CU1408" s="1106">
        <v>0.76</v>
      </c>
      <c r="CV1408" s="863"/>
      <c r="CW1408" s="863"/>
      <c r="CX1408" s="1822" t="e">
        <v>#N/A</v>
      </c>
      <c r="CY1408" s="863"/>
      <c r="CZ1408" s="1099">
        <v>-0.79278905687788903</v>
      </c>
      <c r="DA1408" s="1106">
        <v>0.32</v>
      </c>
      <c r="DB1408" s="863"/>
    </row>
    <row r="1409" spans="87:106">
      <c r="CI1409" s="888">
        <v>718</v>
      </c>
      <c r="CJ1409" s="4"/>
      <c r="CL1409" s="1826"/>
      <c r="CN1409" s="1102"/>
      <c r="CO1409" s="1103"/>
      <c r="CR1409" s="1822"/>
      <c r="CT1409" s="1102"/>
      <c r="CU1409" s="1103"/>
      <c r="CV1409" s="863"/>
      <c r="CW1409" s="863"/>
      <c r="CX1409" s="1822" t="e">
        <v>#N/A</v>
      </c>
      <c r="CY1409" s="863"/>
      <c r="CZ1409" s="1102"/>
      <c r="DA1409" s="1103"/>
      <c r="DB1409" s="863"/>
    </row>
    <row r="1410" spans="87:106">
      <c r="CI1410" s="888">
        <v>718</v>
      </c>
      <c r="CJ1410" s="4"/>
      <c r="CL1410" s="1826"/>
      <c r="CN1410" s="1102"/>
      <c r="CO1410" s="1103"/>
      <c r="CR1410" s="1822"/>
      <c r="CT1410" s="1102"/>
      <c r="CU1410" s="1103"/>
      <c r="CV1410" s="863"/>
      <c r="CW1410" s="863"/>
      <c r="CX1410" s="1822" t="e">
        <v>#N/A</v>
      </c>
      <c r="CY1410" s="863"/>
      <c r="CZ1410" s="1102"/>
      <c r="DA1410" s="1103"/>
      <c r="DB1410" s="863"/>
    </row>
    <row r="1411" spans="87:106">
      <c r="CI1411" s="888">
        <v>718</v>
      </c>
      <c r="CJ1411" s="4"/>
      <c r="CL1411" s="1826"/>
      <c r="CN1411" s="1102"/>
      <c r="CO1411" s="1103"/>
      <c r="CR1411" s="1825"/>
      <c r="CT1411" s="1102"/>
      <c r="CU1411" s="1103"/>
      <c r="CV1411" s="1099"/>
      <c r="CW1411" s="1099"/>
      <c r="CX1411" s="1825" t="e">
        <v>#N/A</v>
      </c>
      <c r="CY1411" s="1099"/>
      <c r="CZ1411" s="1102"/>
      <c r="DA1411" s="1103"/>
      <c r="DB1411" s="1099"/>
    </row>
    <row r="1412" spans="87:106">
      <c r="CI1412" s="888">
        <v>718</v>
      </c>
      <c r="CJ1412" s="4" t="s">
        <v>2505</v>
      </c>
      <c r="CL1412" s="1826">
        <v>0.7391808247183338</v>
      </c>
      <c r="CN1412" s="1102"/>
      <c r="CO1412" s="1103"/>
      <c r="CR1412" s="1823">
        <v>-0.74170755955000178</v>
      </c>
      <c r="CT1412" s="1102"/>
      <c r="CU1412" s="1103"/>
      <c r="CV1412" s="1099"/>
      <c r="CW1412" s="1099"/>
      <c r="CX1412" s="1823">
        <v>-0.5829401726193475</v>
      </c>
      <c r="CY1412" s="1099"/>
      <c r="CZ1412" s="1102"/>
      <c r="DA1412" s="1103"/>
      <c r="DB1412" s="1099"/>
    </row>
    <row r="1413" spans="87:106">
      <c r="CI1413" s="888">
        <v>718</v>
      </c>
      <c r="CJ1413" s="4" t="s">
        <v>2373</v>
      </c>
      <c r="CL1413" s="1826">
        <v>0.72438244517930617</v>
      </c>
      <c r="CN1413" s="1102"/>
      <c r="CO1413" s="1103"/>
      <c r="CR1413" s="1823">
        <v>-1.3330069779808511</v>
      </c>
      <c r="CT1413" s="1102"/>
      <c r="CU1413" s="1103"/>
      <c r="CV1413" s="1099"/>
      <c r="CW1413" s="1099"/>
      <c r="CX1413" s="1823">
        <v>-3.0271247507190822</v>
      </c>
      <c r="CY1413" s="1099"/>
      <c r="CZ1413" s="1102"/>
      <c r="DA1413" s="1103"/>
      <c r="DB1413" s="1099"/>
    </row>
    <row r="1414" spans="87:106">
      <c r="CI1414" s="888">
        <v>718</v>
      </c>
      <c r="CJ1414" s="4" t="s">
        <v>2011</v>
      </c>
      <c r="CL1414" s="1826">
        <v>1.9645765659700638</v>
      </c>
      <c r="CN1414" s="1102"/>
      <c r="CO1414" s="1103"/>
      <c r="CR1414" s="1823">
        <v>0.56042784027516213</v>
      </c>
      <c r="CT1414" s="1102"/>
      <c r="CU1414" s="1103"/>
      <c r="CV1414" s="1099"/>
      <c r="CW1414" s="1099"/>
      <c r="CX1414" s="1823">
        <v>-3.7627266108526118</v>
      </c>
      <c r="CY1414" s="1099"/>
      <c r="CZ1414" s="1102"/>
      <c r="DA1414" s="1103"/>
      <c r="DB1414" s="1099"/>
    </row>
    <row r="1415" spans="87:106">
      <c r="CI1415" s="888">
        <v>718</v>
      </c>
      <c r="CJ1415" s="4" t="s">
        <v>2012</v>
      </c>
      <c r="CL1415" s="1826">
        <v>2.3044542823290026</v>
      </c>
      <c r="CN1415" s="1102"/>
      <c r="CO1415" s="1103"/>
      <c r="CR1415" s="1823">
        <v>0.77713443826541084</v>
      </c>
      <c r="CT1415" s="1102"/>
      <c r="CU1415" s="1103"/>
      <c r="CV1415" s="1099"/>
      <c r="CW1415" s="1099"/>
      <c r="CX1415" s="1823">
        <v>-1.4659435116454955</v>
      </c>
      <c r="CY1415" s="1099"/>
      <c r="CZ1415" s="1102"/>
      <c r="DA1415" s="1103"/>
      <c r="DB1415" s="1099"/>
    </row>
    <row r="1416" spans="87:106">
      <c r="CI1416" s="888">
        <v>718</v>
      </c>
      <c r="CJ1416" s="4" t="s">
        <v>2013</v>
      </c>
      <c r="CL1416" s="1826">
        <v>2.9389887019477157</v>
      </c>
      <c r="CN1416" s="864"/>
      <c r="CO1416" s="1103"/>
      <c r="CR1416" s="1823">
        <v>-0.25796771720869494</v>
      </c>
      <c r="CT1416" s="864"/>
      <c r="CU1416" s="1103"/>
      <c r="CV1416" s="1099"/>
      <c r="CW1416" s="1099"/>
      <c r="CX1416" s="1823">
        <v>-0.79278905687788903</v>
      </c>
      <c r="CY1416" s="1099"/>
      <c r="CZ1416" s="864"/>
      <c r="DA1416" s="1103"/>
      <c r="DB1416" s="1099"/>
    </row>
    <row r="1417" spans="87:106">
      <c r="CI1417" s="888">
        <v>718</v>
      </c>
      <c r="CJ1417" s="4" t="s">
        <v>2014</v>
      </c>
      <c r="CL1417" s="1826">
        <v>-1.9424217831531059</v>
      </c>
      <c r="CN1417" s="864"/>
      <c r="CO1417" s="1103"/>
      <c r="CR1417" s="1823">
        <v>0.1329242875528136</v>
      </c>
      <c r="CT1417" s="864"/>
      <c r="CU1417" s="1103"/>
      <c r="CV1417" s="1099"/>
      <c r="CW1417" s="1099"/>
      <c r="CX1417" s="1823">
        <v>10.185727926577815</v>
      </c>
      <c r="CY1417" s="1099"/>
      <c r="CZ1417" s="864"/>
      <c r="DA1417" s="1103"/>
      <c r="DB1417" s="1099"/>
    </row>
    <row r="1418" spans="87:106">
      <c r="CI1418" s="888">
        <v>718</v>
      </c>
      <c r="CJ1418" s="4" t="s">
        <v>2015</v>
      </c>
      <c r="CL1418" s="1826">
        <v>6.1288238338024215E-3</v>
      </c>
      <c r="CN1418" s="864"/>
      <c r="CO1418" s="1103"/>
      <c r="CR1418" s="1823">
        <v>1.6013624393166204</v>
      </c>
      <c r="CT1418" s="864"/>
      <c r="CU1418" s="1103"/>
      <c r="CV1418" s="1099"/>
      <c r="CW1418" s="1099"/>
      <c r="CX1418" s="1823">
        <v>3.9421326270768149</v>
      </c>
      <c r="CY1418" s="1099"/>
      <c r="CZ1418" s="864"/>
      <c r="DA1418" s="1103"/>
      <c r="DB1418" s="1099"/>
    </row>
    <row r="1419" spans="87:106">
      <c r="CI1419" s="888">
        <v>718</v>
      </c>
      <c r="CJ1419" s="4" t="s">
        <v>2016</v>
      </c>
      <c r="CL1419" s="1826">
        <v>4.1535364815481977</v>
      </c>
      <c r="CN1419" s="864"/>
      <c r="CO1419" s="1103"/>
      <c r="CR1419" s="1823">
        <v>-3.0133795325024506</v>
      </c>
      <c r="CT1419" s="864"/>
      <c r="CU1419" s="1103"/>
      <c r="CV1419" s="1099"/>
      <c r="CW1419" s="1099"/>
      <c r="CX1419" s="1823">
        <v>-22.341295685144061</v>
      </c>
      <c r="CY1419" s="1099"/>
      <c r="CZ1419" s="864"/>
      <c r="DA1419" s="1103"/>
      <c r="DB1419" s="1099"/>
    </row>
    <row r="1420" spans="87:106">
      <c r="CI1420" s="888">
        <v>718</v>
      </c>
      <c r="CJ1420" s="1091" t="s">
        <v>2017</v>
      </c>
      <c r="CL1420" s="1826">
        <v>-3.5288269988335998</v>
      </c>
      <c r="CN1420" s="1104"/>
      <c r="CO1420" s="1105"/>
      <c r="CR1420" s="1824">
        <v>10.144790136112086</v>
      </c>
      <c r="CT1420" s="1104"/>
      <c r="CU1420" s="1105"/>
      <c r="CV1420" s="1100"/>
      <c r="CW1420" s="1100"/>
      <c r="CX1420" s="1824">
        <v>14.73264611894772</v>
      </c>
      <c r="CY1420" s="1100"/>
      <c r="CZ1420" s="1104"/>
      <c r="DA1420" s="1105"/>
      <c r="DB1420" s="1100"/>
    </row>
    <row r="1421" spans="87:106">
      <c r="CI1421" s="888">
        <v>576</v>
      </c>
      <c r="CJ1421" s="4" t="s">
        <v>2018</v>
      </c>
      <c r="CL1421" s="1826"/>
      <c r="CN1421" s="1099">
        <v>-0.64099232649811944</v>
      </c>
      <c r="CO1421" s="1106">
        <v>0.36</v>
      </c>
      <c r="CR1421" s="1822"/>
      <c r="CT1421" s="1102">
        <v>1.8267652065072002</v>
      </c>
      <c r="CU1421" s="1106">
        <v>0.96</v>
      </c>
      <c r="CV1421" s="863"/>
      <c r="CW1421" s="863"/>
      <c r="CX1421" s="1822" t="e">
        <v>#N/A</v>
      </c>
      <c r="CY1421" s="863"/>
      <c r="CZ1421" s="1099">
        <v>-1.4650387155106692</v>
      </c>
      <c r="DA1421" s="1106">
        <v>0.13</v>
      </c>
      <c r="DB1421" s="863"/>
    </row>
    <row r="1422" spans="87:106">
      <c r="CI1422" s="888">
        <v>576</v>
      </c>
      <c r="CJ1422" s="4"/>
      <c r="CL1422" s="1826"/>
      <c r="CN1422" s="1102"/>
      <c r="CO1422" s="1103"/>
      <c r="CR1422" s="1822"/>
      <c r="CT1422" s="1102"/>
      <c r="CU1422" s="1103"/>
      <c r="CV1422" s="863"/>
      <c r="CW1422" s="863"/>
      <c r="CX1422" s="1822" t="e">
        <v>#N/A</v>
      </c>
      <c r="CY1422" s="863"/>
      <c r="CZ1422" s="1102"/>
      <c r="DA1422" s="1103"/>
      <c r="DB1422" s="863"/>
    </row>
    <row r="1423" spans="87:106">
      <c r="CI1423" s="888">
        <v>576</v>
      </c>
      <c r="CJ1423" s="4"/>
      <c r="CL1423" s="1826"/>
      <c r="CN1423" s="1102"/>
      <c r="CO1423" s="1103"/>
      <c r="CR1423" s="1822"/>
      <c r="CT1423" s="1102"/>
      <c r="CU1423" s="1103"/>
      <c r="CV1423" s="863"/>
      <c r="CW1423" s="863"/>
      <c r="CX1423" s="1822" t="e">
        <v>#N/A</v>
      </c>
      <c r="CY1423" s="863"/>
      <c r="CZ1423" s="1102"/>
      <c r="DA1423" s="1103"/>
      <c r="DB1423" s="863"/>
    </row>
    <row r="1424" spans="87:106">
      <c r="CI1424" s="888">
        <v>576</v>
      </c>
      <c r="CJ1424" s="4"/>
      <c r="CL1424" s="1826"/>
      <c r="CN1424" s="1102"/>
      <c r="CO1424" s="1103"/>
      <c r="CR1424" s="1825"/>
      <c r="CT1424" s="1102"/>
      <c r="CU1424" s="1103"/>
      <c r="CV1424" s="1099"/>
      <c r="CW1424" s="1099"/>
      <c r="CX1424" s="1825" t="e">
        <v>#N/A</v>
      </c>
      <c r="CY1424" s="1099"/>
      <c r="CZ1424" s="1102"/>
      <c r="DA1424" s="1103"/>
      <c r="DB1424" s="1099"/>
    </row>
    <row r="1425" spans="87:106">
      <c r="CI1425" s="888">
        <v>576</v>
      </c>
      <c r="CJ1425" s="4" t="s">
        <v>2506</v>
      </c>
      <c r="CL1425" s="1826">
        <v>1.459332452397057</v>
      </c>
      <c r="CN1425" s="1102"/>
      <c r="CO1425" s="1103"/>
      <c r="CR1425" s="1823">
        <v>4.4022587227311885</v>
      </c>
      <c r="CT1425" s="1102"/>
      <c r="CU1425" s="1103"/>
      <c r="CV1425" s="1099"/>
      <c r="CW1425" s="1099"/>
      <c r="CX1425" s="1823">
        <v>0.30161529649310947</v>
      </c>
      <c r="CY1425" s="1099"/>
      <c r="CZ1425" s="1102"/>
      <c r="DA1425" s="1103"/>
      <c r="DB1425" s="1099"/>
    </row>
    <row r="1426" spans="87:106">
      <c r="CI1426" s="888">
        <v>576</v>
      </c>
      <c r="CJ1426" s="4" t="s">
        <v>2374</v>
      </c>
      <c r="CL1426" s="1826">
        <v>-0.64099232649811944</v>
      </c>
      <c r="CN1426" s="1102"/>
      <c r="CO1426" s="1103"/>
      <c r="CR1426" s="1823">
        <v>1.8267652065072002</v>
      </c>
      <c r="CT1426" s="1102"/>
      <c r="CU1426" s="1103"/>
      <c r="CV1426" s="1099"/>
      <c r="CW1426" s="1099"/>
      <c r="CX1426" s="1823">
        <v>-2.601065981199322</v>
      </c>
      <c r="CY1426" s="1099"/>
      <c r="CZ1426" s="1102"/>
      <c r="DA1426" s="1103"/>
      <c r="DB1426" s="1099"/>
    </row>
    <row r="1427" spans="87:106">
      <c r="CI1427" s="888">
        <v>576</v>
      </c>
      <c r="CJ1427" s="4" t="s">
        <v>2019</v>
      </c>
      <c r="CL1427" s="1826">
        <v>-1.696600423102816</v>
      </c>
      <c r="CN1427" s="1102"/>
      <c r="CO1427" s="1103"/>
      <c r="CR1427" s="1823">
        <v>-0.99999099312065498</v>
      </c>
      <c r="CT1427" s="1102"/>
      <c r="CU1427" s="1103"/>
      <c r="CV1427" s="1099"/>
      <c r="CW1427" s="1099"/>
      <c r="CX1427" s="1823">
        <v>1.1113941536928951</v>
      </c>
      <c r="CY1427" s="1099"/>
      <c r="CZ1427" s="1102"/>
      <c r="DA1427" s="1103"/>
      <c r="DB1427" s="1099"/>
    </row>
    <row r="1428" spans="87:106">
      <c r="CI1428" s="888">
        <v>576</v>
      </c>
      <c r="CJ1428" s="4" t="s">
        <v>2020</v>
      </c>
      <c r="CL1428" s="1826">
        <v>-1.8706476953752431</v>
      </c>
      <c r="CN1428" s="1102"/>
      <c r="CO1428" s="1103"/>
      <c r="CR1428" s="1823">
        <v>-1.5686921325097998</v>
      </c>
      <c r="CT1428" s="1102"/>
      <c r="CU1428" s="1103"/>
      <c r="CV1428" s="1099"/>
      <c r="CW1428" s="1099"/>
      <c r="CX1428" s="1823">
        <v>-2.4014555449673676</v>
      </c>
      <c r="CY1428" s="1099"/>
      <c r="CZ1428" s="1102"/>
      <c r="DA1428" s="1103"/>
      <c r="DB1428" s="1099"/>
    </row>
    <row r="1429" spans="87:106">
      <c r="CI1429" s="888">
        <v>576</v>
      </c>
      <c r="CJ1429" s="4" t="s">
        <v>2021</v>
      </c>
      <c r="CL1429" s="1826">
        <v>0.54293896304989975</v>
      </c>
      <c r="CN1429" s="864"/>
      <c r="CO1429" s="1103"/>
      <c r="CR1429" s="1823">
        <v>-0.75364589478296651</v>
      </c>
      <c r="CT1429" s="864"/>
      <c r="CU1429" s="1103"/>
      <c r="CV1429" s="1099"/>
      <c r="CW1429" s="1099"/>
      <c r="CX1429" s="1823">
        <v>-2.0560408898242413</v>
      </c>
      <c r="CY1429" s="1099"/>
      <c r="CZ1429" s="864"/>
      <c r="DA1429" s="1103"/>
      <c r="DB1429" s="1099"/>
    </row>
    <row r="1430" spans="87:106">
      <c r="CI1430" s="888">
        <v>576</v>
      </c>
      <c r="CJ1430" s="4" t="s">
        <v>2022</v>
      </c>
      <c r="CL1430" s="1826">
        <v>-2.5100339491595087</v>
      </c>
      <c r="CN1430" s="864"/>
      <c r="CO1430" s="1103"/>
      <c r="CR1430" s="1823">
        <v>4.3171811891636427</v>
      </c>
      <c r="CT1430" s="864"/>
      <c r="CU1430" s="1103"/>
      <c r="CV1430" s="1099"/>
      <c r="CW1430" s="1099"/>
      <c r="CX1430" s="1823">
        <v>-0.19930167829531542</v>
      </c>
      <c r="CY1430" s="1099"/>
      <c r="CZ1430" s="864"/>
      <c r="DA1430" s="1103"/>
      <c r="DB1430" s="1099"/>
    </row>
    <row r="1431" spans="87:106">
      <c r="CI1431" s="888">
        <v>576</v>
      </c>
      <c r="CJ1431" s="4" t="s">
        <v>2023</v>
      </c>
      <c r="CL1431" s="1826">
        <v>-0.12928817114567437</v>
      </c>
      <c r="CN1431" s="864"/>
      <c r="CO1431" s="1103"/>
      <c r="CR1431" s="1823">
        <v>6.2259248047249409</v>
      </c>
      <c r="CT1431" s="864"/>
      <c r="CU1431" s="1103"/>
      <c r="CV1431" s="1099"/>
      <c r="CW1431" s="1099"/>
      <c r="CX1431" s="1823">
        <v>-1.4477108999896022</v>
      </c>
      <c r="CY1431" s="1099"/>
      <c r="CZ1431" s="864"/>
      <c r="DA1431" s="1103"/>
      <c r="DB1431" s="1099"/>
    </row>
    <row r="1432" spans="87:106">
      <c r="CI1432" s="888">
        <v>576</v>
      </c>
      <c r="CJ1432" s="4" t="s">
        <v>2024</v>
      </c>
      <c r="CL1432" s="1826">
        <v>14.877579743088827</v>
      </c>
      <c r="CN1432" s="864"/>
      <c r="CO1432" s="1103"/>
      <c r="CR1432" s="1823">
        <v>7.3902807698589381</v>
      </c>
      <c r="CT1432" s="864"/>
      <c r="CU1432" s="1103"/>
      <c r="CV1432" s="1099"/>
      <c r="CW1432" s="1099"/>
      <c r="CX1432" s="1823">
        <v>-1.4650387155106692</v>
      </c>
      <c r="CY1432" s="1099"/>
      <c r="CZ1432" s="864"/>
      <c r="DA1432" s="1103"/>
      <c r="DB1432" s="1099"/>
    </row>
    <row r="1433" spans="87:106">
      <c r="CI1433" s="888">
        <v>576</v>
      </c>
      <c r="CJ1433" s="1091" t="s">
        <v>2025</v>
      </c>
      <c r="CL1433" s="1826">
        <v>-5.2598791054827903</v>
      </c>
      <c r="CN1433" s="1104"/>
      <c r="CO1433" s="1105"/>
      <c r="CR1433" s="1824">
        <v>-7.7447356983752957</v>
      </c>
      <c r="CT1433" s="1104"/>
      <c r="CU1433" s="1105"/>
      <c r="CV1433" s="1100"/>
      <c r="CW1433" s="1100"/>
      <c r="CX1433" s="1824">
        <v>-1.7163946808034192</v>
      </c>
      <c r="CY1433" s="1100"/>
      <c r="CZ1433" s="1104"/>
      <c r="DA1433" s="1105"/>
      <c r="DB1433" s="1100"/>
    </row>
    <row r="1434" spans="87:106">
      <c r="CI1434" s="888">
        <v>936</v>
      </c>
      <c r="CJ1434" s="4" t="s">
        <v>2026</v>
      </c>
      <c r="CL1434" s="1826"/>
      <c r="CN1434" s="1099">
        <v>-0.15283732319429433</v>
      </c>
      <c r="CO1434" s="1106">
        <v>0.61</v>
      </c>
      <c r="CR1434" s="1822"/>
      <c r="CT1434" s="1102">
        <v>0.15209500488637334</v>
      </c>
      <c r="CU1434" s="1106">
        <v>0.77</v>
      </c>
      <c r="CV1434" s="863"/>
      <c r="CW1434" s="863"/>
      <c r="CX1434" s="1822" t="e">
        <v>#N/A</v>
      </c>
      <c r="CY1434" s="863"/>
      <c r="CZ1434" s="1099">
        <v>-1.3744897624090298</v>
      </c>
      <c r="DA1434" s="1106">
        <v>0.16</v>
      </c>
      <c r="DB1434" s="863"/>
    </row>
    <row r="1435" spans="87:106">
      <c r="CI1435" s="888">
        <v>936</v>
      </c>
      <c r="CJ1435" s="4"/>
      <c r="CL1435" s="1826"/>
      <c r="CN1435" s="1102"/>
      <c r="CO1435" s="1103"/>
      <c r="CR1435" s="1822"/>
      <c r="CT1435" s="1102"/>
      <c r="CU1435" s="1103"/>
      <c r="CV1435" s="863"/>
      <c r="CW1435" s="863"/>
      <c r="CX1435" s="1822" t="e">
        <v>#N/A</v>
      </c>
      <c r="CY1435" s="863"/>
      <c r="CZ1435" s="1102"/>
      <c r="DA1435" s="1103"/>
      <c r="DB1435" s="863"/>
    </row>
    <row r="1436" spans="87:106">
      <c r="CI1436" s="888">
        <v>936</v>
      </c>
      <c r="CJ1436" s="4"/>
      <c r="CL1436" s="1826"/>
      <c r="CN1436" s="1102"/>
      <c r="CO1436" s="1103"/>
      <c r="CR1436" s="1822"/>
      <c r="CT1436" s="1102"/>
      <c r="CU1436" s="1103"/>
      <c r="CV1436" s="863"/>
      <c r="CW1436" s="863"/>
      <c r="CX1436" s="1822" t="e">
        <v>#N/A</v>
      </c>
      <c r="CY1436" s="863"/>
      <c r="CZ1436" s="1102"/>
      <c r="DA1436" s="1103"/>
      <c r="DB1436" s="863"/>
    </row>
    <row r="1437" spans="87:106">
      <c r="CI1437" s="888">
        <v>936</v>
      </c>
      <c r="CJ1437" s="4"/>
      <c r="CL1437" s="1826"/>
      <c r="CN1437" s="1102"/>
      <c r="CO1437" s="1103"/>
      <c r="CR1437" s="1825"/>
      <c r="CT1437" s="1102"/>
      <c r="CU1437" s="1103"/>
      <c r="CV1437" s="1099"/>
      <c r="CW1437" s="1099"/>
      <c r="CX1437" s="1825" t="e">
        <v>#N/A</v>
      </c>
      <c r="CY1437" s="1099"/>
      <c r="CZ1437" s="1102"/>
      <c r="DA1437" s="1103"/>
      <c r="DB1437" s="1099"/>
    </row>
    <row r="1438" spans="87:106">
      <c r="CI1438" s="888">
        <v>936</v>
      </c>
      <c r="CJ1438" s="4" t="s">
        <v>2507</v>
      </c>
      <c r="CL1438" s="1826">
        <v>-2.5752388061296649E-2</v>
      </c>
      <c r="CN1438" s="1102"/>
      <c r="CO1438" s="1103"/>
      <c r="CR1438" s="1823">
        <v>0.28624450574124932</v>
      </c>
      <c r="CT1438" s="1102"/>
      <c r="CU1438" s="1103"/>
      <c r="CV1438" s="1099"/>
      <c r="CW1438" s="1099"/>
      <c r="CX1438" s="1823">
        <v>0.2690322355820215</v>
      </c>
      <c r="CY1438" s="1099"/>
      <c r="CZ1438" s="1102"/>
      <c r="DA1438" s="1103"/>
      <c r="DB1438" s="1099"/>
    </row>
    <row r="1439" spans="87:106">
      <c r="CI1439" s="888">
        <v>936</v>
      </c>
      <c r="CJ1439" s="4" t="s">
        <v>2375</v>
      </c>
      <c r="CL1439" s="1826">
        <v>-2.3895361689887373E-2</v>
      </c>
      <c r="CN1439" s="1102"/>
      <c r="CO1439" s="1103"/>
      <c r="CR1439" s="1823">
        <v>0.18930935648711256</v>
      </c>
      <c r="CT1439" s="1102"/>
      <c r="CU1439" s="1103"/>
      <c r="CV1439" s="1099"/>
      <c r="CW1439" s="1099"/>
      <c r="CX1439" s="1823">
        <v>-1.3744897624090298</v>
      </c>
      <c r="CY1439" s="1099"/>
      <c r="CZ1439" s="1102"/>
      <c r="DA1439" s="1103"/>
      <c r="DB1439" s="1099"/>
    </row>
    <row r="1440" spans="87:106">
      <c r="CI1440" s="888">
        <v>936</v>
      </c>
      <c r="CJ1440" s="4" t="s">
        <v>2027</v>
      </c>
      <c r="CL1440" s="1826">
        <v>0.8808278026208467</v>
      </c>
      <c r="CN1440" s="1102"/>
      <c r="CO1440" s="1103"/>
      <c r="CR1440" s="1823">
        <v>0.73317915607794526</v>
      </c>
      <c r="CT1440" s="1102"/>
      <c r="CU1440" s="1103"/>
      <c r="CV1440" s="1099"/>
      <c r="CW1440" s="1099"/>
      <c r="CX1440" s="1823">
        <v>-1.8910518066200623</v>
      </c>
      <c r="CY1440" s="1099"/>
      <c r="CZ1440" s="1102"/>
      <c r="DA1440" s="1103"/>
      <c r="DB1440" s="1099"/>
    </row>
    <row r="1441" spans="87:106">
      <c r="CI1441" s="888">
        <v>936</v>
      </c>
      <c r="CJ1441" s="4" t="s">
        <v>2028</v>
      </c>
      <c r="CL1441" s="1826">
        <v>-0.15283732319429433</v>
      </c>
      <c r="CN1441" s="1102"/>
      <c r="CO1441" s="1103"/>
      <c r="CR1441" s="1823">
        <v>0.11488065328563413</v>
      </c>
      <c r="CT1441" s="1102"/>
      <c r="CU1441" s="1103"/>
      <c r="CV1441" s="1099"/>
      <c r="CW1441" s="1099"/>
      <c r="CX1441" s="1823">
        <v>-1.8084586594551328</v>
      </c>
      <c r="CY1441" s="1099"/>
      <c r="CZ1441" s="1102"/>
      <c r="DA1441" s="1103"/>
      <c r="DB1441" s="1099"/>
    </row>
    <row r="1442" spans="87:106">
      <c r="CI1442" s="888">
        <v>936</v>
      </c>
      <c r="CJ1442" s="4" t="s">
        <v>2029</v>
      </c>
      <c r="CL1442" s="1826">
        <v>-1.6754457614164024</v>
      </c>
      <c r="CN1442" s="864"/>
      <c r="CO1442" s="1103"/>
      <c r="CR1442" s="1823">
        <v>1.0262735417929263</v>
      </c>
      <c r="CT1442" s="864"/>
      <c r="CU1442" s="1103"/>
      <c r="CV1442" s="1099"/>
      <c r="CW1442" s="1099"/>
      <c r="CX1442" s="1823">
        <v>-0.91137188949741321</v>
      </c>
      <c r="CY1442" s="1099"/>
      <c r="CZ1442" s="864"/>
      <c r="DA1442" s="1103"/>
      <c r="DB1442" s="1099"/>
    </row>
    <row r="1443" spans="87:106">
      <c r="CI1443" s="888">
        <v>936</v>
      </c>
      <c r="CJ1443" s="4" t="s">
        <v>2030</v>
      </c>
      <c r="CL1443" s="1826">
        <v>-2.3486795225725237</v>
      </c>
      <c r="CN1443" s="864"/>
      <c r="CO1443" s="1103"/>
      <c r="CR1443" s="1823">
        <v>-0.94407391374964233</v>
      </c>
      <c r="CT1443" s="864"/>
      <c r="CU1443" s="1103"/>
      <c r="CV1443" s="1099"/>
      <c r="CW1443" s="1099"/>
      <c r="CX1443" s="1823">
        <v>-0.79165690598001337</v>
      </c>
      <c r="CY1443" s="1099"/>
      <c r="CZ1443" s="864"/>
      <c r="DA1443" s="1103"/>
      <c r="DB1443" s="1099"/>
    </row>
    <row r="1444" spans="87:106">
      <c r="CI1444" s="888">
        <v>936</v>
      </c>
      <c r="CJ1444" s="4" t="s">
        <v>2031</v>
      </c>
      <c r="CL1444" s="1826">
        <v>-1.2737353291074061</v>
      </c>
      <c r="CN1444" s="864"/>
      <c r="CO1444" s="1103"/>
      <c r="CR1444" s="1823">
        <v>-1.241025235673304</v>
      </c>
      <c r="CT1444" s="864"/>
      <c r="CU1444" s="1103"/>
      <c r="CV1444" s="1099"/>
      <c r="CW1444" s="1099"/>
      <c r="CX1444" s="1823">
        <v>-0.38551941176462678</v>
      </c>
      <c r="CY1444" s="1099"/>
      <c r="CZ1444" s="864"/>
      <c r="DA1444" s="1103"/>
      <c r="DB1444" s="1099"/>
    </row>
    <row r="1445" spans="87:106">
      <c r="CI1445" s="888">
        <v>936</v>
      </c>
      <c r="CJ1445" s="4" t="s">
        <v>2032</v>
      </c>
      <c r="CL1445" s="1826">
        <v>2.2585668572840474</v>
      </c>
      <c r="CN1445" s="864"/>
      <c r="CO1445" s="1103"/>
      <c r="CR1445" s="1823" t="s">
        <v>1218</v>
      </c>
      <c r="CT1445" s="864"/>
      <c r="CU1445" s="1103"/>
      <c r="CV1445" s="1099"/>
      <c r="CW1445" s="1099"/>
      <c r="CX1445" s="1823">
        <v>-1.9073415209838633</v>
      </c>
      <c r="CY1445" s="1099"/>
      <c r="CZ1445" s="864"/>
      <c r="DA1445" s="1103"/>
      <c r="DB1445" s="1099"/>
    </row>
    <row r="1446" spans="87:106">
      <c r="CI1446" s="888">
        <v>936</v>
      </c>
      <c r="CJ1446" s="1091" t="s">
        <v>2033</v>
      </c>
      <c r="CL1446" s="1826">
        <v>-10.353309790999639</v>
      </c>
      <c r="CN1446" s="1104"/>
      <c r="CO1446" s="1105"/>
      <c r="CR1446" s="1824">
        <v>-6.590120563416912</v>
      </c>
      <c r="CT1446" s="1104"/>
      <c r="CU1446" s="1105"/>
      <c r="CV1446" s="1100"/>
      <c r="CW1446" s="1100"/>
      <c r="CX1446" s="1824">
        <v>-4.1799495241918843</v>
      </c>
      <c r="CY1446" s="1100"/>
      <c r="CZ1446" s="1104"/>
      <c r="DA1446" s="1105"/>
      <c r="DB1446" s="1100"/>
    </row>
    <row r="1447" spans="87:106">
      <c r="CI1447" s="888">
        <v>961</v>
      </c>
      <c r="CJ1447" s="4" t="s">
        <v>2034</v>
      </c>
      <c r="CL1447" s="1826"/>
      <c r="CN1447" s="1099">
        <v>1.2999681490830639E-3</v>
      </c>
      <c r="CO1447" s="1106">
        <v>0.72</v>
      </c>
      <c r="CR1447" s="1822"/>
      <c r="CT1447" s="1102">
        <v>-0.73869392377890852</v>
      </c>
      <c r="CU1447" s="1106">
        <v>0.43</v>
      </c>
      <c r="CV1447" s="863"/>
      <c r="CW1447" s="863"/>
      <c r="CX1447" s="1822" t="e">
        <v>#N/A</v>
      </c>
      <c r="CY1447" s="863"/>
      <c r="CZ1447" s="1099">
        <v>-0.31911750775161363</v>
      </c>
      <c r="DA1447" s="1106">
        <v>0.54</v>
      </c>
      <c r="DB1447" s="863"/>
    </row>
    <row r="1448" spans="87:106">
      <c r="CI1448" s="888">
        <v>961</v>
      </c>
      <c r="CJ1448" s="4"/>
      <c r="CL1448" s="1826"/>
      <c r="CN1448" s="1102"/>
      <c r="CO1448" s="1103"/>
      <c r="CR1448" s="1822"/>
      <c r="CT1448" s="1102"/>
      <c r="CU1448" s="1103"/>
      <c r="CV1448" s="863"/>
      <c r="CW1448" s="863"/>
      <c r="CX1448" s="1822" t="e">
        <v>#N/A</v>
      </c>
      <c r="CY1448" s="863"/>
      <c r="CZ1448" s="1102"/>
      <c r="DA1448" s="1103"/>
      <c r="DB1448" s="863"/>
    </row>
    <row r="1449" spans="87:106">
      <c r="CI1449" s="888">
        <v>961</v>
      </c>
      <c r="CJ1449" s="4"/>
      <c r="CL1449" s="1826"/>
      <c r="CN1449" s="1102"/>
      <c r="CO1449" s="1103"/>
      <c r="CR1449" s="1822"/>
      <c r="CT1449" s="1102"/>
      <c r="CU1449" s="1103"/>
      <c r="CV1449" s="863"/>
      <c r="CW1449" s="863"/>
      <c r="CX1449" s="1822" t="e">
        <v>#N/A</v>
      </c>
      <c r="CY1449" s="863"/>
      <c r="CZ1449" s="1102"/>
      <c r="DA1449" s="1103"/>
      <c r="DB1449" s="863"/>
    </row>
    <row r="1450" spans="87:106">
      <c r="CI1450" s="888">
        <v>961</v>
      </c>
      <c r="CJ1450" s="4"/>
      <c r="CL1450" s="1826"/>
      <c r="CN1450" s="1102"/>
      <c r="CO1450" s="1103"/>
      <c r="CR1450" s="1825"/>
      <c r="CT1450" s="1102"/>
      <c r="CU1450" s="1103"/>
      <c r="CV1450" s="1099"/>
      <c r="CW1450" s="1099"/>
      <c r="CX1450" s="1825" t="e">
        <v>#N/A</v>
      </c>
      <c r="CY1450" s="1099"/>
      <c r="CZ1450" s="1102"/>
      <c r="DA1450" s="1103"/>
      <c r="DB1450" s="1099"/>
    </row>
    <row r="1451" spans="87:106">
      <c r="CI1451" s="888">
        <v>961</v>
      </c>
      <c r="CJ1451" s="4" t="s">
        <v>2508</v>
      </c>
      <c r="CL1451" s="1826">
        <v>2.9671424861254785</v>
      </c>
      <c r="CN1451" s="1102"/>
      <c r="CO1451" s="1103"/>
      <c r="CR1451" s="1823">
        <v>1.5099820297222697</v>
      </c>
      <c r="CT1451" s="1102"/>
      <c r="CU1451" s="1103"/>
      <c r="CV1451" s="1099"/>
      <c r="CW1451" s="1099"/>
      <c r="CX1451" s="1823">
        <v>0.6566851588355116</v>
      </c>
      <c r="CY1451" s="1099"/>
      <c r="CZ1451" s="1102"/>
      <c r="DA1451" s="1103"/>
      <c r="DB1451" s="1099"/>
    </row>
    <row r="1452" spans="87:106">
      <c r="CI1452" s="888">
        <v>961</v>
      </c>
      <c r="CJ1452" s="4" t="s">
        <v>2376</v>
      </c>
      <c r="CL1452" s="1826">
        <v>1.2870450124749473</v>
      </c>
      <c r="CN1452" s="1102"/>
      <c r="CO1452" s="1103"/>
      <c r="CR1452" s="1823">
        <v>1.2630397118751382</v>
      </c>
      <c r="CT1452" s="1102"/>
      <c r="CU1452" s="1103"/>
      <c r="CV1452" s="1099"/>
      <c r="CW1452" s="1099"/>
      <c r="CX1452" s="1823">
        <v>0.31768957071930182</v>
      </c>
      <c r="CY1452" s="1099"/>
      <c r="CZ1452" s="1102"/>
      <c r="DA1452" s="1103"/>
      <c r="DB1452" s="1099"/>
    </row>
    <row r="1453" spans="87:106">
      <c r="CI1453" s="888">
        <v>961</v>
      </c>
      <c r="CJ1453" s="4" t="s">
        <v>2035</v>
      </c>
      <c r="CL1453" s="1826">
        <v>1.3679801731582133</v>
      </c>
      <c r="CN1453" s="1102"/>
      <c r="CO1453" s="1103"/>
      <c r="CR1453" s="1823">
        <v>-9.1927415030858217E-2</v>
      </c>
      <c r="CT1453" s="1102"/>
      <c r="CU1453" s="1103"/>
      <c r="CV1453" s="1099"/>
      <c r="CW1453" s="1099"/>
      <c r="CX1453" s="1823">
        <v>-0.47670025010285677</v>
      </c>
      <c r="CY1453" s="1099"/>
      <c r="CZ1453" s="1102"/>
      <c r="DA1453" s="1103"/>
      <c r="DB1453" s="1099"/>
    </row>
    <row r="1454" spans="87:106">
      <c r="CI1454" s="888">
        <v>961</v>
      </c>
      <c r="CJ1454" s="4" t="s">
        <v>2036</v>
      </c>
      <c r="CL1454" s="1826">
        <v>1.5211620841643241</v>
      </c>
      <c r="CN1454" s="1102"/>
      <c r="CO1454" s="1103"/>
      <c r="CR1454" s="1823">
        <v>-1.4661229645269678</v>
      </c>
      <c r="CT1454" s="1102"/>
      <c r="CU1454" s="1103"/>
      <c r="CV1454" s="1099"/>
      <c r="CW1454" s="1099"/>
      <c r="CX1454" s="1823">
        <v>-0.31911750775161363</v>
      </c>
      <c r="CY1454" s="1099"/>
      <c r="CZ1454" s="1102"/>
      <c r="DA1454" s="1103"/>
      <c r="DB1454" s="1099"/>
    </row>
    <row r="1455" spans="87:106">
      <c r="CI1455" s="888">
        <v>961</v>
      </c>
      <c r="CJ1455" s="4" t="s">
        <v>2037</v>
      </c>
      <c r="CL1455" s="1826">
        <v>-2.3981176216377937</v>
      </c>
      <c r="CN1455" s="864"/>
      <c r="CO1455" s="1103"/>
      <c r="CR1455" s="1823">
        <v>-9.2162326947585083</v>
      </c>
      <c r="CT1455" s="864"/>
      <c r="CU1455" s="1103"/>
      <c r="CV1455" s="1099"/>
      <c r="CW1455" s="1099"/>
      <c r="CX1455" s="1823">
        <v>0.41930690480405142</v>
      </c>
      <c r="CY1455" s="1099"/>
      <c r="CZ1455" s="864"/>
      <c r="DA1455" s="1103"/>
      <c r="DB1455" s="1099"/>
    </row>
    <row r="1456" spans="87:106">
      <c r="CI1456" s="888">
        <v>961</v>
      </c>
      <c r="CJ1456" s="4" t="s">
        <v>2038</v>
      </c>
      <c r="CL1456" s="1826">
        <v>-4.8940058107086815</v>
      </c>
      <c r="CN1456" s="864"/>
      <c r="CO1456" s="1103"/>
      <c r="CR1456" s="1823">
        <v>1.2796178416278734</v>
      </c>
      <c r="CT1456" s="864"/>
      <c r="CU1456" s="1103"/>
      <c r="CV1456" s="1099"/>
      <c r="CW1456" s="1099"/>
      <c r="CX1456" s="1823">
        <v>-2.4844176512901757</v>
      </c>
      <c r="CY1456" s="1099"/>
      <c r="CZ1456" s="864"/>
      <c r="DA1456" s="1103"/>
      <c r="DB1456" s="1099"/>
    </row>
    <row r="1457" spans="87:106">
      <c r="CI1457" s="888">
        <v>961</v>
      </c>
      <c r="CJ1457" s="4" t="s">
        <v>2039</v>
      </c>
      <c r="CL1457" s="1826">
        <v>-1.443725496000835</v>
      </c>
      <c r="CN1457" s="864"/>
      <c r="CO1457" s="1103"/>
      <c r="CR1457" s="1823">
        <v>-0.73869392377890852</v>
      </c>
      <c r="CT1457" s="864"/>
      <c r="CU1457" s="1103"/>
      <c r="CV1457" s="1099"/>
      <c r="CW1457" s="1099"/>
      <c r="CX1457" s="1823">
        <v>-1.1343200300046112</v>
      </c>
      <c r="CY1457" s="1099"/>
      <c r="CZ1457" s="864"/>
      <c r="DA1457" s="1103"/>
      <c r="DB1457" s="1099"/>
    </row>
    <row r="1458" spans="87:106">
      <c r="CI1458" s="888">
        <v>961</v>
      </c>
      <c r="CJ1458" s="4" t="s">
        <v>2040</v>
      </c>
      <c r="CL1458" s="1826">
        <v>1.2999681490830639E-3</v>
      </c>
      <c r="CN1458" s="864"/>
      <c r="CO1458" s="1103"/>
      <c r="CR1458" s="1823">
        <v>-1.459171460312064</v>
      </c>
      <c r="CT1458" s="864"/>
      <c r="CU1458" s="1103"/>
      <c r="CV1458" s="1099"/>
      <c r="CW1458" s="1099"/>
      <c r="CX1458" s="1823">
        <v>-1.9378789362886035</v>
      </c>
      <c r="CY1458" s="1099"/>
      <c r="CZ1458" s="864"/>
      <c r="DA1458" s="1103"/>
      <c r="DB1458" s="1099"/>
    </row>
    <row r="1459" spans="87:106">
      <c r="CI1459" s="888">
        <v>961</v>
      </c>
      <c r="CJ1459" s="1091" t="s">
        <v>2041</v>
      </c>
      <c r="CL1459" s="1826">
        <v>-11.620176283767487</v>
      </c>
      <c r="CN1459" s="1104"/>
      <c r="CO1459" s="1105"/>
      <c r="CR1459" s="1824">
        <v>-5.2080774596607116</v>
      </c>
      <c r="CT1459" s="1104"/>
      <c r="CU1459" s="1105"/>
      <c r="CV1459" s="1100"/>
      <c r="CW1459" s="1100"/>
      <c r="CX1459" s="1824">
        <v>0.7873973394743583</v>
      </c>
      <c r="CY1459" s="1100"/>
      <c r="CZ1459" s="1104"/>
      <c r="DA1459" s="1105"/>
      <c r="DB1459" s="1100"/>
    </row>
    <row r="1460" spans="87:106">
      <c r="CI1460" s="888">
        <v>199</v>
      </c>
      <c r="CJ1460" s="4" t="s">
        <v>2042</v>
      </c>
      <c r="CL1460" s="1826"/>
      <c r="CN1460" s="1099">
        <v>-1.3607484093557374</v>
      </c>
      <c r="CO1460" s="1106">
        <v>0.18</v>
      </c>
      <c r="CR1460" s="1822"/>
      <c r="CT1460" s="1102">
        <v>-0.12407479814283728</v>
      </c>
      <c r="CU1460" s="1106">
        <v>0.63</v>
      </c>
      <c r="CV1460" s="863"/>
      <c r="CW1460" s="863"/>
      <c r="CX1460" s="1822" t="e">
        <v>#N/A</v>
      </c>
      <c r="CY1460" s="863"/>
      <c r="CZ1460" s="1099">
        <v>-0.45442938160036928</v>
      </c>
      <c r="DA1460" s="1106">
        <v>0.47</v>
      </c>
      <c r="DB1460" s="863"/>
    </row>
    <row r="1461" spans="87:106">
      <c r="CI1461" s="888">
        <v>199</v>
      </c>
      <c r="CJ1461" s="4"/>
      <c r="CL1461" s="1826"/>
      <c r="CN1461" s="1102"/>
      <c r="CO1461" s="1103"/>
      <c r="CR1461" s="1822"/>
      <c r="CT1461" s="1102"/>
      <c r="CU1461" s="1103"/>
      <c r="CV1461" s="863"/>
      <c r="CW1461" s="863"/>
      <c r="CX1461" s="1822" t="e">
        <v>#N/A</v>
      </c>
      <c r="CY1461" s="863"/>
      <c r="CZ1461" s="1102"/>
      <c r="DA1461" s="1103"/>
      <c r="DB1461" s="863"/>
    </row>
    <row r="1462" spans="87:106">
      <c r="CI1462" s="888">
        <v>199</v>
      </c>
      <c r="CJ1462" s="4"/>
      <c r="CL1462" s="1826"/>
      <c r="CN1462" s="1102"/>
      <c r="CO1462" s="1103"/>
      <c r="CR1462" s="1822"/>
      <c r="CT1462" s="1102"/>
      <c r="CU1462" s="1103"/>
      <c r="CV1462" s="863"/>
      <c r="CW1462" s="863"/>
      <c r="CX1462" s="1822" t="e">
        <v>#N/A</v>
      </c>
      <c r="CY1462" s="863"/>
      <c r="CZ1462" s="1102"/>
      <c r="DA1462" s="1103"/>
      <c r="DB1462" s="863"/>
    </row>
    <row r="1463" spans="87:106">
      <c r="CI1463" s="888">
        <v>199</v>
      </c>
      <c r="CJ1463" s="4"/>
      <c r="CL1463" s="1826"/>
      <c r="CN1463" s="1102"/>
      <c r="CO1463" s="1103"/>
      <c r="CR1463" s="1825"/>
      <c r="CT1463" s="1102"/>
      <c r="CU1463" s="1103"/>
      <c r="CV1463" s="1099"/>
      <c r="CW1463" s="1099"/>
      <c r="CX1463" s="1825" t="e">
        <v>#N/A</v>
      </c>
      <c r="CY1463" s="1099"/>
      <c r="CZ1463" s="1102"/>
      <c r="DA1463" s="1103"/>
      <c r="DB1463" s="1099"/>
    </row>
    <row r="1464" spans="87:106">
      <c r="CI1464" s="888">
        <v>199</v>
      </c>
      <c r="CJ1464" s="4" t="s">
        <v>2509</v>
      </c>
      <c r="CL1464" s="1826">
        <v>0.11362466988207975</v>
      </c>
      <c r="CN1464" s="1102"/>
      <c r="CO1464" s="1103"/>
      <c r="CR1464" s="1823">
        <v>-1.0687135478994523</v>
      </c>
      <c r="CT1464" s="1102"/>
      <c r="CU1464" s="1103"/>
      <c r="CV1464" s="1099"/>
      <c r="CW1464" s="1099"/>
      <c r="CX1464" s="1823">
        <v>-0.6326584074365309</v>
      </c>
      <c r="CY1464" s="1099"/>
      <c r="CZ1464" s="1102"/>
      <c r="DA1464" s="1103"/>
      <c r="DB1464" s="1099"/>
    </row>
    <row r="1465" spans="87:106">
      <c r="CI1465" s="888">
        <v>199</v>
      </c>
      <c r="CJ1465" s="4" t="s">
        <v>2377</v>
      </c>
      <c r="CL1465" s="1826">
        <v>-1.5383062465748192</v>
      </c>
      <c r="CN1465" s="1102"/>
      <c r="CO1465" s="1103"/>
      <c r="CR1465" s="1823">
        <v>-0.56311697702576613</v>
      </c>
      <c r="CT1465" s="1102"/>
      <c r="CU1465" s="1103"/>
      <c r="CV1465" s="1099"/>
      <c r="CW1465" s="1099"/>
      <c r="CX1465" s="1823">
        <v>1.0778127146022491</v>
      </c>
      <c r="CY1465" s="1099"/>
      <c r="CZ1465" s="1102"/>
      <c r="DA1465" s="1103"/>
      <c r="DB1465" s="1099"/>
    </row>
    <row r="1466" spans="87:106">
      <c r="CI1466" s="888">
        <v>199</v>
      </c>
      <c r="CJ1466" s="4" t="s">
        <v>2043</v>
      </c>
      <c r="CL1466" s="1826">
        <v>-1.3607484093557374</v>
      </c>
      <c r="CN1466" s="1102"/>
      <c r="CO1466" s="1103"/>
      <c r="CR1466" s="1823">
        <v>0.74168815252619946</v>
      </c>
      <c r="CT1466" s="1102"/>
      <c r="CU1466" s="1103"/>
      <c r="CV1466" s="1099"/>
      <c r="CW1466" s="1099"/>
      <c r="CX1466" s="1823">
        <v>-1.6781997845721408</v>
      </c>
      <c r="CY1466" s="1099"/>
      <c r="CZ1466" s="1102"/>
      <c r="DA1466" s="1103"/>
      <c r="DB1466" s="1099"/>
    </row>
    <row r="1467" spans="87:106">
      <c r="CI1467" s="888">
        <v>199</v>
      </c>
      <c r="CJ1467" s="4" t="s">
        <v>2044</v>
      </c>
      <c r="CL1467" s="1826">
        <v>-1.8001987911451744</v>
      </c>
      <c r="CN1467" s="1102"/>
      <c r="CO1467" s="1103"/>
      <c r="CR1467" s="1823">
        <v>0.50962778332367975</v>
      </c>
      <c r="CT1467" s="1102"/>
      <c r="CU1467" s="1103"/>
      <c r="CV1467" s="1099"/>
      <c r="CW1467" s="1099"/>
      <c r="CX1467" s="1823">
        <v>-0.45442938160036928</v>
      </c>
      <c r="CY1467" s="1099"/>
      <c r="CZ1467" s="1102"/>
      <c r="DA1467" s="1103"/>
      <c r="DB1467" s="1099"/>
    </row>
    <row r="1468" spans="87:106">
      <c r="CI1468" s="888">
        <v>199</v>
      </c>
      <c r="CJ1468" s="4" t="s">
        <v>2045</v>
      </c>
      <c r="CL1468" s="1826">
        <v>-1.2327613276980696</v>
      </c>
      <c r="CN1468" s="864"/>
      <c r="CO1468" s="1103"/>
      <c r="CR1468" s="1823">
        <v>-0.12407479814283728</v>
      </c>
      <c r="CT1468" s="864"/>
      <c r="CU1468" s="1103"/>
      <c r="CV1468" s="1099"/>
      <c r="CW1468" s="1099"/>
      <c r="CX1468" s="1823">
        <v>0.19315247473248487</v>
      </c>
      <c r="CY1468" s="1099"/>
      <c r="CZ1468" s="864"/>
      <c r="DA1468" s="1103"/>
      <c r="DB1468" s="1099"/>
    </row>
    <row r="1469" spans="87:106">
      <c r="CI1469" s="888">
        <v>199</v>
      </c>
      <c r="CJ1469" s="4" t="s">
        <v>2046</v>
      </c>
      <c r="CL1469" s="1826">
        <v>-1.3783588683134615</v>
      </c>
      <c r="CN1469" s="864"/>
      <c r="CO1469" s="1103"/>
      <c r="CR1469" s="1823">
        <v>0.51058472077355499</v>
      </c>
      <c r="CT1469" s="864"/>
      <c r="CU1469" s="1103"/>
      <c r="CV1469" s="1099"/>
      <c r="CW1469" s="1099"/>
      <c r="CX1469" s="1823">
        <v>-1.8668537545743096</v>
      </c>
      <c r="CY1469" s="1099"/>
      <c r="CZ1469" s="864"/>
      <c r="DA1469" s="1103"/>
      <c r="DB1469" s="1099"/>
    </row>
    <row r="1470" spans="87:106">
      <c r="CI1470" s="888">
        <v>199</v>
      </c>
      <c r="CJ1470" s="4" t="s">
        <v>2047</v>
      </c>
      <c r="CL1470" s="1826">
        <v>-0.19216790680290163</v>
      </c>
      <c r="CN1470" s="864"/>
      <c r="CO1470" s="1103"/>
      <c r="CR1470" s="1823">
        <v>0.3115669369413423</v>
      </c>
      <c r="CT1470" s="864"/>
      <c r="CU1470" s="1103"/>
      <c r="CV1470" s="1099"/>
      <c r="CW1470" s="1099"/>
      <c r="CX1470" s="1823">
        <v>-1.2108907002781342</v>
      </c>
      <c r="CY1470" s="1099"/>
      <c r="CZ1470" s="864"/>
      <c r="DA1470" s="1103"/>
      <c r="DB1470" s="1099"/>
    </row>
    <row r="1471" spans="87:106">
      <c r="CI1471" s="888">
        <v>199</v>
      </c>
      <c r="CJ1471" s="4" t="s">
        <v>2048</v>
      </c>
      <c r="CL1471" s="1826">
        <v>0.98804476039858935</v>
      </c>
      <c r="CN1471" s="864"/>
      <c r="CO1471" s="1103"/>
      <c r="CR1471" s="1823">
        <v>-1.5650638488638675</v>
      </c>
      <c r="CT1471" s="864"/>
      <c r="CU1471" s="1103"/>
      <c r="CV1471" s="1099"/>
      <c r="CW1471" s="1099"/>
      <c r="CX1471" s="1823">
        <v>0.81718821576137479</v>
      </c>
      <c r="CY1471" s="1099"/>
      <c r="CZ1471" s="864"/>
      <c r="DA1471" s="1103"/>
      <c r="DB1471" s="1099"/>
    </row>
    <row r="1472" spans="87:106">
      <c r="CI1472" s="888">
        <v>199</v>
      </c>
      <c r="CJ1472" s="1091" t="s">
        <v>2049</v>
      </c>
      <c r="CL1472" s="1826">
        <v>-5.5797633560444435</v>
      </c>
      <c r="CN1472" s="1104"/>
      <c r="CO1472" s="1105"/>
      <c r="CR1472" s="1824">
        <v>-5.5091144093979949</v>
      </c>
      <c r="CT1472" s="1104"/>
      <c r="CU1472" s="1105"/>
      <c r="CV1472" s="1100"/>
      <c r="CW1472" s="1100"/>
      <c r="CX1472" s="1824">
        <v>0.60647038075017967</v>
      </c>
      <c r="CY1472" s="1100"/>
      <c r="CZ1472" s="1104"/>
      <c r="DA1472" s="1105"/>
      <c r="DB1472" s="1100"/>
    </row>
    <row r="1473" spans="87:106">
      <c r="CI1473" s="888">
        <v>184</v>
      </c>
      <c r="CJ1473" s="4" t="s">
        <v>2050</v>
      </c>
      <c r="CL1473" s="1826"/>
      <c r="CN1473" s="1099">
        <v>0.61980590894698029</v>
      </c>
      <c r="CO1473" s="1106">
        <v>0.88</v>
      </c>
      <c r="CR1473" s="1822"/>
      <c r="CT1473" s="1102">
        <v>-0.95020776918944305</v>
      </c>
      <c r="CU1473" s="1106">
        <v>0.37</v>
      </c>
      <c r="CV1473" s="863"/>
      <c r="CW1473" s="863"/>
      <c r="CX1473" s="1822" t="e">
        <v>#N/A</v>
      </c>
      <c r="CY1473" s="863"/>
      <c r="CZ1473" s="1099">
        <v>-0.31104688646907097</v>
      </c>
      <c r="DA1473" s="1106">
        <v>0.55000000000000004</v>
      </c>
      <c r="DB1473" s="863"/>
    </row>
    <row r="1474" spans="87:106">
      <c r="CI1474" s="888">
        <v>184</v>
      </c>
      <c r="CJ1474" s="4"/>
      <c r="CL1474" s="1826"/>
      <c r="CN1474" s="1102"/>
      <c r="CO1474" s="1103"/>
      <c r="CR1474" s="1822"/>
      <c r="CT1474" s="1102"/>
      <c r="CU1474" s="1103"/>
      <c r="CV1474" s="863"/>
      <c r="CW1474" s="863"/>
      <c r="CX1474" s="1822" t="e">
        <v>#N/A</v>
      </c>
      <c r="CY1474" s="863"/>
      <c r="CZ1474" s="1102"/>
      <c r="DA1474" s="1103"/>
      <c r="DB1474" s="863"/>
    </row>
    <row r="1475" spans="87:106">
      <c r="CI1475" s="888">
        <v>184</v>
      </c>
      <c r="CJ1475" s="4"/>
      <c r="CL1475" s="1826"/>
      <c r="CN1475" s="1102"/>
      <c r="CO1475" s="1103"/>
      <c r="CR1475" s="1822"/>
      <c r="CT1475" s="1102"/>
      <c r="CU1475" s="1103"/>
      <c r="CV1475" s="863"/>
      <c r="CW1475" s="863"/>
      <c r="CX1475" s="1822" t="e">
        <v>#N/A</v>
      </c>
      <c r="CY1475" s="863"/>
      <c r="CZ1475" s="1102"/>
      <c r="DA1475" s="1103"/>
      <c r="DB1475" s="863"/>
    </row>
    <row r="1476" spans="87:106">
      <c r="CI1476" s="888">
        <v>184</v>
      </c>
      <c r="CJ1476" s="4"/>
      <c r="CL1476" s="1826"/>
      <c r="CN1476" s="1102"/>
      <c r="CO1476" s="1103"/>
      <c r="CR1476" s="1825"/>
      <c r="CT1476" s="1102"/>
      <c r="CU1476" s="1103"/>
      <c r="CV1476" s="1099"/>
      <c r="CW1476" s="1099"/>
      <c r="CX1476" s="1825" t="e">
        <v>#N/A</v>
      </c>
      <c r="CY1476" s="1099"/>
      <c r="CZ1476" s="1102"/>
      <c r="DA1476" s="1103"/>
      <c r="DB1476" s="1099"/>
    </row>
    <row r="1477" spans="87:106">
      <c r="CI1477" s="888">
        <v>184</v>
      </c>
      <c r="CJ1477" s="4" t="s">
        <v>2510</v>
      </c>
      <c r="CL1477" s="1826">
        <v>0.79336693667584157</v>
      </c>
      <c r="CN1477" s="1102"/>
      <c r="CO1477" s="1103"/>
      <c r="CR1477" s="1823">
        <v>-0.66851731937795345</v>
      </c>
      <c r="CT1477" s="1102"/>
      <c r="CU1477" s="1103"/>
      <c r="CV1477" s="1099"/>
      <c r="CW1477" s="1099"/>
      <c r="CX1477" s="1823">
        <v>6.1324175651781387E-2</v>
      </c>
      <c r="CY1477" s="1099"/>
      <c r="CZ1477" s="1102"/>
      <c r="DA1477" s="1103"/>
      <c r="DB1477" s="1099"/>
    </row>
    <row r="1478" spans="87:106">
      <c r="CI1478" s="888">
        <v>184</v>
      </c>
      <c r="CJ1478" s="4" t="s">
        <v>2378</v>
      </c>
      <c r="CL1478" s="1826">
        <v>1.2274485075701977</v>
      </c>
      <c r="CN1478" s="1102"/>
      <c r="CO1478" s="1103"/>
      <c r="CR1478" s="1823">
        <v>-1.5773424447699398</v>
      </c>
      <c r="CT1478" s="1102"/>
      <c r="CU1478" s="1103"/>
      <c r="CV1478" s="1099"/>
      <c r="CW1478" s="1099"/>
      <c r="CX1478" s="1823">
        <v>3.4798246218657902E-2</v>
      </c>
      <c r="CY1478" s="1099"/>
      <c r="CZ1478" s="1102"/>
      <c r="DA1478" s="1103"/>
      <c r="DB1478" s="1099"/>
    </row>
    <row r="1479" spans="87:106">
      <c r="CI1479" s="888">
        <v>184</v>
      </c>
      <c r="CJ1479" s="4" t="s">
        <v>2051</v>
      </c>
      <c r="CL1479" s="1826">
        <v>2.2410376059495918</v>
      </c>
      <c r="CN1479" s="1102"/>
      <c r="CO1479" s="1103"/>
      <c r="CR1479" s="1823">
        <v>-0.73001832002086031</v>
      </c>
      <c r="CT1479" s="1102"/>
      <c r="CU1479" s="1103"/>
      <c r="CV1479" s="1099"/>
      <c r="CW1479" s="1099"/>
      <c r="CX1479" s="1823">
        <v>-0.31104688646907097</v>
      </c>
      <c r="CY1479" s="1099"/>
      <c r="CZ1479" s="1102"/>
      <c r="DA1479" s="1103"/>
      <c r="DB1479" s="1099"/>
    </row>
    <row r="1480" spans="87:106">
      <c r="CI1480" s="888">
        <v>184</v>
      </c>
      <c r="CJ1480" s="4" t="s">
        <v>2052</v>
      </c>
      <c r="CL1480" s="1826">
        <v>0.61980590894698029</v>
      </c>
      <c r="CN1480" s="1102"/>
      <c r="CO1480" s="1103"/>
      <c r="CR1480" s="1823">
        <v>0.72967740871408004</v>
      </c>
      <c r="CT1480" s="1102"/>
      <c r="CU1480" s="1103"/>
      <c r="CV1480" s="1099"/>
      <c r="CW1480" s="1099"/>
      <c r="CX1480" s="1823">
        <v>-1.5834436514433574</v>
      </c>
      <c r="CY1480" s="1099"/>
      <c r="CZ1480" s="1102"/>
      <c r="DA1480" s="1103"/>
      <c r="DB1480" s="1099"/>
    </row>
    <row r="1481" spans="87:106">
      <c r="CI1481" s="888">
        <v>184</v>
      </c>
      <c r="CJ1481" s="4" t="s">
        <v>2053</v>
      </c>
      <c r="CL1481" s="1826">
        <v>-1.3528828920226688</v>
      </c>
      <c r="CN1481" s="864"/>
      <c r="CO1481" s="1103"/>
      <c r="CR1481" s="1823">
        <v>-0.95020776918944305</v>
      </c>
      <c r="CT1481" s="864"/>
      <c r="CU1481" s="1103"/>
      <c r="CV1481" s="1099"/>
      <c r="CW1481" s="1099"/>
      <c r="CX1481" s="1823">
        <v>-0.85492309289222601</v>
      </c>
      <c r="CY1481" s="1099"/>
      <c r="CZ1481" s="864"/>
      <c r="DA1481" s="1103"/>
      <c r="DB1481" s="1099"/>
    </row>
    <row r="1482" spans="87:106">
      <c r="CI1482" s="888">
        <v>184</v>
      </c>
      <c r="CJ1482" s="4" t="s">
        <v>2054</v>
      </c>
      <c r="CL1482" s="1826">
        <v>-3.2561219604343536</v>
      </c>
      <c r="CN1482" s="864"/>
      <c r="CO1482" s="1103"/>
      <c r="CR1482" s="1823">
        <v>-4.4431020812658932</v>
      </c>
      <c r="CT1482" s="864"/>
      <c r="CU1482" s="1103"/>
      <c r="CV1482" s="1099"/>
      <c r="CW1482" s="1099"/>
      <c r="CX1482" s="1823">
        <v>-1.5133146278370244</v>
      </c>
      <c r="CY1482" s="1099"/>
      <c r="CZ1482" s="864"/>
      <c r="DA1482" s="1103"/>
      <c r="DB1482" s="1099"/>
    </row>
    <row r="1483" spans="87:106">
      <c r="CI1483" s="888">
        <v>184</v>
      </c>
      <c r="CJ1483" s="4" t="s">
        <v>2055</v>
      </c>
      <c r="CL1483" s="1826">
        <v>-0.48482934189442073</v>
      </c>
      <c r="CN1483" s="864"/>
      <c r="CO1483" s="1103"/>
      <c r="CR1483" s="1823">
        <v>-8.6182222531880015E-2</v>
      </c>
      <c r="CT1483" s="864"/>
      <c r="CU1483" s="1103"/>
      <c r="CV1483" s="1099"/>
      <c r="CW1483" s="1099"/>
      <c r="CX1483" s="1823">
        <v>0.24375761307098054</v>
      </c>
      <c r="CY1483" s="1099"/>
      <c r="CZ1483" s="864"/>
      <c r="DA1483" s="1103"/>
      <c r="DB1483" s="1099"/>
    </row>
    <row r="1484" spans="87:106">
      <c r="CI1484" s="888">
        <v>184</v>
      </c>
      <c r="CJ1484" s="4" t="s">
        <v>2056</v>
      </c>
      <c r="CL1484" s="1826">
        <v>0.64407763690343689</v>
      </c>
      <c r="CN1484" s="864"/>
      <c r="CO1484" s="1103"/>
      <c r="CR1484" s="1823">
        <v>-1.8456312835660151</v>
      </c>
      <c r="CT1484" s="864"/>
      <c r="CU1484" s="1103"/>
      <c r="CV1484" s="1099"/>
      <c r="CW1484" s="1099"/>
      <c r="CX1484" s="1823">
        <v>-0.17628361794090636</v>
      </c>
      <c r="CY1484" s="1099"/>
      <c r="CZ1484" s="864"/>
      <c r="DA1484" s="1103"/>
      <c r="DB1484" s="1099"/>
    </row>
    <row r="1485" spans="87:106">
      <c r="CI1485" s="888">
        <v>184</v>
      </c>
      <c r="CJ1485" s="1091" t="s">
        <v>2057</v>
      </c>
      <c r="CL1485" s="1826">
        <v>-5.3821050101517987</v>
      </c>
      <c r="CN1485" s="1104"/>
      <c r="CO1485" s="1105"/>
      <c r="CR1485" s="1824">
        <v>-11.355596359979746</v>
      </c>
      <c r="CT1485" s="1104"/>
      <c r="CU1485" s="1105"/>
      <c r="CV1485" s="1100"/>
      <c r="CW1485" s="1100"/>
      <c r="CX1485" s="1824">
        <v>-2.2813780617758095</v>
      </c>
      <c r="CY1485" s="1100"/>
      <c r="CZ1485" s="1104"/>
      <c r="DA1485" s="1105"/>
      <c r="DB1485" s="1100"/>
    </row>
    <row r="1486" spans="87:106">
      <c r="CI1486" s="888">
        <v>524</v>
      </c>
      <c r="CJ1486" s="4" t="s">
        <v>2058</v>
      </c>
      <c r="CL1486" s="1826"/>
      <c r="CN1486" s="1099">
        <v>-1.7140663678045591</v>
      </c>
      <c r="CO1486" s="1106">
        <v>0.13</v>
      </c>
      <c r="CR1486" s="1822"/>
      <c r="CT1486" s="1102">
        <v>-0.94494991009459839</v>
      </c>
      <c r="CU1486" s="1106">
        <v>0.37</v>
      </c>
      <c r="CV1486" s="863"/>
      <c r="CW1486" s="863"/>
      <c r="CX1486" s="1822" t="e">
        <v>#N/A</v>
      </c>
      <c r="CY1486" s="863"/>
      <c r="CZ1486" s="1099">
        <v>-0.16537242952388898</v>
      </c>
      <c r="DA1486" s="1106">
        <v>0.63</v>
      </c>
      <c r="DB1486" s="863"/>
    </row>
    <row r="1487" spans="87:106">
      <c r="CI1487" s="888">
        <v>524</v>
      </c>
      <c r="CJ1487" s="4"/>
      <c r="CL1487" s="1826"/>
      <c r="CN1487" s="1102"/>
      <c r="CO1487" s="1103"/>
      <c r="CR1487" s="1822"/>
      <c r="CT1487" s="1102"/>
      <c r="CU1487" s="1103"/>
      <c r="CV1487" s="863"/>
      <c r="CW1487" s="863"/>
      <c r="CX1487" s="1822" t="e">
        <v>#N/A</v>
      </c>
      <c r="CY1487" s="863"/>
      <c r="CZ1487" s="1102"/>
      <c r="DA1487" s="1103"/>
      <c r="DB1487" s="863"/>
    </row>
    <row r="1488" spans="87:106">
      <c r="CI1488" s="888">
        <v>524</v>
      </c>
      <c r="CJ1488" s="4"/>
      <c r="CL1488" s="1826"/>
      <c r="CN1488" s="1102"/>
      <c r="CO1488" s="1103"/>
      <c r="CR1488" s="1822"/>
      <c r="CT1488" s="1102"/>
      <c r="CU1488" s="1103"/>
      <c r="CV1488" s="863"/>
      <c r="CW1488" s="863"/>
      <c r="CX1488" s="1822" t="e">
        <v>#N/A</v>
      </c>
      <c r="CY1488" s="863"/>
      <c r="CZ1488" s="1102"/>
      <c r="DA1488" s="1103"/>
      <c r="DB1488" s="863"/>
    </row>
    <row r="1489" spans="87:106">
      <c r="CI1489" s="888">
        <v>524</v>
      </c>
      <c r="CJ1489" s="4"/>
      <c r="CL1489" s="1826"/>
      <c r="CN1489" s="1102"/>
      <c r="CO1489" s="1103"/>
      <c r="CR1489" s="1825"/>
      <c r="CT1489" s="1102"/>
      <c r="CU1489" s="1103"/>
      <c r="CV1489" s="1099"/>
      <c r="CW1489" s="1099"/>
      <c r="CX1489" s="1825" t="e">
        <v>#N/A</v>
      </c>
      <c r="CY1489" s="1099"/>
      <c r="CZ1489" s="1102"/>
      <c r="DA1489" s="1103"/>
      <c r="DB1489" s="1099"/>
    </row>
    <row r="1490" spans="87:106">
      <c r="CI1490" s="888">
        <v>524</v>
      </c>
      <c r="CJ1490" s="4" t="s">
        <v>2511</v>
      </c>
      <c r="CL1490" s="1826">
        <v>-1.8875366091262342</v>
      </c>
      <c r="CN1490" s="1102"/>
      <c r="CO1490" s="1103"/>
      <c r="CR1490" s="1823">
        <v>0.94805066416540063</v>
      </c>
      <c r="CT1490" s="1102"/>
      <c r="CU1490" s="1103"/>
      <c r="CV1490" s="1099"/>
      <c r="CW1490" s="1099"/>
      <c r="CX1490" s="1823">
        <v>3.7135842505094994</v>
      </c>
      <c r="CY1490" s="1099"/>
      <c r="CZ1490" s="1102"/>
      <c r="DA1490" s="1103"/>
      <c r="DB1490" s="1099"/>
    </row>
    <row r="1491" spans="87:106">
      <c r="CI1491" s="888">
        <v>524</v>
      </c>
      <c r="CJ1491" s="4" t="s">
        <v>2379</v>
      </c>
      <c r="CL1491" s="1826">
        <v>-2.0311337605923505</v>
      </c>
      <c r="CN1491" s="1102"/>
      <c r="CO1491" s="1103"/>
      <c r="CR1491" s="1823">
        <v>2.8683421497241932</v>
      </c>
      <c r="CT1491" s="1102"/>
      <c r="CU1491" s="1103"/>
      <c r="CV1491" s="1099"/>
      <c r="CW1491" s="1099"/>
      <c r="CX1491" s="1823">
        <v>0.6474249938390626</v>
      </c>
      <c r="CY1491" s="1099"/>
      <c r="CZ1491" s="1102"/>
      <c r="DA1491" s="1103"/>
      <c r="DB1491" s="1099"/>
    </row>
    <row r="1492" spans="87:106">
      <c r="CI1492" s="888">
        <v>524</v>
      </c>
      <c r="CJ1492" s="4" t="s">
        <v>2059</v>
      </c>
      <c r="CL1492" s="1826">
        <v>-1.7140663678045591</v>
      </c>
      <c r="CN1492" s="1102"/>
      <c r="CO1492" s="1103"/>
      <c r="CR1492" s="1823">
        <v>-2.1060701802577553</v>
      </c>
      <c r="CT1492" s="1102"/>
      <c r="CU1492" s="1103"/>
      <c r="CV1492" s="1099"/>
      <c r="CW1492" s="1099"/>
      <c r="CX1492" s="1823">
        <v>-3.9170424733017009</v>
      </c>
      <c r="CY1492" s="1099"/>
      <c r="CZ1492" s="1102"/>
      <c r="DA1492" s="1103"/>
      <c r="DB1492" s="1099"/>
    </row>
    <row r="1493" spans="87:106">
      <c r="CI1493" s="888">
        <v>524</v>
      </c>
      <c r="CJ1493" s="4" t="s">
        <v>2060</v>
      </c>
      <c r="CL1493" s="1826">
        <v>-2.2920852024965823</v>
      </c>
      <c r="CN1493" s="1102"/>
      <c r="CO1493" s="1103"/>
      <c r="CR1493" s="1823">
        <v>-1.0984971630947937</v>
      </c>
      <c r="CT1493" s="1102"/>
      <c r="CU1493" s="1103"/>
      <c r="CV1493" s="1099"/>
      <c r="CW1493" s="1099"/>
      <c r="CX1493" s="1823">
        <v>1.0893770772663238</v>
      </c>
      <c r="CY1493" s="1099"/>
      <c r="CZ1493" s="1102"/>
      <c r="DA1493" s="1103"/>
      <c r="DB1493" s="1099"/>
    </row>
    <row r="1494" spans="87:106">
      <c r="CI1494" s="888">
        <v>524</v>
      </c>
      <c r="CJ1494" s="4" t="s">
        <v>2061</v>
      </c>
      <c r="CL1494" s="1826">
        <v>0.299999999999784</v>
      </c>
      <c r="CN1494" s="864"/>
      <c r="CO1494" s="1103"/>
      <c r="CR1494" s="1823">
        <v>0.12171457185733292</v>
      </c>
      <c r="CT1494" s="864"/>
      <c r="CU1494" s="1103"/>
      <c r="CV1494" s="1099"/>
      <c r="CW1494" s="1099"/>
      <c r="CX1494" s="1823">
        <v>-0.28498066129242883</v>
      </c>
      <c r="CY1494" s="1099"/>
      <c r="CZ1494" s="864"/>
      <c r="DA1494" s="1103"/>
      <c r="DB1494" s="1099"/>
    </row>
    <row r="1495" spans="87:106">
      <c r="CI1495" s="888">
        <v>524</v>
      </c>
      <c r="CJ1495" s="4" t="s">
        <v>2062</v>
      </c>
      <c r="CL1495" s="1826">
        <v>-0.16370184492659767</v>
      </c>
      <c r="CN1495" s="864"/>
      <c r="CO1495" s="1103"/>
      <c r="CR1495" s="1823">
        <v>-0.79140265709440294</v>
      </c>
      <c r="CT1495" s="864"/>
      <c r="CU1495" s="1103"/>
      <c r="CV1495" s="1099"/>
      <c r="CW1495" s="1099"/>
      <c r="CX1495" s="1823">
        <v>2.3926472849493639</v>
      </c>
      <c r="CY1495" s="1099"/>
      <c r="CZ1495" s="864"/>
      <c r="DA1495" s="1103"/>
      <c r="DB1495" s="1099"/>
    </row>
    <row r="1496" spans="87:106">
      <c r="CI1496" s="888">
        <v>524</v>
      </c>
      <c r="CJ1496" s="4" t="s">
        <v>2063</v>
      </c>
      <c r="CL1496" s="1826">
        <v>1.7468167203547988</v>
      </c>
      <c r="CN1496" s="864"/>
      <c r="CO1496" s="1103"/>
      <c r="CR1496" s="1823" t="s">
        <v>1218</v>
      </c>
      <c r="CT1496" s="864"/>
      <c r="CU1496" s="1103"/>
      <c r="CV1496" s="1099"/>
      <c r="CW1496" s="1099"/>
      <c r="CX1496" s="1823">
        <v>-0.16537242952388898</v>
      </c>
      <c r="CY1496" s="1099"/>
      <c r="CZ1496" s="864"/>
      <c r="DA1496" s="1103"/>
      <c r="DB1496" s="1099"/>
    </row>
    <row r="1497" spans="87:106">
      <c r="CI1497" s="888">
        <v>524</v>
      </c>
      <c r="CJ1497" s="4" t="s">
        <v>2064</v>
      </c>
      <c r="CL1497" s="1826">
        <v>4.4207485042294037</v>
      </c>
      <c r="CN1497" s="864"/>
      <c r="CO1497" s="1103"/>
      <c r="CR1497" s="1823">
        <v>-1.5518977763858419</v>
      </c>
      <c r="CT1497" s="864"/>
      <c r="CU1497" s="1103"/>
      <c r="CV1497" s="1099"/>
      <c r="CW1497" s="1099"/>
      <c r="CX1497" s="1823">
        <v>-8.7412979879406034</v>
      </c>
      <c r="CY1497" s="1099"/>
      <c r="CZ1497" s="864"/>
      <c r="DA1497" s="1103"/>
      <c r="DB1497" s="1099"/>
    </row>
    <row r="1498" spans="87:106">
      <c r="CI1498" s="888">
        <v>524</v>
      </c>
      <c r="CJ1498" s="1091" t="s">
        <v>2065</v>
      </c>
      <c r="CL1498" s="1826">
        <v>-1.784769713531706</v>
      </c>
      <c r="CN1498" s="1104"/>
      <c r="CO1498" s="1105"/>
      <c r="CR1498" s="1824">
        <v>-4.929146412406932</v>
      </c>
      <c r="CT1498" s="1104"/>
      <c r="CU1498" s="1105"/>
      <c r="CV1498" s="1100"/>
      <c r="CW1498" s="1100"/>
      <c r="CX1498" s="1824">
        <v>-4.037992328522984</v>
      </c>
      <c r="CY1498" s="1100"/>
      <c r="CZ1498" s="1104"/>
      <c r="DA1498" s="1105"/>
      <c r="DB1498" s="1100"/>
    </row>
    <row r="1499" spans="87:106">
      <c r="CI1499" s="888">
        <v>361</v>
      </c>
      <c r="CJ1499" s="4" t="s">
        <v>2066</v>
      </c>
      <c r="CL1499" s="1826"/>
      <c r="CN1499" s="1099">
        <v>-0.14971610167278193</v>
      </c>
      <c r="CO1499" s="1106">
        <v>0.62</v>
      </c>
      <c r="CR1499" s="1822"/>
      <c r="CT1499" s="1102">
        <v>7.4155463056273581</v>
      </c>
      <c r="CU1499" s="1106">
        <v>0.99</v>
      </c>
      <c r="CV1499" s="863"/>
      <c r="CW1499" s="863"/>
      <c r="CX1499" s="1822" t="e">
        <v>#N/A</v>
      </c>
      <c r="CY1499" s="863"/>
      <c r="CZ1499" s="1099">
        <v>-0.4725004771062884</v>
      </c>
      <c r="DA1499" s="1106">
        <v>0.46</v>
      </c>
      <c r="DB1499" s="863"/>
    </row>
    <row r="1500" spans="87:106">
      <c r="CI1500" s="888">
        <v>361</v>
      </c>
      <c r="CJ1500" s="4"/>
      <c r="CL1500" s="1826"/>
      <c r="CN1500" s="1102"/>
      <c r="CO1500" s="1103"/>
      <c r="CR1500" s="1822"/>
      <c r="CT1500" s="1102"/>
      <c r="CU1500" s="1103"/>
      <c r="CV1500" s="863"/>
      <c r="CW1500" s="863"/>
      <c r="CX1500" s="1822" t="e">
        <v>#N/A</v>
      </c>
      <c r="CY1500" s="863"/>
      <c r="CZ1500" s="1102"/>
      <c r="DA1500" s="1103"/>
      <c r="DB1500" s="863"/>
    </row>
    <row r="1501" spans="87:106">
      <c r="CI1501" s="888">
        <v>361</v>
      </c>
      <c r="CJ1501" s="4"/>
      <c r="CL1501" s="1826"/>
      <c r="CN1501" s="1102"/>
      <c r="CO1501" s="1103"/>
      <c r="CR1501" s="1822"/>
      <c r="CT1501" s="1102"/>
      <c r="CU1501" s="1103"/>
      <c r="CV1501" s="863"/>
      <c r="CW1501" s="863"/>
      <c r="CX1501" s="1822" t="e">
        <v>#N/A</v>
      </c>
      <c r="CY1501" s="863"/>
      <c r="CZ1501" s="1102"/>
      <c r="DA1501" s="1103"/>
      <c r="DB1501" s="863"/>
    </row>
    <row r="1502" spans="87:106">
      <c r="CI1502" s="888">
        <v>361</v>
      </c>
      <c r="CJ1502" s="4"/>
      <c r="CL1502" s="1826"/>
      <c r="CN1502" s="1102"/>
      <c r="CO1502" s="1103"/>
      <c r="CR1502" s="1825"/>
      <c r="CT1502" s="1102"/>
      <c r="CU1502" s="1103"/>
      <c r="CV1502" s="1099"/>
      <c r="CW1502" s="1099"/>
      <c r="CX1502" s="1825" t="e">
        <v>#N/A</v>
      </c>
      <c r="CY1502" s="1099"/>
      <c r="CZ1502" s="1102"/>
      <c r="DA1502" s="1103"/>
      <c r="DB1502" s="1099"/>
    </row>
    <row r="1503" spans="87:106">
      <c r="CI1503" s="888">
        <v>361</v>
      </c>
      <c r="CJ1503" s="4" t="s">
        <v>2512</v>
      </c>
      <c r="CL1503" s="1826">
        <v>-0.14971610167278193</v>
      </c>
      <c r="CN1503" s="1102"/>
      <c r="CO1503" s="1103"/>
      <c r="CR1503" s="1823">
        <v>-0.63854191602789401</v>
      </c>
      <c r="CT1503" s="1102"/>
      <c r="CU1503" s="1103"/>
      <c r="CV1503" s="1099"/>
      <c r="CW1503" s="1099"/>
      <c r="CX1503" s="1823">
        <v>-1.1366254304560106</v>
      </c>
      <c r="CY1503" s="1099"/>
      <c r="CZ1503" s="1102"/>
      <c r="DA1503" s="1103"/>
      <c r="DB1503" s="1099"/>
    </row>
    <row r="1504" spans="87:106">
      <c r="CI1504" s="888">
        <v>361</v>
      </c>
      <c r="CJ1504" s="4" t="s">
        <v>2380</v>
      </c>
      <c r="CL1504" s="1826">
        <v>0.17005602930816943</v>
      </c>
      <c r="CN1504" s="1102"/>
      <c r="CO1504" s="1103"/>
      <c r="CR1504" s="1823">
        <v>3.6100301367002228</v>
      </c>
      <c r="CT1504" s="1102"/>
      <c r="CU1504" s="1103"/>
      <c r="CV1504" s="1099"/>
      <c r="CW1504" s="1099"/>
      <c r="CX1504" s="1823">
        <v>-2.7306021528867421</v>
      </c>
      <c r="CY1504" s="1099"/>
      <c r="CZ1504" s="1102"/>
      <c r="DA1504" s="1103"/>
      <c r="DB1504" s="1099"/>
    </row>
    <row r="1505" spans="87:106">
      <c r="CI1505" s="888">
        <v>361</v>
      </c>
      <c r="CJ1505" s="4" t="s">
        <v>2067</v>
      </c>
      <c r="CL1505" s="1826">
        <v>1.9206200074228739</v>
      </c>
      <c r="CN1505" s="1102"/>
      <c r="CO1505" s="1103"/>
      <c r="CR1505" s="1823">
        <v>4.6839488132904634</v>
      </c>
      <c r="CT1505" s="1102"/>
      <c r="CU1505" s="1103"/>
      <c r="CV1505" s="1099"/>
      <c r="CW1505" s="1099"/>
      <c r="CX1505" s="1823">
        <v>-3.2360378818085831</v>
      </c>
      <c r="CY1505" s="1099"/>
      <c r="CZ1505" s="1102"/>
      <c r="DA1505" s="1103"/>
      <c r="DB1505" s="1099"/>
    </row>
    <row r="1506" spans="87:106">
      <c r="CI1506" s="888">
        <v>361</v>
      </c>
      <c r="CJ1506" s="4" t="s">
        <v>2068</v>
      </c>
      <c r="CL1506" s="1826">
        <v>2.8867164670115577</v>
      </c>
      <c r="CN1506" s="1102"/>
      <c r="CO1506" s="1103"/>
      <c r="CR1506" s="1823">
        <v>9.9477863780915232</v>
      </c>
      <c r="CT1506" s="1102"/>
      <c r="CU1506" s="1103"/>
      <c r="CV1506" s="1099"/>
      <c r="CW1506" s="1099"/>
      <c r="CX1506" s="1823">
        <v>-0.4725004771062884</v>
      </c>
      <c r="CY1506" s="1099"/>
      <c r="CZ1506" s="1102"/>
      <c r="DA1506" s="1103"/>
      <c r="DB1506" s="1099"/>
    </row>
    <row r="1507" spans="87:106">
      <c r="CI1507" s="888">
        <v>361</v>
      </c>
      <c r="CJ1507" s="4" t="s">
        <v>2069</v>
      </c>
      <c r="CL1507" s="1826">
        <v>1.9845135640063571</v>
      </c>
      <c r="CN1507" s="864"/>
      <c r="CO1507" s="1103"/>
      <c r="CR1507" s="1823">
        <v>11.68825375233742</v>
      </c>
      <c r="CT1507" s="864"/>
      <c r="CU1507" s="1103"/>
      <c r="CV1507" s="1099"/>
      <c r="CW1507" s="1099"/>
      <c r="CX1507" s="1823">
        <v>4.8163577412856151E-2</v>
      </c>
      <c r="CY1507" s="1099"/>
      <c r="CZ1507" s="864"/>
      <c r="DA1507" s="1103"/>
      <c r="DB1507" s="1099"/>
    </row>
    <row r="1508" spans="87:106">
      <c r="CI1508" s="888">
        <v>361</v>
      </c>
      <c r="CJ1508" s="4" t="s">
        <v>2070</v>
      </c>
      <c r="CL1508" s="1826">
        <v>-2.3571797112992505</v>
      </c>
      <c r="CN1508" s="864"/>
      <c r="CO1508" s="1103"/>
      <c r="CR1508" s="1823">
        <v>7.7500236269333307</v>
      </c>
      <c r="CT1508" s="864"/>
      <c r="CU1508" s="1103"/>
      <c r="CV1508" s="1099"/>
      <c r="CW1508" s="1099"/>
      <c r="CX1508" s="1823">
        <v>0.27707023109130358</v>
      </c>
      <c r="CY1508" s="1099"/>
      <c r="CZ1508" s="864"/>
      <c r="DA1508" s="1103"/>
      <c r="DB1508" s="1099"/>
    </row>
    <row r="1509" spans="87:106">
      <c r="CI1509" s="888">
        <v>361</v>
      </c>
      <c r="CJ1509" s="4" t="s">
        <v>2071</v>
      </c>
      <c r="CL1509" s="1826">
        <v>-2.34895350568378</v>
      </c>
      <c r="CN1509" s="864"/>
      <c r="CO1509" s="1103"/>
      <c r="CR1509" s="1823">
        <v>7.4155463056273581</v>
      </c>
      <c r="CT1509" s="864"/>
      <c r="CU1509" s="1103"/>
      <c r="CV1509" s="1099"/>
      <c r="CW1509" s="1099"/>
      <c r="CX1509" s="1823">
        <v>6.3006349056045838</v>
      </c>
      <c r="CY1509" s="1099"/>
      <c r="CZ1509" s="864"/>
      <c r="DA1509" s="1103"/>
      <c r="DB1509" s="1099"/>
    </row>
    <row r="1510" spans="87:106">
      <c r="CI1510" s="888">
        <v>361</v>
      </c>
      <c r="CJ1510" s="4" t="s">
        <v>2072</v>
      </c>
      <c r="CL1510" s="1826">
        <v>-2.6911051109823316</v>
      </c>
      <c r="CN1510" s="864"/>
      <c r="CO1510" s="1103"/>
      <c r="CR1510" s="1823" t="s">
        <v>1218</v>
      </c>
      <c r="CT1510" s="864"/>
      <c r="CU1510" s="1103"/>
      <c r="CV1510" s="1099"/>
      <c r="CW1510" s="1099"/>
      <c r="CX1510" s="1823">
        <v>-1.5393770267147149</v>
      </c>
      <c r="CY1510" s="1099"/>
      <c r="CZ1510" s="864"/>
      <c r="DA1510" s="1103"/>
      <c r="DB1510" s="1099"/>
    </row>
    <row r="1511" spans="87:106">
      <c r="CI1511" s="888">
        <v>361</v>
      </c>
      <c r="CJ1511" s="1091" t="s">
        <v>2073</v>
      </c>
      <c r="CL1511" s="1826">
        <v>-12.251107879540703</v>
      </c>
      <c r="CN1511" s="1104"/>
      <c r="CO1511" s="1105"/>
      <c r="CR1511" s="1824" t="s">
        <v>1218</v>
      </c>
      <c r="CT1511" s="1104"/>
      <c r="CU1511" s="1105"/>
      <c r="CV1511" s="1100"/>
      <c r="CW1511" s="1100"/>
      <c r="CX1511" s="1824">
        <v>8.3095288777061516E-2</v>
      </c>
      <c r="CY1511" s="1100"/>
      <c r="CZ1511" s="1104"/>
      <c r="DA1511" s="1105"/>
      <c r="DB1511" s="1100"/>
    </row>
    <row r="1512" spans="87:106">
      <c r="CI1512" s="888">
        <v>362</v>
      </c>
      <c r="CJ1512" s="4" t="s">
        <v>2266</v>
      </c>
      <c r="CL1512" s="1826"/>
      <c r="CN1512" s="1099">
        <v>-0.87082060789849147</v>
      </c>
      <c r="CO1512" s="1106">
        <v>0.27</v>
      </c>
      <c r="CR1512" s="1822"/>
      <c r="CT1512" s="1102">
        <v>0.11597265132250145</v>
      </c>
      <c r="CU1512" s="1106">
        <v>0.74</v>
      </c>
      <c r="CV1512" s="863"/>
      <c r="CW1512" s="863"/>
      <c r="CX1512" s="1822" t="e">
        <v>#N/A</v>
      </c>
      <c r="CY1512" s="863"/>
      <c r="CZ1512" s="1099">
        <v>-0.58204246806515403</v>
      </c>
      <c r="DA1512" s="1106">
        <v>0.37</v>
      </c>
      <c r="DB1512" s="863"/>
    </row>
    <row r="1513" spans="87:106">
      <c r="CI1513" s="888">
        <v>362</v>
      </c>
      <c r="CJ1513" s="4"/>
      <c r="CL1513" s="1826"/>
      <c r="CN1513" s="1102"/>
      <c r="CO1513" s="1103"/>
      <c r="CR1513" s="1822"/>
      <c r="CT1513" s="1102"/>
      <c r="CU1513" s="1103"/>
      <c r="CV1513" s="863"/>
      <c r="CW1513" s="863"/>
      <c r="CX1513" s="1822" t="e">
        <v>#N/A</v>
      </c>
      <c r="CY1513" s="863"/>
      <c r="CZ1513" s="1102"/>
      <c r="DA1513" s="1103"/>
      <c r="DB1513" s="863"/>
    </row>
    <row r="1514" spans="87:106">
      <c r="CI1514" s="888">
        <v>362</v>
      </c>
      <c r="CJ1514" s="4"/>
      <c r="CL1514" s="1826"/>
      <c r="CN1514" s="1102"/>
      <c r="CO1514" s="1103"/>
      <c r="CR1514" s="1822"/>
      <c r="CT1514" s="1102"/>
      <c r="CU1514" s="1103"/>
      <c r="CV1514" s="863"/>
      <c r="CW1514" s="863"/>
      <c r="CX1514" s="1822" t="e">
        <v>#N/A</v>
      </c>
      <c r="CY1514" s="863"/>
      <c r="CZ1514" s="1102"/>
      <c r="DA1514" s="1103"/>
      <c r="DB1514" s="863"/>
    </row>
    <row r="1515" spans="87:106">
      <c r="CI1515" s="888">
        <v>362</v>
      </c>
      <c r="CJ1515" s="4"/>
      <c r="CL1515" s="1826"/>
      <c r="CN1515" s="1102"/>
      <c r="CO1515" s="1103"/>
      <c r="CR1515" s="1825"/>
      <c r="CT1515" s="1102"/>
      <c r="CU1515" s="1103"/>
      <c r="CV1515" s="1099"/>
      <c r="CW1515" s="1099"/>
      <c r="CX1515" s="1825" t="e">
        <v>#N/A</v>
      </c>
      <c r="CY1515" s="1099"/>
      <c r="CZ1515" s="1102"/>
      <c r="DA1515" s="1103"/>
      <c r="DB1515" s="1099"/>
    </row>
    <row r="1516" spans="87:106">
      <c r="CI1516" s="888">
        <v>362</v>
      </c>
      <c r="CJ1516" s="4" t="s">
        <v>2513</v>
      </c>
      <c r="CL1516" s="1826">
        <v>1.0552464846054379</v>
      </c>
      <c r="CN1516" s="1102"/>
      <c r="CO1516" s="1103"/>
      <c r="CR1516" s="1823">
        <v>0.11597265132250145</v>
      </c>
      <c r="CT1516" s="1102"/>
      <c r="CU1516" s="1103"/>
      <c r="CV1516" s="1099"/>
      <c r="CW1516" s="1099"/>
      <c r="CX1516" s="1823">
        <v>-0.58204246806515403</v>
      </c>
      <c r="CY1516" s="1099"/>
      <c r="CZ1516" s="1102"/>
      <c r="DA1516" s="1103"/>
      <c r="DB1516" s="1099"/>
    </row>
    <row r="1517" spans="87:106">
      <c r="CI1517" s="888">
        <v>362</v>
      </c>
      <c r="CJ1517" s="4" t="s">
        <v>2381</v>
      </c>
      <c r="CL1517" s="1826">
        <v>1.9296057431303586</v>
      </c>
      <c r="CN1517" s="1102"/>
      <c r="CO1517" s="1103"/>
      <c r="CR1517" s="1823">
        <v>4.5925491076546887</v>
      </c>
      <c r="CT1517" s="1102"/>
      <c r="CU1517" s="1103"/>
      <c r="CV1517" s="1099"/>
      <c r="CW1517" s="1099"/>
      <c r="CX1517" s="1823">
        <v>-4.2496247006338344</v>
      </c>
      <c r="CY1517" s="1099"/>
      <c r="CZ1517" s="1102"/>
      <c r="DA1517" s="1103"/>
      <c r="DB1517" s="1099"/>
    </row>
    <row r="1518" spans="87:106">
      <c r="CI1518" s="888">
        <v>362</v>
      </c>
      <c r="CJ1518" s="4" t="s">
        <v>2267</v>
      </c>
      <c r="CL1518" s="1826">
        <v>0.79158727669750473</v>
      </c>
      <c r="CN1518" s="1102"/>
      <c r="CO1518" s="1103"/>
      <c r="CR1518" s="1823">
        <v>3.5759427153270122</v>
      </c>
      <c r="CT1518" s="1102"/>
      <c r="CU1518" s="1103"/>
      <c r="CV1518" s="1099"/>
      <c r="CW1518" s="1099"/>
      <c r="CX1518" s="1823">
        <v>-2.0404993110849925</v>
      </c>
      <c r="CY1518" s="1099"/>
      <c r="CZ1518" s="1102"/>
      <c r="DA1518" s="1103"/>
      <c r="DB1518" s="1099"/>
    </row>
    <row r="1519" spans="87:106">
      <c r="CI1519" s="888">
        <v>362</v>
      </c>
      <c r="CJ1519" s="4" t="s">
        <v>2268</v>
      </c>
      <c r="CL1519" s="1826">
        <v>-1.7439108615525507</v>
      </c>
      <c r="CN1519" s="1102"/>
      <c r="CO1519" s="1103"/>
      <c r="CR1519" s="1823">
        <v>4.2861271580574529</v>
      </c>
      <c r="CT1519" s="1102"/>
      <c r="CU1519" s="1103"/>
      <c r="CV1519" s="1099"/>
      <c r="CW1519" s="1099"/>
      <c r="CX1519" s="1823">
        <v>1.5013647280127542</v>
      </c>
      <c r="CY1519" s="1099"/>
      <c r="CZ1519" s="1102"/>
      <c r="DA1519" s="1103"/>
      <c r="DB1519" s="1099"/>
    </row>
    <row r="1520" spans="87:106">
      <c r="CI1520" s="888">
        <v>362</v>
      </c>
      <c r="CJ1520" s="4" t="s">
        <v>2269</v>
      </c>
      <c r="CL1520" s="1826">
        <v>-2.9000397121644967</v>
      </c>
      <c r="CN1520" s="864"/>
      <c r="CO1520" s="1103"/>
      <c r="CR1520" s="1823">
        <v>-0.66432581722982298</v>
      </c>
      <c r="CT1520" s="864"/>
      <c r="CU1520" s="1103"/>
      <c r="CV1520" s="1099"/>
      <c r="CW1520" s="1099"/>
      <c r="CX1520" s="1823">
        <v>0.66135182077568277</v>
      </c>
      <c r="CY1520" s="1099"/>
      <c r="CZ1520" s="864"/>
      <c r="DA1520" s="1103"/>
      <c r="DB1520" s="1099"/>
    </row>
    <row r="1521" spans="87:106">
      <c r="CI1521" s="888">
        <v>362</v>
      </c>
      <c r="CJ1521" s="4" t="s">
        <v>2270</v>
      </c>
      <c r="CL1521" s="1826">
        <v>-5.1896794605320871</v>
      </c>
      <c r="CN1521" s="864"/>
      <c r="CO1521" s="1103"/>
      <c r="CR1521" s="1823">
        <v>-5.0349719261862838</v>
      </c>
      <c r="CT1521" s="864"/>
      <c r="CU1521" s="1103"/>
      <c r="CV1521" s="1099"/>
      <c r="CW1521" s="1099"/>
      <c r="CX1521" s="1823">
        <v>0.62670460614700163</v>
      </c>
      <c r="CY1521" s="1099"/>
      <c r="CZ1521" s="864"/>
      <c r="DA1521" s="1103"/>
      <c r="DB1521" s="1099"/>
    </row>
    <row r="1522" spans="87:106">
      <c r="CI1522" s="888">
        <v>362</v>
      </c>
      <c r="CJ1522" s="4" t="s">
        <v>2271</v>
      </c>
      <c r="CL1522" s="1826">
        <v>-0.87082060789849147</v>
      </c>
      <c r="CN1522" s="864"/>
      <c r="CO1522" s="1103"/>
      <c r="CR1522" s="1823">
        <v>-2.242919806154434</v>
      </c>
      <c r="CT1522" s="864"/>
      <c r="CU1522" s="1103"/>
      <c r="CV1522" s="1099"/>
      <c r="CW1522" s="1099"/>
      <c r="CX1522" s="1823">
        <v>-2.9200837563683528</v>
      </c>
      <c r="CY1522" s="1099"/>
      <c r="CZ1522" s="864"/>
      <c r="DA1522" s="1103"/>
      <c r="DB1522" s="1099"/>
    </row>
    <row r="1523" spans="87:106">
      <c r="CI1523" s="888">
        <v>362</v>
      </c>
      <c r="CJ1523" s="4" t="s">
        <v>2272</v>
      </c>
      <c r="CL1523" s="1826">
        <v>3.4282476490200282</v>
      </c>
      <c r="CN1523" s="864"/>
      <c r="CO1523" s="1103"/>
      <c r="CR1523" s="1823">
        <v>0.61795285141944167</v>
      </c>
      <c r="CT1523" s="864"/>
      <c r="CU1523" s="1103"/>
      <c r="CV1523" s="1099"/>
      <c r="CW1523" s="1099"/>
      <c r="CX1523" s="1823">
        <v>2.3505355963452708</v>
      </c>
      <c r="CY1523" s="1099"/>
      <c r="CZ1523" s="864"/>
      <c r="DA1523" s="1103"/>
      <c r="DB1523" s="1099"/>
    </row>
    <row r="1524" spans="87:106">
      <c r="CI1524" s="888">
        <v>362</v>
      </c>
      <c r="CJ1524" s="1091" t="s">
        <v>2273</v>
      </c>
      <c r="CL1524" s="1826">
        <v>-7.9653497542756559</v>
      </c>
      <c r="CN1524" s="1104"/>
      <c r="CO1524" s="1105"/>
      <c r="CR1524" s="1824">
        <v>-0.40127099812376393</v>
      </c>
      <c r="CT1524" s="1104"/>
      <c r="CU1524" s="1105"/>
      <c r="CV1524" s="1100"/>
      <c r="CW1524" s="1100"/>
      <c r="CX1524" s="1824">
        <v>-5.7742621772655545</v>
      </c>
      <c r="CY1524" s="1100"/>
      <c r="CZ1524" s="1104"/>
      <c r="DA1524" s="1105"/>
      <c r="DB1524" s="1100"/>
    </row>
    <row r="1525" spans="87:106">
      <c r="CI1525" s="888">
        <v>366</v>
      </c>
      <c r="CJ1525" s="4" t="s">
        <v>2082</v>
      </c>
      <c r="CL1525" s="1826"/>
      <c r="CN1525" s="1099">
        <v>-2.4358442387488557</v>
      </c>
      <c r="CO1525" s="1106">
        <v>0.08</v>
      </c>
      <c r="CR1525" s="1822"/>
      <c r="CT1525" s="1102">
        <v>-2.7330805901645649</v>
      </c>
      <c r="CU1525" s="1106">
        <v>0.12</v>
      </c>
      <c r="CV1525" s="863"/>
      <c r="CW1525" s="863"/>
      <c r="CX1525" s="1822" t="e">
        <v>#N/A</v>
      </c>
      <c r="CY1525" s="863"/>
      <c r="CZ1525" s="1099">
        <v>-2.7679555213710492</v>
      </c>
      <c r="DA1525" s="1106">
        <v>0.02</v>
      </c>
      <c r="DB1525" s="863"/>
    </row>
    <row r="1526" spans="87:106">
      <c r="CI1526" s="888">
        <v>366</v>
      </c>
      <c r="CJ1526" s="4"/>
      <c r="CL1526" s="1826"/>
      <c r="CN1526" s="1102"/>
      <c r="CO1526" s="1103"/>
      <c r="CR1526" s="1822"/>
      <c r="CT1526" s="1102"/>
      <c r="CU1526" s="1103"/>
      <c r="CV1526" s="863"/>
      <c r="CW1526" s="863"/>
      <c r="CX1526" s="1822" t="e">
        <v>#N/A</v>
      </c>
      <c r="CY1526" s="863"/>
      <c r="CZ1526" s="1102"/>
      <c r="DA1526" s="1103"/>
      <c r="DB1526" s="863"/>
    </row>
    <row r="1527" spans="87:106">
      <c r="CI1527" s="888">
        <v>366</v>
      </c>
      <c r="CJ1527" s="4"/>
      <c r="CL1527" s="1826"/>
      <c r="CN1527" s="1102"/>
      <c r="CO1527" s="1103"/>
      <c r="CR1527" s="1822"/>
      <c r="CT1527" s="1102"/>
      <c r="CU1527" s="1103"/>
      <c r="CV1527" s="863"/>
      <c r="CW1527" s="863"/>
      <c r="CX1527" s="1822" t="e">
        <v>#N/A</v>
      </c>
      <c r="CY1527" s="863"/>
      <c r="CZ1527" s="1102"/>
      <c r="DA1527" s="1103"/>
      <c r="DB1527" s="863"/>
    </row>
    <row r="1528" spans="87:106">
      <c r="CI1528" s="888">
        <v>366</v>
      </c>
      <c r="CJ1528" s="4"/>
      <c r="CL1528" s="1826"/>
      <c r="CN1528" s="1102"/>
      <c r="CO1528" s="1103"/>
      <c r="CR1528" s="1825"/>
      <c r="CT1528" s="1102"/>
      <c r="CU1528" s="1103"/>
      <c r="CV1528" s="1099"/>
      <c r="CW1528" s="1099"/>
      <c r="CX1528" s="1825" t="e">
        <v>#N/A</v>
      </c>
      <c r="CY1528" s="1099"/>
      <c r="CZ1528" s="1102"/>
      <c r="DA1528" s="1103"/>
      <c r="DB1528" s="1099"/>
    </row>
    <row r="1529" spans="87:106">
      <c r="CI1529" s="888">
        <v>366</v>
      </c>
      <c r="CJ1529" s="4" t="s">
        <v>2514</v>
      </c>
      <c r="CL1529" s="1826">
        <v>-2.4986758130219537</v>
      </c>
      <c r="CN1529" s="1102"/>
      <c r="CO1529" s="1103"/>
      <c r="CR1529" s="1823">
        <v>-3.6368236836006851</v>
      </c>
      <c r="CT1529" s="1102"/>
      <c r="CU1529" s="1103"/>
      <c r="CV1529" s="1099"/>
      <c r="CW1529" s="1099"/>
      <c r="CX1529" s="1823">
        <v>11.767803823996035</v>
      </c>
      <c r="CY1529" s="1099"/>
      <c r="CZ1529" s="1102"/>
      <c r="DA1529" s="1103"/>
      <c r="DB1529" s="1099"/>
    </row>
    <row r="1530" spans="87:106">
      <c r="CI1530" s="888">
        <v>366</v>
      </c>
      <c r="CJ1530" s="4" t="s">
        <v>2382</v>
      </c>
      <c r="CL1530" s="1826">
        <v>-8.9392481865145008</v>
      </c>
      <c r="CN1530" s="1102"/>
      <c r="CO1530" s="1103"/>
      <c r="CR1530" s="1823">
        <v>-2.355744773411844</v>
      </c>
      <c r="CT1530" s="1102"/>
      <c r="CU1530" s="1103"/>
      <c r="CV1530" s="1099"/>
      <c r="CW1530" s="1099"/>
      <c r="CX1530" s="1823">
        <v>27.468545145445781</v>
      </c>
      <c r="CY1530" s="1099"/>
      <c r="CZ1530" s="1102"/>
      <c r="DA1530" s="1103"/>
      <c r="DB1530" s="1099"/>
    </row>
    <row r="1531" spans="87:106">
      <c r="CI1531" s="888">
        <v>366</v>
      </c>
      <c r="CJ1531" s="4" t="s">
        <v>2083</v>
      </c>
      <c r="CL1531" s="1826">
        <v>-6.7395299969518732</v>
      </c>
      <c r="CN1531" s="1102"/>
      <c r="CO1531" s="1103"/>
      <c r="CR1531" s="1823">
        <v>-5.3694318391535676</v>
      </c>
      <c r="CT1531" s="1102"/>
      <c r="CU1531" s="1103"/>
      <c r="CV1531" s="1099"/>
      <c r="CW1531" s="1099"/>
      <c r="CX1531" s="1823">
        <v>-4.6653481271313115</v>
      </c>
      <c r="CY1531" s="1099"/>
      <c r="CZ1531" s="1102"/>
      <c r="DA1531" s="1103"/>
      <c r="DB1531" s="1099"/>
    </row>
    <row r="1532" spans="87:106">
      <c r="CI1532" s="888">
        <v>366</v>
      </c>
      <c r="CJ1532" s="4" t="s">
        <v>2084</v>
      </c>
      <c r="CL1532" s="1826">
        <v>-2.623199943995107</v>
      </c>
      <c r="CN1532" s="1102"/>
      <c r="CO1532" s="1103"/>
      <c r="CR1532" s="1823">
        <v>-5.9392995951044085</v>
      </c>
      <c r="CT1532" s="1102"/>
      <c r="CU1532" s="1103"/>
      <c r="CV1532" s="1099"/>
      <c r="CW1532" s="1099"/>
      <c r="CX1532" s="1823">
        <v>-4.2498644979614548</v>
      </c>
      <c r="CY1532" s="1099"/>
      <c r="CZ1532" s="1102"/>
      <c r="DA1532" s="1103"/>
      <c r="DB1532" s="1099"/>
    </row>
    <row r="1533" spans="87:106">
      <c r="CI1533" s="888">
        <v>366</v>
      </c>
      <c r="CJ1533" s="4" t="s">
        <v>2085</v>
      </c>
      <c r="CL1533" s="1826">
        <v>-1.2973515495040351</v>
      </c>
      <c r="CN1533" s="864"/>
      <c r="CO1533" s="1103"/>
      <c r="CR1533" s="1823">
        <v>-4.9558142410185786</v>
      </c>
      <c r="CT1533" s="864"/>
      <c r="CU1533" s="1103"/>
      <c r="CV1533" s="1099"/>
      <c r="CW1533" s="1099"/>
      <c r="CX1533" s="1823">
        <v>-6.5505640230853626</v>
      </c>
      <c r="CY1533" s="1099"/>
      <c r="CZ1533" s="864"/>
      <c r="DA1533" s="1103"/>
      <c r="DB1533" s="1099"/>
    </row>
    <row r="1534" spans="87:106">
      <c r="CI1534" s="888">
        <v>366</v>
      </c>
      <c r="CJ1534" s="4" t="s">
        <v>2086</v>
      </c>
      <c r="CL1534" s="1826">
        <v>-0.19489072737072011</v>
      </c>
      <c r="CN1534" s="864"/>
      <c r="CO1534" s="1103"/>
      <c r="CR1534" s="1823">
        <v>-2.7330805901645649</v>
      </c>
      <c r="CT1534" s="864"/>
      <c r="CU1534" s="1103"/>
      <c r="CV1534" s="1099"/>
      <c r="CW1534" s="1099"/>
      <c r="CX1534" s="1823">
        <v>-5.3608934148140577</v>
      </c>
      <c r="CY1534" s="1099"/>
      <c r="CZ1534" s="864"/>
      <c r="DA1534" s="1103"/>
      <c r="DB1534" s="1099"/>
    </row>
    <row r="1535" spans="87:106">
      <c r="CI1535" s="888">
        <v>366</v>
      </c>
      <c r="CJ1535" s="4" t="s">
        <v>2087</v>
      </c>
      <c r="CL1535" s="1826">
        <v>-4.5377426403001131E-2</v>
      </c>
      <c r="CN1535" s="864"/>
      <c r="CO1535" s="1103"/>
      <c r="CR1535" s="1823">
        <v>2.0745417590423996</v>
      </c>
      <c r="CT1535" s="864"/>
      <c r="CU1535" s="1103"/>
      <c r="CV1535" s="1099"/>
      <c r="CW1535" s="1099"/>
      <c r="CX1535" s="1823">
        <v>5.0686155493940133</v>
      </c>
      <c r="CY1535" s="1099"/>
      <c r="CZ1535" s="864"/>
      <c r="DA1535" s="1103"/>
      <c r="DB1535" s="1099"/>
    </row>
    <row r="1536" spans="87:106">
      <c r="CI1536" s="888">
        <v>366</v>
      </c>
      <c r="CJ1536" s="4" t="s">
        <v>2088</v>
      </c>
      <c r="CL1536" s="1826">
        <v>2.0264946701683475</v>
      </c>
      <c r="CN1536" s="864"/>
      <c r="CO1536" s="1103"/>
      <c r="CR1536" s="1823">
        <v>-1.6010827654284823</v>
      </c>
      <c r="CT1536" s="864"/>
      <c r="CU1536" s="1103"/>
      <c r="CV1536" s="1099"/>
      <c r="CW1536" s="1099"/>
      <c r="CX1536" s="1823">
        <v>-1.7636624054131715</v>
      </c>
      <c r="CY1536" s="1099"/>
      <c r="CZ1536" s="864"/>
      <c r="DA1536" s="1103"/>
      <c r="DB1536" s="1099"/>
    </row>
    <row r="1537" spans="87:106">
      <c r="CI1537" s="888">
        <v>366</v>
      </c>
      <c r="CJ1537" s="1091" t="s">
        <v>2089</v>
      </c>
      <c r="CL1537" s="1826">
        <v>-2.4358442387488557</v>
      </c>
      <c r="CN1537" s="1104"/>
      <c r="CO1537" s="1105"/>
      <c r="CR1537" s="1824">
        <v>-2.5709625766701798</v>
      </c>
      <c r="CT1537" s="1104"/>
      <c r="CU1537" s="1105"/>
      <c r="CV1537" s="1100"/>
      <c r="CW1537" s="1100"/>
      <c r="CX1537" s="1824">
        <v>-2.7679555213710492</v>
      </c>
      <c r="CY1537" s="1100"/>
      <c r="CZ1537" s="1104"/>
      <c r="DA1537" s="1105"/>
      <c r="DB1537" s="1100"/>
    </row>
    <row r="1538" spans="87:106">
      <c r="CI1538" s="888">
        <v>734</v>
      </c>
      <c r="CJ1538" s="4" t="s">
        <v>2090</v>
      </c>
      <c r="CL1538" s="1826"/>
      <c r="CN1538" s="1099">
        <v>-0.86221146153474204</v>
      </c>
      <c r="CO1538" s="1106">
        <v>0.28000000000000003</v>
      </c>
      <c r="CR1538" s="1822"/>
      <c r="CT1538" s="1102">
        <v>-0.3781819956890291</v>
      </c>
      <c r="CU1538" s="1106">
        <v>0.55000000000000004</v>
      </c>
      <c r="CV1538" s="863"/>
      <c r="CW1538" s="863"/>
      <c r="CX1538" s="1822" t="e">
        <v>#N/A</v>
      </c>
      <c r="CY1538" s="863"/>
      <c r="CZ1538" s="1099">
        <v>0.87310557396792721</v>
      </c>
      <c r="DA1538" s="1106">
        <v>0.83</v>
      </c>
      <c r="DB1538" s="863"/>
    </row>
    <row r="1539" spans="87:106">
      <c r="CI1539" s="888">
        <v>734</v>
      </c>
      <c r="CJ1539" s="4"/>
      <c r="CL1539" s="1826"/>
      <c r="CN1539" s="1102"/>
      <c r="CO1539" s="1103"/>
      <c r="CR1539" s="1822"/>
      <c r="CT1539" s="1102"/>
      <c r="CU1539" s="1103"/>
      <c r="CV1539" s="863"/>
      <c r="CW1539" s="863"/>
      <c r="CX1539" s="1822" t="e">
        <v>#N/A</v>
      </c>
      <c r="CY1539" s="863"/>
      <c r="CZ1539" s="1102"/>
      <c r="DA1539" s="1103"/>
      <c r="DB1539" s="863"/>
    </row>
    <row r="1540" spans="87:106">
      <c r="CI1540" s="888">
        <v>734</v>
      </c>
      <c r="CJ1540" s="4"/>
      <c r="CL1540" s="1826"/>
      <c r="CN1540" s="1102"/>
      <c r="CO1540" s="1103"/>
      <c r="CR1540" s="1822"/>
      <c r="CT1540" s="1102"/>
      <c r="CU1540" s="1103"/>
      <c r="CV1540" s="863"/>
      <c r="CW1540" s="863"/>
      <c r="CX1540" s="1822" t="e">
        <v>#N/A</v>
      </c>
      <c r="CY1540" s="863"/>
      <c r="CZ1540" s="1102"/>
      <c r="DA1540" s="1103"/>
      <c r="DB1540" s="863"/>
    </row>
    <row r="1541" spans="87:106">
      <c r="CI1541" s="888">
        <v>734</v>
      </c>
      <c r="CJ1541" s="4"/>
      <c r="CL1541" s="1826"/>
      <c r="CN1541" s="1102"/>
      <c r="CO1541" s="1103"/>
      <c r="CR1541" s="1825"/>
      <c r="CT1541" s="1102"/>
      <c r="CU1541" s="1103"/>
      <c r="CV1541" s="1099"/>
      <c r="CW1541" s="1099"/>
      <c r="CX1541" s="1825" t="e">
        <v>#N/A</v>
      </c>
      <c r="CY1541" s="1099"/>
      <c r="CZ1541" s="1102"/>
      <c r="DA1541" s="1103"/>
      <c r="DB1541" s="1099"/>
    </row>
    <row r="1542" spans="87:106">
      <c r="CI1542" s="888">
        <v>734</v>
      </c>
      <c r="CJ1542" s="4" t="s">
        <v>2515</v>
      </c>
      <c r="CL1542" s="1826">
        <v>-0.86905975063007213</v>
      </c>
      <c r="CN1542" s="1102"/>
      <c r="CO1542" s="1103"/>
      <c r="CR1542" s="1823">
        <v>-3.4132718458498008</v>
      </c>
      <c r="CT1542" s="1102"/>
      <c r="CU1542" s="1103"/>
      <c r="CV1542" s="1099"/>
      <c r="CW1542" s="1099"/>
      <c r="CX1542" s="1823">
        <v>0.87310557396792721</v>
      </c>
      <c r="CY1542" s="1099"/>
      <c r="CZ1542" s="1102"/>
      <c r="DA1542" s="1103"/>
      <c r="DB1542" s="1099"/>
    </row>
    <row r="1543" spans="87:106">
      <c r="CI1543" s="888">
        <v>734</v>
      </c>
      <c r="CJ1543" s="4" t="s">
        <v>2383</v>
      </c>
      <c r="CL1543" s="1826">
        <v>-1.8367507510310588</v>
      </c>
      <c r="CN1543" s="1102"/>
      <c r="CO1543" s="1103"/>
      <c r="CR1543" s="1823">
        <v>-6.719394303268496</v>
      </c>
      <c r="CT1543" s="1102"/>
      <c r="CU1543" s="1103"/>
      <c r="CV1543" s="1099"/>
      <c r="CW1543" s="1099"/>
      <c r="CX1543" s="1823">
        <v>9.3767533686202817</v>
      </c>
      <c r="CY1543" s="1099"/>
      <c r="CZ1543" s="1102"/>
      <c r="DA1543" s="1103"/>
      <c r="DB1543" s="1099"/>
    </row>
    <row r="1544" spans="87:106">
      <c r="CI1544" s="888">
        <v>734</v>
      </c>
      <c r="CJ1544" s="4" t="s">
        <v>2091</v>
      </c>
      <c r="CL1544" s="1826">
        <v>-0.98976228727571036</v>
      </c>
      <c r="CN1544" s="1102"/>
      <c r="CO1544" s="1103"/>
      <c r="CR1544" s="1823">
        <v>-0.3781819956890291</v>
      </c>
      <c r="CT1544" s="1102"/>
      <c r="CU1544" s="1103"/>
      <c r="CV1544" s="1099"/>
      <c r="CW1544" s="1099"/>
      <c r="CX1544" s="1823">
        <v>0.91816774439242188</v>
      </c>
      <c r="CY1544" s="1099"/>
      <c r="CZ1544" s="1102"/>
      <c r="DA1544" s="1103"/>
      <c r="DB1544" s="1099"/>
    </row>
    <row r="1545" spans="87:106">
      <c r="CI1545" s="888">
        <v>734</v>
      </c>
      <c r="CJ1545" s="4" t="s">
        <v>2092</v>
      </c>
      <c r="CL1545" s="1826">
        <v>2.1409666050744942</v>
      </c>
      <c r="CN1545" s="1102"/>
      <c r="CO1545" s="1103"/>
      <c r="CR1545" s="1823">
        <v>-0.15476025397823864</v>
      </c>
      <c r="CT1545" s="1102"/>
      <c r="CU1545" s="1103"/>
      <c r="CV1545" s="1099"/>
      <c r="CW1545" s="1099"/>
      <c r="CX1545" s="1823">
        <v>-6.9174396572724284E-2</v>
      </c>
      <c r="CY1545" s="1099"/>
      <c r="CZ1545" s="1102"/>
      <c r="DA1545" s="1103"/>
      <c r="DB1545" s="1099"/>
    </row>
    <row r="1546" spans="87:106">
      <c r="CI1546" s="888">
        <v>734</v>
      </c>
      <c r="CJ1546" s="4" t="s">
        <v>2093</v>
      </c>
      <c r="CL1546" s="1826">
        <v>3.7009183237647623</v>
      </c>
      <c r="CN1546" s="864"/>
      <c r="CO1546" s="1103"/>
      <c r="CR1546" s="1823">
        <v>7.7163929947483361</v>
      </c>
      <c r="CT1546" s="864"/>
      <c r="CU1546" s="1103"/>
      <c r="CV1546" s="1099"/>
      <c r="CW1546" s="1099"/>
      <c r="CX1546" s="1823">
        <v>3.2038063041040132</v>
      </c>
      <c r="CY1546" s="1099"/>
      <c r="CZ1546" s="864"/>
      <c r="DA1546" s="1103"/>
      <c r="DB1546" s="1099"/>
    </row>
    <row r="1547" spans="87:106">
      <c r="CI1547" s="888">
        <v>734</v>
      </c>
      <c r="CJ1547" s="4" t="s">
        <v>2094</v>
      </c>
      <c r="CL1547" s="1826">
        <v>0.38919615711941002</v>
      </c>
      <c r="CN1547" s="864"/>
      <c r="CO1547" s="1103"/>
      <c r="CR1547" s="1823">
        <v>9.2772476166614268</v>
      </c>
      <c r="CT1547" s="864"/>
      <c r="CU1547" s="1103"/>
      <c r="CV1547" s="1099"/>
      <c r="CW1547" s="1099"/>
      <c r="CX1547" s="1823">
        <v>2.0712506832383619</v>
      </c>
      <c r="CY1547" s="1099"/>
      <c r="CZ1547" s="864"/>
      <c r="DA1547" s="1103"/>
      <c r="DB1547" s="1099"/>
    </row>
    <row r="1548" spans="87:106">
      <c r="CI1548" s="888">
        <v>734</v>
      </c>
      <c r="CJ1548" s="4" t="s">
        <v>2095</v>
      </c>
      <c r="CL1548" s="1826">
        <v>-2.2344524789060545</v>
      </c>
      <c r="CN1548" s="864"/>
      <c r="CO1548" s="1103"/>
      <c r="CR1548" s="1823">
        <v>10.047773346986855</v>
      </c>
      <c r="CT1548" s="864"/>
      <c r="CU1548" s="1103"/>
      <c r="CV1548" s="1099"/>
      <c r="CW1548" s="1099"/>
      <c r="CX1548" s="1823">
        <v>0.63429203682146351</v>
      </c>
      <c r="CY1548" s="1099"/>
      <c r="CZ1548" s="864"/>
      <c r="DA1548" s="1103"/>
      <c r="DB1548" s="1099"/>
    </row>
    <row r="1549" spans="87:106">
      <c r="CI1549" s="888">
        <v>734</v>
      </c>
      <c r="CJ1549" s="4" t="s">
        <v>2096</v>
      </c>
      <c r="CL1549" s="1826">
        <v>-0.65749758884874376</v>
      </c>
      <c r="CN1549" s="864"/>
      <c r="CO1549" s="1103"/>
      <c r="CR1549" s="1823">
        <v>-8.8442874852504882</v>
      </c>
      <c r="CT1549" s="864"/>
      <c r="CU1549" s="1103"/>
      <c r="CV1549" s="1099"/>
      <c r="CW1549" s="1099"/>
      <c r="CX1549" s="1823">
        <v>-0.99843535759372948</v>
      </c>
      <c r="CY1549" s="1099"/>
      <c r="CZ1549" s="864"/>
      <c r="DA1549" s="1103"/>
      <c r="DB1549" s="1099"/>
    </row>
    <row r="1550" spans="87:106">
      <c r="CI1550" s="888">
        <v>734</v>
      </c>
      <c r="CJ1550" s="1091" t="s">
        <v>2097</v>
      </c>
      <c r="CL1550" s="1826">
        <v>-0.86221146153474204</v>
      </c>
      <c r="CN1550" s="1104"/>
      <c r="CO1550" s="1105"/>
      <c r="CR1550" s="1824">
        <v>-6.5575561503139372</v>
      </c>
      <c r="CT1550" s="1104"/>
      <c r="CU1550" s="1105"/>
      <c r="CV1550" s="1100"/>
      <c r="CW1550" s="1100"/>
      <c r="CX1550" s="1824">
        <v>-0.32797470869721579</v>
      </c>
      <c r="CY1550" s="1100"/>
      <c r="CZ1550" s="1104"/>
      <c r="DA1550" s="1105"/>
      <c r="DB1550" s="1100"/>
    </row>
    <row r="1551" spans="87:106">
      <c r="CI1551" s="888">
        <v>144</v>
      </c>
      <c r="CJ1551" s="4" t="s">
        <v>2098</v>
      </c>
      <c r="CL1551" s="1826"/>
      <c r="CN1551" s="1099">
        <v>5.4951100838020572E-2</v>
      </c>
      <c r="CO1551" s="1106">
        <v>0.74</v>
      </c>
      <c r="CR1551" s="1822"/>
      <c r="CT1551" s="1102">
        <v>0.4184177765128394</v>
      </c>
      <c r="CU1551" s="1106">
        <v>0.83</v>
      </c>
      <c r="CV1551" s="863"/>
      <c r="CW1551" s="863"/>
      <c r="CX1551" s="1822" t="e">
        <v>#N/A</v>
      </c>
      <c r="CY1551" s="863"/>
      <c r="CZ1551" s="1099">
        <v>-0.26219978029609869</v>
      </c>
      <c r="DA1551" s="1106">
        <v>0.59</v>
      </c>
      <c r="DB1551" s="863"/>
    </row>
    <row r="1552" spans="87:106">
      <c r="CI1552" s="888">
        <v>144</v>
      </c>
      <c r="CJ1552" s="4"/>
      <c r="CL1552" s="1826"/>
      <c r="CN1552" s="1102"/>
      <c r="CO1552" s="1103"/>
      <c r="CR1552" s="1822"/>
      <c r="CT1552" s="1102"/>
      <c r="CU1552" s="1103"/>
      <c r="CV1552" s="863"/>
      <c r="CW1552" s="863"/>
      <c r="CX1552" s="1822" t="e">
        <v>#N/A</v>
      </c>
      <c r="CY1552" s="863"/>
      <c r="CZ1552" s="1102"/>
      <c r="DA1552" s="1103"/>
      <c r="DB1552" s="863"/>
    </row>
    <row r="1553" spans="87:106">
      <c r="CI1553" s="888">
        <v>144</v>
      </c>
      <c r="CJ1553" s="4"/>
      <c r="CL1553" s="1826"/>
      <c r="CN1553" s="1102"/>
      <c r="CO1553" s="1103"/>
      <c r="CR1553" s="1822"/>
      <c r="CT1553" s="1102"/>
      <c r="CU1553" s="1103"/>
      <c r="CV1553" s="863"/>
      <c r="CW1553" s="863"/>
      <c r="CX1553" s="1822" t="e">
        <v>#N/A</v>
      </c>
      <c r="CY1553" s="863"/>
      <c r="CZ1553" s="1102"/>
      <c r="DA1553" s="1103"/>
      <c r="DB1553" s="863"/>
    </row>
    <row r="1554" spans="87:106">
      <c r="CI1554" s="888">
        <v>144</v>
      </c>
      <c r="CJ1554" s="4"/>
      <c r="CL1554" s="1826"/>
      <c r="CN1554" s="1102"/>
      <c r="CO1554" s="1103"/>
      <c r="CR1554" s="1825"/>
      <c r="CT1554" s="1102"/>
      <c r="CU1554" s="1103"/>
      <c r="CV1554" s="1099"/>
      <c r="CW1554" s="1099"/>
      <c r="CX1554" s="1825" t="e">
        <v>#N/A</v>
      </c>
      <c r="CY1554" s="1099"/>
      <c r="CZ1554" s="1102"/>
      <c r="DA1554" s="1103"/>
      <c r="DB1554" s="1099"/>
    </row>
    <row r="1555" spans="87:106">
      <c r="CI1555" s="888">
        <v>144</v>
      </c>
      <c r="CJ1555" s="4" t="s">
        <v>2516</v>
      </c>
      <c r="CL1555" s="1826">
        <v>-0.40518418514340437</v>
      </c>
      <c r="CN1555" s="1102"/>
      <c r="CO1555" s="1103"/>
      <c r="CR1555" s="1823">
        <v>1.8816423650822807</v>
      </c>
      <c r="CT1555" s="1102"/>
      <c r="CU1555" s="1103"/>
      <c r="CV1555" s="1099"/>
      <c r="CW1555" s="1099"/>
      <c r="CX1555" s="1823">
        <v>0.28289822315623625</v>
      </c>
      <c r="CY1555" s="1099"/>
      <c r="CZ1555" s="1102"/>
      <c r="DA1555" s="1103"/>
      <c r="DB1555" s="1099"/>
    </row>
    <row r="1556" spans="87:106">
      <c r="CI1556" s="888">
        <v>144</v>
      </c>
      <c r="CJ1556" s="4" t="s">
        <v>2384</v>
      </c>
      <c r="CL1556" s="1826">
        <v>0.40967975223600561</v>
      </c>
      <c r="CN1556" s="1102"/>
      <c r="CO1556" s="1103"/>
      <c r="CR1556" s="1823">
        <v>1.8106987825560226</v>
      </c>
      <c r="CT1556" s="1102"/>
      <c r="CU1556" s="1103"/>
      <c r="CV1556" s="1099"/>
      <c r="CW1556" s="1099"/>
      <c r="CX1556" s="1823">
        <v>0.191379429060762</v>
      </c>
      <c r="CY1556" s="1099"/>
      <c r="CZ1556" s="1102"/>
      <c r="DA1556" s="1103"/>
      <c r="DB1556" s="1099"/>
    </row>
    <row r="1557" spans="87:106">
      <c r="CI1557" s="888">
        <v>144</v>
      </c>
      <c r="CJ1557" s="4" t="s">
        <v>2099</v>
      </c>
      <c r="CL1557" s="1826">
        <v>1.4885347914954332</v>
      </c>
      <c r="CN1557" s="1102"/>
      <c r="CO1557" s="1103"/>
      <c r="CR1557" s="1823">
        <v>0.4184177765128394</v>
      </c>
      <c r="CT1557" s="1102"/>
      <c r="CU1557" s="1103"/>
      <c r="CV1557" s="1099"/>
      <c r="CW1557" s="1099"/>
      <c r="CX1557" s="1823">
        <v>0.38459233536136317</v>
      </c>
      <c r="CY1557" s="1099"/>
      <c r="CZ1557" s="1102"/>
      <c r="DA1557" s="1103"/>
      <c r="DB1557" s="1099"/>
    </row>
    <row r="1558" spans="87:106">
      <c r="CI1558" s="888">
        <v>144</v>
      </c>
      <c r="CJ1558" s="4" t="s">
        <v>2100</v>
      </c>
      <c r="CL1558" s="1826">
        <v>5.4951100838020572E-2</v>
      </c>
      <c r="CN1558" s="1102"/>
      <c r="CO1558" s="1103"/>
      <c r="CR1558" s="1823">
        <v>-0.18812223248388471</v>
      </c>
      <c r="CT1558" s="1102"/>
      <c r="CU1558" s="1103"/>
      <c r="CV1558" s="1099"/>
      <c r="CW1558" s="1099"/>
      <c r="CX1558" s="1823">
        <v>-0.67041159348931223</v>
      </c>
      <c r="CY1558" s="1099"/>
      <c r="CZ1558" s="1102"/>
      <c r="DA1558" s="1103"/>
      <c r="DB1558" s="1099"/>
    </row>
    <row r="1559" spans="87:106">
      <c r="CI1559" s="888">
        <v>144</v>
      </c>
      <c r="CJ1559" s="4" t="s">
        <v>2101</v>
      </c>
      <c r="CL1559" s="1826">
        <v>-1.0535491616202883</v>
      </c>
      <c r="CN1559" s="864"/>
      <c r="CO1559" s="1103"/>
      <c r="CR1559" s="1823">
        <v>-0.98189172412461756</v>
      </c>
      <c r="CT1559" s="864"/>
      <c r="CU1559" s="1103"/>
      <c r="CV1559" s="1099"/>
      <c r="CW1559" s="1099"/>
      <c r="CX1559" s="1823">
        <v>-0.84878419452850684</v>
      </c>
      <c r="CY1559" s="1099"/>
      <c r="CZ1559" s="864"/>
      <c r="DA1559" s="1103"/>
      <c r="DB1559" s="1099"/>
    </row>
    <row r="1560" spans="87:106">
      <c r="CI1560" s="888">
        <v>144</v>
      </c>
      <c r="CJ1560" s="4" t="s">
        <v>2102</v>
      </c>
      <c r="CL1560" s="1826">
        <v>-2.5663899950022833</v>
      </c>
      <c r="CN1560" s="864"/>
      <c r="CO1560" s="1103"/>
      <c r="CR1560" s="1823">
        <v>-0.34846185372863131</v>
      </c>
      <c r="CT1560" s="864"/>
      <c r="CU1560" s="1103"/>
      <c r="CV1560" s="1099"/>
      <c r="CW1560" s="1099"/>
      <c r="CX1560" s="1823">
        <v>-0.95068097133123852</v>
      </c>
      <c r="CY1560" s="1099"/>
      <c r="CZ1560" s="864"/>
      <c r="DA1560" s="1103"/>
      <c r="DB1560" s="1099"/>
    </row>
    <row r="1561" spans="87:106">
      <c r="CI1561" s="888">
        <v>144</v>
      </c>
      <c r="CJ1561" s="4" t="s">
        <v>2103</v>
      </c>
      <c r="CL1561" s="1826">
        <v>1.2674929814311091</v>
      </c>
      <c r="CN1561" s="864"/>
      <c r="CO1561" s="1103"/>
      <c r="CR1561" s="1823">
        <v>2.0595619194714043</v>
      </c>
      <c r="CT1561" s="864"/>
      <c r="CU1561" s="1103"/>
      <c r="CV1561" s="1099"/>
      <c r="CW1561" s="1099"/>
      <c r="CX1561" s="1823">
        <v>-0.92804217108565656</v>
      </c>
      <c r="CY1561" s="1099"/>
      <c r="CZ1561" s="864"/>
      <c r="DA1561" s="1103"/>
      <c r="DB1561" s="1099"/>
    </row>
    <row r="1562" spans="87:106">
      <c r="CI1562" s="888">
        <v>144</v>
      </c>
      <c r="CJ1562" s="4" t="s">
        <v>2104</v>
      </c>
      <c r="CL1562" s="1826">
        <v>5.6752532489902405</v>
      </c>
      <c r="CN1562" s="864"/>
      <c r="CO1562" s="1103"/>
      <c r="CR1562" s="1823">
        <v>3.1291035067887578</v>
      </c>
      <c r="CT1562" s="864"/>
      <c r="CU1562" s="1103"/>
      <c r="CV1562" s="1099"/>
      <c r="CW1562" s="1099"/>
      <c r="CX1562" s="1823">
        <v>1.3156480223988793</v>
      </c>
      <c r="CY1562" s="1099"/>
      <c r="CZ1562" s="864"/>
      <c r="DA1562" s="1103"/>
      <c r="DB1562" s="1099"/>
    </row>
    <row r="1563" spans="87:106">
      <c r="CI1563" s="888">
        <v>144</v>
      </c>
      <c r="CJ1563" s="1091" t="s">
        <v>2105</v>
      </c>
      <c r="CL1563" s="1826">
        <v>-7.0330326068603028</v>
      </c>
      <c r="CN1563" s="1104"/>
      <c r="CO1563" s="1105"/>
      <c r="CR1563" s="1824">
        <v>-2.5116358793753619</v>
      </c>
      <c r="CT1563" s="1104"/>
      <c r="CU1563" s="1105"/>
      <c r="CV1563" s="1100"/>
      <c r="CW1563" s="1100"/>
      <c r="CX1563" s="1824">
        <v>-0.26219978029609869</v>
      </c>
      <c r="CY1563" s="1100"/>
      <c r="CZ1563" s="1104"/>
      <c r="DA1563" s="1105"/>
      <c r="DB1563" s="1100"/>
    </row>
    <row r="1564" spans="87:106">
      <c r="CI1564" s="888">
        <v>146</v>
      </c>
      <c r="CJ1564" s="4" t="s">
        <v>2106</v>
      </c>
      <c r="CL1564" s="1826"/>
      <c r="CN1564" s="1099">
        <v>0.10331879413132028</v>
      </c>
      <c r="CO1564" s="1106">
        <v>0.76</v>
      </c>
      <c r="CR1564" s="1822"/>
      <c r="CT1564" s="1102">
        <v>-9.6122482428476319E-2</v>
      </c>
      <c r="CU1564" s="1106">
        <v>0.66</v>
      </c>
      <c r="CV1564" s="863"/>
      <c r="CW1564" s="863"/>
      <c r="CX1564" s="1822" t="e">
        <v>#N/A</v>
      </c>
      <c r="CY1564" s="863"/>
      <c r="CZ1564" s="1099">
        <v>-0.86030234776227132</v>
      </c>
      <c r="DA1564" s="1106">
        <v>0.28999999999999998</v>
      </c>
      <c r="DB1564" s="863"/>
    </row>
    <row r="1565" spans="87:106">
      <c r="CI1565" s="888">
        <v>146</v>
      </c>
      <c r="CJ1565" s="4"/>
      <c r="CL1565" s="1826"/>
      <c r="CN1565" s="1102"/>
      <c r="CO1565" s="1103"/>
      <c r="CR1565" s="1822"/>
      <c r="CT1565" s="1102"/>
      <c r="CU1565" s="1103"/>
      <c r="CV1565" s="863"/>
      <c r="CW1565" s="863"/>
      <c r="CX1565" s="1822" t="e">
        <v>#N/A</v>
      </c>
      <c r="CY1565" s="863"/>
      <c r="CZ1565" s="1102"/>
      <c r="DA1565" s="1103"/>
      <c r="DB1565" s="863"/>
    </row>
    <row r="1566" spans="87:106">
      <c r="CI1566" s="888">
        <v>146</v>
      </c>
      <c r="CJ1566" s="4"/>
      <c r="CL1566" s="1826"/>
      <c r="CN1566" s="1102"/>
      <c r="CO1566" s="1103"/>
      <c r="CR1566" s="1822"/>
      <c r="CT1566" s="1102"/>
      <c r="CU1566" s="1103"/>
      <c r="CV1566" s="863"/>
      <c r="CW1566" s="863"/>
      <c r="CX1566" s="1822" t="e">
        <v>#N/A</v>
      </c>
      <c r="CY1566" s="863"/>
      <c r="CZ1566" s="1102"/>
      <c r="DA1566" s="1103"/>
      <c r="DB1566" s="863"/>
    </row>
    <row r="1567" spans="87:106">
      <c r="CI1567" s="888">
        <v>146</v>
      </c>
      <c r="CJ1567" s="4"/>
      <c r="CL1567" s="1826"/>
      <c r="CN1567" s="1102"/>
      <c r="CO1567" s="1103"/>
      <c r="CR1567" s="1825"/>
      <c r="CT1567" s="1102"/>
      <c r="CU1567" s="1103"/>
      <c r="CV1567" s="1099"/>
      <c r="CW1567" s="1099"/>
      <c r="CX1567" s="1825" t="e">
        <v>#N/A</v>
      </c>
      <c r="CY1567" s="1099"/>
      <c r="CZ1567" s="1102"/>
      <c r="DA1567" s="1103"/>
      <c r="DB1567" s="1099"/>
    </row>
    <row r="1568" spans="87:106">
      <c r="CI1568" s="888">
        <v>146</v>
      </c>
      <c r="CJ1568" s="4" t="s">
        <v>2517</v>
      </c>
      <c r="CL1568" s="1826">
        <v>-0.42871743478516411</v>
      </c>
      <c r="CN1568" s="1102"/>
      <c r="CO1568" s="1103"/>
      <c r="CR1568" s="1823">
        <v>0.23648053573396927</v>
      </c>
      <c r="CT1568" s="1102"/>
      <c r="CU1568" s="1103"/>
      <c r="CV1568" s="1099"/>
      <c r="CW1568" s="1099"/>
      <c r="CX1568" s="1823">
        <v>0.47463729734646165</v>
      </c>
      <c r="CY1568" s="1099"/>
      <c r="CZ1568" s="1102"/>
      <c r="DA1568" s="1103"/>
      <c r="DB1568" s="1099"/>
    </row>
    <row r="1569" spans="87:106">
      <c r="CI1569" s="888">
        <v>146</v>
      </c>
      <c r="CJ1569" s="4" t="s">
        <v>2385</v>
      </c>
      <c r="CL1569" s="1826">
        <v>0.17166441542948641</v>
      </c>
      <c r="CN1569" s="1102"/>
      <c r="CO1569" s="1103"/>
      <c r="CR1569" s="1823">
        <v>0.13172504001199198</v>
      </c>
      <c r="CT1569" s="1102"/>
      <c r="CU1569" s="1103"/>
      <c r="CV1569" s="1099"/>
      <c r="CW1569" s="1099"/>
      <c r="CX1569" s="1823">
        <v>0.29622603948552406</v>
      </c>
      <c r="CY1569" s="1099"/>
      <c r="CZ1569" s="1102"/>
      <c r="DA1569" s="1103"/>
      <c r="DB1569" s="1099"/>
    </row>
    <row r="1570" spans="87:106">
      <c r="CI1570" s="888">
        <v>146</v>
      </c>
      <c r="CJ1570" s="4" t="s">
        <v>2107</v>
      </c>
      <c r="CL1570" s="1826">
        <v>-1.4334092655849227</v>
      </c>
      <c r="CN1570" s="1102"/>
      <c r="CO1570" s="1103"/>
      <c r="CR1570" s="1823">
        <v>-1.1995426255587387</v>
      </c>
      <c r="CT1570" s="1102"/>
      <c r="CU1570" s="1103"/>
      <c r="CV1570" s="1099"/>
      <c r="CW1570" s="1099"/>
      <c r="CX1570" s="1823">
        <v>-1.4350981505222276</v>
      </c>
      <c r="CY1570" s="1099"/>
      <c r="CZ1570" s="1102"/>
      <c r="DA1570" s="1103"/>
      <c r="DB1570" s="1099"/>
    </row>
    <row r="1571" spans="87:106">
      <c r="CI1571" s="888">
        <v>146</v>
      </c>
      <c r="CJ1571" s="4" t="s">
        <v>2108</v>
      </c>
      <c r="CL1571" s="1826">
        <v>0.10331879413132028</v>
      </c>
      <c r="CN1571" s="1102"/>
      <c r="CO1571" s="1103"/>
      <c r="CR1571" s="1823">
        <v>-0.97614988868085284</v>
      </c>
      <c r="CT1571" s="1102"/>
      <c r="CU1571" s="1103"/>
      <c r="CV1571" s="1099"/>
      <c r="CW1571" s="1099"/>
      <c r="CX1571" s="1823">
        <v>-1.4329168022116421</v>
      </c>
      <c r="CY1571" s="1099"/>
      <c r="CZ1571" s="1102"/>
      <c r="DA1571" s="1103"/>
      <c r="DB1571" s="1099"/>
    </row>
    <row r="1572" spans="87:106">
      <c r="CI1572" s="888">
        <v>146</v>
      </c>
      <c r="CJ1572" s="4" t="s">
        <v>2109</v>
      </c>
      <c r="CL1572" s="1826">
        <v>0.21819266448773256</v>
      </c>
      <c r="CN1572" s="864"/>
      <c r="CO1572" s="1103"/>
      <c r="CR1572" s="1823">
        <v>-0.36266309464470625</v>
      </c>
      <c r="CT1572" s="864"/>
      <c r="CU1572" s="1103"/>
      <c r="CV1572" s="1099"/>
      <c r="CW1572" s="1099"/>
      <c r="CX1572" s="1823">
        <v>-0.72581711955395223</v>
      </c>
      <c r="CY1572" s="1099"/>
      <c r="CZ1572" s="864"/>
      <c r="DA1572" s="1103"/>
      <c r="DB1572" s="1099"/>
    </row>
    <row r="1573" spans="87:106">
      <c r="CI1573" s="888">
        <v>146</v>
      </c>
      <c r="CJ1573" s="4" t="s">
        <v>2110</v>
      </c>
      <c r="CL1573" s="1826">
        <v>-0.7509318499657518</v>
      </c>
      <c r="CN1573" s="864"/>
      <c r="CO1573" s="1103"/>
      <c r="CR1573" s="1823">
        <v>-9.6122482428476319E-2</v>
      </c>
      <c r="CT1573" s="864"/>
      <c r="CU1573" s="1103"/>
      <c r="CV1573" s="1099"/>
      <c r="CW1573" s="1099"/>
      <c r="CX1573" s="1823">
        <v>-0.89666086469346729</v>
      </c>
      <c r="CY1573" s="1099"/>
      <c r="CZ1573" s="864"/>
      <c r="DA1573" s="1103"/>
      <c r="DB1573" s="1099"/>
    </row>
    <row r="1574" spans="87:106">
      <c r="CI1574" s="888">
        <v>146</v>
      </c>
      <c r="CJ1574" s="4" t="s">
        <v>2111</v>
      </c>
      <c r="CL1574" s="1826">
        <v>0.17026171564877246</v>
      </c>
      <c r="CN1574" s="864"/>
      <c r="CO1574" s="1103"/>
      <c r="CR1574" s="1823">
        <v>0.58234335656273895</v>
      </c>
      <c r="CT1574" s="864"/>
      <c r="CU1574" s="1103"/>
      <c r="CV1574" s="1099"/>
      <c r="CW1574" s="1099"/>
      <c r="CX1574" s="1823">
        <v>-0.86030234776227132</v>
      </c>
      <c r="CY1574" s="1099"/>
      <c r="CZ1574" s="864"/>
      <c r="DA1574" s="1103"/>
      <c r="DB1574" s="1099"/>
    </row>
    <row r="1575" spans="87:106">
      <c r="CI1575" s="888">
        <v>146</v>
      </c>
      <c r="CJ1575" s="4" t="s">
        <v>2112</v>
      </c>
      <c r="CL1575" s="1826">
        <v>3.0443220863114964</v>
      </c>
      <c r="CN1575" s="864"/>
      <c r="CO1575" s="1103"/>
      <c r="CR1575" s="1823" t="s">
        <v>1218</v>
      </c>
      <c r="CT1575" s="864"/>
      <c r="CU1575" s="1103"/>
      <c r="CV1575" s="1099"/>
      <c r="CW1575" s="1099"/>
      <c r="CX1575" s="1823">
        <v>-1.130351836198312</v>
      </c>
      <c r="CY1575" s="1099"/>
      <c r="CZ1575" s="864"/>
      <c r="DA1575" s="1103"/>
      <c r="DB1575" s="1099"/>
    </row>
    <row r="1576" spans="87:106">
      <c r="CI1576" s="888">
        <v>146</v>
      </c>
      <c r="CJ1576" s="1091" t="s">
        <v>2113</v>
      </c>
      <c r="CL1576" s="1826">
        <v>-2.8603858504718112</v>
      </c>
      <c r="CN1576" s="1104"/>
      <c r="CO1576" s="1105"/>
      <c r="CR1576" s="1824" t="s">
        <v>1218</v>
      </c>
      <c r="CT1576" s="1104"/>
      <c r="CU1576" s="1105"/>
      <c r="CV1576" s="1100"/>
      <c r="CW1576" s="1100"/>
      <c r="CX1576" s="1824">
        <v>-0.72021304851194123</v>
      </c>
      <c r="CY1576" s="1100"/>
      <c r="CZ1576" s="1104"/>
      <c r="DA1576" s="1105"/>
      <c r="DB1576" s="1100"/>
    </row>
    <row r="1577" spans="87:106">
      <c r="CI1577" s="888">
        <v>463</v>
      </c>
      <c r="CJ1577" s="4" t="s">
        <v>2114</v>
      </c>
      <c r="CL1577" s="1826"/>
      <c r="CN1577" s="1099">
        <v>0</v>
      </c>
      <c r="CO1577" s="1106">
        <v>0.7</v>
      </c>
      <c r="CR1577" s="1822"/>
      <c r="CT1577" s="1102">
        <v>-0.11560265766375566</v>
      </c>
      <c r="CU1577" s="1106">
        <v>0.65</v>
      </c>
      <c r="CV1577" s="863"/>
      <c r="CW1577" s="863"/>
      <c r="CX1577" s="1822" t="e">
        <v>#N/A</v>
      </c>
      <c r="CY1577" s="863"/>
      <c r="CZ1577" s="1099">
        <v>-0.6837772735446741</v>
      </c>
      <c r="DA1577" s="1106">
        <v>0.34</v>
      </c>
      <c r="DB1577" s="863"/>
    </row>
    <row r="1578" spans="87:106">
      <c r="CI1578" s="888">
        <v>463</v>
      </c>
      <c r="CJ1578" s="4"/>
      <c r="CL1578" s="1826"/>
      <c r="CN1578" s="1102"/>
      <c r="CO1578" s="1103"/>
      <c r="CR1578" s="1822"/>
      <c r="CT1578" s="1102"/>
      <c r="CU1578" s="1103"/>
      <c r="CV1578" s="863"/>
      <c r="CW1578" s="863"/>
      <c r="CX1578" s="1822" t="e">
        <v>#N/A</v>
      </c>
      <c r="CY1578" s="863"/>
      <c r="CZ1578" s="1102"/>
      <c r="DA1578" s="1103"/>
      <c r="DB1578" s="863"/>
    </row>
    <row r="1579" spans="87:106">
      <c r="CI1579" s="888">
        <v>463</v>
      </c>
      <c r="CJ1579" s="4"/>
      <c r="CL1579" s="1826"/>
      <c r="CN1579" s="1102"/>
      <c r="CO1579" s="1103"/>
      <c r="CR1579" s="1822"/>
      <c r="CT1579" s="1102"/>
      <c r="CU1579" s="1103"/>
      <c r="CV1579" s="863"/>
      <c r="CW1579" s="863"/>
      <c r="CX1579" s="1822" t="e">
        <v>#N/A</v>
      </c>
      <c r="CY1579" s="863"/>
      <c r="CZ1579" s="1102"/>
      <c r="DA1579" s="1103"/>
      <c r="DB1579" s="863"/>
    </row>
    <row r="1580" spans="87:106">
      <c r="CI1580" s="888">
        <v>463</v>
      </c>
      <c r="CJ1580" s="4"/>
      <c r="CL1580" s="1826"/>
      <c r="CN1580" s="1102"/>
      <c r="CO1580" s="1103"/>
      <c r="CR1580" s="1825"/>
      <c r="CT1580" s="1102"/>
      <c r="CU1580" s="1103"/>
      <c r="CV1580" s="1099"/>
      <c r="CW1580" s="1099"/>
      <c r="CX1580" s="1825" t="e">
        <v>#N/A</v>
      </c>
      <c r="CY1580" s="1099"/>
      <c r="CZ1580" s="1102"/>
      <c r="DA1580" s="1103"/>
      <c r="DB1580" s="1099"/>
    </row>
    <row r="1581" spans="87:106">
      <c r="CI1581" s="888">
        <v>463</v>
      </c>
      <c r="CJ1581" s="4" t="s">
        <v>2518</v>
      </c>
      <c r="CL1581" s="1826" t="s">
        <v>1218</v>
      </c>
      <c r="CN1581" s="1102"/>
      <c r="CO1581" s="1103"/>
      <c r="CR1581" s="1823" t="s">
        <v>1218</v>
      </c>
      <c r="CT1581" s="1102"/>
      <c r="CU1581" s="1103"/>
      <c r="CV1581" s="1099"/>
      <c r="CW1581" s="1099"/>
      <c r="CX1581" s="1823" t="s">
        <v>1218</v>
      </c>
      <c r="CY1581" s="1099"/>
      <c r="CZ1581" s="1102"/>
      <c r="DA1581" s="1103"/>
      <c r="DB1581" s="1099"/>
    </row>
    <row r="1582" spans="87:106">
      <c r="CI1582" s="888">
        <v>463</v>
      </c>
      <c r="CJ1582" s="4" t="s">
        <v>2386</v>
      </c>
      <c r="CL1582" s="1826">
        <v>0</v>
      </c>
      <c r="CN1582" s="1102"/>
      <c r="CO1582" s="1103"/>
      <c r="CR1582" s="1823" t="s">
        <v>1218</v>
      </c>
      <c r="CT1582" s="1102"/>
      <c r="CU1582" s="1103"/>
      <c r="CV1582" s="1099"/>
      <c r="CW1582" s="1099"/>
      <c r="CX1582" s="1823">
        <v>0</v>
      </c>
      <c r="CY1582" s="1099"/>
      <c r="CZ1582" s="1102"/>
      <c r="DA1582" s="1103"/>
      <c r="DB1582" s="1099"/>
    </row>
    <row r="1583" spans="87:106">
      <c r="CI1583" s="888">
        <v>463</v>
      </c>
      <c r="CJ1583" s="4" t="s">
        <v>2115</v>
      </c>
      <c r="CL1583" s="1826">
        <v>0</v>
      </c>
      <c r="CN1583" s="1102"/>
      <c r="CO1583" s="1103"/>
      <c r="CR1583" s="1823" t="s">
        <v>1218</v>
      </c>
      <c r="CT1583" s="1102"/>
      <c r="CU1583" s="1103"/>
      <c r="CV1583" s="1099"/>
      <c r="CW1583" s="1099"/>
      <c r="CX1583" s="1823">
        <v>0</v>
      </c>
      <c r="CY1583" s="1099"/>
      <c r="CZ1583" s="1102"/>
      <c r="DA1583" s="1103"/>
      <c r="DB1583" s="1099"/>
    </row>
    <row r="1584" spans="87:106">
      <c r="CI1584" s="888">
        <v>463</v>
      </c>
      <c r="CJ1584" s="4" t="s">
        <v>2116</v>
      </c>
      <c r="CL1584" s="1826" t="s">
        <v>1218</v>
      </c>
      <c r="CN1584" s="1102"/>
      <c r="CO1584" s="1103"/>
      <c r="CR1584" s="1823" t="s">
        <v>1218</v>
      </c>
      <c r="CT1584" s="1102"/>
      <c r="CU1584" s="1103"/>
      <c r="CV1584" s="1099"/>
      <c r="CW1584" s="1099"/>
      <c r="CX1584" s="1823" t="s">
        <v>1218</v>
      </c>
      <c r="CY1584" s="1099"/>
      <c r="CZ1584" s="1102"/>
      <c r="DA1584" s="1103"/>
      <c r="DB1584" s="1099"/>
    </row>
    <row r="1585" spans="87:106">
      <c r="CI1585" s="888">
        <v>463</v>
      </c>
      <c r="CJ1585" s="4" t="s">
        <v>2117</v>
      </c>
      <c r="CL1585" s="1826">
        <v>0</v>
      </c>
      <c r="CN1585" s="864"/>
      <c r="CO1585" s="1103"/>
      <c r="CR1585" s="1823" t="s">
        <v>1218</v>
      </c>
      <c r="CT1585" s="864"/>
      <c r="CU1585" s="1103"/>
      <c r="CV1585" s="1099"/>
      <c r="CW1585" s="1099"/>
      <c r="CX1585" s="1823">
        <v>0</v>
      </c>
      <c r="CY1585" s="1099"/>
      <c r="CZ1585" s="864"/>
      <c r="DA1585" s="1103"/>
      <c r="DB1585" s="1099"/>
    </row>
    <row r="1586" spans="87:106">
      <c r="CI1586" s="888">
        <v>463</v>
      </c>
      <c r="CJ1586" s="4" t="s">
        <v>2118</v>
      </c>
      <c r="CL1586" s="1826">
        <v>-5.1240649425543801</v>
      </c>
      <c r="CN1586" s="864"/>
      <c r="CO1586" s="1103"/>
      <c r="CR1586" s="1823" t="s">
        <v>1218</v>
      </c>
      <c r="CT1586" s="864"/>
      <c r="CU1586" s="1103"/>
      <c r="CV1586" s="1099"/>
      <c r="CW1586" s="1099"/>
      <c r="CX1586" s="1823">
        <v>-2.8726727009229744</v>
      </c>
      <c r="CY1586" s="1099"/>
      <c r="CZ1586" s="864"/>
      <c r="DA1586" s="1103"/>
      <c r="DB1586" s="1099"/>
    </row>
    <row r="1587" spans="87:106">
      <c r="CI1587" s="888">
        <v>463</v>
      </c>
      <c r="CJ1587" s="4" t="s">
        <v>2119</v>
      </c>
      <c r="CL1587" s="1826">
        <v>-5.4958169189461721</v>
      </c>
      <c r="CN1587" s="864"/>
      <c r="CO1587" s="1103"/>
      <c r="CR1587" s="1823" t="s">
        <v>1218</v>
      </c>
      <c r="CT1587" s="864"/>
      <c r="CU1587" s="1103"/>
      <c r="CV1587" s="1099"/>
      <c r="CW1587" s="1099"/>
      <c r="CX1587" s="1823">
        <v>-4.4672739947062539</v>
      </c>
      <c r="CY1587" s="1099"/>
      <c r="CZ1587" s="864"/>
      <c r="DA1587" s="1103"/>
      <c r="DB1587" s="1099"/>
    </row>
    <row r="1588" spans="87:106">
      <c r="CI1588" s="888">
        <v>463</v>
      </c>
      <c r="CJ1588" s="4" t="s">
        <v>2120</v>
      </c>
      <c r="CL1588" s="1826">
        <v>0.59659768934342949</v>
      </c>
      <c r="CN1588" s="864"/>
      <c r="CO1588" s="1103"/>
      <c r="CR1588" s="1823">
        <v>-0.48161036985769767</v>
      </c>
      <c r="CT1588" s="864"/>
      <c r="CU1588" s="1103"/>
      <c r="CV1588" s="1099"/>
      <c r="CW1588" s="1099"/>
      <c r="CX1588" s="1823">
        <v>-0.6837772735446741</v>
      </c>
      <c r="CY1588" s="1099"/>
      <c r="CZ1588" s="864"/>
      <c r="DA1588" s="1103"/>
      <c r="DB1588" s="1099"/>
    </row>
    <row r="1589" spans="87:106">
      <c r="CI1589" s="888">
        <v>463</v>
      </c>
      <c r="CJ1589" s="1091" t="s">
        <v>2121</v>
      </c>
      <c r="CL1589" s="1826">
        <v>1.2357902745142981</v>
      </c>
      <c r="CN1589" s="1104"/>
      <c r="CO1589" s="1105"/>
      <c r="CR1589" s="1824">
        <v>0.25040505453018636</v>
      </c>
      <c r="CT1589" s="1104"/>
      <c r="CU1589" s="1105"/>
      <c r="CV1589" s="1100"/>
      <c r="CW1589" s="1100"/>
      <c r="CX1589" s="1824">
        <v>-6.6657777404606948</v>
      </c>
      <c r="CY1589" s="1100"/>
      <c r="CZ1589" s="1104"/>
      <c r="DA1589" s="1105"/>
      <c r="DB1589" s="1100"/>
    </row>
    <row r="1590" spans="87:106">
      <c r="CI1590" s="888">
        <v>528</v>
      </c>
      <c r="CJ1590" s="4" t="s">
        <v>2122</v>
      </c>
      <c r="CL1590" s="1826"/>
      <c r="CN1590" s="1099">
        <v>-2.4779094645924284</v>
      </c>
      <c r="CO1590" s="1106">
        <v>7.0000000000000007E-2</v>
      </c>
      <c r="CR1590" s="1822"/>
      <c r="CT1590" s="1102">
        <v>0.25084646821413914</v>
      </c>
      <c r="CU1590" s="1106">
        <v>0.81</v>
      </c>
      <c r="CV1590" s="863"/>
      <c r="CW1590" s="863"/>
      <c r="CX1590" s="1822" t="e">
        <v>#N/A</v>
      </c>
      <c r="CY1590" s="863"/>
      <c r="CZ1590" s="1099">
        <v>0.70118606192718791</v>
      </c>
      <c r="DA1590" s="1106">
        <v>0.81</v>
      </c>
      <c r="DB1590" s="863"/>
    </row>
    <row r="1591" spans="87:106">
      <c r="CI1591" s="888">
        <v>528</v>
      </c>
      <c r="CJ1591" s="4"/>
      <c r="CL1591" s="1826"/>
      <c r="CN1591" s="1102"/>
      <c r="CO1591" s="1103"/>
      <c r="CR1591" s="1822"/>
      <c r="CT1591" s="1102"/>
      <c r="CU1591" s="1103"/>
      <c r="CV1591" s="863"/>
      <c r="CW1591" s="863"/>
      <c r="CX1591" s="1822" t="e">
        <v>#N/A</v>
      </c>
      <c r="CY1591" s="863"/>
      <c r="CZ1591" s="1102"/>
      <c r="DA1591" s="1103"/>
      <c r="DB1591" s="863"/>
    </row>
    <row r="1592" spans="87:106">
      <c r="CI1592" s="888">
        <v>528</v>
      </c>
      <c r="CJ1592" s="4"/>
      <c r="CL1592" s="1826"/>
      <c r="CN1592" s="1102"/>
      <c r="CO1592" s="1103"/>
      <c r="CR1592" s="1822"/>
      <c r="CT1592" s="1102"/>
      <c r="CU1592" s="1103"/>
      <c r="CV1592" s="863"/>
      <c r="CW1592" s="863"/>
      <c r="CX1592" s="1822" t="e">
        <v>#N/A</v>
      </c>
      <c r="CY1592" s="863"/>
      <c r="CZ1592" s="1102"/>
      <c r="DA1592" s="1103"/>
      <c r="DB1592" s="863"/>
    </row>
    <row r="1593" spans="87:106">
      <c r="CI1593" s="888">
        <v>528</v>
      </c>
      <c r="CJ1593" s="4"/>
      <c r="CL1593" s="1826"/>
      <c r="CN1593" s="1102"/>
      <c r="CO1593" s="1103"/>
      <c r="CR1593" s="1825"/>
      <c r="CT1593" s="1102"/>
      <c r="CU1593" s="1103"/>
      <c r="CV1593" s="1099"/>
      <c r="CW1593" s="1099"/>
      <c r="CX1593" s="1825" t="e">
        <v>#N/A</v>
      </c>
      <c r="CY1593" s="1099"/>
      <c r="CZ1593" s="1102"/>
      <c r="DA1593" s="1103"/>
      <c r="DB1593" s="1099"/>
    </row>
    <row r="1594" spans="87:106">
      <c r="CI1594" s="888">
        <v>528</v>
      </c>
      <c r="CJ1594" s="4" t="s">
        <v>2519</v>
      </c>
      <c r="CL1594" s="1826">
        <v>0.62159799053962406</v>
      </c>
      <c r="CN1594" s="1102"/>
      <c r="CO1594" s="1103"/>
      <c r="CR1594" s="1823">
        <v>0.25084646821413914</v>
      </c>
      <c r="CT1594" s="1102"/>
      <c r="CU1594" s="1103"/>
      <c r="CV1594" s="1099"/>
      <c r="CW1594" s="1099"/>
      <c r="CX1594" s="1823">
        <v>-0.82832026407840431</v>
      </c>
      <c r="CY1594" s="1099"/>
      <c r="CZ1594" s="1102"/>
      <c r="DA1594" s="1103"/>
      <c r="DB1594" s="1099"/>
    </row>
    <row r="1595" spans="87:106">
      <c r="CI1595" s="888">
        <v>528</v>
      </c>
      <c r="CJ1595" s="4" t="s">
        <v>2387</v>
      </c>
      <c r="CL1595" s="1826">
        <v>-2.6570096005428243</v>
      </c>
      <c r="CN1595" s="1102"/>
      <c r="CO1595" s="1103"/>
      <c r="CR1595" s="1823">
        <v>-0.29352579284286628</v>
      </c>
      <c r="CT1595" s="1102"/>
      <c r="CU1595" s="1103"/>
      <c r="CV1595" s="1099"/>
      <c r="CW1595" s="1099"/>
      <c r="CX1595" s="1823">
        <v>1.4656284276962319</v>
      </c>
      <c r="CY1595" s="1099"/>
      <c r="CZ1595" s="1102"/>
      <c r="DA1595" s="1103"/>
      <c r="DB1595" s="1099"/>
    </row>
    <row r="1596" spans="87:106">
      <c r="CI1596" s="888">
        <v>528</v>
      </c>
      <c r="CJ1596" s="4" t="s">
        <v>2123</v>
      </c>
      <c r="CL1596" s="1826">
        <v>-3.1752802873692536</v>
      </c>
      <c r="CN1596" s="1102"/>
      <c r="CO1596" s="1103"/>
      <c r="CR1596" s="1823">
        <v>0.91888510968244108</v>
      </c>
      <c r="CT1596" s="1102"/>
      <c r="CU1596" s="1103"/>
      <c r="CV1596" s="1099"/>
      <c r="CW1596" s="1099"/>
      <c r="CX1596" s="1823">
        <v>3.4235684620537965</v>
      </c>
      <c r="CY1596" s="1099"/>
      <c r="CZ1596" s="1102"/>
      <c r="DA1596" s="1103"/>
      <c r="DB1596" s="1099"/>
    </row>
    <row r="1597" spans="87:106">
      <c r="CI1597" s="888">
        <v>528</v>
      </c>
      <c r="CJ1597" s="4" t="s">
        <v>2124</v>
      </c>
      <c r="CL1597" s="1826">
        <v>6.9468648506896713E-2</v>
      </c>
      <c r="CN1597" s="1102"/>
      <c r="CO1597" s="1103"/>
      <c r="CR1597" s="1823" t="s">
        <v>1218</v>
      </c>
      <c r="CT1597" s="1102"/>
      <c r="CU1597" s="1103"/>
      <c r="CV1597" s="1099"/>
      <c r="CW1597" s="1099"/>
      <c r="CX1597" s="1823">
        <v>0.94131055161296873</v>
      </c>
      <c r="CY1597" s="1099"/>
      <c r="CZ1597" s="1102"/>
      <c r="DA1597" s="1103"/>
      <c r="DB1597" s="1099"/>
    </row>
    <row r="1598" spans="87:106">
      <c r="CI1598" s="888">
        <v>528</v>
      </c>
      <c r="CJ1598" s="4" t="s">
        <v>2125</v>
      </c>
      <c r="CL1598" s="1826">
        <v>-2.4779094645924284</v>
      </c>
      <c r="CN1598" s="864"/>
      <c r="CO1598" s="1103"/>
      <c r="CR1598" s="1823" t="s">
        <v>1218</v>
      </c>
      <c r="CT1598" s="864"/>
      <c r="CU1598" s="1103"/>
      <c r="CV1598" s="1099"/>
      <c r="CW1598" s="1099"/>
      <c r="CX1598" s="1823">
        <v>0.81985178613435972</v>
      </c>
      <c r="CY1598" s="1099"/>
      <c r="CZ1598" s="864"/>
      <c r="DA1598" s="1103"/>
      <c r="DB1598" s="1099"/>
    </row>
    <row r="1599" spans="87:106">
      <c r="CI1599" s="888">
        <v>528</v>
      </c>
      <c r="CJ1599" s="4" t="s">
        <v>2126</v>
      </c>
      <c r="CL1599" s="1826">
        <v>-3.6928460894589499</v>
      </c>
      <c r="CN1599" s="864"/>
      <c r="CO1599" s="1103"/>
      <c r="CR1599" s="1823" t="s">
        <v>1218</v>
      </c>
      <c r="CT1599" s="864"/>
      <c r="CU1599" s="1103"/>
      <c r="CV1599" s="1099"/>
      <c r="CW1599" s="1099"/>
      <c r="CX1599" s="1823">
        <v>0.70118606192718791</v>
      </c>
      <c r="CY1599" s="1099"/>
      <c r="CZ1599" s="864"/>
      <c r="DA1599" s="1103"/>
      <c r="DB1599" s="1099"/>
    </row>
    <row r="1600" spans="87:106">
      <c r="CI1600" s="888">
        <v>528</v>
      </c>
      <c r="CJ1600" s="4" t="s">
        <v>2127</v>
      </c>
      <c r="CL1600" s="1826">
        <v>-0.73634760269387201</v>
      </c>
      <c r="CN1600" s="864"/>
      <c r="CO1600" s="1103"/>
      <c r="CR1600" s="1823" t="s">
        <v>1218</v>
      </c>
      <c r="CT1600" s="864"/>
      <c r="CU1600" s="1103"/>
      <c r="CV1600" s="1099"/>
      <c r="CW1600" s="1099"/>
      <c r="CX1600" s="1823">
        <v>-3.2457924593194964</v>
      </c>
      <c r="CY1600" s="1099"/>
      <c r="CZ1600" s="864"/>
      <c r="DA1600" s="1103"/>
      <c r="DB1600" s="1099"/>
    </row>
    <row r="1601" spans="87:106">
      <c r="CI1601" s="888">
        <v>528</v>
      </c>
      <c r="CJ1601" s="4" t="s">
        <v>2128</v>
      </c>
      <c r="CL1601" s="1826">
        <v>10.709984807300833</v>
      </c>
      <c r="CN1601" s="864"/>
      <c r="CO1601" s="1103"/>
      <c r="CR1601" s="1823" t="s">
        <v>1218</v>
      </c>
      <c r="CT1601" s="864"/>
      <c r="CU1601" s="1103"/>
      <c r="CV1601" s="1099"/>
      <c r="CW1601" s="1099"/>
      <c r="CX1601" s="1823">
        <v>-3.2435419880338801</v>
      </c>
      <c r="CY1601" s="1099"/>
      <c r="CZ1601" s="864"/>
      <c r="DA1601" s="1103"/>
      <c r="DB1601" s="1099"/>
    </row>
    <row r="1602" spans="87:106">
      <c r="CI1602" s="888">
        <v>528</v>
      </c>
      <c r="CJ1602" s="1091" t="s">
        <v>2129</v>
      </c>
      <c r="CL1602" s="1826">
        <v>-6.0502046996190204</v>
      </c>
      <c r="CN1602" s="1104"/>
      <c r="CO1602" s="1105"/>
      <c r="CR1602" s="1824" t="s">
        <v>1218</v>
      </c>
      <c r="CT1602" s="1104"/>
      <c r="CU1602" s="1105"/>
      <c r="CV1602" s="1100"/>
      <c r="CW1602" s="1100"/>
      <c r="CX1602" s="1824">
        <v>-0.44458739491071153</v>
      </c>
      <c r="CY1602" s="1100"/>
      <c r="CZ1602" s="1104"/>
      <c r="DA1602" s="1105"/>
      <c r="DB1602" s="1100"/>
    </row>
    <row r="1603" spans="87:106">
      <c r="CI1603" s="888">
        <v>738</v>
      </c>
      <c r="CJ1603" s="4" t="s">
        <v>2130</v>
      </c>
      <c r="CL1603" s="1826"/>
      <c r="CN1603" s="1099">
        <v>-0.17814838158788682</v>
      </c>
      <c r="CO1603" s="1106">
        <v>0.59</v>
      </c>
      <c r="CR1603" s="1822"/>
      <c r="CT1603" s="1102">
        <v>1.0430403406476434</v>
      </c>
      <c r="CU1603" s="1106">
        <v>0.9</v>
      </c>
      <c r="CV1603" s="863"/>
      <c r="CW1603" s="863"/>
      <c r="CX1603" s="1822" t="e">
        <v>#N/A</v>
      </c>
      <c r="CY1603" s="863"/>
      <c r="CZ1603" s="1099">
        <v>1.3861566334356548</v>
      </c>
      <c r="DA1603" s="1106">
        <v>0.92</v>
      </c>
      <c r="DB1603" s="863"/>
    </row>
    <row r="1604" spans="87:106">
      <c r="CI1604" s="888">
        <v>738</v>
      </c>
      <c r="CJ1604" s="4"/>
      <c r="CL1604" s="1826"/>
      <c r="CN1604" s="1102"/>
      <c r="CO1604" s="1103"/>
      <c r="CR1604" s="1822"/>
      <c r="CT1604" s="1102"/>
      <c r="CU1604" s="1103"/>
      <c r="CV1604" s="863"/>
      <c r="CW1604" s="863"/>
      <c r="CX1604" s="1822" t="e">
        <v>#N/A</v>
      </c>
      <c r="CY1604" s="863"/>
      <c r="CZ1604" s="1102"/>
      <c r="DA1604" s="1103"/>
      <c r="DB1604" s="863"/>
    </row>
    <row r="1605" spans="87:106">
      <c r="CI1605" s="888">
        <v>738</v>
      </c>
      <c r="CJ1605" s="4"/>
      <c r="CL1605" s="1826"/>
      <c r="CN1605" s="1102"/>
      <c r="CO1605" s="1103"/>
      <c r="CR1605" s="1822"/>
      <c r="CT1605" s="1102"/>
      <c r="CU1605" s="1103"/>
      <c r="CV1605" s="863"/>
      <c r="CW1605" s="863"/>
      <c r="CX1605" s="1822" t="e">
        <v>#N/A</v>
      </c>
      <c r="CY1605" s="863"/>
      <c r="CZ1605" s="1102"/>
      <c r="DA1605" s="1103"/>
      <c r="DB1605" s="863"/>
    </row>
    <row r="1606" spans="87:106">
      <c r="CI1606" s="888">
        <v>738</v>
      </c>
      <c r="CJ1606" s="4"/>
      <c r="CL1606" s="1826"/>
      <c r="CN1606" s="1102"/>
      <c r="CO1606" s="1103"/>
      <c r="CR1606" s="1825"/>
      <c r="CT1606" s="1102"/>
      <c r="CU1606" s="1103"/>
      <c r="CV1606" s="1099"/>
      <c r="CW1606" s="1099"/>
      <c r="CX1606" s="1825" t="e">
        <v>#N/A</v>
      </c>
      <c r="CY1606" s="1099"/>
      <c r="CZ1606" s="1102"/>
      <c r="DA1606" s="1103"/>
      <c r="DB1606" s="1099"/>
    </row>
    <row r="1607" spans="87:106">
      <c r="CI1607" s="888">
        <v>738</v>
      </c>
      <c r="CJ1607" s="4" t="s">
        <v>2520</v>
      </c>
      <c r="CL1607" s="1826">
        <v>-0.79708490180873426</v>
      </c>
      <c r="CN1607" s="1102"/>
      <c r="CO1607" s="1103"/>
      <c r="CR1607" s="1823">
        <v>-0.19799069319645257</v>
      </c>
      <c r="CT1607" s="1102"/>
      <c r="CU1607" s="1103"/>
      <c r="CV1607" s="1099"/>
      <c r="CW1607" s="1099"/>
      <c r="CX1607" s="1823">
        <v>0.31518841149082544</v>
      </c>
      <c r="CY1607" s="1099"/>
      <c r="CZ1607" s="1102"/>
      <c r="DA1607" s="1103"/>
      <c r="DB1607" s="1099"/>
    </row>
    <row r="1608" spans="87:106">
      <c r="CI1608" s="888">
        <v>738</v>
      </c>
      <c r="CJ1608" s="4" t="s">
        <v>2388</v>
      </c>
      <c r="CL1608" s="1826">
        <v>-0.17814838158788682</v>
      </c>
      <c r="CN1608" s="1102"/>
      <c r="CO1608" s="1103"/>
      <c r="CR1608" s="1823">
        <v>1.844386692506734</v>
      </c>
      <c r="CT1608" s="1102"/>
      <c r="CU1608" s="1103"/>
      <c r="CV1608" s="1099"/>
      <c r="CW1608" s="1099"/>
      <c r="CX1608" s="1823">
        <v>2.1117039679197473</v>
      </c>
      <c r="CY1608" s="1099"/>
      <c r="CZ1608" s="1102"/>
      <c r="DA1608" s="1103"/>
      <c r="DB1608" s="1099"/>
    </row>
    <row r="1609" spans="87:106">
      <c r="CI1609" s="888">
        <v>738</v>
      </c>
      <c r="CJ1609" s="4" t="s">
        <v>2131</v>
      </c>
      <c r="CL1609" s="1826">
        <v>-4.1944998187834592E-2</v>
      </c>
      <c r="CN1609" s="1102"/>
      <c r="CO1609" s="1103"/>
      <c r="CR1609" s="1823">
        <v>1.1203251593459569</v>
      </c>
      <c r="CT1609" s="1102"/>
      <c r="CU1609" s="1103"/>
      <c r="CV1609" s="1099"/>
      <c r="CW1609" s="1099"/>
      <c r="CX1609" s="1823">
        <v>7.5310292890808483E-2</v>
      </c>
      <c r="CY1609" s="1099"/>
      <c r="CZ1609" s="1102"/>
      <c r="DA1609" s="1103"/>
      <c r="DB1609" s="1099"/>
    </row>
    <row r="1610" spans="87:106">
      <c r="CI1610" s="888">
        <v>738</v>
      </c>
      <c r="CJ1610" s="4" t="s">
        <v>2132</v>
      </c>
      <c r="CL1610" s="1826">
        <v>-0.2306289306984759</v>
      </c>
      <c r="CN1610" s="1102"/>
      <c r="CO1610" s="1103"/>
      <c r="CR1610" s="1823">
        <v>-1.5905361854820483</v>
      </c>
      <c r="CT1610" s="1102"/>
      <c r="CU1610" s="1103"/>
      <c r="CV1610" s="1099"/>
      <c r="CW1610" s="1099"/>
      <c r="CX1610" s="1823">
        <v>-0.92607502560531874</v>
      </c>
      <c r="CY1610" s="1099"/>
      <c r="CZ1610" s="1102"/>
      <c r="DA1610" s="1103"/>
      <c r="DB1610" s="1099"/>
    </row>
    <row r="1611" spans="87:106">
      <c r="CI1611" s="888">
        <v>738</v>
      </c>
      <c r="CJ1611" s="4" t="s">
        <v>2133</v>
      </c>
      <c r="CL1611" s="1826">
        <v>0.6216491213262243</v>
      </c>
      <c r="CN1611" s="864"/>
      <c r="CO1611" s="1103"/>
      <c r="CR1611" s="1823">
        <v>2.8252023115253748</v>
      </c>
      <c r="CT1611" s="864"/>
      <c r="CU1611" s="1103"/>
      <c r="CV1611" s="1099"/>
      <c r="CW1611" s="1099"/>
      <c r="CX1611" s="1823">
        <v>-2.1376049200092551</v>
      </c>
      <c r="CY1611" s="1099"/>
      <c r="CZ1611" s="864"/>
      <c r="DA1611" s="1103"/>
      <c r="DB1611" s="1099"/>
    </row>
    <row r="1612" spans="87:106">
      <c r="CI1612" s="888">
        <v>738</v>
      </c>
      <c r="CJ1612" s="4" t="s">
        <v>2134</v>
      </c>
      <c r="CL1612" s="1826">
        <v>0.32486835437964601</v>
      </c>
      <c r="CN1612" s="864"/>
      <c r="CO1612" s="1103"/>
      <c r="CR1612" s="1823">
        <v>1.0430403406476434</v>
      </c>
      <c r="CT1612" s="864"/>
      <c r="CU1612" s="1103"/>
      <c r="CV1612" s="1099"/>
      <c r="CW1612" s="1099"/>
      <c r="CX1612" s="1823">
        <v>4.9500538558717162</v>
      </c>
      <c r="CY1612" s="1099"/>
      <c r="CZ1612" s="864"/>
      <c r="DA1612" s="1103"/>
      <c r="DB1612" s="1099"/>
    </row>
    <row r="1613" spans="87:106">
      <c r="CI1613" s="888">
        <v>738</v>
      </c>
      <c r="CJ1613" s="4" t="s">
        <v>2135</v>
      </c>
      <c r="CL1613" s="1826">
        <v>-0.28119158664226429</v>
      </c>
      <c r="CN1613" s="864"/>
      <c r="CO1613" s="1103"/>
      <c r="CR1613" s="1823">
        <v>3.4099332527504864</v>
      </c>
      <c r="CT1613" s="864"/>
      <c r="CU1613" s="1103"/>
      <c r="CV1613" s="1099"/>
      <c r="CW1613" s="1099"/>
      <c r="CX1613" s="1823">
        <v>4.8306639667465534</v>
      </c>
      <c r="CY1613" s="1099"/>
      <c r="CZ1613" s="864"/>
      <c r="DA1613" s="1103"/>
      <c r="DB1613" s="1099"/>
    </row>
    <row r="1614" spans="87:106">
      <c r="CI1614" s="888">
        <v>738</v>
      </c>
      <c r="CJ1614" s="4" t="s">
        <v>2136</v>
      </c>
      <c r="CL1614" s="1826">
        <v>0.89221730026466251</v>
      </c>
      <c r="CN1614" s="864"/>
      <c r="CO1614" s="1103"/>
      <c r="CR1614" s="1823">
        <v>-2.4679034198929908</v>
      </c>
      <c r="CT1614" s="864"/>
      <c r="CU1614" s="1103"/>
      <c r="CV1614" s="1099"/>
      <c r="CW1614" s="1099"/>
      <c r="CX1614" s="1823">
        <v>1.3861566334356548</v>
      </c>
      <c r="CY1614" s="1099"/>
      <c r="CZ1614" s="864"/>
      <c r="DA1614" s="1103"/>
      <c r="DB1614" s="1099"/>
    </row>
    <row r="1615" spans="87:106">
      <c r="CI1615" s="888">
        <v>738</v>
      </c>
      <c r="CJ1615" s="1091" t="s">
        <v>2137</v>
      </c>
      <c r="CL1615" s="1826">
        <v>-1.2959763257768371</v>
      </c>
      <c r="CN1615" s="1104"/>
      <c r="CO1615" s="1105"/>
      <c r="CR1615" s="1824">
        <v>-0.91328550866703839</v>
      </c>
      <c r="CT1615" s="1104"/>
      <c r="CU1615" s="1105"/>
      <c r="CV1615" s="1100"/>
      <c r="CW1615" s="1100"/>
      <c r="CX1615" s="1824">
        <v>3.1238493803063871</v>
      </c>
      <c r="CY1615" s="1100"/>
      <c r="CZ1615" s="1104"/>
      <c r="DA1615" s="1105"/>
      <c r="DB1615" s="1100"/>
    </row>
    <row r="1616" spans="87:106">
      <c r="CI1616" s="888">
        <v>578</v>
      </c>
      <c r="CJ1616" s="4" t="s">
        <v>2138</v>
      </c>
      <c r="CL1616" s="1826"/>
      <c r="CN1616" s="1099">
        <v>-0.83730504365064329</v>
      </c>
      <c r="CO1616" s="1106">
        <v>0.3</v>
      </c>
      <c r="CR1616" s="1822"/>
      <c r="CT1616" s="1102">
        <v>1.4025587206688428</v>
      </c>
      <c r="CU1616" s="1106">
        <v>0.93</v>
      </c>
      <c r="CV1616" s="863"/>
      <c r="CW1616" s="863"/>
      <c r="CX1616" s="1822" t="e">
        <v>#N/A</v>
      </c>
      <c r="CY1616" s="863"/>
      <c r="CZ1616" s="1099">
        <v>-0.29478607889458175</v>
      </c>
      <c r="DA1616" s="1106">
        <v>0.56999999999999995</v>
      </c>
      <c r="DB1616" s="863"/>
    </row>
    <row r="1617" spans="87:106">
      <c r="CI1617" s="888">
        <v>578</v>
      </c>
      <c r="CJ1617" s="4"/>
      <c r="CL1617" s="1826"/>
      <c r="CN1617" s="1102"/>
      <c r="CO1617" s="1103"/>
      <c r="CR1617" s="1822"/>
      <c r="CT1617" s="1102"/>
      <c r="CU1617" s="1103"/>
      <c r="CV1617" s="863"/>
      <c r="CW1617" s="863"/>
      <c r="CX1617" s="1822" t="e">
        <v>#N/A</v>
      </c>
      <c r="CY1617" s="863"/>
      <c r="CZ1617" s="1102"/>
      <c r="DA1617" s="1103"/>
      <c r="DB1617" s="863"/>
    </row>
    <row r="1618" spans="87:106">
      <c r="CI1618" s="888">
        <v>578</v>
      </c>
      <c r="CJ1618" s="4"/>
      <c r="CL1618" s="1826"/>
      <c r="CN1618" s="1102"/>
      <c r="CO1618" s="1103"/>
      <c r="CR1618" s="1822"/>
      <c r="CT1618" s="1102"/>
      <c r="CU1618" s="1103"/>
      <c r="CV1618" s="863"/>
      <c r="CW1618" s="863"/>
      <c r="CX1618" s="1822" t="e">
        <v>#N/A</v>
      </c>
      <c r="CY1618" s="863"/>
      <c r="CZ1618" s="1102"/>
      <c r="DA1618" s="1103"/>
      <c r="DB1618" s="863"/>
    </row>
    <row r="1619" spans="87:106">
      <c r="CI1619" s="888">
        <v>578</v>
      </c>
      <c r="CJ1619" s="4"/>
      <c r="CL1619" s="1826"/>
      <c r="CN1619" s="1102"/>
      <c r="CO1619" s="1103"/>
      <c r="CR1619" s="1825"/>
      <c r="CT1619" s="1102"/>
      <c r="CU1619" s="1103"/>
      <c r="CV1619" s="1099"/>
      <c r="CW1619" s="1099"/>
      <c r="CX1619" s="1825" t="e">
        <v>#N/A</v>
      </c>
      <c r="CY1619" s="1099"/>
      <c r="CZ1619" s="1102"/>
      <c r="DA1619" s="1103"/>
      <c r="DB1619" s="1099"/>
    </row>
    <row r="1620" spans="87:106">
      <c r="CI1620" s="888">
        <v>578</v>
      </c>
      <c r="CJ1620" s="4" t="s">
        <v>2521</v>
      </c>
      <c r="CL1620" s="1826">
        <v>0.68008986288302076</v>
      </c>
      <c r="CN1620" s="1102"/>
      <c r="CO1620" s="1103"/>
      <c r="CR1620" s="1823">
        <v>-0.30779745008088677</v>
      </c>
      <c r="CT1620" s="1102"/>
      <c r="CU1620" s="1103"/>
      <c r="CV1620" s="1099"/>
      <c r="CW1620" s="1099"/>
      <c r="CX1620" s="1823">
        <v>0.29519057411378435</v>
      </c>
      <c r="CY1620" s="1099"/>
      <c r="CZ1620" s="1102"/>
      <c r="DA1620" s="1103"/>
      <c r="DB1620" s="1099"/>
    </row>
    <row r="1621" spans="87:106">
      <c r="CI1621" s="888">
        <v>578</v>
      </c>
      <c r="CJ1621" s="4" t="s">
        <v>2389</v>
      </c>
      <c r="CL1621" s="1826">
        <v>-0.69156453267820828</v>
      </c>
      <c r="CN1621" s="1102"/>
      <c r="CO1621" s="1103"/>
      <c r="CR1621" s="1823">
        <v>2.1039127642484643</v>
      </c>
      <c r="CT1621" s="1102"/>
      <c r="CU1621" s="1103"/>
      <c r="CV1621" s="1099"/>
      <c r="CW1621" s="1099"/>
      <c r="CX1621" s="1823">
        <v>0.16083090967015723</v>
      </c>
      <c r="CY1621" s="1099"/>
      <c r="CZ1621" s="1102"/>
      <c r="DA1621" s="1103"/>
      <c r="DB1621" s="1099"/>
    </row>
    <row r="1622" spans="87:106">
      <c r="CI1622" s="888">
        <v>578</v>
      </c>
      <c r="CJ1622" s="4" t="s">
        <v>2139</v>
      </c>
      <c r="CL1622" s="1826">
        <v>-0.83730504365064329</v>
      </c>
      <c r="CN1622" s="1102"/>
      <c r="CO1622" s="1103"/>
      <c r="CR1622" s="1823">
        <v>1.4025587206688428</v>
      </c>
      <c r="CT1622" s="1102"/>
      <c r="CU1622" s="1103"/>
      <c r="CV1622" s="1099"/>
      <c r="CW1622" s="1099"/>
      <c r="CX1622" s="1823">
        <v>-1.1704423423577852</v>
      </c>
      <c r="CY1622" s="1099"/>
      <c r="CZ1622" s="1102"/>
      <c r="DA1622" s="1103"/>
      <c r="DB1622" s="1099"/>
    </row>
    <row r="1623" spans="87:106">
      <c r="CI1623" s="888">
        <v>578</v>
      </c>
      <c r="CJ1623" s="4" t="s">
        <v>2140</v>
      </c>
      <c r="CL1623" s="1826">
        <v>-3.3995924758407505</v>
      </c>
      <c r="CN1623" s="1102"/>
      <c r="CO1623" s="1103"/>
      <c r="CR1623" s="1823">
        <v>2.8842238446851538</v>
      </c>
      <c r="CT1623" s="1102"/>
      <c r="CU1623" s="1103"/>
      <c r="CV1623" s="1099"/>
      <c r="CW1623" s="1099"/>
      <c r="CX1623" s="1823">
        <v>-2.3370629126352105</v>
      </c>
      <c r="CY1623" s="1099"/>
      <c r="CZ1623" s="1102"/>
      <c r="DA1623" s="1103"/>
      <c r="DB1623" s="1099"/>
    </row>
    <row r="1624" spans="87:106">
      <c r="CI1624" s="888">
        <v>578</v>
      </c>
      <c r="CJ1624" s="4" t="s">
        <v>2141</v>
      </c>
      <c r="CL1624" s="1826">
        <v>-4.6434704356021506</v>
      </c>
      <c r="CN1624" s="864"/>
      <c r="CO1624" s="1103"/>
      <c r="CR1624" s="1823">
        <v>3.8006350575102874</v>
      </c>
      <c r="CT1624" s="864"/>
      <c r="CU1624" s="1103"/>
      <c r="CV1624" s="1099"/>
      <c r="CW1624" s="1099"/>
      <c r="CX1624" s="1823">
        <v>-1.611935119136449</v>
      </c>
      <c r="CY1624" s="1099"/>
      <c r="CZ1624" s="864"/>
      <c r="DA1624" s="1103"/>
      <c r="DB1624" s="1099"/>
    </row>
    <row r="1625" spans="87:106">
      <c r="CI1625" s="888">
        <v>578</v>
      </c>
      <c r="CJ1625" s="4" t="s">
        <v>2142</v>
      </c>
      <c r="CL1625" s="1826">
        <v>1.9637321959646385</v>
      </c>
      <c r="CN1625" s="864"/>
      <c r="CO1625" s="1103"/>
      <c r="CR1625" s="1823">
        <v>-0.15646504147205686</v>
      </c>
      <c r="CT1625" s="864"/>
      <c r="CU1625" s="1103"/>
      <c r="CV1625" s="1099"/>
      <c r="CW1625" s="1099"/>
      <c r="CX1625" s="1823">
        <v>-2.0794484194779637</v>
      </c>
      <c r="CY1625" s="1099"/>
      <c r="CZ1625" s="864"/>
      <c r="DA1625" s="1103"/>
      <c r="DB1625" s="1099"/>
    </row>
    <row r="1626" spans="87:106">
      <c r="CI1626" s="888">
        <v>578</v>
      </c>
      <c r="CJ1626" s="4" t="s">
        <v>2143</v>
      </c>
      <c r="CL1626" s="1826">
        <v>-5.3981680335901423</v>
      </c>
      <c r="CN1626" s="864"/>
      <c r="CO1626" s="1103"/>
      <c r="CR1626" s="1823">
        <v>1.2208062496406233</v>
      </c>
      <c r="CT1626" s="864"/>
      <c r="CU1626" s="1103"/>
      <c r="CV1626" s="1099"/>
      <c r="CW1626" s="1099"/>
      <c r="CX1626" s="1823">
        <v>2.391002809735606</v>
      </c>
      <c r="CY1626" s="1099"/>
      <c r="CZ1626" s="864"/>
      <c r="DA1626" s="1103"/>
      <c r="DB1626" s="1099"/>
    </row>
    <row r="1627" spans="87:106">
      <c r="CI1627" s="888">
        <v>578</v>
      </c>
      <c r="CJ1627" s="4" t="s">
        <v>2144</v>
      </c>
      <c r="CL1627" s="1826">
        <v>6.7362786167897584</v>
      </c>
      <c r="CN1627" s="864"/>
      <c r="CO1627" s="1103"/>
      <c r="CR1627" s="1823" t="s">
        <v>1218</v>
      </c>
      <c r="CT1627" s="864"/>
      <c r="CU1627" s="1103"/>
      <c r="CV1627" s="1099"/>
      <c r="CW1627" s="1099"/>
      <c r="CX1627" s="1823">
        <v>0.49682864688643802</v>
      </c>
      <c r="CY1627" s="1099"/>
      <c r="CZ1627" s="864"/>
      <c r="DA1627" s="1103"/>
      <c r="DB1627" s="1099"/>
    </row>
    <row r="1628" spans="87:106">
      <c r="CI1628" s="888">
        <v>578</v>
      </c>
      <c r="CJ1628" s="1091" t="s">
        <v>2145</v>
      </c>
      <c r="CL1628" s="1826">
        <v>-7.918640675253803</v>
      </c>
      <c r="CN1628" s="1104"/>
      <c r="CO1628" s="1105"/>
      <c r="CR1628" s="1824" t="s">
        <v>1218</v>
      </c>
      <c r="CT1628" s="1104"/>
      <c r="CU1628" s="1105"/>
      <c r="CV1628" s="1100"/>
      <c r="CW1628" s="1100"/>
      <c r="CX1628" s="1824">
        <v>-0.29478607889458175</v>
      </c>
      <c r="CY1628" s="1100"/>
      <c r="CZ1628" s="1104"/>
      <c r="DA1628" s="1105"/>
      <c r="DB1628" s="1100"/>
    </row>
    <row r="1629" spans="87:106">
      <c r="CI1629" s="888">
        <v>369</v>
      </c>
      <c r="CJ1629" s="4" t="s">
        <v>2146</v>
      </c>
      <c r="CL1629" s="1826"/>
      <c r="CN1629" s="1099">
        <v>-3.5385819710431075</v>
      </c>
      <c r="CO1629" s="1106">
        <v>0.03</v>
      </c>
      <c r="CR1629" s="1822"/>
      <c r="CT1629" s="1102">
        <v>-1.7448578001862347</v>
      </c>
      <c r="CU1629" s="1106">
        <v>0.2</v>
      </c>
      <c r="CV1629" s="863"/>
      <c r="CW1629" s="863"/>
      <c r="CX1629" s="1822" t="e">
        <v>#N/A</v>
      </c>
      <c r="CY1629" s="863"/>
      <c r="CZ1629" s="1099">
        <v>0.54583786854928684</v>
      </c>
      <c r="DA1629" s="1106">
        <v>0.8</v>
      </c>
      <c r="DB1629" s="863"/>
    </row>
    <row r="1630" spans="87:106">
      <c r="CI1630" s="888">
        <v>369</v>
      </c>
      <c r="CJ1630" s="4"/>
      <c r="CL1630" s="1826"/>
      <c r="CN1630" s="1102"/>
      <c r="CO1630" s="1103"/>
      <c r="CR1630" s="1822"/>
      <c r="CT1630" s="1102"/>
      <c r="CU1630" s="1103"/>
      <c r="CV1630" s="863"/>
      <c r="CW1630" s="863"/>
      <c r="CX1630" s="1822" t="e">
        <v>#N/A</v>
      </c>
      <c r="CY1630" s="863"/>
      <c r="CZ1630" s="1102"/>
      <c r="DA1630" s="1103"/>
      <c r="DB1630" s="863"/>
    </row>
    <row r="1631" spans="87:106">
      <c r="CI1631" s="888">
        <v>369</v>
      </c>
      <c r="CJ1631" s="4"/>
      <c r="CL1631" s="1826"/>
      <c r="CN1631" s="1102"/>
      <c r="CO1631" s="1103"/>
      <c r="CR1631" s="1822"/>
      <c r="CT1631" s="1102"/>
      <c r="CU1631" s="1103"/>
      <c r="CV1631" s="863"/>
      <c r="CW1631" s="863"/>
      <c r="CX1631" s="1822" t="e">
        <v>#N/A</v>
      </c>
      <c r="CY1631" s="863"/>
      <c r="CZ1631" s="1102"/>
      <c r="DA1631" s="1103"/>
      <c r="DB1631" s="863"/>
    </row>
    <row r="1632" spans="87:106">
      <c r="CI1632" s="888">
        <v>369</v>
      </c>
      <c r="CJ1632" s="4"/>
      <c r="CL1632" s="1826"/>
      <c r="CN1632" s="1102"/>
      <c r="CO1632" s="1103"/>
      <c r="CR1632" s="1825"/>
      <c r="CT1632" s="1102"/>
      <c r="CU1632" s="1103"/>
      <c r="CV1632" s="1099"/>
      <c r="CW1632" s="1099"/>
      <c r="CX1632" s="1825" t="e">
        <v>#N/A</v>
      </c>
      <c r="CY1632" s="1099"/>
      <c r="CZ1632" s="1102"/>
      <c r="DA1632" s="1103"/>
      <c r="DB1632" s="1099"/>
    </row>
    <row r="1633" spans="87:106">
      <c r="CI1633" s="888">
        <v>369</v>
      </c>
      <c r="CJ1633" s="4" t="s">
        <v>2522</v>
      </c>
      <c r="CL1633" s="1826">
        <v>-4.3412094965463695</v>
      </c>
      <c r="CN1633" s="1102"/>
      <c r="CO1633" s="1103"/>
      <c r="CR1633" s="1823">
        <v>-0.95854868359098067</v>
      </c>
      <c r="CT1633" s="1102"/>
      <c r="CU1633" s="1103"/>
      <c r="CV1633" s="1099"/>
      <c r="CW1633" s="1099"/>
      <c r="CX1633" s="1823">
        <v>-3.6603121172901645</v>
      </c>
      <c r="CY1633" s="1099"/>
      <c r="CZ1633" s="1102"/>
      <c r="DA1633" s="1103"/>
      <c r="DB1633" s="1099"/>
    </row>
    <row r="1634" spans="87:106">
      <c r="CI1634" s="888">
        <v>369</v>
      </c>
      <c r="CJ1634" s="4" t="s">
        <v>2390</v>
      </c>
      <c r="CL1634" s="1826">
        <v>-7.4446247133169337</v>
      </c>
      <c r="CN1634" s="1102"/>
      <c r="CO1634" s="1103"/>
      <c r="CR1634" s="1823">
        <v>-6.6710519888436597</v>
      </c>
      <c r="CT1634" s="1102"/>
      <c r="CU1634" s="1103"/>
      <c r="CV1634" s="1099"/>
      <c r="CW1634" s="1099"/>
      <c r="CX1634" s="1823">
        <v>-2.3217014683554908</v>
      </c>
      <c r="CY1634" s="1099"/>
      <c r="CZ1634" s="1102"/>
      <c r="DA1634" s="1103"/>
      <c r="DB1634" s="1099"/>
    </row>
    <row r="1635" spans="87:106">
      <c r="CI1635" s="888">
        <v>369</v>
      </c>
      <c r="CJ1635" s="4" t="s">
        <v>2147</v>
      </c>
      <c r="CL1635" s="1826">
        <v>-2.76513299623746</v>
      </c>
      <c r="CN1635" s="1102"/>
      <c r="CO1635" s="1103"/>
      <c r="CR1635" s="1823">
        <v>-2.7444475538711992</v>
      </c>
      <c r="CT1635" s="1102"/>
      <c r="CU1635" s="1103"/>
      <c r="CV1635" s="1099"/>
      <c r="CW1635" s="1099"/>
      <c r="CX1635" s="1823">
        <v>-11.693332824937183</v>
      </c>
      <c r="CY1635" s="1099"/>
      <c r="CZ1635" s="1102"/>
      <c r="DA1635" s="1103"/>
      <c r="DB1635" s="1099"/>
    </row>
    <row r="1636" spans="87:106">
      <c r="CI1636" s="888">
        <v>369</v>
      </c>
      <c r="CJ1636" s="4" t="s">
        <v>2148</v>
      </c>
      <c r="CL1636" s="1826">
        <v>-3.5385819710431075</v>
      </c>
      <c r="CN1636" s="1102"/>
      <c r="CO1636" s="1103"/>
      <c r="CR1636" s="1823">
        <v>-2.464765522293912</v>
      </c>
      <c r="CT1636" s="1102"/>
      <c r="CU1636" s="1103"/>
      <c r="CV1636" s="1099"/>
      <c r="CW1636" s="1099"/>
      <c r="CX1636" s="1823">
        <v>0.54583786854928684</v>
      </c>
      <c r="CY1636" s="1099"/>
      <c r="CZ1636" s="1102"/>
      <c r="DA1636" s="1103"/>
      <c r="DB1636" s="1099"/>
    </row>
    <row r="1637" spans="87:106">
      <c r="CI1637" s="888">
        <v>369</v>
      </c>
      <c r="CJ1637" s="4" t="s">
        <v>2149</v>
      </c>
      <c r="CL1637" s="1826">
        <v>-0.62819446711037097</v>
      </c>
      <c r="CN1637" s="864"/>
      <c r="CO1637" s="1103"/>
      <c r="CR1637" s="1823">
        <v>0.44767566518711793</v>
      </c>
      <c r="CT1637" s="864"/>
      <c r="CU1637" s="1103"/>
      <c r="CV1637" s="1099"/>
      <c r="CW1637" s="1099"/>
      <c r="CX1637" s="1823">
        <v>3.0129928702306028</v>
      </c>
      <c r="CY1637" s="1099"/>
      <c r="CZ1637" s="864"/>
      <c r="DA1637" s="1103"/>
      <c r="DB1637" s="1099"/>
    </row>
    <row r="1638" spans="87:106">
      <c r="CI1638" s="888">
        <v>369</v>
      </c>
      <c r="CJ1638" s="4" t="s">
        <v>2150</v>
      </c>
      <c r="CL1638" s="1826">
        <v>-1.1797038371109079</v>
      </c>
      <c r="CN1638" s="864"/>
      <c r="CO1638" s="1103"/>
      <c r="CR1638" s="1823">
        <v>4.415881756427102</v>
      </c>
      <c r="CT1638" s="864"/>
      <c r="CU1638" s="1103"/>
      <c r="CV1638" s="1099"/>
      <c r="CW1638" s="1099"/>
      <c r="CX1638" s="1823">
        <v>5.1030262525931729</v>
      </c>
      <c r="CY1638" s="1099"/>
      <c r="CZ1638" s="864"/>
      <c r="DA1638" s="1103"/>
      <c r="DB1638" s="1099"/>
    </row>
    <row r="1639" spans="87:106">
      <c r="CI1639" s="888">
        <v>369</v>
      </c>
      <c r="CJ1639" s="4" t="s">
        <v>2151</v>
      </c>
      <c r="CL1639" s="1826">
        <v>-4.9110632915941732</v>
      </c>
      <c r="CN1639" s="864"/>
      <c r="CO1639" s="1103"/>
      <c r="CR1639" s="1823" t="s">
        <v>1218</v>
      </c>
      <c r="CT1639" s="864"/>
      <c r="CU1639" s="1103"/>
      <c r="CV1639" s="1099"/>
      <c r="CW1639" s="1099"/>
      <c r="CX1639" s="1823">
        <v>10.993040645363218</v>
      </c>
      <c r="CY1639" s="1099"/>
      <c r="CZ1639" s="864"/>
      <c r="DA1639" s="1103"/>
      <c r="DB1639" s="1099"/>
    </row>
    <row r="1640" spans="87:106">
      <c r="CI1640" s="888">
        <v>369</v>
      </c>
      <c r="CJ1640" s="4" t="s">
        <v>2152</v>
      </c>
      <c r="CL1640" s="1826">
        <v>-2.0237385268453094</v>
      </c>
      <c r="CN1640" s="864"/>
      <c r="CO1640" s="1103"/>
      <c r="CR1640" s="1823">
        <v>-1.0249500780785574</v>
      </c>
      <c r="CT1640" s="864"/>
      <c r="CU1640" s="1103"/>
      <c r="CV1640" s="1099"/>
      <c r="CW1640" s="1099"/>
      <c r="CX1640" s="1823">
        <v>2.7211947729363857</v>
      </c>
      <c r="CY1640" s="1099"/>
      <c r="CZ1640" s="864"/>
      <c r="DA1640" s="1103"/>
      <c r="DB1640" s="1099"/>
    </row>
    <row r="1641" spans="87:106">
      <c r="CI1641" s="888">
        <v>369</v>
      </c>
      <c r="CJ1641" s="1091" t="s">
        <v>2153</v>
      </c>
      <c r="CL1641" s="1826">
        <v>-9.1293426494030463</v>
      </c>
      <c r="CN1641" s="1104"/>
      <c r="CO1641" s="1105"/>
      <c r="CR1641" s="1824">
        <v>-12.296737996182877</v>
      </c>
      <c r="CT1641" s="1104"/>
      <c r="CU1641" s="1105"/>
      <c r="CV1641" s="1100"/>
      <c r="CW1641" s="1100"/>
      <c r="CX1641" s="1824">
        <v>-27.260602095535347</v>
      </c>
      <c r="CY1641" s="1100"/>
      <c r="CZ1641" s="1104"/>
      <c r="DA1641" s="1105"/>
      <c r="DB1641" s="1100"/>
    </row>
    <row r="1642" spans="87:106">
      <c r="CI1642" s="888">
        <v>744</v>
      </c>
      <c r="CJ1642" s="4" t="s">
        <v>2154</v>
      </c>
      <c r="CL1642" s="1826"/>
      <c r="CN1642" s="1099">
        <v>-2.2448649464017172</v>
      </c>
      <c r="CO1642" s="1106">
        <v>0.11</v>
      </c>
      <c r="CR1642" s="1822"/>
      <c r="CT1642" s="1102">
        <v>-0.82859803486032291</v>
      </c>
      <c r="CU1642" s="1106">
        <v>0.4</v>
      </c>
      <c r="CV1642" s="863"/>
      <c r="CW1642" s="863"/>
      <c r="CX1642" s="1822" t="e">
        <v>#N/A</v>
      </c>
      <c r="CY1642" s="863"/>
      <c r="CZ1642" s="1099">
        <v>1.9249655038687346</v>
      </c>
      <c r="DA1642" s="1106">
        <v>0.94</v>
      </c>
      <c r="DB1642" s="863"/>
    </row>
    <row r="1643" spans="87:106">
      <c r="CI1643" s="888">
        <v>744</v>
      </c>
      <c r="CJ1643" s="4"/>
      <c r="CL1643" s="1826"/>
      <c r="CN1643" s="1102"/>
      <c r="CO1643" s="1103"/>
      <c r="CR1643" s="1822"/>
      <c r="CT1643" s="1102"/>
      <c r="CU1643" s="1103"/>
      <c r="CV1643" s="863"/>
      <c r="CW1643" s="863"/>
      <c r="CX1643" s="1822" t="e">
        <v>#N/A</v>
      </c>
      <c r="CY1643" s="863"/>
      <c r="CZ1643" s="1102"/>
      <c r="DA1643" s="1103"/>
      <c r="DB1643" s="863"/>
    </row>
    <row r="1644" spans="87:106">
      <c r="CI1644" s="888">
        <v>744</v>
      </c>
      <c r="CJ1644" s="4"/>
      <c r="CL1644" s="1826"/>
      <c r="CN1644" s="1102"/>
      <c r="CO1644" s="1103"/>
      <c r="CR1644" s="1822"/>
      <c r="CT1644" s="1102"/>
      <c r="CU1644" s="1103"/>
      <c r="CV1644" s="863"/>
      <c r="CW1644" s="863"/>
      <c r="CX1644" s="1822" t="e">
        <v>#N/A</v>
      </c>
      <c r="CY1644" s="863"/>
      <c r="CZ1644" s="1102"/>
      <c r="DA1644" s="1103"/>
      <c r="DB1644" s="863"/>
    </row>
    <row r="1645" spans="87:106">
      <c r="CI1645" s="888">
        <v>744</v>
      </c>
      <c r="CJ1645" s="4"/>
      <c r="CL1645" s="1826"/>
      <c r="CN1645" s="1102"/>
      <c r="CO1645" s="1103"/>
      <c r="CR1645" s="1825"/>
      <c r="CT1645" s="1102"/>
      <c r="CU1645" s="1103"/>
      <c r="CV1645" s="1099"/>
      <c r="CW1645" s="1099"/>
      <c r="CX1645" s="1825" t="e">
        <v>#N/A</v>
      </c>
      <c r="CY1645" s="1099"/>
      <c r="CZ1645" s="1102"/>
      <c r="DA1645" s="1103"/>
      <c r="DB1645" s="1099"/>
    </row>
    <row r="1646" spans="87:106">
      <c r="CI1646" s="888">
        <v>744</v>
      </c>
      <c r="CJ1646" s="4" t="s">
        <v>2523</v>
      </c>
      <c r="CL1646" s="1826">
        <v>-1.1000000000001497</v>
      </c>
      <c r="CN1646" s="1102"/>
      <c r="CO1646" s="1103"/>
      <c r="CR1646" s="1823">
        <v>-2.3456008662568775</v>
      </c>
      <c r="CT1646" s="1102"/>
      <c r="CU1646" s="1103"/>
      <c r="CV1646" s="1099"/>
      <c r="CW1646" s="1099"/>
      <c r="CX1646" s="1823">
        <v>2.4740000000000704</v>
      </c>
      <c r="CY1646" s="1099"/>
      <c r="CZ1646" s="1102"/>
      <c r="DA1646" s="1103"/>
      <c r="DB1646" s="1099"/>
    </row>
    <row r="1647" spans="87:106">
      <c r="CI1647" s="888">
        <v>744</v>
      </c>
      <c r="CJ1647" s="4" t="s">
        <v>2391</v>
      </c>
      <c r="CL1647" s="1826">
        <v>-2.825339219148403</v>
      </c>
      <c r="CN1647" s="1102"/>
      <c r="CO1647" s="1103"/>
      <c r="CR1647" s="1823">
        <v>-2.1714716304746871</v>
      </c>
      <c r="CT1647" s="1102"/>
      <c r="CU1647" s="1103"/>
      <c r="CV1647" s="1099"/>
      <c r="CW1647" s="1099"/>
      <c r="CX1647" s="1823">
        <v>2.0999999999999859</v>
      </c>
      <c r="CY1647" s="1099"/>
      <c r="CZ1647" s="1102"/>
      <c r="DA1647" s="1103"/>
      <c r="DB1647" s="1099"/>
    </row>
    <row r="1648" spans="87:106">
      <c r="CI1648" s="888">
        <v>744</v>
      </c>
      <c r="CJ1648" s="4" t="s">
        <v>2155</v>
      </c>
      <c r="CL1648" s="1826">
        <v>-3.4000000000002242</v>
      </c>
      <c r="CN1648" s="1102"/>
      <c r="CO1648" s="1103"/>
      <c r="CR1648" s="1823">
        <v>-0.15386914224387249</v>
      </c>
      <c r="CT1648" s="1102"/>
      <c r="CU1648" s="1103"/>
      <c r="CV1648" s="1099"/>
      <c r="CW1648" s="1099"/>
      <c r="CX1648" s="1823">
        <v>-1.1985736307234056</v>
      </c>
      <c r="CY1648" s="1099"/>
      <c r="CZ1648" s="1102"/>
      <c r="DA1648" s="1103"/>
      <c r="DB1648" s="1099"/>
    </row>
    <row r="1649" spans="87:106">
      <c r="CI1649" s="888">
        <v>744</v>
      </c>
      <c r="CJ1649" s="4" t="s">
        <v>2156</v>
      </c>
      <c r="CL1649" s="1826">
        <v>-2.2448649464017172</v>
      </c>
      <c r="CN1649" s="1102"/>
      <c r="CO1649" s="1103"/>
      <c r="CR1649" s="1823">
        <v>0.12350966144068232</v>
      </c>
      <c r="CT1649" s="1102"/>
      <c r="CU1649" s="1103"/>
      <c r="CV1649" s="1099"/>
      <c r="CW1649" s="1099"/>
      <c r="CX1649" s="1823">
        <v>0.92290015875106679</v>
      </c>
      <c r="CY1649" s="1099"/>
      <c r="CZ1649" s="1102"/>
      <c r="DA1649" s="1103"/>
      <c r="DB1649" s="1099"/>
    </row>
    <row r="1650" spans="87:106">
      <c r="CI1650" s="888">
        <v>744</v>
      </c>
      <c r="CJ1650" s="4" t="s">
        <v>2157</v>
      </c>
      <c r="CL1650" s="1826">
        <v>-1.2290524097412945</v>
      </c>
      <c r="CN1650" s="864"/>
      <c r="CO1650" s="1103"/>
      <c r="CR1650" s="1823">
        <v>-1.0153092514199717</v>
      </c>
      <c r="CT1650" s="864"/>
      <c r="CU1650" s="1103"/>
      <c r="CV1650" s="1099"/>
      <c r="CW1650" s="1099"/>
      <c r="CX1650" s="1823">
        <v>1.7339494639747053</v>
      </c>
      <c r="CY1650" s="1099"/>
      <c r="CZ1650" s="864"/>
      <c r="DA1650" s="1103"/>
      <c r="DB1650" s="1099"/>
    </row>
    <row r="1651" spans="87:106">
      <c r="CI1651" s="888">
        <v>744</v>
      </c>
      <c r="CJ1651" s="4" t="s">
        <v>2158</v>
      </c>
      <c r="CL1651" s="1826">
        <v>-1.9577189010168277</v>
      </c>
      <c r="CN1651" s="864"/>
      <c r="CO1651" s="1103"/>
      <c r="CR1651" s="1823">
        <v>-1.8030907982985689</v>
      </c>
      <c r="CT1651" s="864"/>
      <c r="CU1651" s="1103"/>
      <c r="CV1651" s="1099"/>
      <c r="CW1651" s="1099"/>
      <c r="CX1651" s="1823">
        <v>3.324493492028775</v>
      </c>
      <c r="CY1651" s="1099"/>
      <c r="CZ1651" s="864"/>
      <c r="DA1651" s="1103"/>
      <c r="DB1651" s="1099"/>
    </row>
    <row r="1652" spans="87:106">
      <c r="CI1652" s="888">
        <v>744</v>
      </c>
      <c r="CJ1652" s="4" t="s">
        <v>2159</v>
      </c>
      <c r="CL1652" s="1826">
        <v>-6.9094306853132075</v>
      </c>
      <c r="CN1652" s="864"/>
      <c r="CO1652" s="1103"/>
      <c r="CR1652" s="1823">
        <v>-0.82859803486032291</v>
      </c>
      <c r="CT1652" s="864"/>
      <c r="CU1652" s="1103"/>
      <c r="CV1652" s="1099"/>
      <c r="CW1652" s="1099"/>
      <c r="CX1652" s="1823">
        <v>2.2188560529868813</v>
      </c>
      <c r="CY1652" s="1099"/>
      <c r="CZ1652" s="864"/>
      <c r="DA1652" s="1103"/>
      <c r="DB1652" s="1099"/>
    </row>
    <row r="1653" spans="87:106">
      <c r="CI1653" s="888">
        <v>744</v>
      </c>
      <c r="CJ1653" s="4" t="s">
        <v>2160</v>
      </c>
      <c r="CL1653" s="1826">
        <v>-0.74711837094447819</v>
      </c>
      <c r="CN1653" s="864"/>
      <c r="CO1653" s="1103"/>
      <c r="CR1653" s="1823">
        <v>1.0302339793989825</v>
      </c>
      <c r="CT1653" s="864"/>
      <c r="CU1653" s="1103"/>
      <c r="CV1653" s="1099"/>
      <c r="CW1653" s="1099"/>
      <c r="CX1653" s="1823">
        <v>1.9249655038687346</v>
      </c>
      <c r="CY1653" s="1099"/>
      <c r="CZ1653" s="864"/>
      <c r="DA1653" s="1103"/>
      <c r="DB1653" s="1099"/>
    </row>
    <row r="1654" spans="87:106">
      <c r="CI1654" s="888">
        <v>744</v>
      </c>
      <c r="CJ1654" s="1091" t="s">
        <v>2161</v>
      </c>
      <c r="CL1654" s="1826">
        <v>-2.8172066043010071</v>
      </c>
      <c r="CN1654" s="1104"/>
      <c r="CO1654" s="1105"/>
      <c r="CR1654" s="1824">
        <v>0.63538419395677292</v>
      </c>
      <c r="CT1654" s="1104"/>
      <c r="CU1654" s="1105"/>
      <c r="CV1654" s="1100"/>
      <c r="CW1654" s="1100"/>
      <c r="CX1654" s="1824">
        <v>0.26328791029859389</v>
      </c>
      <c r="CY1654" s="1100"/>
      <c r="CZ1654" s="1104"/>
      <c r="DA1654" s="1105"/>
      <c r="DB1654" s="1100"/>
    </row>
    <row r="1655" spans="87:106">
      <c r="CI1655" s="888">
        <v>186</v>
      </c>
      <c r="CJ1655" s="4" t="s">
        <v>2162</v>
      </c>
      <c r="CL1655" s="1826"/>
      <c r="CN1655" s="1099">
        <v>0.95612652127963749</v>
      </c>
      <c r="CO1655" s="1106">
        <v>0.96</v>
      </c>
      <c r="CR1655" s="1822"/>
      <c r="CT1655" s="1102">
        <v>4.288883901404561E-2</v>
      </c>
      <c r="CU1655" s="1106">
        <v>0.72</v>
      </c>
      <c r="CV1655" s="863"/>
      <c r="CW1655" s="863"/>
      <c r="CX1655" s="1822" t="e">
        <v>#N/A</v>
      </c>
      <c r="CY1655" s="863"/>
      <c r="CZ1655" s="1099">
        <v>1.3466067635368271</v>
      </c>
      <c r="DA1655" s="1106">
        <v>0.9</v>
      </c>
      <c r="DB1655" s="863"/>
    </row>
    <row r="1656" spans="87:106">
      <c r="CI1656" s="888">
        <v>186</v>
      </c>
      <c r="CJ1656" s="4"/>
      <c r="CL1656" s="1826"/>
      <c r="CN1656" s="1102"/>
      <c r="CO1656" s="1103"/>
      <c r="CR1656" s="1822"/>
      <c r="CT1656" s="1102"/>
      <c r="CU1656" s="1103"/>
      <c r="CV1656" s="863"/>
      <c r="CW1656" s="863"/>
      <c r="CX1656" s="1822" t="e">
        <v>#N/A</v>
      </c>
      <c r="CY1656" s="863"/>
      <c r="CZ1656" s="1102"/>
      <c r="DA1656" s="1103"/>
      <c r="DB1656" s="863"/>
    </row>
    <row r="1657" spans="87:106">
      <c r="CI1657" s="888">
        <v>186</v>
      </c>
      <c r="CJ1657" s="4"/>
      <c r="CL1657" s="1826"/>
      <c r="CN1657" s="1102"/>
      <c r="CO1657" s="1103"/>
      <c r="CR1657" s="1822"/>
      <c r="CT1657" s="1102"/>
      <c r="CU1657" s="1103"/>
      <c r="CV1657" s="863"/>
      <c r="CW1657" s="863"/>
      <c r="CX1657" s="1822" t="e">
        <v>#N/A</v>
      </c>
      <c r="CY1657" s="863"/>
      <c r="CZ1657" s="1102"/>
      <c r="DA1657" s="1103"/>
      <c r="DB1657" s="863"/>
    </row>
    <row r="1658" spans="87:106">
      <c r="CI1658" s="888">
        <v>186</v>
      </c>
      <c r="CJ1658" s="4"/>
      <c r="CL1658" s="1826"/>
      <c r="CN1658" s="1102"/>
      <c r="CO1658" s="1103"/>
      <c r="CR1658" s="1825"/>
      <c r="CT1658" s="1102"/>
      <c r="CU1658" s="1103"/>
      <c r="CV1658" s="1099"/>
      <c r="CW1658" s="1099"/>
      <c r="CX1658" s="1825" t="e">
        <v>#N/A</v>
      </c>
      <c r="CY1658" s="1099"/>
      <c r="CZ1658" s="1102"/>
      <c r="DA1658" s="1103"/>
      <c r="DB1658" s="1099"/>
    </row>
    <row r="1659" spans="87:106">
      <c r="CI1659" s="888">
        <v>186</v>
      </c>
      <c r="CJ1659" s="4" t="s">
        <v>2524</v>
      </c>
      <c r="CL1659" s="1826">
        <v>3.614719547152299</v>
      </c>
      <c r="CN1659" s="1102"/>
      <c r="CO1659" s="1103"/>
      <c r="CR1659" s="1823">
        <v>-1.7820463080370745</v>
      </c>
      <c r="CT1659" s="1102"/>
      <c r="CU1659" s="1103"/>
      <c r="CV1659" s="1099"/>
      <c r="CW1659" s="1099"/>
      <c r="CX1659" s="1823">
        <v>2.4032098681160203</v>
      </c>
      <c r="CY1659" s="1099"/>
      <c r="CZ1659" s="1102"/>
      <c r="DA1659" s="1103"/>
      <c r="DB1659" s="1099"/>
    </row>
    <row r="1660" spans="87:106">
      <c r="CI1660" s="888">
        <v>186</v>
      </c>
      <c r="CJ1660" s="4" t="s">
        <v>2392</v>
      </c>
      <c r="CL1660" s="1826">
        <v>-0.41763716119967231</v>
      </c>
      <c r="CN1660" s="1102"/>
      <c r="CO1660" s="1103"/>
      <c r="CR1660" s="1823">
        <v>-2.4508474259079454</v>
      </c>
      <c r="CT1660" s="1102"/>
      <c r="CU1660" s="1103"/>
      <c r="CV1660" s="1099"/>
      <c r="CW1660" s="1099"/>
      <c r="CX1660" s="1823">
        <v>1.5738336375217035</v>
      </c>
      <c r="CY1660" s="1099"/>
      <c r="CZ1660" s="1102"/>
      <c r="DA1660" s="1103"/>
      <c r="DB1660" s="1099"/>
    </row>
    <row r="1661" spans="87:106">
      <c r="CI1661" s="888">
        <v>186</v>
      </c>
      <c r="CJ1661" s="4" t="s">
        <v>2163</v>
      </c>
      <c r="CL1661" s="1826">
        <v>2.9961013609319576</v>
      </c>
      <c r="CN1661" s="1102"/>
      <c r="CO1661" s="1103"/>
      <c r="CR1661" s="1823">
        <v>0.13474497242239791</v>
      </c>
      <c r="CT1661" s="1102"/>
      <c r="CU1661" s="1103"/>
      <c r="CV1661" s="1099"/>
      <c r="CW1661" s="1099"/>
      <c r="CX1661" s="1823">
        <v>1.3466067635368271</v>
      </c>
      <c r="CY1661" s="1099"/>
      <c r="CZ1661" s="1102"/>
      <c r="DA1661" s="1103"/>
      <c r="DB1661" s="1099"/>
    </row>
    <row r="1662" spans="87:106">
      <c r="CI1662" s="888">
        <v>186</v>
      </c>
      <c r="CJ1662" s="4" t="s">
        <v>2164</v>
      </c>
      <c r="CL1662" s="1826">
        <v>-0.81781577870645883</v>
      </c>
      <c r="CN1662" s="1102"/>
      <c r="CO1662" s="1103"/>
      <c r="CR1662" s="1823">
        <v>0.57899064606742212</v>
      </c>
      <c r="CT1662" s="1102"/>
      <c r="CU1662" s="1103"/>
      <c r="CV1662" s="1099"/>
      <c r="CW1662" s="1099"/>
      <c r="CX1662" s="1823">
        <v>2.5957891951031087</v>
      </c>
      <c r="CY1662" s="1099"/>
      <c r="CZ1662" s="1102"/>
      <c r="DA1662" s="1103"/>
      <c r="DB1662" s="1099"/>
    </row>
    <row r="1663" spans="87:106">
      <c r="CI1663" s="888">
        <v>186</v>
      </c>
      <c r="CJ1663" s="4" t="s">
        <v>2165</v>
      </c>
      <c r="CL1663" s="1826">
        <v>0.95612652127963749</v>
      </c>
      <c r="CN1663" s="864"/>
      <c r="CO1663" s="1103"/>
      <c r="CR1663" s="1823">
        <v>0.59621677068897849</v>
      </c>
      <c r="CT1663" s="864"/>
      <c r="CU1663" s="1103"/>
      <c r="CV1663" s="1099"/>
      <c r="CW1663" s="1099"/>
      <c r="CX1663" s="1823">
        <v>-1.8388048604709173</v>
      </c>
      <c r="CY1663" s="1099"/>
      <c r="CZ1663" s="864"/>
      <c r="DA1663" s="1103"/>
      <c r="DB1663" s="1099"/>
    </row>
    <row r="1664" spans="87:106">
      <c r="CI1664" s="888">
        <v>186</v>
      </c>
      <c r="CJ1664" s="4" t="s">
        <v>2166</v>
      </c>
      <c r="CL1664" s="1826">
        <v>-2.3093944454445579</v>
      </c>
      <c r="CN1664" s="864"/>
      <c r="CO1664" s="1103"/>
      <c r="CR1664" s="1823">
        <v>-0.1564515002748269</v>
      </c>
      <c r="CT1664" s="864"/>
      <c r="CU1664" s="1103"/>
      <c r="CV1664" s="1099"/>
      <c r="CW1664" s="1099"/>
      <c r="CX1664" s="1823">
        <v>1.0002638672062423</v>
      </c>
      <c r="CY1664" s="1099"/>
      <c r="CZ1664" s="864"/>
      <c r="DA1664" s="1103"/>
      <c r="DB1664" s="1099"/>
    </row>
    <row r="1665" spans="87:106">
      <c r="CI1665" s="888">
        <v>186</v>
      </c>
      <c r="CJ1665" s="4" t="s">
        <v>2167</v>
      </c>
      <c r="CL1665" s="1826">
        <v>5.1031924488573068</v>
      </c>
      <c r="CN1665" s="864"/>
      <c r="CO1665" s="1103"/>
      <c r="CR1665" s="1823">
        <v>1.678654297181672</v>
      </c>
      <c r="CT1665" s="864"/>
      <c r="CU1665" s="1103"/>
      <c r="CV1665" s="1099"/>
      <c r="CW1665" s="1099"/>
      <c r="CX1665" s="1823">
        <v>2.9836257121181351</v>
      </c>
      <c r="CY1665" s="1099"/>
      <c r="CZ1665" s="864"/>
      <c r="DA1665" s="1103"/>
      <c r="DB1665" s="1099"/>
    </row>
    <row r="1666" spans="87:106">
      <c r="CI1666" s="888">
        <v>186</v>
      </c>
      <c r="CJ1666" s="4" t="s">
        <v>2168</v>
      </c>
      <c r="CL1666" s="1826">
        <v>7.5055863362404303</v>
      </c>
      <c r="CN1666" s="864"/>
      <c r="CO1666" s="1103"/>
      <c r="CR1666" s="1823">
        <v>4.288883901404561E-2</v>
      </c>
      <c r="CT1666" s="864"/>
      <c r="CU1666" s="1103"/>
      <c r="CV1666" s="1099"/>
      <c r="CW1666" s="1099"/>
      <c r="CX1666" s="1823">
        <v>1.0960499247384643</v>
      </c>
      <c r="CY1666" s="1099"/>
      <c r="CZ1666" s="864"/>
      <c r="DA1666" s="1103"/>
      <c r="DB1666" s="1099"/>
    </row>
    <row r="1667" spans="87:106">
      <c r="CI1667" s="888">
        <v>186</v>
      </c>
      <c r="CJ1667" s="1091" t="s">
        <v>2169</v>
      </c>
      <c r="CL1667" s="1826">
        <v>-8.9880287451949812</v>
      </c>
      <c r="CN1667" s="1104"/>
      <c r="CO1667" s="1105"/>
      <c r="CR1667" s="1824">
        <v>-4.603282776931156</v>
      </c>
      <c r="CT1667" s="1104"/>
      <c r="CU1667" s="1105"/>
      <c r="CV1667" s="1100"/>
      <c r="CW1667" s="1100"/>
      <c r="CX1667" s="1824">
        <v>0.59357889367348449</v>
      </c>
      <c r="CY1667" s="1100"/>
      <c r="CZ1667" s="1104"/>
      <c r="DA1667" s="1105"/>
      <c r="DB1667" s="1100"/>
    </row>
    <row r="1668" spans="87:106">
      <c r="CI1668" s="888">
        <v>925</v>
      </c>
      <c r="CJ1668" s="4" t="s">
        <v>2170</v>
      </c>
      <c r="CL1668" s="1826"/>
      <c r="CN1668" s="1099">
        <v>2.2585095237347144</v>
      </c>
      <c r="CO1668" s="1106">
        <v>0.99</v>
      </c>
      <c r="CR1668" s="1822"/>
      <c r="CT1668" s="1102">
        <v>-1.2304762734059502</v>
      </c>
      <c r="CU1668" s="1106">
        <v>0.28999999999999998</v>
      </c>
      <c r="CV1668" s="863"/>
      <c r="CW1668" s="863"/>
      <c r="CX1668" s="1822" t="e">
        <v>#N/A</v>
      </c>
      <c r="CY1668" s="863"/>
      <c r="CZ1668" s="1099">
        <v>-6.6869161001312269</v>
      </c>
      <c r="DA1668" s="1106">
        <v>0</v>
      </c>
      <c r="DB1668" s="863"/>
    </row>
    <row r="1669" spans="87:106">
      <c r="CI1669" s="888">
        <v>925</v>
      </c>
      <c r="CJ1669" s="4"/>
      <c r="CL1669" s="1826"/>
      <c r="CN1669" s="1102"/>
      <c r="CO1669" s="1103"/>
      <c r="CR1669" s="1822"/>
      <c r="CT1669" s="1102"/>
      <c r="CU1669" s="1103"/>
      <c r="CV1669" s="863"/>
      <c r="CW1669" s="863"/>
      <c r="CX1669" s="1822" t="e">
        <v>#N/A</v>
      </c>
      <c r="CY1669" s="863"/>
      <c r="CZ1669" s="1102"/>
      <c r="DA1669" s="1103"/>
      <c r="DB1669" s="863"/>
    </row>
    <row r="1670" spans="87:106">
      <c r="CI1670" s="888">
        <v>925</v>
      </c>
      <c r="CJ1670" s="4"/>
      <c r="CL1670" s="1826"/>
      <c r="CN1670" s="1102"/>
      <c r="CO1670" s="1103"/>
      <c r="CR1670" s="1822"/>
      <c r="CT1670" s="1102"/>
      <c r="CU1670" s="1103"/>
      <c r="CV1670" s="863"/>
      <c r="CW1670" s="863"/>
      <c r="CX1670" s="1822" t="e">
        <v>#N/A</v>
      </c>
      <c r="CY1670" s="863"/>
      <c r="CZ1670" s="1102"/>
      <c r="DA1670" s="1103"/>
      <c r="DB1670" s="863"/>
    </row>
    <row r="1671" spans="87:106">
      <c r="CI1671" s="888">
        <v>925</v>
      </c>
      <c r="CJ1671" s="4"/>
      <c r="CL1671" s="1826"/>
      <c r="CN1671" s="1102"/>
      <c r="CO1671" s="1103"/>
      <c r="CR1671" s="1825"/>
      <c r="CT1671" s="1102"/>
      <c r="CU1671" s="1103"/>
      <c r="CV1671" s="1099"/>
      <c r="CW1671" s="1099"/>
      <c r="CX1671" s="1825" t="e">
        <v>#N/A</v>
      </c>
      <c r="CY1671" s="1099"/>
      <c r="CZ1671" s="1102"/>
      <c r="DA1671" s="1103"/>
      <c r="DB1671" s="1099"/>
    </row>
    <row r="1672" spans="87:106">
      <c r="CI1672" s="888">
        <v>925</v>
      </c>
      <c r="CJ1672" s="4" t="s">
        <v>2525</v>
      </c>
      <c r="CL1672" s="1826">
        <v>1.9696359472488369</v>
      </c>
      <c r="CN1672" s="1102"/>
      <c r="CO1672" s="1103"/>
      <c r="CR1672" s="1823">
        <v>-0.34260909520200622</v>
      </c>
      <c r="CT1672" s="1102"/>
      <c r="CU1672" s="1103"/>
      <c r="CV1672" s="1099"/>
      <c r="CW1672" s="1099"/>
      <c r="CX1672" s="1823">
        <v>-3.6510151614333304</v>
      </c>
      <c r="CY1672" s="1099"/>
      <c r="CZ1672" s="1102"/>
      <c r="DA1672" s="1103"/>
      <c r="DB1672" s="1099"/>
    </row>
    <row r="1673" spans="87:106">
      <c r="CI1673" s="888">
        <v>925</v>
      </c>
      <c r="CJ1673" s="4" t="s">
        <v>2393</v>
      </c>
      <c r="CL1673" s="1826">
        <v>-2.9880591357797623</v>
      </c>
      <c r="CN1673" s="1102"/>
      <c r="CO1673" s="1103"/>
      <c r="CR1673" s="1823">
        <v>-2.5102298488149195</v>
      </c>
      <c r="CT1673" s="1102"/>
      <c r="CU1673" s="1103"/>
      <c r="CV1673" s="1099"/>
      <c r="CW1673" s="1099"/>
      <c r="CX1673" s="1823">
        <v>-11.23584907867323</v>
      </c>
      <c r="CY1673" s="1099"/>
      <c r="CZ1673" s="1102"/>
      <c r="DA1673" s="1103"/>
      <c r="DB1673" s="1099"/>
    </row>
    <row r="1674" spans="87:106">
      <c r="CI1674" s="888">
        <v>925</v>
      </c>
      <c r="CJ1674" s="4" t="s">
        <v>2171</v>
      </c>
      <c r="CL1674" s="1826">
        <v>-6.0115465252172893</v>
      </c>
      <c r="CN1674" s="1102"/>
      <c r="CO1674" s="1103"/>
      <c r="CR1674" s="1823">
        <v>-1.2304762734059502</v>
      </c>
      <c r="CT1674" s="1102"/>
      <c r="CU1674" s="1103"/>
      <c r="CV1674" s="1099"/>
      <c r="CW1674" s="1099"/>
      <c r="CX1674" s="1823">
        <v>-6.1978408955162356</v>
      </c>
      <c r="CY1674" s="1099"/>
      <c r="CZ1674" s="1102"/>
      <c r="DA1674" s="1103"/>
      <c r="DB1674" s="1099"/>
    </row>
    <row r="1675" spans="87:106">
      <c r="CI1675" s="888">
        <v>925</v>
      </c>
      <c r="CJ1675" s="4" t="s">
        <v>2172</v>
      </c>
      <c r="CL1675" s="1826">
        <v>2.3499681904285215</v>
      </c>
      <c r="CN1675" s="1102"/>
      <c r="CO1675" s="1103"/>
      <c r="CR1675" s="1823" t="s">
        <v>1218</v>
      </c>
      <c r="CT1675" s="1102"/>
      <c r="CU1675" s="1103"/>
      <c r="CV1675" s="1099"/>
      <c r="CW1675" s="1099"/>
      <c r="CX1675" s="1823">
        <v>-9.0442079391345089</v>
      </c>
      <c r="CY1675" s="1099"/>
      <c r="CZ1675" s="1102"/>
      <c r="DA1675" s="1103"/>
      <c r="DB1675" s="1099"/>
    </row>
    <row r="1676" spans="87:106">
      <c r="CI1676" s="888">
        <v>925</v>
      </c>
      <c r="CJ1676" s="4" t="s">
        <v>2173</v>
      </c>
      <c r="CL1676" s="1826">
        <v>3.446576482359494</v>
      </c>
      <c r="CN1676" s="864"/>
      <c r="CO1676" s="1103"/>
      <c r="CR1676" s="1823" t="s">
        <v>1218</v>
      </c>
      <c r="CT1676" s="864"/>
      <c r="CU1676" s="1103"/>
      <c r="CV1676" s="1099"/>
      <c r="CW1676" s="1099"/>
      <c r="CX1676" s="1823">
        <v>-1.3847410116909273</v>
      </c>
      <c r="CY1676" s="1099"/>
      <c r="CZ1676" s="864"/>
      <c r="DA1676" s="1103"/>
      <c r="DB1676" s="1099"/>
    </row>
    <row r="1677" spans="87:106">
      <c r="CI1677" s="888">
        <v>925</v>
      </c>
      <c r="CJ1677" s="4" t="s">
        <v>2174</v>
      </c>
      <c r="CL1677" s="1826">
        <v>4.6790544924688229</v>
      </c>
      <c r="CN1677" s="864"/>
      <c r="CO1677" s="1103"/>
      <c r="CR1677" s="1823" t="s">
        <v>1218</v>
      </c>
      <c r="CT1677" s="864"/>
      <c r="CU1677" s="1103"/>
      <c r="CV1677" s="1099"/>
      <c r="CW1677" s="1099"/>
      <c r="CX1677" s="1823">
        <v>-7.2985529842076993</v>
      </c>
      <c r="CY1677" s="1099"/>
      <c r="CZ1677" s="864"/>
      <c r="DA1677" s="1103"/>
      <c r="DB1677" s="1099"/>
    </row>
    <row r="1678" spans="87:106">
      <c r="CI1678" s="888">
        <v>925</v>
      </c>
      <c r="CJ1678" s="4" t="s">
        <v>2175</v>
      </c>
      <c r="CL1678" s="1826">
        <v>2.4736209524703785</v>
      </c>
      <c r="CN1678" s="864"/>
      <c r="CO1678" s="1103"/>
      <c r="CR1678" s="1823" t="s">
        <v>1218</v>
      </c>
      <c r="CT1678" s="864"/>
      <c r="CU1678" s="1103"/>
      <c r="CV1678" s="1099"/>
      <c r="CW1678" s="1099"/>
      <c r="CX1678" s="1823">
        <v>2.4968629999346916</v>
      </c>
      <c r="CY1678" s="1099"/>
      <c r="CZ1678" s="864"/>
      <c r="DA1678" s="1103"/>
      <c r="DB1678" s="1099"/>
    </row>
    <row r="1679" spans="87:106">
      <c r="CI1679" s="888">
        <v>925</v>
      </c>
      <c r="CJ1679" s="4" t="s">
        <v>2176</v>
      </c>
      <c r="CL1679" s="1826">
        <v>2.2585095237347144</v>
      </c>
      <c r="CN1679" s="864"/>
      <c r="CO1679" s="1103"/>
      <c r="CR1679" s="1823" t="s">
        <v>1218</v>
      </c>
      <c r="CT1679" s="864"/>
      <c r="CU1679" s="1103"/>
      <c r="CV1679" s="1099"/>
      <c r="CW1679" s="1099"/>
      <c r="CX1679" s="1823">
        <v>-6.6869161001312269</v>
      </c>
      <c r="CY1679" s="1099"/>
      <c r="CZ1679" s="864"/>
      <c r="DA1679" s="1103"/>
      <c r="DB1679" s="1099"/>
    </row>
    <row r="1680" spans="87:106">
      <c r="CI1680" s="888">
        <v>925</v>
      </c>
      <c r="CJ1680" s="1091" t="s">
        <v>2177</v>
      </c>
      <c r="CL1680" s="1826">
        <v>-3.9000724252711185</v>
      </c>
      <c r="CN1680" s="1104"/>
      <c r="CO1680" s="1105"/>
      <c r="CR1680" s="1824" t="s">
        <v>1218</v>
      </c>
      <c r="CT1680" s="1104"/>
      <c r="CU1680" s="1105"/>
      <c r="CV1680" s="1100"/>
      <c r="CW1680" s="1100"/>
      <c r="CX1680" s="1824">
        <v>-49.826187302937143</v>
      </c>
      <c r="CY1680" s="1100"/>
      <c r="CZ1680" s="1104"/>
      <c r="DA1680" s="1105"/>
      <c r="DB1680" s="1100"/>
    </row>
    <row r="1681" spans="87:106">
      <c r="CI1681" s="888">
        <v>869</v>
      </c>
      <c r="CJ1681" s="4" t="s">
        <v>2178</v>
      </c>
      <c r="CL1681" s="1826"/>
      <c r="CN1681" s="1099">
        <v>0.55169563787823561</v>
      </c>
      <c r="CO1681" s="1106">
        <v>0.88</v>
      </c>
      <c r="CR1681" s="1822"/>
      <c r="CT1681" s="1102">
        <v>9.262029443781751</v>
      </c>
      <c r="CU1681" s="1106">
        <v>1</v>
      </c>
      <c r="CV1681" s="863"/>
      <c r="CW1681" s="863"/>
      <c r="CX1681" s="1822" t="e">
        <v>#N/A</v>
      </c>
      <c r="CY1681" s="863"/>
      <c r="CZ1681" s="1099">
        <v>-0.76273349534670831</v>
      </c>
      <c r="DA1681" s="1106">
        <v>0.33</v>
      </c>
      <c r="DB1681" s="863"/>
    </row>
    <row r="1682" spans="87:106">
      <c r="CI1682" s="888">
        <v>869</v>
      </c>
      <c r="CJ1682" s="4"/>
      <c r="CL1682" s="1826"/>
      <c r="CN1682" s="1102"/>
      <c r="CO1682" s="1103"/>
      <c r="CR1682" s="1822"/>
      <c r="CT1682" s="1102"/>
      <c r="CU1682" s="1103"/>
      <c r="CV1682" s="863"/>
      <c r="CW1682" s="863"/>
      <c r="CX1682" s="1822" t="e">
        <v>#N/A</v>
      </c>
      <c r="CY1682" s="863"/>
      <c r="CZ1682" s="1102"/>
      <c r="DA1682" s="1103"/>
      <c r="DB1682" s="863"/>
    </row>
    <row r="1683" spans="87:106">
      <c r="CI1683" s="888">
        <v>869</v>
      </c>
      <c r="CJ1683" s="4"/>
      <c r="CL1683" s="1826"/>
      <c r="CN1683" s="1102"/>
      <c r="CO1683" s="1103"/>
      <c r="CR1683" s="1822"/>
      <c r="CT1683" s="1102"/>
      <c r="CU1683" s="1103"/>
      <c r="CV1683" s="863"/>
      <c r="CW1683" s="863"/>
      <c r="CX1683" s="1822" t="e">
        <v>#N/A</v>
      </c>
      <c r="CY1683" s="863"/>
      <c r="CZ1683" s="1102"/>
      <c r="DA1683" s="1103"/>
      <c r="DB1683" s="863"/>
    </row>
    <row r="1684" spans="87:106">
      <c r="CI1684" s="888">
        <v>869</v>
      </c>
      <c r="CJ1684" s="4"/>
      <c r="CL1684" s="1826"/>
      <c r="CN1684" s="1102"/>
      <c r="CO1684" s="1103"/>
      <c r="CR1684" s="1825"/>
      <c r="CT1684" s="1102"/>
      <c r="CU1684" s="1103"/>
      <c r="CV1684" s="1099"/>
      <c r="CW1684" s="1099"/>
      <c r="CX1684" s="1825" t="e">
        <v>#N/A</v>
      </c>
      <c r="CY1684" s="1099"/>
      <c r="CZ1684" s="1102"/>
      <c r="DA1684" s="1103"/>
      <c r="DB1684" s="1099"/>
    </row>
    <row r="1685" spans="87:106">
      <c r="CI1685" s="888">
        <v>869</v>
      </c>
      <c r="CJ1685" s="4" t="s">
        <v>2526</v>
      </c>
      <c r="CL1685" s="1826">
        <v>1.3350747235844407</v>
      </c>
      <c r="CN1685" s="1102"/>
      <c r="CO1685" s="1103"/>
      <c r="CR1685" s="1823">
        <v>-0.95813750891377181</v>
      </c>
      <c r="CT1685" s="1102"/>
      <c r="CU1685" s="1103"/>
      <c r="CV1685" s="1099"/>
      <c r="CW1685" s="1099"/>
      <c r="CX1685" s="1823">
        <v>-0.79519935050906732</v>
      </c>
      <c r="CY1685" s="1099"/>
      <c r="CZ1685" s="1102"/>
      <c r="DA1685" s="1103"/>
      <c r="DB1685" s="1099"/>
    </row>
    <row r="1686" spans="87:106">
      <c r="CI1686" s="888">
        <v>869</v>
      </c>
      <c r="CJ1686" s="4" t="s">
        <v>2394</v>
      </c>
      <c r="CL1686" s="1826">
        <v>0.55169563787823561</v>
      </c>
      <c r="CN1686" s="1102"/>
      <c r="CO1686" s="1103"/>
      <c r="CR1686" s="1823">
        <v>16.579952635072917</v>
      </c>
      <c r="CT1686" s="1102"/>
      <c r="CU1686" s="1103"/>
      <c r="CV1686" s="1099"/>
      <c r="CW1686" s="1099"/>
      <c r="CX1686" s="1823">
        <v>-1.2597178599050252</v>
      </c>
      <c r="CY1686" s="1099"/>
      <c r="CZ1686" s="1102"/>
      <c r="DA1686" s="1103"/>
      <c r="DB1686" s="1099"/>
    </row>
    <row r="1687" spans="87:106">
      <c r="CI1687" s="888">
        <v>869</v>
      </c>
      <c r="CJ1687" s="4" t="s">
        <v>2179</v>
      </c>
      <c r="CL1687" s="1826">
        <v>0.79099663430880396</v>
      </c>
      <c r="CN1687" s="1102"/>
      <c r="CO1687" s="1103"/>
      <c r="CR1687" s="1823">
        <v>1.9441062524905859</v>
      </c>
      <c r="CT1687" s="1102"/>
      <c r="CU1687" s="1103"/>
      <c r="CV1687" s="1099"/>
      <c r="CW1687" s="1099"/>
      <c r="CX1687" s="1823">
        <v>0.76062435268326078</v>
      </c>
      <c r="CY1687" s="1099"/>
      <c r="CZ1687" s="1102"/>
      <c r="DA1687" s="1103"/>
      <c r="DB1687" s="1099"/>
    </row>
    <row r="1688" spans="87:106">
      <c r="CI1688" s="888">
        <v>869</v>
      </c>
      <c r="CJ1688" s="4" t="s">
        <v>2180</v>
      </c>
      <c r="CL1688" s="1826">
        <v>1.019741177264299</v>
      </c>
      <c r="CN1688" s="1102"/>
      <c r="CO1688" s="1103"/>
      <c r="CR1688" s="1823">
        <v>44.324196285353104</v>
      </c>
      <c r="CT1688" s="1102"/>
      <c r="CU1688" s="1103"/>
      <c r="CV1688" s="1099"/>
      <c r="CW1688" s="1099"/>
      <c r="CX1688" s="1823">
        <v>0.35946866889894658</v>
      </c>
      <c r="CY1688" s="1099"/>
      <c r="CZ1688" s="1102"/>
      <c r="DA1688" s="1103"/>
      <c r="DB1688" s="1099"/>
    </row>
    <row r="1689" spans="87:106">
      <c r="CI1689" s="888">
        <v>869</v>
      </c>
      <c r="CJ1689" s="4" t="s">
        <v>2181</v>
      </c>
      <c r="CL1689" s="1826">
        <v>4.4629668189941629E-3</v>
      </c>
      <c r="CN1689" s="864"/>
      <c r="CO1689" s="1103"/>
      <c r="CR1689" s="1823" t="s">
        <v>1218</v>
      </c>
      <c r="CT1689" s="864"/>
      <c r="CU1689" s="1103"/>
      <c r="CV1689" s="1099"/>
      <c r="CW1689" s="1099"/>
      <c r="CX1689" s="1823">
        <v>6.1423775226707944E-2</v>
      </c>
      <c r="CY1689" s="1099"/>
      <c r="CZ1689" s="864"/>
      <c r="DA1689" s="1103"/>
      <c r="DB1689" s="1099"/>
    </row>
    <row r="1690" spans="87:106">
      <c r="CI1690" s="888">
        <v>869</v>
      </c>
      <c r="CJ1690" s="4" t="s">
        <v>2182</v>
      </c>
      <c r="CL1690" s="1826">
        <v>-0.45747842588859106</v>
      </c>
      <c r="CN1690" s="864"/>
      <c r="CO1690" s="1103"/>
      <c r="CR1690" s="1823" t="s">
        <v>1218</v>
      </c>
      <c r="CT1690" s="864"/>
      <c r="CU1690" s="1103"/>
      <c r="CV1690" s="1099"/>
      <c r="CW1690" s="1099"/>
      <c r="CX1690" s="1823">
        <v>-0.76273349534670831</v>
      </c>
      <c r="CY1690" s="1099"/>
      <c r="CZ1690" s="864"/>
      <c r="DA1690" s="1103"/>
      <c r="DB1690" s="1099"/>
    </row>
    <row r="1691" spans="87:106">
      <c r="CI1691" s="888">
        <v>869</v>
      </c>
      <c r="CJ1691" s="4" t="s">
        <v>2183</v>
      </c>
      <c r="CL1691" s="1826">
        <v>1.1137249731967227</v>
      </c>
      <c r="CN1691" s="864"/>
      <c r="CO1691" s="1103"/>
      <c r="CR1691" s="1823" t="s">
        <v>1218</v>
      </c>
      <c r="CT1691" s="864"/>
      <c r="CU1691" s="1103"/>
      <c r="CV1691" s="1099"/>
      <c r="CW1691" s="1099"/>
      <c r="CX1691" s="1823">
        <v>-1.0294248979973941</v>
      </c>
      <c r="CY1691" s="1099"/>
      <c r="CZ1691" s="864"/>
      <c r="DA1691" s="1103"/>
      <c r="DB1691" s="1099"/>
    </row>
    <row r="1692" spans="87:106">
      <c r="CI1692" s="888">
        <v>869</v>
      </c>
      <c r="CJ1692" s="4" t="s">
        <v>2184</v>
      </c>
      <c r="CL1692" s="1826">
        <v>-0.53095052727966519</v>
      </c>
      <c r="CN1692" s="864"/>
      <c r="CO1692" s="1103"/>
      <c r="CR1692" s="1823" t="s">
        <v>1218</v>
      </c>
      <c r="CT1692" s="864"/>
      <c r="CU1692" s="1103"/>
      <c r="CV1692" s="1099"/>
      <c r="CW1692" s="1099"/>
      <c r="CX1692" s="1823" t="s">
        <v>1218</v>
      </c>
      <c r="CY1692" s="1099"/>
      <c r="CZ1692" s="864"/>
      <c r="DA1692" s="1103"/>
      <c r="DB1692" s="1099"/>
    </row>
    <row r="1693" spans="87:106">
      <c r="CI1693" s="888">
        <v>869</v>
      </c>
      <c r="CJ1693" s="1091" t="s">
        <v>2185</v>
      </c>
      <c r="CL1693" s="1826">
        <v>-1.6883578613314441</v>
      </c>
      <c r="CN1693" s="1104"/>
      <c r="CO1693" s="1105"/>
      <c r="CR1693" s="1824" t="s">
        <v>1218</v>
      </c>
      <c r="CT1693" s="1104"/>
      <c r="CU1693" s="1105"/>
      <c r="CV1693" s="1100"/>
      <c r="CW1693" s="1100"/>
      <c r="CX1693" s="1824" t="s">
        <v>1218</v>
      </c>
      <c r="CY1693" s="1100"/>
      <c r="CZ1693" s="1104"/>
      <c r="DA1693" s="1105"/>
      <c r="DB1693" s="1100"/>
    </row>
    <row r="1694" spans="87:106">
      <c r="CI1694" s="888">
        <v>926</v>
      </c>
      <c r="CJ1694" s="4" t="s">
        <v>2186</v>
      </c>
      <c r="CL1694" s="1826"/>
      <c r="CN1694" s="1099">
        <v>-3.5267601890111142</v>
      </c>
      <c r="CO1694" s="1106">
        <v>0.03</v>
      </c>
      <c r="CR1694" s="1822"/>
      <c r="CT1694" s="1102">
        <v>-1.2931785829764568</v>
      </c>
      <c r="CU1694" s="1106">
        <v>0.28000000000000003</v>
      </c>
      <c r="CV1694" s="863"/>
      <c r="CW1694" s="863"/>
      <c r="CX1694" s="1822" t="e">
        <v>#N/A</v>
      </c>
      <c r="CY1694" s="863"/>
      <c r="CZ1694" s="1099">
        <v>6.051397533249947</v>
      </c>
      <c r="DA1694" s="1106">
        <v>0.99</v>
      </c>
      <c r="DB1694" s="863"/>
    </row>
    <row r="1695" spans="87:106">
      <c r="CI1695" s="888">
        <v>926</v>
      </c>
      <c r="CJ1695" s="4"/>
      <c r="CL1695" s="1826"/>
      <c r="CN1695" s="1102"/>
      <c r="CO1695" s="1103"/>
      <c r="CR1695" s="1822"/>
      <c r="CT1695" s="1102"/>
      <c r="CU1695" s="1103"/>
      <c r="CV1695" s="863"/>
      <c r="CW1695" s="863"/>
      <c r="CX1695" s="1822" t="e">
        <v>#N/A</v>
      </c>
      <c r="CY1695" s="863"/>
      <c r="CZ1695" s="1102"/>
      <c r="DA1695" s="1103"/>
      <c r="DB1695" s="863"/>
    </row>
    <row r="1696" spans="87:106">
      <c r="CI1696" s="888">
        <v>926</v>
      </c>
      <c r="CJ1696" s="4"/>
      <c r="CL1696" s="1826"/>
      <c r="CN1696" s="1102"/>
      <c r="CO1696" s="1103"/>
      <c r="CR1696" s="1822"/>
      <c r="CT1696" s="1102"/>
      <c r="CU1696" s="1103"/>
      <c r="CV1696" s="863"/>
      <c r="CW1696" s="863"/>
      <c r="CX1696" s="1822" t="e">
        <v>#N/A</v>
      </c>
      <c r="CY1696" s="863"/>
      <c r="CZ1696" s="1102"/>
      <c r="DA1696" s="1103"/>
      <c r="DB1696" s="863"/>
    </row>
    <row r="1697" spans="87:106">
      <c r="CI1697" s="888">
        <v>926</v>
      </c>
      <c r="CJ1697" s="4"/>
      <c r="CL1697" s="1826"/>
      <c r="CN1697" s="1102"/>
      <c r="CO1697" s="1103"/>
      <c r="CR1697" s="1825"/>
      <c r="CT1697" s="1102"/>
      <c r="CU1697" s="1103"/>
      <c r="CV1697" s="1099"/>
      <c r="CW1697" s="1099"/>
      <c r="CX1697" s="1825" t="e">
        <v>#N/A</v>
      </c>
      <c r="CY1697" s="1099"/>
      <c r="CZ1697" s="1102"/>
      <c r="DA1697" s="1103"/>
      <c r="DB1697" s="1099"/>
    </row>
    <row r="1698" spans="87:106">
      <c r="CI1698" s="888">
        <v>926</v>
      </c>
      <c r="CJ1698" s="4" t="s">
        <v>2527</v>
      </c>
      <c r="CL1698" s="1826">
        <v>-1.5487136392075218E-2</v>
      </c>
      <c r="CN1698" s="1102"/>
      <c r="CO1698" s="1103"/>
      <c r="CR1698" s="1823">
        <v>0.24981331731683776</v>
      </c>
      <c r="CT1698" s="1102"/>
      <c r="CU1698" s="1103"/>
      <c r="CV1698" s="1099"/>
      <c r="CW1698" s="1099"/>
      <c r="CX1698" s="1823">
        <v>8.026681197564093</v>
      </c>
      <c r="CY1698" s="1099"/>
      <c r="CZ1698" s="1102"/>
      <c r="DA1698" s="1103"/>
      <c r="DB1698" s="1099"/>
    </row>
    <row r="1699" spans="87:106">
      <c r="CI1699" s="888">
        <v>926</v>
      </c>
      <c r="CJ1699" s="4" t="s">
        <v>2395</v>
      </c>
      <c r="CL1699" s="1826">
        <v>0.44977015040561086</v>
      </c>
      <c r="CN1699" s="1102"/>
      <c r="CO1699" s="1103"/>
      <c r="CR1699" s="1823">
        <v>0.44620626629934002</v>
      </c>
      <c r="CT1699" s="1102"/>
      <c r="CU1699" s="1103"/>
      <c r="CV1699" s="1099"/>
      <c r="CW1699" s="1099"/>
      <c r="CX1699" s="1823">
        <v>6.3526818615542044</v>
      </c>
      <c r="CY1699" s="1099"/>
      <c r="CZ1699" s="1102"/>
      <c r="DA1699" s="1103"/>
      <c r="DB1699" s="1099"/>
    </row>
    <row r="1700" spans="87:106">
      <c r="CI1700" s="888">
        <v>926</v>
      </c>
      <c r="CJ1700" s="4" t="s">
        <v>2187</v>
      </c>
      <c r="CL1700" s="1826">
        <v>-9.7729739465535204</v>
      </c>
      <c r="CN1700" s="1102"/>
      <c r="CO1700" s="1103"/>
      <c r="CR1700" s="1823" t="s">
        <v>1218</v>
      </c>
      <c r="CT1700" s="1102"/>
      <c r="CU1700" s="1103"/>
      <c r="CV1700" s="1099"/>
      <c r="CW1700" s="1099"/>
      <c r="CX1700" s="1823">
        <v>38.881659339863411</v>
      </c>
      <c r="CY1700" s="1099"/>
      <c r="CZ1700" s="1102"/>
      <c r="DA1700" s="1103"/>
      <c r="DB1700" s="1099"/>
    </row>
    <row r="1701" spans="87:106">
      <c r="CI1701" s="888">
        <v>926</v>
      </c>
      <c r="CJ1701" s="4" t="s">
        <v>2188</v>
      </c>
      <c r="CL1701" s="1826">
        <v>-9.3526188910805548</v>
      </c>
      <c r="CN1701" s="1102"/>
      <c r="CO1701" s="1103"/>
      <c r="CR1701" s="1823">
        <v>1.1129798812693847</v>
      </c>
      <c r="CT1701" s="1102"/>
      <c r="CU1701" s="1103"/>
      <c r="CV1701" s="1099"/>
      <c r="CW1701" s="1099"/>
      <c r="CX1701" s="1823">
        <v>8.7407793990445715</v>
      </c>
      <c r="CY1701" s="1099"/>
      <c r="CZ1701" s="1102"/>
      <c r="DA1701" s="1103"/>
      <c r="DB1701" s="1099"/>
    </row>
    <row r="1702" spans="87:106">
      <c r="CI1702" s="888">
        <v>926</v>
      </c>
      <c r="CJ1702" s="4" t="s">
        <v>2189</v>
      </c>
      <c r="CL1702" s="1826">
        <v>-3.5267601890111142</v>
      </c>
      <c r="CN1702" s="864"/>
      <c r="CO1702" s="1103"/>
      <c r="CR1702" s="1823">
        <v>-2.4439126011500081</v>
      </c>
      <c r="CT1702" s="864"/>
      <c r="CU1702" s="1103"/>
      <c r="CV1702" s="1099"/>
      <c r="CW1702" s="1099"/>
      <c r="CX1702" s="1823">
        <v>-3.8570788801675793</v>
      </c>
      <c r="CY1702" s="1099"/>
      <c r="CZ1702" s="864"/>
      <c r="DA1702" s="1103"/>
      <c r="DB1702" s="1099"/>
    </row>
    <row r="1703" spans="87:106">
      <c r="CI1703" s="888">
        <v>926</v>
      </c>
      <c r="CJ1703" s="4" t="s">
        <v>2190</v>
      </c>
      <c r="CL1703" s="1826">
        <v>-4.7475260669253325</v>
      </c>
      <c r="CN1703" s="864"/>
      <c r="CO1703" s="1103"/>
      <c r="CR1703" s="1823">
        <v>-1.9862748089345925</v>
      </c>
      <c r="CT1703" s="864"/>
      <c r="CU1703" s="1103"/>
      <c r="CV1703" s="1099"/>
      <c r="CW1703" s="1099"/>
      <c r="CX1703" s="1823">
        <v>-1.6157303416386046</v>
      </c>
      <c r="CY1703" s="1099"/>
      <c r="CZ1703" s="864"/>
      <c r="DA1703" s="1103"/>
      <c r="DB1703" s="1099"/>
    </row>
    <row r="1704" spans="87:106">
      <c r="CI1704" s="888">
        <v>926</v>
      </c>
      <c r="CJ1704" s="4" t="s">
        <v>2191</v>
      </c>
      <c r="CL1704" s="1826">
        <v>1.0884250482233266</v>
      </c>
      <c r="CN1704" s="864"/>
      <c r="CO1704" s="1103"/>
      <c r="CR1704" s="1823">
        <v>-0.60008235701832102</v>
      </c>
      <c r="CT1704" s="864"/>
      <c r="CU1704" s="1103"/>
      <c r="CV1704" s="1099"/>
      <c r="CW1704" s="1099"/>
      <c r="CX1704" s="1823">
        <v>6.051397533249947</v>
      </c>
      <c r="CY1704" s="1099"/>
      <c r="CZ1704" s="864"/>
      <c r="DA1704" s="1103"/>
      <c r="DB1704" s="1099"/>
    </row>
    <row r="1705" spans="87:106">
      <c r="CI1705" s="888">
        <v>926</v>
      </c>
      <c r="CJ1705" s="4" t="s">
        <v>2192</v>
      </c>
      <c r="CL1705" s="1826">
        <v>3.0850125479292578</v>
      </c>
      <c r="CN1705" s="864"/>
      <c r="CO1705" s="1103"/>
      <c r="CR1705" s="1823">
        <v>-3.2384059133725973</v>
      </c>
      <c r="CT1705" s="864"/>
      <c r="CU1705" s="1103"/>
      <c r="CV1705" s="1099"/>
      <c r="CW1705" s="1099"/>
      <c r="CX1705" s="1823">
        <v>3.1800349041484992</v>
      </c>
      <c r="CY1705" s="1099"/>
      <c r="CZ1705" s="864"/>
      <c r="DA1705" s="1103"/>
      <c r="DB1705" s="1099"/>
    </row>
    <row r="1706" spans="87:106">
      <c r="CI1706" s="888">
        <v>926</v>
      </c>
      <c r="CJ1706" s="1091" t="s">
        <v>2193</v>
      </c>
      <c r="CL1706" s="1826">
        <v>-18.976922426874815</v>
      </c>
      <c r="CN1706" s="1104"/>
      <c r="CO1706" s="1105"/>
      <c r="CR1706" s="1824">
        <v>-2.9000990389577908</v>
      </c>
      <c r="CT1706" s="1104"/>
      <c r="CU1706" s="1105"/>
      <c r="CV1706" s="1100"/>
      <c r="CW1706" s="1100"/>
      <c r="CX1706" s="1824">
        <v>-3.2220081705123675</v>
      </c>
      <c r="CY1706" s="1100"/>
      <c r="CZ1706" s="1104"/>
      <c r="DA1706" s="1105"/>
      <c r="DB1706" s="1100"/>
    </row>
    <row r="1707" spans="87:106">
      <c r="CI1707" s="888">
        <v>466</v>
      </c>
      <c r="CJ1707" s="4" t="s">
        <v>2194</v>
      </c>
      <c r="CL1707" s="1826"/>
      <c r="CN1707" s="1099">
        <v>-0.12759813156567157</v>
      </c>
      <c r="CO1707" s="1106">
        <v>0.63</v>
      </c>
      <c r="CR1707" s="1822"/>
      <c r="CT1707" s="1102">
        <v>-4.326776205708228</v>
      </c>
      <c r="CU1707" s="1106">
        <v>0.06</v>
      </c>
      <c r="CV1707" s="863"/>
      <c r="CW1707" s="863"/>
      <c r="CX1707" s="1822" t="e">
        <v>#N/A</v>
      </c>
      <c r="CY1707" s="863"/>
      <c r="CZ1707" s="1099">
        <v>0.57887898717541919</v>
      </c>
      <c r="DA1707" s="1106">
        <v>0.81</v>
      </c>
      <c r="DB1707" s="863"/>
    </row>
    <row r="1708" spans="87:106">
      <c r="CI1708" s="888">
        <v>466</v>
      </c>
      <c r="CJ1708" s="4"/>
      <c r="CL1708" s="1826"/>
      <c r="CN1708" s="1102"/>
      <c r="CO1708" s="1103"/>
      <c r="CR1708" s="1822"/>
      <c r="CT1708" s="1102"/>
      <c r="CU1708" s="1103"/>
      <c r="CV1708" s="863"/>
      <c r="CW1708" s="863"/>
      <c r="CX1708" s="1822" t="e">
        <v>#N/A</v>
      </c>
      <c r="CY1708" s="863"/>
      <c r="CZ1708" s="1102"/>
      <c r="DA1708" s="1103"/>
      <c r="DB1708" s="863"/>
    </row>
    <row r="1709" spans="87:106">
      <c r="CI1709" s="888">
        <v>466</v>
      </c>
      <c r="CJ1709" s="4"/>
      <c r="CL1709" s="1826"/>
      <c r="CN1709" s="1102"/>
      <c r="CO1709" s="1103"/>
      <c r="CR1709" s="1822"/>
      <c r="CT1709" s="1102"/>
      <c r="CU1709" s="1103"/>
      <c r="CV1709" s="863"/>
      <c r="CW1709" s="863"/>
      <c r="CX1709" s="1822" t="e">
        <v>#N/A</v>
      </c>
      <c r="CY1709" s="863"/>
      <c r="CZ1709" s="1102"/>
      <c r="DA1709" s="1103"/>
      <c r="DB1709" s="863"/>
    </row>
    <row r="1710" spans="87:106">
      <c r="CI1710" s="888">
        <v>466</v>
      </c>
      <c r="CJ1710" s="4"/>
      <c r="CL1710" s="1826"/>
      <c r="CN1710" s="1102"/>
      <c r="CO1710" s="1103"/>
      <c r="CR1710" s="1825"/>
      <c r="CT1710" s="1102"/>
      <c r="CU1710" s="1103"/>
      <c r="CV1710" s="1099"/>
      <c r="CW1710" s="1099"/>
      <c r="CX1710" s="1825" t="e">
        <v>#N/A</v>
      </c>
      <c r="CY1710" s="1099"/>
      <c r="CZ1710" s="1102"/>
      <c r="DA1710" s="1103"/>
      <c r="DB1710" s="1099"/>
    </row>
    <row r="1711" spans="87:106">
      <c r="CI1711" s="888">
        <v>466</v>
      </c>
      <c r="CJ1711" s="4" t="s">
        <v>2528</v>
      </c>
      <c r="CL1711" s="1826">
        <v>-2.0901029157988775</v>
      </c>
      <c r="CN1711" s="1102"/>
      <c r="CO1711" s="1103"/>
      <c r="CR1711" s="1823">
        <v>6.5524673693903033</v>
      </c>
      <c r="CT1711" s="1102"/>
      <c r="CU1711" s="1103"/>
      <c r="CV1711" s="1099"/>
      <c r="CW1711" s="1099"/>
      <c r="CX1711" s="1823">
        <v>0.57887898717541919</v>
      </c>
      <c r="CY1711" s="1099"/>
      <c r="CZ1711" s="1102"/>
      <c r="DA1711" s="1103"/>
      <c r="DB1711" s="1099"/>
    </row>
    <row r="1712" spans="87:106">
      <c r="CI1712" s="888">
        <v>466</v>
      </c>
      <c r="CJ1712" s="4" t="s">
        <v>2396</v>
      </c>
      <c r="CL1712" s="1826">
        <v>-0.12759813156567157</v>
      </c>
      <c r="CN1712" s="1102"/>
      <c r="CO1712" s="1103"/>
      <c r="CR1712" s="1823">
        <v>-2.7255728777892796</v>
      </c>
      <c r="CT1712" s="1102"/>
      <c r="CU1712" s="1103"/>
      <c r="CV1712" s="1099"/>
      <c r="CW1712" s="1099"/>
      <c r="CX1712" s="1823">
        <v>-9.9536335287619924</v>
      </c>
      <c r="CY1712" s="1099"/>
      <c r="CZ1712" s="1102"/>
      <c r="DA1712" s="1103"/>
      <c r="DB1712" s="1099"/>
    </row>
    <row r="1713" spans="87:106">
      <c r="CI1713" s="888">
        <v>466</v>
      </c>
      <c r="CJ1713" s="4" t="s">
        <v>2195</v>
      </c>
      <c r="CL1713" s="1826">
        <v>-0.42988143162959025</v>
      </c>
      <c r="CN1713" s="1102"/>
      <c r="CO1713" s="1103"/>
      <c r="CR1713" s="1823">
        <v>-9.6740473146393722</v>
      </c>
      <c r="CT1713" s="1102"/>
      <c r="CU1713" s="1103"/>
      <c r="CV1713" s="1099"/>
      <c r="CW1713" s="1099"/>
      <c r="CX1713" s="1823">
        <v>-11.308965266746355</v>
      </c>
      <c r="CY1713" s="1099"/>
      <c r="CZ1713" s="1102"/>
      <c r="DA1713" s="1103"/>
      <c r="DB1713" s="1099"/>
    </row>
    <row r="1714" spans="87:106">
      <c r="CI1714" s="888">
        <v>466</v>
      </c>
      <c r="CJ1714" s="4" t="s">
        <v>2196</v>
      </c>
      <c r="CL1714" s="1826">
        <v>0.97056031924013508</v>
      </c>
      <c r="CN1714" s="1102"/>
      <c r="CO1714" s="1103"/>
      <c r="CR1714" s="1823">
        <v>-5.3936274266849518</v>
      </c>
      <c r="CT1714" s="1102"/>
      <c r="CU1714" s="1103"/>
      <c r="CV1714" s="1099"/>
      <c r="CW1714" s="1099"/>
      <c r="CX1714" s="1823">
        <v>-1.0529271636955602</v>
      </c>
      <c r="CY1714" s="1099"/>
      <c r="CZ1714" s="1102"/>
      <c r="DA1714" s="1103"/>
      <c r="DB1714" s="1099"/>
    </row>
    <row r="1715" spans="87:106">
      <c r="CI1715" s="888">
        <v>466</v>
      </c>
      <c r="CJ1715" s="4" t="s">
        <v>2197</v>
      </c>
      <c r="CL1715" s="1826">
        <v>2.368748851716902</v>
      </c>
      <c r="CN1715" s="864"/>
      <c r="CO1715" s="1103"/>
      <c r="CR1715" s="1823">
        <v>0.29504259642569153</v>
      </c>
      <c r="CT1715" s="864"/>
      <c r="CU1715" s="1103"/>
      <c r="CV1715" s="1099"/>
      <c r="CW1715" s="1099"/>
      <c r="CX1715" s="1823">
        <v>3.440686787155145</v>
      </c>
      <c r="CY1715" s="1099"/>
      <c r="CZ1715" s="864"/>
      <c r="DA1715" s="1103"/>
      <c r="DB1715" s="1099"/>
    </row>
    <row r="1716" spans="87:106">
      <c r="CI1716" s="888">
        <v>466</v>
      </c>
      <c r="CJ1716" s="4" t="s">
        <v>2198</v>
      </c>
      <c r="CL1716" s="1826">
        <v>0.6092230425427374</v>
      </c>
      <c r="CN1716" s="864"/>
      <c r="CO1716" s="1103"/>
      <c r="CR1716" s="1823">
        <v>0.99583234171317514</v>
      </c>
      <c r="CT1716" s="864"/>
      <c r="CU1716" s="1103"/>
      <c r="CV1716" s="1099"/>
      <c r="CW1716" s="1099"/>
      <c r="CX1716" s="1823">
        <v>3.7146096946270846</v>
      </c>
      <c r="CY1716" s="1099"/>
      <c r="CZ1716" s="864"/>
      <c r="DA1716" s="1103"/>
      <c r="DB1716" s="1099"/>
    </row>
    <row r="1717" spans="87:106">
      <c r="CI1717" s="888">
        <v>466</v>
      </c>
      <c r="CJ1717" s="4" t="s">
        <v>2199</v>
      </c>
      <c r="CL1717" s="1826">
        <v>2.1036257185830154</v>
      </c>
      <c r="CN1717" s="864"/>
      <c r="CO1717" s="1103"/>
      <c r="CR1717" s="1823">
        <v>-4.326776205708228</v>
      </c>
      <c r="CT1717" s="864"/>
      <c r="CU1717" s="1103"/>
      <c r="CV1717" s="1099"/>
      <c r="CW1717" s="1099"/>
      <c r="CX1717" s="1823">
        <v>10.299055674943727</v>
      </c>
      <c r="CY1717" s="1099"/>
      <c r="CZ1717" s="864"/>
      <c r="DA1717" s="1103"/>
      <c r="DB1717" s="1099"/>
    </row>
    <row r="1718" spans="87:106">
      <c r="CI1718" s="888">
        <v>466</v>
      </c>
      <c r="CJ1718" s="4" t="s">
        <v>2200</v>
      </c>
      <c r="CL1718" s="1826">
        <v>-0.6732078888175973</v>
      </c>
      <c r="CN1718" s="864"/>
      <c r="CO1718" s="1103"/>
      <c r="CR1718" s="1823">
        <v>-4.9831961079893716</v>
      </c>
      <c r="CT1718" s="864"/>
      <c r="CU1718" s="1103"/>
      <c r="CV1718" s="1099"/>
      <c r="CW1718" s="1099"/>
      <c r="CX1718" s="1823">
        <v>1.3722817570543455</v>
      </c>
      <c r="CY1718" s="1099"/>
      <c r="CZ1718" s="864"/>
      <c r="DA1718" s="1103"/>
      <c r="DB1718" s="1099"/>
    </row>
    <row r="1719" spans="87:106">
      <c r="CI1719" s="888">
        <v>466</v>
      </c>
      <c r="CJ1719" s="1091" t="s">
        <v>2201</v>
      </c>
      <c r="CL1719" s="1826">
        <v>-9.5095067848882415</v>
      </c>
      <c r="CN1719" s="1104"/>
      <c r="CO1719" s="1105"/>
      <c r="CR1719" s="1824">
        <v>-34.709595009442005</v>
      </c>
      <c r="CT1719" s="1104"/>
      <c r="CU1719" s="1105"/>
      <c r="CV1719" s="1100"/>
      <c r="CW1719" s="1100"/>
      <c r="CX1719" s="1824">
        <v>-12.803996942235655</v>
      </c>
      <c r="CY1719" s="1100"/>
      <c r="CZ1719" s="1104"/>
      <c r="DA1719" s="1105"/>
      <c r="DB1719" s="1100"/>
    </row>
    <row r="1720" spans="87:106">
      <c r="CI1720" s="888">
        <v>112</v>
      </c>
      <c r="CJ1720" s="4" t="s">
        <v>2202</v>
      </c>
      <c r="CL1720" s="1826"/>
      <c r="CN1720" s="1099">
        <v>-0.3925092580153553</v>
      </c>
      <c r="CO1720" s="1106">
        <v>0.47</v>
      </c>
      <c r="CR1720" s="1822"/>
      <c r="CT1720" s="1102">
        <v>-5.711391049588399E-2</v>
      </c>
      <c r="CU1720" s="1106">
        <v>0.66</v>
      </c>
      <c r="CV1720" s="863"/>
      <c r="CW1720" s="863"/>
      <c r="CX1720" s="1822" t="e">
        <v>#N/A</v>
      </c>
      <c r="CY1720" s="863"/>
      <c r="CZ1720" s="1099">
        <v>-0.37113404936387306</v>
      </c>
      <c r="DA1720" s="1106">
        <v>0.5</v>
      </c>
      <c r="DB1720" s="863"/>
    </row>
    <row r="1721" spans="87:106">
      <c r="CI1721" s="888">
        <v>112</v>
      </c>
      <c r="CJ1721" s="4"/>
      <c r="CL1721" s="1826"/>
      <c r="CN1721" s="1102"/>
      <c r="CO1721" s="1103"/>
      <c r="CR1721" s="1822"/>
      <c r="CT1721" s="1102"/>
      <c r="CU1721" s="1103"/>
      <c r="CV1721" s="863"/>
      <c r="CW1721" s="863"/>
      <c r="CX1721" s="1822" t="e">
        <v>#N/A</v>
      </c>
      <c r="CY1721" s="863"/>
      <c r="CZ1721" s="1102"/>
      <c r="DA1721" s="1103"/>
      <c r="DB1721" s="863"/>
    </row>
    <row r="1722" spans="87:106">
      <c r="CI1722" s="888">
        <v>112</v>
      </c>
      <c r="CJ1722" s="4"/>
      <c r="CL1722" s="1826"/>
      <c r="CN1722" s="1102"/>
      <c r="CO1722" s="1103"/>
      <c r="CR1722" s="1822"/>
      <c r="CT1722" s="1102"/>
      <c r="CU1722" s="1103"/>
      <c r="CV1722" s="863"/>
      <c r="CW1722" s="863"/>
      <c r="CX1722" s="1822" t="e">
        <v>#N/A</v>
      </c>
      <c r="CY1722" s="863"/>
      <c r="CZ1722" s="1102"/>
      <c r="DA1722" s="1103"/>
      <c r="DB1722" s="863"/>
    </row>
    <row r="1723" spans="87:106">
      <c r="CI1723" s="888">
        <v>112</v>
      </c>
      <c r="CJ1723" s="4"/>
      <c r="CL1723" s="1826"/>
      <c r="CN1723" s="1102"/>
      <c r="CO1723" s="1103"/>
      <c r="CR1723" s="1825"/>
      <c r="CT1723" s="1102"/>
      <c r="CU1723" s="1103"/>
      <c r="CV1723" s="1099"/>
      <c r="CW1723" s="1099"/>
      <c r="CX1723" s="1825" t="e">
        <v>#N/A</v>
      </c>
      <c r="CY1723" s="1099"/>
      <c r="CZ1723" s="1102"/>
      <c r="DA1723" s="1103"/>
      <c r="DB1723" s="1099"/>
    </row>
    <row r="1724" spans="87:106">
      <c r="CI1724" s="888">
        <v>112</v>
      </c>
      <c r="CJ1724" s="4" t="s">
        <v>2529</v>
      </c>
      <c r="CL1724" s="1826">
        <v>-0.4373196419978842</v>
      </c>
      <c r="CN1724" s="1102"/>
      <c r="CO1724" s="1103"/>
      <c r="CR1724" s="1823">
        <v>-5.711391049588399E-2</v>
      </c>
      <c r="CT1724" s="1102"/>
      <c r="CU1724" s="1103"/>
      <c r="CV1724" s="1099"/>
      <c r="CW1724" s="1099"/>
      <c r="CX1724" s="1823">
        <v>0.12663083062366831</v>
      </c>
      <c r="CY1724" s="1099"/>
      <c r="CZ1724" s="1102"/>
      <c r="DA1724" s="1103"/>
      <c r="DB1724" s="1099"/>
    </row>
    <row r="1725" spans="87:106">
      <c r="CI1725" s="888">
        <v>112</v>
      </c>
      <c r="CJ1725" s="4" t="s">
        <v>2397</v>
      </c>
      <c r="CL1725" s="1826">
        <v>-0.3925092580153553</v>
      </c>
      <c r="CN1725" s="1102"/>
      <c r="CO1725" s="1103"/>
      <c r="CR1725" s="1823">
        <v>-1.46125367777723E-2</v>
      </c>
      <c r="CT1725" s="1102"/>
      <c r="CU1725" s="1103"/>
      <c r="CV1725" s="1099"/>
      <c r="CW1725" s="1099"/>
      <c r="CX1725" s="1823">
        <v>0.64801725305889479</v>
      </c>
      <c r="CY1725" s="1099"/>
      <c r="CZ1725" s="1102"/>
      <c r="DA1725" s="1103"/>
      <c r="DB1725" s="1099"/>
    </row>
    <row r="1726" spans="87:106">
      <c r="CI1726" s="888">
        <v>112</v>
      </c>
      <c r="CJ1726" s="4" t="s">
        <v>2203</v>
      </c>
      <c r="CL1726" s="1826">
        <v>-0.26842668995754648</v>
      </c>
      <c r="CN1726" s="1102"/>
      <c r="CO1726" s="1103"/>
      <c r="CR1726" s="1823">
        <v>-0.95551451004101096</v>
      </c>
      <c r="CT1726" s="1102"/>
      <c r="CU1726" s="1103"/>
      <c r="CV1726" s="1099"/>
      <c r="CW1726" s="1099"/>
      <c r="CX1726" s="1823">
        <v>-1.1866707650235813</v>
      </c>
      <c r="CY1726" s="1099"/>
      <c r="CZ1726" s="1102"/>
      <c r="DA1726" s="1103"/>
      <c r="DB1726" s="1099"/>
    </row>
    <row r="1727" spans="87:106">
      <c r="CI1727" s="888">
        <v>112</v>
      </c>
      <c r="CJ1727" s="4" t="s">
        <v>2204</v>
      </c>
      <c r="CL1727" s="1826">
        <v>1.3140724214423616</v>
      </c>
      <c r="CN1727" s="1102"/>
      <c r="CO1727" s="1103"/>
      <c r="CR1727" s="1823">
        <v>0.56774611416331888</v>
      </c>
      <c r="CT1727" s="1102"/>
      <c r="CU1727" s="1103"/>
      <c r="CV1727" s="1099"/>
      <c r="CW1727" s="1099"/>
      <c r="CX1727" s="1823">
        <v>-0.37113404936387306</v>
      </c>
      <c r="CY1727" s="1099"/>
      <c r="CZ1727" s="1102"/>
      <c r="DA1727" s="1103"/>
      <c r="DB1727" s="1099"/>
    </row>
    <row r="1728" spans="87:106">
      <c r="CI1728" s="888">
        <v>112</v>
      </c>
      <c r="CJ1728" s="4" t="s">
        <v>2205</v>
      </c>
      <c r="CL1728" s="1826">
        <v>-0.36870030178454405</v>
      </c>
      <c r="CN1728" s="864"/>
      <c r="CO1728" s="1103"/>
      <c r="CR1728" s="1823">
        <v>-0.36184121472130482</v>
      </c>
      <c r="CT1728" s="864"/>
      <c r="CU1728" s="1103"/>
      <c r="CV1728" s="1099"/>
      <c r="CW1728" s="1099"/>
      <c r="CX1728" s="1823">
        <v>-0.9628831862645737</v>
      </c>
      <c r="CY1728" s="1099"/>
      <c r="CZ1728" s="864"/>
      <c r="DA1728" s="1103"/>
      <c r="DB1728" s="1099"/>
    </row>
    <row r="1729" spans="87:106">
      <c r="CI1729" s="888">
        <v>112</v>
      </c>
      <c r="CJ1729" s="4" t="s">
        <v>2206</v>
      </c>
      <c r="CL1729" s="1826">
        <v>-2.0783591846009184</v>
      </c>
      <c r="CN1729" s="864"/>
      <c r="CO1729" s="1103"/>
      <c r="CR1729" s="1823">
        <v>-1.7179219368772345</v>
      </c>
      <c r="CT1729" s="864"/>
      <c r="CU1729" s="1103"/>
      <c r="CV1729" s="1099"/>
      <c r="CW1729" s="1099"/>
      <c r="CX1729" s="1823">
        <v>-0.97674708898858653</v>
      </c>
      <c r="CY1729" s="1099"/>
      <c r="CZ1729" s="864"/>
      <c r="DA1729" s="1103"/>
      <c r="DB1729" s="1099"/>
    </row>
    <row r="1730" spans="87:106">
      <c r="CI1730" s="888">
        <v>112</v>
      </c>
      <c r="CJ1730" s="4" t="s">
        <v>2207</v>
      </c>
      <c r="CL1730" s="1826">
        <v>-1.5894028017902007</v>
      </c>
      <c r="CN1730" s="864"/>
      <c r="CO1730" s="1103"/>
      <c r="CR1730" s="1823">
        <v>1.4902777215659304</v>
      </c>
      <c r="CT1730" s="864"/>
      <c r="CU1730" s="1103"/>
      <c r="CV1730" s="1099"/>
      <c r="CW1730" s="1099"/>
      <c r="CX1730" s="1823">
        <v>0.72806066909076916</v>
      </c>
      <c r="CY1730" s="1099"/>
      <c r="CZ1730" s="864"/>
      <c r="DA1730" s="1103"/>
      <c r="DB1730" s="1099"/>
    </row>
    <row r="1731" spans="87:106">
      <c r="CI1731" s="888">
        <v>112</v>
      </c>
      <c r="CJ1731" s="4" t="s">
        <v>2208</v>
      </c>
      <c r="CL1731" s="1826">
        <v>2.4880221774503939</v>
      </c>
      <c r="CN1731" s="864"/>
      <c r="CO1731" s="1103"/>
      <c r="CR1731" s="1823">
        <v>1.2077047065834856</v>
      </c>
      <c r="CT1731" s="864"/>
      <c r="CU1731" s="1103"/>
      <c r="CV1731" s="1099"/>
      <c r="CW1731" s="1099"/>
      <c r="CX1731" s="1823">
        <v>0.99194360862549891</v>
      </c>
      <c r="CY1731" s="1099"/>
      <c r="CZ1731" s="864"/>
      <c r="DA1731" s="1103"/>
      <c r="DB1731" s="1099"/>
    </row>
    <row r="1732" spans="87:106">
      <c r="CI1732" s="888">
        <v>112</v>
      </c>
      <c r="CJ1732" s="1091" t="s">
        <v>2209</v>
      </c>
      <c r="CL1732" s="1826">
        <v>-6.4847450030448517</v>
      </c>
      <c r="CN1732" s="1104"/>
      <c r="CO1732" s="1105"/>
      <c r="CR1732" s="1824">
        <v>-6.825992428876769</v>
      </c>
      <c r="CT1732" s="1104"/>
      <c r="CU1732" s="1105"/>
      <c r="CV1732" s="1100"/>
      <c r="CW1732" s="1100"/>
      <c r="CX1732" s="1824">
        <v>-1.856207054093727</v>
      </c>
      <c r="CY1732" s="1100"/>
      <c r="CZ1732" s="1104"/>
      <c r="DA1732" s="1105"/>
      <c r="DB1732" s="1100"/>
    </row>
    <row r="1733" spans="87:106">
      <c r="CI1733" s="888">
        <v>111</v>
      </c>
      <c r="CJ1733" s="4" t="s">
        <v>2210</v>
      </c>
      <c r="CL1733" s="1826"/>
      <c r="CN1733" s="1099">
        <v>-0.35711891662765272</v>
      </c>
      <c r="CO1733" s="1106">
        <v>0.49</v>
      </c>
      <c r="CR1733" s="1822"/>
      <c r="CT1733" s="1102">
        <v>-0.37552456334178097</v>
      </c>
      <c r="CU1733" s="1106">
        <v>0.56000000000000005</v>
      </c>
      <c r="CV1733" s="863"/>
      <c r="CW1733" s="863"/>
      <c r="CX1733" s="1822" t="e">
        <v>#N/A</v>
      </c>
      <c r="CY1733" s="863"/>
      <c r="CZ1733" s="1099">
        <v>-2.1009888839483848E-2</v>
      </c>
      <c r="DA1733" s="1106">
        <v>0.69</v>
      </c>
      <c r="DB1733" s="863"/>
    </row>
    <row r="1734" spans="87:106">
      <c r="CI1734" s="888">
        <v>111</v>
      </c>
      <c r="CJ1734" s="4"/>
      <c r="CL1734" s="1826"/>
      <c r="CN1734" s="1102"/>
      <c r="CO1734" s="1103"/>
      <c r="CR1734" s="1822"/>
      <c r="CT1734" s="1102"/>
      <c r="CU1734" s="1103"/>
      <c r="CV1734" s="863"/>
      <c r="CW1734" s="863"/>
      <c r="CX1734" s="1822" t="e">
        <v>#N/A</v>
      </c>
      <c r="CY1734" s="863"/>
      <c r="CZ1734" s="1102"/>
      <c r="DA1734" s="1103"/>
      <c r="DB1734" s="863"/>
    </row>
    <row r="1735" spans="87:106">
      <c r="CI1735" s="888">
        <v>111</v>
      </c>
      <c r="CJ1735" s="4"/>
      <c r="CL1735" s="1826"/>
      <c r="CN1735" s="1102"/>
      <c r="CO1735" s="1103"/>
      <c r="CR1735" s="1822"/>
      <c r="CT1735" s="1102"/>
      <c r="CU1735" s="1103"/>
      <c r="CV1735" s="863"/>
      <c r="CW1735" s="863"/>
      <c r="CX1735" s="1822" t="e">
        <v>#N/A</v>
      </c>
      <c r="CY1735" s="863"/>
      <c r="CZ1735" s="1102"/>
      <c r="DA1735" s="1103"/>
      <c r="DB1735" s="863"/>
    </row>
    <row r="1736" spans="87:106">
      <c r="CI1736" s="888">
        <v>111</v>
      </c>
      <c r="CJ1736" s="4"/>
      <c r="CL1736" s="1826"/>
      <c r="CN1736" s="1102"/>
      <c r="CO1736" s="1103"/>
      <c r="CR1736" s="1825"/>
      <c r="CT1736" s="1102"/>
      <c r="CU1736" s="1103"/>
      <c r="CV1736" s="1099"/>
      <c r="CW1736" s="1099"/>
      <c r="CX1736" s="1825" t="e">
        <v>#N/A</v>
      </c>
      <c r="CY1736" s="1099"/>
      <c r="CZ1736" s="1102"/>
      <c r="DA1736" s="1103"/>
      <c r="DB1736" s="1099"/>
    </row>
    <row r="1737" spans="87:106">
      <c r="CI1737" s="888">
        <v>111</v>
      </c>
      <c r="CJ1737" s="4" t="s">
        <v>2530</v>
      </c>
      <c r="CL1737" s="1826">
        <v>-0.22847532098892165</v>
      </c>
      <c r="CN1737" s="1102"/>
      <c r="CO1737" s="1103"/>
      <c r="CR1737" s="1823">
        <v>-0.87245675631540198</v>
      </c>
      <c r="CT1737" s="1102"/>
      <c r="CU1737" s="1103"/>
      <c r="CV1737" s="1099"/>
      <c r="CW1737" s="1099"/>
      <c r="CX1737" s="1823">
        <v>0.41909220974811623</v>
      </c>
      <c r="CY1737" s="1099"/>
      <c r="CZ1737" s="1102"/>
      <c r="DA1737" s="1103"/>
      <c r="DB1737" s="1099"/>
    </row>
    <row r="1738" spans="87:106">
      <c r="CI1738" s="888">
        <v>111</v>
      </c>
      <c r="CJ1738" s="4" t="s">
        <v>2398</v>
      </c>
      <c r="CL1738" s="1826">
        <v>-1.575220830194384</v>
      </c>
      <c r="CN1738" s="1102"/>
      <c r="CO1738" s="1103"/>
      <c r="CR1738" s="1823">
        <v>-0.37552456334178097</v>
      </c>
      <c r="CT1738" s="1102"/>
      <c r="CU1738" s="1103"/>
      <c r="CV1738" s="1099"/>
      <c r="CW1738" s="1099"/>
      <c r="CX1738" s="1823">
        <v>-0.22204935799863601</v>
      </c>
      <c r="CY1738" s="1099"/>
      <c r="CZ1738" s="1102"/>
      <c r="DA1738" s="1103"/>
      <c r="DB1738" s="1099"/>
    </row>
    <row r="1739" spans="87:106">
      <c r="CI1739" s="888">
        <v>111</v>
      </c>
      <c r="CJ1739" s="4" t="s">
        <v>2211</v>
      </c>
      <c r="CL1739" s="1826">
        <v>-0.35711891662765272</v>
      </c>
      <c r="CN1739" s="1102"/>
      <c r="CO1739" s="1103"/>
      <c r="CR1739" s="1823">
        <v>0.79595817747604691</v>
      </c>
      <c r="CT1739" s="1102"/>
      <c r="CU1739" s="1103"/>
      <c r="CV1739" s="1099"/>
      <c r="CW1739" s="1099"/>
      <c r="CX1739" s="1823">
        <v>-0.69596910111663912</v>
      </c>
      <c r="CY1739" s="1099"/>
      <c r="CZ1739" s="1102"/>
      <c r="DA1739" s="1103"/>
      <c r="DB1739" s="1099"/>
    </row>
    <row r="1740" spans="87:106">
      <c r="CI1740" s="888">
        <v>111</v>
      </c>
      <c r="CJ1740" s="4" t="s">
        <v>2212</v>
      </c>
      <c r="CL1740" s="1826">
        <v>-0.52228919820778685</v>
      </c>
      <c r="CN1740" s="1102"/>
      <c r="CO1740" s="1103"/>
      <c r="CR1740" s="1823">
        <v>1.2649216883150998</v>
      </c>
      <c r="CT1740" s="1102"/>
      <c r="CU1740" s="1103"/>
      <c r="CV1740" s="1099"/>
      <c r="CW1740" s="1099"/>
      <c r="CX1740" s="1823">
        <v>-0.34480665340431504</v>
      </c>
      <c r="CY1740" s="1099"/>
      <c r="CZ1740" s="1102"/>
      <c r="DA1740" s="1103"/>
      <c r="DB1740" s="1099"/>
    </row>
    <row r="1741" spans="87:106">
      <c r="CI1741" s="888">
        <v>111</v>
      </c>
      <c r="CJ1741" s="4" t="s">
        <v>2213</v>
      </c>
      <c r="CL1741" s="1826">
        <v>-0.15235687274661336</v>
      </c>
      <c r="CN1741" s="864"/>
      <c r="CO1741" s="1103"/>
      <c r="CR1741" s="1823">
        <v>0.73442998501667045</v>
      </c>
      <c r="CT1741" s="864"/>
      <c r="CU1741" s="1103"/>
      <c r="CV1741" s="1099"/>
      <c r="CW1741" s="1099"/>
      <c r="CX1741" s="1823">
        <v>-2.1009888839483848E-2</v>
      </c>
      <c r="CY1741" s="1099"/>
      <c r="CZ1741" s="864"/>
      <c r="DA1741" s="1103"/>
      <c r="DB1741" s="1099"/>
    </row>
    <row r="1742" spans="87:106">
      <c r="CI1742" s="888">
        <v>111</v>
      </c>
      <c r="CJ1742" s="4" t="s">
        <v>2214</v>
      </c>
      <c r="CL1742" s="1826">
        <v>-9.3081959172222284E-2</v>
      </c>
      <c r="CN1742" s="864"/>
      <c r="CO1742" s="1103"/>
      <c r="CR1742" s="1823">
        <v>-0.53594029970642598</v>
      </c>
      <c r="CT1742" s="864"/>
      <c r="CU1742" s="1103"/>
      <c r="CV1742" s="1099"/>
      <c r="CW1742" s="1099"/>
      <c r="CX1742" s="1823">
        <v>0.37028325702738263</v>
      </c>
      <c r="CY1742" s="1099"/>
      <c r="CZ1742" s="864"/>
      <c r="DA1742" s="1103"/>
      <c r="DB1742" s="1099"/>
    </row>
    <row r="1743" spans="87:106">
      <c r="CI1743" s="888">
        <v>111</v>
      </c>
      <c r="CJ1743" s="4" t="s">
        <v>2215</v>
      </c>
      <c r="CL1743" s="1826">
        <v>-0.74270070955475598</v>
      </c>
      <c r="CN1743" s="864"/>
      <c r="CO1743" s="1103"/>
      <c r="CR1743" s="1823">
        <v>-1.8475220951938773</v>
      </c>
      <c r="CT1743" s="864"/>
      <c r="CU1743" s="1103"/>
      <c r="CV1743" s="1099"/>
      <c r="CW1743" s="1099"/>
      <c r="CX1743" s="1823">
        <v>0.68110825207348191</v>
      </c>
      <c r="CY1743" s="1099"/>
      <c r="CZ1743" s="864"/>
      <c r="DA1743" s="1103"/>
      <c r="DB1743" s="1099"/>
    </row>
    <row r="1744" spans="87:106">
      <c r="CI1744" s="888">
        <v>111</v>
      </c>
      <c r="CJ1744" s="4" t="s">
        <v>2216</v>
      </c>
      <c r="CL1744" s="1826">
        <v>3.0782644707128766</v>
      </c>
      <c r="CN1744" s="864"/>
      <c r="CO1744" s="1103"/>
      <c r="CR1744" s="1823">
        <v>-0.28314460027571187</v>
      </c>
      <c r="CT1744" s="864"/>
      <c r="CU1744" s="1103"/>
      <c r="CV1744" s="1099"/>
      <c r="CW1744" s="1099"/>
      <c r="CX1744" s="1823">
        <v>0.75948885923678788</v>
      </c>
      <c r="CY1744" s="1099"/>
      <c r="CZ1744" s="864"/>
      <c r="DA1744" s="1103"/>
      <c r="DB1744" s="1099"/>
    </row>
    <row r="1745" spans="87:106">
      <c r="CI1745" s="888">
        <v>111</v>
      </c>
      <c r="CJ1745" s="1091" t="s">
        <v>2217</v>
      </c>
      <c r="CL1745" s="1826">
        <v>-3.1930602590733774</v>
      </c>
      <c r="CN1745" s="1104"/>
      <c r="CO1745" s="1105"/>
      <c r="CR1745" s="1824">
        <v>-9.155335102565779</v>
      </c>
      <c r="CT1745" s="1104"/>
      <c r="CU1745" s="1105"/>
      <c r="CV1745" s="1100"/>
      <c r="CW1745" s="1100"/>
      <c r="CX1745" s="1824">
        <v>-0.89474539231598016</v>
      </c>
      <c r="CY1745" s="1100"/>
      <c r="CZ1745" s="1104"/>
      <c r="DA1745" s="1105"/>
      <c r="DB1745" s="1100"/>
    </row>
    <row r="1746" spans="87:106">
      <c r="CI1746" s="888">
        <v>298</v>
      </c>
      <c r="CJ1746" s="4" t="s">
        <v>2218</v>
      </c>
      <c r="CL1746" s="1826"/>
      <c r="CN1746" s="1099">
        <v>-0.26468059924188037</v>
      </c>
      <c r="CO1746" s="1106">
        <v>0.51</v>
      </c>
      <c r="CR1746" s="1822"/>
      <c r="CT1746" s="1102">
        <v>-1.0507203241661354</v>
      </c>
      <c r="CU1746" s="1106">
        <v>0.33</v>
      </c>
      <c r="CV1746" s="863"/>
      <c r="CW1746" s="863"/>
      <c r="CX1746" s="1822" t="e">
        <v>#N/A</v>
      </c>
      <c r="CY1746" s="863"/>
      <c r="CZ1746" s="1099">
        <v>1.3051314399138496</v>
      </c>
      <c r="DA1746" s="1106">
        <v>0.89</v>
      </c>
      <c r="DB1746" s="863"/>
    </row>
    <row r="1747" spans="87:106">
      <c r="CI1747" s="888">
        <v>298</v>
      </c>
      <c r="CJ1747" s="4"/>
      <c r="CL1747" s="1826"/>
      <c r="CN1747" s="1102"/>
      <c r="CO1747" s="1103"/>
      <c r="CR1747" s="1822"/>
      <c r="CT1747" s="1102"/>
      <c r="CU1747" s="1103"/>
      <c r="CV1747" s="863"/>
      <c r="CW1747" s="863"/>
      <c r="CX1747" s="1822" t="e">
        <v>#N/A</v>
      </c>
      <c r="CY1747" s="863"/>
      <c r="CZ1747" s="1102"/>
      <c r="DA1747" s="1103"/>
      <c r="DB1747" s="863"/>
    </row>
    <row r="1748" spans="87:106">
      <c r="CI1748" s="888">
        <v>298</v>
      </c>
      <c r="CJ1748" s="4"/>
      <c r="CL1748" s="1826"/>
      <c r="CN1748" s="1102"/>
      <c r="CO1748" s="1103"/>
      <c r="CR1748" s="1822"/>
      <c r="CT1748" s="1102"/>
      <c r="CU1748" s="1103"/>
      <c r="CV1748" s="863"/>
      <c r="CW1748" s="863"/>
      <c r="CX1748" s="1822" t="e">
        <v>#N/A</v>
      </c>
      <c r="CY1748" s="863"/>
      <c r="CZ1748" s="1102"/>
      <c r="DA1748" s="1103"/>
      <c r="DB1748" s="863"/>
    </row>
    <row r="1749" spans="87:106">
      <c r="CI1749" s="888">
        <v>298</v>
      </c>
      <c r="CJ1749" s="4"/>
      <c r="CL1749" s="1826"/>
      <c r="CN1749" s="1102"/>
      <c r="CO1749" s="1103"/>
      <c r="CR1749" s="1825"/>
      <c r="CT1749" s="1102"/>
      <c r="CU1749" s="1103"/>
      <c r="CV1749" s="1099"/>
      <c r="CW1749" s="1099"/>
      <c r="CX1749" s="1825" t="e">
        <v>#N/A</v>
      </c>
      <c r="CY1749" s="1099"/>
      <c r="CZ1749" s="1102"/>
      <c r="DA1749" s="1103"/>
      <c r="DB1749" s="1099"/>
    </row>
    <row r="1750" spans="87:106">
      <c r="CI1750" s="888">
        <v>298</v>
      </c>
      <c r="CJ1750" s="4" t="s">
        <v>2531</v>
      </c>
      <c r="CL1750" s="1826">
        <v>0.50805456493248613</v>
      </c>
      <c r="CN1750" s="1102"/>
      <c r="CO1750" s="1103"/>
      <c r="CR1750" s="1823">
        <v>-5.3675608858301388E-2</v>
      </c>
      <c r="CT1750" s="1102"/>
      <c r="CU1750" s="1103"/>
      <c r="CV1750" s="1099"/>
      <c r="CW1750" s="1099"/>
      <c r="CX1750" s="1823">
        <v>-3.2314017395115062</v>
      </c>
      <c r="CY1750" s="1099"/>
      <c r="CZ1750" s="1102"/>
      <c r="DA1750" s="1103"/>
      <c r="DB1750" s="1099"/>
    </row>
    <row r="1751" spans="87:106">
      <c r="CI1751" s="888">
        <v>298</v>
      </c>
      <c r="CJ1751" s="4" t="s">
        <v>2399</v>
      </c>
      <c r="CL1751" s="1826">
        <v>-1.4465775802036285</v>
      </c>
      <c r="CN1751" s="1102"/>
      <c r="CO1751" s="1103"/>
      <c r="CR1751" s="1823">
        <v>-0.54976672567815033</v>
      </c>
      <c r="CT1751" s="1102"/>
      <c r="CU1751" s="1103"/>
      <c r="CV1751" s="1099"/>
      <c r="CW1751" s="1099"/>
      <c r="CX1751" s="1823">
        <v>-0.333602817351764</v>
      </c>
      <c r="CY1751" s="1099"/>
      <c r="CZ1751" s="1102"/>
      <c r="DA1751" s="1103"/>
      <c r="DB1751" s="1099"/>
    </row>
    <row r="1752" spans="87:106">
      <c r="CI1752" s="888">
        <v>298</v>
      </c>
      <c r="CJ1752" s="4" t="s">
        <v>2219</v>
      </c>
      <c r="CL1752" s="1826">
        <v>-2.0131778215349372</v>
      </c>
      <c r="CN1752" s="1102"/>
      <c r="CO1752" s="1103"/>
      <c r="CR1752" s="1823">
        <v>-0.54797419989850482</v>
      </c>
      <c r="CT1752" s="1102"/>
      <c r="CU1752" s="1103"/>
      <c r="CV1752" s="1099"/>
      <c r="CW1752" s="1099"/>
      <c r="CX1752" s="1823">
        <v>1.3604274569833734</v>
      </c>
      <c r="CY1752" s="1099"/>
      <c r="CZ1752" s="1102"/>
      <c r="DA1752" s="1103"/>
      <c r="DB1752" s="1099"/>
    </row>
    <row r="1753" spans="87:106">
      <c r="CI1753" s="888">
        <v>298</v>
      </c>
      <c r="CJ1753" s="4" t="s">
        <v>2220</v>
      </c>
      <c r="CL1753" s="1826">
        <v>-0.5015909502481235</v>
      </c>
      <c r="CN1753" s="1102"/>
      <c r="CO1753" s="1103"/>
      <c r="CR1753" s="1823">
        <v>-2.2558832458974649</v>
      </c>
      <c r="CT1753" s="1102"/>
      <c r="CU1753" s="1103"/>
      <c r="CV1753" s="1099"/>
      <c r="CW1753" s="1099"/>
      <c r="CX1753" s="1823">
        <v>3.4904734605178911</v>
      </c>
      <c r="CY1753" s="1099"/>
      <c r="CZ1753" s="1102"/>
      <c r="DA1753" s="1103"/>
      <c r="DB1753" s="1099"/>
    </row>
    <row r="1754" spans="87:106">
      <c r="CI1754" s="888">
        <v>298</v>
      </c>
      <c r="CJ1754" s="4" t="s">
        <v>2221</v>
      </c>
      <c r="CL1754" s="1826">
        <v>0.39628241448072377</v>
      </c>
      <c r="CN1754" s="864"/>
      <c r="CO1754" s="1103"/>
      <c r="CR1754" s="1823">
        <v>-1.5516739226541203</v>
      </c>
      <c r="CT1754" s="864"/>
      <c r="CU1754" s="1103"/>
      <c r="CV1754" s="1099"/>
      <c r="CW1754" s="1099"/>
      <c r="CX1754" s="1823">
        <v>1.3051314399138496</v>
      </c>
      <c r="CY1754" s="1099"/>
      <c r="CZ1754" s="864"/>
      <c r="DA1754" s="1103"/>
      <c r="DB1754" s="1099"/>
    </row>
    <row r="1755" spans="87:106">
      <c r="CI1755" s="888">
        <v>298</v>
      </c>
      <c r="CJ1755" s="4" t="s">
        <v>2222</v>
      </c>
      <c r="CL1755" s="1826">
        <v>-0.26468059924188037</v>
      </c>
      <c r="CN1755" s="864"/>
      <c r="CO1755" s="1103"/>
      <c r="CR1755" s="1823">
        <v>-2.2670978042986287</v>
      </c>
      <c r="CT1755" s="864"/>
      <c r="CU1755" s="1103"/>
      <c r="CV1755" s="1099"/>
      <c r="CW1755" s="1099"/>
      <c r="CX1755" s="1823">
        <v>2.2731320991443882</v>
      </c>
      <c r="CY1755" s="1099"/>
      <c r="CZ1755" s="864"/>
      <c r="DA1755" s="1103"/>
      <c r="DB1755" s="1099"/>
    </row>
    <row r="1756" spans="87:106">
      <c r="CI1756" s="888">
        <v>298</v>
      </c>
      <c r="CJ1756" s="4" t="s">
        <v>2223</v>
      </c>
      <c r="CL1756" s="1826">
        <v>1.7763052780260375</v>
      </c>
      <c r="CN1756" s="864"/>
      <c r="CO1756" s="1103"/>
      <c r="CR1756" s="1823" t="s">
        <v>1218</v>
      </c>
      <c r="CT1756" s="864"/>
      <c r="CU1756" s="1103"/>
      <c r="CV1756" s="1099"/>
      <c r="CW1756" s="1099"/>
      <c r="CX1756" s="1823">
        <v>2.5929656798364134</v>
      </c>
      <c r="CY1756" s="1099"/>
      <c r="CZ1756" s="864"/>
      <c r="DA1756" s="1103"/>
      <c r="DB1756" s="1099"/>
    </row>
    <row r="1757" spans="87:106">
      <c r="CI1757" s="888">
        <v>298</v>
      </c>
      <c r="CJ1757" s="4" t="s">
        <v>2224</v>
      </c>
      <c r="CL1757" s="1826">
        <v>6.8948201026910718</v>
      </c>
      <c r="CN1757" s="864"/>
      <c r="CO1757" s="1103"/>
      <c r="CR1757" s="1823">
        <v>0.25051858274255601</v>
      </c>
      <c r="CT1757" s="864"/>
      <c r="CU1757" s="1103"/>
      <c r="CV1757" s="1099"/>
      <c r="CW1757" s="1099"/>
      <c r="CX1757" s="1823">
        <v>-0.74175597264305626</v>
      </c>
      <c r="CY1757" s="1099"/>
      <c r="CZ1757" s="864"/>
      <c r="DA1757" s="1103"/>
      <c r="DB1757" s="1099"/>
    </row>
    <row r="1758" spans="87:106">
      <c r="CI1758" s="888">
        <v>298</v>
      </c>
      <c r="CJ1758" s="1091" t="s">
        <v>2225</v>
      </c>
      <c r="CL1758" s="1826">
        <v>-1.4186239791072608</v>
      </c>
      <c r="CN1758" s="1104"/>
      <c r="CO1758" s="1105"/>
      <c r="CR1758" s="1824">
        <v>-2.5893586723842774</v>
      </c>
      <c r="CT1758" s="1104"/>
      <c r="CU1758" s="1105"/>
      <c r="CV1758" s="1100"/>
      <c r="CW1758" s="1100"/>
      <c r="CX1758" s="1824">
        <v>5.6710605111476298E-3</v>
      </c>
      <c r="CY1758" s="1100"/>
      <c r="CZ1758" s="1104"/>
      <c r="DA1758" s="1105"/>
      <c r="DB1758" s="1100"/>
    </row>
    <row r="1759" spans="87:106">
      <c r="CI1759" s="888">
        <v>299</v>
      </c>
      <c r="CJ1759" s="4" t="s">
        <v>2226</v>
      </c>
      <c r="CL1759" s="1826"/>
      <c r="CN1759" s="1099">
        <v>-5.2213710267120303</v>
      </c>
      <c r="CO1759" s="1106">
        <v>0</v>
      </c>
      <c r="CR1759" s="1822"/>
      <c r="CT1759" s="1102">
        <v>-6.8316594911643218</v>
      </c>
      <c r="CU1759" s="1106">
        <v>0.03</v>
      </c>
      <c r="CV1759" s="863"/>
      <c r="CW1759" s="863"/>
      <c r="CX1759" s="1822" t="e">
        <v>#N/A</v>
      </c>
      <c r="CY1759" s="863"/>
      <c r="CZ1759" s="1099">
        <v>-0.58191955353854752</v>
      </c>
      <c r="DA1759" s="1106">
        <v>0.38</v>
      </c>
      <c r="DB1759" s="863"/>
    </row>
    <row r="1760" spans="87:106">
      <c r="CI1760" s="888">
        <v>299</v>
      </c>
      <c r="CJ1760" s="4"/>
      <c r="CL1760" s="1826"/>
      <c r="CN1760" s="1102"/>
      <c r="CO1760" s="1103"/>
      <c r="CR1760" s="1822"/>
      <c r="CT1760" s="1102"/>
      <c r="CU1760" s="1103"/>
      <c r="CV1760" s="863"/>
      <c r="CW1760" s="863"/>
      <c r="CX1760" s="1822" t="e">
        <v>#N/A</v>
      </c>
      <c r="CY1760" s="863"/>
      <c r="CZ1760" s="1102"/>
      <c r="DA1760" s="1103"/>
      <c r="DB1760" s="863"/>
    </row>
    <row r="1761" spans="87:106">
      <c r="CI1761" s="888">
        <v>299</v>
      </c>
      <c r="CJ1761" s="4"/>
      <c r="CL1761" s="1826"/>
      <c r="CN1761" s="1102"/>
      <c r="CO1761" s="1103"/>
      <c r="CR1761" s="1822"/>
      <c r="CT1761" s="1102"/>
      <c r="CU1761" s="1103"/>
      <c r="CV1761" s="863"/>
      <c r="CW1761" s="863"/>
      <c r="CX1761" s="1822" t="e">
        <v>#N/A</v>
      </c>
      <c r="CY1761" s="863"/>
      <c r="CZ1761" s="1102"/>
      <c r="DA1761" s="1103"/>
      <c r="DB1761" s="863"/>
    </row>
    <row r="1762" spans="87:106">
      <c r="CI1762" s="888">
        <v>299</v>
      </c>
      <c r="CJ1762" s="4"/>
      <c r="CL1762" s="1826"/>
      <c r="CN1762" s="1102"/>
      <c r="CO1762" s="1103"/>
      <c r="CR1762" s="1825"/>
      <c r="CT1762" s="1102"/>
      <c r="CU1762" s="1103"/>
      <c r="CV1762" s="1099"/>
      <c r="CW1762" s="1099"/>
      <c r="CX1762" s="1825" t="e">
        <v>#N/A</v>
      </c>
      <c r="CY1762" s="1099"/>
      <c r="CZ1762" s="1102"/>
      <c r="DA1762" s="1103"/>
      <c r="DB1762" s="1099"/>
    </row>
    <row r="1763" spans="87:106">
      <c r="CI1763" s="888">
        <v>299</v>
      </c>
      <c r="CJ1763" s="4" t="s">
        <v>2532</v>
      </c>
      <c r="CL1763" s="1826">
        <v>-9.5000000000000053</v>
      </c>
      <c r="CN1763" s="1102"/>
      <c r="CO1763" s="1103"/>
      <c r="CR1763" s="1823">
        <v>-6.792825544302314</v>
      </c>
      <c r="CT1763" s="1102"/>
      <c r="CU1763" s="1103"/>
      <c r="CV1763" s="1099"/>
      <c r="CW1763" s="1099"/>
      <c r="CX1763" s="1823">
        <v>-317.39210216411698</v>
      </c>
      <c r="CY1763" s="1099"/>
      <c r="CZ1763" s="1102"/>
      <c r="DA1763" s="1103"/>
      <c r="DB1763" s="1099"/>
    </row>
    <row r="1764" spans="87:106">
      <c r="CI1764" s="888">
        <v>299</v>
      </c>
      <c r="CJ1764" s="4" t="s">
        <v>2400</v>
      </c>
      <c r="CL1764" s="1826">
        <v>-12.455644905433635</v>
      </c>
      <c r="CN1764" s="1102"/>
      <c r="CO1764" s="1103"/>
      <c r="CR1764" s="1823">
        <v>1.1895277904234511</v>
      </c>
      <c r="CT1764" s="1102"/>
      <c r="CU1764" s="1103"/>
      <c r="CV1764" s="1099"/>
      <c r="CW1764" s="1099"/>
      <c r="CX1764" s="1823">
        <v>285.56973491525474</v>
      </c>
      <c r="CY1764" s="1099"/>
      <c r="CZ1764" s="1102"/>
      <c r="DA1764" s="1103"/>
      <c r="DB1764" s="1099"/>
    </row>
    <row r="1765" spans="87:106">
      <c r="CI1765" s="888">
        <v>299</v>
      </c>
      <c r="CJ1765" s="4" t="s">
        <v>2227</v>
      </c>
      <c r="CL1765" s="1826">
        <v>-5.2213710267120303</v>
      </c>
      <c r="CN1765" s="1102"/>
      <c r="CO1765" s="1103"/>
      <c r="CR1765" s="1823">
        <v>-6.8316594911643218</v>
      </c>
      <c r="CT1765" s="1102"/>
      <c r="CU1765" s="1103"/>
      <c r="CV1765" s="1099"/>
      <c r="CW1765" s="1099"/>
      <c r="CX1765" s="1823">
        <v>38.606899709643997</v>
      </c>
      <c r="CY1765" s="1099"/>
      <c r="CZ1765" s="1102"/>
      <c r="DA1765" s="1103"/>
      <c r="DB1765" s="1099"/>
    </row>
    <row r="1766" spans="87:106">
      <c r="CI1766" s="888">
        <v>299</v>
      </c>
      <c r="CJ1766" s="4" t="s">
        <v>2228</v>
      </c>
      <c r="CL1766" s="1826">
        <v>-6.1452918108323935</v>
      </c>
      <c r="CN1766" s="1102"/>
      <c r="CO1766" s="1103"/>
      <c r="CR1766" s="1823">
        <v>0.64181585855095413</v>
      </c>
      <c r="CT1766" s="1102"/>
      <c r="CU1766" s="1103"/>
      <c r="CV1766" s="1099"/>
      <c r="CW1766" s="1099"/>
      <c r="CX1766" s="1823">
        <v>47.342918262840683</v>
      </c>
      <c r="CY1766" s="1099"/>
      <c r="CZ1766" s="1102"/>
      <c r="DA1766" s="1103"/>
      <c r="DB1766" s="1099"/>
    </row>
    <row r="1767" spans="87:106">
      <c r="CI1767" s="888">
        <v>299</v>
      </c>
      <c r="CJ1767" s="4" t="s">
        <v>2229</v>
      </c>
      <c r="CL1767" s="1826">
        <v>-1.8519329644814191</v>
      </c>
      <c r="CN1767" s="864"/>
      <c r="CO1767" s="1103"/>
      <c r="CR1767" s="1823">
        <v>-7.6587079148616954</v>
      </c>
      <c r="CT1767" s="864"/>
      <c r="CU1767" s="1103"/>
      <c r="CV1767" s="1099"/>
      <c r="CW1767" s="1099"/>
      <c r="CX1767" s="1823">
        <v>8.7909477239398015</v>
      </c>
      <c r="CY1767" s="1099"/>
      <c r="CZ1767" s="864"/>
      <c r="DA1767" s="1103"/>
      <c r="DB1767" s="1099"/>
    </row>
    <row r="1768" spans="87:106">
      <c r="CI1768" s="888">
        <v>299</v>
      </c>
      <c r="CJ1768" s="4" t="s">
        <v>2230</v>
      </c>
      <c r="CL1768" s="1826">
        <v>4.0426265714478369</v>
      </c>
      <c r="CN1768" s="864"/>
      <c r="CO1768" s="1103"/>
      <c r="CR1768" s="1823">
        <v>-12.000004228091225</v>
      </c>
      <c r="CT1768" s="864"/>
      <c r="CU1768" s="1103"/>
      <c r="CV1768" s="1099"/>
      <c r="CW1768" s="1099"/>
      <c r="CX1768" s="1823">
        <v>-14.793054996205296</v>
      </c>
      <c r="CY1768" s="1099"/>
      <c r="CZ1768" s="864"/>
      <c r="DA1768" s="1103"/>
      <c r="DB1768" s="1099"/>
    </row>
    <row r="1769" spans="87:106">
      <c r="CI1769" s="888">
        <v>299</v>
      </c>
      <c r="CJ1769" s="4" t="s">
        <v>2231</v>
      </c>
      <c r="CL1769" s="1826">
        <v>3.8162538790573137</v>
      </c>
      <c r="CN1769" s="864"/>
      <c r="CO1769" s="1103"/>
      <c r="CR1769" s="1823">
        <v>-16.839795801934006</v>
      </c>
      <c r="CT1769" s="864"/>
      <c r="CU1769" s="1103"/>
      <c r="CV1769" s="1099"/>
      <c r="CW1769" s="1099"/>
      <c r="CX1769" s="1823">
        <v>-3.751976969357667</v>
      </c>
      <c r="CY1769" s="1099"/>
      <c r="CZ1769" s="864"/>
      <c r="DA1769" s="1103"/>
      <c r="DB1769" s="1099"/>
    </row>
    <row r="1770" spans="87:106">
      <c r="CI1770" s="888">
        <v>299</v>
      </c>
      <c r="CJ1770" s="4" t="s">
        <v>2232</v>
      </c>
      <c r="CL1770" s="1826">
        <v>-0.9887912507834824</v>
      </c>
      <c r="CN1770" s="864"/>
      <c r="CO1770" s="1103"/>
      <c r="CR1770" s="1823">
        <v>-1.1054681645626747</v>
      </c>
      <c r="CT1770" s="864"/>
      <c r="CU1770" s="1103"/>
      <c r="CV1770" s="1099"/>
      <c r="CW1770" s="1099"/>
      <c r="CX1770" s="1823">
        <v>-0.58191955353854752</v>
      </c>
      <c r="CY1770" s="1099"/>
      <c r="CZ1770" s="864"/>
      <c r="DA1770" s="1103"/>
      <c r="DB1770" s="1099"/>
    </row>
    <row r="1771" spans="87:106">
      <c r="CI1771" s="888">
        <v>299</v>
      </c>
      <c r="CJ1771" s="1091" t="s">
        <v>2233</v>
      </c>
      <c r="CL1771" s="1826">
        <v>-6.7879114871140285</v>
      </c>
      <c r="CN1771" s="1104"/>
      <c r="CO1771" s="1105"/>
      <c r="CR1771" s="1824">
        <v>-8.3817800159350426</v>
      </c>
      <c r="CT1771" s="1104"/>
      <c r="CU1771" s="1105"/>
      <c r="CV1771" s="1100"/>
      <c r="CW1771" s="1100"/>
      <c r="CX1771" s="1824">
        <v>-23.333408984442883</v>
      </c>
      <c r="CY1771" s="1100"/>
      <c r="CZ1771" s="1104"/>
      <c r="DA1771" s="1105"/>
      <c r="DB1771" s="1100"/>
    </row>
    <row r="1772" spans="87:106">
      <c r="CI1772" s="888">
        <v>582</v>
      </c>
      <c r="CJ1772" s="4" t="s">
        <v>2074</v>
      </c>
      <c r="CL1772" s="1826"/>
      <c r="CN1772" s="1099">
        <v>0.41081220260134721</v>
      </c>
      <c r="CO1772" s="1106">
        <v>0.85</v>
      </c>
      <c r="CR1772" s="1822"/>
      <c r="CT1772" s="1102">
        <v>-1.164898217648791</v>
      </c>
      <c r="CU1772" s="1106">
        <v>0.31</v>
      </c>
      <c r="CV1772" s="863"/>
      <c r="CW1772" s="863"/>
      <c r="CX1772" s="1822" t="e">
        <v>#N/A</v>
      </c>
      <c r="CY1772" s="863"/>
      <c r="CZ1772" s="1099">
        <v>-0.33155663948901726</v>
      </c>
      <c r="DA1772" s="1106">
        <v>0.51</v>
      </c>
      <c r="DB1772" s="863"/>
    </row>
    <row r="1773" spans="87:106">
      <c r="CI1773" s="888">
        <v>582</v>
      </c>
      <c r="CJ1773" s="4"/>
      <c r="CL1773" s="1826"/>
      <c r="CN1773" s="1102"/>
      <c r="CO1773" s="1103"/>
      <c r="CR1773" s="1822"/>
      <c r="CT1773" s="1102"/>
      <c r="CU1773" s="1103"/>
      <c r="CV1773" s="863"/>
      <c r="CW1773" s="863"/>
      <c r="CX1773" s="1822" t="e">
        <v>#N/A</v>
      </c>
      <c r="CY1773" s="863"/>
      <c r="CZ1773" s="1102"/>
      <c r="DA1773" s="1103"/>
      <c r="DB1773" s="863"/>
    </row>
    <row r="1774" spans="87:106">
      <c r="CI1774" s="888">
        <v>582</v>
      </c>
      <c r="CJ1774" s="4"/>
      <c r="CL1774" s="1826"/>
      <c r="CN1774" s="1102"/>
      <c r="CO1774" s="1103"/>
      <c r="CR1774" s="1822"/>
      <c r="CT1774" s="1102"/>
      <c r="CU1774" s="1103"/>
      <c r="CV1774" s="863"/>
      <c r="CW1774" s="863"/>
      <c r="CX1774" s="1822" t="e">
        <v>#N/A</v>
      </c>
      <c r="CY1774" s="863"/>
      <c r="CZ1774" s="1102"/>
      <c r="DA1774" s="1103"/>
      <c r="DB1774" s="863"/>
    </row>
    <row r="1775" spans="87:106">
      <c r="CI1775" s="888">
        <v>582</v>
      </c>
      <c r="CJ1775" s="4"/>
      <c r="CL1775" s="1826"/>
      <c r="CN1775" s="1102"/>
      <c r="CO1775" s="1103"/>
      <c r="CR1775" s="1825"/>
      <c r="CT1775" s="1102"/>
      <c r="CU1775" s="1103"/>
      <c r="CV1775" s="1099"/>
      <c r="CW1775" s="1099"/>
      <c r="CX1775" s="1825" t="e">
        <v>#N/A</v>
      </c>
      <c r="CY1775" s="1099"/>
      <c r="CZ1775" s="1102"/>
      <c r="DA1775" s="1103"/>
      <c r="DB1775" s="1099"/>
    </row>
    <row r="1776" spans="87:106">
      <c r="CI1776" s="888">
        <v>582</v>
      </c>
      <c r="CJ1776" s="4" t="s">
        <v>2533</v>
      </c>
      <c r="CL1776" s="1826">
        <v>0.61222584062017127</v>
      </c>
      <c r="CN1776" s="1102"/>
      <c r="CO1776" s="1103"/>
      <c r="CR1776" s="1823">
        <v>0.86471744441455067</v>
      </c>
      <c r="CT1776" s="1102"/>
      <c r="CU1776" s="1103"/>
      <c r="CV1776" s="1099"/>
      <c r="CW1776" s="1099"/>
      <c r="CX1776" s="1823">
        <v>1.7703729650707061</v>
      </c>
      <c r="CY1776" s="1099"/>
      <c r="CZ1776" s="1102"/>
      <c r="DA1776" s="1103"/>
      <c r="DB1776" s="1099"/>
    </row>
    <row r="1777" spans="87:106">
      <c r="CI1777" s="888">
        <v>582</v>
      </c>
      <c r="CJ1777" s="4" t="s">
        <v>2401</v>
      </c>
      <c r="CL1777" s="1826">
        <v>0.41081220260134721</v>
      </c>
      <c r="CN1777" s="1102"/>
      <c r="CO1777" s="1103"/>
      <c r="CR1777" s="1823">
        <v>-0.49282124778745162</v>
      </c>
      <c r="CT1777" s="1102"/>
      <c r="CU1777" s="1103"/>
      <c r="CV1777" s="1099"/>
      <c r="CW1777" s="1099"/>
      <c r="CX1777" s="1823">
        <v>-2.2608860370651547</v>
      </c>
      <c r="CY1777" s="1099"/>
      <c r="CZ1777" s="1102"/>
      <c r="DA1777" s="1103"/>
      <c r="DB1777" s="1099"/>
    </row>
    <row r="1778" spans="87:106">
      <c r="CI1778" s="888">
        <v>582</v>
      </c>
      <c r="CJ1778" s="4" t="s">
        <v>2075</v>
      </c>
      <c r="CL1778" s="1826">
        <v>0.97930813044182941</v>
      </c>
      <c r="CN1778" s="1102"/>
      <c r="CO1778" s="1103"/>
      <c r="CR1778" s="1823">
        <v>0.37781743186965056</v>
      </c>
      <c r="CT1778" s="1102"/>
      <c r="CU1778" s="1103"/>
      <c r="CV1778" s="1099"/>
      <c r="CW1778" s="1099"/>
      <c r="CX1778" s="1823">
        <v>-6.3331258795881462</v>
      </c>
      <c r="CY1778" s="1099"/>
      <c r="CZ1778" s="1102"/>
      <c r="DA1778" s="1103"/>
      <c r="DB1778" s="1099"/>
    </row>
    <row r="1779" spans="87:106">
      <c r="CI1779" s="888">
        <v>582</v>
      </c>
      <c r="CJ1779" s="4" t="s">
        <v>2076</v>
      </c>
      <c r="CL1779" s="1826">
        <v>0.74977836649124274</v>
      </c>
      <c r="CN1779" s="1102"/>
      <c r="CO1779" s="1103"/>
      <c r="CR1779" s="1823">
        <v>-1.732463870815264</v>
      </c>
      <c r="CT1779" s="1102"/>
      <c r="CU1779" s="1103"/>
      <c r="CV1779" s="1099"/>
      <c r="CW1779" s="1099"/>
      <c r="CX1779" s="1823">
        <v>-3.4641353370108523</v>
      </c>
      <c r="CY1779" s="1099"/>
      <c r="CZ1779" s="1102"/>
      <c r="DA1779" s="1103"/>
      <c r="DB1779" s="1099"/>
    </row>
    <row r="1780" spans="87:106">
      <c r="CI1780" s="888">
        <v>582</v>
      </c>
      <c r="CJ1780" s="4" t="s">
        <v>2077</v>
      </c>
      <c r="CL1780" s="1826">
        <v>-0.84066338035003429</v>
      </c>
      <c r="CN1780" s="864"/>
      <c r="CO1780" s="1103"/>
      <c r="CR1780" s="1823">
        <v>-3.0465177012155444</v>
      </c>
      <c r="CT1780" s="864"/>
      <c r="CU1780" s="1103"/>
      <c r="CV1780" s="1099"/>
      <c r="CW1780" s="1099"/>
      <c r="CX1780" s="1823">
        <v>-2.1266181131796493</v>
      </c>
      <c r="CY1780" s="1099"/>
      <c r="CZ1780" s="864"/>
      <c r="DA1780" s="1103"/>
      <c r="DB1780" s="1099"/>
    </row>
    <row r="1781" spans="87:106">
      <c r="CI1781" s="888">
        <v>582</v>
      </c>
      <c r="CJ1781" s="4" t="s">
        <v>2078</v>
      </c>
      <c r="CL1781" s="1826">
        <v>-1.5041690210141514</v>
      </c>
      <c r="CN1781" s="864"/>
      <c r="CO1781" s="1103"/>
      <c r="CR1781" s="1823">
        <v>-1.383209432076931</v>
      </c>
      <c r="CT1781" s="864"/>
      <c r="CU1781" s="1103"/>
      <c r="CV1781" s="1099"/>
      <c r="CW1781" s="1099"/>
      <c r="CX1781" s="1823">
        <v>3.7673246130999853</v>
      </c>
      <c r="CY1781" s="1099"/>
      <c r="CZ1781" s="864"/>
      <c r="DA1781" s="1103"/>
      <c r="DB1781" s="1099"/>
    </row>
    <row r="1782" spans="87:106">
      <c r="CI1782" s="888">
        <v>582</v>
      </c>
      <c r="CJ1782" s="4" t="s">
        <v>2079</v>
      </c>
      <c r="CL1782" s="1826">
        <v>-0.64056964511048786</v>
      </c>
      <c r="CN1782" s="864"/>
      <c r="CO1782" s="1103"/>
      <c r="CR1782" s="1823">
        <v>1.5532258414459323</v>
      </c>
      <c r="CT1782" s="864"/>
      <c r="CU1782" s="1103"/>
      <c r="CV1782" s="1099"/>
      <c r="CW1782" s="1099"/>
      <c r="CX1782" s="1823">
        <v>10.238119926938198</v>
      </c>
      <c r="CY1782" s="1099"/>
      <c r="CZ1782" s="864"/>
      <c r="DA1782" s="1103"/>
      <c r="DB1782" s="1099"/>
    </row>
    <row r="1783" spans="87:106">
      <c r="CI1783" s="888">
        <v>582</v>
      </c>
      <c r="CJ1783" s="4" t="s">
        <v>2080</v>
      </c>
      <c r="CL1783" s="1826">
        <v>2.8181672778051876</v>
      </c>
      <c r="CN1783" s="864"/>
      <c r="CO1783" s="1103"/>
      <c r="CR1783" s="1823">
        <v>-1.164898217648791</v>
      </c>
      <c r="CT1783" s="864"/>
      <c r="CU1783" s="1103"/>
      <c r="CV1783" s="1099"/>
      <c r="CW1783" s="1099"/>
      <c r="CX1783" s="1823">
        <v>5.811456936352636</v>
      </c>
      <c r="CY1783" s="1099"/>
      <c r="CZ1783" s="864"/>
      <c r="DA1783" s="1103"/>
      <c r="DB1783" s="1099"/>
    </row>
    <row r="1784" spans="87:106">
      <c r="CI1784" s="888">
        <v>582</v>
      </c>
      <c r="CJ1784" s="1091" t="s">
        <v>2081</v>
      </c>
      <c r="CL1784" s="1826">
        <v>-1.9770781928980155</v>
      </c>
      <c r="CN1784" s="1104"/>
      <c r="CO1784" s="1105"/>
      <c r="CR1784" s="1824">
        <v>-5.5355747167442404</v>
      </c>
      <c r="CT1784" s="1104"/>
      <c r="CU1784" s="1105"/>
      <c r="CV1784" s="1100"/>
      <c r="CW1784" s="1100"/>
      <c r="CX1784" s="1824">
        <v>-0.33155663948901726</v>
      </c>
      <c r="CY1784" s="1100"/>
      <c r="CZ1784" s="1104"/>
      <c r="DA1784" s="1105"/>
      <c r="DB1784" s="1100"/>
    </row>
    <row r="1785" spans="87:106">
      <c r="CI1785" s="888">
        <v>474</v>
      </c>
      <c r="CJ1785" s="4" t="s">
        <v>2234</v>
      </c>
      <c r="CL1785" s="1826"/>
      <c r="CN1785" s="1099">
        <v>-5.6269641917508011</v>
      </c>
      <c r="CO1785" s="1106">
        <v>0</v>
      </c>
      <c r="CR1785" s="1822"/>
      <c r="CT1785" s="1102">
        <v>0.310519267163337</v>
      </c>
      <c r="CU1785" s="1106">
        <v>0.81</v>
      </c>
      <c r="CV1785" s="863"/>
      <c r="CW1785" s="863"/>
      <c r="CX1785" s="1822" t="e">
        <v>#N/A</v>
      </c>
      <c r="CY1785" s="863"/>
      <c r="CZ1785" s="1099">
        <v>-0.50235149927761036</v>
      </c>
      <c r="DA1785" s="1106">
        <v>0.44</v>
      </c>
    </row>
    <row r="1786" spans="87:106">
      <c r="CI1786" s="888">
        <v>474</v>
      </c>
      <c r="CJ1786" s="4"/>
      <c r="CL1786" s="1826"/>
      <c r="CN1786" s="1102"/>
      <c r="CO1786" s="1103"/>
      <c r="CR1786" s="1822"/>
      <c r="CT1786" s="1102"/>
      <c r="CU1786" s="1103"/>
      <c r="CV1786" s="863"/>
      <c r="CW1786" s="863"/>
      <c r="CX1786" s="1822" t="e">
        <v>#N/A</v>
      </c>
      <c r="CY1786" s="863"/>
      <c r="CZ1786" s="1102"/>
      <c r="DA1786" s="1103"/>
    </row>
    <row r="1787" spans="87:106">
      <c r="CI1787" s="888">
        <v>474</v>
      </c>
      <c r="CJ1787" s="4"/>
      <c r="CL1787" s="1826"/>
      <c r="CN1787" s="1102"/>
      <c r="CO1787" s="1103"/>
      <c r="CR1787" s="1822"/>
      <c r="CT1787" s="1102"/>
      <c r="CU1787" s="1103"/>
      <c r="CV1787" s="863"/>
      <c r="CW1787" s="863"/>
      <c r="CX1787" s="1822" t="e">
        <v>#N/A</v>
      </c>
      <c r="CY1787" s="863"/>
      <c r="CZ1787" s="1102"/>
      <c r="DA1787" s="1103"/>
    </row>
    <row r="1788" spans="87:106">
      <c r="CI1788" s="888">
        <v>474</v>
      </c>
      <c r="CJ1788" s="4"/>
      <c r="CL1788" s="1826"/>
      <c r="CN1788" s="1102"/>
      <c r="CO1788" s="1103"/>
      <c r="CR1788" s="1825"/>
      <c r="CT1788" s="1102"/>
      <c r="CU1788" s="1103"/>
      <c r="CV1788" s="1099"/>
      <c r="CW1788" s="1099"/>
      <c r="CX1788" s="1825" t="e">
        <v>#N/A</v>
      </c>
      <c r="CY1788" s="1099"/>
      <c r="CZ1788" s="1102"/>
      <c r="DA1788" s="1103"/>
    </row>
    <row r="1789" spans="87:106">
      <c r="CI1789" s="888">
        <v>474</v>
      </c>
      <c r="CJ1789" s="4" t="s">
        <v>2534</v>
      </c>
      <c r="CL1789" s="1826">
        <v>-25.772141346182202</v>
      </c>
      <c r="CN1789" s="1102"/>
      <c r="CO1789" s="1103"/>
      <c r="CR1789" s="1823">
        <v>-7.2845406824794257</v>
      </c>
      <c r="CT1789" s="1102"/>
      <c r="CU1789" s="1103"/>
      <c r="CV1789" s="1099"/>
      <c r="CW1789" s="1099"/>
      <c r="CX1789" s="1823">
        <v>-4.0521425764068582</v>
      </c>
      <c r="CY1789" s="1099"/>
      <c r="CZ1789" s="1102"/>
      <c r="DA1789" s="1103"/>
    </row>
    <row r="1790" spans="87:106">
      <c r="CI1790" s="888">
        <v>474</v>
      </c>
      <c r="CJ1790" s="4" t="s">
        <v>2402</v>
      </c>
      <c r="CL1790" s="1826">
        <v>-37.89814863677536</v>
      </c>
      <c r="CN1790" s="1102"/>
      <c r="CO1790" s="1103"/>
      <c r="CR1790" s="1823">
        <v>-8.0618999433069192</v>
      </c>
      <c r="CT1790" s="1102"/>
      <c r="CU1790" s="1103"/>
      <c r="CV1790" s="1099"/>
      <c r="CW1790" s="1099"/>
      <c r="CX1790" s="1823">
        <v>-3.0074610412134328</v>
      </c>
      <c r="CY1790" s="1099"/>
      <c r="CZ1790" s="1102"/>
      <c r="DA1790" s="1103"/>
    </row>
    <row r="1791" spans="87:106">
      <c r="CI1791" s="888">
        <v>474</v>
      </c>
      <c r="CJ1791" s="4" t="s">
        <v>2235</v>
      </c>
      <c r="CL1791" s="1826">
        <v>-32.532107617360211</v>
      </c>
      <c r="CN1791" s="1102"/>
      <c r="CO1791" s="1103"/>
      <c r="CR1791" s="1823">
        <v>-1.9860316274492158</v>
      </c>
      <c r="CT1791" s="1102"/>
      <c r="CU1791" s="1103"/>
      <c r="CV1791" s="1099"/>
      <c r="CW1791" s="1099"/>
      <c r="CX1791" s="1823">
        <v>13.650140513081446</v>
      </c>
      <c r="CY1791" s="1099"/>
      <c r="CZ1791" s="1102"/>
      <c r="DA1791" s="1103"/>
    </row>
    <row r="1792" spans="87:106">
      <c r="CI1792" s="888">
        <v>474</v>
      </c>
      <c r="CJ1792" s="4" t="s">
        <v>2236</v>
      </c>
      <c r="CL1792" s="1826">
        <v>-5.6269641917508011</v>
      </c>
      <c r="CN1792" s="1102"/>
      <c r="CO1792" s="1103"/>
      <c r="CR1792" s="1823">
        <v>1.1217720915078964</v>
      </c>
      <c r="CT1792" s="1102"/>
      <c r="CU1792" s="1103"/>
      <c r="CV1792" s="1099"/>
      <c r="CW1792" s="1099"/>
      <c r="CX1792" s="1823">
        <v>0.83474094210097416</v>
      </c>
      <c r="CY1792" s="1099"/>
      <c r="CZ1792" s="1102"/>
      <c r="DA1792" s="1103"/>
    </row>
    <row r="1793" spans="87:105">
      <c r="CI1793" s="888">
        <v>474</v>
      </c>
      <c r="CJ1793" s="4" t="s">
        <v>2237</v>
      </c>
      <c r="CL1793" s="1826">
        <v>1.8760147644517717</v>
      </c>
      <c r="CN1793" s="864"/>
      <c r="CO1793" s="1103"/>
      <c r="CR1793" s="1823">
        <v>0.7251643634315581</v>
      </c>
      <c r="CT1793" s="864"/>
      <c r="CU1793" s="1103"/>
      <c r="CV1793" s="1099"/>
      <c r="CW1793" s="1099"/>
      <c r="CX1793" s="1823">
        <v>-0.50235149927761036</v>
      </c>
      <c r="CY1793" s="1099"/>
      <c r="CZ1793" s="864"/>
      <c r="DA1793" s="1103"/>
    </row>
    <row r="1794" spans="87:105">
      <c r="CI1794" s="888">
        <v>474</v>
      </c>
      <c r="CJ1794" s="4" t="s">
        <v>2238</v>
      </c>
      <c r="CL1794" s="1826">
        <v>-1.6454709522137603</v>
      </c>
      <c r="CN1794" s="864"/>
      <c r="CO1794" s="1103"/>
      <c r="CR1794" s="1823">
        <v>2.0653937614912445</v>
      </c>
      <c r="CT1794" s="864"/>
      <c r="CU1794" s="1103"/>
      <c r="CV1794" s="1099"/>
      <c r="CW1794" s="1099"/>
      <c r="CX1794" s="1823">
        <v>-3.9848114424545376</v>
      </c>
      <c r="CY1794" s="1099"/>
      <c r="CZ1794" s="864"/>
      <c r="DA1794" s="1103"/>
    </row>
    <row r="1795" spans="87:105">
      <c r="CI1795" s="888">
        <v>474</v>
      </c>
      <c r="CJ1795" s="4" t="s">
        <v>2239</v>
      </c>
      <c r="CL1795" s="1826">
        <v>-14.314900670436316</v>
      </c>
      <c r="CN1795" s="864"/>
      <c r="CO1795" s="1103"/>
      <c r="CR1795" s="1823">
        <v>4.5143674046425222</v>
      </c>
      <c r="CT1795" s="864"/>
      <c r="CU1795" s="1103"/>
      <c r="CV1795" s="1099"/>
      <c r="CW1795" s="1099"/>
      <c r="CX1795" s="1823">
        <v>8.2002163770336107</v>
      </c>
      <c r="CY1795" s="1099"/>
      <c r="CZ1795" s="864"/>
      <c r="DA1795" s="1103"/>
    </row>
    <row r="1796" spans="87:105">
      <c r="CI1796" s="888">
        <v>474</v>
      </c>
      <c r="CJ1796" s="4" t="s">
        <v>2240</v>
      </c>
      <c r="CL1796" s="1826">
        <v>2.9790913189551356</v>
      </c>
      <c r="CN1796" s="864"/>
      <c r="CO1796" s="1103"/>
      <c r="CR1796" s="1823">
        <v>0.310519267163337</v>
      </c>
      <c r="CT1796" s="864"/>
      <c r="CU1796" s="1103"/>
      <c r="CV1796" s="1099"/>
      <c r="CW1796" s="1099"/>
      <c r="CX1796" s="1823">
        <v>7.7577121018158373</v>
      </c>
      <c r="CY1796" s="1099"/>
      <c r="CZ1796" s="864"/>
      <c r="DA1796" s="1103"/>
    </row>
    <row r="1797" spans="87:105">
      <c r="CI1797" s="888">
        <v>474</v>
      </c>
      <c r="CJ1797" s="1091" t="s">
        <v>2241</v>
      </c>
      <c r="CL1797" s="1826">
        <v>-4.2530693842081249</v>
      </c>
      <c r="CN1797" s="1104"/>
      <c r="CO1797" s="1105"/>
      <c r="CR1797" s="1824">
        <v>-6.7625006459471875</v>
      </c>
      <c r="CT1797" s="1104"/>
      <c r="CU1797" s="1105"/>
      <c r="CV1797" s="1100"/>
      <c r="CW1797" s="1100"/>
      <c r="CX1797" s="1824">
        <v>-27.280089664439586</v>
      </c>
      <c r="CY1797" s="1100"/>
      <c r="CZ1797" s="1104"/>
      <c r="DA1797" s="1105"/>
    </row>
    <row r="1798" spans="87:105">
      <c r="CI1798" s="888">
        <v>915</v>
      </c>
      <c r="CJ1798" s="4" t="s">
        <v>2242</v>
      </c>
      <c r="CL1798" s="1826"/>
      <c r="CN1798" s="1099">
        <v>-0.16365671820051908</v>
      </c>
      <c r="CO1798" s="1106">
        <v>0.6</v>
      </c>
      <c r="CR1798" s="1822"/>
      <c r="CT1798" s="1102">
        <v>0.9568419497746592</v>
      </c>
      <c r="CU1798" s="1106">
        <v>0.89</v>
      </c>
      <c r="CV1798" s="863"/>
      <c r="CW1798" s="863"/>
      <c r="CX1798" s="1822" t="e">
        <v>#N/A</v>
      </c>
      <c r="CY1798" s="863"/>
      <c r="CZ1798" s="1099">
        <v>-1.1381799203956553</v>
      </c>
      <c r="DA1798" s="1106">
        <v>0.22</v>
      </c>
    </row>
    <row r="1799" spans="87:105">
      <c r="CI1799" s="888">
        <v>915</v>
      </c>
      <c r="CJ1799" s="4"/>
      <c r="CL1799" s="1826"/>
      <c r="CN1799" s="1102"/>
      <c r="CO1799" s="1103"/>
      <c r="CR1799" s="1822"/>
      <c r="CT1799" s="1102"/>
      <c r="CU1799" s="1103"/>
      <c r="CV1799" s="863"/>
      <c r="CW1799" s="863"/>
      <c r="CX1799" s="1822" t="e">
        <v>#N/A</v>
      </c>
      <c r="CY1799" s="863"/>
      <c r="CZ1799" s="1102"/>
      <c r="DA1799" s="1103"/>
    </row>
    <row r="1800" spans="87:105">
      <c r="CI1800" s="888">
        <v>915</v>
      </c>
      <c r="CJ1800" s="4"/>
      <c r="CL1800" s="1826"/>
      <c r="CN1800" s="1102"/>
      <c r="CO1800" s="1103"/>
      <c r="CR1800" s="1822"/>
      <c r="CT1800" s="1102"/>
      <c r="CU1800" s="1103"/>
      <c r="CV1800" s="863"/>
      <c r="CW1800" s="863"/>
      <c r="CX1800" s="1822" t="e">
        <v>#N/A</v>
      </c>
      <c r="CY1800" s="863"/>
      <c r="CZ1800" s="1102"/>
      <c r="DA1800" s="1103"/>
    </row>
    <row r="1801" spans="87:105">
      <c r="CI1801" s="888">
        <v>915</v>
      </c>
      <c r="CJ1801" s="4"/>
      <c r="CL1801" s="1826"/>
      <c r="CN1801" s="1102"/>
      <c r="CO1801" s="1103"/>
      <c r="CR1801" s="1825"/>
      <c r="CT1801" s="1102"/>
      <c r="CU1801" s="1103"/>
      <c r="CV1801" s="1099"/>
      <c r="CW1801" s="1099"/>
      <c r="CX1801" s="1825" t="e">
        <v>#N/A</v>
      </c>
      <c r="CY1801" s="1099"/>
      <c r="CZ1801" s="1102"/>
      <c r="DA1801" s="1103"/>
    </row>
    <row r="1802" spans="87:105">
      <c r="CI1802" s="888">
        <v>915</v>
      </c>
      <c r="CJ1802" s="4" t="s">
        <v>2535</v>
      </c>
      <c r="CL1802" s="1826">
        <v>0.27701548986095847</v>
      </c>
      <c r="CN1802" s="1102"/>
      <c r="CO1802" s="1103"/>
      <c r="CR1802" s="1823">
        <v>1.4964850684567401</v>
      </c>
      <c r="CT1802" s="1102"/>
      <c r="CU1802" s="1103"/>
      <c r="CV1802" s="1099"/>
      <c r="CW1802" s="1099"/>
      <c r="CX1802" s="1823">
        <v>2.3773267888634937</v>
      </c>
      <c r="CY1802" s="1099"/>
      <c r="CZ1802" s="1102"/>
      <c r="DA1802" s="1103"/>
    </row>
    <row r="1803" spans="87:105">
      <c r="CI1803" s="888">
        <v>915</v>
      </c>
      <c r="CJ1803" s="4" t="s">
        <v>2403</v>
      </c>
      <c r="CL1803" s="1826">
        <v>-0.16365671820051908</v>
      </c>
      <c r="CN1803" s="1102"/>
      <c r="CO1803" s="1103"/>
      <c r="CR1803" s="1823">
        <v>1.4054489316731793</v>
      </c>
      <c r="CT1803" s="1102"/>
      <c r="CU1803" s="1103"/>
      <c r="CV1803" s="1099"/>
      <c r="CW1803" s="1099"/>
      <c r="CX1803" s="1823">
        <v>-1.1381799203956553</v>
      </c>
      <c r="CY1803" s="1099"/>
      <c r="CZ1803" s="1102"/>
      <c r="DA1803" s="1103"/>
    </row>
    <row r="1804" spans="87:105">
      <c r="CI1804" s="888">
        <v>915</v>
      </c>
      <c r="CJ1804" s="4" t="s">
        <v>2243</v>
      </c>
      <c r="CL1804" s="1826">
        <v>-2.114492795150722</v>
      </c>
      <c r="CN1804" s="1102"/>
      <c r="CO1804" s="1103"/>
      <c r="CR1804" s="1823">
        <v>1.2113459569672698</v>
      </c>
      <c r="CT1804" s="1102"/>
      <c r="CU1804" s="1103"/>
      <c r="CV1804" s="1099"/>
      <c r="CW1804" s="1099"/>
      <c r="CX1804" s="1823">
        <v>0.88676615976424689</v>
      </c>
      <c r="CY1804" s="1099"/>
      <c r="CZ1804" s="1102"/>
      <c r="DA1804" s="1103"/>
    </row>
    <row r="1805" spans="87:105">
      <c r="CI1805" s="888">
        <v>915</v>
      </c>
      <c r="CJ1805" s="4" t="s">
        <v>2244</v>
      </c>
      <c r="CL1805" s="1826">
        <v>-1.3733656590499503</v>
      </c>
      <c r="CN1805" s="1102"/>
      <c r="CO1805" s="1103"/>
      <c r="CR1805" s="1823">
        <v>-0.97511117105836354</v>
      </c>
      <c r="CT1805" s="1102"/>
      <c r="CU1805" s="1103"/>
      <c r="CV1805" s="1099"/>
      <c r="CW1805" s="1099"/>
      <c r="CX1805" s="1823">
        <v>-1.4695161107755217</v>
      </c>
      <c r="CY1805" s="1099"/>
      <c r="CZ1805" s="1102"/>
      <c r="DA1805" s="1103"/>
    </row>
    <row r="1806" spans="87:105">
      <c r="CI1806" s="888">
        <v>915</v>
      </c>
      <c r="CJ1806" s="4" t="s">
        <v>2245</v>
      </c>
      <c r="CL1806" s="1826">
        <v>-2.1776975390153659</v>
      </c>
      <c r="CN1806" s="864"/>
      <c r="CO1806" s="1103"/>
      <c r="CR1806" s="1823">
        <v>0.7276285914865317</v>
      </c>
      <c r="CT1806" s="864"/>
      <c r="CU1806" s="1103"/>
      <c r="CV1806" s="1099"/>
      <c r="CW1806" s="1099"/>
      <c r="CX1806" s="1823">
        <v>-6.6978283670260117</v>
      </c>
      <c r="CY1806" s="1099"/>
      <c r="CZ1806" s="864"/>
      <c r="DA1806" s="1103"/>
    </row>
    <row r="1807" spans="87:105">
      <c r="CI1807" s="888">
        <v>915</v>
      </c>
      <c r="CJ1807" s="4" t="s">
        <v>2246</v>
      </c>
      <c r="CL1807" s="1826">
        <v>1.431344772500811</v>
      </c>
      <c r="CN1807" s="864"/>
      <c r="CO1807" s="1103"/>
      <c r="CR1807" s="1823">
        <v>0.9568419497746592</v>
      </c>
      <c r="CT1807" s="864"/>
      <c r="CU1807" s="1103"/>
      <c r="CV1807" s="1099"/>
      <c r="CW1807" s="1099"/>
      <c r="CX1807" s="1823">
        <v>-5.2685258938142852</v>
      </c>
      <c r="CY1807" s="1099"/>
      <c r="CZ1807" s="864"/>
      <c r="DA1807" s="1103"/>
    </row>
    <row r="1808" spans="87:105">
      <c r="CI1808" s="888">
        <v>915</v>
      </c>
      <c r="CJ1808" s="4" t="s">
        <v>2247</v>
      </c>
      <c r="CL1808" s="1826">
        <v>3.1735484955222555</v>
      </c>
      <c r="CN1808" s="864"/>
      <c r="CO1808" s="1103"/>
      <c r="CR1808" s="1823">
        <v>3.6706349023437017</v>
      </c>
      <c r="CT1808" s="864"/>
      <c r="CU1808" s="1103"/>
      <c r="CV1808" s="1099"/>
      <c r="CW1808" s="1099"/>
      <c r="CX1808" s="1823">
        <v>4.5027172560977657</v>
      </c>
      <c r="CY1808" s="1099"/>
      <c r="CZ1808" s="864"/>
      <c r="DA1808" s="1103"/>
    </row>
    <row r="1809" spans="87:105">
      <c r="CI1809" s="888">
        <v>915</v>
      </c>
      <c r="CJ1809" s="4" t="s">
        <v>2248</v>
      </c>
      <c r="CL1809" s="1826">
        <v>3.2530275808474314</v>
      </c>
      <c r="CN1809" s="864"/>
      <c r="CO1809" s="1103"/>
      <c r="CR1809" s="1823">
        <v>0.21904699294042196</v>
      </c>
      <c r="CT1809" s="864"/>
      <c r="CU1809" s="1103"/>
      <c r="CV1809" s="1099"/>
      <c r="CW1809" s="1099"/>
      <c r="CX1809" s="1823">
        <v>3.0436413962261506</v>
      </c>
      <c r="CY1809" s="1099"/>
      <c r="CZ1809" s="864"/>
      <c r="DA1809" s="1103"/>
    </row>
    <row r="1810" spans="87:105">
      <c r="CI1810" s="888">
        <v>915</v>
      </c>
      <c r="CJ1810" s="1091" t="s">
        <v>2249</v>
      </c>
      <c r="CL1810" s="1826">
        <v>-12.79643546147449</v>
      </c>
      <c r="CN1810" s="1104"/>
      <c r="CO1810" s="1105"/>
      <c r="CR1810" s="1824">
        <v>-5.9310900731837091</v>
      </c>
      <c r="CT1810" s="1104"/>
      <c r="CU1810" s="1105"/>
      <c r="CV1810" s="1100"/>
      <c r="CW1810" s="1100"/>
      <c r="CX1810" s="1824">
        <v>-8.985794387946628</v>
      </c>
      <c r="CY1810" s="1100"/>
      <c r="CZ1810" s="1104"/>
      <c r="DA1810" s="1105"/>
    </row>
    <row r="1811" spans="87:105">
      <c r="CI1811" s="888">
        <v>927</v>
      </c>
      <c r="CJ1811" s="4" t="s">
        <v>2250</v>
      </c>
      <c r="CL1811" s="1826"/>
      <c r="CN1811" s="1099">
        <v>1.2999999999999954</v>
      </c>
      <c r="CO1811" s="1106">
        <v>0.97</v>
      </c>
      <c r="CR1811" s="1822"/>
      <c r="CT1811" s="1102">
        <v>-0.27462359742241915</v>
      </c>
      <c r="CU1811" s="1106">
        <v>0.6</v>
      </c>
      <c r="CV1811" s="863"/>
      <c r="CW1811" s="863"/>
      <c r="CX1811" s="1822" t="e">
        <v>#N/A</v>
      </c>
      <c r="CY1811" s="863"/>
      <c r="CZ1811" s="1099">
        <v>2.5327644056274057</v>
      </c>
      <c r="DA1811" s="1106">
        <v>0.96</v>
      </c>
    </row>
    <row r="1812" spans="87:105">
      <c r="CI1812" s="888">
        <v>927</v>
      </c>
      <c r="CJ1812" s="4"/>
      <c r="CL1812" s="1826"/>
      <c r="CN1812" s="1102"/>
      <c r="CO1812" s="1103"/>
      <c r="CR1812" s="1822"/>
      <c r="CT1812" s="1102"/>
      <c r="CU1812" s="1103"/>
      <c r="CV1812" s="863"/>
      <c r="CW1812" s="863"/>
      <c r="CX1812" s="1822" t="e">
        <v>#N/A</v>
      </c>
      <c r="CY1812" s="863"/>
      <c r="CZ1812" s="1102"/>
      <c r="DA1812" s="1103"/>
    </row>
    <row r="1813" spans="87:105">
      <c r="CI1813" s="888">
        <v>927</v>
      </c>
      <c r="CJ1813" s="4"/>
      <c r="CL1813" s="1826"/>
      <c r="CN1813" s="1102"/>
      <c r="CO1813" s="1103"/>
      <c r="CR1813" s="1822"/>
      <c r="CT1813" s="1102"/>
      <c r="CU1813" s="1103"/>
      <c r="CV1813" s="863"/>
      <c r="CW1813" s="863"/>
      <c r="CX1813" s="1822" t="e">
        <v>#N/A</v>
      </c>
      <c r="CY1813" s="863"/>
      <c r="CZ1813" s="1102"/>
      <c r="DA1813" s="1103"/>
    </row>
    <row r="1814" spans="87:105">
      <c r="CI1814" s="888">
        <v>927</v>
      </c>
      <c r="CJ1814" s="4"/>
      <c r="CL1814" s="1826"/>
      <c r="CN1814" s="1102"/>
      <c r="CO1814" s="1103"/>
      <c r="CR1814" s="1825"/>
      <c r="CT1814" s="1102"/>
      <c r="CU1814" s="1103"/>
      <c r="CV1814" s="1099"/>
      <c r="CW1814" s="1099"/>
      <c r="CX1814" s="1825" t="e">
        <v>#N/A</v>
      </c>
      <c r="CY1814" s="1099"/>
      <c r="CZ1814" s="1102"/>
      <c r="DA1814" s="1103"/>
    </row>
    <row r="1815" spans="87:105">
      <c r="CI1815" s="888">
        <v>927</v>
      </c>
      <c r="CJ1815" s="4" t="s">
        <v>2536</v>
      </c>
      <c r="CL1815" s="1826">
        <v>-0.19988060666468499</v>
      </c>
      <c r="CN1815" s="1102"/>
      <c r="CO1815" s="1103"/>
      <c r="CR1815" s="1823">
        <v>-1.4887677730975204</v>
      </c>
      <c r="CT1815" s="1102"/>
      <c r="CU1815" s="1103"/>
      <c r="CV1815" s="1099"/>
      <c r="CW1815" s="1099"/>
      <c r="CX1815" s="1823">
        <v>8.9913370939136943</v>
      </c>
      <c r="CY1815" s="1099"/>
      <c r="CZ1815" s="1102"/>
      <c r="DA1815" s="1103"/>
    </row>
    <row r="1816" spans="87:105">
      <c r="CI1816" s="888">
        <v>927</v>
      </c>
      <c r="CJ1816" s="4" t="s">
        <v>2404</v>
      </c>
      <c r="CL1816" s="1826">
        <v>1.299999999999117</v>
      </c>
      <c r="CN1816" s="1102"/>
      <c r="CO1816" s="1103"/>
      <c r="CR1816" s="1823">
        <v>0.51258639870018619</v>
      </c>
      <c r="CT1816" s="1102"/>
      <c r="CU1816" s="1103"/>
      <c r="CV1816" s="1099"/>
      <c r="CW1816" s="1099"/>
      <c r="CX1816" s="1823">
        <v>-2.3135391898247892</v>
      </c>
      <c r="CY1816" s="1099"/>
      <c r="CZ1816" s="1102"/>
      <c r="DA1816" s="1103"/>
    </row>
    <row r="1817" spans="87:105">
      <c r="CI1817" s="888">
        <v>927</v>
      </c>
      <c r="CJ1817" s="4" t="s">
        <v>2251</v>
      </c>
      <c r="CL1817" s="1826">
        <v>1.499999999999635</v>
      </c>
      <c r="CN1817" s="1102"/>
      <c r="CO1817" s="1103"/>
      <c r="CR1817" s="1823">
        <v>-1.1998274828674531</v>
      </c>
      <c r="CT1817" s="1102"/>
      <c r="CU1817" s="1103"/>
      <c r="CV1817" s="1099"/>
      <c r="CW1817" s="1099"/>
      <c r="CX1817" s="1823">
        <v>-2.6214222630199906</v>
      </c>
      <c r="CY1817" s="1099"/>
      <c r="CZ1817" s="1102"/>
      <c r="DA1817" s="1103"/>
    </row>
    <row r="1818" spans="87:105">
      <c r="CI1818" s="888">
        <v>927</v>
      </c>
      <c r="CJ1818" s="4" t="s">
        <v>2252</v>
      </c>
      <c r="CL1818" s="1826">
        <v>1.6000000000007715</v>
      </c>
      <c r="CN1818" s="1102"/>
      <c r="CO1818" s="1103"/>
      <c r="CR1818" s="1823">
        <v>-0.60348303065847997</v>
      </c>
      <c r="CT1818" s="1102"/>
      <c r="CU1818" s="1103"/>
      <c r="CV1818" s="1099"/>
      <c r="CW1818" s="1099"/>
      <c r="CX1818" s="1823">
        <v>1.7835413540512057</v>
      </c>
      <c r="CY1818" s="1099"/>
      <c r="CZ1818" s="1102"/>
      <c r="DA1818" s="1103"/>
    </row>
    <row r="1819" spans="87:105">
      <c r="CI1819" s="888">
        <v>927</v>
      </c>
      <c r="CJ1819" s="4" t="s">
        <v>2253</v>
      </c>
      <c r="CL1819" s="1826">
        <v>1.500000000000135</v>
      </c>
      <c r="CN1819" s="864"/>
      <c r="CO1819" s="1103"/>
      <c r="CR1819" s="1823">
        <v>-0.27462359742241915</v>
      </c>
      <c r="CT1819" s="864"/>
      <c r="CU1819" s="1103"/>
      <c r="CV1819" s="1099"/>
      <c r="CW1819" s="1099"/>
      <c r="CX1819" s="1823">
        <v>0.60832673608373078</v>
      </c>
      <c r="CY1819" s="1099"/>
      <c r="CZ1819" s="864"/>
      <c r="DA1819" s="1103"/>
    </row>
    <row r="1820" spans="87:105">
      <c r="CI1820" s="888">
        <v>927</v>
      </c>
      <c r="CJ1820" s="4" t="s">
        <v>2254</v>
      </c>
      <c r="CL1820" s="1826">
        <v>1.1999999999999229</v>
      </c>
      <c r="CN1820" s="864"/>
      <c r="CO1820" s="1103"/>
      <c r="CR1820" s="1823">
        <v>1.8859241055303988</v>
      </c>
      <c r="CT1820" s="864"/>
      <c r="CU1820" s="1103"/>
      <c r="CV1820" s="1099"/>
      <c r="CW1820" s="1099"/>
      <c r="CX1820" s="1823">
        <v>2.5327644056274057</v>
      </c>
      <c r="CY1820" s="1099"/>
      <c r="CZ1820" s="864"/>
      <c r="DA1820" s="1103"/>
    </row>
    <row r="1821" spans="87:105">
      <c r="CI1821" s="888">
        <v>927</v>
      </c>
      <c r="CJ1821" s="4" t="s">
        <v>2255</v>
      </c>
      <c r="CL1821" s="1826">
        <v>1.2999999999999954</v>
      </c>
      <c r="CN1821" s="864"/>
      <c r="CO1821" s="1103"/>
      <c r="CR1821" s="1823">
        <v>5.1811001587432948</v>
      </c>
      <c r="CT1821" s="864"/>
      <c r="CU1821" s="1103"/>
      <c r="CV1821" s="1099"/>
      <c r="CW1821" s="1099"/>
      <c r="CX1821" s="1823">
        <v>6.7699680723978997</v>
      </c>
      <c r="CY1821" s="1099"/>
      <c r="CZ1821" s="864"/>
      <c r="DA1821" s="1103"/>
    </row>
    <row r="1822" spans="87:105">
      <c r="CI1822" s="888">
        <v>927</v>
      </c>
      <c r="CJ1822" s="4" t="s">
        <v>2256</v>
      </c>
      <c r="CL1822" s="1826">
        <v>1.499999999999952</v>
      </c>
      <c r="CN1822" s="864"/>
      <c r="CO1822" s="1103"/>
      <c r="CR1822" s="1823">
        <v>-2.091251951613863</v>
      </c>
      <c r="CT1822" s="864"/>
      <c r="CU1822" s="1103"/>
      <c r="CV1822" s="1099"/>
      <c r="CW1822" s="1099"/>
      <c r="CX1822" s="1823">
        <v>6.6695276181161773</v>
      </c>
      <c r="CY1822" s="1099"/>
      <c r="CZ1822" s="864"/>
      <c r="DA1822" s="1103"/>
    </row>
    <row r="1823" spans="87:105">
      <c r="CI1823" s="888">
        <v>927</v>
      </c>
      <c r="CJ1823" s="1091" t="s">
        <v>2257</v>
      </c>
      <c r="CL1823" s="1826">
        <v>0.60000000000007425</v>
      </c>
      <c r="CN1823" s="1104"/>
      <c r="CO1823" s="1105"/>
      <c r="CR1823" s="1824">
        <v>0.99670717262663411</v>
      </c>
      <c r="CT1823" s="1104"/>
      <c r="CU1823" s="1105"/>
      <c r="CV1823" s="1100"/>
      <c r="CW1823" s="1100"/>
      <c r="CX1823" s="1824">
        <v>7.5403770490416377</v>
      </c>
      <c r="CY1823" s="1100"/>
      <c r="CZ1823" s="1104"/>
      <c r="DA1823" s="1105"/>
    </row>
    <row r="1824" spans="87:105">
      <c r="CI1824" s="888" t="s">
        <v>726</v>
      </c>
      <c r="CJ1824" s="4" t="s">
        <v>2258</v>
      </c>
      <c r="CL1824" s="1826"/>
      <c r="CN1824" s="1099">
        <v>-0.52498561571488711</v>
      </c>
      <c r="CO1824" s="1106">
        <v>0.41</v>
      </c>
      <c r="CR1824" s="1822"/>
      <c r="CT1824" s="1102">
        <v>-0.36884461481160924</v>
      </c>
      <c r="CU1824" s="1106">
        <v>0.56000000000000005</v>
      </c>
      <c r="CV1824" s="863"/>
      <c r="CW1824" s="863"/>
      <c r="CX1824" s="1822" t="e">
        <v>#N/A</v>
      </c>
      <c r="CY1824" s="863"/>
      <c r="CZ1824" s="1099">
        <v>-0.11852387622397131</v>
      </c>
      <c r="DA1824" s="1106">
        <v>0.65</v>
      </c>
    </row>
    <row r="1825" spans="87:105">
      <c r="CI1825" s="888" t="s">
        <v>726</v>
      </c>
      <c r="CJ1825" s="4"/>
      <c r="CL1825" s="1826"/>
      <c r="CN1825" s="1102"/>
      <c r="CO1825" s="1103"/>
      <c r="CR1825" s="1822"/>
      <c r="CT1825" s="1102"/>
      <c r="CU1825" s="1103"/>
      <c r="CV1825" s="863"/>
      <c r="CW1825" s="863"/>
      <c r="CX1825" s="1822" t="e">
        <v>#N/A</v>
      </c>
      <c r="CY1825" s="863"/>
      <c r="CZ1825" s="1102"/>
      <c r="DA1825" s="1103"/>
    </row>
    <row r="1826" spans="87:105">
      <c r="CI1826" s="888" t="s">
        <v>726</v>
      </c>
      <c r="CJ1826" s="4"/>
      <c r="CL1826" s="1826"/>
      <c r="CN1826" s="1102"/>
      <c r="CO1826" s="1103"/>
      <c r="CR1826" s="1822"/>
      <c r="CT1826" s="1102"/>
      <c r="CU1826" s="1103"/>
      <c r="CV1826" s="863"/>
      <c r="CW1826" s="863"/>
      <c r="CX1826" s="1822" t="e">
        <v>#N/A</v>
      </c>
      <c r="CY1826" s="863"/>
      <c r="CZ1826" s="1102"/>
      <c r="DA1826" s="1103"/>
    </row>
    <row r="1827" spans="87:105">
      <c r="CI1827" s="888" t="s">
        <v>726</v>
      </c>
      <c r="CJ1827" s="4"/>
      <c r="CL1827" s="1826"/>
      <c r="CN1827" s="1102"/>
      <c r="CO1827" s="1103"/>
      <c r="CR1827" s="1825"/>
      <c r="CT1827" s="1102"/>
      <c r="CU1827" s="1103"/>
      <c r="CV1827" s="1099"/>
      <c r="CW1827" s="1099"/>
      <c r="CX1827" s="1825" t="e">
        <v>#N/A</v>
      </c>
      <c r="CY1827" s="1099"/>
      <c r="CZ1827" s="1102"/>
      <c r="DA1827" s="1103"/>
    </row>
    <row r="1828" spans="87:105">
      <c r="CI1828" s="888" t="s">
        <v>726</v>
      </c>
      <c r="CJ1828" s="4" t="s">
        <v>2537</v>
      </c>
      <c r="CL1828" s="1826">
        <v>0.22620367737563818</v>
      </c>
      <c r="CN1828" s="1102"/>
      <c r="CO1828" s="1103"/>
      <c r="CR1828" s="1823">
        <v>-0.15822582273872454</v>
      </c>
      <c r="CT1828" s="1102"/>
      <c r="CU1828" s="1103"/>
      <c r="CV1828" s="1099"/>
      <c r="CW1828" s="1099"/>
      <c r="CX1828" s="1823">
        <v>-1.5835372343542371</v>
      </c>
      <c r="CY1828" s="1099"/>
      <c r="CZ1828" s="1102"/>
      <c r="DA1828" s="1103"/>
    </row>
    <row r="1829" spans="87:105">
      <c r="CI1829" s="888" t="s">
        <v>726</v>
      </c>
      <c r="CJ1829" s="4" t="s">
        <v>2405</v>
      </c>
      <c r="CL1829" s="1826">
        <v>-0.52498561571488711</v>
      </c>
      <c r="CN1829" s="1102"/>
      <c r="CO1829" s="1103"/>
      <c r="CR1829" s="1823">
        <v>-0.57946340688449394</v>
      </c>
      <c r="CT1829" s="1102"/>
      <c r="CU1829" s="1103"/>
      <c r="CV1829" s="1099"/>
      <c r="CW1829" s="1099"/>
      <c r="CX1829" s="1823">
        <v>-0.11852387622397131</v>
      </c>
      <c r="CY1829" s="1099"/>
      <c r="CZ1829" s="1102"/>
      <c r="DA1829" s="1103"/>
    </row>
    <row r="1830" spans="87:105">
      <c r="CI1830" s="888" t="s">
        <v>726</v>
      </c>
      <c r="CJ1830" s="4" t="s">
        <v>2259</v>
      </c>
      <c r="CL1830" s="1826">
        <v>-0.52514087059298697</v>
      </c>
      <c r="CN1830" s="1102"/>
      <c r="CO1830" s="1103"/>
      <c r="CR1830" s="1823" t="s">
        <v>1218</v>
      </c>
      <c r="CT1830" s="1102"/>
      <c r="CU1830" s="1103"/>
      <c r="CV1830" s="1099"/>
      <c r="CW1830" s="1099"/>
      <c r="CX1830" s="1823">
        <v>-1.240230342715841</v>
      </c>
      <c r="CY1830" s="1099"/>
      <c r="CZ1830" s="1102"/>
      <c r="DA1830" s="1103"/>
    </row>
    <row r="1831" spans="87:105">
      <c r="CI1831" s="888" t="s">
        <v>726</v>
      </c>
      <c r="CJ1831" s="4" t="s">
        <v>2260</v>
      </c>
      <c r="CL1831" s="1826">
        <v>-0.62973235743100897</v>
      </c>
      <c r="CN1831" s="1102"/>
      <c r="CO1831" s="1103"/>
      <c r="CR1831" s="1823" t="s">
        <v>1218</v>
      </c>
      <c r="CT1831" s="1102"/>
      <c r="CU1831" s="1103"/>
      <c r="CV1831" s="1099"/>
      <c r="CW1831" s="1099"/>
      <c r="CX1831" s="1823">
        <v>-0.20227057887847932</v>
      </c>
      <c r="CY1831" s="1099"/>
      <c r="CZ1831" s="1102"/>
      <c r="DA1831" s="1103"/>
    </row>
    <row r="1832" spans="87:105">
      <c r="CI1832" s="888" t="s">
        <v>726</v>
      </c>
      <c r="CJ1832" s="4" t="s">
        <v>2261</v>
      </c>
      <c r="CL1832" s="1826">
        <v>-0.66470841778751488</v>
      </c>
      <c r="CN1832" s="864"/>
      <c r="CO1832" s="1103"/>
      <c r="CR1832" s="1823" t="s">
        <v>1218</v>
      </c>
      <c r="CT1832" s="864"/>
      <c r="CU1832" s="1103"/>
      <c r="CV1832" s="1099"/>
      <c r="CW1832" s="1099"/>
      <c r="CX1832" s="1823">
        <v>0.11126503044444203</v>
      </c>
      <c r="CY1832" s="1099"/>
      <c r="CZ1832" s="864"/>
      <c r="DA1832" s="1103"/>
    </row>
    <row r="1833" spans="87:105">
      <c r="CI1833" s="888" t="s">
        <v>726</v>
      </c>
      <c r="CJ1833" s="4" t="s">
        <v>2262</v>
      </c>
      <c r="CL1833" s="1826">
        <v>-1.2922963398377525</v>
      </c>
      <c r="CN1833" s="864"/>
      <c r="CO1833" s="1103"/>
      <c r="CR1833" s="1823" t="s">
        <v>1218</v>
      </c>
      <c r="CT1833" s="864"/>
      <c r="CU1833" s="1103"/>
      <c r="CV1833" s="1099"/>
      <c r="CW1833" s="1099"/>
      <c r="CX1833" s="1823">
        <v>0.15489482644860741</v>
      </c>
      <c r="CY1833" s="1099"/>
      <c r="CZ1833" s="864"/>
      <c r="DA1833" s="1103"/>
    </row>
    <row r="1834" spans="87:105">
      <c r="CI1834" s="888" t="s">
        <v>726</v>
      </c>
      <c r="CJ1834" s="4" t="s">
        <v>2263</v>
      </c>
      <c r="CL1834" s="1826">
        <v>-0.38590399846985246</v>
      </c>
      <c r="CN1834" s="864"/>
      <c r="CO1834" s="1103"/>
      <c r="CR1834" s="1823" t="s">
        <v>1218</v>
      </c>
      <c r="CT1834" s="864"/>
      <c r="CU1834" s="1103"/>
      <c r="CV1834" s="1099"/>
      <c r="CW1834" s="1099"/>
      <c r="CX1834" s="1823">
        <v>2.6199377045705456</v>
      </c>
      <c r="CY1834" s="1099"/>
      <c r="CZ1834" s="864"/>
      <c r="DA1834" s="1103"/>
    </row>
    <row r="1835" spans="87:105">
      <c r="CI1835" s="888" t="s">
        <v>726</v>
      </c>
      <c r="CJ1835" s="4" t="s">
        <v>2264</v>
      </c>
      <c r="CL1835" s="1826">
        <v>5.2651680598862729</v>
      </c>
      <c r="CN1835" s="864"/>
      <c r="CO1835" s="1103"/>
      <c r="CR1835" s="1823" t="s">
        <v>1218</v>
      </c>
      <c r="CT1835" s="864"/>
      <c r="CU1835" s="1103"/>
      <c r="CV1835" s="1099"/>
      <c r="CW1835" s="1099"/>
      <c r="CX1835" s="1823" t="s">
        <v>1218</v>
      </c>
      <c r="CY1835" s="1099"/>
      <c r="CZ1835" s="864"/>
      <c r="DA1835" s="1103"/>
    </row>
    <row r="1836" spans="87:105">
      <c r="CI1836" s="888" t="s">
        <v>726</v>
      </c>
      <c r="CJ1836" s="1091" t="s">
        <v>2265</v>
      </c>
      <c r="CL1836" s="1826">
        <v>-0.52359875603843453</v>
      </c>
      <c r="CN1836" s="1104"/>
      <c r="CO1836" s="1105"/>
      <c r="CR1836" s="1824" t="s">
        <v>1218</v>
      </c>
      <c r="CT1836" s="1104"/>
      <c r="CU1836" s="1105"/>
      <c r="CV1836" s="1100"/>
      <c r="CW1836" s="1100"/>
      <c r="CX1836" s="1824" t="s">
        <v>1218</v>
      </c>
      <c r="CY1836" s="1100"/>
      <c r="CZ1836" s="1104"/>
      <c r="DA1836" s="1105"/>
    </row>
  </sheetData>
  <mergeCells count="8">
    <mergeCell ref="E3:E4"/>
    <mergeCell ref="C3:C4"/>
    <mergeCell ref="A3:B4"/>
    <mergeCell ref="BS51:BS54"/>
    <mergeCell ref="BA18:BD20"/>
    <mergeCell ref="BB21:BB22"/>
    <mergeCell ref="BA21:BA22"/>
    <mergeCell ref="BA3:BA4"/>
  </mergeCells>
  <hyperlinks>
    <hyperlink ref="C5" location="NavigateMF" display="Macro-Fiscal Shocks" xr:uid="{00000000-0004-0000-1000-000000000000}"/>
    <hyperlink ref="C23" location="NavigateDPV" display="DPV" xr:uid="{00000000-0004-0000-1000-000001000000}"/>
    <hyperlink ref="C12" location="NavigateCL" display="CL" xr:uid="{00000000-0004-0000-1000-000002000000}"/>
    <hyperlink ref="C25" location="NavigateFTR" display="FTR" xr:uid="{00000000-0004-0000-1000-000003000000}"/>
    <hyperlink ref="C27" location="NavigateAdjustment" display="Adjustment" xr:uid="{00000000-0004-0000-1000-000004000000}"/>
    <hyperlink ref="C29" location="NavigateBoomBust" display="Boom-Bust" xr:uid="{00000000-0004-0000-1000-000005000000}"/>
  </hyperlinks>
  <pageMargins left="0.7" right="0.7" top="0.75" bottom="0.75" header="0.3" footer="0.3"/>
  <pageSetup orientation="portrait" r:id="rId1"/>
  <colBreaks count="2" manualBreakCount="2">
    <brk id="7" max="1048575" man="1"/>
    <brk id="14" max="1048575" man="1"/>
  </col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0">
    <tabColor rgb="FF92D050"/>
  </sheetPr>
  <dimension ref="A1:AH46"/>
  <sheetViews>
    <sheetView zoomScaleNormal="100" workbookViewId="0"/>
  </sheetViews>
  <sheetFormatPr defaultColWidth="9.140625" defaultRowHeight="15"/>
  <cols>
    <col min="1" max="1" width="34.28515625" style="288" customWidth="1"/>
    <col min="2" max="7" width="12.42578125" style="288" customWidth="1"/>
    <col min="8" max="8" width="12.42578125" style="800" customWidth="1"/>
    <col min="9" max="9" width="12.42578125" style="288" customWidth="1"/>
    <col min="10" max="10" width="18.28515625" style="288" customWidth="1"/>
    <col min="11" max="11" width="12.42578125" style="288" customWidth="1"/>
    <col min="12" max="12" width="12.42578125" style="1314" customWidth="1"/>
    <col min="13" max="13" width="39.5703125" style="424" customWidth="1"/>
    <col min="14" max="14" width="12.42578125" style="424" customWidth="1"/>
    <col min="15" max="15" width="50.140625" style="1325" customWidth="1"/>
    <col min="16" max="16" width="7.85546875" style="288" customWidth="1"/>
    <col min="17" max="17" width="3.28515625" style="288" customWidth="1"/>
    <col min="18" max="18" width="9" style="288" customWidth="1"/>
    <col min="19" max="19" width="10.5703125" style="288" customWidth="1"/>
    <col min="20" max="21" width="10" style="288" bestFit="1" customWidth="1"/>
    <col min="22" max="22" width="10.5703125" style="288" bestFit="1" customWidth="1"/>
    <col min="23" max="25" width="9.140625" style="288"/>
    <col min="26" max="26" width="2.85546875" style="288" customWidth="1"/>
    <col min="27" max="27" width="10" style="288" customWidth="1"/>
    <col min="28" max="28" width="10.5703125" style="288" customWidth="1"/>
    <col min="29" max="16384" width="9.140625" style="288"/>
  </cols>
  <sheetData>
    <row r="1" spans="1:33" s="459" customFormat="1" ht="39.950000000000003" customHeight="1">
      <c r="A1" s="459" t="s">
        <v>503</v>
      </c>
      <c r="H1" s="797"/>
      <c r="I1" s="459" t="s">
        <v>513</v>
      </c>
      <c r="L1" s="797"/>
      <c r="M1" s="1321" t="s">
        <v>808</v>
      </c>
      <c r="N1" s="1321"/>
      <c r="O1" s="1318" t="s">
        <v>504</v>
      </c>
    </row>
    <row r="2" spans="1:33" s="796" customFormat="1">
      <c r="H2" s="798"/>
      <c r="L2" s="798"/>
      <c r="O2" s="1319"/>
    </row>
    <row r="3" spans="1:33">
      <c r="A3" s="516"/>
      <c r="B3" s="521"/>
      <c r="C3" s="521"/>
      <c r="D3" s="521"/>
      <c r="E3" s="521"/>
      <c r="F3" s="521"/>
      <c r="G3" s="521"/>
      <c r="H3" s="799"/>
      <c r="I3" s="521"/>
      <c r="J3" s="521"/>
      <c r="K3" s="521"/>
      <c r="L3" s="799"/>
      <c r="M3" s="521"/>
      <c r="N3" s="521"/>
      <c r="O3" s="1320"/>
    </row>
    <row r="4" spans="1:33" s="1322" customFormat="1" ht="16.5" customHeight="1">
      <c r="A4" s="776"/>
      <c r="B4" s="521"/>
      <c r="C4" s="521"/>
      <c r="D4" s="521"/>
      <c r="E4" s="521"/>
      <c r="F4" s="521"/>
      <c r="G4" s="521"/>
      <c r="H4" s="799"/>
      <c r="I4" s="521"/>
      <c r="J4" s="521"/>
      <c r="K4" s="521"/>
      <c r="L4" s="799"/>
      <c r="M4" s="2033" t="str">
        <f>"1/ The cell is highlighted in green if debt burden benchmark of "&amp;K13&amp;"% is not exceeded under the specific shock or baseline, yellow if exceeded under specific shock but not baseline, red if benchmark is exceeded under baseline, white if stress test is not relevant."</f>
        <v>1/ The cell is highlighted in green if debt burden benchmark of 85% is not exceeded under the specific shock or baseline, yellow if exceeded under specific shock but not baseline, red if benchmark is exceeded under baseline, white if stress test is not relevant.</v>
      </c>
      <c r="N4" s="2034"/>
      <c r="O4" s="1324"/>
    </row>
    <row r="5" spans="1:33" ht="16.5" customHeight="1">
      <c r="A5" s="783" t="s">
        <v>161</v>
      </c>
      <c r="B5" s="424"/>
      <c r="C5" s="424"/>
      <c r="D5" s="424"/>
      <c r="E5" s="424"/>
      <c r="F5" s="424"/>
      <c r="G5" s="424"/>
      <c r="H5" s="799"/>
      <c r="J5" s="768"/>
      <c r="K5" s="768"/>
      <c r="L5" s="799"/>
      <c r="M5" s="2033"/>
      <c r="N5" s="2034"/>
      <c r="O5" s="1320"/>
    </row>
    <row r="6" spans="1:33" ht="15" customHeight="1">
      <c r="A6" s="246" t="s">
        <v>167</v>
      </c>
      <c r="B6" s="776" t="s">
        <v>158</v>
      </c>
      <c r="C6" s="776"/>
      <c r="D6" s="776"/>
      <c r="E6" s="776"/>
      <c r="F6" s="424"/>
      <c r="G6" s="424"/>
      <c r="L6" s="1313"/>
      <c r="M6" s="2033"/>
      <c r="N6" s="2034"/>
    </row>
    <row r="7" spans="1:33" ht="15.75" customHeight="1" thickBot="1">
      <c r="A7" s="765" t="s">
        <v>164</v>
      </c>
      <c r="B7" s="1578" t="s">
        <v>155</v>
      </c>
      <c r="C7" s="1578"/>
      <c r="D7" s="1578"/>
      <c r="E7" s="1578"/>
      <c r="F7" s="424"/>
      <c r="G7" s="424"/>
      <c r="K7" s="1535" t="str">
        <f>Country</f>
        <v>Latvia</v>
      </c>
      <c r="L7" s="799"/>
      <c r="M7" s="2033"/>
      <c r="N7" s="2034"/>
      <c r="R7" s="767" t="s">
        <v>307</v>
      </c>
      <c r="S7" s="767"/>
      <c r="T7" s="767"/>
      <c r="U7" s="767"/>
      <c r="V7" s="767"/>
      <c r="W7" s="767"/>
      <c r="Y7" s="249"/>
      <c r="AB7" s="767" t="s">
        <v>310</v>
      </c>
      <c r="AC7" s="767"/>
      <c r="AD7" s="767"/>
      <c r="AE7" s="767"/>
      <c r="AF7" s="767"/>
      <c r="AG7" s="767"/>
    </row>
    <row r="8" spans="1:33" ht="15.75" customHeight="1" thickBot="1">
      <c r="A8" s="766" t="s">
        <v>165</v>
      </c>
      <c r="B8" s="776" t="s">
        <v>156</v>
      </c>
      <c r="C8" s="776"/>
      <c r="D8" s="776"/>
      <c r="E8" s="776"/>
      <c r="F8" s="424"/>
      <c r="G8" s="424"/>
      <c r="J8" s="1382" t="s">
        <v>355</v>
      </c>
      <c r="K8" s="1219">
        <f>BenchmarkHMDebtCountry</f>
        <v>70</v>
      </c>
      <c r="M8" s="2033"/>
      <c r="N8" s="2034"/>
      <c r="Y8" s="516"/>
    </row>
    <row r="9" spans="1:33" ht="45.75" thickBot="1">
      <c r="A9" s="764" t="s">
        <v>166</v>
      </c>
      <c r="B9" s="776" t="s">
        <v>157</v>
      </c>
      <c r="C9" s="776"/>
      <c r="D9" s="776"/>
      <c r="E9" s="776"/>
      <c r="F9" s="424"/>
      <c r="G9" s="424"/>
      <c r="L9" s="799"/>
      <c r="M9" s="2033"/>
      <c r="N9" s="2034"/>
      <c r="S9" s="53" t="s">
        <v>306</v>
      </c>
      <c r="T9" s="769"/>
      <c r="U9" s="769"/>
      <c r="V9" s="769"/>
      <c r="W9" s="769"/>
      <c r="X9" s="769"/>
      <c r="Y9" s="769"/>
      <c r="AB9" s="53" t="s">
        <v>306</v>
      </c>
      <c r="AC9" s="769"/>
      <c r="AD9" s="769"/>
      <c r="AE9" s="769"/>
      <c r="AF9" s="769"/>
      <c r="AG9" s="769"/>
    </row>
    <row r="10" spans="1:33" ht="17.45" customHeight="1" thickBot="1">
      <c r="A10" s="424"/>
      <c r="B10" s="424"/>
      <c r="C10" s="424"/>
      <c r="D10" s="424"/>
      <c r="E10" s="424"/>
      <c r="F10" s="424"/>
      <c r="G10" s="424"/>
      <c r="H10" s="801"/>
      <c r="L10" s="799"/>
      <c r="M10" s="2035" t="str">
        <f>"1/ The cell is highlighted in green if debt burden benchmark of "&amp;J13&amp;"% is not exceeded under the specific shock or baseline, yellow if exceeded under specific shock but not baseline, red if benchmark is exceeded under baseline, white if stress test is not relevant."</f>
        <v>1/ The cell is highlighted in green if debt burden benchmark of 70% is not exceeded under the specific shock or baseline, yellow if exceeded under specific shock but not baseline, red if benchmark is exceeded under baseline, white if stress test is not relevant.</v>
      </c>
      <c r="N10" s="2036"/>
      <c r="O10" s="1326"/>
      <c r="R10" s="1519">
        <f>S10-1</f>
        <v>2017</v>
      </c>
      <c r="S10" s="54">
        <f>FirstYear</f>
        <v>2018</v>
      </c>
      <c r="T10" s="55">
        <f>S10+1</f>
        <v>2019</v>
      </c>
      <c r="U10" s="56">
        <f>T10+1</f>
        <v>2020</v>
      </c>
      <c r="V10" s="56">
        <f>U10+1</f>
        <v>2021</v>
      </c>
      <c r="W10" s="56">
        <f>V10+1</f>
        <v>2022</v>
      </c>
      <c r="X10" s="57">
        <f>W10+1</f>
        <v>2023</v>
      </c>
      <c r="Y10" s="136"/>
      <c r="AA10" s="1519">
        <f>AB10-1</f>
        <v>2017</v>
      </c>
      <c r="AB10" s="54">
        <f>FirstYear</f>
        <v>2018</v>
      </c>
      <c r="AC10" s="55">
        <f>AB10+1</f>
        <v>2019</v>
      </c>
      <c r="AD10" s="56">
        <f>AC10+1</f>
        <v>2020</v>
      </c>
      <c r="AE10" s="56">
        <f>AD10+1</f>
        <v>2021</v>
      </c>
      <c r="AF10" s="56">
        <f>AE10+1</f>
        <v>2022</v>
      </c>
      <c r="AG10" s="57">
        <f>AF10+1</f>
        <v>2023</v>
      </c>
    </row>
    <row r="11" spans="1:33" ht="30">
      <c r="A11" s="781"/>
      <c r="B11" s="782" t="s">
        <v>160</v>
      </c>
      <c r="C11" s="782" t="s">
        <v>163</v>
      </c>
      <c r="D11" s="782" t="s">
        <v>145</v>
      </c>
      <c r="E11" s="782" t="s">
        <v>127</v>
      </c>
      <c r="F11" s="782" t="s">
        <v>301</v>
      </c>
      <c r="G11" s="782"/>
      <c r="L11" s="1323"/>
      <c r="M11" s="2035"/>
      <c r="N11" s="2036"/>
      <c r="O11" s="1327" t="s">
        <v>305</v>
      </c>
      <c r="P11" s="248"/>
      <c r="Q11" s="248"/>
      <c r="R11" s="248"/>
      <c r="S11" s="2032"/>
      <c r="T11" s="2032"/>
      <c r="U11" s="2032"/>
      <c r="V11" s="2032"/>
      <c r="W11" s="2032"/>
      <c r="X11" s="2032"/>
      <c r="Y11" s="521"/>
      <c r="AB11" s="2032"/>
      <c r="AC11" s="2032"/>
      <c r="AD11" s="2032"/>
      <c r="AE11" s="2032"/>
      <c r="AF11" s="2032"/>
      <c r="AG11" s="2032"/>
    </row>
    <row r="12" spans="1:33" ht="15.75" thickBot="1">
      <c r="A12" s="424" t="s">
        <v>290</v>
      </c>
      <c r="B12" s="521">
        <f ca="1">IF(AND(HeatMap!$Y$23=0,HeatMap!$Y$25=0),1,IF(HeatMap!$Y$23=1,3,2))</f>
        <v>1</v>
      </c>
      <c r="C12" s="521">
        <f ca="1">IF(AND(HeatMap!$Y$23=0,HeatMap!$Y$24=0),1,IF(HeatMap!$Y$23=1,3,2))</f>
        <v>1</v>
      </c>
      <c r="D12" s="521">
        <f ca="1">IF(AND(HeatMap!$Y$23=0,HeatMap!$Y$26=0),1,IF(HeatMap!$Y$23=1,3,2))</f>
        <v>1</v>
      </c>
      <c r="E12" s="521">
        <f ca="1">IF(AND(HeatMap!$Y$23=0,HeatMap!$Y$27=0),1,IF(HeatMap!$Y$23=1,3,2))</f>
        <v>1</v>
      </c>
      <c r="F12" s="521">
        <f>IF(HeatMap!$P$29=1,IF(AND(HeatMap!$Y$23=0,HeatMap!$Y$29=0),1,IF(HeatMap!$Y$23=1,3,2)),0)</f>
        <v>0</v>
      </c>
      <c r="G12" s="521"/>
      <c r="I12" s="770"/>
      <c r="J12" s="1534" t="s">
        <v>440</v>
      </c>
      <c r="K12" s="1534" t="s">
        <v>514</v>
      </c>
      <c r="L12" s="804"/>
      <c r="M12" s="2035"/>
      <c r="N12" s="2036"/>
      <c r="O12" s="806" t="s">
        <v>76</v>
      </c>
      <c r="P12" s="1551"/>
      <c r="Q12" s="1551"/>
      <c r="R12" s="1552">
        <f>100*'Baseline debt'!O83</f>
        <v>39.842702208732895</v>
      </c>
      <c r="S12" s="1552">
        <f>100*'Baseline debt'!P83</f>
        <v>37.084342131638088</v>
      </c>
      <c r="T12" s="1552">
        <f>100*'Baseline debt'!Q83</f>
        <v>35.351552504862923</v>
      </c>
      <c r="U12" s="1552">
        <f>100*'Baseline debt'!R83</f>
        <v>33.542090376828199</v>
      </c>
      <c r="V12" s="1552">
        <f>100*'Baseline debt'!S83</f>
        <v>32.056160655910695</v>
      </c>
      <c r="W12" s="1552">
        <f>100*'Baseline debt'!T83</f>
        <v>29.915873102736189</v>
      </c>
      <c r="X12" s="1552">
        <f>100*'Baseline debt'!U83</f>
        <v>27.903074435380589</v>
      </c>
      <c r="Y12" s="1552"/>
      <c r="Z12" s="1553"/>
      <c r="AA12" s="1554">
        <f>100*'Baseline debt'!O89</f>
        <v>1.5203756467637319</v>
      </c>
      <c r="AB12" s="1554">
        <f>100*'Baseline debt'!P89</f>
        <v>3.5984842323630626</v>
      </c>
      <c r="AC12" s="1554">
        <f>100*'Baseline debt'!Q89</f>
        <v>2.736884117115657</v>
      </c>
      <c r="AD12" s="1554">
        <f>100*'Baseline debt'!R89</f>
        <v>2.3965618199100005</v>
      </c>
      <c r="AE12" s="1554">
        <f>100*'Baseline debt'!S89</f>
        <v>1.2003971380328871</v>
      </c>
      <c r="AF12" s="1554">
        <f>100*'Baseline debt'!T89</f>
        <v>-1.4862612076263433</v>
      </c>
      <c r="AG12" s="1554">
        <f>100*'Baseline debt'!U89</f>
        <v>-2.2506508944660197</v>
      </c>
    </row>
    <row r="13" spans="1:33" ht="15.75" thickBot="1">
      <c r="A13" s="424" t="s">
        <v>291</v>
      </c>
      <c r="B13" s="777"/>
      <c r="C13" s="778"/>
      <c r="D13" s="778"/>
      <c r="E13" s="778"/>
      <c r="F13" s="1253"/>
      <c r="G13" s="424"/>
      <c r="I13" s="770"/>
      <c r="J13" s="1562">
        <f>Benchmarks!D32</f>
        <v>70</v>
      </c>
      <c r="K13" s="1562">
        <f>Benchmarks!E32</f>
        <v>85</v>
      </c>
      <c r="L13" s="804"/>
      <c r="M13" s="2035"/>
      <c r="N13" s="2036"/>
      <c r="O13" s="1545" t="s">
        <v>119</v>
      </c>
      <c r="P13" s="1154"/>
      <c r="Q13" s="1154"/>
      <c r="R13" s="771">
        <f>R$12</f>
        <v>39.842702208732895</v>
      </c>
      <c r="S13" s="771">
        <f>100*primary!B$37</f>
        <v>37.094606570883371</v>
      </c>
      <c r="T13" s="771">
        <f ca="1">100*primary!C$37</f>
        <v>38.214400364463955</v>
      </c>
      <c r="U13" s="771">
        <f ca="1">100*primary!D$37</f>
        <v>38.918983896573437</v>
      </c>
      <c r="V13" s="771">
        <f ca="1">100*primary!E$37</f>
        <v>37.610365701816015</v>
      </c>
      <c r="W13" s="771">
        <f ca="1">100*primary!F$37</f>
        <v>36.469134459946503</v>
      </c>
      <c r="X13" s="771">
        <f ca="1">100*primary!G$37</f>
        <v>35.393780598028229</v>
      </c>
      <c r="Y13" s="771"/>
      <c r="Z13" s="772"/>
      <c r="AA13" s="772">
        <f>AA12</f>
        <v>1.5203756467637319</v>
      </c>
      <c r="AB13" s="773">
        <f>100*primary!B$39</f>
        <v>3.5994671534530136</v>
      </c>
      <c r="AC13" s="773">
        <f ca="1">100*primary!C$39</f>
        <v>8.7524527237149243</v>
      </c>
      <c r="AD13" s="773">
        <f ca="1">100*primary!D$39</f>
        <v>14.473750684764328</v>
      </c>
      <c r="AE13" s="773">
        <f ca="1">100*primary!E$39</f>
        <v>18.230882511907389</v>
      </c>
      <c r="AF13" s="773">
        <f ca="1">100*primary!F$39</f>
        <v>18.788063478595308</v>
      </c>
      <c r="AG13" s="773">
        <f ca="1">100*primary!G$39</f>
        <v>18.525471587823333</v>
      </c>
    </row>
    <row r="14" spans="1:33" ht="15.75" thickBot="1">
      <c r="A14" s="779" t="s">
        <v>292</v>
      </c>
      <c r="B14" s="784">
        <f ca="1">IF(ISNUMBER(B13),B13,B12)</f>
        <v>1</v>
      </c>
      <c r="C14" s="784">
        <f ca="1">IF(ISNUMBER(C13),C13,C12)</f>
        <v>1</v>
      </c>
      <c r="D14" s="784">
        <f ca="1">IF(ISNUMBER(D13),D13,D12)</f>
        <v>1</v>
      </c>
      <c r="E14" s="784">
        <f ca="1">IF(ISNUMBER(E13),E13,E12)</f>
        <v>1</v>
      </c>
      <c r="F14" s="784">
        <f>IF(ISNUMBER(F13),F13,F12)</f>
        <v>0</v>
      </c>
      <c r="G14" s="784"/>
      <c r="H14" s="810"/>
      <c r="I14" s="786"/>
      <c r="J14" s="786"/>
      <c r="K14" s="786"/>
      <c r="L14" s="1315"/>
      <c r="M14" s="786"/>
      <c r="N14" s="786"/>
      <c r="O14" s="1545" t="s">
        <v>82</v>
      </c>
      <c r="P14" s="1154"/>
      <c r="Q14" s="1154"/>
      <c r="R14" s="771">
        <f t="shared" ref="R14:R20" si="0">R$12</f>
        <v>39.842702208732895</v>
      </c>
      <c r="S14" s="771">
        <f>100*growth!B$37</f>
        <v>37.094606570883371</v>
      </c>
      <c r="T14" s="771">
        <f ca="1">100*growth!C$37</f>
        <v>39.454349298817441</v>
      </c>
      <c r="U14" s="771">
        <f ca="1">100*growth!D$37</f>
        <v>41.484540959050896</v>
      </c>
      <c r="V14" s="771">
        <f ca="1">100*growth!E$37</f>
        <v>39.976006759244903</v>
      </c>
      <c r="W14" s="771">
        <f ca="1">100*growth!F$37</f>
        <v>38.714403333448963</v>
      </c>
      <c r="X14" s="771">
        <f ca="1">100*growth!G$37</f>
        <v>37.528723078427156</v>
      </c>
      <c r="Y14" s="771"/>
      <c r="Z14" s="772"/>
      <c r="AA14" s="772">
        <f t="shared" ref="AA14:AA20" si="1">AA13</f>
        <v>1.5203756467637319</v>
      </c>
      <c r="AB14" s="773">
        <f>100*growth!B$39</f>
        <v>3.5994671534530136</v>
      </c>
      <c r="AC14" s="773">
        <f ca="1">100*growth!C$39</f>
        <v>7.6640589946873048</v>
      </c>
      <c r="AD14" s="773">
        <f ca="1">100*growth!D$39</f>
        <v>13.168922635096822</v>
      </c>
      <c r="AE14" s="773">
        <f ca="1">100*growth!E$39</f>
        <v>17.680817519954925</v>
      </c>
      <c r="AF14" s="773">
        <f ca="1">100*growth!F$39</f>
        <v>18.409974092503905</v>
      </c>
      <c r="AG14" s="773">
        <f ca="1">100*growth!G$39</f>
        <v>18.178910235363414</v>
      </c>
    </row>
    <row r="15" spans="1:33">
      <c r="A15" s="424"/>
      <c r="B15" s="425"/>
      <c r="C15" s="425"/>
      <c r="D15" s="279"/>
      <c r="E15" s="279"/>
      <c r="F15" s="279"/>
      <c r="G15" s="279"/>
      <c r="H15" s="803"/>
      <c r="I15" s="279"/>
      <c r="J15" s="279"/>
      <c r="K15" s="279"/>
      <c r="L15" s="1316"/>
      <c r="M15" s="528"/>
      <c r="N15" s="528"/>
      <c r="O15" s="1545" t="s">
        <v>309</v>
      </c>
      <c r="P15" s="1154"/>
      <c r="Q15" s="1154"/>
      <c r="R15" s="771">
        <f t="shared" si="0"/>
        <v>39.842702208732895</v>
      </c>
      <c r="S15" s="771">
        <f>100*interest!B$37</f>
        <v>37.094606570883371</v>
      </c>
      <c r="T15" s="771">
        <f ca="1">100*interest!C$37</f>
        <v>36.564685698719956</v>
      </c>
      <c r="U15" s="771">
        <f ca="1">100*interest!D$37</f>
        <v>36.799396931371355</v>
      </c>
      <c r="V15" s="771">
        <f ca="1">100*interest!E$37</f>
        <v>37.665139591309973</v>
      </c>
      <c r="W15" s="771">
        <f ca="1">100*interest!F$37</f>
        <v>39.79464642811719</v>
      </c>
      <c r="X15" s="771">
        <f ca="1">100*interest!G$37</f>
        <v>42.60683361230204</v>
      </c>
      <c r="Y15" s="771"/>
      <c r="Z15" s="772"/>
      <c r="AA15" s="772">
        <f t="shared" si="1"/>
        <v>1.5203756467637319</v>
      </c>
      <c r="AB15" s="773">
        <f>100*interest!B$39</f>
        <v>3.5994671534530136</v>
      </c>
      <c r="AC15" s="773">
        <f ca="1">100*interest!C$39</f>
        <v>7.1027380579709201</v>
      </c>
      <c r="AD15" s="773">
        <f ca="1">100*interest!D$39</f>
        <v>12.480881544424459</v>
      </c>
      <c r="AE15" s="773">
        <f ca="1">100*interest!E$39</f>
        <v>18.462620869326276</v>
      </c>
      <c r="AF15" s="773">
        <f ca="1">100*interest!F$39</f>
        <v>22.223832267570238</v>
      </c>
      <c r="AG15" s="773">
        <f ca="1">100*interest!G$39</f>
        <v>25.716851627295739</v>
      </c>
    </row>
    <row r="16" spans="1:33" ht="16.5" customHeight="1">
      <c r="A16" s="527"/>
      <c r="B16" s="528"/>
      <c r="C16" s="528"/>
      <c r="D16" s="770"/>
      <c r="E16" s="770"/>
      <c r="F16" s="770"/>
      <c r="G16" s="770"/>
      <c r="H16" s="802"/>
      <c r="I16" s="770"/>
      <c r="J16" s="770"/>
      <c r="K16" s="770"/>
      <c r="L16" s="804"/>
      <c r="M16" s="2037" t="str">
        <f>"2/ The cell is highlighted in green if gross financing needs benchmark of "&amp;HeatMap!K28&amp;"% is not exceeded under the specific shock or baseline, yellow if exceeded under specific shock but not baseline, red if benchmark is exceeded under baseline, white if stress test is not relevant."</f>
        <v>2/ The cell is highlighted in green if gross financing needs benchmark of 20% is not exceeded under the specific shock or baseline, yellow if exceeded under specific shock but not baseline, red if benchmark is exceeded under baseline, white if stress test is not relevant.</v>
      </c>
      <c r="N16" s="2038"/>
      <c r="O16" s="1545" t="s">
        <v>308</v>
      </c>
      <c r="P16" s="1154"/>
      <c r="Q16" s="1154"/>
      <c r="R16" s="771">
        <f t="shared" si="0"/>
        <v>39.842702208732895</v>
      </c>
      <c r="S16" s="771">
        <f>100*exchange!B$39</f>
        <v>37.094606570883371</v>
      </c>
      <c r="T16" s="771">
        <f ca="1">100*exchange!C$39</f>
        <v>35.031052616552522</v>
      </c>
      <c r="U16" s="771">
        <f ca="1">100*exchange!D$39</f>
        <v>34.133935521940252</v>
      </c>
      <c r="V16" s="771">
        <f ca="1">100*exchange!E$39</f>
        <v>32.892605575059719</v>
      </c>
      <c r="W16" s="771">
        <f ca="1">100*exchange!F$39</f>
        <v>31.854434558541548</v>
      </c>
      <c r="X16" s="771">
        <f ca="1">100*exchange!G$39</f>
        <v>30.878738340041963</v>
      </c>
      <c r="Y16" s="771"/>
      <c r="Z16" s="772"/>
      <c r="AA16" s="772">
        <f t="shared" si="1"/>
        <v>1.5203756467637319</v>
      </c>
      <c r="AB16" s="773">
        <f>100*exchange!B$41</f>
        <v>3.5994671534530136</v>
      </c>
      <c r="AC16" s="773">
        <f ca="1">100*exchange!C$41</f>
        <v>6.8036498145042286</v>
      </c>
      <c r="AD16" s="773">
        <f ca="1">100*exchange!D$41</f>
        <v>10.833715050890696</v>
      </c>
      <c r="AE16" s="773">
        <f ca="1">100*exchange!E$41</f>
        <v>14.545528452531551</v>
      </c>
      <c r="AF16" s="773">
        <f ca="1">100*exchange!F$41</f>
        <v>15.14538576458126</v>
      </c>
      <c r="AG16" s="773">
        <f ca="1">100*exchange!G$41</f>
        <v>14.955295803831683</v>
      </c>
    </row>
    <row r="17" spans="1:34">
      <c r="A17" s="424"/>
      <c r="B17" s="425"/>
      <c r="C17" s="425"/>
      <c r="D17" s="772"/>
      <c r="E17" s="772"/>
      <c r="F17" s="772"/>
      <c r="G17" s="772"/>
      <c r="H17" s="802"/>
      <c r="I17" s="770"/>
      <c r="J17" s="770"/>
      <c r="K17" s="770"/>
      <c r="L17" s="804"/>
      <c r="M17" s="2037"/>
      <c r="N17" s="2038"/>
      <c r="O17" s="1545" t="s">
        <v>128</v>
      </c>
      <c r="P17" s="1154"/>
      <c r="Q17" s="1154"/>
      <c r="R17" s="771">
        <f t="shared" si="0"/>
        <v>39.842702208732895</v>
      </c>
      <c r="S17" s="771">
        <f>100*combo!B$37</f>
        <v>37.094606570883371</v>
      </c>
      <c r="T17" s="771">
        <f ca="1">100*combo!C$37</f>
        <v>41.110895240749436</v>
      </c>
      <c r="U17" s="771">
        <f ca="1">100*combo!D$37</f>
        <v>46.533080176173428</v>
      </c>
      <c r="V17" s="771">
        <f ca="1">100*combo!E$37</f>
        <v>48.0787275778465</v>
      </c>
      <c r="W17" s="771">
        <f ca="1">100*combo!F$37</f>
        <v>51.189894470002628</v>
      </c>
      <c r="X17" s="771">
        <f ca="1">100*combo!G$37</f>
        <v>55.192876053756414</v>
      </c>
      <c r="Y17" s="771"/>
      <c r="Z17" s="772"/>
      <c r="AA17" s="772">
        <f t="shared" si="1"/>
        <v>1.5203756467637319</v>
      </c>
      <c r="AB17" s="773">
        <f>100*combo!B$39</f>
        <v>3.5994671534530136</v>
      </c>
      <c r="AC17" s="773">
        <f ca="1">100*combo!C$39</f>
        <v>9.3137736604313091</v>
      </c>
      <c r="AD17" s="773">
        <f ca="1">100*combo!D$39</f>
        <v>18.073757129633336</v>
      </c>
      <c r="AE17" s="773">
        <f ca="1">100*combo!E$39</f>
        <v>25.45760339959476</v>
      </c>
      <c r="AF17" s="773">
        <f ca="1">100*combo!F$39</f>
        <v>30.438910168985327</v>
      </c>
      <c r="AG17" s="773">
        <f ca="1">100*combo!G$39</f>
        <v>35.196659379365123</v>
      </c>
    </row>
    <row r="18" spans="1:34">
      <c r="H18" s="802"/>
      <c r="J18" s="768"/>
      <c r="L18" s="799"/>
      <c r="M18" s="2037"/>
      <c r="N18" s="2038"/>
      <c r="O18" s="1545" t="s">
        <v>312</v>
      </c>
      <c r="P18" s="249"/>
      <c r="Q18" s="249"/>
      <c r="R18" s="771">
        <f t="shared" si="0"/>
        <v>39.842702208732895</v>
      </c>
      <c r="S18" s="771">
        <f>100*contingent!B$37</f>
        <v>37.094606570883371</v>
      </c>
      <c r="T18" s="771">
        <f ca="1">100*contingent!C$37</f>
        <v>47.766600541061734</v>
      </c>
      <c r="U18" s="771">
        <f ca="1">100*contingent!D$37</f>
        <v>50.54855835470623</v>
      </c>
      <c r="V18" s="771">
        <f ca="1">100*contingent!E$37</f>
        <v>48.87245054615348</v>
      </c>
      <c r="W18" s="771">
        <f ca="1">100*contingent!F$37</f>
        <v>47.461013602690457</v>
      </c>
      <c r="X18" s="771">
        <f ca="1">100*contingent!G$37</f>
        <v>46.125437322831736</v>
      </c>
      <c r="Y18" s="771"/>
      <c r="Z18" s="772"/>
      <c r="AA18" s="772">
        <f t="shared" si="1"/>
        <v>1.5203756467637319</v>
      </c>
      <c r="AB18" s="773">
        <f>100*contingent!B$39</f>
        <v>3.5994671534530136</v>
      </c>
      <c r="AC18" s="773">
        <f ca="1">100*contingent!C$39</f>
        <v>15.976310236931591</v>
      </c>
      <c r="AD18" s="773">
        <f ca="1">100*contingent!D$39</f>
        <v>21.543964993845215</v>
      </c>
      <c r="AE18" s="773">
        <f ca="1">100*contingent!E$39</f>
        <v>25.729762330819756</v>
      </c>
      <c r="AF18" s="773">
        <f ca="1">100*contingent!F$39</f>
        <v>26.355793282216748</v>
      </c>
      <c r="AG18" s="773">
        <f ca="1">100*contingent!G$39</f>
        <v>25.997615832423598</v>
      </c>
    </row>
    <row r="19" spans="1:34">
      <c r="A19" s="783" t="s">
        <v>501</v>
      </c>
      <c r="B19" s="425"/>
      <c r="C19" s="425"/>
      <c r="D19" s="770"/>
      <c r="E19" s="770"/>
      <c r="F19" s="770"/>
      <c r="G19" s="770"/>
      <c r="H19" s="802"/>
      <c r="K19" s="1535" t="str">
        <f>Country</f>
        <v>Latvia</v>
      </c>
      <c r="L19" s="1313"/>
      <c r="M19" s="2037"/>
      <c r="N19" s="2038"/>
      <c r="O19" s="1545" t="str">
        <f>IF(ISBLANK(Custom1Name), "Customized shock 1",Custom1Name)</f>
        <v>Customized shock 1</v>
      </c>
      <c r="P19" s="249"/>
      <c r="Q19" s="249"/>
      <c r="R19" s="771">
        <f t="shared" si="0"/>
        <v>39.842702208732895</v>
      </c>
      <c r="S19" s="771">
        <f>100*custom1!B$37</f>
        <v>37.094606570883371</v>
      </c>
      <c r="T19" s="771">
        <f ca="1">100*custom1!C$37</f>
        <v>39.288738880872828</v>
      </c>
      <c r="U19" s="771">
        <f ca="1">100*custom1!D$37</f>
        <v>41.062832284794872</v>
      </c>
      <c r="V19" s="771">
        <f ca="1">100*custom1!E$37</f>
        <v>42.453057780135403</v>
      </c>
      <c r="W19" s="771">
        <f ca="1">100*custom1!F$37</f>
        <v>44.059856002423778</v>
      </c>
      <c r="X19" s="771">
        <f ca="1">100*custom1!G$37</f>
        <v>45.71657618208512</v>
      </c>
      <c r="Y19" s="249"/>
      <c r="Z19" s="249"/>
      <c r="AA19" s="772">
        <f t="shared" si="1"/>
        <v>1.5203756467637319</v>
      </c>
      <c r="AB19" s="773">
        <f>100*custom1!B$39</f>
        <v>3.5994671534530136</v>
      </c>
      <c r="AC19" s="773">
        <f ca="1">100*custom1!C$39</f>
        <v>9.2433863363465818</v>
      </c>
      <c r="AD19" s="773">
        <f ca="1">100*custom1!D$39</f>
        <v>15.615005652592265</v>
      </c>
      <c r="AE19" s="773">
        <f ca="1">100*custom1!E$39</f>
        <v>21.855409189538062</v>
      </c>
      <c r="AF19" s="773">
        <f ca="1">100*custom1!F$39</f>
        <v>24.829965259010738</v>
      </c>
      <c r="AG19" s="773">
        <f ca="1">100*custom1!G$39</f>
        <v>26.905888527275003</v>
      </c>
    </row>
    <row r="20" spans="1:34">
      <c r="A20" s="424"/>
      <c r="B20" s="425"/>
      <c r="C20" s="425"/>
      <c r="D20" s="770"/>
      <c r="E20" s="770"/>
      <c r="F20" s="770"/>
      <c r="G20" s="770"/>
      <c r="H20" s="802"/>
      <c r="J20" s="263" t="s">
        <v>356</v>
      </c>
      <c r="K20" s="1219">
        <f>BenchmarkHMGFNCountry</f>
        <v>15</v>
      </c>
      <c r="L20" s="799"/>
      <c r="M20" s="2037"/>
      <c r="N20" s="2038"/>
      <c r="O20" s="1546" t="str">
        <f>IF(ISBLANK(Custom2Name), "Customized shock 2",Custom2Name)</f>
        <v>Customized shock 2</v>
      </c>
      <c r="P20" s="1547"/>
      <c r="Q20" s="1547"/>
      <c r="R20" s="1548">
        <f t="shared" si="0"/>
        <v>39.842702208732895</v>
      </c>
      <c r="S20" s="1548">
        <f>100*custom2!B$37</f>
        <v>37.094606570883371</v>
      </c>
      <c r="T20" s="1548">
        <f ca="1">100*custom2!C$37</f>
        <v>41.923163009491724</v>
      </c>
      <c r="U20" s="1548">
        <f ca="1">100*custom2!D$37</f>
        <v>46.279446981641478</v>
      </c>
      <c r="V20" s="1548">
        <f ca="1">100*custom2!E$37</f>
        <v>50.234258814106845</v>
      </c>
      <c r="W20" s="1548">
        <f ca="1">100*custom2!F$37</f>
        <v>54.387439406106864</v>
      </c>
      <c r="X20" s="1548">
        <f ca="1">100*custom2!G$37</f>
        <v>58.561679531290991</v>
      </c>
      <c r="Y20" s="1547"/>
      <c r="Z20" s="1547"/>
      <c r="AA20" s="1549">
        <f t="shared" si="1"/>
        <v>1.5203756467637319</v>
      </c>
      <c r="AB20" s="1550">
        <f>100*custom2!B$39</f>
        <v>3.5994671534530136</v>
      </c>
      <c r="AC20" s="1550">
        <f ca="1">100*custom2!C$39</f>
        <v>12.172372744813773</v>
      </c>
      <c r="AD20" s="1550">
        <f ca="1">100*custom2!D$39</f>
        <v>21.093935423641597</v>
      </c>
      <c r="AE20" s="1550">
        <f ca="1">100*custom2!E$39</f>
        <v>29.807556866779699</v>
      </c>
      <c r="AF20" s="1550">
        <f ca="1">100*custom2!F$39</f>
        <v>35.358341477290516</v>
      </c>
      <c r="AG20" s="1550">
        <f ca="1">100*custom2!G$39</f>
        <v>39.953163407988555</v>
      </c>
    </row>
    <row r="21" spans="1:34">
      <c r="A21" s="246" t="s">
        <v>167</v>
      </c>
      <c r="B21" s="776" t="s">
        <v>158</v>
      </c>
      <c r="C21" s="776"/>
      <c r="D21" s="776"/>
      <c r="E21" s="776"/>
      <c r="F21" s="516"/>
      <c r="G21" s="516"/>
      <c r="H21" s="802"/>
      <c r="J21" s="770"/>
      <c r="M21" s="2037"/>
      <c r="N21" s="2038"/>
    </row>
    <row r="22" spans="1:34">
      <c r="A22" s="765" t="s">
        <v>164</v>
      </c>
      <c r="B22" s="1578" t="s">
        <v>155</v>
      </c>
      <c r="C22" s="1578"/>
      <c r="D22" s="1578"/>
      <c r="E22" s="1578"/>
      <c r="F22" s="516"/>
      <c r="G22" s="516"/>
      <c r="H22" s="802"/>
      <c r="L22" s="799"/>
      <c r="M22" s="2037"/>
      <c r="N22" s="2038"/>
      <c r="O22" s="1328" t="s">
        <v>948</v>
      </c>
      <c r="P22" s="149" t="s">
        <v>321</v>
      </c>
      <c r="Q22" s="248"/>
      <c r="R22" s="248"/>
      <c r="S22" s="444"/>
      <c r="T22" s="444"/>
      <c r="U22" s="444"/>
      <c r="V22" s="444"/>
      <c r="W22" s="444"/>
      <c r="X22" s="444"/>
      <c r="Y22" s="273" t="s">
        <v>311</v>
      </c>
      <c r="Z22" s="249"/>
      <c r="AA22" s="249"/>
      <c r="AB22" s="444"/>
      <c r="AC22" s="444"/>
      <c r="AD22" s="444"/>
      <c r="AE22" s="444"/>
      <c r="AF22" s="444"/>
      <c r="AG22" s="444"/>
      <c r="AH22" s="287" t="s">
        <v>311</v>
      </c>
    </row>
    <row r="23" spans="1:34">
      <c r="A23" s="766" t="s">
        <v>165</v>
      </c>
      <c r="B23" s="776" t="s">
        <v>156</v>
      </c>
      <c r="C23" s="776"/>
      <c r="D23" s="776"/>
      <c r="E23" s="776"/>
      <c r="F23" s="516"/>
      <c r="G23" s="516"/>
      <c r="H23" s="802"/>
      <c r="L23" s="799"/>
      <c r="M23" s="521"/>
      <c r="N23" s="425"/>
      <c r="O23" s="806" t="s">
        <v>76</v>
      </c>
      <c r="P23" s="1555"/>
      <c r="Q23" s="1556"/>
      <c r="R23" s="1557">
        <f>IF(R12&gt;$K$8,1,0)</f>
        <v>0</v>
      </c>
      <c r="S23" s="1557">
        <f>IF(S12&gt;$K$8,1,0)</f>
        <v>0</v>
      </c>
      <c r="T23" s="1557">
        <f t="shared" ref="S23:X31" si="2">IF(T12&gt;$K$8,1,0)</f>
        <v>0</v>
      </c>
      <c r="U23" s="1557">
        <f t="shared" si="2"/>
        <v>0</v>
      </c>
      <c r="V23" s="1557">
        <f t="shared" si="2"/>
        <v>0</v>
      </c>
      <c r="W23" s="1557">
        <f t="shared" si="2"/>
        <v>0</v>
      </c>
      <c r="X23" s="1557">
        <f t="shared" si="2"/>
        <v>0</v>
      </c>
      <c r="Y23" s="1557">
        <f>IF(OR(R23=1,S23=1,T23=1,U23=1,V23=1,W23=1,X23=1),1,0)</f>
        <v>0</v>
      </c>
      <c r="Z23" s="1557"/>
      <c r="AA23" s="1557">
        <f t="shared" ref="AA23:AA31" si="3">IF(AA12&gt;$K$20,1,0)</f>
        <v>0</v>
      </c>
      <c r="AB23" s="1557">
        <f t="shared" ref="AB23:AG31" si="4">IF(AB12&gt;$K$20,1,0)</f>
        <v>0</v>
      </c>
      <c r="AC23" s="1557">
        <f t="shared" si="4"/>
        <v>0</v>
      </c>
      <c r="AD23" s="1557">
        <f t="shared" si="4"/>
        <v>0</v>
      </c>
      <c r="AE23" s="1557">
        <f t="shared" si="4"/>
        <v>0</v>
      </c>
      <c r="AF23" s="1557">
        <f t="shared" si="4"/>
        <v>0</v>
      </c>
      <c r="AG23" s="1557">
        <f t="shared" si="4"/>
        <v>0</v>
      </c>
      <c r="AH23" s="1557">
        <f>IF(OR(AA23=1,AB23=1,AC23=1,AD23=1,AE23=1,AF23=1,AG23=1),1,0)</f>
        <v>0</v>
      </c>
    </row>
    <row r="24" spans="1:34" ht="16.5" customHeight="1">
      <c r="A24" s="764" t="s">
        <v>166</v>
      </c>
      <c r="B24" s="776" t="s">
        <v>157</v>
      </c>
      <c r="C24" s="776"/>
      <c r="D24" s="776"/>
      <c r="E24" s="776"/>
      <c r="F24" s="516"/>
      <c r="G24" s="516"/>
      <c r="H24" s="804"/>
      <c r="I24" s="775"/>
      <c r="L24" s="804"/>
      <c r="M24" s="2039" t="str">
        <f>"2/ The cell is highlighted in green if gross financing needs benchmark of "&amp;HeatMap!J28&amp;"% is not exceeded under the specific shock or baseline, yellow if exceeded under specific shock but not baseline, red if benchmark is exceeded under baseline, white if stress test is not relevant."</f>
        <v>2/ The cell is highlighted in green if gross financing needs benchmark of 15% is not exceeded under the specific shock or baseline, yellow if exceeded under specific shock but not baseline, red if benchmark is exceeded under baseline, white if stress test is not relevant.</v>
      </c>
      <c r="N24" s="2040"/>
      <c r="O24" s="1545" t="s">
        <v>119</v>
      </c>
      <c r="P24" s="1558"/>
      <c r="Q24" s="1559"/>
      <c r="R24" s="774">
        <f t="shared" ref="R24:R31" si="5">IF(R13&gt;$K$8,1,0)</f>
        <v>0</v>
      </c>
      <c r="S24" s="774">
        <f t="shared" si="2"/>
        <v>0</v>
      </c>
      <c r="T24" s="774">
        <f t="shared" ca="1" si="2"/>
        <v>0</v>
      </c>
      <c r="U24" s="774">
        <f t="shared" ca="1" si="2"/>
        <v>0</v>
      </c>
      <c r="V24" s="774">
        <f t="shared" ca="1" si="2"/>
        <v>0</v>
      </c>
      <c r="W24" s="774">
        <f t="shared" ca="1" si="2"/>
        <v>0</v>
      </c>
      <c r="X24" s="774">
        <f t="shared" ca="1" si="2"/>
        <v>0</v>
      </c>
      <c r="Y24" s="774">
        <f t="shared" ref="Y24:Y31" ca="1" si="6">IF(OR(R24=1,S24=1,T24=1,U24=1,V24=1,W24=1,X24=1),1,0)</f>
        <v>0</v>
      </c>
      <c r="Z24" s="774"/>
      <c r="AA24" s="774">
        <f t="shared" si="3"/>
        <v>0</v>
      </c>
      <c r="AB24" s="774">
        <f t="shared" si="4"/>
        <v>0</v>
      </c>
      <c r="AC24" s="774">
        <f t="shared" ca="1" si="4"/>
        <v>0</v>
      </c>
      <c r="AD24" s="774">
        <f t="shared" ca="1" si="4"/>
        <v>0</v>
      </c>
      <c r="AE24" s="774">
        <f t="shared" ca="1" si="4"/>
        <v>1</v>
      </c>
      <c r="AF24" s="774">
        <f t="shared" ca="1" si="4"/>
        <v>1</v>
      </c>
      <c r="AG24" s="774">
        <f t="shared" ca="1" si="4"/>
        <v>1</v>
      </c>
      <c r="AH24" s="774">
        <f t="shared" ref="AH24:AH31" ca="1" si="7">IF(OR(AA24=1,AB24=1,AC24=1,AD24=1,AE24=1,AF24=1,AG24=1),1,0)</f>
        <v>1</v>
      </c>
    </row>
    <row r="25" spans="1:34">
      <c r="A25" s="516"/>
      <c r="B25" s="516"/>
      <c r="C25" s="516"/>
      <c r="D25" s="785"/>
      <c r="E25" s="516"/>
      <c r="F25" s="516"/>
      <c r="G25" s="516"/>
      <c r="I25" s="770"/>
      <c r="L25" s="804"/>
      <c r="M25" s="2039"/>
      <c r="N25" s="2040"/>
      <c r="O25" s="1545" t="s">
        <v>82</v>
      </c>
      <c r="P25" s="1560"/>
      <c r="Q25" s="774"/>
      <c r="R25" s="774">
        <f t="shared" si="5"/>
        <v>0</v>
      </c>
      <c r="S25" s="774">
        <f t="shared" si="2"/>
        <v>0</v>
      </c>
      <c r="T25" s="774">
        <f t="shared" ca="1" si="2"/>
        <v>0</v>
      </c>
      <c r="U25" s="774">
        <f t="shared" ca="1" si="2"/>
        <v>0</v>
      </c>
      <c r="V25" s="774">
        <f t="shared" ca="1" si="2"/>
        <v>0</v>
      </c>
      <c r="W25" s="774">
        <f t="shared" ca="1" si="2"/>
        <v>0</v>
      </c>
      <c r="X25" s="774">
        <f t="shared" ca="1" si="2"/>
        <v>0</v>
      </c>
      <c r="Y25" s="774">
        <f t="shared" ca="1" si="6"/>
        <v>0</v>
      </c>
      <c r="Z25" s="774"/>
      <c r="AA25" s="774">
        <f t="shared" si="3"/>
        <v>0</v>
      </c>
      <c r="AB25" s="774">
        <f t="shared" si="4"/>
        <v>0</v>
      </c>
      <c r="AC25" s="774">
        <f t="shared" ca="1" si="4"/>
        <v>0</v>
      </c>
      <c r="AD25" s="774">
        <f t="shared" ca="1" si="4"/>
        <v>0</v>
      </c>
      <c r="AE25" s="774">
        <f t="shared" ca="1" si="4"/>
        <v>1</v>
      </c>
      <c r="AF25" s="774">
        <f t="shared" ca="1" si="4"/>
        <v>1</v>
      </c>
      <c r="AG25" s="774">
        <f t="shared" ca="1" si="4"/>
        <v>1</v>
      </c>
      <c r="AH25" s="774">
        <f t="shared" ca="1" si="7"/>
        <v>1</v>
      </c>
    </row>
    <row r="26" spans="1:34" ht="30">
      <c r="A26" s="516"/>
      <c r="B26" s="782" t="s">
        <v>160</v>
      </c>
      <c r="C26" s="782" t="s">
        <v>163</v>
      </c>
      <c r="D26" s="782" t="s">
        <v>145</v>
      </c>
      <c r="E26" s="782" t="s">
        <v>127</v>
      </c>
      <c r="F26" s="782" t="s">
        <v>301</v>
      </c>
      <c r="G26" s="782"/>
      <c r="I26" s="770"/>
      <c r="J26" s="770"/>
      <c r="K26" s="770"/>
      <c r="L26" s="804"/>
      <c r="M26" s="2039"/>
      <c r="N26" s="2040"/>
      <c r="O26" s="1545" t="s">
        <v>309</v>
      </c>
      <c r="P26" s="1560"/>
      <c r="Q26" s="774"/>
      <c r="R26" s="774">
        <f t="shared" si="5"/>
        <v>0</v>
      </c>
      <c r="S26" s="774">
        <f t="shared" si="2"/>
        <v>0</v>
      </c>
      <c r="T26" s="774">
        <f t="shared" ca="1" si="2"/>
        <v>0</v>
      </c>
      <c r="U26" s="774">
        <f t="shared" ca="1" si="2"/>
        <v>0</v>
      </c>
      <c r="V26" s="774">
        <f t="shared" ca="1" si="2"/>
        <v>0</v>
      </c>
      <c r="W26" s="774">
        <f t="shared" ca="1" si="2"/>
        <v>0</v>
      </c>
      <c r="X26" s="774">
        <f t="shared" ca="1" si="2"/>
        <v>0</v>
      </c>
      <c r="Y26" s="774">
        <f t="shared" ca="1" si="6"/>
        <v>0</v>
      </c>
      <c r="Z26" s="774"/>
      <c r="AA26" s="774">
        <f t="shared" si="3"/>
        <v>0</v>
      </c>
      <c r="AB26" s="774">
        <f t="shared" si="4"/>
        <v>0</v>
      </c>
      <c r="AC26" s="774">
        <f t="shared" ca="1" si="4"/>
        <v>0</v>
      </c>
      <c r="AD26" s="774">
        <f t="shared" ca="1" si="4"/>
        <v>0</v>
      </c>
      <c r="AE26" s="774">
        <f t="shared" ca="1" si="4"/>
        <v>1</v>
      </c>
      <c r="AF26" s="774">
        <f t="shared" ca="1" si="4"/>
        <v>1</v>
      </c>
      <c r="AG26" s="774">
        <f t="shared" ca="1" si="4"/>
        <v>1</v>
      </c>
      <c r="AH26" s="774">
        <f t="shared" ca="1" si="7"/>
        <v>1</v>
      </c>
    </row>
    <row r="27" spans="1:34" ht="15.75" thickBot="1">
      <c r="A27" s="516" t="s">
        <v>290</v>
      </c>
      <c r="B27" s="769">
        <f ca="1">IF(AND(HeatMap!$AH$23=0,HeatMap!$AH$25=0),1,IF(HeatMap!$AH$23=1,3,2))</f>
        <v>3</v>
      </c>
      <c r="C27" s="769">
        <f ca="1">IF(AND(HeatMap!$AH$23=0,HeatMap!$AH$24=0),1,IF(HeatMap!$AH$23=1,3,2))</f>
        <v>3</v>
      </c>
      <c r="D27" s="769">
        <f ca="1">IF(AND(HeatMap!$AH$23=0,HeatMap!$AH$26=0),1,IF(HeatMap!$AH$23=1,3,2))</f>
        <v>3</v>
      </c>
      <c r="E27" s="769">
        <f ca="1">IF(AND(HeatMap!$AH$23=0,HeatMap!$AH$27=0),1,IF(HeatMap!$AH$23=1,3,2))</f>
        <v>3</v>
      </c>
      <c r="F27" s="769">
        <f>IF(HeatMap!$P$29=1,IF(AND(HeatMap!$AH$23=0,HeatMap!$AH$29=0),1,IF(HeatMap!$AH$23=1,3,2)),0)</f>
        <v>0</v>
      </c>
      <c r="G27" s="769"/>
      <c r="J27" s="1534" t="s">
        <v>440</v>
      </c>
      <c r="K27" s="1534" t="s">
        <v>514</v>
      </c>
      <c r="M27" s="2039"/>
      <c r="N27" s="2040"/>
      <c r="O27" s="1545" t="s">
        <v>308</v>
      </c>
      <c r="P27" s="1560"/>
      <c r="Q27" s="774"/>
      <c r="R27" s="774">
        <f t="shared" si="5"/>
        <v>0</v>
      </c>
      <c r="S27" s="774">
        <f t="shared" si="2"/>
        <v>0</v>
      </c>
      <c r="T27" s="774">
        <f t="shared" ca="1" si="2"/>
        <v>0</v>
      </c>
      <c r="U27" s="774">
        <f t="shared" ca="1" si="2"/>
        <v>0</v>
      </c>
      <c r="V27" s="774">
        <f t="shared" ca="1" si="2"/>
        <v>0</v>
      </c>
      <c r="W27" s="774">
        <f t="shared" ca="1" si="2"/>
        <v>0</v>
      </c>
      <c r="X27" s="774">
        <f t="shared" ca="1" si="2"/>
        <v>0</v>
      </c>
      <c r="Y27" s="774">
        <f t="shared" ca="1" si="6"/>
        <v>0</v>
      </c>
      <c r="Z27" s="774"/>
      <c r="AA27" s="774">
        <f t="shared" si="3"/>
        <v>0</v>
      </c>
      <c r="AB27" s="774">
        <f t="shared" si="4"/>
        <v>0</v>
      </c>
      <c r="AC27" s="774">
        <f t="shared" ca="1" si="4"/>
        <v>0</v>
      </c>
      <c r="AD27" s="774">
        <f t="shared" ca="1" si="4"/>
        <v>0</v>
      </c>
      <c r="AE27" s="774">
        <f t="shared" ca="1" si="4"/>
        <v>0</v>
      </c>
      <c r="AF27" s="774">
        <f ca="1">IF(AF16&gt;$K$20,1,0)</f>
        <v>1</v>
      </c>
      <c r="AG27" s="774">
        <f t="shared" ca="1" si="4"/>
        <v>0</v>
      </c>
      <c r="AH27" s="774">
        <f t="shared" ca="1" si="7"/>
        <v>1</v>
      </c>
    </row>
    <row r="28" spans="1:34" ht="15.75" thickBot="1">
      <c r="A28" s="516" t="s">
        <v>291</v>
      </c>
      <c r="B28" s="777"/>
      <c r="C28" s="778"/>
      <c r="D28" s="787"/>
      <c r="E28" s="788"/>
      <c r="F28" s="789"/>
      <c r="G28" s="424"/>
      <c r="J28" s="1562">
        <f>Benchmarks!D33</f>
        <v>15</v>
      </c>
      <c r="K28" s="1562">
        <f>Benchmarks!E33</f>
        <v>20</v>
      </c>
      <c r="M28" s="2039"/>
      <c r="N28" s="2040"/>
      <c r="O28" s="1545" t="s">
        <v>128</v>
      </c>
      <c r="P28" s="1560"/>
      <c r="Q28" s="1154"/>
      <c r="R28" s="774">
        <f t="shared" si="5"/>
        <v>0</v>
      </c>
      <c r="S28" s="774">
        <f t="shared" si="2"/>
        <v>0</v>
      </c>
      <c r="T28" s="774">
        <f t="shared" ca="1" si="2"/>
        <v>0</v>
      </c>
      <c r="U28" s="774">
        <f t="shared" ca="1" si="2"/>
        <v>0</v>
      </c>
      <c r="V28" s="774">
        <f t="shared" ca="1" si="2"/>
        <v>0</v>
      </c>
      <c r="W28" s="774">
        <f t="shared" ca="1" si="2"/>
        <v>0</v>
      </c>
      <c r="X28" s="774">
        <f t="shared" ca="1" si="2"/>
        <v>0</v>
      </c>
      <c r="Y28" s="774">
        <f t="shared" ca="1" si="6"/>
        <v>0</v>
      </c>
      <c r="Z28" s="774"/>
      <c r="AA28" s="774">
        <f t="shared" si="3"/>
        <v>0</v>
      </c>
      <c r="AB28" s="774">
        <f t="shared" si="4"/>
        <v>0</v>
      </c>
      <c r="AC28" s="774">
        <f t="shared" ca="1" si="4"/>
        <v>0</v>
      </c>
      <c r="AD28" s="774">
        <f t="shared" ca="1" si="4"/>
        <v>1</v>
      </c>
      <c r="AE28" s="774">
        <f t="shared" ca="1" si="4"/>
        <v>1</v>
      </c>
      <c r="AF28" s="774">
        <f t="shared" ca="1" si="4"/>
        <v>1</v>
      </c>
      <c r="AG28" s="774">
        <f t="shared" ca="1" si="4"/>
        <v>1</v>
      </c>
      <c r="AH28" s="774">
        <f t="shared" ca="1" si="7"/>
        <v>1</v>
      </c>
    </row>
    <row r="29" spans="1:34" s="249" customFormat="1">
      <c r="A29" s="63" t="s">
        <v>292</v>
      </c>
      <c r="B29" s="136">
        <f ca="1">IF(ISNUMBER(B28),B28,B27)</f>
        <v>3</v>
      </c>
      <c r="C29" s="136">
        <f ca="1">IF(ISNUMBER(C28),C28,C27)</f>
        <v>3</v>
      </c>
      <c r="D29" s="136">
        <f ca="1">IF(ISNUMBER(D28),D28,D27)</f>
        <v>3</v>
      </c>
      <c r="E29" s="136">
        <f ca="1">IF(ISNUMBER(E28),E28,E27)</f>
        <v>3</v>
      </c>
      <c r="F29" s="136">
        <f>IF(ISNUMBER(F28),F28,F27)</f>
        <v>0</v>
      </c>
      <c r="G29" s="136"/>
      <c r="H29" s="800"/>
      <c r="L29" s="1314"/>
      <c r="M29" s="2039"/>
      <c r="N29" s="2040"/>
      <c r="O29" s="1545" t="s">
        <v>312</v>
      </c>
      <c r="P29" s="1560">
        <f>CLTrigger</f>
        <v>0</v>
      </c>
      <c r="Q29" s="1154"/>
      <c r="R29" s="774">
        <f t="shared" si="5"/>
        <v>0</v>
      </c>
      <c r="S29" s="774">
        <f t="shared" si="2"/>
        <v>0</v>
      </c>
      <c r="T29" s="774">
        <f t="shared" ca="1" si="2"/>
        <v>0</v>
      </c>
      <c r="U29" s="774">
        <f t="shared" ca="1" si="2"/>
        <v>0</v>
      </c>
      <c r="V29" s="774">
        <f t="shared" ca="1" si="2"/>
        <v>0</v>
      </c>
      <c r="W29" s="774">
        <f t="shared" ca="1" si="2"/>
        <v>0</v>
      </c>
      <c r="X29" s="774">
        <f t="shared" ca="1" si="2"/>
        <v>0</v>
      </c>
      <c r="Y29" s="774">
        <f ca="1">IF(OR(R29=1,S29=1,T29=1,U29=1,V29=1,W29=1,X29=1),1,0)</f>
        <v>0</v>
      </c>
      <c r="Z29" s="774"/>
      <c r="AA29" s="774">
        <f t="shared" si="3"/>
        <v>0</v>
      </c>
      <c r="AB29" s="774">
        <f t="shared" si="4"/>
        <v>0</v>
      </c>
      <c r="AC29" s="774">
        <f t="shared" ca="1" si="4"/>
        <v>1</v>
      </c>
      <c r="AD29" s="774">
        <f t="shared" ca="1" si="4"/>
        <v>1</v>
      </c>
      <c r="AE29" s="774">
        <f t="shared" ca="1" si="4"/>
        <v>1</v>
      </c>
      <c r="AF29" s="774">
        <f t="shared" ca="1" si="4"/>
        <v>1</v>
      </c>
      <c r="AG29" s="774">
        <f t="shared" ca="1" si="4"/>
        <v>1</v>
      </c>
      <c r="AH29" s="774">
        <f t="shared" ca="1" si="7"/>
        <v>1</v>
      </c>
    </row>
    <row r="30" spans="1:34" s="249" customFormat="1" ht="16.5">
      <c r="A30" s="63"/>
      <c r="B30" s="136"/>
      <c r="C30" s="136"/>
      <c r="D30" s="136"/>
      <c r="E30" s="136"/>
      <c r="F30" s="136"/>
      <c r="G30" s="136"/>
      <c r="H30" s="800"/>
      <c r="L30" s="1314"/>
      <c r="M30" s="1487"/>
      <c r="N30" s="1395"/>
      <c r="O30" s="1545" t="str">
        <f>IF(ISBLANK(Custom1Name), "Customized shock 1",Custom1Name)</f>
        <v>Customized shock 1</v>
      </c>
      <c r="P30" s="249">
        <f>Custom1Trigger</f>
        <v>0</v>
      </c>
      <c r="R30" s="774">
        <f t="shared" si="5"/>
        <v>0</v>
      </c>
      <c r="S30" s="774">
        <f t="shared" si="2"/>
        <v>0</v>
      </c>
      <c r="T30" s="774">
        <f t="shared" ca="1" si="2"/>
        <v>0</v>
      </c>
      <c r="U30" s="774">
        <f t="shared" ca="1" si="2"/>
        <v>0</v>
      </c>
      <c r="V30" s="774">
        <f t="shared" ca="1" si="2"/>
        <v>0</v>
      </c>
      <c r="W30" s="774">
        <f t="shared" ca="1" si="2"/>
        <v>0</v>
      </c>
      <c r="X30" s="774">
        <f t="shared" ca="1" si="2"/>
        <v>0</v>
      </c>
      <c r="Y30" s="774">
        <f t="shared" ca="1" si="6"/>
        <v>0</v>
      </c>
      <c r="AA30" s="774">
        <f t="shared" si="3"/>
        <v>0</v>
      </c>
      <c r="AB30" s="774">
        <f t="shared" si="4"/>
        <v>0</v>
      </c>
      <c r="AC30" s="774">
        <f t="shared" ca="1" si="4"/>
        <v>0</v>
      </c>
      <c r="AD30" s="774">
        <f t="shared" ca="1" si="4"/>
        <v>1</v>
      </c>
      <c r="AE30" s="774">
        <f t="shared" ca="1" si="4"/>
        <v>1</v>
      </c>
      <c r="AF30" s="774">
        <f t="shared" ca="1" si="4"/>
        <v>1</v>
      </c>
      <c r="AG30" s="774">
        <f t="shared" ca="1" si="4"/>
        <v>1</v>
      </c>
      <c r="AH30" s="774">
        <f t="shared" ca="1" si="7"/>
        <v>1</v>
      </c>
    </row>
    <row r="31" spans="1:34" s="249" customFormat="1" ht="16.5">
      <c r="A31" s="63"/>
      <c r="B31" s="136"/>
      <c r="C31" s="136"/>
      <c r="D31" s="136"/>
      <c r="E31" s="136"/>
      <c r="F31" s="136"/>
      <c r="G31" s="136"/>
      <c r="H31" s="800"/>
      <c r="L31" s="1314"/>
      <c r="M31" s="1487"/>
      <c r="N31" s="1487"/>
      <c r="O31" s="1546" t="str">
        <f>IF(ISBLANK(Custom2Name), "Customized shock 2",Custom2Name)</f>
        <v>Customized shock 2</v>
      </c>
      <c r="P31" s="1547">
        <f>Custom2Trigger</f>
        <v>0</v>
      </c>
      <c r="Q31" s="1547"/>
      <c r="R31" s="1561">
        <f t="shared" si="5"/>
        <v>0</v>
      </c>
      <c r="S31" s="1561">
        <f t="shared" si="2"/>
        <v>0</v>
      </c>
      <c r="T31" s="1561">
        <f t="shared" ca="1" si="2"/>
        <v>0</v>
      </c>
      <c r="U31" s="1561">
        <f t="shared" ca="1" si="2"/>
        <v>0</v>
      </c>
      <c r="V31" s="1561">
        <f t="shared" ca="1" si="2"/>
        <v>0</v>
      </c>
      <c r="W31" s="1561">
        <f t="shared" ca="1" si="2"/>
        <v>0</v>
      </c>
      <c r="X31" s="1561">
        <f t="shared" ca="1" si="2"/>
        <v>0</v>
      </c>
      <c r="Y31" s="1561">
        <f t="shared" ca="1" si="6"/>
        <v>0</v>
      </c>
      <c r="Z31" s="1547"/>
      <c r="AA31" s="1561">
        <f t="shared" si="3"/>
        <v>0</v>
      </c>
      <c r="AB31" s="1561">
        <f t="shared" si="4"/>
        <v>0</v>
      </c>
      <c r="AC31" s="1561">
        <f t="shared" ca="1" si="4"/>
        <v>0</v>
      </c>
      <c r="AD31" s="1561">
        <f t="shared" ca="1" si="4"/>
        <v>1</v>
      </c>
      <c r="AE31" s="1561">
        <f t="shared" ca="1" si="4"/>
        <v>1</v>
      </c>
      <c r="AF31" s="1561">
        <f t="shared" ca="1" si="4"/>
        <v>1</v>
      </c>
      <c r="AG31" s="1561">
        <f t="shared" ca="1" si="4"/>
        <v>1</v>
      </c>
      <c r="AH31" s="1561">
        <f t="shared" ca="1" si="7"/>
        <v>1</v>
      </c>
    </row>
    <row r="32" spans="1:34" s="767" customFormat="1" ht="17.25" thickBot="1">
      <c r="A32" s="779"/>
      <c r="B32" s="784"/>
      <c r="C32" s="784"/>
      <c r="D32" s="784"/>
      <c r="E32" s="784"/>
      <c r="F32" s="784"/>
      <c r="G32" s="784"/>
      <c r="H32" s="810"/>
      <c r="L32" s="1317"/>
      <c r="M32" s="1396"/>
      <c r="N32" s="1396"/>
      <c r="O32" s="1329"/>
      <c r="S32" s="811"/>
      <c r="T32" s="811"/>
      <c r="U32" s="811"/>
      <c r="V32" s="811"/>
      <c r="W32" s="811"/>
      <c r="X32" s="811"/>
      <c r="Y32" s="811"/>
      <c r="AB32" s="811"/>
      <c r="AC32" s="811"/>
      <c r="AD32" s="811"/>
      <c r="AE32" s="811"/>
      <c r="AF32" s="811"/>
      <c r="AG32" s="811"/>
      <c r="AH32" s="811"/>
    </row>
    <row r="33" spans="1:33">
      <c r="S33" s="249"/>
      <c r="T33" s="249"/>
      <c r="U33" s="249"/>
      <c r="V33" s="249"/>
      <c r="W33" s="249"/>
      <c r="X33" s="249"/>
      <c r="Y33" s="249"/>
      <c r="Z33" s="249"/>
      <c r="AA33" s="249"/>
      <c r="AB33" s="249"/>
      <c r="AC33" s="249"/>
      <c r="AD33" s="249"/>
      <c r="AE33" s="249"/>
      <c r="AF33" s="249"/>
      <c r="AG33" s="249"/>
    </row>
    <row r="34" spans="1:33" ht="16.5" customHeight="1">
      <c r="A34" s="249"/>
      <c r="B34" s="249"/>
      <c r="C34" s="249"/>
      <c r="D34" s="249"/>
      <c r="E34" s="249"/>
      <c r="F34" s="249"/>
      <c r="M34" s="2028" t="str">
        <f>J36&amp;" and "&amp;K36&amp;" basis points for bond spreads; "&amp;J37&amp;" and "&amp;K37&amp;" percent of GDP for external financing requirement; "&amp;J38&amp;" and "&amp;K38&amp;" percent for change in the share of short-term debt; "&amp;J39&amp;" and "&amp;K39&amp;" percent for the public debt held by non-residents."</f>
        <v>200 and 600 basis points for bond spreads; 5 and 15 percent of GDP for external financing requirement; 0,5 and 1 percent for change in the share of short-term debt; 15 and 45 percent for the public debt held by non-residents.</v>
      </c>
      <c r="N34" s="2029"/>
      <c r="P34" s="248"/>
      <c r="U34" s="1564" t="s">
        <v>440</v>
      </c>
      <c r="V34" s="1533" t="s">
        <v>440</v>
      </c>
      <c r="W34" s="1565" t="s">
        <v>440</v>
      </c>
      <c r="Z34" s="249"/>
      <c r="AA34" s="1569" t="s">
        <v>441</v>
      </c>
      <c r="AB34" s="1533" t="s">
        <v>441</v>
      </c>
      <c r="AC34" s="1565" t="s">
        <v>441</v>
      </c>
      <c r="AD34" s="444"/>
      <c r="AE34" s="444"/>
      <c r="AF34" s="444"/>
      <c r="AG34" s="444"/>
    </row>
    <row r="35" spans="1:33" ht="26.25">
      <c r="A35" s="783" t="s">
        <v>159</v>
      </c>
      <c r="B35" s="780"/>
      <c r="C35" s="780"/>
      <c r="D35" s="780"/>
      <c r="E35" s="780"/>
      <c r="F35" s="780"/>
      <c r="I35" s="489"/>
      <c r="J35" s="768" t="s">
        <v>505</v>
      </c>
      <c r="K35" s="768" t="s">
        <v>506</v>
      </c>
      <c r="L35" s="799"/>
      <c r="M35" s="2028"/>
      <c r="N35" s="2029"/>
      <c r="S35" s="1563" t="str">
        <f>Country</f>
        <v>Latvia</v>
      </c>
      <c r="U35" s="1566" t="s">
        <v>445</v>
      </c>
      <c r="V35" s="1567">
        <v>25</v>
      </c>
      <c r="W35" s="1568">
        <v>75</v>
      </c>
      <c r="Z35" s="249"/>
      <c r="AA35" s="1566" t="s">
        <v>445</v>
      </c>
      <c r="AB35" s="1567">
        <v>50</v>
      </c>
      <c r="AC35" s="1568">
        <v>75</v>
      </c>
      <c r="AD35" s="249"/>
      <c r="AE35" s="249"/>
      <c r="AF35" s="249"/>
      <c r="AG35" s="249"/>
    </row>
    <row r="36" spans="1:33" ht="26.25">
      <c r="A36" s="780"/>
      <c r="B36" s="780"/>
      <c r="C36" s="780"/>
      <c r="D36" s="780"/>
      <c r="E36" s="780"/>
      <c r="F36" s="780"/>
      <c r="I36" s="806" t="str">
        <f>O36</f>
        <v>EMBI Global spreads or Spread over US bonds for AEs</v>
      </c>
      <c r="J36" s="807">
        <f t="shared" ref="J36:K40" si="8">IF(AEStatus=1,AB36,V36)</f>
        <v>200</v>
      </c>
      <c r="K36" s="807">
        <f t="shared" si="8"/>
        <v>600</v>
      </c>
      <c r="L36" s="1331"/>
      <c r="M36" s="2028"/>
      <c r="N36" s="2029"/>
      <c r="O36" s="1325" t="s">
        <v>287</v>
      </c>
      <c r="P36" s="288" t="s">
        <v>153</v>
      </c>
      <c r="S36" s="1218">
        <f>'Lists-Modules-ChartData'!BV7</f>
        <v>57</v>
      </c>
      <c r="U36" s="1570">
        <f>Benchmarks!D24</f>
        <v>800</v>
      </c>
      <c r="V36" s="1372">
        <f>Benchmarks!E24</f>
        <v>200</v>
      </c>
      <c r="W36" s="1571">
        <f>Benchmarks!F24</f>
        <v>600</v>
      </c>
      <c r="Z36" s="249"/>
      <c r="AA36" s="1570">
        <f>Benchmarks!H24</f>
        <v>800</v>
      </c>
      <c r="AB36" s="1372">
        <f>Benchmarks!I24</f>
        <v>400</v>
      </c>
      <c r="AC36" s="1571">
        <f>Benchmarks!J24</f>
        <v>600</v>
      </c>
      <c r="AD36" s="444"/>
      <c r="AE36" s="444"/>
      <c r="AF36" s="444"/>
      <c r="AG36" s="444"/>
    </row>
    <row r="37" spans="1:33" ht="15" customHeight="1">
      <c r="A37" s="246" t="s">
        <v>167</v>
      </c>
      <c r="B37" s="776" t="s">
        <v>158</v>
      </c>
      <c r="C37" s="776"/>
      <c r="D37" s="776"/>
      <c r="E37" s="776"/>
      <c r="F37" s="516"/>
      <c r="I37" s="808" t="str">
        <f>O37</f>
        <v>External Financing Requirement</v>
      </c>
      <c r="J37" s="443">
        <f t="shared" si="8"/>
        <v>5</v>
      </c>
      <c r="K37" s="443">
        <f t="shared" si="8"/>
        <v>15</v>
      </c>
      <c r="L37" s="1331"/>
      <c r="M37" s="2028"/>
      <c r="N37" s="2029"/>
      <c r="O37" s="1325" t="s">
        <v>288</v>
      </c>
      <c r="P37" s="288" t="s">
        <v>152</v>
      </c>
      <c r="S37" s="1218">
        <f>'Lists-Modules-ChartData'!BV8</f>
        <v>0</v>
      </c>
      <c r="U37" s="1570">
        <f>Benchmarks!D25</f>
        <v>20</v>
      </c>
      <c r="V37" s="1372">
        <f>Benchmarks!E25</f>
        <v>5</v>
      </c>
      <c r="W37" s="1571">
        <f>Benchmarks!F25</f>
        <v>15</v>
      </c>
      <c r="AA37" s="1570">
        <f>Benchmarks!H25</f>
        <v>35</v>
      </c>
      <c r="AB37" s="1372">
        <f>Benchmarks!I25</f>
        <v>17</v>
      </c>
      <c r="AC37" s="1571">
        <f>Benchmarks!J25</f>
        <v>25</v>
      </c>
    </row>
    <row r="38" spans="1:33" ht="15" customHeight="1">
      <c r="A38" s="765" t="s">
        <v>164</v>
      </c>
      <c r="B38" s="1579" t="s">
        <v>520</v>
      </c>
      <c r="C38" s="1578"/>
      <c r="D38" s="1578"/>
      <c r="E38" s="1578"/>
      <c r="F38" s="516"/>
      <c r="I38" s="808" t="str">
        <f>O38</f>
        <v>Annual Change in Share of Short-term Public Debt at Original Maturity</v>
      </c>
      <c r="J38" s="1312">
        <f t="shared" si="8"/>
        <v>0.5</v>
      </c>
      <c r="K38" s="1312">
        <f t="shared" si="8"/>
        <v>1</v>
      </c>
      <c r="L38" s="1332"/>
      <c r="M38" s="2028"/>
      <c r="N38" s="2029"/>
      <c r="O38" s="1325" t="s">
        <v>493</v>
      </c>
      <c r="P38" s="288" t="s">
        <v>154</v>
      </c>
      <c r="S38" s="1218">
        <f>'Lists-Modules-ChartData'!BV9</f>
        <v>4.4715114488691254</v>
      </c>
      <c r="U38" s="1572">
        <f>Benchmarks!D26</f>
        <v>1.5</v>
      </c>
      <c r="V38" s="1374">
        <f>Benchmarks!E26</f>
        <v>0.5</v>
      </c>
      <c r="W38" s="1573">
        <f>Benchmarks!F26</f>
        <v>1</v>
      </c>
      <c r="AA38" s="1572">
        <f>Benchmarks!H26</f>
        <v>2</v>
      </c>
      <c r="AB38" s="1374">
        <f>Benchmarks!I26</f>
        <v>1</v>
      </c>
      <c r="AC38" s="1573">
        <f>Benchmarks!J26</f>
        <v>1.5</v>
      </c>
    </row>
    <row r="39" spans="1:33" ht="15" customHeight="1">
      <c r="A39" s="766" t="s">
        <v>165</v>
      </c>
      <c r="B39" s="642" t="s">
        <v>522</v>
      </c>
      <c r="C39" s="776"/>
      <c r="D39" s="776"/>
      <c r="E39" s="776"/>
      <c r="F39" s="516"/>
      <c r="I39" s="808" t="str">
        <f>O39</f>
        <v>Public Debt Held by Non-Residents</v>
      </c>
      <c r="J39" s="443">
        <f t="shared" si="8"/>
        <v>15</v>
      </c>
      <c r="K39" s="443">
        <f t="shared" si="8"/>
        <v>45</v>
      </c>
      <c r="L39" s="1331"/>
      <c r="M39" s="617"/>
      <c r="O39" s="1325" t="s">
        <v>781</v>
      </c>
      <c r="P39" s="288" t="s">
        <v>154</v>
      </c>
      <c r="S39" s="1218">
        <f>'Lists-Modules-ChartData'!BV10</f>
        <v>67.599999999999994</v>
      </c>
      <c r="U39" s="1570">
        <f>Benchmarks!D27</f>
        <v>60</v>
      </c>
      <c r="V39" s="1372">
        <f>Benchmarks!E27</f>
        <v>15</v>
      </c>
      <c r="W39" s="1571">
        <f>Benchmarks!F27</f>
        <v>45</v>
      </c>
      <c r="AA39" s="1570">
        <f>Benchmarks!H27</f>
        <v>60</v>
      </c>
      <c r="AB39" s="1372">
        <f>Benchmarks!I27</f>
        <v>30</v>
      </c>
      <c r="AC39" s="1571">
        <f>Benchmarks!J27</f>
        <v>45</v>
      </c>
    </row>
    <row r="40" spans="1:33" ht="15" customHeight="1">
      <c r="A40" s="764" t="s">
        <v>166</v>
      </c>
      <c r="B40" s="642" t="s">
        <v>521</v>
      </c>
      <c r="C40" s="776"/>
      <c r="D40" s="776"/>
      <c r="E40" s="776"/>
      <c r="F40" s="516"/>
      <c r="I40" s="490" t="str">
        <f>O40</f>
        <v>Public Debt in Foreign Currency</v>
      </c>
      <c r="J40" s="809">
        <f t="shared" si="8"/>
        <v>20</v>
      </c>
      <c r="K40" s="809">
        <f t="shared" si="8"/>
        <v>60</v>
      </c>
      <c r="L40" s="1331"/>
      <c r="M40" s="2028" t="str">
        <f>J36&amp;" and "&amp;K36&amp;" basis points for bond spreads; "&amp;J37&amp;" and "&amp;K37&amp;" percent of GDP for external financing requirement; "&amp;J38&amp;" and "&amp;K38&amp;" percent for change in the share of short-term debt; "&amp;J39&amp;" and "&amp;K39&amp;" percent for the public debt held by non-residents; and "&amp;J40&amp;" and "&amp;K40&amp;" percent for the share of foreign-currency denominated debt."</f>
        <v>200 and 600 basis points for bond spreads; 5 and 15 percent of GDP for external financing requirement; 0,5 and 1 percent for change in the share of short-term debt; 15 and 45 percent for the public debt held by non-residents; and 20 and 60 percent for the share of foreign-currency denominated debt.</v>
      </c>
      <c r="N40" s="2029"/>
      <c r="O40" s="1325" t="s">
        <v>289</v>
      </c>
      <c r="P40" s="288" t="s">
        <v>154</v>
      </c>
      <c r="S40" s="1219">
        <f>IF(AEStatus=1,"n/a",'Lists-Modules-ChartData'!BV11)</f>
        <v>9.9999999999991859E-2</v>
      </c>
      <c r="U40" s="1574">
        <f>Benchmarks!D28</f>
        <v>80</v>
      </c>
      <c r="V40" s="1377">
        <f>Benchmarks!E28</f>
        <v>20</v>
      </c>
      <c r="W40" s="1575">
        <f>Benchmarks!F28</f>
        <v>60</v>
      </c>
      <c r="AA40" s="1576" t="str">
        <f>IF(ISERROR(Benchmarks!H28),"n/a")</f>
        <v>n/a</v>
      </c>
      <c r="AB40" s="1562" t="str">
        <f>IF(ISERROR(Benchmarks!I28),"n/a")</f>
        <v>n/a</v>
      </c>
      <c r="AC40" s="1577" t="str">
        <f>IF(ISERROR(Benchmarks!J28),"n/a")</f>
        <v>n/a</v>
      </c>
    </row>
    <row r="41" spans="1:33" ht="15" customHeight="1">
      <c r="A41" s="63"/>
      <c r="B41" s="516"/>
      <c r="C41" s="795"/>
      <c r="D41" s="795"/>
      <c r="E41" s="516"/>
      <c r="F41" s="516"/>
      <c r="M41" s="2028"/>
      <c r="N41" s="2029"/>
    </row>
    <row r="42" spans="1:33" ht="30">
      <c r="A42" s="516"/>
      <c r="B42" s="782" t="s">
        <v>502</v>
      </c>
      <c r="C42" s="782" t="s">
        <v>349</v>
      </c>
      <c r="D42" s="782" t="s">
        <v>303</v>
      </c>
      <c r="E42" s="782" t="s">
        <v>782</v>
      </c>
      <c r="F42" s="782" t="s">
        <v>302</v>
      </c>
      <c r="G42" s="782"/>
      <c r="M42" s="2028"/>
      <c r="N42" s="2029"/>
    </row>
    <row r="43" spans="1:33" ht="15.75" customHeight="1" thickBot="1">
      <c r="A43" s="516" t="s">
        <v>290</v>
      </c>
      <c r="B43" s="769">
        <f>IF(ISNUMBER(S36),(IF(S36&lt;HeatMap!J36,1,IF(S36&gt;HeatMap!K36,3,2))),0)</f>
        <v>1</v>
      </c>
      <c r="C43" s="769">
        <f>IF(ISNUMBER(S37),(IF(S37&lt;HeatMap!J37,1,IF(S37&gt;HeatMap!K37,3,2))),0)</f>
        <v>1</v>
      </c>
      <c r="D43" s="769">
        <f>IF(ISNUMBER(S38),(IF(S38&lt;HeatMap!J38,1,IF(S38&gt;HeatMap!K38,3,2))),0)</f>
        <v>3</v>
      </c>
      <c r="E43" s="769">
        <f>IF(ISNUMBER(S39),(IF(S39&lt;HeatMap!J39,1,IF(S39&gt;HeatMap!K39,3,2))),0)</f>
        <v>3</v>
      </c>
      <c r="F43" s="769">
        <f>IF(ISNUMBER(S40),(IF(S40&lt;HeatMap!J40,1,IF(S40&gt;HeatMap!K40,3,2))),0)</f>
        <v>1</v>
      </c>
      <c r="G43" s="521"/>
      <c r="M43" s="2028"/>
      <c r="N43" s="2029"/>
    </row>
    <row r="44" spans="1:33" ht="15.75" customHeight="1" thickBot="1">
      <c r="A44" s="516" t="s">
        <v>291</v>
      </c>
      <c r="B44" s="777"/>
      <c r="C44" s="788"/>
      <c r="D44" s="787"/>
      <c r="E44" s="787"/>
      <c r="F44" s="789"/>
      <c r="G44" s="424"/>
      <c r="M44" s="2028"/>
      <c r="N44" s="2029"/>
    </row>
    <row r="45" spans="1:33" s="767" customFormat="1" ht="15.75" thickBot="1">
      <c r="A45" s="779" t="s">
        <v>292</v>
      </c>
      <c r="B45" s="784">
        <f>IF(ISNUMBER(B44),B44,B43)</f>
        <v>1</v>
      </c>
      <c r="C45" s="784">
        <f>IF(ISNUMBER(C44),C44,C43)</f>
        <v>1</v>
      </c>
      <c r="D45" s="784">
        <f>IF(ISNUMBER(D44),D44,D43)</f>
        <v>3</v>
      </c>
      <c r="E45" s="784">
        <f>IF(ISNUMBER(E44),E44,E43)</f>
        <v>3</v>
      </c>
      <c r="F45" s="784">
        <f>IF(ISNUMBER(F44),F44,F43)</f>
        <v>1</v>
      </c>
      <c r="G45" s="784"/>
      <c r="H45" s="810"/>
      <c r="L45" s="1317"/>
      <c r="M45" s="2030"/>
      <c r="N45" s="2031"/>
      <c r="O45" s="1330"/>
    </row>
    <row r="46" spans="1:33">
      <c r="M46" s="1320"/>
      <c r="N46" s="1314"/>
    </row>
  </sheetData>
  <mergeCells count="8">
    <mergeCell ref="M40:N45"/>
    <mergeCell ref="AB11:AG11"/>
    <mergeCell ref="S11:X11"/>
    <mergeCell ref="M4:N9"/>
    <mergeCell ref="M10:N13"/>
    <mergeCell ref="M16:N22"/>
    <mergeCell ref="M24:N29"/>
    <mergeCell ref="M34:N38"/>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tabColor rgb="FFFFC000"/>
  </sheetPr>
  <dimension ref="A1:AB315"/>
  <sheetViews>
    <sheetView zoomScale="80" zoomScaleNormal="80" zoomScaleSheetLayoutView="70" workbookViewId="0"/>
  </sheetViews>
  <sheetFormatPr defaultColWidth="9.140625" defaultRowHeight="15"/>
  <cols>
    <col min="1" max="1" width="79.28515625" style="6" customWidth="1"/>
    <col min="2" max="3" width="15.42578125" style="6" customWidth="1"/>
    <col min="4" max="19" width="10.7109375" style="6" customWidth="1"/>
    <col min="20" max="27" width="13.7109375" style="6" customWidth="1"/>
    <col min="28" max="16384" width="9.140625" style="6"/>
  </cols>
  <sheetData>
    <row r="1" spans="1:19" customFormat="1" ht="15.75" thickBot="1">
      <c r="B1" s="1"/>
      <c r="C1" s="1"/>
      <c r="D1" s="1"/>
      <c r="E1" s="60"/>
      <c r="F1" s="60"/>
      <c r="G1" s="60"/>
      <c r="H1" s="60"/>
      <c r="I1" s="60"/>
      <c r="J1" s="60"/>
      <c r="K1" s="60"/>
      <c r="L1" s="1"/>
      <c r="M1" s="1"/>
      <c r="N1" s="1"/>
      <c r="O1" s="1"/>
      <c r="P1" s="1"/>
      <c r="Q1" s="1"/>
      <c r="R1" s="1"/>
      <c r="S1" s="1"/>
    </row>
    <row r="2" spans="1:19" customFormat="1" ht="45" customHeight="1" thickBot="1">
      <c r="A2" s="1308" t="s">
        <v>106</v>
      </c>
      <c r="B2" s="118" t="s">
        <v>16</v>
      </c>
      <c r="C2" s="1"/>
      <c r="D2" s="1"/>
      <c r="E2" s="1"/>
      <c r="F2" s="1"/>
      <c r="G2" s="1"/>
    </row>
    <row r="3" spans="1:19" customFormat="1">
      <c r="A3" s="17"/>
      <c r="B3" s="225">
        <f>FirstYear</f>
        <v>2018</v>
      </c>
      <c r="C3" s="226">
        <f>B3+1</f>
        <v>2019</v>
      </c>
      <c r="D3" s="226">
        <f>C3+1</f>
        <v>2020</v>
      </c>
      <c r="E3" s="226">
        <f>D3+1</f>
        <v>2021</v>
      </c>
      <c r="F3" s="226">
        <f>E3+1</f>
        <v>2022</v>
      </c>
      <c r="G3" s="227">
        <f>F3+1</f>
        <v>2023</v>
      </c>
    </row>
    <row r="4" spans="1:19" customFormat="1">
      <c r="A4" s="17"/>
      <c r="B4" s="168"/>
      <c r="C4" s="62"/>
      <c r="D4" s="62"/>
      <c r="E4" s="62"/>
      <c r="F4" s="62"/>
      <c r="G4" s="169"/>
    </row>
    <row r="5" spans="1:19" customFormat="1">
      <c r="A5" s="63" t="s">
        <v>62</v>
      </c>
      <c r="B5" s="170">
        <f t="shared" ref="B5:G5" si="0">B7+B13</f>
        <v>10948.652288728241</v>
      </c>
      <c r="C5" s="171">
        <f t="shared" ca="1" si="0"/>
        <v>11787.451573667615</v>
      </c>
      <c r="D5" s="171">
        <f t="shared" ca="1" si="0"/>
        <v>12704.885038551591</v>
      </c>
      <c r="E5" s="171">
        <f t="shared" ca="1" si="0"/>
        <v>12955.578606366107</v>
      </c>
      <c r="F5" s="171">
        <f t="shared" ca="1" si="0"/>
        <v>13256.068022908858</v>
      </c>
      <c r="G5" s="172">
        <f t="shared" ca="1" si="0"/>
        <v>13575.512461779017</v>
      </c>
    </row>
    <row r="6" spans="1:19" s="284" customFormat="1">
      <c r="A6" s="18" t="s">
        <v>1026</v>
      </c>
      <c r="B6" s="170" t="str">
        <f>'Baseline debt'!P8</f>
        <v/>
      </c>
      <c r="C6" s="171" t="str">
        <f>'Baseline debt'!Q8</f>
        <v/>
      </c>
      <c r="D6" s="171" t="str">
        <f>'Baseline debt'!R8</f>
        <v/>
      </c>
      <c r="E6" s="171" t="str">
        <f>'Baseline debt'!S8</f>
        <v/>
      </c>
      <c r="F6" s="171" t="str">
        <f>'Baseline debt'!T8</f>
        <v/>
      </c>
      <c r="G6" s="172" t="str">
        <f>'Baseline debt'!U8</f>
        <v/>
      </c>
    </row>
    <row r="7" spans="1:19" customFormat="1">
      <c r="A7" s="21" t="s">
        <v>70</v>
      </c>
      <c r="B7" s="170">
        <f t="shared" ref="B7:G7" si="1">B8+B9</f>
        <v>9886.2521736994167</v>
      </c>
      <c r="C7" s="171">
        <f t="shared" si="1"/>
        <v>8910.6988594887644</v>
      </c>
      <c r="D7" s="171">
        <f t="shared" si="1"/>
        <v>7603.6701863278031</v>
      </c>
      <c r="E7" s="171">
        <f t="shared" si="1"/>
        <v>6150.6557892545252</v>
      </c>
      <c r="F7" s="171">
        <f t="shared" si="1"/>
        <v>5844.6400886862239</v>
      </c>
      <c r="G7" s="172">
        <f t="shared" si="1"/>
        <v>5585.3532924462243</v>
      </c>
    </row>
    <row r="8" spans="1:19" customFormat="1">
      <c r="A8" s="18" t="s">
        <v>72</v>
      </c>
      <c r="B8" s="170">
        <f>'Baseline debt'!P11</f>
        <v>9879.101789236136</v>
      </c>
      <c r="C8" s="171">
        <f>'Baseline debt'!Q11</f>
        <v>8904.2169986260087</v>
      </c>
      <c r="D8" s="171">
        <f>'Baseline debt'!R11</f>
        <v>8210.6547722760079</v>
      </c>
      <c r="E8" s="171">
        <f>'Baseline debt'!S11</f>
        <v>7110.6102222407098</v>
      </c>
      <c r="F8" s="171">
        <f>'Baseline debt'!T11</f>
        <v>6804.9355125304046</v>
      </c>
      <c r="G8" s="172">
        <f>'Baseline debt'!U11</f>
        <v>6545.648716290405</v>
      </c>
    </row>
    <row r="9" spans="1:19" customFormat="1">
      <c r="A9" s="18" t="s">
        <v>63</v>
      </c>
      <c r="B9" s="170">
        <f>'Baseline debt'!P13/'Baseline debt'!P$73*B32</f>
        <v>7.1503844632814992</v>
      </c>
      <c r="C9" s="171">
        <f>'Baseline debt'!Q13/'Baseline debt'!Q$73*C32</f>
        <v>6.481860862754961</v>
      </c>
      <c r="D9" s="171">
        <f>'Baseline debt'!R13/'Baseline debt'!R$73*D32</f>
        <v>-606.98458594820488</v>
      </c>
      <c r="E9" s="171">
        <f>'Baseline debt'!S13/'Baseline debt'!S$73*E32</f>
        <v>-959.954432986185</v>
      </c>
      <c r="F9" s="171">
        <f>'Baseline debt'!T13/'Baseline debt'!T$73*F32</f>
        <v>-960.29542384418096</v>
      </c>
      <c r="G9" s="172">
        <f>'Baseline debt'!U13/'Baseline debt'!U$73*G32</f>
        <v>-960.29542384418096</v>
      </c>
    </row>
    <row r="10" spans="1:19" customFormat="1">
      <c r="A10" s="18" t="s">
        <v>60</v>
      </c>
      <c r="B10" s="170">
        <v>0</v>
      </c>
      <c r="C10" s="171">
        <v>0</v>
      </c>
      <c r="D10" s="171">
        <v>0</v>
      </c>
      <c r="E10" s="171">
        <v>0</v>
      </c>
      <c r="F10" s="171">
        <v>0</v>
      </c>
      <c r="G10" s="172">
        <v>0</v>
      </c>
    </row>
    <row r="11" spans="1:19" customFormat="1">
      <c r="A11" s="18" t="s">
        <v>73</v>
      </c>
      <c r="B11" s="170">
        <f t="shared" ref="B11:G11" si="2">B8+B9</f>
        <v>9886.2521736994167</v>
      </c>
      <c r="C11" s="171">
        <f t="shared" si="2"/>
        <v>8910.6988594887644</v>
      </c>
      <c r="D11" s="171">
        <f t="shared" si="2"/>
        <v>7603.6701863278031</v>
      </c>
      <c r="E11" s="171">
        <f t="shared" si="2"/>
        <v>6150.6557892545252</v>
      </c>
      <c r="F11" s="171">
        <f t="shared" si="2"/>
        <v>5844.6400886862239</v>
      </c>
      <c r="G11" s="172">
        <f t="shared" si="2"/>
        <v>5585.3532924462243</v>
      </c>
    </row>
    <row r="12" spans="1:19" customFormat="1" ht="15" customHeight="1">
      <c r="A12" s="17"/>
      <c r="B12" s="170"/>
      <c r="C12" s="171"/>
      <c r="D12" s="171"/>
      <c r="E12" s="171"/>
      <c r="F12" s="171"/>
      <c r="G12" s="172"/>
    </row>
    <row r="13" spans="1:19" customFormat="1">
      <c r="A13" s="21" t="s">
        <v>71</v>
      </c>
      <c r="B13" s="170">
        <f t="shared" ref="B13:G13" si="3">B14+B15</f>
        <v>1062.4001150288241</v>
      </c>
      <c r="C13" s="171">
        <f t="shared" ca="1" si="3"/>
        <v>2875.7515736676141</v>
      </c>
      <c r="D13" s="171">
        <f t="shared" ca="1" si="3"/>
        <v>5069.18503855159</v>
      </c>
      <c r="E13" s="171">
        <f t="shared" ca="1" si="3"/>
        <v>6754.8786063661064</v>
      </c>
      <c r="F13" s="171">
        <f t="shared" ca="1" si="3"/>
        <v>7361.3680229088568</v>
      </c>
      <c r="G13" s="172">
        <f t="shared" ca="1" si="3"/>
        <v>7689.8124617790154</v>
      </c>
    </row>
    <row r="14" spans="1:19" customFormat="1">
      <c r="A14" s="18" t="s">
        <v>72</v>
      </c>
      <c r="B14" s="170">
        <f t="shared" ref="B14:G14" si="4">SUM(H119:H124,H138:H171,H214:H219,H233:H266,H307:H312)</f>
        <v>1062.4001150288241</v>
      </c>
      <c r="C14" s="171">
        <f t="shared" ca="1" si="4"/>
        <v>2875.7515736676141</v>
      </c>
      <c r="D14" s="171">
        <f ca="1">SUM(J119:J124,J138:J171,J214:J219,J233:J266,J307:J312)</f>
        <v>5069.18503855159</v>
      </c>
      <c r="E14" s="171">
        <f t="shared" ca="1" si="4"/>
        <v>6754.8786063661064</v>
      </c>
      <c r="F14" s="171">
        <f t="shared" ca="1" si="4"/>
        <v>7361.3680229088568</v>
      </c>
      <c r="G14" s="172">
        <f t="shared" ca="1" si="4"/>
        <v>7689.8124617790154</v>
      </c>
    </row>
    <row r="15" spans="1:19" customFormat="1">
      <c r="A15" s="18" t="s">
        <v>63</v>
      </c>
      <c r="B15" s="170">
        <f t="shared" ref="B15:G15" si="5">SUM(H128:H133,H175:H208,H223:H228,H270:H303)*B32</f>
        <v>0</v>
      </c>
      <c r="C15" s="171">
        <f t="shared" ca="1" si="5"/>
        <v>0</v>
      </c>
      <c r="D15" s="171">
        <f t="shared" ca="1" si="5"/>
        <v>0</v>
      </c>
      <c r="E15" s="171">
        <f t="shared" ca="1" si="5"/>
        <v>0</v>
      </c>
      <c r="F15" s="171">
        <f t="shared" ca="1" si="5"/>
        <v>0</v>
      </c>
      <c r="G15" s="172">
        <f t="shared" ca="1" si="5"/>
        <v>0</v>
      </c>
    </row>
    <row r="16" spans="1:19" customFormat="1">
      <c r="A16" s="18" t="s">
        <v>60</v>
      </c>
      <c r="B16" s="170">
        <f t="shared" ref="B16:G16" si="6">SUM(H119:H124,H214:H219,H307:H312)+SUM(H128:H133,H223:H228)*B32</f>
        <v>-267.59452840452661</v>
      </c>
      <c r="C16" s="171">
        <f t="shared" ca="1" si="6"/>
        <v>2414.4751237405503</v>
      </c>
      <c r="D16" s="171">
        <f t="shared" ca="1" si="6"/>
        <v>4419.5304956409109</v>
      </c>
      <c r="E16" s="171">
        <f t="shared" ca="1" si="6"/>
        <v>6024.2355974105831</v>
      </c>
      <c r="F16" s="171">
        <f t="shared" ca="1" si="6"/>
        <v>6557.70149749745</v>
      </c>
      <c r="G16" s="172">
        <f t="shared" ca="1" si="6"/>
        <v>6851.3795818084109</v>
      </c>
    </row>
    <row r="17" spans="1:17" customFormat="1">
      <c r="A17" s="18" t="s">
        <v>73</v>
      </c>
      <c r="B17" s="170">
        <f t="shared" ref="B17:G17" si="7">B14+B15-B16</f>
        <v>1329.9946434333506</v>
      </c>
      <c r="C17" s="171">
        <f t="shared" ca="1" si="7"/>
        <v>461.27644992706382</v>
      </c>
      <c r="D17" s="171">
        <f t="shared" ca="1" si="7"/>
        <v>649.65454291067908</v>
      </c>
      <c r="E17" s="171">
        <f t="shared" ca="1" si="7"/>
        <v>730.64300895552333</v>
      </c>
      <c r="F17" s="171">
        <f t="shared" ca="1" si="7"/>
        <v>803.66652541140684</v>
      </c>
      <c r="G17" s="172">
        <f t="shared" ca="1" si="7"/>
        <v>838.43287997060452</v>
      </c>
    </row>
    <row r="18" spans="1:17" customFormat="1" ht="6.75" customHeight="1">
      <c r="A18" s="17"/>
      <c r="B18" s="170"/>
      <c r="C18" s="171"/>
      <c r="D18" s="171"/>
      <c r="E18" s="171"/>
      <c r="F18" s="171"/>
      <c r="G18" s="172"/>
    </row>
    <row r="19" spans="1:17" customFormat="1">
      <c r="A19" s="20" t="s">
        <v>74</v>
      </c>
      <c r="B19" s="170">
        <f t="shared" ref="B19:G19" si="8">B63</f>
        <v>1062.4001150288241</v>
      </c>
      <c r="C19" s="171">
        <f t="shared" ca="1" si="8"/>
        <v>2699.7443803290212</v>
      </c>
      <c r="D19" s="171">
        <f t="shared" ca="1" si="8"/>
        <v>4724.8751153233015</v>
      </c>
      <c r="E19" s="171">
        <f t="shared" ca="1" si="8"/>
        <v>6279.9610436927187</v>
      </c>
      <c r="F19" s="171">
        <f t="shared" ca="1" si="8"/>
        <v>6829.222880639607</v>
      </c>
      <c r="G19" s="172">
        <f t="shared" ca="1" si="8"/>
        <v>7105.5639197480741</v>
      </c>
    </row>
    <row r="20" spans="1:17" customFormat="1">
      <c r="A20" s="18" t="s">
        <v>55</v>
      </c>
      <c r="B20" s="170">
        <f t="shared" ref="B20:G20" si="9">B49-B47</f>
        <v>15.437150622194167</v>
      </c>
      <c r="C20" s="171">
        <f t="shared" si="9"/>
        <v>524.48882637895622</v>
      </c>
      <c r="D20" s="171">
        <f t="shared" si="9"/>
        <v>468.13109882694516</v>
      </c>
      <c r="E20" s="171">
        <f t="shared" si="9"/>
        <v>-77.647238183100853</v>
      </c>
      <c r="F20" s="171">
        <f t="shared" si="9"/>
        <v>-322.80914374632812</v>
      </c>
      <c r="G20" s="172">
        <f t="shared" si="9"/>
        <v>-340.14399476550534</v>
      </c>
    </row>
    <row r="21" spans="1:17" s="284" customFormat="1">
      <c r="A21" s="18" t="s">
        <v>1172</v>
      </c>
      <c r="B21" s="170">
        <f>B48</f>
        <v>48.271190640000007</v>
      </c>
      <c r="C21" s="171">
        <v>0</v>
      </c>
      <c r="D21" s="171">
        <v>0</v>
      </c>
      <c r="E21" s="171">
        <v>0</v>
      </c>
      <c r="F21" s="171">
        <v>0</v>
      </c>
      <c r="G21" s="172">
        <v>0</v>
      </c>
    </row>
    <row r="22" spans="1:17" customFormat="1">
      <c r="A22" s="23" t="s">
        <v>102</v>
      </c>
      <c r="B22" s="170">
        <f t="shared" ref="B22:G22" si="10">B23+B24</f>
        <v>1095.234155046629</v>
      </c>
      <c r="C22" s="171">
        <f t="shared" ca="1" si="10"/>
        <v>2190.8804037295163</v>
      </c>
      <c r="D22" s="171">
        <f t="shared" ca="1" si="10"/>
        <v>4186.334971767923</v>
      </c>
      <c r="E22" s="171">
        <f t="shared" ca="1" si="10"/>
        <v>6279.9610436927187</v>
      </c>
      <c r="F22" s="171">
        <f t="shared" ca="1" si="10"/>
        <v>6829.222880639607</v>
      </c>
      <c r="G22" s="172">
        <f t="shared" ca="1" si="10"/>
        <v>7105.5639197480741</v>
      </c>
    </row>
    <row r="23" spans="1:17" customFormat="1">
      <c r="A23" s="228" t="s">
        <v>1173</v>
      </c>
      <c r="B23" s="170">
        <f t="shared" ref="B23:G23" si="11">SUM(B50:B51,B58:B59)</f>
        <v>210.95965861346764</v>
      </c>
      <c r="C23" s="171">
        <f t="shared" ca="1" si="11"/>
        <v>272.737797096664</v>
      </c>
      <c r="D23" s="171">
        <f t="shared" ca="1" si="11"/>
        <v>378.89332132859749</v>
      </c>
      <c r="E23" s="171">
        <f t="shared" ca="1" si="11"/>
        <v>250.69356781451631</v>
      </c>
      <c r="F23" s="171">
        <f t="shared" ca="1" si="11"/>
        <v>300.48941654275001</v>
      </c>
      <c r="G23" s="172">
        <f t="shared" ca="1" si="11"/>
        <v>319.44443887015882</v>
      </c>
    </row>
    <row r="24" spans="1:17" customFormat="1">
      <c r="A24" s="228" t="s">
        <v>1174</v>
      </c>
      <c r="B24" s="170">
        <f t="shared" ref="B24:G24" si="12">SUM(B53:B54,B60:B61)</f>
        <v>884.2744964331614</v>
      </c>
      <c r="C24" s="171">
        <f t="shared" ca="1" si="12"/>
        <v>1918.1426066328522</v>
      </c>
      <c r="D24" s="171">
        <f t="shared" ca="1" si="12"/>
        <v>3807.4416504393257</v>
      </c>
      <c r="E24" s="171">
        <f t="shared" ca="1" si="12"/>
        <v>6029.2674758782023</v>
      </c>
      <c r="F24" s="171">
        <f t="shared" ca="1" si="12"/>
        <v>6528.7334640968566</v>
      </c>
      <c r="G24" s="172">
        <f t="shared" ca="1" si="12"/>
        <v>6786.1194808779155</v>
      </c>
    </row>
    <row r="25" spans="1:17" customFormat="1" ht="15" customHeight="1">
      <c r="A25" s="63" t="s">
        <v>304</v>
      </c>
      <c r="B25" s="271">
        <f>'Baseline debt'!P64</f>
        <v>1.9586439007071743E-2</v>
      </c>
      <c r="C25" s="176">
        <f ca="1">IF(Guarantees="Yes",IF(ISNUMBER(C23/(B5-B6)),C23/(B5-B6),""),IF(ISNUMBER(C23/B5),C23/B5,""))</f>
        <v>2.4781166566290192E-2</v>
      </c>
      <c r="D25" s="176">
        <f ca="1">IF(Guarantees="Yes",IF(ISNUMBER(D23/(C5-C6)),D23/(C5-C6),""),IF(ISNUMBER(D23/C5),D23/C5,""))</f>
        <v>3.214378603896198E-2</v>
      </c>
      <c r="E25" s="176">
        <f ca="1">IF(Guarantees="Yes",IF(ISNUMBER(E23/(D5-D6)),E23/(D5-D6),""),IF(ISNUMBER(E23/D5),E23/D5,""))</f>
        <v>1.9732061097271953E-2</v>
      </c>
      <c r="F25" s="176">
        <f ca="1">IF(Guarantees="Yes",IF(ISNUMBER(F23/(E5-E6)),F23/(E5-E6),""),IF(ISNUMBER(F23/E5),F23/E5,""))</f>
        <v>2.3193824503916455E-2</v>
      </c>
      <c r="G25" s="177">
        <f ca="1">IF(Guarantees="Yes",IF(ISNUMBER(G23/(F5-F6)),G23/(F5-F6),""),IF(ISNUMBER(G23/F5),G23/F5,""))</f>
        <v>2.4097978248006999E-2</v>
      </c>
    </row>
    <row r="26" spans="1:17" customFormat="1">
      <c r="A26" s="20" t="s">
        <v>77</v>
      </c>
      <c r="B26" s="173">
        <f>'Input 5 - Scenario Design'!E43</f>
        <v>4.7697166816344838E-2</v>
      </c>
      <c r="C26" s="174">
        <f>'Input 5 - Scenario Design'!F43</f>
        <v>3.1686434574876632E-2</v>
      </c>
      <c r="D26" s="174">
        <f>'Input 5 - Scenario Design'!G43</f>
        <v>2.9947102444823903E-2</v>
      </c>
      <c r="E26" s="174">
        <f>'Input 5 - Scenario Design'!H43</f>
        <v>2.8871442593204177E-2</v>
      </c>
      <c r="F26" s="174">
        <f>'Input 5 - Scenario Design'!I43</f>
        <v>2.933023694707515E-2</v>
      </c>
      <c r="G26" s="175">
        <f>'Input 5 - Scenario Design'!J43</f>
        <v>2.8000000000000025E-2</v>
      </c>
    </row>
    <row r="27" spans="1:17" customFormat="1">
      <c r="A27" s="20" t="s">
        <v>78</v>
      </c>
      <c r="B27" s="173">
        <f>'Input 5 - Scenario Design'!E44</f>
        <v>4.2122999157540031E-2</v>
      </c>
      <c r="C27" s="174">
        <f>'Input 5 - Scenario Design'!F44</f>
        <v>3.085754504401117E-2</v>
      </c>
      <c r="D27" s="174">
        <f>'Input 5 - Scenario Design'!G44</f>
        <v>2.7938359016816516E-2</v>
      </c>
      <c r="E27" s="174">
        <f>'Input 5 - Scenario Design'!H44</f>
        <v>2.5315565708619037E-2</v>
      </c>
      <c r="F27" s="174">
        <f>'Input 5 - Scenario Design'!I44</f>
        <v>2.4647711698661201E-2</v>
      </c>
      <c r="G27" s="175">
        <f>'Input 5 - Scenario Design'!J44</f>
        <v>2.5000000000000133E-2</v>
      </c>
    </row>
    <row r="28" spans="1:17" customFormat="1">
      <c r="A28" s="20" t="s">
        <v>828</v>
      </c>
      <c r="B28" s="173">
        <f>'Input 5 - Scenario Design'!E45</f>
        <v>0.36781832970756889</v>
      </c>
      <c r="C28" s="174">
        <f>'Input 5 - Scenario Design'!F45</f>
        <v>0.35040979875430966</v>
      </c>
      <c r="D28" s="174">
        <f>'Input 5 - Scenario Design'!G45</f>
        <v>0.34804490274526728</v>
      </c>
      <c r="E28" s="174">
        <f>'Input 5 - Scenario Design'!H45</f>
        <v>0.35111135216456818</v>
      </c>
      <c r="F28" s="174">
        <f>'Input 5 - Scenario Design'!I45</f>
        <v>0.34585635256377734</v>
      </c>
      <c r="G28" s="175">
        <f>'Input 5 - Scenario Design'!J45</f>
        <v>0.34585635256377734</v>
      </c>
    </row>
    <row r="29" spans="1:17" customFormat="1">
      <c r="A29" s="20" t="s">
        <v>80</v>
      </c>
      <c r="B29" s="173">
        <f>'Input 5 - Scenario Design'!E46</f>
        <v>0.36834134844430905</v>
      </c>
      <c r="C29" s="174">
        <f>'Input 5 - Scenario Design'!F46</f>
        <v>0.36711839528897594</v>
      </c>
      <c r="D29" s="174">
        <f>'Input 5 - Scenario Design'!G46</f>
        <v>0.3621309529493088</v>
      </c>
      <c r="E29" s="174">
        <f>'Input 5 - Scenario Design'!H46</f>
        <v>0.34889657983921007</v>
      </c>
      <c r="F29" s="174">
        <f>'Input 5 - Scenario Design'!I46</f>
        <v>0.33712624493397764</v>
      </c>
      <c r="G29" s="175">
        <f>'Input 5 - Scenario Design'!J46</f>
        <v>0.33712624493397758</v>
      </c>
    </row>
    <row r="30" spans="1:17" customFormat="1">
      <c r="A30" s="20" t="s">
        <v>147</v>
      </c>
      <c r="B30" s="173">
        <f>'Input 5 - Scenario Design'!E47</f>
        <v>-5.2301873674015509E-4</v>
      </c>
      <c r="C30" s="176">
        <f>'Input 5 - Scenario Design'!F47</f>
        <v>-1.6708596534666283E-2</v>
      </c>
      <c r="D30" s="176">
        <f>'Input 5 - Scenario Design'!G47</f>
        <v>-1.4086050204041529E-2</v>
      </c>
      <c r="E30" s="176">
        <f>'Input 5 - Scenario Design'!H47</f>
        <v>2.2147723253581053E-3</v>
      </c>
      <c r="F30" s="176">
        <f>'Input 5 - Scenario Design'!I47</f>
        <v>8.7301076297996993E-3</v>
      </c>
      <c r="G30" s="177">
        <f>'Input 5 - Scenario Design'!J47</f>
        <v>8.7301076297997549E-3</v>
      </c>
    </row>
    <row r="31" spans="1:17" ht="15" customHeight="1">
      <c r="A31" s="20" t="s">
        <v>1129</v>
      </c>
      <c r="B31" s="229">
        <f>'Input 5 - Scenario Design'!E48</f>
        <v>1.18</v>
      </c>
      <c r="C31" s="230">
        <f>'Input 5 - Scenario Design'!F48</f>
        <v>1.1399999999999999</v>
      </c>
      <c r="D31" s="230">
        <f>'Input 5 - Scenario Design'!G48</f>
        <v>1.1399999999999999</v>
      </c>
      <c r="E31" s="230">
        <f>'Input 5 - Scenario Design'!H48</f>
        <v>1.1399999999999999</v>
      </c>
      <c r="F31" s="230">
        <f>'Input 5 - Scenario Design'!I48</f>
        <v>1.1399999999999999</v>
      </c>
      <c r="G31" s="231">
        <f>'Input 5 - Scenario Design'!J48</f>
        <v>1.1399999999999999</v>
      </c>
      <c r="I31" s="188"/>
      <c r="J31" s="188"/>
      <c r="K31" s="188"/>
      <c r="L31" s="188"/>
      <c r="M31" s="188"/>
      <c r="N31" s="188"/>
      <c r="O31" s="188"/>
      <c r="P31" s="188"/>
      <c r="Q31" s="189"/>
    </row>
    <row r="32" spans="1:17" customFormat="1">
      <c r="A32" s="20" t="s">
        <v>1130</v>
      </c>
      <c r="B32" s="229">
        <f>'Input 5 - Scenario Design'!E49</f>
        <v>1.18</v>
      </c>
      <c r="C32" s="230">
        <f>'Input 5 - Scenario Design'!F49</f>
        <v>1.1399999999999999</v>
      </c>
      <c r="D32" s="230">
        <f>'Input 5 - Scenario Design'!G49</f>
        <v>1.1399999999999999</v>
      </c>
      <c r="E32" s="230">
        <f>'Input 5 - Scenario Design'!H49</f>
        <v>1.1399999999999999</v>
      </c>
      <c r="F32" s="230">
        <f>'Input 5 - Scenario Design'!I49</f>
        <v>1.1399999999999999</v>
      </c>
      <c r="G32" s="231">
        <f>'Input 5 - Scenario Design'!J49</f>
        <v>1.1399999999999999</v>
      </c>
    </row>
    <row r="33" spans="1:17" customFormat="1">
      <c r="A33" s="20" t="s">
        <v>89</v>
      </c>
      <c r="B33" s="233">
        <f>'Input 5 - Scenario Design'!E50</f>
        <v>0</v>
      </c>
      <c r="C33" s="232">
        <f>'Input 5 - Scenario Design'!F50</f>
        <v>42.936438739549097</v>
      </c>
      <c r="D33" s="232">
        <f>'Input 5 - Scenario Design'!G50</f>
        <v>42.936438739549097</v>
      </c>
      <c r="E33" s="232">
        <f>'Input 5 - Scenario Design'!H50</f>
        <v>0</v>
      </c>
      <c r="F33" s="232">
        <f>'Input 5 - Scenario Design'!I50</f>
        <v>0</v>
      </c>
      <c r="G33" s="234">
        <f>'Input 5 - Scenario Design'!J50</f>
        <v>0</v>
      </c>
    </row>
    <row r="34" spans="1:17" customFormat="1">
      <c r="A34" s="20" t="s">
        <v>92</v>
      </c>
      <c r="B34" s="173">
        <f t="shared" ref="B34:G34" si="13">(1+B26)*(1+B27)-1</f>
        <v>9.1829313691506709E-2</v>
      </c>
      <c r="C34" s="174">
        <f t="shared" si="13"/>
        <v>6.3521745201066127E-2</v>
      </c>
      <c r="D34" s="174">
        <f t="shared" si="13"/>
        <v>5.8722134361257394E-2</v>
      </c>
      <c r="E34" s="174">
        <f t="shared" si="13"/>
        <v>5.4917905203894168E-2</v>
      </c>
      <c r="F34" s="174">
        <f t="shared" si="13"/>
        <v>5.470087187006123E-2</v>
      </c>
      <c r="G34" s="175">
        <f t="shared" si="13"/>
        <v>5.3700000000000081E-2</v>
      </c>
    </row>
    <row r="35" spans="1:17" ht="15" customHeight="1">
      <c r="A35" s="20" t="s">
        <v>10</v>
      </c>
      <c r="B35" s="190">
        <f>'Input 2 - Data'!P7*(1+B34)</f>
        <v>29515.482979464068</v>
      </c>
      <c r="C35" s="13">
        <f>B35*(1+C34)</f>
        <v>31390.35796877199</v>
      </c>
      <c r="D35" s="13">
        <f>C35*(1+D34)</f>
        <v>33233.666787062182</v>
      </c>
      <c r="E35" s="13">
        <f>D35*(1+E34)</f>
        <v>35058.790149251872</v>
      </c>
      <c r="F35" s="13">
        <f>E35*(1+F34)</f>
        <v>36976.536537125467</v>
      </c>
      <c r="G35" s="191">
        <f>F35*(1+G34)</f>
        <v>38962.176549169104</v>
      </c>
      <c r="I35" s="188"/>
      <c r="J35" s="188"/>
      <c r="K35" s="188"/>
      <c r="L35" s="188"/>
      <c r="M35" s="188"/>
      <c r="N35" s="188"/>
      <c r="O35" s="188"/>
      <c r="P35" s="188"/>
      <c r="Q35" s="189"/>
    </row>
    <row r="36" spans="1:17" customFormat="1" ht="6" customHeight="1">
      <c r="A36" s="20"/>
      <c r="B36" s="170"/>
      <c r="C36" s="171"/>
      <c r="D36" s="171"/>
      <c r="E36" s="171"/>
      <c r="F36" s="171"/>
      <c r="G36" s="172"/>
    </row>
    <row r="37" spans="1:17" customFormat="1">
      <c r="A37" s="20" t="s">
        <v>96</v>
      </c>
      <c r="B37" s="178">
        <f t="shared" ref="B37:G37" si="14">B5/B35</f>
        <v>0.37094606570883371</v>
      </c>
      <c r="C37" s="179">
        <f t="shared" ca="1" si="14"/>
        <v>0.38214400364463957</v>
      </c>
      <c r="D37" s="179">
        <f t="shared" ca="1" si="14"/>
        <v>0.38918983896573439</v>
      </c>
      <c r="E37" s="179">
        <f t="shared" ca="1" si="14"/>
        <v>0.37610365701816018</v>
      </c>
      <c r="F37" s="179">
        <f t="shared" ca="1" si="14"/>
        <v>0.36469134459946501</v>
      </c>
      <c r="G37" s="180">
        <f t="shared" ca="1" si="14"/>
        <v>0.35393780598028229</v>
      </c>
    </row>
    <row r="38" spans="1:17" customFormat="1">
      <c r="A38" s="20" t="s">
        <v>100</v>
      </c>
      <c r="B38" s="178">
        <f t="shared" ref="B38:G38" si="15">B22/B35</f>
        <v>3.7107105982600995E-2</v>
      </c>
      <c r="C38" s="179">
        <f t="shared" ca="1" si="15"/>
        <v>7.1027380579709198E-2</v>
      </c>
      <c r="D38" s="179">
        <f t="shared" ca="1" si="15"/>
        <v>0.12824036019020324</v>
      </c>
      <c r="E38" s="179">
        <f t="shared" ca="1" si="15"/>
        <v>0.1823088251190739</v>
      </c>
      <c r="F38" s="179">
        <f t="shared" ca="1" si="15"/>
        <v>0.18788063478595307</v>
      </c>
      <c r="G38" s="180">
        <f t="shared" ca="1" si="15"/>
        <v>0.18525471587823333</v>
      </c>
    </row>
    <row r="39" spans="1:17" customFormat="1">
      <c r="A39" s="20" t="s">
        <v>98</v>
      </c>
      <c r="B39" s="178">
        <f t="shared" ref="B39:G39" si="16">B19/B35</f>
        <v>3.5994671534530134E-2</v>
      </c>
      <c r="C39" s="179">
        <f t="shared" ca="1" si="16"/>
        <v>8.7524527237149236E-2</v>
      </c>
      <c r="D39" s="179">
        <f t="shared" ca="1" si="16"/>
        <v>0.14473750684764328</v>
      </c>
      <c r="E39" s="179">
        <f t="shared" ca="1" si="16"/>
        <v>0.1823088251190739</v>
      </c>
      <c r="F39" s="179">
        <f t="shared" ca="1" si="16"/>
        <v>0.18788063478595307</v>
      </c>
      <c r="G39" s="180">
        <f t="shared" ca="1" si="16"/>
        <v>0.18525471587823333</v>
      </c>
    </row>
    <row r="40" spans="1:17" customFormat="1">
      <c r="A40" s="20" t="s">
        <v>1175</v>
      </c>
      <c r="B40" s="178">
        <f>B5/(B47+B48)</f>
        <v>1.0040391596609757</v>
      </c>
      <c r="C40" s="179" t="e">
        <f ca="1">C5/C47</f>
        <v>#DIV/0!</v>
      </c>
      <c r="D40" s="179" t="e">
        <f ca="1">D5/D47</f>
        <v>#DIV/0!</v>
      </c>
      <c r="E40" s="179" t="e">
        <f ca="1">E5/E47</f>
        <v>#DIV/0!</v>
      </c>
      <c r="F40" s="179" t="e">
        <f ca="1">F5/F47</f>
        <v>#DIV/0!</v>
      </c>
      <c r="G40" s="180" t="e">
        <f ca="1">G5/G47</f>
        <v>#DIV/0!</v>
      </c>
    </row>
    <row r="41" spans="1:17" customFormat="1">
      <c r="A41" s="20" t="s">
        <v>1176</v>
      </c>
      <c r="B41" s="178">
        <f>B22/(B47+B48)</f>
        <v>0.10043774810504542</v>
      </c>
      <c r="C41" s="179" t="e">
        <f ca="1">C22/C47</f>
        <v>#DIV/0!</v>
      </c>
      <c r="D41" s="179" t="e">
        <f ca="1">D22/D47</f>
        <v>#DIV/0!</v>
      </c>
      <c r="E41" s="179" t="e">
        <f ca="1">E22/E47</f>
        <v>#DIV/0!</v>
      </c>
      <c r="F41" s="179" t="e">
        <f ca="1">F22/F47</f>
        <v>#DIV/0!</v>
      </c>
      <c r="G41" s="180" t="e">
        <f ca="1">G22/G47</f>
        <v>#DIV/0!</v>
      </c>
    </row>
    <row r="42" spans="1:17" customFormat="1">
      <c r="A42" s="20" t="s">
        <v>99</v>
      </c>
      <c r="B42" s="178">
        <f>B19/(B47+B48)</f>
        <v>9.7426723453025818E-2</v>
      </c>
      <c r="C42" s="179" t="e">
        <f ca="1">C19/C47</f>
        <v>#DIV/0!</v>
      </c>
      <c r="D42" s="179" t="e">
        <f ca="1">D19/D47</f>
        <v>#DIV/0!</v>
      </c>
      <c r="E42" s="179" t="e">
        <f ca="1">E19/E47</f>
        <v>#DIV/0!</v>
      </c>
      <c r="F42" s="179" t="e">
        <f ca="1">F19/F47</f>
        <v>#DIV/0!</v>
      </c>
      <c r="G42" s="180" t="e">
        <f ca="1">G19/G47</f>
        <v>#DIV/0!</v>
      </c>
    </row>
    <row r="43" spans="1:17" ht="6" customHeight="1" thickBot="1">
      <c r="A43" s="17"/>
      <c r="B43" s="181"/>
      <c r="C43" s="182"/>
      <c r="D43" s="182"/>
      <c r="E43" s="182"/>
      <c r="F43" s="182"/>
      <c r="G43" s="183"/>
    </row>
    <row r="44" spans="1:17" ht="6" customHeight="1" thickBot="1">
      <c r="B44" s="7"/>
      <c r="C44" s="7"/>
      <c r="D44" s="7"/>
      <c r="E44" s="7"/>
      <c r="F44" s="7"/>
      <c r="G44" s="7"/>
      <c r="I44" s="184"/>
      <c r="J44" s="184"/>
      <c r="K44" s="184"/>
      <c r="L44" s="184"/>
      <c r="M44" s="184"/>
      <c r="N44" s="184"/>
      <c r="O44" s="184"/>
      <c r="P44" s="184"/>
    </row>
    <row r="45" spans="1:17" ht="15.75" thickBot="1">
      <c r="B45" s="165">
        <f>FirstYear</f>
        <v>2018</v>
      </c>
      <c r="C45" s="166">
        <f>B45+1</f>
        <v>2019</v>
      </c>
      <c r="D45" s="166">
        <f>C45+1</f>
        <v>2020</v>
      </c>
      <c r="E45" s="166">
        <f>D45+1</f>
        <v>2021</v>
      </c>
      <c r="F45" s="166">
        <f>E45+1</f>
        <v>2022</v>
      </c>
      <c r="G45" s="167">
        <f>F45+1</f>
        <v>2023</v>
      </c>
      <c r="I45" s="184"/>
      <c r="J45" s="184"/>
      <c r="K45" s="184"/>
      <c r="L45" s="184"/>
      <c r="M45" s="184"/>
      <c r="N45" s="184"/>
      <c r="O45" s="184"/>
      <c r="P45" s="184"/>
    </row>
    <row r="46" spans="1:17" ht="6" customHeight="1" thickBot="1">
      <c r="B46" s="195"/>
      <c r="C46" s="195"/>
      <c r="D46" s="195"/>
      <c r="E46" s="195"/>
      <c r="F46" s="195"/>
      <c r="G46" s="195"/>
      <c r="I46" s="188"/>
      <c r="J46" s="188"/>
      <c r="K46" s="188"/>
      <c r="L46" s="188"/>
      <c r="M46" s="188"/>
      <c r="N46" s="188"/>
      <c r="O46" s="188"/>
      <c r="P46" s="188"/>
      <c r="Q46" s="189"/>
    </row>
    <row r="47" spans="1:17" ht="15" customHeight="1">
      <c r="A47" s="538" t="s">
        <v>830</v>
      </c>
      <c r="B47" s="185">
        <f t="shared" ref="B47:G47" si="17">B28*B$35</f>
        <v>10856.335650018653</v>
      </c>
      <c r="C47" s="186">
        <f t="shared" si="17"/>
        <v>10999.489018663135</v>
      </c>
      <c r="D47" s="186">
        <f t="shared" si="17"/>
        <v>11566.808324771677</v>
      </c>
      <c r="E47" s="186">
        <f t="shared" si="17"/>
        <v>12309.539214557668</v>
      </c>
      <c r="F47" s="186">
        <f t="shared" si="17"/>
        <v>12788.570057171461</v>
      </c>
      <c r="G47" s="187">
        <f t="shared" si="17"/>
        <v>13475.316269241566</v>
      </c>
      <c r="I47" s="188"/>
      <c r="J47" s="188"/>
      <c r="K47" s="188"/>
      <c r="L47" s="188"/>
      <c r="M47" s="188"/>
      <c r="N47" s="188"/>
      <c r="O47" s="188"/>
      <c r="P47" s="188"/>
      <c r="Q47" s="189"/>
    </row>
    <row r="48" spans="1:17" s="281" customFormat="1" ht="15" customHeight="1">
      <c r="A48" s="1383" t="s">
        <v>824</v>
      </c>
      <c r="B48" s="190">
        <f>'Input 4 - Forecast'!C21</f>
        <v>48.271190640000007</v>
      </c>
      <c r="C48" s="13">
        <f>'Input 4 - Forecast'!D21</f>
        <v>51.337460912386192</v>
      </c>
      <c r="D48" s="13">
        <f>'Input 4 - Forecast'!E21</f>
        <v>54.35210618984911</v>
      </c>
      <c r="E48" s="13">
        <f>'Input 4 - Forecast'!F21</f>
        <v>57.337010005215234</v>
      </c>
      <c r="F48" s="13">
        <f>'Input 4 - Forecast'!G21</f>
        <v>60.473394442922938</v>
      </c>
      <c r="G48" s="191">
        <f>'Input 4 - Forecast'!H21</f>
        <v>63.71294897394791</v>
      </c>
      <c r="I48" s="188"/>
      <c r="J48" s="188"/>
      <c r="K48" s="188"/>
      <c r="L48" s="188"/>
      <c r="M48" s="188"/>
      <c r="N48" s="188"/>
      <c r="O48" s="188"/>
      <c r="P48" s="188"/>
      <c r="Q48" s="189"/>
    </row>
    <row r="49" spans="1:17" ht="15" customHeight="1">
      <c r="A49" s="5" t="s">
        <v>69</v>
      </c>
      <c r="B49" s="190">
        <f t="shared" ref="B49:G49" si="18">B29*B$35</f>
        <v>10871.772800640847</v>
      </c>
      <c r="C49" s="13">
        <f t="shared" si="18"/>
        <v>11523.977845042091</v>
      </c>
      <c r="D49" s="13">
        <f t="shared" si="18"/>
        <v>12034.939423598622</v>
      </c>
      <c r="E49" s="13">
        <f t="shared" si="18"/>
        <v>12231.891976374567</v>
      </c>
      <c r="F49" s="13">
        <f t="shared" si="18"/>
        <v>12465.760913425132</v>
      </c>
      <c r="G49" s="191">
        <f t="shared" si="18"/>
        <v>13135.172274476061</v>
      </c>
      <c r="I49" s="188"/>
      <c r="J49" s="188"/>
      <c r="K49" s="188"/>
      <c r="L49" s="188"/>
      <c r="M49" s="188"/>
      <c r="N49" s="188"/>
      <c r="O49" s="188"/>
      <c r="P49" s="188"/>
      <c r="Q49" s="189"/>
    </row>
    <row r="50" spans="1:17" ht="15" customHeight="1">
      <c r="A50" s="3" t="s">
        <v>66</v>
      </c>
      <c r="B50" s="190">
        <f>'Input 4 - Forecast'!C24</f>
        <v>174.85657659911266</v>
      </c>
      <c r="C50" s="13">
        <f>'Input 4 - Forecast'!D24</f>
        <v>162.29082986591305</v>
      </c>
      <c r="D50" s="13">
        <f>'Input 4 - Forecast'!E24</f>
        <v>139.59781983027952</v>
      </c>
      <c r="E50" s="13">
        <f>'Input 4 - Forecast'!F24</f>
        <v>135.40250794027952</v>
      </c>
      <c r="F50" s="13">
        <f>'Input 4 - Forecast'!G24</f>
        <v>103.26669278984103</v>
      </c>
      <c r="G50" s="191">
        <f>'Input 4 - Forecast'!H24</f>
        <v>95.657544050000013</v>
      </c>
      <c r="I50" s="197" t="s">
        <v>87</v>
      </c>
      <c r="J50" s="188"/>
      <c r="K50" s="188"/>
      <c r="L50" s="188"/>
      <c r="M50" s="188"/>
      <c r="N50" s="188"/>
      <c r="O50" s="188"/>
      <c r="P50" s="188"/>
      <c r="Q50" s="189"/>
    </row>
    <row r="51" spans="1:17" ht="15" customHeight="1" thickBot="1">
      <c r="A51" s="198" t="s">
        <v>65</v>
      </c>
      <c r="B51" s="192">
        <f>('Input 4 - Forecast'!C25/'Input 4 - Forecast'!C$17)*B31</f>
        <v>36.103082014354982</v>
      </c>
      <c r="C51" s="193">
        <f>('Input 4 - Forecast'!D25/'Input 4 - Forecast'!D$17)*C31</f>
        <v>36.793459074872004</v>
      </c>
      <c r="D51" s="193">
        <f>('Input 4 - Forecast'!E25/'Input 4 - Forecast'!E$17)*D31</f>
        <v>28.352366134432003</v>
      </c>
      <c r="E51" s="193">
        <f>('Input 4 - Forecast'!F25/'Input 4 - Forecast'!F$17)*E31</f>
        <v>10.689095726641995</v>
      </c>
      <c r="F51" s="193">
        <f>('Input 4 - Forecast'!G25/'Input 4 - Forecast'!G$17)*F31</f>
        <v>0.23301181859500275</v>
      </c>
      <c r="G51" s="194">
        <f>('Input 4 - Forecast'!H25/'Input 4 - Forecast'!H$17)*G31</f>
        <v>0.22278209171348351</v>
      </c>
      <c r="I51" s="197" t="s">
        <v>85</v>
      </c>
      <c r="J51" s="188"/>
      <c r="K51" s="188"/>
      <c r="L51" s="188"/>
      <c r="M51" s="188"/>
      <c r="N51" s="188"/>
      <c r="O51" s="188"/>
      <c r="P51" s="188"/>
      <c r="Q51" s="189"/>
    </row>
    <row r="52" spans="1:17" ht="6" customHeight="1" thickBot="1">
      <c r="B52" s="195"/>
      <c r="C52" s="195"/>
      <c r="D52" s="195"/>
      <c r="E52" s="195"/>
      <c r="F52" s="195"/>
      <c r="G52" s="195"/>
      <c r="I52" s="199"/>
      <c r="J52" s="199"/>
      <c r="K52" s="199"/>
      <c r="L52" s="199"/>
      <c r="M52" s="199"/>
      <c r="N52" s="199"/>
      <c r="O52" s="199"/>
      <c r="P52" s="199"/>
    </row>
    <row r="53" spans="1:17">
      <c r="A53" s="196" t="s">
        <v>67</v>
      </c>
      <c r="B53" s="185">
        <f>'Input 4 - Forecast'!C27</f>
        <v>880.82751076386637</v>
      </c>
      <c r="C53" s="186">
        <f>'Input 4 - Forecast'!D27</f>
        <v>974.88479061012663</v>
      </c>
      <c r="D53" s="186">
        <f>'Input 4 - Forecast'!E27</f>
        <v>693.56222634999995</v>
      </c>
      <c r="E53" s="186">
        <f>'Input 4 - Forecast'!F27</f>
        <v>1100.0445500352976</v>
      </c>
      <c r="F53" s="186">
        <f>'Input 4 - Forecast'!G27</f>
        <v>305.67470971030548</v>
      </c>
      <c r="G53" s="187">
        <f>'Input 4 - Forecast'!H27</f>
        <v>259.28679624</v>
      </c>
      <c r="I53" s="197" t="s">
        <v>88</v>
      </c>
      <c r="J53" s="199"/>
      <c r="K53" s="199"/>
      <c r="L53" s="199"/>
      <c r="M53" s="199"/>
      <c r="N53" s="199"/>
      <c r="O53" s="199"/>
      <c r="P53" s="199"/>
    </row>
    <row r="54" spans="1:17" ht="15.75" thickBot="1">
      <c r="A54" s="198" t="s">
        <v>68</v>
      </c>
      <c r="B54" s="192">
        <f>('Input 4 - Forecast'!C28/'Input 4 - Forecast'!C$17)*B31</f>
        <v>3.4469856692949747</v>
      </c>
      <c r="C54" s="193">
        <f>('Input 4 - Forecast'!D28/'Input 4 - Forecast'!D$17)*C31</f>
        <v>0.42613768651699502</v>
      </c>
      <c r="D54" s="193">
        <f>('Input 4 - Forecast'!E28/'Input 4 - Forecast'!E$17)*D31</f>
        <v>613.46644681095995</v>
      </c>
      <c r="E54" s="193">
        <f>('Input 4 - Forecast'!F28/'Input 4 - Forecast'!F$17)*E31</f>
        <v>352.96984703798012</v>
      </c>
      <c r="F54" s="193">
        <f>('Input 4 - Forecast'!G28/'Input 4 - Forecast'!G$17)*F31</f>
        <v>0.34099085799599038</v>
      </c>
      <c r="G54" s="194">
        <f>('Input 4 - Forecast'!H28/'Input 4 - Forecast'!H$17)*G31</f>
        <v>0</v>
      </c>
      <c r="I54" s="197" t="s">
        <v>86</v>
      </c>
      <c r="J54" s="199"/>
      <c r="K54" s="199"/>
      <c r="L54" s="199"/>
      <c r="M54" s="199"/>
      <c r="N54" s="199"/>
      <c r="O54" s="199"/>
      <c r="P54" s="199"/>
    </row>
    <row r="55" spans="1:17" ht="15.75" thickBot="1">
      <c r="B55" s="195"/>
      <c r="C55" s="195"/>
      <c r="D55" s="195"/>
      <c r="E55" s="195"/>
      <c r="F55" s="195"/>
      <c r="G55" s="195"/>
      <c r="I55" s="199"/>
      <c r="J55" s="199"/>
      <c r="K55" s="199"/>
      <c r="L55" s="199"/>
      <c r="M55" s="199"/>
      <c r="N55" s="199"/>
      <c r="O55" s="199"/>
      <c r="P55" s="199"/>
    </row>
    <row r="56" spans="1:17" ht="15.75" thickBot="1">
      <c r="A56" s="200" t="s">
        <v>5</v>
      </c>
      <c r="B56" s="201">
        <f>'Input 4 - Forecast'!C30</f>
        <v>0</v>
      </c>
      <c r="C56" s="202">
        <f>'Input 4 - Forecast'!D30</f>
        <v>0</v>
      </c>
      <c r="D56" s="202">
        <f>'Input 4 - Forecast'!E30</f>
        <v>0</v>
      </c>
      <c r="E56" s="202">
        <f>'Input 4 - Forecast'!F30</f>
        <v>0</v>
      </c>
      <c r="F56" s="202">
        <f>'Input 4 - Forecast'!G30</f>
        <v>0</v>
      </c>
      <c r="G56" s="203">
        <f>'Input 4 - Forecast'!H30</f>
        <v>0</v>
      </c>
      <c r="I56" s="199"/>
      <c r="J56" s="199"/>
      <c r="K56" s="199"/>
      <c r="L56" s="199"/>
      <c r="M56" s="199"/>
      <c r="N56" s="199"/>
      <c r="O56" s="199"/>
      <c r="P56" s="199"/>
    </row>
    <row r="57" spans="1:17" ht="15.75" thickBot="1">
      <c r="B57" s="195"/>
      <c r="C57" s="195"/>
      <c r="D57" s="195"/>
      <c r="E57" s="195"/>
      <c r="F57" s="195"/>
      <c r="G57" s="195"/>
      <c r="I57" s="199"/>
      <c r="J57" s="199"/>
      <c r="K57" s="199"/>
      <c r="L57" s="199"/>
      <c r="M57" s="199"/>
      <c r="N57" s="199"/>
      <c r="O57" s="199"/>
      <c r="P57" s="199"/>
    </row>
    <row r="58" spans="1:17">
      <c r="A58" s="196" t="s">
        <v>47</v>
      </c>
      <c r="B58" s="185">
        <f>'Input 4 - Forecast'!C32</f>
        <v>0</v>
      </c>
      <c r="C58" s="186">
        <f ca="1">SUM(W119:W124,W138:W171,W214:W219,W233:W266,W307:W312)+Baseline!W282</f>
        <v>34.440056379275418</v>
      </c>
      <c r="D58" s="186">
        <f ca="1">SUM(X119:X124,X138:X171,X214:X219,X233:X266,X307:X312)+Baseline!X282</f>
        <v>103.89332132859749</v>
      </c>
      <c r="E58" s="186">
        <f ca="1">SUM(Y119:Y124,Y138:Y171,Y214:Y219,Y233:Y266,Y307:Y312)+Baseline!Y282</f>
        <v>187.38391597451633</v>
      </c>
      <c r="F58" s="186">
        <f ca="1">SUM(Z119:Z124,Z138:Z171,Z214:Z219,Z233:Z266,Z307:Z312)+Baseline!Z282</f>
        <v>241.56472686275001</v>
      </c>
      <c r="G58" s="187">
        <f ca="1">SUM(AA119:AA124,AA138:AA171,AA214:AA219,AA233:AA266,AA307:AA312)+Baseline!AA282</f>
        <v>264.87639335015882</v>
      </c>
      <c r="I58" s="199"/>
      <c r="J58" s="199"/>
      <c r="K58" s="199"/>
      <c r="L58" s="199"/>
      <c r="M58" s="199"/>
      <c r="N58" s="199"/>
      <c r="O58" s="199"/>
      <c r="P58" s="199"/>
    </row>
    <row r="59" spans="1:17">
      <c r="A59" s="5" t="s">
        <v>48</v>
      </c>
      <c r="B59" s="190">
        <f>'Input 4 - Forecast'!C33</f>
        <v>0</v>
      </c>
      <c r="C59" s="13">
        <f ca="1">SUM(W128:W133,W175:W210,W223:W229,W270:W303,Baseline!W283)*C31</f>
        <v>0</v>
      </c>
      <c r="D59" s="13">
        <f ca="1">SUM(X128:X133,X175:X210,X223:X229,X270:X303,Baseline!X283)*D31</f>
        <v>0</v>
      </c>
      <c r="E59" s="13">
        <f ca="1">SUM(Y128:Y133,Y175:Y210,Y223:Y229,Y270:Y303,Baseline!Y283)*E31</f>
        <v>0</v>
      </c>
      <c r="F59" s="13">
        <f ca="1">SUM(Z128:Z133,Z175:Z210,Z223:Z229,Z270:Z303,Baseline!Z283)*F31</f>
        <v>0</v>
      </c>
      <c r="G59" s="191">
        <f ca="1">SUM(AA128:AA133,AA175:AA210,AA223:AA229,AA270:AA303,Baseline!AA283)*G31</f>
        <v>0</v>
      </c>
      <c r="I59" s="199"/>
      <c r="J59" s="199"/>
      <c r="K59" s="199"/>
      <c r="L59" s="199"/>
      <c r="M59" s="199"/>
      <c r="N59" s="199"/>
      <c r="O59" s="199"/>
      <c r="P59" s="199"/>
    </row>
    <row r="60" spans="1:17">
      <c r="A60" s="5" t="s">
        <v>49</v>
      </c>
      <c r="B60" s="190">
        <f>'Input 4 - Forecast'!C34</f>
        <v>0</v>
      </c>
      <c r="C60" s="13">
        <f ca="1">SUM(P119:P124,P138:P171,P214:P219,P233:P266,P307:P312)</f>
        <v>934.00594810140706</v>
      </c>
      <c r="D60" s="13">
        <f ca="1">SUM(Q119:Q124,Q138:Q171,Q214:Q219,Q233:Q266,Q307:Q312)</f>
        <v>2531.4416504393257</v>
      </c>
      <c r="E60" s="13">
        <f ca="1">SUM(R119:R124,R138:R171,R214:R219,R233:R266,R307:R312)</f>
        <v>4594.2674758782023</v>
      </c>
      <c r="F60" s="13">
        <f ca="1">SUM(S119:S124,S138:S171,S214:S219,S233:S266,S307:S312)</f>
        <v>6222.7334640968566</v>
      </c>
      <c r="G60" s="191">
        <f ca="1">SUM(T119:T124,T138:T171,T214:T219,T233:T266,T307:T312)</f>
        <v>6777.1194808779155</v>
      </c>
      <c r="I60" s="199"/>
      <c r="J60" s="199"/>
      <c r="K60" s="199"/>
      <c r="L60" s="199"/>
      <c r="M60" s="199"/>
      <c r="N60" s="199"/>
      <c r="O60" s="199"/>
      <c r="P60" s="199"/>
    </row>
    <row r="61" spans="1:17" ht="15.75" thickBot="1">
      <c r="A61" s="198" t="s">
        <v>50</v>
      </c>
      <c r="B61" s="192">
        <f>'Input 4 - Forecast'!C35</f>
        <v>0</v>
      </c>
      <c r="C61" s="193">
        <f ca="1">SUM(P128:P134,P175:P210,P223:P229,P270:P303)*C31</f>
        <v>0</v>
      </c>
      <c r="D61" s="193">
        <f ca="1">SUM(Q128:Q134,Q175:Q210,Q223:Q229,Q270:Q303)*D31</f>
        <v>0</v>
      </c>
      <c r="E61" s="193">
        <f ca="1">SUM(R128:R134,R175:R210,R223:R229,R270:R303)*E31</f>
        <v>0</v>
      </c>
      <c r="F61" s="193">
        <f ca="1">SUM(S128:S134,S175:S210,S223:S229,S270:S303)*F31</f>
        <v>0</v>
      </c>
      <c r="G61" s="194">
        <f ca="1">SUM(T128:T134,T175:T210,T223:T229,T270:T303)*G31</f>
        <v>0</v>
      </c>
      <c r="I61" s="199"/>
      <c r="J61" s="199"/>
      <c r="K61" s="199"/>
      <c r="L61" s="199"/>
      <c r="M61" s="199"/>
      <c r="N61" s="199"/>
      <c r="O61" s="199"/>
      <c r="P61" s="199"/>
    </row>
    <row r="62" spans="1:17" ht="15.75" thickBot="1">
      <c r="B62" s="195"/>
      <c r="C62" s="195"/>
      <c r="D62" s="195"/>
      <c r="E62" s="195"/>
      <c r="F62" s="195"/>
      <c r="G62" s="195"/>
      <c r="I62" s="199"/>
      <c r="J62" s="199"/>
      <c r="K62" s="199"/>
      <c r="L62" s="199"/>
      <c r="M62" s="199"/>
      <c r="N62" s="199"/>
      <c r="O62" s="199"/>
      <c r="P62" s="199"/>
    </row>
    <row r="63" spans="1:17" ht="15.75" thickBot="1">
      <c r="A63" s="200" t="s">
        <v>4</v>
      </c>
      <c r="B63" s="1386">
        <f t="shared" ref="B63:G63" si="19">SUM(B49:B51,B53:B54,B56,B58:B61)-SUM(B47:B48)</f>
        <v>1062.4001150288241</v>
      </c>
      <c r="C63" s="1386">
        <f t="shared" ca="1" si="19"/>
        <v>2699.7443803290212</v>
      </c>
      <c r="D63" s="1386">
        <f t="shared" ca="1" si="19"/>
        <v>4724.8751153233015</v>
      </c>
      <c r="E63" s="1386">
        <f t="shared" ca="1" si="19"/>
        <v>6279.9610436927187</v>
      </c>
      <c r="F63" s="1386">
        <f t="shared" ca="1" si="19"/>
        <v>6829.222880639607</v>
      </c>
      <c r="G63" s="1387">
        <f t="shared" ca="1" si="19"/>
        <v>7105.5639197480741</v>
      </c>
      <c r="I63" s="199"/>
      <c r="J63" s="199"/>
      <c r="L63" s="199"/>
      <c r="M63" s="199"/>
      <c r="N63" s="199"/>
      <c r="O63" s="199"/>
      <c r="P63" s="199"/>
    </row>
    <row r="64" spans="1:17" ht="15.75" thickBot="1">
      <c r="B64" s="195"/>
      <c r="C64" s="195"/>
      <c r="D64" s="195"/>
      <c r="E64" s="195"/>
      <c r="F64" s="195"/>
      <c r="G64" s="195"/>
      <c r="I64" s="199"/>
      <c r="J64" s="199"/>
      <c r="K64" s="199"/>
      <c r="L64" s="199"/>
      <c r="M64" s="199"/>
      <c r="N64" s="199"/>
      <c r="O64" s="199"/>
      <c r="P64" s="199"/>
    </row>
    <row r="65" spans="1:17">
      <c r="A65" s="1816" t="s">
        <v>1137</v>
      </c>
      <c r="B65" s="186">
        <f>'Input 4 - Forecast'!C39</f>
        <v>0</v>
      </c>
      <c r="C65" s="186">
        <f>'Input 4 - Forecast'!D39</f>
        <v>0</v>
      </c>
      <c r="D65" s="186">
        <f>'Input 4 - Forecast'!E39</f>
        <v>0</v>
      </c>
      <c r="E65" s="186">
        <f>'Input 4 - Forecast'!F39</f>
        <v>0</v>
      </c>
      <c r="F65" s="186">
        <f>'Input 4 - Forecast'!G39</f>
        <v>0</v>
      </c>
      <c r="G65" s="187">
        <f>'Input 4 - Forecast'!H39</f>
        <v>0</v>
      </c>
      <c r="I65" s="199"/>
      <c r="J65" s="199"/>
      <c r="K65" s="199"/>
      <c r="L65" s="199"/>
      <c r="M65" s="199"/>
      <c r="N65" s="199"/>
      <c r="O65" s="199"/>
      <c r="P65" s="199"/>
    </row>
    <row r="66" spans="1:17">
      <c r="A66" s="1817" t="s">
        <v>1138</v>
      </c>
      <c r="B66" s="13">
        <f>('Input 4 - Forecast'!C40/'Input 4 - Forecast'!C$17)*'Input 5 - Scenario Design'!E$48</f>
        <v>0</v>
      </c>
      <c r="C66" s="13">
        <f>('Input 4 - Forecast'!D40/'Input 4 - Forecast'!D$17)*'Input 5 - Scenario Design'!F$48</f>
        <v>0</v>
      </c>
      <c r="D66" s="13">
        <f>('Input 4 - Forecast'!E40/'Input 4 - Forecast'!E$17)*'Input 5 - Scenario Design'!G$48</f>
        <v>0</v>
      </c>
      <c r="E66" s="13">
        <f>('Input 4 - Forecast'!F40/'Input 4 - Forecast'!F$17)*'Input 5 - Scenario Design'!H$48</f>
        <v>0</v>
      </c>
      <c r="F66" s="13">
        <f>('Input 4 - Forecast'!G40/'Input 4 - Forecast'!G$17)*'Input 5 - Scenario Design'!I$48</f>
        <v>0</v>
      </c>
      <c r="G66" s="191">
        <f>('Input 4 - Forecast'!H40/'Input 4 - Forecast'!H$17)*'Input 5 - Scenario Design'!J$48</f>
        <v>0</v>
      </c>
      <c r="I66" s="197" t="s">
        <v>90</v>
      </c>
      <c r="J66" s="199"/>
      <c r="K66" s="199"/>
      <c r="L66" s="199"/>
      <c r="M66" s="199"/>
      <c r="N66" s="199"/>
      <c r="O66" s="199"/>
      <c r="P66" s="199"/>
    </row>
    <row r="67" spans="1:17">
      <c r="A67" s="1817" t="s">
        <v>8</v>
      </c>
      <c r="B67" s="13">
        <f>('Input 4 - Forecast'!C41/'Input 4 - Forecast'!C$17)*'Input 5 - Scenario Design'!E$48</f>
        <v>0</v>
      </c>
      <c r="C67" s="13">
        <f>('Input 4 - Forecast'!D41/'Input 4 - Forecast'!D$17)*'Input 5 - Scenario Design'!F$48</f>
        <v>0</v>
      </c>
      <c r="D67" s="13">
        <f>('Input 4 - Forecast'!E41/'Input 4 - Forecast'!E$17)*'Input 5 - Scenario Design'!G$48</f>
        <v>0</v>
      </c>
      <c r="E67" s="13">
        <f>('Input 4 - Forecast'!F41/'Input 4 - Forecast'!F$17)*'Input 5 - Scenario Design'!H$48</f>
        <v>0</v>
      </c>
      <c r="F67" s="13">
        <f>('Input 4 - Forecast'!G41/'Input 4 - Forecast'!G$17)*'Input 5 - Scenario Design'!I$48</f>
        <v>0</v>
      </c>
      <c r="G67" s="191">
        <f>('Input 4 - Forecast'!H41/'Input 4 - Forecast'!H$17)*'Input 5 - Scenario Design'!J$48</f>
        <v>0</v>
      </c>
      <c r="I67" s="197" t="s">
        <v>91</v>
      </c>
      <c r="J67" s="199"/>
      <c r="K67" s="199"/>
      <c r="L67" s="199"/>
      <c r="M67" s="199"/>
      <c r="N67" s="199"/>
      <c r="O67" s="199"/>
      <c r="P67" s="199"/>
    </row>
    <row r="68" spans="1:17">
      <c r="A68" s="1817" t="str">
        <f>'Input 2 - Data'!D31</f>
        <v>Please specify (1) (e.g., privatization receipts) (+ reduces financing needs)</v>
      </c>
      <c r="B68" s="13">
        <f>'Input 4 - Forecast'!C42</f>
        <v>0</v>
      </c>
      <c r="C68" s="13">
        <f>'Input 4 - Forecast'!D42</f>
        <v>0</v>
      </c>
      <c r="D68" s="13">
        <f>'Input 4 - Forecast'!E42</f>
        <v>0</v>
      </c>
      <c r="E68" s="13">
        <f>'Input 4 - Forecast'!F42</f>
        <v>0</v>
      </c>
      <c r="F68" s="13">
        <f>'Input 4 - Forecast'!G42</f>
        <v>0</v>
      </c>
      <c r="G68" s="191">
        <f>'Input 4 - Forecast'!H42</f>
        <v>0</v>
      </c>
      <c r="I68" s="199"/>
      <c r="J68" s="199"/>
      <c r="K68" s="199"/>
      <c r="L68" s="199"/>
      <c r="M68" s="199"/>
      <c r="N68" s="199"/>
      <c r="O68" s="199"/>
      <c r="P68" s="199"/>
    </row>
    <row r="69" spans="1:17" s="281" customFormat="1" ht="15.75" thickBot="1">
      <c r="A69" s="1818" t="str">
        <f>'Input 2 - Data'!D32</f>
        <v>Please specify (2) (e.g., other debt flows) (+ increases financing needs)</v>
      </c>
      <c r="B69" s="193">
        <f>'Input 4 - Forecast'!C43</f>
        <v>0</v>
      </c>
      <c r="C69" s="193">
        <f>'Input 4 - Forecast'!D43</f>
        <v>0</v>
      </c>
      <c r="D69" s="193">
        <f>'Input 4 - Forecast'!E43</f>
        <v>0</v>
      </c>
      <c r="E69" s="193">
        <f>'Input 4 - Forecast'!F43</f>
        <v>0</v>
      </c>
      <c r="F69" s="193">
        <f>'Input 4 - Forecast'!G43</f>
        <v>0</v>
      </c>
      <c r="G69" s="194">
        <f>'Input 4 - Forecast'!H43</f>
        <v>0</v>
      </c>
      <c r="I69" s="199"/>
      <c r="J69" s="199"/>
      <c r="K69" s="199"/>
      <c r="L69" s="199"/>
      <c r="M69" s="199"/>
      <c r="N69" s="199"/>
      <c r="O69" s="199"/>
      <c r="P69" s="199"/>
    </row>
    <row r="70" spans="1:17" ht="15.75" thickBot="1">
      <c r="B70" s="195"/>
      <c r="C70" s="195"/>
      <c r="D70" s="195"/>
      <c r="E70" s="195"/>
      <c r="F70" s="195"/>
      <c r="G70" s="195"/>
      <c r="I70" s="235"/>
      <c r="J70" s="235"/>
      <c r="K70" s="199"/>
      <c r="L70" s="199"/>
      <c r="M70" s="199"/>
      <c r="N70" s="199"/>
      <c r="O70" s="199"/>
      <c r="P70" s="199"/>
    </row>
    <row r="71" spans="1:17" ht="16.5" customHeight="1" thickBot="1">
      <c r="A71" s="200" t="s">
        <v>1141</v>
      </c>
      <c r="B71" s="202">
        <f t="shared" ref="B71:G71" si="20">B63-B65-B66-B67-B68+B69</f>
        <v>1062.4001150288241</v>
      </c>
      <c r="C71" s="202">
        <f t="shared" ca="1" si="20"/>
        <v>2699.7443803290212</v>
      </c>
      <c r="D71" s="202">
        <f t="shared" ca="1" si="20"/>
        <v>4724.8751153233015</v>
      </c>
      <c r="E71" s="202">
        <f t="shared" ca="1" si="20"/>
        <v>6279.9610436927187</v>
      </c>
      <c r="F71" s="202">
        <f t="shared" ca="1" si="20"/>
        <v>6829.222880639607</v>
      </c>
      <c r="G71" s="203">
        <f t="shared" ca="1" si="20"/>
        <v>7105.5639197480741</v>
      </c>
      <c r="I71" s="236"/>
      <c r="J71" s="236"/>
    </row>
    <row r="72" spans="1:17" ht="15.75" thickBot="1">
      <c r="A72" s="4"/>
      <c r="B72" s="13"/>
      <c r="C72" s="13"/>
      <c r="D72" s="13"/>
      <c r="E72" s="13"/>
      <c r="F72" s="13"/>
      <c r="G72" s="13"/>
      <c r="I72" s="184"/>
      <c r="J72" s="184"/>
      <c r="K72" s="184"/>
      <c r="L72" s="184"/>
      <c r="M72" s="184"/>
      <c r="N72" s="184"/>
      <c r="O72" s="184"/>
      <c r="P72" s="184"/>
    </row>
    <row r="73" spans="1:17" ht="82.5" customHeight="1" thickBot="1">
      <c r="A73" s="2" t="s">
        <v>1177</v>
      </c>
      <c r="B73" s="2041" t="s">
        <v>1181</v>
      </c>
      <c r="C73" s="2042"/>
      <c r="D73" s="2042"/>
      <c r="E73" s="2042"/>
      <c r="F73" s="2042"/>
      <c r="G73" s="2043"/>
      <c r="I73" s="204" t="s">
        <v>459</v>
      </c>
      <c r="J73" s="204" t="s">
        <v>38</v>
      </c>
      <c r="K73" s="205" t="s">
        <v>39</v>
      </c>
      <c r="L73" s="204" t="str">
        <f t="shared" ref="L73:Q73" si="21">CONCATENATE("Interest Rate on debt issued in ",B45)</f>
        <v>Interest Rate on debt issued in 2018</v>
      </c>
      <c r="M73" s="204" t="str">
        <f t="shared" si="21"/>
        <v>Interest Rate on debt issued in 2019</v>
      </c>
      <c r="N73" s="204" t="str">
        <f t="shared" si="21"/>
        <v>Interest Rate on debt issued in 2020</v>
      </c>
      <c r="O73" s="204" t="str">
        <f t="shared" si="21"/>
        <v>Interest Rate on debt issued in 2021</v>
      </c>
      <c r="P73" s="204" t="str">
        <f t="shared" si="21"/>
        <v>Interest Rate on debt issued in 2022</v>
      </c>
      <c r="Q73" s="204" t="str">
        <f t="shared" si="21"/>
        <v>Interest Rate on debt issued in 2023</v>
      </c>
    </row>
    <row r="74" spans="1:17">
      <c r="A74" s="206" t="s">
        <v>13</v>
      </c>
      <c r="B74" s="185"/>
      <c r="C74" s="186"/>
      <c r="D74" s="186"/>
      <c r="E74" s="186"/>
      <c r="F74" s="186"/>
      <c r="G74" s="187"/>
      <c r="I74" s="207"/>
      <c r="J74" s="207"/>
      <c r="K74" s="208"/>
      <c r="L74" s="208"/>
      <c r="M74" s="208"/>
      <c r="N74" s="208"/>
      <c r="O74" s="208"/>
      <c r="P74" s="208"/>
      <c r="Q74" s="209"/>
    </row>
    <row r="75" spans="1:17" ht="30">
      <c r="A75" s="210" t="s">
        <v>0</v>
      </c>
      <c r="B75" s="190">
        <f>('Input 4 - Forecast'!C56/'Input 4 - Forecast'!C$45)*MAX(B$71,0)</f>
        <v>0</v>
      </c>
      <c r="C75" s="13">
        <f ca="1">('Input 4 - Forecast'!D56/'Input 4 - Forecast'!D$45)*MAX(C$71,0)</f>
        <v>186.07195570133533</v>
      </c>
      <c r="D75" s="13">
        <f ca="1">('Input 4 - Forecast'!E56/'Input 4 - Forecast'!E$45)*MAX(D$71,0)</f>
        <v>193.23988923738858</v>
      </c>
      <c r="E75" s="13">
        <f ca="1">('Input 4 - Forecast'!F56/'Input 4 - Forecast'!F$45)*MAX(E$71,0)</f>
        <v>181.28893140188953</v>
      </c>
      <c r="F75" s="13">
        <f ca="1">('Input 4 - Forecast'!G56/'Input 4 - Forecast'!G$45)*MAX(F$71,0)</f>
        <v>179.4298855775304</v>
      </c>
      <c r="G75" s="191">
        <f ca="1">('Input 4 - Forecast'!H56/'Input 4 - Forecast'!H$45)*MAX(G$71,0)</f>
        <v>179.17085485009216</v>
      </c>
      <c r="I75" s="211" t="str">
        <f>'Input 4 - Forecast'!J56</f>
        <v>Semi-annual</v>
      </c>
      <c r="J75" s="211">
        <f>'Input 4 - Forecast'!K56</f>
        <v>0</v>
      </c>
      <c r="K75" s="19">
        <f>'Input 4 - Forecast'!L56</f>
        <v>0</v>
      </c>
      <c r="L75" s="212">
        <f>'Input 4 - Forecast'!M56+B$33/10000</f>
        <v>0</v>
      </c>
      <c r="M75" s="212">
        <f>'Input 4 - Forecast'!N56+C$33/10000</f>
        <v>4.2936438739549099E-3</v>
      </c>
      <c r="N75" s="212">
        <f>'Input 4 - Forecast'!O56+D$33/10000</f>
        <v>4.2936438739549099E-3</v>
      </c>
      <c r="O75" s="212">
        <f>'Input 4 - Forecast'!P56+E$33/10000</f>
        <v>0</v>
      </c>
      <c r="P75" s="212">
        <f>'Input 4 - Forecast'!Q56+F$33/10000</f>
        <v>0</v>
      </c>
      <c r="Q75" s="213">
        <f>'Input 4 - Forecast'!R56+G$33/10000</f>
        <v>0</v>
      </c>
    </row>
    <row r="76" spans="1:17" ht="30">
      <c r="A76" s="210" t="s">
        <v>1</v>
      </c>
      <c r="B76" s="190">
        <f>('Input 4 - Forecast'!C57/'Input 4 - Forecast'!C$45)*MAX(B$71,0)</f>
        <v>0</v>
      </c>
      <c r="C76" s="13">
        <f ca="1">('Input 4 - Forecast'!D57/'Input 4 - Forecast'!D$45)*MAX(C$71,0)</f>
        <v>0</v>
      </c>
      <c r="D76" s="13">
        <f ca="1">('Input 4 - Forecast'!E57/'Input 4 - Forecast'!E$45)*MAX(D$71,0)</f>
        <v>0</v>
      </c>
      <c r="E76" s="13">
        <f ca="1">('Input 4 - Forecast'!F57/'Input 4 - Forecast'!F$45)*MAX(E$71,0)</f>
        <v>0</v>
      </c>
      <c r="F76" s="13">
        <f ca="1">('Input 4 - Forecast'!G57/'Input 4 - Forecast'!G$45)*MAX(F$71,0)</f>
        <v>0</v>
      </c>
      <c r="G76" s="191">
        <f ca="1">('Input 4 - Forecast'!H57/'Input 4 - Forecast'!H$45)*MAX(G$71,0)</f>
        <v>0</v>
      </c>
      <c r="I76" s="211" t="str">
        <f>'Input 4 - Forecast'!J57</f>
        <v>Semi-annual</v>
      </c>
      <c r="J76" s="211">
        <f>'Input 4 - Forecast'!K57</f>
        <v>0</v>
      </c>
      <c r="K76" s="19">
        <f>'Input 4 - Forecast'!L57</f>
        <v>0</v>
      </c>
      <c r="L76" s="212">
        <f>'Input 4 - Forecast'!M57+B$33/10000</f>
        <v>0</v>
      </c>
      <c r="M76" s="212">
        <f>'Input 4 - Forecast'!N57+C$33/10000</f>
        <v>4.2936438739549099E-3</v>
      </c>
      <c r="N76" s="212">
        <f>'Input 4 - Forecast'!O57+D$33/10000</f>
        <v>4.2936438739549099E-3</v>
      </c>
      <c r="O76" s="212">
        <f>'Input 4 - Forecast'!P57+E$33/10000</f>
        <v>0</v>
      </c>
      <c r="P76" s="212">
        <f>'Input 4 - Forecast'!Q57+F$33/10000</f>
        <v>0</v>
      </c>
      <c r="Q76" s="213">
        <f>'Input 4 - Forecast'!R57+G$33/10000</f>
        <v>0</v>
      </c>
    </row>
    <row r="77" spans="1:17">
      <c r="A77" s="206" t="s">
        <v>14</v>
      </c>
      <c r="B77" s="190"/>
      <c r="C77" s="13"/>
      <c r="D77" s="13"/>
      <c r="E77" s="13"/>
      <c r="F77" s="13"/>
      <c r="G77" s="191"/>
      <c r="I77" s="211"/>
      <c r="J77" s="211"/>
      <c r="K77" s="19"/>
      <c r="L77" s="19"/>
      <c r="M77" s="19"/>
      <c r="N77" s="19"/>
      <c r="O77" s="19"/>
      <c r="P77" s="19"/>
      <c r="Q77" s="214"/>
    </row>
    <row r="78" spans="1:17">
      <c r="A78" s="210" t="s">
        <v>0</v>
      </c>
      <c r="B78" s="190"/>
      <c r="C78" s="13"/>
      <c r="D78" s="13"/>
      <c r="E78" s="13"/>
      <c r="F78" s="13"/>
      <c r="G78" s="191"/>
      <c r="I78" s="211"/>
      <c r="J78" s="211"/>
      <c r="K78" s="19"/>
      <c r="L78" s="19"/>
      <c r="M78" s="19"/>
      <c r="N78" s="19"/>
      <c r="O78" s="19"/>
      <c r="P78" s="19"/>
      <c r="Q78" s="214"/>
    </row>
    <row r="79" spans="1:17">
      <c r="A79" s="215" t="s">
        <v>18</v>
      </c>
      <c r="B79" s="190">
        <f>('Input 4 - Forecast'!C60/'Input 4 - Forecast'!C$45)*MAX(B$71,0)</f>
        <v>329.998670927072</v>
      </c>
      <c r="C79" s="13">
        <f ca="1">('Input 4 - Forecast'!D60/'Input 4 - Forecast'!D$45)*MAX(C$71,0)</f>
        <v>43.129261255276397</v>
      </c>
      <c r="D79" s="13">
        <f ca="1">('Input 4 - Forecast'!E60/'Input 4 - Forecast'!E$45)*MAX(D$71,0)</f>
        <v>51.189374632420815</v>
      </c>
      <c r="E79" s="13">
        <f ca="1">('Input 4 - Forecast'!F60/'Input 4 - Forecast'!F$45)*MAX(E$71,0)</f>
        <v>42.020613238848568</v>
      </c>
      <c r="F79" s="13">
        <f ca="1">('Input 4 - Forecast'!G60/'Input 4 - Forecast'!G$45)*MAX(F$71,0)</f>
        <v>47.531095517226596</v>
      </c>
      <c r="G79" s="191">
        <f ca="1">('Input 4 - Forecast'!H60/'Input 4 - Forecast'!H$45)*MAX(G$71,0)</f>
        <v>36.190139555813317</v>
      </c>
      <c r="I79" s="211" t="str">
        <f>'Input 4 - Forecast'!J60</f>
        <v>Annual</v>
      </c>
      <c r="J79" s="211">
        <f>'Input 4 - Forecast'!K60</f>
        <v>5</v>
      </c>
      <c r="K79" s="19">
        <f>'Input 4 - Forecast'!L60</f>
        <v>5</v>
      </c>
      <c r="L79" s="212">
        <f>'Input 4 - Forecast'!M60+B$33/10000</f>
        <v>5.0000000000000001E-3</v>
      </c>
      <c r="M79" s="212">
        <f>'Input 4 - Forecast'!N60+C$33/10000</f>
        <v>9.2936438739549092E-3</v>
      </c>
      <c r="N79" s="212">
        <f>'Input 4 - Forecast'!O60+D$33/10000</f>
        <v>1.429364387395491E-2</v>
      </c>
      <c r="O79" s="212">
        <f>'Input 4 - Forecast'!P60+E$33/10000</f>
        <v>0.01</v>
      </c>
      <c r="P79" s="212">
        <f>'Input 4 - Forecast'!Q60+F$33/10000</f>
        <v>0.01</v>
      </c>
      <c r="Q79" s="213">
        <f>'Input 4 - Forecast'!R60+G$33/10000</f>
        <v>0.01</v>
      </c>
    </row>
    <row r="80" spans="1:17">
      <c r="A80" s="215" t="s">
        <v>19</v>
      </c>
      <c r="B80" s="190">
        <f>('Input 4 - Forecast'!C61/'Input 4 - Forecast'!C$45)*MAX(B$71,0)</f>
        <v>0</v>
      </c>
      <c r="C80" s="13">
        <f ca="1">('Input 4 - Forecast'!D61/'Input 4 - Forecast'!D$45)*MAX(C$71,0)</f>
        <v>55.451907328212513</v>
      </c>
      <c r="D80" s="13">
        <f ca="1">('Input 4 - Forecast'!E61/'Input 4 - Forecast'!E$45)*MAX(D$71,0)</f>
        <v>61.427249558904983</v>
      </c>
      <c r="E80" s="13">
        <f ca="1">('Input 4 - Forecast'!F61/'Input 4 - Forecast'!F$45)*MAX(E$71,0)</f>
        <v>48.023557987255501</v>
      </c>
      <c r="F80" s="13">
        <f ca="1">('Input 4 - Forecast'!G61/'Input 4 - Forecast'!G$45)*MAX(F$71,0)</f>
        <v>53.472482456879916</v>
      </c>
      <c r="G80" s="191">
        <f ca="1">('Input 4 - Forecast'!H61/'Input 4 - Forecast'!H$45)*MAX(G$71,0)</f>
        <v>45.468090468595634</v>
      </c>
      <c r="I80" s="211" t="str">
        <f>'Input 4 - Forecast'!J61</f>
        <v>Annual</v>
      </c>
      <c r="J80" s="211">
        <f>'Input 4 - Forecast'!K61</f>
        <v>0</v>
      </c>
      <c r="K80" s="19">
        <f>'Input 4 - Forecast'!L61</f>
        <v>0</v>
      </c>
      <c r="L80" s="212">
        <f>'Input 4 - Forecast'!M61+B$33/10000</f>
        <v>0</v>
      </c>
      <c r="M80" s="212">
        <f>'Input 4 - Forecast'!N61+C$33/10000</f>
        <v>4.2936438739549099E-3</v>
      </c>
      <c r="N80" s="212">
        <f>'Input 4 - Forecast'!O61+D$33/10000</f>
        <v>4.2936438739549099E-3</v>
      </c>
      <c r="O80" s="212">
        <f>'Input 4 - Forecast'!P61+E$33/10000</f>
        <v>0</v>
      </c>
      <c r="P80" s="212">
        <f>'Input 4 - Forecast'!Q61+F$33/10000</f>
        <v>0</v>
      </c>
      <c r="Q80" s="213">
        <f>'Input 4 - Forecast'!R61+G$33/10000</f>
        <v>0</v>
      </c>
    </row>
    <row r="81" spans="1:17">
      <c r="A81" s="215" t="s">
        <v>20</v>
      </c>
      <c r="B81" s="190">
        <f>('Input 4 - Forecast'!C62/'Input 4 - Forecast'!C$45)*MAX(B$71,0)</f>
        <v>0</v>
      </c>
      <c r="C81" s="13">
        <f ca="1">('Input 4 - Forecast'!D62/'Input 4 - Forecast'!D$45)*MAX(C$71,0)</f>
        <v>70.855214919382661</v>
      </c>
      <c r="D81" s="13">
        <f ca="1">('Input 4 - Forecast'!E62/'Input 4 - Forecast'!E$45)*MAX(D$71,0)</f>
        <v>76.272168202307014</v>
      </c>
      <c r="E81" s="13">
        <f ca="1">('Input 4 - Forecast'!F62/'Input 4 - Forecast'!F$45)*MAX(E$71,0)</f>
        <v>57.628269584706601</v>
      </c>
      <c r="F81" s="13">
        <f ca="1">('Input 4 - Forecast'!G62/'Input 4 - Forecast'!G$45)*MAX(F$71,0)</f>
        <v>63.572840254290576</v>
      </c>
      <c r="G81" s="191">
        <f ca="1">('Input 4 - Forecast'!H62/'Input 4 - Forecast'!H$45)*MAX(G$71,0)</f>
        <v>65.73553217678878</v>
      </c>
      <c r="I81" s="211" t="str">
        <f>'Input 4 - Forecast'!J62</f>
        <v>Annual</v>
      </c>
      <c r="J81" s="211">
        <f>'Input 4 - Forecast'!K62</f>
        <v>0</v>
      </c>
      <c r="K81" s="19">
        <f>'Input 4 - Forecast'!L62</f>
        <v>0</v>
      </c>
      <c r="L81" s="212">
        <f>'Input 4 - Forecast'!M62+B$33/10000</f>
        <v>0</v>
      </c>
      <c r="M81" s="212">
        <f>'Input 4 - Forecast'!N62+C$33/10000</f>
        <v>4.2936438739549099E-3</v>
      </c>
      <c r="N81" s="212">
        <f>'Input 4 - Forecast'!O62+D$33/10000</f>
        <v>4.2936438739549099E-3</v>
      </c>
      <c r="O81" s="212">
        <f>'Input 4 - Forecast'!P62+E$33/10000</f>
        <v>0</v>
      </c>
      <c r="P81" s="212">
        <f>'Input 4 - Forecast'!Q62+F$33/10000</f>
        <v>0</v>
      </c>
      <c r="Q81" s="213">
        <f>'Input 4 - Forecast'!R62+G$33/10000</f>
        <v>0</v>
      </c>
    </row>
    <row r="82" spans="1:17">
      <c r="A82" s="215" t="s">
        <v>21</v>
      </c>
      <c r="B82" s="190">
        <f>('Input 4 - Forecast'!C63/'Input 4 - Forecast'!C$45)*MAX(B$71,0)</f>
        <v>0</v>
      </c>
      <c r="C82" s="13">
        <f ca="1">('Input 4 - Forecast'!D63/'Input 4 - Forecast'!D$45)*MAX(C$71,0)</f>
        <v>115.83287308559946</v>
      </c>
      <c r="D82" s="13">
        <f ca="1">('Input 4 - Forecast'!E63/'Input 4 - Forecast'!E$45)*MAX(D$71,0)</f>
        <v>116.45582728875736</v>
      </c>
      <c r="E82" s="13">
        <f ca="1">('Input 4 - Forecast'!F63/'Input 4 - Forecast'!F$45)*MAX(E$71,0)</f>
        <v>108.05300547132489</v>
      </c>
      <c r="F82" s="13">
        <f ca="1">('Input 4 - Forecast'!G63/'Input 4 - Forecast'!G$45)*MAX(F$71,0)</f>
        <v>106.94496491375983</v>
      </c>
      <c r="G82" s="191">
        <f ca="1">('Input 4 - Forecast'!H63/'Input 4 - Forecast'!H$45)*MAX(G$71,0)</f>
        <v>106.79057573846552</v>
      </c>
      <c r="I82" s="211" t="str">
        <f>'Input 4 - Forecast'!J63</f>
        <v>Annual</v>
      </c>
      <c r="J82" s="211">
        <f>'Input 4 - Forecast'!K63</f>
        <v>0</v>
      </c>
      <c r="K82" s="19">
        <f>'Input 4 - Forecast'!L63</f>
        <v>0</v>
      </c>
      <c r="L82" s="212">
        <f>'Input 4 - Forecast'!M63+B$33/10000</f>
        <v>0</v>
      </c>
      <c r="M82" s="212">
        <f>'Input 4 - Forecast'!N63+C$33/10000</f>
        <v>4.2936438739549099E-3</v>
      </c>
      <c r="N82" s="212">
        <f>'Input 4 - Forecast'!O63+D$33/10000</f>
        <v>4.2936438739549099E-3</v>
      </c>
      <c r="O82" s="212">
        <f>'Input 4 - Forecast'!P63+E$33/10000</f>
        <v>0</v>
      </c>
      <c r="P82" s="212">
        <f>'Input 4 - Forecast'!Q63+F$33/10000</f>
        <v>0</v>
      </c>
      <c r="Q82" s="213">
        <f>'Input 4 - Forecast'!R63+G$33/10000</f>
        <v>0</v>
      </c>
    </row>
    <row r="83" spans="1:17">
      <c r="A83" s="215" t="s">
        <v>22</v>
      </c>
      <c r="B83" s="190">
        <f>('Input 4 - Forecast'!C64/'Input 4 - Forecast'!C$45)*MAX(B$71,0)</f>
        <v>0</v>
      </c>
      <c r="C83" s="13">
        <f ca="1">('Input 4 - Forecast'!D64/'Input 4 - Forecast'!D$45)*MAX(C$71,0)</f>
        <v>0</v>
      </c>
      <c r="D83" s="13">
        <f ca="1">('Input 4 - Forecast'!E64/'Input 4 - Forecast'!E$45)*MAX(D$71,0)</f>
        <v>0</v>
      </c>
      <c r="E83" s="13">
        <f ca="1">('Input 4 - Forecast'!F64/'Input 4 - Forecast'!F$45)*MAX(E$71,0)</f>
        <v>0</v>
      </c>
      <c r="F83" s="13">
        <f ca="1">('Input 4 - Forecast'!G64/'Input 4 - Forecast'!G$45)*MAX(F$71,0)</f>
        <v>0</v>
      </c>
      <c r="G83" s="191">
        <f ca="1">('Input 4 - Forecast'!H64/'Input 4 - Forecast'!H$45)*MAX(G$71,0)</f>
        <v>0</v>
      </c>
      <c r="I83" s="211"/>
      <c r="J83" s="211">
        <f>'Input 4 - Forecast'!K64</f>
        <v>0</v>
      </c>
      <c r="K83" s="19">
        <f>'Input 4 - Forecast'!L64</f>
        <v>0</v>
      </c>
      <c r="L83" s="212">
        <f>'Input 4 - Forecast'!M64+B$33/10000</f>
        <v>0</v>
      </c>
      <c r="M83" s="212">
        <f>'Input 4 - Forecast'!N64+C$33/10000</f>
        <v>4.2936438739549099E-3</v>
      </c>
      <c r="N83" s="212">
        <f>'Input 4 - Forecast'!O64+D$33/10000</f>
        <v>4.2936438739549099E-3</v>
      </c>
      <c r="O83" s="212">
        <f>'Input 4 - Forecast'!P64+E$33/10000</f>
        <v>0</v>
      </c>
      <c r="P83" s="212">
        <f>'Input 4 - Forecast'!Q64+F$33/10000</f>
        <v>0</v>
      </c>
      <c r="Q83" s="213">
        <f>'Input 4 - Forecast'!R64+G$33/10000</f>
        <v>0</v>
      </c>
    </row>
    <row r="84" spans="1:17">
      <c r="A84" s="210" t="s">
        <v>1</v>
      </c>
      <c r="B84" s="190"/>
      <c r="C84" s="13"/>
      <c r="D84" s="13"/>
      <c r="E84" s="13"/>
      <c r="F84" s="13"/>
      <c r="G84" s="191"/>
      <c r="I84" s="211"/>
      <c r="J84" s="211"/>
      <c r="K84" s="19"/>
      <c r="L84" s="19"/>
      <c r="M84" s="19"/>
      <c r="N84" s="19"/>
      <c r="O84" s="19"/>
      <c r="P84" s="19"/>
      <c r="Q84" s="214"/>
    </row>
    <row r="85" spans="1:17">
      <c r="A85" s="215" t="s">
        <v>23</v>
      </c>
      <c r="B85" s="190">
        <f>('Input 4 - Forecast'!C66/'Input 4 - Forecast'!C$45)*MAX(B$71,0)</f>
        <v>0</v>
      </c>
      <c r="C85" s="13">
        <f ca="1">('Input 4 - Forecast'!D66/'Input 4 - Forecast'!D$45)*MAX(C$71,0)</f>
        <v>0</v>
      </c>
      <c r="D85" s="13">
        <f ca="1">('Input 4 - Forecast'!E66/'Input 4 - Forecast'!E$45)*MAX(D$71,0)</f>
        <v>0</v>
      </c>
      <c r="E85" s="13">
        <f ca="1">('Input 4 - Forecast'!F66/'Input 4 - Forecast'!F$45)*MAX(E$71,0)</f>
        <v>0</v>
      </c>
      <c r="F85" s="13">
        <f ca="1">('Input 4 - Forecast'!G66/'Input 4 - Forecast'!G$45)*MAX(F$71,0)</f>
        <v>0</v>
      </c>
      <c r="G85" s="191">
        <f ca="1">('Input 4 - Forecast'!H66/'Input 4 - Forecast'!H$45)*MAX(G$71,0)</f>
        <v>0</v>
      </c>
      <c r="I85" s="211" t="str">
        <f>'Input 4 - Forecast'!J66</f>
        <v>Annual</v>
      </c>
      <c r="J85" s="211">
        <f>'Input 4 - Forecast'!K66</f>
        <v>0</v>
      </c>
      <c r="K85" s="19">
        <f>'Input 4 - Forecast'!L66</f>
        <v>0</v>
      </c>
      <c r="L85" s="212">
        <f>'Input 4 - Forecast'!M66+B$33/10000</f>
        <v>0</v>
      </c>
      <c r="M85" s="212">
        <f>'Input 4 - Forecast'!N66+C$33/10000</f>
        <v>4.2936438739549099E-3</v>
      </c>
      <c r="N85" s="212">
        <f>'Input 4 - Forecast'!O66+D$33/10000</f>
        <v>4.2936438739549099E-3</v>
      </c>
      <c r="O85" s="212">
        <f>'Input 4 - Forecast'!P66+E$33/10000</f>
        <v>0</v>
      </c>
      <c r="P85" s="212">
        <f>'Input 4 - Forecast'!Q66+F$33/10000</f>
        <v>0</v>
      </c>
      <c r="Q85" s="213">
        <f>'Input 4 - Forecast'!R66+G$33/10000</f>
        <v>0</v>
      </c>
    </row>
    <row r="86" spans="1:17">
      <c r="A86" s="215" t="s">
        <v>24</v>
      </c>
      <c r="B86" s="190">
        <f>('Input 4 - Forecast'!C67/'Input 4 - Forecast'!C$45)*MAX(B$71,0)</f>
        <v>0</v>
      </c>
      <c r="C86" s="13">
        <f ca="1">('Input 4 - Forecast'!D67/'Input 4 - Forecast'!D$45)*MAX(C$71,0)</f>
        <v>0</v>
      </c>
      <c r="D86" s="13">
        <f ca="1">('Input 4 - Forecast'!E67/'Input 4 - Forecast'!E$45)*MAX(D$71,0)</f>
        <v>0</v>
      </c>
      <c r="E86" s="13">
        <f ca="1">('Input 4 - Forecast'!F67/'Input 4 - Forecast'!F$45)*MAX(E$71,0)</f>
        <v>0</v>
      </c>
      <c r="F86" s="13">
        <f ca="1">('Input 4 - Forecast'!G67/'Input 4 - Forecast'!G$45)*MAX(F$71,0)</f>
        <v>0</v>
      </c>
      <c r="G86" s="191">
        <f ca="1">('Input 4 - Forecast'!H67/'Input 4 - Forecast'!H$45)*MAX(G$71,0)</f>
        <v>0</v>
      </c>
      <c r="I86" s="211" t="str">
        <f>'Input 4 - Forecast'!J67</f>
        <v>Annual</v>
      </c>
      <c r="J86" s="211">
        <f>'Input 4 - Forecast'!K67</f>
        <v>0</v>
      </c>
      <c r="K86" s="19">
        <f>'Input 4 - Forecast'!L67</f>
        <v>0</v>
      </c>
      <c r="L86" s="212">
        <f>'Input 4 - Forecast'!M67+B$33/10000</f>
        <v>0</v>
      </c>
      <c r="M86" s="212">
        <f>'Input 4 - Forecast'!N67+C$33/10000</f>
        <v>4.2936438739549099E-3</v>
      </c>
      <c r="N86" s="212">
        <f>'Input 4 - Forecast'!O67+D$33/10000</f>
        <v>4.2936438739549099E-3</v>
      </c>
      <c r="O86" s="212">
        <f>'Input 4 - Forecast'!P67+E$33/10000</f>
        <v>0</v>
      </c>
      <c r="P86" s="212">
        <f>'Input 4 - Forecast'!Q67+F$33/10000</f>
        <v>0</v>
      </c>
      <c r="Q86" s="213">
        <f>'Input 4 - Forecast'!R67+G$33/10000</f>
        <v>0</v>
      </c>
    </row>
    <row r="87" spans="1:17">
      <c r="A87" s="215" t="s">
        <v>25</v>
      </c>
      <c r="B87" s="190">
        <f>('Input 4 - Forecast'!C68/'Input 4 - Forecast'!C$45)*MAX(B$71,0)</f>
        <v>0</v>
      </c>
      <c r="C87" s="13">
        <f ca="1">('Input 4 - Forecast'!D68/'Input 4 - Forecast'!D$45)*MAX(C$71,0)</f>
        <v>0</v>
      </c>
      <c r="D87" s="13">
        <f ca="1">('Input 4 - Forecast'!E68/'Input 4 - Forecast'!E$45)*MAX(D$71,0)</f>
        <v>0</v>
      </c>
      <c r="E87" s="13">
        <f ca="1">('Input 4 - Forecast'!F68/'Input 4 - Forecast'!F$45)*MAX(E$71,0)</f>
        <v>0</v>
      </c>
      <c r="F87" s="13">
        <f ca="1">('Input 4 - Forecast'!G68/'Input 4 - Forecast'!G$45)*MAX(F$71,0)</f>
        <v>0</v>
      </c>
      <c r="G87" s="191">
        <f ca="1">('Input 4 - Forecast'!H68/'Input 4 - Forecast'!H$45)*MAX(G$71,0)</f>
        <v>0</v>
      </c>
      <c r="I87" s="211" t="str">
        <f>'Input 4 - Forecast'!J68</f>
        <v>Annual</v>
      </c>
      <c r="J87" s="211">
        <f>'Input 4 - Forecast'!K68</f>
        <v>0</v>
      </c>
      <c r="K87" s="19">
        <f>'Input 4 - Forecast'!L68</f>
        <v>0</v>
      </c>
      <c r="L87" s="212">
        <f>'Input 4 - Forecast'!M68+B$33/10000</f>
        <v>0</v>
      </c>
      <c r="M87" s="212">
        <f>'Input 4 - Forecast'!N68+C$33/10000</f>
        <v>4.2936438739549099E-3</v>
      </c>
      <c r="N87" s="212">
        <f>'Input 4 - Forecast'!O68+D$33/10000</f>
        <v>4.2936438739549099E-3</v>
      </c>
      <c r="O87" s="212">
        <f>'Input 4 - Forecast'!P68+E$33/10000</f>
        <v>0</v>
      </c>
      <c r="P87" s="212">
        <f>'Input 4 - Forecast'!Q68+F$33/10000</f>
        <v>0</v>
      </c>
      <c r="Q87" s="213">
        <f>'Input 4 - Forecast'!R68+G$33/10000</f>
        <v>0</v>
      </c>
    </row>
    <row r="88" spans="1:17">
      <c r="A88" s="215" t="s">
        <v>26</v>
      </c>
      <c r="B88" s="190">
        <f>('Input 4 - Forecast'!C69/'Input 4 - Forecast'!C$45)*MAX(B$71,0)</f>
        <v>0</v>
      </c>
      <c r="C88" s="13">
        <f ca="1">('Input 4 - Forecast'!D69/'Input 4 - Forecast'!D$45)*MAX(C$71,0)</f>
        <v>0</v>
      </c>
      <c r="D88" s="13">
        <f ca="1">('Input 4 - Forecast'!E69/'Input 4 - Forecast'!E$45)*MAX(D$71,0)</f>
        <v>0</v>
      </c>
      <c r="E88" s="13">
        <f ca="1">('Input 4 - Forecast'!F69/'Input 4 - Forecast'!F$45)*MAX(E$71,0)</f>
        <v>0</v>
      </c>
      <c r="F88" s="13">
        <f ca="1">('Input 4 - Forecast'!G69/'Input 4 - Forecast'!G$45)*MAX(F$71,0)</f>
        <v>0</v>
      </c>
      <c r="G88" s="191">
        <f ca="1">('Input 4 - Forecast'!H69/'Input 4 - Forecast'!H$45)*MAX(G$71,0)</f>
        <v>0</v>
      </c>
      <c r="I88" s="211" t="str">
        <f>'Input 4 - Forecast'!J69</f>
        <v>Annual</v>
      </c>
      <c r="J88" s="211">
        <f>'Input 4 - Forecast'!K69</f>
        <v>0</v>
      </c>
      <c r="K88" s="19">
        <f>'Input 4 - Forecast'!L69</f>
        <v>0</v>
      </c>
      <c r="L88" s="212">
        <f>'Input 4 - Forecast'!M69+B$33/10000</f>
        <v>0</v>
      </c>
      <c r="M88" s="212">
        <f>'Input 4 - Forecast'!N69+C$33/10000</f>
        <v>4.2936438739549099E-3</v>
      </c>
      <c r="N88" s="212">
        <f>'Input 4 - Forecast'!O69+D$33/10000</f>
        <v>4.2936438739549099E-3</v>
      </c>
      <c r="O88" s="212">
        <f>'Input 4 - Forecast'!P69+E$33/10000</f>
        <v>0</v>
      </c>
      <c r="P88" s="212">
        <f>'Input 4 - Forecast'!Q69+F$33/10000</f>
        <v>0</v>
      </c>
      <c r="Q88" s="213">
        <f>'Input 4 - Forecast'!R69+G$33/10000</f>
        <v>0</v>
      </c>
    </row>
    <row r="89" spans="1:17">
      <c r="A89" s="215" t="s">
        <v>27</v>
      </c>
      <c r="B89" s="190">
        <f>('Input 4 - Forecast'!C70/'Input 4 - Forecast'!C$45)*MAX(B$71,0)</f>
        <v>0</v>
      </c>
      <c r="C89" s="13">
        <f ca="1">('Input 4 - Forecast'!D70/'Input 4 - Forecast'!D$45)*MAX(C$71,0)</f>
        <v>0</v>
      </c>
      <c r="D89" s="13">
        <f ca="1">('Input 4 - Forecast'!E70/'Input 4 - Forecast'!E$45)*MAX(D$71,0)</f>
        <v>0</v>
      </c>
      <c r="E89" s="13">
        <f ca="1">('Input 4 - Forecast'!F70/'Input 4 - Forecast'!F$45)*MAX(E$71,0)</f>
        <v>0</v>
      </c>
      <c r="F89" s="13">
        <f ca="1">('Input 4 - Forecast'!G70/'Input 4 - Forecast'!G$45)*MAX(F$71,0)</f>
        <v>0</v>
      </c>
      <c r="G89" s="191">
        <f ca="1">('Input 4 - Forecast'!H70/'Input 4 - Forecast'!H$45)*MAX(G$71,0)</f>
        <v>0</v>
      </c>
      <c r="I89" s="211"/>
      <c r="J89" s="211">
        <f>'Input 4 - Forecast'!K70</f>
        <v>0</v>
      </c>
      <c r="K89" s="19">
        <f>'Input 4 - Forecast'!L70</f>
        <v>0</v>
      </c>
      <c r="L89" s="212">
        <f>'Input 4 - Forecast'!M70+B$33/10000</f>
        <v>0</v>
      </c>
      <c r="M89" s="212">
        <f>'Input 4 - Forecast'!N70+C$33/10000</f>
        <v>4.2936438739549099E-3</v>
      </c>
      <c r="N89" s="212">
        <f>'Input 4 - Forecast'!O70+D$33/10000</f>
        <v>4.2936438739549099E-3</v>
      </c>
      <c r="O89" s="212">
        <f>'Input 4 - Forecast'!P70+E$33/10000</f>
        <v>0</v>
      </c>
      <c r="P89" s="212">
        <f>'Input 4 - Forecast'!Q70+F$33/10000</f>
        <v>0</v>
      </c>
      <c r="Q89" s="213">
        <f>'Input 4 - Forecast'!R70+G$33/10000</f>
        <v>0</v>
      </c>
    </row>
    <row r="90" spans="1:17">
      <c r="A90" s="3" t="s">
        <v>1178</v>
      </c>
      <c r="B90" s="190"/>
      <c r="C90" s="13"/>
      <c r="D90" s="13"/>
      <c r="E90" s="13"/>
      <c r="F90" s="13"/>
      <c r="G90" s="191"/>
      <c r="I90" s="211"/>
      <c r="J90" s="211"/>
      <c r="K90" s="19"/>
      <c r="L90" s="19"/>
      <c r="M90" s="19"/>
      <c r="N90" s="19"/>
      <c r="O90" s="19"/>
      <c r="P90" s="19"/>
      <c r="Q90" s="214"/>
    </row>
    <row r="91" spans="1:17">
      <c r="A91" s="206" t="s">
        <v>13</v>
      </c>
      <c r="B91" s="190"/>
      <c r="C91" s="13"/>
      <c r="D91" s="13"/>
      <c r="E91" s="13"/>
      <c r="F91" s="13"/>
      <c r="G91" s="191"/>
      <c r="I91" s="211"/>
      <c r="J91" s="211"/>
      <c r="K91" s="19"/>
      <c r="L91" s="19"/>
      <c r="M91" s="19"/>
      <c r="N91" s="19"/>
      <c r="O91" s="19"/>
      <c r="P91" s="19"/>
      <c r="Q91" s="214"/>
    </row>
    <row r="92" spans="1:17" ht="30">
      <c r="A92" s="210" t="s">
        <v>0</v>
      </c>
      <c r="B92" s="190">
        <f>('Input 4 - Forecast'!C73/'Input 4 - Forecast'!C$45)*MAX(B$71,0)</f>
        <v>0</v>
      </c>
      <c r="C92" s="13">
        <f ca="1">('Input 4 - Forecast'!D73/'Input 4 - Forecast'!D$45)*MAX(C$71,0)</f>
        <v>0</v>
      </c>
      <c r="D92" s="13">
        <f ca="1">('Input 4 - Forecast'!E73/'Input 4 - Forecast'!E$45)*MAX(D$71,0)</f>
        <v>0</v>
      </c>
      <c r="E92" s="13">
        <f ca="1">('Input 4 - Forecast'!F73/'Input 4 - Forecast'!F$45)*MAX(E$71,0)</f>
        <v>0</v>
      </c>
      <c r="F92" s="13">
        <f ca="1">('Input 4 - Forecast'!G73/'Input 4 - Forecast'!G$45)*MAX(F$71,0)</f>
        <v>0</v>
      </c>
      <c r="G92" s="191">
        <f ca="1">('Input 4 - Forecast'!H73/'Input 4 - Forecast'!H$45)*MAX(G$71,0)</f>
        <v>0</v>
      </c>
      <c r="I92" s="211" t="str">
        <f>'Input 4 - Forecast'!J73</f>
        <v>Semi-annual</v>
      </c>
      <c r="J92" s="211">
        <f>'Input 4 - Forecast'!K73</f>
        <v>0</v>
      </c>
      <c r="K92" s="19">
        <f>'Input 4 - Forecast'!L73</f>
        <v>0</v>
      </c>
      <c r="L92" s="212">
        <f>'Input 4 - Forecast'!M73+B$33/10000</f>
        <v>0</v>
      </c>
      <c r="M92" s="212">
        <f>'Input 4 - Forecast'!N73+C$33/10000</f>
        <v>4.2936438739549099E-3</v>
      </c>
      <c r="N92" s="212">
        <f>'Input 4 - Forecast'!O73+D$33/10000</f>
        <v>4.2936438739549099E-3</v>
      </c>
      <c r="O92" s="212">
        <f>'Input 4 - Forecast'!P73+E$33/10000</f>
        <v>0</v>
      </c>
      <c r="P92" s="212">
        <f>'Input 4 - Forecast'!Q73+F$33/10000</f>
        <v>0</v>
      </c>
      <c r="Q92" s="213">
        <f>'Input 4 - Forecast'!R73+G$33/10000</f>
        <v>0</v>
      </c>
    </row>
    <row r="93" spans="1:17" ht="30">
      <c r="A93" s="210" t="s">
        <v>1</v>
      </c>
      <c r="B93" s="190">
        <f>('Input 4 - Forecast'!C74/'Input 4 - Forecast'!C$45)*MAX(B$71,0)</f>
        <v>0</v>
      </c>
      <c r="C93" s="13">
        <f ca="1">('Input 4 - Forecast'!D74/'Input 4 - Forecast'!D$45)*MAX(C$71,0)</f>
        <v>0</v>
      </c>
      <c r="D93" s="13">
        <f ca="1">('Input 4 - Forecast'!E74/'Input 4 - Forecast'!E$45)*MAX(D$71,0)</f>
        <v>0</v>
      </c>
      <c r="E93" s="13">
        <f ca="1">('Input 4 - Forecast'!F74/'Input 4 - Forecast'!F$45)*MAX(E$71,0)</f>
        <v>0</v>
      </c>
      <c r="F93" s="13">
        <f ca="1">('Input 4 - Forecast'!G74/'Input 4 - Forecast'!G$45)*MAX(F$71,0)</f>
        <v>0</v>
      </c>
      <c r="G93" s="191">
        <f ca="1">('Input 4 - Forecast'!H74/'Input 4 - Forecast'!H$45)*MAX(G$71,0)</f>
        <v>0</v>
      </c>
      <c r="I93" s="211" t="str">
        <f>'Input 4 - Forecast'!J74</f>
        <v>Semi-annual</v>
      </c>
      <c r="J93" s="211">
        <f>'Input 4 - Forecast'!K74</f>
        <v>0</v>
      </c>
      <c r="K93" s="19">
        <f>'Input 4 - Forecast'!L74</f>
        <v>0</v>
      </c>
      <c r="L93" s="212">
        <f>'Input 4 - Forecast'!M74+B$33/10000</f>
        <v>0</v>
      </c>
      <c r="M93" s="212">
        <f>'Input 4 - Forecast'!N74+C$33/10000</f>
        <v>4.2936438739549099E-3</v>
      </c>
      <c r="N93" s="212">
        <f>'Input 4 - Forecast'!O74+D$33/10000</f>
        <v>4.2936438739549099E-3</v>
      </c>
      <c r="O93" s="212">
        <f>'Input 4 - Forecast'!P74+E$33/10000</f>
        <v>0</v>
      </c>
      <c r="P93" s="212">
        <f>'Input 4 - Forecast'!Q74+F$33/10000</f>
        <v>0</v>
      </c>
      <c r="Q93" s="213">
        <f>'Input 4 - Forecast'!R74+G$33/10000</f>
        <v>0</v>
      </c>
    </row>
    <row r="94" spans="1:17">
      <c r="A94" s="206" t="s">
        <v>14</v>
      </c>
      <c r="B94" s="190"/>
      <c r="C94" s="13"/>
      <c r="D94" s="13"/>
      <c r="E94" s="13"/>
      <c r="F94" s="13"/>
      <c r="G94" s="191"/>
      <c r="I94" s="211"/>
      <c r="J94" s="211"/>
      <c r="K94" s="19"/>
      <c r="L94" s="19"/>
      <c r="M94" s="19"/>
      <c r="N94" s="19"/>
      <c r="O94" s="19"/>
      <c r="P94" s="19"/>
      <c r="Q94" s="214"/>
    </row>
    <row r="95" spans="1:17">
      <c r="A95" s="210" t="s">
        <v>0</v>
      </c>
      <c r="B95" s="190"/>
      <c r="C95" s="13"/>
      <c r="D95" s="13"/>
      <c r="E95" s="13"/>
      <c r="F95" s="13"/>
      <c r="G95" s="191"/>
      <c r="I95" s="211"/>
      <c r="J95" s="211"/>
      <c r="K95" s="19"/>
      <c r="L95" s="19"/>
      <c r="M95" s="19"/>
      <c r="N95" s="19"/>
      <c r="O95" s="19"/>
      <c r="P95" s="19"/>
      <c r="Q95" s="214"/>
    </row>
    <row r="96" spans="1:17">
      <c r="A96" s="215" t="s">
        <v>28</v>
      </c>
      <c r="B96" s="190">
        <f>('Input 4 - Forecast'!C77/'Input 4 - Forecast'!C$45)*MAX(B$71,0)</f>
        <v>499.99798625313935</v>
      </c>
      <c r="C96" s="13">
        <f ca="1">('Input 4 - Forecast'!D77/'Input 4 - Forecast'!D$45)*MAX(C$71,0)</f>
        <v>0</v>
      </c>
      <c r="D96" s="13">
        <f ca="1">('Input 4 - Forecast'!E77/'Input 4 - Forecast'!E$45)*MAX(D$71,0)</f>
        <v>0</v>
      </c>
      <c r="E96" s="13">
        <f ca="1">('Input 4 - Forecast'!F77/'Input 4 - Forecast'!F$45)*MAX(E$71,0)</f>
        <v>0</v>
      </c>
      <c r="F96" s="13">
        <f ca="1">('Input 4 - Forecast'!G77/'Input 4 - Forecast'!G$45)*MAX(F$71,0)</f>
        <v>0</v>
      </c>
      <c r="G96" s="191">
        <f ca="1">('Input 4 - Forecast'!H77/'Input 4 - Forecast'!H$45)*MAX(G$71,0)</f>
        <v>0</v>
      </c>
      <c r="I96" s="211" t="str">
        <f>'Input 4 - Forecast'!J77</f>
        <v>Annual</v>
      </c>
      <c r="J96" s="211">
        <f>'Input 4 - Forecast'!K77</f>
        <v>10</v>
      </c>
      <c r="K96" s="19">
        <f>'Input 4 - Forecast'!L77</f>
        <v>10</v>
      </c>
      <c r="L96" s="212">
        <f>'Input 4 - Forecast'!M77+B$33/10000</f>
        <v>1.125E-2</v>
      </c>
      <c r="M96" s="212">
        <f>'Input 4 - Forecast'!N77+C$33/10000</f>
        <v>2.3043643873954911E-2</v>
      </c>
      <c r="N96" s="212">
        <f>'Input 4 - Forecast'!O77+D$33/10000</f>
        <v>2.6293643873954907E-2</v>
      </c>
      <c r="O96" s="212">
        <f>'Input 4 - Forecast'!P77+E$33/10000</f>
        <v>2.1999999999999999E-2</v>
      </c>
      <c r="P96" s="212">
        <f>'Input 4 - Forecast'!Q77+F$33/10000</f>
        <v>2.1999999999999999E-2</v>
      </c>
      <c r="Q96" s="213">
        <f>'Input 4 - Forecast'!R77+G$33/10000</f>
        <v>2.1999999999999999E-2</v>
      </c>
    </row>
    <row r="97" spans="1:27">
      <c r="A97" s="215" t="s">
        <v>29</v>
      </c>
      <c r="B97" s="190">
        <f>('Input 4 - Forecast'!C78/'Input 4 - Forecast'!C$45)*MAX(B$71,0)</f>
        <v>499.99798625313935</v>
      </c>
      <c r="C97" s="13">
        <f ca="1">('Input 4 - Forecast'!D78/'Input 4 - Forecast'!D$45)*MAX(C$71,0)</f>
        <v>0</v>
      </c>
      <c r="D97" s="13">
        <f ca="1">('Input 4 - Forecast'!E78/'Input 4 - Forecast'!E$45)*MAX(D$71,0)</f>
        <v>0</v>
      </c>
      <c r="E97" s="13">
        <f ca="1">('Input 4 - Forecast'!F78/'Input 4 - Forecast'!F$45)*MAX(E$71,0)</f>
        <v>0</v>
      </c>
      <c r="F97" s="13">
        <f ca="1">('Input 4 - Forecast'!G78/'Input 4 - Forecast'!G$45)*MAX(F$71,0)</f>
        <v>0</v>
      </c>
      <c r="G97" s="191">
        <f ca="1">('Input 4 - Forecast'!H78/'Input 4 - Forecast'!H$45)*MAX(G$71,0)</f>
        <v>0</v>
      </c>
      <c r="I97" s="211" t="str">
        <f>'Input 4 - Forecast'!J78</f>
        <v>Annual</v>
      </c>
      <c r="J97" s="211">
        <f>'Input 4 - Forecast'!K78</f>
        <v>30</v>
      </c>
      <c r="K97" s="19">
        <f>'Input 4 - Forecast'!L78</f>
        <v>30</v>
      </c>
      <c r="L97" s="212">
        <f>'Input 4 - Forecast'!M78+B$33/10000</f>
        <v>2.2499999999999999E-2</v>
      </c>
      <c r="M97" s="212">
        <f>'Input 4 - Forecast'!N78+C$33/10000</f>
        <v>4.2936438739549099E-3</v>
      </c>
      <c r="N97" s="212">
        <f>'Input 4 - Forecast'!O78+D$33/10000</f>
        <v>4.2936438739549099E-3</v>
      </c>
      <c r="O97" s="212">
        <f>'Input 4 - Forecast'!P78+E$33/10000</f>
        <v>0</v>
      </c>
      <c r="P97" s="212">
        <f>'Input 4 - Forecast'!Q78+F$33/10000</f>
        <v>0</v>
      </c>
      <c r="Q97" s="213">
        <f>'Input 4 - Forecast'!R78+G$33/10000</f>
        <v>0</v>
      </c>
    </row>
    <row r="98" spans="1:27">
      <c r="A98" s="215" t="s">
        <v>30</v>
      </c>
      <c r="B98" s="190">
        <f>('Input 4 - Forecast'!C79/'Input 4 - Forecast'!C$45)*MAX(B$71,0)</f>
        <v>0</v>
      </c>
      <c r="C98" s="13">
        <f ca="1">('Input 4 - Forecast'!D79/'Input 4 - Forecast'!D$45)*MAX(C$71,0)</f>
        <v>0</v>
      </c>
      <c r="D98" s="13">
        <f ca="1">('Input 4 - Forecast'!E79/'Input 4 - Forecast'!E$45)*MAX(D$71,0)</f>
        <v>0</v>
      </c>
      <c r="E98" s="13">
        <f ca="1">('Input 4 - Forecast'!F79/'Input 4 - Forecast'!F$45)*MAX(E$71,0)</f>
        <v>0</v>
      </c>
      <c r="F98" s="13">
        <f ca="1">('Input 4 - Forecast'!G79/'Input 4 - Forecast'!G$45)*MAX(F$71,0)</f>
        <v>0</v>
      </c>
      <c r="G98" s="191">
        <f ca="1">('Input 4 - Forecast'!H79/'Input 4 - Forecast'!H$45)*MAX(G$71,0)</f>
        <v>0</v>
      </c>
      <c r="I98" s="211" t="str">
        <f>'Input 4 - Forecast'!J79</f>
        <v>Annual</v>
      </c>
      <c r="J98" s="211">
        <f>'Input 4 - Forecast'!K79</f>
        <v>0</v>
      </c>
      <c r="K98" s="19">
        <f>'Input 4 - Forecast'!L79</f>
        <v>0</v>
      </c>
      <c r="L98" s="212">
        <f>'Input 4 - Forecast'!M79+B$33/10000</f>
        <v>0</v>
      </c>
      <c r="M98" s="212">
        <f>'Input 4 - Forecast'!N79+C$33/10000</f>
        <v>4.2936438739549099E-3</v>
      </c>
      <c r="N98" s="212">
        <f>'Input 4 - Forecast'!O79+D$33/10000</f>
        <v>4.2936438739549099E-3</v>
      </c>
      <c r="O98" s="212">
        <f>'Input 4 - Forecast'!P79+E$33/10000</f>
        <v>0</v>
      </c>
      <c r="P98" s="212">
        <f>'Input 4 - Forecast'!Q79+F$33/10000</f>
        <v>0</v>
      </c>
      <c r="Q98" s="213">
        <f>'Input 4 - Forecast'!R79+G$33/10000</f>
        <v>0</v>
      </c>
    </row>
    <row r="99" spans="1:27">
      <c r="A99" s="215" t="s">
        <v>31</v>
      </c>
      <c r="B99" s="190">
        <f>('Input 4 - Forecast'!C80/'Input 4 - Forecast'!C$45)*MAX(B$71,0)</f>
        <v>0</v>
      </c>
      <c r="C99" s="13">
        <f ca="1">('Input 4 - Forecast'!D80/'Input 4 - Forecast'!D$45)*MAX(C$71,0)</f>
        <v>0</v>
      </c>
      <c r="D99" s="13">
        <f ca="1">('Input 4 - Forecast'!E80/'Input 4 - Forecast'!E$45)*MAX(D$71,0)</f>
        <v>0</v>
      </c>
      <c r="E99" s="13">
        <f ca="1">('Input 4 - Forecast'!F80/'Input 4 - Forecast'!F$45)*MAX(E$71,0)</f>
        <v>0</v>
      </c>
      <c r="F99" s="13">
        <f ca="1">('Input 4 - Forecast'!G80/'Input 4 - Forecast'!G$45)*MAX(F$71,0)</f>
        <v>0</v>
      </c>
      <c r="G99" s="191">
        <f ca="1">('Input 4 - Forecast'!H80/'Input 4 - Forecast'!H$45)*MAX(G$71,0)</f>
        <v>0</v>
      </c>
      <c r="I99" s="211" t="str">
        <f>'Input 4 - Forecast'!J80</f>
        <v>Annual</v>
      </c>
      <c r="J99" s="211">
        <f>'Input 4 - Forecast'!K80</f>
        <v>0</v>
      </c>
      <c r="K99" s="19">
        <f>'Input 4 - Forecast'!L80</f>
        <v>0</v>
      </c>
      <c r="L99" s="212">
        <f>'Input 4 - Forecast'!M80+B$33/10000</f>
        <v>0</v>
      </c>
      <c r="M99" s="212">
        <f>'Input 4 - Forecast'!N80+C$33/10000</f>
        <v>4.2936438739549099E-3</v>
      </c>
      <c r="N99" s="212">
        <f>'Input 4 - Forecast'!O80+D$33/10000</f>
        <v>4.2936438739549099E-3</v>
      </c>
      <c r="O99" s="212">
        <f>'Input 4 - Forecast'!P80+E$33/10000</f>
        <v>0</v>
      </c>
      <c r="P99" s="212">
        <f>'Input 4 - Forecast'!Q80+F$33/10000</f>
        <v>0</v>
      </c>
      <c r="Q99" s="213">
        <f>'Input 4 - Forecast'!R80+G$33/10000</f>
        <v>0</v>
      </c>
    </row>
    <row r="100" spans="1:27">
      <c r="A100" s="215" t="s">
        <v>32</v>
      </c>
      <c r="B100" s="190">
        <f>('Input 4 - Forecast'!C81/'Input 4 - Forecast'!C$45)*MAX(B$71,0)</f>
        <v>0</v>
      </c>
      <c r="C100" s="13">
        <f ca="1">('Input 4 - Forecast'!D81/'Input 4 - Forecast'!D$45)*MAX(C$71,0)</f>
        <v>0</v>
      </c>
      <c r="D100" s="13">
        <f ca="1">('Input 4 - Forecast'!E81/'Input 4 - Forecast'!E$45)*MAX(D$71,0)</f>
        <v>0</v>
      </c>
      <c r="E100" s="13">
        <f ca="1">('Input 4 - Forecast'!F81/'Input 4 - Forecast'!F$45)*MAX(E$71,0)</f>
        <v>0</v>
      </c>
      <c r="F100" s="13">
        <f ca="1">('Input 4 - Forecast'!G81/'Input 4 - Forecast'!G$45)*MAX(F$71,0)</f>
        <v>0</v>
      </c>
      <c r="G100" s="191">
        <f ca="1">('Input 4 - Forecast'!H81/'Input 4 - Forecast'!H$45)*MAX(G$71,0)</f>
        <v>0</v>
      </c>
      <c r="I100" s="211"/>
      <c r="J100" s="211">
        <f>'Input 4 - Forecast'!K81</f>
        <v>0</v>
      </c>
      <c r="K100" s="19">
        <f>'Input 4 - Forecast'!L81</f>
        <v>0</v>
      </c>
      <c r="L100" s="212">
        <f>'Input 4 - Forecast'!M81+B$33/10000</f>
        <v>0</v>
      </c>
      <c r="M100" s="212">
        <f>'Input 4 - Forecast'!N81+C$33/10000</f>
        <v>4.2936438739549099E-3</v>
      </c>
      <c r="N100" s="212">
        <f>'Input 4 - Forecast'!O81+D$33/10000</f>
        <v>4.2936438739549099E-3</v>
      </c>
      <c r="O100" s="212">
        <f>'Input 4 - Forecast'!P81+E$33/10000</f>
        <v>0</v>
      </c>
      <c r="P100" s="212">
        <f>'Input 4 - Forecast'!Q81+F$33/10000</f>
        <v>0</v>
      </c>
      <c r="Q100" s="213">
        <f>'Input 4 - Forecast'!R81+G$33/10000</f>
        <v>0</v>
      </c>
    </row>
    <row r="101" spans="1:27">
      <c r="A101" s="210" t="s">
        <v>1</v>
      </c>
      <c r="B101" s="190"/>
      <c r="C101" s="13"/>
      <c r="D101" s="13"/>
      <c r="E101" s="13"/>
      <c r="F101" s="13"/>
      <c r="G101" s="191"/>
      <c r="I101" s="211"/>
      <c r="J101" s="211"/>
      <c r="K101" s="19"/>
      <c r="L101" s="19"/>
      <c r="M101" s="19"/>
      <c r="N101" s="19"/>
      <c r="O101" s="19"/>
      <c r="P101" s="19"/>
      <c r="Q101" s="214"/>
    </row>
    <row r="102" spans="1:27">
      <c r="A102" s="215" t="s">
        <v>33</v>
      </c>
      <c r="B102" s="190">
        <f>('Input 4 - Forecast'!C83/'Input 4 - Forecast'!C$45)*MAX(B$71,0)</f>
        <v>0</v>
      </c>
      <c r="C102" s="13">
        <f ca="1">('Input 4 - Forecast'!D83/'Input 4 - Forecast'!D$45)*MAX(C$71,0)</f>
        <v>0</v>
      </c>
      <c r="D102" s="13">
        <f ca="1">('Input 4 - Forecast'!E83/'Input 4 - Forecast'!E$45)*MAX(D$71,0)</f>
        <v>0</v>
      </c>
      <c r="E102" s="13">
        <f ca="1">('Input 4 - Forecast'!F83/'Input 4 - Forecast'!F$45)*MAX(E$71,0)</f>
        <v>0</v>
      </c>
      <c r="F102" s="13">
        <f ca="1">('Input 4 - Forecast'!G83/'Input 4 - Forecast'!G$45)*MAX(F$71,0)</f>
        <v>0</v>
      </c>
      <c r="G102" s="191">
        <f ca="1">('Input 4 - Forecast'!H83/'Input 4 - Forecast'!H$45)*MAX(G$71,0)</f>
        <v>0</v>
      </c>
      <c r="I102" s="211" t="str">
        <f>'Input 4 - Forecast'!J83</f>
        <v>Annual</v>
      </c>
      <c r="J102" s="211">
        <f>'Input 4 - Forecast'!K83</f>
        <v>0</v>
      </c>
      <c r="K102" s="19">
        <f>'Input 4 - Forecast'!L83</f>
        <v>0</v>
      </c>
      <c r="L102" s="212">
        <f>'Input 4 - Forecast'!M83+B$33/10000</f>
        <v>0</v>
      </c>
      <c r="M102" s="212">
        <f>'Input 4 - Forecast'!N83+C$33/10000</f>
        <v>4.2936438739549099E-3</v>
      </c>
      <c r="N102" s="212">
        <f>'Input 4 - Forecast'!O83+D$33/10000</f>
        <v>4.2936438739549099E-3</v>
      </c>
      <c r="O102" s="212">
        <f>'Input 4 - Forecast'!P83+E$33/10000</f>
        <v>0</v>
      </c>
      <c r="P102" s="212">
        <f>'Input 4 - Forecast'!Q83+F$33/10000</f>
        <v>0</v>
      </c>
      <c r="Q102" s="213">
        <f>'Input 4 - Forecast'!R83+G$33/10000</f>
        <v>0</v>
      </c>
    </row>
    <row r="103" spans="1:27">
      <c r="A103" s="215" t="s">
        <v>34</v>
      </c>
      <c r="B103" s="190">
        <f>('Input 4 - Forecast'!C84/'Input 4 - Forecast'!C$45)*MAX(B$71,0)</f>
        <v>0</v>
      </c>
      <c r="C103" s="13">
        <f ca="1">('Input 4 - Forecast'!D84/'Input 4 - Forecast'!D$45)*MAX(C$71,0)</f>
        <v>0</v>
      </c>
      <c r="D103" s="13">
        <f ca="1">('Input 4 - Forecast'!E84/'Input 4 - Forecast'!E$45)*MAX(D$71,0)</f>
        <v>0</v>
      </c>
      <c r="E103" s="13">
        <f ca="1">('Input 4 - Forecast'!F84/'Input 4 - Forecast'!F$45)*MAX(E$71,0)</f>
        <v>0</v>
      </c>
      <c r="F103" s="13">
        <f ca="1">('Input 4 - Forecast'!G84/'Input 4 - Forecast'!G$45)*MAX(F$71,0)</f>
        <v>0</v>
      </c>
      <c r="G103" s="191">
        <f ca="1">('Input 4 - Forecast'!H84/'Input 4 - Forecast'!H$45)*MAX(G$71,0)</f>
        <v>0</v>
      </c>
      <c r="I103" s="211" t="str">
        <f>'Input 4 - Forecast'!J84</f>
        <v>Annual</v>
      </c>
      <c r="J103" s="211">
        <f>'Input 4 - Forecast'!K84</f>
        <v>0</v>
      </c>
      <c r="K103" s="19">
        <f>'Input 4 - Forecast'!L84</f>
        <v>0</v>
      </c>
      <c r="L103" s="212">
        <f>'Input 4 - Forecast'!M84+B$33/10000</f>
        <v>0</v>
      </c>
      <c r="M103" s="212">
        <f>'Input 4 - Forecast'!N84+C$33/10000</f>
        <v>4.2936438739549099E-3</v>
      </c>
      <c r="N103" s="212">
        <f>'Input 4 - Forecast'!O84+D$33/10000</f>
        <v>4.2936438739549099E-3</v>
      </c>
      <c r="O103" s="212">
        <f>'Input 4 - Forecast'!P84+E$33/10000</f>
        <v>0</v>
      </c>
      <c r="P103" s="212">
        <f>'Input 4 - Forecast'!Q84+F$33/10000</f>
        <v>0</v>
      </c>
      <c r="Q103" s="213">
        <f>'Input 4 - Forecast'!R84+G$33/10000</f>
        <v>0</v>
      </c>
    </row>
    <row r="104" spans="1:27">
      <c r="A104" s="215" t="s">
        <v>35</v>
      </c>
      <c r="B104" s="190">
        <f>('Input 4 - Forecast'!C85/'Input 4 - Forecast'!C$45)*MAX(B$71,0)</f>
        <v>0</v>
      </c>
      <c r="C104" s="13">
        <f ca="1">('Input 4 - Forecast'!D85/'Input 4 - Forecast'!D$45)*MAX(C$71,0)</f>
        <v>0</v>
      </c>
      <c r="D104" s="13">
        <f ca="1">('Input 4 - Forecast'!E85/'Input 4 - Forecast'!E$45)*MAX(D$71,0)</f>
        <v>0</v>
      </c>
      <c r="E104" s="13">
        <f ca="1">('Input 4 - Forecast'!F85/'Input 4 - Forecast'!F$45)*MAX(E$71,0)</f>
        <v>0</v>
      </c>
      <c r="F104" s="13">
        <f ca="1">('Input 4 - Forecast'!G85/'Input 4 - Forecast'!G$45)*MAX(F$71,0)</f>
        <v>0</v>
      </c>
      <c r="G104" s="191">
        <f ca="1">('Input 4 - Forecast'!H85/'Input 4 - Forecast'!H$45)*MAX(G$71,0)</f>
        <v>0</v>
      </c>
      <c r="I104" s="211" t="str">
        <f>'Input 4 - Forecast'!J85</f>
        <v>Annual</v>
      </c>
      <c r="J104" s="211">
        <f>'Input 4 - Forecast'!K85</f>
        <v>0</v>
      </c>
      <c r="K104" s="19">
        <f>'Input 4 - Forecast'!L85</f>
        <v>0</v>
      </c>
      <c r="L104" s="212">
        <f>'Input 4 - Forecast'!M85+B$33/10000</f>
        <v>0</v>
      </c>
      <c r="M104" s="212">
        <f>'Input 4 - Forecast'!N85+C$33/10000</f>
        <v>4.2936438739549099E-3</v>
      </c>
      <c r="N104" s="212">
        <f>'Input 4 - Forecast'!O85+D$33/10000</f>
        <v>4.2936438739549099E-3</v>
      </c>
      <c r="O104" s="212">
        <f>'Input 4 - Forecast'!P85+E$33/10000</f>
        <v>0</v>
      </c>
      <c r="P104" s="212">
        <f>'Input 4 - Forecast'!Q85+F$33/10000</f>
        <v>0</v>
      </c>
      <c r="Q104" s="213">
        <f>'Input 4 - Forecast'!R85+G$33/10000</f>
        <v>0</v>
      </c>
    </row>
    <row r="105" spans="1:27">
      <c r="A105" s="215" t="s">
        <v>36</v>
      </c>
      <c r="B105" s="190">
        <f>('Input 4 - Forecast'!C86/'Input 4 - Forecast'!C$45)*MAX(B$71,0)</f>
        <v>0</v>
      </c>
      <c r="C105" s="13">
        <f ca="1">('Input 4 - Forecast'!D86/'Input 4 - Forecast'!D$45)*MAX(C$71,0)</f>
        <v>0</v>
      </c>
      <c r="D105" s="13">
        <f ca="1">('Input 4 - Forecast'!E86/'Input 4 - Forecast'!E$45)*MAX(D$71,0)</f>
        <v>0</v>
      </c>
      <c r="E105" s="13">
        <f ca="1">('Input 4 - Forecast'!F86/'Input 4 - Forecast'!F$45)*MAX(E$71,0)</f>
        <v>0</v>
      </c>
      <c r="F105" s="13">
        <f ca="1">('Input 4 - Forecast'!G86/'Input 4 - Forecast'!G$45)*MAX(F$71,0)</f>
        <v>0</v>
      </c>
      <c r="G105" s="191">
        <f ca="1">('Input 4 - Forecast'!H86/'Input 4 - Forecast'!H$45)*MAX(G$71,0)</f>
        <v>0</v>
      </c>
      <c r="I105" s="211" t="str">
        <f>'Input 4 - Forecast'!J86</f>
        <v>Annual</v>
      </c>
      <c r="J105" s="211">
        <f>'Input 4 - Forecast'!K86</f>
        <v>0</v>
      </c>
      <c r="K105" s="19">
        <f>'Input 4 - Forecast'!L86</f>
        <v>0</v>
      </c>
      <c r="L105" s="212">
        <f>'Input 4 - Forecast'!M86+B$33/10000</f>
        <v>0</v>
      </c>
      <c r="M105" s="212">
        <f>'Input 4 - Forecast'!N86+C$33/10000</f>
        <v>4.2936438739549099E-3</v>
      </c>
      <c r="N105" s="212">
        <f>'Input 4 - Forecast'!O86+D$33/10000</f>
        <v>4.2936438739549099E-3</v>
      </c>
      <c r="O105" s="212">
        <f>'Input 4 - Forecast'!P86+E$33/10000</f>
        <v>0</v>
      </c>
      <c r="P105" s="212">
        <f>'Input 4 - Forecast'!Q86+F$33/10000</f>
        <v>0</v>
      </c>
      <c r="Q105" s="213">
        <f>'Input 4 - Forecast'!R86+G$33/10000</f>
        <v>0</v>
      </c>
    </row>
    <row r="106" spans="1:27" ht="15.75" thickBot="1">
      <c r="A106" s="216" t="s">
        <v>37</v>
      </c>
      <c r="B106" s="192">
        <f>('Input 4 - Forecast'!C87/'Input 4 - Forecast'!C$45)*MAX(B$71,0)</f>
        <v>0</v>
      </c>
      <c r="C106" s="193">
        <f ca="1">('Input 4 - Forecast'!D87/'Input 4 - Forecast'!D$45)*MAX(C$71,0)</f>
        <v>0</v>
      </c>
      <c r="D106" s="193">
        <f ca="1">('Input 4 - Forecast'!E87/'Input 4 - Forecast'!E$45)*MAX(D$71,0)</f>
        <v>0</v>
      </c>
      <c r="E106" s="193">
        <f ca="1">('Input 4 - Forecast'!F87/'Input 4 - Forecast'!F$45)*MAX(E$71,0)</f>
        <v>0</v>
      </c>
      <c r="F106" s="193">
        <f ca="1">('Input 4 - Forecast'!G87/'Input 4 - Forecast'!G$45)*MAX(F$71,0)</f>
        <v>0</v>
      </c>
      <c r="G106" s="194">
        <f ca="1">('Input 4 - Forecast'!H87/'Input 4 - Forecast'!H$45)*MAX(G$71,0)</f>
        <v>0</v>
      </c>
      <c r="I106" s="217"/>
      <c r="J106" s="217">
        <f>'Input 4 - Forecast'!K87</f>
        <v>0</v>
      </c>
      <c r="K106" s="218">
        <f>'Input 4 - Forecast'!L87</f>
        <v>0</v>
      </c>
      <c r="L106" s="219">
        <f>'Input 4 - Forecast'!M87+B$33/10000</f>
        <v>0</v>
      </c>
      <c r="M106" s="219">
        <f>'Input 4 - Forecast'!N87+C$33/10000</f>
        <v>4.2936438739549099E-3</v>
      </c>
      <c r="N106" s="219">
        <f>'Input 4 - Forecast'!O87+D$33/10000</f>
        <v>4.2936438739549099E-3</v>
      </c>
      <c r="O106" s="219">
        <f>'Input 4 - Forecast'!P87+E$33/10000</f>
        <v>0</v>
      </c>
      <c r="P106" s="219">
        <f>'Input 4 - Forecast'!Q87+F$33/10000</f>
        <v>0</v>
      </c>
      <c r="Q106" s="220">
        <f>'Input 4 - Forecast'!R87+G$33/10000</f>
        <v>0</v>
      </c>
    </row>
    <row r="107" spans="1:27" ht="15.75" thickBot="1">
      <c r="B107" s="195"/>
      <c r="C107" s="195"/>
      <c r="D107" s="195"/>
      <c r="E107" s="195"/>
      <c r="F107" s="195"/>
      <c r="G107" s="195"/>
      <c r="I107" s="184"/>
      <c r="J107" s="184"/>
      <c r="K107" s="184"/>
      <c r="L107" s="184"/>
      <c r="M107" s="184"/>
      <c r="N107" s="184"/>
      <c r="O107" s="184"/>
      <c r="P107" s="184"/>
      <c r="Q107" s="184"/>
    </row>
    <row r="108" spans="1:27" ht="15.75" thickBot="1">
      <c r="A108" s="200" t="s">
        <v>1179</v>
      </c>
      <c r="B108" s="201">
        <f>('Input 4 - Forecast'!C89/'Input 4 - Forecast'!C$45)*MAX(B$71,0)</f>
        <v>-267.59452840452661</v>
      </c>
      <c r="C108" s="202">
        <f ca="1">('Input 4 - Forecast'!D89/'Input 4 - Forecast'!D$45)*MAX(C$71,0)</f>
        <v>2228.403168039215</v>
      </c>
      <c r="D108" s="202">
        <f ca="1">('Input 4 - Forecast'!E89/'Input 4 - Forecast'!E$45)*MAX(D$71,0)</f>
        <v>4226.2906064035224</v>
      </c>
      <c r="E108" s="202">
        <f ca="1">('Input 4 - Forecast'!F89/'Input 4 - Forecast'!F$45)*MAX(E$71,0)</f>
        <v>5842.9466660086937</v>
      </c>
      <c r="F108" s="202">
        <f ca="1">('Input 4 - Forecast'!G89/'Input 4 - Forecast'!G$45)*MAX(F$71,0)</f>
        <v>6378.2716119199195</v>
      </c>
      <c r="G108" s="203">
        <f ca="1">('Input 4 - Forecast'!H89/'Input 4 - Forecast'!H$45)*MAX(G$71,0)</f>
        <v>6672.2087269583189</v>
      </c>
      <c r="I108" s="221"/>
      <c r="J108" s="221">
        <f>'Input 4 - Forecast'!K89</f>
        <v>1</v>
      </c>
      <c r="K108" s="222">
        <f>'Input 4 - Forecast'!L89</f>
        <v>1</v>
      </c>
      <c r="L108" s="223">
        <f>'Input 4 - Forecast'!M89+B$33/10000</f>
        <v>0</v>
      </c>
      <c r="M108" s="223">
        <f>'Input 4 - Forecast'!N89+C$33/10000</f>
        <v>4.2936438739549099E-3</v>
      </c>
      <c r="N108" s="223">
        <f>'Input 4 - Forecast'!O89+D$33/10000</f>
        <v>4.2936438739549099E-3</v>
      </c>
      <c r="O108" s="223">
        <f>'Input 4 - Forecast'!P89+E$33/10000</f>
        <v>0</v>
      </c>
      <c r="P108" s="223">
        <f>'Input 4 - Forecast'!Q89+F$33/10000</f>
        <v>0</v>
      </c>
      <c r="Q108" s="224">
        <f>'Input 4 - Forecast'!R89+G$33/10000</f>
        <v>0</v>
      </c>
    </row>
    <row r="109" spans="1:27">
      <c r="B109" s="7"/>
      <c r="C109" s="7"/>
      <c r="D109" s="7"/>
      <c r="E109" s="7"/>
      <c r="F109" s="7"/>
      <c r="G109" s="7"/>
      <c r="I109" s="184"/>
      <c r="J109" s="184"/>
      <c r="K109" s="184"/>
      <c r="L109" s="184"/>
      <c r="M109" s="184"/>
      <c r="N109" s="184"/>
      <c r="O109" s="184"/>
      <c r="P109" s="184"/>
    </row>
    <row r="111" spans="1:27" ht="15.75" thickBot="1">
      <c r="H111" s="7">
        <f>'Input 4 - Forecast'!C9</f>
        <v>2018</v>
      </c>
      <c r="I111" s="7">
        <f>H111+1</f>
        <v>2019</v>
      </c>
      <c r="J111" s="7">
        <f>I111+1</f>
        <v>2020</v>
      </c>
      <c r="K111" s="7">
        <f>J111+1</f>
        <v>2021</v>
      </c>
      <c r="L111" s="7">
        <f>K111+1</f>
        <v>2022</v>
      </c>
      <c r="M111" s="7">
        <f>L111+1</f>
        <v>2023</v>
      </c>
      <c r="O111" s="7">
        <f t="shared" ref="O111:T111" si="22">H111</f>
        <v>2018</v>
      </c>
      <c r="P111" s="7">
        <f t="shared" si="22"/>
        <v>2019</v>
      </c>
      <c r="Q111" s="7">
        <f t="shared" si="22"/>
        <v>2020</v>
      </c>
      <c r="R111" s="7">
        <f t="shared" si="22"/>
        <v>2021</v>
      </c>
      <c r="S111" s="7">
        <f t="shared" si="22"/>
        <v>2022</v>
      </c>
      <c r="T111" s="7">
        <f t="shared" si="22"/>
        <v>2023</v>
      </c>
      <c r="V111" s="7">
        <f t="shared" ref="V111:AA111" si="23">O111</f>
        <v>2018</v>
      </c>
      <c r="W111" s="7">
        <f t="shared" si="23"/>
        <v>2019</v>
      </c>
      <c r="X111" s="7">
        <f t="shared" si="23"/>
        <v>2020</v>
      </c>
      <c r="Y111" s="7">
        <f t="shared" si="23"/>
        <v>2021</v>
      </c>
      <c r="Z111" s="7">
        <f t="shared" si="23"/>
        <v>2022</v>
      </c>
      <c r="AA111" s="7">
        <f t="shared" si="23"/>
        <v>2023</v>
      </c>
    </row>
    <row r="112" spans="1:27" ht="15.75" thickBot="1">
      <c r="A112" s="281"/>
      <c r="B112" s="2009" t="s">
        <v>44</v>
      </c>
      <c r="C112" s="2010"/>
      <c r="D112" s="2010"/>
      <c r="E112" s="2010"/>
      <c r="F112" s="2011"/>
      <c r="H112" s="2012" t="s">
        <v>40</v>
      </c>
      <c r="I112" s="2013"/>
      <c r="J112" s="2013"/>
      <c r="K112" s="2013"/>
      <c r="L112" s="2013"/>
      <c r="M112" s="2014"/>
      <c r="O112" s="2015" t="s">
        <v>46</v>
      </c>
      <c r="P112" s="2016"/>
      <c r="Q112" s="2016"/>
      <c r="R112" s="2016"/>
      <c r="S112" s="2016"/>
      <c r="T112" s="2017"/>
      <c r="V112" s="1996" t="s">
        <v>42</v>
      </c>
      <c r="W112" s="1997"/>
      <c r="X112" s="1997"/>
      <c r="Y112" s="1997"/>
      <c r="Z112" s="1997"/>
      <c r="AA112" s="1998"/>
    </row>
    <row r="113" spans="1:27">
      <c r="A113" s="281"/>
      <c r="B113" s="7" t="s">
        <v>45</v>
      </c>
      <c r="C113" s="281" t="s">
        <v>462</v>
      </c>
      <c r="D113" s="7" t="s">
        <v>43</v>
      </c>
      <c r="E113" s="7" t="s">
        <v>39</v>
      </c>
      <c r="F113" s="7" t="s">
        <v>41</v>
      </c>
    </row>
    <row r="114" spans="1:27">
      <c r="A114" s="17"/>
      <c r="B114" s="7"/>
      <c r="C114" s="7"/>
      <c r="D114" s="7"/>
      <c r="E114" s="7"/>
    </row>
    <row r="115" spans="1:27">
      <c r="A115" s="20" t="str">
        <f>'Input 4 - Forecast'!A50</f>
        <v>Issuance of New Debt to Fill Fiscal Needs</v>
      </c>
    </row>
    <row r="116" spans="1:27" customFormat="1" ht="15.75" thickBot="1">
      <c r="A116" s="21" t="str">
        <f>'Input 4 - Forecast'!A55</f>
        <v>Short-term debt 2/</v>
      </c>
      <c r="B116" s="18"/>
      <c r="C116" s="13"/>
      <c r="D116" s="13"/>
      <c r="E116" s="13"/>
      <c r="F116" s="13"/>
      <c r="G116" s="13"/>
      <c r="H116" s="13"/>
      <c r="I116" s="17"/>
      <c r="J116" s="19"/>
      <c r="K116" s="19"/>
      <c r="L116" s="19"/>
      <c r="M116" s="19"/>
      <c r="N116" s="19"/>
      <c r="O116" s="19"/>
      <c r="P116" s="19"/>
      <c r="Q116" s="19"/>
    </row>
    <row r="117" spans="1:27" customFormat="1" ht="15.75" thickBot="1">
      <c r="A117" s="22" t="str">
        <f>'Input 4 - Forecast'!A56</f>
        <v>Denominated in local currency</v>
      </c>
      <c r="B117" s="1999" t="s">
        <v>51</v>
      </c>
      <c r="C117" s="2000"/>
      <c r="D117" s="2000"/>
      <c r="E117" s="2000"/>
      <c r="F117" s="2000"/>
      <c r="G117" s="2000"/>
      <c r="H117" s="2000"/>
      <c r="I117" s="2000"/>
      <c r="J117" s="2000"/>
      <c r="K117" s="2000"/>
      <c r="L117" s="2000"/>
      <c r="M117" s="2000"/>
      <c r="N117" s="2000"/>
      <c r="O117" s="2000"/>
      <c r="P117" s="2000"/>
      <c r="Q117" s="2000"/>
      <c r="R117" s="2000"/>
      <c r="S117" s="2000"/>
      <c r="T117" s="2000"/>
      <c r="U117" s="2000"/>
      <c r="V117" s="2000"/>
      <c r="W117" s="2000"/>
      <c r="X117" s="2000"/>
      <c r="Y117" s="2000"/>
      <c r="Z117" s="2000"/>
      <c r="AA117" s="2001"/>
    </row>
    <row r="118" spans="1:27">
      <c r="B118" s="281"/>
      <c r="F118" s="15"/>
      <c r="H118" s="10"/>
      <c r="I118" s="10"/>
      <c r="J118" s="10"/>
      <c r="K118" s="10"/>
      <c r="L118" s="10"/>
      <c r="M118" s="10"/>
      <c r="N118" s="10"/>
      <c r="O118" s="10"/>
      <c r="P118" s="10"/>
      <c r="Q118" s="10"/>
      <c r="R118" s="10"/>
      <c r="S118" s="10"/>
      <c r="T118" s="10"/>
      <c r="U118" s="10"/>
      <c r="V118" s="10"/>
      <c r="W118" s="10"/>
      <c r="X118" s="10"/>
      <c r="Y118" s="10"/>
      <c r="Z118" s="10"/>
      <c r="AA118" s="10"/>
    </row>
    <row r="119" spans="1:27" customFormat="1">
      <c r="A119" s="23"/>
      <c r="B119" s="7">
        <f>'Input 4 - Forecast'!C9</f>
        <v>2018</v>
      </c>
      <c r="C119" s="13" t="str">
        <f>$I75</f>
        <v>Semi-annual</v>
      </c>
      <c r="D119" s="13">
        <f>$J75</f>
        <v>0</v>
      </c>
      <c r="E119" s="13">
        <f>$K75</f>
        <v>0</v>
      </c>
      <c r="F119" s="14">
        <f>$L$75</f>
        <v>0</v>
      </c>
      <c r="G119" s="13"/>
      <c r="H119" s="9">
        <f>$B$75</f>
        <v>0</v>
      </c>
      <c r="I119" s="9">
        <f>H119-P119</f>
        <v>0</v>
      </c>
      <c r="J119" s="9">
        <f>I119-Q119</f>
        <v>0</v>
      </c>
      <c r="K119" s="9">
        <f>J119-R119</f>
        <v>0</v>
      </c>
      <c r="L119" s="9">
        <f>K119-S119</f>
        <v>0</v>
      </c>
      <c r="M119" s="9">
        <f>L119-T119</f>
        <v>0</v>
      </c>
      <c r="N119" s="9"/>
      <c r="O119" s="9">
        <v>0</v>
      </c>
      <c r="P119" s="9">
        <f>H119</f>
        <v>0</v>
      </c>
      <c r="Q119" s="9">
        <v>0</v>
      </c>
      <c r="R119" s="9">
        <v>0</v>
      </c>
      <c r="S119" s="9">
        <v>0</v>
      </c>
      <c r="T119" s="9">
        <v>0</v>
      </c>
      <c r="U119" s="9"/>
      <c r="V119" s="9">
        <f>IF($C119="annual",IF(V$111=$B119,0,G119*$F119),IF(V$111-$B119=0,0,IF((V$111-$B119)&lt;$E119,AVERAGE(G119,H119)*$F119,IF((V$111-$B119)=$E119,G119*$F119/2,0))))</f>
        <v>0</v>
      </c>
      <c r="W119" s="9">
        <f t="shared" ref="W119:AA124" si="24">IF($C119="annual",IF(W$111=$B119,0,H119*$F119),IF(W$111-$B119=0,0,IF((W$111-$B119)&lt;$E119,AVERAGE(H119,I119)*$F119,IF((W$111-$B119)=$E119,H119*$F119/2,0))))</f>
        <v>0</v>
      </c>
      <c r="X119" s="9">
        <f t="shared" si="24"/>
        <v>0</v>
      </c>
      <c r="Y119" s="9">
        <f t="shared" si="24"/>
        <v>0</v>
      </c>
      <c r="Z119" s="9">
        <f t="shared" si="24"/>
        <v>0</v>
      </c>
      <c r="AA119" s="9">
        <f t="shared" si="24"/>
        <v>0</v>
      </c>
    </row>
    <row r="120" spans="1:27" customFormat="1">
      <c r="A120" s="23"/>
      <c r="B120" s="7">
        <f>B119+1</f>
        <v>2019</v>
      </c>
      <c r="C120" s="13" t="str">
        <f>C119</f>
        <v>Semi-annual</v>
      </c>
      <c r="D120" s="13">
        <f>D119</f>
        <v>0</v>
      </c>
      <c r="E120" s="13">
        <f>E119</f>
        <v>0</v>
      </c>
      <c r="F120" s="14">
        <f>$M$75</f>
        <v>4.2936438739549099E-3</v>
      </c>
      <c r="G120" s="13"/>
      <c r="H120" s="9"/>
      <c r="I120" s="9">
        <f ca="1">$C$75</f>
        <v>186.07195570133533</v>
      </c>
      <c r="J120" s="9">
        <f ca="1">I120-Q120</f>
        <v>0</v>
      </c>
      <c r="K120" s="9">
        <f ca="1">J120-R120</f>
        <v>0</v>
      </c>
      <c r="L120" s="9">
        <f ca="1">K120-S120</f>
        <v>0</v>
      </c>
      <c r="M120" s="9">
        <f ca="1">L120-T120</f>
        <v>0</v>
      </c>
      <c r="N120" s="9"/>
      <c r="O120" s="9"/>
      <c r="P120" s="9">
        <v>0</v>
      </c>
      <c r="Q120" s="9">
        <f ca="1">I120</f>
        <v>186.07195570133533</v>
      </c>
      <c r="R120" s="9">
        <v>0</v>
      </c>
      <c r="S120" s="9">
        <v>0</v>
      </c>
      <c r="T120" s="9">
        <v>0</v>
      </c>
      <c r="U120" s="9"/>
      <c r="V120" s="9"/>
      <c r="W120" s="9">
        <f t="shared" si="24"/>
        <v>0</v>
      </c>
      <c r="X120" s="9">
        <f t="shared" si="24"/>
        <v>0</v>
      </c>
      <c r="Y120" s="9">
        <f t="shared" si="24"/>
        <v>0</v>
      </c>
      <c r="Z120" s="9">
        <f t="shared" si="24"/>
        <v>0</v>
      </c>
      <c r="AA120" s="9">
        <f t="shared" si="24"/>
        <v>0</v>
      </c>
    </row>
    <row r="121" spans="1:27" customFormat="1">
      <c r="A121" s="23"/>
      <c r="B121" s="7">
        <f>B120+1</f>
        <v>2020</v>
      </c>
      <c r="C121" s="13" t="str">
        <f>C120</f>
        <v>Semi-annual</v>
      </c>
      <c r="D121" s="13">
        <f t="shared" ref="D121:E124" si="25">D120</f>
        <v>0</v>
      </c>
      <c r="E121" s="13">
        <f t="shared" si="25"/>
        <v>0</v>
      </c>
      <c r="F121" s="14">
        <f>$N$75</f>
        <v>4.2936438739549099E-3</v>
      </c>
      <c r="G121" s="13"/>
      <c r="H121" s="9"/>
      <c r="I121" s="9"/>
      <c r="J121" s="9">
        <f ca="1">$D$75</f>
        <v>193.23988923738858</v>
      </c>
      <c r="K121" s="9">
        <f ca="1">J121-R121</f>
        <v>0</v>
      </c>
      <c r="L121" s="9">
        <f ca="1">K121-S121</f>
        <v>0</v>
      </c>
      <c r="M121" s="9">
        <f ca="1">L121-T121</f>
        <v>0</v>
      </c>
      <c r="N121" s="9"/>
      <c r="O121" s="9"/>
      <c r="P121" s="9"/>
      <c r="Q121" s="9">
        <v>0</v>
      </c>
      <c r="R121" s="9">
        <f ca="1">J121</f>
        <v>193.23988923738858</v>
      </c>
      <c r="S121" s="9">
        <v>0</v>
      </c>
      <c r="T121" s="9">
        <v>0</v>
      </c>
      <c r="U121" s="9"/>
      <c r="V121" s="9"/>
      <c r="W121" s="9"/>
      <c r="X121" s="9">
        <f t="shared" si="24"/>
        <v>0</v>
      </c>
      <c r="Y121" s="9">
        <f t="shared" si="24"/>
        <v>0</v>
      </c>
      <c r="Z121" s="9">
        <f t="shared" si="24"/>
        <v>0</v>
      </c>
      <c r="AA121" s="9">
        <f t="shared" si="24"/>
        <v>0</v>
      </c>
    </row>
    <row r="122" spans="1:27" customFormat="1">
      <c r="A122" s="23"/>
      <c r="B122" s="7">
        <f>B121+1</f>
        <v>2021</v>
      </c>
      <c r="C122" s="13" t="str">
        <f>C121</f>
        <v>Semi-annual</v>
      </c>
      <c r="D122" s="13">
        <f t="shared" si="25"/>
        <v>0</v>
      </c>
      <c r="E122" s="13">
        <f t="shared" si="25"/>
        <v>0</v>
      </c>
      <c r="F122" s="14">
        <f>$O$75</f>
        <v>0</v>
      </c>
      <c r="G122" s="13"/>
      <c r="H122" s="9"/>
      <c r="I122" s="9"/>
      <c r="J122" s="9"/>
      <c r="K122" s="9">
        <f ca="1">$E$75</f>
        <v>181.28893140188953</v>
      </c>
      <c r="L122" s="9">
        <f ca="1">K122-S122</f>
        <v>0</v>
      </c>
      <c r="M122" s="9">
        <f ca="1">L122-T122</f>
        <v>0</v>
      </c>
      <c r="N122" s="9"/>
      <c r="O122" s="9"/>
      <c r="P122" s="9"/>
      <c r="Q122" s="9"/>
      <c r="R122" s="9">
        <v>0</v>
      </c>
      <c r="S122" s="9">
        <f ca="1">K122</f>
        <v>181.28893140188953</v>
      </c>
      <c r="T122" s="9">
        <v>0</v>
      </c>
      <c r="U122" s="9"/>
      <c r="V122" s="9"/>
      <c r="W122" s="9"/>
      <c r="X122" s="9"/>
      <c r="Y122" s="9">
        <f t="shared" si="24"/>
        <v>0</v>
      </c>
      <c r="Z122" s="9">
        <f t="shared" si="24"/>
        <v>0</v>
      </c>
      <c r="AA122" s="9">
        <f t="shared" si="24"/>
        <v>0</v>
      </c>
    </row>
    <row r="123" spans="1:27" customFormat="1">
      <c r="A123" s="23"/>
      <c r="B123" s="7">
        <f>B122+1</f>
        <v>2022</v>
      </c>
      <c r="C123" s="13" t="str">
        <f>C122</f>
        <v>Semi-annual</v>
      </c>
      <c r="D123" s="13">
        <f t="shared" si="25"/>
        <v>0</v>
      </c>
      <c r="E123" s="13">
        <f t="shared" si="25"/>
        <v>0</v>
      </c>
      <c r="F123" s="14">
        <f>$P$75</f>
        <v>0</v>
      </c>
      <c r="G123" s="13"/>
      <c r="H123" s="9"/>
      <c r="I123" s="9"/>
      <c r="J123" s="9"/>
      <c r="K123" s="9"/>
      <c r="L123" s="9">
        <f ca="1">$F$75</f>
        <v>179.4298855775304</v>
      </c>
      <c r="M123" s="9">
        <f ca="1">L123-T123</f>
        <v>0</v>
      </c>
      <c r="N123" s="9"/>
      <c r="O123" s="9"/>
      <c r="P123" s="9"/>
      <c r="Q123" s="9"/>
      <c r="R123" s="9"/>
      <c r="S123" s="9">
        <v>0</v>
      </c>
      <c r="T123" s="9">
        <f ca="1">L123</f>
        <v>179.4298855775304</v>
      </c>
      <c r="U123" s="9"/>
      <c r="V123" s="9"/>
      <c r="W123" s="9"/>
      <c r="X123" s="9"/>
      <c r="Y123" s="9"/>
      <c r="Z123" s="9">
        <f t="shared" si="24"/>
        <v>0</v>
      </c>
      <c r="AA123" s="9">
        <f t="shared" si="24"/>
        <v>0</v>
      </c>
    </row>
    <row r="124" spans="1:27" customFormat="1">
      <c r="A124" s="23"/>
      <c r="B124" s="7">
        <f>B123+1</f>
        <v>2023</v>
      </c>
      <c r="C124" s="13" t="str">
        <f>C123</f>
        <v>Semi-annual</v>
      </c>
      <c r="D124" s="13">
        <f t="shared" si="25"/>
        <v>0</v>
      </c>
      <c r="E124" s="13">
        <f t="shared" si="25"/>
        <v>0</v>
      </c>
      <c r="F124" s="14">
        <f>$Q$75</f>
        <v>0</v>
      </c>
      <c r="G124" s="13"/>
      <c r="H124" s="9"/>
      <c r="I124" s="9"/>
      <c r="J124" s="9"/>
      <c r="K124" s="9"/>
      <c r="L124" s="9"/>
      <c r="M124" s="9">
        <f ca="1">$G$75</f>
        <v>179.17085485009216</v>
      </c>
      <c r="N124" s="9"/>
      <c r="O124" s="9"/>
      <c r="P124" s="9"/>
      <c r="Q124" s="9"/>
      <c r="R124" s="9"/>
      <c r="S124" s="9"/>
      <c r="T124" s="9">
        <v>0</v>
      </c>
      <c r="U124" s="9"/>
      <c r="V124" s="9"/>
      <c r="W124" s="9"/>
      <c r="X124" s="9"/>
      <c r="Y124" s="9"/>
      <c r="Z124" s="9"/>
      <c r="AA124" s="9">
        <f t="shared" si="24"/>
        <v>0</v>
      </c>
    </row>
    <row r="125" spans="1:27" ht="15.75" thickBot="1">
      <c r="F125" s="15"/>
      <c r="H125" s="10"/>
      <c r="I125" s="10"/>
      <c r="J125" s="10"/>
      <c r="K125" s="10"/>
      <c r="L125" s="10"/>
      <c r="M125" s="10"/>
      <c r="N125" s="10"/>
      <c r="O125" s="10"/>
      <c r="P125" s="10"/>
      <c r="Q125" s="10"/>
      <c r="R125" s="10"/>
      <c r="S125" s="10"/>
      <c r="T125" s="10"/>
      <c r="U125" s="10"/>
      <c r="V125" s="10"/>
      <c r="W125" s="10"/>
      <c r="X125" s="10"/>
      <c r="Y125" s="10"/>
      <c r="Z125" s="10"/>
      <c r="AA125" s="10"/>
    </row>
    <row r="126" spans="1:27" customFormat="1" ht="15.75" thickBot="1">
      <c r="A126" s="22" t="str">
        <f>'Input 4 - Forecast'!A65</f>
        <v>Denominated in foreign currency</v>
      </c>
      <c r="B126" s="1999" t="s">
        <v>52</v>
      </c>
      <c r="C126" s="2000"/>
      <c r="D126" s="2000"/>
      <c r="E126" s="2000"/>
      <c r="F126" s="2000"/>
      <c r="G126" s="2000"/>
      <c r="H126" s="2000"/>
      <c r="I126" s="2000"/>
      <c r="J126" s="2000"/>
      <c r="K126" s="2000"/>
      <c r="L126" s="2000"/>
      <c r="M126" s="2000"/>
      <c r="N126" s="2000"/>
      <c r="O126" s="2000"/>
      <c r="P126" s="2000"/>
      <c r="Q126" s="2000"/>
      <c r="R126" s="2000"/>
      <c r="S126" s="2000"/>
      <c r="T126" s="2000"/>
      <c r="U126" s="2000"/>
      <c r="V126" s="2000"/>
      <c r="W126" s="2000"/>
      <c r="X126" s="2000"/>
      <c r="Y126" s="2000"/>
      <c r="Z126" s="2000"/>
      <c r="AA126" s="2001"/>
    </row>
    <row r="127" spans="1:27">
      <c r="F127" s="15"/>
      <c r="H127" s="10"/>
      <c r="I127" s="10"/>
      <c r="J127" s="10"/>
      <c r="K127" s="10"/>
      <c r="L127" s="10"/>
      <c r="M127" s="10"/>
      <c r="N127" s="10"/>
      <c r="O127" s="10"/>
      <c r="P127" s="10"/>
      <c r="Q127" s="10"/>
      <c r="R127" s="10"/>
      <c r="S127" s="10"/>
      <c r="T127" s="10"/>
      <c r="U127" s="10"/>
      <c r="V127" s="10"/>
      <c r="W127" s="10"/>
      <c r="X127" s="10"/>
      <c r="Y127" s="10"/>
      <c r="Z127" s="10"/>
      <c r="AA127" s="10"/>
    </row>
    <row r="128" spans="1:27" customFormat="1">
      <c r="A128" s="23"/>
      <c r="B128" s="7">
        <f>B119</f>
        <v>2018</v>
      </c>
      <c r="C128" s="13" t="str">
        <f>$I76</f>
        <v>Semi-annual</v>
      </c>
      <c r="D128" s="13">
        <f>$J76</f>
        <v>0</v>
      </c>
      <c r="E128" s="13">
        <f>$K76</f>
        <v>0</v>
      </c>
      <c r="F128" s="14">
        <f>$L$76</f>
        <v>0</v>
      </c>
      <c r="G128" s="13"/>
      <c r="H128" s="9">
        <f>$B$76/$B$31</f>
        <v>0</v>
      </c>
      <c r="I128" s="9">
        <f>H128-P128</f>
        <v>0</v>
      </c>
      <c r="J128" s="9">
        <f>I128-Q128</f>
        <v>0</v>
      </c>
      <c r="K128" s="9">
        <f>J128-R128</f>
        <v>0</v>
      </c>
      <c r="L128" s="9">
        <f>K128-S128</f>
        <v>0</v>
      </c>
      <c r="M128" s="9">
        <f>L128-T128</f>
        <v>0</v>
      </c>
      <c r="N128" s="9"/>
      <c r="O128" s="9">
        <v>0</v>
      </c>
      <c r="P128" s="9">
        <f>H128</f>
        <v>0</v>
      </c>
      <c r="Q128" s="9">
        <v>0</v>
      </c>
      <c r="R128" s="9">
        <v>0</v>
      </c>
      <c r="S128" s="9">
        <v>0</v>
      </c>
      <c r="T128" s="9">
        <v>0</v>
      </c>
      <c r="U128" s="9"/>
      <c r="V128" s="9">
        <f>IF($C128="annual",IF(V$111=$B128,0,G128*$F128),IF(V$111-$B128=0,0,IF((V$111-$B128)&lt;$E128,AVERAGE(G128,H128)*$F128,IF((V$111-$B128)=$E128,G128*$F128/2,0))))</f>
        <v>0</v>
      </c>
      <c r="W128" s="9">
        <f t="shared" ref="W128:AA133" si="26">IF($C128="annual",IF(W$111=$B128,0,H128*$F128),IF(W$111-$B128=0,0,IF((W$111-$B128)&lt;$E128,AVERAGE(H128,I128)*$F128,IF((W$111-$B128)=$E128,H128*$F128/2,0))))</f>
        <v>0</v>
      </c>
      <c r="X128" s="9">
        <f t="shared" si="26"/>
        <v>0</v>
      </c>
      <c r="Y128" s="9">
        <f t="shared" si="26"/>
        <v>0</v>
      </c>
      <c r="Z128" s="9">
        <f t="shared" si="26"/>
        <v>0</v>
      </c>
      <c r="AA128" s="9">
        <f t="shared" si="26"/>
        <v>0</v>
      </c>
    </row>
    <row r="129" spans="1:28" customFormat="1">
      <c r="A129" s="23"/>
      <c r="B129" s="7">
        <f>B128+1</f>
        <v>2019</v>
      </c>
      <c r="C129" s="13" t="str">
        <f>C128</f>
        <v>Semi-annual</v>
      </c>
      <c r="D129" s="13">
        <f>D128</f>
        <v>0</v>
      </c>
      <c r="E129" s="13">
        <f>E128</f>
        <v>0</v>
      </c>
      <c r="F129" s="14">
        <f>$M$76</f>
        <v>4.2936438739549099E-3</v>
      </c>
      <c r="G129" s="13"/>
      <c r="H129" s="9"/>
      <c r="I129" s="9">
        <f ca="1">$C$76/$C$31</f>
        <v>0</v>
      </c>
      <c r="J129" s="9">
        <f ca="1">I129-Q129</f>
        <v>0</v>
      </c>
      <c r="K129" s="9">
        <f ca="1">J129-R129</f>
        <v>0</v>
      </c>
      <c r="L129" s="9">
        <f ca="1">K129-S129</f>
        <v>0</v>
      </c>
      <c r="M129" s="9">
        <f ca="1">L129-T129</f>
        <v>0</v>
      </c>
      <c r="N129" s="9"/>
      <c r="O129" s="9"/>
      <c r="P129" s="9">
        <v>0</v>
      </c>
      <c r="Q129" s="9">
        <f ca="1">I129</f>
        <v>0</v>
      </c>
      <c r="R129" s="9">
        <v>0</v>
      </c>
      <c r="S129" s="9">
        <v>0</v>
      </c>
      <c r="T129" s="9">
        <v>0</v>
      </c>
      <c r="U129" s="9"/>
      <c r="V129" s="9"/>
      <c r="W129" s="9">
        <f t="shared" si="26"/>
        <v>0</v>
      </c>
      <c r="X129" s="9">
        <f t="shared" si="26"/>
        <v>0</v>
      </c>
      <c r="Y129" s="9">
        <f t="shared" si="26"/>
        <v>0</v>
      </c>
      <c r="Z129" s="9">
        <f t="shared" si="26"/>
        <v>0</v>
      </c>
      <c r="AA129" s="9">
        <f t="shared" si="26"/>
        <v>0</v>
      </c>
    </row>
    <row r="130" spans="1:28" customFormat="1">
      <c r="A130" s="23"/>
      <c r="B130" s="7">
        <f>B129+1</f>
        <v>2020</v>
      </c>
      <c r="C130" s="13" t="str">
        <f>C129</f>
        <v>Semi-annual</v>
      </c>
      <c r="D130" s="13">
        <f t="shared" ref="D130:E133" si="27">D129</f>
        <v>0</v>
      </c>
      <c r="E130" s="13">
        <f t="shared" si="27"/>
        <v>0</v>
      </c>
      <c r="F130" s="14">
        <f>$N$76</f>
        <v>4.2936438739549099E-3</v>
      </c>
      <c r="G130" s="13"/>
      <c r="H130" s="9"/>
      <c r="I130" s="9"/>
      <c r="J130" s="9">
        <f ca="1">$D$76/$D$31</f>
        <v>0</v>
      </c>
      <c r="K130" s="9">
        <f ca="1">J130-R130</f>
        <v>0</v>
      </c>
      <c r="L130" s="9">
        <f ca="1">K130-S130</f>
        <v>0</v>
      </c>
      <c r="M130" s="9">
        <f ca="1">L130-T130</f>
        <v>0</v>
      </c>
      <c r="N130" s="9"/>
      <c r="O130" s="9"/>
      <c r="P130" s="9"/>
      <c r="Q130" s="9">
        <v>0</v>
      </c>
      <c r="R130" s="9">
        <f ca="1">J130</f>
        <v>0</v>
      </c>
      <c r="S130" s="9">
        <v>0</v>
      </c>
      <c r="T130" s="9">
        <v>0</v>
      </c>
      <c r="U130" s="9"/>
      <c r="V130" s="9"/>
      <c r="W130" s="9"/>
      <c r="X130" s="9">
        <f t="shared" si="26"/>
        <v>0</v>
      </c>
      <c r="Y130" s="9">
        <f t="shared" si="26"/>
        <v>0</v>
      </c>
      <c r="Z130" s="9">
        <f t="shared" si="26"/>
        <v>0</v>
      </c>
      <c r="AA130" s="9">
        <f t="shared" si="26"/>
        <v>0</v>
      </c>
    </row>
    <row r="131" spans="1:28" customFormat="1">
      <c r="A131" s="23"/>
      <c r="B131" s="7">
        <f>B130+1</f>
        <v>2021</v>
      </c>
      <c r="C131" s="13" t="str">
        <f>C130</f>
        <v>Semi-annual</v>
      </c>
      <c r="D131" s="13">
        <f t="shared" si="27"/>
        <v>0</v>
      </c>
      <c r="E131" s="13">
        <f t="shared" si="27"/>
        <v>0</v>
      </c>
      <c r="F131" s="14">
        <f>$O$76</f>
        <v>0</v>
      </c>
      <c r="G131" s="13"/>
      <c r="H131" s="9"/>
      <c r="I131" s="9"/>
      <c r="J131" s="9"/>
      <c r="K131" s="9">
        <f ca="1">$E$76/$E$31</f>
        <v>0</v>
      </c>
      <c r="L131" s="9">
        <f ca="1">K131-S131</f>
        <v>0</v>
      </c>
      <c r="M131" s="9">
        <f ca="1">L131-T131</f>
        <v>0</v>
      </c>
      <c r="N131" s="9"/>
      <c r="O131" s="9"/>
      <c r="P131" s="9"/>
      <c r="Q131" s="9"/>
      <c r="R131" s="9">
        <v>0</v>
      </c>
      <c r="S131" s="9">
        <f ca="1">K131</f>
        <v>0</v>
      </c>
      <c r="T131" s="9">
        <v>0</v>
      </c>
      <c r="U131" s="9"/>
      <c r="V131" s="9"/>
      <c r="W131" s="9"/>
      <c r="X131" s="9"/>
      <c r="Y131" s="9">
        <f t="shared" si="26"/>
        <v>0</v>
      </c>
      <c r="Z131" s="9">
        <f t="shared" si="26"/>
        <v>0</v>
      </c>
      <c r="AA131" s="9">
        <f t="shared" si="26"/>
        <v>0</v>
      </c>
    </row>
    <row r="132" spans="1:28" customFormat="1">
      <c r="A132" s="23"/>
      <c r="B132" s="7">
        <f>B131+1</f>
        <v>2022</v>
      </c>
      <c r="C132" s="13" t="str">
        <f>C131</f>
        <v>Semi-annual</v>
      </c>
      <c r="D132" s="13">
        <f t="shared" si="27"/>
        <v>0</v>
      </c>
      <c r="E132" s="13">
        <f t="shared" si="27"/>
        <v>0</v>
      </c>
      <c r="F132" s="14">
        <f>$P$76</f>
        <v>0</v>
      </c>
      <c r="G132" s="13"/>
      <c r="H132" s="9"/>
      <c r="I132" s="9"/>
      <c r="J132" s="9"/>
      <c r="K132" s="9"/>
      <c r="L132" s="9">
        <f ca="1">$F$76/$F$31</f>
        <v>0</v>
      </c>
      <c r="M132" s="9">
        <f ca="1">L132-T132</f>
        <v>0</v>
      </c>
      <c r="N132" s="9"/>
      <c r="O132" s="9"/>
      <c r="P132" s="9"/>
      <c r="Q132" s="9"/>
      <c r="R132" s="9"/>
      <c r="S132" s="9">
        <v>0</v>
      </c>
      <c r="T132" s="9">
        <f ca="1">L132</f>
        <v>0</v>
      </c>
      <c r="U132" s="9"/>
      <c r="V132" s="9"/>
      <c r="W132" s="9"/>
      <c r="X132" s="9"/>
      <c r="Y132" s="9"/>
      <c r="Z132" s="9">
        <f t="shared" si="26"/>
        <v>0</v>
      </c>
      <c r="AA132" s="9">
        <f t="shared" si="26"/>
        <v>0</v>
      </c>
    </row>
    <row r="133" spans="1:28" customFormat="1">
      <c r="A133" s="23"/>
      <c r="B133" s="7">
        <f>B132+1</f>
        <v>2023</v>
      </c>
      <c r="C133" s="13" t="str">
        <f>C132</f>
        <v>Semi-annual</v>
      </c>
      <c r="D133" s="13">
        <f t="shared" si="27"/>
        <v>0</v>
      </c>
      <c r="E133" s="13">
        <f t="shared" si="27"/>
        <v>0</v>
      </c>
      <c r="F133" s="14">
        <f>$Q$76</f>
        <v>0</v>
      </c>
      <c r="G133" s="13"/>
      <c r="H133" s="9"/>
      <c r="I133" s="9"/>
      <c r="J133" s="9"/>
      <c r="K133" s="9"/>
      <c r="L133" s="9"/>
      <c r="M133" s="9">
        <f ca="1">$G$76/$G$31</f>
        <v>0</v>
      </c>
      <c r="N133" s="9"/>
      <c r="O133" s="9"/>
      <c r="P133" s="9"/>
      <c r="Q133" s="9"/>
      <c r="R133" s="9"/>
      <c r="S133" s="9"/>
      <c r="T133" s="9">
        <v>0</v>
      </c>
      <c r="U133" s="9"/>
      <c r="V133" s="9"/>
      <c r="W133" s="9"/>
      <c r="X133" s="9"/>
      <c r="Y133" s="9"/>
      <c r="Z133" s="9"/>
      <c r="AA133" s="9">
        <f t="shared" si="26"/>
        <v>0</v>
      </c>
    </row>
    <row r="135" spans="1:28" ht="15.75" thickBot="1">
      <c r="A135" s="11" t="str">
        <f>'Input 4 - Forecast'!A58</f>
        <v>Long-term debt 3/</v>
      </c>
    </row>
    <row r="136" spans="1:28" ht="15.75" thickBot="1">
      <c r="A136" s="12" t="str">
        <f>'Input 4 - Forecast'!A59</f>
        <v>Denominated in local currency</v>
      </c>
      <c r="B136" s="1999" t="s">
        <v>51</v>
      </c>
      <c r="C136" s="2000"/>
      <c r="D136" s="2000"/>
      <c r="E136" s="2000"/>
      <c r="F136" s="2000"/>
      <c r="G136" s="2000"/>
      <c r="H136" s="2000"/>
      <c r="I136" s="2000"/>
      <c r="J136" s="2000"/>
      <c r="K136" s="2000"/>
      <c r="L136" s="2000"/>
      <c r="M136" s="2000"/>
      <c r="N136" s="2000"/>
      <c r="O136" s="2000"/>
      <c r="P136" s="2000"/>
      <c r="Q136" s="2000"/>
      <c r="R136" s="2000"/>
      <c r="S136" s="2000"/>
      <c r="T136" s="2000"/>
      <c r="U136" s="2000"/>
      <c r="V136" s="2000"/>
      <c r="W136" s="2000"/>
      <c r="X136" s="2000"/>
      <c r="Y136" s="2000"/>
      <c r="Z136" s="2000"/>
      <c r="AA136" s="2001"/>
    </row>
    <row r="138" spans="1:28">
      <c r="A138" s="8" t="str">
        <f>'Input 4 - Forecast'!A60</f>
        <v>Type 1</v>
      </c>
      <c r="B138" s="7">
        <f>B119</f>
        <v>2018</v>
      </c>
      <c r="C138" s="7" t="str">
        <f>$I79</f>
        <v>Annual</v>
      </c>
      <c r="D138" s="7">
        <f>$J79</f>
        <v>5</v>
      </c>
      <c r="E138" s="7">
        <f>$K79</f>
        <v>5</v>
      </c>
      <c r="F138" s="14">
        <f>$L$79</f>
        <v>5.0000000000000001E-3</v>
      </c>
      <c r="H138" s="1633">
        <f>$B$79</f>
        <v>329.998670927072</v>
      </c>
      <c r="I138" s="1633">
        <f>H138-P138</f>
        <v>329.998670927072</v>
      </c>
      <c r="J138" s="1633">
        <f>I138-Q138</f>
        <v>329.998670927072</v>
      </c>
      <c r="K138" s="1633">
        <f>J138-R138</f>
        <v>329.998670927072</v>
      </c>
      <c r="L138" s="1633">
        <f>K138-S138</f>
        <v>329.998670927072</v>
      </c>
      <c r="M138" s="1633">
        <f>L138-T138</f>
        <v>0</v>
      </c>
      <c r="N138" s="1633"/>
      <c r="O138" s="1633">
        <f t="shared" ref="O138:T138" si="28">IF(OR($C138="Annual",$D138=$E138),IF(AND($D138=$E138,O$111=$B138+$D138),$H138,IF(AND(O$111&gt;$B138+$D138,O$111&lt;=$B138+$E138), $H138/($E138-$D138),0)), IF(OR(O$111=$B138+$D138,O$111=$B138+$E138),$H138/(($E138-$D138)*2),IF(AND(O$111&gt;$B138+$D138,O$111&lt;$B138+$E138),$H138/($E138-$D138),0)))</f>
        <v>0</v>
      </c>
      <c r="P138" s="1633">
        <f t="shared" si="28"/>
        <v>0</v>
      </c>
      <c r="Q138" s="1633">
        <f t="shared" si="28"/>
        <v>0</v>
      </c>
      <c r="R138" s="1633">
        <f t="shared" si="28"/>
        <v>0</v>
      </c>
      <c r="S138" s="1633">
        <f t="shared" si="28"/>
        <v>0</v>
      </c>
      <c r="T138" s="1633">
        <f t="shared" si="28"/>
        <v>329.998670927072</v>
      </c>
      <c r="U138" s="1633"/>
      <c r="V138" s="9">
        <f>IF($C138="annual",IF(V$111=$B138,0,G138*$F138),IF(V$111-$B138=0,0,IF((V$111-$B138)&lt;$E138,AVERAGE(G138,H138)*$F138,IF((V$111-$B138)=$E138,G138*$F138/2,0))))</f>
        <v>0</v>
      </c>
      <c r="W138" s="9">
        <f t="shared" ref="W138:AA143" si="29">IF($C138="annual",IF(W$111=$B138,0,H138*$F138),IF(W$111-$B138=0,0,IF((W$111-$B138)&lt;$E138,AVERAGE(H138,I138)*$F138,IF((W$111-$B138)=$E138,H138*$F138/2,0))))</f>
        <v>1.64999335463536</v>
      </c>
      <c r="X138" s="9">
        <f t="shared" si="29"/>
        <v>1.64999335463536</v>
      </c>
      <c r="Y138" s="9">
        <f t="shared" si="29"/>
        <v>1.64999335463536</v>
      </c>
      <c r="Z138" s="9">
        <f t="shared" si="29"/>
        <v>1.64999335463536</v>
      </c>
      <c r="AA138" s="9">
        <f t="shared" si="29"/>
        <v>1.64999335463536</v>
      </c>
      <c r="AB138" s="1634"/>
    </row>
    <row r="139" spans="1:28">
      <c r="A139" s="8" t="str">
        <f>A138</f>
        <v>Type 1</v>
      </c>
      <c r="B139" s="7">
        <f>B138+1</f>
        <v>2019</v>
      </c>
      <c r="C139" s="7" t="str">
        <f>C138</f>
        <v>Annual</v>
      </c>
      <c r="D139" s="7">
        <f>D138</f>
        <v>5</v>
      </c>
      <c r="E139" s="7">
        <f>E138</f>
        <v>5</v>
      </c>
      <c r="F139" s="14">
        <f>$M$79</f>
        <v>9.2936438739549092E-3</v>
      </c>
      <c r="H139" s="1633"/>
      <c r="I139" s="1633">
        <f ca="1">$C$79</f>
        <v>43.129261255276397</v>
      </c>
      <c r="J139" s="1633">
        <f ca="1">I139-Q139</f>
        <v>21.564630627638198</v>
      </c>
      <c r="K139" s="1633">
        <f ca="1">J139-R139</f>
        <v>0</v>
      </c>
      <c r="L139" s="1633">
        <f ca="1">K139-S139</f>
        <v>0</v>
      </c>
      <c r="M139" s="1633">
        <f ca="1">L139-T139</f>
        <v>0</v>
      </c>
      <c r="N139" s="1633"/>
      <c r="O139" s="1633"/>
      <c r="P139" s="1633">
        <f>IF(OR($C139="Annual",$D139=$E139),IF(AND($D139=$E139,P$111=$B139+$D139),$I139,IF(AND(P$111&gt;$B139+$D139,P$111&lt;=$B139+$E139), $I139/($E139-$D139),0)), IF(OR(P$111=$B139+$D139,P$111=$B139+$E139),$I139/(($E139-$D139)*2),IF(AND(P$111&gt;$B139+$D139,P$111&lt;$B139+$E139),$I139/($E139-$D139),0)))</f>
        <v>0</v>
      </c>
      <c r="Q139" s="1633">
        <f>IF(OR($C139="Annual",$D139=$E139),IF(AND($D139=$E139,Q$111=$B139+$D139),$I139,IF(AND(Q$111&gt;$B139+$D139,Q$111&lt;=$B139+$E139), $I139/($E139-$D139),0)), IF(OR(Q$111=$B139+$D139,Q$111=$B139+$E139),$I139/(($E139-$D139)*2),IF(AND(Q$111&gt;$B139+$D139,Q$111&lt;$B139+$E139),$I139/($E139-$D139),0)))</f>
        <v>0</v>
      </c>
      <c r="R139" s="1633">
        <f>IF(OR($C139="Annual",$D139=$E139),IF(AND($D139=$E139,R$111=$B139+$D139),$I139,IF(AND(R$111&gt;$B139+$D139,R$111&lt;=$B139+$E139), $I139/($E139-$D139),0)), IF(OR(R$111=$B139+$D139,R$111=$B139+$E139),$I139/(($E139-$D139)*2),IF(AND(R$111&gt;$B139+$D139,R$111&lt;$B139+$E139),$I139/($E139-$D139),0)))</f>
        <v>0</v>
      </c>
      <c r="S139" s="1633">
        <f>IF(OR($C139="Annual",$D139=$E139),IF(AND($D139=$E139,S$111=$B139+$D139),$I139,IF(AND(S$111&gt;$B139+$D139,S$111&lt;=$B139+$E139), $I139/($E139-$D139),0)), IF(OR(S$111=$B139+$D139,S$111=$B139+$E139),$I139/(($E139-$D139)*2),IF(AND(S$111&gt;$B139+$D139,S$111&lt;$B139+$E139),$I139/($E139-$D139),0)))</f>
        <v>0</v>
      </c>
      <c r="T139" s="1633">
        <f>IF(OR($C139="Annual",$D139=$E139),IF(AND($D139=$E139,T$111=$B139+$D139),$I139,IF(AND(T$111&gt;$B139+$D139,T$111&lt;=$B139+$E139), $I139/($E139-$D139),0)), IF(OR(T$111=$B139+$D139,T$111=$B139+$E139),$I139/(($E139-$D139)*2),IF(AND(T$111&gt;$B139+$D139,T$111&lt;$B139+$E139),$I139/($E139-$D139),0)))</f>
        <v>0</v>
      </c>
      <c r="U139" s="1633"/>
      <c r="V139" s="1633"/>
      <c r="W139" s="9">
        <f t="shared" si="29"/>
        <v>0</v>
      </c>
      <c r="X139" s="9">
        <f t="shared" ca="1" si="29"/>
        <v>1.3609669848476358</v>
      </c>
      <c r="Y139" s="9">
        <f t="shared" ca="1" si="29"/>
        <v>0.68048349242381789</v>
      </c>
      <c r="Z139" s="9">
        <f t="shared" ca="1" si="29"/>
        <v>0</v>
      </c>
      <c r="AA139" s="9">
        <f t="shared" ca="1" si="29"/>
        <v>0</v>
      </c>
    </row>
    <row r="140" spans="1:28">
      <c r="A140" s="8" t="str">
        <f>A139</f>
        <v>Type 1</v>
      </c>
      <c r="B140" s="7">
        <f>B139+1</f>
        <v>2020</v>
      </c>
      <c r="C140" s="7" t="str">
        <f>C139</f>
        <v>Annual</v>
      </c>
      <c r="D140" s="7">
        <f t="shared" ref="D140:E143" si="30">D139</f>
        <v>5</v>
      </c>
      <c r="E140" s="7">
        <f t="shared" si="30"/>
        <v>5</v>
      </c>
      <c r="F140" s="14">
        <f>$N$79</f>
        <v>1.429364387395491E-2</v>
      </c>
      <c r="H140" s="1633"/>
      <c r="I140" s="1633"/>
      <c r="J140" s="1633">
        <f ca="1">$D$79</f>
        <v>51.189374632420815</v>
      </c>
      <c r="K140" s="1633">
        <f ca="1">J140-R140</f>
        <v>25.594687316210408</v>
      </c>
      <c r="L140" s="1633">
        <f ca="1">K140-S140</f>
        <v>0</v>
      </c>
      <c r="M140" s="1633">
        <f ca="1">L140-T140</f>
        <v>0</v>
      </c>
      <c r="N140" s="1633"/>
      <c r="O140" s="1633"/>
      <c r="P140" s="1633"/>
      <c r="Q140" s="1633">
        <f>IF(OR($C140="Annual",$D140=$E140),IF(AND($D140=$E140,Q$111=$B140+$D140),$J140,IF(AND(Q$111&gt;$B140+$D140,Q$111&lt;=$B140+$E140), $J140/($E140-$D140),0)), IF(OR(Q$111=$B140+$D140,Q$111=$B140+$E140),$J140/(($E140-$D140)*2),IF(AND(Q$111&gt;$B140+$D140,Q$111&lt;$B140+$E140),$J140/($E140-$D140),0)))</f>
        <v>0</v>
      </c>
      <c r="R140" s="1633">
        <f>IF(OR($C140="Annual",$D140=$E140),IF(AND($D140=$E140,R$111=$B140+$D140),$J140,IF(AND(R$111&gt;$B140+$D140,R$111&lt;=$B140+$E140), $J140/($E140-$D140),0)), IF(OR(R$111=$B140+$D140,R$111=$B140+$E140),$J140/(($E140-$D140)*2),IF(AND(R$111&gt;$B140+$D140,R$111&lt;$B140+$E140),$J140/($E140-$D140),0)))</f>
        <v>0</v>
      </c>
      <c r="S140" s="1633">
        <f>IF(OR($C140="Annual",$D140=$E140),IF(AND($D140=$E140,S$111=$B140+$D140),$J140,IF(AND(S$111&gt;$B140+$D140,S$111&lt;=$B140+$E140), $J140/($E140-$D140),0)), IF(OR(S$111=$B140+$D140,S$111=$B140+$E140),$J140/(($E140-$D140)*2),IF(AND(S$111&gt;$B140+$D140,S$111&lt;$B140+$E140),$J140/($E140-$D140),0)))</f>
        <v>0</v>
      </c>
      <c r="T140" s="1633">
        <f>IF(OR($C140="Annual",$D140=$E140),IF(AND($D140=$E140,T$111=$B140+$D140),$J140,IF(AND(T$111&gt;$B140+$D140,T$111&lt;=$B140+$E140), $J140/($E140-$D140),0)), IF(OR(T$111=$B140+$D140,T$111=$B140+$E140),$J140/(($E140-$D140)*2),IF(AND(T$111&gt;$B140+$D140,T$111&lt;$B140+$E140),$J140/($E140-$D140),0)))</f>
        <v>0</v>
      </c>
      <c r="U140" s="1633"/>
      <c r="V140" s="1633"/>
      <c r="W140" s="1633"/>
      <c r="X140" s="9">
        <f t="shared" si="29"/>
        <v>0</v>
      </c>
      <c r="Y140" s="9">
        <f t="shared" ca="1" si="29"/>
        <v>1.7679165111619171</v>
      </c>
      <c r="Z140" s="9">
        <f t="shared" ca="1" si="29"/>
        <v>0.88395825558095853</v>
      </c>
      <c r="AA140" s="9">
        <f t="shared" ca="1" si="29"/>
        <v>0</v>
      </c>
    </row>
    <row r="141" spans="1:28">
      <c r="A141" s="8" t="str">
        <f>A140</f>
        <v>Type 1</v>
      </c>
      <c r="B141" s="7">
        <f>B140+1</f>
        <v>2021</v>
      </c>
      <c r="C141" s="7" t="str">
        <f>C140</f>
        <v>Annual</v>
      </c>
      <c r="D141" s="7">
        <f t="shared" si="30"/>
        <v>5</v>
      </c>
      <c r="E141" s="7">
        <f t="shared" si="30"/>
        <v>5</v>
      </c>
      <c r="F141" s="14">
        <f>$O$79</f>
        <v>0.01</v>
      </c>
      <c r="H141" s="1633"/>
      <c r="I141" s="1633"/>
      <c r="J141" s="1633"/>
      <c r="K141" s="1633">
        <f ca="1">$E$79</f>
        <v>42.020613238848568</v>
      </c>
      <c r="L141" s="1633">
        <f ca="1">K141-S141</f>
        <v>21.010306619424284</v>
      </c>
      <c r="M141" s="1633">
        <f ca="1">L141-T141</f>
        <v>0</v>
      </c>
      <c r="N141" s="1633"/>
      <c r="O141" s="1633"/>
      <c r="P141" s="1633"/>
      <c r="Q141" s="1633"/>
      <c r="R141" s="1633">
        <f>IF(OR($C141="Annual",$D141=$E141),IF(AND($D141=$E141,R$111=$B141+$D141),$K141,IF(AND(R$111&gt;$B141+$D141,R$111&lt;=$B141+$E141), $K141/($E141-$D141),0)), IF(OR(R$111=$B141+$D141,R$111=$B141+$E141),$K141/(($E141-$D141)*2),IF(AND(R$111&gt;$B141+$D141,R$111&lt;$B141+$E141),$K141/($E141-$D141),0)))</f>
        <v>0</v>
      </c>
      <c r="S141" s="1633">
        <f>IF(OR($C141="Annual",$D141=$E141),IF(AND($D141=$E141,S$111=$B141+$D141),$K141,IF(AND(S$111&gt;$B141+$D141,S$111&lt;=$B141+$E141), $K141/($E141-$D141),0)), IF(OR(S$111=$B141+$D141,S$111=$B141+$E141),$K141/(($E141-$D141)*2),IF(AND(S$111&gt;$B141+$D141,S$111&lt;$B141+$E141),$K141/($E141-$D141),0)))</f>
        <v>0</v>
      </c>
      <c r="T141" s="1633">
        <f>IF(OR($C141="Annual",$D141=$E141),IF(AND($D141=$E141,T$111=$B141+$D141),$K141,IF(AND(T$111&gt;$B141+$D141,T$111&lt;=$B141+$E141), $K141/($E141-$D141),0)), IF(OR(T$111=$B141+$D141,T$111=$B141+$E141),$K141/(($E141-$D141)*2),IF(AND(T$111&gt;$B141+$D141,T$111&lt;$B141+$E141),$K141/($E141-$D141),0)))</f>
        <v>0</v>
      </c>
      <c r="U141" s="1633"/>
      <c r="V141" s="1633"/>
      <c r="W141" s="1633"/>
      <c r="X141" s="1633"/>
      <c r="Y141" s="9">
        <f t="shared" si="29"/>
        <v>0</v>
      </c>
      <c r="Z141" s="9">
        <f t="shared" ca="1" si="29"/>
        <v>1.3824781755581157</v>
      </c>
      <c r="AA141" s="9">
        <f t="shared" ca="1" si="29"/>
        <v>0.69123908777905785</v>
      </c>
    </row>
    <row r="142" spans="1:28">
      <c r="A142" s="8" t="str">
        <f>A141</f>
        <v>Type 1</v>
      </c>
      <c r="B142" s="7">
        <f>B141+1</f>
        <v>2022</v>
      </c>
      <c r="C142" s="7" t="str">
        <f>C141</f>
        <v>Annual</v>
      </c>
      <c r="D142" s="7">
        <f t="shared" si="30"/>
        <v>5</v>
      </c>
      <c r="E142" s="7">
        <f t="shared" si="30"/>
        <v>5</v>
      </c>
      <c r="F142" s="14">
        <f>$P$79</f>
        <v>0.01</v>
      </c>
      <c r="H142" s="1633"/>
      <c r="I142" s="1633"/>
      <c r="J142" s="1633"/>
      <c r="K142" s="1633"/>
      <c r="L142" s="1633">
        <f ca="1">$F$79</f>
        <v>47.531095517226596</v>
      </c>
      <c r="M142" s="1633">
        <f ca="1">L142-T142</f>
        <v>23.765547758613298</v>
      </c>
      <c r="N142" s="1633"/>
      <c r="O142" s="1633"/>
      <c r="P142" s="1633"/>
      <c r="Q142" s="1633"/>
      <c r="R142" s="1633"/>
      <c r="S142" s="1633">
        <f>IF(OR($C142="Annual",$D142=$E142),IF(AND($D142=$E142,S$111=$B142+$D142),$L142,IF(AND(S$111&gt;$B142+$D142,S$111&lt;=$B142+$E142), $L142/($E142-$D142),0)), IF(OR(S$111=$B142+$D142,S$111=$B142+$E142),$L142/(($E142-$D142)*2),IF(AND(S$111&gt;$B142+$D142,S$111&lt;$B142+$E142),$L142/($E142-$D142),0)))</f>
        <v>0</v>
      </c>
      <c r="T142" s="1633">
        <f>IF(OR($C142="Annual",$D142=$E142),IF(AND($D142=$E142,T$111=$B142+$D142),$L142,IF(AND(T$111&gt;$B142+$D142,T$111&lt;=$B142+$E142), $L142/($E142-$D142),0)), IF(OR(T$111=$B142+$D142,T$111=$B142+$E142),$L142/(($E142-$D142)*2),IF(AND(T$111&gt;$B142+$D142,T$111&lt;$B142+$E142),$L142/($E142-$D142),0)))</f>
        <v>0</v>
      </c>
      <c r="U142" s="1633"/>
      <c r="V142" s="1633"/>
      <c r="W142" s="1633"/>
      <c r="X142" s="1633"/>
      <c r="Y142" s="1633"/>
      <c r="Z142" s="9">
        <f t="shared" si="29"/>
        <v>0</v>
      </c>
      <c r="AA142" s="9">
        <f t="shared" ca="1" si="29"/>
        <v>1.6638854124499134</v>
      </c>
    </row>
    <row r="143" spans="1:28">
      <c r="A143" s="8" t="str">
        <f>A142</f>
        <v>Type 1</v>
      </c>
      <c r="B143" s="7">
        <f>B142+1</f>
        <v>2023</v>
      </c>
      <c r="C143" s="7" t="str">
        <f>C142</f>
        <v>Annual</v>
      </c>
      <c r="D143" s="7">
        <f t="shared" si="30"/>
        <v>5</v>
      </c>
      <c r="E143" s="7">
        <f t="shared" si="30"/>
        <v>5</v>
      </c>
      <c r="F143" s="14">
        <f>$Q$79</f>
        <v>0.01</v>
      </c>
      <c r="H143" s="1633"/>
      <c r="I143" s="1633"/>
      <c r="J143" s="1633"/>
      <c r="K143" s="1633"/>
      <c r="L143" s="1633"/>
      <c r="M143" s="1633">
        <f ca="1">$G$79</f>
        <v>36.190139555813317</v>
      </c>
      <c r="N143" s="1633"/>
      <c r="O143" s="1633"/>
      <c r="P143" s="1633"/>
      <c r="Q143" s="1633"/>
      <c r="R143" s="1633"/>
      <c r="S143" s="1633"/>
      <c r="T143" s="1633">
        <f>IF(OR($C143="Annual",$D143=$E143),IF(AND($D143=$E143,T$111=$B143+$D143),$M143,IF(AND(T$111&gt;$B143+$D143,T$111&lt;=$B143+$E143), $M143/($E143-$D143),0)), IF(OR(T$111=$B143+$D143,T$111=$B143+$E143),$M143/(($E143-$D143)*2),IF(AND(T$111&gt;$B143+$D143,T$111&lt;$B143+$E143),$M143/($E143-$D143),0)))</f>
        <v>0</v>
      </c>
      <c r="U143" s="1633"/>
      <c r="V143" s="1633"/>
      <c r="W143" s="1633"/>
      <c r="X143" s="1633"/>
      <c r="Y143" s="1633"/>
      <c r="Z143" s="1633"/>
      <c r="AA143" s="9">
        <f t="shared" si="29"/>
        <v>0</v>
      </c>
    </row>
    <row r="144" spans="1:28">
      <c r="C144" s="281"/>
      <c r="F144" s="15"/>
      <c r="H144" s="1634"/>
      <c r="I144" s="1634"/>
      <c r="J144" s="1634"/>
      <c r="K144" s="1634"/>
      <c r="L144" s="1634"/>
      <c r="M144" s="1634"/>
      <c r="N144" s="1634"/>
      <c r="O144" s="1634"/>
      <c r="P144" s="1634"/>
      <c r="Q144" s="1634"/>
      <c r="R144" s="1634"/>
      <c r="S144" s="1634"/>
      <c r="T144" s="1634"/>
      <c r="U144" s="1634"/>
      <c r="V144" s="1634"/>
      <c r="W144" s="1634"/>
      <c r="X144" s="1634"/>
      <c r="Y144" s="1634"/>
      <c r="Z144" s="1634"/>
      <c r="AA144" s="1634"/>
    </row>
    <row r="145" spans="1:27">
      <c r="A145" s="8" t="str">
        <f>'Input 4 - Forecast'!A61</f>
        <v>Type 2</v>
      </c>
      <c r="B145" s="7">
        <f>B119</f>
        <v>2018</v>
      </c>
      <c r="C145" s="7" t="str">
        <f>$I80</f>
        <v>Annual</v>
      </c>
      <c r="D145" s="7">
        <f>$J80</f>
        <v>0</v>
      </c>
      <c r="E145" s="7">
        <f>$K80</f>
        <v>0</v>
      </c>
      <c r="F145" s="14">
        <f>$L$80</f>
        <v>0</v>
      </c>
      <c r="H145" s="1633">
        <f>$B$80</f>
        <v>0</v>
      </c>
      <c r="I145" s="1633">
        <f>H145-P145</f>
        <v>0</v>
      </c>
      <c r="J145" s="1633">
        <f>I145-Q145</f>
        <v>0</v>
      </c>
      <c r="K145" s="1633">
        <f>J145-R145</f>
        <v>0</v>
      </c>
      <c r="L145" s="1633">
        <f>K145-S145</f>
        <v>0</v>
      </c>
      <c r="M145" s="1633">
        <f>L145-T145</f>
        <v>0</v>
      </c>
      <c r="N145" s="1633"/>
      <c r="O145" s="1633">
        <f t="shared" ref="O145:T145" si="31">IF(OR($C145="Annual",$D145=$E145),IF(AND($D145=$E145,O$111=$B145+$D145),$H145,IF(AND(O$111&gt;$B145+$D145,O$111&lt;=$B145+$E145), $H145/($E145-$D145),0)), IF(OR(O$111=$B145+$D145,O$111=$B145+$E145),$H145/(($E145-$D145)*2),IF(AND(O$111&gt;$B145+$D145,O$111&lt;$B145+$E145),$H145/($E145-$D145),0)))</f>
        <v>0</v>
      </c>
      <c r="P145" s="1633">
        <f t="shared" si="31"/>
        <v>0</v>
      </c>
      <c r="Q145" s="1633">
        <f t="shared" si="31"/>
        <v>0</v>
      </c>
      <c r="R145" s="1633">
        <f t="shared" si="31"/>
        <v>0</v>
      </c>
      <c r="S145" s="1633">
        <f t="shared" si="31"/>
        <v>0</v>
      </c>
      <c r="T145" s="1633">
        <f t="shared" si="31"/>
        <v>0</v>
      </c>
      <c r="U145" s="1633"/>
      <c r="V145" s="9">
        <f>IF($C145="annual",IF(V$111=$B145,0,G145*$F145),IF(V$111-$B145=0,0,IF((V$111-$B145)&lt;$E145,AVERAGE(G145,H145)*$F145,IF((V$111-$B145)=$E145,G145*$F145/2,0))))</f>
        <v>0</v>
      </c>
      <c r="W145" s="9">
        <f t="shared" ref="W145:AA150" si="32">IF($C145="annual",IF(W$111=$B145,0,H145*$F145),IF(W$111-$B145=0,0,IF((W$111-$B145)&lt;$E145,AVERAGE(H145,I145)*$F145,IF((W$111-$B145)=$E145,H145*$F145/2,0))))</f>
        <v>0</v>
      </c>
      <c r="X145" s="9">
        <f t="shared" si="32"/>
        <v>0</v>
      </c>
      <c r="Y145" s="9">
        <f t="shared" si="32"/>
        <v>0</v>
      </c>
      <c r="Z145" s="9">
        <f t="shared" si="32"/>
        <v>0</v>
      </c>
      <c r="AA145" s="9">
        <f t="shared" si="32"/>
        <v>0</v>
      </c>
    </row>
    <row r="146" spans="1:27">
      <c r="A146" s="8" t="str">
        <f>A145</f>
        <v>Type 2</v>
      </c>
      <c r="B146" s="7">
        <f>B145+1</f>
        <v>2019</v>
      </c>
      <c r="C146" s="7" t="str">
        <f>C145</f>
        <v>Annual</v>
      </c>
      <c r="D146" s="7">
        <f t="shared" ref="D146:E150" si="33">D145</f>
        <v>0</v>
      </c>
      <c r="E146" s="7">
        <f t="shared" si="33"/>
        <v>0</v>
      </c>
      <c r="F146" s="14">
        <f>$M$80</f>
        <v>4.2936438739549099E-3</v>
      </c>
      <c r="H146" s="1633"/>
      <c r="I146" s="1633">
        <f ca="1">$C$80</f>
        <v>55.451907328212513</v>
      </c>
      <c r="J146" s="1633">
        <f ca="1">I146-Q146</f>
        <v>36.967938218808342</v>
      </c>
      <c r="K146" s="1633">
        <f ca="1">J146-R146</f>
        <v>18.483969109404171</v>
      </c>
      <c r="L146" s="1633">
        <f ca="1">K146-S146</f>
        <v>0</v>
      </c>
      <c r="M146" s="1633">
        <f ca="1">L146-T146</f>
        <v>0</v>
      </c>
      <c r="N146" s="1633"/>
      <c r="O146" s="1633"/>
      <c r="P146" s="1633">
        <f ca="1">IF(OR($C146="Annual",$D146=$E146),IF(AND($D146=$E146,P$111=$B146+$D146),$I146,IF(AND(P$111&gt;$B146+$D146,P$111&lt;=$B146+$E146), $I146/($E146-$D146),0)), IF(OR(P$111=$B146+$D146,P$111=$B146+$E146),$I146/(($E146-$D146)*2),IF(AND(P$111&gt;$B146+$D146,P$111&lt;$B146+$E146),$I146/($E146-$D146),0)))</f>
        <v>0</v>
      </c>
      <c r="Q146" s="1633">
        <f>IF(OR($C146="Annual",$D146=$E146),IF(AND($D146=$E146,Q$111=$B146+$D146),$I146,IF(AND(Q$111&gt;$B146+$D146,Q$111&lt;=$B146+$E146), $I146/($E146-$D146),0)), IF(OR(Q$111=$B146+$D146,Q$111=$B146+$E146),$I146/(($E146-$D146)*2),IF(AND(Q$111&gt;$B146+$D146,Q$111&lt;$B146+$E146),$I146/($E146-$D146),0)))</f>
        <v>0</v>
      </c>
      <c r="R146" s="1633">
        <f>IF(OR($C146="Annual",$D146=$E146),IF(AND($D146=$E146,R$111=$B146+$D146),$I146,IF(AND(R$111&gt;$B146+$D146,R$111&lt;=$B146+$E146), $I146/($E146-$D146),0)), IF(OR(R$111=$B146+$D146,R$111=$B146+$E146),$I146/(($E146-$D146)*2),IF(AND(R$111&gt;$B146+$D146,R$111&lt;$B146+$E146),$I146/($E146-$D146),0)))</f>
        <v>0</v>
      </c>
      <c r="S146" s="1633">
        <f>IF(OR($C146="Annual",$D146=$E146),IF(AND($D146=$E146,S$111=$B146+$D146),$I146,IF(AND(S$111&gt;$B146+$D146,S$111&lt;=$B146+$E146), $I146/($E146-$D146),0)), IF(OR(S$111=$B146+$D146,S$111=$B146+$E146),$I146/(($E146-$D146)*2),IF(AND(S$111&gt;$B146+$D146,S$111&lt;$B146+$E146),$I146/($E146-$D146),0)))</f>
        <v>0</v>
      </c>
      <c r="T146" s="1633">
        <f>IF(OR($C146="Annual",$D146=$E146),IF(AND($D146=$E146,T$111=$B146+$D146),$I146,IF(AND(T$111&gt;$B146+$D146,T$111&lt;=$B146+$E146), $I146/($E146-$D146),0)), IF(OR(T$111=$B146+$D146,T$111=$B146+$E146),$I146/(($E146-$D146)*2),IF(AND(T$111&gt;$B146+$D146,T$111&lt;$B146+$E146),$I146/($E146-$D146),0)))</f>
        <v>0</v>
      </c>
      <c r="U146" s="1633"/>
      <c r="V146" s="1633"/>
      <c r="W146" s="9">
        <f t="shared" si="32"/>
        <v>0</v>
      </c>
      <c r="X146" s="9">
        <f t="shared" ca="1" si="32"/>
        <v>1.7498146948041033</v>
      </c>
      <c r="Y146" s="9">
        <f t="shared" ca="1" si="32"/>
        <v>1.1665431298694022</v>
      </c>
      <c r="Z146" s="9">
        <f t="shared" ca="1" si="32"/>
        <v>0.58327156493470111</v>
      </c>
      <c r="AA146" s="9">
        <f t="shared" ca="1" si="32"/>
        <v>0</v>
      </c>
    </row>
    <row r="147" spans="1:27">
      <c r="A147" s="8" t="str">
        <f>A146</f>
        <v>Type 2</v>
      </c>
      <c r="B147" s="7">
        <f>B146+1</f>
        <v>2020</v>
      </c>
      <c r="C147" s="7" t="str">
        <f>C146</f>
        <v>Annual</v>
      </c>
      <c r="D147" s="7">
        <f t="shared" si="33"/>
        <v>0</v>
      </c>
      <c r="E147" s="7">
        <f t="shared" si="33"/>
        <v>0</v>
      </c>
      <c r="F147" s="14">
        <f>$N$80</f>
        <v>4.2936438739549099E-3</v>
      </c>
      <c r="H147" s="1633"/>
      <c r="I147" s="1633"/>
      <c r="J147" s="1633">
        <f ca="1">$D$80</f>
        <v>61.427249558904983</v>
      </c>
      <c r="K147" s="1633">
        <f ca="1">J147-R147</f>
        <v>40.951499705936655</v>
      </c>
      <c r="L147" s="1633">
        <f ca="1">K147-S147</f>
        <v>20.475749852968328</v>
      </c>
      <c r="M147" s="1633">
        <f ca="1">L147-T147</f>
        <v>0</v>
      </c>
      <c r="N147" s="1633"/>
      <c r="O147" s="1633"/>
      <c r="P147" s="1633"/>
      <c r="Q147" s="1633">
        <f ca="1">IF(OR($C147="Annual",$D147=$E147),IF(AND($D147=$E147,Q$111=$B147+$D147),$J147,IF(AND(Q$111&gt;$B147+$D147,Q$111&lt;=$B147+$E147), $J147/($E147-$D147),0)), IF(OR(Q$111=$B147+$D147,Q$111=$B147+$E147),$J147/(($E147-$D147)*2),IF(AND(Q$111&gt;$B147+$D147,Q$111&lt;$B147+$E147),$J147/($E147-$D147),0)))</f>
        <v>0</v>
      </c>
      <c r="R147" s="1633">
        <f>IF(OR($C147="Annual",$D147=$E147),IF(AND($D147=$E147,R$111=$B147+$D147),$J147,IF(AND(R$111&gt;$B147+$D147,R$111&lt;=$B147+$E147), $J147/($E147-$D147),0)), IF(OR(R$111=$B147+$D147,R$111=$B147+$E147),$J147/(($E147-$D147)*2),IF(AND(R$111&gt;$B147+$D147,R$111&lt;$B147+$E147),$J147/($E147-$D147),0)))</f>
        <v>0</v>
      </c>
      <c r="S147" s="1633">
        <f>IF(OR($C147="Annual",$D147=$E147),IF(AND($D147=$E147,S$111=$B147+$D147),$J147,IF(AND(S$111&gt;$B147+$D147,S$111&lt;=$B147+$E147), $J147/($E147-$D147),0)), IF(OR(S$111=$B147+$D147,S$111=$B147+$E147),$J147/(($E147-$D147)*2),IF(AND(S$111&gt;$B147+$D147,S$111&lt;$B147+$E147),$J147/($E147-$D147),0)))</f>
        <v>0</v>
      </c>
      <c r="T147" s="1633">
        <f>IF(OR($C147="Annual",$D147=$E147),IF(AND($D147=$E147,T$111=$B147+$D147),$J147,IF(AND(T$111&gt;$B147+$D147,T$111&lt;=$B147+$E147), $J147/($E147-$D147),0)), IF(OR(T$111=$B147+$D147,T$111=$B147+$E147),$J147/(($E147-$D147)*2),IF(AND(T$111&gt;$B147+$D147,T$111&lt;$B147+$E147),$J147/($E147-$D147),0)))</f>
        <v>0</v>
      </c>
      <c r="U147" s="1633"/>
      <c r="V147" s="1633"/>
      <c r="W147" s="1633"/>
      <c r="X147" s="9">
        <f t="shared" si="32"/>
        <v>0</v>
      </c>
      <c r="Y147" s="9">
        <f t="shared" ca="1" si="32"/>
        <v>2.1214998133943004</v>
      </c>
      <c r="Z147" s="9">
        <f t="shared" ca="1" si="32"/>
        <v>1.4143332089295337</v>
      </c>
      <c r="AA147" s="9">
        <f t="shared" ca="1" si="32"/>
        <v>0.70716660446476687</v>
      </c>
    </row>
    <row r="148" spans="1:27">
      <c r="A148" s="8" t="str">
        <f>A147</f>
        <v>Type 2</v>
      </c>
      <c r="B148" s="7">
        <f>B147+1</f>
        <v>2021</v>
      </c>
      <c r="C148" s="7" t="str">
        <f>C147</f>
        <v>Annual</v>
      </c>
      <c r="D148" s="7">
        <f t="shared" si="33"/>
        <v>0</v>
      </c>
      <c r="E148" s="7">
        <f t="shared" si="33"/>
        <v>0</v>
      </c>
      <c r="F148" s="14">
        <f>$O$80</f>
        <v>0</v>
      </c>
      <c r="H148" s="1633"/>
      <c r="I148" s="1633"/>
      <c r="J148" s="1633"/>
      <c r="K148" s="1633">
        <f ca="1">$E$80</f>
        <v>48.023557987255501</v>
      </c>
      <c r="L148" s="1633">
        <f ca="1">K148-S148</f>
        <v>32.015705324837</v>
      </c>
      <c r="M148" s="1633">
        <f ca="1">L148-T148</f>
        <v>16.0078526624185</v>
      </c>
      <c r="N148" s="1633"/>
      <c r="O148" s="1633"/>
      <c r="P148" s="1633"/>
      <c r="Q148" s="1633"/>
      <c r="R148" s="1633">
        <f ca="1">IF(OR($C148="Annual",$D148=$E148),IF(AND($D148=$E148,R$111=$B148+$D148),$K148,IF(AND(R$111&gt;$B148+$D148,R$111&lt;=$B148+$E148), $K148/($E148-$D148),0)), IF(OR(R$111=$B148+$D148,R$111=$B148+$E148),$K148/(($E148-$D148)*2),IF(AND(R$111&gt;$B148+$D148,R$111&lt;$B148+$E148),$K148/($E148-$D148),0)))</f>
        <v>0</v>
      </c>
      <c r="S148" s="1633">
        <f>IF(OR($C148="Annual",$D148=$E148),IF(AND($D148=$E148,S$111=$B148+$D148),$K148,IF(AND(S$111&gt;$B148+$D148,S$111&lt;=$B148+$E148), $K148/($E148-$D148),0)), IF(OR(S$111=$B148+$D148,S$111=$B148+$E148),$K148/(($E148-$D148)*2),IF(AND(S$111&gt;$B148+$D148,S$111&lt;$B148+$E148),$K148/($E148-$D148),0)))</f>
        <v>0</v>
      </c>
      <c r="T148" s="1633">
        <f>IF(OR($C148="Annual",$D148=$E148),IF(AND($D148=$E148,T$111=$B148+$D148),$K148,IF(AND(T$111&gt;$B148+$D148,T$111&lt;=$B148+$E148), $K148/($E148-$D148),0)), IF(OR(T$111=$B148+$D148,T$111=$B148+$E148),$K148/(($E148-$D148)*2),IF(AND(T$111&gt;$B148+$D148,T$111&lt;$B148+$E148),$K148/($E148-$D148),0)))</f>
        <v>0</v>
      </c>
      <c r="U148" s="1633"/>
      <c r="V148" s="1633"/>
      <c r="W148" s="1633"/>
      <c r="X148" s="1633"/>
      <c r="Y148" s="9">
        <f t="shared" si="32"/>
        <v>0</v>
      </c>
      <c r="Z148" s="9">
        <f t="shared" ca="1" si="32"/>
        <v>1.5799750577807037</v>
      </c>
      <c r="AA148" s="9">
        <f t="shared" ca="1" si="32"/>
        <v>1.0533167051871357</v>
      </c>
    </row>
    <row r="149" spans="1:27">
      <c r="A149" s="8" t="str">
        <f>A148</f>
        <v>Type 2</v>
      </c>
      <c r="B149" s="7">
        <f>B148+1</f>
        <v>2022</v>
      </c>
      <c r="C149" s="7" t="str">
        <f>C148</f>
        <v>Annual</v>
      </c>
      <c r="D149" s="7">
        <f t="shared" si="33"/>
        <v>0</v>
      </c>
      <c r="E149" s="7">
        <f t="shared" si="33"/>
        <v>0</v>
      </c>
      <c r="F149" s="14">
        <f>$P$80</f>
        <v>0</v>
      </c>
      <c r="H149" s="1633"/>
      <c r="I149" s="1633"/>
      <c r="J149" s="1633"/>
      <c r="K149" s="1633"/>
      <c r="L149" s="1633">
        <f ca="1">$F$80</f>
        <v>53.472482456879916</v>
      </c>
      <c r="M149" s="1633">
        <f ca="1">L149-T149</f>
        <v>35.648321637919949</v>
      </c>
      <c r="N149" s="1633"/>
      <c r="O149" s="1633"/>
      <c r="P149" s="1633"/>
      <c r="Q149" s="1633"/>
      <c r="R149" s="1633"/>
      <c r="S149" s="1633">
        <f ca="1">IF(OR($C149="Annual",$D149=$E149),IF(AND($D149=$E149,S$111=$B149+$D149),$L149,IF(AND(S$111&gt;$B149+$D149,S$111&lt;=$B149+$E149), $L149/($E149-$D149),0)), IF(OR(S$111=$B149+$D149,S$111=$B149+$E149),$L149/(($E149-$D149)*2),IF(AND(S$111&gt;$B149+$D149,S$111&lt;$B149+$E149),$L149/($E149-$D149),0)))</f>
        <v>0</v>
      </c>
      <c r="T149" s="1633">
        <f>IF(OR($C149="Annual",$D149=$E149),IF(AND($D149=$E149,T$111=$B149+$D149),$L149,IF(AND(T$111&gt;$B149+$D149,T$111&lt;=$B149+$E149), $L149/($E149-$D149),0)), IF(OR(T$111=$B149+$D149,T$111=$B149+$E149),$L149/(($E149-$D149)*2),IF(AND(T$111&gt;$B149+$D149,T$111&lt;$B149+$E149),$L149/($E149-$D149),0)))</f>
        <v>0</v>
      </c>
      <c r="U149" s="1633"/>
      <c r="V149" s="1633"/>
      <c r="W149" s="1633"/>
      <c r="X149" s="1633"/>
      <c r="Y149" s="1633"/>
      <c r="Z149" s="9">
        <f t="shared" si="32"/>
        <v>0</v>
      </c>
      <c r="AA149" s="9">
        <f t="shared" ca="1" si="32"/>
        <v>1.8718710890061523</v>
      </c>
    </row>
    <row r="150" spans="1:27">
      <c r="A150" s="8" t="str">
        <f>A149</f>
        <v>Type 2</v>
      </c>
      <c r="B150" s="7">
        <f>B149+1</f>
        <v>2023</v>
      </c>
      <c r="C150" s="7" t="str">
        <f>C149</f>
        <v>Annual</v>
      </c>
      <c r="D150" s="7">
        <f t="shared" si="33"/>
        <v>0</v>
      </c>
      <c r="E150" s="7">
        <f t="shared" si="33"/>
        <v>0</v>
      </c>
      <c r="F150" s="14">
        <f>$Q$80</f>
        <v>0</v>
      </c>
      <c r="H150" s="1633"/>
      <c r="I150" s="1633"/>
      <c r="J150" s="1633"/>
      <c r="K150" s="1633"/>
      <c r="L150" s="1633"/>
      <c r="M150" s="1633">
        <f ca="1">$G$80</f>
        <v>45.468090468595634</v>
      </c>
      <c r="N150" s="1633"/>
      <c r="O150" s="1633"/>
      <c r="P150" s="1633"/>
      <c r="Q150" s="1633"/>
      <c r="R150" s="1633"/>
      <c r="S150" s="1633"/>
      <c r="T150" s="1633">
        <f ca="1">IF(OR($C150="Annual",$D150=$E150),IF(AND($D150=$E150,T$111=$B150+$D150),$M150,IF(AND(T$111&gt;$B150+$D150,T$111&lt;=$B150+$E150), $M150/($E150-$D150),0)), IF(OR(T$111=$B150+$D150,T$111=$B150+$E150),$M150/(($E150-$D150)*2),IF(AND(T$111&gt;$B150+$D150,T$111&lt;$B150+$E150),$M150/($E150-$D150),0)))</f>
        <v>0</v>
      </c>
      <c r="U150" s="1633"/>
      <c r="V150" s="1633"/>
      <c r="W150" s="1633"/>
      <c r="X150" s="1633"/>
      <c r="Y150" s="1633"/>
      <c r="Z150" s="1633"/>
      <c r="AA150" s="9">
        <f t="shared" si="32"/>
        <v>0</v>
      </c>
    </row>
    <row r="151" spans="1:27">
      <c r="C151" s="281"/>
      <c r="F151" s="15"/>
      <c r="H151" s="10"/>
      <c r="I151" s="10"/>
      <c r="J151" s="10"/>
      <c r="K151" s="10"/>
      <c r="L151" s="10"/>
      <c r="M151" s="10"/>
      <c r="N151" s="10"/>
      <c r="O151" s="90"/>
      <c r="P151" s="10"/>
      <c r="Q151" s="10"/>
      <c r="R151" s="10"/>
      <c r="S151" s="10"/>
      <c r="T151" s="10"/>
      <c r="U151" s="10"/>
      <c r="V151" s="10"/>
      <c r="W151" s="10"/>
      <c r="X151" s="10"/>
      <c r="Y151" s="10"/>
      <c r="Z151" s="10"/>
      <c r="AA151" s="10"/>
    </row>
    <row r="152" spans="1:27">
      <c r="A152" s="8" t="str">
        <f>'Input 4 - Forecast'!A62</f>
        <v>Type 3</v>
      </c>
      <c r="B152" s="7">
        <f>B119</f>
        <v>2018</v>
      </c>
      <c r="C152" s="7" t="str">
        <f>$I81</f>
        <v>Annual</v>
      </c>
      <c r="D152" s="7">
        <f>$J81</f>
        <v>0</v>
      </c>
      <c r="E152" s="7">
        <f>$K81</f>
        <v>0</v>
      </c>
      <c r="F152" s="14">
        <f>$L$81</f>
        <v>0</v>
      </c>
      <c r="H152" s="9">
        <f>$B$81</f>
        <v>0</v>
      </c>
      <c r="I152" s="9">
        <f>H152-P152</f>
        <v>0</v>
      </c>
      <c r="J152" s="9">
        <f>I152-Q152</f>
        <v>0</v>
      </c>
      <c r="K152" s="9">
        <f>J152-R152</f>
        <v>0</v>
      </c>
      <c r="L152" s="9">
        <f>K152-S152</f>
        <v>0</v>
      </c>
      <c r="M152" s="9">
        <f>L152-T152</f>
        <v>0</v>
      </c>
      <c r="N152" s="9"/>
      <c r="O152" s="9">
        <f t="shared" ref="O152:T152" si="34">IF(OR($C152="Annual",$D152=$E152),IF(AND($D152=$E152,O$111=$B152+$D152),$H152,IF(AND(O$111&gt;$B152+$D152,O$111&lt;=$B152+$E152), $H152/($E152-$D152),0)), IF(OR(O$111=$B152+$D152,O$111=$B152+$E152),$H152/(($E152-$D152)*2),IF(AND(O$111&gt;$B152+$D152,O$111&lt;$B152+$E152),$H152/($E152-$D152),0)))</f>
        <v>0</v>
      </c>
      <c r="P152" s="9">
        <f t="shared" si="34"/>
        <v>0</v>
      </c>
      <c r="Q152" s="9">
        <f t="shared" si="34"/>
        <v>0</v>
      </c>
      <c r="R152" s="9">
        <f t="shared" si="34"/>
        <v>0</v>
      </c>
      <c r="S152" s="9">
        <f t="shared" si="34"/>
        <v>0</v>
      </c>
      <c r="T152" s="9">
        <f t="shared" si="34"/>
        <v>0</v>
      </c>
      <c r="U152" s="9"/>
      <c r="V152" s="9">
        <f>IF($C152="annual",IF(V$111=$B152,0,G152*$F152),IF(V$111-$B152=0,0,IF((V$111-$B152)&lt;$E152,AVERAGE(G152,H152)*$F152,IF((V$111-$B152)=$E152,G152*$F152/2,0))))</f>
        <v>0</v>
      </c>
      <c r="W152" s="9">
        <f t="shared" ref="W152:AA157" si="35">IF($C152="annual",IF(W$111=$B152,0,H152*$F152),IF(W$111-$B152=0,0,IF((W$111-$B152)&lt;$E152,AVERAGE(H152,I152)*$F152,IF((W$111-$B152)=$E152,H152*$F152/2,0))))</f>
        <v>0</v>
      </c>
      <c r="X152" s="9">
        <f t="shared" si="35"/>
        <v>0</v>
      </c>
      <c r="Y152" s="9">
        <f t="shared" si="35"/>
        <v>0</v>
      </c>
      <c r="Z152" s="9">
        <f t="shared" si="35"/>
        <v>0</v>
      </c>
      <c r="AA152" s="9">
        <f t="shared" si="35"/>
        <v>0</v>
      </c>
    </row>
    <row r="153" spans="1:27">
      <c r="A153" s="8" t="str">
        <f>A152</f>
        <v>Type 3</v>
      </c>
      <c r="B153" s="7">
        <f>B152+1</f>
        <v>2019</v>
      </c>
      <c r="C153" s="7" t="str">
        <f>C152</f>
        <v>Annual</v>
      </c>
      <c r="D153" s="7">
        <f t="shared" ref="D153:E157" si="36">D152</f>
        <v>0</v>
      </c>
      <c r="E153" s="7">
        <f t="shared" si="36"/>
        <v>0</v>
      </c>
      <c r="F153" s="14">
        <f>$M$81</f>
        <v>4.2936438739549099E-3</v>
      </c>
      <c r="H153" s="9"/>
      <c r="I153" s="9">
        <f ca="1">$C$81</f>
        <v>70.855214919382661</v>
      </c>
      <c r="J153" s="9">
        <f ca="1">I153-Q153</f>
        <v>56.684171935506129</v>
      </c>
      <c r="K153" s="9">
        <f ca="1">J153-R153</f>
        <v>42.513128951629596</v>
      </c>
      <c r="L153" s="9">
        <f ca="1">K153-S153</f>
        <v>28.342085967753064</v>
      </c>
      <c r="M153" s="9">
        <f ca="1">L153-T153</f>
        <v>14.171042983876532</v>
      </c>
      <c r="N153" s="9"/>
      <c r="O153" s="9"/>
      <c r="P153" s="9">
        <f ca="1">IF(OR($C153="Annual",$D153=$E153),IF(AND($D153=$E153,P$111=$B153+$D153),$I153,IF(AND(P$111&gt;$B153+$D153,P$111&lt;=$B153+$E153), $I153/($E153-$D153),0)), IF(OR(P$111=$B153+$D153,P$111=$B153+$E153),$I153/(($E153-$D153)*2),IF(AND(P$111&gt;$B153+$D153,P$111&lt;$B153+$E153),$I153/($E153-$D153),0)))</f>
        <v>0</v>
      </c>
      <c r="Q153" s="9">
        <f>IF(OR($C153="Annual",$D153=$E153),IF(AND($D153=$E153,Q$111=$B153+$D153),$I153,IF(AND(Q$111&gt;$B153+$D153,Q$111&lt;=$B153+$E153), $I153/($E153-$D153),0)), IF(OR(Q$111=$B153+$D153,Q$111=$B153+$E153),$I153/(($E153-$D153)*2),IF(AND(Q$111&gt;$B153+$D153,Q$111&lt;$B153+$E153),$I153/($E153-$D153),0)))</f>
        <v>0</v>
      </c>
      <c r="R153" s="9">
        <f>IF(OR($C153="Annual",$D153=$E153),IF(AND($D153=$E153,R$111=$B153+$D153),$I153,IF(AND(R$111&gt;$B153+$D153,R$111&lt;=$B153+$E153), $I153/($E153-$D153),0)), IF(OR(R$111=$B153+$D153,R$111=$B153+$E153),$I153/(($E153-$D153)*2),IF(AND(R$111&gt;$B153+$D153,R$111&lt;$B153+$E153),$I153/($E153-$D153),0)))</f>
        <v>0</v>
      </c>
      <c r="S153" s="9">
        <f>IF(OR($C153="Annual",$D153=$E153),IF(AND($D153=$E153,S$111=$B153+$D153),$I153,IF(AND(S$111&gt;$B153+$D153,S$111&lt;=$B153+$E153), $I153/($E153-$D153),0)), IF(OR(S$111=$B153+$D153,S$111=$B153+$E153),$I153/(($E153-$D153)*2),IF(AND(S$111&gt;$B153+$D153,S$111&lt;$B153+$E153),$I153/($E153-$D153),0)))</f>
        <v>0</v>
      </c>
      <c r="T153" s="9">
        <f>IF(OR($C153="Annual",$D153=$E153),IF(AND($D153=$E153,T$111=$B153+$D153),$I153,IF(AND(T$111&gt;$B153+$D153,T$111&lt;=$B153+$E153), $I153/($E153-$D153),0)), IF(OR(T$111=$B153+$D153,T$111=$B153+$E153),$I153/(($E153-$D153)*2),IF(AND(T$111&gt;$B153+$D153,T$111&lt;$B153+$E153),$I153/($E153-$D153),0)))</f>
        <v>0</v>
      </c>
      <c r="U153" s="9"/>
      <c r="V153" s="9"/>
      <c r="W153" s="9">
        <f t="shared" si="35"/>
        <v>0</v>
      </c>
      <c r="X153" s="9">
        <f t="shared" ca="1" si="35"/>
        <v>2.9847253849289133</v>
      </c>
      <c r="Y153" s="9">
        <f t="shared" ca="1" si="35"/>
        <v>2.3877803079431308</v>
      </c>
      <c r="Z153" s="9">
        <f t="shared" ca="1" si="35"/>
        <v>1.7908352309573481</v>
      </c>
      <c r="AA153" s="9">
        <f t="shared" ca="1" si="35"/>
        <v>1.1938901539715654</v>
      </c>
    </row>
    <row r="154" spans="1:27">
      <c r="A154" s="8" t="str">
        <f>A153</f>
        <v>Type 3</v>
      </c>
      <c r="B154" s="7">
        <f>B153+1</f>
        <v>2020</v>
      </c>
      <c r="C154" s="7" t="str">
        <f>C153</f>
        <v>Annual</v>
      </c>
      <c r="D154" s="7">
        <f t="shared" si="36"/>
        <v>0</v>
      </c>
      <c r="E154" s="7">
        <f t="shared" si="36"/>
        <v>0</v>
      </c>
      <c r="F154" s="14">
        <f>$N$81</f>
        <v>4.2936438739549099E-3</v>
      </c>
      <c r="H154" s="9"/>
      <c r="I154" s="9"/>
      <c r="J154" s="9">
        <f ca="1">$D$81</f>
        <v>76.272168202307014</v>
      </c>
      <c r="K154" s="9">
        <f ca="1">J154-R154</f>
        <v>61.017734561845614</v>
      </c>
      <c r="L154" s="9">
        <f ca="1">K154-S154</f>
        <v>45.763300921384214</v>
      </c>
      <c r="M154" s="9">
        <f ca="1">L154-T154</f>
        <v>30.508867280922811</v>
      </c>
      <c r="N154" s="9"/>
      <c r="O154" s="9"/>
      <c r="P154" s="9"/>
      <c r="Q154" s="9">
        <f ca="1">IF(OR($C154="Annual",$D154=$E154),IF(AND($D154=$E154,Q$111=$B154+$D154),$J154,IF(AND(Q$111&gt;$B154+$D154,Q$111&lt;=$B154+$E154), $J154/($E154-$D154),0)), IF(OR(Q$111=$B154+$D154,Q$111=$B154+$E154),$J154/(($E154-$D154)*2),IF(AND(Q$111&gt;$B154+$D154,Q$111&lt;$B154+$E154),$J154/($E154-$D154),0)))</f>
        <v>0</v>
      </c>
      <c r="R154" s="9">
        <f>IF(OR($C154="Annual",$D154=$E154),IF(AND($D154=$E154,R$111=$B154+$D154),$J154,IF(AND(R$111&gt;$B154+$D154,R$111&lt;=$B154+$E154), $J154/($E154-$D154),0)), IF(OR(R$111=$B154+$D154,R$111=$B154+$E154),$J154/(($E154-$D154)*2),IF(AND(R$111&gt;$B154+$D154,R$111&lt;$B154+$E154),$J154/($E154-$D154),0)))</f>
        <v>0</v>
      </c>
      <c r="S154" s="9">
        <f>IF(OR($C154="Annual",$D154=$E154),IF(AND($D154=$E154,S$111=$B154+$D154),$J154,IF(AND(S$111&gt;$B154+$D154,S$111&lt;=$B154+$E154), $J154/($E154-$D154),0)), IF(OR(S$111=$B154+$D154,S$111=$B154+$E154),$J154/(($E154-$D154)*2),IF(AND(S$111&gt;$B154+$D154,S$111&lt;$B154+$E154),$J154/($E154-$D154),0)))</f>
        <v>0</v>
      </c>
      <c r="T154" s="9">
        <f>IF(OR($C154="Annual",$D154=$E154),IF(AND($D154=$E154,T$111=$B154+$D154),$J154,IF(AND(T$111&gt;$B154+$D154,T$111&lt;=$B154+$E154), $J154/($E154-$D154),0)), IF(OR(T$111=$B154+$D154,T$111=$B154+$E154),$J154/(($E154-$D154)*2),IF(AND(T$111&gt;$B154+$D154,T$111&lt;$B154+$E154),$J154/($E154-$D154),0)))</f>
        <v>0</v>
      </c>
      <c r="U154" s="9"/>
      <c r="V154" s="9"/>
      <c r="W154" s="9"/>
      <c r="X154" s="9">
        <f t="shared" si="35"/>
        <v>0</v>
      </c>
      <c r="Y154" s="9">
        <f t="shared" ca="1" si="35"/>
        <v>3.4417271824731857</v>
      </c>
      <c r="Z154" s="9">
        <f t="shared" ca="1" si="35"/>
        <v>2.7533817459785488</v>
      </c>
      <c r="AA154" s="9">
        <f t="shared" ca="1" si="35"/>
        <v>2.0650363094839115</v>
      </c>
    </row>
    <row r="155" spans="1:27">
      <c r="A155" s="8" t="str">
        <f>A154</f>
        <v>Type 3</v>
      </c>
      <c r="B155" s="7">
        <f>B154+1</f>
        <v>2021</v>
      </c>
      <c r="C155" s="7" t="str">
        <f>C154</f>
        <v>Annual</v>
      </c>
      <c r="D155" s="7">
        <f t="shared" si="36"/>
        <v>0</v>
      </c>
      <c r="E155" s="7">
        <f t="shared" si="36"/>
        <v>0</v>
      </c>
      <c r="F155" s="14">
        <f>$O$81</f>
        <v>0</v>
      </c>
      <c r="H155" s="9"/>
      <c r="I155" s="9"/>
      <c r="J155" s="9"/>
      <c r="K155" s="9">
        <f ca="1">$E$81</f>
        <v>57.628269584706601</v>
      </c>
      <c r="L155" s="9">
        <f ca="1">K155-S155</f>
        <v>46.102615667765278</v>
      </c>
      <c r="M155" s="9">
        <f ca="1">L155-T155</f>
        <v>34.576961750823955</v>
      </c>
      <c r="N155" s="9"/>
      <c r="O155" s="9"/>
      <c r="P155" s="9"/>
      <c r="Q155" s="9"/>
      <c r="R155" s="9">
        <f ca="1">IF(OR($C155="Annual",$D155=$E155),IF(AND($D155=$E155,R$111=$B155+$D155),$K155,IF(AND(R$111&gt;$B155+$D155,R$111&lt;=$B155+$E155), $K155/($E155-$D155),0)), IF(OR(R$111=$B155+$D155,R$111=$B155+$E155),$K155/(($E155-$D155)*2),IF(AND(R$111&gt;$B155+$D155,R$111&lt;$B155+$E155),$K155/($E155-$D155),0)))</f>
        <v>0</v>
      </c>
      <c r="S155" s="9">
        <f>IF(OR($C155="Annual",$D155=$E155),IF(AND($D155=$E155,S$111=$B155+$D155),$K155,IF(AND(S$111&gt;$B155+$D155,S$111&lt;=$B155+$E155), $K155/($E155-$D155),0)), IF(OR(S$111=$B155+$D155,S$111=$B155+$E155),$K155/(($E155-$D155)*2),IF(AND(S$111&gt;$B155+$D155,S$111&lt;$B155+$E155),$K155/($E155-$D155),0)))</f>
        <v>0</v>
      </c>
      <c r="T155" s="9">
        <f>IF(OR($C155="Annual",$D155=$E155),IF(AND($D155=$E155,T$111=$B155+$D155),$K155,IF(AND(T$111&gt;$B155+$D155,T$111&lt;=$B155+$E155), $K155/($E155-$D155),0)), IF(OR(T$111=$B155+$D155,T$111=$B155+$E155),$K155/(($E155-$D155)*2),IF(AND(T$111&gt;$B155+$D155,T$111&lt;$B155+$E155),$K155/($E155-$D155),0)))</f>
        <v>0</v>
      </c>
      <c r="U155" s="9"/>
      <c r="V155" s="9"/>
      <c r="W155" s="9"/>
      <c r="X155" s="9"/>
      <c r="Y155" s="9">
        <f t="shared" si="35"/>
        <v>0</v>
      </c>
      <c r="Z155" s="9">
        <f t="shared" ca="1" si="35"/>
        <v>2.4203873225576773</v>
      </c>
      <c r="AA155" s="9">
        <f t="shared" ca="1" si="35"/>
        <v>1.9363098580461418</v>
      </c>
    </row>
    <row r="156" spans="1:27">
      <c r="A156" s="8" t="str">
        <f>A155</f>
        <v>Type 3</v>
      </c>
      <c r="B156" s="7">
        <f>B155+1</f>
        <v>2022</v>
      </c>
      <c r="C156" s="7" t="str">
        <f>C155</f>
        <v>Annual</v>
      </c>
      <c r="D156" s="7">
        <f t="shared" si="36"/>
        <v>0</v>
      </c>
      <c r="E156" s="7">
        <f t="shared" si="36"/>
        <v>0</v>
      </c>
      <c r="F156" s="14">
        <f>$P$81</f>
        <v>0</v>
      </c>
      <c r="H156" s="9"/>
      <c r="I156" s="9"/>
      <c r="J156" s="9"/>
      <c r="K156" s="9"/>
      <c r="L156" s="9">
        <f ca="1">$F$81</f>
        <v>63.572840254290576</v>
      </c>
      <c r="M156" s="9">
        <f ca="1">L156-T156</f>
        <v>50.858272203432463</v>
      </c>
      <c r="N156" s="9"/>
      <c r="O156" s="9"/>
      <c r="P156" s="9"/>
      <c r="Q156" s="9"/>
      <c r="R156" s="9"/>
      <c r="S156" s="9">
        <f ca="1">IF(OR($C156="Annual",$D156=$E156),IF(AND($D156=$E156,S$111=$B156+$D156),$L156,IF(AND(S$111&gt;$B156+$D156,S$111&lt;=$B156+$E156), $L156/($E156-$D156),0)), IF(OR(S$111=$B156+$D156,S$111=$B156+$E156),$L156/(($E156-$D156)*2),IF(AND(S$111&gt;$B156+$D156,S$111&lt;$B156+$E156),$L156/($E156-$D156),0)))</f>
        <v>0</v>
      </c>
      <c r="T156" s="9">
        <f>IF(OR($C156="Annual",$D156=$E156),IF(AND($D156=$E156,T$111=$B156+$D156),$L156,IF(AND(T$111&gt;$B156+$D156,T$111&lt;=$B156+$E156), $L156/($E156-$D156),0)), IF(OR(T$111=$B156+$D156,T$111=$B156+$E156),$L156/(($E156-$D156)*2),IF(AND(T$111&gt;$B156+$D156,T$111&lt;$B156+$E156),$L156/($E156-$D156),0)))</f>
        <v>0</v>
      </c>
      <c r="U156" s="9"/>
      <c r="V156" s="9"/>
      <c r="W156" s="9"/>
      <c r="X156" s="9"/>
      <c r="Y156" s="9"/>
      <c r="Z156" s="9">
        <f t="shared" si="35"/>
        <v>0</v>
      </c>
      <c r="AA156" s="9">
        <f t="shared" ca="1" si="35"/>
        <v>2.7336321309344944</v>
      </c>
    </row>
    <row r="157" spans="1:27">
      <c r="A157" s="8" t="str">
        <f>A156</f>
        <v>Type 3</v>
      </c>
      <c r="B157" s="7">
        <f>B156+1</f>
        <v>2023</v>
      </c>
      <c r="C157" s="7" t="str">
        <f>C156</f>
        <v>Annual</v>
      </c>
      <c r="D157" s="7">
        <f t="shared" si="36"/>
        <v>0</v>
      </c>
      <c r="E157" s="7">
        <f t="shared" si="36"/>
        <v>0</v>
      </c>
      <c r="F157" s="14">
        <f>$Q$81</f>
        <v>0</v>
      </c>
      <c r="H157" s="9"/>
      <c r="I157" s="9"/>
      <c r="J157" s="9"/>
      <c r="K157" s="9"/>
      <c r="L157" s="9"/>
      <c r="M157" s="9">
        <f ca="1">$G$81</f>
        <v>65.73553217678878</v>
      </c>
      <c r="N157" s="9"/>
      <c r="O157" s="9"/>
      <c r="P157" s="9"/>
      <c r="Q157" s="9"/>
      <c r="R157" s="9"/>
      <c r="S157" s="9"/>
      <c r="T157" s="9">
        <f ca="1">IF(OR($C157="Annual",$D157=$E157),IF(AND($D157=$E157,T$111=$B157+$D157),$M157,IF(AND(T$111&gt;$B157+$D157,T$111&lt;=$B157+$E157), $M157/($E157-$D157),0)), IF(OR(T$111=$B157+$D157,T$111=$B157+$E157),$M157/(($E157-$D157)*2),IF(AND(T$111&gt;$B157+$D157,T$111&lt;$B157+$E157),$M157/($E157-$D157),0)))</f>
        <v>0</v>
      </c>
      <c r="U157" s="9"/>
      <c r="V157" s="9"/>
      <c r="W157" s="9"/>
      <c r="X157" s="9"/>
      <c r="Y157" s="9"/>
      <c r="Z157" s="9"/>
      <c r="AA157" s="9">
        <f t="shared" si="35"/>
        <v>0</v>
      </c>
    </row>
    <row r="158" spans="1:27">
      <c r="C158" s="281"/>
      <c r="F158" s="15"/>
      <c r="H158" s="10"/>
      <c r="I158" s="10"/>
      <c r="J158" s="10"/>
      <c r="K158" s="10"/>
      <c r="L158" s="10"/>
      <c r="M158" s="10"/>
      <c r="N158" s="10"/>
      <c r="O158" s="90"/>
      <c r="P158" s="10"/>
      <c r="Q158" s="10"/>
      <c r="R158" s="10"/>
      <c r="S158" s="10"/>
      <c r="T158" s="10"/>
      <c r="U158" s="10"/>
      <c r="V158" s="10"/>
      <c r="W158" s="10"/>
      <c r="X158" s="10"/>
      <c r="Y158" s="10"/>
      <c r="Z158" s="10"/>
      <c r="AA158" s="10"/>
    </row>
    <row r="159" spans="1:27">
      <c r="A159" s="8" t="str">
        <f>'Input 4 - Forecast'!A63</f>
        <v>Type 4</v>
      </c>
      <c r="B159" s="7">
        <f>B119</f>
        <v>2018</v>
      </c>
      <c r="C159" s="7" t="str">
        <f>$I82</f>
        <v>Annual</v>
      </c>
      <c r="D159" s="7">
        <f>$J82</f>
        <v>0</v>
      </c>
      <c r="E159" s="7">
        <f>$K82</f>
        <v>0</v>
      </c>
      <c r="F159" s="14">
        <f>$L$82</f>
        <v>0</v>
      </c>
      <c r="H159" s="9">
        <f>$B$82</f>
        <v>0</v>
      </c>
      <c r="I159" s="9">
        <f>H159-P159</f>
        <v>0</v>
      </c>
      <c r="J159" s="9">
        <f>I159-Q159</f>
        <v>0</v>
      </c>
      <c r="K159" s="9">
        <f>J159-R159</f>
        <v>0</v>
      </c>
      <c r="L159" s="9">
        <f>K159-S159</f>
        <v>0</v>
      </c>
      <c r="M159" s="9">
        <f>L159-T159</f>
        <v>0</v>
      </c>
      <c r="N159" s="9"/>
      <c r="O159" s="9">
        <f t="shared" ref="O159:T159" si="37">IF(OR($C159="Annual",$D159=$E159),IF(AND($D159=$E159,O$111=$B159+$D159),$H159,IF(AND(O$111&gt;$B159+$D159,O$111&lt;=$B159+$E159), $H159/($E159-$D159),0)), IF(OR(O$111=$B159+$D159,O$111=$B159+$E159),$H159/(($E159-$D159)*2),IF(AND(O$111&gt;$B159+$D159,O$111&lt;$B159+$E159),$H159/($E159-$D159),0)))</f>
        <v>0</v>
      </c>
      <c r="P159" s="9">
        <f t="shared" si="37"/>
        <v>0</v>
      </c>
      <c r="Q159" s="9">
        <f t="shared" si="37"/>
        <v>0</v>
      </c>
      <c r="R159" s="9">
        <f t="shared" si="37"/>
        <v>0</v>
      </c>
      <c r="S159" s="9">
        <f t="shared" si="37"/>
        <v>0</v>
      </c>
      <c r="T159" s="9">
        <f t="shared" si="37"/>
        <v>0</v>
      </c>
      <c r="U159" s="9"/>
      <c r="V159" s="9">
        <f>IF($C159="annual",IF(V$111=$B159,0,G159*$F159),IF(V$111-$B159=0,0,IF((V$111-$B159)&lt;$E159,AVERAGE(G159,H159)*$F159,IF((V$111-$B159)=$E159,G159*$F159/2,0))))</f>
        <v>0</v>
      </c>
      <c r="W159" s="9">
        <f t="shared" ref="W159:AA164" si="38">IF($C159="annual",IF(W$111=$B159,0,H159*$F159),IF(W$111-$B159=0,0,IF((W$111-$B159)&lt;$E159,AVERAGE(H159,I159)*$F159,IF((W$111-$B159)=$E159,H159*$F159/2,0))))</f>
        <v>0</v>
      </c>
      <c r="X159" s="9">
        <f t="shared" si="38"/>
        <v>0</v>
      </c>
      <c r="Y159" s="9">
        <f t="shared" si="38"/>
        <v>0</v>
      </c>
      <c r="Z159" s="9">
        <f t="shared" si="38"/>
        <v>0</v>
      </c>
      <c r="AA159" s="9">
        <f t="shared" si="38"/>
        <v>0</v>
      </c>
    </row>
    <row r="160" spans="1:27">
      <c r="A160" s="8" t="str">
        <f>A159</f>
        <v>Type 4</v>
      </c>
      <c r="B160" s="7">
        <f>B159+1</f>
        <v>2019</v>
      </c>
      <c r="C160" s="7" t="str">
        <f>C159</f>
        <v>Annual</v>
      </c>
      <c r="D160" s="7">
        <f t="shared" ref="D160:E164" si="39">D159</f>
        <v>0</v>
      </c>
      <c r="E160" s="7">
        <f t="shared" si="39"/>
        <v>0</v>
      </c>
      <c r="F160" s="14">
        <f>$M$82</f>
        <v>4.2936438739549099E-3</v>
      </c>
      <c r="H160" s="9"/>
      <c r="I160" s="9">
        <f ca="1">$C$82</f>
        <v>115.83287308559946</v>
      </c>
      <c r="J160" s="9">
        <f ca="1">I160-Q160</f>
        <v>104.24958577703951</v>
      </c>
      <c r="K160" s="9">
        <f ca="1">J160-R160</f>
        <v>92.666298468479567</v>
      </c>
      <c r="L160" s="9">
        <f ca="1">K160-S160</f>
        <v>81.083011159919621</v>
      </c>
      <c r="M160" s="9">
        <f ca="1">L160-T160</f>
        <v>69.499723851359676</v>
      </c>
      <c r="N160" s="9"/>
      <c r="O160" s="9"/>
      <c r="P160" s="9">
        <f ca="1">IF(OR($C160="Annual",$D160=$E160),IF(AND($D160=$E160,P$111=$B160+$D160),$I160,IF(AND(P$111&gt;$B160+$D160,P$111&lt;=$B160+$E160), $I160/($E160-$D160),0)), IF(OR(P$111=$B160+$D160,P$111=$B160+$E160),$I160/(($E160-$D160)*2),IF(AND(P$111&gt;$B160+$D160,P$111&lt;$B160+$E160),$I160/($E160-$D160),0)))</f>
        <v>0</v>
      </c>
      <c r="Q160" s="9">
        <f>IF(OR($C160="Annual",$D160=$E160),IF(AND($D160=$E160,Q$111=$B160+$D160),$I160,IF(AND(Q$111&gt;$B160+$D160,Q$111&lt;=$B160+$E160), $I160/($E160-$D160),0)), IF(OR(Q$111=$B160+$D160,Q$111=$B160+$E160),$I160/(($E160-$D160)*2),IF(AND(Q$111&gt;$B160+$D160,Q$111&lt;$B160+$E160),$I160/($E160-$D160),0)))</f>
        <v>0</v>
      </c>
      <c r="R160" s="9">
        <f>IF(OR($C160="Annual",$D160=$E160),IF(AND($D160=$E160,R$111=$B160+$D160),$I160,IF(AND(R$111&gt;$B160+$D160,R$111&lt;=$B160+$E160), $I160/($E160-$D160),0)), IF(OR(R$111=$B160+$D160,R$111=$B160+$E160),$I160/(($E160-$D160)*2),IF(AND(R$111&gt;$B160+$D160,R$111&lt;$B160+$E160),$I160/($E160-$D160),0)))</f>
        <v>0</v>
      </c>
      <c r="S160" s="9">
        <f>IF(OR($C160="Annual",$D160=$E160),IF(AND($D160=$E160,S$111=$B160+$D160),$I160,IF(AND(S$111&gt;$B160+$D160,S$111&lt;=$B160+$E160), $I160/($E160-$D160),0)), IF(OR(S$111=$B160+$D160,S$111=$B160+$E160),$I160/(($E160-$D160)*2),IF(AND(S$111&gt;$B160+$D160,S$111&lt;$B160+$E160),$I160/($E160-$D160),0)))</f>
        <v>0</v>
      </c>
      <c r="T160" s="9">
        <f>IF(OR($C160="Annual",$D160=$E160),IF(AND($D160=$E160,T$111=$B160+$D160),$I160,IF(AND(T$111&gt;$B160+$D160,T$111&lt;=$B160+$E160), $I160/($E160-$D160),0)), IF(OR(T$111=$B160+$D160,T$111=$B160+$E160),$I160/(($E160-$D160)*2),IF(AND(T$111&gt;$B160+$D160,T$111&lt;$B160+$E160),$I160/($E160-$D160),0)))</f>
        <v>0</v>
      </c>
      <c r="U160" s="9"/>
      <c r="V160" s="9"/>
      <c r="W160" s="9">
        <f t="shared" si="38"/>
        <v>0</v>
      </c>
      <c r="X160" s="9">
        <f t="shared" ca="1" si="38"/>
        <v>6.0377058818702176</v>
      </c>
      <c r="Y160" s="9">
        <f t="shared" ca="1" si="38"/>
        <v>5.4339352936831959</v>
      </c>
      <c r="Z160" s="9">
        <f t="shared" ca="1" si="38"/>
        <v>4.8301647054961743</v>
      </c>
      <c r="AA160" s="9">
        <f t="shared" ca="1" si="38"/>
        <v>4.2263941173091526</v>
      </c>
    </row>
    <row r="161" spans="1:27">
      <c r="A161" s="8" t="str">
        <f>A160</f>
        <v>Type 4</v>
      </c>
      <c r="B161" s="7">
        <f>B160+1</f>
        <v>2020</v>
      </c>
      <c r="C161" s="7" t="str">
        <f>C160</f>
        <v>Annual</v>
      </c>
      <c r="D161" s="7">
        <f t="shared" si="39"/>
        <v>0</v>
      </c>
      <c r="E161" s="7">
        <f t="shared" si="39"/>
        <v>0</v>
      </c>
      <c r="F161" s="14">
        <f>$N$82</f>
        <v>4.2936438739549099E-3</v>
      </c>
      <c r="H161" s="9"/>
      <c r="I161" s="9"/>
      <c r="J161" s="9">
        <f ca="1">$D$82</f>
        <v>116.45582728875736</v>
      </c>
      <c r="K161" s="9">
        <f ca="1">J161-R161</f>
        <v>104.81024455988162</v>
      </c>
      <c r="L161" s="9">
        <f ca="1">K161-S161</f>
        <v>93.164661831005887</v>
      </c>
      <c r="M161" s="9">
        <f ca="1">L161-T161</f>
        <v>81.519079102130149</v>
      </c>
      <c r="N161" s="9"/>
      <c r="O161" s="9"/>
      <c r="P161" s="9"/>
      <c r="Q161" s="9">
        <f ca="1">IF(OR($C161="Annual",$D161=$E161),IF(AND($D161=$E161,Q$111=$B161+$D161),$J161,IF(AND(Q$111&gt;$B161+$D161,Q$111&lt;=$B161+$E161), $J161/($E161-$D161),0)), IF(OR(Q$111=$B161+$D161,Q$111=$B161+$E161),$J161/(($E161-$D161)*2),IF(AND(Q$111&gt;$B161+$D161,Q$111&lt;$B161+$E161),$J161/($E161-$D161),0)))</f>
        <v>0</v>
      </c>
      <c r="R161" s="9">
        <f>IF(OR($C161="Annual",$D161=$E161),IF(AND($D161=$E161,R$111=$B161+$D161),$J161,IF(AND(R$111&gt;$B161+$D161,R$111&lt;=$B161+$E161), $J161/($E161-$D161),0)), IF(OR(R$111=$B161+$D161,R$111=$B161+$E161),$J161/(($E161-$D161)*2),IF(AND(R$111&gt;$B161+$D161,R$111&lt;$B161+$E161),$J161/($E161-$D161),0)))</f>
        <v>0</v>
      </c>
      <c r="S161" s="9">
        <f>IF(OR($C161="Annual",$D161=$E161),IF(AND($D161=$E161,S$111=$B161+$D161),$J161,IF(AND(S$111&gt;$B161+$D161,S$111&lt;=$B161+$E161), $J161/($E161-$D161),0)), IF(OR(S$111=$B161+$D161,S$111=$B161+$E161),$J161/(($E161-$D161)*2),IF(AND(S$111&gt;$B161+$D161,S$111&lt;$B161+$E161),$J161/($E161-$D161),0)))</f>
        <v>0</v>
      </c>
      <c r="T161" s="9">
        <f>IF(OR($C161="Annual",$D161=$E161),IF(AND($D161=$E161,T$111=$B161+$D161),$J161,IF(AND(T$111&gt;$B161+$D161,T$111&lt;=$B161+$E161), $J161/($E161-$D161),0)), IF(OR(T$111=$B161+$D161,T$111=$B161+$E161),$J161/(($E161-$D161)*2),IF(AND(T$111&gt;$B161+$D161,T$111&lt;$B161+$E161),$J161/($E161-$D161),0)))</f>
        <v>0</v>
      </c>
      <c r="U161" s="9"/>
      <c r="V161" s="9"/>
      <c r="W161" s="9"/>
      <c r="X161" s="9">
        <f t="shared" si="38"/>
        <v>0</v>
      </c>
      <c r="Y161" s="9">
        <f t="shared" ca="1" si="38"/>
        <v>6.4195444072006591</v>
      </c>
      <c r="Z161" s="9">
        <f t="shared" ca="1" si="38"/>
        <v>5.7775899664805932</v>
      </c>
      <c r="AA161" s="9">
        <f t="shared" ca="1" si="38"/>
        <v>5.1356355257605273</v>
      </c>
    </row>
    <row r="162" spans="1:27">
      <c r="A162" s="8" t="str">
        <f>A161</f>
        <v>Type 4</v>
      </c>
      <c r="B162" s="7">
        <f>B161+1</f>
        <v>2021</v>
      </c>
      <c r="C162" s="7" t="str">
        <f>C161</f>
        <v>Annual</v>
      </c>
      <c r="D162" s="7">
        <f t="shared" si="39"/>
        <v>0</v>
      </c>
      <c r="E162" s="7">
        <f t="shared" si="39"/>
        <v>0</v>
      </c>
      <c r="F162" s="14">
        <f>$O$82</f>
        <v>0</v>
      </c>
      <c r="H162" s="9"/>
      <c r="I162" s="9"/>
      <c r="J162" s="9"/>
      <c r="K162" s="9">
        <f ca="1">$E$82</f>
        <v>108.05300547132489</v>
      </c>
      <c r="L162" s="9">
        <f ca="1">K162-S162</f>
        <v>97.247704924192405</v>
      </c>
      <c r="M162" s="9">
        <f ca="1">L162-T162</f>
        <v>86.442404377059916</v>
      </c>
      <c r="N162" s="9"/>
      <c r="O162" s="9"/>
      <c r="P162" s="9"/>
      <c r="Q162" s="9"/>
      <c r="R162" s="9">
        <f ca="1">IF(OR($C162="Annual",$D162=$E162),IF(AND($D162=$E162,R$111=$B162+$D162),$K162,IF(AND(R$111&gt;$B162+$D162,R$111&lt;=$B162+$E162), $K162/($E162-$D162),0)), IF(OR(R$111=$B162+$D162,R$111=$B162+$E162),$K162/(($E162-$D162)*2),IF(AND(R$111&gt;$B162+$D162,R$111&lt;$B162+$E162),$K162/($E162-$D162),0)))</f>
        <v>0</v>
      </c>
      <c r="S162" s="9">
        <f>IF(OR($C162="Annual",$D162=$E162),IF(AND($D162=$E162,S$111=$B162+$D162),$K162,IF(AND(S$111&gt;$B162+$D162,S$111&lt;=$B162+$E162), $K162/($E162-$D162),0)), IF(OR(S$111=$B162+$D162,S$111=$B162+$E162),$K162/(($E162-$D162)*2),IF(AND(S$111&gt;$B162+$D162,S$111&lt;$B162+$E162),$K162/($E162-$D162),0)))</f>
        <v>0</v>
      </c>
      <c r="T162" s="9">
        <f>IF(OR($C162="Annual",$D162=$E162),IF(AND($D162=$E162,T$111=$B162+$D162),$K162,IF(AND(T$111&gt;$B162+$D162,T$111&lt;=$B162+$E162), $K162/($E162-$D162),0)), IF(OR(T$111=$B162+$D162,T$111=$B162+$E162),$K162/(($E162-$D162)*2),IF(AND(T$111&gt;$B162+$D162,T$111&lt;$B162+$E162),$K162/($E162-$D162),0)))</f>
        <v>0</v>
      </c>
      <c r="U162" s="9"/>
      <c r="V162" s="9"/>
      <c r="W162" s="9"/>
      <c r="X162" s="9"/>
      <c r="Y162" s="9">
        <f t="shared" si="38"/>
        <v>0</v>
      </c>
      <c r="Z162" s="9">
        <f t="shared" ca="1" si="38"/>
        <v>5.618756284508895</v>
      </c>
      <c r="AA162" s="9">
        <f t="shared" ca="1" si="38"/>
        <v>5.0568806560580057</v>
      </c>
    </row>
    <row r="163" spans="1:27">
      <c r="A163" s="8" t="str">
        <f>A162</f>
        <v>Type 4</v>
      </c>
      <c r="B163" s="7">
        <f>B162+1</f>
        <v>2022</v>
      </c>
      <c r="C163" s="7" t="str">
        <f>C162</f>
        <v>Annual</v>
      </c>
      <c r="D163" s="7">
        <f t="shared" si="39"/>
        <v>0</v>
      </c>
      <c r="E163" s="7">
        <f t="shared" si="39"/>
        <v>0</v>
      </c>
      <c r="F163" s="14">
        <f>$P$82</f>
        <v>0</v>
      </c>
      <c r="H163" s="9"/>
      <c r="I163" s="9"/>
      <c r="J163" s="9"/>
      <c r="K163" s="9"/>
      <c r="L163" s="9">
        <f ca="1">$F$82</f>
        <v>106.94496491375983</v>
      </c>
      <c r="M163" s="9">
        <f ca="1">L163-T163</f>
        <v>96.250468422383847</v>
      </c>
      <c r="N163" s="9"/>
      <c r="O163" s="9"/>
      <c r="P163" s="9"/>
      <c r="Q163" s="9"/>
      <c r="R163" s="9"/>
      <c r="S163" s="9">
        <f ca="1">IF(OR($C163="Annual",$D163=$E163),IF(AND($D163=$E163,S$111=$B163+$D163),$L163,IF(AND(S$111&gt;$B163+$D163,S$111&lt;=$B163+$E163), $L163/($E163-$D163),0)), IF(OR(S$111=$B163+$D163,S$111=$B163+$E163),$L163/(($E163-$D163)*2),IF(AND(S$111&gt;$B163+$D163,S$111&lt;$B163+$E163),$L163/($E163-$D163),0)))</f>
        <v>0</v>
      </c>
      <c r="T163" s="9">
        <f>IF(OR($C163="Annual",$D163=$E163),IF(AND($D163=$E163,T$111=$B163+$D163),$L163,IF(AND(T$111&gt;$B163+$D163,T$111&lt;=$B163+$E163), $L163/($E163-$D163),0)), IF(OR(T$111=$B163+$D163,T$111=$B163+$E163),$L163/(($E163-$D163)*2),IF(AND(T$111&gt;$B163+$D163,T$111&lt;$B163+$E163),$L163/($E163-$D163),0)))</f>
        <v>0</v>
      </c>
      <c r="U163" s="9"/>
      <c r="V163" s="9"/>
      <c r="W163" s="9"/>
      <c r="X163" s="9"/>
      <c r="Y163" s="9"/>
      <c r="Z163" s="9">
        <f t="shared" si="38"/>
        <v>0</v>
      </c>
      <c r="AA163" s="9">
        <f t="shared" ca="1" si="38"/>
        <v>5.6680831404292711</v>
      </c>
    </row>
    <row r="164" spans="1:27">
      <c r="A164" s="8" t="str">
        <f>A163</f>
        <v>Type 4</v>
      </c>
      <c r="B164" s="7">
        <f>B163+1</f>
        <v>2023</v>
      </c>
      <c r="C164" s="7" t="str">
        <f>C163</f>
        <v>Annual</v>
      </c>
      <c r="D164" s="7">
        <f t="shared" si="39"/>
        <v>0</v>
      </c>
      <c r="E164" s="7">
        <f t="shared" si="39"/>
        <v>0</v>
      </c>
      <c r="F164" s="14">
        <f>$Q$82</f>
        <v>0</v>
      </c>
      <c r="H164" s="9"/>
      <c r="I164" s="9"/>
      <c r="J164" s="9"/>
      <c r="K164" s="9"/>
      <c r="L164" s="9"/>
      <c r="M164" s="9">
        <f ca="1">$G$82</f>
        <v>106.79057573846552</v>
      </c>
      <c r="N164" s="9"/>
      <c r="O164" s="9"/>
      <c r="P164" s="9"/>
      <c r="Q164" s="9"/>
      <c r="R164" s="9"/>
      <c r="S164" s="9"/>
      <c r="T164" s="9">
        <f ca="1">IF(OR($C164="Annual",$D164=$E164),IF(AND($D164=$E164,T$111=$B164+$D164),$M164,IF(AND(T$111&gt;$B164+$D164,T$111&lt;=$B164+$E164), $M164/($E164-$D164),0)), IF(OR(T$111=$B164+$D164,T$111=$B164+$E164),$M164/(($E164-$D164)*2),IF(AND(T$111&gt;$B164+$D164,T$111&lt;$B164+$E164),$M164/($E164-$D164),0)))</f>
        <v>0</v>
      </c>
      <c r="U164" s="9"/>
      <c r="V164" s="9"/>
      <c r="W164" s="9"/>
      <c r="X164" s="9"/>
      <c r="Y164" s="9"/>
      <c r="Z164" s="9"/>
      <c r="AA164" s="9">
        <f t="shared" si="38"/>
        <v>0</v>
      </c>
    </row>
    <row r="165" spans="1:27">
      <c r="C165" s="281"/>
      <c r="F165" s="15"/>
      <c r="H165" s="10"/>
      <c r="I165" s="10"/>
      <c r="J165" s="10"/>
      <c r="K165" s="10"/>
      <c r="L165" s="10"/>
      <c r="M165" s="10"/>
      <c r="N165" s="10"/>
      <c r="O165" s="90"/>
      <c r="P165" s="10"/>
      <c r="Q165" s="10"/>
      <c r="R165" s="10"/>
      <c r="S165" s="10"/>
      <c r="T165" s="10"/>
      <c r="U165" s="10"/>
      <c r="V165" s="10"/>
      <c r="W165" s="10"/>
      <c r="X165" s="10"/>
      <c r="Y165" s="10"/>
      <c r="Z165" s="10"/>
      <c r="AA165" s="10"/>
    </row>
    <row r="166" spans="1:27" s="1150" customFormat="1">
      <c r="A166" s="1347" t="str">
        <f>'Input 4 - Forecast'!A64</f>
        <v>ZERO-COUPON BOND</v>
      </c>
      <c r="B166" s="1348">
        <f>B119</f>
        <v>2018</v>
      </c>
      <c r="C166" s="1348"/>
      <c r="D166" s="1348">
        <f>$J83</f>
        <v>0</v>
      </c>
      <c r="E166" s="1348">
        <f>$K83</f>
        <v>0</v>
      </c>
      <c r="F166" s="1349">
        <f>$L$83</f>
        <v>0</v>
      </c>
      <c r="H166" s="1350">
        <f>$B$83</f>
        <v>0</v>
      </c>
      <c r="I166" s="1350">
        <f>H166-P166</f>
        <v>0</v>
      </c>
      <c r="J166" s="1350">
        <f>I166-Q166</f>
        <v>0</v>
      </c>
      <c r="K166" s="1350">
        <f>J166-R166</f>
        <v>0</v>
      </c>
      <c r="L166" s="1350">
        <f>K166-S166</f>
        <v>0</v>
      </c>
      <c r="M166" s="1350">
        <f>L166-T166</f>
        <v>0</v>
      </c>
      <c r="N166" s="1350"/>
      <c r="O166" s="1350">
        <f t="shared" ref="O166:T166" si="40">IF($D166=$E166,IF(O$111=$B166+$E166,$H166,0),0)</f>
        <v>0</v>
      </c>
      <c r="P166" s="1350">
        <f t="shared" si="40"/>
        <v>0</v>
      </c>
      <c r="Q166" s="1350">
        <f t="shared" si="40"/>
        <v>0</v>
      </c>
      <c r="R166" s="1350">
        <f t="shared" si="40"/>
        <v>0</v>
      </c>
      <c r="S166" s="1350">
        <f t="shared" si="40"/>
        <v>0</v>
      </c>
      <c r="T166" s="1350">
        <f t="shared" si="40"/>
        <v>0</v>
      </c>
      <c r="U166" s="1350"/>
      <c r="V166" s="1350">
        <f t="shared" ref="V166:AA166" si="41">IF(V$111-$B166=$D166,$H166*(((1+$F166)^$D166)-1),0)</f>
        <v>0</v>
      </c>
      <c r="W166" s="1350">
        <f t="shared" si="41"/>
        <v>0</v>
      </c>
      <c r="X166" s="1350">
        <f t="shared" si="41"/>
        <v>0</v>
      </c>
      <c r="Y166" s="1350">
        <f t="shared" si="41"/>
        <v>0</v>
      </c>
      <c r="Z166" s="1350">
        <f t="shared" si="41"/>
        <v>0</v>
      </c>
      <c r="AA166" s="1350">
        <f t="shared" si="41"/>
        <v>0</v>
      </c>
    </row>
    <row r="167" spans="1:27" s="1150" customFormat="1">
      <c r="A167" s="1347" t="str">
        <f>A166</f>
        <v>ZERO-COUPON BOND</v>
      </c>
      <c r="B167" s="1348">
        <f>B166+1</f>
        <v>2019</v>
      </c>
      <c r="C167" s="1348"/>
      <c r="D167" s="1348">
        <f t="shared" ref="D167:E171" si="42">D166</f>
        <v>0</v>
      </c>
      <c r="E167" s="1348">
        <f t="shared" si="42"/>
        <v>0</v>
      </c>
      <c r="F167" s="1349">
        <f>$M$83</f>
        <v>4.2936438739549099E-3</v>
      </c>
      <c r="H167" s="1350"/>
      <c r="I167" s="1350">
        <f ca="1">$C$83</f>
        <v>0</v>
      </c>
      <c r="J167" s="1350">
        <f ca="1">I167-Q167</f>
        <v>0</v>
      </c>
      <c r="K167" s="1350">
        <f ca="1">J167-R167</f>
        <v>0</v>
      </c>
      <c r="L167" s="1350">
        <f ca="1">K167-S167</f>
        <v>0</v>
      </c>
      <c r="M167" s="1350">
        <f ca="1">L167-T167</f>
        <v>0</v>
      </c>
      <c r="N167" s="1350"/>
      <c r="O167" s="1351"/>
      <c r="P167" s="1350">
        <f ca="1">IF($D167=$E167,IF(P$111=$B167+$E167,$I167,0),0)</f>
        <v>0</v>
      </c>
      <c r="Q167" s="1350">
        <f>IF($D167=$E167,IF(Q$111=$B167+$E167,$I167,0),0)</f>
        <v>0</v>
      </c>
      <c r="R167" s="1350">
        <f>IF($D167=$E167,IF(R$111=$B167+$E167,$I167,0),0)</f>
        <v>0</v>
      </c>
      <c r="S167" s="1350">
        <f>IF($D167=$E167,IF(S$111=$B167+$E167,$I167,0),0)</f>
        <v>0</v>
      </c>
      <c r="T167" s="1350">
        <f>IF($D167=$E167,IF(T$111=$B167+$E167,$I167,0),0)</f>
        <v>0</v>
      </c>
      <c r="U167" s="1350"/>
      <c r="V167" s="1350"/>
      <c r="W167" s="1350">
        <f ca="1">IF(W$111-$B167=$D167,$I167*(((1+$F167)^$D167)-1),0)</f>
        <v>0</v>
      </c>
      <c r="X167" s="1350">
        <f>IF(X$111-$B167=$D167,$I167*(((1+$F167)^$D167)-1),0)</f>
        <v>0</v>
      </c>
      <c r="Y167" s="1350">
        <f>IF(Y$111-$B167=$D167,$I167*(((1+$F167)^$D167)-1),0)</f>
        <v>0</v>
      </c>
      <c r="Z167" s="1350">
        <f>IF(Z$111-$B167=$D167,$I167*(((1+$F167)^$D167)-1),0)</f>
        <v>0</v>
      </c>
      <c r="AA167" s="1350">
        <f>IF(AA$111-$B167=$D167,$I167*(((1+$F167)^$D167)-1),0)</f>
        <v>0</v>
      </c>
    </row>
    <row r="168" spans="1:27" s="1150" customFormat="1">
      <c r="A168" s="1347" t="str">
        <f>A167</f>
        <v>ZERO-COUPON BOND</v>
      </c>
      <c r="B168" s="1348">
        <f>B167+1</f>
        <v>2020</v>
      </c>
      <c r="C168" s="1348"/>
      <c r="D168" s="1348">
        <f t="shared" si="42"/>
        <v>0</v>
      </c>
      <c r="E168" s="1348">
        <f t="shared" si="42"/>
        <v>0</v>
      </c>
      <c r="F168" s="1349">
        <f>$N$83</f>
        <v>4.2936438739549099E-3</v>
      </c>
      <c r="H168" s="1350"/>
      <c r="I168" s="1350"/>
      <c r="J168" s="1350">
        <f ca="1">$D$83</f>
        <v>0</v>
      </c>
      <c r="K168" s="1350">
        <f ca="1">J168-R168</f>
        <v>0</v>
      </c>
      <c r="L168" s="1350">
        <f ca="1">K168-S168</f>
        <v>0</v>
      </c>
      <c r="M168" s="1350">
        <f ca="1">L168-T168</f>
        <v>0</v>
      </c>
      <c r="N168" s="1350"/>
      <c r="O168" s="1351"/>
      <c r="P168" s="1350"/>
      <c r="Q168" s="1350">
        <f ca="1">IF($D168=$E168,IF(Q$111=$B168+$E168,$J168,0),0)</f>
        <v>0</v>
      </c>
      <c r="R168" s="1350">
        <f>IF($D168=$E168,IF(R$111=$B168+$E168,$J168,0),0)</f>
        <v>0</v>
      </c>
      <c r="S168" s="1350">
        <f>IF($D168=$E168,IF(S$111=$B168+$E168,$J168,0),0)</f>
        <v>0</v>
      </c>
      <c r="T168" s="1350">
        <f>IF($D168=$E168,IF(T$111=$B168+$E168,$J168,0),0)</f>
        <v>0</v>
      </c>
      <c r="U168" s="1350"/>
      <c r="V168" s="1350"/>
      <c r="W168" s="1350"/>
      <c r="X168" s="1350">
        <f ca="1">IF(X$111-$B168=$D168,$J168*(((1+$F168)^$D168)-1),0)</f>
        <v>0</v>
      </c>
      <c r="Y168" s="1350">
        <f>IF(Y$111-$B168=$D168,$J168*(((1+$F168)^$D168)-1),0)</f>
        <v>0</v>
      </c>
      <c r="Z168" s="1350">
        <f>IF(Z$111-$B168=$D168,$J168*(((1+$F168)^$D168)-1),0)</f>
        <v>0</v>
      </c>
      <c r="AA168" s="1350">
        <f>IF(AA$111-$B168=$D168,$J168*(((1+$F168)^$D168)-1),0)</f>
        <v>0</v>
      </c>
    </row>
    <row r="169" spans="1:27" s="1150" customFormat="1">
      <c r="A169" s="1347" t="str">
        <f>A168</f>
        <v>ZERO-COUPON BOND</v>
      </c>
      <c r="B169" s="1348">
        <f>B168+1</f>
        <v>2021</v>
      </c>
      <c r="C169" s="1348"/>
      <c r="D169" s="1348">
        <f t="shared" si="42"/>
        <v>0</v>
      </c>
      <c r="E169" s="1348">
        <f t="shared" si="42"/>
        <v>0</v>
      </c>
      <c r="F169" s="1349">
        <f>$O$83</f>
        <v>0</v>
      </c>
      <c r="H169" s="1350"/>
      <c r="I169" s="1350"/>
      <c r="J169" s="1350"/>
      <c r="K169" s="1350">
        <f ca="1">$E$83</f>
        <v>0</v>
      </c>
      <c r="L169" s="1350">
        <f ca="1">K169-S169</f>
        <v>0</v>
      </c>
      <c r="M169" s="1350">
        <f ca="1">L169-T169</f>
        <v>0</v>
      </c>
      <c r="N169" s="1350"/>
      <c r="O169" s="1351"/>
      <c r="P169" s="1350"/>
      <c r="Q169" s="1350"/>
      <c r="R169" s="1350">
        <f ca="1">IF($D169=$E169,IF(R$111=$B169+$E169,$K169,0),0)</f>
        <v>0</v>
      </c>
      <c r="S169" s="1350">
        <f>IF($D169=$E169,IF(S$111=$B169+$E169,$K169,0),0)</f>
        <v>0</v>
      </c>
      <c r="T169" s="1350">
        <f>IF($D169=$E169,IF(T$111=$B169+$E169,$K169,0),0)</f>
        <v>0</v>
      </c>
      <c r="U169" s="1350"/>
      <c r="V169" s="1350"/>
      <c r="W169" s="1350"/>
      <c r="X169" s="1350"/>
      <c r="Y169" s="1350">
        <f ca="1">IF(Y$111-$B169=$D169,$K169*(((1+$F169)^$D169)-1),0)</f>
        <v>0</v>
      </c>
      <c r="Z169" s="1350">
        <f>IF(Z$111-$B169=$D169,$K169*(((1+$F169)^$D169)-1),0)</f>
        <v>0</v>
      </c>
      <c r="AA169" s="1350">
        <f>IF(AA$111-$B169=$D169,$K169*(((1+$F169)^$D169)-1),0)</f>
        <v>0</v>
      </c>
    </row>
    <row r="170" spans="1:27" s="1150" customFormat="1">
      <c r="A170" s="1347" t="str">
        <f>A169</f>
        <v>ZERO-COUPON BOND</v>
      </c>
      <c r="B170" s="1348">
        <f>B169+1</f>
        <v>2022</v>
      </c>
      <c r="C170" s="1348"/>
      <c r="D170" s="1348">
        <f t="shared" si="42"/>
        <v>0</v>
      </c>
      <c r="E170" s="1348">
        <f t="shared" si="42"/>
        <v>0</v>
      </c>
      <c r="F170" s="1349">
        <f>$P$83</f>
        <v>0</v>
      </c>
      <c r="H170" s="1350"/>
      <c r="I170" s="1350"/>
      <c r="J170" s="1350"/>
      <c r="K170" s="1350"/>
      <c r="L170" s="1350">
        <f ca="1">$F$83</f>
        <v>0</v>
      </c>
      <c r="M170" s="1350">
        <f ca="1">L170-T170</f>
        <v>0</v>
      </c>
      <c r="N170" s="1350"/>
      <c r="O170" s="1351"/>
      <c r="P170" s="1350"/>
      <c r="Q170" s="1350"/>
      <c r="R170" s="1350"/>
      <c r="S170" s="1350">
        <f ca="1">IF($D170=$E170,IF(S$111=$B170+$E170,$L170,0),0)</f>
        <v>0</v>
      </c>
      <c r="T170" s="1350">
        <f>IF($D170=$E170,IF(T$111=$B170+$E170,$L170,0),0)</f>
        <v>0</v>
      </c>
      <c r="U170" s="1350"/>
      <c r="V170" s="1350"/>
      <c r="W170" s="1350"/>
      <c r="X170" s="1350"/>
      <c r="Y170" s="1350"/>
      <c r="Z170" s="1350">
        <f ca="1">IF(Z$111-$B170=$D170,$L170*(((1+$F170)^$D170)-1),0)</f>
        <v>0</v>
      </c>
      <c r="AA170" s="1350">
        <f>IF(AA$111-$B170=$D170,$L170*(((1+$F170)^$D170)-1),0)</f>
        <v>0</v>
      </c>
    </row>
    <row r="171" spans="1:27" s="1150" customFormat="1">
      <c r="A171" s="1347" t="str">
        <f>A170</f>
        <v>ZERO-COUPON BOND</v>
      </c>
      <c r="B171" s="1348">
        <f>B170+1</f>
        <v>2023</v>
      </c>
      <c r="C171" s="1348"/>
      <c r="D171" s="1348">
        <f t="shared" si="42"/>
        <v>0</v>
      </c>
      <c r="E171" s="1348">
        <f t="shared" si="42"/>
        <v>0</v>
      </c>
      <c r="F171" s="1349">
        <f>$Q$83</f>
        <v>0</v>
      </c>
      <c r="H171" s="1350"/>
      <c r="I171" s="1350"/>
      <c r="J171" s="1350"/>
      <c r="K171" s="1350"/>
      <c r="L171" s="1350"/>
      <c r="M171" s="1350">
        <f ca="1">$G$83</f>
        <v>0</v>
      </c>
      <c r="N171" s="1350"/>
      <c r="O171" s="1351"/>
      <c r="P171" s="1350"/>
      <c r="Q171" s="1350"/>
      <c r="R171" s="1350"/>
      <c r="S171" s="1350"/>
      <c r="T171" s="1350">
        <f ca="1">IF($D171=$E171,IF(T$111=$B171+$E171,$M171,0),0)</f>
        <v>0</v>
      </c>
      <c r="U171" s="1350"/>
      <c r="V171" s="1350"/>
      <c r="W171" s="1350"/>
      <c r="X171" s="1350"/>
      <c r="Y171" s="1350"/>
      <c r="Z171" s="1350"/>
      <c r="AA171" s="1350">
        <f ca="1">IF(AA$111-$B171=$D171,$M171*(((1+$F171)^$D171)-1),0)</f>
        <v>0</v>
      </c>
    </row>
    <row r="172" spans="1:27" ht="15.75" thickBot="1">
      <c r="H172" s="10"/>
      <c r="I172" s="10"/>
      <c r="J172" s="10"/>
      <c r="K172" s="10"/>
      <c r="L172" s="10"/>
      <c r="M172" s="10"/>
      <c r="N172" s="10"/>
      <c r="O172" s="10"/>
      <c r="P172" s="10"/>
      <c r="Q172" s="10"/>
      <c r="R172" s="10"/>
      <c r="S172" s="10"/>
      <c r="T172" s="10"/>
      <c r="U172" s="10"/>
      <c r="V172" s="10"/>
      <c r="W172" s="10"/>
      <c r="X172" s="10"/>
      <c r="Y172" s="10"/>
      <c r="Z172" s="10"/>
      <c r="AA172" s="10"/>
    </row>
    <row r="173" spans="1:27" ht="15.75" thickBot="1">
      <c r="A173" s="12" t="str">
        <f>'Input 4 - Forecast'!A65</f>
        <v>Denominated in foreign currency</v>
      </c>
      <c r="B173" s="1999" t="s">
        <v>52</v>
      </c>
      <c r="C173" s="2000"/>
      <c r="D173" s="2000"/>
      <c r="E173" s="2000"/>
      <c r="F173" s="2000"/>
      <c r="G173" s="2000"/>
      <c r="H173" s="2000"/>
      <c r="I173" s="2000"/>
      <c r="J173" s="2000"/>
      <c r="K173" s="2000"/>
      <c r="L173" s="2000"/>
      <c r="M173" s="2000"/>
      <c r="N173" s="2000"/>
      <c r="O173" s="2000"/>
      <c r="P173" s="2000"/>
      <c r="Q173" s="2000"/>
      <c r="R173" s="2000"/>
      <c r="S173" s="2000"/>
      <c r="T173" s="2000"/>
      <c r="U173" s="2000"/>
      <c r="V173" s="2000"/>
      <c r="W173" s="2000"/>
      <c r="X173" s="2000"/>
      <c r="Y173" s="2000"/>
      <c r="Z173" s="2000"/>
      <c r="AA173" s="2001"/>
    </row>
    <row r="174" spans="1:27">
      <c r="H174" s="10"/>
      <c r="I174" s="10"/>
      <c r="J174" s="10"/>
      <c r="K174" s="10"/>
      <c r="L174" s="10"/>
      <c r="M174" s="10"/>
      <c r="N174" s="10"/>
      <c r="O174" s="10"/>
      <c r="P174" s="10"/>
      <c r="Q174" s="10"/>
      <c r="R174" s="10"/>
      <c r="S174" s="10"/>
      <c r="T174" s="10"/>
      <c r="U174" s="10"/>
      <c r="V174" s="10"/>
      <c r="W174" s="10"/>
      <c r="X174" s="10"/>
      <c r="Y174" s="10"/>
      <c r="Z174" s="10"/>
      <c r="AA174" s="10"/>
    </row>
    <row r="175" spans="1:27">
      <c r="A175" s="8" t="str">
        <f>'Input 4 - Forecast'!A66</f>
        <v>Type 6</v>
      </c>
      <c r="B175" s="7">
        <f>B119</f>
        <v>2018</v>
      </c>
      <c r="C175" s="7" t="str">
        <f>$I85</f>
        <v>Annual</v>
      </c>
      <c r="D175" s="7">
        <f>$J85</f>
        <v>0</v>
      </c>
      <c r="E175" s="7">
        <f>$K85</f>
        <v>0</v>
      </c>
      <c r="F175" s="14">
        <f>$L$85</f>
        <v>0</v>
      </c>
      <c r="H175" s="9">
        <f>$B$85/$B$31</f>
        <v>0</v>
      </c>
      <c r="I175" s="9">
        <f>H175-P175</f>
        <v>0</v>
      </c>
      <c r="J175" s="9">
        <f>I175-Q175</f>
        <v>0</v>
      </c>
      <c r="K175" s="9">
        <f>J175-R175</f>
        <v>0</v>
      </c>
      <c r="L175" s="9">
        <f>K175-S175</f>
        <v>0</v>
      </c>
      <c r="M175" s="9">
        <f>L175-T175</f>
        <v>0</v>
      </c>
      <c r="N175" s="9"/>
      <c r="O175" s="9">
        <f t="shared" ref="O175:T175" si="43">IF(OR($C175="Annual",$D175=$E175),IF(AND($D175=$E175,O$111=$B175+$D175),$H175,IF(AND(O$111&gt;$B175+$D175,O$111&lt;=$B175+$E175), $H175/($E175-$D175),0)), IF(OR(O$111=$B175+$D175,O$111=$B175+$E175),$H175/(($E175-$D175)*2),IF(AND(O$111&gt;$B175+$D175,O$111&lt;$B175+$E175),$H175/($E175-$D175),0)))</f>
        <v>0</v>
      </c>
      <c r="P175" s="9">
        <f t="shared" si="43"/>
        <v>0</v>
      </c>
      <c r="Q175" s="9">
        <f t="shared" si="43"/>
        <v>0</v>
      </c>
      <c r="R175" s="9">
        <f t="shared" si="43"/>
        <v>0</v>
      </c>
      <c r="S175" s="9">
        <f t="shared" si="43"/>
        <v>0</v>
      </c>
      <c r="T175" s="9">
        <f t="shared" si="43"/>
        <v>0</v>
      </c>
      <c r="U175" s="9"/>
      <c r="V175" s="9">
        <f>IF($C175="annual",IF(V$111=$B175,0,G175*$F175),IF(V$111-$B175=0,0,IF((V$111-$B175)&lt;$E175,AVERAGE(G175,H175)*$F175,IF((V$111-$B175)=$E175,G175*$F175/2,0))))</f>
        <v>0</v>
      </c>
      <c r="W175" s="9">
        <f t="shared" ref="W175:AA180" si="44">IF($C175="annual",IF(W$111=$B175,0,H175*$F175),IF(W$111-$B175=0,0,IF((W$111-$B175)&lt;$E175,AVERAGE(H175,I175)*$F175,IF((W$111-$B175)=$E175,H175*$F175/2,0))))</f>
        <v>0</v>
      </c>
      <c r="X175" s="9">
        <f t="shared" si="44"/>
        <v>0</v>
      </c>
      <c r="Y175" s="9">
        <f t="shared" si="44"/>
        <v>0</v>
      </c>
      <c r="Z175" s="9">
        <f t="shared" si="44"/>
        <v>0</v>
      </c>
      <c r="AA175" s="9">
        <f t="shared" si="44"/>
        <v>0</v>
      </c>
    </row>
    <row r="176" spans="1:27">
      <c r="A176" s="8" t="str">
        <f>A175</f>
        <v>Type 6</v>
      </c>
      <c r="B176" s="7">
        <f>B175+1</f>
        <v>2019</v>
      </c>
      <c r="C176" s="7" t="str">
        <f t="shared" ref="C176:D180" si="45">C175</f>
        <v>Annual</v>
      </c>
      <c r="D176" s="7">
        <f t="shared" si="45"/>
        <v>0</v>
      </c>
      <c r="E176" s="7">
        <f>E175</f>
        <v>0</v>
      </c>
      <c r="F176" s="14">
        <f>$M$85</f>
        <v>4.2936438739549099E-3</v>
      </c>
      <c r="H176" s="9"/>
      <c r="I176" s="9">
        <f ca="1">$C$85/$C$31</f>
        <v>0</v>
      </c>
      <c r="J176" s="9">
        <f ca="1">I176-Q176</f>
        <v>0</v>
      </c>
      <c r="K176" s="9">
        <f ca="1">J176-R176</f>
        <v>0</v>
      </c>
      <c r="L176" s="9">
        <f ca="1">K176-S176</f>
        <v>0</v>
      </c>
      <c r="M176" s="9">
        <f ca="1">L176-T176</f>
        <v>0</v>
      </c>
      <c r="N176" s="9"/>
      <c r="O176" s="9"/>
      <c r="P176" s="9">
        <f ca="1">IF(OR($C176="Annual",$D176=$E176),IF(AND($D176=$E176,P$111=$B176+$D176),$I176,IF(AND(P$111&gt;$B176+$D176,P$111&lt;=$B176+$E176), $I176/($E176-$D176),0)), IF(OR(P$111=$B176+$D176,P$111=$B176+$E176),$I176/(($E176-$D176)*2),IF(AND(P$111&gt;$B176+$D176,P$111&lt;$B176+$E176),$I176/($E176-$D176),0)))</f>
        <v>0</v>
      </c>
      <c r="Q176" s="9">
        <f>IF(OR($C176="Annual",$D176=$E176),IF(AND($D176=$E176,Q$111=$B176+$D176),$I176,IF(AND(Q$111&gt;$B176+$D176,Q$111&lt;=$B176+$E176), $I176/($E176-$D176),0)), IF(OR(Q$111=$B176+$D176,Q$111=$B176+$E176),$I176/(($E176-$D176)*2),IF(AND(Q$111&gt;$B176+$D176,Q$111&lt;$B176+$E176),$I176/($E176-$D176),0)))</f>
        <v>0</v>
      </c>
      <c r="R176" s="9">
        <f>IF(OR($C176="Annual",$D176=$E176),IF(AND($D176=$E176,R$111=$B176+$D176),$I176,IF(AND(R$111&gt;$B176+$D176,R$111&lt;=$B176+$E176), $I176/($E176-$D176),0)), IF(OR(R$111=$B176+$D176,R$111=$B176+$E176),$I176/(($E176-$D176)*2),IF(AND(R$111&gt;$B176+$D176,R$111&lt;$B176+$E176),$I176/($E176-$D176),0)))</f>
        <v>0</v>
      </c>
      <c r="S176" s="9">
        <f>IF(OR($C176="Annual",$D176=$E176),IF(AND($D176=$E176,S$111=$B176+$D176),$I176,IF(AND(S$111&gt;$B176+$D176,S$111&lt;=$B176+$E176), $I176/($E176-$D176),0)), IF(OR(S$111=$B176+$D176,S$111=$B176+$E176),$I176/(($E176-$D176)*2),IF(AND(S$111&gt;$B176+$D176,S$111&lt;$B176+$E176),$I176/($E176-$D176),0)))</f>
        <v>0</v>
      </c>
      <c r="T176" s="9">
        <f>IF(OR($C176="Annual",$D176=$E176),IF(AND($D176=$E176,T$111=$B176+$D176),$I176,IF(AND(T$111&gt;$B176+$D176,T$111&lt;=$B176+$E176), $I176/($E176-$D176),0)), IF(OR(T$111=$B176+$D176,T$111=$B176+$E176),$I176/(($E176-$D176)*2),IF(AND(T$111&gt;$B176+$D176,T$111&lt;$B176+$E176),$I176/($E176-$D176),0)))</f>
        <v>0</v>
      </c>
      <c r="U176" s="9"/>
      <c r="V176" s="9"/>
      <c r="W176" s="9">
        <f t="shared" si="44"/>
        <v>0</v>
      </c>
      <c r="X176" s="9">
        <f t="shared" ca="1" si="44"/>
        <v>0</v>
      </c>
      <c r="Y176" s="9">
        <f t="shared" ca="1" si="44"/>
        <v>0</v>
      </c>
      <c r="Z176" s="9">
        <f t="shared" ca="1" si="44"/>
        <v>0</v>
      </c>
      <c r="AA176" s="9">
        <f t="shared" ca="1" si="44"/>
        <v>0</v>
      </c>
    </row>
    <row r="177" spans="1:27">
      <c r="A177" s="8" t="str">
        <f>A176</f>
        <v>Type 6</v>
      </c>
      <c r="B177" s="7">
        <f>B176+1</f>
        <v>2020</v>
      </c>
      <c r="C177" s="7" t="str">
        <f t="shared" si="45"/>
        <v>Annual</v>
      </c>
      <c r="D177" s="7">
        <f t="shared" si="45"/>
        <v>0</v>
      </c>
      <c r="E177" s="7">
        <f>E176</f>
        <v>0</v>
      </c>
      <c r="F177" s="14">
        <f>$N$85</f>
        <v>4.2936438739549099E-3</v>
      </c>
      <c r="H177" s="9"/>
      <c r="I177" s="9"/>
      <c r="J177" s="9">
        <f ca="1">$D$85/$D$31</f>
        <v>0</v>
      </c>
      <c r="K177" s="9">
        <f ca="1">J177-R177</f>
        <v>0</v>
      </c>
      <c r="L177" s="9">
        <f ca="1">K177-S177</f>
        <v>0</v>
      </c>
      <c r="M177" s="9">
        <f ca="1">L177-T177</f>
        <v>0</v>
      </c>
      <c r="N177" s="9"/>
      <c r="O177" s="9"/>
      <c r="P177" s="9"/>
      <c r="Q177" s="9">
        <f ca="1">IF(OR($C177="Annual",$D177=$E177),IF(AND($D177=$E177,Q$111=$B177+$D177),$J177,IF(AND(Q$111&gt;$B177+$D177,Q$111&lt;=$B177+$E177), $J177/($E177-$D177),0)), IF(OR(Q$111=$B177+$D177,Q$111=$B177+$E177),$J177/(($E177-$D177)*2),IF(AND(Q$111&gt;$B177+$D177,Q$111&lt;$B177+$E177),$J177/($E177-$D177),0)))</f>
        <v>0</v>
      </c>
      <c r="R177" s="9">
        <f>IF(OR($C177="Annual",$D177=$E177),IF(AND($D177=$E177,R$111=$B177+$D177),$J177,IF(AND(R$111&gt;$B177+$D177,R$111&lt;=$B177+$E177), $J177/($E177-$D177),0)), IF(OR(R$111=$B177+$D177,R$111=$B177+$E177),$J177/(($E177-$D177)*2),IF(AND(R$111&gt;$B177+$D177,R$111&lt;$B177+$E177),$J177/($E177-$D177),0)))</f>
        <v>0</v>
      </c>
      <c r="S177" s="9">
        <f>IF(OR($C177="Annual",$D177=$E177),IF(AND($D177=$E177,S$111=$B177+$D177),$J177,IF(AND(S$111&gt;$B177+$D177,S$111&lt;=$B177+$E177), $J177/($E177-$D177),0)), IF(OR(S$111=$B177+$D177,S$111=$B177+$E177),$J177/(($E177-$D177)*2),IF(AND(S$111&gt;$B177+$D177,S$111&lt;$B177+$E177),$J177/($E177-$D177),0)))</f>
        <v>0</v>
      </c>
      <c r="T177" s="9">
        <f>IF(OR($C177="Annual",$D177=$E177),IF(AND($D177=$E177,T$111=$B177+$D177),$J177,IF(AND(T$111&gt;$B177+$D177,T$111&lt;=$B177+$E177), $J177/($E177-$D177),0)), IF(OR(T$111=$B177+$D177,T$111=$B177+$E177),$J177/(($E177-$D177)*2),IF(AND(T$111&gt;$B177+$D177,T$111&lt;$B177+$E177),$J177/($E177-$D177),0)))</f>
        <v>0</v>
      </c>
      <c r="U177" s="9"/>
      <c r="V177" s="9"/>
      <c r="W177" s="9"/>
      <c r="X177" s="9">
        <f t="shared" si="44"/>
        <v>0</v>
      </c>
      <c r="Y177" s="9">
        <f t="shared" ca="1" si="44"/>
        <v>0</v>
      </c>
      <c r="Z177" s="9">
        <f t="shared" ca="1" si="44"/>
        <v>0</v>
      </c>
      <c r="AA177" s="9">
        <f t="shared" ca="1" si="44"/>
        <v>0</v>
      </c>
    </row>
    <row r="178" spans="1:27">
      <c r="A178" s="8" t="str">
        <f>A177</f>
        <v>Type 6</v>
      </c>
      <c r="B178" s="7">
        <f>B177+1</f>
        <v>2021</v>
      </c>
      <c r="C178" s="7" t="str">
        <f t="shared" si="45"/>
        <v>Annual</v>
      </c>
      <c r="D178" s="7">
        <f t="shared" si="45"/>
        <v>0</v>
      </c>
      <c r="E178" s="7">
        <f>E177</f>
        <v>0</v>
      </c>
      <c r="F178" s="14">
        <f>$O$85</f>
        <v>0</v>
      </c>
      <c r="H178" s="9"/>
      <c r="I178" s="9"/>
      <c r="J178" s="9"/>
      <c r="K178" s="9">
        <f ca="1">$E$85/$E$31</f>
        <v>0</v>
      </c>
      <c r="L178" s="9">
        <f ca="1">K178-S178</f>
        <v>0</v>
      </c>
      <c r="M178" s="9">
        <f ca="1">L178-T178</f>
        <v>0</v>
      </c>
      <c r="N178" s="9"/>
      <c r="O178" s="9"/>
      <c r="P178" s="9"/>
      <c r="Q178" s="9"/>
      <c r="R178" s="9">
        <f ca="1">IF(OR($C178="Annual",$D178=$E178),IF(AND($D178=$E178,R$111=$B178+$D178),$K178,IF(AND(R$111&gt;$B178+$D178,R$111&lt;=$B178+$E178), $K178/($E178-$D178),0)), IF(OR(R$111=$B178+$D178,R$111=$B178+$E178),$K178/(($E178-$D178)*2),IF(AND(R$111&gt;$B178+$D178,R$111&lt;$B178+$E178),$K178/($E178-$D178),0)))</f>
        <v>0</v>
      </c>
      <c r="S178" s="9">
        <f>IF(OR($C178="Annual",$D178=$E178),IF(AND($D178=$E178,S$111=$B178+$D178),$K178,IF(AND(S$111&gt;$B178+$D178,S$111&lt;=$B178+$E178), $K178/($E178-$D178),0)), IF(OR(S$111=$B178+$D178,S$111=$B178+$E178),$K178/(($E178-$D178)*2),IF(AND(S$111&gt;$B178+$D178,S$111&lt;$B178+$E178),$K178/($E178-$D178),0)))</f>
        <v>0</v>
      </c>
      <c r="T178" s="9">
        <f>IF(OR($C178="Annual",$D178=$E178),IF(AND($D178=$E178,T$111=$B178+$D178),$K178,IF(AND(T$111&gt;$B178+$D178,T$111&lt;=$B178+$E178), $K178/($E178-$D178),0)), IF(OR(T$111=$B178+$D178,T$111=$B178+$E178),$K178/(($E178-$D178)*2),IF(AND(T$111&gt;$B178+$D178,T$111&lt;$B178+$E178),$K178/($E178-$D178),0)))</f>
        <v>0</v>
      </c>
      <c r="U178" s="9"/>
      <c r="V178" s="9"/>
      <c r="W178" s="9"/>
      <c r="X178" s="9"/>
      <c r="Y178" s="9">
        <f t="shared" si="44"/>
        <v>0</v>
      </c>
      <c r="Z178" s="9">
        <f t="shared" ca="1" si="44"/>
        <v>0</v>
      </c>
      <c r="AA178" s="9">
        <f t="shared" ca="1" si="44"/>
        <v>0</v>
      </c>
    </row>
    <row r="179" spans="1:27">
      <c r="A179" s="8" t="str">
        <f>A178</f>
        <v>Type 6</v>
      </c>
      <c r="B179" s="7">
        <f>B178+1</f>
        <v>2022</v>
      </c>
      <c r="C179" s="7" t="str">
        <f t="shared" si="45"/>
        <v>Annual</v>
      </c>
      <c r="D179" s="7">
        <f t="shared" si="45"/>
        <v>0</v>
      </c>
      <c r="E179" s="7">
        <f>E178</f>
        <v>0</v>
      </c>
      <c r="F179" s="14">
        <f>$P$85</f>
        <v>0</v>
      </c>
      <c r="H179" s="9"/>
      <c r="I179" s="9"/>
      <c r="J179" s="9"/>
      <c r="K179" s="9"/>
      <c r="L179" s="9">
        <f ca="1">$F$85/$F$31</f>
        <v>0</v>
      </c>
      <c r="M179" s="9">
        <f ca="1">L179-T179</f>
        <v>0</v>
      </c>
      <c r="N179" s="9"/>
      <c r="O179" s="9"/>
      <c r="P179" s="9"/>
      <c r="Q179" s="9"/>
      <c r="R179" s="9"/>
      <c r="S179" s="9">
        <f ca="1">IF(OR($C179="Annual",$D179=$E179),IF(AND($D179=$E179,S$111=$B179+$D179),$L179,IF(AND(S$111&gt;$B179+$D179,S$111&lt;=$B179+$E179), $L179/($E179-$D179),0)), IF(OR(S$111=$B179+$D179,S$111=$B179+$E179),$L179/(($E179-$D179)*2),IF(AND(S$111&gt;$B179+$D179,S$111&lt;$B179+$E179),$L179/($E179-$D179),0)))</f>
        <v>0</v>
      </c>
      <c r="T179" s="9">
        <f>IF(OR($C179="Annual",$D179=$E179),IF(AND($D179=$E179,T$111=$B179+$D179),$L179,IF(AND(T$111&gt;$B179+$D179,T$111&lt;=$B179+$E179), $L179/($E179-$D179),0)), IF(OR(T$111=$B179+$D179,T$111=$B179+$E179),$L179/(($E179-$D179)*2),IF(AND(T$111&gt;$B179+$D179,T$111&lt;$B179+$E179),$L179/($E179-$D179),0)))</f>
        <v>0</v>
      </c>
      <c r="U179" s="9"/>
      <c r="V179" s="9"/>
      <c r="W179" s="9"/>
      <c r="X179" s="9"/>
      <c r="Y179" s="9"/>
      <c r="Z179" s="9">
        <f t="shared" si="44"/>
        <v>0</v>
      </c>
      <c r="AA179" s="9">
        <f t="shared" ca="1" si="44"/>
        <v>0</v>
      </c>
    </row>
    <row r="180" spans="1:27">
      <c r="A180" s="8" t="str">
        <f>A179</f>
        <v>Type 6</v>
      </c>
      <c r="B180" s="7">
        <f>B179+1</f>
        <v>2023</v>
      </c>
      <c r="C180" s="7" t="str">
        <f t="shared" si="45"/>
        <v>Annual</v>
      </c>
      <c r="D180" s="7">
        <f t="shared" si="45"/>
        <v>0</v>
      </c>
      <c r="E180" s="7">
        <f>E179</f>
        <v>0</v>
      </c>
      <c r="F180" s="14">
        <f>$Q$85</f>
        <v>0</v>
      </c>
      <c r="H180" s="9"/>
      <c r="I180" s="9"/>
      <c r="J180" s="9"/>
      <c r="K180" s="9"/>
      <c r="L180" s="9"/>
      <c r="M180" s="9">
        <f ca="1">$G$85/$G$31</f>
        <v>0</v>
      </c>
      <c r="N180" s="9"/>
      <c r="O180" s="9"/>
      <c r="P180" s="9"/>
      <c r="Q180" s="9"/>
      <c r="R180" s="9"/>
      <c r="S180" s="9"/>
      <c r="T180" s="9">
        <f ca="1">IF(OR($C180="Annual",$D180=$E180),IF(AND($D180=$E180,T$111=$B180+$D180),$M180,IF(AND(T$111&gt;$B180+$D180,T$111&lt;=$B180+$E180), $M180/($E180-$D180),0)), IF(OR(T$111=$B180+$D180,T$111=$B180+$E180),$M180/(($E180-$D180)*2),IF(AND(T$111&gt;$B180+$D180,T$111&lt;$B180+$E180),$M180/($E180-$D180),0)))</f>
        <v>0</v>
      </c>
      <c r="U180" s="9"/>
      <c r="V180" s="9"/>
      <c r="W180" s="9"/>
      <c r="X180" s="9"/>
      <c r="Y180" s="9"/>
      <c r="Z180" s="9"/>
      <c r="AA180" s="9">
        <f t="shared" si="44"/>
        <v>0</v>
      </c>
    </row>
    <row r="181" spans="1:27">
      <c r="A181" s="8"/>
      <c r="B181" s="7"/>
      <c r="C181" s="7"/>
      <c r="D181" s="7"/>
      <c r="E181" s="7"/>
      <c r="F181" s="15"/>
      <c r="H181" s="9"/>
      <c r="I181" s="9"/>
      <c r="J181" s="9"/>
      <c r="K181" s="9"/>
      <c r="L181" s="9"/>
      <c r="M181" s="9"/>
      <c r="N181" s="9"/>
      <c r="O181" s="278"/>
      <c r="P181" s="10"/>
      <c r="Q181" s="10"/>
      <c r="R181" s="10"/>
      <c r="S181" s="10"/>
      <c r="T181" s="10"/>
      <c r="U181" s="9"/>
      <c r="V181" s="10"/>
      <c r="W181" s="10"/>
      <c r="X181" s="10"/>
      <c r="Y181" s="10"/>
      <c r="Z181" s="10"/>
      <c r="AA181" s="10"/>
    </row>
    <row r="182" spans="1:27">
      <c r="A182" s="8" t="str">
        <f>'Input 4 - Forecast'!A67</f>
        <v>Type 7</v>
      </c>
      <c r="B182" s="7">
        <f>B119</f>
        <v>2018</v>
      </c>
      <c r="C182" s="7" t="str">
        <f>$I86</f>
        <v>Annual</v>
      </c>
      <c r="D182" s="7">
        <f>$J86</f>
        <v>0</v>
      </c>
      <c r="E182" s="7">
        <f>$K86</f>
        <v>0</v>
      </c>
      <c r="F182" s="14">
        <f>$L$86</f>
        <v>0</v>
      </c>
      <c r="H182" s="9">
        <f>$B$86/$B$31</f>
        <v>0</v>
      </c>
      <c r="I182" s="9">
        <f>H182-P182</f>
        <v>0</v>
      </c>
      <c r="J182" s="9">
        <f>I182-Q182</f>
        <v>0</v>
      </c>
      <c r="K182" s="9">
        <f>J182-R182</f>
        <v>0</v>
      </c>
      <c r="L182" s="9">
        <f>K182-S182</f>
        <v>0</v>
      </c>
      <c r="M182" s="9">
        <f>L182-T182</f>
        <v>0</v>
      </c>
      <c r="N182" s="9"/>
      <c r="O182" s="9">
        <f t="shared" ref="O182:T182" si="46">IF(OR($C182="Annual",$D182=$E182),IF(AND($D182=$E182,O$111=$B182+$D182),$H182,IF(AND(O$111&gt;$B182+$D182,O$111&lt;=$B182+$E182), $H182/($E182-$D182),0)), IF(OR(O$111=$B182+$D182,O$111=$B182+$E182),$H182/(($E182-$D182)*2),IF(AND(O$111&gt;$B182+$D182,O$111&lt;$B182+$E182),$H182/($E182-$D182),0)))</f>
        <v>0</v>
      </c>
      <c r="P182" s="9">
        <f t="shared" si="46"/>
        <v>0</v>
      </c>
      <c r="Q182" s="9">
        <f t="shared" si="46"/>
        <v>0</v>
      </c>
      <c r="R182" s="9">
        <f t="shared" si="46"/>
        <v>0</v>
      </c>
      <c r="S182" s="9">
        <f t="shared" si="46"/>
        <v>0</v>
      </c>
      <c r="T182" s="9">
        <f t="shared" si="46"/>
        <v>0</v>
      </c>
      <c r="U182" s="9"/>
      <c r="V182" s="9">
        <f>IF($C182="annual",IF(V$111=$B182,0,G182*$F182),IF(V$111-$B182=0,0,IF((V$111-$B182)&lt;$E182,AVERAGE(G182,H182)*$F182,IF((V$111-$B182)=$E182,G182*$F182/2,0))))</f>
        <v>0</v>
      </c>
      <c r="W182" s="9">
        <f t="shared" ref="W182:AA187" si="47">IF($C182="annual",IF(W$111=$B182,0,H182*$F182),IF(W$111-$B182=0,0,IF((W$111-$B182)&lt;$E182,AVERAGE(H182,I182)*$F182,IF((W$111-$B182)=$E182,H182*$F182/2,0))))</f>
        <v>0</v>
      </c>
      <c r="X182" s="9">
        <f t="shared" si="47"/>
        <v>0</v>
      </c>
      <c r="Y182" s="9">
        <f t="shared" si="47"/>
        <v>0</v>
      </c>
      <c r="Z182" s="9">
        <f t="shared" si="47"/>
        <v>0</v>
      </c>
      <c r="AA182" s="9">
        <f t="shared" si="47"/>
        <v>0</v>
      </c>
    </row>
    <row r="183" spans="1:27">
      <c r="A183" s="8" t="str">
        <f>A182</f>
        <v>Type 7</v>
      </c>
      <c r="B183" s="7">
        <f>B182+1</f>
        <v>2019</v>
      </c>
      <c r="C183" s="7" t="str">
        <f>C182</f>
        <v>Annual</v>
      </c>
      <c r="D183" s="7">
        <f>D182</f>
        <v>0</v>
      </c>
      <c r="E183" s="7">
        <f>E182</f>
        <v>0</v>
      </c>
      <c r="F183" s="14">
        <f>$M$86</f>
        <v>4.2936438739549099E-3</v>
      </c>
      <c r="H183" s="9"/>
      <c r="I183" s="9">
        <f ca="1">$C$86/$C$31</f>
        <v>0</v>
      </c>
      <c r="J183" s="9">
        <f ca="1">I183-Q183</f>
        <v>0</v>
      </c>
      <c r="K183" s="9">
        <f ca="1">J183-R183</f>
        <v>0</v>
      </c>
      <c r="L183" s="9">
        <f ca="1">K183-S183</f>
        <v>0</v>
      </c>
      <c r="M183" s="9">
        <f ca="1">L183-T183</f>
        <v>0</v>
      </c>
      <c r="N183" s="9"/>
      <c r="O183" s="9"/>
      <c r="P183" s="9">
        <f ca="1">IF(OR($C183="Annual",$D183=$E183),IF(AND($D183=$E183,P$111=$B183+$D183),$I183,IF(AND(P$111&gt;$B183+$D183,P$111&lt;=$B183+$E183), $I183/($E183-$D183),0)), IF(OR(P$111=$B183+$D183,P$111=$B183+$E183),$I183/(($E183-$D183)*2),IF(AND(P$111&gt;$B183+$D183,P$111&lt;$B183+$E183),$I183/($E183-$D183),0)))</f>
        <v>0</v>
      </c>
      <c r="Q183" s="9">
        <f>IF(OR($C183="Annual",$D183=$E183),IF(AND($D183=$E183,Q$111=$B183+$D183),$I183,IF(AND(Q$111&gt;$B183+$D183,Q$111&lt;=$B183+$E183), $I183/($E183-$D183),0)), IF(OR(Q$111=$B183+$D183,Q$111=$B183+$E183),$I183/(($E183-$D183)*2),IF(AND(Q$111&gt;$B183+$D183,Q$111&lt;$B183+$E183),$I183/($E183-$D183),0)))</f>
        <v>0</v>
      </c>
      <c r="R183" s="9">
        <f>IF(OR($C183="Annual",$D183=$E183),IF(AND($D183=$E183,R$111=$B183+$D183),$I183,IF(AND(R$111&gt;$B183+$D183,R$111&lt;=$B183+$E183), $I183/($E183-$D183),0)), IF(OR(R$111=$B183+$D183,R$111=$B183+$E183),$I183/(($E183-$D183)*2),IF(AND(R$111&gt;$B183+$D183,R$111&lt;$B183+$E183),$I183/($E183-$D183),0)))</f>
        <v>0</v>
      </c>
      <c r="S183" s="9">
        <f>IF(OR($C183="Annual",$D183=$E183),IF(AND($D183=$E183,S$111=$B183+$D183),$I183,IF(AND(S$111&gt;$B183+$D183,S$111&lt;=$B183+$E183), $I183/($E183-$D183),0)), IF(OR(S$111=$B183+$D183,S$111=$B183+$E183),$I183/(($E183-$D183)*2),IF(AND(S$111&gt;$B183+$D183,S$111&lt;$B183+$E183),$I183/($E183-$D183),0)))</f>
        <v>0</v>
      </c>
      <c r="T183" s="9">
        <f>IF(OR($C183="Annual",$D183=$E183),IF(AND($D183=$E183,T$111=$B183+$D183),$I183,IF(AND(T$111&gt;$B183+$D183,T$111&lt;=$B183+$E183), $I183/($E183-$D183),0)), IF(OR(T$111=$B183+$D183,T$111=$B183+$E183),$I183/(($E183-$D183)*2),IF(AND(T$111&gt;$B183+$D183,T$111&lt;$B183+$E183),$I183/($E183-$D183),0)))</f>
        <v>0</v>
      </c>
      <c r="U183" s="9"/>
      <c r="V183" s="9"/>
      <c r="W183" s="9">
        <f t="shared" si="47"/>
        <v>0</v>
      </c>
      <c r="X183" s="9">
        <f t="shared" ca="1" si="47"/>
        <v>0</v>
      </c>
      <c r="Y183" s="9">
        <f t="shared" ca="1" si="47"/>
        <v>0</v>
      </c>
      <c r="Z183" s="9">
        <f t="shared" ca="1" si="47"/>
        <v>0</v>
      </c>
      <c r="AA183" s="9">
        <f t="shared" ca="1" si="47"/>
        <v>0</v>
      </c>
    </row>
    <row r="184" spans="1:27">
      <c r="A184" s="8" t="str">
        <f>A183</f>
        <v>Type 7</v>
      </c>
      <c r="B184" s="7">
        <f>B183+1</f>
        <v>2020</v>
      </c>
      <c r="C184" s="7" t="str">
        <f t="shared" ref="C184:D187" si="48">C183</f>
        <v>Annual</v>
      </c>
      <c r="D184" s="7">
        <f t="shared" si="48"/>
        <v>0</v>
      </c>
      <c r="E184" s="7">
        <f>E183</f>
        <v>0</v>
      </c>
      <c r="F184" s="14">
        <f>$N$86</f>
        <v>4.2936438739549099E-3</v>
      </c>
      <c r="H184" s="9"/>
      <c r="I184" s="9"/>
      <c r="J184" s="9">
        <f ca="1">$D$86/$D$31</f>
        <v>0</v>
      </c>
      <c r="K184" s="9">
        <f ca="1">J184-R184</f>
        <v>0</v>
      </c>
      <c r="L184" s="9">
        <f ca="1">K184-S184</f>
        <v>0</v>
      </c>
      <c r="M184" s="9">
        <f ca="1">L184-T184</f>
        <v>0</v>
      </c>
      <c r="N184" s="9"/>
      <c r="O184" s="9"/>
      <c r="P184" s="9"/>
      <c r="Q184" s="9">
        <f ca="1">IF(OR($C184="Annual",$D184=$E184),IF(AND($D184=$E184,Q$111=$B184+$D184),$J184,IF(AND(Q$111&gt;$B184+$D184,Q$111&lt;=$B184+$E184), $J184/($E184-$D184),0)), IF(OR(Q$111=$B184+$D184,Q$111=$B184+$E184),$J184/(($E184-$D184)*2),IF(AND(Q$111&gt;$B184+$D184,Q$111&lt;$B184+$E184),$J184/($E184-$D184),0)))</f>
        <v>0</v>
      </c>
      <c r="R184" s="9">
        <f>IF(OR($C184="Annual",$D184=$E184),IF(AND($D184=$E184,R$111=$B184+$D184),$J184,IF(AND(R$111&gt;$B184+$D184,R$111&lt;=$B184+$E184), $J184/($E184-$D184),0)), IF(OR(R$111=$B184+$D184,R$111=$B184+$E184),$J184/(($E184-$D184)*2),IF(AND(R$111&gt;$B184+$D184,R$111&lt;$B184+$E184),$J184/($E184-$D184),0)))</f>
        <v>0</v>
      </c>
      <c r="S184" s="9">
        <f>IF(OR($C184="Annual",$D184=$E184),IF(AND($D184=$E184,S$111=$B184+$D184),$J184,IF(AND(S$111&gt;$B184+$D184,S$111&lt;=$B184+$E184), $J184/($E184-$D184),0)), IF(OR(S$111=$B184+$D184,S$111=$B184+$E184),$J184/(($E184-$D184)*2),IF(AND(S$111&gt;$B184+$D184,S$111&lt;$B184+$E184),$J184/($E184-$D184),0)))</f>
        <v>0</v>
      </c>
      <c r="T184" s="9">
        <f>IF(OR($C184="Annual",$D184=$E184),IF(AND($D184=$E184,T$111=$B184+$D184),$J184,IF(AND(T$111&gt;$B184+$D184,T$111&lt;=$B184+$E184), $J184/($E184-$D184),0)), IF(OR(T$111=$B184+$D184,T$111=$B184+$E184),$J184/(($E184-$D184)*2),IF(AND(T$111&gt;$B184+$D184,T$111&lt;$B184+$E184),$J184/($E184-$D184),0)))</f>
        <v>0</v>
      </c>
      <c r="U184" s="9"/>
      <c r="V184" s="9"/>
      <c r="W184" s="9"/>
      <c r="X184" s="9">
        <f t="shared" si="47"/>
        <v>0</v>
      </c>
      <c r="Y184" s="9">
        <f t="shared" ca="1" si="47"/>
        <v>0</v>
      </c>
      <c r="Z184" s="9">
        <f t="shared" ca="1" si="47"/>
        <v>0</v>
      </c>
      <c r="AA184" s="9">
        <f t="shared" ca="1" si="47"/>
        <v>0</v>
      </c>
    </row>
    <row r="185" spans="1:27">
      <c r="A185" s="8" t="str">
        <f>A184</f>
        <v>Type 7</v>
      </c>
      <c r="B185" s="7">
        <f>B184+1</f>
        <v>2021</v>
      </c>
      <c r="C185" s="7" t="str">
        <f t="shared" si="48"/>
        <v>Annual</v>
      </c>
      <c r="D185" s="7">
        <f t="shared" si="48"/>
        <v>0</v>
      </c>
      <c r="E185" s="7">
        <f>E184</f>
        <v>0</v>
      </c>
      <c r="F185" s="14">
        <f>$O$86</f>
        <v>0</v>
      </c>
      <c r="H185" s="9"/>
      <c r="I185" s="9"/>
      <c r="J185" s="9"/>
      <c r="K185" s="9">
        <f ca="1">$E$86/$E$31</f>
        <v>0</v>
      </c>
      <c r="L185" s="9">
        <f ca="1">K185-S185</f>
        <v>0</v>
      </c>
      <c r="M185" s="9">
        <f ca="1">L185-T185</f>
        <v>0</v>
      </c>
      <c r="N185" s="9"/>
      <c r="O185" s="9"/>
      <c r="P185" s="9"/>
      <c r="Q185" s="9"/>
      <c r="R185" s="9">
        <f ca="1">IF(OR($C185="Annual",$D185=$E185),IF(AND($D185=$E185,R$111=$B185+$D185),$K185,IF(AND(R$111&gt;$B185+$D185,R$111&lt;=$B185+$E185), $K185/($E185-$D185),0)), IF(OR(R$111=$B185+$D185,R$111=$B185+$E185),$K185/(($E185-$D185)*2),IF(AND(R$111&gt;$B185+$D185,R$111&lt;$B185+$E185),$K185/($E185-$D185),0)))</f>
        <v>0</v>
      </c>
      <c r="S185" s="9">
        <f>IF(OR($C185="Annual",$D185=$E185),IF(AND($D185=$E185,S$111=$B185+$D185),$K185,IF(AND(S$111&gt;$B185+$D185,S$111&lt;=$B185+$E185), $K185/($E185-$D185),0)), IF(OR(S$111=$B185+$D185,S$111=$B185+$E185),$K185/(($E185-$D185)*2),IF(AND(S$111&gt;$B185+$D185,S$111&lt;$B185+$E185),$K185/($E185-$D185),0)))</f>
        <v>0</v>
      </c>
      <c r="T185" s="9">
        <f>IF(OR($C185="Annual",$D185=$E185),IF(AND($D185=$E185,T$111=$B185+$D185),$K185,IF(AND(T$111&gt;$B185+$D185,T$111&lt;=$B185+$E185), $K185/($E185-$D185),0)), IF(OR(T$111=$B185+$D185,T$111=$B185+$E185),$K185/(($E185-$D185)*2),IF(AND(T$111&gt;$B185+$D185,T$111&lt;$B185+$E185),$K185/($E185-$D185),0)))</f>
        <v>0</v>
      </c>
      <c r="U185" s="9"/>
      <c r="V185" s="9"/>
      <c r="W185" s="9"/>
      <c r="X185" s="9"/>
      <c r="Y185" s="9">
        <f t="shared" si="47"/>
        <v>0</v>
      </c>
      <c r="Z185" s="9">
        <f t="shared" ca="1" si="47"/>
        <v>0</v>
      </c>
      <c r="AA185" s="9">
        <f t="shared" ca="1" si="47"/>
        <v>0</v>
      </c>
    </row>
    <row r="186" spans="1:27">
      <c r="A186" s="8" t="str">
        <f>A185</f>
        <v>Type 7</v>
      </c>
      <c r="B186" s="7">
        <f>B185+1</f>
        <v>2022</v>
      </c>
      <c r="C186" s="7" t="str">
        <f t="shared" si="48"/>
        <v>Annual</v>
      </c>
      <c r="D186" s="7">
        <f t="shared" si="48"/>
        <v>0</v>
      </c>
      <c r="E186" s="7">
        <f>E185</f>
        <v>0</v>
      </c>
      <c r="F186" s="14">
        <f>$P$86</f>
        <v>0</v>
      </c>
      <c r="H186" s="9"/>
      <c r="I186" s="9"/>
      <c r="J186" s="9"/>
      <c r="K186" s="9"/>
      <c r="L186" s="9">
        <f ca="1">$F$86/$F$31</f>
        <v>0</v>
      </c>
      <c r="M186" s="9">
        <f ca="1">L186-T186</f>
        <v>0</v>
      </c>
      <c r="N186" s="9"/>
      <c r="O186" s="9"/>
      <c r="P186" s="9"/>
      <c r="Q186" s="9"/>
      <c r="R186" s="9"/>
      <c r="S186" s="9">
        <f ca="1">IF(OR($C186="Annual",$D186=$E186),IF(AND($D186=$E186,S$111=$B186+$D186),$L186,IF(AND(S$111&gt;$B186+$D186,S$111&lt;=$B186+$E186), $L186/($E186-$D186),0)), IF(OR(S$111=$B186+$D186,S$111=$B186+$E186),$L186/(($E186-$D186)*2),IF(AND(S$111&gt;$B186+$D186,S$111&lt;$B186+$E186),$L186/($E186-$D186),0)))</f>
        <v>0</v>
      </c>
      <c r="T186" s="9">
        <f>IF(OR($C186="Annual",$D186=$E186),IF(AND($D186=$E186,T$111=$B186+$D186),$L186,IF(AND(T$111&gt;$B186+$D186,T$111&lt;=$B186+$E186), $L186/($E186-$D186),0)), IF(OR(T$111=$B186+$D186,T$111=$B186+$E186),$L186/(($E186-$D186)*2),IF(AND(T$111&gt;$B186+$D186,T$111&lt;$B186+$E186),$L186/($E186-$D186),0)))</f>
        <v>0</v>
      </c>
      <c r="U186" s="9"/>
      <c r="V186" s="9"/>
      <c r="W186" s="9"/>
      <c r="X186" s="9"/>
      <c r="Y186" s="9"/>
      <c r="Z186" s="9">
        <f t="shared" si="47"/>
        <v>0</v>
      </c>
      <c r="AA186" s="9">
        <f t="shared" ca="1" si="47"/>
        <v>0</v>
      </c>
    </row>
    <row r="187" spans="1:27">
      <c r="A187" s="8" t="str">
        <f>A186</f>
        <v>Type 7</v>
      </c>
      <c r="B187" s="7">
        <f>B186+1</f>
        <v>2023</v>
      </c>
      <c r="C187" s="7" t="str">
        <f t="shared" si="48"/>
        <v>Annual</v>
      </c>
      <c r="D187" s="7">
        <f t="shared" si="48"/>
        <v>0</v>
      </c>
      <c r="E187" s="7">
        <f>E186</f>
        <v>0</v>
      </c>
      <c r="F187" s="14">
        <f>$Q$86</f>
        <v>0</v>
      </c>
      <c r="H187" s="9"/>
      <c r="I187" s="9"/>
      <c r="J187" s="9"/>
      <c r="K187" s="9"/>
      <c r="L187" s="9"/>
      <c r="M187" s="9">
        <f ca="1">$G$86/$G$31</f>
        <v>0</v>
      </c>
      <c r="N187" s="9"/>
      <c r="O187" s="9"/>
      <c r="P187" s="9"/>
      <c r="Q187" s="9"/>
      <c r="R187" s="9"/>
      <c r="S187" s="9"/>
      <c r="T187" s="9">
        <f ca="1">IF(OR($C187="Annual",$D187=$E187),IF(AND($D187=$E187,T$111=$B187+$D187),$M187,IF(AND(T$111&gt;$B187+$D187,T$111&lt;=$B187+$E187), $M187/($E187-$D187),0)), IF(OR(T$111=$B187+$D187,T$111=$B187+$E187),$M187/(($E187-$D187)*2),IF(AND(T$111&gt;$B187+$D187,T$111&lt;$B187+$E187),$M187/($E187-$D187),0)))</f>
        <v>0</v>
      </c>
      <c r="U187" s="9"/>
      <c r="V187" s="9"/>
      <c r="W187" s="9"/>
      <c r="X187" s="9"/>
      <c r="Y187" s="9"/>
      <c r="Z187" s="9"/>
      <c r="AA187" s="9">
        <f t="shared" si="47"/>
        <v>0</v>
      </c>
    </row>
    <row r="188" spans="1:27">
      <c r="A188" s="8"/>
      <c r="B188" s="7"/>
      <c r="C188" s="7"/>
      <c r="D188" s="7"/>
      <c r="E188" s="7"/>
      <c r="F188" s="15"/>
      <c r="H188" s="9"/>
      <c r="I188" s="9"/>
      <c r="J188" s="9"/>
      <c r="K188" s="9"/>
      <c r="L188" s="9"/>
      <c r="M188" s="9"/>
      <c r="N188" s="9"/>
      <c r="O188" s="278"/>
      <c r="P188" s="10"/>
      <c r="Q188" s="10"/>
      <c r="R188" s="10"/>
      <c r="S188" s="10"/>
      <c r="T188" s="10"/>
      <c r="U188" s="9"/>
      <c r="V188" s="10"/>
      <c r="W188" s="10"/>
      <c r="X188" s="10"/>
      <c r="Y188" s="10"/>
      <c r="Z188" s="10"/>
      <c r="AA188" s="10"/>
    </row>
    <row r="189" spans="1:27">
      <c r="A189" s="8" t="str">
        <f>'Input 4 - Forecast'!A68</f>
        <v>Type 8</v>
      </c>
      <c r="B189" s="7">
        <f>B119</f>
        <v>2018</v>
      </c>
      <c r="C189" s="7" t="str">
        <f>$I87</f>
        <v>Annual</v>
      </c>
      <c r="D189" s="7">
        <f>$J87</f>
        <v>0</v>
      </c>
      <c r="E189" s="7">
        <f>$K87</f>
        <v>0</v>
      </c>
      <c r="F189" s="14">
        <f>$L$87</f>
        <v>0</v>
      </c>
      <c r="H189" s="9">
        <f>$B$87/$B$31</f>
        <v>0</v>
      </c>
      <c r="I189" s="9">
        <f>H189-P189</f>
        <v>0</v>
      </c>
      <c r="J189" s="9">
        <f>I189-Q189</f>
        <v>0</v>
      </c>
      <c r="K189" s="9">
        <f>J189-R189</f>
        <v>0</v>
      </c>
      <c r="L189" s="9">
        <f>K189-S189</f>
        <v>0</v>
      </c>
      <c r="M189" s="9">
        <f>L189-T189</f>
        <v>0</v>
      </c>
      <c r="N189" s="9"/>
      <c r="O189" s="9">
        <f t="shared" ref="O189:T189" si="49">IF(OR($C189="Annual",$D189=$E189),IF(AND($D189=$E189,O$111=$B189+$D189),$H189,IF(AND(O$111&gt;$B189+$D189,O$111&lt;=$B189+$E189), $H189/($E189-$D189),0)), IF(OR(O$111=$B189+$D189,O$111=$B189+$E189),$H189/(($E189-$D189)*2),IF(AND(O$111&gt;$B189+$D189,O$111&lt;$B189+$E189),$H189/($E189-$D189),0)))</f>
        <v>0</v>
      </c>
      <c r="P189" s="9">
        <f t="shared" si="49"/>
        <v>0</v>
      </c>
      <c r="Q189" s="9">
        <f t="shared" si="49"/>
        <v>0</v>
      </c>
      <c r="R189" s="9">
        <f t="shared" si="49"/>
        <v>0</v>
      </c>
      <c r="S189" s="9">
        <f t="shared" si="49"/>
        <v>0</v>
      </c>
      <c r="T189" s="9">
        <f t="shared" si="49"/>
        <v>0</v>
      </c>
      <c r="U189" s="9"/>
      <c r="V189" s="9">
        <f>IF($C189="annual",IF(V$111=$B189,0,G189*$F189),IF(V$111-$B189=0,0,IF((V$111-$B189)&lt;$E189,AVERAGE(G189,H189)*$F189,IF((V$111-$B189)=$E189,G189*$F189/2,0))))</f>
        <v>0</v>
      </c>
      <c r="W189" s="9">
        <f t="shared" ref="W189:AA194" si="50">IF($C189="annual",IF(W$111=$B189,0,H189*$F189),IF(W$111-$B189=0,0,IF((W$111-$B189)&lt;$E189,AVERAGE(H189,I189)*$F189,IF((W$111-$B189)=$E189,H189*$F189/2,0))))</f>
        <v>0</v>
      </c>
      <c r="X189" s="9">
        <f t="shared" si="50"/>
        <v>0</v>
      </c>
      <c r="Y189" s="9">
        <f t="shared" si="50"/>
        <v>0</v>
      </c>
      <c r="Z189" s="9">
        <f t="shared" si="50"/>
        <v>0</v>
      </c>
      <c r="AA189" s="9">
        <f t="shared" si="50"/>
        <v>0</v>
      </c>
    </row>
    <row r="190" spans="1:27">
      <c r="A190" s="8" t="str">
        <f>A189</f>
        <v>Type 8</v>
      </c>
      <c r="B190" s="7">
        <f>B189+1</f>
        <v>2019</v>
      </c>
      <c r="C190" s="7" t="str">
        <f t="shared" ref="C190:D194" si="51">C189</f>
        <v>Annual</v>
      </c>
      <c r="D190" s="7">
        <f t="shared" si="51"/>
        <v>0</v>
      </c>
      <c r="E190" s="7">
        <f>E189</f>
        <v>0</v>
      </c>
      <c r="F190" s="14">
        <f>$M$87</f>
        <v>4.2936438739549099E-3</v>
      </c>
      <c r="H190" s="9"/>
      <c r="I190" s="9">
        <f ca="1">$C$87/$C$31</f>
        <v>0</v>
      </c>
      <c r="J190" s="9">
        <f ca="1">I190-Q190</f>
        <v>0</v>
      </c>
      <c r="K190" s="9">
        <f ca="1">J190-R190</f>
        <v>0</v>
      </c>
      <c r="L190" s="9">
        <f ca="1">K190-S190</f>
        <v>0</v>
      </c>
      <c r="M190" s="9">
        <f ca="1">L190-T190</f>
        <v>0</v>
      </c>
      <c r="N190" s="9"/>
      <c r="O190" s="9"/>
      <c r="P190" s="9">
        <f ca="1">IF(OR($C190="Annual",$D190=$E190),IF(AND($D190=$E190,P$111=$B190+$D190),$I190,IF(AND(P$111&gt;$B190+$D190,P$111&lt;=$B190+$E190), $I190/($E190-$D190),0)), IF(OR(P$111=$B190+$D190,P$111=$B190+$E190),$I190/(($E190-$D190)*2),IF(AND(P$111&gt;$B190+$D190,P$111&lt;$B190+$E190),$I190/($E190-$D190),0)))</f>
        <v>0</v>
      </c>
      <c r="Q190" s="9">
        <f>IF(OR($C190="Annual",$D190=$E190),IF(AND($D190=$E190,Q$111=$B190+$D190),$I190,IF(AND(Q$111&gt;$B190+$D190,Q$111&lt;=$B190+$E190), $I190/($E190-$D190),0)), IF(OR(Q$111=$B190+$D190,Q$111=$B190+$E190),$I190/(($E190-$D190)*2),IF(AND(Q$111&gt;$B190+$D190,Q$111&lt;$B190+$E190),$I190/($E190-$D190),0)))</f>
        <v>0</v>
      </c>
      <c r="R190" s="9">
        <f>IF(OR($C190="Annual",$D190=$E190),IF(AND($D190=$E190,R$111=$B190+$D190),$I190,IF(AND(R$111&gt;$B190+$D190,R$111&lt;=$B190+$E190), $I190/($E190-$D190),0)), IF(OR(R$111=$B190+$D190,R$111=$B190+$E190),$I190/(($E190-$D190)*2),IF(AND(R$111&gt;$B190+$D190,R$111&lt;$B190+$E190),$I190/($E190-$D190),0)))</f>
        <v>0</v>
      </c>
      <c r="S190" s="9">
        <f>IF(OR($C190="Annual",$D190=$E190),IF(AND($D190=$E190,S$111=$B190+$D190),$I190,IF(AND(S$111&gt;$B190+$D190,S$111&lt;=$B190+$E190), $I190/($E190-$D190),0)), IF(OR(S$111=$B190+$D190,S$111=$B190+$E190),$I190/(($E190-$D190)*2),IF(AND(S$111&gt;$B190+$D190,S$111&lt;$B190+$E190),$I190/($E190-$D190),0)))</f>
        <v>0</v>
      </c>
      <c r="T190" s="9">
        <f>IF(OR($C190="Annual",$D190=$E190),IF(AND($D190=$E190,T$111=$B190+$D190),$I190,IF(AND(T$111&gt;$B190+$D190,T$111&lt;=$B190+$E190), $I190/($E190-$D190),0)), IF(OR(T$111=$B190+$D190,T$111=$B190+$E190),$I190/(($E190-$D190)*2),IF(AND(T$111&gt;$B190+$D190,T$111&lt;$B190+$E190),$I190/($E190-$D190),0)))</f>
        <v>0</v>
      </c>
      <c r="U190" s="9"/>
      <c r="V190" s="9"/>
      <c r="W190" s="9">
        <f t="shared" si="50"/>
        <v>0</v>
      </c>
      <c r="X190" s="9">
        <f t="shared" ca="1" si="50"/>
        <v>0</v>
      </c>
      <c r="Y190" s="9">
        <f t="shared" ca="1" si="50"/>
        <v>0</v>
      </c>
      <c r="Z190" s="9">
        <f t="shared" ca="1" si="50"/>
        <v>0</v>
      </c>
      <c r="AA190" s="9">
        <f t="shared" ca="1" si="50"/>
        <v>0</v>
      </c>
    </row>
    <row r="191" spans="1:27">
      <c r="A191" s="8" t="str">
        <f>A190</f>
        <v>Type 8</v>
      </c>
      <c r="B191" s="7">
        <f>B190+1</f>
        <v>2020</v>
      </c>
      <c r="C191" s="7" t="str">
        <f t="shared" si="51"/>
        <v>Annual</v>
      </c>
      <c r="D191" s="7">
        <f t="shared" si="51"/>
        <v>0</v>
      </c>
      <c r="E191" s="7">
        <f>E190</f>
        <v>0</v>
      </c>
      <c r="F191" s="14">
        <f>$N$87</f>
        <v>4.2936438739549099E-3</v>
      </c>
      <c r="H191" s="9"/>
      <c r="I191" s="9"/>
      <c r="J191" s="9">
        <f ca="1">$D$87/$D$31</f>
        <v>0</v>
      </c>
      <c r="K191" s="9">
        <f ca="1">J191-R191</f>
        <v>0</v>
      </c>
      <c r="L191" s="9">
        <f ca="1">K191-S191</f>
        <v>0</v>
      </c>
      <c r="M191" s="9">
        <f ca="1">L191-T191</f>
        <v>0</v>
      </c>
      <c r="N191" s="9"/>
      <c r="O191" s="9"/>
      <c r="P191" s="9"/>
      <c r="Q191" s="9">
        <f ca="1">IF(OR($C191="Annual",$D191=$E191),IF(AND($D191=$E191,Q$111=$B191+$D191),$J191,IF(AND(Q$111&gt;$B191+$D191,Q$111&lt;=$B191+$E191), $J191/($E191-$D191),0)), IF(OR(Q$111=$B191+$D191,Q$111=$B191+$E191),$J191/(($E191-$D191)*2),IF(AND(Q$111&gt;$B191+$D191,Q$111&lt;$B191+$E191),$J191/($E191-$D191),0)))</f>
        <v>0</v>
      </c>
      <c r="R191" s="9">
        <f>IF(OR($C191="Annual",$D191=$E191),IF(AND($D191=$E191,R$111=$B191+$D191),$J191,IF(AND(R$111&gt;$B191+$D191,R$111&lt;=$B191+$E191), $J191/($E191-$D191),0)), IF(OR(R$111=$B191+$D191,R$111=$B191+$E191),$J191/(($E191-$D191)*2),IF(AND(R$111&gt;$B191+$D191,R$111&lt;$B191+$E191),$J191/($E191-$D191),0)))</f>
        <v>0</v>
      </c>
      <c r="S191" s="9">
        <f>IF(OR($C191="Annual",$D191=$E191),IF(AND($D191=$E191,S$111=$B191+$D191),$J191,IF(AND(S$111&gt;$B191+$D191,S$111&lt;=$B191+$E191), $J191/($E191-$D191),0)), IF(OR(S$111=$B191+$D191,S$111=$B191+$E191),$J191/(($E191-$D191)*2),IF(AND(S$111&gt;$B191+$D191,S$111&lt;$B191+$E191),$J191/($E191-$D191),0)))</f>
        <v>0</v>
      </c>
      <c r="T191" s="9">
        <f>IF(OR($C191="Annual",$D191=$E191),IF(AND($D191=$E191,T$111=$B191+$D191),$J191,IF(AND(T$111&gt;$B191+$D191,T$111&lt;=$B191+$E191), $J191/($E191-$D191),0)), IF(OR(T$111=$B191+$D191,T$111=$B191+$E191),$J191/(($E191-$D191)*2),IF(AND(T$111&gt;$B191+$D191,T$111&lt;$B191+$E191),$J191/($E191-$D191),0)))</f>
        <v>0</v>
      </c>
      <c r="U191" s="9"/>
      <c r="V191" s="9"/>
      <c r="W191" s="9"/>
      <c r="X191" s="9">
        <f t="shared" si="50"/>
        <v>0</v>
      </c>
      <c r="Y191" s="9">
        <f t="shared" ca="1" si="50"/>
        <v>0</v>
      </c>
      <c r="Z191" s="9">
        <f t="shared" ca="1" si="50"/>
        <v>0</v>
      </c>
      <c r="AA191" s="9">
        <f t="shared" ca="1" si="50"/>
        <v>0</v>
      </c>
    </row>
    <row r="192" spans="1:27">
      <c r="A192" s="8" t="str">
        <f>A191</f>
        <v>Type 8</v>
      </c>
      <c r="B192" s="7">
        <f>B191+1</f>
        <v>2021</v>
      </c>
      <c r="C192" s="7" t="str">
        <f t="shared" si="51"/>
        <v>Annual</v>
      </c>
      <c r="D192" s="7">
        <f t="shared" si="51"/>
        <v>0</v>
      </c>
      <c r="E192" s="7">
        <f>E191</f>
        <v>0</v>
      </c>
      <c r="F192" s="14">
        <f>$O$87</f>
        <v>0</v>
      </c>
      <c r="H192" s="9"/>
      <c r="I192" s="9"/>
      <c r="J192" s="9"/>
      <c r="K192" s="9">
        <f ca="1">$E$87/$E$31</f>
        <v>0</v>
      </c>
      <c r="L192" s="9">
        <f ca="1">K192-S192</f>
        <v>0</v>
      </c>
      <c r="M192" s="9">
        <f ca="1">L192-T192</f>
        <v>0</v>
      </c>
      <c r="N192" s="9"/>
      <c r="O192" s="9"/>
      <c r="P192" s="9"/>
      <c r="Q192" s="9"/>
      <c r="R192" s="9">
        <f ca="1">IF(OR($C192="Annual",$D192=$E192),IF(AND($D192=$E192,R$111=$B192+$D192),$K192,IF(AND(R$111&gt;$B192+$D192,R$111&lt;=$B192+$E192), $K192/($E192-$D192),0)), IF(OR(R$111=$B192+$D192,R$111=$B192+$E192),$K192/(($E192-$D192)*2),IF(AND(R$111&gt;$B192+$D192,R$111&lt;$B192+$E192),$K192/($E192-$D192),0)))</f>
        <v>0</v>
      </c>
      <c r="S192" s="9">
        <f>IF(OR($C192="Annual",$D192=$E192),IF(AND($D192=$E192,S$111=$B192+$D192),$K192,IF(AND(S$111&gt;$B192+$D192,S$111&lt;=$B192+$E192), $K192/($E192-$D192),0)), IF(OR(S$111=$B192+$D192,S$111=$B192+$E192),$K192/(($E192-$D192)*2),IF(AND(S$111&gt;$B192+$D192,S$111&lt;$B192+$E192),$K192/($E192-$D192),0)))</f>
        <v>0</v>
      </c>
      <c r="T192" s="9">
        <f>IF(OR($C192="Annual",$D192=$E192),IF(AND($D192=$E192,T$111=$B192+$D192),$K192,IF(AND(T$111&gt;$B192+$D192,T$111&lt;=$B192+$E192), $K192/($E192-$D192),0)), IF(OR(T$111=$B192+$D192,T$111=$B192+$E192),$K192/(($E192-$D192)*2),IF(AND(T$111&gt;$B192+$D192,T$111&lt;$B192+$E192),$K192/($E192-$D192),0)))</f>
        <v>0</v>
      </c>
      <c r="U192" s="9"/>
      <c r="V192" s="9"/>
      <c r="W192" s="9"/>
      <c r="X192" s="9"/>
      <c r="Y192" s="9">
        <f t="shared" si="50"/>
        <v>0</v>
      </c>
      <c r="Z192" s="9">
        <f t="shared" ca="1" si="50"/>
        <v>0</v>
      </c>
      <c r="AA192" s="9">
        <f t="shared" ca="1" si="50"/>
        <v>0</v>
      </c>
    </row>
    <row r="193" spans="1:27">
      <c r="A193" s="8" t="str">
        <f>A192</f>
        <v>Type 8</v>
      </c>
      <c r="B193" s="7">
        <f>B192+1</f>
        <v>2022</v>
      </c>
      <c r="C193" s="7" t="str">
        <f t="shared" si="51"/>
        <v>Annual</v>
      </c>
      <c r="D193" s="7">
        <f t="shared" si="51"/>
        <v>0</v>
      </c>
      <c r="E193" s="7">
        <f>E192</f>
        <v>0</v>
      </c>
      <c r="F193" s="14">
        <f>$P$87</f>
        <v>0</v>
      </c>
      <c r="H193" s="9"/>
      <c r="I193" s="9"/>
      <c r="J193" s="9"/>
      <c r="K193" s="9"/>
      <c r="L193" s="9">
        <f ca="1">$F$87/$F$31</f>
        <v>0</v>
      </c>
      <c r="M193" s="9">
        <f ca="1">L193-T193</f>
        <v>0</v>
      </c>
      <c r="N193" s="9"/>
      <c r="O193" s="9"/>
      <c r="P193" s="9"/>
      <c r="Q193" s="9"/>
      <c r="R193" s="9"/>
      <c r="S193" s="9">
        <f ca="1">IF(OR($C193="Annual",$D193=$E193),IF(AND($D193=$E193,S$111=$B193+$D193),$L193,IF(AND(S$111&gt;$B193+$D193,S$111&lt;=$B193+$E193), $L193/($E193-$D193),0)), IF(OR(S$111=$B193+$D193,S$111=$B193+$E193),$L193/(($E193-$D193)*2),IF(AND(S$111&gt;$B193+$D193,S$111&lt;$B193+$E193),$L193/($E193-$D193),0)))</f>
        <v>0</v>
      </c>
      <c r="T193" s="9">
        <f>IF(OR($C193="Annual",$D193=$E193),IF(AND($D193=$E193,T$111=$B193+$D193),$L193,IF(AND(T$111&gt;$B193+$D193,T$111&lt;=$B193+$E193), $L193/($E193-$D193),0)), IF(OR(T$111=$B193+$D193,T$111=$B193+$E193),$L193/(($E193-$D193)*2),IF(AND(T$111&gt;$B193+$D193,T$111&lt;$B193+$E193),$L193/($E193-$D193),0)))</f>
        <v>0</v>
      </c>
      <c r="U193" s="9"/>
      <c r="V193" s="9"/>
      <c r="W193" s="9"/>
      <c r="X193" s="9"/>
      <c r="Y193" s="9"/>
      <c r="Z193" s="9">
        <f t="shared" si="50"/>
        <v>0</v>
      </c>
      <c r="AA193" s="9">
        <f t="shared" ca="1" si="50"/>
        <v>0</v>
      </c>
    </row>
    <row r="194" spans="1:27">
      <c r="A194" s="8" t="str">
        <f>A193</f>
        <v>Type 8</v>
      </c>
      <c r="B194" s="7">
        <f>B193+1</f>
        <v>2023</v>
      </c>
      <c r="C194" s="7" t="str">
        <f t="shared" si="51"/>
        <v>Annual</v>
      </c>
      <c r="D194" s="7">
        <f t="shared" si="51"/>
        <v>0</v>
      </c>
      <c r="E194" s="7">
        <f>E193</f>
        <v>0</v>
      </c>
      <c r="F194" s="14">
        <f>$Q$87</f>
        <v>0</v>
      </c>
      <c r="H194" s="9"/>
      <c r="I194" s="9"/>
      <c r="J194" s="9"/>
      <c r="K194" s="9"/>
      <c r="L194" s="9"/>
      <c r="M194" s="9">
        <f ca="1">$G$87/$G$31</f>
        <v>0</v>
      </c>
      <c r="N194" s="9"/>
      <c r="O194" s="9"/>
      <c r="P194" s="9"/>
      <c r="Q194" s="9"/>
      <c r="R194" s="9"/>
      <c r="S194" s="9"/>
      <c r="T194" s="9">
        <f ca="1">IF(OR($C194="Annual",$D194=$E194),IF(AND($D194=$E194,T$111=$B194+$D194),$M194,IF(AND(T$111&gt;$B194+$D194,T$111&lt;=$B194+$E194), $M194/($E194-$D194),0)), IF(OR(T$111=$B194+$D194,T$111=$B194+$E194),$M194/(($E194-$D194)*2),IF(AND(T$111&gt;$B194+$D194,T$111&lt;$B194+$E194),$M194/($E194-$D194),0)))</f>
        <v>0</v>
      </c>
      <c r="U194" s="9"/>
      <c r="V194" s="9"/>
      <c r="W194" s="9"/>
      <c r="X194" s="9"/>
      <c r="Y194" s="9"/>
      <c r="Z194" s="9"/>
      <c r="AA194" s="9">
        <f t="shared" si="50"/>
        <v>0</v>
      </c>
    </row>
    <row r="195" spans="1:27">
      <c r="A195" s="8"/>
      <c r="B195" s="7"/>
      <c r="C195" s="7"/>
      <c r="D195" s="7"/>
      <c r="E195" s="7"/>
      <c r="F195" s="15"/>
      <c r="H195" s="9"/>
      <c r="I195" s="9"/>
      <c r="J195" s="9"/>
      <c r="K195" s="9"/>
      <c r="L195" s="9"/>
      <c r="M195" s="9"/>
      <c r="N195" s="9"/>
      <c r="O195" s="278"/>
      <c r="P195" s="10"/>
      <c r="Q195" s="10"/>
      <c r="R195" s="10"/>
      <c r="S195" s="10"/>
      <c r="T195" s="10"/>
      <c r="U195" s="9"/>
      <c r="V195" s="10"/>
      <c r="W195" s="10"/>
      <c r="X195" s="10"/>
      <c r="Y195" s="10"/>
      <c r="Z195" s="10"/>
      <c r="AA195" s="10"/>
    </row>
    <row r="196" spans="1:27">
      <c r="A196" s="8" t="str">
        <f>'Input 4 - Forecast'!A69</f>
        <v>Type 9</v>
      </c>
      <c r="B196" s="7">
        <f>B119</f>
        <v>2018</v>
      </c>
      <c r="C196" s="7" t="str">
        <f>$I88</f>
        <v>Annual</v>
      </c>
      <c r="D196" s="7">
        <f>$J88</f>
        <v>0</v>
      </c>
      <c r="E196" s="7">
        <f>$K88</f>
        <v>0</v>
      </c>
      <c r="F196" s="14">
        <f>$L$88</f>
        <v>0</v>
      </c>
      <c r="H196" s="9">
        <f>$B$88/$B$31</f>
        <v>0</v>
      </c>
      <c r="I196" s="9">
        <f>H196-P196</f>
        <v>0</v>
      </c>
      <c r="J196" s="9">
        <f>I196-Q196</f>
        <v>0</v>
      </c>
      <c r="K196" s="9">
        <f>J196-R196</f>
        <v>0</v>
      </c>
      <c r="L196" s="9">
        <f>K196-S196</f>
        <v>0</v>
      </c>
      <c r="M196" s="9">
        <f>L196-T196</f>
        <v>0</v>
      </c>
      <c r="N196" s="9"/>
      <c r="O196" s="9">
        <f t="shared" ref="O196:T196" si="52">IF(OR($C196="Annual",$D196=$E196),IF(AND($D196=$E196,O$111=$B196+$D196),$H196,IF(AND(O$111&gt;$B196+$D196,O$111&lt;=$B196+$E196), $H196/($E196-$D196),0)), IF(OR(O$111=$B196+$D196,O$111=$B196+$E196),$H196/(($E196-$D196)*2),IF(AND(O$111&gt;$B196+$D196,O$111&lt;$B196+$E196),$H196/($E196-$D196),0)))</f>
        <v>0</v>
      </c>
      <c r="P196" s="9">
        <f t="shared" si="52"/>
        <v>0</v>
      </c>
      <c r="Q196" s="9">
        <f t="shared" si="52"/>
        <v>0</v>
      </c>
      <c r="R196" s="9">
        <f t="shared" si="52"/>
        <v>0</v>
      </c>
      <c r="S196" s="9">
        <f t="shared" si="52"/>
        <v>0</v>
      </c>
      <c r="T196" s="9">
        <f t="shared" si="52"/>
        <v>0</v>
      </c>
      <c r="U196" s="9"/>
      <c r="V196" s="9">
        <f>IF($C196="annual",IF(V$111=$B196,0,G196*$F196),IF(V$111-$B196=0,0,IF((V$111-$B196)&lt;$E196,AVERAGE(G196,H196)*$F196,IF((V$111-$B196)=$E196,G196*$F196/2,0))))</f>
        <v>0</v>
      </c>
      <c r="W196" s="9">
        <f t="shared" ref="W196:AA201" si="53">IF($C196="annual",IF(W$111=$B196,0,H196*$F196),IF(W$111-$B196=0,0,IF((W$111-$B196)&lt;$E196,AVERAGE(H196,I196)*$F196,IF((W$111-$B196)=$E196,H196*$F196/2,0))))</f>
        <v>0</v>
      </c>
      <c r="X196" s="9">
        <f t="shared" si="53"/>
        <v>0</v>
      </c>
      <c r="Y196" s="9">
        <f t="shared" si="53"/>
        <v>0</v>
      </c>
      <c r="Z196" s="9">
        <f t="shared" si="53"/>
        <v>0</v>
      </c>
      <c r="AA196" s="9">
        <f t="shared" si="53"/>
        <v>0</v>
      </c>
    </row>
    <row r="197" spans="1:27">
      <c r="A197" s="8" t="str">
        <f>A196</f>
        <v>Type 9</v>
      </c>
      <c r="B197" s="7">
        <f>B196+1</f>
        <v>2019</v>
      </c>
      <c r="C197" s="7" t="str">
        <f t="shared" ref="C197:D201" si="54">C196</f>
        <v>Annual</v>
      </c>
      <c r="D197" s="7">
        <f t="shared" si="54"/>
        <v>0</v>
      </c>
      <c r="E197" s="7">
        <f>E196</f>
        <v>0</v>
      </c>
      <c r="F197" s="14">
        <f>$M$88</f>
        <v>4.2936438739549099E-3</v>
      </c>
      <c r="H197" s="9"/>
      <c r="I197" s="9">
        <f ca="1">$C$88/$C$31</f>
        <v>0</v>
      </c>
      <c r="J197" s="9">
        <f ca="1">I197-Q197</f>
        <v>0</v>
      </c>
      <c r="K197" s="9">
        <f ca="1">J197-R197</f>
        <v>0</v>
      </c>
      <c r="L197" s="9">
        <f ca="1">K197-S197</f>
        <v>0</v>
      </c>
      <c r="M197" s="9">
        <f ca="1">L197-T197</f>
        <v>0</v>
      </c>
      <c r="N197" s="9"/>
      <c r="O197" s="9"/>
      <c r="P197" s="9">
        <f ca="1">IF(OR($C197="Annual",$D197=$E197),IF(AND($D197=$E197,P$111=$B197+$D197),$I197,IF(AND(P$111&gt;$B197+$D197,P$111&lt;=$B197+$E197), $I197/($E197-$D197),0)), IF(OR(P$111=$B197+$D197,P$111=$B197+$E197),$I197/(($E197-$D197)*2),IF(AND(P$111&gt;$B197+$D197,P$111&lt;$B197+$E197),$I197/($E197-$D197),0)))</f>
        <v>0</v>
      </c>
      <c r="Q197" s="9">
        <f>IF(OR($C197="Annual",$D197=$E197),IF(AND($D197=$E197,Q$111=$B197+$D197),$I197,IF(AND(Q$111&gt;$B197+$D197,Q$111&lt;=$B197+$E197), $I197/($E197-$D197),0)), IF(OR(Q$111=$B197+$D197,Q$111=$B197+$E197),$I197/(($E197-$D197)*2),IF(AND(Q$111&gt;$B197+$D197,Q$111&lt;$B197+$E197),$I197/($E197-$D197),0)))</f>
        <v>0</v>
      </c>
      <c r="R197" s="9">
        <f>IF(OR($C197="Annual",$D197=$E197),IF(AND($D197=$E197,R$111=$B197+$D197),$I197,IF(AND(R$111&gt;$B197+$D197,R$111&lt;=$B197+$E197), $I197/($E197-$D197),0)), IF(OR(R$111=$B197+$D197,R$111=$B197+$E197),$I197/(($E197-$D197)*2),IF(AND(R$111&gt;$B197+$D197,R$111&lt;$B197+$E197),$I197/($E197-$D197),0)))</f>
        <v>0</v>
      </c>
      <c r="S197" s="9">
        <f>IF(OR($C197="Annual",$D197=$E197),IF(AND($D197=$E197,S$111=$B197+$D197),$I197,IF(AND(S$111&gt;$B197+$D197,S$111&lt;=$B197+$E197), $I197/($E197-$D197),0)), IF(OR(S$111=$B197+$D197,S$111=$B197+$E197),$I197/(($E197-$D197)*2),IF(AND(S$111&gt;$B197+$D197,S$111&lt;$B197+$E197),$I197/($E197-$D197),0)))</f>
        <v>0</v>
      </c>
      <c r="T197" s="9">
        <f>IF(OR($C197="Annual",$D197=$E197),IF(AND($D197=$E197,T$111=$B197+$D197),$I197,IF(AND(T$111&gt;$B197+$D197,T$111&lt;=$B197+$E197), $I197/($E197-$D197),0)), IF(OR(T$111=$B197+$D197,T$111=$B197+$E197),$I197/(($E197-$D197)*2),IF(AND(T$111&gt;$B197+$D197,T$111&lt;$B197+$E197),$I197/($E197-$D197),0)))</f>
        <v>0</v>
      </c>
      <c r="U197" s="9"/>
      <c r="V197" s="9"/>
      <c r="W197" s="9">
        <f t="shared" si="53"/>
        <v>0</v>
      </c>
      <c r="X197" s="9">
        <f t="shared" ca="1" si="53"/>
        <v>0</v>
      </c>
      <c r="Y197" s="9">
        <f t="shared" ca="1" si="53"/>
        <v>0</v>
      </c>
      <c r="Z197" s="9">
        <f t="shared" ca="1" si="53"/>
        <v>0</v>
      </c>
      <c r="AA197" s="9">
        <f t="shared" ca="1" si="53"/>
        <v>0</v>
      </c>
    </row>
    <row r="198" spans="1:27">
      <c r="A198" s="8" t="str">
        <f>A197</f>
        <v>Type 9</v>
      </c>
      <c r="B198" s="7">
        <f>B197+1</f>
        <v>2020</v>
      </c>
      <c r="C198" s="7" t="str">
        <f t="shared" si="54"/>
        <v>Annual</v>
      </c>
      <c r="D198" s="7">
        <f t="shared" si="54"/>
        <v>0</v>
      </c>
      <c r="E198" s="7">
        <f>E197</f>
        <v>0</v>
      </c>
      <c r="F198" s="14">
        <f>$N$88</f>
        <v>4.2936438739549099E-3</v>
      </c>
      <c r="H198" s="9"/>
      <c r="I198" s="9"/>
      <c r="J198" s="9">
        <f ca="1">$D$88/$D$31</f>
        <v>0</v>
      </c>
      <c r="K198" s="9">
        <f ca="1">J198-R198</f>
        <v>0</v>
      </c>
      <c r="L198" s="9">
        <f ca="1">K198-S198</f>
        <v>0</v>
      </c>
      <c r="M198" s="9">
        <f ca="1">L198-T198</f>
        <v>0</v>
      </c>
      <c r="N198" s="9"/>
      <c r="O198" s="9"/>
      <c r="P198" s="9"/>
      <c r="Q198" s="9">
        <f ca="1">IF(OR($C198="Annual",$D198=$E198),IF(AND($D198=$E198,Q$111=$B198+$D198),$J198,IF(AND(Q$111&gt;$B198+$D198,Q$111&lt;=$B198+$E198), $J198/($E198-$D198),0)), IF(OR(Q$111=$B198+$D198,Q$111=$B198+$E198),$J198/(($E198-$D198)*2),IF(AND(Q$111&gt;$B198+$D198,Q$111&lt;$B198+$E198),$J198/($E198-$D198),0)))</f>
        <v>0</v>
      </c>
      <c r="R198" s="9">
        <f>IF(OR($C198="Annual",$D198=$E198),IF(AND($D198=$E198,R$111=$B198+$D198),$J198,IF(AND(R$111&gt;$B198+$D198,R$111&lt;=$B198+$E198), $J198/($E198-$D198),0)), IF(OR(R$111=$B198+$D198,R$111=$B198+$E198),$J198/(($E198-$D198)*2),IF(AND(R$111&gt;$B198+$D198,R$111&lt;$B198+$E198),$J198/($E198-$D198),0)))</f>
        <v>0</v>
      </c>
      <c r="S198" s="9">
        <f>IF(OR($C198="Annual",$D198=$E198),IF(AND($D198=$E198,S$111=$B198+$D198),$J198,IF(AND(S$111&gt;$B198+$D198,S$111&lt;=$B198+$E198), $J198/($E198-$D198),0)), IF(OR(S$111=$B198+$D198,S$111=$B198+$E198),$J198/(($E198-$D198)*2),IF(AND(S$111&gt;$B198+$D198,S$111&lt;$B198+$E198),$J198/($E198-$D198),0)))</f>
        <v>0</v>
      </c>
      <c r="T198" s="9">
        <f>IF(OR($C198="Annual",$D198=$E198),IF(AND($D198=$E198,T$111=$B198+$D198),$J198,IF(AND(T$111&gt;$B198+$D198,T$111&lt;=$B198+$E198), $J198/($E198-$D198),0)), IF(OR(T$111=$B198+$D198,T$111=$B198+$E198),$J198/(($E198-$D198)*2),IF(AND(T$111&gt;$B198+$D198,T$111&lt;$B198+$E198),$J198/($E198-$D198),0)))</f>
        <v>0</v>
      </c>
      <c r="U198" s="9"/>
      <c r="V198" s="9"/>
      <c r="W198" s="9"/>
      <c r="X198" s="9">
        <f t="shared" si="53"/>
        <v>0</v>
      </c>
      <c r="Y198" s="9">
        <f t="shared" ca="1" si="53"/>
        <v>0</v>
      </c>
      <c r="Z198" s="9">
        <f t="shared" ca="1" si="53"/>
        <v>0</v>
      </c>
      <c r="AA198" s="9">
        <f t="shared" ca="1" si="53"/>
        <v>0</v>
      </c>
    </row>
    <row r="199" spans="1:27">
      <c r="A199" s="8" t="str">
        <f>A198</f>
        <v>Type 9</v>
      </c>
      <c r="B199" s="7">
        <f>B198+1</f>
        <v>2021</v>
      </c>
      <c r="C199" s="7" t="str">
        <f t="shared" si="54"/>
        <v>Annual</v>
      </c>
      <c r="D199" s="7">
        <f t="shared" si="54"/>
        <v>0</v>
      </c>
      <c r="E199" s="7">
        <f>E198</f>
        <v>0</v>
      </c>
      <c r="F199" s="14">
        <f>$O$88</f>
        <v>0</v>
      </c>
      <c r="H199" s="9"/>
      <c r="I199" s="9"/>
      <c r="J199" s="9"/>
      <c r="K199" s="9">
        <f ca="1">$E$88/$E$31</f>
        <v>0</v>
      </c>
      <c r="L199" s="9">
        <f ca="1">K199-S199</f>
        <v>0</v>
      </c>
      <c r="M199" s="9">
        <f ca="1">L199-T199</f>
        <v>0</v>
      </c>
      <c r="N199" s="9"/>
      <c r="O199" s="9"/>
      <c r="P199" s="9"/>
      <c r="Q199" s="9"/>
      <c r="R199" s="9">
        <f ca="1">IF(OR($C199="Annual",$D199=$E199),IF(AND($D199=$E199,R$111=$B199+$D199),$K199,IF(AND(R$111&gt;$B199+$D199,R$111&lt;=$B199+$E199), $K199/($E199-$D199),0)), IF(OR(R$111=$B199+$D199,R$111=$B199+$E199),$K199/(($E199-$D199)*2),IF(AND(R$111&gt;$B199+$D199,R$111&lt;$B199+$E199),$K199/($E199-$D199),0)))</f>
        <v>0</v>
      </c>
      <c r="S199" s="9">
        <f>IF(OR($C199="Annual",$D199=$E199),IF(AND($D199=$E199,S$111=$B199+$D199),$K199,IF(AND(S$111&gt;$B199+$D199,S$111&lt;=$B199+$E199), $K199/($E199-$D199),0)), IF(OR(S$111=$B199+$D199,S$111=$B199+$E199),$K199/(($E199-$D199)*2),IF(AND(S$111&gt;$B199+$D199,S$111&lt;$B199+$E199),$K199/($E199-$D199),0)))</f>
        <v>0</v>
      </c>
      <c r="T199" s="9">
        <f>IF(OR($C199="Annual",$D199=$E199),IF(AND($D199=$E199,T$111=$B199+$D199),$K199,IF(AND(T$111&gt;$B199+$D199,T$111&lt;=$B199+$E199), $K199/($E199-$D199),0)), IF(OR(T$111=$B199+$D199,T$111=$B199+$E199),$K199/(($E199-$D199)*2),IF(AND(T$111&gt;$B199+$D199,T$111&lt;$B199+$E199),$K199/($E199-$D199),0)))</f>
        <v>0</v>
      </c>
      <c r="U199" s="9"/>
      <c r="V199" s="9"/>
      <c r="W199" s="9"/>
      <c r="X199" s="9"/>
      <c r="Y199" s="9">
        <f t="shared" si="53"/>
        <v>0</v>
      </c>
      <c r="Z199" s="9">
        <f t="shared" ca="1" si="53"/>
        <v>0</v>
      </c>
      <c r="AA199" s="9">
        <f t="shared" ca="1" si="53"/>
        <v>0</v>
      </c>
    </row>
    <row r="200" spans="1:27">
      <c r="A200" s="8" t="str">
        <f>A199</f>
        <v>Type 9</v>
      </c>
      <c r="B200" s="7">
        <f>B199+1</f>
        <v>2022</v>
      </c>
      <c r="C200" s="7" t="str">
        <f t="shared" si="54"/>
        <v>Annual</v>
      </c>
      <c r="D200" s="7">
        <f t="shared" si="54"/>
        <v>0</v>
      </c>
      <c r="E200" s="7">
        <f>E199</f>
        <v>0</v>
      </c>
      <c r="F200" s="14">
        <f>$P$88</f>
        <v>0</v>
      </c>
      <c r="H200" s="9"/>
      <c r="I200" s="9"/>
      <c r="J200" s="9"/>
      <c r="K200" s="9"/>
      <c r="L200" s="9">
        <f ca="1">$F$88/$F$31</f>
        <v>0</v>
      </c>
      <c r="M200" s="9">
        <f ca="1">L200-T200</f>
        <v>0</v>
      </c>
      <c r="N200" s="9"/>
      <c r="O200" s="9"/>
      <c r="P200" s="9"/>
      <c r="Q200" s="9"/>
      <c r="R200" s="9"/>
      <c r="S200" s="9">
        <f ca="1">IF(OR($C200="Annual",$D200=$E200),IF(AND($D200=$E200,S$111=$B200+$D200),$L200,IF(AND(S$111&gt;$B200+$D200,S$111&lt;=$B200+$E200), $L200/($E200-$D200),0)), IF(OR(S$111=$B200+$D200,S$111=$B200+$E200),$L200/(($E200-$D200)*2),IF(AND(S$111&gt;$B200+$D200,S$111&lt;$B200+$E200),$L200/($E200-$D200),0)))</f>
        <v>0</v>
      </c>
      <c r="T200" s="9">
        <f>IF(OR($C200="Annual",$D200=$E200),IF(AND($D200=$E200,T$111=$B200+$D200),$L200,IF(AND(T$111&gt;$B200+$D200,T$111&lt;=$B200+$E200), $L200/($E200-$D200),0)), IF(OR(T$111=$B200+$D200,T$111=$B200+$E200),$L200/(($E200-$D200)*2),IF(AND(T$111&gt;$B200+$D200,T$111&lt;$B200+$E200),$L200/($E200-$D200),0)))</f>
        <v>0</v>
      </c>
      <c r="U200" s="9"/>
      <c r="V200" s="9"/>
      <c r="W200" s="9"/>
      <c r="X200" s="9"/>
      <c r="Y200" s="9"/>
      <c r="Z200" s="9">
        <f t="shared" si="53"/>
        <v>0</v>
      </c>
      <c r="AA200" s="9">
        <f t="shared" ca="1" si="53"/>
        <v>0</v>
      </c>
    </row>
    <row r="201" spans="1:27">
      <c r="A201" s="8" t="str">
        <f>A200</f>
        <v>Type 9</v>
      </c>
      <c r="B201" s="7">
        <f>B200+1</f>
        <v>2023</v>
      </c>
      <c r="C201" s="7" t="str">
        <f t="shared" si="54"/>
        <v>Annual</v>
      </c>
      <c r="D201" s="7">
        <f t="shared" si="54"/>
        <v>0</v>
      </c>
      <c r="E201" s="7">
        <f>E200</f>
        <v>0</v>
      </c>
      <c r="F201" s="14">
        <f>$Q$88</f>
        <v>0</v>
      </c>
      <c r="H201" s="9"/>
      <c r="I201" s="9"/>
      <c r="J201" s="9"/>
      <c r="K201" s="9"/>
      <c r="L201" s="9"/>
      <c r="M201" s="9">
        <f ca="1">$G$88/$G$31</f>
        <v>0</v>
      </c>
      <c r="N201" s="9"/>
      <c r="O201" s="9"/>
      <c r="P201" s="9"/>
      <c r="Q201" s="9"/>
      <c r="R201" s="9"/>
      <c r="S201" s="9"/>
      <c r="T201" s="9">
        <f ca="1">IF(OR($C201="Annual",$D201=$E201),IF(AND($D201=$E201,T$111=$B201+$D201),$M201,IF(AND(T$111&gt;$B201+$D201,T$111&lt;=$B201+$E201), $M201/($E201-$D201),0)), IF(OR(T$111=$B201+$D201,T$111=$B201+$E201),$M201/(($E201-$D201)*2),IF(AND(T$111&gt;$B201+$D201,T$111&lt;$B201+$E201),$M201/($E201-$D201),0)))</f>
        <v>0</v>
      </c>
      <c r="U201" s="9"/>
      <c r="V201" s="9"/>
      <c r="W201" s="9"/>
      <c r="X201" s="9"/>
      <c r="Y201" s="9"/>
      <c r="Z201" s="9"/>
      <c r="AA201" s="9">
        <f t="shared" si="53"/>
        <v>0</v>
      </c>
    </row>
    <row r="202" spans="1:27">
      <c r="A202" s="8"/>
      <c r="B202" s="7"/>
      <c r="C202" s="7"/>
      <c r="D202" s="7"/>
      <c r="E202" s="7"/>
      <c r="F202" s="15"/>
      <c r="H202" s="9"/>
      <c r="I202" s="9"/>
      <c r="J202" s="9"/>
      <c r="K202" s="9"/>
      <c r="L202" s="9"/>
      <c r="M202" s="9"/>
      <c r="N202" s="9"/>
      <c r="O202" s="278"/>
      <c r="P202" s="10"/>
      <c r="Q202" s="10"/>
      <c r="R202" s="10"/>
      <c r="S202" s="10"/>
      <c r="T202" s="10"/>
      <c r="U202" s="9"/>
      <c r="V202" s="10"/>
      <c r="W202" s="10"/>
      <c r="X202" s="10"/>
      <c r="Y202" s="10"/>
      <c r="Z202" s="10"/>
      <c r="AA202" s="10"/>
    </row>
    <row r="203" spans="1:27" s="1150" customFormat="1">
      <c r="A203" s="1347" t="str">
        <f>'Input 4 - Forecast'!A70</f>
        <v>ZERO-COUPON BOND</v>
      </c>
      <c r="B203" s="1348">
        <f>B119</f>
        <v>2018</v>
      </c>
      <c r="C203" s="1348"/>
      <c r="D203" s="1348">
        <f>$J89</f>
        <v>0</v>
      </c>
      <c r="E203" s="1348">
        <f>$K89</f>
        <v>0</v>
      </c>
      <c r="F203" s="1349">
        <f>$L$89</f>
        <v>0</v>
      </c>
      <c r="H203" s="1350">
        <f>$B$89/$B$31</f>
        <v>0</v>
      </c>
      <c r="I203" s="1350">
        <f>H203-P203</f>
        <v>0</v>
      </c>
      <c r="J203" s="1350">
        <f>I203-Q203</f>
        <v>0</v>
      </c>
      <c r="K203" s="1350">
        <f>J203-R203</f>
        <v>0</v>
      </c>
      <c r="L203" s="1350">
        <f>K203-S203</f>
        <v>0</v>
      </c>
      <c r="M203" s="1350">
        <f>L203-T203</f>
        <v>0</v>
      </c>
      <c r="N203" s="1350"/>
      <c r="O203" s="1350">
        <f t="shared" ref="O203:T203" si="55">IF($D203=$E203,IF(O$111=$B203+$E203,$H203,0),0)</f>
        <v>0</v>
      </c>
      <c r="P203" s="1350">
        <f t="shared" si="55"/>
        <v>0</v>
      </c>
      <c r="Q203" s="1350">
        <f t="shared" si="55"/>
        <v>0</v>
      </c>
      <c r="R203" s="1350">
        <f t="shared" si="55"/>
        <v>0</v>
      </c>
      <c r="S203" s="1350">
        <f t="shared" si="55"/>
        <v>0</v>
      </c>
      <c r="T203" s="1350">
        <f t="shared" si="55"/>
        <v>0</v>
      </c>
      <c r="U203" s="1350"/>
      <c r="V203" s="1350">
        <f t="shared" ref="V203:AA203" si="56">IF(V$111-$B203=$D203,$H203*(((1+$F203)^$D203)-1),0)</f>
        <v>0</v>
      </c>
      <c r="W203" s="1350">
        <f t="shared" si="56"/>
        <v>0</v>
      </c>
      <c r="X203" s="1350">
        <f t="shared" si="56"/>
        <v>0</v>
      </c>
      <c r="Y203" s="1350">
        <f t="shared" si="56"/>
        <v>0</v>
      </c>
      <c r="Z203" s="1350">
        <f t="shared" si="56"/>
        <v>0</v>
      </c>
      <c r="AA203" s="1350">
        <f t="shared" si="56"/>
        <v>0</v>
      </c>
    </row>
    <row r="204" spans="1:27" s="1150" customFormat="1">
      <c r="A204" s="1347" t="str">
        <f>A203</f>
        <v>ZERO-COUPON BOND</v>
      </c>
      <c r="B204" s="1348">
        <f>B203+1</f>
        <v>2019</v>
      </c>
      <c r="C204" s="1348"/>
      <c r="D204" s="1348">
        <f t="shared" ref="D204:E208" si="57">D203</f>
        <v>0</v>
      </c>
      <c r="E204" s="1348">
        <f t="shared" si="57"/>
        <v>0</v>
      </c>
      <c r="F204" s="1349">
        <f>$M$89</f>
        <v>4.2936438739549099E-3</v>
      </c>
      <c r="H204" s="1350"/>
      <c r="I204" s="1350">
        <f ca="1">$C$89/$C$31</f>
        <v>0</v>
      </c>
      <c r="J204" s="1350">
        <f ca="1">I204-Q204</f>
        <v>0</v>
      </c>
      <c r="K204" s="1350">
        <f ca="1">J204-R204</f>
        <v>0</v>
      </c>
      <c r="L204" s="1350">
        <f ca="1">K204-S204</f>
        <v>0</v>
      </c>
      <c r="M204" s="1350">
        <f ca="1">L204-T204</f>
        <v>0</v>
      </c>
      <c r="N204" s="1350"/>
      <c r="O204" s="1351"/>
      <c r="P204" s="1350">
        <f ca="1">IF($D204=$E204,IF(P$111=$B204+$E204,$I204,0),0)</f>
        <v>0</v>
      </c>
      <c r="Q204" s="1350">
        <f>IF($D204=$E204,IF(Q$111=$B204+$E204,$I204,0),0)</f>
        <v>0</v>
      </c>
      <c r="R204" s="1350">
        <f>IF($D204=$E204,IF(R$111=$B204+$E204,$I204,0),0)</f>
        <v>0</v>
      </c>
      <c r="S204" s="1350">
        <f>IF($D204=$E204,IF(S$111=$B204+$E204,$I204,0),0)</f>
        <v>0</v>
      </c>
      <c r="T204" s="1350">
        <f>IF($D204=$E204,IF(T$111=$B204+$E204,$I204,0),0)</f>
        <v>0</v>
      </c>
      <c r="U204" s="1350"/>
      <c r="V204" s="1350"/>
      <c r="W204" s="1350">
        <f ca="1">IF(W$111-$B204=$D204,$I204*(((1+$F204)^$D204)-1),0)</f>
        <v>0</v>
      </c>
      <c r="X204" s="1350">
        <f>IF(X$111-$B204=$D204,$I204*(((1+$F204)^$D204)-1),0)</f>
        <v>0</v>
      </c>
      <c r="Y204" s="1350">
        <f>IF(Y$111-$B204=$D204,$I204*(((1+$F204)^$D204)-1),0)</f>
        <v>0</v>
      </c>
      <c r="Z204" s="1350">
        <f>IF(Z$111-$B204=$D204,$I204*(((1+$F204)^$D204)-1),0)</f>
        <v>0</v>
      </c>
      <c r="AA204" s="1350">
        <f>IF(AA$111-$B204=$D204,$I204*(((1+$F204)^$D204)-1),0)</f>
        <v>0</v>
      </c>
    </row>
    <row r="205" spans="1:27" s="1150" customFormat="1">
      <c r="A205" s="1347" t="str">
        <f>A204</f>
        <v>ZERO-COUPON BOND</v>
      </c>
      <c r="B205" s="1348">
        <f>B204+1</f>
        <v>2020</v>
      </c>
      <c r="C205" s="1348"/>
      <c r="D205" s="1348">
        <f t="shared" si="57"/>
        <v>0</v>
      </c>
      <c r="E205" s="1348">
        <f t="shared" si="57"/>
        <v>0</v>
      </c>
      <c r="F205" s="1349">
        <f>$N$89</f>
        <v>4.2936438739549099E-3</v>
      </c>
      <c r="H205" s="1350"/>
      <c r="I205" s="1350"/>
      <c r="J205" s="1350">
        <f ca="1">$D$89/$D$31</f>
        <v>0</v>
      </c>
      <c r="K205" s="1350">
        <f ca="1">J205-R205</f>
        <v>0</v>
      </c>
      <c r="L205" s="1350">
        <f ca="1">K205-S205</f>
        <v>0</v>
      </c>
      <c r="M205" s="1350">
        <f ca="1">L205-T205</f>
        <v>0</v>
      </c>
      <c r="N205" s="1350"/>
      <c r="O205" s="1351"/>
      <c r="P205" s="1350"/>
      <c r="Q205" s="1350">
        <f ca="1">IF($D205=$E205,IF(Q$111=$B205+$E205,$J205,0),0)</f>
        <v>0</v>
      </c>
      <c r="R205" s="1350">
        <f>IF($D205=$E205,IF(R$111=$B205+$E205,$J205,0),0)</f>
        <v>0</v>
      </c>
      <c r="S205" s="1350">
        <f>IF($D205=$E205,IF(S$111=$B205+$E205,$J205,0),0)</f>
        <v>0</v>
      </c>
      <c r="T205" s="1350">
        <f>IF($D205=$E205,IF(T$111=$B205+$E205,$J205,0),0)</f>
        <v>0</v>
      </c>
      <c r="U205" s="1350"/>
      <c r="V205" s="1350"/>
      <c r="W205" s="1350"/>
      <c r="X205" s="1350">
        <f ca="1">IF(X$111-$B205=$D205,$J205*(((1+$F205)^$D205)-1),0)</f>
        <v>0</v>
      </c>
      <c r="Y205" s="1350">
        <f>IF(Y$111-$B205=$D205,$J205*(((1+$F205)^$D205)-1),0)</f>
        <v>0</v>
      </c>
      <c r="Z205" s="1350">
        <f>IF(Z$111-$B205=$D205,$J205*(((1+$F205)^$D205)-1),0)</f>
        <v>0</v>
      </c>
      <c r="AA205" s="1350">
        <f>IF(AA$111-$B205=$D205,$J205*(((1+$F205)^$D205)-1),0)</f>
        <v>0</v>
      </c>
    </row>
    <row r="206" spans="1:27" s="1150" customFormat="1">
      <c r="A206" s="1347" t="str">
        <f>A205</f>
        <v>ZERO-COUPON BOND</v>
      </c>
      <c r="B206" s="1348">
        <f>B205+1</f>
        <v>2021</v>
      </c>
      <c r="C206" s="1348"/>
      <c r="D206" s="1348">
        <f t="shared" si="57"/>
        <v>0</v>
      </c>
      <c r="E206" s="1348">
        <f t="shared" si="57"/>
        <v>0</v>
      </c>
      <c r="F206" s="1349">
        <f>$O$89</f>
        <v>0</v>
      </c>
      <c r="H206" s="1350"/>
      <c r="I206" s="1350"/>
      <c r="J206" s="1350"/>
      <c r="K206" s="1350">
        <f ca="1">$E$89/$E$31</f>
        <v>0</v>
      </c>
      <c r="L206" s="1350">
        <f ca="1">K206-S206</f>
        <v>0</v>
      </c>
      <c r="M206" s="1350">
        <f ca="1">L206-T206</f>
        <v>0</v>
      </c>
      <c r="N206" s="1350"/>
      <c r="O206" s="1351"/>
      <c r="P206" s="1350"/>
      <c r="Q206" s="1350"/>
      <c r="R206" s="1350">
        <f ca="1">IF($D206=$E206,IF(R$111=$B206+$E206,$K206,0),0)</f>
        <v>0</v>
      </c>
      <c r="S206" s="1350">
        <f>IF($D206=$E206,IF(S$111=$B206+$E206,$K206,0),0)</f>
        <v>0</v>
      </c>
      <c r="T206" s="1350">
        <f>IF($D206=$E206,IF(T$111=$B206+$E206,$K206,0),0)</f>
        <v>0</v>
      </c>
      <c r="U206" s="1350"/>
      <c r="V206" s="1350"/>
      <c r="W206" s="1350"/>
      <c r="X206" s="1350"/>
      <c r="Y206" s="1350">
        <f ca="1">IF(Y$111-$B206=$D206,$K206*(((1+$F206)^$D206)-1),0)</f>
        <v>0</v>
      </c>
      <c r="Z206" s="1350">
        <f>IF(Z$111-$B206=$D206,$K206*(((1+$F206)^$D206)-1),0)</f>
        <v>0</v>
      </c>
      <c r="AA206" s="1350">
        <f>IF(AA$111-$B206=$D206,$K206*(((1+$F206)^$D206)-1),0)</f>
        <v>0</v>
      </c>
    </row>
    <row r="207" spans="1:27" s="1150" customFormat="1">
      <c r="A207" s="1347" t="str">
        <f>A206</f>
        <v>ZERO-COUPON BOND</v>
      </c>
      <c r="B207" s="1348">
        <f>B206+1</f>
        <v>2022</v>
      </c>
      <c r="C207" s="1348"/>
      <c r="D207" s="1348">
        <f t="shared" si="57"/>
        <v>0</v>
      </c>
      <c r="E207" s="1348">
        <f t="shared" si="57"/>
        <v>0</v>
      </c>
      <c r="F207" s="1349">
        <f>$P$89</f>
        <v>0</v>
      </c>
      <c r="H207" s="1350"/>
      <c r="I207" s="1350"/>
      <c r="J207" s="1350"/>
      <c r="K207" s="1350"/>
      <c r="L207" s="1350">
        <f ca="1">$F$89/$F$31</f>
        <v>0</v>
      </c>
      <c r="M207" s="1350">
        <f ca="1">L207-T207</f>
        <v>0</v>
      </c>
      <c r="N207" s="1350"/>
      <c r="O207" s="1351"/>
      <c r="P207" s="1350"/>
      <c r="Q207" s="1350"/>
      <c r="R207" s="1350"/>
      <c r="S207" s="1350">
        <f ca="1">IF($D207=$E207,IF(S$111=$B207+$E207,$L207,0),0)</f>
        <v>0</v>
      </c>
      <c r="T207" s="1350">
        <f>IF($D207=$E207,IF(T$111=$B207+$E207,$L207,0),0)</f>
        <v>0</v>
      </c>
      <c r="U207" s="1350"/>
      <c r="V207" s="1350"/>
      <c r="W207" s="1350"/>
      <c r="X207" s="1350"/>
      <c r="Y207" s="1350"/>
      <c r="Z207" s="1350">
        <f ca="1">IF(Z$111-$B207=$D207,$L207*(((1+$F207)^$D207)-1),0)</f>
        <v>0</v>
      </c>
      <c r="AA207" s="1350">
        <f>IF(AA$111-$B207=$D207,$L207*(((1+$F207)^$D207)-1),0)</f>
        <v>0</v>
      </c>
    </row>
    <row r="208" spans="1:27" s="1150" customFormat="1">
      <c r="A208" s="1347" t="str">
        <f>A207</f>
        <v>ZERO-COUPON BOND</v>
      </c>
      <c r="B208" s="1348">
        <f>B207+1</f>
        <v>2023</v>
      </c>
      <c r="C208" s="1348"/>
      <c r="D208" s="1348">
        <f t="shared" si="57"/>
        <v>0</v>
      </c>
      <c r="E208" s="1348">
        <f t="shared" si="57"/>
        <v>0</v>
      </c>
      <c r="F208" s="1349">
        <f>$Q$89</f>
        <v>0</v>
      </c>
      <c r="H208" s="1350"/>
      <c r="I208" s="1350"/>
      <c r="J208" s="1350"/>
      <c r="K208" s="1350"/>
      <c r="L208" s="1350"/>
      <c r="M208" s="1350">
        <f ca="1">$G$89/$G$31</f>
        <v>0</v>
      </c>
      <c r="N208" s="1350"/>
      <c r="O208" s="1351"/>
      <c r="P208" s="1350"/>
      <c r="Q208" s="1350"/>
      <c r="R208" s="1350"/>
      <c r="S208" s="1350"/>
      <c r="T208" s="1350">
        <f ca="1">IF($D208=$E208,IF(T$111=$B208+$E208,$M208,0),0)</f>
        <v>0</v>
      </c>
      <c r="U208" s="1350"/>
      <c r="V208" s="1350"/>
      <c r="W208" s="1350"/>
      <c r="X208" s="1350"/>
      <c r="Y208" s="1350"/>
      <c r="Z208" s="1350"/>
      <c r="AA208" s="1350">
        <f ca="1">IF(AA$111-$B208=$D208,$M208*(((1+$F208)^$D208)-1),0)</f>
        <v>0</v>
      </c>
    </row>
    <row r="209" spans="1:27">
      <c r="A209" s="17"/>
      <c r="B209" s="7"/>
      <c r="D209" s="7"/>
      <c r="E209" s="7"/>
      <c r="F209" s="7"/>
      <c r="V209" s="10"/>
      <c r="W209" s="10"/>
      <c r="X209" s="10"/>
      <c r="Y209" s="10"/>
      <c r="Z209" s="10"/>
      <c r="AA209" s="10"/>
    </row>
    <row r="210" spans="1:27">
      <c r="A210" s="20" t="str">
        <f>'Input 4 - Forecast'!A71</f>
        <v>New Issuance of External Debt (new debt) 1/</v>
      </c>
    </row>
    <row r="211" spans="1:27" customFormat="1" ht="15.75" thickBot="1">
      <c r="A211" s="21" t="str">
        <f>'Input 4 - Forecast'!A72</f>
        <v>Short-term debt 2/</v>
      </c>
      <c r="B211" s="18"/>
      <c r="C211" s="6"/>
      <c r="D211" s="13"/>
      <c r="E211" s="13"/>
      <c r="F211" s="13"/>
      <c r="G211" s="13"/>
      <c r="H211" s="13"/>
      <c r="I211" s="13"/>
      <c r="J211" s="17"/>
      <c r="K211" s="19"/>
      <c r="L211" s="19"/>
      <c r="M211" s="19"/>
      <c r="N211" s="19"/>
      <c r="O211" s="19"/>
      <c r="P211" s="19"/>
      <c r="Q211" s="19"/>
      <c r="R211" s="19"/>
    </row>
    <row r="212" spans="1:27" customFormat="1" ht="15.75" thickBot="1">
      <c r="A212" s="22" t="str">
        <f>'Input 4 - Forecast'!A73</f>
        <v>Denominated in local currency</v>
      </c>
      <c r="B212" s="1999" t="s">
        <v>51</v>
      </c>
      <c r="C212" s="2000"/>
      <c r="D212" s="2000"/>
      <c r="E212" s="2000"/>
      <c r="F212" s="2000"/>
      <c r="G212" s="2000"/>
      <c r="H212" s="2000"/>
      <c r="I212" s="2000"/>
      <c r="J212" s="2000"/>
      <c r="K212" s="2000"/>
      <c r="L212" s="2000"/>
      <c r="M212" s="2000"/>
      <c r="N212" s="2000"/>
      <c r="O212" s="2000"/>
      <c r="P212" s="2000"/>
      <c r="Q212" s="2000"/>
      <c r="R212" s="2000"/>
      <c r="S212" s="2000"/>
      <c r="T212" s="2000"/>
      <c r="U212" s="2000"/>
      <c r="V212" s="2000"/>
      <c r="W212" s="2000"/>
      <c r="X212" s="2000"/>
      <c r="Y212" s="2000"/>
      <c r="Z212" s="2000"/>
      <c r="AA212" s="2001"/>
    </row>
    <row r="213" spans="1:27">
      <c r="F213" s="15"/>
      <c r="H213" s="10"/>
      <c r="I213" s="10"/>
      <c r="J213" s="10"/>
      <c r="K213" s="10"/>
      <c r="L213" s="10"/>
      <c r="M213" s="10"/>
      <c r="N213" s="10"/>
      <c r="O213" s="10"/>
      <c r="P213" s="10"/>
      <c r="Q213" s="10"/>
      <c r="R213" s="10"/>
      <c r="S213" s="10"/>
      <c r="T213" s="10"/>
      <c r="U213" s="10"/>
      <c r="V213" s="10"/>
      <c r="W213" s="10"/>
      <c r="X213" s="10"/>
      <c r="Y213" s="10"/>
      <c r="Z213" s="10"/>
      <c r="AA213" s="10"/>
    </row>
    <row r="214" spans="1:27" customFormat="1">
      <c r="A214" s="23"/>
      <c r="B214" s="7">
        <f>B119</f>
        <v>2018</v>
      </c>
      <c r="C214" s="13" t="str">
        <f>$I92</f>
        <v>Semi-annual</v>
      </c>
      <c r="D214" s="13">
        <f>$J92</f>
        <v>0</v>
      </c>
      <c r="E214" s="13">
        <f>$K92</f>
        <v>0</v>
      </c>
      <c r="F214" s="14">
        <f>$L$92</f>
        <v>0</v>
      </c>
      <c r="G214" s="13"/>
      <c r="H214" s="9">
        <f>$B$92</f>
        <v>0</v>
      </c>
      <c r="I214" s="9">
        <f>H214-P214</f>
        <v>0</v>
      </c>
      <c r="J214" s="9">
        <f>I214-Q214</f>
        <v>0</v>
      </c>
      <c r="K214" s="9">
        <f>J214-R214</f>
        <v>0</v>
      </c>
      <c r="L214" s="9">
        <f>K214-S214</f>
        <v>0</v>
      </c>
      <c r="M214" s="9">
        <f>L214-T214</f>
        <v>0</v>
      </c>
      <c r="N214" s="9"/>
      <c r="O214" s="9">
        <v>0</v>
      </c>
      <c r="P214" s="9">
        <f>H214</f>
        <v>0</v>
      </c>
      <c r="Q214" s="9">
        <v>0</v>
      </c>
      <c r="R214" s="9">
        <v>0</v>
      </c>
      <c r="S214" s="9">
        <v>0</v>
      </c>
      <c r="T214" s="9">
        <v>0</v>
      </c>
      <c r="U214" s="9"/>
      <c r="V214" s="9">
        <f>IF($C214="annual",IF(V$111=$B214,0,G214*$F214),IF(V$111-$B214=0,0,IF((V$111-$B214)&lt;$E214,AVERAGE(G214,H214)*$F214,IF((V$111-$B214)=$E214,G214*$F214/2,0))))</f>
        <v>0</v>
      </c>
      <c r="W214" s="9">
        <f t="shared" ref="W214:AA219" si="58">IF($C214="annual",IF(W$111=$B214,0,H214*$F214),IF(W$111-$B214=0,0,IF((W$111-$B214)&lt;$E214,AVERAGE(H214,I214)*$F214,IF((W$111-$B214)=$E214,H214*$F214/2,0))))</f>
        <v>0</v>
      </c>
      <c r="X214" s="9">
        <f t="shared" si="58"/>
        <v>0</v>
      </c>
      <c r="Y214" s="9">
        <f t="shared" si="58"/>
        <v>0</v>
      </c>
      <c r="Z214" s="9">
        <f t="shared" si="58"/>
        <v>0</v>
      </c>
      <c r="AA214" s="9">
        <f t="shared" si="58"/>
        <v>0</v>
      </c>
    </row>
    <row r="215" spans="1:27" customFormat="1">
      <c r="A215" s="23"/>
      <c r="B215" s="7">
        <f>B214+1</f>
        <v>2019</v>
      </c>
      <c r="C215" s="13" t="str">
        <f>C214</f>
        <v>Semi-annual</v>
      </c>
      <c r="D215" s="13">
        <f>D214</f>
        <v>0</v>
      </c>
      <c r="E215" s="13">
        <f>E214</f>
        <v>0</v>
      </c>
      <c r="F215" s="14">
        <f>$M$92</f>
        <v>4.2936438739549099E-3</v>
      </c>
      <c r="G215" s="13"/>
      <c r="H215" s="9"/>
      <c r="I215" s="9">
        <f ca="1">$C$92</f>
        <v>0</v>
      </c>
      <c r="J215" s="9">
        <f ca="1">I215-Q215</f>
        <v>0</v>
      </c>
      <c r="K215" s="9">
        <f ca="1">J215-R215</f>
        <v>0</v>
      </c>
      <c r="L215" s="9">
        <f ca="1">K215-S215</f>
        <v>0</v>
      </c>
      <c r="M215" s="9">
        <f ca="1">L215-T215</f>
        <v>0</v>
      </c>
      <c r="N215" s="9"/>
      <c r="O215" s="9"/>
      <c r="P215" s="9">
        <v>0</v>
      </c>
      <c r="Q215" s="9">
        <f ca="1">I215</f>
        <v>0</v>
      </c>
      <c r="R215" s="9">
        <v>0</v>
      </c>
      <c r="S215" s="9">
        <v>0</v>
      </c>
      <c r="T215" s="9">
        <v>0</v>
      </c>
      <c r="U215" s="9"/>
      <c r="V215" s="9"/>
      <c r="W215" s="9">
        <f t="shared" si="58"/>
        <v>0</v>
      </c>
      <c r="X215" s="9">
        <f t="shared" si="58"/>
        <v>0</v>
      </c>
      <c r="Y215" s="9">
        <f t="shared" si="58"/>
        <v>0</v>
      </c>
      <c r="Z215" s="9">
        <f t="shared" si="58"/>
        <v>0</v>
      </c>
      <c r="AA215" s="9">
        <f t="shared" si="58"/>
        <v>0</v>
      </c>
    </row>
    <row r="216" spans="1:27" customFormat="1">
      <c r="A216" s="23"/>
      <c r="B216" s="7">
        <f>B215+1</f>
        <v>2020</v>
      </c>
      <c r="C216" s="13" t="str">
        <f>C215</f>
        <v>Semi-annual</v>
      </c>
      <c r="D216" s="13">
        <f t="shared" ref="D216:E219" si="59">D215</f>
        <v>0</v>
      </c>
      <c r="E216" s="13">
        <f t="shared" si="59"/>
        <v>0</v>
      </c>
      <c r="F216" s="14">
        <f>$N$92</f>
        <v>4.2936438739549099E-3</v>
      </c>
      <c r="G216" s="13"/>
      <c r="H216" s="9"/>
      <c r="I216" s="9"/>
      <c r="J216" s="9">
        <f ca="1">$D$92</f>
        <v>0</v>
      </c>
      <c r="K216" s="9">
        <f ca="1">J216-R216</f>
        <v>0</v>
      </c>
      <c r="L216" s="9">
        <f ca="1">K216-S216</f>
        <v>0</v>
      </c>
      <c r="M216" s="9">
        <f ca="1">L216-T216</f>
        <v>0</v>
      </c>
      <c r="N216" s="9"/>
      <c r="O216" s="9"/>
      <c r="P216" s="9"/>
      <c r="Q216" s="9">
        <v>0</v>
      </c>
      <c r="R216" s="9">
        <f ca="1">J216</f>
        <v>0</v>
      </c>
      <c r="S216" s="9">
        <v>0</v>
      </c>
      <c r="T216" s="9">
        <v>0</v>
      </c>
      <c r="U216" s="9"/>
      <c r="V216" s="9"/>
      <c r="W216" s="9"/>
      <c r="X216" s="9">
        <f t="shared" si="58"/>
        <v>0</v>
      </c>
      <c r="Y216" s="9">
        <f t="shared" si="58"/>
        <v>0</v>
      </c>
      <c r="Z216" s="9">
        <f t="shared" si="58"/>
        <v>0</v>
      </c>
      <c r="AA216" s="9">
        <f t="shared" si="58"/>
        <v>0</v>
      </c>
    </row>
    <row r="217" spans="1:27" customFormat="1">
      <c r="A217" s="23"/>
      <c r="B217" s="7">
        <f>B216+1</f>
        <v>2021</v>
      </c>
      <c r="C217" s="13" t="str">
        <f>C216</f>
        <v>Semi-annual</v>
      </c>
      <c r="D217" s="13">
        <f t="shared" si="59"/>
        <v>0</v>
      </c>
      <c r="E217" s="13">
        <f t="shared" si="59"/>
        <v>0</v>
      </c>
      <c r="F217" s="14">
        <f>$O$92</f>
        <v>0</v>
      </c>
      <c r="G217" s="13"/>
      <c r="H217" s="9"/>
      <c r="I217" s="9"/>
      <c r="J217" s="9"/>
      <c r="K217" s="9">
        <f ca="1">$E$92</f>
        <v>0</v>
      </c>
      <c r="L217" s="9">
        <f ca="1">K217-S217</f>
        <v>0</v>
      </c>
      <c r="M217" s="9">
        <f ca="1">L217-T217</f>
        <v>0</v>
      </c>
      <c r="N217" s="9"/>
      <c r="O217" s="9"/>
      <c r="P217" s="9"/>
      <c r="Q217" s="9"/>
      <c r="R217" s="9">
        <v>0</v>
      </c>
      <c r="S217" s="9">
        <f ca="1">K217</f>
        <v>0</v>
      </c>
      <c r="T217" s="9">
        <v>0</v>
      </c>
      <c r="U217" s="9"/>
      <c r="V217" s="9"/>
      <c r="W217" s="9"/>
      <c r="X217" s="9"/>
      <c r="Y217" s="9">
        <f t="shared" si="58"/>
        <v>0</v>
      </c>
      <c r="Z217" s="9">
        <f t="shared" si="58"/>
        <v>0</v>
      </c>
      <c r="AA217" s="9">
        <f t="shared" si="58"/>
        <v>0</v>
      </c>
    </row>
    <row r="218" spans="1:27" customFormat="1">
      <c r="A218" s="23"/>
      <c r="B218" s="7">
        <f>B217+1</f>
        <v>2022</v>
      </c>
      <c r="C218" s="13" t="str">
        <f>C217</f>
        <v>Semi-annual</v>
      </c>
      <c r="D218" s="13">
        <f t="shared" si="59"/>
        <v>0</v>
      </c>
      <c r="E218" s="13">
        <f t="shared" si="59"/>
        <v>0</v>
      </c>
      <c r="F218" s="14">
        <f>$P$92</f>
        <v>0</v>
      </c>
      <c r="G218" s="13"/>
      <c r="H218" s="9"/>
      <c r="I218" s="9"/>
      <c r="J218" s="9"/>
      <c r="K218" s="9"/>
      <c r="L218" s="9">
        <f ca="1">$F$92</f>
        <v>0</v>
      </c>
      <c r="M218" s="9">
        <f ca="1">L218-T218</f>
        <v>0</v>
      </c>
      <c r="N218" s="9"/>
      <c r="O218" s="9"/>
      <c r="P218" s="9"/>
      <c r="Q218" s="9"/>
      <c r="R218" s="9"/>
      <c r="S218" s="9">
        <v>0</v>
      </c>
      <c r="T218" s="9">
        <f ca="1">L218</f>
        <v>0</v>
      </c>
      <c r="U218" s="9"/>
      <c r="V218" s="9"/>
      <c r="W218" s="9"/>
      <c r="X218" s="9"/>
      <c r="Y218" s="9"/>
      <c r="Z218" s="9">
        <f t="shared" si="58"/>
        <v>0</v>
      </c>
      <c r="AA218" s="9">
        <f t="shared" si="58"/>
        <v>0</v>
      </c>
    </row>
    <row r="219" spans="1:27" customFormat="1">
      <c r="A219" s="23"/>
      <c r="B219" s="7">
        <f>B218+1</f>
        <v>2023</v>
      </c>
      <c r="C219" s="13" t="str">
        <f>C218</f>
        <v>Semi-annual</v>
      </c>
      <c r="D219" s="13">
        <f t="shared" si="59"/>
        <v>0</v>
      </c>
      <c r="E219" s="13">
        <f t="shared" si="59"/>
        <v>0</v>
      </c>
      <c r="F219" s="14">
        <f>$Q$92</f>
        <v>0</v>
      </c>
      <c r="G219" s="13"/>
      <c r="H219" s="9"/>
      <c r="I219" s="9"/>
      <c r="J219" s="9"/>
      <c r="K219" s="9"/>
      <c r="L219" s="9"/>
      <c r="M219" s="9">
        <f ca="1">$G$92</f>
        <v>0</v>
      </c>
      <c r="N219" s="9"/>
      <c r="O219" s="9"/>
      <c r="P219" s="9"/>
      <c r="Q219" s="9"/>
      <c r="R219" s="9"/>
      <c r="S219" s="9"/>
      <c r="T219" s="9">
        <v>0</v>
      </c>
      <c r="U219" s="9"/>
      <c r="V219" s="9"/>
      <c r="W219" s="9"/>
      <c r="X219" s="9"/>
      <c r="Y219" s="9"/>
      <c r="Z219" s="9"/>
      <c r="AA219" s="9">
        <f t="shared" si="58"/>
        <v>0</v>
      </c>
    </row>
    <row r="220" spans="1:27" ht="15.75" thickBot="1">
      <c r="B220" s="7"/>
      <c r="F220" s="15"/>
      <c r="H220" s="10"/>
      <c r="I220" s="10"/>
      <c r="J220" s="10"/>
      <c r="K220" s="10"/>
      <c r="L220" s="10"/>
      <c r="M220" s="10"/>
      <c r="N220" s="10"/>
      <c r="O220" s="10"/>
      <c r="P220" s="10"/>
      <c r="Q220" s="10"/>
      <c r="R220" s="10"/>
      <c r="S220" s="10"/>
      <c r="T220" s="10"/>
      <c r="U220" s="10"/>
      <c r="V220" s="10"/>
      <c r="W220" s="10"/>
      <c r="X220" s="10"/>
      <c r="Y220" s="10"/>
      <c r="Z220" s="10"/>
      <c r="AA220" s="10"/>
    </row>
    <row r="221" spans="1:27" customFormat="1" ht="15.75" thickBot="1">
      <c r="A221" s="22" t="str">
        <f>'Input 4 - Forecast'!A82</f>
        <v>Denominated in foreign currency</v>
      </c>
      <c r="B221" s="1999" t="s">
        <v>52</v>
      </c>
      <c r="C221" s="2000"/>
      <c r="D221" s="2000"/>
      <c r="E221" s="2000"/>
      <c r="F221" s="2000"/>
      <c r="G221" s="2000"/>
      <c r="H221" s="2000"/>
      <c r="I221" s="2000"/>
      <c r="J221" s="2000"/>
      <c r="K221" s="2000"/>
      <c r="L221" s="2000"/>
      <c r="M221" s="2000"/>
      <c r="N221" s="2000"/>
      <c r="O221" s="2000"/>
      <c r="P221" s="2000"/>
      <c r="Q221" s="2000"/>
      <c r="R221" s="2000"/>
      <c r="S221" s="2000"/>
      <c r="T221" s="2000"/>
      <c r="U221" s="2000"/>
      <c r="V221" s="2000"/>
      <c r="W221" s="2000"/>
      <c r="X221" s="2000"/>
      <c r="Y221" s="2000"/>
      <c r="Z221" s="2000"/>
      <c r="AA221" s="2001"/>
    </row>
    <row r="222" spans="1:27">
      <c r="F222" s="15"/>
      <c r="H222" s="10"/>
      <c r="I222" s="10"/>
      <c r="J222" s="10"/>
      <c r="K222" s="10"/>
      <c r="L222" s="10"/>
      <c r="M222" s="10"/>
      <c r="N222" s="10"/>
      <c r="O222" s="10"/>
      <c r="P222" s="10"/>
      <c r="Q222" s="10"/>
      <c r="R222" s="10"/>
      <c r="S222" s="10"/>
      <c r="T222" s="10"/>
      <c r="U222" s="10"/>
      <c r="V222" s="10"/>
      <c r="W222" s="10"/>
      <c r="X222" s="10"/>
      <c r="Y222" s="10"/>
      <c r="Z222" s="10"/>
      <c r="AA222" s="10"/>
    </row>
    <row r="223" spans="1:27" customFormat="1">
      <c r="A223" s="23"/>
      <c r="B223" s="7">
        <f>B119</f>
        <v>2018</v>
      </c>
      <c r="C223" s="13" t="str">
        <f>$I93</f>
        <v>Semi-annual</v>
      </c>
      <c r="D223" s="13">
        <f>$J93</f>
        <v>0</v>
      </c>
      <c r="E223" s="13">
        <f>$K93</f>
        <v>0</v>
      </c>
      <c r="F223" s="14">
        <f>$L$93</f>
        <v>0</v>
      </c>
      <c r="G223" s="13"/>
      <c r="H223" s="9">
        <f>$B$93/$B$31</f>
        <v>0</v>
      </c>
      <c r="I223" s="9">
        <f>H223-P223</f>
        <v>0</v>
      </c>
      <c r="J223" s="9">
        <f>I223-Q223</f>
        <v>0</v>
      </c>
      <c r="K223" s="9">
        <f>J223-R223</f>
        <v>0</v>
      </c>
      <c r="L223" s="9">
        <f>K223-S223</f>
        <v>0</v>
      </c>
      <c r="M223" s="9">
        <f>L223-T223</f>
        <v>0</v>
      </c>
      <c r="N223" s="9"/>
      <c r="O223" s="9">
        <v>0</v>
      </c>
      <c r="P223" s="9">
        <f>H223</f>
        <v>0</v>
      </c>
      <c r="Q223" s="9">
        <v>0</v>
      </c>
      <c r="R223" s="9">
        <v>0</v>
      </c>
      <c r="S223" s="9">
        <v>0</v>
      </c>
      <c r="T223" s="9">
        <v>0</v>
      </c>
      <c r="U223" s="9"/>
      <c r="V223" s="9">
        <f>IF($C223="annual",IF(V$111=$B223,0,G223*$F223),IF(V$111-$B223=0,0,IF((V$111-$B223)&lt;$E223,AVERAGE(G223,H223)*$F223,IF((V$111-$B223)=$E223,G223*$F223/2,0))))</f>
        <v>0</v>
      </c>
      <c r="W223" s="9">
        <f t="shared" ref="W223:AA228" si="60">IF($C223="annual",IF(W$111=$B223,0,H223*$F223),IF(W$111-$B223=0,0,IF((W$111-$B223)&lt;$E223,AVERAGE(H223,I223)*$F223,IF((W$111-$B223)=$E223,H223*$F223/2,0))))</f>
        <v>0</v>
      </c>
      <c r="X223" s="9">
        <f t="shared" si="60"/>
        <v>0</v>
      </c>
      <c r="Y223" s="9">
        <f t="shared" si="60"/>
        <v>0</v>
      </c>
      <c r="Z223" s="9">
        <f t="shared" si="60"/>
        <v>0</v>
      </c>
      <c r="AA223" s="9">
        <f t="shared" si="60"/>
        <v>0</v>
      </c>
    </row>
    <row r="224" spans="1:27" customFormat="1">
      <c r="A224" s="23"/>
      <c r="B224" s="7">
        <f>B223+1</f>
        <v>2019</v>
      </c>
      <c r="C224" s="13" t="str">
        <f>C223</f>
        <v>Semi-annual</v>
      </c>
      <c r="D224" s="13">
        <f>D223</f>
        <v>0</v>
      </c>
      <c r="E224" s="13">
        <f>E223</f>
        <v>0</v>
      </c>
      <c r="F224" s="14">
        <f>$M$93</f>
        <v>4.2936438739549099E-3</v>
      </c>
      <c r="G224" s="13"/>
      <c r="H224" s="9"/>
      <c r="I224" s="9">
        <f ca="1">$C$93/$C$31</f>
        <v>0</v>
      </c>
      <c r="J224" s="9">
        <f ca="1">I224-Q224</f>
        <v>0</v>
      </c>
      <c r="K224" s="9">
        <f ca="1">J224-R224</f>
        <v>0</v>
      </c>
      <c r="L224" s="9">
        <f ca="1">K224-S224</f>
        <v>0</v>
      </c>
      <c r="M224" s="9">
        <f ca="1">L224-T224</f>
        <v>0</v>
      </c>
      <c r="N224" s="9"/>
      <c r="O224" s="9"/>
      <c r="P224" s="9">
        <v>0</v>
      </c>
      <c r="Q224" s="9">
        <f ca="1">I224</f>
        <v>0</v>
      </c>
      <c r="R224" s="9">
        <v>0</v>
      </c>
      <c r="S224" s="9">
        <v>0</v>
      </c>
      <c r="T224" s="9">
        <v>0</v>
      </c>
      <c r="U224" s="9"/>
      <c r="V224" s="9"/>
      <c r="W224" s="9">
        <f t="shared" si="60"/>
        <v>0</v>
      </c>
      <c r="X224" s="9">
        <f t="shared" si="60"/>
        <v>0</v>
      </c>
      <c r="Y224" s="9">
        <f t="shared" si="60"/>
        <v>0</v>
      </c>
      <c r="Z224" s="9">
        <f t="shared" si="60"/>
        <v>0</v>
      </c>
      <c r="AA224" s="9">
        <f t="shared" si="60"/>
        <v>0</v>
      </c>
    </row>
    <row r="225" spans="1:27" customFormat="1">
      <c r="A225" s="23"/>
      <c r="B225" s="7">
        <f>B224+1</f>
        <v>2020</v>
      </c>
      <c r="C225" s="13" t="str">
        <f>C224</f>
        <v>Semi-annual</v>
      </c>
      <c r="D225" s="13">
        <f t="shared" ref="D225:E228" si="61">D224</f>
        <v>0</v>
      </c>
      <c r="E225" s="13">
        <f t="shared" si="61"/>
        <v>0</v>
      </c>
      <c r="F225" s="14">
        <f>$N$93</f>
        <v>4.2936438739549099E-3</v>
      </c>
      <c r="G225" s="13"/>
      <c r="H225" s="9"/>
      <c r="I225" s="9"/>
      <c r="J225" s="9">
        <f ca="1">$D$93/$D$31</f>
        <v>0</v>
      </c>
      <c r="K225" s="9">
        <f ca="1">J225-R225</f>
        <v>0</v>
      </c>
      <c r="L225" s="9">
        <f ca="1">K225-S225</f>
        <v>0</v>
      </c>
      <c r="M225" s="9">
        <f ca="1">L225-T225</f>
        <v>0</v>
      </c>
      <c r="N225" s="9"/>
      <c r="O225" s="9"/>
      <c r="P225" s="9"/>
      <c r="Q225" s="9">
        <v>0</v>
      </c>
      <c r="R225" s="9">
        <f ca="1">J225</f>
        <v>0</v>
      </c>
      <c r="S225" s="9">
        <v>0</v>
      </c>
      <c r="T225" s="9">
        <v>0</v>
      </c>
      <c r="U225" s="9"/>
      <c r="V225" s="9"/>
      <c r="W225" s="9"/>
      <c r="X225" s="9">
        <f t="shared" si="60"/>
        <v>0</v>
      </c>
      <c r="Y225" s="9">
        <f t="shared" si="60"/>
        <v>0</v>
      </c>
      <c r="Z225" s="9">
        <f t="shared" si="60"/>
        <v>0</v>
      </c>
      <c r="AA225" s="9">
        <f t="shared" si="60"/>
        <v>0</v>
      </c>
    </row>
    <row r="226" spans="1:27" customFormat="1">
      <c r="A226" s="23"/>
      <c r="B226" s="7">
        <f>B225+1</f>
        <v>2021</v>
      </c>
      <c r="C226" s="13" t="str">
        <f>C225</f>
        <v>Semi-annual</v>
      </c>
      <c r="D226" s="13">
        <f t="shared" si="61"/>
        <v>0</v>
      </c>
      <c r="E226" s="13">
        <f t="shared" si="61"/>
        <v>0</v>
      </c>
      <c r="F226" s="14">
        <f>$O$93</f>
        <v>0</v>
      </c>
      <c r="G226" s="13"/>
      <c r="H226" s="9"/>
      <c r="I226" s="9"/>
      <c r="J226" s="9"/>
      <c r="K226" s="9">
        <f ca="1">$E$93/$E$31</f>
        <v>0</v>
      </c>
      <c r="L226" s="9">
        <f ca="1">K226-S226</f>
        <v>0</v>
      </c>
      <c r="M226" s="9">
        <f ca="1">L226-T226</f>
        <v>0</v>
      </c>
      <c r="N226" s="9"/>
      <c r="O226" s="9"/>
      <c r="P226" s="9"/>
      <c r="Q226" s="9"/>
      <c r="R226" s="9">
        <v>0</v>
      </c>
      <c r="S226" s="9">
        <f ca="1">K226</f>
        <v>0</v>
      </c>
      <c r="T226" s="9">
        <v>0</v>
      </c>
      <c r="U226" s="9"/>
      <c r="V226" s="9"/>
      <c r="W226" s="9"/>
      <c r="X226" s="9"/>
      <c r="Y226" s="9">
        <f t="shared" si="60"/>
        <v>0</v>
      </c>
      <c r="Z226" s="9">
        <f t="shared" si="60"/>
        <v>0</v>
      </c>
      <c r="AA226" s="9">
        <f t="shared" si="60"/>
        <v>0</v>
      </c>
    </row>
    <row r="227" spans="1:27" customFormat="1">
      <c r="A227" s="23"/>
      <c r="B227" s="7">
        <f>B226+1</f>
        <v>2022</v>
      </c>
      <c r="C227" s="13" t="str">
        <f>C226</f>
        <v>Semi-annual</v>
      </c>
      <c r="D227" s="13">
        <f t="shared" si="61"/>
        <v>0</v>
      </c>
      <c r="E227" s="13">
        <f t="shared" si="61"/>
        <v>0</v>
      </c>
      <c r="F227" s="14">
        <f>$P$93</f>
        <v>0</v>
      </c>
      <c r="G227" s="13"/>
      <c r="H227" s="9"/>
      <c r="I227" s="9"/>
      <c r="J227" s="9"/>
      <c r="K227" s="9"/>
      <c r="L227" s="9">
        <f ca="1">$F$93/$F$31</f>
        <v>0</v>
      </c>
      <c r="M227" s="9">
        <f ca="1">L227-T227</f>
        <v>0</v>
      </c>
      <c r="N227" s="9"/>
      <c r="O227" s="9"/>
      <c r="P227" s="9"/>
      <c r="Q227" s="9"/>
      <c r="R227" s="9"/>
      <c r="S227" s="9">
        <v>0</v>
      </c>
      <c r="T227" s="9">
        <f ca="1">L227</f>
        <v>0</v>
      </c>
      <c r="U227" s="9"/>
      <c r="V227" s="9"/>
      <c r="W227" s="9"/>
      <c r="X227" s="9"/>
      <c r="Y227" s="9"/>
      <c r="Z227" s="9">
        <f t="shared" si="60"/>
        <v>0</v>
      </c>
      <c r="AA227" s="9">
        <f t="shared" si="60"/>
        <v>0</v>
      </c>
    </row>
    <row r="228" spans="1:27" customFormat="1">
      <c r="A228" s="23"/>
      <c r="B228" s="7">
        <f>B227+1</f>
        <v>2023</v>
      </c>
      <c r="C228" s="13" t="str">
        <f>C227</f>
        <v>Semi-annual</v>
      </c>
      <c r="D228" s="13">
        <f t="shared" si="61"/>
        <v>0</v>
      </c>
      <c r="E228" s="13">
        <f t="shared" si="61"/>
        <v>0</v>
      </c>
      <c r="F228" s="14">
        <f>$Q$93</f>
        <v>0</v>
      </c>
      <c r="G228" s="13"/>
      <c r="H228" s="9"/>
      <c r="I228" s="9"/>
      <c r="J228" s="9"/>
      <c r="K228" s="9"/>
      <c r="L228" s="9"/>
      <c r="M228" s="9">
        <f ca="1">$G$93/$G$31</f>
        <v>0</v>
      </c>
      <c r="N228" s="9"/>
      <c r="O228" s="9"/>
      <c r="P228" s="9"/>
      <c r="Q228" s="9"/>
      <c r="R228" s="9"/>
      <c r="S228" s="9"/>
      <c r="T228" s="9">
        <v>0</v>
      </c>
      <c r="U228" s="9"/>
      <c r="V228" s="9"/>
      <c r="W228" s="9"/>
      <c r="X228" s="9"/>
      <c r="Y228" s="9"/>
      <c r="Z228" s="9"/>
      <c r="AA228" s="9">
        <f t="shared" si="60"/>
        <v>0</v>
      </c>
    </row>
    <row r="230" spans="1:27" ht="15.75" thickBot="1">
      <c r="A230" s="11" t="str">
        <f>'Input 4 - Forecast'!A75</f>
        <v>Long-term debt 3/</v>
      </c>
    </row>
    <row r="231" spans="1:27" ht="15.75" thickBot="1">
      <c r="A231" s="12" t="str">
        <f>'Input 4 - Forecast'!A76</f>
        <v>Denominated in local currency</v>
      </c>
      <c r="B231" s="1999" t="s">
        <v>51</v>
      </c>
      <c r="C231" s="2000"/>
      <c r="D231" s="2000"/>
      <c r="E231" s="2000"/>
      <c r="F231" s="2000"/>
      <c r="G231" s="2000"/>
      <c r="H231" s="2000"/>
      <c r="I231" s="2000"/>
      <c r="J231" s="2000"/>
      <c r="K231" s="2000"/>
      <c r="L231" s="2000"/>
      <c r="M231" s="2000"/>
      <c r="N231" s="2000"/>
      <c r="O231" s="2000"/>
      <c r="P231" s="2000"/>
      <c r="Q231" s="2000"/>
      <c r="R231" s="2000"/>
      <c r="S231" s="2000"/>
      <c r="T231" s="2000"/>
      <c r="U231" s="2000"/>
      <c r="V231" s="2000"/>
      <c r="W231" s="2000"/>
      <c r="X231" s="2000"/>
      <c r="Y231" s="2000"/>
      <c r="Z231" s="2000"/>
      <c r="AA231" s="2001"/>
    </row>
    <row r="233" spans="1:27">
      <c r="A233" s="8" t="str">
        <f>'Input 4 - Forecast'!A77</f>
        <v>Type 11</v>
      </c>
      <c r="B233" s="7">
        <f>B119</f>
        <v>2018</v>
      </c>
      <c r="C233" s="7" t="str">
        <f>$I96</f>
        <v>Annual</v>
      </c>
      <c r="D233" s="7">
        <f>$J96</f>
        <v>10</v>
      </c>
      <c r="E233" s="7">
        <f>$K96</f>
        <v>10</v>
      </c>
      <c r="F233" s="14">
        <f>$L$96</f>
        <v>1.125E-2</v>
      </c>
      <c r="H233" s="9">
        <f>$B$96</f>
        <v>499.99798625313935</v>
      </c>
      <c r="I233" s="9">
        <f>H233-P233</f>
        <v>499.99798625313935</v>
      </c>
      <c r="J233" s="9">
        <f>I233-Q233</f>
        <v>499.99798625313935</v>
      </c>
      <c r="K233" s="9">
        <f>J233-R233</f>
        <v>499.99798625313935</v>
      </c>
      <c r="L233" s="9">
        <f>K233-S233</f>
        <v>499.99798625313935</v>
      </c>
      <c r="M233" s="9">
        <f>L233-T233</f>
        <v>499.99798625313935</v>
      </c>
      <c r="N233" s="9"/>
      <c r="O233" s="9">
        <f t="shared" ref="O233:T233" si="62">IF(OR($C233="Annual",$D233=$E233),IF(AND($D233=$E233,O$111=$B233+$D233),$H233,IF(AND(O$111&gt;$B233+$D233,O$111&lt;=$B233+$E233), $H233/($E233-$D233),0)), IF(OR(O$111=$B233+$D233,O$111=$B233+$E233),$H233/(($E233-$D233)*2),IF(AND(O$111&gt;$B233+$D233,O$111&lt;$B233+$E233),$H233/($E233-$D233),0)))</f>
        <v>0</v>
      </c>
      <c r="P233" s="9">
        <f t="shared" si="62"/>
        <v>0</v>
      </c>
      <c r="Q233" s="9">
        <f t="shared" si="62"/>
        <v>0</v>
      </c>
      <c r="R233" s="9">
        <f t="shared" si="62"/>
        <v>0</v>
      </c>
      <c r="S233" s="9">
        <f t="shared" si="62"/>
        <v>0</v>
      </c>
      <c r="T233" s="9">
        <f t="shared" si="62"/>
        <v>0</v>
      </c>
      <c r="U233" s="9"/>
      <c r="V233" s="9">
        <f>IF($C233="annual",IF(V$111=$B233,0,G233*$F233),IF(V$111-$B233=0,0,IF((V$111-$B233)&lt;$E233,AVERAGE(G233,H233)*$F233,IF((V$111-$B233)=$E233,G233*$F233/2,0))))</f>
        <v>0</v>
      </c>
      <c r="W233" s="9">
        <f t="shared" ref="W233:AA238" si="63">IF($C233="annual",IF(W$111=$B233,0,H233*$F233),IF(W$111-$B233=0,0,IF((W$111-$B233)&lt;$E233,AVERAGE(H233,I233)*$F233,IF((W$111-$B233)=$E233,H233*$F233/2,0))))</f>
        <v>5.6249773453478173</v>
      </c>
      <c r="X233" s="9">
        <f t="shared" si="63"/>
        <v>5.6249773453478173</v>
      </c>
      <c r="Y233" s="9">
        <f t="shared" si="63"/>
        <v>5.6249773453478173</v>
      </c>
      <c r="Z233" s="9">
        <f t="shared" si="63"/>
        <v>5.6249773453478173</v>
      </c>
      <c r="AA233" s="9">
        <f t="shared" si="63"/>
        <v>5.6249773453478173</v>
      </c>
    </row>
    <row r="234" spans="1:27">
      <c r="A234" s="8" t="str">
        <f>A233</f>
        <v>Type 11</v>
      </c>
      <c r="B234" s="7">
        <f>B233+1</f>
        <v>2019</v>
      </c>
      <c r="C234" s="7" t="str">
        <f>C233</f>
        <v>Annual</v>
      </c>
      <c r="D234" s="7">
        <f t="shared" ref="D234:E238" si="64">D233</f>
        <v>10</v>
      </c>
      <c r="E234" s="7">
        <f t="shared" si="64"/>
        <v>10</v>
      </c>
      <c r="F234" s="14">
        <f>$M$96</f>
        <v>2.3043643873954911E-2</v>
      </c>
      <c r="H234" s="9"/>
      <c r="I234" s="9">
        <f ca="1">$C$96</f>
        <v>0</v>
      </c>
      <c r="J234" s="9">
        <f ca="1">I234-Q234</f>
        <v>0</v>
      </c>
      <c r="K234" s="9">
        <f ca="1">J234-R234</f>
        <v>0</v>
      </c>
      <c r="L234" s="9">
        <f ca="1">K234-S234</f>
        <v>0</v>
      </c>
      <c r="M234" s="9">
        <f ca="1">L234-T234</f>
        <v>0</v>
      </c>
      <c r="N234" s="9"/>
      <c r="O234" s="9"/>
      <c r="P234" s="9">
        <f>IF(OR($C234="Annual",$D234=$E234),IF(AND($D234=$E234,P$111=$B234+$D234),$I234,IF(AND(P$111&gt;$B234+$D234,P$111&lt;=$B234+$E234), $I234/($E234-$D234),0)), IF(OR(P$111=$B234+$D234,P$111=$B234+$E234),$I234/(($E234-$D234)*2),IF(AND(P$111&gt;$B234+$D234,P$111&lt;$B234+$E234),$I234/($E234-$D234),0)))</f>
        <v>0</v>
      </c>
      <c r="Q234" s="9">
        <f>IF(OR($C234="Annual",$D234=$E234),IF(AND($D234=$E234,Q$111=$B234+$D234),$I234,IF(AND(Q$111&gt;$B234+$D234,Q$111&lt;=$B234+$E234), $I234/($E234-$D234),0)), IF(OR(Q$111=$B234+$D234,Q$111=$B234+$E234),$I234/(($E234-$D234)*2),IF(AND(Q$111&gt;$B234+$D234,Q$111&lt;$B234+$E234),$I234/($E234-$D234),0)))</f>
        <v>0</v>
      </c>
      <c r="R234" s="9">
        <f>IF(OR($C234="Annual",$D234=$E234),IF(AND($D234=$E234,R$111=$B234+$D234),$I234,IF(AND(R$111&gt;$B234+$D234,R$111&lt;=$B234+$E234), $I234/($E234-$D234),0)), IF(OR(R$111=$B234+$D234,R$111=$B234+$E234),$I234/(($E234-$D234)*2),IF(AND(R$111&gt;$B234+$D234,R$111&lt;$B234+$E234),$I234/($E234-$D234),0)))</f>
        <v>0</v>
      </c>
      <c r="S234" s="9">
        <f>IF(OR($C234="Annual",$D234=$E234),IF(AND($D234=$E234,S$111=$B234+$D234),$I234,IF(AND(S$111&gt;$B234+$D234,S$111&lt;=$B234+$E234), $I234/($E234-$D234),0)), IF(OR(S$111=$B234+$D234,S$111=$B234+$E234),$I234/(($E234-$D234)*2),IF(AND(S$111&gt;$B234+$D234,S$111&lt;$B234+$E234),$I234/($E234-$D234),0)))</f>
        <v>0</v>
      </c>
      <c r="T234" s="9">
        <f>IF(OR($C234="Annual",$D234=$E234),IF(AND($D234=$E234,T$111=$B234+$D234),$I234,IF(AND(T$111&gt;$B234+$D234,T$111&lt;=$B234+$E234), $I234/($E234-$D234),0)), IF(OR(T$111=$B234+$D234,T$111=$B234+$E234),$I234/(($E234-$D234)*2),IF(AND(T$111&gt;$B234+$D234,T$111&lt;$B234+$E234),$I234/($E234-$D234),0)))</f>
        <v>0</v>
      </c>
      <c r="U234" s="9"/>
      <c r="V234" s="9"/>
      <c r="W234" s="9">
        <f t="shared" si="63"/>
        <v>0</v>
      </c>
      <c r="X234" s="9">
        <f t="shared" ca="1" si="63"/>
        <v>0</v>
      </c>
      <c r="Y234" s="9">
        <f t="shared" ca="1" si="63"/>
        <v>0</v>
      </c>
      <c r="Z234" s="9">
        <f t="shared" ca="1" si="63"/>
        <v>0</v>
      </c>
      <c r="AA234" s="9">
        <f t="shared" ca="1" si="63"/>
        <v>0</v>
      </c>
    </row>
    <row r="235" spans="1:27">
      <c r="A235" s="8" t="str">
        <f>A234</f>
        <v>Type 11</v>
      </c>
      <c r="B235" s="7">
        <f>B234+1</f>
        <v>2020</v>
      </c>
      <c r="C235" s="7" t="str">
        <f>C234</f>
        <v>Annual</v>
      </c>
      <c r="D235" s="7">
        <f t="shared" si="64"/>
        <v>10</v>
      </c>
      <c r="E235" s="7">
        <f t="shared" si="64"/>
        <v>10</v>
      </c>
      <c r="F235" s="14">
        <f>$N$96</f>
        <v>2.6293643873954907E-2</v>
      </c>
      <c r="H235" s="9"/>
      <c r="I235" s="9"/>
      <c r="J235" s="9">
        <f ca="1">$D$96</f>
        <v>0</v>
      </c>
      <c r="K235" s="9">
        <f ca="1">J235-R235</f>
        <v>0</v>
      </c>
      <c r="L235" s="9">
        <f ca="1">K235-S235</f>
        <v>0</v>
      </c>
      <c r="M235" s="9">
        <f ca="1">L235-T235</f>
        <v>0</v>
      </c>
      <c r="N235" s="9"/>
      <c r="O235" s="9"/>
      <c r="P235" s="9"/>
      <c r="Q235" s="9">
        <f>IF(OR($C235="Annual",$D235=$E235),IF(AND($D235=$E235,Q$111=$B235+$D235),$J235,IF(AND(Q$111&gt;$B235+$D235,Q$111&lt;=$B235+$E235), $J235/($E235-$D235),0)), IF(OR(Q$111=$B235+$D235,Q$111=$B235+$E235),$J235/(($E235-$D235)*2),IF(AND(Q$111&gt;$B235+$D235,Q$111&lt;$B235+$E235),$J235/($E235-$D235),0)))</f>
        <v>0</v>
      </c>
      <c r="R235" s="9">
        <f>IF(OR($C235="Annual",$D235=$E235),IF(AND($D235=$E235,R$111=$B235+$D235),$J235,IF(AND(R$111&gt;$B235+$D235,R$111&lt;=$B235+$E235), $J235/($E235-$D235),0)), IF(OR(R$111=$B235+$D235,R$111=$B235+$E235),$J235/(($E235-$D235)*2),IF(AND(R$111&gt;$B235+$D235,R$111&lt;$B235+$E235),$J235/($E235-$D235),0)))</f>
        <v>0</v>
      </c>
      <c r="S235" s="9">
        <f>IF(OR($C235="Annual",$D235=$E235),IF(AND($D235=$E235,S$111=$B235+$D235),$J235,IF(AND(S$111&gt;$B235+$D235,S$111&lt;=$B235+$E235), $J235/($E235-$D235),0)), IF(OR(S$111=$B235+$D235,S$111=$B235+$E235),$J235/(($E235-$D235)*2),IF(AND(S$111&gt;$B235+$D235,S$111&lt;$B235+$E235),$J235/($E235-$D235),0)))</f>
        <v>0</v>
      </c>
      <c r="T235" s="9">
        <f>IF(OR($C235="Annual",$D235=$E235),IF(AND($D235=$E235,T$111=$B235+$D235),$J235,IF(AND(T$111&gt;$B235+$D235,T$111&lt;=$B235+$E235), $J235/($E235-$D235),0)), IF(OR(T$111=$B235+$D235,T$111=$B235+$E235),$J235/(($E235-$D235)*2),IF(AND(T$111&gt;$B235+$D235,T$111&lt;$B235+$E235),$J235/($E235-$D235),0)))</f>
        <v>0</v>
      </c>
      <c r="U235" s="9"/>
      <c r="V235" s="9"/>
      <c r="W235" s="9"/>
      <c r="X235" s="9">
        <f t="shared" si="63"/>
        <v>0</v>
      </c>
      <c r="Y235" s="9">
        <f t="shared" ca="1" si="63"/>
        <v>0</v>
      </c>
      <c r="Z235" s="9">
        <f t="shared" ca="1" si="63"/>
        <v>0</v>
      </c>
      <c r="AA235" s="9">
        <f t="shared" ca="1" si="63"/>
        <v>0</v>
      </c>
    </row>
    <row r="236" spans="1:27">
      <c r="A236" s="8" t="str">
        <f>A235</f>
        <v>Type 11</v>
      </c>
      <c r="B236" s="7">
        <f>B235+1</f>
        <v>2021</v>
      </c>
      <c r="C236" s="7" t="str">
        <f>C235</f>
        <v>Annual</v>
      </c>
      <c r="D236" s="7">
        <f t="shared" si="64"/>
        <v>10</v>
      </c>
      <c r="E236" s="7">
        <f t="shared" si="64"/>
        <v>10</v>
      </c>
      <c r="F236" s="14">
        <f>$O$96</f>
        <v>2.1999999999999999E-2</v>
      </c>
      <c r="H236" s="9"/>
      <c r="I236" s="9"/>
      <c r="J236" s="9"/>
      <c r="K236" s="9">
        <f ca="1">$E$96</f>
        <v>0</v>
      </c>
      <c r="L236" s="9">
        <f ca="1">K236-S236</f>
        <v>0</v>
      </c>
      <c r="M236" s="9">
        <f ca="1">L236-T236</f>
        <v>0</v>
      </c>
      <c r="N236" s="9"/>
      <c r="O236" s="9"/>
      <c r="P236" s="9"/>
      <c r="Q236" s="9"/>
      <c r="R236" s="9">
        <f>IF(OR($C236="Annual",$D236=$E236),IF(AND($D236=$E236,R$111=$B236+$D236),$K236,IF(AND(R$111&gt;$B236+$D236,R$111&lt;=$B236+$E236), $K236/($E236-$D236),0)), IF(OR(R$111=$B236+$D236,R$111=$B236+$E236),$K236/(($E236-$D236)*2),IF(AND(R$111&gt;$B236+$D236,R$111&lt;$B236+$E236),$K236/($E236-$D236),0)))</f>
        <v>0</v>
      </c>
      <c r="S236" s="9">
        <f>IF(OR($C236="Annual",$D236=$E236),IF(AND($D236=$E236,S$111=$B236+$D236),$K236,IF(AND(S$111&gt;$B236+$D236,S$111&lt;=$B236+$E236), $K236/($E236-$D236),0)), IF(OR(S$111=$B236+$D236,S$111=$B236+$E236),$K236/(($E236-$D236)*2),IF(AND(S$111&gt;$B236+$D236,S$111&lt;$B236+$E236),$K236/($E236-$D236),0)))</f>
        <v>0</v>
      </c>
      <c r="T236" s="9">
        <f>IF(OR($C236="Annual",$D236=$E236),IF(AND($D236=$E236,T$111=$B236+$D236),$K236,IF(AND(T$111&gt;$B236+$D236,T$111&lt;=$B236+$E236), $K236/($E236-$D236),0)), IF(OR(T$111=$B236+$D236,T$111=$B236+$E236),$K236/(($E236-$D236)*2),IF(AND(T$111&gt;$B236+$D236,T$111&lt;$B236+$E236),$K236/($E236-$D236),0)))</f>
        <v>0</v>
      </c>
      <c r="U236" s="9"/>
      <c r="V236" s="9"/>
      <c r="W236" s="9"/>
      <c r="X236" s="9"/>
      <c r="Y236" s="9">
        <f t="shared" si="63"/>
        <v>0</v>
      </c>
      <c r="Z236" s="9">
        <f t="shared" ca="1" si="63"/>
        <v>0</v>
      </c>
      <c r="AA236" s="9">
        <f t="shared" ca="1" si="63"/>
        <v>0</v>
      </c>
    </row>
    <row r="237" spans="1:27">
      <c r="A237" s="8" t="str">
        <f>A236</f>
        <v>Type 11</v>
      </c>
      <c r="B237" s="7">
        <f>B236+1</f>
        <v>2022</v>
      </c>
      <c r="C237" s="7" t="str">
        <f>C236</f>
        <v>Annual</v>
      </c>
      <c r="D237" s="7">
        <f t="shared" si="64"/>
        <v>10</v>
      </c>
      <c r="E237" s="7">
        <f t="shared" si="64"/>
        <v>10</v>
      </c>
      <c r="F237" s="14">
        <f>$P$96</f>
        <v>2.1999999999999999E-2</v>
      </c>
      <c r="H237" s="9"/>
      <c r="I237" s="9"/>
      <c r="J237" s="9"/>
      <c r="K237" s="9"/>
      <c r="L237" s="9">
        <f ca="1">$F$96</f>
        <v>0</v>
      </c>
      <c r="M237" s="9">
        <f ca="1">L237-T237</f>
        <v>0</v>
      </c>
      <c r="N237" s="9"/>
      <c r="O237" s="9"/>
      <c r="P237" s="9"/>
      <c r="Q237" s="9"/>
      <c r="R237" s="9"/>
      <c r="S237" s="9">
        <f>IF(OR($C237="Annual",$D237=$E237),IF(AND($D237=$E237,S$111=$B237+$D237),$L237,IF(AND(S$111&gt;$B237+$D237,S$111&lt;=$B237+$E237), $L237/($E237-$D237),0)), IF(OR(S$111=$B237+$D237,S$111=$B237+$E237),$L237/(($E237-$D237)*2),IF(AND(S$111&gt;$B237+$D237,S$111&lt;$B237+$E237),$L237/($E237-$D237),0)))</f>
        <v>0</v>
      </c>
      <c r="T237" s="9">
        <f>IF(OR($C237="Annual",$D237=$E237),IF(AND($D237=$E237,T$111=$B237+$D237),$L237,IF(AND(T$111&gt;$B237+$D237,T$111&lt;=$B237+$E237), $L237/($E237-$D237),0)), IF(OR(T$111=$B237+$D237,T$111=$B237+$E237),$L237/(($E237-$D237)*2),IF(AND(T$111&gt;$B237+$D237,T$111&lt;$B237+$E237),$L237/($E237-$D237),0)))</f>
        <v>0</v>
      </c>
      <c r="U237" s="9"/>
      <c r="V237" s="9"/>
      <c r="W237" s="9"/>
      <c r="X237" s="9"/>
      <c r="Y237" s="9"/>
      <c r="Z237" s="9">
        <f t="shared" si="63"/>
        <v>0</v>
      </c>
      <c r="AA237" s="9">
        <f t="shared" ca="1" si="63"/>
        <v>0</v>
      </c>
    </row>
    <row r="238" spans="1:27">
      <c r="A238" s="8" t="str">
        <f>A237</f>
        <v>Type 11</v>
      </c>
      <c r="B238" s="7">
        <f>B237+1</f>
        <v>2023</v>
      </c>
      <c r="C238" s="7" t="str">
        <f>C237</f>
        <v>Annual</v>
      </c>
      <c r="D238" s="7">
        <f t="shared" si="64"/>
        <v>10</v>
      </c>
      <c r="E238" s="7">
        <f t="shared" si="64"/>
        <v>10</v>
      </c>
      <c r="F238" s="14">
        <f>$Q$96</f>
        <v>2.1999999999999999E-2</v>
      </c>
      <c r="H238" s="9"/>
      <c r="I238" s="9"/>
      <c r="J238" s="9"/>
      <c r="K238" s="9"/>
      <c r="L238" s="9"/>
      <c r="M238" s="9">
        <f ca="1">$G$96</f>
        <v>0</v>
      </c>
      <c r="N238" s="9"/>
      <c r="O238" s="9"/>
      <c r="P238" s="9"/>
      <c r="Q238" s="9"/>
      <c r="R238" s="9"/>
      <c r="S238" s="9"/>
      <c r="T238" s="9">
        <f>IF(OR($C238="Annual",$D238=$E238),IF(AND($D238=$E238,T$111=$B238+$D238),$M238,IF(AND(T$111&gt;$B238+$D238,T$111&lt;=$B238+$E238), $M238/($E238-$D238),0)), IF(OR(T$111=$B238+$D238,T$111=$B238+$E238),$M238/(($E238-$D238)*2),IF(AND(T$111&gt;$B238+$D238,T$111&lt;$B238+$E238),$M238/($E238-$D238),0)))</f>
        <v>0</v>
      </c>
      <c r="U238" s="9"/>
      <c r="V238" s="9"/>
      <c r="W238" s="9"/>
      <c r="X238" s="9"/>
      <c r="Y238" s="9"/>
      <c r="Z238" s="9"/>
      <c r="AA238" s="9">
        <f t="shared" si="63"/>
        <v>0</v>
      </c>
    </row>
    <row r="239" spans="1:27">
      <c r="C239" s="281"/>
      <c r="F239" s="15"/>
      <c r="H239" s="10"/>
      <c r="I239" s="10"/>
      <c r="J239" s="10"/>
      <c r="K239" s="10"/>
      <c r="L239" s="10"/>
      <c r="M239" s="10"/>
      <c r="N239" s="10"/>
      <c r="O239" s="278"/>
      <c r="P239" s="10"/>
      <c r="Q239" s="10"/>
      <c r="R239" s="10"/>
      <c r="S239" s="10"/>
      <c r="T239" s="10"/>
      <c r="U239" s="10"/>
      <c r="V239" s="10"/>
      <c r="W239" s="10"/>
      <c r="X239" s="10"/>
      <c r="Y239" s="10"/>
      <c r="Z239" s="10"/>
      <c r="AA239" s="10"/>
    </row>
    <row r="240" spans="1:27">
      <c r="A240" s="8" t="str">
        <f>'Input 4 - Forecast'!A78</f>
        <v>Type 12</v>
      </c>
      <c r="B240" s="7">
        <f>B119</f>
        <v>2018</v>
      </c>
      <c r="C240" s="7" t="str">
        <f>$I97</f>
        <v>Annual</v>
      </c>
      <c r="D240" s="7">
        <f>$J97</f>
        <v>30</v>
      </c>
      <c r="E240" s="7">
        <f>$K97</f>
        <v>30</v>
      </c>
      <c r="F240" s="14">
        <f>$L$97</f>
        <v>2.2499999999999999E-2</v>
      </c>
      <c r="H240" s="9">
        <f>$B$97</f>
        <v>499.99798625313935</v>
      </c>
      <c r="I240" s="9">
        <f>H240-P240</f>
        <v>499.99798625313935</v>
      </c>
      <c r="J240" s="9">
        <f>I240-Q240</f>
        <v>499.99798625313935</v>
      </c>
      <c r="K240" s="9">
        <f>J240-R240</f>
        <v>499.99798625313935</v>
      </c>
      <c r="L240" s="9">
        <f>K240-S240</f>
        <v>499.99798625313935</v>
      </c>
      <c r="M240" s="9">
        <f>L240-T240</f>
        <v>499.99798625313935</v>
      </c>
      <c r="N240" s="9"/>
      <c r="O240" s="9">
        <f t="shared" ref="O240:T240" si="65">IF(OR($C240="Annual",$D240=$E240),IF(AND($D240=$E240,O$111=$B240+$D240),$H240,IF(AND(O$111&gt;$B240+$D240,O$111&lt;=$B240+$E240), $H240/($E240-$D240),0)), IF(OR(O$111=$B240+$D240,O$111=$B240+$E240),$H240/(($E240-$D240)*2),IF(AND(O$111&gt;$B240+$D240,O$111&lt;$B240+$E240),$H240/($E240-$D240),0)))</f>
        <v>0</v>
      </c>
      <c r="P240" s="9">
        <f t="shared" si="65"/>
        <v>0</v>
      </c>
      <c r="Q240" s="9">
        <f t="shared" si="65"/>
        <v>0</v>
      </c>
      <c r="R240" s="9">
        <f t="shared" si="65"/>
        <v>0</v>
      </c>
      <c r="S240" s="9">
        <f t="shared" si="65"/>
        <v>0</v>
      </c>
      <c r="T240" s="9">
        <f t="shared" si="65"/>
        <v>0</v>
      </c>
      <c r="U240" s="9"/>
      <c r="V240" s="9">
        <f>IF($C240="annual",IF(V$111=$B240,0,G240*$F240),IF(V$111-$B240=0,0,IF((V$111-$B240)&lt;$E240,AVERAGE(G240,H240)*$F240,IF((V$111-$B240)=$E240,G240*$F240/2,0))))</f>
        <v>0</v>
      </c>
      <c r="W240" s="9">
        <f t="shared" ref="W240:AA245" si="66">IF($C240="annual",IF(W$111=$B240,0,H240*$F240),IF(W$111-$B240=0,0,IF((W$111-$B240)&lt;$E240,AVERAGE(H240,I240)*$F240,IF((W$111-$B240)=$E240,H240*$F240/2,0))))</f>
        <v>11.249954690695635</v>
      </c>
      <c r="X240" s="9">
        <f t="shared" si="66"/>
        <v>11.249954690695635</v>
      </c>
      <c r="Y240" s="9">
        <f t="shared" si="66"/>
        <v>11.249954690695635</v>
      </c>
      <c r="Z240" s="9">
        <f t="shared" si="66"/>
        <v>11.249954690695635</v>
      </c>
      <c r="AA240" s="9">
        <f t="shared" si="66"/>
        <v>11.249954690695635</v>
      </c>
    </row>
    <row r="241" spans="1:27">
      <c r="A241" s="8" t="str">
        <f>A240</f>
        <v>Type 12</v>
      </c>
      <c r="B241" s="7">
        <f>B240+1</f>
        <v>2019</v>
      </c>
      <c r="C241" s="7" t="str">
        <f>C240</f>
        <v>Annual</v>
      </c>
      <c r="D241" s="7">
        <f>D240</f>
        <v>30</v>
      </c>
      <c r="E241" s="7">
        <f>E240</f>
        <v>30</v>
      </c>
      <c r="F241" s="14">
        <f>$M$97</f>
        <v>4.2936438739549099E-3</v>
      </c>
      <c r="H241" s="9"/>
      <c r="I241" s="9">
        <f ca="1">$C$97</f>
        <v>0</v>
      </c>
      <c r="J241" s="9">
        <f ca="1">I241-Q241</f>
        <v>0</v>
      </c>
      <c r="K241" s="9">
        <f ca="1">J241-R241</f>
        <v>0</v>
      </c>
      <c r="L241" s="9">
        <f ca="1">K241-S241</f>
        <v>0</v>
      </c>
      <c r="M241" s="9">
        <f ca="1">L241-T241</f>
        <v>0</v>
      </c>
      <c r="N241" s="9"/>
      <c r="O241" s="9"/>
      <c r="P241" s="9">
        <f>IF(OR($C241="Annual",$D241=$E241),IF(AND($D241=$E241,P$111=$B241+$D241),$I241,IF(AND(P$111&gt;$B241+$D241,P$111&lt;=$B241+$E241), $I241/($E241-$D241),0)), IF(OR(P$111=$B241+$D241,P$111=$B241+$E241),$I241/(($E241-$D241)*2),IF(AND(P$111&gt;$B241+$D241,P$111&lt;$B241+$E241),$I241/($E241-$D241),0)))</f>
        <v>0</v>
      </c>
      <c r="Q241" s="9">
        <f>IF(OR($C241="Annual",$D241=$E241),IF(AND($D241=$E241,Q$111=$B241+$D241),$I241,IF(AND(Q$111&gt;$B241+$D241,Q$111&lt;=$B241+$E241), $I241/($E241-$D241),0)), IF(OR(Q$111=$B241+$D241,Q$111=$B241+$E241),$I241/(($E241-$D241)*2),IF(AND(Q$111&gt;$B241+$D241,Q$111&lt;$B241+$E241),$I241/($E241-$D241),0)))</f>
        <v>0</v>
      </c>
      <c r="R241" s="9">
        <f>IF(OR($C241="Annual",$D241=$E241),IF(AND($D241=$E241,R$111=$B241+$D241),$I241,IF(AND(R$111&gt;$B241+$D241,R$111&lt;=$B241+$E241), $I241/($E241-$D241),0)), IF(OR(R$111=$B241+$D241,R$111=$B241+$E241),$I241/(($E241-$D241)*2),IF(AND(R$111&gt;$B241+$D241,R$111&lt;$B241+$E241),$I241/($E241-$D241),0)))</f>
        <v>0</v>
      </c>
      <c r="S241" s="9">
        <f>IF(OR($C241="Annual",$D241=$E241),IF(AND($D241=$E241,S$111=$B241+$D241),$I241,IF(AND(S$111&gt;$B241+$D241,S$111&lt;=$B241+$E241), $I241/($E241-$D241),0)), IF(OR(S$111=$B241+$D241,S$111=$B241+$E241),$I241/(($E241-$D241)*2),IF(AND(S$111&gt;$B241+$D241,S$111&lt;$B241+$E241),$I241/($E241-$D241),0)))</f>
        <v>0</v>
      </c>
      <c r="T241" s="9">
        <f>IF(OR($C241="Annual",$D241=$E241),IF(AND($D241=$E241,T$111=$B241+$D241),$I241,IF(AND(T$111&gt;$B241+$D241,T$111&lt;=$B241+$E241), $I241/($E241-$D241),0)), IF(OR(T$111=$B241+$D241,T$111=$B241+$E241),$I241/(($E241-$D241)*2),IF(AND(T$111&gt;$B241+$D241,T$111&lt;$B241+$E241),$I241/($E241-$D241),0)))</f>
        <v>0</v>
      </c>
      <c r="U241" s="9"/>
      <c r="V241" s="9"/>
      <c r="W241" s="9">
        <f t="shared" si="66"/>
        <v>0</v>
      </c>
      <c r="X241" s="9">
        <f t="shared" ca="1" si="66"/>
        <v>0</v>
      </c>
      <c r="Y241" s="9">
        <f t="shared" ca="1" si="66"/>
        <v>0</v>
      </c>
      <c r="Z241" s="9">
        <f t="shared" ca="1" si="66"/>
        <v>0</v>
      </c>
      <c r="AA241" s="9">
        <f t="shared" ca="1" si="66"/>
        <v>0</v>
      </c>
    </row>
    <row r="242" spans="1:27">
      <c r="A242" s="8" t="str">
        <f>A241</f>
        <v>Type 12</v>
      </c>
      <c r="B242" s="7">
        <f>B241+1</f>
        <v>2020</v>
      </c>
      <c r="C242" s="7" t="str">
        <f>C241</f>
        <v>Annual</v>
      </c>
      <c r="D242" s="7">
        <f t="shared" ref="D242:E245" si="67">D241</f>
        <v>30</v>
      </c>
      <c r="E242" s="7">
        <f t="shared" si="67"/>
        <v>30</v>
      </c>
      <c r="F242" s="14">
        <f>$N$97</f>
        <v>4.2936438739549099E-3</v>
      </c>
      <c r="H242" s="9"/>
      <c r="I242" s="9"/>
      <c r="J242" s="9">
        <f ca="1">$D$97</f>
        <v>0</v>
      </c>
      <c r="K242" s="9">
        <f ca="1">J242-R242</f>
        <v>0</v>
      </c>
      <c r="L242" s="9">
        <f ca="1">K242-S242</f>
        <v>0</v>
      </c>
      <c r="M242" s="9">
        <f ca="1">L242-T242</f>
        <v>0</v>
      </c>
      <c r="N242" s="9"/>
      <c r="O242" s="9"/>
      <c r="P242" s="9"/>
      <c r="Q242" s="9">
        <f>IF(OR($C242="Annual",$D242=$E242),IF(AND($D242=$E242,Q$111=$B242+$D242),$J242,IF(AND(Q$111&gt;$B242+$D242,Q$111&lt;=$B242+$E242), $J242/($E242-$D242),0)), IF(OR(Q$111=$B242+$D242,Q$111=$B242+$E242),$J242/(($E242-$D242)*2),IF(AND(Q$111&gt;$B242+$D242,Q$111&lt;$B242+$E242),$J242/($E242-$D242),0)))</f>
        <v>0</v>
      </c>
      <c r="R242" s="9">
        <f>IF(OR($C242="Annual",$D242=$E242),IF(AND($D242=$E242,R$111=$B242+$D242),$J242,IF(AND(R$111&gt;$B242+$D242,R$111&lt;=$B242+$E242), $J242/($E242-$D242),0)), IF(OR(R$111=$B242+$D242,R$111=$B242+$E242),$J242/(($E242-$D242)*2),IF(AND(R$111&gt;$B242+$D242,R$111&lt;$B242+$E242),$J242/($E242-$D242),0)))</f>
        <v>0</v>
      </c>
      <c r="S242" s="9">
        <f>IF(OR($C242="Annual",$D242=$E242),IF(AND($D242=$E242,S$111=$B242+$D242),$J242,IF(AND(S$111&gt;$B242+$D242,S$111&lt;=$B242+$E242), $J242/($E242-$D242),0)), IF(OR(S$111=$B242+$D242,S$111=$B242+$E242),$J242/(($E242-$D242)*2),IF(AND(S$111&gt;$B242+$D242,S$111&lt;$B242+$E242),$J242/($E242-$D242),0)))</f>
        <v>0</v>
      </c>
      <c r="T242" s="9">
        <f>IF(OR($C242="Annual",$D242=$E242),IF(AND($D242=$E242,T$111=$B242+$D242),$J242,IF(AND(T$111&gt;$B242+$D242,T$111&lt;=$B242+$E242), $J242/($E242-$D242),0)), IF(OR(T$111=$B242+$D242,T$111=$B242+$E242),$J242/(($E242-$D242)*2),IF(AND(T$111&gt;$B242+$D242,T$111&lt;$B242+$E242),$J242/($E242-$D242),0)))</f>
        <v>0</v>
      </c>
      <c r="U242" s="9"/>
      <c r="V242" s="9"/>
      <c r="W242" s="9"/>
      <c r="X242" s="9">
        <f t="shared" si="66"/>
        <v>0</v>
      </c>
      <c r="Y242" s="9">
        <f t="shared" ca="1" si="66"/>
        <v>0</v>
      </c>
      <c r="Z242" s="9">
        <f t="shared" ca="1" si="66"/>
        <v>0</v>
      </c>
      <c r="AA242" s="9">
        <f t="shared" ca="1" si="66"/>
        <v>0</v>
      </c>
    </row>
    <row r="243" spans="1:27">
      <c r="A243" s="8" t="str">
        <f>A242</f>
        <v>Type 12</v>
      </c>
      <c r="B243" s="7">
        <f>B242+1</f>
        <v>2021</v>
      </c>
      <c r="C243" s="7" t="str">
        <f>C242</f>
        <v>Annual</v>
      </c>
      <c r="D243" s="7">
        <f t="shared" si="67"/>
        <v>30</v>
      </c>
      <c r="E243" s="7">
        <f t="shared" si="67"/>
        <v>30</v>
      </c>
      <c r="F243" s="14">
        <f>$O$97</f>
        <v>0</v>
      </c>
      <c r="H243" s="9"/>
      <c r="I243" s="9"/>
      <c r="J243" s="9"/>
      <c r="K243" s="9">
        <f ca="1">$E$97</f>
        <v>0</v>
      </c>
      <c r="L243" s="9">
        <f ca="1">K243-S243</f>
        <v>0</v>
      </c>
      <c r="M243" s="9">
        <f ca="1">L243-T243</f>
        <v>0</v>
      </c>
      <c r="N243" s="9"/>
      <c r="O243" s="9"/>
      <c r="P243" s="9"/>
      <c r="Q243" s="9"/>
      <c r="R243" s="9">
        <f>IF(OR($C243="Annual",$D243=$E243),IF(AND($D243=$E243,R$111=$B243+$D243),$K243,IF(AND(R$111&gt;$B243+$D243,R$111&lt;=$B243+$E243), $K243/($E243-$D243),0)), IF(OR(R$111=$B243+$D243,R$111=$B243+$E243),$K243/(($E243-$D243)*2),IF(AND(R$111&gt;$B243+$D243,R$111&lt;$B243+$E243),$K243/($E243-$D243),0)))</f>
        <v>0</v>
      </c>
      <c r="S243" s="9">
        <f>IF(OR($C243="Annual",$D243=$E243),IF(AND($D243=$E243,S$111=$B243+$D243),$K243,IF(AND(S$111&gt;$B243+$D243,S$111&lt;=$B243+$E243), $K243/($E243-$D243),0)), IF(OR(S$111=$B243+$D243,S$111=$B243+$E243),$K243/(($E243-$D243)*2),IF(AND(S$111&gt;$B243+$D243,S$111&lt;$B243+$E243),$K243/($E243-$D243),0)))</f>
        <v>0</v>
      </c>
      <c r="T243" s="9">
        <f>IF(OR($C243="Annual",$D243=$E243),IF(AND($D243=$E243,T$111=$B243+$D243),$K243,IF(AND(T$111&gt;$B243+$D243,T$111&lt;=$B243+$E243), $K243/($E243-$D243),0)), IF(OR(T$111=$B243+$D243,T$111=$B243+$E243),$K243/(($E243-$D243)*2),IF(AND(T$111&gt;$B243+$D243,T$111&lt;$B243+$E243),$K243/($E243-$D243),0)))</f>
        <v>0</v>
      </c>
      <c r="U243" s="9"/>
      <c r="V243" s="9"/>
      <c r="W243" s="9"/>
      <c r="X243" s="9"/>
      <c r="Y243" s="9">
        <f t="shared" si="66"/>
        <v>0</v>
      </c>
      <c r="Z243" s="9">
        <f t="shared" ca="1" si="66"/>
        <v>0</v>
      </c>
      <c r="AA243" s="9">
        <f t="shared" ca="1" si="66"/>
        <v>0</v>
      </c>
    </row>
    <row r="244" spans="1:27">
      <c r="A244" s="8" t="str">
        <f>A243</f>
        <v>Type 12</v>
      </c>
      <c r="B244" s="7">
        <f>B243+1</f>
        <v>2022</v>
      </c>
      <c r="C244" s="7" t="str">
        <f>C243</f>
        <v>Annual</v>
      </c>
      <c r="D244" s="7">
        <f t="shared" si="67"/>
        <v>30</v>
      </c>
      <c r="E244" s="7">
        <f t="shared" si="67"/>
        <v>30</v>
      </c>
      <c r="F244" s="14">
        <f>$P$97</f>
        <v>0</v>
      </c>
      <c r="H244" s="9"/>
      <c r="I244" s="9"/>
      <c r="J244" s="9"/>
      <c r="K244" s="9"/>
      <c r="L244" s="9">
        <f ca="1">$F$97</f>
        <v>0</v>
      </c>
      <c r="M244" s="9">
        <f ca="1">L244-T244</f>
        <v>0</v>
      </c>
      <c r="N244" s="9"/>
      <c r="O244" s="9"/>
      <c r="P244" s="9"/>
      <c r="Q244" s="9"/>
      <c r="R244" s="9"/>
      <c r="S244" s="9">
        <f>IF(OR($C244="Annual",$D244=$E244),IF(AND($D244=$E244,S$111=$B244+$D244),$L244,IF(AND(S$111&gt;$B244+$D244,S$111&lt;=$B244+$E244), $L244/($E244-$D244),0)), IF(OR(S$111=$B244+$D244,S$111=$B244+$E244),$L244/(($E244-$D244)*2),IF(AND(S$111&gt;$B244+$D244,S$111&lt;$B244+$E244),$L244/($E244-$D244),0)))</f>
        <v>0</v>
      </c>
      <c r="T244" s="9">
        <f>IF(OR($C244="Annual",$D244=$E244),IF(AND($D244=$E244,T$111=$B244+$D244),$L244,IF(AND(T$111&gt;$B244+$D244,T$111&lt;=$B244+$E244), $L244/($E244-$D244),0)), IF(OR(T$111=$B244+$D244,T$111=$B244+$E244),$L244/(($E244-$D244)*2),IF(AND(T$111&gt;$B244+$D244,T$111&lt;$B244+$E244),$L244/($E244-$D244),0)))</f>
        <v>0</v>
      </c>
      <c r="U244" s="9"/>
      <c r="V244" s="9"/>
      <c r="W244" s="9"/>
      <c r="X244" s="9"/>
      <c r="Y244" s="9"/>
      <c r="Z244" s="9">
        <f t="shared" si="66"/>
        <v>0</v>
      </c>
      <c r="AA244" s="9">
        <f t="shared" ca="1" si="66"/>
        <v>0</v>
      </c>
    </row>
    <row r="245" spans="1:27">
      <c r="A245" s="8" t="str">
        <f>A244</f>
        <v>Type 12</v>
      </c>
      <c r="B245" s="7">
        <f>B244+1</f>
        <v>2023</v>
      </c>
      <c r="C245" s="7" t="str">
        <f>C244</f>
        <v>Annual</v>
      </c>
      <c r="D245" s="7">
        <f t="shared" si="67"/>
        <v>30</v>
      </c>
      <c r="E245" s="7">
        <f t="shared" si="67"/>
        <v>30</v>
      </c>
      <c r="F245" s="14">
        <f>$Q$97</f>
        <v>0</v>
      </c>
      <c r="H245" s="9"/>
      <c r="I245" s="9"/>
      <c r="J245" s="9"/>
      <c r="K245" s="9"/>
      <c r="L245" s="9"/>
      <c r="M245" s="9">
        <f ca="1">$G$97</f>
        <v>0</v>
      </c>
      <c r="N245" s="9"/>
      <c r="O245" s="9"/>
      <c r="P245" s="9"/>
      <c r="Q245" s="9"/>
      <c r="R245" s="9"/>
      <c r="S245" s="9"/>
      <c r="T245" s="9">
        <f>IF(OR($C245="Annual",$D245=$E245),IF(AND($D245=$E245,T$111=$B245+$D245),$M245,IF(AND(T$111&gt;$B245+$D245,T$111&lt;=$B245+$E245), $M245/($E245-$D245),0)), IF(OR(T$111=$B245+$D245,T$111=$B245+$E245),$M245/(($E245-$D245)*2),IF(AND(T$111&gt;$B245+$D245,T$111&lt;$B245+$E245),$M245/($E245-$D245),0)))</f>
        <v>0</v>
      </c>
      <c r="U245" s="9"/>
      <c r="V245" s="9"/>
      <c r="W245" s="9"/>
      <c r="X245" s="9"/>
      <c r="Y245" s="9"/>
      <c r="Z245" s="9"/>
      <c r="AA245" s="9">
        <f t="shared" si="66"/>
        <v>0</v>
      </c>
    </row>
    <row r="246" spans="1:27">
      <c r="C246" s="281"/>
      <c r="F246" s="15"/>
      <c r="H246" s="10"/>
      <c r="I246" s="10"/>
      <c r="J246" s="10"/>
      <c r="K246" s="10"/>
      <c r="L246" s="10"/>
      <c r="M246" s="10"/>
      <c r="N246" s="10"/>
      <c r="O246" s="278"/>
      <c r="P246" s="10"/>
      <c r="Q246" s="10"/>
      <c r="R246" s="10"/>
      <c r="S246" s="10"/>
      <c r="T246" s="10"/>
      <c r="U246" s="10"/>
      <c r="V246" s="10"/>
      <c r="W246" s="10"/>
      <c r="X246" s="10"/>
      <c r="Y246" s="10"/>
      <c r="Z246" s="10"/>
      <c r="AA246" s="10"/>
    </row>
    <row r="247" spans="1:27">
      <c r="A247" s="8" t="str">
        <f>'Input 4 - Forecast'!A79</f>
        <v>Type 13</v>
      </c>
      <c r="B247" s="7">
        <f>B119</f>
        <v>2018</v>
      </c>
      <c r="C247" s="7" t="str">
        <f>$I98</f>
        <v>Annual</v>
      </c>
      <c r="D247" s="7">
        <f>$J98</f>
        <v>0</v>
      </c>
      <c r="E247" s="7">
        <f>$K98</f>
        <v>0</v>
      </c>
      <c r="F247" s="14">
        <f>$L$98</f>
        <v>0</v>
      </c>
      <c r="H247" s="9">
        <f>$B$98</f>
        <v>0</v>
      </c>
      <c r="I247" s="9">
        <f>H247-P247</f>
        <v>0</v>
      </c>
      <c r="J247" s="9">
        <f>I247-Q247</f>
        <v>0</v>
      </c>
      <c r="K247" s="9">
        <f>J247-R247</f>
        <v>0</v>
      </c>
      <c r="L247" s="9">
        <f>K247-S247</f>
        <v>0</v>
      </c>
      <c r="M247" s="9">
        <f>L247-T247</f>
        <v>0</v>
      </c>
      <c r="N247" s="9"/>
      <c r="O247" s="9">
        <f t="shared" ref="O247:T247" si="68">IF(OR($C247="Annual",$D247=$E247),IF(AND($D247=$E247,O$111=$B247+$D247),$H247,IF(AND(O$111&gt;$B247+$D247,O$111&lt;=$B247+$E247), $H247/($E247-$D247),0)), IF(OR(O$111=$B247+$D247,O$111=$B247+$E247),$H247/(($E247-$D247)*2),IF(AND(O$111&gt;$B247+$D247,O$111&lt;$B247+$E247),$H247/($E247-$D247),0)))</f>
        <v>0</v>
      </c>
      <c r="P247" s="9">
        <f t="shared" si="68"/>
        <v>0</v>
      </c>
      <c r="Q247" s="9">
        <f t="shared" si="68"/>
        <v>0</v>
      </c>
      <c r="R247" s="9">
        <f t="shared" si="68"/>
        <v>0</v>
      </c>
      <c r="S247" s="9">
        <f t="shared" si="68"/>
        <v>0</v>
      </c>
      <c r="T247" s="9">
        <f t="shared" si="68"/>
        <v>0</v>
      </c>
      <c r="U247" s="9"/>
      <c r="V247" s="9">
        <f>IF($C247="annual",IF(V$111=$B247,0,G247*$F247),IF(V$111-$B247=0,0,IF((V$111-$B247)&lt;$E247,AVERAGE(G247,H247)*$F247,IF((V$111-$B247)=$E247,G247*$F247/2,0))))</f>
        <v>0</v>
      </c>
      <c r="W247" s="9">
        <f t="shared" ref="W247:AA252" si="69">IF($C247="annual",IF(W$111=$B247,0,H247*$F247),IF(W$111-$B247=0,0,IF((W$111-$B247)&lt;$E247,AVERAGE(H247,I247)*$F247,IF((W$111-$B247)=$E247,H247*$F247/2,0))))</f>
        <v>0</v>
      </c>
      <c r="X247" s="9">
        <f t="shared" si="69"/>
        <v>0</v>
      </c>
      <c r="Y247" s="9">
        <f t="shared" si="69"/>
        <v>0</v>
      </c>
      <c r="Z247" s="9">
        <f t="shared" si="69"/>
        <v>0</v>
      </c>
      <c r="AA247" s="9">
        <f t="shared" si="69"/>
        <v>0</v>
      </c>
    </row>
    <row r="248" spans="1:27">
      <c r="A248" s="8" t="str">
        <f>A247</f>
        <v>Type 13</v>
      </c>
      <c r="B248" s="7">
        <f>B247+1</f>
        <v>2019</v>
      </c>
      <c r="C248" s="7" t="str">
        <f>C247</f>
        <v>Annual</v>
      </c>
      <c r="D248" s="7">
        <f t="shared" ref="D248:E252" si="70">D247</f>
        <v>0</v>
      </c>
      <c r="E248" s="7">
        <f t="shared" si="70"/>
        <v>0</v>
      </c>
      <c r="F248" s="14">
        <f>$M$98</f>
        <v>4.2936438739549099E-3</v>
      </c>
      <c r="H248" s="9"/>
      <c r="I248" s="9">
        <f ca="1">$C$98</f>
        <v>0</v>
      </c>
      <c r="J248" s="9">
        <f ca="1">I248-Q248</f>
        <v>0</v>
      </c>
      <c r="K248" s="9">
        <f ca="1">J248-R248</f>
        <v>0</v>
      </c>
      <c r="L248" s="9">
        <f ca="1">K248-S248</f>
        <v>0</v>
      </c>
      <c r="M248" s="9">
        <f ca="1">L248-T248</f>
        <v>0</v>
      </c>
      <c r="N248" s="9"/>
      <c r="O248" s="9"/>
      <c r="P248" s="9">
        <f ca="1">IF(OR($C248="Annual",$D248=$E248),IF(AND($D248=$E248,P$111=$B248+$D248),$I248,IF(AND(P$111&gt;$B248+$D248,P$111&lt;=$B248+$E248), $I248/($E248-$D248),0)), IF(OR(P$111=$B248+$D248,P$111=$B248+$E248),$I248/(($E248-$D248)*2),IF(AND(P$111&gt;$B248+$D248,P$111&lt;$B248+$E248),$I248/($E248-$D248),0)))</f>
        <v>0</v>
      </c>
      <c r="Q248" s="9">
        <f>IF(OR($C248="Annual",$D248=$E248),IF(AND($D248=$E248,Q$111=$B248+$D248),$I248,IF(AND(Q$111&gt;$B248+$D248,Q$111&lt;=$B248+$E248), $I248/($E248-$D248),0)), IF(OR(Q$111=$B248+$D248,Q$111=$B248+$E248),$I248/(($E248-$D248)*2),IF(AND(Q$111&gt;$B248+$D248,Q$111&lt;$B248+$E248),$I248/($E248-$D248),0)))</f>
        <v>0</v>
      </c>
      <c r="R248" s="9">
        <f>IF(OR($C248="Annual",$D248=$E248),IF(AND($D248=$E248,R$111=$B248+$D248),$I248,IF(AND(R$111&gt;$B248+$D248,R$111&lt;=$B248+$E248), $I248/($E248-$D248),0)), IF(OR(R$111=$B248+$D248,R$111=$B248+$E248),$I248/(($E248-$D248)*2),IF(AND(R$111&gt;$B248+$D248,R$111&lt;$B248+$E248),$I248/($E248-$D248),0)))</f>
        <v>0</v>
      </c>
      <c r="S248" s="9">
        <f>IF(OR($C248="Annual",$D248=$E248),IF(AND($D248=$E248,S$111=$B248+$D248),$I248,IF(AND(S$111&gt;$B248+$D248,S$111&lt;=$B248+$E248), $I248/($E248-$D248),0)), IF(OR(S$111=$B248+$D248,S$111=$B248+$E248),$I248/(($E248-$D248)*2),IF(AND(S$111&gt;$B248+$D248,S$111&lt;$B248+$E248),$I248/($E248-$D248),0)))</f>
        <v>0</v>
      </c>
      <c r="T248" s="9">
        <f>IF(OR($C248="Annual",$D248=$E248),IF(AND($D248=$E248,T$111=$B248+$D248),$I248,IF(AND(T$111&gt;$B248+$D248,T$111&lt;=$B248+$E248), $I248/($E248-$D248),0)), IF(OR(T$111=$B248+$D248,T$111=$B248+$E248),$I248/(($E248-$D248)*2),IF(AND(T$111&gt;$B248+$D248,T$111&lt;$B248+$E248),$I248/($E248-$D248),0)))</f>
        <v>0</v>
      </c>
      <c r="U248" s="9"/>
      <c r="V248" s="9"/>
      <c r="W248" s="9">
        <f t="shared" si="69"/>
        <v>0</v>
      </c>
      <c r="X248" s="9">
        <f t="shared" ca="1" si="69"/>
        <v>0</v>
      </c>
      <c r="Y248" s="9">
        <f t="shared" ca="1" si="69"/>
        <v>0</v>
      </c>
      <c r="Z248" s="9">
        <f t="shared" ca="1" si="69"/>
        <v>0</v>
      </c>
      <c r="AA248" s="9">
        <f t="shared" ca="1" si="69"/>
        <v>0</v>
      </c>
    </row>
    <row r="249" spans="1:27">
      <c r="A249" s="8" t="str">
        <f>A248</f>
        <v>Type 13</v>
      </c>
      <c r="B249" s="7">
        <f>B248+1</f>
        <v>2020</v>
      </c>
      <c r="C249" s="7" t="str">
        <f>C248</f>
        <v>Annual</v>
      </c>
      <c r="D249" s="7">
        <f t="shared" si="70"/>
        <v>0</v>
      </c>
      <c r="E249" s="7">
        <f t="shared" si="70"/>
        <v>0</v>
      </c>
      <c r="F249" s="14">
        <f>$N$98</f>
        <v>4.2936438739549099E-3</v>
      </c>
      <c r="H249" s="9"/>
      <c r="I249" s="9"/>
      <c r="J249" s="9">
        <f ca="1">$D$98</f>
        <v>0</v>
      </c>
      <c r="K249" s="9">
        <f ca="1">J249-R249</f>
        <v>0</v>
      </c>
      <c r="L249" s="9">
        <f ca="1">K249-S249</f>
        <v>0</v>
      </c>
      <c r="M249" s="9">
        <f ca="1">L249-T249</f>
        <v>0</v>
      </c>
      <c r="N249" s="9"/>
      <c r="O249" s="9"/>
      <c r="P249" s="9"/>
      <c r="Q249" s="9">
        <f ca="1">IF(OR($C249="Annual",$D249=$E249),IF(AND($D249=$E249,Q$111=$B249+$D249),$J249,IF(AND(Q$111&gt;$B249+$D249,Q$111&lt;=$B249+$E249), $J249/($E249-$D249),0)), IF(OR(Q$111=$B249+$D249,Q$111=$B249+$E249),$J249/(($E249-$D249)*2),IF(AND(Q$111&gt;$B249+$D249,Q$111&lt;$B249+$E249),$J249/($E249-$D249),0)))</f>
        <v>0</v>
      </c>
      <c r="R249" s="9">
        <f>IF(OR($C249="Annual",$D249=$E249),IF(AND($D249=$E249,R$111=$B249+$D249),$J249,IF(AND(R$111&gt;$B249+$D249,R$111&lt;=$B249+$E249), $J249/($E249-$D249),0)), IF(OR(R$111=$B249+$D249,R$111=$B249+$E249),$J249/(($E249-$D249)*2),IF(AND(R$111&gt;$B249+$D249,R$111&lt;$B249+$E249),$J249/($E249-$D249),0)))</f>
        <v>0</v>
      </c>
      <c r="S249" s="9">
        <f>IF(OR($C249="Annual",$D249=$E249),IF(AND($D249=$E249,S$111=$B249+$D249),$J249,IF(AND(S$111&gt;$B249+$D249,S$111&lt;=$B249+$E249), $J249/($E249-$D249),0)), IF(OR(S$111=$B249+$D249,S$111=$B249+$E249),$J249/(($E249-$D249)*2),IF(AND(S$111&gt;$B249+$D249,S$111&lt;$B249+$E249),$J249/($E249-$D249),0)))</f>
        <v>0</v>
      </c>
      <c r="T249" s="9">
        <f>IF(OR($C249="Annual",$D249=$E249),IF(AND($D249=$E249,T$111=$B249+$D249),$J249,IF(AND(T$111&gt;$B249+$D249,T$111&lt;=$B249+$E249), $J249/($E249-$D249),0)), IF(OR(T$111=$B249+$D249,T$111=$B249+$E249),$J249/(($E249-$D249)*2),IF(AND(T$111&gt;$B249+$D249,T$111&lt;$B249+$E249),$J249/($E249-$D249),0)))</f>
        <v>0</v>
      </c>
      <c r="U249" s="9"/>
      <c r="V249" s="9"/>
      <c r="W249" s="9"/>
      <c r="X249" s="9">
        <f t="shared" si="69"/>
        <v>0</v>
      </c>
      <c r="Y249" s="9">
        <f t="shared" ca="1" si="69"/>
        <v>0</v>
      </c>
      <c r="Z249" s="9">
        <f t="shared" ca="1" si="69"/>
        <v>0</v>
      </c>
      <c r="AA249" s="9">
        <f t="shared" ca="1" si="69"/>
        <v>0</v>
      </c>
    </row>
    <row r="250" spans="1:27">
      <c r="A250" s="8" t="str">
        <f>A249</f>
        <v>Type 13</v>
      </c>
      <c r="B250" s="7">
        <f>B249+1</f>
        <v>2021</v>
      </c>
      <c r="C250" s="7" t="str">
        <f>C249</f>
        <v>Annual</v>
      </c>
      <c r="D250" s="7">
        <f t="shared" si="70"/>
        <v>0</v>
      </c>
      <c r="E250" s="7">
        <f t="shared" si="70"/>
        <v>0</v>
      </c>
      <c r="F250" s="14">
        <f>$O$98</f>
        <v>0</v>
      </c>
      <c r="H250" s="9"/>
      <c r="I250" s="9"/>
      <c r="J250" s="9"/>
      <c r="K250" s="9">
        <f ca="1">$E$98</f>
        <v>0</v>
      </c>
      <c r="L250" s="9">
        <f ca="1">K250-S250</f>
        <v>0</v>
      </c>
      <c r="M250" s="9">
        <f ca="1">L250-T250</f>
        <v>0</v>
      </c>
      <c r="N250" s="9"/>
      <c r="O250" s="9"/>
      <c r="P250" s="9"/>
      <c r="Q250" s="9"/>
      <c r="R250" s="9">
        <f ca="1">IF(OR($C250="Annual",$D250=$E250),IF(AND($D250=$E250,R$111=$B250+$D250),$K250,IF(AND(R$111&gt;$B250+$D250,R$111&lt;=$B250+$E250), $K250/($E250-$D250),0)), IF(OR(R$111=$B250+$D250,R$111=$B250+$E250),$K250/(($E250-$D250)*2),IF(AND(R$111&gt;$B250+$D250,R$111&lt;$B250+$E250),$K250/($E250-$D250),0)))</f>
        <v>0</v>
      </c>
      <c r="S250" s="9">
        <f>IF(OR($C250="Annual",$D250=$E250),IF(AND($D250=$E250,S$111=$B250+$D250),$K250,IF(AND(S$111&gt;$B250+$D250,S$111&lt;=$B250+$E250), $K250/($E250-$D250),0)), IF(OR(S$111=$B250+$D250,S$111=$B250+$E250),$K250/(($E250-$D250)*2),IF(AND(S$111&gt;$B250+$D250,S$111&lt;$B250+$E250),$K250/($E250-$D250),0)))</f>
        <v>0</v>
      </c>
      <c r="T250" s="9">
        <f>IF(OR($C250="Annual",$D250=$E250),IF(AND($D250=$E250,T$111=$B250+$D250),$K250,IF(AND(T$111&gt;$B250+$D250,T$111&lt;=$B250+$E250), $K250/($E250-$D250),0)), IF(OR(T$111=$B250+$D250,T$111=$B250+$E250),$K250/(($E250-$D250)*2),IF(AND(T$111&gt;$B250+$D250,T$111&lt;$B250+$E250),$K250/($E250-$D250),0)))</f>
        <v>0</v>
      </c>
      <c r="U250" s="9"/>
      <c r="V250" s="9"/>
      <c r="W250" s="9"/>
      <c r="X250" s="9"/>
      <c r="Y250" s="9">
        <f t="shared" si="69"/>
        <v>0</v>
      </c>
      <c r="Z250" s="9">
        <f t="shared" ca="1" si="69"/>
        <v>0</v>
      </c>
      <c r="AA250" s="9">
        <f t="shared" ca="1" si="69"/>
        <v>0</v>
      </c>
    </row>
    <row r="251" spans="1:27">
      <c r="A251" s="8" t="str">
        <f>A250</f>
        <v>Type 13</v>
      </c>
      <c r="B251" s="7">
        <f>B250+1</f>
        <v>2022</v>
      </c>
      <c r="C251" s="7" t="str">
        <f>C250</f>
        <v>Annual</v>
      </c>
      <c r="D251" s="7">
        <f t="shared" si="70"/>
        <v>0</v>
      </c>
      <c r="E251" s="7">
        <f t="shared" si="70"/>
        <v>0</v>
      </c>
      <c r="F251" s="14">
        <f>$P$98</f>
        <v>0</v>
      </c>
      <c r="H251" s="9"/>
      <c r="I251" s="9"/>
      <c r="J251" s="9"/>
      <c r="K251" s="9"/>
      <c r="L251" s="9">
        <f ca="1">$F$98</f>
        <v>0</v>
      </c>
      <c r="M251" s="9">
        <f ca="1">L251-T251</f>
        <v>0</v>
      </c>
      <c r="N251" s="9"/>
      <c r="O251" s="9"/>
      <c r="P251" s="9"/>
      <c r="Q251" s="9"/>
      <c r="R251" s="9"/>
      <c r="S251" s="9">
        <f ca="1">IF(OR($C251="Annual",$D251=$E251),IF(AND($D251=$E251,S$111=$B251+$D251),$L251,IF(AND(S$111&gt;$B251+$D251,S$111&lt;=$B251+$E251), $L251/($E251-$D251),0)), IF(OR(S$111=$B251+$D251,S$111=$B251+$E251),$L251/(($E251-$D251)*2),IF(AND(S$111&gt;$B251+$D251,S$111&lt;$B251+$E251),$L251/($E251-$D251),0)))</f>
        <v>0</v>
      </c>
      <c r="T251" s="9">
        <f>IF(OR($C251="Annual",$D251=$E251),IF(AND($D251=$E251,T$111=$B251+$D251),$L251,IF(AND(T$111&gt;$B251+$D251,T$111&lt;=$B251+$E251), $L251/($E251-$D251),0)), IF(OR(T$111=$B251+$D251,T$111=$B251+$E251),$L251/(($E251-$D251)*2),IF(AND(T$111&gt;$B251+$D251,T$111&lt;$B251+$E251),$L251/($E251-$D251),0)))</f>
        <v>0</v>
      </c>
      <c r="U251" s="9"/>
      <c r="V251" s="9"/>
      <c r="W251" s="9"/>
      <c r="X251" s="9"/>
      <c r="Y251" s="9"/>
      <c r="Z251" s="9">
        <f t="shared" si="69"/>
        <v>0</v>
      </c>
      <c r="AA251" s="9">
        <f t="shared" ca="1" si="69"/>
        <v>0</v>
      </c>
    </row>
    <row r="252" spans="1:27">
      <c r="A252" s="8" t="str">
        <f>A251</f>
        <v>Type 13</v>
      </c>
      <c r="B252" s="7">
        <f>B251+1</f>
        <v>2023</v>
      </c>
      <c r="C252" s="7" t="str">
        <f>C251</f>
        <v>Annual</v>
      </c>
      <c r="D252" s="7">
        <f t="shared" si="70"/>
        <v>0</v>
      </c>
      <c r="E252" s="7">
        <f t="shared" si="70"/>
        <v>0</v>
      </c>
      <c r="F252" s="14">
        <f>$Q$98</f>
        <v>0</v>
      </c>
      <c r="H252" s="9"/>
      <c r="I252" s="9"/>
      <c r="J252" s="9"/>
      <c r="K252" s="9"/>
      <c r="L252" s="9"/>
      <c r="M252" s="9">
        <f ca="1">$G$98</f>
        <v>0</v>
      </c>
      <c r="N252" s="9"/>
      <c r="O252" s="9"/>
      <c r="P252" s="9"/>
      <c r="Q252" s="9"/>
      <c r="R252" s="9"/>
      <c r="S252" s="9"/>
      <c r="T252" s="9">
        <f ca="1">IF(OR($C252="Annual",$D252=$E252),IF(AND($D252=$E252,T$111=$B252+$D252),$M252,IF(AND(T$111&gt;$B252+$D252,T$111&lt;=$B252+$E252), $M252/($E252-$D252),0)), IF(OR(T$111=$B252+$D252,T$111=$B252+$E252),$M252/(($E252-$D252)*2),IF(AND(T$111&gt;$B252+$D252,T$111&lt;$B252+$E252),$M252/($E252-$D252),0)))</f>
        <v>0</v>
      </c>
      <c r="U252" s="9"/>
      <c r="V252" s="9"/>
      <c r="W252" s="9"/>
      <c r="X252" s="9"/>
      <c r="Y252" s="9"/>
      <c r="Z252" s="9"/>
      <c r="AA252" s="9">
        <f t="shared" si="69"/>
        <v>0</v>
      </c>
    </row>
    <row r="253" spans="1:27">
      <c r="C253" s="281"/>
      <c r="F253" s="15"/>
      <c r="H253" s="10"/>
      <c r="I253" s="10"/>
      <c r="J253" s="10"/>
      <c r="K253" s="10"/>
      <c r="L253" s="10"/>
      <c r="M253" s="10"/>
      <c r="N253" s="10"/>
      <c r="O253" s="278"/>
      <c r="P253" s="10"/>
      <c r="Q253" s="10"/>
      <c r="R253" s="10"/>
      <c r="S253" s="10"/>
      <c r="T253" s="10"/>
      <c r="U253" s="10"/>
      <c r="V253" s="10"/>
      <c r="W253" s="10"/>
      <c r="X253" s="10"/>
      <c r="Y253" s="10"/>
      <c r="Z253" s="10"/>
      <c r="AA253" s="10"/>
    </row>
    <row r="254" spans="1:27">
      <c r="A254" s="8" t="str">
        <f>'Input 4 - Forecast'!A80</f>
        <v>Type 14</v>
      </c>
      <c r="B254" s="7">
        <f>B119</f>
        <v>2018</v>
      </c>
      <c r="C254" s="7" t="str">
        <f>$I99</f>
        <v>Annual</v>
      </c>
      <c r="D254" s="7">
        <f>$J99</f>
        <v>0</v>
      </c>
      <c r="E254" s="7">
        <f>$K99</f>
        <v>0</v>
      </c>
      <c r="F254" s="14">
        <f>$L$99</f>
        <v>0</v>
      </c>
      <c r="H254" s="9">
        <f>$B$99</f>
        <v>0</v>
      </c>
      <c r="I254" s="9">
        <f>H254-P254</f>
        <v>0</v>
      </c>
      <c r="J254" s="9">
        <f>I254-Q254</f>
        <v>0</v>
      </c>
      <c r="K254" s="9">
        <f>J254-R254</f>
        <v>0</v>
      </c>
      <c r="L254" s="9">
        <f>K254-S254</f>
        <v>0</v>
      </c>
      <c r="M254" s="9">
        <f>L254-T254</f>
        <v>0</v>
      </c>
      <c r="N254" s="9"/>
      <c r="O254" s="9">
        <f t="shared" ref="O254:T254" si="71">IF(OR($C254="Annual",$D254=$E254),IF(AND($D254=$E254,O$111=$B254+$D254),$H254,IF(AND(O$111&gt;$B254+$D254,O$111&lt;=$B254+$E254), $H254/($E254-$D254),0)), IF(OR(O$111=$B254+$D254,O$111=$B254+$E254),$H254/(($E254-$D254)*2),IF(AND(O$111&gt;$B254+$D254,O$111&lt;$B254+$E254),$H254/($E254-$D254),0)))</f>
        <v>0</v>
      </c>
      <c r="P254" s="9">
        <f t="shared" si="71"/>
        <v>0</v>
      </c>
      <c r="Q254" s="9">
        <f t="shared" si="71"/>
        <v>0</v>
      </c>
      <c r="R254" s="9">
        <f t="shared" si="71"/>
        <v>0</v>
      </c>
      <c r="S254" s="9">
        <f t="shared" si="71"/>
        <v>0</v>
      </c>
      <c r="T254" s="9">
        <f t="shared" si="71"/>
        <v>0</v>
      </c>
      <c r="U254" s="9"/>
      <c r="V254" s="9">
        <f>IF($C254="annual",IF(V$111=$B254,0,G254*$F254),IF(V$111-$B254=0,0,IF((V$111-$B254)&lt;$E254,AVERAGE(G254,H254)*$F254,IF((V$111-$B254)=$E254,G254*$F254/2,0))))</f>
        <v>0</v>
      </c>
      <c r="W254" s="9">
        <f t="shared" ref="W254:AA259" si="72">IF($C254="annual",IF(W$111=$B254,0,H254*$F254),IF(W$111-$B254=0,0,IF((W$111-$B254)&lt;$E254,AVERAGE(H254,I254)*$F254,IF((W$111-$B254)=$E254,H254*$F254/2,0))))</f>
        <v>0</v>
      </c>
      <c r="X254" s="9">
        <f t="shared" si="72"/>
        <v>0</v>
      </c>
      <c r="Y254" s="9">
        <f t="shared" si="72"/>
        <v>0</v>
      </c>
      <c r="Z254" s="9">
        <f t="shared" si="72"/>
        <v>0</v>
      </c>
      <c r="AA254" s="9">
        <f t="shared" si="72"/>
        <v>0</v>
      </c>
    </row>
    <row r="255" spans="1:27">
      <c r="A255" s="8" t="str">
        <f>A254</f>
        <v>Type 14</v>
      </c>
      <c r="B255" s="7">
        <f>B254+1</f>
        <v>2019</v>
      </c>
      <c r="C255" s="7" t="str">
        <f>C254</f>
        <v>Annual</v>
      </c>
      <c r="D255" s="7">
        <f t="shared" ref="D255:E259" si="73">D254</f>
        <v>0</v>
      </c>
      <c r="E255" s="7">
        <f t="shared" si="73"/>
        <v>0</v>
      </c>
      <c r="F255" s="14">
        <f>$M$99</f>
        <v>4.2936438739549099E-3</v>
      </c>
      <c r="H255" s="9"/>
      <c r="I255" s="9">
        <f ca="1">$C$99</f>
        <v>0</v>
      </c>
      <c r="J255" s="9">
        <f ca="1">I255-Q255</f>
        <v>0</v>
      </c>
      <c r="K255" s="9">
        <f ca="1">J255-R255</f>
        <v>0</v>
      </c>
      <c r="L255" s="9">
        <f ca="1">K255-S255</f>
        <v>0</v>
      </c>
      <c r="M255" s="9">
        <f ca="1">L255-T255</f>
        <v>0</v>
      </c>
      <c r="N255" s="9"/>
      <c r="O255" s="9"/>
      <c r="P255" s="9">
        <f ca="1">IF(OR($C255="Annual",$D255=$E255),IF(AND($D255=$E255,P$111=$B255+$D255),$I255,IF(AND(P$111&gt;$B255+$D255,P$111&lt;=$B255+$E255), $I255/($E255-$D255),0)), IF(OR(P$111=$B255+$D255,P$111=$B255+$E255),$I255/(($E255-$D255)*2),IF(AND(P$111&gt;$B255+$D255,P$111&lt;$B255+$E255),$I255/($E255-$D255),0)))</f>
        <v>0</v>
      </c>
      <c r="Q255" s="9">
        <f>IF(OR($C255="Annual",$D255=$E255),IF(AND($D255=$E255,Q$111=$B255+$D255),$I255,IF(AND(Q$111&gt;$B255+$D255,Q$111&lt;=$B255+$E255), $I255/($E255-$D255),0)), IF(OR(Q$111=$B255+$D255,Q$111=$B255+$E255),$I255/(($E255-$D255)*2),IF(AND(Q$111&gt;$B255+$D255,Q$111&lt;$B255+$E255),$I255/($E255-$D255),0)))</f>
        <v>0</v>
      </c>
      <c r="R255" s="9">
        <f>IF(OR($C255="Annual",$D255=$E255),IF(AND($D255=$E255,R$111=$B255+$D255),$I255,IF(AND(R$111&gt;$B255+$D255,R$111&lt;=$B255+$E255), $I255/($E255-$D255),0)), IF(OR(R$111=$B255+$D255,R$111=$B255+$E255),$I255/(($E255-$D255)*2),IF(AND(R$111&gt;$B255+$D255,R$111&lt;$B255+$E255),$I255/($E255-$D255),0)))</f>
        <v>0</v>
      </c>
      <c r="S255" s="9">
        <f>IF(OR($C255="Annual",$D255=$E255),IF(AND($D255=$E255,S$111=$B255+$D255),$I255,IF(AND(S$111&gt;$B255+$D255,S$111&lt;=$B255+$E255), $I255/($E255-$D255),0)), IF(OR(S$111=$B255+$D255,S$111=$B255+$E255),$I255/(($E255-$D255)*2),IF(AND(S$111&gt;$B255+$D255,S$111&lt;$B255+$E255),$I255/($E255-$D255),0)))</f>
        <v>0</v>
      </c>
      <c r="T255" s="9">
        <f>IF(OR($C255="Annual",$D255=$E255),IF(AND($D255=$E255,T$111=$B255+$D255),$I255,IF(AND(T$111&gt;$B255+$D255,T$111&lt;=$B255+$E255), $I255/($E255-$D255),0)), IF(OR(T$111=$B255+$D255,T$111=$B255+$E255),$I255/(($E255-$D255)*2),IF(AND(T$111&gt;$B255+$D255,T$111&lt;$B255+$E255),$I255/($E255-$D255),0)))</f>
        <v>0</v>
      </c>
      <c r="U255" s="9"/>
      <c r="V255" s="9"/>
      <c r="W255" s="9">
        <f t="shared" si="72"/>
        <v>0</v>
      </c>
      <c r="X255" s="9">
        <f t="shared" ca="1" si="72"/>
        <v>0</v>
      </c>
      <c r="Y255" s="9">
        <f t="shared" ca="1" si="72"/>
        <v>0</v>
      </c>
      <c r="Z255" s="9">
        <f t="shared" ca="1" si="72"/>
        <v>0</v>
      </c>
      <c r="AA255" s="9">
        <f t="shared" ca="1" si="72"/>
        <v>0</v>
      </c>
    </row>
    <row r="256" spans="1:27">
      <c r="A256" s="8" t="str">
        <f>A255</f>
        <v>Type 14</v>
      </c>
      <c r="B256" s="7">
        <f>B255+1</f>
        <v>2020</v>
      </c>
      <c r="C256" s="7" t="str">
        <f>C255</f>
        <v>Annual</v>
      </c>
      <c r="D256" s="7">
        <f t="shared" si="73"/>
        <v>0</v>
      </c>
      <c r="E256" s="7">
        <f t="shared" si="73"/>
        <v>0</v>
      </c>
      <c r="F256" s="14">
        <f>$N$99</f>
        <v>4.2936438739549099E-3</v>
      </c>
      <c r="H256" s="9"/>
      <c r="I256" s="9"/>
      <c r="J256" s="9">
        <f ca="1">$D$99</f>
        <v>0</v>
      </c>
      <c r="K256" s="9">
        <f ca="1">J256-R256</f>
        <v>0</v>
      </c>
      <c r="L256" s="9">
        <f ca="1">K256-S256</f>
        <v>0</v>
      </c>
      <c r="M256" s="9">
        <f ca="1">L256-T256</f>
        <v>0</v>
      </c>
      <c r="N256" s="9"/>
      <c r="O256" s="9"/>
      <c r="P256" s="9"/>
      <c r="Q256" s="9">
        <f ca="1">IF(OR($C256="Annual",$D256=$E256),IF(AND($D256=$E256,Q$111=$B256+$D256),$J256,IF(AND(Q$111&gt;$B256+$D256,Q$111&lt;=$B256+$E256), $J256/($E256-$D256),0)), IF(OR(Q$111=$B256+$D256,Q$111=$B256+$E256),$J256/(($E256-$D256)*2),IF(AND(Q$111&gt;$B256+$D256,Q$111&lt;$B256+$E256),$J256/($E256-$D256),0)))</f>
        <v>0</v>
      </c>
      <c r="R256" s="9">
        <f>IF(OR($C256="Annual",$D256=$E256),IF(AND($D256=$E256,R$111=$B256+$D256),$J256,IF(AND(R$111&gt;$B256+$D256,R$111&lt;=$B256+$E256), $J256/($E256-$D256),0)), IF(OR(R$111=$B256+$D256,R$111=$B256+$E256),$J256/(($E256-$D256)*2),IF(AND(R$111&gt;$B256+$D256,R$111&lt;$B256+$E256),$J256/($E256-$D256),0)))</f>
        <v>0</v>
      </c>
      <c r="S256" s="9">
        <f>IF(OR($C256="Annual",$D256=$E256),IF(AND($D256=$E256,S$111=$B256+$D256),$J256,IF(AND(S$111&gt;$B256+$D256,S$111&lt;=$B256+$E256), $J256/($E256-$D256),0)), IF(OR(S$111=$B256+$D256,S$111=$B256+$E256),$J256/(($E256-$D256)*2),IF(AND(S$111&gt;$B256+$D256,S$111&lt;$B256+$E256),$J256/($E256-$D256),0)))</f>
        <v>0</v>
      </c>
      <c r="T256" s="9">
        <f>IF(OR($C256="Annual",$D256=$E256),IF(AND($D256=$E256,T$111=$B256+$D256),$J256,IF(AND(T$111&gt;$B256+$D256,T$111&lt;=$B256+$E256), $J256/($E256-$D256),0)), IF(OR(T$111=$B256+$D256,T$111=$B256+$E256),$J256/(($E256-$D256)*2),IF(AND(T$111&gt;$B256+$D256,T$111&lt;$B256+$E256),$J256/($E256-$D256),0)))</f>
        <v>0</v>
      </c>
      <c r="U256" s="9"/>
      <c r="V256" s="9"/>
      <c r="W256" s="9"/>
      <c r="X256" s="9">
        <f t="shared" si="72"/>
        <v>0</v>
      </c>
      <c r="Y256" s="9">
        <f t="shared" ca="1" si="72"/>
        <v>0</v>
      </c>
      <c r="Z256" s="9">
        <f t="shared" ca="1" si="72"/>
        <v>0</v>
      </c>
      <c r="AA256" s="9">
        <f t="shared" ca="1" si="72"/>
        <v>0</v>
      </c>
    </row>
    <row r="257" spans="1:27">
      <c r="A257" s="8" t="str">
        <f>A256</f>
        <v>Type 14</v>
      </c>
      <c r="B257" s="7">
        <f>B256+1</f>
        <v>2021</v>
      </c>
      <c r="C257" s="7" t="str">
        <f>C256</f>
        <v>Annual</v>
      </c>
      <c r="D257" s="7">
        <f t="shared" si="73"/>
        <v>0</v>
      </c>
      <c r="E257" s="7">
        <f t="shared" si="73"/>
        <v>0</v>
      </c>
      <c r="F257" s="14">
        <f>$O$99</f>
        <v>0</v>
      </c>
      <c r="H257" s="9"/>
      <c r="I257" s="9"/>
      <c r="J257" s="9"/>
      <c r="K257" s="9">
        <f ca="1">$E$99</f>
        <v>0</v>
      </c>
      <c r="L257" s="9">
        <f ca="1">K257-S257</f>
        <v>0</v>
      </c>
      <c r="M257" s="9">
        <f ca="1">L257-T257</f>
        <v>0</v>
      </c>
      <c r="N257" s="9"/>
      <c r="O257" s="9"/>
      <c r="P257" s="9"/>
      <c r="Q257" s="9"/>
      <c r="R257" s="9">
        <f ca="1">IF(OR($C257="Annual",$D257=$E257),IF(AND($D257=$E257,R$111=$B257+$D257),$K257,IF(AND(R$111&gt;$B257+$D257,R$111&lt;=$B257+$E257), $K257/($E257-$D257),0)), IF(OR(R$111=$B257+$D257,R$111=$B257+$E257),$K257/(($E257-$D257)*2),IF(AND(R$111&gt;$B257+$D257,R$111&lt;$B257+$E257),$K257/($E257-$D257),0)))</f>
        <v>0</v>
      </c>
      <c r="S257" s="9">
        <f>IF(OR($C257="Annual",$D257=$E257),IF(AND($D257=$E257,S$111=$B257+$D257),$K257,IF(AND(S$111&gt;$B257+$D257,S$111&lt;=$B257+$E257), $K257/($E257-$D257),0)), IF(OR(S$111=$B257+$D257,S$111=$B257+$E257),$K257/(($E257-$D257)*2),IF(AND(S$111&gt;$B257+$D257,S$111&lt;$B257+$E257),$K257/($E257-$D257),0)))</f>
        <v>0</v>
      </c>
      <c r="T257" s="9">
        <f>IF(OR($C257="Annual",$D257=$E257),IF(AND($D257=$E257,T$111=$B257+$D257),$K257,IF(AND(T$111&gt;$B257+$D257,T$111&lt;=$B257+$E257), $K257/($E257-$D257),0)), IF(OR(T$111=$B257+$D257,T$111=$B257+$E257),$K257/(($E257-$D257)*2),IF(AND(T$111&gt;$B257+$D257,T$111&lt;$B257+$E257),$K257/($E257-$D257),0)))</f>
        <v>0</v>
      </c>
      <c r="U257" s="9"/>
      <c r="V257" s="9"/>
      <c r="W257" s="9"/>
      <c r="X257" s="9"/>
      <c r="Y257" s="9">
        <f t="shared" si="72"/>
        <v>0</v>
      </c>
      <c r="Z257" s="9">
        <f t="shared" ca="1" si="72"/>
        <v>0</v>
      </c>
      <c r="AA257" s="9">
        <f t="shared" ca="1" si="72"/>
        <v>0</v>
      </c>
    </row>
    <row r="258" spans="1:27">
      <c r="A258" s="8" t="str">
        <f>A257</f>
        <v>Type 14</v>
      </c>
      <c r="B258" s="7">
        <f>B257+1</f>
        <v>2022</v>
      </c>
      <c r="C258" s="7" t="str">
        <f>C257</f>
        <v>Annual</v>
      </c>
      <c r="D258" s="7">
        <f t="shared" si="73"/>
        <v>0</v>
      </c>
      <c r="E258" s="7">
        <f t="shared" si="73"/>
        <v>0</v>
      </c>
      <c r="F258" s="14">
        <f>$P$99</f>
        <v>0</v>
      </c>
      <c r="H258" s="9"/>
      <c r="I258" s="9"/>
      <c r="J258" s="9"/>
      <c r="K258" s="9"/>
      <c r="L258" s="9">
        <f ca="1">$F$99</f>
        <v>0</v>
      </c>
      <c r="M258" s="9">
        <f ca="1">L258-T258</f>
        <v>0</v>
      </c>
      <c r="N258" s="9"/>
      <c r="O258" s="9"/>
      <c r="P258" s="9"/>
      <c r="Q258" s="9"/>
      <c r="R258" s="9"/>
      <c r="S258" s="9">
        <f ca="1">IF(OR($C258="Annual",$D258=$E258),IF(AND($D258=$E258,S$111=$B258+$D258),$L258,IF(AND(S$111&gt;$B258+$D258,S$111&lt;=$B258+$E258), $L258/($E258-$D258),0)), IF(OR(S$111=$B258+$D258,S$111=$B258+$E258),$L258/(($E258-$D258)*2),IF(AND(S$111&gt;$B258+$D258,S$111&lt;$B258+$E258),$L258/($E258-$D258),0)))</f>
        <v>0</v>
      </c>
      <c r="T258" s="9">
        <f>IF(OR($C258="Annual",$D258=$E258),IF(AND($D258=$E258,T$111=$B258+$D258),$L258,IF(AND(T$111&gt;$B258+$D258,T$111&lt;=$B258+$E258), $L258/($E258-$D258),0)), IF(OR(T$111=$B258+$D258,T$111=$B258+$E258),$L258/(($E258-$D258)*2),IF(AND(T$111&gt;$B258+$D258,T$111&lt;$B258+$E258),$L258/($E258-$D258),0)))</f>
        <v>0</v>
      </c>
      <c r="U258" s="9"/>
      <c r="V258" s="9"/>
      <c r="W258" s="9"/>
      <c r="X258" s="9"/>
      <c r="Y258" s="9"/>
      <c r="Z258" s="9">
        <f t="shared" si="72"/>
        <v>0</v>
      </c>
      <c r="AA258" s="9">
        <f t="shared" ca="1" si="72"/>
        <v>0</v>
      </c>
    </row>
    <row r="259" spans="1:27">
      <c r="A259" s="8" t="str">
        <f>A258</f>
        <v>Type 14</v>
      </c>
      <c r="B259" s="7">
        <f>B258+1</f>
        <v>2023</v>
      </c>
      <c r="C259" s="7" t="str">
        <f>C258</f>
        <v>Annual</v>
      </c>
      <c r="D259" s="7">
        <f t="shared" si="73"/>
        <v>0</v>
      </c>
      <c r="E259" s="7">
        <f t="shared" si="73"/>
        <v>0</v>
      </c>
      <c r="F259" s="14">
        <f>$Q$99</f>
        <v>0</v>
      </c>
      <c r="H259" s="9"/>
      <c r="I259" s="9"/>
      <c r="J259" s="9"/>
      <c r="K259" s="9"/>
      <c r="L259" s="9"/>
      <c r="M259" s="9">
        <f ca="1">$G$99</f>
        <v>0</v>
      </c>
      <c r="N259" s="9"/>
      <c r="O259" s="9"/>
      <c r="P259" s="9"/>
      <c r="Q259" s="9"/>
      <c r="R259" s="9"/>
      <c r="S259" s="9"/>
      <c r="T259" s="9">
        <f ca="1">IF(OR($C259="Annual",$D259=$E259),IF(AND($D259=$E259,T$111=$B259+$D259),$M259,IF(AND(T$111&gt;$B259+$D259,T$111&lt;=$B259+$E259), $M259/($E259-$D259),0)), IF(OR(T$111=$B259+$D259,T$111=$B259+$E259),$M259/(($E259-$D259)*2),IF(AND(T$111&gt;$B259+$D259,T$111&lt;$B259+$E259),$M259/($E259-$D259),0)))</f>
        <v>0</v>
      </c>
      <c r="U259" s="9"/>
      <c r="V259" s="9"/>
      <c r="W259" s="9"/>
      <c r="X259" s="9"/>
      <c r="Y259" s="9"/>
      <c r="Z259" s="9"/>
      <c r="AA259" s="9">
        <f t="shared" si="72"/>
        <v>0</v>
      </c>
    </row>
    <row r="260" spans="1:27">
      <c r="C260" s="281"/>
      <c r="F260" s="15"/>
      <c r="H260" s="10"/>
      <c r="I260" s="10"/>
      <c r="J260" s="10"/>
      <c r="K260" s="10"/>
      <c r="L260" s="10"/>
      <c r="M260" s="10"/>
      <c r="N260" s="10"/>
      <c r="O260" s="278"/>
      <c r="P260" s="10"/>
      <c r="Q260" s="10"/>
      <c r="R260" s="10"/>
      <c r="S260" s="10"/>
      <c r="T260" s="10"/>
      <c r="U260" s="10"/>
      <c r="V260" s="10"/>
      <c r="W260" s="10"/>
      <c r="X260" s="10"/>
      <c r="Y260" s="10"/>
      <c r="Z260" s="10"/>
      <c r="AA260" s="10"/>
    </row>
    <row r="261" spans="1:27" s="1150" customFormat="1">
      <c r="A261" s="1347" t="str">
        <f>'Input 4 - Forecast'!A81</f>
        <v>ZERO-COUPON BOND</v>
      </c>
      <c r="B261" s="1348">
        <f>B119</f>
        <v>2018</v>
      </c>
      <c r="C261" s="1348"/>
      <c r="D261" s="1348">
        <f>$J100</f>
        <v>0</v>
      </c>
      <c r="E261" s="1348">
        <f>$K100</f>
        <v>0</v>
      </c>
      <c r="F261" s="1349">
        <f>$L$100</f>
        <v>0</v>
      </c>
      <c r="H261" s="1350">
        <f>$B$100</f>
        <v>0</v>
      </c>
      <c r="I261" s="1350">
        <f>H261-P261</f>
        <v>0</v>
      </c>
      <c r="J261" s="1350">
        <f>I261-Q261</f>
        <v>0</v>
      </c>
      <c r="K261" s="1350">
        <f>J261-R261</f>
        <v>0</v>
      </c>
      <c r="L261" s="1350">
        <f>K261-S261</f>
        <v>0</v>
      </c>
      <c r="M261" s="1350">
        <f>L261-T261</f>
        <v>0</v>
      </c>
      <c r="N261" s="1350"/>
      <c r="O261" s="1350">
        <f t="shared" ref="O261:T261" si="74">IF($D261=$E261,IF(O$111=$B261+$E261,$H261,0),0)</f>
        <v>0</v>
      </c>
      <c r="P261" s="1350">
        <f t="shared" si="74"/>
        <v>0</v>
      </c>
      <c r="Q261" s="1350">
        <f t="shared" si="74"/>
        <v>0</v>
      </c>
      <c r="R261" s="1350">
        <f t="shared" si="74"/>
        <v>0</v>
      </c>
      <c r="S261" s="1350">
        <f t="shared" si="74"/>
        <v>0</v>
      </c>
      <c r="T261" s="1350">
        <f t="shared" si="74"/>
        <v>0</v>
      </c>
      <c r="U261" s="1350"/>
      <c r="V261" s="1350">
        <f t="shared" ref="V261:AA261" si="75">IF(V$111-$B261=$D261,$H261*(((1+$F261)^$D261)-1),0)</f>
        <v>0</v>
      </c>
      <c r="W261" s="1350">
        <f t="shared" si="75"/>
        <v>0</v>
      </c>
      <c r="X261" s="1350">
        <f t="shared" si="75"/>
        <v>0</v>
      </c>
      <c r="Y261" s="1350">
        <f t="shared" si="75"/>
        <v>0</v>
      </c>
      <c r="Z261" s="1350">
        <f t="shared" si="75"/>
        <v>0</v>
      </c>
      <c r="AA261" s="1350">
        <f t="shared" si="75"/>
        <v>0</v>
      </c>
    </row>
    <row r="262" spans="1:27" s="1150" customFormat="1">
      <c r="A262" s="1347" t="str">
        <f>A261</f>
        <v>ZERO-COUPON BOND</v>
      </c>
      <c r="B262" s="1348">
        <f>B261+1</f>
        <v>2019</v>
      </c>
      <c r="C262" s="1348"/>
      <c r="D262" s="1348">
        <f t="shared" ref="D262:E266" si="76">D261</f>
        <v>0</v>
      </c>
      <c r="E262" s="1348">
        <f t="shared" si="76"/>
        <v>0</v>
      </c>
      <c r="F262" s="1349">
        <f>$M$100</f>
        <v>4.2936438739549099E-3</v>
      </c>
      <c r="H262" s="1350"/>
      <c r="I262" s="1350">
        <f ca="1">$C$100</f>
        <v>0</v>
      </c>
      <c r="J262" s="1350">
        <f ca="1">I262-Q262</f>
        <v>0</v>
      </c>
      <c r="K262" s="1350">
        <f ca="1">J262-R262</f>
        <v>0</v>
      </c>
      <c r="L262" s="1350">
        <f ca="1">K262-S262</f>
        <v>0</v>
      </c>
      <c r="M262" s="1350">
        <f ca="1">L262-T262</f>
        <v>0</v>
      </c>
      <c r="N262" s="1350"/>
      <c r="O262" s="1351"/>
      <c r="P262" s="1350">
        <f ca="1">IF($D262=$E262,IF(P$111=$B262+$E262,$I262,0),0)</f>
        <v>0</v>
      </c>
      <c r="Q262" s="1350">
        <f>IF($D262=$E262,IF(Q$111=$B262+$E262,$I262,0),0)</f>
        <v>0</v>
      </c>
      <c r="R262" s="1350">
        <f>IF($D262=$E262,IF(R$111=$B262+$E262,$I262,0),0)</f>
        <v>0</v>
      </c>
      <c r="S262" s="1350">
        <f>IF($D262=$E262,IF(S$111=$B262+$E262,$I262,0),0)</f>
        <v>0</v>
      </c>
      <c r="T262" s="1350">
        <f>IF($D262=$E262,IF(T$111=$B262+$E262,$I262,0),0)</f>
        <v>0</v>
      </c>
      <c r="U262" s="1350"/>
      <c r="V262" s="1350"/>
      <c r="W262" s="1350">
        <f ca="1">IF(W$111-$B262=$D262,$I262*(((1+$F262)^$D262)-1),0)</f>
        <v>0</v>
      </c>
      <c r="X262" s="1350">
        <f>IF(X$111-$B262=$D262,$I262*(((1+$F262)^$D262)-1),0)</f>
        <v>0</v>
      </c>
      <c r="Y262" s="1350">
        <f>IF(Y$111-$B262=$D262,$I262*(((1+$F262)^$D262)-1),0)</f>
        <v>0</v>
      </c>
      <c r="Z262" s="1350">
        <f>IF(Z$111-$B262=$D262,$I262*(((1+$F262)^$D262)-1),0)</f>
        <v>0</v>
      </c>
      <c r="AA262" s="1350">
        <f>IF(AA$111-$B262=$D262,$I262*(((1+$F262)^$D262)-1),0)</f>
        <v>0</v>
      </c>
    </row>
    <row r="263" spans="1:27" s="1150" customFormat="1">
      <c r="A263" s="1347" t="str">
        <f>A262</f>
        <v>ZERO-COUPON BOND</v>
      </c>
      <c r="B263" s="1348">
        <f>B262+1</f>
        <v>2020</v>
      </c>
      <c r="C263" s="1348"/>
      <c r="D263" s="1348">
        <f t="shared" si="76"/>
        <v>0</v>
      </c>
      <c r="E263" s="1348">
        <f t="shared" si="76"/>
        <v>0</v>
      </c>
      <c r="F263" s="1349">
        <f>$N$100</f>
        <v>4.2936438739549099E-3</v>
      </c>
      <c r="H263" s="1350"/>
      <c r="I263" s="1350"/>
      <c r="J263" s="1350">
        <f ca="1">$D$100</f>
        <v>0</v>
      </c>
      <c r="K263" s="1350">
        <f ca="1">J263-R263</f>
        <v>0</v>
      </c>
      <c r="L263" s="1350">
        <f ca="1">K263-S263</f>
        <v>0</v>
      </c>
      <c r="M263" s="1350">
        <f ca="1">L263-T263</f>
        <v>0</v>
      </c>
      <c r="N263" s="1350"/>
      <c r="O263" s="1351"/>
      <c r="P263" s="1350"/>
      <c r="Q263" s="1350">
        <f ca="1">IF($D263=$E263,IF(Q$111=$B263+$E263,$J263,0),0)</f>
        <v>0</v>
      </c>
      <c r="R263" s="1350">
        <f>IF($D263=$E263,IF(R$111=$B263+$E263,$J263,0),0)</f>
        <v>0</v>
      </c>
      <c r="S263" s="1350">
        <f>IF($D263=$E263,IF(S$111=$B263+$E263,$J263,0),0)</f>
        <v>0</v>
      </c>
      <c r="T263" s="1350">
        <f>IF($D263=$E263,IF(T$111=$B263+$E263,$J263,0),0)</f>
        <v>0</v>
      </c>
      <c r="U263" s="1350"/>
      <c r="V263" s="1350"/>
      <c r="W263" s="1350"/>
      <c r="X263" s="1350">
        <f ca="1">IF(X$111-$B263=$D263,$J263*(((1+$F263)^$D263)-1),0)</f>
        <v>0</v>
      </c>
      <c r="Y263" s="1350">
        <f>IF(Y$111-$B263=$D263,$J263*(((1+$F263)^$D263)-1),0)</f>
        <v>0</v>
      </c>
      <c r="Z263" s="1350">
        <f>IF(Z$111-$B263=$D263,$J263*(((1+$F263)^$D263)-1),0)</f>
        <v>0</v>
      </c>
      <c r="AA263" s="1350">
        <f>IF(AA$111-$B263=$D263,$J263*(((1+$F263)^$D263)-1),0)</f>
        <v>0</v>
      </c>
    </row>
    <row r="264" spans="1:27" s="1150" customFormat="1">
      <c r="A264" s="1347" t="str">
        <f>A263</f>
        <v>ZERO-COUPON BOND</v>
      </c>
      <c r="B264" s="1348">
        <f>B263+1</f>
        <v>2021</v>
      </c>
      <c r="C264" s="1348"/>
      <c r="D264" s="1348">
        <f t="shared" si="76"/>
        <v>0</v>
      </c>
      <c r="E264" s="1348">
        <f t="shared" si="76"/>
        <v>0</v>
      </c>
      <c r="F264" s="1349">
        <f>$O$100</f>
        <v>0</v>
      </c>
      <c r="H264" s="1350"/>
      <c r="I264" s="1350"/>
      <c r="J264" s="1350"/>
      <c r="K264" s="1350">
        <f ca="1">$E$100</f>
        <v>0</v>
      </c>
      <c r="L264" s="1350">
        <f ca="1">K264-S264</f>
        <v>0</v>
      </c>
      <c r="M264" s="1350">
        <f ca="1">L264-T264</f>
        <v>0</v>
      </c>
      <c r="N264" s="1350"/>
      <c r="O264" s="1351"/>
      <c r="P264" s="1350"/>
      <c r="Q264" s="1350"/>
      <c r="R264" s="1350">
        <f ca="1">IF($D264=$E264,IF(R$111=$B264+$E264,$K264,0),0)</f>
        <v>0</v>
      </c>
      <c r="S264" s="1350">
        <f>IF($D264=$E264,IF(S$111=$B264+$E264,$K264,0),0)</f>
        <v>0</v>
      </c>
      <c r="T264" s="1350">
        <f>IF($D264=$E264,IF(T$111=$B264+$E264,$K264,0),0)</f>
        <v>0</v>
      </c>
      <c r="U264" s="1350"/>
      <c r="V264" s="1350"/>
      <c r="W264" s="1350"/>
      <c r="X264" s="1350"/>
      <c r="Y264" s="1350">
        <f ca="1">IF(Y$111-$B264=$D264,$K264*(((1+$F264)^$D264)-1),0)</f>
        <v>0</v>
      </c>
      <c r="Z264" s="1350">
        <f>IF(Z$111-$B264=$D264,$K264*(((1+$F264)^$D264)-1),0)</f>
        <v>0</v>
      </c>
      <c r="AA264" s="1350">
        <f>IF(AA$111-$B264=$D264,$K264*(((1+$F264)^$D264)-1),0)</f>
        <v>0</v>
      </c>
    </row>
    <row r="265" spans="1:27" s="1150" customFormat="1">
      <c r="A265" s="1347" t="str">
        <f>A264</f>
        <v>ZERO-COUPON BOND</v>
      </c>
      <c r="B265" s="1348">
        <f>B264+1</f>
        <v>2022</v>
      </c>
      <c r="C265" s="1348"/>
      <c r="D265" s="1348">
        <f t="shared" si="76"/>
        <v>0</v>
      </c>
      <c r="E265" s="1348">
        <f t="shared" si="76"/>
        <v>0</v>
      </c>
      <c r="F265" s="1349">
        <f>$P$100</f>
        <v>0</v>
      </c>
      <c r="H265" s="1350"/>
      <c r="I265" s="1350"/>
      <c r="J265" s="1350"/>
      <c r="K265" s="1350"/>
      <c r="L265" s="1350">
        <f ca="1">$F$100</f>
        <v>0</v>
      </c>
      <c r="M265" s="1350">
        <f ca="1">L265-T265</f>
        <v>0</v>
      </c>
      <c r="N265" s="1350"/>
      <c r="O265" s="1351"/>
      <c r="P265" s="1350"/>
      <c r="Q265" s="1350"/>
      <c r="R265" s="1350"/>
      <c r="S265" s="1350">
        <f ca="1">IF($D265=$E265,IF(S$111=$B265+$E265,$L265,0),0)</f>
        <v>0</v>
      </c>
      <c r="T265" s="1350">
        <f>IF($D265=$E265,IF(T$111=$B265+$E265,$L265,0),0)</f>
        <v>0</v>
      </c>
      <c r="U265" s="1350"/>
      <c r="V265" s="1350"/>
      <c r="W265" s="1350"/>
      <c r="X265" s="1350"/>
      <c r="Y265" s="1350"/>
      <c r="Z265" s="1350">
        <f ca="1">IF(Z$111-$B265=$D265,$L265*(((1+$F265)^$D265)-1),0)</f>
        <v>0</v>
      </c>
      <c r="AA265" s="1350">
        <f>IF(AA$111-$B265=$D265,$L265*(((1+$F265)^$D265)-1),0)</f>
        <v>0</v>
      </c>
    </row>
    <row r="266" spans="1:27" s="1150" customFormat="1">
      <c r="A266" s="1347" t="str">
        <f>A265</f>
        <v>ZERO-COUPON BOND</v>
      </c>
      <c r="B266" s="1348">
        <f>B265+1</f>
        <v>2023</v>
      </c>
      <c r="C266" s="1348"/>
      <c r="D266" s="1348">
        <f t="shared" si="76"/>
        <v>0</v>
      </c>
      <c r="E266" s="1348">
        <f t="shared" si="76"/>
        <v>0</v>
      </c>
      <c r="F266" s="1349">
        <f>$Q$100</f>
        <v>0</v>
      </c>
      <c r="H266" s="1350"/>
      <c r="I266" s="1350"/>
      <c r="J266" s="1350"/>
      <c r="K266" s="1350"/>
      <c r="L266" s="1350"/>
      <c r="M266" s="1350">
        <f ca="1">$G$100</f>
        <v>0</v>
      </c>
      <c r="N266" s="1350"/>
      <c r="O266" s="1351"/>
      <c r="P266" s="1350"/>
      <c r="Q266" s="1350"/>
      <c r="R266" s="1350"/>
      <c r="S266" s="1350"/>
      <c r="T266" s="1350">
        <f ca="1">IF($D266=$E266,IF(T$111=$B266+$E266,$M266,0),0)</f>
        <v>0</v>
      </c>
      <c r="U266" s="1350"/>
      <c r="V266" s="1350"/>
      <c r="W266" s="1350"/>
      <c r="X266" s="1350"/>
      <c r="Y266" s="1350"/>
      <c r="Z266" s="1350"/>
      <c r="AA266" s="1350">
        <f ca="1">IF(AA$111-$B266=$D266,$M266*(((1+$F266)^$D266)-1),0)</f>
        <v>0</v>
      </c>
    </row>
    <row r="267" spans="1:27" ht="15.75" thickBot="1">
      <c r="H267" s="10"/>
      <c r="I267" s="10"/>
      <c r="J267" s="10"/>
      <c r="K267" s="10"/>
      <c r="L267" s="10"/>
      <c r="M267" s="10"/>
      <c r="N267" s="10"/>
      <c r="O267" s="10"/>
      <c r="P267" s="10"/>
      <c r="Q267" s="10"/>
      <c r="R267" s="10"/>
      <c r="S267" s="10"/>
      <c r="T267" s="10"/>
      <c r="U267" s="10"/>
      <c r="V267" s="10"/>
      <c r="W267" s="10"/>
      <c r="X267" s="10"/>
      <c r="Y267" s="10"/>
      <c r="Z267" s="10"/>
      <c r="AA267" s="10"/>
    </row>
    <row r="268" spans="1:27" ht="15.75" thickBot="1">
      <c r="A268" s="12" t="str">
        <f>'Input 4 - Forecast'!A82</f>
        <v>Denominated in foreign currency</v>
      </c>
      <c r="B268" s="1999" t="s">
        <v>52</v>
      </c>
      <c r="C268" s="2000"/>
      <c r="D268" s="2000"/>
      <c r="E268" s="2000"/>
      <c r="F268" s="2000"/>
      <c r="G268" s="2000"/>
      <c r="H268" s="2000"/>
      <c r="I268" s="2000"/>
      <c r="J268" s="2000"/>
      <c r="K268" s="2000"/>
      <c r="L268" s="2000"/>
      <c r="M268" s="2000"/>
      <c r="N268" s="2000"/>
      <c r="O268" s="2000"/>
      <c r="P268" s="2000"/>
      <c r="Q268" s="2000"/>
      <c r="R268" s="2000"/>
      <c r="S268" s="2000"/>
      <c r="T268" s="2000"/>
      <c r="U268" s="2000"/>
      <c r="V268" s="2000"/>
      <c r="W268" s="2000"/>
      <c r="X268" s="2000"/>
      <c r="Y268" s="2000"/>
      <c r="Z268" s="2000"/>
      <c r="AA268" s="2001"/>
    </row>
    <row r="269" spans="1:27">
      <c r="H269" s="10"/>
      <c r="I269" s="10"/>
      <c r="J269" s="10"/>
      <c r="K269" s="10"/>
      <c r="L269" s="10"/>
      <c r="M269" s="10"/>
      <c r="N269" s="10"/>
      <c r="O269" s="10"/>
      <c r="P269" s="10"/>
      <c r="Q269" s="10"/>
      <c r="R269" s="10"/>
      <c r="S269" s="10"/>
      <c r="T269" s="10"/>
      <c r="U269" s="10"/>
      <c r="V269" s="10"/>
      <c r="W269" s="10"/>
      <c r="X269" s="10"/>
      <c r="Y269" s="10"/>
      <c r="Z269" s="10"/>
      <c r="AA269" s="10"/>
    </row>
    <row r="270" spans="1:27">
      <c r="A270" s="8" t="str">
        <f>'Input 4 - Forecast'!A83</f>
        <v>Type 16</v>
      </c>
      <c r="B270" s="7">
        <f>B119</f>
        <v>2018</v>
      </c>
      <c r="C270" s="7" t="str">
        <f>$I102</f>
        <v>Annual</v>
      </c>
      <c r="D270" s="7">
        <f>$J102</f>
        <v>0</v>
      </c>
      <c r="E270" s="7">
        <f>$K102</f>
        <v>0</v>
      </c>
      <c r="F270" s="14">
        <f>$L$102</f>
        <v>0</v>
      </c>
      <c r="H270" s="9">
        <f>$B$102/$B$31</f>
        <v>0</v>
      </c>
      <c r="I270" s="9">
        <f>H270-P270</f>
        <v>0</v>
      </c>
      <c r="J270" s="9">
        <f>I270-Q270</f>
        <v>0</v>
      </c>
      <c r="K270" s="9">
        <f>J270-R270</f>
        <v>0</v>
      </c>
      <c r="L270" s="9">
        <f>K270-S270</f>
        <v>0</v>
      </c>
      <c r="M270" s="9">
        <f>L270-T270</f>
        <v>0</v>
      </c>
      <c r="N270" s="9"/>
      <c r="O270" s="9">
        <f t="shared" ref="O270:T270" si="77">IF(OR($C270="Annual",$D270=$E270),IF(AND($D270=$E270,O$111=$B270+$D270),$H270,IF(AND(O$111&gt;$B270+$D270,O$111&lt;=$B270+$E270), $H270/($E270-$D270),0)), IF(OR(O$111=$B270+$D270,O$111=$B270+$E270),$H270/(($E270-$D270)*2),IF(AND(O$111&gt;$B270+$D270,O$111&lt;$B270+$E270),$H270/($E270-$D270),0)))</f>
        <v>0</v>
      </c>
      <c r="P270" s="9">
        <f t="shared" si="77"/>
        <v>0</v>
      </c>
      <c r="Q270" s="9">
        <f t="shared" si="77"/>
        <v>0</v>
      </c>
      <c r="R270" s="9">
        <f t="shared" si="77"/>
        <v>0</v>
      </c>
      <c r="S270" s="9">
        <f t="shared" si="77"/>
        <v>0</v>
      </c>
      <c r="T270" s="9">
        <f t="shared" si="77"/>
        <v>0</v>
      </c>
      <c r="U270" s="9"/>
      <c r="V270" s="9">
        <f>IF($C270="annual",IF(V$111=$B270,0,G270*$F270),IF(V$111-$B270=0,0,IF((V$111-$B270)&lt;$E270,AVERAGE(G270,H270)*$F270,IF((V$111-$B270)=$E270,G270*$F270/2,0))))</f>
        <v>0</v>
      </c>
      <c r="W270" s="9">
        <f t="shared" ref="W270:AA275" si="78">IF($C270="annual",IF(W$111=$B270,0,H270*$F270),IF(W$111-$B270=0,0,IF((W$111-$B270)&lt;$E270,AVERAGE(H270,I270)*$F270,IF((W$111-$B270)=$E270,H270*$F270/2,0))))</f>
        <v>0</v>
      </c>
      <c r="X270" s="9">
        <f t="shared" si="78"/>
        <v>0</v>
      </c>
      <c r="Y270" s="9">
        <f t="shared" si="78"/>
        <v>0</v>
      </c>
      <c r="Z270" s="9">
        <f t="shared" si="78"/>
        <v>0</v>
      </c>
      <c r="AA270" s="9">
        <f t="shared" si="78"/>
        <v>0</v>
      </c>
    </row>
    <row r="271" spans="1:27">
      <c r="A271" s="8" t="str">
        <f>A270</f>
        <v>Type 16</v>
      </c>
      <c r="B271" s="7">
        <f>B270+1</f>
        <v>2019</v>
      </c>
      <c r="C271" s="7" t="str">
        <f>C270</f>
        <v>Annual</v>
      </c>
      <c r="D271" s="7">
        <f t="shared" ref="D271:E275" si="79">D270</f>
        <v>0</v>
      </c>
      <c r="E271" s="7">
        <f t="shared" si="79"/>
        <v>0</v>
      </c>
      <c r="F271" s="14">
        <f>$M$102</f>
        <v>4.2936438739549099E-3</v>
      </c>
      <c r="H271" s="9"/>
      <c r="I271" s="9">
        <f ca="1">$C$102/$C$31</f>
        <v>0</v>
      </c>
      <c r="J271" s="9">
        <f ca="1">I271-Q271</f>
        <v>0</v>
      </c>
      <c r="K271" s="9">
        <f ca="1">J271-R271</f>
        <v>0</v>
      </c>
      <c r="L271" s="9">
        <f ca="1">K271-S271</f>
        <v>0</v>
      </c>
      <c r="M271" s="9">
        <f ca="1">L271-T271</f>
        <v>0</v>
      </c>
      <c r="N271" s="9"/>
      <c r="O271" s="9"/>
      <c r="P271" s="9">
        <f ca="1">IF(OR($C271="Annual",$D271=$E271),IF(AND($D271=$E271,P$111=$B271+$D271),$I271,IF(AND(P$111&gt;$B271+$D271,P$111&lt;=$B271+$E271), $I271/($E271-$D271),0)), IF(OR(P$111=$B271+$D271,P$111=$B271+$E271),$I271/(($E271-$D271)*2),IF(AND(P$111&gt;$B271+$D271,P$111&lt;$B271+$E271),$I271/($E271-$D271),0)))</f>
        <v>0</v>
      </c>
      <c r="Q271" s="9">
        <f>IF(OR($C271="Annual",$D271=$E271),IF(AND($D271=$E271,Q$111=$B271+$D271),$I271,IF(AND(Q$111&gt;$B271+$D271,Q$111&lt;=$B271+$E271), $I271/($E271-$D271),0)), IF(OR(Q$111=$B271+$D271,Q$111=$B271+$E271),$I271/(($E271-$D271)*2),IF(AND(Q$111&gt;$B271+$D271,Q$111&lt;$B271+$E271),$I271/($E271-$D271),0)))</f>
        <v>0</v>
      </c>
      <c r="R271" s="9">
        <f>IF(OR($C271="Annual",$D271=$E271),IF(AND($D271=$E271,R$111=$B271+$D271),$I271,IF(AND(R$111&gt;$B271+$D271,R$111&lt;=$B271+$E271), $I271/($E271-$D271),0)), IF(OR(R$111=$B271+$D271,R$111=$B271+$E271),$I271/(($E271-$D271)*2),IF(AND(R$111&gt;$B271+$D271,R$111&lt;$B271+$E271),$I271/($E271-$D271),0)))</f>
        <v>0</v>
      </c>
      <c r="S271" s="9">
        <f>IF(OR($C271="Annual",$D271=$E271),IF(AND($D271=$E271,S$111=$B271+$D271),$I271,IF(AND(S$111&gt;$B271+$D271,S$111&lt;=$B271+$E271), $I271/($E271-$D271),0)), IF(OR(S$111=$B271+$D271,S$111=$B271+$E271),$I271/(($E271-$D271)*2),IF(AND(S$111&gt;$B271+$D271,S$111&lt;$B271+$E271),$I271/($E271-$D271),0)))</f>
        <v>0</v>
      </c>
      <c r="T271" s="9">
        <f>IF(OR($C271="Annual",$D271=$E271),IF(AND($D271=$E271,T$111=$B271+$D271),$I271,IF(AND(T$111&gt;$B271+$D271,T$111&lt;=$B271+$E271), $I271/($E271-$D271),0)), IF(OR(T$111=$B271+$D271,T$111=$B271+$E271),$I271/(($E271-$D271)*2),IF(AND(T$111&gt;$B271+$D271,T$111&lt;$B271+$E271),$I271/($E271-$D271),0)))</f>
        <v>0</v>
      </c>
      <c r="U271" s="9"/>
      <c r="V271" s="9"/>
      <c r="W271" s="9">
        <f t="shared" si="78"/>
        <v>0</v>
      </c>
      <c r="X271" s="9">
        <f t="shared" ca="1" si="78"/>
        <v>0</v>
      </c>
      <c r="Y271" s="9">
        <f t="shared" ca="1" si="78"/>
        <v>0</v>
      </c>
      <c r="Z271" s="9">
        <f t="shared" ca="1" si="78"/>
        <v>0</v>
      </c>
      <c r="AA271" s="9">
        <f t="shared" ca="1" si="78"/>
        <v>0</v>
      </c>
    </row>
    <row r="272" spans="1:27">
      <c r="A272" s="8" t="str">
        <f>A271</f>
        <v>Type 16</v>
      </c>
      <c r="B272" s="7">
        <f>B271+1</f>
        <v>2020</v>
      </c>
      <c r="C272" s="7" t="str">
        <f>C271</f>
        <v>Annual</v>
      </c>
      <c r="D272" s="7">
        <f t="shared" si="79"/>
        <v>0</v>
      </c>
      <c r="E272" s="7">
        <f t="shared" si="79"/>
        <v>0</v>
      </c>
      <c r="F272" s="14">
        <f>$N$102</f>
        <v>4.2936438739549099E-3</v>
      </c>
      <c r="H272" s="9"/>
      <c r="I272" s="9"/>
      <c r="J272" s="9">
        <f ca="1">$D$102/$D$31</f>
        <v>0</v>
      </c>
      <c r="K272" s="9">
        <f ca="1">J272-R272</f>
        <v>0</v>
      </c>
      <c r="L272" s="9">
        <f ca="1">K272-S272</f>
        <v>0</v>
      </c>
      <c r="M272" s="9">
        <f ca="1">L272-T272</f>
        <v>0</v>
      </c>
      <c r="N272" s="9"/>
      <c r="O272" s="9"/>
      <c r="P272" s="9"/>
      <c r="Q272" s="9">
        <f ca="1">IF(OR($C272="Annual",$D272=$E272),IF(AND($D272=$E272,Q$111=$B272+$D272),$J272,IF(AND(Q$111&gt;$B272+$D272,Q$111&lt;=$B272+$E272), $J272/($E272-$D272),0)), IF(OR(Q$111=$B272+$D272,Q$111=$B272+$E272),$J272/(($E272-$D272)*2),IF(AND(Q$111&gt;$B272+$D272,Q$111&lt;$B272+$E272),$J272/($E272-$D272),0)))</f>
        <v>0</v>
      </c>
      <c r="R272" s="9">
        <f>IF(OR($C272="Annual",$D272=$E272),IF(AND($D272=$E272,R$111=$B272+$D272),$J272,IF(AND(R$111&gt;$B272+$D272,R$111&lt;=$B272+$E272), $J272/($E272-$D272),0)), IF(OR(R$111=$B272+$D272,R$111=$B272+$E272),$J272/(($E272-$D272)*2),IF(AND(R$111&gt;$B272+$D272,R$111&lt;$B272+$E272),$J272/($E272-$D272),0)))</f>
        <v>0</v>
      </c>
      <c r="S272" s="9">
        <f>IF(OR($C272="Annual",$D272=$E272),IF(AND($D272=$E272,S$111=$B272+$D272),$J272,IF(AND(S$111&gt;$B272+$D272,S$111&lt;=$B272+$E272), $J272/($E272-$D272),0)), IF(OR(S$111=$B272+$D272,S$111=$B272+$E272),$J272/(($E272-$D272)*2),IF(AND(S$111&gt;$B272+$D272,S$111&lt;$B272+$E272),$J272/($E272-$D272),0)))</f>
        <v>0</v>
      </c>
      <c r="T272" s="9">
        <f>IF(OR($C272="Annual",$D272=$E272),IF(AND($D272=$E272,T$111=$B272+$D272),$J272,IF(AND(T$111&gt;$B272+$D272,T$111&lt;=$B272+$E272), $J272/($E272-$D272),0)), IF(OR(T$111=$B272+$D272,T$111=$B272+$E272),$J272/(($E272-$D272)*2),IF(AND(T$111&gt;$B272+$D272,T$111&lt;$B272+$E272),$J272/($E272-$D272),0)))</f>
        <v>0</v>
      </c>
      <c r="U272" s="9"/>
      <c r="V272" s="9"/>
      <c r="W272" s="9"/>
      <c r="X272" s="9">
        <f t="shared" si="78"/>
        <v>0</v>
      </c>
      <c r="Y272" s="9">
        <f t="shared" ca="1" si="78"/>
        <v>0</v>
      </c>
      <c r="Z272" s="9">
        <f t="shared" ca="1" si="78"/>
        <v>0</v>
      </c>
      <c r="AA272" s="9">
        <f t="shared" ca="1" si="78"/>
        <v>0</v>
      </c>
    </row>
    <row r="273" spans="1:27">
      <c r="A273" s="8" t="str">
        <f>A272</f>
        <v>Type 16</v>
      </c>
      <c r="B273" s="7">
        <f>B272+1</f>
        <v>2021</v>
      </c>
      <c r="C273" s="7" t="str">
        <f>C272</f>
        <v>Annual</v>
      </c>
      <c r="D273" s="7">
        <f t="shared" si="79"/>
        <v>0</v>
      </c>
      <c r="E273" s="7">
        <f t="shared" si="79"/>
        <v>0</v>
      </c>
      <c r="F273" s="14">
        <f>$O$102</f>
        <v>0</v>
      </c>
      <c r="H273" s="9"/>
      <c r="I273" s="9"/>
      <c r="J273" s="9"/>
      <c r="K273" s="9">
        <f ca="1">$E$102/$E$31</f>
        <v>0</v>
      </c>
      <c r="L273" s="9">
        <f ca="1">K273-S273</f>
        <v>0</v>
      </c>
      <c r="M273" s="9">
        <f ca="1">L273-T273</f>
        <v>0</v>
      </c>
      <c r="N273" s="9"/>
      <c r="O273" s="9"/>
      <c r="P273" s="9"/>
      <c r="Q273" s="9"/>
      <c r="R273" s="9">
        <f ca="1">IF(OR($C273="Annual",$D273=$E273),IF(AND($D273=$E273,R$111=$B273+$D273),$K273,IF(AND(R$111&gt;$B273+$D273,R$111&lt;=$B273+$E273), $K273/($E273-$D273),0)), IF(OR(R$111=$B273+$D273,R$111=$B273+$E273),$K273/(($E273-$D273)*2),IF(AND(R$111&gt;$B273+$D273,R$111&lt;$B273+$E273),$K273/($E273-$D273),0)))</f>
        <v>0</v>
      </c>
      <c r="S273" s="9">
        <f>IF(OR($C273="Annual",$D273=$E273),IF(AND($D273=$E273,S$111=$B273+$D273),$K273,IF(AND(S$111&gt;$B273+$D273,S$111&lt;=$B273+$E273), $K273/($E273-$D273),0)), IF(OR(S$111=$B273+$D273,S$111=$B273+$E273),$K273/(($E273-$D273)*2),IF(AND(S$111&gt;$B273+$D273,S$111&lt;$B273+$E273),$K273/($E273-$D273),0)))</f>
        <v>0</v>
      </c>
      <c r="T273" s="9">
        <f>IF(OR($C273="Annual",$D273=$E273),IF(AND($D273=$E273,T$111=$B273+$D273),$K273,IF(AND(T$111&gt;$B273+$D273,T$111&lt;=$B273+$E273), $K273/($E273-$D273),0)), IF(OR(T$111=$B273+$D273,T$111=$B273+$E273),$K273/(($E273-$D273)*2),IF(AND(T$111&gt;$B273+$D273,T$111&lt;$B273+$E273),$K273/($E273-$D273),0)))</f>
        <v>0</v>
      </c>
      <c r="U273" s="9"/>
      <c r="V273" s="9"/>
      <c r="W273" s="9"/>
      <c r="X273" s="9"/>
      <c r="Y273" s="9">
        <f t="shared" si="78"/>
        <v>0</v>
      </c>
      <c r="Z273" s="9">
        <f t="shared" ca="1" si="78"/>
        <v>0</v>
      </c>
      <c r="AA273" s="9">
        <f t="shared" ca="1" si="78"/>
        <v>0</v>
      </c>
    </row>
    <row r="274" spans="1:27">
      <c r="A274" s="8" t="str">
        <f>A273</f>
        <v>Type 16</v>
      </c>
      <c r="B274" s="7">
        <f>B273+1</f>
        <v>2022</v>
      </c>
      <c r="C274" s="7" t="str">
        <f>C273</f>
        <v>Annual</v>
      </c>
      <c r="D274" s="7">
        <f t="shared" si="79"/>
        <v>0</v>
      </c>
      <c r="E274" s="7">
        <f t="shared" si="79"/>
        <v>0</v>
      </c>
      <c r="F274" s="14">
        <f>$P$102</f>
        <v>0</v>
      </c>
      <c r="H274" s="9"/>
      <c r="I274" s="9"/>
      <c r="J274" s="9"/>
      <c r="K274" s="9"/>
      <c r="L274" s="9">
        <f ca="1">$F$102/$F$31</f>
        <v>0</v>
      </c>
      <c r="M274" s="9">
        <f ca="1">L274-T274</f>
        <v>0</v>
      </c>
      <c r="N274" s="9"/>
      <c r="O274" s="9"/>
      <c r="P274" s="9"/>
      <c r="Q274" s="9"/>
      <c r="R274" s="9"/>
      <c r="S274" s="9">
        <f ca="1">IF(OR($C274="Annual",$D274=$E274),IF(AND($D274=$E274,S$111=$B274+$D274),$L274,IF(AND(S$111&gt;$B274+$D274,S$111&lt;=$B274+$E274), $L274/($E274-$D274),0)), IF(OR(S$111=$B274+$D274,S$111=$B274+$E274),$L274/(($E274-$D274)*2),IF(AND(S$111&gt;$B274+$D274,S$111&lt;$B274+$E274),$L274/($E274-$D274),0)))</f>
        <v>0</v>
      </c>
      <c r="T274" s="9">
        <f>IF(OR($C274="Annual",$D274=$E274),IF(AND($D274=$E274,T$111=$B274+$D274),$L274,IF(AND(T$111&gt;$B274+$D274,T$111&lt;=$B274+$E274), $L274/($E274-$D274),0)), IF(OR(T$111=$B274+$D274,T$111=$B274+$E274),$L274/(($E274-$D274)*2),IF(AND(T$111&gt;$B274+$D274,T$111&lt;$B274+$E274),$L274/($E274-$D274),0)))</f>
        <v>0</v>
      </c>
      <c r="U274" s="9"/>
      <c r="V274" s="9"/>
      <c r="W274" s="9"/>
      <c r="X274" s="9"/>
      <c r="Y274" s="9"/>
      <c r="Z274" s="9">
        <f t="shared" si="78"/>
        <v>0</v>
      </c>
      <c r="AA274" s="9">
        <f t="shared" ca="1" si="78"/>
        <v>0</v>
      </c>
    </row>
    <row r="275" spans="1:27">
      <c r="A275" s="8" t="str">
        <f>A274</f>
        <v>Type 16</v>
      </c>
      <c r="B275" s="7">
        <f>B274+1</f>
        <v>2023</v>
      </c>
      <c r="C275" s="7" t="str">
        <f>C274</f>
        <v>Annual</v>
      </c>
      <c r="D275" s="7">
        <f t="shared" si="79"/>
        <v>0</v>
      </c>
      <c r="E275" s="7">
        <f t="shared" si="79"/>
        <v>0</v>
      </c>
      <c r="F275" s="14">
        <f>$Q$102</f>
        <v>0</v>
      </c>
      <c r="H275" s="9"/>
      <c r="I275" s="9"/>
      <c r="J275" s="9"/>
      <c r="K275" s="9"/>
      <c r="L275" s="9"/>
      <c r="M275" s="9">
        <f ca="1">$G$102/$G$31</f>
        <v>0</v>
      </c>
      <c r="N275" s="9"/>
      <c r="O275" s="9"/>
      <c r="P275" s="9"/>
      <c r="Q275" s="9"/>
      <c r="R275" s="9"/>
      <c r="S275" s="9"/>
      <c r="T275" s="9">
        <f ca="1">IF(OR($C275="Annual",$D275=$E275),IF(AND($D275=$E275,T$111=$B275+$D275),$M275,IF(AND(T$111&gt;$B275+$D275,T$111&lt;=$B275+$E275), $M275/($E275-$D275),0)), IF(OR(T$111=$B275+$D275,T$111=$B275+$E275),$M275/(($E275-$D275)*2),IF(AND(T$111&gt;$B275+$D275,T$111&lt;$B275+$E275),$M275/($E275-$D275),0)))</f>
        <v>0</v>
      </c>
      <c r="U275" s="9"/>
      <c r="V275" s="9"/>
      <c r="W275" s="9"/>
      <c r="X275" s="9"/>
      <c r="Y275" s="9"/>
      <c r="Z275" s="9"/>
      <c r="AA275" s="9">
        <f t="shared" si="78"/>
        <v>0</v>
      </c>
    </row>
    <row r="276" spans="1:27">
      <c r="A276" s="8"/>
      <c r="B276" s="7"/>
      <c r="C276" s="7"/>
      <c r="D276" s="7"/>
      <c r="E276" s="7"/>
      <c r="F276" s="15"/>
      <c r="H276" s="9"/>
      <c r="I276" s="9"/>
      <c r="J276" s="9"/>
      <c r="K276" s="9"/>
      <c r="L276" s="9"/>
      <c r="M276" s="9"/>
      <c r="N276" s="9"/>
      <c r="O276" s="278"/>
      <c r="P276" s="10"/>
      <c r="Q276" s="10"/>
      <c r="R276" s="10"/>
      <c r="S276" s="10"/>
      <c r="T276" s="10"/>
      <c r="U276" s="9"/>
      <c r="V276" s="10"/>
      <c r="W276" s="9"/>
      <c r="X276" s="9"/>
      <c r="Y276" s="9"/>
      <c r="Z276" s="9"/>
      <c r="AA276" s="9"/>
    </row>
    <row r="277" spans="1:27">
      <c r="A277" s="8" t="str">
        <f>'Input 4 - Forecast'!A84</f>
        <v>Type 17</v>
      </c>
      <c r="B277" s="7">
        <f>B119</f>
        <v>2018</v>
      </c>
      <c r="C277" s="7" t="str">
        <f>$I103</f>
        <v>Annual</v>
      </c>
      <c r="D277" s="7">
        <f>$J103</f>
        <v>0</v>
      </c>
      <c r="E277" s="7">
        <f>$K103</f>
        <v>0</v>
      </c>
      <c r="F277" s="14">
        <f>$L$103</f>
        <v>0</v>
      </c>
      <c r="H277" s="9">
        <f>$B$103/$B$31</f>
        <v>0</v>
      </c>
      <c r="I277" s="9">
        <f>H277-P277</f>
        <v>0</v>
      </c>
      <c r="J277" s="9">
        <f>I277-Q277</f>
        <v>0</v>
      </c>
      <c r="K277" s="9">
        <f>J277-R277</f>
        <v>0</v>
      </c>
      <c r="L277" s="9">
        <f>K277-S277</f>
        <v>0</v>
      </c>
      <c r="M277" s="9">
        <f>L277-T277</f>
        <v>0</v>
      </c>
      <c r="N277" s="9"/>
      <c r="O277" s="9">
        <f t="shared" ref="O277:T277" si="80">IF(OR($C277="Annual",$D277=$E277),IF(AND($D277=$E277,O$111=$B277+$D277),$H277,IF(AND(O$111&gt;$B277+$D277,O$111&lt;=$B277+$E277), $H277/($E277-$D277),0)), IF(OR(O$111=$B277+$D277,O$111=$B277+$E277),$H277/(($E277-$D277)*2),IF(AND(O$111&gt;$B277+$D277,O$111&lt;$B277+$E277),$H277/($E277-$D277),0)))</f>
        <v>0</v>
      </c>
      <c r="P277" s="9">
        <f t="shared" si="80"/>
        <v>0</v>
      </c>
      <c r="Q277" s="9">
        <f t="shared" si="80"/>
        <v>0</v>
      </c>
      <c r="R277" s="9">
        <f t="shared" si="80"/>
        <v>0</v>
      </c>
      <c r="S277" s="9">
        <f t="shared" si="80"/>
        <v>0</v>
      </c>
      <c r="T277" s="9">
        <f t="shared" si="80"/>
        <v>0</v>
      </c>
      <c r="U277" s="9"/>
      <c r="V277" s="9">
        <f>IF($C277="annual",IF(V$111=$B277,0,G277*$F277),IF(V$111-$B277=0,0,IF((V$111-$B277)&lt;$E277,AVERAGE(G277,H277)*$F277,IF((V$111-$B277)=$E277,G277*$F277/2,0))))</f>
        <v>0</v>
      </c>
      <c r="W277" s="9">
        <f t="shared" ref="W277:AA282" si="81">IF($C277="annual",IF(W$111=$B277,0,H277*$F277),IF(W$111-$B277=0,0,IF((W$111-$B277)&lt;$E277,AVERAGE(H277,I277)*$F277,IF((W$111-$B277)=$E277,H277*$F277/2,0))))</f>
        <v>0</v>
      </c>
      <c r="X277" s="9">
        <f t="shared" si="81"/>
        <v>0</v>
      </c>
      <c r="Y277" s="9">
        <f t="shared" si="81"/>
        <v>0</v>
      </c>
      <c r="Z277" s="9">
        <f t="shared" si="81"/>
        <v>0</v>
      </c>
      <c r="AA277" s="9">
        <f t="shared" si="81"/>
        <v>0</v>
      </c>
    </row>
    <row r="278" spans="1:27">
      <c r="A278" s="8" t="str">
        <f>A277</f>
        <v>Type 17</v>
      </c>
      <c r="B278" s="7">
        <f>B277+1</f>
        <v>2019</v>
      </c>
      <c r="C278" s="7" t="str">
        <f>C277</f>
        <v>Annual</v>
      </c>
      <c r="D278" s="7">
        <f t="shared" ref="D278:E282" si="82">D277</f>
        <v>0</v>
      </c>
      <c r="E278" s="7">
        <f t="shared" si="82"/>
        <v>0</v>
      </c>
      <c r="F278" s="14">
        <f>$M$103</f>
        <v>4.2936438739549099E-3</v>
      </c>
      <c r="H278" s="9"/>
      <c r="I278" s="9">
        <f ca="1">$C$103/$C$31</f>
        <v>0</v>
      </c>
      <c r="J278" s="9">
        <f ca="1">I278-Q278</f>
        <v>0</v>
      </c>
      <c r="K278" s="9">
        <f ca="1">J278-R278</f>
        <v>0</v>
      </c>
      <c r="L278" s="9">
        <f ca="1">K278-S278</f>
        <v>0</v>
      </c>
      <c r="M278" s="9">
        <f ca="1">L278-T278</f>
        <v>0</v>
      </c>
      <c r="N278" s="9"/>
      <c r="O278" s="9"/>
      <c r="P278" s="9">
        <f ca="1">IF(OR($C278="Annual",$D278=$E278),IF(AND($D278=$E278,P$111=$B278+$D278),$I278,IF(AND(P$111&gt;$B278+$D278,P$111&lt;=$B278+$E278), $I278/($E278-$D278),0)), IF(OR(P$111=$B278+$D278,P$111=$B278+$E278),$I278/(($E278-$D278)*2),IF(AND(P$111&gt;$B278+$D278,P$111&lt;$B278+$E278),$I278/($E278-$D278),0)))</f>
        <v>0</v>
      </c>
      <c r="Q278" s="9">
        <f>IF(OR($C278="Annual",$D278=$E278),IF(AND($D278=$E278,Q$111=$B278+$D278),$I278,IF(AND(Q$111&gt;$B278+$D278,Q$111&lt;=$B278+$E278), $I278/($E278-$D278),0)), IF(OR(Q$111=$B278+$D278,Q$111=$B278+$E278),$I278/(($E278-$D278)*2),IF(AND(Q$111&gt;$B278+$D278,Q$111&lt;$B278+$E278),$I278/($E278-$D278),0)))</f>
        <v>0</v>
      </c>
      <c r="R278" s="9">
        <f>IF(OR($C278="Annual",$D278=$E278),IF(AND($D278=$E278,R$111=$B278+$D278),$I278,IF(AND(R$111&gt;$B278+$D278,R$111&lt;=$B278+$E278), $I278/($E278-$D278),0)), IF(OR(R$111=$B278+$D278,R$111=$B278+$E278),$I278/(($E278-$D278)*2),IF(AND(R$111&gt;$B278+$D278,R$111&lt;$B278+$E278),$I278/($E278-$D278),0)))</f>
        <v>0</v>
      </c>
      <c r="S278" s="9">
        <f>IF(OR($C278="Annual",$D278=$E278),IF(AND($D278=$E278,S$111=$B278+$D278),$I278,IF(AND(S$111&gt;$B278+$D278,S$111&lt;=$B278+$E278), $I278/($E278-$D278),0)), IF(OR(S$111=$B278+$D278,S$111=$B278+$E278),$I278/(($E278-$D278)*2),IF(AND(S$111&gt;$B278+$D278,S$111&lt;$B278+$E278),$I278/($E278-$D278),0)))</f>
        <v>0</v>
      </c>
      <c r="T278" s="9">
        <f>IF(OR($C278="Annual",$D278=$E278),IF(AND($D278=$E278,T$111=$B278+$D278),$I278,IF(AND(T$111&gt;$B278+$D278,T$111&lt;=$B278+$E278), $I278/($E278-$D278),0)), IF(OR(T$111=$B278+$D278,T$111=$B278+$E278),$I278/(($E278-$D278)*2),IF(AND(T$111&gt;$B278+$D278,T$111&lt;$B278+$E278),$I278/($E278-$D278),0)))</f>
        <v>0</v>
      </c>
      <c r="U278" s="9"/>
      <c r="V278" s="9"/>
      <c r="W278" s="9">
        <f t="shared" si="81"/>
        <v>0</v>
      </c>
      <c r="X278" s="9">
        <f t="shared" ca="1" si="81"/>
        <v>0</v>
      </c>
      <c r="Y278" s="9">
        <f t="shared" ca="1" si="81"/>
        <v>0</v>
      </c>
      <c r="Z278" s="9">
        <f t="shared" ca="1" si="81"/>
        <v>0</v>
      </c>
      <c r="AA278" s="9">
        <f t="shared" ca="1" si="81"/>
        <v>0</v>
      </c>
    </row>
    <row r="279" spans="1:27">
      <c r="A279" s="8" t="str">
        <f>A278</f>
        <v>Type 17</v>
      </c>
      <c r="B279" s="7">
        <f>B278+1</f>
        <v>2020</v>
      </c>
      <c r="C279" s="7" t="str">
        <f>C278</f>
        <v>Annual</v>
      </c>
      <c r="D279" s="7">
        <f t="shared" si="82"/>
        <v>0</v>
      </c>
      <c r="E279" s="7">
        <f t="shared" si="82"/>
        <v>0</v>
      </c>
      <c r="F279" s="14">
        <f>$N$103</f>
        <v>4.2936438739549099E-3</v>
      </c>
      <c r="H279" s="9"/>
      <c r="I279" s="9"/>
      <c r="J279" s="9">
        <f ca="1">$D$103/$D$31</f>
        <v>0</v>
      </c>
      <c r="K279" s="9">
        <f ca="1">J279-R279</f>
        <v>0</v>
      </c>
      <c r="L279" s="9">
        <f ca="1">K279-S279</f>
        <v>0</v>
      </c>
      <c r="M279" s="9">
        <f ca="1">L279-T279</f>
        <v>0</v>
      </c>
      <c r="N279" s="9"/>
      <c r="O279" s="9"/>
      <c r="P279" s="9"/>
      <c r="Q279" s="9">
        <f ca="1">IF(OR($C279="Annual",$D279=$E279),IF(AND($D279=$E279,Q$111=$B279+$D279),$J279,IF(AND(Q$111&gt;$B279+$D279,Q$111&lt;=$B279+$E279), $J279/($E279-$D279),0)), IF(OR(Q$111=$B279+$D279,Q$111=$B279+$E279),$J279/(($E279-$D279)*2),IF(AND(Q$111&gt;$B279+$D279,Q$111&lt;$B279+$E279),$J279/($E279-$D279),0)))</f>
        <v>0</v>
      </c>
      <c r="R279" s="9">
        <f>IF(OR($C279="Annual",$D279=$E279),IF(AND($D279=$E279,R$111=$B279+$D279),$J279,IF(AND(R$111&gt;$B279+$D279,R$111&lt;=$B279+$E279), $J279/($E279-$D279),0)), IF(OR(R$111=$B279+$D279,R$111=$B279+$E279),$J279/(($E279-$D279)*2),IF(AND(R$111&gt;$B279+$D279,R$111&lt;$B279+$E279),$J279/($E279-$D279),0)))</f>
        <v>0</v>
      </c>
      <c r="S279" s="9">
        <f>IF(OR($C279="Annual",$D279=$E279),IF(AND($D279=$E279,S$111=$B279+$D279),$J279,IF(AND(S$111&gt;$B279+$D279,S$111&lt;=$B279+$E279), $J279/($E279-$D279),0)), IF(OR(S$111=$B279+$D279,S$111=$B279+$E279),$J279/(($E279-$D279)*2),IF(AND(S$111&gt;$B279+$D279,S$111&lt;$B279+$E279),$J279/($E279-$D279),0)))</f>
        <v>0</v>
      </c>
      <c r="T279" s="9">
        <f>IF(OR($C279="Annual",$D279=$E279),IF(AND($D279=$E279,T$111=$B279+$D279),$J279,IF(AND(T$111&gt;$B279+$D279,T$111&lt;=$B279+$E279), $J279/($E279-$D279),0)), IF(OR(T$111=$B279+$D279,T$111=$B279+$E279),$J279/(($E279-$D279)*2),IF(AND(T$111&gt;$B279+$D279,T$111&lt;$B279+$E279),$J279/($E279-$D279),0)))</f>
        <v>0</v>
      </c>
      <c r="U279" s="9"/>
      <c r="V279" s="9"/>
      <c r="W279" s="9"/>
      <c r="X279" s="9">
        <f t="shared" si="81"/>
        <v>0</v>
      </c>
      <c r="Y279" s="9">
        <f t="shared" ca="1" si="81"/>
        <v>0</v>
      </c>
      <c r="Z279" s="9">
        <f t="shared" ca="1" si="81"/>
        <v>0</v>
      </c>
      <c r="AA279" s="9">
        <f t="shared" ca="1" si="81"/>
        <v>0</v>
      </c>
    </row>
    <row r="280" spans="1:27">
      <c r="A280" s="8" t="str">
        <f>A279</f>
        <v>Type 17</v>
      </c>
      <c r="B280" s="7">
        <f>B279+1</f>
        <v>2021</v>
      </c>
      <c r="C280" s="7" t="str">
        <f>C279</f>
        <v>Annual</v>
      </c>
      <c r="D280" s="7">
        <f t="shared" si="82"/>
        <v>0</v>
      </c>
      <c r="E280" s="7">
        <f t="shared" si="82"/>
        <v>0</v>
      </c>
      <c r="F280" s="14">
        <f>$O$103</f>
        <v>0</v>
      </c>
      <c r="H280" s="9"/>
      <c r="I280" s="9"/>
      <c r="J280" s="9"/>
      <c r="K280" s="9">
        <f ca="1">$E$103/$E$31</f>
        <v>0</v>
      </c>
      <c r="L280" s="9">
        <f ca="1">K280-S280</f>
        <v>0</v>
      </c>
      <c r="M280" s="9">
        <f ca="1">L280-T280</f>
        <v>0</v>
      </c>
      <c r="N280" s="9"/>
      <c r="O280" s="9"/>
      <c r="P280" s="9"/>
      <c r="Q280" s="9"/>
      <c r="R280" s="9">
        <f ca="1">IF(OR($C280="Annual",$D280=$E280),IF(AND($D280=$E280,R$111=$B280+$D280),$K280,IF(AND(R$111&gt;$B280+$D280,R$111&lt;=$B280+$E280), $K280/($E280-$D280),0)), IF(OR(R$111=$B280+$D280,R$111=$B280+$E280),$K280/(($E280-$D280)*2),IF(AND(R$111&gt;$B280+$D280,R$111&lt;$B280+$E280),$K280/($E280-$D280),0)))</f>
        <v>0</v>
      </c>
      <c r="S280" s="9">
        <f>IF(OR($C280="Annual",$D280=$E280),IF(AND($D280=$E280,S$111=$B280+$D280),$K280,IF(AND(S$111&gt;$B280+$D280,S$111&lt;=$B280+$E280), $K280/($E280-$D280),0)), IF(OR(S$111=$B280+$D280,S$111=$B280+$E280),$K280/(($E280-$D280)*2),IF(AND(S$111&gt;$B280+$D280,S$111&lt;$B280+$E280),$K280/($E280-$D280),0)))</f>
        <v>0</v>
      </c>
      <c r="T280" s="9">
        <f>IF(OR($C280="Annual",$D280=$E280),IF(AND($D280=$E280,T$111=$B280+$D280),$K280,IF(AND(T$111&gt;$B280+$D280,T$111&lt;=$B280+$E280), $K280/($E280-$D280),0)), IF(OR(T$111=$B280+$D280,T$111=$B280+$E280),$K280/(($E280-$D280)*2),IF(AND(T$111&gt;$B280+$D280,T$111&lt;$B280+$E280),$K280/($E280-$D280),0)))</f>
        <v>0</v>
      </c>
      <c r="U280" s="9"/>
      <c r="V280" s="9"/>
      <c r="W280" s="9"/>
      <c r="X280" s="9"/>
      <c r="Y280" s="9">
        <f t="shared" si="81"/>
        <v>0</v>
      </c>
      <c r="Z280" s="9">
        <f t="shared" ca="1" si="81"/>
        <v>0</v>
      </c>
      <c r="AA280" s="9">
        <f t="shared" ca="1" si="81"/>
        <v>0</v>
      </c>
    </row>
    <row r="281" spans="1:27">
      <c r="A281" s="8" t="str">
        <f>A280</f>
        <v>Type 17</v>
      </c>
      <c r="B281" s="7">
        <f>B280+1</f>
        <v>2022</v>
      </c>
      <c r="C281" s="7" t="str">
        <f>C280</f>
        <v>Annual</v>
      </c>
      <c r="D281" s="7">
        <f t="shared" si="82"/>
        <v>0</v>
      </c>
      <c r="E281" s="7">
        <f t="shared" si="82"/>
        <v>0</v>
      </c>
      <c r="F281" s="14">
        <f>$P$103</f>
        <v>0</v>
      </c>
      <c r="H281" s="9"/>
      <c r="I281" s="9"/>
      <c r="J281" s="9"/>
      <c r="K281" s="9"/>
      <c r="L281" s="9">
        <f ca="1">$F$103/$F$31</f>
        <v>0</v>
      </c>
      <c r="M281" s="9">
        <f ca="1">L281-T281</f>
        <v>0</v>
      </c>
      <c r="N281" s="9"/>
      <c r="O281" s="9"/>
      <c r="P281" s="9"/>
      <c r="Q281" s="9"/>
      <c r="R281" s="9"/>
      <c r="S281" s="9">
        <f ca="1">IF(OR($C281="Annual",$D281=$E281),IF(AND($D281=$E281,S$111=$B281+$D281),$L281,IF(AND(S$111&gt;$B281+$D281,S$111&lt;=$B281+$E281), $L281/($E281-$D281),0)), IF(OR(S$111=$B281+$D281,S$111=$B281+$E281),$L281/(($E281-$D281)*2),IF(AND(S$111&gt;$B281+$D281,S$111&lt;$B281+$E281),$L281/($E281-$D281),0)))</f>
        <v>0</v>
      </c>
      <c r="T281" s="9">
        <f>IF(OR($C281="Annual",$D281=$E281),IF(AND($D281=$E281,T$111=$B281+$D281),$L281,IF(AND(T$111&gt;$B281+$D281,T$111&lt;=$B281+$E281), $L281/($E281-$D281),0)), IF(OR(T$111=$B281+$D281,T$111=$B281+$E281),$L281/(($E281-$D281)*2),IF(AND(T$111&gt;$B281+$D281,T$111&lt;$B281+$E281),$L281/($E281-$D281),0)))</f>
        <v>0</v>
      </c>
      <c r="U281" s="9"/>
      <c r="V281" s="9"/>
      <c r="W281" s="9"/>
      <c r="X281" s="9"/>
      <c r="Y281" s="9"/>
      <c r="Z281" s="9">
        <f t="shared" si="81"/>
        <v>0</v>
      </c>
      <c r="AA281" s="9">
        <f t="shared" ca="1" si="81"/>
        <v>0</v>
      </c>
    </row>
    <row r="282" spans="1:27">
      <c r="A282" s="8" t="str">
        <f>A281</f>
        <v>Type 17</v>
      </c>
      <c r="B282" s="7">
        <f>B281+1</f>
        <v>2023</v>
      </c>
      <c r="C282" s="7" t="str">
        <f>C281</f>
        <v>Annual</v>
      </c>
      <c r="D282" s="7">
        <f t="shared" si="82"/>
        <v>0</v>
      </c>
      <c r="E282" s="7">
        <f t="shared" si="82"/>
        <v>0</v>
      </c>
      <c r="F282" s="14">
        <f>$Q$103</f>
        <v>0</v>
      </c>
      <c r="H282" s="9"/>
      <c r="I282" s="9"/>
      <c r="J282" s="9"/>
      <c r="K282" s="9"/>
      <c r="L282" s="9"/>
      <c r="M282" s="9">
        <f ca="1">$G$103/$G$31</f>
        <v>0</v>
      </c>
      <c r="N282" s="9"/>
      <c r="O282" s="9"/>
      <c r="P282" s="9"/>
      <c r="Q282" s="9"/>
      <c r="R282" s="9"/>
      <c r="S282" s="9"/>
      <c r="T282" s="9">
        <f ca="1">IF(OR($C282="Annual",$D282=$E282),IF(AND($D282=$E282,T$111=$B282+$D282),$M282,IF(AND(T$111&gt;$B282+$D282,T$111&lt;=$B282+$E282), $M282/($E282-$D282),0)), IF(OR(T$111=$B282+$D282,T$111=$B282+$E282),$M282/(($E282-$D282)*2),IF(AND(T$111&gt;$B282+$D282,T$111&lt;$B282+$E282),$M282/($E282-$D282),0)))</f>
        <v>0</v>
      </c>
      <c r="U282" s="9"/>
      <c r="V282" s="9"/>
      <c r="W282" s="9"/>
      <c r="X282" s="9"/>
      <c r="Y282" s="9"/>
      <c r="Z282" s="9"/>
      <c r="AA282" s="9">
        <f t="shared" si="81"/>
        <v>0</v>
      </c>
    </row>
    <row r="283" spans="1:27">
      <c r="A283" s="8"/>
      <c r="B283" s="7"/>
      <c r="C283" s="7"/>
      <c r="D283" s="7"/>
      <c r="E283" s="7"/>
      <c r="F283" s="15"/>
      <c r="H283" s="9"/>
      <c r="I283" s="9"/>
      <c r="J283" s="9"/>
      <c r="K283" s="9"/>
      <c r="L283" s="9"/>
      <c r="M283" s="9"/>
      <c r="N283" s="9"/>
      <c r="O283" s="278"/>
      <c r="P283" s="10"/>
      <c r="Q283" s="10"/>
      <c r="R283" s="10"/>
      <c r="S283" s="10"/>
      <c r="T283" s="10"/>
      <c r="U283" s="9"/>
      <c r="V283" s="10"/>
      <c r="W283" s="9"/>
      <c r="X283" s="9"/>
      <c r="Y283" s="9"/>
      <c r="Z283" s="9"/>
      <c r="AA283" s="9"/>
    </row>
    <row r="284" spans="1:27">
      <c r="A284" s="8" t="str">
        <f>'Input 4 - Forecast'!A85</f>
        <v>Type 18</v>
      </c>
      <c r="B284" s="7">
        <f>B119</f>
        <v>2018</v>
      </c>
      <c r="C284" s="7" t="str">
        <f>$I104</f>
        <v>Annual</v>
      </c>
      <c r="D284" s="7">
        <f>$J104</f>
        <v>0</v>
      </c>
      <c r="E284" s="7">
        <f>$K104</f>
        <v>0</v>
      </c>
      <c r="F284" s="14">
        <f>$L$104</f>
        <v>0</v>
      </c>
      <c r="H284" s="9">
        <f>$B$104/$B$31</f>
        <v>0</v>
      </c>
      <c r="I284" s="9">
        <f>H284-P284</f>
        <v>0</v>
      </c>
      <c r="J284" s="9">
        <f>I284-Q284</f>
        <v>0</v>
      </c>
      <c r="K284" s="9">
        <f>J284-R284</f>
        <v>0</v>
      </c>
      <c r="L284" s="9">
        <f>K284-S284</f>
        <v>0</v>
      </c>
      <c r="M284" s="9">
        <f>L284-T284</f>
        <v>0</v>
      </c>
      <c r="N284" s="9"/>
      <c r="O284" s="9">
        <f t="shared" ref="O284:T284" si="83">IF(OR($C284="Annual",$D284=$E284),IF(AND($D284=$E284,O$111=$B284+$D284),$H284,IF(AND(O$111&gt;$B284+$D284,O$111&lt;=$B284+$E284), $H284/($E284-$D284),0)), IF(OR(O$111=$B284+$D284,O$111=$B284+$E284),$H284/(($E284-$D284)*2),IF(AND(O$111&gt;$B284+$D284,O$111&lt;$B284+$E284),$H284/($E284-$D284),0)))</f>
        <v>0</v>
      </c>
      <c r="P284" s="9">
        <f t="shared" si="83"/>
        <v>0</v>
      </c>
      <c r="Q284" s="9">
        <f t="shared" si="83"/>
        <v>0</v>
      </c>
      <c r="R284" s="9">
        <f t="shared" si="83"/>
        <v>0</v>
      </c>
      <c r="S284" s="9">
        <f t="shared" si="83"/>
        <v>0</v>
      </c>
      <c r="T284" s="9">
        <f t="shared" si="83"/>
        <v>0</v>
      </c>
      <c r="U284" s="9"/>
      <c r="V284" s="9">
        <f>IF($C284="annual",IF(V$111=$B284,0,G284*$F284),IF(V$111-$B284=0,0,IF((V$111-$B284)&lt;$E284,AVERAGE(G284,H284)*$F284,IF((V$111-$B284)=$E284,G284*$F284/2,0))))</f>
        <v>0</v>
      </c>
      <c r="W284" s="9">
        <f t="shared" ref="W284:AA289" si="84">IF($C284="annual",IF(W$111=$B284,0,H284*$F284),IF(W$111-$B284=0,0,IF((W$111-$B284)&lt;$E284,AVERAGE(H284,I284)*$F284,IF((W$111-$B284)=$E284,H284*$F284/2,0))))</f>
        <v>0</v>
      </c>
      <c r="X284" s="9">
        <f t="shared" si="84"/>
        <v>0</v>
      </c>
      <c r="Y284" s="9">
        <f t="shared" si="84"/>
        <v>0</v>
      </c>
      <c r="Z284" s="9">
        <f t="shared" si="84"/>
        <v>0</v>
      </c>
      <c r="AA284" s="9">
        <f t="shared" si="84"/>
        <v>0</v>
      </c>
    </row>
    <row r="285" spans="1:27">
      <c r="A285" s="8" t="str">
        <f>A284</f>
        <v>Type 18</v>
      </c>
      <c r="B285" s="7">
        <f>B284+1</f>
        <v>2019</v>
      </c>
      <c r="C285" s="7" t="str">
        <f>C284</f>
        <v>Annual</v>
      </c>
      <c r="D285" s="7">
        <f t="shared" ref="D285:E289" si="85">D284</f>
        <v>0</v>
      </c>
      <c r="E285" s="7">
        <f t="shared" si="85"/>
        <v>0</v>
      </c>
      <c r="F285" s="14">
        <f>$M$104</f>
        <v>4.2936438739549099E-3</v>
      </c>
      <c r="H285" s="9"/>
      <c r="I285" s="9">
        <f ca="1">$C$104/$C$31</f>
        <v>0</v>
      </c>
      <c r="J285" s="9">
        <f ca="1">I285-Q285</f>
        <v>0</v>
      </c>
      <c r="K285" s="9">
        <f ca="1">J285-R285</f>
        <v>0</v>
      </c>
      <c r="L285" s="9">
        <f ca="1">K285-S285</f>
        <v>0</v>
      </c>
      <c r="M285" s="9">
        <f ca="1">L285-T285</f>
        <v>0</v>
      </c>
      <c r="N285" s="9"/>
      <c r="O285" s="9"/>
      <c r="P285" s="9">
        <f ca="1">IF(OR($C285="Annual",$D285=$E285),IF(AND($D285=$E285,P$111=$B285+$D285),$I285,IF(AND(P$111&gt;$B285+$D285,P$111&lt;=$B285+$E285), $I285/($E285-$D285),0)), IF(OR(P$111=$B285+$D285,P$111=$B285+$E285),$I285/(($E285-$D285)*2),IF(AND(P$111&gt;$B285+$D285,P$111&lt;$B285+$E285),$I285/($E285-$D285),0)))</f>
        <v>0</v>
      </c>
      <c r="Q285" s="9">
        <f>IF(OR($C285="Annual",$D285=$E285),IF(AND($D285=$E285,Q$111=$B285+$D285),$I285,IF(AND(Q$111&gt;$B285+$D285,Q$111&lt;=$B285+$E285), $I285/($E285-$D285),0)), IF(OR(Q$111=$B285+$D285,Q$111=$B285+$E285),$I285/(($E285-$D285)*2),IF(AND(Q$111&gt;$B285+$D285,Q$111&lt;$B285+$E285),$I285/($E285-$D285),0)))</f>
        <v>0</v>
      </c>
      <c r="R285" s="9">
        <f>IF(OR($C285="Annual",$D285=$E285),IF(AND($D285=$E285,R$111=$B285+$D285),$I285,IF(AND(R$111&gt;$B285+$D285,R$111&lt;=$B285+$E285), $I285/($E285-$D285),0)), IF(OR(R$111=$B285+$D285,R$111=$B285+$E285),$I285/(($E285-$D285)*2),IF(AND(R$111&gt;$B285+$D285,R$111&lt;$B285+$E285),$I285/($E285-$D285),0)))</f>
        <v>0</v>
      </c>
      <c r="S285" s="9">
        <f>IF(OR($C285="Annual",$D285=$E285),IF(AND($D285=$E285,S$111=$B285+$D285),$I285,IF(AND(S$111&gt;$B285+$D285,S$111&lt;=$B285+$E285), $I285/($E285-$D285),0)), IF(OR(S$111=$B285+$D285,S$111=$B285+$E285),$I285/(($E285-$D285)*2),IF(AND(S$111&gt;$B285+$D285,S$111&lt;$B285+$E285),$I285/($E285-$D285),0)))</f>
        <v>0</v>
      </c>
      <c r="T285" s="9">
        <f>IF(OR($C285="Annual",$D285=$E285),IF(AND($D285=$E285,T$111=$B285+$D285),$I285,IF(AND(T$111&gt;$B285+$D285,T$111&lt;=$B285+$E285), $I285/($E285-$D285),0)), IF(OR(T$111=$B285+$D285,T$111=$B285+$E285),$I285/(($E285-$D285)*2),IF(AND(T$111&gt;$B285+$D285,T$111&lt;$B285+$E285),$I285/($E285-$D285),0)))</f>
        <v>0</v>
      </c>
      <c r="U285" s="9"/>
      <c r="V285" s="9"/>
      <c r="W285" s="9">
        <f t="shared" si="84"/>
        <v>0</v>
      </c>
      <c r="X285" s="9">
        <f t="shared" ca="1" si="84"/>
        <v>0</v>
      </c>
      <c r="Y285" s="9">
        <f t="shared" ca="1" si="84"/>
        <v>0</v>
      </c>
      <c r="Z285" s="9">
        <f t="shared" ca="1" si="84"/>
        <v>0</v>
      </c>
      <c r="AA285" s="9">
        <f t="shared" ca="1" si="84"/>
        <v>0</v>
      </c>
    </row>
    <row r="286" spans="1:27">
      <c r="A286" s="8" t="str">
        <f>A285</f>
        <v>Type 18</v>
      </c>
      <c r="B286" s="7">
        <f>B285+1</f>
        <v>2020</v>
      </c>
      <c r="C286" s="7" t="str">
        <f>C285</f>
        <v>Annual</v>
      </c>
      <c r="D286" s="7">
        <f t="shared" si="85"/>
        <v>0</v>
      </c>
      <c r="E286" s="7">
        <f t="shared" si="85"/>
        <v>0</v>
      </c>
      <c r="F286" s="14">
        <f>$N$104</f>
        <v>4.2936438739549099E-3</v>
      </c>
      <c r="H286" s="9"/>
      <c r="I286" s="9"/>
      <c r="J286" s="9">
        <f ca="1">$D$104/$D$31</f>
        <v>0</v>
      </c>
      <c r="K286" s="9">
        <f ca="1">J286-R286</f>
        <v>0</v>
      </c>
      <c r="L286" s="9">
        <f ca="1">K286-S286</f>
        <v>0</v>
      </c>
      <c r="M286" s="9">
        <f ca="1">L286-T286</f>
        <v>0</v>
      </c>
      <c r="N286" s="9"/>
      <c r="O286" s="9"/>
      <c r="P286" s="9"/>
      <c r="Q286" s="9">
        <f ca="1">IF(OR($C286="Annual",$D286=$E286),IF(AND($D286=$E286,Q$111=$B286+$D286),$J286,IF(AND(Q$111&gt;$B286+$D286,Q$111&lt;=$B286+$E286), $J286/($E286-$D286),0)), IF(OR(Q$111=$B286+$D286,Q$111=$B286+$E286),$J286/(($E286-$D286)*2),IF(AND(Q$111&gt;$B286+$D286,Q$111&lt;$B286+$E286),$J286/($E286-$D286),0)))</f>
        <v>0</v>
      </c>
      <c r="R286" s="9">
        <f>IF(OR($C286="Annual",$D286=$E286),IF(AND($D286=$E286,R$111=$B286+$D286),$J286,IF(AND(R$111&gt;$B286+$D286,R$111&lt;=$B286+$E286), $J286/($E286-$D286),0)), IF(OR(R$111=$B286+$D286,R$111=$B286+$E286),$J286/(($E286-$D286)*2),IF(AND(R$111&gt;$B286+$D286,R$111&lt;$B286+$E286),$J286/($E286-$D286),0)))</f>
        <v>0</v>
      </c>
      <c r="S286" s="9">
        <f>IF(OR($C286="Annual",$D286=$E286),IF(AND($D286=$E286,S$111=$B286+$D286),$J286,IF(AND(S$111&gt;$B286+$D286,S$111&lt;=$B286+$E286), $J286/($E286-$D286),0)), IF(OR(S$111=$B286+$D286,S$111=$B286+$E286),$J286/(($E286-$D286)*2),IF(AND(S$111&gt;$B286+$D286,S$111&lt;$B286+$E286),$J286/($E286-$D286),0)))</f>
        <v>0</v>
      </c>
      <c r="T286" s="9">
        <f>IF(OR($C286="Annual",$D286=$E286),IF(AND($D286=$E286,T$111=$B286+$D286),$J286,IF(AND(T$111&gt;$B286+$D286,T$111&lt;=$B286+$E286), $J286/($E286-$D286),0)), IF(OR(T$111=$B286+$D286,T$111=$B286+$E286),$J286/(($E286-$D286)*2),IF(AND(T$111&gt;$B286+$D286,T$111&lt;$B286+$E286),$J286/($E286-$D286),0)))</f>
        <v>0</v>
      </c>
      <c r="U286" s="9"/>
      <c r="V286" s="9"/>
      <c r="W286" s="9"/>
      <c r="X286" s="9">
        <f t="shared" si="84"/>
        <v>0</v>
      </c>
      <c r="Y286" s="9">
        <f t="shared" ca="1" si="84"/>
        <v>0</v>
      </c>
      <c r="Z286" s="9">
        <f t="shared" ca="1" si="84"/>
        <v>0</v>
      </c>
      <c r="AA286" s="9">
        <f t="shared" ca="1" si="84"/>
        <v>0</v>
      </c>
    </row>
    <row r="287" spans="1:27">
      <c r="A287" s="8" t="str">
        <f>A286</f>
        <v>Type 18</v>
      </c>
      <c r="B287" s="7">
        <f>B286+1</f>
        <v>2021</v>
      </c>
      <c r="C287" s="7" t="str">
        <f>C286</f>
        <v>Annual</v>
      </c>
      <c r="D287" s="7">
        <f t="shared" si="85"/>
        <v>0</v>
      </c>
      <c r="E287" s="7">
        <f t="shared" si="85"/>
        <v>0</v>
      </c>
      <c r="F287" s="14">
        <f>$O$104</f>
        <v>0</v>
      </c>
      <c r="H287" s="9"/>
      <c r="I287" s="9"/>
      <c r="J287" s="9"/>
      <c r="K287" s="9">
        <f ca="1">$E$104/$E$31</f>
        <v>0</v>
      </c>
      <c r="L287" s="9">
        <f ca="1">K287-S287</f>
        <v>0</v>
      </c>
      <c r="M287" s="9">
        <f ca="1">L287-T287</f>
        <v>0</v>
      </c>
      <c r="N287" s="9"/>
      <c r="O287" s="9"/>
      <c r="P287" s="9"/>
      <c r="Q287" s="9"/>
      <c r="R287" s="9">
        <f ca="1">IF(OR($C287="Annual",$D287=$E287),IF(AND($D287=$E287,R$111=$B287+$D287),$K287,IF(AND(R$111&gt;$B287+$D287,R$111&lt;=$B287+$E287), $K287/($E287-$D287),0)), IF(OR(R$111=$B287+$D287,R$111=$B287+$E287),$K287/(($E287-$D287)*2),IF(AND(R$111&gt;$B287+$D287,R$111&lt;$B287+$E287),$K287/($E287-$D287),0)))</f>
        <v>0</v>
      </c>
      <c r="S287" s="9">
        <f>IF(OR($C287="Annual",$D287=$E287),IF(AND($D287=$E287,S$111=$B287+$D287),$K287,IF(AND(S$111&gt;$B287+$D287,S$111&lt;=$B287+$E287), $K287/($E287-$D287),0)), IF(OR(S$111=$B287+$D287,S$111=$B287+$E287),$K287/(($E287-$D287)*2),IF(AND(S$111&gt;$B287+$D287,S$111&lt;$B287+$E287),$K287/($E287-$D287),0)))</f>
        <v>0</v>
      </c>
      <c r="T287" s="9">
        <f>IF(OR($C287="Annual",$D287=$E287),IF(AND($D287=$E287,T$111=$B287+$D287),$K287,IF(AND(T$111&gt;$B287+$D287,T$111&lt;=$B287+$E287), $K287/($E287-$D287),0)), IF(OR(T$111=$B287+$D287,T$111=$B287+$E287),$K287/(($E287-$D287)*2),IF(AND(T$111&gt;$B287+$D287,T$111&lt;$B287+$E287),$K287/($E287-$D287),0)))</f>
        <v>0</v>
      </c>
      <c r="U287" s="9"/>
      <c r="V287" s="9"/>
      <c r="W287" s="9"/>
      <c r="X287" s="9"/>
      <c r="Y287" s="9">
        <f t="shared" si="84"/>
        <v>0</v>
      </c>
      <c r="Z287" s="9">
        <f t="shared" ca="1" si="84"/>
        <v>0</v>
      </c>
      <c r="AA287" s="9">
        <f t="shared" ca="1" si="84"/>
        <v>0</v>
      </c>
    </row>
    <row r="288" spans="1:27">
      <c r="A288" s="8" t="str">
        <f>A287</f>
        <v>Type 18</v>
      </c>
      <c r="B288" s="7">
        <f>B287+1</f>
        <v>2022</v>
      </c>
      <c r="C288" s="7" t="str">
        <f>C287</f>
        <v>Annual</v>
      </c>
      <c r="D288" s="7">
        <f t="shared" si="85"/>
        <v>0</v>
      </c>
      <c r="E288" s="7">
        <f t="shared" si="85"/>
        <v>0</v>
      </c>
      <c r="F288" s="14">
        <f>$P$104</f>
        <v>0</v>
      </c>
      <c r="H288" s="9"/>
      <c r="I288" s="9"/>
      <c r="J288" s="9"/>
      <c r="K288" s="9"/>
      <c r="L288" s="9">
        <f ca="1">$F$104/$F$31</f>
        <v>0</v>
      </c>
      <c r="M288" s="9">
        <f ca="1">L288-T288</f>
        <v>0</v>
      </c>
      <c r="N288" s="9"/>
      <c r="O288" s="9"/>
      <c r="P288" s="9"/>
      <c r="Q288" s="9"/>
      <c r="R288" s="9"/>
      <c r="S288" s="9">
        <f ca="1">IF(OR($C288="Annual",$D288=$E288),IF(AND($D288=$E288,S$111=$B288+$D288),$L288,IF(AND(S$111&gt;$B288+$D288,S$111&lt;=$B288+$E288), $L288/($E288-$D288),0)), IF(OR(S$111=$B288+$D288,S$111=$B288+$E288),$L288/(($E288-$D288)*2),IF(AND(S$111&gt;$B288+$D288,S$111&lt;$B288+$E288),$L288/($E288-$D288),0)))</f>
        <v>0</v>
      </c>
      <c r="T288" s="9">
        <f>IF(OR($C288="Annual",$D288=$E288),IF(AND($D288=$E288,T$111=$B288+$D288),$L288,IF(AND(T$111&gt;$B288+$D288,T$111&lt;=$B288+$E288), $L288/($E288-$D288),0)), IF(OR(T$111=$B288+$D288,T$111=$B288+$E288),$L288/(($E288-$D288)*2),IF(AND(T$111&gt;$B288+$D288,T$111&lt;$B288+$E288),$L288/($E288-$D288),0)))</f>
        <v>0</v>
      </c>
      <c r="U288" s="9"/>
      <c r="V288" s="9"/>
      <c r="W288" s="9"/>
      <c r="X288" s="9"/>
      <c r="Y288" s="9"/>
      <c r="Z288" s="9">
        <f t="shared" si="84"/>
        <v>0</v>
      </c>
      <c r="AA288" s="9">
        <f t="shared" ca="1" si="84"/>
        <v>0</v>
      </c>
    </row>
    <row r="289" spans="1:27">
      <c r="A289" s="8" t="str">
        <f>A288</f>
        <v>Type 18</v>
      </c>
      <c r="B289" s="7">
        <f>B288+1</f>
        <v>2023</v>
      </c>
      <c r="C289" s="7" t="str">
        <f>C288</f>
        <v>Annual</v>
      </c>
      <c r="D289" s="7">
        <f t="shared" si="85"/>
        <v>0</v>
      </c>
      <c r="E289" s="7">
        <f t="shared" si="85"/>
        <v>0</v>
      </c>
      <c r="F289" s="14">
        <f>$Q$104</f>
        <v>0</v>
      </c>
      <c r="H289" s="9"/>
      <c r="I289" s="9"/>
      <c r="J289" s="9"/>
      <c r="K289" s="9"/>
      <c r="L289" s="9"/>
      <c r="M289" s="9">
        <f ca="1">$G$104/$G$31</f>
        <v>0</v>
      </c>
      <c r="N289" s="9"/>
      <c r="O289" s="9"/>
      <c r="P289" s="9"/>
      <c r="Q289" s="9"/>
      <c r="R289" s="9"/>
      <c r="S289" s="9"/>
      <c r="T289" s="9">
        <f ca="1">IF(OR($C289="Annual",$D289=$E289),IF(AND($D289=$E289,T$111=$B289+$D289),$M289,IF(AND(T$111&gt;$B289+$D289,T$111&lt;=$B289+$E289), $M289/($E289-$D289),0)), IF(OR(T$111=$B289+$D289,T$111=$B289+$E289),$M289/(($E289-$D289)*2),IF(AND(T$111&gt;$B289+$D289,T$111&lt;$B289+$E289),$M289/($E289-$D289),0)))</f>
        <v>0</v>
      </c>
      <c r="U289" s="9"/>
      <c r="V289" s="9"/>
      <c r="W289" s="9"/>
      <c r="X289" s="9"/>
      <c r="Y289" s="9"/>
      <c r="Z289" s="9"/>
      <c r="AA289" s="9">
        <f t="shared" si="84"/>
        <v>0</v>
      </c>
    </row>
    <row r="290" spans="1:27">
      <c r="A290" s="8"/>
      <c r="B290" s="7"/>
      <c r="C290" s="7"/>
      <c r="D290" s="7"/>
      <c r="E290" s="7"/>
      <c r="F290" s="15"/>
      <c r="H290" s="9"/>
      <c r="I290" s="9"/>
      <c r="J290" s="9"/>
      <c r="K290" s="9"/>
      <c r="L290" s="9"/>
      <c r="M290" s="9"/>
      <c r="N290" s="9"/>
      <c r="O290" s="278"/>
      <c r="P290" s="10"/>
      <c r="Q290" s="10"/>
      <c r="R290" s="10"/>
      <c r="S290" s="10"/>
      <c r="T290" s="10"/>
      <c r="U290" s="9"/>
      <c r="V290" s="10"/>
      <c r="W290" s="9"/>
      <c r="X290" s="9"/>
      <c r="Y290" s="9"/>
      <c r="Z290" s="9"/>
      <c r="AA290" s="9"/>
    </row>
    <row r="291" spans="1:27">
      <c r="A291" s="8" t="str">
        <f>'Input 4 - Forecast'!A86</f>
        <v>Type 19</v>
      </c>
      <c r="B291" s="7">
        <f>B119</f>
        <v>2018</v>
      </c>
      <c r="C291" s="7" t="str">
        <f>$I105</f>
        <v>Annual</v>
      </c>
      <c r="D291" s="7">
        <f>$J105</f>
        <v>0</v>
      </c>
      <c r="E291" s="7">
        <f>$K105</f>
        <v>0</v>
      </c>
      <c r="F291" s="14">
        <f>$L$105</f>
        <v>0</v>
      </c>
      <c r="H291" s="9">
        <f>$B$105/$B$31</f>
        <v>0</v>
      </c>
      <c r="I291" s="9">
        <f>H291-P291</f>
        <v>0</v>
      </c>
      <c r="J291" s="9">
        <f>I291-Q291</f>
        <v>0</v>
      </c>
      <c r="K291" s="9">
        <f>J291-R291</f>
        <v>0</v>
      </c>
      <c r="L291" s="9">
        <f>K291-S291</f>
        <v>0</v>
      </c>
      <c r="M291" s="9">
        <f>L291-T291</f>
        <v>0</v>
      </c>
      <c r="N291" s="9"/>
      <c r="O291" s="9">
        <f t="shared" ref="O291:T291" si="86">IF(OR($C291="Annual",$D291=$E291),IF(AND($D291=$E291,O$111=$B291+$D291),$H291,IF(AND(O$111&gt;$B291+$D291,O$111&lt;=$B291+$E291), $H291/($E291-$D291),0)), IF(OR(O$111=$B291+$D291,O$111=$B291+$E291),$H291/(($E291-$D291)*2),IF(AND(O$111&gt;$B291+$D291,O$111&lt;$B291+$E291),$H291/($E291-$D291),0)))</f>
        <v>0</v>
      </c>
      <c r="P291" s="9">
        <f t="shared" si="86"/>
        <v>0</v>
      </c>
      <c r="Q291" s="9">
        <f t="shared" si="86"/>
        <v>0</v>
      </c>
      <c r="R291" s="9">
        <f t="shared" si="86"/>
        <v>0</v>
      </c>
      <c r="S291" s="9">
        <f t="shared" si="86"/>
        <v>0</v>
      </c>
      <c r="T291" s="9">
        <f t="shared" si="86"/>
        <v>0</v>
      </c>
      <c r="U291" s="9"/>
      <c r="V291" s="9">
        <f>IF($C291="annual",IF(V$111=$B291,0,G291*$F291),IF(V$111-$B291=0,0,IF((V$111-$B291)&lt;$E291,AVERAGE(G291,H291)*$F291,IF((V$111-$B291)=$E291,G291*$F291/2,0))))</f>
        <v>0</v>
      </c>
      <c r="W291" s="9">
        <f t="shared" ref="W291:AA296" si="87">IF($C291="annual",IF(W$111=$B291,0,H291*$F291),IF(W$111-$B291=0,0,IF((W$111-$B291)&lt;$E291,AVERAGE(H291,I291)*$F291,IF((W$111-$B291)=$E291,H291*$F291/2,0))))</f>
        <v>0</v>
      </c>
      <c r="X291" s="9">
        <f t="shared" si="87"/>
        <v>0</v>
      </c>
      <c r="Y291" s="9">
        <f t="shared" si="87"/>
        <v>0</v>
      </c>
      <c r="Z291" s="9">
        <f t="shared" si="87"/>
        <v>0</v>
      </c>
      <c r="AA291" s="9">
        <f t="shared" si="87"/>
        <v>0</v>
      </c>
    </row>
    <row r="292" spans="1:27">
      <c r="A292" s="8" t="str">
        <f>A291</f>
        <v>Type 19</v>
      </c>
      <c r="B292" s="7">
        <f>B291+1</f>
        <v>2019</v>
      </c>
      <c r="C292" s="7" t="str">
        <f>C291</f>
        <v>Annual</v>
      </c>
      <c r="D292" s="7">
        <f t="shared" ref="D292:E296" si="88">D291</f>
        <v>0</v>
      </c>
      <c r="E292" s="7">
        <f t="shared" si="88"/>
        <v>0</v>
      </c>
      <c r="F292" s="14">
        <f>$M$105</f>
        <v>4.2936438739549099E-3</v>
      </c>
      <c r="H292" s="9"/>
      <c r="I292" s="9">
        <f ca="1">$C$105/$C$31</f>
        <v>0</v>
      </c>
      <c r="J292" s="9">
        <f ca="1">I292-Q292</f>
        <v>0</v>
      </c>
      <c r="K292" s="9">
        <f ca="1">J292-R292</f>
        <v>0</v>
      </c>
      <c r="L292" s="9">
        <f ca="1">K292-S292</f>
        <v>0</v>
      </c>
      <c r="M292" s="9">
        <f ca="1">L292-T292</f>
        <v>0</v>
      </c>
      <c r="N292" s="9"/>
      <c r="O292" s="9"/>
      <c r="P292" s="9">
        <f ca="1">IF(OR($C292="Annual",$D292=$E292),IF(AND($D292=$E292,P$111=$B292+$D292),$I292,IF(AND(P$111&gt;$B292+$D292,P$111&lt;=$B292+$E292), $I292/($E292-$D292),0)), IF(OR(P$111=$B292+$D292,P$111=$B292+$E292),$I292/(($E292-$D292)*2),IF(AND(P$111&gt;$B292+$D292,P$111&lt;$B292+$E292),$I292/($E292-$D292),0)))</f>
        <v>0</v>
      </c>
      <c r="Q292" s="9">
        <f>IF(OR($C292="Annual",$D292=$E292),IF(AND($D292=$E292,Q$111=$B292+$D292),$I292,IF(AND(Q$111&gt;$B292+$D292,Q$111&lt;=$B292+$E292), $I292/($E292-$D292),0)), IF(OR(Q$111=$B292+$D292,Q$111=$B292+$E292),$I292/(($E292-$D292)*2),IF(AND(Q$111&gt;$B292+$D292,Q$111&lt;$B292+$E292),$I292/($E292-$D292),0)))</f>
        <v>0</v>
      </c>
      <c r="R292" s="9">
        <f>IF(OR($C292="Annual",$D292=$E292),IF(AND($D292=$E292,R$111=$B292+$D292),$I292,IF(AND(R$111&gt;$B292+$D292,R$111&lt;=$B292+$E292), $I292/($E292-$D292),0)), IF(OR(R$111=$B292+$D292,R$111=$B292+$E292),$I292/(($E292-$D292)*2),IF(AND(R$111&gt;$B292+$D292,R$111&lt;$B292+$E292),$I292/($E292-$D292),0)))</f>
        <v>0</v>
      </c>
      <c r="S292" s="9">
        <f>IF(OR($C292="Annual",$D292=$E292),IF(AND($D292=$E292,S$111=$B292+$D292),$I292,IF(AND(S$111&gt;$B292+$D292,S$111&lt;=$B292+$E292), $I292/($E292-$D292),0)), IF(OR(S$111=$B292+$D292,S$111=$B292+$E292),$I292/(($E292-$D292)*2),IF(AND(S$111&gt;$B292+$D292,S$111&lt;$B292+$E292),$I292/($E292-$D292),0)))</f>
        <v>0</v>
      </c>
      <c r="T292" s="9">
        <f>IF(OR($C292="Annual",$D292=$E292),IF(AND($D292=$E292,T$111=$B292+$D292),$I292,IF(AND(T$111&gt;$B292+$D292,T$111&lt;=$B292+$E292), $I292/($E292-$D292),0)), IF(OR(T$111=$B292+$D292,T$111=$B292+$E292),$I292/(($E292-$D292)*2),IF(AND(T$111&gt;$B292+$D292,T$111&lt;$B292+$E292),$I292/($E292-$D292),0)))</f>
        <v>0</v>
      </c>
      <c r="U292" s="9"/>
      <c r="V292" s="9"/>
      <c r="W292" s="9">
        <f t="shared" si="87"/>
        <v>0</v>
      </c>
      <c r="X292" s="9">
        <f t="shared" ca="1" si="87"/>
        <v>0</v>
      </c>
      <c r="Y292" s="9">
        <f t="shared" ca="1" si="87"/>
        <v>0</v>
      </c>
      <c r="Z292" s="9">
        <f t="shared" ca="1" si="87"/>
        <v>0</v>
      </c>
      <c r="AA292" s="9">
        <f t="shared" ca="1" si="87"/>
        <v>0</v>
      </c>
    </row>
    <row r="293" spans="1:27">
      <c r="A293" s="8" t="str">
        <f>A292</f>
        <v>Type 19</v>
      </c>
      <c r="B293" s="7">
        <f>B292+1</f>
        <v>2020</v>
      </c>
      <c r="C293" s="7" t="str">
        <f>C292</f>
        <v>Annual</v>
      </c>
      <c r="D293" s="7">
        <f t="shared" si="88"/>
        <v>0</v>
      </c>
      <c r="E293" s="7">
        <f t="shared" si="88"/>
        <v>0</v>
      </c>
      <c r="F293" s="14">
        <f>$N$105</f>
        <v>4.2936438739549099E-3</v>
      </c>
      <c r="H293" s="9"/>
      <c r="I293" s="9"/>
      <c r="J293" s="9">
        <f ca="1">$D$105/$D$31</f>
        <v>0</v>
      </c>
      <c r="K293" s="9">
        <f ca="1">J293-R293</f>
        <v>0</v>
      </c>
      <c r="L293" s="9">
        <f ca="1">K293-S293</f>
        <v>0</v>
      </c>
      <c r="M293" s="9">
        <f ca="1">L293-T293</f>
        <v>0</v>
      </c>
      <c r="N293" s="9"/>
      <c r="O293" s="9"/>
      <c r="P293" s="9"/>
      <c r="Q293" s="9">
        <f ca="1">IF(OR($C293="Annual",$D293=$E293),IF(AND($D293=$E293,Q$111=$B293+$D293),$J293,IF(AND(Q$111&gt;$B293+$D293,Q$111&lt;=$B293+$E293), $J293/($E293-$D293),0)), IF(OR(Q$111=$B293+$D293,Q$111=$B293+$E293),$J293/(($E293-$D293)*2),IF(AND(Q$111&gt;$B293+$D293,Q$111&lt;$B293+$E293),$J293/($E293-$D293),0)))</f>
        <v>0</v>
      </c>
      <c r="R293" s="9">
        <f>IF(OR($C293="Annual",$D293=$E293),IF(AND($D293=$E293,R$111=$B293+$D293),$J293,IF(AND(R$111&gt;$B293+$D293,R$111&lt;=$B293+$E293), $J293/($E293-$D293),0)), IF(OR(R$111=$B293+$D293,R$111=$B293+$E293),$J293/(($E293-$D293)*2),IF(AND(R$111&gt;$B293+$D293,R$111&lt;$B293+$E293),$J293/($E293-$D293),0)))</f>
        <v>0</v>
      </c>
      <c r="S293" s="9">
        <f>IF(OR($C293="Annual",$D293=$E293),IF(AND($D293=$E293,S$111=$B293+$D293),$J293,IF(AND(S$111&gt;$B293+$D293,S$111&lt;=$B293+$E293), $J293/($E293-$D293),0)), IF(OR(S$111=$B293+$D293,S$111=$B293+$E293),$J293/(($E293-$D293)*2),IF(AND(S$111&gt;$B293+$D293,S$111&lt;$B293+$E293),$J293/($E293-$D293),0)))</f>
        <v>0</v>
      </c>
      <c r="T293" s="9">
        <f>IF(OR($C293="Annual",$D293=$E293),IF(AND($D293=$E293,T$111=$B293+$D293),$J293,IF(AND(T$111&gt;$B293+$D293,T$111&lt;=$B293+$E293), $J293/($E293-$D293),0)), IF(OR(T$111=$B293+$D293,T$111=$B293+$E293),$J293/(($E293-$D293)*2),IF(AND(T$111&gt;$B293+$D293,T$111&lt;$B293+$E293),$J293/($E293-$D293),0)))</f>
        <v>0</v>
      </c>
      <c r="U293" s="9"/>
      <c r="V293" s="9"/>
      <c r="W293" s="9"/>
      <c r="X293" s="9">
        <f t="shared" si="87"/>
        <v>0</v>
      </c>
      <c r="Y293" s="9">
        <f t="shared" ca="1" si="87"/>
        <v>0</v>
      </c>
      <c r="Z293" s="9">
        <f t="shared" ca="1" si="87"/>
        <v>0</v>
      </c>
      <c r="AA293" s="9">
        <f t="shared" ca="1" si="87"/>
        <v>0</v>
      </c>
    </row>
    <row r="294" spans="1:27">
      <c r="A294" s="8" t="str">
        <f>A293</f>
        <v>Type 19</v>
      </c>
      <c r="B294" s="7">
        <f>B293+1</f>
        <v>2021</v>
      </c>
      <c r="C294" s="7" t="str">
        <f>C293</f>
        <v>Annual</v>
      </c>
      <c r="D294" s="7">
        <f t="shared" si="88"/>
        <v>0</v>
      </c>
      <c r="E294" s="7">
        <f t="shared" si="88"/>
        <v>0</v>
      </c>
      <c r="F294" s="14">
        <f>$O$105</f>
        <v>0</v>
      </c>
      <c r="H294" s="9"/>
      <c r="I294" s="9"/>
      <c r="J294" s="9"/>
      <c r="K294" s="9">
        <f ca="1">$E$105/$E$31</f>
        <v>0</v>
      </c>
      <c r="L294" s="9">
        <f ca="1">K294-S294</f>
        <v>0</v>
      </c>
      <c r="M294" s="9">
        <f ca="1">L294-T294</f>
        <v>0</v>
      </c>
      <c r="N294" s="9"/>
      <c r="O294" s="9"/>
      <c r="P294" s="9"/>
      <c r="Q294" s="9"/>
      <c r="R294" s="9">
        <f ca="1">IF(OR($C294="Annual",$D294=$E294),IF(AND($D294=$E294,R$111=$B294+$D294),$K294,IF(AND(R$111&gt;$B294+$D294,R$111&lt;=$B294+$E294), $K294/($E294-$D294),0)), IF(OR(R$111=$B294+$D294,R$111=$B294+$E294),$K294/(($E294-$D294)*2),IF(AND(R$111&gt;$B294+$D294,R$111&lt;$B294+$E294),$K294/($E294-$D294),0)))</f>
        <v>0</v>
      </c>
      <c r="S294" s="9">
        <f>IF(OR($C294="Annual",$D294=$E294),IF(AND($D294=$E294,S$111=$B294+$D294),$K294,IF(AND(S$111&gt;$B294+$D294,S$111&lt;=$B294+$E294), $K294/($E294-$D294),0)), IF(OR(S$111=$B294+$D294,S$111=$B294+$E294),$K294/(($E294-$D294)*2),IF(AND(S$111&gt;$B294+$D294,S$111&lt;$B294+$E294),$K294/($E294-$D294),0)))</f>
        <v>0</v>
      </c>
      <c r="T294" s="9">
        <f>IF(OR($C294="Annual",$D294=$E294),IF(AND($D294=$E294,T$111=$B294+$D294),$K294,IF(AND(T$111&gt;$B294+$D294,T$111&lt;=$B294+$E294), $K294/($E294-$D294),0)), IF(OR(T$111=$B294+$D294,T$111=$B294+$E294),$K294/(($E294-$D294)*2),IF(AND(T$111&gt;$B294+$D294,T$111&lt;$B294+$E294),$K294/($E294-$D294),0)))</f>
        <v>0</v>
      </c>
      <c r="U294" s="9"/>
      <c r="V294" s="9"/>
      <c r="W294" s="9"/>
      <c r="X294" s="9"/>
      <c r="Y294" s="9">
        <f t="shared" si="87"/>
        <v>0</v>
      </c>
      <c r="Z294" s="9">
        <f t="shared" ca="1" si="87"/>
        <v>0</v>
      </c>
      <c r="AA294" s="9">
        <f t="shared" ca="1" si="87"/>
        <v>0</v>
      </c>
    </row>
    <row r="295" spans="1:27">
      <c r="A295" s="8" t="str">
        <f>A294</f>
        <v>Type 19</v>
      </c>
      <c r="B295" s="7">
        <f>B294+1</f>
        <v>2022</v>
      </c>
      <c r="C295" s="7" t="str">
        <f>C294</f>
        <v>Annual</v>
      </c>
      <c r="D295" s="7">
        <f t="shared" si="88"/>
        <v>0</v>
      </c>
      <c r="E295" s="7">
        <f t="shared" si="88"/>
        <v>0</v>
      </c>
      <c r="F295" s="14">
        <f>$P$105</f>
        <v>0</v>
      </c>
      <c r="H295" s="9"/>
      <c r="I295" s="9"/>
      <c r="J295" s="9"/>
      <c r="K295" s="9"/>
      <c r="L295" s="9">
        <f ca="1">$F$105/$F$31</f>
        <v>0</v>
      </c>
      <c r="M295" s="9">
        <f ca="1">L295-T295</f>
        <v>0</v>
      </c>
      <c r="N295" s="9"/>
      <c r="O295" s="9"/>
      <c r="P295" s="9"/>
      <c r="Q295" s="9"/>
      <c r="R295" s="9"/>
      <c r="S295" s="9">
        <f ca="1">IF(OR($C295="Annual",$D295=$E295),IF(AND($D295=$E295,S$111=$B295+$D295),$L295,IF(AND(S$111&gt;$B295+$D295,S$111&lt;=$B295+$E295), $L295/($E295-$D295),0)), IF(OR(S$111=$B295+$D295,S$111=$B295+$E295),$L295/(($E295-$D295)*2),IF(AND(S$111&gt;$B295+$D295,S$111&lt;$B295+$E295),$L295/($E295-$D295),0)))</f>
        <v>0</v>
      </c>
      <c r="T295" s="9">
        <f>IF(OR($C295="Annual",$D295=$E295),IF(AND($D295=$E295,T$111=$B295+$D295),$L295,IF(AND(T$111&gt;$B295+$D295,T$111&lt;=$B295+$E295), $L295/($E295-$D295),0)), IF(OR(T$111=$B295+$D295,T$111=$B295+$E295),$L295/(($E295-$D295)*2),IF(AND(T$111&gt;$B295+$D295,T$111&lt;$B295+$E295),$L295/($E295-$D295),0)))</f>
        <v>0</v>
      </c>
      <c r="U295" s="9"/>
      <c r="V295" s="9"/>
      <c r="W295" s="9"/>
      <c r="X295" s="9"/>
      <c r="Y295" s="9"/>
      <c r="Z295" s="9">
        <f t="shared" si="87"/>
        <v>0</v>
      </c>
      <c r="AA295" s="9">
        <f t="shared" ca="1" si="87"/>
        <v>0</v>
      </c>
    </row>
    <row r="296" spans="1:27">
      <c r="A296" s="8" t="str">
        <f>A295</f>
        <v>Type 19</v>
      </c>
      <c r="B296" s="7">
        <f>B295+1</f>
        <v>2023</v>
      </c>
      <c r="C296" s="7" t="str">
        <f>C295</f>
        <v>Annual</v>
      </c>
      <c r="D296" s="7">
        <f t="shared" si="88"/>
        <v>0</v>
      </c>
      <c r="E296" s="7">
        <f t="shared" si="88"/>
        <v>0</v>
      </c>
      <c r="F296" s="14">
        <f>$Q$105</f>
        <v>0</v>
      </c>
      <c r="H296" s="9"/>
      <c r="I296" s="9"/>
      <c r="J296" s="9"/>
      <c r="K296" s="9"/>
      <c r="L296" s="9"/>
      <c r="M296" s="9">
        <f ca="1">$G$105/$G$31</f>
        <v>0</v>
      </c>
      <c r="N296" s="9"/>
      <c r="O296" s="9"/>
      <c r="P296" s="9"/>
      <c r="Q296" s="9"/>
      <c r="R296" s="9"/>
      <c r="S296" s="9"/>
      <c r="T296" s="9">
        <f ca="1">IF(OR($C296="Annual",$D296=$E296),IF(AND($D296=$E296,T$111=$B296+$D296),$M296,IF(AND(T$111&gt;$B296+$D296,T$111&lt;=$B296+$E296), $M296/($E296-$D296),0)), IF(OR(T$111=$B296+$D296,T$111=$B296+$E296),$M296/(($E296-$D296)*2),IF(AND(T$111&gt;$B296+$D296,T$111&lt;$B296+$E296),$M296/($E296-$D296),0)))</f>
        <v>0</v>
      </c>
      <c r="U296" s="9"/>
      <c r="V296" s="9"/>
      <c r="W296" s="9"/>
      <c r="X296" s="9"/>
      <c r="Y296" s="9"/>
      <c r="Z296" s="9"/>
      <c r="AA296" s="9">
        <f t="shared" si="87"/>
        <v>0</v>
      </c>
    </row>
    <row r="297" spans="1:27">
      <c r="A297" s="8"/>
      <c r="B297" s="7"/>
      <c r="C297" s="7"/>
      <c r="D297" s="7"/>
      <c r="E297" s="7"/>
      <c r="F297" s="15"/>
      <c r="H297" s="9"/>
      <c r="I297" s="9"/>
      <c r="J297" s="9"/>
      <c r="K297" s="9"/>
      <c r="L297" s="9"/>
      <c r="M297" s="9"/>
      <c r="N297" s="9"/>
      <c r="O297" s="278"/>
      <c r="P297" s="10"/>
      <c r="Q297" s="10"/>
      <c r="R297" s="10"/>
      <c r="S297" s="10"/>
      <c r="T297" s="10"/>
      <c r="U297" s="9"/>
      <c r="V297" s="10"/>
      <c r="W297" s="9"/>
      <c r="X297" s="9"/>
      <c r="Y297" s="9"/>
      <c r="Z297" s="9"/>
      <c r="AA297" s="9"/>
    </row>
    <row r="298" spans="1:27" s="1150" customFormat="1">
      <c r="A298" s="1347" t="str">
        <f>'Input 4 - Forecast'!A87</f>
        <v>ZERO-COUPON BOND</v>
      </c>
      <c r="B298" s="1348">
        <f>B119</f>
        <v>2018</v>
      </c>
      <c r="C298" s="1348"/>
      <c r="D298" s="1348">
        <f>$J106</f>
        <v>0</v>
      </c>
      <c r="E298" s="1348">
        <f>$K106</f>
        <v>0</v>
      </c>
      <c r="F298" s="1349">
        <f>$L$106</f>
        <v>0</v>
      </c>
      <c r="H298" s="1350">
        <f>$B$106/$B$31</f>
        <v>0</v>
      </c>
      <c r="I298" s="1350">
        <f>H298-P298</f>
        <v>0</v>
      </c>
      <c r="J298" s="1350">
        <f>I298-Q298</f>
        <v>0</v>
      </c>
      <c r="K298" s="1350">
        <f>J298-R298</f>
        <v>0</v>
      </c>
      <c r="L298" s="1350">
        <f>K298-S298</f>
        <v>0</v>
      </c>
      <c r="M298" s="1350">
        <f>L298-T298</f>
        <v>0</v>
      </c>
      <c r="N298" s="1350"/>
      <c r="O298" s="1350">
        <f t="shared" ref="O298:T298" si="89">IF($D298=$E298,IF(O$111=$B298+$E298,$H298,0),0)</f>
        <v>0</v>
      </c>
      <c r="P298" s="1350">
        <f t="shared" si="89"/>
        <v>0</v>
      </c>
      <c r="Q298" s="1350">
        <f t="shared" si="89"/>
        <v>0</v>
      </c>
      <c r="R298" s="1350">
        <f t="shared" si="89"/>
        <v>0</v>
      </c>
      <c r="S298" s="1350">
        <f t="shared" si="89"/>
        <v>0</v>
      </c>
      <c r="T298" s="1350">
        <f t="shared" si="89"/>
        <v>0</v>
      </c>
      <c r="U298" s="1350"/>
      <c r="V298" s="1350">
        <f t="shared" ref="V298:AA298" si="90">IF(V$111-$B298=$D298,$H298*(((1+$F298)^$D298)-1),0)</f>
        <v>0</v>
      </c>
      <c r="W298" s="1350">
        <f t="shared" si="90"/>
        <v>0</v>
      </c>
      <c r="X298" s="1350">
        <f t="shared" si="90"/>
        <v>0</v>
      </c>
      <c r="Y298" s="1350">
        <f t="shared" si="90"/>
        <v>0</v>
      </c>
      <c r="Z298" s="1350">
        <f t="shared" si="90"/>
        <v>0</v>
      </c>
      <c r="AA298" s="1350">
        <f t="shared" si="90"/>
        <v>0</v>
      </c>
    </row>
    <row r="299" spans="1:27" s="1150" customFormat="1">
      <c r="A299" s="1347" t="str">
        <f>A298</f>
        <v>ZERO-COUPON BOND</v>
      </c>
      <c r="B299" s="1348">
        <f>B298+1</f>
        <v>2019</v>
      </c>
      <c r="C299" s="1348"/>
      <c r="D299" s="1348">
        <f t="shared" ref="D299:E303" si="91">D298</f>
        <v>0</v>
      </c>
      <c r="E299" s="1348">
        <f t="shared" si="91"/>
        <v>0</v>
      </c>
      <c r="F299" s="1349">
        <f>$M$106</f>
        <v>4.2936438739549099E-3</v>
      </c>
      <c r="H299" s="1350"/>
      <c r="I299" s="1350">
        <f ca="1">$C$106/$C$31</f>
        <v>0</v>
      </c>
      <c r="J299" s="1350">
        <f ca="1">I299-Q299</f>
        <v>0</v>
      </c>
      <c r="K299" s="1350">
        <f ca="1">J299-R299</f>
        <v>0</v>
      </c>
      <c r="L299" s="1350">
        <f ca="1">K299-S299</f>
        <v>0</v>
      </c>
      <c r="M299" s="1350">
        <f ca="1">L299-T299</f>
        <v>0</v>
      </c>
      <c r="N299" s="1350"/>
      <c r="O299" s="1351"/>
      <c r="P299" s="1350">
        <f ca="1">IF($D299=$E299,IF(P$111=$B299+$E299,$I299,0),0)</f>
        <v>0</v>
      </c>
      <c r="Q299" s="1350">
        <f>IF($D299=$E299,IF(Q$111=$B299+$E299,$I299,0),0)</f>
        <v>0</v>
      </c>
      <c r="R299" s="1350">
        <f>IF($D299=$E299,IF(R$111=$B299+$E299,$I299,0),0)</f>
        <v>0</v>
      </c>
      <c r="S299" s="1350">
        <f>IF($D299=$E299,IF(S$111=$B299+$E299,$I299,0),0)</f>
        <v>0</v>
      </c>
      <c r="T299" s="1350">
        <f>IF($D299=$E299,IF(T$111=$B299+$E299,$I299,0),0)</f>
        <v>0</v>
      </c>
      <c r="U299" s="1350"/>
      <c r="V299" s="1350"/>
      <c r="W299" s="1350">
        <f ca="1">IF(W$111-$B299=$D299,$I299*(((1+$F299)^$D299)-1),0)</f>
        <v>0</v>
      </c>
      <c r="X299" s="1350">
        <f>IF(X$111-$B299=$D299,$I299*(((1+$F299)^$D299)-1),0)</f>
        <v>0</v>
      </c>
      <c r="Y299" s="1350">
        <f>IF(Y$111-$B299=$D299,$I299*(((1+$F299)^$D299)-1),0)</f>
        <v>0</v>
      </c>
      <c r="Z299" s="1350">
        <f>IF(Z$111-$B299=$D299,$I299*(((1+$F299)^$D299)-1),0)</f>
        <v>0</v>
      </c>
      <c r="AA299" s="1350">
        <f>IF(AA$111-$B299=$D299,$I299*(((1+$F299)^$D299)-1),0)</f>
        <v>0</v>
      </c>
    </row>
    <row r="300" spans="1:27" s="1150" customFormat="1">
      <c r="A300" s="1347" t="str">
        <f>A299</f>
        <v>ZERO-COUPON BOND</v>
      </c>
      <c r="B300" s="1348">
        <f>B299+1</f>
        <v>2020</v>
      </c>
      <c r="C300" s="1348"/>
      <c r="D300" s="1348">
        <f t="shared" si="91"/>
        <v>0</v>
      </c>
      <c r="E300" s="1348">
        <f t="shared" si="91"/>
        <v>0</v>
      </c>
      <c r="F300" s="1349">
        <f>$N$106</f>
        <v>4.2936438739549099E-3</v>
      </c>
      <c r="H300" s="1350"/>
      <c r="I300" s="1350"/>
      <c r="J300" s="1350">
        <f ca="1">$D$106/$D$31</f>
        <v>0</v>
      </c>
      <c r="K300" s="1350">
        <f ca="1">J300-R300</f>
        <v>0</v>
      </c>
      <c r="L300" s="1350">
        <f ca="1">K300-S300</f>
        <v>0</v>
      </c>
      <c r="M300" s="1350">
        <f ca="1">L300-T300</f>
        <v>0</v>
      </c>
      <c r="N300" s="1350"/>
      <c r="O300" s="1351"/>
      <c r="P300" s="1350"/>
      <c r="Q300" s="1350">
        <f ca="1">IF($D300=$E300,IF(Q$111=$B300+$E300,$J300,0),0)</f>
        <v>0</v>
      </c>
      <c r="R300" s="1350">
        <f>IF($D300=$E300,IF(R$111=$B300+$E300,$J300,0),0)</f>
        <v>0</v>
      </c>
      <c r="S300" s="1350">
        <f>IF($D300=$E300,IF(S$111=$B300+$E300,$J300,0),0)</f>
        <v>0</v>
      </c>
      <c r="T300" s="1350">
        <f>IF($D300=$E300,IF(T$111=$B300+$E300,$J300,0),0)</f>
        <v>0</v>
      </c>
      <c r="U300" s="1350"/>
      <c r="V300" s="1350"/>
      <c r="W300" s="1350"/>
      <c r="X300" s="1350">
        <f ca="1">IF(X$111-$B300=$D300,$J300*(((1+$F300)^$D300)-1),0)</f>
        <v>0</v>
      </c>
      <c r="Y300" s="1350">
        <f>IF(Y$111-$B300=$D300,$J300*(((1+$F300)^$D300)-1),0)</f>
        <v>0</v>
      </c>
      <c r="Z300" s="1350">
        <f>IF(Z$111-$B300=$D300,$J300*(((1+$F300)^$D300)-1),0)</f>
        <v>0</v>
      </c>
      <c r="AA300" s="1350">
        <f>IF(AA$111-$B300=$D300,$J300*(((1+$F300)^$D300)-1),0)</f>
        <v>0</v>
      </c>
    </row>
    <row r="301" spans="1:27" s="1150" customFormat="1">
      <c r="A301" s="1347" t="str">
        <f>A300</f>
        <v>ZERO-COUPON BOND</v>
      </c>
      <c r="B301" s="1348">
        <f>B300+1</f>
        <v>2021</v>
      </c>
      <c r="C301" s="1348"/>
      <c r="D301" s="1348">
        <f t="shared" si="91"/>
        <v>0</v>
      </c>
      <c r="E301" s="1348">
        <f t="shared" si="91"/>
        <v>0</v>
      </c>
      <c r="F301" s="1349">
        <f>$O$106</f>
        <v>0</v>
      </c>
      <c r="H301" s="1350"/>
      <c r="I301" s="1350"/>
      <c r="J301" s="1350"/>
      <c r="K301" s="1350">
        <f ca="1">$E$106/$E$31</f>
        <v>0</v>
      </c>
      <c r="L301" s="1350">
        <f ca="1">K301-S301</f>
        <v>0</v>
      </c>
      <c r="M301" s="1350">
        <f ca="1">L301-T301</f>
        <v>0</v>
      </c>
      <c r="N301" s="1350"/>
      <c r="O301" s="1351"/>
      <c r="P301" s="1350"/>
      <c r="Q301" s="1350"/>
      <c r="R301" s="1350">
        <f ca="1">IF($D301=$E301,IF(R$111=$B301+$E301,$K301,0),0)</f>
        <v>0</v>
      </c>
      <c r="S301" s="1350">
        <f>IF($D301=$E301,IF(S$111=$B301+$E301,$K301,0),0)</f>
        <v>0</v>
      </c>
      <c r="T301" s="1350">
        <f>IF($D301=$E301,IF(T$111=$B301+$E301,$K301,0),0)</f>
        <v>0</v>
      </c>
      <c r="U301" s="1350"/>
      <c r="V301" s="1350"/>
      <c r="W301" s="1350"/>
      <c r="X301" s="1350"/>
      <c r="Y301" s="1350">
        <f ca="1">IF(Y$111-$B301=$D301,$K301*(((1+$F301)^$D301)-1),0)</f>
        <v>0</v>
      </c>
      <c r="Z301" s="1350">
        <f>IF(Z$111-$B301=$D301,$K301*(((1+$F301)^$D301)-1),0)</f>
        <v>0</v>
      </c>
      <c r="AA301" s="1350">
        <f>IF(AA$111-$B301=$D301,$K301*(((1+$F301)^$D301)-1),0)</f>
        <v>0</v>
      </c>
    </row>
    <row r="302" spans="1:27" s="1150" customFormat="1">
      <c r="A302" s="1347" t="str">
        <f>A301</f>
        <v>ZERO-COUPON BOND</v>
      </c>
      <c r="B302" s="1348">
        <f>B301+1</f>
        <v>2022</v>
      </c>
      <c r="C302" s="1348"/>
      <c r="D302" s="1348">
        <f t="shared" si="91"/>
        <v>0</v>
      </c>
      <c r="E302" s="1348">
        <f t="shared" si="91"/>
        <v>0</v>
      </c>
      <c r="F302" s="1349">
        <f>$P$106</f>
        <v>0</v>
      </c>
      <c r="H302" s="1350"/>
      <c r="I302" s="1350"/>
      <c r="J302" s="1350"/>
      <c r="K302" s="1350"/>
      <c r="L302" s="1350">
        <f ca="1">$F$106/$F$31</f>
        <v>0</v>
      </c>
      <c r="M302" s="1350">
        <f ca="1">L302-T302</f>
        <v>0</v>
      </c>
      <c r="N302" s="1350"/>
      <c r="O302" s="1351"/>
      <c r="P302" s="1350"/>
      <c r="Q302" s="1350"/>
      <c r="R302" s="1350"/>
      <c r="S302" s="1350">
        <f ca="1">IF($D302=$E302,IF(S$111=$B302+$E302,$L302,0),0)</f>
        <v>0</v>
      </c>
      <c r="T302" s="1350">
        <f>IF($D302=$E302,IF(T$111=$B302+$E302,$L302,0),0)</f>
        <v>0</v>
      </c>
      <c r="U302" s="1350"/>
      <c r="V302" s="1350"/>
      <c r="W302" s="1350"/>
      <c r="X302" s="1350"/>
      <c r="Y302" s="1350"/>
      <c r="Z302" s="1350">
        <f ca="1">IF(Z$111-$B302=$D302,$L302*(((1+$F302)^$D302)-1),0)</f>
        <v>0</v>
      </c>
      <c r="AA302" s="1350">
        <f>IF(AA$111-$B302=$D302,$L302*(((1+$F302)^$D302)-1),0)</f>
        <v>0</v>
      </c>
    </row>
    <row r="303" spans="1:27" s="1150" customFormat="1">
      <c r="A303" s="1347" t="str">
        <f>A302</f>
        <v>ZERO-COUPON BOND</v>
      </c>
      <c r="B303" s="1348">
        <f>B302+1</f>
        <v>2023</v>
      </c>
      <c r="C303" s="1348"/>
      <c r="D303" s="1348">
        <f t="shared" si="91"/>
        <v>0</v>
      </c>
      <c r="E303" s="1348">
        <f t="shared" si="91"/>
        <v>0</v>
      </c>
      <c r="F303" s="1349">
        <f>$Q$106</f>
        <v>0</v>
      </c>
      <c r="H303" s="1350"/>
      <c r="I303" s="1350"/>
      <c r="J303" s="1350"/>
      <c r="K303" s="1350"/>
      <c r="L303" s="1350"/>
      <c r="M303" s="1350">
        <f ca="1">$G$106/$G$31</f>
        <v>0</v>
      </c>
      <c r="N303" s="1350"/>
      <c r="O303" s="1351"/>
      <c r="P303" s="1350"/>
      <c r="Q303" s="1350"/>
      <c r="R303" s="1350"/>
      <c r="S303" s="1350"/>
      <c r="T303" s="1350">
        <f ca="1">IF($D303=$E303,IF(T$111=$B303+$E303,$M303,0),0)</f>
        <v>0</v>
      </c>
      <c r="U303" s="1350"/>
      <c r="V303" s="1350"/>
      <c r="W303" s="1350"/>
      <c r="X303" s="1350"/>
      <c r="Y303" s="1350"/>
      <c r="Z303" s="1350"/>
      <c r="AA303" s="1350">
        <f ca="1">IF(AA$111-$B303=$D303,$M303*(((1+$F303)^$D303)-1),0)</f>
        <v>0</v>
      </c>
    </row>
    <row r="304" spans="1:27" ht="15.75" thickBot="1">
      <c r="H304" s="10"/>
      <c r="I304" s="10"/>
      <c r="J304" s="10"/>
      <c r="K304" s="10"/>
      <c r="L304" s="10"/>
      <c r="M304" s="10"/>
      <c r="N304" s="10"/>
      <c r="O304" s="10"/>
      <c r="P304" s="10"/>
      <c r="Q304" s="10"/>
      <c r="R304" s="10"/>
      <c r="S304" s="10"/>
      <c r="T304" s="10"/>
      <c r="U304" s="10"/>
      <c r="V304" s="10"/>
      <c r="W304" s="10"/>
      <c r="X304" s="10"/>
      <c r="Y304" s="10"/>
      <c r="Z304" s="10"/>
      <c r="AA304" s="10"/>
    </row>
    <row r="305" spans="1:27" ht="15.75" thickBot="1">
      <c r="B305" s="1999" t="s">
        <v>51</v>
      </c>
      <c r="C305" s="2000"/>
      <c r="D305" s="2000"/>
      <c r="E305" s="2000"/>
      <c r="F305" s="2000"/>
      <c r="G305" s="2000"/>
      <c r="H305" s="2000"/>
      <c r="I305" s="2000"/>
      <c r="J305" s="2000"/>
      <c r="K305" s="2000"/>
      <c r="L305" s="2000"/>
      <c r="M305" s="2000"/>
      <c r="N305" s="2000"/>
      <c r="O305" s="2000"/>
      <c r="P305" s="2000"/>
      <c r="Q305" s="2000"/>
      <c r="R305" s="2000"/>
      <c r="S305" s="2000"/>
      <c r="T305" s="2000"/>
      <c r="U305" s="2000"/>
      <c r="V305" s="2000"/>
      <c r="W305" s="2000"/>
      <c r="X305" s="2000"/>
      <c r="Y305" s="2000"/>
      <c r="Z305" s="2000"/>
      <c r="AA305" s="2001"/>
    </row>
    <row r="306" spans="1:27">
      <c r="H306" s="10"/>
      <c r="I306" s="10"/>
      <c r="J306" s="10"/>
      <c r="K306" s="10"/>
      <c r="L306" s="10"/>
      <c r="M306" s="10"/>
      <c r="N306" s="10"/>
      <c r="O306" s="10"/>
      <c r="P306" s="10"/>
      <c r="Q306" s="10"/>
      <c r="R306" s="10"/>
      <c r="S306" s="10"/>
      <c r="T306" s="10"/>
      <c r="U306" s="10"/>
      <c r="V306" s="10"/>
      <c r="W306" s="10"/>
      <c r="X306" s="10"/>
      <c r="Y306" s="10"/>
      <c r="Z306" s="10"/>
      <c r="AA306" s="10"/>
    </row>
    <row r="307" spans="1:27">
      <c r="A307" s="16" t="str">
        <f>'Input 4 - Forecast'!A89</f>
        <v>Domestic Residual Financing (annual payments, no interest or amortization in current year)</v>
      </c>
      <c r="B307" s="7">
        <f>B119</f>
        <v>2018</v>
      </c>
      <c r="C307" s="7"/>
      <c r="D307" s="7">
        <f>$J108</f>
        <v>1</v>
      </c>
      <c r="E307" s="7">
        <f>$K108</f>
        <v>1</v>
      </c>
      <c r="F307" s="14">
        <f>$L$108</f>
        <v>0</v>
      </c>
      <c r="H307" s="9">
        <f>$B$108</f>
        <v>-267.59452840452661</v>
      </c>
      <c r="I307" s="9">
        <f>H307-P307</f>
        <v>0</v>
      </c>
      <c r="J307" s="9">
        <f>I307-Q307</f>
        <v>0</v>
      </c>
      <c r="K307" s="9">
        <f>J307-R307</f>
        <v>0</v>
      </c>
      <c r="L307" s="9">
        <f>K307-S307</f>
        <v>0</v>
      </c>
      <c r="M307" s="9">
        <f>L307-T307</f>
        <v>0</v>
      </c>
      <c r="N307" s="9"/>
      <c r="O307" s="89">
        <v>0</v>
      </c>
      <c r="P307" s="9">
        <f>IF($D307=$E307,IF(P$111=$B307+$D307,$H307,0),IF(P$111=$B307+$D307,$H307/(($E307-$D307)*2),IF(AND(P$111&gt;$B307+$D307,P$111&lt;$B307+$E307),$H307/($E307-$D307),IF(P$111=$B307+$E307,$H307/(($E307-$D307)*2),0))))</f>
        <v>-267.59452840452661</v>
      </c>
      <c r="Q307" s="9">
        <f>IF($D307=$E307,IF(Q$111=$B307+$D307,$H307,0),IF(Q$111=$B307+$D307,$H307/(($E307-$D307)*2),IF(AND(Q$111&gt;$B307+$D307,Q$111&lt;$B307+$E307),$H307/($E307-$D307),IF(Q$111=$B307+$E307,$H307/(($E307-$D307)*2),0))))</f>
        <v>0</v>
      </c>
      <c r="R307" s="9">
        <f>IF($D307=$E307,IF(R$111=$B307+$D307,$H307,0),IF(R$111=$B307+$D307,$H307/(($E307-$D307)*2),IF(AND(R$111&gt;$B307+$D307,R$111&lt;$B307+$E307),$H307/($E307-$D307),IF(R$111=$B307+$E307,$H307/(($E307-$D307)*2),0))))</f>
        <v>0</v>
      </c>
      <c r="S307" s="9">
        <f>IF($D307=$E307,IF(S$111=$B307+$D307,$H307,0),IF(S$111=$B307+$D307,$H307/(($E307-$D307)*2),IF(AND(S$111&gt;$B307+$D307,S$111&lt;$B307+$E307),$H307/($E307-$D307),IF(S$111=$B307+$E307,$H307/(($E307-$D307)*2),0))))</f>
        <v>0</v>
      </c>
      <c r="T307" s="9">
        <f>IF($D307=$E307,IF(T$111=$B307+$D307,$H307,0),IF(T$111=$B307+$D307,$H307/(($E307-$D307)*2),IF(AND(T$111&gt;$B307+$D307,T$111&lt;$B307+$E307),$H307/($E307-$D307),IF(T$111=$B307+$E307,$H307/(($E307-$D307)*2),0))))</f>
        <v>0</v>
      </c>
      <c r="U307" s="9"/>
      <c r="V307" s="9">
        <v>0</v>
      </c>
      <c r="W307" s="9">
        <f>H307*$F307</f>
        <v>0</v>
      </c>
      <c r="X307" s="9">
        <f>I307*$F307</f>
        <v>0</v>
      </c>
      <c r="Y307" s="9">
        <f>J307*$F307</f>
        <v>0</v>
      </c>
      <c r="Z307" s="9">
        <f>K307*$F307</f>
        <v>0</v>
      </c>
      <c r="AA307" s="9">
        <f>L307*$F307</f>
        <v>0</v>
      </c>
    </row>
    <row r="308" spans="1:27">
      <c r="B308" s="7">
        <f>B307+1</f>
        <v>2019</v>
      </c>
      <c r="C308" s="7"/>
      <c r="D308" s="7">
        <f t="shared" ref="D308:E312" si="92">D307</f>
        <v>1</v>
      </c>
      <c r="E308" s="7">
        <f t="shared" si="92"/>
        <v>1</v>
      </c>
      <c r="F308" s="14">
        <f>$M$108</f>
        <v>4.2936438739549099E-3</v>
      </c>
      <c r="H308" s="9"/>
      <c r="I308" s="9">
        <f ca="1">$C$108</f>
        <v>2228.403168039215</v>
      </c>
      <c r="J308" s="9">
        <f ca="1">I308-Q308</f>
        <v>0</v>
      </c>
      <c r="K308" s="9">
        <f ca="1">J308-R308</f>
        <v>0</v>
      </c>
      <c r="L308" s="9">
        <f ca="1">K308-S308</f>
        <v>0</v>
      </c>
      <c r="M308" s="9">
        <f ca="1">L308-T308</f>
        <v>0</v>
      </c>
      <c r="O308" s="89"/>
      <c r="P308" s="9">
        <v>0</v>
      </c>
      <c r="Q308" s="9">
        <f ca="1">IF($D308=$E308,IF(Q$111=$B308+$D308,$I308,0),IF(Q$111=$B308+$D308,$I308/(($E308-$D308)*2),IF(AND(Q$111&gt;$B308+$D308,Q$111&lt;$B308+$E308),$I308/($E308-$D308),IF(Q$111=$B308+$E308,$I308/(($E308-$D308)*2),0))))</f>
        <v>0</v>
      </c>
      <c r="R308" s="9">
        <f>IF($D308=$E308,IF(R$111=$B308+$D308,$I308,0),IF(R$111=$B308+$D308,$I308/(($E308-$D308)*2),IF(AND(R$111&gt;$B308+$D308,R$111&lt;$B308+$E308),$I308/($E308-$D308),IF(R$111=$B308+$E308,$I308/(($E308-$D308)*2),0))))</f>
        <v>0</v>
      </c>
      <c r="S308" s="9">
        <f>IF($D308=$E308,IF(S$111=$B308+$D308,$I308,0),IF(S$111=$B308+$D308,$I308/(($E308-$D308)*2),IF(AND(S$111&gt;$B308+$D308,S$111&lt;$B308+$E308),$I308/($E308-$D308),IF(S$111=$B308+$E308,$I308/(($E308-$D308)*2),0))))</f>
        <v>0</v>
      </c>
      <c r="T308" s="9">
        <f>IF($D308=$E308,IF(T$111=$B308+$D308,$I308,0),IF(T$111=$B308+$D308,$I308/(($E308-$D308)*2),IF(AND(T$111&gt;$B308+$D308,T$111&lt;$B308+$E308),$I308/($E308-$D308),IF(T$111=$B308+$E308,$I308/(($E308-$D308)*2),0))))</f>
        <v>0</v>
      </c>
      <c r="V308" s="9"/>
      <c r="W308" s="9">
        <v>0</v>
      </c>
      <c r="X308" s="9">
        <f ca="1">I308*$F308</f>
        <v>81.613676430036222</v>
      </c>
      <c r="Y308" s="9">
        <f ca="1">J308*$F308</f>
        <v>0</v>
      </c>
      <c r="Z308" s="9">
        <f ca="1">K308*$F308</f>
        <v>0</v>
      </c>
      <c r="AA308" s="9">
        <f ca="1">L308*$F308</f>
        <v>0</v>
      </c>
    </row>
    <row r="309" spans="1:27">
      <c r="B309" s="7">
        <f>B308+1</f>
        <v>2020</v>
      </c>
      <c r="C309" s="7"/>
      <c r="D309" s="7">
        <f t="shared" si="92"/>
        <v>1</v>
      </c>
      <c r="E309" s="7">
        <f t="shared" si="92"/>
        <v>1</v>
      </c>
      <c r="F309" s="14">
        <f>$N$108</f>
        <v>4.2936438739549099E-3</v>
      </c>
      <c r="H309" s="9"/>
      <c r="I309" s="9"/>
      <c r="J309" s="9">
        <f ca="1">$D$108</f>
        <v>4226.2906064035224</v>
      </c>
      <c r="K309" s="9">
        <f ca="1">J309-R309</f>
        <v>0</v>
      </c>
      <c r="L309" s="9">
        <f ca="1">K309-S309</f>
        <v>0</v>
      </c>
      <c r="M309" s="9">
        <f ca="1">L309-T309</f>
        <v>0</v>
      </c>
      <c r="O309" s="89"/>
      <c r="P309" s="9"/>
      <c r="Q309" s="9">
        <v>0</v>
      </c>
      <c r="R309" s="9">
        <f ca="1">IF($D309=$E309,IF(R$111=$B309+$D309,$J309,0),IF(R$111=$B309+$D309,$J309/(($E309-$D309)*2),IF(AND(R$111&gt;$B309+$D309,R$111&lt;$B309+$E309),$J309/($E309-$D309),IF(R$111=$B309+$E309,$J309/(($E309-$D309)*2),0))))</f>
        <v>0</v>
      </c>
      <c r="S309" s="9">
        <f>IF($D309=$E309,IF(S$111=$B309+$D309,$J309,0),IF(S$111=$B309+$D309,$J309/(($E309-$D309)*2),IF(AND(S$111&gt;$B309+$D309,S$111&lt;$B309+$E309),$J309/($E309-$D309),IF(S$111=$B309+$E309,$J309/(($E309-$D309)*2),0))))</f>
        <v>0</v>
      </c>
      <c r="T309" s="9">
        <f>IF($D309=$E309,IF(T$111=$B309+$D309,$J309,0),IF(T$111=$B309+$D309,$J309/(($E309-$D309)*2),IF(AND(T$111&gt;$B309+$D309,T$111&lt;$B309+$E309),$J309/($E309-$D309),IF(T$111=$B309+$E309,$J309/(($E309-$D309)*2),0))))</f>
        <v>0</v>
      </c>
      <c r="V309" s="9"/>
      <c r="W309" s="9"/>
      <c r="X309" s="9">
        <v>0</v>
      </c>
      <c r="Y309" s="9">
        <f ca="1">J309*$F309</f>
        <v>154.78487869581451</v>
      </c>
      <c r="Z309" s="9">
        <f ca="1">K309*$F309</f>
        <v>0</v>
      </c>
      <c r="AA309" s="9">
        <f ca="1">L309*$F309</f>
        <v>0</v>
      </c>
    </row>
    <row r="310" spans="1:27">
      <c r="B310" s="7">
        <f>B309+1</f>
        <v>2021</v>
      </c>
      <c r="C310" s="7"/>
      <c r="D310" s="7">
        <f t="shared" si="92"/>
        <v>1</v>
      </c>
      <c r="E310" s="7">
        <f t="shared" si="92"/>
        <v>1</v>
      </c>
      <c r="F310" s="14">
        <f>$O$108</f>
        <v>0</v>
      </c>
      <c r="H310" s="9"/>
      <c r="I310" s="9"/>
      <c r="J310" s="9"/>
      <c r="K310" s="9">
        <f ca="1">$E$108</f>
        <v>5842.9466660086937</v>
      </c>
      <c r="L310" s="9">
        <f ca="1">K310-S310</f>
        <v>0</v>
      </c>
      <c r="M310" s="9">
        <f ca="1">L310-T310</f>
        <v>0</v>
      </c>
      <c r="O310" s="89"/>
      <c r="P310" s="9"/>
      <c r="Q310" s="9"/>
      <c r="R310" s="9">
        <v>0</v>
      </c>
      <c r="S310" s="9">
        <f ca="1">IF($D310=$E310,IF(S$111=$B310+$D310,$K310,0),IF(S$111=$B310+$D310,$K310/(($E310-$D310)*2),IF(AND(S$111&gt;$B310+$D310,S$111&lt;$B310+$E310),$K310/($E310-$D310),IF(S$111=$B310+$E310,$K310/(($E310-$D310)*2),0))))</f>
        <v>0</v>
      </c>
      <c r="T310" s="9">
        <f>IF($D310=$E310,IF(T$111=$B310+$D310,$K310,0),IF(T$111=$B310+$D310,$K310/(($E310-$D310)*2),IF(AND(T$111&gt;$B310+$D310,T$111&lt;$B310+$E310),$K310/($E310-$D310),IF(T$111=$B310+$E310,$K310/(($E310-$D310)*2),0))))</f>
        <v>0</v>
      </c>
      <c r="V310" s="9"/>
      <c r="W310" s="9"/>
      <c r="X310" s="9"/>
      <c r="Y310" s="9">
        <v>0</v>
      </c>
      <c r="Z310" s="9">
        <f ca="1">K310*$F310</f>
        <v>204.50313331030429</v>
      </c>
      <c r="AA310" s="9">
        <f ca="1">L310*$F310</f>
        <v>0</v>
      </c>
    </row>
    <row r="311" spans="1:27">
      <c r="B311" s="7">
        <f>B310+1</f>
        <v>2022</v>
      </c>
      <c r="C311" s="7"/>
      <c r="D311" s="7">
        <f t="shared" si="92"/>
        <v>1</v>
      </c>
      <c r="E311" s="7">
        <f t="shared" si="92"/>
        <v>1</v>
      </c>
      <c r="F311" s="14">
        <f>$P$108</f>
        <v>0</v>
      </c>
      <c r="H311" s="9"/>
      <c r="I311" s="9"/>
      <c r="J311" s="9"/>
      <c r="K311" s="9"/>
      <c r="L311" s="9">
        <f ca="1">$F$108</f>
        <v>6378.2716119199195</v>
      </c>
      <c r="M311" s="9">
        <f ca="1">L311-T311</f>
        <v>0</v>
      </c>
      <c r="O311" s="89"/>
      <c r="P311" s="9"/>
      <c r="Q311" s="9"/>
      <c r="R311" s="9"/>
      <c r="S311" s="9">
        <v>0</v>
      </c>
      <c r="T311" s="9">
        <f ca="1">IF($D311=$E311,IF(T$111=$B311+$D311,$L311,0),IF(T$111=$B311+$D311,$L311/(($E311-$D311)*2),IF(AND(T$111&gt;$B311+$D311,T$111&lt;$B311+$E311),$L311/($E311-$D311),IF(T$111=$B311+$E311,$L311/(($E311-$D311)*2),0))))</f>
        <v>0</v>
      </c>
      <c r="V311" s="9"/>
      <c r="W311" s="9"/>
      <c r="X311" s="9"/>
      <c r="Y311" s="9"/>
      <c r="Z311" s="9">
        <v>0</v>
      </c>
      <c r="AA311" s="9">
        <f ca="1">L311*$F311</f>
        <v>223.23950641719719</v>
      </c>
    </row>
    <row r="312" spans="1:27">
      <c r="B312" s="7">
        <f>B311+1</f>
        <v>2023</v>
      </c>
      <c r="C312" s="7"/>
      <c r="D312" s="7">
        <f t="shared" si="92"/>
        <v>1</v>
      </c>
      <c r="E312" s="7">
        <f t="shared" si="92"/>
        <v>1</v>
      </c>
      <c r="F312" s="14">
        <f>$Q$108</f>
        <v>0</v>
      </c>
      <c r="H312" s="9"/>
      <c r="I312" s="9"/>
      <c r="J312" s="9"/>
      <c r="K312" s="9"/>
      <c r="L312" s="9"/>
      <c r="M312" s="9">
        <f ca="1">$G$108</f>
        <v>6672.2087269583189</v>
      </c>
      <c r="O312" s="89"/>
      <c r="P312" s="9"/>
      <c r="Q312" s="9"/>
      <c r="R312" s="9"/>
      <c r="S312" s="9"/>
      <c r="T312" s="9">
        <v>0</v>
      </c>
      <c r="V312" s="9"/>
      <c r="W312" s="9"/>
      <c r="X312" s="9"/>
      <c r="Y312" s="9"/>
      <c r="Z312" s="9"/>
      <c r="AA312" s="9">
        <v>0</v>
      </c>
    </row>
    <row r="313" spans="1:27">
      <c r="B313" s="7"/>
      <c r="D313" s="7"/>
      <c r="E313" s="14"/>
      <c r="G313" s="9"/>
      <c r="H313" s="9"/>
      <c r="I313" s="9"/>
      <c r="J313" s="9"/>
      <c r="K313" s="9"/>
      <c r="L313" s="9"/>
      <c r="N313" s="89"/>
      <c r="O313" s="9"/>
      <c r="P313" s="9"/>
      <c r="Q313" s="9"/>
      <c r="R313" s="9"/>
      <c r="S313" s="9"/>
      <c r="U313" s="9"/>
      <c r="V313" s="9"/>
      <c r="W313" s="9"/>
      <c r="X313" s="9"/>
      <c r="Y313" s="9"/>
      <c r="Z313" s="9"/>
    </row>
    <row r="314" spans="1:27">
      <c r="B314" s="7"/>
      <c r="C314" s="7"/>
      <c r="D314" s="7"/>
      <c r="E314" s="14"/>
      <c r="G314" s="9"/>
      <c r="H314" s="9"/>
      <c r="I314" s="9"/>
      <c r="J314" s="9"/>
      <c r="K314" s="9"/>
      <c r="L314" s="9"/>
      <c r="N314" s="89"/>
      <c r="O314" s="9"/>
      <c r="P314" s="9"/>
      <c r="Q314" s="9"/>
      <c r="R314" s="9"/>
      <c r="S314" s="9"/>
      <c r="U314" s="9"/>
      <c r="V314" s="9"/>
      <c r="W314" s="9"/>
      <c r="X314" s="9"/>
      <c r="Y314" s="9"/>
      <c r="Z314" s="9"/>
    </row>
    <row r="315" spans="1:27">
      <c r="A315" s="8"/>
      <c r="B315" s="7"/>
    </row>
  </sheetData>
  <mergeCells count="14">
    <mergeCell ref="B231:AA231"/>
    <mergeCell ref="B268:AA268"/>
    <mergeCell ref="B305:AA305"/>
    <mergeCell ref="O112:T112"/>
    <mergeCell ref="V112:AA112"/>
    <mergeCell ref="B136:AA136"/>
    <mergeCell ref="B173:AA173"/>
    <mergeCell ref="B212:AA212"/>
    <mergeCell ref="B221:AA221"/>
    <mergeCell ref="B73:G73"/>
    <mergeCell ref="H112:M112"/>
    <mergeCell ref="B112:F112"/>
    <mergeCell ref="B117:AA117"/>
    <mergeCell ref="B126:AA126"/>
  </mergeCells>
  <pageMargins left="0.7" right="0.7" top="0.75" bottom="0.75" header="0.3" footer="0.3"/>
  <pageSetup orientation="portrait" r:id="rId1"/>
  <colBreaks count="3" manualBreakCount="3">
    <brk id="1" max="311" man="1"/>
    <brk id="8" max="1048575" man="1"/>
    <brk id="19" max="1048575" man="1"/>
  </col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FFFF00"/>
    <pageSetUpPr fitToPage="1"/>
  </sheetPr>
  <dimension ref="A1:AL96"/>
  <sheetViews>
    <sheetView zoomScale="80" zoomScaleNormal="80" zoomScaleSheetLayoutView="80" workbookViewId="0"/>
  </sheetViews>
  <sheetFormatPr defaultRowHeight="15"/>
  <cols>
    <col min="1" max="1" width="5.140625" style="25" customWidth="1"/>
    <col min="2" max="2" width="71.28515625" style="25" customWidth="1"/>
    <col min="3" max="3" width="1.85546875" style="25" customWidth="1"/>
    <col min="4" max="4" width="39.140625" style="519" customWidth="1"/>
    <col min="5" max="5" width="41.5703125" customWidth="1"/>
    <col min="6" max="6" width="14" style="25" customWidth="1"/>
    <col min="7" max="38" width="9.140625" style="25"/>
  </cols>
  <sheetData>
    <row r="1" spans="1:38" s="1341" customFormat="1" ht="30.2" customHeight="1" thickBot="1">
      <c r="A1" s="1340" t="s">
        <v>527</v>
      </c>
      <c r="D1" s="1342"/>
    </row>
    <row r="2" spans="1:38" s="25" customFormat="1" ht="10.15" customHeight="1" thickBot="1">
      <c r="D2" s="262"/>
    </row>
    <row r="3" spans="1:38" s="405" customFormat="1" ht="20.100000000000001" customHeight="1" thickBot="1">
      <c r="A3" s="608" t="s">
        <v>285</v>
      </c>
      <c r="B3" s="608"/>
      <c r="C3" s="608"/>
      <c r="D3" s="690" t="s">
        <v>229</v>
      </c>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270"/>
      <c r="AL3" s="270"/>
    </row>
    <row r="4" spans="1:38" s="270" customFormat="1" ht="20.100000000000001" customHeight="1">
      <c r="A4" s="608" t="s">
        <v>339</v>
      </c>
      <c r="B4" s="608"/>
      <c r="C4" s="608"/>
      <c r="D4" s="710">
        <f>VLOOKUP(Country,'Lists-Modules-ChartData'!$I$13:$K$136,2,FALSE)</f>
        <v>941</v>
      </c>
      <c r="E4" s="608"/>
    </row>
    <row r="5" spans="1:38" s="270" customFormat="1" ht="20.100000000000001" customHeight="1">
      <c r="A5" s="608" t="s">
        <v>815</v>
      </c>
      <c r="B5" s="608"/>
      <c r="C5" s="608"/>
      <c r="D5" s="710" t="str">
        <f>IF(AEStatus=1,"AE","EM")</f>
        <v>EM</v>
      </c>
      <c r="E5" s="1858" t="s">
        <v>2550</v>
      </c>
    </row>
    <row r="6" spans="1:38" s="25" customFormat="1" ht="7.5" customHeight="1" thickBot="1">
      <c r="D6" s="262"/>
    </row>
    <row r="7" spans="1:38" s="405" customFormat="1" ht="20.100000000000001" customHeight="1" thickBot="1">
      <c r="A7" s="708" t="s">
        <v>343</v>
      </c>
      <c r="B7" s="708"/>
      <c r="C7" s="708"/>
      <c r="D7" s="690" t="s">
        <v>324</v>
      </c>
      <c r="E7" s="270"/>
      <c r="F7" s="270"/>
      <c r="G7" s="270"/>
      <c r="H7" s="270"/>
      <c r="I7" s="270"/>
      <c r="J7" s="270"/>
      <c r="K7" s="270"/>
      <c r="L7" s="270"/>
      <c r="M7" s="270"/>
      <c r="N7" s="270"/>
      <c r="O7" s="270"/>
      <c r="P7" s="270"/>
      <c r="Q7" s="270"/>
      <c r="R7" s="270"/>
      <c r="S7" s="270"/>
      <c r="T7" s="270"/>
      <c r="U7" s="270"/>
      <c r="V7" s="270"/>
      <c r="W7" s="270"/>
      <c r="X7" s="270"/>
      <c r="Y7" s="270"/>
      <c r="Z7" s="270"/>
      <c r="AA7" s="270"/>
      <c r="AB7" s="270"/>
      <c r="AC7" s="270"/>
      <c r="AD7" s="270"/>
      <c r="AE7" s="270"/>
      <c r="AF7" s="270"/>
      <c r="AG7" s="270"/>
      <c r="AH7" s="270"/>
      <c r="AI7" s="270"/>
      <c r="AJ7" s="270"/>
      <c r="AK7" s="270"/>
      <c r="AL7" s="270"/>
    </row>
    <row r="8" spans="1:38" s="25" customFormat="1" ht="7.5" customHeight="1" thickBot="1">
      <c r="D8" s="262"/>
    </row>
    <row r="9" spans="1:38" s="405" customFormat="1" ht="20.100000000000001" customHeight="1" thickBot="1">
      <c r="A9" s="608" t="s">
        <v>344</v>
      </c>
      <c r="B9" s="608"/>
      <c r="C9" s="608"/>
      <c r="D9" s="690" t="s">
        <v>451</v>
      </c>
      <c r="E9" s="712"/>
      <c r="F9" s="712"/>
      <c r="G9" s="712"/>
      <c r="H9" s="270"/>
      <c r="I9" s="270"/>
      <c r="J9" s="270"/>
      <c r="K9" s="270"/>
      <c r="L9" s="270"/>
      <c r="M9" s="270"/>
      <c r="N9" s="270"/>
      <c r="O9" s="270"/>
      <c r="P9" s="270"/>
      <c r="Q9" s="270"/>
      <c r="R9" s="270"/>
      <c r="S9" s="270"/>
      <c r="T9" s="270"/>
      <c r="U9" s="270"/>
      <c r="V9" s="270"/>
      <c r="W9" s="270"/>
      <c r="X9" s="270"/>
      <c r="Y9" s="270"/>
      <c r="Z9" s="270"/>
      <c r="AA9" s="270"/>
      <c r="AB9" s="270"/>
      <c r="AC9" s="270"/>
      <c r="AD9" s="270"/>
      <c r="AE9" s="270"/>
      <c r="AF9" s="270"/>
      <c r="AG9" s="270"/>
      <c r="AH9" s="270"/>
      <c r="AI9" s="270"/>
      <c r="AJ9" s="270"/>
      <c r="AK9" s="270"/>
      <c r="AL9" s="270"/>
    </row>
    <row r="10" spans="1:38" s="405" customFormat="1" ht="20.100000000000001" customHeight="1" thickBot="1">
      <c r="A10" s="608"/>
      <c r="B10" s="1502" t="s">
        <v>991</v>
      </c>
      <c r="C10" s="608"/>
      <c r="D10" s="690" t="s">
        <v>324</v>
      </c>
      <c r="E10" s="270"/>
      <c r="F10" s="270"/>
      <c r="G10" s="270"/>
      <c r="H10" s="716"/>
      <c r="I10" s="716"/>
      <c r="J10" s="716"/>
      <c r="K10" s="721"/>
      <c r="L10" s="719"/>
      <c r="M10" s="719"/>
      <c r="N10" s="720"/>
      <c r="O10" s="270"/>
      <c r="P10" s="270"/>
      <c r="Q10" s="270"/>
      <c r="R10" s="270"/>
      <c r="S10" s="270"/>
      <c r="T10" s="270"/>
      <c r="U10" s="270"/>
      <c r="V10" s="270"/>
      <c r="W10" s="270"/>
      <c r="X10" s="270"/>
      <c r="Y10" s="270"/>
      <c r="Z10" s="270"/>
      <c r="AA10" s="270"/>
      <c r="AB10" s="270"/>
      <c r="AC10" s="270"/>
      <c r="AD10" s="270"/>
      <c r="AE10" s="270"/>
      <c r="AF10" s="270"/>
      <c r="AG10" s="270"/>
      <c r="AH10" s="270"/>
      <c r="AI10" s="270"/>
      <c r="AJ10" s="270"/>
      <c r="AK10" s="270"/>
      <c r="AL10" s="270"/>
    </row>
    <row r="11" spans="1:38" s="405" customFormat="1" ht="20.100000000000001" customHeight="1">
      <c r="A11" s="608"/>
      <c r="B11" s="1502" t="str">
        <f>IF(Guarantees="Yes","Specify or define the guarantees","")</f>
        <v/>
      </c>
      <c r="C11" s="608"/>
      <c r="D11" s="1748"/>
      <c r="E11" s="270"/>
      <c r="F11" s="270"/>
      <c r="G11" s="270"/>
      <c r="H11" s="716"/>
      <c r="I11" s="716"/>
      <c r="J11" s="716"/>
      <c r="K11" s="721"/>
      <c r="L11" s="719"/>
      <c r="M11" s="719"/>
      <c r="N11" s="720"/>
      <c r="O11" s="270"/>
      <c r="P11" s="270"/>
      <c r="Q11" s="270"/>
      <c r="R11" s="270"/>
      <c r="S11" s="270"/>
      <c r="T11" s="270"/>
      <c r="U11" s="270"/>
      <c r="V11" s="270"/>
      <c r="W11" s="270"/>
      <c r="X11" s="270"/>
      <c r="Y11" s="270"/>
      <c r="Z11" s="270"/>
      <c r="AA11" s="270"/>
      <c r="AB11" s="270"/>
      <c r="AC11" s="270"/>
      <c r="AD11" s="270"/>
      <c r="AE11" s="270"/>
      <c r="AF11" s="270"/>
      <c r="AG11" s="270"/>
      <c r="AH11" s="270"/>
      <c r="AI11" s="270"/>
      <c r="AJ11" s="270"/>
      <c r="AK11" s="270"/>
      <c r="AL11" s="270"/>
    </row>
    <row r="12" spans="1:38" s="270" customFormat="1" ht="7.5" customHeight="1">
      <c r="B12" s="711"/>
      <c r="C12" s="711"/>
      <c r="D12" s="401"/>
      <c r="H12" s="717"/>
      <c r="I12" s="717"/>
      <c r="J12" s="717"/>
      <c r="K12" s="717"/>
      <c r="L12" s="719"/>
      <c r="M12" s="719"/>
      <c r="N12" s="720"/>
    </row>
    <row r="13" spans="1:38" s="405" customFormat="1" ht="20.100000000000001" customHeight="1" thickBot="1">
      <c r="A13" s="608" t="s">
        <v>883</v>
      </c>
      <c r="B13" s="270"/>
      <c r="C13" s="270"/>
      <c r="E13" s="270"/>
      <c r="F13" s="270"/>
      <c r="G13" s="270"/>
      <c r="H13" s="716"/>
      <c r="I13" s="716"/>
      <c r="J13" s="716"/>
      <c r="K13" s="721"/>
      <c r="L13" s="719"/>
      <c r="M13" s="719"/>
      <c r="N13" s="720"/>
      <c r="O13" s="270"/>
      <c r="P13" s="270"/>
      <c r="Q13" s="270"/>
      <c r="R13" s="270"/>
      <c r="S13" s="270"/>
      <c r="T13" s="270"/>
      <c r="U13" s="270"/>
      <c r="V13" s="270"/>
      <c r="W13" s="270"/>
      <c r="X13" s="270"/>
      <c r="Y13" s="270"/>
      <c r="Z13" s="270"/>
      <c r="AA13" s="270"/>
      <c r="AB13" s="270"/>
      <c r="AC13" s="270"/>
      <c r="AD13" s="270"/>
      <c r="AE13" s="270"/>
      <c r="AF13" s="270"/>
      <c r="AG13" s="270"/>
      <c r="AH13" s="270"/>
      <c r="AI13" s="270"/>
      <c r="AJ13" s="270"/>
      <c r="AK13" s="270"/>
      <c r="AL13" s="270"/>
    </row>
    <row r="14" spans="1:38" s="405" customFormat="1" ht="20.100000000000001" customHeight="1" thickBot="1">
      <c r="A14" s="608"/>
      <c r="B14" s="1502" t="s">
        <v>877</v>
      </c>
      <c r="C14" s="608"/>
      <c r="D14" s="690" t="s">
        <v>324</v>
      </c>
      <c r="E14" s="270"/>
      <c r="F14" s="270"/>
      <c r="G14" s="270"/>
      <c r="H14" s="716"/>
      <c r="I14" s="716"/>
      <c r="J14" s="716"/>
      <c r="K14" s="721"/>
      <c r="L14" s="719"/>
      <c r="M14" s="719"/>
      <c r="N14" s="720"/>
      <c r="O14" s="270"/>
      <c r="P14" s="270"/>
      <c r="Q14" s="270"/>
      <c r="R14" s="270"/>
      <c r="S14" s="270"/>
      <c r="T14" s="270"/>
      <c r="U14" s="270"/>
      <c r="V14" s="270"/>
      <c r="W14" s="270"/>
      <c r="X14" s="270"/>
      <c r="Y14" s="270"/>
      <c r="Z14" s="270"/>
      <c r="AA14" s="270"/>
      <c r="AB14" s="270"/>
      <c r="AC14" s="270"/>
      <c r="AD14" s="270"/>
      <c r="AE14" s="270"/>
      <c r="AF14" s="270"/>
      <c r="AG14" s="270"/>
      <c r="AH14" s="270"/>
      <c r="AI14" s="270"/>
      <c r="AJ14" s="270"/>
      <c r="AK14" s="270"/>
      <c r="AL14" s="270"/>
    </row>
    <row r="15" spans="1:38" s="405" customFormat="1" ht="20.100000000000001" customHeight="1" thickBot="1">
      <c r="A15" s="608"/>
      <c r="B15" s="1502" t="s">
        <v>878</v>
      </c>
      <c r="C15" s="608"/>
      <c r="D15" s="690" t="s">
        <v>323</v>
      </c>
      <c r="E15" s="270"/>
      <c r="F15" s="270"/>
      <c r="G15" s="270"/>
      <c r="H15" s="716"/>
      <c r="I15" s="716"/>
      <c r="J15" s="716"/>
      <c r="K15" s="721"/>
      <c r="L15" s="719"/>
      <c r="M15" s="719"/>
      <c r="N15" s="720"/>
      <c r="O15" s="270"/>
      <c r="P15" s="270"/>
      <c r="Q15" s="270"/>
      <c r="R15" s="270"/>
      <c r="S15" s="270"/>
      <c r="T15" s="270"/>
      <c r="U15" s="270"/>
      <c r="V15" s="270"/>
      <c r="W15" s="270"/>
      <c r="X15" s="270"/>
      <c r="Y15" s="270"/>
      <c r="Z15" s="270"/>
      <c r="AA15" s="270"/>
      <c r="AB15" s="270"/>
      <c r="AC15" s="270"/>
      <c r="AD15" s="270"/>
      <c r="AE15" s="270"/>
      <c r="AF15" s="270"/>
      <c r="AG15" s="270"/>
      <c r="AH15" s="270"/>
      <c r="AI15" s="270"/>
      <c r="AJ15" s="270"/>
      <c r="AK15" s="270"/>
      <c r="AL15" s="270"/>
    </row>
    <row r="16" spans="1:38" s="25" customFormat="1" ht="7.5" customHeight="1" thickBot="1">
      <c r="D16" s="262"/>
    </row>
    <row r="17" spans="1:38" s="405" customFormat="1" ht="20.100000000000001" customHeight="1" thickBot="1">
      <c r="A17" s="608" t="s">
        <v>151</v>
      </c>
      <c r="B17" s="608"/>
      <c r="C17" s="608"/>
      <c r="D17" s="690">
        <v>2018</v>
      </c>
      <c r="E17" s="270"/>
      <c r="F17" s="270"/>
      <c r="G17" s="270"/>
      <c r="H17" s="270"/>
      <c r="I17" s="270"/>
      <c r="J17" s="270"/>
      <c r="K17" s="270"/>
      <c r="L17" s="270"/>
      <c r="M17" s="270"/>
      <c r="N17" s="270"/>
      <c r="O17" s="270"/>
      <c r="P17" s="270"/>
      <c r="Q17" s="270"/>
      <c r="R17" s="270"/>
      <c r="S17" s="270"/>
      <c r="T17" s="270"/>
      <c r="U17" s="270"/>
      <c r="V17" s="270"/>
      <c r="W17" s="712"/>
      <c r="X17" s="712"/>
      <c r="Y17" s="712"/>
      <c r="Z17" s="270"/>
      <c r="AA17" s="270"/>
      <c r="AB17" s="270"/>
      <c r="AC17" s="270"/>
      <c r="AD17" s="270"/>
      <c r="AE17" s="270"/>
      <c r="AF17" s="270"/>
      <c r="AG17" s="270"/>
      <c r="AH17" s="270"/>
      <c r="AI17" s="270"/>
      <c r="AJ17" s="270"/>
      <c r="AK17" s="270"/>
      <c r="AL17" s="270"/>
    </row>
    <row r="18" spans="1:38" s="405" customFormat="1" ht="7.5" customHeight="1" thickBot="1">
      <c r="A18" s="270"/>
      <c r="B18" s="270"/>
      <c r="C18" s="270"/>
      <c r="D18" s="691"/>
      <c r="E18" s="270"/>
      <c r="F18" s="270"/>
      <c r="G18" s="270"/>
      <c r="H18" s="270"/>
      <c r="I18" s="270"/>
      <c r="J18" s="270"/>
      <c r="K18" s="713"/>
      <c r="L18" s="713"/>
      <c r="M18" s="713"/>
      <c r="N18" s="713"/>
      <c r="O18" s="713"/>
      <c r="P18" s="270"/>
      <c r="Q18" s="270"/>
      <c r="R18" s="270"/>
      <c r="S18" s="270"/>
      <c r="T18" s="270"/>
      <c r="U18" s="270"/>
      <c r="V18" s="270"/>
      <c r="W18" s="712"/>
      <c r="X18" s="712"/>
      <c r="Y18" s="712"/>
      <c r="Z18" s="270"/>
      <c r="AA18" s="270"/>
      <c r="AB18" s="270"/>
      <c r="AC18" s="270"/>
      <c r="AD18" s="270"/>
      <c r="AE18" s="270"/>
      <c r="AF18" s="270"/>
      <c r="AG18" s="270"/>
      <c r="AH18" s="270"/>
      <c r="AI18" s="270"/>
      <c r="AJ18" s="270"/>
      <c r="AK18" s="270"/>
      <c r="AL18" s="270"/>
    </row>
    <row r="19" spans="1:38" s="405" customFormat="1" ht="20.100000000000001" customHeight="1" thickBot="1">
      <c r="A19" s="1905" t="s">
        <v>337</v>
      </c>
      <c r="B19" s="1905"/>
      <c r="C19" s="608"/>
      <c r="D19" s="692">
        <v>0.05</v>
      </c>
      <c r="E19" s="270"/>
      <c r="F19" s="270"/>
      <c r="G19" s="270"/>
      <c r="H19" s="270"/>
      <c r="I19" s="270"/>
      <c r="J19" s="270"/>
      <c r="K19" s="270"/>
      <c r="L19" s="270"/>
      <c r="M19" s="270"/>
      <c r="N19" s="270"/>
      <c r="O19" s="270"/>
      <c r="P19" s="270"/>
      <c r="Q19" s="270"/>
      <c r="R19" s="270"/>
      <c r="S19" s="270"/>
      <c r="T19" s="270"/>
      <c r="U19" s="270"/>
      <c r="V19" s="270"/>
      <c r="W19" s="270"/>
      <c r="X19" s="270"/>
      <c r="Y19" s="270"/>
      <c r="Z19" s="270"/>
      <c r="AA19" s="270"/>
      <c r="AB19" s="270"/>
      <c r="AC19" s="270"/>
      <c r="AD19" s="270"/>
      <c r="AE19" s="270"/>
      <c r="AF19" s="270"/>
      <c r="AG19" s="270"/>
      <c r="AH19" s="270"/>
      <c r="AI19" s="270"/>
      <c r="AJ19" s="270"/>
      <c r="AK19" s="270"/>
      <c r="AL19" s="270"/>
    </row>
    <row r="20" spans="1:38" s="270" customFormat="1" ht="7.5" customHeight="1">
      <c r="D20" s="401"/>
      <c r="L20" s="719"/>
      <c r="M20" s="719"/>
      <c r="N20" s="719"/>
    </row>
    <row r="21" spans="1:38" s="270" customFormat="1" ht="20.100000000000001" customHeight="1">
      <c r="A21" s="1905" t="s">
        <v>958</v>
      </c>
      <c r="B21" s="1905"/>
      <c r="F21" s="713"/>
      <c r="L21" s="719"/>
      <c r="M21" s="719"/>
      <c r="N21" s="720"/>
    </row>
    <row r="22" spans="1:38" s="270" customFormat="1" ht="7.5" customHeight="1" thickBot="1">
      <c r="B22" s="608"/>
      <c r="C22" s="608"/>
      <c r="D22" s="401"/>
      <c r="H22" s="716"/>
      <c r="I22" s="719"/>
      <c r="J22" s="716"/>
      <c r="K22" s="721"/>
      <c r="L22" s="719"/>
      <c r="M22" s="719"/>
      <c r="N22" s="720"/>
    </row>
    <row r="23" spans="1:38" s="405" customFormat="1" ht="20.100000000000001" customHeight="1" thickBot="1">
      <c r="A23" s="1906" t="s">
        <v>955</v>
      </c>
      <c r="B23" s="1906"/>
      <c r="C23" s="710"/>
      <c r="D23" s="1859">
        <v>43549</v>
      </c>
      <c r="E23" s="1861" t="s">
        <v>2550</v>
      </c>
      <c r="F23" s="270"/>
      <c r="G23" s="270"/>
      <c r="H23" s="716"/>
      <c r="I23" s="719"/>
      <c r="J23" s="716"/>
      <c r="K23" s="721"/>
      <c r="L23" s="719"/>
      <c r="M23" s="719"/>
      <c r="N23" s="720"/>
      <c r="O23" s="270"/>
      <c r="P23" s="270"/>
      <c r="Q23" s="270"/>
      <c r="R23" s="270"/>
      <c r="S23" s="270"/>
      <c r="T23" s="270"/>
      <c r="U23" s="270"/>
      <c r="V23" s="270"/>
      <c r="W23" s="270"/>
      <c r="X23" s="270"/>
      <c r="Y23" s="270"/>
      <c r="Z23" s="270"/>
      <c r="AA23" s="270"/>
      <c r="AB23" s="270"/>
      <c r="AC23" s="270"/>
      <c r="AD23" s="270"/>
      <c r="AE23" s="270"/>
      <c r="AF23" s="270"/>
      <c r="AG23" s="270"/>
      <c r="AH23" s="270"/>
      <c r="AI23" s="270"/>
      <c r="AJ23" s="270"/>
      <c r="AK23" s="270"/>
      <c r="AL23" s="270"/>
    </row>
    <row r="24" spans="1:38" s="405" customFormat="1" ht="20.100000000000001" customHeight="1" thickBot="1">
      <c r="A24" s="1600"/>
      <c r="B24" s="270"/>
      <c r="C24" s="710"/>
      <c r="D24" s="709" t="s">
        <v>357</v>
      </c>
      <c r="E24" s="713" t="s">
        <v>358</v>
      </c>
      <c r="F24" s="270"/>
      <c r="G24" s="270"/>
      <c r="H24" s="716"/>
      <c r="I24" s="719"/>
      <c r="J24" s="716"/>
      <c r="K24" s="721"/>
      <c r="L24" s="719"/>
      <c r="M24" s="719"/>
      <c r="N24" s="720"/>
      <c r="O24" s="270"/>
      <c r="P24" s="270"/>
      <c r="Q24" s="270"/>
      <c r="R24" s="270"/>
      <c r="S24" s="270"/>
      <c r="T24" s="270"/>
      <c r="U24" s="270"/>
      <c r="V24" s="270"/>
      <c r="W24" s="270"/>
      <c r="X24" s="270"/>
      <c r="Y24" s="270"/>
      <c r="Z24" s="270"/>
      <c r="AA24" s="270"/>
      <c r="AB24" s="270"/>
      <c r="AC24" s="270"/>
      <c r="AD24" s="270"/>
      <c r="AE24" s="270"/>
      <c r="AF24" s="270"/>
      <c r="AG24" s="270"/>
      <c r="AH24" s="270"/>
      <c r="AI24" s="270"/>
      <c r="AJ24" s="270"/>
      <c r="AK24" s="270"/>
      <c r="AL24" s="270"/>
    </row>
    <row r="25" spans="1:38" s="197" customFormat="1" ht="20.100000000000001" customHeight="1" thickBot="1">
      <c r="A25" s="709"/>
      <c r="B25" s="709" t="s">
        <v>130</v>
      </c>
      <c r="C25" s="709"/>
      <c r="D25" s="690" t="s">
        <v>401</v>
      </c>
      <c r="E25" s="690" t="s">
        <v>401</v>
      </c>
      <c r="F25" s="713"/>
      <c r="G25" s="270"/>
      <c r="H25" s="270"/>
      <c r="I25" s="270"/>
      <c r="J25" s="270"/>
      <c r="K25" s="270"/>
      <c r="L25" s="719"/>
      <c r="M25" s="719"/>
      <c r="N25" s="720"/>
      <c r="O25" s="270"/>
      <c r="P25" s="270"/>
      <c r="Q25" s="270"/>
      <c r="R25" s="270"/>
      <c r="S25" s="270"/>
      <c r="T25" s="270"/>
      <c r="U25" s="270"/>
      <c r="V25" s="270"/>
      <c r="W25" s="270"/>
      <c r="X25" s="270"/>
      <c r="Y25" s="270"/>
      <c r="Z25" s="270"/>
      <c r="AA25" s="270"/>
      <c r="AB25" s="270"/>
      <c r="AC25" s="270"/>
      <c r="AD25" s="270"/>
      <c r="AE25" s="270"/>
      <c r="AF25" s="270"/>
      <c r="AG25" s="270"/>
      <c r="AH25" s="270"/>
      <c r="AI25" s="270"/>
      <c r="AJ25" s="270"/>
      <c r="AK25" s="270"/>
      <c r="AL25" s="270"/>
    </row>
    <row r="26" spans="1:38" s="197" customFormat="1" ht="20.100000000000001" customHeight="1" thickBot="1">
      <c r="A26" s="270"/>
      <c r="B26" s="709" t="s">
        <v>131</v>
      </c>
      <c r="C26" s="709"/>
      <c r="D26" s="690" t="s">
        <v>381</v>
      </c>
      <c r="E26" s="690" t="s">
        <v>381</v>
      </c>
      <c r="F26" s="713"/>
      <c r="G26" s="270"/>
      <c r="H26" s="270"/>
      <c r="I26" s="270"/>
      <c r="J26" s="270"/>
      <c r="K26" s="270"/>
      <c r="L26" s="719"/>
      <c r="M26" s="719"/>
      <c r="N26" s="720"/>
      <c r="O26" s="270"/>
      <c r="P26" s="270"/>
      <c r="Q26" s="270"/>
      <c r="R26" s="270"/>
      <c r="S26" s="270"/>
      <c r="T26" s="270"/>
      <c r="U26" s="270"/>
      <c r="V26" s="270"/>
      <c r="W26" s="270"/>
      <c r="X26" s="270"/>
      <c r="Y26" s="270"/>
      <c r="Z26" s="270"/>
      <c r="AA26" s="270"/>
      <c r="AB26" s="270"/>
      <c r="AC26" s="270"/>
      <c r="AD26" s="270"/>
      <c r="AE26" s="270"/>
      <c r="AF26" s="270"/>
      <c r="AG26" s="270"/>
      <c r="AH26" s="270"/>
      <c r="AI26" s="270"/>
      <c r="AJ26" s="270"/>
      <c r="AK26" s="270"/>
      <c r="AL26" s="270"/>
    </row>
    <row r="27" spans="1:38" s="197" customFormat="1" ht="20.100000000000001" customHeight="1" thickBot="1">
      <c r="A27" s="270"/>
      <c r="B27" s="710" t="s">
        <v>132</v>
      </c>
      <c r="C27" s="710"/>
      <c r="D27" s="690" t="s">
        <v>383</v>
      </c>
      <c r="E27" s="690" t="s">
        <v>383</v>
      </c>
      <c r="F27" s="714"/>
      <c r="G27" s="270"/>
      <c r="H27" s="270"/>
      <c r="I27" s="270"/>
      <c r="J27" s="270"/>
      <c r="K27" s="270"/>
      <c r="L27" s="719"/>
      <c r="M27" s="719"/>
      <c r="N27" s="720"/>
      <c r="O27" s="270"/>
      <c r="P27" s="270"/>
      <c r="Q27" s="270"/>
      <c r="R27" s="270"/>
      <c r="S27" s="270"/>
      <c r="T27" s="270"/>
      <c r="U27" s="270"/>
      <c r="V27" s="270"/>
      <c r="W27" s="270"/>
      <c r="X27" s="270"/>
      <c r="Y27" s="270"/>
      <c r="Z27" s="270"/>
      <c r="AA27" s="270"/>
      <c r="AB27" s="270"/>
      <c r="AC27" s="270"/>
      <c r="AD27" s="270"/>
      <c r="AE27" s="270"/>
      <c r="AF27" s="270"/>
      <c r="AG27" s="270"/>
      <c r="AH27" s="270"/>
      <c r="AI27" s="270"/>
      <c r="AJ27" s="270"/>
      <c r="AK27" s="270"/>
      <c r="AL27" s="270"/>
    </row>
    <row r="28" spans="1:38" s="270" customFormat="1" ht="7.5" customHeight="1">
      <c r="E28" s="713"/>
      <c r="F28" s="713"/>
      <c r="L28" s="719"/>
      <c r="M28" s="719"/>
      <c r="N28" s="720"/>
    </row>
    <row r="29" spans="1:38" s="270" customFormat="1" ht="21">
      <c r="A29" s="608" t="s">
        <v>954</v>
      </c>
      <c r="B29" s="608"/>
      <c r="C29" s="608"/>
      <c r="F29" s="714"/>
      <c r="L29" s="719"/>
      <c r="M29" s="719"/>
      <c r="N29" s="720"/>
    </row>
    <row r="30" spans="1:38" s="270" customFormat="1" ht="7.5" customHeight="1">
      <c r="B30" s="608"/>
      <c r="C30" s="608"/>
      <c r="D30" s="401"/>
      <c r="H30" s="716"/>
      <c r="I30" s="719"/>
      <c r="J30" s="716"/>
      <c r="K30" s="721"/>
      <c r="L30" s="719"/>
      <c r="M30" s="719"/>
      <c r="N30" s="720"/>
    </row>
    <row r="31" spans="1:38" s="405" customFormat="1" ht="20.100000000000001" customHeight="1" thickBot="1">
      <c r="A31" s="1906" t="s">
        <v>955</v>
      </c>
      <c r="B31" s="1906"/>
      <c r="C31" s="710"/>
      <c r="D31" s="1860">
        <f>D23</f>
        <v>43549</v>
      </c>
      <c r="E31" s="1598"/>
      <c r="F31" s="270"/>
      <c r="G31" s="270"/>
      <c r="H31" s="716"/>
      <c r="I31" s="719"/>
      <c r="J31" s="716"/>
      <c r="K31" s="721"/>
      <c r="L31" s="719"/>
      <c r="M31" s="719"/>
      <c r="N31" s="720"/>
      <c r="O31" s="270"/>
      <c r="P31" s="270"/>
      <c r="Q31" s="270"/>
      <c r="R31" s="270"/>
      <c r="S31" s="270"/>
      <c r="T31" s="270"/>
      <c r="U31" s="270"/>
      <c r="V31" s="270"/>
      <c r="W31" s="270"/>
      <c r="X31" s="270"/>
      <c r="Y31" s="270"/>
      <c r="Z31" s="270"/>
      <c r="AA31" s="270"/>
      <c r="AB31" s="270"/>
      <c r="AC31" s="270"/>
      <c r="AD31" s="270"/>
      <c r="AE31" s="270"/>
      <c r="AF31" s="270"/>
      <c r="AG31" s="270"/>
      <c r="AH31" s="270"/>
      <c r="AI31" s="270"/>
      <c r="AJ31" s="270"/>
      <c r="AK31" s="270"/>
      <c r="AL31" s="270"/>
    </row>
    <row r="32" spans="1:38" s="270" customFormat="1" ht="20.100000000000001" customHeight="1" thickBot="1">
      <c r="A32" s="608"/>
      <c r="B32" s="709" t="s">
        <v>990</v>
      </c>
      <c r="C32" s="608"/>
      <c r="D32" s="690">
        <v>35</v>
      </c>
      <c r="E32" s="1862" t="s">
        <v>2550</v>
      </c>
      <c r="L32" s="719"/>
      <c r="M32" s="719"/>
      <c r="N32" s="720"/>
    </row>
    <row r="33" spans="1:38" s="405" customFormat="1" ht="20.100000000000001" customHeight="1" thickBot="1">
      <c r="A33" s="270"/>
      <c r="B33" s="1770" t="s">
        <v>1146</v>
      </c>
      <c r="C33" s="709"/>
      <c r="E33" s="270"/>
      <c r="F33" s="270"/>
      <c r="G33" s="270"/>
      <c r="H33" s="270"/>
      <c r="I33" s="270"/>
      <c r="J33" s="270"/>
      <c r="K33" s="270"/>
      <c r="L33" s="719"/>
      <c r="M33" s="719"/>
      <c r="N33" s="720"/>
      <c r="O33" s="270"/>
      <c r="P33" s="270"/>
      <c r="Q33" s="270"/>
      <c r="R33" s="270"/>
      <c r="S33" s="270"/>
      <c r="T33" s="270"/>
      <c r="U33" s="270"/>
      <c r="V33" s="270"/>
      <c r="W33" s="270"/>
      <c r="X33" s="270"/>
      <c r="Y33" s="270"/>
      <c r="Z33" s="270"/>
      <c r="AA33" s="270"/>
      <c r="AB33" s="270"/>
      <c r="AC33" s="270"/>
      <c r="AD33" s="270"/>
      <c r="AE33" s="270"/>
      <c r="AF33" s="270"/>
      <c r="AG33" s="270"/>
      <c r="AH33" s="270"/>
      <c r="AI33" s="270"/>
      <c r="AJ33" s="270"/>
      <c r="AK33" s="270"/>
      <c r="AL33" s="270"/>
    </row>
    <row r="34" spans="1:38" ht="21.75" thickBot="1">
      <c r="B34" s="690" t="s">
        <v>1152</v>
      </c>
      <c r="D34" s="690">
        <v>57</v>
      </c>
      <c r="E34" s="1862" t="s">
        <v>2550</v>
      </c>
    </row>
    <row r="35" spans="1:38" s="270" customFormat="1" ht="7.5" customHeight="1">
      <c r="B35" s="710"/>
      <c r="C35" s="710"/>
      <c r="D35" s="1598"/>
      <c r="H35" s="716"/>
      <c r="I35" s="719"/>
      <c r="J35" s="716"/>
      <c r="K35" s="721"/>
      <c r="L35" s="719"/>
      <c r="M35" s="719"/>
      <c r="N35" s="720"/>
    </row>
    <row r="36" spans="1:38" s="270" customFormat="1" ht="20.100000000000001" customHeight="1" thickBot="1">
      <c r="A36" s="1906" t="s">
        <v>956</v>
      </c>
      <c r="B36" s="1906"/>
      <c r="C36" s="710"/>
      <c r="D36" s="1599" t="str">
        <f>IF(ISBLANK(D23),"",TEXT(D23-90,"dd-mm-yy")&amp;" through "&amp;TEXT(D23,"dd-mm-yy"))</f>
        <v>25-12-18 through 25-03-19</v>
      </c>
      <c r="H36" s="716"/>
      <c r="I36" s="719"/>
      <c r="J36" s="716"/>
      <c r="K36" s="721"/>
      <c r="L36" s="719"/>
      <c r="M36" s="719"/>
      <c r="N36" s="720"/>
    </row>
    <row r="37" spans="1:38" s="270" customFormat="1" ht="20.100000000000001" customHeight="1" thickBot="1">
      <c r="A37" s="710"/>
      <c r="B37" s="710" t="str">
        <f>"Average "&amp;SpreadDefinition</f>
        <v>Average Long-term bond spread over German bonds (bp)</v>
      </c>
      <c r="C37" s="710"/>
      <c r="D37" s="690">
        <v>57</v>
      </c>
      <c r="E37" s="1862" t="s">
        <v>2550</v>
      </c>
      <c r="H37" s="716"/>
      <c r="I37" s="719"/>
      <c r="J37" s="716"/>
      <c r="K37" s="721"/>
      <c r="L37" s="719"/>
      <c r="M37" s="719"/>
      <c r="N37" s="720"/>
    </row>
    <row r="38" spans="1:38" s="270" customFormat="1" ht="7.5" customHeight="1">
      <c r="B38" s="710"/>
      <c r="C38" s="710"/>
      <c r="D38" s="1598"/>
      <c r="H38" s="716"/>
      <c r="I38" s="719"/>
      <c r="J38" s="716"/>
      <c r="K38" s="721"/>
      <c r="L38" s="719"/>
      <c r="M38" s="719"/>
      <c r="N38" s="720"/>
    </row>
    <row r="39" spans="1:38" s="270" customFormat="1" ht="7.5" customHeight="1">
      <c r="B39" s="608"/>
      <c r="C39" s="608"/>
      <c r="D39" s="401"/>
      <c r="H39" s="716"/>
      <c r="I39" s="719"/>
      <c r="J39" s="716"/>
      <c r="K39" s="721"/>
      <c r="L39" s="719"/>
      <c r="M39" s="719"/>
      <c r="N39" s="720"/>
    </row>
    <row r="40" spans="1:38" s="270" customFormat="1" ht="20.100000000000001" customHeight="1" thickBot="1">
      <c r="A40" s="608" t="s">
        <v>1158</v>
      </c>
      <c r="B40" s="608"/>
      <c r="C40" s="608"/>
      <c r="D40" s="401"/>
      <c r="H40" s="716"/>
      <c r="I40" s="719"/>
      <c r="J40" s="716"/>
      <c r="K40" s="721"/>
      <c r="L40" s="719"/>
      <c r="M40" s="719"/>
      <c r="N40" s="720"/>
    </row>
    <row r="41" spans="1:38" s="25" customFormat="1" ht="21.75" thickBot="1">
      <c r="A41" s="608"/>
      <c r="B41" s="710" t="s">
        <v>282</v>
      </c>
      <c r="C41" s="710"/>
      <c r="D41" s="693" t="s">
        <v>868</v>
      </c>
      <c r="H41" s="529"/>
      <c r="I41" s="529"/>
      <c r="J41" s="529"/>
      <c r="K41" s="310"/>
      <c r="L41" s="98"/>
      <c r="M41" s="98"/>
      <c r="N41" s="530"/>
    </row>
    <row r="42" spans="1:38" s="25" customFormat="1" ht="7.5" customHeight="1">
      <c r="A42" s="608"/>
      <c r="D42" s="262"/>
      <c r="H42" s="123"/>
      <c r="I42" s="123"/>
      <c r="J42" s="123"/>
      <c r="K42" s="123"/>
      <c r="L42" s="98"/>
      <c r="M42" s="98"/>
      <c r="N42" s="530"/>
    </row>
    <row r="43" spans="1:38" s="25" customFormat="1" ht="15.75">
      <c r="D43" s="262"/>
      <c r="H43" s="718"/>
      <c r="I43" s="718"/>
      <c r="J43" s="718"/>
      <c r="K43" s="718"/>
      <c r="L43" s="98"/>
      <c r="M43" s="98"/>
      <c r="N43" s="530"/>
    </row>
    <row r="44" spans="1:38" s="25" customFormat="1" ht="15.75">
      <c r="D44" s="262"/>
      <c r="H44" s="123"/>
      <c r="I44" s="123"/>
      <c r="J44" s="123"/>
      <c r="K44" s="123"/>
      <c r="L44" s="98"/>
      <c r="M44" s="98"/>
      <c r="N44" s="530"/>
    </row>
    <row r="45" spans="1:38" s="25" customFormat="1" ht="15.75">
      <c r="D45" s="262"/>
      <c r="H45" s="123"/>
      <c r="I45" s="123"/>
      <c r="J45" s="722"/>
      <c r="K45" s="310"/>
      <c r="L45" s="98"/>
      <c r="M45" s="98"/>
      <c r="N45" s="530"/>
    </row>
    <row r="46" spans="1:38" s="25" customFormat="1">
      <c r="D46" s="262"/>
    </row>
    <row r="47" spans="1:38" s="25" customFormat="1">
      <c r="D47" s="262"/>
    </row>
    <row r="48" spans="1:38" s="25" customFormat="1">
      <c r="D48" s="262"/>
    </row>
    <row r="49" spans="4:4" s="25" customFormat="1">
      <c r="D49" s="262"/>
    </row>
    <row r="50" spans="4:4" s="25" customFormat="1">
      <c r="D50" s="262"/>
    </row>
    <row r="51" spans="4:4" s="25" customFormat="1">
      <c r="D51" s="262"/>
    </row>
    <row r="52" spans="4:4" s="25" customFormat="1">
      <c r="D52" s="262"/>
    </row>
    <row r="53" spans="4:4" s="25" customFormat="1">
      <c r="D53" s="262"/>
    </row>
    <row r="54" spans="4:4" s="25" customFormat="1">
      <c r="D54" s="262"/>
    </row>
    <row r="55" spans="4:4" s="25" customFormat="1">
      <c r="D55" s="262"/>
    </row>
    <row r="56" spans="4:4" s="25" customFormat="1">
      <c r="D56" s="262"/>
    </row>
    <row r="57" spans="4:4" s="25" customFormat="1">
      <c r="D57" s="262"/>
    </row>
    <row r="58" spans="4:4" s="25" customFormat="1">
      <c r="D58" s="262"/>
    </row>
    <row r="59" spans="4:4" s="25" customFormat="1">
      <c r="D59" s="262"/>
    </row>
    <row r="60" spans="4:4" s="25" customFormat="1">
      <c r="D60" s="262"/>
    </row>
    <row r="61" spans="4:4" s="25" customFormat="1">
      <c r="D61" s="262"/>
    </row>
    <row r="62" spans="4:4" s="25" customFormat="1">
      <c r="D62" s="262"/>
    </row>
    <row r="63" spans="4:4" s="25" customFormat="1">
      <c r="D63" s="262"/>
    </row>
    <row r="64" spans="4:4" s="25" customFormat="1">
      <c r="D64" s="262"/>
    </row>
    <row r="65" spans="4:4" s="25" customFormat="1">
      <c r="D65" s="262"/>
    </row>
    <row r="66" spans="4:4" s="25" customFormat="1">
      <c r="D66" s="262"/>
    </row>
    <row r="67" spans="4:4" s="25" customFormat="1">
      <c r="D67" s="262"/>
    </row>
    <row r="68" spans="4:4" s="25" customFormat="1">
      <c r="D68" s="262"/>
    </row>
    <row r="69" spans="4:4" s="25" customFormat="1">
      <c r="D69" s="262"/>
    </row>
    <row r="70" spans="4:4" s="25" customFormat="1">
      <c r="D70" s="262"/>
    </row>
    <row r="71" spans="4:4" s="25" customFormat="1">
      <c r="D71" s="262"/>
    </row>
    <row r="72" spans="4:4" s="25" customFormat="1">
      <c r="D72" s="262"/>
    </row>
    <row r="73" spans="4:4" s="25" customFormat="1">
      <c r="D73" s="262"/>
    </row>
    <row r="74" spans="4:4" s="25" customFormat="1">
      <c r="D74" s="262"/>
    </row>
    <row r="75" spans="4:4" s="25" customFormat="1">
      <c r="D75" s="262"/>
    </row>
    <row r="76" spans="4:4" s="25" customFormat="1">
      <c r="D76" s="262"/>
    </row>
    <row r="77" spans="4:4" s="25" customFormat="1">
      <c r="D77" s="262"/>
    </row>
    <row r="78" spans="4:4" s="25" customFormat="1">
      <c r="D78" s="262"/>
    </row>
    <row r="79" spans="4:4" s="25" customFormat="1">
      <c r="D79" s="262"/>
    </row>
    <row r="80" spans="4:4" s="25" customFormat="1">
      <c r="D80" s="262"/>
    </row>
    <row r="81" spans="4:4" s="25" customFormat="1">
      <c r="D81" s="262"/>
    </row>
    <row r="82" spans="4:4" s="25" customFormat="1">
      <c r="D82" s="262"/>
    </row>
    <row r="83" spans="4:4" s="25" customFormat="1">
      <c r="D83" s="262"/>
    </row>
    <row r="84" spans="4:4" s="25" customFormat="1">
      <c r="D84" s="262"/>
    </row>
    <row r="85" spans="4:4" s="25" customFormat="1">
      <c r="D85" s="262"/>
    </row>
    <row r="86" spans="4:4" s="25" customFormat="1">
      <c r="D86" s="262"/>
    </row>
    <row r="87" spans="4:4" s="25" customFormat="1">
      <c r="D87" s="262"/>
    </row>
    <row r="88" spans="4:4" s="25" customFormat="1">
      <c r="D88" s="262"/>
    </row>
    <row r="89" spans="4:4" s="25" customFormat="1">
      <c r="D89" s="262"/>
    </row>
    <row r="90" spans="4:4" s="25" customFormat="1">
      <c r="D90" s="262"/>
    </row>
    <row r="91" spans="4:4" s="25" customFormat="1">
      <c r="D91" s="262"/>
    </row>
    <row r="92" spans="4:4" s="25" customFormat="1">
      <c r="D92" s="262"/>
    </row>
    <row r="93" spans="4:4" s="25" customFormat="1">
      <c r="D93" s="262"/>
    </row>
    <row r="94" spans="4:4" s="25" customFormat="1">
      <c r="D94" s="262"/>
    </row>
    <row r="95" spans="4:4" s="25" customFormat="1">
      <c r="D95" s="262"/>
    </row>
    <row r="96" spans="4:4" s="25" customFormat="1">
      <c r="D96" s="262"/>
    </row>
  </sheetData>
  <mergeCells count="5">
    <mergeCell ref="A19:B19"/>
    <mergeCell ref="A21:B21"/>
    <mergeCell ref="A31:B31"/>
    <mergeCell ref="A23:B23"/>
    <mergeCell ref="A36:B36"/>
  </mergeCells>
  <conditionalFormatting sqref="E9">
    <cfRule type="expression" dxfId="84" priority="4">
      <formula>$D$9="other"</formula>
    </cfRule>
  </conditionalFormatting>
  <conditionalFormatting sqref="D11">
    <cfRule type="expression" dxfId="83" priority="1">
      <formula>Guarantees="Yes"</formula>
    </cfRule>
  </conditionalFormatting>
  <dataValidations xWindow="1369" yWindow="596" count="11">
    <dataValidation operator="greaterThan" allowBlank="1" showInputMessage="1" showErrorMessage="1" error="Please make sure there are no blanks or errors in any of the cells." sqref="K41 J45:K45 K10:K11 K15 K13 K30:K31 D35:D36 K35:K38 K22:K24 D23 D38" xr:uid="{00000000-0002-0000-0100-000000000000}"/>
    <dataValidation type="list" allowBlank="1" showInputMessage="1" showErrorMessage="1" sqref="D41" xr:uid="{00000000-0002-0000-0100-000001000000}">
      <formula1>ListScale</formula1>
    </dataValidation>
    <dataValidation type="list" allowBlank="1" showErrorMessage="1" prompt="Please select the definition used" sqref="B34" xr:uid="{00000000-0002-0000-0100-000002000000}">
      <formula1>ListSpreadDef</formula1>
    </dataValidation>
    <dataValidation type="list" allowBlank="1" showInputMessage="1" showErrorMessage="1" prompt="Please select the first year of projection" sqref="A25" xr:uid="{00000000-0002-0000-0100-000003000000}">
      <formula1>ListYears</formula1>
    </dataValidation>
    <dataValidation type="list" allowBlank="1" showInputMessage="1" showErrorMessage="1" sqref="D25:E25" xr:uid="{00000000-0002-0000-0100-000004000000}">
      <formula1>ListMoody</formula1>
    </dataValidation>
    <dataValidation type="list" allowBlank="1" showInputMessage="1" showErrorMessage="1" sqref="D26:E26" xr:uid="{00000000-0002-0000-0100-000005000000}">
      <formula1>ListSP</formula1>
    </dataValidation>
    <dataValidation type="list" allowBlank="1" showInputMessage="1" showErrorMessage="1" sqref="D27:E27" xr:uid="{00000000-0002-0000-0100-000006000000}">
      <formula1>ListFitch</formula1>
    </dataValidation>
    <dataValidation type="list" allowBlank="1" showErrorMessage="1" prompt="Please select the first year of projection" sqref="D17" xr:uid="{00000000-0002-0000-0100-000007000000}">
      <formula1>ListYears</formula1>
    </dataValidation>
    <dataValidation type="list" allowBlank="1" showInputMessage="1" showErrorMessage="1" sqref="D7 D10 D14:D15" xr:uid="{00000000-0002-0000-0100-000008000000}">
      <formula1>ListYesNo</formula1>
    </dataValidation>
    <dataValidation type="list" allowBlank="1" showErrorMessage="1" prompt="Please select the definition of the public sector" sqref="D9" xr:uid="{00000000-0002-0000-0100-000009000000}">
      <formula1>ListGovtDef</formula1>
    </dataValidation>
    <dataValidation type="list" allowBlank="1" showErrorMessage="1" prompt="Select the country" sqref="D3" xr:uid="{00000000-0002-0000-0100-00000A000000}">
      <formula1>ListCountries</formula1>
    </dataValidation>
  </dataValidations>
  <hyperlinks>
    <hyperlink ref="E5" r:id="rId1" xr:uid="{00000000-0004-0000-0100-000000000000}"/>
    <hyperlink ref="E23" r:id="rId2" xr:uid="{00000000-0004-0000-0100-000001000000}"/>
    <hyperlink ref="E32" r:id="rId3" xr:uid="{00000000-0004-0000-0100-000002000000}"/>
    <hyperlink ref="E34" r:id="rId4" xr:uid="{00000000-0004-0000-0100-000003000000}"/>
    <hyperlink ref="E37" r:id="rId5" xr:uid="{00000000-0004-0000-0100-000004000000}"/>
  </hyperlinks>
  <pageMargins left="0.7" right="0.7" top="0.75" bottom="0.75" header="0.3" footer="0.3"/>
  <pageSetup scale="58" orientation="portrait" r:id="rId6"/>
  <colBreaks count="1" manualBreakCount="1">
    <brk id="5" max="1048575" man="1"/>
  </colBreaks>
  <legacyDrawing r:id="rId7"/>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9">
    <tabColor theme="5" tint="0.39997558519241921"/>
  </sheetPr>
  <dimension ref="A1:BL315"/>
  <sheetViews>
    <sheetView zoomScale="80" zoomScaleNormal="80" workbookViewId="0"/>
  </sheetViews>
  <sheetFormatPr defaultColWidth="9.140625" defaultRowHeight="15"/>
  <cols>
    <col min="1" max="1" width="79.28515625" style="6" customWidth="1"/>
    <col min="2" max="3" width="15.42578125" style="6" customWidth="1"/>
    <col min="4" max="19" width="10.7109375" style="6" customWidth="1"/>
    <col min="20" max="20" width="10.5703125" style="6" customWidth="1"/>
    <col min="21" max="21" width="5.7109375" style="6" customWidth="1"/>
    <col min="22" max="26" width="13.5703125" style="6" customWidth="1"/>
    <col min="27" max="16384" width="9.140625" style="6"/>
  </cols>
  <sheetData>
    <row r="1" spans="1:19" customFormat="1" ht="15.75" thickBot="1">
      <c r="B1" s="1"/>
      <c r="C1" s="1"/>
      <c r="D1" s="1"/>
      <c r="E1" s="60"/>
      <c r="F1" s="60"/>
      <c r="G1" s="60"/>
      <c r="H1" s="60"/>
      <c r="I1" s="60"/>
      <c r="J1" s="60"/>
      <c r="K1" s="60"/>
      <c r="L1" s="1"/>
      <c r="M1" s="1"/>
      <c r="N1" s="1"/>
      <c r="O1" s="1"/>
      <c r="P1" s="1"/>
      <c r="Q1" s="1"/>
      <c r="R1" s="1"/>
      <c r="S1" s="1"/>
    </row>
    <row r="2" spans="1:19" customFormat="1" ht="45.75" customHeight="1" thickBot="1">
      <c r="A2" s="1303" t="s">
        <v>107</v>
      </c>
      <c r="B2" s="118" t="s">
        <v>16</v>
      </c>
      <c r="C2" s="1"/>
      <c r="D2" s="1"/>
      <c r="E2" s="1"/>
      <c r="F2" s="1"/>
      <c r="G2" s="1"/>
    </row>
    <row r="3" spans="1:19" customFormat="1">
      <c r="A3" s="17"/>
      <c r="B3" s="225">
        <f>FirstYear</f>
        <v>2018</v>
      </c>
      <c r="C3" s="226">
        <f>B3+1</f>
        <v>2019</v>
      </c>
      <c r="D3" s="226">
        <f>C3+1</f>
        <v>2020</v>
      </c>
      <c r="E3" s="226">
        <f>D3+1</f>
        <v>2021</v>
      </c>
      <c r="F3" s="226">
        <f>E3+1</f>
        <v>2022</v>
      </c>
      <c r="G3" s="227">
        <f>F3+1</f>
        <v>2023</v>
      </c>
    </row>
    <row r="4" spans="1:19" customFormat="1">
      <c r="A4" s="17"/>
      <c r="B4" s="168"/>
      <c r="C4" s="62"/>
      <c r="D4" s="62"/>
      <c r="E4" s="62"/>
      <c r="F4" s="62"/>
      <c r="G4" s="169"/>
    </row>
    <row r="5" spans="1:19" customFormat="1">
      <c r="A5" s="63" t="s">
        <v>62</v>
      </c>
      <c r="B5" s="170">
        <f t="shared" ref="B5:G5" si="0">B7+B13</f>
        <v>10948.652288728241</v>
      </c>
      <c r="C5" s="171">
        <f t="shared" ca="1" si="0"/>
        <v>11278.58759706811</v>
      </c>
      <c r="D5" s="171">
        <f t="shared" ca="1" si="0"/>
        <v>11630.718484672168</v>
      </c>
      <c r="E5" s="171">
        <f t="shared" ca="1" si="0"/>
        <v>11826.593670636645</v>
      </c>
      <c r="F5" s="171">
        <f t="shared" ca="1" si="0"/>
        <v>12085.728861288928</v>
      </c>
      <c r="G5" s="172">
        <f t="shared" ca="1" si="0"/>
        <v>12362.43652320404</v>
      </c>
      <c r="I5" s="6"/>
      <c r="J5" s="239"/>
      <c r="K5" s="239"/>
      <c r="L5" s="239"/>
      <c r="M5" s="239"/>
      <c r="N5" s="239"/>
      <c r="O5" s="239"/>
    </row>
    <row r="6" spans="1:19" s="284" customFormat="1">
      <c r="A6" s="18" t="s">
        <v>1026</v>
      </c>
      <c r="B6" s="170" t="str">
        <f>'Baseline debt'!P8</f>
        <v/>
      </c>
      <c r="C6" s="171" t="str">
        <f>'Baseline debt'!Q8</f>
        <v/>
      </c>
      <c r="D6" s="171" t="str">
        <f>'Baseline debt'!R8</f>
        <v/>
      </c>
      <c r="E6" s="171" t="str">
        <f>'Baseline debt'!S8</f>
        <v/>
      </c>
      <c r="F6" s="171" t="str">
        <f>'Baseline debt'!T8</f>
        <v/>
      </c>
      <c r="G6" s="172" t="str">
        <f>'Baseline debt'!U8</f>
        <v/>
      </c>
    </row>
    <row r="7" spans="1:19" customFormat="1">
      <c r="A7" s="21" t="s">
        <v>70</v>
      </c>
      <c r="B7" s="170">
        <f t="shared" ref="B7:G7" si="1">B8+B9</f>
        <v>9886.2521736994167</v>
      </c>
      <c r="C7" s="171">
        <f t="shared" si="1"/>
        <v>8910.6988594887644</v>
      </c>
      <c r="D7" s="171">
        <f t="shared" si="1"/>
        <v>7603.6701863278031</v>
      </c>
      <c r="E7" s="171">
        <f t="shared" si="1"/>
        <v>6150.6557892545252</v>
      </c>
      <c r="F7" s="171">
        <f t="shared" si="1"/>
        <v>5844.6400886862239</v>
      </c>
      <c r="G7" s="172">
        <f t="shared" si="1"/>
        <v>5585.3532924462243</v>
      </c>
      <c r="I7" s="6"/>
      <c r="J7" s="239"/>
      <c r="K7" s="239"/>
      <c r="L7" s="239"/>
      <c r="M7" s="239"/>
      <c r="N7" s="239"/>
      <c r="O7" s="239"/>
    </row>
    <row r="8" spans="1:19" customFormat="1">
      <c r="A8" s="18" t="s">
        <v>72</v>
      </c>
      <c r="B8" s="170">
        <f>'Baseline debt'!P11</f>
        <v>9879.101789236136</v>
      </c>
      <c r="C8" s="171">
        <f>'Baseline debt'!Q11</f>
        <v>8904.2169986260087</v>
      </c>
      <c r="D8" s="171">
        <f>'Baseline debt'!R11</f>
        <v>8210.6547722760079</v>
      </c>
      <c r="E8" s="171">
        <f>'Baseline debt'!S11</f>
        <v>7110.6102222407098</v>
      </c>
      <c r="F8" s="171">
        <f>'Baseline debt'!T11</f>
        <v>6804.9355125304046</v>
      </c>
      <c r="G8" s="172">
        <f>'Baseline debt'!U11</f>
        <v>6545.648716290405</v>
      </c>
      <c r="I8" s="6"/>
      <c r="J8" s="239"/>
      <c r="K8" s="239"/>
      <c r="L8" s="239"/>
      <c r="M8" s="239"/>
      <c r="N8" s="239"/>
      <c r="O8" s="239"/>
    </row>
    <row r="9" spans="1:19" customFormat="1">
      <c r="A9" s="18" t="s">
        <v>63</v>
      </c>
      <c r="B9" s="170">
        <f>'Baseline debt'!P13/'Baseline debt'!P$73*B32</f>
        <v>7.1503844632814992</v>
      </c>
      <c r="C9" s="171">
        <f>'Baseline debt'!Q13/'Baseline debt'!Q$73*C32</f>
        <v>6.481860862754961</v>
      </c>
      <c r="D9" s="171">
        <f>'Baseline debt'!R13/'Baseline debt'!R$73*D32</f>
        <v>-606.98458594820488</v>
      </c>
      <c r="E9" s="171">
        <f>'Baseline debt'!S13/'Baseline debt'!S$73*E32</f>
        <v>-959.954432986185</v>
      </c>
      <c r="F9" s="171">
        <f>'Baseline debt'!T13/'Baseline debt'!T$73*F32</f>
        <v>-960.29542384418096</v>
      </c>
      <c r="G9" s="172">
        <f>'Baseline debt'!U13/'Baseline debt'!U$73*G32</f>
        <v>-960.29542384418096</v>
      </c>
      <c r="I9" s="6"/>
      <c r="J9" s="239"/>
      <c r="K9" s="239"/>
      <c r="L9" s="239"/>
      <c r="M9" s="239"/>
      <c r="N9" s="239"/>
      <c r="O9" s="239"/>
    </row>
    <row r="10" spans="1:19" customFormat="1">
      <c r="A10" s="18" t="s">
        <v>60</v>
      </c>
      <c r="B10" s="170">
        <v>0</v>
      </c>
      <c r="C10" s="171">
        <v>0</v>
      </c>
      <c r="D10" s="171">
        <v>0</v>
      </c>
      <c r="E10" s="171">
        <v>0</v>
      </c>
      <c r="F10" s="171">
        <v>0</v>
      </c>
      <c r="G10" s="172">
        <v>0</v>
      </c>
      <c r="I10" s="6"/>
      <c r="J10" s="239"/>
      <c r="K10" s="239"/>
      <c r="L10" s="239"/>
      <c r="M10" s="239"/>
      <c r="N10" s="239"/>
      <c r="O10" s="239"/>
    </row>
    <row r="11" spans="1:19" customFormat="1">
      <c r="A11" s="18" t="s">
        <v>73</v>
      </c>
      <c r="B11" s="170">
        <f t="shared" ref="B11:G11" si="2">B8+B9</f>
        <v>9886.2521736994167</v>
      </c>
      <c r="C11" s="171">
        <f t="shared" si="2"/>
        <v>8910.6988594887644</v>
      </c>
      <c r="D11" s="171">
        <f t="shared" si="2"/>
        <v>7603.6701863278031</v>
      </c>
      <c r="E11" s="171">
        <f t="shared" si="2"/>
        <v>6150.6557892545252</v>
      </c>
      <c r="F11" s="171">
        <f t="shared" si="2"/>
        <v>5844.6400886862239</v>
      </c>
      <c r="G11" s="172">
        <f t="shared" si="2"/>
        <v>5585.3532924462243</v>
      </c>
      <c r="I11" s="6"/>
      <c r="J11" s="239"/>
      <c r="K11" s="239"/>
      <c r="L11" s="239"/>
      <c r="M11" s="239"/>
      <c r="N11" s="239"/>
      <c r="O11" s="239"/>
    </row>
    <row r="12" spans="1:19" customFormat="1">
      <c r="A12" s="17"/>
      <c r="B12" s="170"/>
      <c r="C12" s="171"/>
      <c r="D12" s="171"/>
      <c r="E12" s="171"/>
      <c r="F12" s="171"/>
      <c r="G12" s="172"/>
      <c r="I12" s="6"/>
    </row>
    <row r="13" spans="1:19" customFormat="1">
      <c r="A13" s="21" t="s">
        <v>71</v>
      </c>
      <c r="B13" s="170">
        <f t="shared" ref="B13:G13" si="3">B14+B15</f>
        <v>1062.4001150288241</v>
      </c>
      <c r="C13" s="171">
        <f t="shared" ca="1" si="3"/>
        <v>2366.8875970681092</v>
      </c>
      <c r="D13" s="171">
        <f t="shared" ca="1" si="3"/>
        <v>3995.0184846721672</v>
      </c>
      <c r="E13" s="171">
        <f t="shared" ca="1" si="3"/>
        <v>5625.8936706366449</v>
      </c>
      <c r="F13" s="171">
        <f t="shared" ca="1" si="3"/>
        <v>6191.0288612889271</v>
      </c>
      <c r="G13" s="172">
        <f t="shared" ca="1" si="3"/>
        <v>6476.7365232040393</v>
      </c>
      <c r="I13" s="6"/>
      <c r="J13" s="239"/>
      <c r="K13" s="239"/>
      <c r="L13" s="239"/>
      <c r="M13" s="239"/>
      <c r="N13" s="239"/>
      <c r="O13" s="239"/>
    </row>
    <row r="14" spans="1:19" customFormat="1">
      <c r="A14" s="18" t="s">
        <v>72</v>
      </c>
      <c r="B14" s="170">
        <f t="shared" ref="B14:G14" si="4">SUM(H119:H124,H138:H171,H214:H219,H233:H266,H307:H312)</f>
        <v>1062.4001150288241</v>
      </c>
      <c r="C14" s="171">
        <f t="shared" ca="1" si="4"/>
        <v>2366.8875970681092</v>
      </c>
      <c r="D14" s="171">
        <f t="shared" ca="1" si="4"/>
        <v>3995.0184846721672</v>
      </c>
      <c r="E14" s="171">
        <f t="shared" ca="1" si="4"/>
        <v>5625.8936706366449</v>
      </c>
      <c r="F14" s="171">
        <f t="shared" ca="1" si="4"/>
        <v>6191.0288612889271</v>
      </c>
      <c r="G14" s="172">
        <f t="shared" ca="1" si="4"/>
        <v>6476.7365232040393</v>
      </c>
      <c r="I14" s="6"/>
      <c r="J14" s="239"/>
      <c r="K14" s="239"/>
      <c r="L14" s="239"/>
      <c r="M14" s="239"/>
      <c r="N14" s="239"/>
      <c r="O14" s="239"/>
    </row>
    <row r="15" spans="1:19" customFormat="1">
      <c r="A15" s="18" t="s">
        <v>63</v>
      </c>
      <c r="B15" s="170">
        <f t="shared" ref="B15:G15" si="5">SUM(H128:H133,H175:H208,H223:H228,H270:H303)*B32</f>
        <v>0</v>
      </c>
      <c r="C15" s="171">
        <f t="shared" ca="1" si="5"/>
        <v>0</v>
      </c>
      <c r="D15" s="171">
        <f t="shared" ca="1" si="5"/>
        <v>0</v>
      </c>
      <c r="E15" s="171">
        <f t="shared" ca="1" si="5"/>
        <v>0</v>
      </c>
      <c r="F15" s="171">
        <f t="shared" ca="1" si="5"/>
        <v>0</v>
      </c>
      <c r="G15" s="172">
        <f t="shared" ca="1" si="5"/>
        <v>0</v>
      </c>
      <c r="I15" s="6"/>
      <c r="J15" s="239"/>
      <c r="K15" s="239"/>
      <c r="L15" s="239"/>
      <c r="M15" s="239"/>
      <c r="N15" s="239"/>
      <c r="O15" s="239"/>
    </row>
    <row r="16" spans="1:19" customFormat="1">
      <c r="A16" s="18" t="s">
        <v>60</v>
      </c>
      <c r="B16" s="170">
        <f t="shared" ref="B16:G16" si="6">SUM(H119:H124,H214:H219,H307:H312)+SUM(H128:H133,H223:H228)*B32</f>
        <v>-267.59452840452661</v>
      </c>
      <c r="C16" s="171">
        <f t="shared" ca="1" si="6"/>
        <v>1959.3804037295163</v>
      </c>
      <c r="D16" s="171">
        <f t="shared" ca="1" si="6"/>
        <v>3453.4748880028706</v>
      </c>
      <c r="E16" s="171">
        <f t="shared" ca="1" si="6"/>
        <v>5017.733670636645</v>
      </c>
      <c r="F16" s="171">
        <f t="shared" ca="1" si="6"/>
        <v>5518.6621946222604</v>
      </c>
      <c r="G16" s="172">
        <f t="shared" ca="1" si="6"/>
        <v>5774.1440019285474</v>
      </c>
      <c r="I16" s="6"/>
      <c r="J16" s="239"/>
      <c r="K16" s="239"/>
      <c r="L16" s="239"/>
      <c r="M16" s="239"/>
      <c r="N16" s="239"/>
      <c r="O16" s="239"/>
    </row>
    <row r="17" spans="1:19" customFormat="1">
      <c r="A17" s="18" t="s">
        <v>73</v>
      </c>
      <c r="B17" s="170">
        <f t="shared" ref="B17:G17" si="7">B14+B15-B16</f>
        <v>1329.9946434333506</v>
      </c>
      <c r="C17" s="171">
        <f t="shared" ca="1" si="7"/>
        <v>407.50719333859297</v>
      </c>
      <c r="D17" s="171">
        <f t="shared" ca="1" si="7"/>
        <v>541.54359666929668</v>
      </c>
      <c r="E17" s="171">
        <f t="shared" ca="1" si="7"/>
        <v>608.15999999999985</v>
      </c>
      <c r="F17" s="171">
        <f t="shared" ca="1" si="7"/>
        <v>672.36666666666679</v>
      </c>
      <c r="G17" s="172">
        <f t="shared" ca="1" si="7"/>
        <v>702.59252127549189</v>
      </c>
      <c r="I17" s="6"/>
      <c r="J17" s="239"/>
      <c r="K17" s="239"/>
      <c r="L17" s="239"/>
      <c r="M17" s="239"/>
      <c r="N17" s="239"/>
      <c r="O17" s="239"/>
    </row>
    <row r="18" spans="1:19" customFormat="1" ht="6.75" customHeight="1">
      <c r="A18" s="17"/>
      <c r="B18" s="170"/>
      <c r="C18" s="171"/>
      <c r="D18" s="171"/>
      <c r="E18" s="171"/>
      <c r="F18" s="171"/>
      <c r="G18" s="172"/>
      <c r="I18" s="6"/>
    </row>
    <row r="19" spans="1:19" customFormat="1">
      <c r="A19" s="20" t="s">
        <v>74</v>
      </c>
      <c r="B19" s="170">
        <f t="shared" ref="B19:G19" si="8">B63</f>
        <v>1062.4001150288241</v>
      </c>
      <c r="C19" s="171">
        <f t="shared" ca="1" si="8"/>
        <v>2190.8804037295163</v>
      </c>
      <c r="D19" s="171">
        <f t="shared" ca="1" si="8"/>
        <v>3692.0748880028705</v>
      </c>
      <c r="E19" s="171">
        <f t="shared" ca="1" si="8"/>
        <v>5230.733670636645</v>
      </c>
      <c r="F19" s="171">
        <f t="shared" ca="1" si="8"/>
        <v>5747.1621946222604</v>
      </c>
      <c r="G19" s="172">
        <f t="shared" ca="1" si="8"/>
        <v>5988.3631898707063</v>
      </c>
      <c r="I19" s="6"/>
      <c r="J19" s="239"/>
      <c r="K19" s="239"/>
      <c r="L19" s="239"/>
      <c r="M19" s="239"/>
      <c r="N19" s="239"/>
      <c r="O19" s="239"/>
    </row>
    <row r="20" spans="1:19" customFormat="1">
      <c r="A20" s="18" t="s">
        <v>55</v>
      </c>
      <c r="B20" s="170">
        <f t="shared" ref="B20:G20" si="9">B49-B47</f>
        <v>15.437150622194167</v>
      </c>
      <c r="C20" s="171">
        <f t="shared" si="9"/>
        <v>812.80541724637624</v>
      </c>
      <c r="D20" s="171">
        <f t="shared" si="9"/>
        <v>1572.652309988267</v>
      </c>
      <c r="E20" s="171">
        <f t="shared" si="9"/>
        <v>-66.693218535056076</v>
      </c>
      <c r="F20" s="171">
        <f t="shared" si="9"/>
        <v>-277.26911185456265</v>
      </c>
      <c r="G20" s="172">
        <f t="shared" si="9"/>
        <v>-292.15846316115494</v>
      </c>
      <c r="I20" s="6"/>
      <c r="J20" s="239"/>
      <c r="K20" s="239"/>
      <c r="L20" s="239"/>
      <c r="M20" s="239"/>
      <c r="N20" s="239"/>
      <c r="O20" s="239"/>
    </row>
    <row r="21" spans="1:19" s="284" customFormat="1">
      <c r="A21" s="18" t="s">
        <v>1172</v>
      </c>
      <c r="B21" s="170">
        <f>B48</f>
        <v>48.271190640000007</v>
      </c>
      <c r="C21" s="171">
        <v>0</v>
      </c>
      <c r="D21" s="171">
        <v>0</v>
      </c>
      <c r="E21" s="171">
        <v>0</v>
      </c>
      <c r="F21" s="171">
        <v>0</v>
      </c>
      <c r="G21" s="172">
        <v>0</v>
      </c>
    </row>
    <row r="22" spans="1:19" customFormat="1">
      <c r="A22" s="23" t="s">
        <v>102</v>
      </c>
      <c r="B22" s="170">
        <f t="shared" ref="B22:G22" si="10">B23+B24</f>
        <v>1095.234155046629</v>
      </c>
      <c r="C22" s="171">
        <f t="shared" ca="1" si="10"/>
        <v>2190.8804037295163</v>
      </c>
      <c r="D22" s="171">
        <f t="shared" ca="1" si="10"/>
        <v>3692.0748880028705</v>
      </c>
      <c r="E22" s="171">
        <f t="shared" ca="1" si="10"/>
        <v>5230.733670636645</v>
      </c>
      <c r="F22" s="171">
        <f t="shared" ca="1" si="10"/>
        <v>5747.1621946222604</v>
      </c>
      <c r="G22" s="172">
        <f t="shared" ca="1" si="10"/>
        <v>5988.3631898707063</v>
      </c>
      <c r="I22" s="6"/>
      <c r="J22" s="239"/>
      <c r="K22" s="239"/>
      <c r="L22" s="239"/>
      <c r="M22" s="239"/>
      <c r="N22" s="239"/>
      <c r="O22" s="239"/>
    </row>
    <row r="23" spans="1:19" customFormat="1">
      <c r="A23" s="228" t="s">
        <v>1173</v>
      </c>
      <c r="B23" s="170">
        <f t="shared" ref="B23:G23" si="11">SUM(B50:B51,B58:B59)</f>
        <v>210.95965861346764</v>
      </c>
      <c r="C23" s="171">
        <f t="shared" ca="1" si="11"/>
        <v>272.737797096664</v>
      </c>
      <c r="D23" s="171">
        <f t="shared" ca="1" si="11"/>
        <v>352.13088760405759</v>
      </c>
      <c r="E23" s="171">
        <f t="shared" ca="1" si="11"/>
        <v>195.87518596447779</v>
      </c>
      <c r="F23" s="171">
        <f t="shared" ca="1" si="11"/>
        <v>259.13519065228257</v>
      </c>
      <c r="G23" s="172">
        <f t="shared" ca="1" si="11"/>
        <v>276.70766191511245</v>
      </c>
      <c r="I23" s="6"/>
      <c r="J23" s="239"/>
      <c r="K23" s="239"/>
      <c r="L23" s="239"/>
      <c r="M23" s="239"/>
      <c r="N23" s="239"/>
      <c r="O23" s="239"/>
    </row>
    <row r="24" spans="1:19" customFormat="1">
      <c r="A24" s="228" t="s">
        <v>1174</v>
      </c>
      <c r="B24" s="170">
        <f t="shared" ref="B24:G24" si="12">SUM(B53:B54,B60:B61)</f>
        <v>884.2744964331614</v>
      </c>
      <c r="C24" s="171">
        <f t="shared" ca="1" si="12"/>
        <v>1918.1426066328522</v>
      </c>
      <c r="D24" s="171">
        <f t="shared" ca="1" si="12"/>
        <v>3339.9440003988129</v>
      </c>
      <c r="E24" s="171">
        <f t="shared" ca="1" si="12"/>
        <v>5034.8584846721669</v>
      </c>
      <c r="F24" s="171">
        <f t="shared" ca="1" si="12"/>
        <v>5488.0270039699781</v>
      </c>
      <c r="G24" s="172">
        <f t="shared" ca="1" si="12"/>
        <v>5711.6555279555942</v>
      </c>
      <c r="I24" s="6"/>
      <c r="J24" s="239"/>
      <c r="K24" s="239"/>
      <c r="L24" s="239"/>
      <c r="M24" s="239"/>
      <c r="N24" s="239"/>
      <c r="O24" s="239"/>
    </row>
    <row r="25" spans="1:19" customFormat="1" ht="15" customHeight="1">
      <c r="A25" s="63" t="s">
        <v>304</v>
      </c>
      <c r="B25" s="271">
        <f>'Baseline debt'!P64</f>
        <v>1.9586439007071743E-2</v>
      </c>
      <c r="C25" s="176">
        <f ca="1">IF(Guarantees="Yes",IF(ISNUMBER(C23/(B5-B6)),C23/(B5-B6),""),IF(ISNUMBER(C23/B5),C23/B5,""))</f>
        <v>2.4781166566290192E-2</v>
      </c>
      <c r="D25" s="176">
        <f ca="1">IF(Guarantees="Yes",IF(ISNUMBER(D23/(C5-C6)),D23/(C5-C6),""),IF(ISNUMBER(D23/C5),D23/C5,""))</f>
        <v>3.1221186569105042E-2</v>
      </c>
      <c r="E25" s="176">
        <f ca="1">IF(Guarantees="Yes",IF(ISNUMBER(E23/(D5-D6)),E23/(D5-D6),""),IF(ISNUMBER(E23/D5),E23/D5,""))</f>
        <v>1.6841193966014807E-2</v>
      </c>
      <c r="F25" s="176">
        <f ca="1">IF(Guarantees="Yes",IF(ISNUMBER(F23/(E5-E6)),F23/(E5-E6),""),IF(ISNUMBER(F23/E5),F23/E5,""))</f>
        <v>2.1911228022965714E-2</v>
      </c>
      <c r="G25" s="177">
        <f ca="1">IF(Guarantees="Yes",IF(ISNUMBER(G23/(F5-F6)),G23/(F5-F6),""),IF(ISNUMBER(G23/F5),G23/F5,""))</f>
        <v>2.2895405406737044E-2</v>
      </c>
    </row>
    <row r="26" spans="1:19" customFormat="1">
      <c r="A26" s="20" t="s">
        <v>77</v>
      </c>
      <c r="B26" s="173">
        <f>'Input 5 - Scenario Design'!E63</f>
        <v>4.7697166816344838E-2</v>
      </c>
      <c r="C26" s="174">
        <f>'Input 5 - Scenario Design'!F63</f>
        <v>-2.9400730822444127E-2</v>
      </c>
      <c r="D26" s="174">
        <f>'Input 5 - Scenario Design'!G63</f>
        <v>-3.1140062952496855E-2</v>
      </c>
      <c r="E26" s="174">
        <f>'Input 5 - Scenario Design'!H63</f>
        <v>2.8871442593204177E-2</v>
      </c>
      <c r="F26" s="174">
        <f>'Input 5 - Scenario Design'!I63</f>
        <v>2.933023694707515E-2</v>
      </c>
      <c r="G26" s="175">
        <f>'Input 5 - Scenario Design'!J63</f>
        <v>2.8000000000000025E-2</v>
      </c>
    </row>
    <row r="27" spans="1:19" customFormat="1">
      <c r="A27" s="20" t="s">
        <v>78</v>
      </c>
      <c r="B27" s="173">
        <f>'Input 5 - Scenario Design'!E64</f>
        <v>4.2122999157540031E-2</v>
      </c>
      <c r="C27" s="174">
        <f>'Input 5 - Scenario Design'!F64</f>
        <v>1.558575369468098E-2</v>
      </c>
      <c r="D27" s="174">
        <f>'Input 5 - Scenario Design'!G64</f>
        <v>1.2666567667486327E-2</v>
      </c>
      <c r="E27" s="174">
        <f>'Input 5 - Scenario Design'!H64</f>
        <v>2.5315565708619037E-2</v>
      </c>
      <c r="F27" s="174">
        <f>'Input 5 - Scenario Design'!I64</f>
        <v>2.4647711698661201E-2</v>
      </c>
      <c r="G27" s="175">
        <f>'Input 5 - Scenario Design'!J64</f>
        <v>2.5000000000000133E-2</v>
      </c>
    </row>
    <row r="28" spans="1:19" customFormat="1">
      <c r="A28" s="20" t="s">
        <v>828</v>
      </c>
      <c r="B28" s="173">
        <f>'Input 5 - Scenario Design'!E65</f>
        <v>0.36781832970756889</v>
      </c>
      <c r="C28" s="174">
        <f>'Input 5 - Scenario Design'!F65</f>
        <v>0.35899708650221951</v>
      </c>
      <c r="D28" s="174">
        <f>'Input 5 - Scenario Design'!G65</f>
        <v>0.35663219049317713</v>
      </c>
      <c r="E28" s="174">
        <f>'Input 5 - Scenario Design'!H65</f>
        <v>0.35111135216456818</v>
      </c>
      <c r="F28" s="174">
        <f>'Input 5 - Scenario Design'!I65</f>
        <v>0.34585635256377734</v>
      </c>
      <c r="G28" s="175">
        <f>'Input 5 - Scenario Design'!J65</f>
        <v>0.34585635256377734</v>
      </c>
    </row>
    <row r="29" spans="1:19" customFormat="1">
      <c r="A29" s="20" t="s">
        <v>80</v>
      </c>
      <c r="B29" s="173">
        <f>'Input 5 - Scenario Design'!E66</f>
        <v>0.36834134844430905</v>
      </c>
      <c r="C29" s="174">
        <f>'Input 5 - Scenario Design'!F66</f>
        <v>0.38693411013339518</v>
      </c>
      <c r="D29" s="174">
        <f>'Input 5 - Scenario Design'!G66</f>
        <v>0.41172549124200486</v>
      </c>
      <c r="E29" s="174">
        <f>'Input 5 - Scenario Design'!H66</f>
        <v>0.34889657983921007</v>
      </c>
      <c r="F29" s="174">
        <f>'Input 5 - Scenario Design'!I66</f>
        <v>0.33712624493397764</v>
      </c>
      <c r="G29" s="175">
        <f>'Input 5 - Scenario Design'!J66</f>
        <v>0.33712624493397758</v>
      </c>
    </row>
    <row r="30" spans="1:19" customFormat="1">
      <c r="A30" s="20" t="s">
        <v>147</v>
      </c>
      <c r="B30" s="173">
        <f>'Input 5 - Scenario Design'!E67</f>
        <v>-5.2301873674015509E-4</v>
      </c>
      <c r="C30" s="176">
        <f>'Input 5 - Scenario Design'!F67</f>
        <v>-2.7937023631175673E-2</v>
      </c>
      <c r="D30" s="176">
        <f>'Input 5 - Scenario Design'!G67</f>
        <v>-5.5093300748827734E-2</v>
      </c>
      <c r="E30" s="176">
        <f>'Input 5 - Scenario Design'!H67</f>
        <v>2.2147723253581053E-3</v>
      </c>
      <c r="F30" s="176">
        <f>'Input 5 - Scenario Design'!I67</f>
        <v>8.7301076297996993E-3</v>
      </c>
      <c r="G30" s="177">
        <f>'Input 5 - Scenario Design'!J67</f>
        <v>8.7301076297997549E-3</v>
      </c>
      <c r="O30" s="238"/>
      <c r="P30" s="238"/>
      <c r="Q30" s="238"/>
      <c r="R30" s="238"/>
      <c r="S30" s="238"/>
    </row>
    <row r="31" spans="1:19" ht="15" customHeight="1">
      <c r="A31" s="20" t="s">
        <v>1129</v>
      </c>
      <c r="B31" s="229">
        <f>'Input 5 - Scenario Design'!E68</f>
        <v>1.18</v>
      </c>
      <c r="C31" s="230">
        <f>'Input 5 - Scenario Design'!F68</f>
        <v>1.1399999999999999</v>
      </c>
      <c r="D31" s="230">
        <f>'Input 5 - Scenario Design'!G68</f>
        <v>1.1399999999999999</v>
      </c>
      <c r="E31" s="230">
        <f>'Input 5 - Scenario Design'!H68</f>
        <v>1.1399999999999999</v>
      </c>
      <c r="F31" s="230">
        <f>'Input 5 - Scenario Design'!I68</f>
        <v>1.1399999999999999</v>
      </c>
      <c r="G31" s="231">
        <f>'Input 5 - Scenario Design'!J68</f>
        <v>1.1399999999999999</v>
      </c>
      <c r="I31" s="188"/>
      <c r="J31" s="188"/>
      <c r="K31" s="188"/>
      <c r="L31" s="188"/>
      <c r="M31" s="188"/>
      <c r="N31" s="188"/>
      <c r="O31" s="188"/>
      <c r="P31" s="188"/>
      <c r="Q31" s="189"/>
    </row>
    <row r="32" spans="1:19" customFormat="1">
      <c r="A32" s="20" t="s">
        <v>1130</v>
      </c>
      <c r="B32" s="229">
        <f>'Input 5 - Scenario Design'!E69</f>
        <v>1.18</v>
      </c>
      <c r="C32" s="230">
        <f>'Input 5 - Scenario Design'!F69</f>
        <v>1.1399999999999999</v>
      </c>
      <c r="D32" s="230">
        <f>'Input 5 - Scenario Design'!G69</f>
        <v>1.1399999999999999</v>
      </c>
      <c r="E32" s="230">
        <f>'Input 5 - Scenario Design'!H69</f>
        <v>1.1399999999999999</v>
      </c>
      <c r="F32" s="230">
        <f>'Input 5 - Scenario Design'!I69</f>
        <v>1.1399999999999999</v>
      </c>
      <c r="G32" s="231">
        <f>'Input 5 - Scenario Design'!J69</f>
        <v>1.1399999999999999</v>
      </c>
    </row>
    <row r="33" spans="1:17" customFormat="1">
      <c r="A33" s="20" t="s">
        <v>89</v>
      </c>
      <c r="B33" s="233">
        <f>'Input 5 - Scenario Design'!E70</f>
        <v>0</v>
      </c>
      <c r="C33" s="232">
        <f>'Input 5 - Scenario Design'!F70</f>
        <v>71.00750648082257</v>
      </c>
      <c r="D33" s="232">
        <f>'Input 5 - Scenario Design'!G70</f>
        <v>145.45456510151462</v>
      </c>
      <c r="E33" s="232">
        <f>'Input 5 - Scenario Design'!H70</f>
        <v>0</v>
      </c>
      <c r="F33" s="232">
        <f>'Input 5 - Scenario Design'!I70</f>
        <v>0</v>
      </c>
      <c r="G33" s="234">
        <f>'Input 5 - Scenario Design'!J70</f>
        <v>0</v>
      </c>
    </row>
    <row r="34" spans="1:17" customFormat="1">
      <c r="A34" s="20" t="s">
        <v>92</v>
      </c>
      <c r="B34" s="173">
        <f t="shared" ref="B34:G34" si="13">(1+B26)*(1+B27)-1</f>
        <v>9.1829313691506709E-2</v>
      </c>
      <c r="C34" s="174">
        <f>(1+C26)*(1+C27)-1</f>
        <v>-1.4273209676805232E-2</v>
      </c>
      <c r="D34" s="174">
        <f t="shared" si="13"/>
        <v>-1.8867932999568016E-2</v>
      </c>
      <c r="E34" s="174">
        <f t="shared" si="13"/>
        <v>5.4917905203894168E-2</v>
      </c>
      <c r="F34" s="174">
        <f t="shared" si="13"/>
        <v>5.470087187006123E-2</v>
      </c>
      <c r="G34" s="175">
        <f t="shared" si="13"/>
        <v>5.3700000000000081E-2</v>
      </c>
    </row>
    <row r="35" spans="1:17" ht="15" customHeight="1">
      <c r="A35" s="20" t="s">
        <v>10</v>
      </c>
      <c r="B35" s="190">
        <f>'Input 2 - Data'!P7*(1+B34)</f>
        <v>29515.482979464068</v>
      </c>
      <c r="C35" s="13">
        <f>B35*(1+C34)</f>
        <v>29094.202302186</v>
      </c>
      <c r="D35" s="13">
        <f>C35*(1+D34)</f>
        <v>28545.254842472477</v>
      </c>
      <c r="E35" s="13">
        <f>D35*(1+E34)</f>
        <v>30112.900441932383</v>
      </c>
      <c r="F35" s="13">
        <f>E35*(1+F34)</f>
        <v>31760.102350642435</v>
      </c>
      <c r="G35" s="191">
        <f>F35*(1+G34)</f>
        <v>33465.619846871938</v>
      </c>
      <c r="I35" s="188"/>
      <c r="J35" s="188"/>
      <c r="K35" s="188"/>
      <c r="L35" s="188"/>
      <c r="M35" s="188"/>
      <c r="N35" s="188"/>
      <c r="O35" s="188"/>
      <c r="P35" s="188"/>
      <c r="Q35" s="189"/>
    </row>
    <row r="36" spans="1:17" customFormat="1" ht="6" customHeight="1">
      <c r="A36" s="20"/>
      <c r="B36" s="170"/>
      <c r="C36" s="171"/>
      <c r="D36" s="171"/>
      <c r="E36" s="171"/>
      <c r="F36" s="171"/>
      <c r="G36" s="172"/>
    </row>
    <row r="37" spans="1:17" customFormat="1">
      <c r="A37" s="20" t="s">
        <v>96</v>
      </c>
      <c r="B37" s="178">
        <f t="shared" ref="B37:G37" si="14">B5/B35</f>
        <v>0.37094606570883371</v>
      </c>
      <c r="C37" s="179">
        <f t="shared" ca="1" si="14"/>
        <v>0.39454349298817443</v>
      </c>
      <c r="D37" s="179">
        <f t="shared" ca="1" si="14"/>
        <v>0.41484540959050897</v>
      </c>
      <c r="E37" s="179">
        <f t="shared" ca="1" si="14"/>
        <v>0.39976006759244903</v>
      </c>
      <c r="F37" s="179">
        <f t="shared" ca="1" si="14"/>
        <v>0.3871440333344896</v>
      </c>
      <c r="G37" s="180">
        <f t="shared" ca="1" si="14"/>
        <v>0.37528723078427156</v>
      </c>
    </row>
    <row r="38" spans="1:17" customFormat="1">
      <c r="A38" s="20" t="s">
        <v>100</v>
      </c>
      <c r="B38" s="178">
        <f t="shared" ref="B38:G38" si="15">B22/B35</f>
        <v>3.7107105982600995E-2</v>
      </c>
      <c r="C38" s="179">
        <f t="shared" ca="1" si="15"/>
        <v>7.6640589946873047E-2</v>
      </c>
      <c r="D38" s="179">
        <f t="shared" ca="1" si="15"/>
        <v>0.13168922635096822</v>
      </c>
      <c r="E38" s="179">
        <f t="shared" ca="1" si="15"/>
        <v>0.17680817519954925</v>
      </c>
      <c r="F38" s="179">
        <f t="shared" ca="1" si="15"/>
        <v>0.18409974092503906</v>
      </c>
      <c r="G38" s="180">
        <f t="shared" ca="1" si="15"/>
        <v>0.18178910235363416</v>
      </c>
    </row>
    <row r="39" spans="1:17" customFormat="1">
      <c r="A39" s="20" t="s">
        <v>98</v>
      </c>
      <c r="B39" s="178">
        <f t="shared" ref="B39:G39" si="16">B19/B35</f>
        <v>3.5994671534530134E-2</v>
      </c>
      <c r="C39" s="179">
        <f t="shared" ca="1" si="16"/>
        <v>7.6640589946873047E-2</v>
      </c>
      <c r="D39" s="179">
        <f ca="1">D19/D35</f>
        <v>0.13168922635096822</v>
      </c>
      <c r="E39" s="179">
        <f t="shared" ca="1" si="16"/>
        <v>0.17680817519954925</v>
      </c>
      <c r="F39" s="179">
        <f t="shared" ca="1" si="16"/>
        <v>0.18409974092503906</v>
      </c>
      <c r="G39" s="180">
        <f t="shared" ca="1" si="16"/>
        <v>0.18178910235363416</v>
      </c>
    </row>
    <row r="40" spans="1:17" customFormat="1">
      <c r="A40" s="20" t="s">
        <v>1175</v>
      </c>
      <c r="B40" s="178">
        <f>B5/(B47+B48)</f>
        <v>1.0040391596609757</v>
      </c>
      <c r="C40" s="179" t="e">
        <f ca="1">C5/C47</f>
        <v>#DIV/0!</v>
      </c>
      <c r="D40" s="179" t="e">
        <f ca="1">D5/D47</f>
        <v>#DIV/0!</v>
      </c>
      <c r="E40" s="179" t="e">
        <f ca="1">E5/E47</f>
        <v>#DIV/0!</v>
      </c>
      <c r="F40" s="179" t="e">
        <f ca="1">F5/F47</f>
        <v>#DIV/0!</v>
      </c>
      <c r="G40" s="180" t="e">
        <f ca="1">G5/G47</f>
        <v>#DIV/0!</v>
      </c>
    </row>
    <row r="41" spans="1:17" customFormat="1">
      <c r="A41" s="20" t="s">
        <v>1176</v>
      </c>
      <c r="B41" s="178">
        <f>B22/(B47+B48)</f>
        <v>0.10043774810504542</v>
      </c>
      <c r="C41" s="179" t="e">
        <f ca="1">C22/C47</f>
        <v>#DIV/0!</v>
      </c>
      <c r="D41" s="179" t="e">
        <f ca="1">D22/D47</f>
        <v>#DIV/0!</v>
      </c>
      <c r="E41" s="179" t="e">
        <f ca="1">E22/E47</f>
        <v>#DIV/0!</v>
      </c>
      <c r="F41" s="179" t="e">
        <f ca="1">F22/F47</f>
        <v>#DIV/0!</v>
      </c>
      <c r="G41" s="180" t="e">
        <f ca="1">G22/G47</f>
        <v>#DIV/0!</v>
      </c>
    </row>
    <row r="42" spans="1:17" customFormat="1">
      <c r="A42" s="20" t="s">
        <v>99</v>
      </c>
      <c r="B42" s="178">
        <f>B19/(B47+B48)</f>
        <v>9.7426723453025818E-2</v>
      </c>
      <c r="C42" s="179" t="e">
        <f ca="1">C19/C47</f>
        <v>#DIV/0!</v>
      </c>
      <c r="D42" s="179" t="e">
        <f ca="1">D19/D47</f>
        <v>#DIV/0!</v>
      </c>
      <c r="E42" s="179" t="e">
        <f ca="1">E19/E47</f>
        <v>#DIV/0!</v>
      </c>
      <c r="F42" s="179" t="e">
        <f ca="1">F19/F47</f>
        <v>#DIV/0!</v>
      </c>
      <c r="G42" s="180" t="e">
        <f ca="1">G19/G47</f>
        <v>#DIV/0!</v>
      </c>
    </row>
    <row r="43" spans="1:17" ht="6" customHeight="1" thickBot="1">
      <c r="A43" s="17"/>
      <c r="B43" s="181"/>
      <c r="C43" s="182"/>
      <c r="D43" s="182"/>
      <c r="E43" s="182"/>
      <c r="F43" s="182"/>
      <c r="G43" s="183"/>
    </row>
    <row r="44" spans="1:17" ht="6" customHeight="1" thickBot="1">
      <c r="B44" s="7"/>
      <c r="C44" s="7"/>
      <c r="D44" s="7"/>
      <c r="E44" s="7"/>
      <c r="F44" s="7"/>
      <c r="G44" s="7"/>
      <c r="I44" s="184"/>
      <c r="J44" s="184"/>
      <c r="K44" s="184"/>
      <c r="L44" s="184"/>
      <c r="M44" s="184"/>
      <c r="N44" s="184"/>
      <c r="O44" s="184"/>
      <c r="P44" s="184"/>
    </row>
    <row r="45" spans="1:17" ht="15.75" thickBot="1">
      <c r="B45" s="165">
        <f>FirstYear</f>
        <v>2018</v>
      </c>
      <c r="C45" s="166">
        <f>B45+1</f>
        <v>2019</v>
      </c>
      <c r="D45" s="166">
        <f>C45+1</f>
        <v>2020</v>
      </c>
      <c r="E45" s="166">
        <f>D45+1</f>
        <v>2021</v>
      </c>
      <c r="F45" s="166">
        <f>E45+1</f>
        <v>2022</v>
      </c>
      <c r="G45" s="167">
        <f>F45+1</f>
        <v>2023</v>
      </c>
      <c r="I45" s="184"/>
      <c r="J45" s="184"/>
      <c r="K45" s="184"/>
      <c r="L45" s="184"/>
      <c r="M45" s="184"/>
      <c r="N45" s="184"/>
      <c r="O45" s="184"/>
      <c r="P45" s="184"/>
    </row>
    <row r="46" spans="1:17" ht="6" customHeight="1" thickBot="1">
      <c r="B46" s="195"/>
      <c r="C46" s="195"/>
      <c r="D46" s="195"/>
      <c r="E46" s="195"/>
      <c r="F46" s="195"/>
      <c r="G46" s="195"/>
      <c r="I46" s="188"/>
      <c r="J46" s="188"/>
      <c r="K46" s="188"/>
      <c r="L46" s="188"/>
      <c r="M46" s="188"/>
      <c r="N46" s="188"/>
      <c r="O46" s="188"/>
      <c r="P46" s="188"/>
      <c r="Q46" s="189"/>
    </row>
    <row r="47" spans="1:17" ht="15" customHeight="1">
      <c r="A47" s="1384" t="s">
        <v>830</v>
      </c>
      <c r="B47" s="185">
        <f t="shared" ref="B47:G47" si="17">B28*B$35</f>
        <v>10856.335650018653</v>
      </c>
      <c r="C47" s="186">
        <f t="shared" si="17"/>
        <v>10444.733860590941</v>
      </c>
      <c r="D47" s="186">
        <f t="shared" si="17"/>
        <v>10180.156762656932</v>
      </c>
      <c r="E47" s="186">
        <f t="shared" si="17"/>
        <v>10572.981191763902</v>
      </c>
      <c r="F47" s="186">
        <f t="shared" si="17"/>
        <v>10984.433156045443</v>
      </c>
      <c r="G47" s="187">
        <f t="shared" si="17"/>
        <v>11574.297216525085</v>
      </c>
      <c r="I47" s="188"/>
      <c r="J47" s="239"/>
      <c r="K47" s="239"/>
      <c r="L47" s="239"/>
      <c r="M47" s="239"/>
      <c r="N47" s="239"/>
      <c r="O47" s="239"/>
      <c r="P47" s="188"/>
      <c r="Q47" s="189"/>
    </row>
    <row r="48" spans="1:17" s="281" customFormat="1" ht="15" customHeight="1">
      <c r="A48" s="1383" t="s">
        <v>824</v>
      </c>
      <c r="B48" s="190">
        <f>'Input 4 - Forecast'!C21</f>
        <v>48.271190640000007</v>
      </c>
      <c r="C48" s="13">
        <f>'Input 4 - Forecast'!D21</f>
        <v>51.337460912386192</v>
      </c>
      <c r="D48" s="13">
        <f>'Input 4 - Forecast'!E21</f>
        <v>54.35210618984911</v>
      </c>
      <c r="E48" s="13">
        <f>'Input 4 - Forecast'!F21</f>
        <v>57.337010005215234</v>
      </c>
      <c r="F48" s="13">
        <f>'Input 4 - Forecast'!G21</f>
        <v>60.473394442922938</v>
      </c>
      <c r="G48" s="191">
        <f>'Input 4 - Forecast'!H21</f>
        <v>63.71294897394791</v>
      </c>
      <c r="I48" s="188"/>
      <c r="J48" s="188"/>
      <c r="K48" s="188"/>
      <c r="L48" s="188"/>
      <c r="M48" s="188"/>
      <c r="N48" s="188"/>
      <c r="O48" s="188"/>
      <c r="P48" s="188"/>
      <c r="Q48" s="189"/>
    </row>
    <row r="49" spans="1:17" ht="15" customHeight="1">
      <c r="A49" s="5" t="s">
        <v>69</v>
      </c>
      <c r="B49" s="190">
        <f t="shared" ref="B49:G49" si="18">B29*B$35</f>
        <v>10871.772800640847</v>
      </c>
      <c r="C49" s="13">
        <f t="shared" si="18"/>
        <v>11257.539277837317</v>
      </c>
      <c r="D49" s="13">
        <f t="shared" si="18"/>
        <v>11752.809072645199</v>
      </c>
      <c r="E49" s="13">
        <f t="shared" si="18"/>
        <v>10506.287973228846</v>
      </c>
      <c r="F49" s="13">
        <f t="shared" si="18"/>
        <v>10707.16404419088</v>
      </c>
      <c r="G49" s="191">
        <f t="shared" si="18"/>
        <v>11282.13875336393</v>
      </c>
      <c r="I49" s="188"/>
      <c r="J49" s="239"/>
      <c r="K49" s="239"/>
      <c r="L49" s="239"/>
      <c r="M49" s="239"/>
      <c r="N49" s="239"/>
      <c r="O49" s="239"/>
      <c r="P49" s="188"/>
      <c r="Q49" s="189"/>
    </row>
    <row r="50" spans="1:17" ht="15" customHeight="1">
      <c r="A50" s="3" t="s">
        <v>66</v>
      </c>
      <c r="B50" s="190">
        <f>'Input 4 - Forecast'!C24</f>
        <v>174.85657659911266</v>
      </c>
      <c r="C50" s="13">
        <f>'Input 4 - Forecast'!D24</f>
        <v>162.29082986591305</v>
      </c>
      <c r="D50" s="13">
        <f>'Input 4 - Forecast'!E24</f>
        <v>139.59781983027952</v>
      </c>
      <c r="E50" s="13">
        <f>'Input 4 - Forecast'!F24</f>
        <v>135.40250794027952</v>
      </c>
      <c r="F50" s="13">
        <f>'Input 4 - Forecast'!G24</f>
        <v>103.26669278984103</v>
      </c>
      <c r="G50" s="191">
        <f>'Input 4 - Forecast'!H24</f>
        <v>95.657544050000013</v>
      </c>
      <c r="I50" s="197" t="s">
        <v>87</v>
      </c>
      <c r="J50" s="239"/>
      <c r="K50" s="239"/>
      <c r="L50" s="239"/>
      <c r="M50" s="239"/>
      <c r="N50" s="239"/>
      <c r="O50" s="239"/>
      <c r="P50" s="188"/>
      <c r="Q50" s="189"/>
    </row>
    <row r="51" spans="1:17" ht="15" customHeight="1" thickBot="1">
      <c r="A51" s="198" t="s">
        <v>65</v>
      </c>
      <c r="B51" s="192">
        <f>('Input 4 - Forecast'!C25/'Input 4 - Forecast'!C$17)*B31</f>
        <v>36.103082014354982</v>
      </c>
      <c r="C51" s="193">
        <f>('Input 4 - Forecast'!D25/'Input 4 - Forecast'!D$17)*C31</f>
        <v>36.793459074872004</v>
      </c>
      <c r="D51" s="193">
        <f>('Input 4 - Forecast'!E25/'Input 4 - Forecast'!E$17)*D31</f>
        <v>28.352366134432003</v>
      </c>
      <c r="E51" s="193">
        <f>('Input 4 - Forecast'!F25/'Input 4 - Forecast'!F$17)*E31</f>
        <v>10.689095726641995</v>
      </c>
      <c r="F51" s="193">
        <f>('Input 4 - Forecast'!G25/'Input 4 - Forecast'!G$17)*F31</f>
        <v>0.23301181859500275</v>
      </c>
      <c r="G51" s="194">
        <f>('Input 4 - Forecast'!H25/'Input 4 - Forecast'!H$17)*G31</f>
        <v>0.22278209171348351</v>
      </c>
      <c r="I51" s="197" t="s">
        <v>85</v>
      </c>
      <c r="J51" s="239"/>
      <c r="K51" s="239"/>
      <c r="L51" s="239"/>
      <c r="M51" s="239"/>
      <c r="N51" s="239"/>
      <c r="O51" s="239"/>
      <c r="P51" s="188"/>
      <c r="Q51" s="189"/>
    </row>
    <row r="52" spans="1:17" ht="6" customHeight="1" thickBot="1">
      <c r="B52" s="195"/>
      <c r="C52" s="195"/>
      <c r="D52" s="195"/>
      <c r="E52" s="195"/>
      <c r="F52" s="195"/>
      <c r="G52" s="195"/>
      <c r="I52" s="199"/>
      <c r="J52" s="239"/>
      <c r="K52" s="239"/>
      <c r="L52" s="239"/>
      <c r="M52" s="239"/>
      <c r="N52" s="239"/>
      <c r="O52" s="239"/>
      <c r="P52" s="199"/>
    </row>
    <row r="53" spans="1:17">
      <c r="A53" s="196" t="s">
        <v>67</v>
      </c>
      <c r="B53" s="185">
        <f>'Input 4 - Forecast'!C27</f>
        <v>880.82751076386637</v>
      </c>
      <c r="C53" s="186">
        <f>'Input 4 - Forecast'!D27</f>
        <v>974.88479061012663</v>
      </c>
      <c r="D53" s="186">
        <f>'Input 4 - Forecast'!E27</f>
        <v>693.56222634999995</v>
      </c>
      <c r="E53" s="186">
        <f>'Input 4 - Forecast'!F27</f>
        <v>1100.0445500352976</v>
      </c>
      <c r="F53" s="186">
        <f>'Input 4 - Forecast'!G27</f>
        <v>305.67470971030548</v>
      </c>
      <c r="G53" s="187">
        <f>'Input 4 - Forecast'!H27</f>
        <v>259.28679624</v>
      </c>
      <c r="I53" s="197" t="s">
        <v>88</v>
      </c>
      <c r="J53" s="239"/>
      <c r="K53" s="239"/>
      <c r="L53" s="239"/>
      <c r="M53" s="239"/>
      <c r="N53" s="239"/>
      <c r="O53" s="239"/>
      <c r="P53" s="199"/>
    </row>
    <row r="54" spans="1:17" ht="15.75" thickBot="1">
      <c r="A54" s="198" t="s">
        <v>68</v>
      </c>
      <c r="B54" s="192">
        <f>('Input 4 - Forecast'!C28/'Input 4 - Forecast'!C$17)*B31</f>
        <v>3.4469856692949747</v>
      </c>
      <c r="C54" s="193">
        <f>('Input 4 - Forecast'!D28/'Input 4 - Forecast'!D$17)*C31</f>
        <v>0.42613768651699502</v>
      </c>
      <c r="D54" s="193">
        <f>('Input 4 - Forecast'!E28/'Input 4 - Forecast'!E$17)*D31</f>
        <v>613.46644681095995</v>
      </c>
      <c r="E54" s="193">
        <f>('Input 4 - Forecast'!F28/'Input 4 - Forecast'!F$17)*E31</f>
        <v>352.96984703798012</v>
      </c>
      <c r="F54" s="193">
        <f>('Input 4 - Forecast'!G28/'Input 4 - Forecast'!G$17)*F31</f>
        <v>0.34099085799599038</v>
      </c>
      <c r="G54" s="194">
        <f>('Input 4 - Forecast'!H28/'Input 4 - Forecast'!H$17)*G31</f>
        <v>0</v>
      </c>
      <c r="I54" s="197" t="s">
        <v>86</v>
      </c>
      <c r="J54" s="239"/>
      <c r="K54" s="239"/>
      <c r="L54" s="239"/>
      <c r="M54" s="239"/>
      <c r="N54" s="239"/>
      <c r="O54" s="239"/>
      <c r="P54" s="199"/>
    </row>
    <row r="55" spans="1:17" ht="15.75" thickBot="1">
      <c r="B55" s="195"/>
      <c r="C55" s="195"/>
      <c r="D55" s="195"/>
      <c r="E55" s="195"/>
      <c r="F55" s="195"/>
      <c r="G55" s="195"/>
      <c r="I55" s="199"/>
      <c r="J55" s="239"/>
      <c r="K55" s="239"/>
      <c r="L55" s="239"/>
      <c r="M55" s="239"/>
      <c r="N55" s="239"/>
      <c r="O55" s="239"/>
      <c r="P55" s="199"/>
    </row>
    <row r="56" spans="1:17" ht="15.75" thickBot="1">
      <c r="A56" s="200" t="s">
        <v>5</v>
      </c>
      <c r="B56" s="201">
        <f>'Input 4 - Forecast'!C30</f>
        <v>0</v>
      </c>
      <c r="C56" s="202">
        <f>'Input 4 - Forecast'!D30</f>
        <v>0</v>
      </c>
      <c r="D56" s="202">
        <f>'Input 4 - Forecast'!E30</f>
        <v>0</v>
      </c>
      <c r="E56" s="202">
        <f>'Input 4 - Forecast'!F30</f>
        <v>0</v>
      </c>
      <c r="F56" s="202">
        <f>'Input 4 - Forecast'!G30</f>
        <v>0</v>
      </c>
      <c r="G56" s="203">
        <f>'Input 4 - Forecast'!H30</f>
        <v>0</v>
      </c>
      <c r="I56" s="199"/>
      <c r="J56" s="239"/>
      <c r="K56" s="239"/>
      <c r="L56" s="239"/>
      <c r="M56" s="239"/>
      <c r="N56" s="239"/>
      <c r="O56" s="239"/>
      <c r="P56" s="199"/>
    </row>
    <row r="57" spans="1:17" ht="15.75" thickBot="1">
      <c r="B57" s="195"/>
      <c r="C57" s="195"/>
      <c r="D57" s="195"/>
      <c r="E57" s="195"/>
      <c r="F57" s="195"/>
      <c r="G57" s="195"/>
      <c r="I57" s="199"/>
      <c r="J57" s="239"/>
      <c r="K57" s="239"/>
      <c r="L57" s="239"/>
      <c r="M57" s="239"/>
      <c r="N57" s="239"/>
      <c r="O57" s="239"/>
      <c r="P57" s="199"/>
    </row>
    <row r="58" spans="1:17">
      <c r="A58" s="196" t="s">
        <v>47</v>
      </c>
      <c r="B58" s="185">
        <f>'Input 4 - Forecast'!C32</f>
        <v>0</v>
      </c>
      <c r="C58" s="186">
        <f ca="1">SUM(W119:W124,W138:W171,W214:W219,W233:W266,W307:W312)+Baseline!W282</f>
        <v>34.440056379275418</v>
      </c>
      <c r="D58" s="186">
        <f ca="1">SUM(X119:X124,X138:X171,X214:X219,X233:X266,X307:X312)+Baseline!X282</f>
        <v>77.130887604057605</v>
      </c>
      <c r="E58" s="186">
        <f ca="1">SUM(Y119:Y124,Y138:Y171,Y214:Y219,Y233:Y266,Y307:Y312)+Baseline!Y282</f>
        <v>132.56553412447781</v>
      </c>
      <c r="F58" s="186">
        <f ca="1">SUM(Z119:Z124,Z138:Z171,Z214:Z219,Z233:Z266,Z307:Z312)+Baseline!Z282</f>
        <v>200.21050097228257</v>
      </c>
      <c r="G58" s="187">
        <f ca="1">SUM(AA119:AA124,AA138:AA171,AA214:AA219,AA233:AA266,AA307:AA312)+Baseline!AA282</f>
        <v>222.13961639511245</v>
      </c>
      <c r="I58" s="199"/>
      <c r="J58" s="239"/>
      <c r="K58" s="239"/>
      <c r="L58" s="239"/>
      <c r="M58" s="239"/>
      <c r="N58" s="239"/>
      <c r="O58" s="239"/>
      <c r="P58" s="199"/>
    </row>
    <row r="59" spans="1:17">
      <c r="A59" s="5" t="s">
        <v>48</v>
      </c>
      <c r="B59" s="190">
        <f>'Input 4 - Forecast'!C33</f>
        <v>0</v>
      </c>
      <c r="C59" s="13">
        <f ca="1">SUM(W128:W133,W175:W210,W223:W229,W270:W303,Baseline!W283)*C31</f>
        <v>0</v>
      </c>
      <c r="D59" s="13">
        <f ca="1">SUM(X128:X133,X175:X210,X223:X229,X270:X303,Baseline!X283)*D31</f>
        <v>0</v>
      </c>
      <c r="E59" s="13">
        <f ca="1">SUM(Y128:Y133,Y175:Y210,Y223:Y229,Y270:Y303,Baseline!Y283)*E31</f>
        <v>0</v>
      </c>
      <c r="F59" s="13">
        <f ca="1">SUM(Z128:Z133,Z175:Z210,Z223:Z229,Z270:Z303,Baseline!Z283)*F31</f>
        <v>0</v>
      </c>
      <c r="G59" s="191">
        <f ca="1">SUM(AA128:AA133,AA175:AA210,AA223:AA229,AA270:AA303,Baseline!AA283)*G31</f>
        <v>0</v>
      </c>
      <c r="I59" s="199"/>
      <c r="J59" s="239"/>
      <c r="K59" s="239"/>
      <c r="L59" s="239"/>
      <c r="M59" s="239"/>
      <c r="N59" s="239"/>
      <c r="O59" s="239"/>
      <c r="P59" s="199"/>
    </row>
    <row r="60" spans="1:17">
      <c r="A60" s="5" t="s">
        <v>49</v>
      </c>
      <c r="B60" s="190">
        <f>'Input 4 - Forecast'!C34</f>
        <v>0</v>
      </c>
      <c r="C60" s="13">
        <f ca="1">SUM(P119:P124,P138:P171,P214:P219,P233:P266,P307:P312)</f>
        <v>934.00594810140706</v>
      </c>
      <c r="D60" s="13">
        <f ca="1">SUM(Q119:Q124,Q138:Q171,Q214:Q219,Q233:Q266,Q307:Q312)</f>
        <v>2063.9440003988129</v>
      </c>
      <c r="E60" s="13">
        <f ca="1">SUM(R119:R124,R138:R171,R214:R219,R233:R266,R307:R312)</f>
        <v>3599.8584846721669</v>
      </c>
      <c r="F60" s="13">
        <f ca="1">SUM(S119:S124,S138:S171,S214:S219,S233:S266,S307:S312)</f>
        <v>5182.0270039699781</v>
      </c>
      <c r="G60" s="191">
        <f ca="1">SUM(T119:T124,T138:T171,T214:T219,T233:T266,T307:T312)</f>
        <v>5702.6555279555942</v>
      </c>
      <c r="I60" s="199"/>
      <c r="J60" s="239"/>
      <c r="K60" s="239"/>
      <c r="L60" s="239"/>
      <c r="M60" s="239"/>
      <c r="N60" s="239"/>
      <c r="O60" s="239"/>
      <c r="P60" s="199"/>
    </row>
    <row r="61" spans="1:17" ht="15.75" thickBot="1">
      <c r="A61" s="198" t="s">
        <v>50</v>
      </c>
      <c r="B61" s="192">
        <f>'Input 4 - Forecast'!C35</f>
        <v>0</v>
      </c>
      <c r="C61" s="193">
        <f ca="1">SUM(P128:P134,P175:P210,P223:P229,P270:P303)*C31</f>
        <v>0</v>
      </c>
      <c r="D61" s="193">
        <f ca="1">SUM(Q128:Q134,Q175:Q210,Q223:Q229,Q270:Q303)*D31</f>
        <v>0</v>
      </c>
      <c r="E61" s="193">
        <f ca="1">SUM(R128:R134,R175:R210,R223:R229,R270:R303)*E31</f>
        <v>0</v>
      </c>
      <c r="F61" s="193">
        <f ca="1">SUM(S128:S134,S175:S210,S223:S229,S270:S303)*F31</f>
        <v>0</v>
      </c>
      <c r="G61" s="194">
        <f ca="1">SUM(T128:T134,T175:T210,T223:T229,T270:T303)*G31</f>
        <v>0</v>
      </c>
      <c r="I61" s="199"/>
      <c r="J61" s="239"/>
      <c r="K61" s="239"/>
      <c r="L61" s="239"/>
      <c r="M61" s="239"/>
      <c r="N61" s="239"/>
      <c r="O61" s="239"/>
      <c r="P61" s="199"/>
    </row>
    <row r="62" spans="1:17" ht="15.75" thickBot="1">
      <c r="B62" s="195"/>
      <c r="C62" s="195"/>
      <c r="D62" s="195"/>
      <c r="E62" s="195"/>
      <c r="F62" s="195"/>
      <c r="G62" s="195"/>
      <c r="I62" s="199"/>
      <c r="J62" s="199"/>
      <c r="K62" s="199"/>
      <c r="L62" s="199"/>
      <c r="M62" s="199"/>
      <c r="N62" s="199"/>
      <c r="O62" s="199"/>
      <c r="P62" s="199"/>
    </row>
    <row r="63" spans="1:17" ht="15.75" thickBot="1">
      <c r="A63" s="200" t="s">
        <v>4</v>
      </c>
      <c r="B63" s="1386">
        <f t="shared" ref="B63:G63" si="19">SUM(B49:B51,B53:B54,B56,B58:B61)-SUM(B47:B48)</f>
        <v>1062.4001150288241</v>
      </c>
      <c r="C63" s="1386">
        <f t="shared" ca="1" si="19"/>
        <v>2190.8804037295163</v>
      </c>
      <c r="D63" s="1386">
        <f t="shared" ca="1" si="19"/>
        <v>3692.0748880028705</v>
      </c>
      <c r="E63" s="1386">
        <f t="shared" ca="1" si="19"/>
        <v>5230.733670636645</v>
      </c>
      <c r="F63" s="1386">
        <f t="shared" ca="1" si="19"/>
        <v>5747.1621946222604</v>
      </c>
      <c r="G63" s="1387">
        <f t="shared" ca="1" si="19"/>
        <v>5988.3631898707063</v>
      </c>
      <c r="I63" s="199"/>
      <c r="J63" s="239"/>
      <c r="K63" s="239"/>
      <c r="L63" s="239"/>
      <c r="M63" s="239"/>
      <c r="N63" s="239"/>
      <c r="O63" s="199"/>
      <c r="P63" s="199"/>
    </row>
    <row r="64" spans="1:17" ht="15.75" thickBot="1">
      <c r="B64" s="195"/>
      <c r="C64" s="195"/>
      <c r="D64" s="195"/>
      <c r="E64" s="195"/>
      <c r="F64" s="195"/>
      <c r="G64" s="195"/>
      <c r="I64" s="199"/>
      <c r="J64" s="199"/>
      <c r="K64" s="199"/>
      <c r="L64" s="199"/>
      <c r="M64" s="199"/>
      <c r="N64" s="199"/>
      <c r="O64" s="199"/>
      <c r="P64" s="199"/>
    </row>
    <row r="65" spans="1:31">
      <c r="A65" s="1816" t="s">
        <v>1137</v>
      </c>
      <c r="B65" s="186">
        <f>'Input 4 - Forecast'!C39</f>
        <v>0</v>
      </c>
      <c r="C65" s="186">
        <f>'Input 4 - Forecast'!D39</f>
        <v>0</v>
      </c>
      <c r="D65" s="186">
        <f>'Input 4 - Forecast'!E39</f>
        <v>0</v>
      </c>
      <c r="E65" s="186">
        <f>'Input 4 - Forecast'!F39</f>
        <v>0</v>
      </c>
      <c r="F65" s="186">
        <f>'Input 4 - Forecast'!G39</f>
        <v>0</v>
      </c>
      <c r="G65" s="187">
        <f>'Input 4 - Forecast'!H39</f>
        <v>0</v>
      </c>
      <c r="I65" s="199"/>
      <c r="J65" s="199"/>
      <c r="K65" s="199"/>
      <c r="L65" s="199"/>
      <c r="M65" s="199"/>
      <c r="N65" s="199"/>
      <c r="O65" s="199"/>
      <c r="P65" s="199"/>
    </row>
    <row r="66" spans="1:31">
      <c r="A66" s="1817" t="s">
        <v>1138</v>
      </c>
      <c r="B66" s="13">
        <f>('Input 4 - Forecast'!C40/'Input 4 - Forecast'!C$17)*'Input 5 - Scenario Design'!E$48</f>
        <v>0</v>
      </c>
      <c r="C66" s="13">
        <f>('Input 4 - Forecast'!D40/'Input 4 - Forecast'!D$17)*'Input 5 - Scenario Design'!F$48</f>
        <v>0</v>
      </c>
      <c r="D66" s="13">
        <f>('Input 4 - Forecast'!E40/'Input 4 - Forecast'!E$17)*'Input 5 - Scenario Design'!G$48</f>
        <v>0</v>
      </c>
      <c r="E66" s="13">
        <f>('Input 4 - Forecast'!F40/'Input 4 - Forecast'!F$17)*'Input 5 - Scenario Design'!H$48</f>
        <v>0</v>
      </c>
      <c r="F66" s="13">
        <f>('Input 4 - Forecast'!G40/'Input 4 - Forecast'!G$17)*'Input 5 - Scenario Design'!I$48</f>
        <v>0</v>
      </c>
      <c r="G66" s="191">
        <f>('Input 4 - Forecast'!H40/'Input 4 - Forecast'!H$17)*'Input 5 - Scenario Design'!J$48</f>
        <v>0</v>
      </c>
      <c r="I66" s="197" t="s">
        <v>90</v>
      </c>
      <c r="J66" s="199"/>
      <c r="K66" s="199"/>
      <c r="L66" s="199"/>
      <c r="M66" s="199"/>
      <c r="N66" s="199"/>
      <c r="O66" s="199"/>
      <c r="P66" s="199"/>
    </row>
    <row r="67" spans="1:31">
      <c r="A67" s="1817" t="s">
        <v>8</v>
      </c>
      <c r="B67" s="13">
        <f>('Input 4 - Forecast'!C41/'Input 4 - Forecast'!C$17)*'Input 5 - Scenario Design'!E$48</f>
        <v>0</v>
      </c>
      <c r="C67" s="13">
        <f>('Input 4 - Forecast'!D41/'Input 4 - Forecast'!D$17)*'Input 5 - Scenario Design'!F$48</f>
        <v>0</v>
      </c>
      <c r="D67" s="13">
        <f>('Input 4 - Forecast'!E41/'Input 4 - Forecast'!E$17)*'Input 5 - Scenario Design'!G$48</f>
        <v>0</v>
      </c>
      <c r="E67" s="13">
        <f>('Input 4 - Forecast'!F41/'Input 4 - Forecast'!F$17)*'Input 5 - Scenario Design'!H$48</f>
        <v>0</v>
      </c>
      <c r="F67" s="13">
        <f>('Input 4 - Forecast'!G41/'Input 4 - Forecast'!G$17)*'Input 5 - Scenario Design'!I$48</f>
        <v>0</v>
      </c>
      <c r="G67" s="191">
        <f>('Input 4 - Forecast'!H41/'Input 4 - Forecast'!H$17)*'Input 5 - Scenario Design'!J$48</f>
        <v>0</v>
      </c>
      <c r="I67" s="197" t="s">
        <v>91</v>
      </c>
      <c r="J67" s="199"/>
      <c r="K67" s="199"/>
      <c r="L67" s="199"/>
      <c r="M67" s="199"/>
      <c r="N67" s="199"/>
      <c r="O67" s="199"/>
      <c r="P67" s="199"/>
    </row>
    <row r="68" spans="1:31">
      <c r="A68" s="1817" t="str">
        <f>'Input 2 - Data'!D31</f>
        <v>Please specify (1) (e.g., privatization receipts) (+ reduces financing needs)</v>
      </c>
      <c r="B68" s="13">
        <f>'Input 4 - Forecast'!C42</f>
        <v>0</v>
      </c>
      <c r="C68" s="13">
        <f>'Input 4 - Forecast'!D42</f>
        <v>0</v>
      </c>
      <c r="D68" s="13">
        <f>'Input 4 - Forecast'!E42</f>
        <v>0</v>
      </c>
      <c r="E68" s="13">
        <f>'Input 4 - Forecast'!F42</f>
        <v>0</v>
      </c>
      <c r="F68" s="13">
        <f>'Input 4 - Forecast'!G42</f>
        <v>0</v>
      </c>
      <c r="G68" s="191">
        <f>'Input 4 - Forecast'!H42</f>
        <v>0</v>
      </c>
      <c r="I68" s="199"/>
      <c r="J68" s="199"/>
      <c r="K68" s="199"/>
      <c r="L68" s="199"/>
      <c r="M68" s="199"/>
      <c r="N68" s="199"/>
      <c r="O68" s="199"/>
      <c r="P68" s="199"/>
    </row>
    <row r="69" spans="1:31" s="281" customFormat="1" ht="15.75" thickBot="1">
      <c r="A69" s="1818" t="str">
        <f>'Input 2 - Data'!D32</f>
        <v>Please specify (2) (e.g., other debt flows) (+ increases financing needs)</v>
      </c>
      <c r="B69" s="193">
        <f>'Input 4 - Forecast'!C43</f>
        <v>0</v>
      </c>
      <c r="C69" s="193">
        <f>'Input 4 - Forecast'!D43</f>
        <v>0</v>
      </c>
      <c r="D69" s="193">
        <f>'Input 4 - Forecast'!E43</f>
        <v>0</v>
      </c>
      <c r="E69" s="193">
        <f>'Input 4 - Forecast'!F43</f>
        <v>0</v>
      </c>
      <c r="F69" s="193">
        <f>'Input 4 - Forecast'!G43</f>
        <v>0</v>
      </c>
      <c r="G69" s="194">
        <f>'Input 4 - Forecast'!H43</f>
        <v>0</v>
      </c>
      <c r="I69" s="199"/>
      <c r="J69" s="199"/>
      <c r="K69" s="199"/>
      <c r="L69" s="199"/>
      <c r="M69" s="199"/>
      <c r="N69" s="199"/>
      <c r="O69" s="199"/>
      <c r="P69" s="199"/>
    </row>
    <row r="70" spans="1:31" ht="15.75" thickBot="1">
      <c r="B70" s="195"/>
      <c r="C70" s="195"/>
      <c r="D70" s="195"/>
      <c r="E70" s="195"/>
      <c r="F70" s="195"/>
      <c r="G70" s="195"/>
      <c r="I70" s="235"/>
      <c r="J70" s="235"/>
      <c r="K70" s="199"/>
      <c r="L70" s="199"/>
      <c r="M70" s="199"/>
      <c r="N70" s="199"/>
      <c r="O70" s="199"/>
      <c r="P70" s="199"/>
    </row>
    <row r="71" spans="1:31" ht="16.5" customHeight="1" thickBot="1">
      <c r="A71" s="200" t="s">
        <v>1141</v>
      </c>
      <c r="B71" s="202">
        <f t="shared" ref="B71:G71" si="20">B63-B65-B66-B67-B68+B69</f>
        <v>1062.4001150288241</v>
      </c>
      <c r="C71" s="202">
        <f t="shared" ca="1" si="20"/>
        <v>2190.8804037295163</v>
      </c>
      <c r="D71" s="202">
        <f t="shared" ca="1" si="20"/>
        <v>3692.0748880028705</v>
      </c>
      <c r="E71" s="202">
        <f t="shared" ca="1" si="20"/>
        <v>5230.733670636645</v>
      </c>
      <c r="F71" s="202">
        <f t="shared" ca="1" si="20"/>
        <v>5747.1621946222604</v>
      </c>
      <c r="G71" s="203">
        <f t="shared" ca="1" si="20"/>
        <v>5988.3631898707063</v>
      </c>
      <c r="I71" s="236"/>
      <c r="J71" s="236"/>
    </row>
    <row r="72" spans="1:31" ht="15.75" thickBot="1">
      <c r="A72" s="4"/>
      <c r="B72" s="13"/>
      <c r="C72" s="13"/>
      <c r="D72" s="13"/>
      <c r="E72" s="13"/>
      <c r="F72" s="13"/>
      <c r="G72" s="13"/>
      <c r="I72" s="184"/>
      <c r="J72" s="184"/>
      <c r="K72" s="184"/>
      <c r="L72" s="184"/>
      <c r="M72" s="184"/>
      <c r="N72" s="184"/>
      <c r="O72" s="184"/>
      <c r="P72" s="184"/>
    </row>
    <row r="73" spans="1:31" ht="82.5" customHeight="1" thickBot="1">
      <c r="A73" s="2" t="s">
        <v>1177</v>
      </c>
      <c r="B73" s="2041" t="s">
        <v>1181</v>
      </c>
      <c r="C73" s="2042"/>
      <c r="D73" s="2042"/>
      <c r="E73" s="2042"/>
      <c r="F73" s="2042"/>
      <c r="G73" s="2043"/>
      <c r="I73" s="204" t="s">
        <v>459</v>
      </c>
      <c r="J73" s="204" t="s">
        <v>38</v>
      </c>
      <c r="K73" s="205" t="s">
        <v>39</v>
      </c>
      <c r="L73" s="204" t="str">
        <f t="shared" ref="L73:Q73" si="21">CONCATENATE("Interest Rate on debt issued in ",B45)</f>
        <v>Interest Rate on debt issued in 2018</v>
      </c>
      <c r="M73" s="204" t="str">
        <f t="shared" si="21"/>
        <v>Interest Rate on debt issued in 2019</v>
      </c>
      <c r="N73" s="204" t="str">
        <f t="shared" si="21"/>
        <v>Interest Rate on debt issued in 2020</v>
      </c>
      <c r="O73" s="204" t="str">
        <f t="shared" si="21"/>
        <v>Interest Rate on debt issued in 2021</v>
      </c>
      <c r="P73" s="204" t="str">
        <f t="shared" si="21"/>
        <v>Interest Rate on debt issued in 2022</v>
      </c>
      <c r="Q73" s="204" t="str">
        <f t="shared" si="21"/>
        <v>Interest Rate on debt issued in 2023</v>
      </c>
    </row>
    <row r="74" spans="1:31">
      <c r="A74" s="206" t="s">
        <v>13</v>
      </c>
      <c r="B74" s="185"/>
      <c r="C74" s="186"/>
      <c r="D74" s="186"/>
      <c r="E74" s="186"/>
      <c r="F74" s="186"/>
      <c r="G74" s="187"/>
      <c r="I74" s="207"/>
      <c r="J74" s="207"/>
      <c r="K74" s="208"/>
      <c r="L74" s="208"/>
      <c r="M74" s="208"/>
      <c r="N74" s="208"/>
      <c r="O74" s="208"/>
      <c r="P74" s="208"/>
      <c r="Q74" s="209"/>
    </row>
    <row r="75" spans="1:31" ht="30">
      <c r="A75" s="210" t="s">
        <v>0</v>
      </c>
      <c r="B75" s="190">
        <f>('Input 4 - Forecast'!C56/'Input 4 - Forecast'!C$45)*MAX(B$71,0)</f>
        <v>0</v>
      </c>
      <c r="C75" s="13">
        <f ca="1">('Input 4 - Forecast'!D56/'Input 4 - Forecast'!D$45)*MAX(C$71,0)</f>
        <v>151</v>
      </c>
      <c r="D75" s="13">
        <f ca="1">('Input 4 - Forecast'!E56/'Input 4 - Forecast'!E$45)*MAX(D$71,0)</f>
        <v>151</v>
      </c>
      <c r="E75" s="13">
        <f ca="1">('Input 4 - Forecast'!F56/'Input 4 - Forecast'!F$45)*MAX(E$71,0)</f>
        <v>151</v>
      </c>
      <c r="F75" s="13">
        <f ca="1">('Input 4 - Forecast'!G56/'Input 4 - Forecast'!G$45)*MAX(F$71,0)</f>
        <v>151</v>
      </c>
      <c r="G75" s="191">
        <f ca="1">('Input 4 - Forecast'!H56/'Input 4 - Forecast'!H$45)*MAX(G$71,0)</f>
        <v>151</v>
      </c>
      <c r="I75" s="211" t="str">
        <f>'Input 4 - Forecast'!J56</f>
        <v>Semi-annual</v>
      </c>
      <c r="J75" s="211">
        <f>'Input 4 - Forecast'!K56</f>
        <v>0</v>
      </c>
      <c r="K75" s="19">
        <f>'Input 4 - Forecast'!L56</f>
        <v>0</v>
      </c>
      <c r="L75" s="212">
        <f>'Input 4 - Forecast'!M56+B$33/10000</f>
        <v>0</v>
      </c>
      <c r="M75" s="212">
        <f>'Input 4 - Forecast'!N56+C$33/10000</f>
        <v>7.1007506480822574E-3</v>
      </c>
      <c r="N75" s="212">
        <f>'Input 4 - Forecast'!O56+D$33/10000</f>
        <v>1.4545456510151461E-2</v>
      </c>
      <c r="O75" s="212">
        <f>'Input 4 - Forecast'!P56+E$33/10000</f>
        <v>0</v>
      </c>
      <c r="P75" s="212">
        <f>'Input 4 - Forecast'!Q56+F$33/10000</f>
        <v>0</v>
      </c>
      <c r="Q75" s="213">
        <f>'Input 4 - Forecast'!R56+G$33/10000</f>
        <v>0</v>
      </c>
      <c r="S75" s="240"/>
      <c r="T75" s="240"/>
      <c r="V75" s="240"/>
      <c r="W75" s="240"/>
      <c r="X75" s="240"/>
      <c r="Z75" s="241"/>
      <c r="AA75" s="241"/>
      <c r="AB75" s="241"/>
      <c r="AC75" s="241"/>
      <c r="AD75" s="241"/>
      <c r="AE75" s="241"/>
    </row>
    <row r="76" spans="1:31" ht="30">
      <c r="A76" s="210" t="s">
        <v>1</v>
      </c>
      <c r="B76" s="190">
        <f>('Input 4 - Forecast'!C57/'Input 4 - Forecast'!C$45)*MAX(B$71,0)</f>
        <v>0</v>
      </c>
      <c r="C76" s="13">
        <f ca="1">('Input 4 - Forecast'!D57/'Input 4 - Forecast'!D$45)*MAX(C$71,0)</f>
        <v>0</v>
      </c>
      <c r="D76" s="13">
        <f ca="1">('Input 4 - Forecast'!E57/'Input 4 - Forecast'!E$45)*MAX(D$71,0)</f>
        <v>0</v>
      </c>
      <c r="E76" s="13">
        <f ca="1">('Input 4 - Forecast'!F57/'Input 4 - Forecast'!F$45)*MAX(E$71,0)</f>
        <v>0</v>
      </c>
      <c r="F76" s="13">
        <f ca="1">('Input 4 - Forecast'!G57/'Input 4 - Forecast'!G$45)*MAX(F$71,0)</f>
        <v>0</v>
      </c>
      <c r="G76" s="191">
        <f ca="1">('Input 4 - Forecast'!H57/'Input 4 - Forecast'!H$45)*MAX(G$71,0)</f>
        <v>0</v>
      </c>
      <c r="I76" s="211" t="str">
        <f>'Input 4 - Forecast'!J57</f>
        <v>Semi-annual</v>
      </c>
      <c r="J76" s="211">
        <f>'Input 4 - Forecast'!K57</f>
        <v>0</v>
      </c>
      <c r="K76" s="19">
        <f>'Input 4 - Forecast'!L57</f>
        <v>0</v>
      </c>
      <c r="L76" s="212">
        <f>'Input 4 - Forecast'!M57+B$33/10000</f>
        <v>0</v>
      </c>
      <c r="M76" s="212">
        <f>'Input 4 - Forecast'!N57+C$33/10000</f>
        <v>7.1007506480822574E-3</v>
      </c>
      <c r="N76" s="212">
        <f>'Input 4 - Forecast'!O57+D$33/10000</f>
        <v>1.4545456510151461E-2</v>
      </c>
      <c r="O76" s="212">
        <f>'Input 4 - Forecast'!P57+E$33/10000</f>
        <v>0</v>
      </c>
      <c r="P76" s="212">
        <f>'Input 4 - Forecast'!Q57+F$33/10000</f>
        <v>0</v>
      </c>
      <c r="Q76" s="213">
        <f>'Input 4 - Forecast'!R57+G$33/10000</f>
        <v>0</v>
      </c>
      <c r="S76" s="240"/>
      <c r="T76" s="240"/>
      <c r="V76" s="240"/>
      <c r="W76" s="240"/>
      <c r="X76" s="240"/>
      <c r="Z76" s="241"/>
      <c r="AA76" s="241"/>
      <c r="AB76" s="241"/>
      <c r="AC76" s="241"/>
      <c r="AD76" s="241"/>
      <c r="AE76" s="241"/>
    </row>
    <row r="77" spans="1:31">
      <c r="A77" s="206" t="s">
        <v>14</v>
      </c>
      <c r="B77" s="190"/>
      <c r="C77" s="13"/>
      <c r="D77" s="13"/>
      <c r="E77" s="13"/>
      <c r="F77" s="13"/>
      <c r="G77" s="191"/>
      <c r="I77" s="211"/>
      <c r="J77" s="211"/>
      <c r="K77" s="19"/>
      <c r="L77" s="19"/>
      <c r="M77" s="19"/>
      <c r="N77" s="19"/>
      <c r="O77" s="19"/>
      <c r="P77" s="19"/>
      <c r="Q77" s="214"/>
      <c r="S77" s="240"/>
      <c r="T77" s="240"/>
      <c r="V77" s="240"/>
      <c r="W77" s="240"/>
      <c r="X77" s="240"/>
      <c r="Z77" s="241"/>
      <c r="AA77" s="241"/>
      <c r="AB77" s="241"/>
      <c r="AC77" s="241"/>
      <c r="AD77" s="241"/>
      <c r="AE77" s="241"/>
    </row>
    <row r="78" spans="1:31">
      <c r="A78" s="210" t="s">
        <v>0</v>
      </c>
      <c r="B78" s="190"/>
      <c r="C78" s="13"/>
      <c r="D78" s="13"/>
      <c r="E78" s="13"/>
      <c r="F78" s="13"/>
      <c r="G78" s="191"/>
      <c r="I78" s="211"/>
      <c r="J78" s="211"/>
      <c r="K78" s="19"/>
      <c r="L78" s="19"/>
      <c r="M78" s="19"/>
      <c r="N78" s="19"/>
      <c r="O78" s="19"/>
      <c r="P78" s="19"/>
      <c r="Q78" s="214"/>
      <c r="S78" s="240"/>
      <c r="T78" s="240"/>
      <c r="V78" s="240"/>
      <c r="W78" s="240"/>
      <c r="X78" s="240"/>
      <c r="Z78" s="241"/>
      <c r="AA78" s="241"/>
      <c r="AB78" s="241"/>
      <c r="AC78" s="241"/>
      <c r="AD78" s="241"/>
      <c r="AE78" s="241"/>
    </row>
    <row r="79" spans="1:31">
      <c r="A79" s="215" t="s">
        <v>18</v>
      </c>
      <c r="B79" s="190">
        <f>('Input 4 - Forecast'!C60/'Input 4 - Forecast'!C$45)*MAX(B$71,0)</f>
        <v>329.998670927072</v>
      </c>
      <c r="C79" s="13">
        <f ca="1">('Input 4 - Forecast'!D60/'Input 4 - Forecast'!D$45)*MAX(C$71,0)</f>
        <v>35</v>
      </c>
      <c r="D79" s="13">
        <f ca="1">('Input 4 - Forecast'!E60/'Input 4 - Forecast'!E$45)*MAX(D$71,0)</f>
        <v>40</v>
      </c>
      <c r="E79" s="13">
        <f ca="1">('Input 4 - Forecast'!F60/'Input 4 - Forecast'!F$45)*MAX(E$71,0)</f>
        <v>35</v>
      </c>
      <c r="F79" s="13">
        <f ca="1">('Input 4 - Forecast'!G60/'Input 4 - Forecast'!G$45)*MAX(F$71,0)</f>
        <v>40</v>
      </c>
      <c r="G79" s="191">
        <f ca="1">('Input 4 - Forecast'!H60/'Input 4 - Forecast'!H$45)*MAX(G$71,0)</f>
        <v>30.5</v>
      </c>
      <c r="I79" s="211" t="str">
        <f>'Input 4 - Forecast'!J60</f>
        <v>Annual</v>
      </c>
      <c r="J79" s="211">
        <f>'Input 4 - Forecast'!K60</f>
        <v>5</v>
      </c>
      <c r="K79" s="19">
        <f>'Input 4 - Forecast'!L60</f>
        <v>5</v>
      </c>
      <c r="L79" s="212">
        <f>'Input 4 - Forecast'!M60+B$33/10000</f>
        <v>5.0000000000000001E-3</v>
      </c>
      <c r="M79" s="212">
        <f>'Input 4 - Forecast'!N60+C$33/10000</f>
        <v>1.2100750648082258E-2</v>
      </c>
      <c r="N79" s="212">
        <f>'Input 4 - Forecast'!O60+D$33/10000</f>
        <v>2.4545456510151463E-2</v>
      </c>
      <c r="O79" s="212">
        <f>'Input 4 - Forecast'!P60+E$33/10000</f>
        <v>0.01</v>
      </c>
      <c r="P79" s="212">
        <f>'Input 4 - Forecast'!Q60+F$33/10000</f>
        <v>0.01</v>
      </c>
      <c r="Q79" s="213">
        <f>'Input 4 - Forecast'!R60+G$33/10000</f>
        <v>0.01</v>
      </c>
      <c r="S79" s="240"/>
      <c r="T79" s="240"/>
      <c r="V79" s="240"/>
      <c r="W79" s="240"/>
      <c r="X79" s="240"/>
      <c r="Z79" s="241"/>
      <c r="AA79" s="241"/>
      <c r="AB79" s="241"/>
      <c r="AC79" s="241"/>
      <c r="AD79" s="241"/>
      <c r="AE79" s="241"/>
    </row>
    <row r="80" spans="1:31">
      <c r="A80" s="215" t="s">
        <v>19</v>
      </c>
      <c r="B80" s="190">
        <f>('Input 4 - Forecast'!C61/'Input 4 - Forecast'!C$45)*MAX(B$71,0)</f>
        <v>0</v>
      </c>
      <c r="C80" s="13">
        <f ca="1">('Input 4 - Forecast'!D61/'Input 4 - Forecast'!D$45)*MAX(C$71,0)</f>
        <v>45</v>
      </c>
      <c r="D80" s="13">
        <f ca="1">('Input 4 - Forecast'!E61/'Input 4 - Forecast'!E$45)*MAX(D$71,0)</f>
        <v>48</v>
      </c>
      <c r="E80" s="13">
        <f ca="1">('Input 4 - Forecast'!F61/'Input 4 - Forecast'!F$45)*MAX(E$71,0)</f>
        <v>40</v>
      </c>
      <c r="F80" s="13">
        <f ca="1">('Input 4 - Forecast'!G61/'Input 4 - Forecast'!G$45)*MAX(F$71,0)</f>
        <v>45</v>
      </c>
      <c r="G80" s="191">
        <f ca="1">('Input 4 - Forecast'!H61/'Input 4 - Forecast'!H$45)*MAX(G$71,0)</f>
        <v>38.319187942158827</v>
      </c>
      <c r="I80" s="211" t="str">
        <f>'Input 4 - Forecast'!J61</f>
        <v>Annual</v>
      </c>
      <c r="J80" s="211">
        <f>'Input 4 - Forecast'!K61</f>
        <v>0</v>
      </c>
      <c r="K80" s="19">
        <f>'Input 4 - Forecast'!L61</f>
        <v>0</v>
      </c>
      <c r="L80" s="212">
        <f>'Input 4 - Forecast'!M61+B$33/10000</f>
        <v>0</v>
      </c>
      <c r="M80" s="212">
        <f>'Input 4 - Forecast'!N61+C$33/10000</f>
        <v>7.1007506480822574E-3</v>
      </c>
      <c r="N80" s="212">
        <f>'Input 4 - Forecast'!O61+D$33/10000</f>
        <v>1.4545456510151461E-2</v>
      </c>
      <c r="O80" s="212">
        <f>'Input 4 - Forecast'!P61+E$33/10000</f>
        <v>0</v>
      </c>
      <c r="P80" s="212">
        <f>'Input 4 - Forecast'!Q61+F$33/10000</f>
        <v>0</v>
      </c>
      <c r="Q80" s="213">
        <f>'Input 4 - Forecast'!R61+G$33/10000</f>
        <v>0</v>
      </c>
      <c r="S80" s="240"/>
      <c r="T80" s="240"/>
      <c r="V80" s="240"/>
      <c r="W80" s="240"/>
      <c r="X80" s="240"/>
      <c r="Z80" s="241"/>
      <c r="AA80" s="241"/>
      <c r="AB80" s="241"/>
      <c r="AC80" s="241"/>
      <c r="AD80" s="241"/>
      <c r="AE80" s="241"/>
    </row>
    <row r="81" spans="1:31">
      <c r="A81" s="215" t="s">
        <v>20</v>
      </c>
      <c r="B81" s="190">
        <f>('Input 4 - Forecast'!C62/'Input 4 - Forecast'!C$45)*MAX(B$71,0)</f>
        <v>0</v>
      </c>
      <c r="C81" s="13">
        <f ca="1">('Input 4 - Forecast'!D62/'Input 4 - Forecast'!D$45)*MAX(C$71,0)</f>
        <v>57.5</v>
      </c>
      <c r="D81" s="13">
        <f ca="1">('Input 4 - Forecast'!E62/'Input 4 - Forecast'!E$45)*MAX(D$71,0)</f>
        <v>59.6</v>
      </c>
      <c r="E81" s="13">
        <f ca="1">('Input 4 - Forecast'!F62/'Input 4 - Forecast'!F$45)*MAX(E$71,0)</f>
        <v>48</v>
      </c>
      <c r="F81" s="13">
        <f ca="1">('Input 4 - Forecast'!G62/'Input 4 - Forecast'!G$45)*MAX(F$71,0)</f>
        <v>53.500000000000007</v>
      </c>
      <c r="G81" s="191">
        <f ca="1">('Input 4 - Forecast'!H62/'Input 4 - Forecast'!H$45)*MAX(G$71,0)</f>
        <v>55.4</v>
      </c>
      <c r="I81" s="211" t="str">
        <f>'Input 4 - Forecast'!J62</f>
        <v>Annual</v>
      </c>
      <c r="J81" s="211">
        <f>'Input 4 - Forecast'!K62</f>
        <v>0</v>
      </c>
      <c r="K81" s="19">
        <f>'Input 4 - Forecast'!L62</f>
        <v>0</v>
      </c>
      <c r="L81" s="212">
        <f>'Input 4 - Forecast'!M62+B$33/10000</f>
        <v>0</v>
      </c>
      <c r="M81" s="212">
        <f>'Input 4 - Forecast'!N62+C$33/10000</f>
        <v>7.1007506480822574E-3</v>
      </c>
      <c r="N81" s="212">
        <f>'Input 4 - Forecast'!O62+D$33/10000</f>
        <v>1.4545456510151461E-2</v>
      </c>
      <c r="O81" s="212">
        <f>'Input 4 - Forecast'!P62+E$33/10000</f>
        <v>0</v>
      </c>
      <c r="P81" s="212">
        <f>'Input 4 - Forecast'!Q62+F$33/10000</f>
        <v>0</v>
      </c>
      <c r="Q81" s="213">
        <f>'Input 4 - Forecast'!R62+G$33/10000</f>
        <v>0</v>
      </c>
      <c r="S81" s="240"/>
      <c r="T81" s="240"/>
      <c r="V81" s="240"/>
      <c r="W81" s="240"/>
      <c r="X81" s="240"/>
      <c r="Z81" s="241"/>
      <c r="AA81" s="241"/>
      <c r="AB81" s="241"/>
      <c r="AC81" s="241"/>
      <c r="AD81" s="241"/>
      <c r="AE81" s="241"/>
    </row>
    <row r="82" spans="1:31">
      <c r="A82" s="215" t="s">
        <v>21</v>
      </c>
      <c r="B82" s="190">
        <f>('Input 4 - Forecast'!C63/'Input 4 - Forecast'!C$45)*MAX(B$71,0)</f>
        <v>0</v>
      </c>
      <c r="C82" s="13">
        <f ca="1">('Input 4 - Forecast'!D63/'Input 4 - Forecast'!D$45)*MAX(C$71,0)</f>
        <v>94</v>
      </c>
      <c r="D82" s="13">
        <f ca="1">('Input 4 - Forecast'!E63/'Input 4 - Forecast'!E$45)*MAX(D$71,0)</f>
        <v>91</v>
      </c>
      <c r="E82" s="13">
        <f ca="1">('Input 4 - Forecast'!F63/'Input 4 - Forecast'!F$45)*MAX(E$71,0)</f>
        <v>90.000000000000014</v>
      </c>
      <c r="F82" s="13">
        <f ca="1">('Input 4 - Forecast'!G63/'Input 4 - Forecast'!G$45)*MAX(F$71,0)</f>
        <v>90</v>
      </c>
      <c r="G82" s="191">
        <f ca="1">('Input 4 - Forecast'!H63/'Input 4 - Forecast'!H$45)*MAX(G$71,0)</f>
        <v>90</v>
      </c>
      <c r="I82" s="211" t="str">
        <f>'Input 4 - Forecast'!J63</f>
        <v>Annual</v>
      </c>
      <c r="J82" s="211">
        <f>'Input 4 - Forecast'!K63</f>
        <v>0</v>
      </c>
      <c r="K82" s="19">
        <f>'Input 4 - Forecast'!L63</f>
        <v>0</v>
      </c>
      <c r="L82" s="212">
        <f>'Input 4 - Forecast'!M63+B$33/10000</f>
        <v>0</v>
      </c>
      <c r="M82" s="212">
        <f>'Input 4 - Forecast'!N63+C$33/10000</f>
        <v>7.1007506480822574E-3</v>
      </c>
      <c r="N82" s="212">
        <f>'Input 4 - Forecast'!O63+D$33/10000</f>
        <v>1.4545456510151461E-2</v>
      </c>
      <c r="O82" s="212">
        <f>'Input 4 - Forecast'!P63+E$33/10000</f>
        <v>0</v>
      </c>
      <c r="P82" s="212">
        <f>'Input 4 - Forecast'!Q63+F$33/10000</f>
        <v>0</v>
      </c>
      <c r="Q82" s="213">
        <f>'Input 4 - Forecast'!R63+G$33/10000</f>
        <v>0</v>
      </c>
      <c r="S82" s="240"/>
      <c r="T82" s="240"/>
      <c r="V82" s="240"/>
      <c r="W82" s="240"/>
      <c r="X82" s="240"/>
      <c r="Z82" s="241"/>
      <c r="AA82" s="241"/>
      <c r="AB82" s="241"/>
      <c r="AC82" s="241"/>
      <c r="AD82" s="241"/>
      <c r="AE82" s="241"/>
    </row>
    <row r="83" spans="1:31">
      <c r="A83" s="215" t="s">
        <v>22</v>
      </c>
      <c r="B83" s="190">
        <f>('Input 4 - Forecast'!C64/'Input 4 - Forecast'!C$45)*MAX(B$71,0)</f>
        <v>0</v>
      </c>
      <c r="C83" s="13">
        <f ca="1">('Input 4 - Forecast'!D64/'Input 4 - Forecast'!D$45)*MAX(C$71,0)</f>
        <v>0</v>
      </c>
      <c r="D83" s="13">
        <f ca="1">('Input 4 - Forecast'!E64/'Input 4 - Forecast'!E$45)*MAX(D$71,0)</f>
        <v>0</v>
      </c>
      <c r="E83" s="13">
        <f ca="1">('Input 4 - Forecast'!F64/'Input 4 - Forecast'!F$45)*MAX(E$71,0)</f>
        <v>0</v>
      </c>
      <c r="F83" s="13">
        <f ca="1">('Input 4 - Forecast'!G64/'Input 4 - Forecast'!G$45)*MAX(F$71,0)</f>
        <v>0</v>
      </c>
      <c r="G83" s="191">
        <f ca="1">('Input 4 - Forecast'!H64/'Input 4 - Forecast'!H$45)*MAX(G$71,0)</f>
        <v>0</v>
      </c>
      <c r="I83" s="211"/>
      <c r="J83" s="211">
        <f>'Input 4 - Forecast'!K64</f>
        <v>0</v>
      </c>
      <c r="K83" s="19">
        <f>'Input 4 - Forecast'!L64</f>
        <v>0</v>
      </c>
      <c r="L83" s="212">
        <f>'Input 4 - Forecast'!M64+B$33/10000</f>
        <v>0</v>
      </c>
      <c r="M83" s="212">
        <f>'Input 4 - Forecast'!N64+C$33/10000</f>
        <v>7.1007506480822574E-3</v>
      </c>
      <c r="N83" s="212">
        <f>'Input 4 - Forecast'!O64+D$33/10000</f>
        <v>1.4545456510151461E-2</v>
      </c>
      <c r="O83" s="212">
        <f>'Input 4 - Forecast'!P64+E$33/10000</f>
        <v>0</v>
      </c>
      <c r="P83" s="212">
        <f>'Input 4 - Forecast'!Q64+F$33/10000</f>
        <v>0</v>
      </c>
      <c r="Q83" s="213">
        <f>'Input 4 - Forecast'!R64+G$33/10000</f>
        <v>0</v>
      </c>
      <c r="S83" s="240"/>
      <c r="T83" s="240"/>
      <c r="V83" s="240"/>
      <c r="W83" s="240"/>
      <c r="X83" s="240"/>
      <c r="Z83" s="241"/>
      <c r="AA83" s="241"/>
      <c r="AB83" s="241"/>
      <c r="AC83" s="241"/>
      <c r="AD83" s="241"/>
      <c r="AE83" s="241"/>
    </row>
    <row r="84" spans="1:31">
      <c r="A84" s="210" t="s">
        <v>1</v>
      </c>
      <c r="B84" s="190"/>
      <c r="C84" s="13"/>
      <c r="D84" s="13"/>
      <c r="E84" s="13"/>
      <c r="F84" s="13"/>
      <c r="G84" s="191"/>
      <c r="I84" s="211"/>
      <c r="J84" s="211"/>
      <c r="K84" s="19"/>
      <c r="L84" s="19"/>
      <c r="M84" s="19"/>
      <c r="N84" s="19"/>
      <c r="O84" s="19"/>
      <c r="P84" s="19"/>
      <c r="Q84" s="214"/>
      <c r="S84" s="240"/>
      <c r="T84" s="240"/>
      <c r="V84" s="240"/>
      <c r="W84" s="240"/>
      <c r="X84" s="240"/>
      <c r="Z84" s="241"/>
      <c r="AA84" s="241"/>
      <c r="AB84" s="241"/>
      <c r="AC84" s="241"/>
      <c r="AD84" s="241"/>
      <c r="AE84" s="241"/>
    </row>
    <row r="85" spans="1:31">
      <c r="A85" s="215" t="s">
        <v>23</v>
      </c>
      <c r="B85" s="190">
        <f>('Input 4 - Forecast'!C66/'Input 4 - Forecast'!C$45)*MAX(B$71,0)</f>
        <v>0</v>
      </c>
      <c r="C85" s="13">
        <f ca="1">('Input 4 - Forecast'!D66/'Input 4 - Forecast'!D$45)*MAX(C$71,0)</f>
        <v>0</v>
      </c>
      <c r="D85" s="13">
        <f ca="1">('Input 4 - Forecast'!E66/'Input 4 - Forecast'!E$45)*MAX(D$71,0)</f>
        <v>0</v>
      </c>
      <c r="E85" s="13">
        <f ca="1">('Input 4 - Forecast'!F66/'Input 4 - Forecast'!F$45)*MAX(E$71,0)</f>
        <v>0</v>
      </c>
      <c r="F85" s="13">
        <f ca="1">('Input 4 - Forecast'!G66/'Input 4 - Forecast'!G$45)*MAX(F$71,0)</f>
        <v>0</v>
      </c>
      <c r="G85" s="191">
        <f ca="1">('Input 4 - Forecast'!H66/'Input 4 - Forecast'!H$45)*MAX(G$71,0)</f>
        <v>0</v>
      </c>
      <c r="I85" s="211" t="str">
        <f>'Input 4 - Forecast'!J66</f>
        <v>Annual</v>
      </c>
      <c r="J85" s="211">
        <f>'Input 4 - Forecast'!K66</f>
        <v>0</v>
      </c>
      <c r="K85" s="19">
        <f>'Input 4 - Forecast'!L66</f>
        <v>0</v>
      </c>
      <c r="L85" s="212">
        <f>'Input 4 - Forecast'!M66+B$33/10000</f>
        <v>0</v>
      </c>
      <c r="M85" s="212">
        <f>'Input 4 - Forecast'!N66+C$33/10000</f>
        <v>7.1007506480822574E-3</v>
      </c>
      <c r="N85" s="212">
        <f>'Input 4 - Forecast'!O66+D$33/10000</f>
        <v>1.4545456510151461E-2</v>
      </c>
      <c r="O85" s="212">
        <f>'Input 4 - Forecast'!P66+E$33/10000</f>
        <v>0</v>
      </c>
      <c r="P85" s="212">
        <f>'Input 4 - Forecast'!Q66+F$33/10000</f>
        <v>0</v>
      </c>
      <c r="Q85" s="213">
        <f>'Input 4 - Forecast'!R66+G$33/10000</f>
        <v>0</v>
      </c>
      <c r="S85" s="240"/>
      <c r="T85" s="240"/>
      <c r="V85" s="240"/>
      <c r="W85" s="240"/>
      <c r="X85" s="240"/>
      <c r="Z85" s="241"/>
      <c r="AA85" s="241"/>
      <c r="AB85" s="241"/>
      <c r="AC85" s="241"/>
      <c r="AD85" s="241"/>
      <c r="AE85" s="241"/>
    </row>
    <row r="86" spans="1:31">
      <c r="A86" s="215" t="s">
        <v>24</v>
      </c>
      <c r="B86" s="190">
        <f>('Input 4 - Forecast'!C67/'Input 4 - Forecast'!C$45)*MAX(B$71,0)</f>
        <v>0</v>
      </c>
      <c r="C86" s="13">
        <f ca="1">('Input 4 - Forecast'!D67/'Input 4 - Forecast'!D$45)*MAX(C$71,0)</f>
        <v>0</v>
      </c>
      <c r="D86" s="13">
        <f ca="1">('Input 4 - Forecast'!E67/'Input 4 - Forecast'!E$45)*MAX(D$71,0)</f>
        <v>0</v>
      </c>
      <c r="E86" s="13">
        <f ca="1">('Input 4 - Forecast'!F67/'Input 4 - Forecast'!F$45)*MAX(E$71,0)</f>
        <v>0</v>
      </c>
      <c r="F86" s="13">
        <f ca="1">('Input 4 - Forecast'!G67/'Input 4 - Forecast'!G$45)*MAX(F$71,0)</f>
        <v>0</v>
      </c>
      <c r="G86" s="191">
        <f ca="1">('Input 4 - Forecast'!H67/'Input 4 - Forecast'!H$45)*MAX(G$71,0)</f>
        <v>0</v>
      </c>
      <c r="I86" s="211" t="str">
        <f>'Input 4 - Forecast'!J67</f>
        <v>Annual</v>
      </c>
      <c r="J86" s="211">
        <f>'Input 4 - Forecast'!K67</f>
        <v>0</v>
      </c>
      <c r="K86" s="19">
        <f>'Input 4 - Forecast'!L67</f>
        <v>0</v>
      </c>
      <c r="L86" s="212">
        <f>'Input 4 - Forecast'!M67+B$33/10000</f>
        <v>0</v>
      </c>
      <c r="M86" s="212">
        <f>'Input 4 - Forecast'!N67+C$33/10000</f>
        <v>7.1007506480822574E-3</v>
      </c>
      <c r="N86" s="212">
        <f>'Input 4 - Forecast'!O67+D$33/10000</f>
        <v>1.4545456510151461E-2</v>
      </c>
      <c r="O86" s="212">
        <f>'Input 4 - Forecast'!P67+E$33/10000</f>
        <v>0</v>
      </c>
      <c r="P86" s="212">
        <f>'Input 4 - Forecast'!Q67+F$33/10000</f>
        <v>0</v>
      </c>
      <c r="Q86" s="213">
        <f>'Input 4 - Forecast'!R67+G$33/10000</f>
        <v>0</v>
      </c>
      <c r="S86" s="240"/>
      <c r="T86" s="240"/>
      <c r="V86" s="240"/>
      <c r="W86" s="240"/>
      <c r="X86" s="240"/>
      <c r="Z86" s="241"/>
      <c r="AA86" s="241"/>
      <c r="AB86" s="241"/>
      <c r="AC86" s="241"/>
      <c r="AD86" s="241"/>
      <c r="AE86" s="241"/>
    </row>
    <row r="87" spans="1:31">
      <c r="A87" s="215" t="s">
        <v>25</v>
      </c>
      <c r="B87" s="190">
        <f>('Input 4 - Forecast'!C68/'Input 4 - Forecast'!C$45)*MAX(B$71,0)</f>
        <v>0</v>
      </c>
      <c r="C87" s="13">
        <f ca="1">('Input 4 - Forecast'!D68/'Input 4 - Forecast'!D$45)*MAX(C$71,0)</f>
        <v>0</v>
      </c>
      <c r="D87" s="13">
        <f ca="1">('Input 4 - Forecast'!E68/'Input 4 - Forecast'!E$45)*MAX(D$71,0)</f>
        <v>0</v>
      </c>
      <c r="E87" s="13">
        <f ca="1">('Input 4 - Forecast'!F68/'Input 4 - Forecast'!F$45)*MAX(E$71,0)</f>
        <v>0</v>
      </c>
      <c r="F87" s="13">
        <f ca="1">('Input 4 - Forecast'!G68/'Input 4 - Forecast'!G$45)*MAX(F$71,0)</f>
        <v>0</v>
      </c>
      <c r="G87" s="191">
        <f ca="1">('Input 4 - Forecast'!H68/'Input 4 - Forecast'!H$45)*MAX(G$71,0)</f>
        <v>0</v>
      </c>
      <c r="I87" s="211" t="str">
        <f>'Input 4 - Forecast'!J68</f>
        <v>Annual</v>
      </c>
      <c r="J87" s="211">
        <f>'Input 4 - Forecast'!K68</f>
        <v>0</v>
      </c>
      <c r="K87" s="19">
        <f>'Input 4 - Forecast'!L68</f>
        <v>0</v>
      </c>
      <c r="L87" s="212">
        <f>'Input 4 - Forecast'!M68+B$33/10000</f>
        <v>0</v>
      </c>
      <c r="M87" s="212">
        <f>'Input 4 - Forecast'!N68+C$33/10000</f>
        <v>7.1007506480822574E-3</v>
      </c>
      <c r="N87" s="212">
        <f>'Input 4 - Forecast'!O68+D$33/10000</f>
        <v>1.4545456510151461E-2</v>
      </c>
      <c r="O87" s="212">
        <f>'Input 4 - Forecast'!P68+E$33/10000</f>
        <v>0</v>
      </c>
      <c r="P87" s="212">
        <f>'Input 4 - Forecast'!Q68+F$33/10000</f>
        <v>0</v>
      </c>
      <c r="Q87" s="213">
        <f>'Input 4 - Forecast'!R68+G$33/10000</f>
        <v>0</v>
      </c>
      <c r="S87" s="240"/>
      <c r="T87" s="240"/>
      <c r="V87" s="240"/>
      <c r="W87" s="240"/>
      <c r="X87" s="240"/>
      <c r="Z87" s="241"/>
      <c r="AA87" s="241"/>
      <c r="AB87" s="241"/>
      <c r="AC87" s="241"/>
      <c r="AD87" s="241"/>
      <c r="AE87" s="241"/>
    </row>
    <row r="88" spans="1:31">
      <c r="A88" s="215" t="s">
        <v>26</v>
      </c>
      <c r="B88" s="190">
        <f>('Input 4 - Forecast'!C69/'Input 4 - Forecast'!C$45)*MAX(B$71,0)</f>
        <v>0</v>
      </c>
      <c r="C88" s="13">
        <f ca="1">('Input 4 - Forecast'!D69/'Input 4 - Forecast'!D$45)*MAX(C$71,0)</f>
        <v>0</v>
      </c>
      <c r="D88" s="13">
        <f ca="1">('Input 4 - Forecast'!E69/'Input 4 - Forecast'!E$45)*MAX(D$71,0)</f>
        <v>0</v>
      </c>
      <c r="E88" s="13">
        <f ca="1">('Input 4 - Forecast'!F69/'Input 4 - Forecast'!F$45)*MAX(E$71,0)</f>
        <v>0</v>
      </c>
      <c r="F88" s="13">
        <f ca="1">('Input 4 - Forecast'!G69/'Input 4 - Forecast'!G$45)*MAX(F$71,0)</f>
        <v>0</v>
      </c>
      <c r="G88" s="191">
        <f ca="1">('Input 4 - Forecast'!H69/'Input 4 - Forecast'!H$45)*MAX(G$71,0)</f>
        <v>0</v>
      </c>
      <c r="I88" s="211" t="str">
        <f>'Input 4 - Forecast'!J69</f>
        <v>Annual</v>
      </c>
      <c r="J88" s="211">
        <f>'Input 4 - Forecast'!K69</f>
        <v>0</v>
      </c>
      <c r="K88" s="19">
        <f>'Input 4 - Forecast'!L69</f>
        <v>0</v>
      </c>
      <c r="L88" s="212">
        <f>'Input 4 - Forecast'!M69+B$33/10000</f>
        <v>0</v>
      </c>
      <c r="M88" s="212">
        <f>'Input 4 - Forecast'!N69+C$33/10000</f>
        <v>7.1007506480822574E-3</v>
      </c>
      <c r="N88" s="212">
        <f>'Input 4 - Forecast'!O69+D$33/10000</f>
        <v>1.4545456510151461E-2</v>
      </c>
      <c r="O88" s="212">
        <f>'Input 4 - Forecast'!P69+E$33/10000</f>
        <v>0</v>
      </c>
      <c r="P88" s="212">
        <f>'Input 4 - Forecast'!Q69+F$33/10000</f>
        <v>0</v>
      </c>
      <c r="Q88" s="213">
        <f>'Input 4 - Forecast'!R69+G$33/10000</f>
        <v>0</v>
      </c>
      <c r="S88" s="240"/>
      <c r="T88" s="240"/>
      <c r="V88" s="240"/>
      <c r="W88" s="240"/>
      <c r="X88" s="240"/>
      <c r="Z88" s="241"/>
      <c r="AA88" s="241"/>
      <c r="AB88" s="241"/>
      <c r="AC88" s="241"/>
      <c r="AD88" s="241"/>
      <c r="AE88" s="241"/>
    </row>
    <row r="89" spans="1:31">
      <c r="A89" s="215" t="s">
        <v>27</v>
      </c>
      <c r="B89" s="190">
        <f>('Input 4 - Forecast'!C70/'Input 4 - Forecast'!C$45)*MAX(B$71,0)</f>
        <v>0</v>
      </c>
      <c r="C89" s="13">
        <f ca="1">('Input 4 - Forecast'!D70/'Input 4 - Forecast'!D$45)*MAX(C$71,0)</f>
        <v>0</v>
      </c>
      <c r="D89" s="13">
        <f ca="1">('Input 4 - Forecast'!E70/'Input 4 - Forecast'!E$45)*MAX(D$71,0)</f>
        <v>0</v>
      </c>
      <c r="E89" s="13">
        <f ca="1">('Input 4 - Forecast'!F70/'Input 4 - Forecast'!F$45)*MAX(E$71,0)</f>
        <v>0</v>
      </c>
      <c r="F89" s="13">
        <f ca="1">('Input 4 - Forecast'!G70/'Input 4 - Forecast'!G$45)*MAX(F$71,0)</f>
        <v>0</v>
      </c>
      <c r="G89" s="191">
        <f ca="1">('Input 4 - Forecast'!H70/'Input 4 - Forecast'!H$45)*MAX(G$71,0)</f>
        <v>0</v>
      </c>
      <c r="I89" s="211"/>
      <c r="J89" s="211">
        <f>'Input 4 - Forecast'!K70</f>
        <v>0</v>
      </c>
      <c r="K89" s="19">
        <f>'Input 4 - Forecast'!L70</f>
        <v>0</v>
      </c>
      <c r="L89" s="212">
        <f>'Input 4 - Forecast'!M70+B$33/10000</f>
        <v>0</v>
      </c>
      <c r="M89" s="212">
        <f>'Input 4 - Forecast'!N70+C$33/10000</f>
        <v>7.1007506480822574E-3</v>
      </c>
      <c r="N89" s="212">
        <f>'Input 4 - Forecast'!O70+D$33/10000</f>
        <v>1.4545456510151461E-2</v>
      </c>
      <c r="O89" s="212">
        <f>'Input 4 - Forecast'!P70+E$33/10000</f>
        <v>0</v>
      </c>
      <c r="P89" s="212">
        <f>'Input 4 - Forecast'!Q70+F$33/10000</f>
        <v>0</v>
      </c>
      <c r="Q89" s="213">
        <f>'Input 4 - Forecast'!R70+G$33/10000</f>
        <v>0</v>
      </c>
      <c r="S89" s="240"/>
      <c r="T89" s="240"/>
      <c r="V89" s="240"/>
      <c r="W89" s="240"/>
      <c r="X89" s="240"/>
      <c r="Z89" s="241"/>
      <c r="AA89" s="241"/>
      <c r="AB89" s="241"/>
      <c r="AC89" s="241"/>
      <c r="AD89" s="241"/>
      <c r="AE89" s="241"/>
    </row>
    <row r="90" spans="1:31">
      <c r="A90" s="3" t="s">
        <v>1178</v>
      </c>
      <c r="B90" s="190"/>
      <c r="C90" s="13"/>
      <c r="D90" s="13"/>
      <c r="E90" s="13"/>
      <c r="F90" s="13"/>
      <c r="G90" s="191"/>
      <c r="I90" s="211"/>
      <c r="J90" s="211"/>
      <c r="K90" s="19"/>
      <c r="L90" s="19"/>
      <c r="M90" s="19"/>
      <c r="N90" s="19"/>
      <c r="O90" s="19"/>
      <c r="P90" s="19"/>
      <c r="Q90" s="214"/>
      <c r="S90" s="240"/>
      <c r="T90" s="240"/>
      <c r="V90" s="240"/>
      <c r="W90" s="240"/>
      <c r="X90" s="240"/>
      <c r="Z90" s="241"/>
      <c r="AA90" s="241"/>
      <c r="AB90" s="241"/>
      <c r="AC90" s="241"/>
      <c r="AD90" s="241"/>
      <c r="AE90" s="241"/>
    </row>
    <row r="91" spans="1:31">
      <c r="A91" s="206" t="s">
        <v>13</v>
      </c>
      <c r="B91" s="190"/>
      <c r="C91" s="13"/>
      <c r="D91" s="13"/>
      <c r="E91" s="13"/>
      <c r="F91" s="13"/>
      <c r="G91" s="191"/>
      <c r="I91" s="211"/>
      <c r="J91" s="211"/>
      <c r="K91" s="19"/>
      <c r="L91" s="19"/>
      <c r="M91" s="19"/>
      <c r="N91" s="19"/>
      <c r="O91" s="19"/>
      <c r="P91" s="19"/>
      <c r="Q91" s="214"/>
      <c r="S91" s="240"/>
      <c r="T91" s="240"/>
      <c r="V91" s="240"/>
      <c r="W91" s="240"/>
      <c r="X91" s="240"/>
      <c r="Z91" s="241"/>
      <c r="AA91" s="241"/>
      <c r="AB91" s="241"/>
      <c r="AC91" s="241"/>
      <c r="AD91" s="241"/>
      <c r="AE91" s="241"/>
    </row>
    <row r="92" spans="1:31" ht="30">
      <c r="A92" s="210" t="s">
        <v>0</v>
      </c>
      <c r="B92" s="190">
        <f>('Input 4 - Forecast'!C73/'Input 4 - Forecast'!C$45)*MAX(B$71,0)</f>
        <v>0</v>
      </c>
      <c r="C92" s="13">
        <f ca="1">('Input 4 - Forecast'!D73/'Input 4 - Forecast'!D$45)*MAX(C$71,0)</f>
        <v>0</v>
      </c>
      <c r="D92" s="13">
        <f ca="1">('Input 4 - Forecast'!E73/'Input 4 - Forecast'!E$45)*MAX(D$71,0)</f>
        <v>0</v>
      </c>
      <c r="E92" s="13">
        <f ca="1">('Input 4 - Forecast'!F73/'Input 4 - Forecast'!F$45)*MAX(E$71,0)</f>
        <v>0</v>
      </c>
      <c r="F92" s="13">
        <f ca="1">('Input 4 - Forecast'!G73/'Input 4 - Forecast'!G$45)*MAX(F$71,0)</f>
        <v>0</v>
      </c>
      <c r="G92" s="191">
        <f ca="1">('Input 4 - Forecast'!H73/'Input 4 - Forecast'!H$45)*MAX(G$71,0)</f>
        <v>0</v>
      </c>
      <c r="I92" s="211" t="str">
        <f>'Input 4 - Forecast'!J73</f>
        <v>Semi-annual</v>
      </c>
      <c r="J92" s="211">
        <f>'Input 4 - Forecast'!K73</f>
        <v>0</v>
      </c>
      <c r="K92" s="19">
        <f>'Input 4 - Forecast'!L73</f>
        <v>0</v>
      </c>
      <c r="L92" s="212">
        <f>'Input 4 - Forecast'!M73+B$33/10000</f>
        <v>0</v>
      </c>
      <c r="M92" s="212">
        <f>'Input 4 - Forecast'!N73+C$33/10000</f>
        <v>7.1007506480822574E-3</v>
      </c>
      <c r="N92" s="212">
        <f>'Input 4 - Forecast'!O73+D$33/10000</f>
        <v>1.4545456510151461E-2</v>
      </c>
      <c r="O92" s="212">
        <f>'Input 4 - Forecast'!P73+E$33/10000</f>
        <v>0</v>
      </c>
      <c r="P92" s="212">
        <f>'Input 4 - Forecast'!Q73+F$33/10000</f>
        <v>0</v>
      </c>
      <c r="Q92" s="213">
        <f>'Input 4 - Forecast'!R73+G$33/10000</f>
        <v>0</v>
      </c>
      <c r="S92" s="240"/>
      <c r="T92" s="240"/>
      <c r="V92" s="240"/>
      <c r="W92" s="240"/>
      <c r="X92" s="240"/>
      <c r="Z92" s="241"/>
      <c r="AA92" s="241"/>
      <c r="AB92" s="241"/>
      <c r="AC92" s="241"/>
      <c r="AD92" s="241"/>
      <c r="AE92" s="241"/>
    </row>
    <row r="93" spans="1:31" ht="30">
      <c r="A93" s="210" t="s">
        <v>1</v>
      </c>
      <c r="B93" s="190">
        <f>('Input 4 - Forecast'!C74/'Input 4 - Forecast'!C$45)*MAX(B$71,0)</f>
        <v>0</v>
      </c>
      <c r="C93" s="13">
        <f ca="1">('Input 4 - Forecast'!D74/'Input 4 - Forecast'!D$45)*MAX(C$71,0)</f>
        <v>0</v>
      </c>
      <c r="D93" s="13">
        <f ca="1">('Input 4 - Forecast'!E74/'Input 4 - Forecast'!E$45)*MAX(D$71,0)</f>
        <v>0</v>
      </c>
      <c r="E93" s="13">
        <f ca="1">('Input 4 - Forecast'!F74/'Input 4 - Forecast'!F$45)*MAX(E$71,0)</f>
        <v>0</v>
      </c>
      <c r="F93" s="13">
        <f ca="1">('Input 4 - Forecast'!G74/'Input 4 - Forecast'!G$45)*MAX(F$71,0)</f>
        <v>0</v>
      </c>
      <c r="G93" s="191">
        <f ca="1">('Input 4 - Forecast'!H74/'Input 4 - Forecast'!H$45)*MAX(G$71,0)</f>
        <v>0</v>
      </c>
      <c r="I93" s="211" t="str">
        <f>'Input 4 - Forecast'!J74</f>
        <v>Semi-annual</v>
      </c>
      <c r="J93" s="211">
        <f>'Input 4 - Forecast'!K74</f>
        <v>0</v>
      </c>
      <c r="K93" s="19">
        <f>'Input 4 - Forecast'!L74</f>
        <v>0</v>
      </c>
      <c r="L93" s="212">
        <f>'Input 4 - Forecast'!M74+B$33/10000</f>
        <v>0</v>
      </c>
      <c r="M93" s="212">
        <f>'Input 4 - Forecast'!N74+C$33/10000</f>
        <v>7.1007506480822574E-3</v>
      </c>
      <c r="N93" s="212">
        <f>'Input 4 - Forecast'!O74+D$33/10000</f>
        <v>1.4545456510151461E-2</v>
      </c>
      <c r="O93" s="212">
        <f>'Input 4 - Forecast'!P74+E$33/10000</f>
        <v>0</v>
      </c>
      <c r="P93" s="212">
        <f>'Input 4 - Forecast'!Q74+F$33/10000</f>
        <v>0</v>
      </c>
      <c r="Q93" s="213">
        <f>'Input 4 - Forecast'!R74+G$33/10000</f>
        <v>0</v>
      </c>
      <c r="S93" s="240"/>
      <c r="T93" s="240"/>
      <c r="V93" s="240"/>
      <c r="W93" s="240"/>
      <c r="X93" s="240"/>
      <c r="Z93" s="241"/>
      <c r="AA93" s="241"/>
      <c r="AB93" s="241"/>
      <c r="AC93" s="241"/>
      <c r="AD93" s="241"/>
      <c r="AE93" s="241"/>
    </row>
    <row r="94" spans="1:31">
      <c r="A94" s="206" t="s">
        <v>14</v>
      </c>
      <c r="B94" s="190"/>
      <c r="C94" s="13"/>
      <c r="D94" s="13"/>
      <c r="E94" s="13"/>
      <c r="F94" s="13"/>
      <c r="G94" s="191"/>
      <c r="I94" s="211"/>
      <c r="J94" s="211"/>
      <c r="K94" s="19"/>
      <c r="L94" s="19"/>
      <c r="M94" s="19"/>
      <c r="N94" s="19"/>
      <c r="O94" s="19"/>
      <c r="P94" s="19"/>
      <c r="Q94" s="214"/>
      <c r="S94" s="240"/>
      <c r="T94" s="240"/>
      <c r="V94" s="240"/>
      <c r="W94" s="240"/>
      <c r="X94" s="240"/>
      <c r="Z94" s="241"/>
      <c r="AA94" s="241"/>
      <c r="AB94" s="241"/>
      <c r="AC94" s="241"/>
      <c r="AD94" s="241"/>
      <c r="AE94" s="241"/>
    </row>
    <row r="95" spans="1:31">
      <c r="A95" s="210" t="s">
        <v>0</v>
      </c>
      <c r="B95" s="190"/>
      <c r="C95" s="13"/>
      <c r="D95" s="13"/>
      <c r="E95" s="13"/>
      <c r="F95" s="13"/>
      <c r="G95" s="191"/>
      <c r="I95" s="211"/>
      <c r="J95" s="211"/>
      <c r="K95" s="19"/>
      <c r="L95" s="19"/>
      <c r="M95" s="19"/>
      <c r="N95" s="19"/>
      <c r="O95" s="19"/>
      <c r="P95" s="19"/>
      <c r="Q95" s="214"/>
      <c r="S95" s="240"/>
      <c r="T95" s="240"/>
      <c r="V95" s="240"/>
      <c r="W95" s="240"/>
      <c r="X95" s="240"/>
      <c r="Z95" s="241"/>
      <c r="AA95" s="241"/>
      <c r="AB95" s="241"/>
      <c r="AC95" s="241"/>
      <c r="AD95" s="241"/>
      <c r="AE95" s="241"/>
    </row>
    <row r="96" spans="1:31">
      <c r="A96" s="215" t="s">
        <v>28</v>
      </c>
      <c r="B96" s="190">
        <f>('Input 4 - Forecast'!C77/'Input 4 - Forecast'!C$45)*MAX(B$71,0)</f>
        <v>499.99798625313935</v>
      </c>
      <c r="C96" s="13">
        <f ca="1">('Input 4 - Forecast'!D77/'Input 4 - Forecast'!D$45)*MAX(C$71,0)</f>
        <v>0</v>
      </c>
      <c r="D96" s="13">
        <f ca="1">('Input 4 - Forecast'!E77/'Input 4 - Forecast'!E$45)*MAX(D$71,0)</f>
        <v>0</v>
      </c>
      <c r="E96" s="13">
        <f ca="1">('Input 4 - Forecast'!F77/'Input 4 - Forecast'!F$45)*MAX(E$71,0)</f>
        <v>0</v>
      </c>
      <c r="F96" s="13">
        <f ca="1">('Input 4 - Forecast'!G77/'Input 4 - Forecast'!G$45)*MAX(F$71,0)</f>
        <v>0</v>
      </c>
      <c r="G96" s="191">
        <f ca="1">('Input 4 - Forecast'!H77/'Input 4 - Forecast'!H$45)*MAX(G$71,0)</f>
        <v>0</v>
      </c>
      <c r="I96" s="211" t="str">
        <f>'Input 4 - Forecast'!J77</f>
        <v>Annual</v>
      </c>
      <c r="J96" s="211">
        <f>'Input 4 - Forecast'!K77</f>
        <v>10</v>
      </c>
      <c r="K96" s="19">
        <f>'Input 4 - Forecast'!L77</f>
        <v>10</v>
      </c>
      <c r="L96" s="212">
        <f>'Input 4 - Forecast'!M77+B$33/10000</f>
        <v>1.125E-2</v>
      </c>
      <c r="M96" s="212">
        <f>'Input 4 - Forecast'!N77+C$33/10000</f>
        <v>2.5850750648082257E-2</v>
      </c>
      <c r="N96" s="212">
        <f>'Input 4 - Forecast'!O77+D$33/10000</f>
        <v>3.654545651015146E-2</v>
      </c>
      <c r="O96" s="212">
        <f>'Input 4 - Forecast'!P77+E$33/10000</f>
        <v>2.1999999999999999E-2</v>
      </c>
      <c r="P96" s="212">
        <f>'Input 4 - Forecast'!Q77+F$33/10000</f>
        <v>2.1999999999999999E-2</v>
      </c>
      <c r="Q96" s="213">
        <f>'Input 4 - Forecast'!R77+G$33/10000</f>
        <v>2.1999999999999999E-2</v>
      </c>
      <c r="S96" s="240"/>
      <c r="T96" s="240"/>
      <c r="V96" s="240"/>
      <c r="W96" s="240"/>
      <c r="X96" s="240"/>
      <c r="Z96" s="241"/>
      <c r="AA96" s="241"/>
      <c r="AB96" s="241"/>
      <c r="AC96" s="241"/>
      <c r="AD96" s="241"/>
      <c r="AE96" s="241"/>
    </row>
    <row r="97" spans="1:31">
      <c r="A97" s="215" t="s">
        <v>29</v>
      </c>
      <c r="B97" s="190">
        <f>('Input 4 - Forecast'!C78/'Input 4 - Forecast'!C$45)*MAX(B$71,0)</f>
        <v>499.99798625313935</v>
      </c>
      <c r="C97" s="13">
        <f ca="1">('Input 4 - Forecast'!D78/'Input 4 - Forecast'!D$45)*MAX(C$71,0)</f>
        <v>0</v>
      </c>
      <c r="D97" s="13">
        <f ca="1">('Input 4 - Forecast'!E78/'Input 4 - Forecast'!E$45)*MAX(D$71,0)</f>
        <v>0</v>
      </c>
      <c r="E97" s="13">
        <f ca="1">('Input 4 - Forecast'!F78/'Input 4 - Forecast'!F$45)*MAX(E$71,0)</f>
        <v>0</v>
      </c>
      <c r="F97" s="13">
        <f ca="1">('Input 4 - Forecast'!G78/'Input 4 - Forecast'!G$45)*MAX(F$71,0)</f>
        <v>0</v>
      </c>
      <c r="G97" s="191">
        <f ca="1">('Input 4 - Forecast'!H78/'Input 4 - Forecast'!H$45)*MAX(G$71,0)</f>
        <v>0</v>
      </c>
      <c r="I97" s="211" t="str">
        <f>'Input 4 - Forecast'!J78</f>
        <v>Annual</v>
      </c>
      <c r="J97" s="211">
        <f>'Input 4 - Forecast'!K78</f>
        <v>30</v>
      </c>
      <c r="K97" s="19">
        <f>'Input 4 - Forecast'!L78</f>
        <v>30</v>
      </c>
      <c r="L97" s="212">
        <f>'Input 4 - Forecast'!M78+B$33/10000</f>
        <v>2.2499999999999999E-2</v>
      </c>
      <c r="M97" s="212">
        <f>'Input 4 - Forecast'!N78+C$33/10000</f>
        <v>7.1007506480822574E-3</v>
      </c>
      <c r="N97" s="212">
        <f>'Input 4 - Forecast'!O78+D$33/10000</f>
        <v>1.4545456510151461E-2</v>
      </c>
      <c r="O97" s="212">
        <f>'Input 4 - Forecast'!P78+E$33/10000</f>
        <v>0</v>
      </c>
      <c r="P97" s="212">
        <f>'Input 4 - Forecast'!Q78+F$33/10000</f>
        <v>0</v>
      </c>
      <c r="Q97" s="213">
        <f>'Input 4 - Forecast'!R78+G$33/10000</f>
        <v>0</v>
      </c>
      <c r="S97" s="240"/>
      <c r="T97" s="240"/>
      <c r="V97" s="240"/>
      <c r="W97" s="240"/>
      <c r="X97" s="240"/>
      <c r="Z97" s="241"/>
      <c r="AA97" s="241"/>
      <c r="AB97" s="241"/>
      <c r="AC97" s="241"/>
      <c r="AD97" s="241"/>
      <c r="AE97" s="241"/>
    </row>
    <row r="98" spans="1:31">
      <c r="A98" s="215" t="s">
        <v>30</v>
      </c>
      <c r="B98" s="190">
        <f>('Input 4 - Forecast'!C79/'Input 4 - Forecast'!C$45)*MAX(B$71,0)</f>
        <v>0</v>
      </c>
      <c r="C98" s="13">
        <f ca="1">('Input 4 - Forecast'!D79/'Input 4 - Forecast'!D$45)*MAX(C$71,0)</f>
        <v>0</v>
      </c>
      <c r="D98" s="13">
        <f ca="1">('Input 4 - Forecast'!E79/'Input 4 - Forecast'!E$45)*MAX(D$71,0)</f>
        <v>0</v>
      </c>
      <c r="E98" s="13">
        <f ca="1">('Input 4 - Forecast'!F79/'Input 4 - Forecast'!F$45)*MAX(E$71,0)</f>
        <v>0</v>
      </c>
      <c r="F98" s="13">
        <f ca="1">('Input 4 - Forecast'!G79/'Input 4 - Forecast'!G$45)*MAX(F$71,0)</f>
        <v>0</v>
      </c>
      <c r="G98" s="191">
        <f ca="1">('Input 4 - Forecast'!H79/'Input 4 - Forecast'!H$45)*MAX(G$71,0)</f>
        <v>0</v>
      </c>
      <c r="I98" s="211" t="str">
        <f>'Input 4 - Forecast'!J79</f>
        <v>Annual</v>
      </c>
      <c r="J98" s="211">
        <f>'Input 4 - Forecast'!K79</f>
        <v>0</v>
      </c>
      <c r="K98" s="19">
        <f>'Input 4 - Forecast'!L79</f>
        <v>0</v>
      </c>
      <c r="L98" s="212">
        <f>'Input 4 - Forecast'!M79+B$33/10000</f>
        <v>0</v>
      </c>
      <c r="M98" s="212">
        <f>'Input 4 - Forecast'!N79+C$33/10000</f>
        <v>7.1007506480822574E-3</v>
      </c>
      <c r="N98" s="212">
        <f>'Input 4 - Forecast'!O79+D$33/10000</f>
        <v>1.4545456510151461E-2</v>
      </c>
      <c r="O98" s="212">
        <f>'Input 4 - Forecast'!P79+E$33/10000</f>
        <v>0</v>
      </c>
      <c r="P98" s="212">
        <f>'Input 4 - Forecast'!Q79+F$33/10000</f>
        <v>0</v>
      </c>
      <c r="Q98" s="213">
        <f>'Input 4 - Forecast'!R79+G$33/10000</f>
        <v>0</v>
      </c>
      <c r="S98" s="240"/>
      <c r="T98" s="240"/>
      <c r="V98" s="240"/>
      <c r="W98" s="240"/>
      <c r="X98" s="240"/>
      <c r="Z98" s="241"/>
      <c r="AA98" s="241"/>
      <c r="AB98" s="241"/>
      <c r="AC98" s="241"/>
      <c r="AD98" s="241"/>
      <c r="AE98" s="241"/>
    </row>
    <row r="99" spans="1:31">
      <c r="A99" s="215" t="s">
        <v>31</v>
      </c>
      <c r="B99" s="190">
        <f>('Input 4 - Forecast'!C80/'Input 4 - Forecast'!C$45)*MAX(B$71,0)</f>
        <v>0</v>
      </c>
      <c r="C99" s="13">
        <f ca="1">('Input 4 - Forecast'!D80/'Input 4 - Forecast'!D$45)*MAX(C$71,0)</f>
        <v>0</v>
      </c>
      <c r="D99" s="13">
        <f ca="1">('Input 4 - Forecast'!E80/'Input 4 - Forecast'!E$45)*MAX(D$71,0)</f>
        <v>0</v>
      </c>
      <c r="E99" s="13">
        <f ca="1">('Input 4 - Forecast'!F80/'Input 4 - Forecast'!F$45)*MAX(E$71,0)</f>
        <v>0</v>
      </c>
      <c r="F99" s="13">
        <f ca="1">('Input 4 - Forecast'!G80/'Input 4 - Forecast'!G$45)*MAX(F$71,0)</f>
        <v>0</v>
      </c>
      <c r="G99" s="191">
        <f ca="1">('Input 4 - Forecast'!H80/'Input 4 - Forecast'!H$45)*MAX(G$71,0)</f>
        <v>0</v>
      </c>
      <c r="I99" s="211" t="str">
        <f>'Input 4 - Forecast'!J80</f>
        <v>Annual</v>
      </c>
      <c r="J99" s="211">
        <f>'Input 4 - Forecast'!K80</f>
        <v>0</v>
      </c>
      <c r="K99" s="19">
        <f>'Input 4 - Forecast'!L80</f>
        <v>0</v>
      </c>
      <c r="L99" s="212">
        <f>'Input 4 - Forecast'!M80+B$33/10000</f>
        <v>0</v>
      </c>
      <c r="M99" s="212">
        <f>'Input 4 - Forecast'!N80+C$33/10000</f>
        <v>7.1007506480822574E-3</v>
      </c>
      <c r="N99" s="212">
        <f>'Input 4 - Forecast'!O80+D$33/10000</f>
        <v>1.4545456510151461E-2</v>
      </c>
      <c r="O99" s="212">
        <f>'Input 4 - Forecast'!P80+E$33/10000</f>
        <v>0</v>
      </c>
      <c r="P99" s="212">
        <f>'Input 4 - Forecast'!Q80+F$33/10000</f>
        <v>0</v>
      </c>
      <c r="Q99" s="213">
        <f>'Input 4 - Forecast'!R80+G$33/10000</f>
        <v>0</v>
      </c>
      <c r="S99" s="240"/>
      <c r="T99" s="240"/>
      <c r="V99" s="240"/>
      <c r="W99" s="240"/>
      <c r="X99" s="240"/>
      <c r="Z99" s="241"/>
      <c r="AA99" s="241"/>
      <c r="AB99" s="241"/>
      <c r="AC99" s="241"/>
      <c r="AD99" s="241"/>
      <c r="AE99" s="241"/>
    </row>
    <row r="100" spans="1:31">
      <c r="A100" s="215" t="s">
        <v>32</v>
      </c>
      <c r="B100" s="190">
        <f>('Input 4 - Forecast'!C81/'Input 4 - Forecast'!C$45)*MAX(B$71,0)</f>
        <v>0</v>
      </c>
      <c r="C100" s="13">
        <f ca="1">('Input 4 - Forecast'!D81/'Input 4 - Forecast'!D$45)*MAX(C$71,0)</f>
        <v>0</v>
      </c>
      <c r="D100" s="13">
        <f ca="1">('Input 4 - Forecast'!E81/'Input 4 - Forecast'!E$45)*MAX(D$71,0)</f>
        <v>0</v>
      </c>
      <c r="E100" s="13">
        <f ca="1">('Input 4 - Forecast'!F81/'Input 4 - Forecast'!F$45)*MAX(E$71,0)</f>
        <v>0</v>
      </c>
      <c r="F100" s="13">
        <f ca="1">('Input 4 - Forecast'!G81/'Input 4 - Forecast'!G$45)*MAX(F$71,0)</f>
        <v>0</v>
      </c>
      <c r="G100" s="191">
        <f ca="1">('Input 4 - Forecast'!H81/'Input 4 - Forecast'!H$45)*MAX(G$71,0)</f>
        <v>0</v>
      </c>
      <c r="I100" s="211"/>
      <c r="J100" s="211">
        <f>'Input 4 - Forecast'!K81</f>
        <v>0</v>
      </c>
      <c r="K100" s="19">
        <f>'Input 4 - Forecast'!L81</f>
        <v>0</v>
      </c>
      <c r="L100" s="212">
        <f>'Input 4 - Forecast'!M81+B$33/10000</f>
        <v>0</v>
      </c>
      <c r="M100" s="212">
        <f>'Input 4 - Forecast'!N81+C$33/10000</f>
        <v>7.1007506480822574E-3</v>
      </c>
      <c r="N100" s="212">
        <f>'Input 4 - Forecast'!O81+D$33/10000</f>
        <v>1.4545456510151461E-2</v>
      </c>
      <c r="O100" s="212">
        <f>'Input 4 - Forecast'!P81+E$33/10000</f>
        <v>0</v>
      </c>
      <c r="P100" s="212">
        <f>'Input 4 - Forecast'!Q81+F$33/10000</f>
        <v>0</v>
      </c>
      <c r="Q100" s="213">
        <f>'Input 4 - Forecast'!R81+G$33/10000</f>
        <v>0</v>
      </c>
      <c r="S100" s="240"/>
      <c r="T100" s="240"/>
      <c r="V100" s="240"/>
      <c r="W100" s="240"/>
      <c r="X100" s="240"/>
      <c r="Z100" s="241"/>
      <c r="AA100" s="241"/>
      <c r="AB100" s="241"/>
      <c r="AC100" s="241"/>
      <c r="AD100" s="241"/>
      <c r="AE100" s="241"/>
    </row>
    <row r="101" spans="1:31">
      <c r="A101" s="210" t="s">
        <v>1</v>
      </c>
      <c r="B101" s="190"/>
      <c r="C101" s="13"/>
      <c r="D101" s="13"/>
      <c r="E101" s="13"/>
      <c r="F101" s="13"/>
      <c r="G101" s="191"/>
      <c r="I101" s="211"/>
      <c r="J101" s="211"/>
      <c r="K101" s="19"/>
      <c r="L101" s="19"/>
      <c r="M101" s="19"/>
      <c r="N101" s="19"/>
      <c r="O101" s="19"/>
      <c r="P101" s="19"/>
      <c r="Q101" s="214"/>
      <c r="S101" s="240"/>
      <c r="T101" s="240"/>
      <c r="V101" s="240"/>
      <c r="W101" s="240"/>
      <c r="X101" s="240"/>
      <c r="Z101" s="241"/>
      <c r="AA101" s="241"/>
      <c r="AB101" s="241"/>
      <c r="AC101" s="241"/>
      <c r="AD101" s="241"/>
      <c r="AE101" s="241"/>
    </row>
    <row r="102" spans="1:31">
      <c r="A102" s="215" t="s">
        <v>33</v>
      </c>
      <c r="B102" s="190">
        <f>('Input 4 - Forecast'!C83/'Input 4 - Forecast'!C$45)*MAX(B$71,0)</f>
        <v>0</v>
      </c>
      <c r="C102" s="13">
        <f ca="1">('Input 4 - Forecast'!D83/'Input 4 - Forecast'!D$45)*MAX(C$71,0)</f>
        <v>0</v>
      </c>
      <c r="D102" s="13">
        <f ca="1">('Input 4 - Forecast'!E83/'Input 4 - Forecast'!E$45)*MAX(D$71,0)</f>
        <v>0</v>
      </c>
      <c r="E102" s="13">
        <f ca="1">('Input 4 - Forecast'!F83/'Input 4 - Forecast'!F$45)*MAX(E$71,0)</f>
        <v>0</v>
      </c>
      <c r="F102" s="13">
        <f ca="1">('Input 4 - Forecast'!G83/'Input 4 - Forecast'!G$45)*MAX(F$71,0)</f>
        <v>0</v>
      </c>
      <c r="G102" s="191">
        <f ca="1">('Input 4 - Forecast'!H83/'Input 4 - Forecast'!H$45)*MAX(G$71,0)</f>
        <v>0</v>
      </c>
      <c r="I102" s="211" t="str">
        <f>'Input 4 - Forecast'!J83</f>
        <v>Annual</v>
      </c>
      <c r="J102" s="211">
        <f>'Input 4 - Forecast'!K83</f>
        <v>0</v>
      </c>
      <c r="K102" s="19">
        <f>'Input 4 - Forecast'!L83</f>
        <v>0</v>
      </c>
      <c r="L102" s="212">
        <f>'Input 4 - Forecast'!M83+B$33/10000</f>
        <v>0</v>
      </c>
      <c r="M102" s="212">
        <f>'Input 4 - Forecast'!N83+C$33/10000</f>
        <v>7.1007506480822574E-3</v>
      </c>
      <c r="N102" s="212">
        <f>'Input 4 - Forecast'!O83+D$33/10000</f>
        <v>1.4545456510151461E-2</v>
      </c>
      <c r="O102" s="212">
        <f>'Input 4 - Forecast'!P83+E$33/10000</f>
        <v>0</v>
      </c>
      <c r="P102" s="212">
        <f>'Input 4 - Forecast'!Q83+F$33/10000</f>
        <v>0</v>
      </c>
      <c r="Q102" s="213">
        <f>'Input 4 - Forecast'!R83+G$33/10000</f>
        <v>0</v>
      </c>
      <c r="S102" s="240"/>
      <c r="T102" s="240"/>
      <c r="V102" s="240"/>
      <c r="W102" s="240"/>
      <c r="X102" s="240"/>
      <c r="Z102" s="241"/>
      <c r="AA102" s="241"/>
      <c r="AB102" s="241"/>
      <c r="AC102" s="241"/>
      <c r="AD102" s="241"/>
      <c r="AE102" s="241"/>
    </row>
    <row r="103" spans="1:31">
      <c r="A103" s="215" t="s">
        <v>34</v>
      </c>
      <c r="B103" s="190">
        <f>('Input 4 - Forecast'!C84/'Input 4 - Forecast'!C$45)*MAX(B$71,0)</f>
        <v>0</v>
      </c>
      <c r="C103" s="13">
        <f ca="1">('Input 4 - Forecast'!D84/'Input 4 - Forecast'!D$45)*MAX(C$71,0)</f>
        <v>0</v>
      </c>
      <c r="D103" s="13">
        <f ca="1">('Input 4 - Forecast'!E84/'Input 4 - Forecast'!E$45)*MAX(D$71,0)</f>
        <v>0</v>
      </c>
      <c r="E103" s="13">
        <f ca="1">('Input 4 - Forecast'!F84/'Input 4 - Forecast'!F$45)*MAX(E$71,0)</f>
        <v>0</v>
      </c>
      <c r="F103" s="13">
        <f ca="1">('Input 4 - Forecast'!G84/'Input 4 - Forecast'!G$45)*MAX(F$71,0)</f>
        <v>0</v>
      </c>
      <c r="G103" s="191">
        <f ca="1">('Input 4 - Forecast'!H84/'Input 4 - Forecast'!H$45)*MAX(G$71,0)</f>
        <v>0</v>
      </c>
      <c r="I103" s="211" t="str">
        <f>'Input 4 - Forecast'!J84</f>
        <v>Annual</v>
      </c>
      <c r="J103" s="211">
        <f>'Input 4 - Forecast'!K84</f>
        <v>0</v>
      </c>
      <c r="K103" s="19">
        <f>'Input 4 - Forecast'!L84</f>
        <v>0</v>
      </c>
      <c r="L103" s="212">
        <f>'Input 4 - Forecast'!M84+B$33/10000</f>
        <v>0</v>
      </c>
      <c r="M103" s="212">
        <f>'Input 4 - Forecast'!N84+C$33/10000</f>
        <v>7.1007506480822574E-3</v>
      </c>
      <c r="N103" s="212">
        <f>'Input 4 - Forecast'!O84+D$33/10000</f>
        <v>1.4545456510151461E-2</v>
      </c>
      <c r="O103" s="212">
        <f>'Input 4 - Forecast'!P84+E$33/10000</f>
        <v>0</v>
      </c>
      <c r="P103" s="212">
        <f>'Input 4 - Forecast'!Q84+F$33/10000</f>
        <v>0</v>
      </c>
      <c r="Q103" s="213">
        <f>'Input 4 - Forecast'!R84+G$33/10000</f>
        <v>0</v>
      </c>
      <c r="S103" s="240"/>
      <c r="T103" s="240"/>
      <c r="V103" s="240"/>
      <c r="W103" s="240"/>
      <c r="X103" s="240"/>
      <c r="Z103" s="241"/>
      <c r="AA103" s="241"/>
      <c r="AB103" s="241"/>
      <c r="AC103" s="241"/>
      <c r="AD103" s="241"/>
      <c r="AE103" s="241"/>
    </row>
    <row r="104" spans="1:31">
      <c r="A104" s="215" t="s">
        <v>35</v>
      </c>
      <c r="B104" s="190">
        <f>('Input 4 - Forecast'!C85/'Input 4 - Forecast'!C$45)*MAX(B$71,0)</f>
        <v>0</v>
      </c>
      <c r="C104" s="13">
        <f ca="1">('Input 4 - Forecast'!D85/'Input 4 - Forecast'!D$45)*MAX(C$71,0)</f>
        <v>0</v>
      </c>
      <c r="D104" s="13">
        <f ca="1">('Input 4 - Forecast'!E85/'Input 4 - Forecast'!E$45)*MAX(D$71,0)</f>
        <v>0</v>
      </c>
      <c r="E104" s="13">
        <f ca="1">('Input 4 - Forecast'!F85/'Input 4 - Forecast'!F$45)*MAX(E$71,0)</f>
        <v>0</v>
      </c>
      <c r="F104" s="13">
        <f ca="1">('Input 4 - Forecast'!G85/'Input 4 - Forecast'!G$45)*MAX(F$71,0)</f>
        <v>0</v>
      </c>
      <c r="G104" s="191">
        <f ca="1">('Input 4 - Forecast'!H85/'Input 4 - Forecast'!H$45)*MAX(G$71,0)</f>
        <v>0</v>
      </c>
      <c r="I104" s="211" t="str">
        <f>'Input 4 - Forecast'!J85</f>
        <v>Annual</v>
      </c>
      <c r="J104" s="211">
        <f>'Input 4 - Forecast'!K85</f>
        <v>0</v>
      </c>
      <c r="K104" s="19">
        <f>'Input 4 - Forecast'!L85</f>
        <v>0</v>
      </c>
      <c r="L104" s="212">
        <f>'Input 4 - Forecast'!M85+B$33/10000</f>
        <v>0</v>
      </c>
      <c r="M104" s="212">
        <f>'Input 4 - Forecast'!N85+C$33/10000</f>
        <v>7.1007506480822574E-3</v>
      </c>
      <c r="N104" s="212">
        <f>'Input 4 - Forecast'!O85+D$33/10000</f>
        <v>1.4545456510151461E-2</v>
      </c>
      <c r="O104" s="212">
        <f>'Input 4 - Forecast'!P85+E$33/10000</f>
        <v>0</v>
      </c>
      <c r="P104" s="212">
        <f>'Input 4 - Forecast'!Q85+F$33/10000</f>
        <v>0</v>
      </c>
      <c r="Q104" s="213">
        <f>'Input 4 - Forecast'!R85+G$33/10000</f>
        <v>0</v>
      </c>
      <c r="S104" s="240"/>
      <c r="T104" s="240"/>
      <c r="V104" s="240"/>
      <c r="W104" s="240"/>
      <c r="X104" s="240"/>
      <c r="Z104" s="241"/>
      <c r="AA104" s="241"/>
      <c r="AB104" s="241"/>
      <c r="AC104" s="241"/>
      <c r="AD104" s="241"/>
      <c r="AE104" s="241"/>
    </row>
    <row r="105" spans="1:31">
      <c r="A105" s="215" t="s">
        <v>36</v>
      </c>
      <c r="B105" s="190">
        <f>('Input 4 - Forecast'!C86/'Input 4 - Forecast'!C$45)*MAX(B$71,0)</f>
        <v>0</v>
      </c>
      <c r="C105" s="13">
        <f ca="1">('Input 4 - Forecast'!D86/'Input 4 - Forecast'!D$45)*MAX(C$71,0)</f>
        <v>0</v>
      </c>
      <c r="D105" s="13">
        <f ca="1">('Input 4 - Forecast'!E86/'Input 4 - Forecast'!E$45)*MAX(D$71,0)</f>
        <v>0</v>
      </c>
      <c r="E105" s="13">
        <f ca="1">('Input 4 - Forecast'!F86/'Input 4 - Forecast'!F$45)*MAX(E$71,0)</f>
        <v>0</v>
      </c>
      <c r="F105" s="13">
        <f ca="1">('Input 4 - Forecast'!G86/'Input 4 - Forecast'!G$45)*MAX(F$71,0)</f>
        <v>0</v>
      </c>
      <c r="G105" s="191">
        <f ca="1">('Input 4 - Forecast'!H86/'Input 4 - Forecast'!H$45)*MAX(G$71,0)</f>
        <v>0</v>
      </c>
      <c r="I105" s="211" t="str">
        <f>'Input 4 - Forecast'!J86</f>
        <v>Annual</v>
      </c>
      <c r="J105" s="211">
        <f>'Input 4 - Forecast'!K86</f>
        <v>0</v>
      </c>
      <c r="K105" s="19">
        <f>'Input 4 - Forecast'!L86</f>
        <v>0</v>
      </c>
      <c r="L105" s="212">
        <f>'Input 4 - Forecast'!M86+B$33/10000</f>
        <v>0</v>
      </c>
      <c r="M105" s="212">
        <f>'Input 4 - Forecast'!N86+C$33/10000</f>
        <v>7.1007506480822574E-3</v>
      </c>
      <c r="N105" s="212">
        <f>'Input 4 - Forecast'!O86+D$33/10000</f>
        <v>1.4545456510151461E-2</v>
      </c>
      <c r="O105" s="212">
        <f>'Input 4 - Forecast'!P86+E$33/10000</f>
        <v>0</v>
      </c>
      <c r="P105" s="212">
        <f>'Input 4 - Forecast'!Q86+F$33/10000</f>
        <v>0</v>
      </c>
      <c r="Q105" s="213">
        <f>'Input 4 - Forecast'!R86+G$33/10000</f>
        <v>0</v>
      </c>
      <c r="S105" s="240"/>
      <c r="T105" s="240"/>
      <c r="V105" s="240"/>
      <c r="W105" s="240"/>
      <c r="X105" s="240"/>
      <c r="Z105" s="241"/>
      <c r="AA105" s="241"/>
      <c r="AB105" s="241"/>
      <c r="AC105" s="241"/>
      <c r="AD105" s="241"/>
      <c r="AE105" s="241"/>
    </row>
    <row r="106" spans="1:31" ht="15.75" thickBot="1">
      <c r="A106" s="216" t="s">
        <v>37</v>
      </c>
      <c r="B106" s="192">
        <f>('Input 4 - Forecast'!C87/'Input 4 - Forecast'!C$45)*MAX(B$71,0)</f>
        <v>0</v>
      </c>
      <c r="C106" s="193">
        <f ca="1">('Input 4 - Forecast'!D87/'Input 4 - Forecast'!D$45)*MAX(C$71,0)</f>
        <v>0</v>
      </c>
      <c r="D106" s="193">
        <f ca="1">('Input 4 - Forecast'!E87/'Input 4 - Forecast'!E$45)*MAX(D$71,0)</f>
        <v>0</v>
      </c>
      <c r="E106" s="193">
        <f ca="1">('Input 4 - Forecast'!F87/'Input 4 - Forecast'!F$45)*MAX(E$71,0)</f>
        <v>0</v>
      </c>
      <c r="F106" s="193">
        <f ca="1">('Input 4 - Forecast'!G87/'Input 4 - Forecast'!G$45)*MAX(F$71,0)</f>
        <v>0</v>
      </c>
      <c r="G106" s="194">
        <f ca="1">('Input 4 - Forecast'!H87/'Input 4 - Forecast'!H$45)*MAX(G$71,0)</f>
        <v>0</v>
      </c>
      <c r="I106" s="217"/>
      <c r="J106" s="217">
        <f>'Input 4 - Forecast'!K87</f>
        <v>0</v>
      </c>
      <c r="K106" s="218">
        <f>'Input 4 - Forecast'!L87</f>
        <v>0</v>
      </c>
      <c r="L106" s="219">
        <f>'Input 4 - Forecast'!M87+B$33/10000</f>
        <v>0</v>
      </c>
      <c r="M106" s="219">
        <f>'Input 4 - Forecast'!N87+C$33/10000</f>
        <v>7.1007506480822574E-3</v>
      </c>
      <c r="N106" s="219">
        <f>'Input 4 - Forecast'!O87+D$33/10000</f>
        <v>1.4545456510151461E-2</v>
      </c>
      <c r="O106" s="219">
        <f>'Input 4 - Forecast'!P87+E$33/10000</f>
        <v>0</v>
      </c>
      <c r="P106" s="219">
        <f>'Input 4 - Forecast'!Q87+F$33/10000</f>
        <v>0</v>
      </c>
      <c r="Q106" s="220">
        <f>'Input 4 - Forecast'!R87+G$33/10000</f>
        <v>0</v>
      </c>
      <c r="S106" s="240"/>
      <c r="T106" s="240"/>
      <c r="V106" s="240"/>
      <c r="W106" s="240"/>
      <c r="X106" s="240"/>
      <c r="Z106" s="241"/>
      <c r="AA106" s="241"/>
      <c r="AB106" s="241"/>
      <c r="AC106" s="241"/>
      <c r="AD106" s="241"/>
      <c r="AE106" s="241"/>
    </row>
    <row r="107" spans="1:31" ht="15.75" thickBot="1">
      <c r="B107" s="195"/>
      <c r="C107" s="195"/>
      <c r="D107" s="195"/>
      <c r="E107" s="195"/>
      <c r="F107" s="195"/>
      <c r="G107" s="195"/>
      <c r="I107" s="184"/>
      <c r="J107" s="184"/>
      <c r="K107" s="184"/>
      <c r="L107" s="184"/>
      <c r="M107" s="184"/>
      <c r="N107" s="184"/>
      <c r="O107" s="184"/>
      <c r="P107" s="184"/>
      <c r="Q107" s="184"/>
    </row>
    <row r="108" spans="1:31" ht="15.75" thickBot="1">
      <c r="A108" s="200" t="s">
        <v>1179</v>
      </c>
      <c r="B108" s="201">
        <f>('Input 4 - Forecast'!C89/'Input 4 - Forecast'!C$45)*MAX(B$71,0)</f>
        <v>-267.59452840452661</v>
      </c>
      <c r="C108" s="202">
        <f ca="1">('Input 4 - Forecast'!D89/'Input 4 - Forecast'!D$45)*MAX(C$71,0)</f>
        <v>1808.3804037295163</v>
      </c>
      <c r="D108" s="202">
        <f ca="1">('Input 4 - Forecast'!E89/'Input 4 - Forecast'!E$45)*MAX(D$71,0)</f>
        <v>3302.4748880028706</v>
      </c>
      <c r="E108" s="202">
        <f ca="1">('Input 4 - Forecast'!F89/'Input 4 - Forecast'!F$45)*MAX(E$71,0)</f>
        <v>4866.733670636645</v>
      </c>
      <c r="F108" s="202">
        <f ca="1">('Input 4 - Forecast'!G89/'Input 4 - Forecast'!G$45)*MAX(F$71,0)</f>
        <v>5367.6621946222604</v>
      </c>
      <c r="G108" s="203">
        <f ca="1">('Input 4 - Forecast'!H89/'Input 4 - Forecast'!H$45)*MAX(G$71,0)</f>
        <v>5623.1440019285474</v>
      </c>
      <c r="I108" s="221"/>
      <c r="J108" s="221">
        <f>'Input 4 - Forecast'!K89</f>
        <v>1</v>
      </c>
      <c r="K108" s="222">
        <f>'Input 4 - Forecast'!L89</f>
        <v>1</v>
      </c>
      <c r="L108" s="223">
        <f>'Input 4 - Forecast'!M89+B$33/10000</f>
        <v>0</v>
      </c>
      <c r="M108" s="223">
        <f>'Input 4 - Forecast'!N89+C$33/10000</f>
        <v>7.1007506480822574E-3</v>
      </c>
      <c r="N108" s="223">
        <f>'Input 4 - Forecast'!O89+D$33/10000</f>
        <v>1.4545456510151461E-2</v>
      </c>
      <c r="O108" s="223">
        <f>'Input 4 - Forecast'!P89+E$33/10000</f>
        <v>0</v>
      </c>
      <c r="P108" s="223">
        <f>'Input 4 - Forecast'!Q89+F$33/10000</f>
        <v>0</v>
      </c>
      <c r="Q108" s="224">
        <f>'Input 4 - Forecast'!R89+G$33/10000</f>
        <v>0</v>
      </c>
      <c r="Z108" s="241"/>
      <c r="AA108" s="241"/>
      <c r="AB108" s="241"/>
      <c r="AC108" s="241"/>
      <c r="AD108" s="241"/>
      <c r="AE108" s="241"/>
    </row>
    <row r="109" spans="1:31">
      <c r="B109" s="7"/>
      <c r="C109" s="7"/>
      <c r="D109" s="7"/>
      <c r="E109" s="7"/>
      <c r="F109" s="7"/>
      <c r="G109" s="7"/>
      <c r="I109" s="184"/>
      <c r="J109" s="184"/>
      <c r="K109" s="184"/>
      <c r="L109" s="184"/>
      <c r="M109" s="184"/>
      <c r="N109" s="184"/>
      <c r="O109" s="184"/>
      <c r="P109" s="184"/>
    </row>
    <row r="111" spans="1:31" ht="15.75" thickBot="1">
      <c r="H111" s="7">
        <f>'Input 4 - Forecast'!C9</f>
        <v>2018</v>
      </c>
      <c r="I111" s="7">
        <f>H111+1</f>
        <v>2019</v>
      </c>
      <c r="J111" s="7">
        <f>I111+1</f>
        <v>2020</v>
      </c>
      <c r="K111" s="7">
        <f>J111+1</f>
        <v>2021</v>
      </c>
      <c r="L111" s="7">
        <f>K111+1</f>
        <v>2022</v>
      </c>
      <c r="M111" s="7">
        <f>L111+1</f>
        <v>2023</v>
      </c>
      <c r="O111" s="7">
        <f t="shared" ref="O111:T111" si="22">H111</f>
        <v>2018</v>
      </c>
      <c r="P111" s="7">
        <f t="shared" si="22"/>
        <v>2019</v>
      </c>
      <c r="Q111" s="7">
        <f t="shared" si="22"/>
        <v>2020</v>
      </c>
      <c r="R111" s="7">
        <f t="shared" si="22"/>
        <v>2021</v>
      </c>
      <c r="S111" s="7">
        <f t="shared" si="22"/>
        <v>2022</v>
      </c>
      <c r="T111" s="7">
        <f t="shared" si="22"/>
        <v>2023</v>
      </c>
      <c r="V111" s="7">
        <f t="shared" ref="V111:AA111" si="23">O111</f>
        <v>2018</v>
      </c>
      <c r="W111" s="7">
        <f t="shared" si="23"/>
        <v>2019</v>
      </c>
      <c r="X111" s="7">
        <f t="shared" si="23"/>
        <v>2020</v>
      </c>
      <c r="Y111" s="7">
        <f t="shared" si="23"/>
        <v>2021</v>
      </c>
      <c r="Z111" s="7">
        <f t="shared" si="23"/>
        <v>2022</v>
      </c>
      <c r="AA111" s="7">
        <f t="shared" si="23"/>
        <v>2023</v>
      </c>
    </row>
    <row r="112" spans="1:31" ht="15.75" thickBot="1">
      <c r="A112" s="281"/>
      <c r="B112" s="2009" t="s">
        <v>44</v>
      </c>
      <c r="C112" s="2010"/>
      <c r="D112" s="2010"/>
      <c r="E112" s="2010"/>
      <c r="F112" s="2011"/>
      <c r="H112" s="2012" t="s">
        <v>40</v>
      </c>
      <c r="I112" s="2013"/>
      <c r="J112" s="2013"/>
      <c r="K112" s="2013"/>
      <c r="L112" s="2013"/>
      <c r="M112" s="2014"/>
      <c r="O112" s="2015" t="s">
        <v>46</v>
      </c>
      <c r="P112" s="2016"/>
      <c r="Q112" s="2016"/>
      <c r="R112" s="2016"/>
      <c r="S112" s="2016"/>
      <c r="T112" s="2017"/>
      <c r="V112" s="1996" t="s">
        <v>42</v>
      </c>
      <c r="W112" s="1997"/>
      <c r="X112" s="1997"/>
      <c r="Y112" s="1997"/>
      <c r="Z112" s="1997"/>
      <c r="AA112" s="1998"/>
    </row>
    <row r="113" spans="1:64">
      <c r="A113" s="281"/>
      <c r="B113" s="7" t="s">
        <v>45</v>
      </c>
      <c r="C113" s="281" t="s">
        <v>462</v>
      </c>
      <c r="D113" s="7" t="s">
        <v>43</v>
      </c>
      <c r="E113" s="7" t="s">
        <v>39</v>
      </c>
      <c r="F113" s="7" t="s">
        <v>41</v>
      </c>
    </row>
    <row r="114" spans="1:64">
      <c r="A114" s="17"/>
      <c r="B114" s="7"/>
      <c r="C114" s="7"/>
      <c r="D114" s="7"/>
      <c r="E114" s="7"/>
    </row>
    <row r="115" spans="1:64">
      <c r="A115" s="20" t="str">
        <f>'Input 4 - Forecast'!A50</f>
        <v>Issuance of New Debt to Fill Fiscal Needs</v>
      </c>
    </row>
    <row r="116" spans="1:64" customFormat="1" ht="15.75" thickBot="1">
      <c r="A116" s="21" t="str">
        <f>'Input 4 - Forecast'!A55</f>
        <v>Short-term debt 2/</v>
      </c>
      <c r="B116" s="18"/>
      <c r="C116" s="13"/>
      <c r="D116" s="13"/>
      <c r="E116" s="13"/>
      <c r="F116" s="13"/>
      <c r="G116" s="13"/>
      <c r="H116" s="13"/>
      <c r="I116" s="17"/>
      <c r="J116" s="19"/>
      <c r="K116" s="19"/>
      <c r="L116" s="19"/>
      <c r="M116" s="19"/>
      <c r="N116" s="19"/>
      <c r="O116" s="19"/>
      <c r="P116" s="19"/>
      <c r="Q116" s="19"/>
    </row>
    <row r="117" spans="1:64" customFormat="1" ht="15.75" thickBot="1">
      <c r="A117" s="22" t="str">
        <f>'Input 4 - Forecast'!A56</f>
        <v>Denominated in local currency</v>
      </c>
      <c r="B117" s="1999" t="s">
        <v>51</v>
      </c>
      <c r="C117" s="2000"/>
      <c r="D117" s="2000"/>
      <c r="E117" s="2000"/>
      <c r="F117" s="2000"/>
      <c r="G117" s="2000"/>
      <c r="H117" s="2000"/>
      <c r="I117" s="2000"/>
      <c r="J117" s="2000"/>
      <c r="K117" s="2000"/>
      <c r="L117" s="2000"/>
      <c r="M117" s="2000"/>
      <c r="N117" s="2000"/>
      <c r="O117" s="2000"/>
      <c r="P117" s="2000"/>
      <c r="Q117" s="2000"/>
      <c r="R117" s="2000"/>
      <c r="S117" s="2000"/>
      <c r="T117" s="2000"/>
      <c r="U117" s="2000"/>
      <c r="V117" s="2000"/>
      <c r="W117" s="2000"/>
      <c r="X117" s="2000"/>
      <c r="Y117" s="2000"/>
      <c r="Z117" s="2000"/>
      <c r="AA117" s="2001"/>
    </row>
    <row r="118" spans="1:64">
      <c r="B118" s="281"/>
      <c r="F118" s="15"/>
      <c r="H118" s="10"/>
      <c r="I118" s="10"/>
      <c r="J118" s="10"/>
      <c r="K118" s="10"/>
      <c r="L118" s="10"/>
      <c r="M118" s="10"/>
      <c r="N118" s="10"/>
      <c r="O118" s="10"/>
      <c r="P118" s="10"/>
      <c r="Q118" s="10"/>
      <c r="R118" s="10"/>
      <c r="S118" s="10"/>
      <c r="T118" s="10"/>
      <c r="U118" s="10"/>
      <c r="V118" s="10"/>
      <c r="W118" s="10"/>
      <c r="X118" s="10"/>
      <c r="Y118" s="10"/>
      <c r="Z118" s="10"/>
      <c r="AA118" s="10"/>
    </row>
    <row r="119" spans="1:64" customFormat="1">
      <c r="A119" s="23"/>
      <c r="B119" s="7">
        <f>'Input 4 - Forecast'!C9</f>
        <v>2018</v>
      </c>
      <c r="C119" s="13" t="str">
        <f>$I75</f>
        <v>Semi-annual</v>
      </c>
      <c r="D119" s="13">
        <f>$J75</f>
        <v>0</v>
      </c>
      <c r="E119" s="13">
        <f>$K75</f>
        <v>0</v>
      </c>
      <c r="F119" s="14">
        <f>$L$75</f>
        <v>0</v>
      </c>
      <c r="G119" s="13"/>
      <c r="H119" s="9">
        <f>$B$75</f>
        <v>0</v>
      </c>
      <c r="I119" s="9">
        <f>H119-P119</f>
        <v>0</v>
      </c>
      <c r="J119" s="9">
        <f>I119-Q119</f>
        <v>0</v>
      </c>
      <c r="K119" s="9">
        <f>J119-R119</f>
        <v>0</v>
      </c>
      <c r="L119" s="9">
        <f>K119-S119</f>
        <v>0</v>
      </c>
      <c r="M119" s="9">
        <f>L119-T119</f>
        <v>0</v>
      </c>
      <c r="N119" s="9"/>
      <c r="O119" s="9">
        <v>0</v>
      </c>
      <c r="P119" s="9">
        <f>H119</f>
        <v>0</v>
      </c>
      <c r="Q119" s="9">
        <v>0</v>
      </c>
      <c r="R119" s="9">
        <v>0</v>
      </c>
      <c r="S119" s="9">
        <v>0</v>
      </c>
      <c r="T119" s="9">
        <v>0</v>
      </c>
      <c r="U119" s="9"/>
      <c r="V119" s="9">
        <f>IF($C119="annual",IF(V$111=$B119,0,G119*$F119),IF(V$111-$B119=0,0,IF((V$111-$B119)&lt;$E119,AVERAGE(G119,H119)*$F119,IF((V$111-$B119)=$E119,G119*$F119/2,0))))</f>
        <v>0</v>
      </c>
      <c r="W119" s="9">
        <f t="shared" ref="W119:AA124" si="24">IF($C119="annual",IF(W$111=$B119,0,H119*$F119),IF(W$111-$B119=0,0,IF((W$111-$B119)&lt;$E119,AVERAGE(H119,I119)*$F119,IF((W$111-$B119)=$E119,H119*$F119/2,0))))</f>
        <v>0</v>
      </c>
      <c r="X119" s="9">
        <f t="shared" si="24"/>
        <v>0</v>
      </c>
      <c r="Y119" s="9">
        <f t="shared" si="24"/>
        <v>0</v>
      </c>
      <c r="Z119" s="9">
        <f t="shared" si="24"/>
        <v>0</v>
      </c>
      <c r="AA119" s="9">
        <f t="shared" si="24"/>
        <v>0</v>
      </c>
      <c r="AC119" s="243"/>
      <c r="AD119" s="243"/>
      <c r="AE119" s="148"/>
      <c r="AF119" s="243"/>
      <c r="AG119" s="243"/>
      <c r="AH119" s="243"/>
      <c r="AI119" s="243"/>
      <c r="AJ119" s="243"/>
      <c r="AK119" s="243"/>
      <c r="AL119" s="243"/>
      <c r="AM119" s="243"/>
      <c r="AN119" s="243"/>
      <c r="AO119" s="243"/>
      <c r="AP119" s="243"/>
      <c r="AQ119" s="243"/>
      <c r="AR119" s="243"/>
      <c r="AS119" s="243"/>
      <c r="AT119" s="243"/>
      <c r="AU119" s="243"/>
      <c r="AV119" s="243"/>
      <c r="AW119" s="243"/>
      <c r="AX119" s="243"/>
      <c r="AY119" s="243"/>
      <c r="AZ119" s="243"/>
      <c r="BA119" s="243"/>
      <c r="BB119" s="243"/>
      <c r="BC119" s="243"/>
      <c r="BD119" s="243"/>
      <c r="BE119" s="243"/>
      <c r="BF119" s="243"/>
      <c r="BG119" s="243"/>
      <c r="BH119" s="243"/>
      <c r="BI119" s="243"/>
      <c r="BJ119" s="243"/>
      <c r="BK119" s="243"/>
      <c r="BL119" s="243"/>
    </row>
    <row r="120" spans="1:64" customFormat="1">
      <c r="A120" s="23"/>
      <c r="B120" s="7">
        <f>B119+1</f>
        <v>2019</v>
      </c>
      <c r="C120" s="13" t="str">
        <f>C119</f>
        <v>Semi-annual</v>
      </c>
      <c r="D120" s="13">
        <f>D119</f>
        <v>0</v>
      </c>
      <c r="E120" s="13">
        <f>E119</f>
        <v>0</v>
      </c>
      <c r="F120" s="14">
        <f>$M$75</f>
        <v>7.1007506480822574E-3</v>
      </c>
      <c r="G120" s="13"/>
      <c r="H120" s="9"/>
      <c r="I120" s="9">
        <f ca="1">$C$75</f>
        <v>151</v>
      </c>
      <c r="J120" s="9">
        <f ca="1">I120-Q120</f>
        <v>0</v>
      </c>
      <c r="K120" s="9">
        <f ca="1">J120-R120</f>
        <v>0</v>
      </c>
      <c r="L120" s="9">
        <f ca="1">K120-S120</f>
        <v>0</v>
      </c>
      <c r="M120" s="9">
        <f ca="1">L120-T120</f>
        <v>0</v>
      </c>
      <c r="N120" s="9"/>
      <c r="O120" s="9"/>
      <c r="P120" s="9">
        <v>0</v>
      </c>
      <c r="Q120" s="9">
        <f ca="1">I120</f>
        <v>151</v>
      </c>
      <c r="R120" s="9">
        <v>0</v>
      </c>
      <c r="S120" s="9">
        <v>0</v>
      </c>
      <c r="T120" s="9">
        <v>0</v>
      </c>
      <c r="U120" s="9"/>
      <c r="V120" s="9"/>
      <c r="W120" s="9">
        <f t="shared" si="24"/>
        <v>0</v>
      </c>
      <c r="X120" s="9">
        <f t="shared" si="24"/>
        <v>0</v>
      </c>
      <c r="Y120" s="9">
        <f t="shared" si="24"/>
        <v>0</v>
      </c>
      <c r="Z120" s="9">
        <f t="shared" si="24"/>
        <v>0</v>
      </c>
      <c r="AA120" s="9">
        <f t="shared" si="24"/>
        <v>0</v>
      </c>
      <c r="AC120" s="243"/>
      <c r="AD120" s="243"/>
      <c r="AE120" s="148"/>
      <c r="AF120" s="243"/>
      <c r="AG120" s="243"/>
      <c r="AH120" s="243"/>
      <c r="AI120" s="243"/>
      <c r="AJ120" s="243"/>
      <c r="AK120" s="243"/>
      <c r="AL120" s="243"/>
      <c r="AM120" s="243"/>
      <c r="AN120" s="243"/>
      <c r="AO120" s="243"/>
      <c r="AP120" s="243"/>
      <c r="AQ120" s="243"/>
      <c r="AR120" s="243"/>
      <c r="AS120" s="243"/>
      <c r="AT120" s="243"/>
      <c r="AU120" s="244"/>
      <c r="AV120" s="244"/>
      <c r="AW120" s="244"/>
      <c r="AX120" s="243"/>
      <c r="AY120" s="243"/>
      <c r="AZ120" s="243"/>
    </row>
    <row r="121" spans="1:64" customFormat="1">
      <c r="A121" s="23"/>
      <c r="B121" s="7">
        <f>B120+1</f>
        <v>2020</v>
      </c>
      <c r="C121" s="13" t="str">
        <f>C120</f>
        <v>Semi-annual</v>
      </c>
      <c r="D121" s="13">
        <f t="shared" ref="D121:E124" si="25">D120</f>
        <v>0</v>
      </c>
      <c r="E121" s="13">
        <f t="shared" si="25"/>
        <v>0</v>
      </c>
      <c r="F121" s="14">
        <f>$N$75</f>
        <v>1.4545456510151461E-2</v>
      </c>
      <c r="G121" s="13"/>
      <c r="H121" s="9"/>
      <c r="I121" s="9"/>
      <c r="J121" s="9">
        <f ca="1">$D$75</f>
        <v>151</v>
      </c>
      <c r="K121" s="9">
        <f ca="1">J121-R121</f>
        <v>0</v>
      </c>
      <c r="L121" s="9">
        <f ca="1">K121-S121</f>
        <v>0</v>
      </c>
      <c r="M121" s="9">
        <f ca="1">L121-T121</f>
        <v>0</v>
      </c>
      <c r="N121" s="9"/>
      <c r="O121" s="9"/>
      <c r="P121" s="9"/>
      <c r="Q121" s="9">
        <v>0</v>
      </c>
      <c r="R121" s="9">
        <f ca="1">J121</f>
        <v>151</v>
      </c>
      <c r="S121" s="9">
        <v>0</v>
      </c>
      <c r="T121" s="9">
        <v>0</v>
      </c>
      <c r="U121" s="9"/>
      <c r="V121" s="9"/>
      <c r="W121" s="9"/>
      <c r="X121" s="9">
        <f t="shared" si="24"/>
        <v>0</v>
      </c>
      <c r="Y121" s="9">
        <f t="shared" si="24"/>
        <v>0</v>
      </c>
      <c r="Z121" s="9">
        <f t="shared" si="24"/>
        <v>0</v>
      </c>
      <c r="AA121" s="9">
        <f t="shared" si="24"/>
        <v>0</v>
      </c>
      <c r="AC121" s="243"/>
      <c r="AD121" s="243"/>
      <c r="AE121" s="148"/>
      <c r="AF121" s="243"/>
      <c r="AG121" s="243"/>
      <c r="AH121" s="243"/>
      <c r="AI121" s="243"/>
      <c r="AJ121" s="243"/>
      <c r="AK121" s="243"/>
      <c r="AL121" s="243"/>
      <c r="AM121" s="243"/>
      <c r="AN121" s="243"/>
      <c r="AO121" s="243"/>
      <c r="AP121" s="243"/>
      <c r="AQ121" s="243"/>
      <c r="AR121" s="243"/>
      <c r="AS121" s="243"/>
      <c r="AT121" s="243"/>
      <c r="AU121" s="244"/>
      <c r="AV121" s="244"/>
      <c r="AW121" s="244"/>
      <c r="AX121" s="243"/>
      <c r="AY121" s="243"/>
      <c r="AZ121" s="243"/>
    </row>
    <row r="122" spans="1:64" customFormat="1">
      <c r="A122" s="23"/>
      <c r="B122" s="7">
        <f>B121+1</f>
        <v>2021</v>
      </c>
      <c r="C122" s="13" t="str">
        <f>C121</f>
        <v>Semi-annual</v>
      </c>
      <c r="D122" s="13">
        <f t="shared" si="25"/>
        <v>0</v>
      </c>
      <c r="E122" s="13">
        <f t="shared" si="25"/>
        <v>0</v>
      </c>
      <c r="F122" s="14">
        <f>$O$75</f>
        <v>0</v>
      </c>
      <c r="G122" s="13"/>
      <c r="H122" s="9"/>
      <c r="I122" s="9"/>
      <c r="J122" s="9"/>
      <c r="K122" s="9">
        <f ca="1">$E$75</f>
        <v>151</v>
      </c>
      <c r="L122" s="9">
        <f ca="1">K122-S122</f>
        <v>0</v>
      </c>
      <c r="M122" s="9">
        <f ca="1">L122-T122</f>
        <v>0</v>
      </c>
      <c r="N122" s="9"/>
      <c r="O122" s="9"/>
      <c r="P122" s="9"/>
      <c r="Q122" s="9"/>
      <c r="R122" s="9">
        <v>0</v>
      </c>
      <c r="S122" s="9">
        <f ca="1">K122</f>
        <v>151</v>
      </c>
      <c r="T122" s="9">
        <v>0</v>
      </c>
      <c r="U122" s="9"/>
      <c r="V122" s="9"/>
      <c r="W122" s="9"/>
      <c r="X122" s="9"/>
      <c r="Y122" s="9">
        <f t="shared" si="24"/>
        <v>0</v>
      </c>
      <c r="Z122" s="9">
        <f t="shared" si="24"/>
        <v>0</v>
      </c>
      <c r="AA122" s="9">
        <f t="shared" si="24"/>
        <v>0</v>
      </c>
      <c r="AC122" s="243"/>
      <c r="AD122" s="243"/>
      <c r="AE122" s="148"/>
      <c r="AF122" s="243"/>
      <c r="AG122" s="243"/>
      <c r="AH122" s="243"/>
      <c r="AI122" s="243"/>
      <c r="AJ122" s="243"/>
      <c r="AK122" s="243"/>
      <c r="AL122" s="243"/>
      <c r="AM122" s="243"/>
      <c r="AN122" s="243"/>
      <c r="AO122" s="243"/>
      <c r="AP122" s="243"/>
      <c r="AQ122" s="243"/>
      <c r="AR122" s="243"/>
      <c r="AS122" s="243"/>
      <c r="AT122" s="243"/>
      <c r="AU122" s="244"/>
      <c r="AV122" s="244"/>
      <c r="AW122" s="244"/>
      <c r="AX122" s="243"/>
      <c r="AY122" s="243"/>
      <c r="AZ122" s="243"/>
    </row>
    <row r="123" spans="1:64" customFormat="1">
      <c r="A123" s="23"/>
      <c r="B123" s="7">
        <f>B122+1</f>
        <v>2022</v>
      </c>
      <c r="C123" s="13" t="str">
        <f>C122</f>
        <v>Semi-annual</v>
      </c>
      <c r="D123" s="13">
        <f t="shared" si="25"/>
        <v>0</v>
      </c>
      <c r="E123" s="13">
        <f t="shared" si="25"/>
        <v>0</v>
      </c>
      <c r="F123" s="14">
        <f>$P$75</f>
        <v>0</v>
      </c>
      <c r="G123" s="13"/>
      <c r="H123" s="9"/>
      <c r="I123" s="9"/>
      <c r="J123" s="9"/>
      <c r="K123" s="9"/>
      <c r="L123" s="9">
        <f ca="1">$F$75</f>
        <v>151</v>
      </c>
      <c r="M123" s="9">
        <f ca="1">L123-T123</f>
        <v>0</v>
      </c>
      <c r="N123" s="9"/>
      <c r="O123" s="9"/>
      <c r="P123" s="9"/>
      <c r="Q123" s="9"/>
      <c r="R123" s="9"/>
      <c r="S123" s="9">
        <v>0</v>
      </c>
      <c r="T123" s="9">
        <f ca="1">L123</f>
        <v>151</v>
      </c>
      <c r="U123" s="9"/>
      <c r="V123" s="9"/>
      <c r="W123" s="9"/>
      <c r="X123" s="9"/>
      <c r="Y123" s="9"/>
      <c r="Z123" s="9">
        <f t="shared" si="24"/>
        <v>0</v>
      </c>
      <c r="AA123" s="9">
        <f t="shared" si="24"/>
        <v>0</v>
      </c>
      <c r="AC123" s="243"/>
      <c r="AD123" s="243"/>
      <c r="AE123" s="148"/>
      <c r="AF123" s="243"/>
      <c r="AG123" s="243"/>
      <c r="AH123" s="243"/>
      <c r="AI123" s="243"/>
      <c r="AJ123" s="243"/>
      <c r="AK123" s="243"/>
      <c r="AL123" s="243"/>
      <c r="AM123" s="243"/>
      <c r="AN123" s="243"/>
      <c r="AO123" s="243"/>
      <c r="AP123" s="243"/>
      <c r="AQ123" s="243"/>
      <c r="AR123" s="243"/>
      <c r="AS123" s="243"/>
      <c r="AT123" s="243"/>
      <c r="AU123" s="244"/>
      <c r="AV123" s="244"/>
      <c r="AW123" s="244"/>
      <c r="AX123" s="243"/>
      <c r="AY123" s="243"/>
      <c r="AZ123" s="243"/>
    </row>
    <row r="124" spans="1:64" customFormat="1">
      <c r="A124" s="23"/>
      <c r="B124" s="7">
        <f>B123+1</f>
        <v>2023</v>
      </c>
      <c r="C124" s="13" t="str">
        <f>C123</f>
        <v>Semi-annual</v>
      </c>
      <c r="D124" s="13">
        <f t="shared" si="25"/>
        <v>0</v>
      </c>
      <c r="E124" s="13">
        <f t="shared" si="25"/>
        <v>0</v>
      </c>
      <c r="F124" s="14">
        <f>$Q$75</f>
        <v>0</v>
      </c>
      <c r="G124" s="13"/>
      <c r="H124" s="9"/>
      <c r="I124" s="9"/>
      <c r="J124" s="9"/>
      <c r="K124" s="9"/>
      <c r="L124" s="9"/>
      <c r="M124" s="9">
        <f ca="1">$G$75</f>
        <v>151</v>
      </c>
      <c r="N124" s="9"/>
      <c r="O124" s="9"/>
      <c r="P124" s="9"/>
      <c r="Q124" s="9"/>
      <c r="R124" s="9"/>
      <c r="S124" s="9"/>
      <c r="T124" s="9">
        <v>0</v>
      </c>
      <c r="U124" s="9"/>
      <c r="V124" s="9"/>
      <c r="W124" s="9"/>
      <c r="X124" s="9"/>
      <c r="Y124" s="9"/>
      <c r="Z124" s="9"/>
      <c r="AA124" s="9">
        <f t="shared" si="24"/>
        <v>0</v>
      </c>
      <c r="AC124" s="243"/>
      <c r="AD124" s="243"/>
      <c r="AE124" s="148"/>
      <c r="AF124" s="243"/>
      <c r="AG124" s="243"/>
      <c r="AH124" s="243"/>
      <c r="AI124" s="243"/>
      <c r="AJ124" s="243"/>
      <c r="AK124" s="243"/>
      <c r="AL124" s="243"/>
      <c r="AM124" s="243"/>
      <c r="AN124" s="243"/>
      <c r="AO124" s="243"/>
      <c r="AP124" s="243"/>
      <c r="AQ124" s="243"/>
      <c r="AR124" s="243"/>
      <c r="AS124" s="243"/>
      <c r="AT124" s="243"/>
      <c r="AU124" s="244"/>
      <c r="AV124" s="244"/>
      <c r="AW124" s="244"/>
      <c r="AX124" s="243"/>
      <c r="AY124" s="243"/>
      <c r="AZ124" s="243"/>
    </row>
    <row r="125" spans="1:64" ht="15.75" thickBot="1">
      <c r="F125" s="15"/>
      <c r="H125" s="10"/>
      <c r="I125" s="10"/>
      <c r="J125" s="10"/>
      <c r="K125" s="10"/>
      <c r="L125" s="10"/>
      <c r="M125" s="10"/>
      <c r="N125" s="10"/>
      <c r="O125" s="10"/>
      <c r="P125" s="10"/>
      <c r="Q125" s="10"/>
      <c r="R125" s="10"/>
      <c r="S125" s="10"/>
      <c r="T125" s="10"/>
      <c r="U125" s="10"/>
      <c r="V125" s="10"/>
      <c r="W125" s="10"/>
      <c r="X125" s="10"/>
      <c r="Y125" s="10"/>
      <c r="Z125" s="10"/>
      <c r="AA125" s="10"/>
      <c r="AC125" s="243"/>
      <c r="AD125" s="243"/>
      <c r="AE125" s="148"/>
      <c r="AF125" s="243"/>
      <c r="AG125" s="243"/>
      <c r="AH125" s="243"/>
      <c r="AI125" s="243"/>
      <c r="AJ125" s="243"/>
      <c r="AK125" s="243"/>
      <c r="AL125" s="243"/>
      <c r="AM125" s="243"/>
      <c r="AN125" s="243"/>
      <c r="AO125" s="243"/>
      <c r="AP125" s="243"/>
      <c r="AQ125" s="243"/>
      <c r="AR125" s="243"/>
      <c r="AS125" s="243"/>
      <c r="AT125" s="243"/>
      <c r="AU125" s="244"/>
      <c r="AV125" s="244"/>
      <c r="AW125" s="244"/>
      <c r="AX125" s="243"/>
      <c r="AY125" s="243"/>
      <c r="AZ125" s="243"/>
    </row>
    <row r="126" spans="1:64" customFormat="1" ht="15.75" thickBot="1">
      <c r="A126" s="22" t="str">
        <f>'Input 4 - Forecast'!A65</f>
        <v>Denominated in foreign currency</v>
      </c>
      <c r="B126" s="1999" t="s">
        <v>52</v>
      </c>
      <c r="C126" s="2000"/>
      <c r="D126" s="2000"/>
      <c r="E126" s="2000"/>
      <c r="F126" s="2000"/>
      <c r="G126" s="2000"/>
      <c r="H126" s="2000"/>
      <c r="I126" s="2000"/>
      <c r="J126" s="2000"/>
      <c r="K126" s="2000"/>
      <c r="L126" s="2000"/>
      <c r="M126" s="2000"/>
      <c r="N126" s="2000"/>
      <c r="O126" s="2000"/>
      <c r="P126" s="2000"/>
      <c r="Q126" s="2000"/>
      <c r="R126" s="2000"/>
      <c r="S126" s="2000"/>
      <c r="T126" s="2000"/>
      <c r="U126" s="2000"/>
      <c r="V126" s="2000"/>
      <c r="W126" s="2000"/>
      <c r="X126" s="2000"/>
      <c r="Y126" s="2000"/>
      <c r="Z126" s="2000"/>
      <c r="AA126" s="2001"/>
      <c r="AC126" s="243"/>
      <c r="AD126" s="243"/>
      <c r="AE126" s="148"/>
      <c r="AF126" s="243"/>
      <c r="AG126" s="243"/>
      <c r="AH126" s="243"/>
      <c r="AI126" s="243"/>
      <c r="AJ126" s="243"/>
      <c r="AK126" s="243"/>
      <c r="AL126" s="243"/>
      <c r="AM126" s="243"/>
      <c r="AN126" s="243"/>
      <c r="AO126" s="243"/>
      <c r="AP126" s="243"/>
      <c r="AQ126" s="243"/>
      <c r="AR126" s="243"/>
      <c r="AS126" s="243"/>
      <c r="AT126" s="243"/>
      <c r="AU126" s="244"/>
      <c r="AV126" s="244"/>
      <c r="AW126" s="244"/>
      <c r="AX126" s="243"/>
      <c r="AY126" s="243"/>
      <c r="AZ126" s="243"/>
    </row>
    <row r="127" spans="1:64">
      <c r="F127" s="15"/>
      <c r="H127" s="10"/>
      <c r="I127" s="10"/>
      <c r="J127" s="10"/>
      <c r="K127" s="10"/>
      <c r="L127" s="10"/>
      <c r="M127" s="10"/>
      <c r="N127" s="10"/>
      <c r="O127" s="10"/>
      <c r="P127" s="10"/>
      <c r="Q127" s="10"/>
      <c r="R127" s="10"/>
      <c r="S127" s="10"/>
      <c r="T127" s="10"/>
      <c r="U127" s="10"/>
      <c r="V127" s="10"/>
      <c r="W127" s="10"/>
      <c r="X127" s="10"/>
      <c r="Y127" s="10"/>
      <c r="Z127" s="10"/>
      <c r="AA127" s="10"/>
      <c r="AC127" s="243"/>
      <c r="AD127" s="243"/>
      <c r="AE127" s="148"/>
      <c r="AF127" s="243"/>
      <c r="AG127" s="243"/>
      <c r="AH127" s="243"/>
      <c r="AI127" s="243"/>
      <c r="AJ127" s="243"/>
      <c r="AK127" s="243"/>
      <c r="AL127" s="243"/>
      <c r="AM127" s="243"/>
      <c r="AN127" s="243"/>
      <c r="AO127" s="243"/>
      <c r="AP127" s="243"/>
      <c r="AQ127" s="243"/>
      <c r="AR127" s="243"/>
      <c r="AS127" s="243"/>
      <c r="AT127" s="243"/>
      <c r="AU127" s="244"/>
      <c r="AV127" s="244"/>
      <c r="AW127" s="244"/>
      <c r="AX127" s="243"/>
      <c r="AY127" s="243"/>
      <c r="AZ127" s="243"/>
    </row>
    <row r="128" spans="1:64" customFormat="1">
      <c r="A128" s="23"/>
      <c r="B128" s="7">
        <f>B119</f>
        <v>2018</v>
      </c>
      <c r="C128" s="13" t="str">
        <f>$I76</f>
        <v>Semi-annual</v>
      </c>
      <c r="D128" s="13">
        <f>$J76</f>
        <v>0</v>
      </c>
      <c r="E128" s="13">
        <f>$K76</f>
        <v>0</v>
      </c>
      <c r="F128" s="14">
        <f>$L$76</f>
        <v>0</v>
      </c>
      <c r="G128" s="13"/>
      <c r="H128" s="9">
        <f>$B$76/$B$31</f>
        <v>0</v>
      </c>
      <c r="I128" s="9">
        <f>H128-P128</f>
        <v>0</v>
      </c>
      <c r="J128" s="9">
        <f>I128-Q128</f>
        <v>0</v>
      </c>
      <c r="K128" s="9">
        <f>J128-R128</f>
        <v>0</v>
      </c>
      <c r="L128" s="9">
        <f>K128-S128</f>
        <v>0</v>
      </c>
      <c r="M128" s="9">
        <f>L128-T128</f>
        <v>0</v>
      </c>
      <c r="N128" s="9"/>
      <c r="O128" s="9">
        <v>0</v>
      </c>
      <c r="P128" s="9">
        <f>H128</f>
        <v>0</v>
      </c>
      <c r="Q128" s="9">
        <v>0</v>
      </c>
      <c r="R128" s="9">
        <v>0</v>
      </c>
      <c r="S128" s="9">
        <v>0</v>
      </c>
      <c r="T128" s="9">
        <v>0</v>
      </c>
      <c r="U128" s="9"/>
      <c r="V128" s="9">
        <f>IF($C128="annual",IF(V$111=$B128,0,G128*$F128),IF(V$111-$B128=0,0,IF((V$111-$B128)&lt;$E128,AVERAGE(G128,H128)*$F128,IF((V$111-$B128)=$E128,G128*$F128/2,0))))</f>
        <v>0</v>
      </c>
      <c r="W128" s="9">
        <f t="shared" ref="W128:AA133" si="26">IF($C128="annual",IF(W$111=$B128,0,H128*$F128),IF(W$111-$B128=0,0,IF((W$111-$B128)&lt;$E128,AVERAGE(H128,I128)*$F128,IF((W$111-$B128)=$E128,H128*$F128/2,0))))</f>
        <v>0</v>
      </c>
      <c r="X128" s="9">
        <f t="shared" si="26"/>
        <v>0</v>
      </c>
      <c r="Y128" s="9">
        <f t="shared" si="26"/>
        <v>0</v>
      </c>
      <c r="Z128" s="9">
        <f t="shared" si="26"/>
        <v>0</v>
      </c>
      <c r="AA128" s="9">
        <f t="shared" si="26"/>
        <v>0</v>
      </c>
      <c r="AC128" s="243"/>
      <c r="AD128" s="243"/>
      <c r="AE128" s="148"/>
      <c r="AF128" s="243"/>
      <c r="AG128" s="243"/>
      <c r="AH128" s="243"/>
      <c r="AI128" s="243"/>
      <c r="AJ128" s="243"/>
      <c r="AK128" s="243"/>
      <c r="AL128" s="243"/>
      <c r="AM128" s="243"/>
      <c r="AN128" s="243"/>
      <c r="AO128" s="243"/>
      <c r="AP128" s="243"/>
      <c r="AQ128" s="243"/>
      <c r="AR128" s="243"/>
      <c r="AS128" s="243"/>
      <c r="AT128" s="243"/>
      <c r="AU128" s="244"/>
      <c r="AV128" s="244"/>
      <c r="AW128" s="244"/>
      <c r="AX128" s="243"/>
      <c r="AY128" s="243"/>
      <c r="AZ128" s="243"/>
    </row>
    <row r="129" spans="1:52" customFormat="1">
      <c r="A129" s="23"/>
      <c r="B129" s="7">
        <f>B128+1</f>
        <v>2019</v>
      </c>
      <c r="C129" s="13" t="str">
        <f>C128</f>
        <v>Semi-annual</v>
      </c>
      <c r="D129" s="13">
        <f>D128</f>
        <v>0</v>
      </c>
      <c r="E129" s="13">
        <f>E128</f>
        <v>0</v>
      </c>
      <c r="F129" s="14">
        <f>$M$76</f>
        <v>7.1007506480822574E-3</v>
      </c>
      <c r="G129" s="13"/>
      <c r="H129" s="9"/>
      <c r="I129" s="9">
        <f ca="1">$C$76/$C$31</f>
        <v>0</v>
      </c>
      <c r="J129" s="9">
        <f ca="1">I129-Q129</f>
        <v>0</v>
      </c>
      <c r="K129" s="9">
        <f ca="1">J129-R129</f>
        <v>0</v>
      </c>
      <c r="L129" s="9">
        <f ca="1">K129-S129</f>
        <v>0</v>
      </c>
      <c r="M129" s="9">
        <f ca="1">L129-T129</f>
        <v>0</v>
      </c>
      <c r="N129" s="9"/>
      <c r="O129" s="9"/>
      <c r="P129" s="9">
        <v>0</v>
      </c>
      <c r="Q129" s="9">
        <f ca="1">I129</f>
        <v>0</v>
      </c>
      <c r="R129" s="9">
        <v>0</v>
      </c>
      <c r="S129" s="9">
        <v>0</v>
      </c>
      <c r="T129" s="9">
        <v>0</v>
      </c>
      <c r="U129" s="9"/>
      <c r="V129" s="9"/>
      <c r="W129" s="9">
        <f t="shared" si="26"/>
        <v>0</v>
      </c>
      <c r="X129" s="9">
        <f t="shared" si="26"/>
        <v>0</v>
      </c>
      <c r="Y129" s="9">
        <f t="shared" si="26"/>
        <v>0</v>
      </c>
      <c r="Z129" s="9">
        <f t="shared" si="26"/>
        <v>0</v>
      </c>
      <c r="AA129" s="9">
        <f t="shared" si="26"/>
        <v>0</v>
      </c>
      <c r="AC129" s="243"/>
      <c r="AD129" s="243"/>
      <c r="AE129" s="148"/>
      <c r="AF129" s="243"/>
      <c r="AG129" s="243"/>
      <c r="AH129" s="243"/>
      <c r="AI129" s="243"/>
      <c r="AJ129" s="243"/>
      <c r="AK129" s="243"/>
      <c r="AL129" s="243"/>
      <c r="AM129" s="243"/>
      <c r="AN129" s="243"/>
      <c r="AO129" s="243"/>
      <c r="AP129" s="243"/>
      <c r="AQ129" s="243"/>
      <c r="AR129" s="243"/>
      <c r="AS129" s="243"/>
      <c r="AT129" s="243"/>
      <c r="AU129" s="244"/>
      <c r="AV129" s="244"/>
      <c r="AW129" s="244"/>
      <c r="AX129" s="243"/>
      <c r="AY129" s="243"/>
      <c r="AZ129" s="243"/>
    </row>
    <row r="130" spans="1:52" customFormat="1">
      <c r="A130" s="23"/>
      <c r="B130" s="7">
        <f>B129+1</f>
        <v>2020</v>
      </c>
      <c r="C130" s="13" t="str">
        <f>C129</f>
        <v>Semi-annual</v>
      </c>
      <c r="D130" s="13">
        <f t="shared" ref="D130:E133" si="27">D129</f>
        <v>0</v>
      </c>
      <c r="E130" s="13">
        <f t="shared" si="27"/>
        <v>0</v>
      </c>
      <c r="F130" s="14">
        <f>$N$76</f>
        <v>1.4545456510151461E-2</v>
      </c>
      <c r="G130" s="13"/>
      <c r="H130" s="9"/>
      <c r="I130" s="9"/>
      <c r="J130" s="9">
        <f ca="1">$D$76/$D$31</f>
        <v>0</v>
      </c>
      <c r="K130" s="9">
        <f ca="1">J130-R130</f>
        <v>0</v>
      </c>
      <c r="L130" s="9">
        <f ca="1">K130-S130</f>
        <v>0</v>
      </c>
      <c r="M130" s="9">
        <f ca="1">L130-T130</f>
        <v>0</v>
      </c>
      <c r="N130" s="9"/>
      <c r="O130" s="9"/>
      <c r="P130" s="9"/>
      <c r="Q130" s="9">
        <v>0</v>
      </c>
      <c r="R130" s="9">
        <f ca="1">J130</f>
        <v>0</v>
      </c>
      <c r="S130" s="9">
        <v>0</v>
      </c>
      <c r="T130" s="9">
        <v>0</v>
      </c>
      <c r="U130" s="9"/>
      <c r="V130" s="9"/>
      <c r="W130" s="9"/>
      <c r="X130" s="9">
        <f t="shared" si="26"/>
        <v>0</v>
      </c>
      <c r="Y130" s="9">
        <f t="shared" si="26"/>
        <v>0</v>
      </c>
      <c r="Z130" s="9">
        <f t="shared" si="26"/>
        <v>0</v>
      </c>
      <c r="AA130" s="9">
        <f t="shared" si="26"/>
        <v>0</v>
      </c>
      <c r="AC130" s="243"/>
      <c r="AD130" s="243"/>
      <c r="AE130" s="148"/>
      <c r="AF130" s="243"/>
      <c r="AG130" s="243"/>
      <c r="AH130" s="243"/>
      <c r="AI130" s="243"/>
      <c r="AJ130" s="243"/>
      <c r="AK130" s="243"/>
      <c r="AL130" s="243"/>
      <c r="AM130" s="243"/>
      <c r="AN130" s="243"/>
      <c r="AO130" s="243"/>
      <c r="AP130" s="243"/>
      <c r="AQ130" s="243"/>
      <c r="AR130" s="243"/>
      <c r="AS130" s="243"/>
      <c r="AT130" s="243"/>
      <c r="AU130" s="244"/>
      <c r="AV130" s="244"/>
      <c r="AW130" s="244"/>
      <c r="AX130" s="243"/>
      <c r="AY130" s="243"/>
      <c r="AZ130" s="243"/>
    </row>
    <row r="131" spans="1:52" customFormat="1">
      <c r="A131" s="23"/>
      <c r="B131" s="7">
        <f>B130+1</f>
        <v>2021</v>
      </c>
      <c r="C131" s="13" t="str">
        <f>C130</f>
        <v>Semi-annual</v>
      </c>
      <c r="D131" s="13">
        <f t="shared" si="27"/>
        <v>0</v>
      </c>
      <c r="E131" s="13">
        <f t="shared" si="27"/>
        <v>0</v>
      </c>
      <c r="F131" s="14">
        <f>$O$76</f>
        <v>0</v>
      </c>
      <c r="G131" s="13"/>
      <c r="H131" s="9"/>
      <c r="I131" s="9"/>
      <c r="J131" s="9"/>
      <c r="K131" s="9">
        <f ca="1">$E$76/$E$31</f>
        <v>0</v>
      </c>
      <c r="L131" s="9">
        <f ca="1">K131-S131</f>
        <v>0</v>
      </c>
      <c r="M131" s="9">
        <f ca="1">L131-T131</f>
        <v>0</v>
      </c>
      <c r="N131" s="9"/>
      <c r="O131" s="9"/>
      <c r="P131" s="9"/>
      <c r="Q131" s="9"/>
      <c r="R131" s="9">
        <v>0</v>
      </c>
      <c r="S131" s="9">
        <f ca="1">K131</f>
        <v>0</v>
      </c>
      <c r="T131" s="9">
        <v>0</v>
      </c>
      <c r="U131" s="9"/>
      <c r="V131" s="9"/>
      <c r="W131" s="9"/>
      <c r="X131" s="9"/>
      <c r="Y131" s="9">
        <f t="shared" si="26"/>
        <v>0</v>
      </c>
      <c r="Z131" s="9">
        <f t="shared" si="26"/>
        <v>0</v>
      </c>
      <c r="AA131" s="9">
        <f t="shared" si="26"/>
        <v>0</v>
      </c>
      <c r="AC131" s="243"/>
      <c r="AD131" s="243"/>
      <c r="AE131" s="148"/>
      <c r="AF131" s="243"/>
      <c r="AG131" s="243"/>
      <c r="AH131" s="243"/>
      <c r="AI131" s="243"/>
      <c r="AJ131" s="243"/>
      <c r="AK131" s="243"/>
      <c r="AL131" s="243"/>
      <c r="AM131" s="243"/>
      <c r="AN131" s="243"/>
      <c r="AO131" s="243"/>
      <c r="AP131" s="243"/>
      <c r="AQ131" s="243"/>
      <c r="AR131" s="243"/>
      <c r="AS131" s="243"/>
      <c r="AT131" s="243"/>
      <c r="AU131" s="244"/>
      <c r="AV131" s="244"/>
      <c r="AW131" s="244"/>
      <c r="AX131" s="243"/>
      <c r="AY131" s="243"/>
      <c r="AZ131" s="243"/>
    </row>
    <row r="132" spans="1:52" customFormat="1">
      <c r="A132" s="23"/>
      <c r="B132" s="7">
        <f>B131+1</f>
        <v>2022</v>
      </c>
      <c r="C132" s="13" t="str">
        <f>C131</f>
        <v>Semi-annual</v>
      </c>
      <c r="D132" s="13">
        <f t="shared" si="27"/>
        <v>0</v>
      </c>
      <c r="E132" s="13">
        <f t="shared" si="27"/>
        <v>0</v>
      </c>
      <c r="F132" s="14">
        <f>$P$76</f>
        <v>0</v>
      </c>
      <c r="G132" s="13"/>
      <c r="H132" s="9"/>
      <c r="I132" s="9"/>
      <c r="J132" s="9"/>
      <c r="K132" s="9"/>
      <c r="L132" s="9">
        <f ca="1">$F$76/$F$31</f>
        <v>0</v>
      </c>
      <c r="M132" s="9">
        <f ca="1">L132-T132</f>
        <v>0</v>
      </c>
      <c r="N132" s="9"/>
      <c r="O132" s="9"/>
      <c r="P132" s="9"/>
      <c r="Q132" s="9"/>
      <c r="R132" s="9"/>
      <c r="S132" s="9">
        <v>0</v>
      </c>
      <c r="T132" s="9">
        <f ca="1">L132</f>
        <v>0</v>
      </c>
      <c r="U132" s="9"/>
      <c r="V132" s="9"/>
      <c r="W132" s="9"/>
      <c r="X132" s="9"/>
      <c r="Y132" s="9"/>
      <c r="Z132" s="9">
        <f t="shared" si="26"/>
        <v>0</v>
      </c>
      <c r="AA132" s="9">
        <f t="shared" si="26"/>
        <v>0</v>
      </c>
      <c r="AC132" s="243"/>
      <c r="AD132" s="243"/>
      <c r="AE132" s="148"/>
      <c r="AF132" s="243"/>
      <c r="AG132" s="243"/>
      <c r="AH132" s="243"/>
      <c r="AI132" s="243"/>
      <c r="AJ132" s="243"/>
      <c r="AK132" s="243"/>
      <c r="AL132" s="243"/>
      <c r="AM132" s="243"/>
      <c r="AN132" s="243"/>
      <c r="AO132" s="243"/>
      <c r="AP132" s="243"/>
      <c r="AQ132" s="243"/>
      <c r="AR132" s="243"/>
      <c r="AS132" s="243"/>
      <c r="AT132" s="243"/>
      <c r="AU132" s="244"/>
      <c r="AV132" s="244"/>
      <c r="AW132" s="244"/>
      <c r="AX132" s="243"/>
      <c r="AY132" s="243"/>
      <c r="AZ132" s="243"/>
    </row>
    <row r="133" spans="1:52" customFormat="1">
      <c r="A133" s="23"/>
      <c r="B133" s="7">
        <f>B132+1</f>
        <v>2023</v>
      </c>
      <c r="C133" s="13" t="str">
        <f>C132</f>
        <v>Semi-annual</v>
      </c>
      <c r="D133" s="13">
        <f t="shared" si="27"/>
        <v>0</v>
      </c>
      <c r="E133" s="13">
        <f t="shared" si="27"/>
        <v>0</v>
      </c>
      <c r="F133" s="14">
        <f>$Q$76</f>
        <v>0</v>
      </c>
      <c r="G133" s="13"/>
      <c r="H133" s="9"/>
      <c r="I133" s="9"/>
      <c r="J133" s="9"/>
      <c r="K133" s="9"/>
      <c r="L133" s="9"/>
      <c r="M133" s="9">
        <f ca="1">$G$76/$G$31</f>
        <v>0</v>
      </c>
      <c r="N133" s="9"/>
      <c r="O133" s="9"/>
      <c r="P133" s="9"/>
      <c r="Q133" s="9"/>
      <c r="R133" s="9"/>
      <c r="S133" s="9"/>
      <c r="T133" s="9">
        <v>0</v>
      </c>
      <c r="U133" s="9"/>
      <c r="V133" s="9"/>
      <c r="W133" s="9"/>
      <c r="X133" s="9"/>
      <c r="Y133" s="9"/>
      <c r="Z133" s="9"/>
      <c r="AA133" s="9">
        <f t="shared" si="26"/>
        <v>0</v>
      </c>
      <c r="AC133" s="243"/>
      <c r="AD133" s="243"/>
      <c r="AE133" s="148"/>
      <c r="AF133" s="243"/>
      <c r="AG133" s="243"/>
      <c r="AH133" s="243"/>
      <c r="AI133" s="243"/>
      <c r="AJ133" s="243"/>
      <c r="AK133" s="243"/>
      <c r="AL133" s="243"/>
      <c r="AM133" s="243"/>
      <c r="AN133" s="243"/>
      <c r="AO133" s="243"/>
      <c r="AP133" s="243"/>
      <c r="AQ133" s="243"/>
      <c r="AR133" s="243"/>
      <c r="AS133" s="243"/>
      <c r="AT133" s="243"/>
      <c r="AU133" s="244"/>
      <c r="AV133" s="244"/>
      <c r="AW133" s="244"/>
      <c r="AX133" s="243"/>
      <c r="AY133" s="243"/>
      <c r="AZ133" s="243"/>
    </row>
    <row r="134" spans="1:52">
      <c r="AC134" s="243"/>
      <c r="AD134" s="243"/>
      <c r="AE134" s="148"/>
      <c r="AF134" s="243"/>
      <c r="AG134" s="243"/>
      <c r="AH134" s="243"/>
      <c r="AI134" s="243"/>
      <c r="AJ134" s="243"/>
      <c r="AK134" s="243"/>
      <c r="AL134" s="243"/>
      <c r="AM134" s="243"/>
      <c r="AN134" s="243"/>
      <c r="AO134" s="243"/>
      <c r="AP134" s="243"/>
      <c r="AQ134" s="243"/>
      <c r="AR134" s="243"/>
      <c r="AS134" s="243"/>
      <c r="AT134" s="243"/>
      <c r="AU134" s="244"/>
      <c r="AV134" s="244"/>
      <c r="AW134" s="244"/>
      <c r="AX134" s="243"/>
      <c r="AY134" s="243"/>
      <c r="AZ134" s="243"/>
    </row>
    <row r="135" spans="1:52" ht="15.75" thickBot="1">
      <c r="A135" s="11" t="str">
        <f>'Input 4 - Forecast'!A58</f>
        <v>Long-term debt 3/</v>
      </c>
      <c r="AC135" s="243"/>
      <c r="AD135" s="243"/>
      <c r="AE135" s="148"/>
      <c r="AF135" s="243"/>
      <c r="AG135" s="243"/>
      <c r="AH135" s="243"/>
      <c r="AI135" s="243"/>
      <c r="AJ135" s="243"/>
      <c r="AK135" s="243"/>
      <c r="AL135" s="243"/>
      <c r="AM135" s="243"/>
      <c r="AN135" s="243"/>
      <c r="AO135" s="243"/>
      <c r="AP135" s="243"/>
      <c r="AQ135" s="243"/>
      <c r="AR135" s="243"/>
      <c r="AS135" s="243"/>
      <c r="AT135" s="243"/>
      <c r="AU135" s="244"/>
      <c r="AV135" s="244"/>
      <c r="AW135" s="244"/>
      <c r="AX135" s="243"/>
      <c r="AY135" s="243"/>
      <c r="AZ135" s="243"/>
    </row>
    <row r="136" spans="1:52" ht="15.75" thickBot="1">
      <c r="A136" s="12" t="str">
        <f>'Input 4 - Forecast'!A59</f>
        <v>Denominated in local currency</v>
      </c>
      <c r="B136" s="1999" t="s">
        <v>51</v>
      </c>
      <c r="C136" s="2000"/>
      <c r="D136" s="2000"/>
      <c r="E136" s="2000"/>
      <c r="F136" s="2000"/>
      <c r="G136" s="2000"/>
      <c r="H136" s="2000"/>
      <c r="I136" s="2000"/>
      <c r="J136" s="2000"/>
      <c r="K136" s="2000"/>
      <c r="L136" s="2000"/>
      <c r="M136" s="2000"/>
      <c r="N136" s="2000"/>
      <c r="O136" s="2000"/>
      <c r="P136" s="2000"/>
      <c r="Q136" s="2000"/>
      <c r="R136" s="2000"/>
      <c r="S136" s="2000"/>
      <c r="T136" s="2000"/>
      <c r="U136" s="2000"/>
      <c r="V136" s="2000"/>
      <c r="W136" s="2000"/>
      <c r="X136" s="2000"/>
      <c r="Y136" s="2000"/>
      <c r="Z136" s="2000"/>
      <c r="AA136" s="2001"/>
      <c r="AC136" s="243"/>
      <c r="AD136" s="243"/>
      <c r="AE136" s="148"/>
      <c r="AF136" s="243"/>
      <c r="AG136" s="243"/>
      <c r="AH136" s="243"/>
      <c r="AI136" s="243"/>
      <c r="AJ136" s="243"/>
      <c r="AK136" s="243"/>
      <c r="AL136" s="243"/>
      <c r="AM136" s="243"/>
      <c r="AN136" s="243"/>
      <c r="AO136" s="243"/>
      <c r="AP136" s="243"/>
      <c r="AQ136" s="243"/>
      <c r="AR136" s="243"/>
      <c r="AS136" s="243"/>
      <c r="AT136" s="243"/>
      <c r="AU136" s="244"/>
      <c r="AV136" s="244"/>
      <c r="AW136" s="244"/>
      <c r="AX136" s="243"/>
      <c r="AY136" s="243"/>
      <c r="AZ136" s="243"/>
    </row>
    <row r="137" spans="1:52">
      <c r="AC137" s="243"/>
      <c r="AD137" s="243"/>
      <c r="AE137" s="148"/>
      <c r="AF137" s="243"/>
      <c r="AG137" s="243"/>
      <c r="AH137" s="243"/>
      <c r="AI137" s="243"/>
      <c r="AJ137" s="243"/>
      <c r="AK137" s="243"/>
      <c r="AL137" s="243"/>
      <c r="AM137" s="243"/>
      <c r="AN137" s="243"/>
      <c r="AO137" s="243"/>
      <c r="AP137" s="243"/>
      <c r="AQ137" s="243"/>
      <c r="AR137" s="243"/>
      <c r="AS137" s="243"/>
      <c r="AT137" s="243"/>
      <c r="AU137" s="244"/>
      <c r="AV137" s="244"/>
      <c r="AW137" s="244"/>
      <c r="AX137" s="243"/>
      <c r="AY137" s="243"/>
      <c r="AZ137" s="243"/>
    </row>
    <row r="138" spans="1:52">
      <c r="A138" s="8" t="str">
        <f>'Input 4 - Forecast'!A60</f>
        <v>Type 1</v>
      </c>
      <c r="B138" s="7">
        <f>B119</f>
        <v>2018</v>
      </c>
      <c r="C138" s="7" t="str">
        <f>$I79</f>
        <v>Annual</v>
      </c>
      <c r="D138" s="7">
        <f>$J79</f>
        <v>5</v>
      </c>
      <c r="E138" s="7">
        <f>$K79</f>
        <v>5</v>
      </c>
      <c r="F138" s="14">
        <f>$L$79</f>
        <v>5.0000000000000001E-3</v>
      </c>
      <c r="H138" s="9">
        <f>$B$79</f>
        <v>329.998670927072</v>
      </c>
      <c r="I138" s="9">
        <f>H138-P138</f>
        <v>329.998670927072</v>
      </c>
      <c r="J138" s="9">
        <f>I138-Q138</f>
        <v>329.998670927072</v>
      </c>
      <c r="K138" s="9">
        <f>J138-R138</f>
        <v>329.998670927072</v>
      </c>
      <c r="L138" s="9">
        <f>K138-S138</f>
        <v>329.998670927072</v>
      </c>
      <c r="M138" s="9">
        <f>L138-T138</f>
        <v>0</v>
      </c>
      <c r="N138" s="9"/>
      <c r="O138" s="9">
        <f t="shared" ref="O138:T138" si="28">IF(OR($C138="Annual",$D138=$E138),IF(AND($D138=$E138,O$111=$B138+$D138),$H138,IF(AND(O$111&gt;$B138+$D138,O$111&lt;=$B138+$E138), $H138/($E138-$D138),0)), IF(OR(O$111=$B138+$D138,O$111=$B138+$E138),$H138/(($E138-$D138)*2),IF(AND(O$111&gt;$B138+$D138,O$111&lt;$B138+$E138),$H138/($E138-$D138),0)))</f>
        <v>0</v>
      </c>
      <c r="P138" s="9">
        <f t="shared" si="28"/>
        <v>0</v>
      </c>
      <c r="Q138" s="9">
        <f t="shared" si="28"/>
        <v>0</v>
      </c>
      <c r="R138" s="9">
        <f t="shared" si="28"/>
        <v>0</v>
      </c>
      <c r="S138" s="9">
        <f t="shared" si="28"/>
        <v>0</v>
      </c>
      <c r="T138" s="9">
        <f t="shared" si="28"/>
        <v>329.998670927072</v>
      </c>
      <c r="U138" s="9"/>
      <c r="V138" s="9">
        <f>IF($C138="annual",IF(V$111=$B138,0,G138*$F138),IF(V$111-$B138=0,0,IF((V$111-$B138)&lt;$E138,AVERAGE(G138,H138)*$F138,IF((V$111-$B138)=$E138,G138*$F138/2,0))))</f>
        <v>0</v>
      </c>
      <c r="W138" s="9">
        <f t="shared" ref="W138:AA143" si="29">IF($C138="annual",IF(W$111=$B138,0,H138*$F138),IF(W$111-$B138=0,0,IF((W$111-$B138)&lt;$E138,AVERAGE(H138,I138)*$F138,IF((W$111-$B138)=$E138,H138*$F138/2,0))))</f>
        <v>1.64999335463536</v>
      </c>
      <c r="X138" s="9">
        <f t="shared" si="29"/>
        <v>1.64999335463536</v>
      </c>
      <c r="Y138" s="9">
        <f t="shared" si="29"/>
        <v>1.64999335463536</v>
      </c>
      <c r="Z138" s="9">
        <f t="shared" si="29"/>
        <v>1.64999335463536</v>
      </c>
      <c r="AA138" s="9">
        <f t="shared" si="29"/>
        <v>1.64999335463536</v>
      </c>
      <c r="AC138" s="243"/>
      <c r="AD138" s="243"/>
      <c r="AE138" s="148"/>
      <c r="AF138" s="243"/>
      <c r="AG138" s="243"/>
      <c r="AH138" s="243"/>
      <c r="AI138" s="243"/>
      <c r="AJ138" s="243"/>
      <c r="AK138" s="243"/>
      <c r="AL138" s="243"/>
      <c r="AM138" s="243"/>
      <c r="AN138" s="243"/>
      <c r="AO138" s="243"/>
      <c r="AP138" s="243"/>
      <c r="AQ138" s="243"/>
      <c r="AR138" s="243"/>
      <c r="AS138" s="243"/>
      <c r="AT138" s="243"/>
      <c r="AU138" s="244"/>
      <c r="AV138" s="244"/>
      <c r="AW138" s="244"/>
      <c r="AX138" s="243"/>
      <c r="AY138" s="243"/>
      <c r="AZ138" s="243"/>
    </row>
    <row r="139" spans="1:52">
      <c r="A139" s="8" t="str">
        <f>A138</f>
        <v>Type 1</v>
      </c>
      <c r="B139" s="7">
        <f>B138+1</f>
        <v>2019</v>
      </c>
      <c r="C139" s="7" t="str">
        <f>C138</f>
        <v>Annual</v>
      </c>
      <c r="D139" s="7">
        <f>D138</f>
        <v>5</v>
      </c>
      <c r="E139" s="7">
        <f>E138</f>
        <v>5</v>
      </c>
      <c r="F139" s="14">
        <f>$M$79</f>
        <v>1.2100750648082258E-2</v>
      </c>
      <c r="H139" s="9"/>
      <c r="I139" s="9">
        <f ca="1">$C$79</f>
        <v>35</v>
      </c>
      <c r="J139" s="9">
        <f ca="1">I139-Q139</f>
        <v>17.5</v>
      </c>
      <c r="K139" s="9">
        <f ca="1">J139-R139</f>
        <v>0</v>
      </c>
      <c r="L139" s="9">
        <f ca="1">K139-S139</f>
        <v>0</v>
      </c>
      <c r="M139" s="9">
        <f ca="1">L139-T139</f>
        <v>0</v>
      </c>
      <c r="N139" s="9"/>
      <c r="O139" s="9"/>
      <c r="P139" s="9">
        <f>IF(OR($C139="Annual",$D139=$E139),IF(AND($D139=$E139,P$111=$B139+$D139),$I139,IF(AND(P$111&gt;$B139+$D139,P$111&lt;=$B139+$E139), $I139/($E139-$D139),0)), IF(OR(P$111=$B139+$D139,P$111=$B139+$E139),$I139/(($E139-$D139)*2),IF(AND(P$111&gt;$B139+$D139,P$111&lt;$B139+$E139),$I139/($E139-$D139),0)))</f>
        <v>0</v>
      </c>
      <c r="Q139" s="9">
        <f>IF(OR($C139="Annual",$D139=$E139),IF(AND($D139=$E139,Q$111=$B139+$D139),$I139,IF(AND(Q$111&gt;$B139+$D139,Q$111&lt;=$B139+$E139), $I139/($E139-$D139),0)), IF(OR(Q$111=$B139+$D139,Q$111=$B139+$E139),$I139/(($E139-$D139)*2),IF(AND(Q$111&gt;$B139+$D139,Q$111&lt;$B139+$E139),$I139/($E139-$D139),0)))</f>
        <v>0</v>
      </c>
      <c r="R139" s="9">
        <f>IF(OR($C139="Annual",$D139=$E139),IF(AND($D139=$E139,R$111=$B139+$D139),$I139,IF(AND(R$111&gt;$B139+$D139,R$111&lt;=$B139+$E139), $I139/($E139-$D139),0)), IF(OR(R$111=$B139+$D139,R$111=$B139+$E139),$I139/(($E139-$D139)*2),IF(AND(R$111&gt;$B139+$D139,R$111&lt;$B139+$E139),$I139/($E139-$D139),0)))</f>
        <v>0</v>
      </c>
      <c r="S139" s="9">
        <f>IF(OR($C139="Annual",$D139=$E139),IF(AND($D139=$E139,S$111=$B139+$D139),$I139,IF(AND(S$111&gt;$B139+$D139,S$111&lt;=$B139+$E139), $I139/($E139-$D139),0)), IF(OR(S$111=$B139+$D139,S$111=$B139+$E139),$I139/(($E139-$D139)*2),IF(AND(S$111&gt;$B139+$D139,S$111&lt;$B139+$E139),$I139/($E139-$D139),0)))</f>
        <v>0</v>
      </c>
      <c r="T139" s="9">
        <f>IF(OR($C139="Annual",$D139=$E139),IF(AND($D139=$E139,T$111=$B139+$D139),$I139,IF(AND(T$111&gt;$B139+$D139,T$111&lt;=$B139+$E139), $I139/($E139-$D139),0)), IF(OR(T$111=$B139+$D139,T$111=$B139+$E139),$I139/(($E139-$D139)*2),IF(AND(T$111&gt;$B139+$D139,T$111&lt;$B139+$E139),$I139/($E139-$D139),0)))</f>
        <v>0</v>
      </c>
      <c r="U139" s="9"/>
      <c r="V139" s="9"/>
      <c r="W139" s="9">
        <f t="shared" si="29"/>
        <v>0</v>
      </c>
      <c r="X139" s="9">
        <f t="shared" ca="1" si="29"/>
        <v>0.96009375000000008</v>
      </c>
      <c r="Y139" s="9">
        <f t="shared" ca="1" si="29"/>
        <v>0.48004687500000004</v>
      </c>
      <c r="Z139" s="9">
        <f t="shared" ca="1" si="29"/>
        <v>0</v>
      </c>
      <c r="AA139" s="9">
        <f t="shared" ca="1" si="29"/>
        <v>0</v>
      </c>
      <c r="AC139" s="243"/>
      <c r="AD139" s="243"/>
      <c r="AE139" s="148"/>
      <c r="AF139" s="243"/>
      <c r="AG139" s="243"/>
      <c r="AH139" s="243"/>
      <c r="AI139" s="243"/>
      <c r="AJ139" s="243"/>
      <c r="AK139" s="243"/>
      <c r="AL139" s="243"/>
      <c r="AM139" s="243"/>
      <c r="AN139" s="243"/>
      <c r="AO139" s="243"/>
      <c r="AP139" s="243"/>
      <c r="AQ139" s="243"/>
      <c r="AR139" s="243"/>
      <c r="AS139" s="243"/>
      <c r="AT139" s="243"/>
      <c r="AU139" s="244"/>
      <c r="AV139" s="244"/>
      <c r="AW139" s="244"/>
      <c r="AX139" s="243"/>
      <c r="AY139" s="243"/>
      <c r="AZ139" s="243"/>
    </row>
    <row r="140" spans="1:52">
      <c r="A140" s="8" t="str">
        <f>A139</f>
        <v>Type 1</v>
      </c>
      <c r="B140" s="7">
        <f>B139+1</f>
        <v>2020</v>
      </c>
      <c r="C140" s="7" t="str">
        <f>C139</f>
        <v>Annual</v>
      </c>
      <c r="D140" s="7">
        <f t="shared" ref="D140:E143" si="30">D139</f>
        <v>5</v>
      </c>
      <c r="E140" s="7">
        <f t="shared" si="30"/>
        <v>5</v>
      </c>
      <c r="F140" s="14">
        <f>$N$79</f>
        <v>2.4545456510151463E-2</v>
      </c>
      <c r="H140" s="9"/>
      <c r="I140" s="9"/>
      <c r="J140" s="9">
        <f ca="1">$D$79</f>
        <v>40</v>
      </c>
      <c r="K140" s="9">
        <f ca="1">J140-R140</f>
        <v>20</v>
      </c>
      <c r="L140" s="9">
        <f ca="1">K140-S140</f>
        <v>0</v>
      </c>
      <c r="M140" s="9">
        <f ca="1">L140-T140</f>
        <v>0</v>
      </c>
      <c r="N140" s="9"/>
      <c r="O140" s="9"/>
      <c r="P140" s="9"/>
      <c r="Q140" s="9">
        <f>IF(OR($C140="Annual",$D140=$E140),IF(AND($D140=$E140,Q$111=$B140+$D140),$J140,IF(AND(Q$111&gt;$B140+$D140,Q$111&lt;=$B140+$E140), $J140/($E140-$D140),0)), IF(OR(Q$111=$B140+$D140,Q$111=$B140+$E140),$J140/(($E140-$D140)*2),IF(AND(Q$111&gt;$B140+$D140,Q$111&lt;$B140+$E140),$J140/($E140-$D140),0)))</f>
        <v>0</v>
      </c>
      <c r="R140" s="9">
        <f>IF(OR($C140="Annual",$D140=$E140),IF(AND($D140=$E140,R$111=$B140+$D140),$J140,IF(AND(R$111&gt;$B140+$D140,R$111&lt;=$B140+$E140), $J140/($E140-$D140),0)), IF(OR(R$111=$B140+$D140,R$111=$B140+$E140),$J140/(($E140-$D140)*2),IF(AND(R$111&gt;$B140+$D140,R$111&lt;$B140+$E140),$J140/($E140-$D140),0)))</f>
        <v>0</v>
      </c>
      <c r="S140" s="9">
        <f>IF(OR($C140="Annual",$D140=$E140),IF(AND($D140=$E140,S$111=$B140+$D140),$J140,IF(AND(S$111&gt;$B140+$D140,S$111&lt;=$B140+$E140), $J140/($E140-$D140),0)), IF(OR(S$111=$B140+$D140,S$111=$B140+$E140),$J140/(($E140-$D140)*2),IF(AND(S$111&gt;$B140+$D140,S$111&lt;$B140+$E140),$J140/($E140-$D140),0)))</f>
        <v>0</v>
      </c>
      <c r="T140" s="9">
        <f>IF(OR($C140="Annual",$D140=$E140),IF(AND($D140=$E140,T$111=$B140+$D140),$J140,IF(AND(T$111&gt;$B140+$D140,T$111&lt;=$B140+$E140), $J140/($E140-$D140),0)), IF(OR(T$111=$B140+$D140,T$111=$B140+$E140),$J140/(($E140-$D140)*2),IF(AND(T$111&gt;$B140+$D140,T$111&lt;$B140+$E140),$J140/($E140-$D140),0)))</f>
        <v>0</v>
      </c>
      <c r="U140" s="9"/>
      <c r="V140" s="9"/>
      <c r="W140" s="9"/>
      <c r="X140" s="9">
        <f t="shared" si="29"/>
        <v>0</v>
      </c>
      <c r="Y140" s="9">
        <f t="shared" ca="1" si="29"/>
        <v>1.2164999999999979</v>
      </c>
      <c r="Z140" s="9">
        <f t="shared" ca="1" si="29"/>
        <v>0.60824999999999896</v>
      </c>
      <c r="AA140" s="9">
        <f t="shared" ca="1" si="29"/>
        <v>0</v>
      </c>
      <c r="AC140" s="243"/>
      <c r="AD140" s="243"/>
      <c r="AE140" s="148"/>
      <c r="AF140" s="243"/>
      <c r="AG140" s="243"/>
      <c r="AH140" s="243"/>
      <c r="AI140" s="243"/>
      <c r="AJ140" s="243"/>
      <c r="AK140" s="243"/>
      <c r="AL140" s="243"/>
      <c r="AM140" s="243"/>
      <c r="AN140" s="243"/>
      <c r="AO140" s="243"/>
      <c r="AP140" s="243"/>
      <c r="AQ140" s="243"/>
      <c r="AR140" s="243"/>
      <c r="AS140" s="243"/>
      <c r="AT140" s="243"/>
      <c r="AU140" s="244"/>
      <c r="AV140" s="244"/>
      <c r="AW140" s="244"/>
      <c r="AX140" s="243"/>
      <c r="AY140" s="243"/>
      <c r="AZ140" s="243"/>
    </row>
    <row r="141" spans="1:52">
      <c r="A141" s="8" t="str">
        <f>A140</f>
        <v>Type 1</v>
      </c>
      <c r="B141" s="7">
        <f>B140+1</f>
        <v>2021</v>
      </c>
      <c r="C141" s="7" t="str">
        <f>C140</f>
        <v>Annual</v>
      </c>
      <c r="D141" s="7">
        <f t="shared" si="30"/>
        <v>5</v>
      </c>
      <c r="E141" s="7">
        <f t="shared" si="30"/>
        <v>5</v>
      </c>
      <c r="F141" s="14">
        <f>$O$79</f>
        <v>0.01</v>
      </c>
      <c r="H141" s="9"/>
      <c r="I141" s="9"/>
      <c r="J141" s="9"/>
      <c r="K141" s="9">
        <f ca="1">$E$79</f>
        <v>35</v>
      </c>
      <c r="L141" s="9">
        <f ca="1">K141-S141</f>
        <v>17.5</v>
      </c>
      <c r="M141" s="9">
        <f ca="1">L141-T141</f>
        <v>0</v>
      </c>
      <c r="N141" s="9"/>
      <c r="O141" s="9"/>
      <c r="P141" s="9"/>
      <c r="Q141" s="9"/>
      <c r="R141" s="9">
        <f>IF(OR($C141="Annual",$D141=$E141),IF(AND($D141=$E141,R$111=$B141+$D141),$K141,IF(AND(R$111&gt;$B141+$D141,R$111&lt;=$B141+$E141), $K141/($E141-$D141),0)), IF(OR(R$111=$B141+$D141,R$111=$B141+$E141),$K141/(($E141-$D141)*2),IF(AND(R$111&gt;$B141+$D141,R$111&lt;$B141+$E141),$K141/($E141-$D141),0)))</f>
        <v>0</v>
      </c>
      <c r="S141" s="9">
        <f>IF(OR($C141="Annual",$D141=$E141),IF(AND($D141=$E141,S$111=$B141+$D141),$K141,IF(AND(S$111&gt;$B141+$D141,S$111&lt;=$B141+$E141), $K141/($E141-$D141),0)), IF(OR(S$111=$B141+$D141,S$111=$B141+$E141),$K141/(($E141-$D141)*2),IF(AND(S$111&gt;$B141+$D141,S$111&lt;$B141+$E141),$K141/($E141-$D141),0)))</f>
        <v>0</v>
      </c>
      <c r="T141" s="9">
        <f>IF(OR($C141="Annual",$D141=$E141),IF(AND($D141=$E141,T$111=$B141+$D141),$K141,IF(AND(T$111&gt;$B141+$D141,T$111&lt;=$B141+$E141), $K141/($E141-$D141),0)), IF(OR(T$111=$B141+$D141,T$111=$B141+$E141),$K141/(($E141-$D141)*2),IF(AND(T$111&gt;$B141+$D141,T$111&lt;$B141+$E141),$K141/($E141-$D141),0)))</f>
        <v>0</v>
      </c>
      <c r="U141" s="9"/>
      <c r="V141" s="9"/>
      <c r="W141" s="9"/>
      <c r="X141" s="9"/>
      <c r="Y141" s="9">
        <f t="shared" si="29"/>
        <v>0</v>
      </c>
      <c r="Z141" s="9">
        <f t="shared" ca="1" si="29"/>
        <v>1.1514999999999982</v>
      </c>
      <c r="AA141" s="9">
        <f t="shared" ca="1" si="29"/>
        <v>0.5757499999999991</v>
      </c>
      <c r="AC141" s="243"/>
      <c r="AD141" s="243"/>
      <c r="AE141" s="148"/>
      <c r="AF141" s="243"/>
      <c r="AG141" s="243"/>
      <c r="AH141" s="243"/>
      <c r="AI141" s="243"/>
      <c r="AJ141" s="243"/>
      <c r="AK141" s="243"/>
      <c r="AL141" s="243"/>
      <c r="AM141" s="243"/>
      <c r="AN141" s="243"/>
      <c r="AO141" s="243"/>
      <c r="AP141" s="243"/>
      <c r="AQ141" s="243"/>
      <c r="AR141" s="243"/>
      <c r="AS141" s="243"/>
      <c r="AT141" s="243"/>
      <c r="AU141" s="244"/>
      <c r="AV141" s="244"/>
      <c r="AW141" s="244"/>
      <c r="AX141" s="243"/>
      <c r="AY141" s="243"/>
      <c r="AZ141" s="243"/>
    </row>
    <row r="142" spans="1:52">
      <c r="A142" s="8" t="str">
        <f>A141</f>
        <v>Type 1</v>
      </c>
      <c r="B142" s="7">
        <f>B141+1</f>
        <v>2022</v>
      </c>
      <c r="C142" s="7" t="str">
        <f>C141</f>
        <v>Annual</v>
      </c>
      <c r="D142" s="7">
        <f t="shared" si="30"/>
        <v>5</v>
      </c>
      <c r="E142" s="7">
        <f t="shared" si="30"/>
        <v>5</v>
      </c>
      <c r="F142" s="14">
        <f>$P$79</f>
        <v>0.01</v>
      </c>
      <c r="H142" s="9"/>
      <c r="I142" s="9"/>
      <c r="J142" s="9"/>
      <c r="K142" s="9"/>
      <c r="L142" s="9">
        <f ca="1">$F$79</f>
        <v>40</v>
      </c>
      <c r="M142" s="9">
        <f ca="1">L142-T142</f>
        <v>20</v>
      </c>
      <c r="N142" s="9"/>
      <c r="O142" s="9"/>
      <c r="P142" s="9"/>
      <c r="Q142" s="9"/>
      <c r="R142" s="9"/>
      <c r="S142" s="9">
        <f>IF(OR($C142="Annual",$D142=$E142),IF(AND($D142=$E142,S$111=$B142+$D142),$L142,IF(AND(S$111&gt;$B142+$D142,S$111&lt;=$B142+$E142), $L142/($E142-$D142),0)), IF(OR(S$111=$B142+$D142,S$111=$B142+$E142),$L142/(($E142-$D142)*2),IF(AND(S$111&gt;$B142+$D142,S$111&lt;$B142+$E142),$L142/($E142-$D142),0)))</f>
        <v>0</v>
      </c>
      <c r="T142" s="9">
        <f>IF(OR($C142="Annual",$D142=$E142),IF(AND($D142=$E142,T$111=$B142+$D142),$L142,IF(AND(T$111&gt;$B142+$D142,T$111&lt;=$B142+$E142), $L142/($E142-$D142),0)), IF(OR(T$111=$B142+$D142,T$111=$B142+$E142),$L142/(($E142-$D142)*2),IF(AND(T$111&gt;$B142+$D142,T$111&lt;$B142+$E142),$L142/($E142-$D142),0)))</f>
        <v>0</v>
      </c>
      <c r="U142" s="9"/>
      <c r="V142" s="9"/>
      <c r="W142" s="9"/>
      <c r="X142" s="9"/>
      <c r="Y142" s="9"/>
      <c r="Z142" s="9">
        <f t="shared" si="29"/>
        <v>0</v>
      </c>
      <c r="AA142" s="9">
        <f t="shared" ca="1" si="29"/>
        <v>1.4002499999999998</v>
      </c>
      <c r="AC142" s="243"/>
      <c r="AD142" s="243"/>
      <c r="AE142" s="148"/>
      <c r="AF142" s="243"/>
      <c r="AG142" s="243"/>
      <c r="AH142" s="243"/>
      <c r="AI142" s="243"/>
      <c r="AJ142" s="243"/>
      <c r="AK142" s="243"/>
      <c r="AL142" s="243"/>
      <c r="AM142" s="243"/>
      <c r="AN142" s="243"/>
      <c r="AO142" s="243"/>
      <c r="AP142" s="243"/>
      <c r="AQ142" s="243"/>
      <c r="AR142" s="243"/>
      <c r="AS142" s="243"/>
      <c r="AT142" s="243"/>
      <c r="AU142" s="244"/>
      <c r="AV142" s="244"/>
      <c r="AW142" s="244"/>
      <c r="AX142" s="243"/>
      <c r="AY142" s="243"/>
      <c r="AZ142" s="243"/>
    </row>
    <row r="143" spans="1:52">
      <c r="A143" s="8" t="str">
        <f>A142</f>
        <v>Type 1</v>
      </c>
      <c r="B143" s="7">
        <f>B142+1</f>
        <v>2023</v>
      </c>
      <c r="C143" s="7" t="str">
        <f>C142</f>
        <v>Annual</v>
      </c>
      <c r="D143" s="7">
        <f t="shared" si="30"/>
        <v>5</v>
      </c>
      <c r="E143" s="7">
        <f t="shared" si="30"/>
        <v>5</v>
      </c>
      <c r="F143" s="14">
        <f>$Q$79</f>
        <v>0.01</v>
      </c>
      <c r="H143" s="9"/>
      <c r="I143" s="9"/>
      <c r="J143" s="9"/>
      <c r="K143" s="9"/>
      <c r="L143" s="9"/>
      <c r="M143" s="9">
        <f ca="1">$G$79</f>
        <v>30.5</v>
      </c>
      <c r="N143" s="9"/>
      <c r="O143" s="9"/>
      <c r="P143" s="9"/>
      <c r="Q143" s="9"/>
      <c r="R143" s="9"/>
      <c r="S143" s="9"/>
      <c r="T143" s="9">
        <f>IF(OR($C143="Annual",$D143=$E143),IF(AND($D143=$E143,T$111=$B143+$D143),$M143,IF(AND(T$111&gt;$B143+$D143,T$111&lt;=$B143+$E143), $M143/($E143-$D143),0)), IF(OR(T$111=$B143+$D143,T$111=$B143+$E143),$M143/(($E143-$D143)*2),IF(AND(T$111&gt;$B143+$D143,T$111&lt;$B143+$E143),$M143/($E143-$D143),0)))</f>
        <v>0</v>
      </c>
      <c r="U143" s="9"/>
      <c r="V143" s="9"/>
      <c r="W143" s="9"/>
      <c r="X143" s="9"/>
      <c r="Y143" s="9"/>
      <c r="Z143" s="9"/>
      <c r="AA143" s="9">
        <f t="shared" si="29"/>
        <v>0</v>
      </c>
      <c r="AC143" s="243"/>
      <c r="AD143" s="243"/>
      <c r="AE143" s="148"/>
      <c r="AF143" s="243"/>
      <c r="AG143" s="243"/>
      <c r="AH143" s="243"/>
      <c r="AI143" s="243"/>
      <c r="AJ143" s="243"/>
      <c r="AK143" s="243"/>
      <c r="AL143" s="243"/>
      <c r="AM143" s="243"/>
      <c r="AN143" s="243"/>
      <c r="AO143" s="243"/>
      <c r="AP143" s="243"/>
      <c r="AQ143" s="243"/>
      <c r="AR143" s="243"/>
      <c r="AS143" s="243"/>
      <c r="AT143" s="243"/>
      <c r="AU143" s="244"/>
      <c r="AV143" s="244"/>
      <c r="AW143" s="244"/>
      <c r="AX143" s="243"/>
      <c r="AY143" s="243"/>
      <c r="AZ143" s="243"/>
    </row>
    <row r="144" spans="1:52">
      <c r="C144" s="281"/>
      <c r="F144" s="15"/>
      <c r="H144" s="10"/>
      <c r="I144" s="10"/>
      <c r="J144" s="10"/>
      <c r="K144" s="10"/>
      <c r="L144" s="10"/>
      <c r="M144" s="10"/>
      <c r="N144" s="10"/>
      <c r="O144" s="278"/>
      <c r="P144" s="10"/>
      <c r="Q144" s="10"/>
      <c r="R144" s="10"/>
      <c r="S144" s="10"/>
      <c r="T144" s="10"/>
      <c r="U144" s="10"/>
      <c r="V144" s="10"/>
      <c r="W144" s="10"/>
      <c r="X144" s="10"/>
      <c r="Y144" s="10"/>
      <c r="Z144" s="10"/>
      <c r="AA144" s="10"/>
      <c r="AC144" s="243"/>
      <c r="AD144" s="243"/>
      <c r="AE144" s="148"/>
      <c r="AF144" s="243"/>
      <c r="AG144" s="243"/>
      <c r="AH144" s="243"/>
      <c r="AI144" s="243"/>
      <c r="AJ144" s="243"/>
      <c r="AK144" s="243"/>
      <c r="AL144" s="243"/>
      <c r="AM144" s="243"/>
      <c r="AN144" s="243"/>
      <c r="AO144" s="243"/>
      <c r="AP144" s="243"/>
      <c r="AQ144" s="243"/>
      <c r="AR144" s="243"/>
      <c r="AS144" s="243"/>
      <c r="AT144" s="243"/>
      <c r="AU144" s="244"/>
      <c r="AV144" s="244"/>
      <c r="AW144" s="244"/>
      <c r="AX144" s="243"/>
      <c r="AY144" s="243"/>
      <c r="AZ144" s="243"/>
    </row>
    <row r="145" spans="1:52">
      <c r="A145" s="8" t="str">
        <f>'Input 4 - Forecast'!A61</f>
        <v>Type 2</v>
      </c>
      <c r="B145" s="7">
        <f>B119</f>
        <v>2018</v>
      </c>
      <c r="C145" s="7" t="str">
        <f>$I80</f>
        <v>Annual</v>
      </c>
      <c r="D145" s="7">
        <f>$J80</f>
        <v>0</v>
      </c>
      <c r="E145" s="7">
        <f>$K80</f>
        <v>0</v>
      </c>
      <c r="F145" s="14">
        <f>$L$80</f>
        <v>0</v>
      </c>
      <c r="H145" s="9">
        <f>$B$80</f>
        <v>0</v>
      </c>
      <c r="I145" s="9">
        <f>H145-P145</f>
        <v>0</v>
      </c>
      <c r="J145" s="9">
        <f>I145-Q145</f>
        <v>0</v>
      </c>
      <c r="K145" s="9">
        <f>J145-R145</f>
        <v>0</v>
      </c>
      <c r="L145" s="9">
        <f>K145-S145</f>
        <v>0</v>
      </c>
      <c r="M145" s="9">
        <f>L145-T145</f>
        <v>0</v>
      </c>
      <c r="N145" s="9"/>
      <c r="O145" s="9">
        <f t="shared" ref="O145:T145" si="31">IF(OR($C145="Annual",$D145=$E145),IF(AND($D145=$E145,O$111=$B145+$D145),$H145,IF(AND(O$111&gt;$B145+$D145,O$111&lt;=$B145+$E145), $H145/($E145-$D145),0)), IF(OR(O$111=$B145+$D145,O$111=$B145+$E145),$H145/(($E145-$D145)*2),IF(AND(O$111&gt;$B145+$D145,O$111&lt;$B145+$E145),$H145/($E145-$D145),0)))</f>
        <v>0</v>
      </c>
      <c r="P145" s="9">
        <f t="shared" si="31"/>
        <v>0</v>
      </c>
      <c r="Q145" s="9">
        <f t="shared" si="31"/>
        <v>0</v>
      </c>
      <c r="R145" s="9">
        <f t="shared" si="31"/>
        <v>0</v>
      </c>
      <c r="S145" s="9">
        <f t="shared" si="31"/>
        <v>0</v>
      </c>
      <c r="T145" s="9">
        <f t="shared" si="31"/>
        <v>0</v>
      </c>
      <c r="U145" s="9"/>
      <c r="V145" s="9">
        <f>IF($C145="annual",IF(V$111=$B145,0,G145*$F145),IF(V$111-$B145=0,0,IF((V$111-$B145)&lt;$E145,AVERAGE(G145,H145)*$F145,IF((V$111-$B145)=$E145,G145*$F145/2,0))))</f>
        <v>0</v>
      </c>
      <c r="W145" s="9">
        <f t="shared" ref="W145:AA150" si="32">IF($C145="annual",IF(W$111=$B145,0,H145*$F145),IF(W$111-$B145=0,0,IF((W$111-$B145)&lt;$E145,AVERAGE(H145,I145)*$F145,IF((W$111-$B145)=$E145,H145*$F145/2,0))))</f>
        <v>0</v>
      </c>
      <c r="X145" s="9">
        <f t="shared" si="32"/>
        <v>0</v>
      </c>
      <c r="Y145" s="9">
        <f t="shared" si="32"/>
        <v>0</v>
      </c>
      <c r="Z145" s="9">
        <f t="shared" si="32"/>
        <v>0</v>
      </c>
      <c r="AA145" s="9">
        <f t="shared" si="32"/>
        <v>0</v>
      </c>
      <c r="AC145" s="243"/>
      <c r="AD145" s="243"/>
      <c r="AE145" s="148"/>
      <c r="AF145" s="243"/>
      <c r="AG145" s="243"/>
      <c r="AH145" s="243"/>
      <c r="AI145" s="243"/>
      <c r="AJ145" s="243"/>
      <c r="AK145" s="243"/>
      <c r="AL145" s="243"/>
      <c r="AM145" s="243"/>
      <c r="AN145" s="243"/>
      <c r="AO145" s="243"/>
      <c r="AP145" s="243"/>
      <c r="AQ145" s="243"/>
      <c r="AR145" s="243"/>
      <c r="AS145" s="243"/>
      <c r="AT145" s="243"/>
      <c r="AU145" s="244"/>
      <c r="AV145" s="244"/>
      <c r="AW145" s="244"/>
      <c r="AX145" s="243"/>
      <c r="AY145" s="243"/>
      <c r="AZ145" s="243"/>
    </row>
    <row r="146" spans="1:52">
      <c r="A146" s="8" t="str">
        <f>A145</f>
        <v>Type 2</v>
      </c>
      <c r="B146" s="7">
        <f>B145+1</f>
        <v>2019</v>
      </c>
      <c r="C146" s="7" t="str">
        <f>C145</f>
        <v>Annual</v>
      </c>
      <c r="D146" s="7">
        <f t="shared" ref="D146:E150" si="33">D145</f>
        <v>0</v>
      </c>
      <c r="E146" s="7">
        <f t="shared" si="33"/>
        <v>0</v>
      </c>
      <c r="F146" s="14">
        <f>$M$80</f>
        <v>7.1007506480822574E-3</v>
      </c>
      <c r="H146" s="9"/>
      <c r="I146" s="9">
        <f ca="1">$C$80</f>
        <v>45</v>
      </c>
      <c r="J146" s="9">
        <f ca="1">I146-Q146</f>
        <v>30</v>
      </c>
      <c r="K146" s="9">
        <f ca="1">J146-R146</f>
        <v>15</v>
      </c>
      <c r="L146" s="9">
        <f ca="1">K146-S146</f>
        <v>0</v>
      </c>
      <c r="M146" s="9">
        <f ca="1">L146-T146</f>
        <v>0</v>
      </c>
      <c r="N146" s="9"/>
      <c r="O146" s="9"/>
      <c r="P146" s="9">
        <f ca="1">IF(OR($C146="Annual",$D146=$E146),IF(AND($D146=$E146,P$111=$B146+$D146),$I146,IF(AND(P$111&gt;$B146+$D146,P$111&lt;=$B146+$E146), $I146/($E146-$D146),0)), IF(OR(P$111=$B146+$D146,P$111=$B146+$E146),$I146/(($E146-$D146)*2),IF(AND(P$111&gt;$B146+$D146,P$111&lt;$B146+$E146),$I146/($E146-$D146),0)))</f>
        <v>0</v>
      </c>
      <c r="Q146" s="9">
        <f>IF(OR($C146="Annual",$D146=$E146),IF(AND($D146=$E146,Q$111=$B146+$D146),$I146,IF(AND(Q$111&gt;$B146+$D146,Q$111&lt;=$B146+$E146), $I146/($E146-$D146),0)), IF(OR(Q$111=$B146+$D146,Q$111=$B146+$E146),$I146/(($E146-$D146)*2),IF(AND(Q$111&gt;$B146+$D146,Q$111&lt;$B146+$E146),$I146/($E146-$D146),0)))</f>
        <v>0</v>
      </c>
      <c r="R146" s="9">
        <f>IF(OR($C146="Annual",$D146=$E146),IF(AND($D146=$E146,R$111=$B146+$D146),$I146,IF(AND(R$111&gt;$B146+$D146,R$111&lt;=$B146+$E146), $I146/($E146-$D146),0)), IF(OR(R$111=$B146+$D146,R$111=$B146+$E146),$I146/(($E146-$D146)*2),IF(AND(R$111&gt;$B146+$D146,R$111&lt;$B146+$E146),$I146/($E146-$D146),0)))</f>
        <v>0</v>
      </c>
      <c r="S146" s="9">
        <f>IF(OR($C146="Annual",$D146=$E146),IF(AND($D146=$E146,S$111=$B146+$D146),$I146,IF(AND(S$111&gt;$B146+$D146,S$111&lt;=$B146+$E146), $I146/($E146-$D146),0)), IF(OR(S$111=$B146+$D146,S$111=$B146+$E146),$I146/(($E146-$D146)*2),IF(AND(S$111&gt;$B146+$D146,S$111&lt;$B146+$E146),$I146/($E146-$D146),0)))</f>
        <v>0</v>
      </c>
      <c r="T146" s="9">
        <f>IF(OR($C146="Annual",$D146=$E146),IF(AND($D146=$E146,T$111=$B146+$D146),$I146,IF(AND(T$111&gt;$B146+$D146,T$111&lt;=$B146+$E146), $I146/($E146-$D146),0)), IF(OR(T$111=$B146+$D146,T$111=$B146+$E146),$I146/(($E146-$D146)*2),IF(AND(T$111&gt;$B146+$D146,T$111&lt;$B146+$E146),$I146/($E146-$D146),0)))</f>
        <v>0</v>
      </c>
      <c r="U146" s="9"/>
      <c r="V146" s="9"/>
      <c r="W146" s="9">
        <f t="shared" si="32"/>
        <v>0</v>
      </c>
      <c r="X146" s="9">
        <f t="shared" ca="1" si="32"/>
        <v>1.2344062499999999</v>
      </c>
      <c r="Y146" s="9">
        <f t="shared" ca="1" si="32"/>
        <v>0.82293749999999999</v>
      </c>
      <c r="Z146" s="9">
        <f t="shared" ca="1" si="32"/>
        <v>0.41146874999999999</v>
      </c>
      <c r="AA146" s="9">
        <f t="shared" ca="1" si="32"/>
        <v>0</v>
      </c>
      <c r="AC146" s="243"/>
      <c r="AD146" s="243"/>
      <c r="AE146" s="148"/>
      <c r="AF146" s="243"/>
      <c r="AG146" s="243"/>
      <c r="AH146" s="243"/>
      <c r="AI146" s="243"/>
      <c r="AJ146" s="243"/>
      <c r="AK146" s="243"/>
      <c r="AL146" s="243"/>
      <c r="AM146" s="243"/>
      <c r="AN146" s="243"/>
      <c r="AO146" s="243"/>
      <c r="AP146" s="243"/>
      <c r="AQ146" s="243"/>
      <c r="AR146" s="243"/>
      <c r="AS146" s="243"/>
      <c r="AT146" s="243"/>
      <c r="AU146" s="244"/>
      <c r="AV146" s="244"/>
      <c r="AW146" s="244"/>
      <c r="AX146" s="243"/>
      <c r="AY146" s="243"/>
      <c r="AZ146" s="243"/>
    </row>
    <row r="147" spans="1:52">
      <c r="A147" s="8" t="str">
        <f>A146</f>
        <v>Type 2</v>
      </c>
      <c r="B147" s="7">
        <f>B146+1</f>
        <v>2020</v>
      </c>
      <c r="C147" s="7" t="str">
        <f>C146</f>
        <v>Annual</v>
      </c>
      <c r="D147" s="7">
        <f t="shared" si="33"/>
        <v>0</v>
      </c>
      <c r="E147" s="7">
        <f t="shared" si="33"/>
        <v>0</v>
      </c>
      <c r="F147" s="14">
        <f>$N$80</f>
        <v>1.4545456510151461E-2</v>
      </c>
      <c r="H147" s="9"/>
      <c r="I147" s="9"/>
      <c r="J147" s="9">
        <f ca="1">$D$80</f>
        <v>48</v>
      </c>
      <c r="K147" s="9">
        <f ca="1">J147-R147</f>
        <v>32</v>
      </c>
      <c r="L147" s="9">
        <f ca="1">K147-S147</f>
        <v>16</v>
      </c>
      <c r="M147" s="9">
        <f ca="1">L147-T147</f>
        <v>0</v>
      </c>
      <c r="N147" s="9"/>
      <c r="O147" s="9"/>
      <c r="P147" s="9"/>
      <c r="Q147" s="9">
        <f ca="1">IF(OR($C147="Annual",$D147=$E147),IF(AND($D147=$E147,Q$111=$B147+$D147),$J147,IF(AND(Q$111&gt;$B147+$D147,Q$111&lt;=$B147+$E147), $J147/($E147-$D147),0)), IF(OR(Q$111=$B147+$D147,Q$111=$B147+$E147),$J147/(($E147-$D147)*2),IF(AND(Q$111&gt;$B147+$D147,Q$111&lt;$B147+$E147),$J147/($E147-$D147),0)))</f>
        <v>0</v>
      </c>
      <c r="R147" s="9">
        <f>IF(OR($C147="Annual",$D147=$E147),IF(AND($D147=$E147,R$111=$B147+$D147),$J147,IF(AND(R$111&gt;$B147+$D147,R$111&lt;=$B147+$E147), $J147/($E147-$D147),0)), IF(OR(R$111=$B147+$D147,R$111=$B147+$E147),$J147/(($E147-$D147)*2),IF(AND(R$111&gt;$B147+$D147,R$111&lt;$B147+$E147),$J147/($E147-$D147),0)))</f>
        <v>0</v>
      </c>
      <c r="S147" s="9">
        <f>IF(OR($C147="Annual",$D147=$E147),IF(AND($D147=$E147,S$111=$B147+$D147),$J147,IF(AND(S$111&gt;$B147+$D147,S$111&lt;=$B147+$E147), $J147/($E147-$D147),0)), IF(OR(S$111=$B147+$D147,S$111=$B147+$E147),$J147/(($E147-$D147)*2),IF(AND(S$111&gt;$B147+$D147,S$111&lt;$B147+$E147),$J147/($E147-$D147),0)))</f>
        <v>0</v>
      </c>
      <c r="T147" s="9">
        <f>IF(OR($C147="Annual",$D147=$E147),IF(AND($D147=$E147,T$111=$B147+$D147),$J147,IF(AND(T$111&gt;$B147+$D147,T$111&lt;=$B147+$E147), $J147/($E147-$D147),0)), IF(OR(T$111=$B147+$D147,T$111=$B147+$E147),$J147/(($E147-$D147)*2),IF(AND(T$111&gt;$B147+$D147,T$111&lt;$B147+$E147),$J147/($E147-$D147),0)))</f>
        <v>0</v>
      </c>
      <c r="U147" s="9"/>
      <c r="V147" s="9"/>
      <c r="W147" s="9"/>
      <c r="X147" s="9">
        <f t="shared" si="32"/>
        <v>0</v>
      </c>
      <c r="Y147" s="9">
        <f t="shared" ca="1" si="32"/>
        <v>1.4597999999999975</v>
      </c>
      <c r="Z147" s="9">
        <f t="shared" ca="1" si="32"/>
        <v>0.9731999999999984</v>
      </c>
      <c r="AA147" s="9">
        <f t="shared" ca="1" si="32"/>
        <v>0.4865999999999992</v>
      </c>
      <c r="AC147" s="243"/>
      <c r="AD147" s="243"/>
      <c r="AE147" s="148"/>
      <c r="AF147" s="243"/>
      <c r="AG147" s="243"/>
      <c r="AH147" s="243"/>
      <c r="AI147" s="243"/>
      <c r="AJ147" s="243"/>
      <c r="AK147" s="243"/>
      <c r="AL147" s="243"/>
      <c r="AM147" s="243"/>
      <c r="AN147" s="243"/>
      <c r="AO147" s="243"/>
      <c r="AP147" s="243"/>
      <c r="AQ147" s="243"/>
      <c r="AR147" s="243"/>
      <c r="AS147" s="243"/>
      <c r="AT147" s="243"/>
      <c r="AU147" s="244"/>
      <c r="AV147" s="244"/>
      <c r="AW147" s="244"/>
      <c r="AX147" s="243"/>
      <c r="AY147" s="243"/>
      <c r="AZ147" s="243"/>
    </row>
    <row r="148" spans="1:52">
      <c r="A148" s="8" t="str">
        <f>A147</f>
        <v>Type 2</v>
      </c>
      <c r="B148" s="7">
        <f>B147+1</f>
        <v>2021</v>
      </c>
      <c r="C148" s="7" t="str">
        <f>C147</f>
        <v>Annual</v>
      </c>
      <c r="D148" s="7">
        <f t="shared" si="33"/>
        <v>0</v>
      </c>
      <c r="E148" s="7">
        <f t="shared" si="33"/>
        <v>0</v>
      </c>
      <c r="F148" s="14">
        <f>$O$80</f>
        <v>0</v>
      </c>
      <c r="H148" s="9"/>
      <c r="I148" s="9"/>
      <c r="J148" s="9"/>
      <c r="K148" s="9">
        <f ca="1">$E$80</f>
        <v>40</v>
      </c>
      <c r="L148" s="9">
        <f ca="1">K148-S148</f>
        <v>26.666666666666664</v>
      </c>
      <c r="M148" s="9">
        <f ca="1">L148-T148</f>
        <v>13.33333333333333</v>
      </c>
      <c r="N148" s="9"/>
      <c r="O148" s="9"/>
      <c r="P148" s="9"/>
      <c r="Q148" s="9"/>
      <c r="R148" s="9">
        <f ca="1">IF(OR($C148="Annual",$D148=$E148),IF(AND($D148=$E148,R$111=$B148+$D148),$K148,IF(AND(R$111&gt;$B148+$D148,R$111&lt;=$B148+$E148), $K148/($E148-$D148),0)), IF(OR(R$111=$B148+$D148,R$111=$B148+$E148),$K148/(($E148-$D148)*2),IF(AND(R$111&gt;$B148+$D148,R$111&lt;$B148+$E148),$K148/($E148-$D148),0)))</f>
        <v>0</v>
      </c>
      <c r="S148" s="9">
        <f>IF(OR($C148="Annual",$D148=$E148),IF(AND($D148=$E148,S$111=$B148+$D148),$K148,IF(AND(S$111&gt;$B148+$D148,S$111&lt;=$B148+$E148), $K148/($E148-$D148),0)), IF(OR(S$111=$B148+$D148,S$111=$B148+$E148),$K148/(($E148-$D148)*2),IF(AND(S$111&gt;$B148+$D148,S$111&lt;$B148+$E148),$K148/($E148-$D148),0)))</f>
        <v>0</v>
      </c>
      <c r="T148" s="9">
        <f>IF(OR($C148="Annual",$D148=$E148),IF(AND($D148=$E148,T$111=$B148+$D148),$K148,IF(AND(T$111&gt;$B148+$D148,T$111&lt;=$B148+$E148), $K148/($E148-$D148),0)), IF(OR(T$111=$B148+$D148,T$111=$B148+$E148),$K148/(($E148-$D148)*2),IF(AND(T$111&gt;$B148+$D148,T$111&lt;$B148+$E148),$K148/($E148-$D148),0)))</f>
        <v>0</v>
      </c>
      <c r="U148" s="9"/>
      <c r="V148" s="9"/>
      <c r="W148" s="9"/>
      <c r="X148" s="9"/>
      <c r="Y148" s="9">
        <f t="shared" si="32"/>
        <v>0</v>
      </c>
      <c r="Z148" s="9">
        <f t="shared" ca="1" si="32"/>
        <v>1.3159999999999981</v>
      </c>
      <c r="AA148" s="9">
        <f t="shared" ca="1" si="32"/>
        <v>0.87733333333333197</v>
      </c>
      <c r="AC148" s="243"/>
      <c r="AD148" s="243"/>
      <c r="AE148" s="148"/>
      <c r="AF148" s="243"/>
      <c r="AG148" s="243"/>
      <c r="AH148" s="243"/>
      <c r="AI148" s="243"/>
      <c r="AJ148" s="243"/>
      <c r="AK148" s="243"/>
      <c r="AL148" s="243"/>
      <c r="AM148" s="243"/>
      <c r="AN148" s="243"/>
      <c r="AO148" s="243"/>
      <c r="AP148" s="243"/>
      <c r="AQ148" s="243"/>
      <c r="AR148" s="243"/>
      <c r="AS148" s="243"/>
      <c r="AT148" s="243"/>
      <c r="AU148" s="244"/>
      <c r="AV148" s="244"/>
      <c r="AW148" s="244"/>
      <c r="AX148" s="243"/>
      <c r="AY148" s="243"/>
      <c r="AZ148" s="243"/>
    </row>
    <row r="149" spans="1:52">
      <c r="A149" s="8" t="str">
        <f>A148</f>
        <v>Type 2</v>
      </c>
      <c r="B149" s="7">
        <f>B148+1</f>
        <v>2022</v>
      </c>
      <c r="C149" s="7" t="str">
        <f>C148</f>
        <v>Annual</v>
      </c>
      <c r="D149" s="7">
        <f t="shared" si="33"/>
        <v>0</v>
      </c>
      <c r="E149" s="7">
        <f t="shared" si="33"/>
        <v>0</v>
      </c>
      <c r="F149" s="14">
        <f>$P$80</f>
        <v>0</v>
      </c>
      <c r="H149" s="9"/>
      <c r="I149" s="9"/>
      <c r="J149" s="9"/>
      <c r="K149" s="9"/>
      <c r="L149" s="9">
        <f ca="1">$F$80</f>
        <v>45</v>
      </c>
      <c r="M149" s="9">
        <f ca="1">L149-T149</f>
        <v>30</v>
      </c>
      <c r="N149" s="9"/>
      <c r="O149" s="9"/>
      <c r="P149" s="9"/>
      <c r="Q149" s="9"/>
      <c r="R149" s="9"/>
      <c r="S149" s="9">
        <f ca="1">IF(OR($C149="Annual",$D149=$E149),IF(AND($D149=$E149,S$111=$B149+$D149),$L149,IF(AND(S$111&gt;$B149+$D149,S$111&lt;=$B149+$E149), $L149/($E149-$D149),0)), IF(OR(S$111=$B149+$D149,S$111=$B149+$E149),$L149/(($E149-$D149)*2),IF(AND(S$111&gt;$B149+$D149,S$111&lt;$B149+$E149),$L149/($E149-$D149),0)))</f>
        <v>0</v>
      </c>
      <c r="T149" s="9">
        <f>IF(OR($C149="Annual",$D149=$E149),IF(AND($D149=$E149,T$111=$B149+$D149),$L149,IF(AND(T$111&gt;$B149+$D149,T$111&lt;=$B149+$E149), $L149/($E149-$D149),0)), IF(OR(T$111=$B149+$D149,T$111=$B149+$E149),$L149/(($E149-$D149)*2),IF(AND(T$111&gt;$B149+$D149,T$111&lt;$B149+$E149),$L149/($E149-$D149),0)))</f>
        <v>0</v>
      </c>
      <c r="U149" s="9"/>
      <c r="V149" s="9"/>
      <c r="W149" s="9"/>
      <c r="X149" s="9"/>
      <c r="Y149" s="9"/>
      <c r="Z149" s="9">
        <f t="shared" si="32"/>
        <v>0</v>
      </c>
      <c r="AA149" s="9">
        <f t="shared" ca="1" si="32"/>
        <v>1.5752812499999997</v>
      </c>
      <c r="AC149" s="243"/>
      <c r="AD149" s="243"/>
      <c r="AE149" s="148"/>
      <c r="AF149" s="243"/>
      <c r="AG149" s="243"/>
      <c r="AH149" s="243"/>
      <c r="AI149" s="243"/>
      <c r="AJ149" s="243"/>
      <c r="AK149" s="243"/>
      <c r="AL149" s="243"/>
      <c r="AM149" s="243"/>
      <c r="AN149" s="243"/>
      <c r="AO149" s="243"/>
      <c r="AP149" s="243"/>
      <c r="AQ149" s="243"/>
      <c r="AR149" s="243"/>
      <c r="AS149" s="243"/>
      <c r="AT149" s="243"/>
      <c r="AU149" s="244"/>
      <c r="AV149" s="244"/>
      <c r="AW149" s="244"/>
      <c r="AX149" s="243"/>
      <c r="AY149" s="243"/>
      <c r="AZ149" s="243"/>
    </row>
    <row r="150" spans="1:52">
      <c r="A150" s="8" t="str">
        <f>A149</f>
        <v>Type 2</v>
      </c>
      <c r="B150" s="7">
        <f>B149+1</f>
        <v>2023</v>
      </c>
      <c r="C150" s="7" t="str">
        <f>C149</f>
        <v>Annual</v>
      </c>
      <c r="D150" s="7">
        <f t="shared" si="33"/>
        <v>0</v>
      </c>
      <c r="E150" s="7">
        <f t="shared" si="33"/>
        <v>0</v>
      </c>
      <c r="F150" s="14">
        <f>$Q$80</f>
        <v>0</v>
      </c>
      <c r="H150" s="9"/>
      <c r="I150" s="9"/>
      <c r="J150" s="9"/>
      <c r="K150" s="9"/>
      <c r="L150" s="9"/>
      <c r="M150" s="9">
        <f ca="1">$G$80</f>
        <v>38.319187942158827</v>
      </c>
      <c r="N150" s="9"/>
      <c r="O150" s="9"/>
      <c r="P150" s="9"/>
      <c r="Q150" s="9"/>
      <c r="R150" s="9"/>
      <c r="S150" s="9"/>
      <c r="T150" s="9">
        <f ca="1">IF(OR($C150="Annual",$D150=$E150),IF(AND($D150=$E150,T$111=$B150+$D150),$M150,IF(AND(T$111&gt;$B150+$D150,T$111&lt;=$B150+$E150), $M150/($E150-$D150),0)), IF(OR(T$111=$B150+$D150,T$111=$B150+$E150),$M150/(($E150-$D150)*2),IF(AND(T$111&gt;$B150+$D150,T$111&lt;$B150+$E150),$M150/($E150-$D150),0)))</f>
        <v>0</v>
      </c>
      <c r="U150" s="9"/>
      <c r="V150" s="9"/>
      <c r="W150" s="9"/>
      <c r="X150" s="9"/>
      <c r="Y150" s="9"/>
      <c r="Z150" s="9"/>
      <c r="AA150" s="9">
        <f t="shared" si="32"/>
        <v>0</v>
      </c>
      <c r="AC150" s="243"/>
      <c r="AD150" s="243"/>
      <c r="AE150" s="148"/>
      <c r="AF150" s="243"/>
      <c r="AG150" s="243"/>
      <c r="AH150" s="243"/>
      <c r="AI150" s="243"/>
      <c r="AJ150" s="243"/>
      <c r="AK150" s="243"/>
      <c r="AL150" s="243"/>
      <c r="AM150" s="243"/>
      <c r="AN150" s="243"/>
      <c r="AO150" s="243"/>
      <c r="AP150" s="243"/>
      <c r="AQ150" s="243"/>
      <c r="AR150" s="243"/>
      <c r="AS150" s="243"/>
      <c r="AT150" s="243"/>
      <c r="AU150" s="244"/>
      <c r="AV150" s="244"/>
      <c r="AW150" s="244"/>
      <c r="AX150" s="243"/>
      <c r="AY150" s="243"/>
      <c r="AZ150" s="243"/>
    </row>
    <row r="151" spans="1:52">
      <c r="C151" s="281"/>
      <c r="F151" s="15"/>
      <c r="H151" s="10"/>
      <c r="I151" s="10"/>
      <c r="J151" s="10"/>
      <c r="K151" s="10"/>
      <c r="L151" s="10"/>
      <c r="M151" s="10"/>
      <c r="N151" s="10"/>
      <c r="O151" s="278"/>
      <c r="P151" s="10"/>
      <c r="Q151" s="10"/>
      <c r="R151" s="10"/>
      <c r="S151" s="10"/>
      <c r="T151" s="10"/>
      <c r="U151" s="10"/>
      <c r="V151" s="10"/>
      <c r="W151" s="10"/>
      <c r="X151" s="10"/>
      <c r="Y151" s="10"/>
      <c r="Z151" s="10"/>
      <c r="AA151" s="10"/>
      <c r="AC151" s="243"/>
      <c r="AD151" s="243"/>
      <c r="AE151" s="148"/>
      <c r="AF151" s="243"/>
      <c r="AG151" s="243"/>
      <c r="AH151" s="243"/>
      <c r="AI151" s="243"/>
      <c r="AJ151" s="243"/>
      <c r="AK151" s="243"/>
      <c r="AL151" s="243"/>
      <c r="AM151" s="243"/>
      <c r="AN151" s="243"/>
      <c r="AO151" s="243"/>
      <c r="AP151" s="243"/>
      <c r="AQ151" s="243"/>
      <c r="AR151" s="243"/>
      <c r="AS151" s="243"/>
      <c r="AT151" s="243"/>
      <c r="AU151" s="244"/>
      <c r="AV151" s="244"/>
      <c r="AW151" s="244"/>
      <c r="AX151" s="243"/>
      <c r="AY151" s="243"/>
      <c r="AZ151" s="243"/>
    </row>
    <row r="152" spans="1:52">
      <c r="A152" s="8" t="str">
        <f>'Input 4 - Forecast'!A62</f>
        <v>Type 3</v>
      </c>
      <c r="B152" s="7">
        <f>B119</f>
        <v>2018</v>
      </c>
      <c r="C152" s="7" t="str">
        <f>$I81</f>
        <v>Annual</v>
      </c>
      <c r="D152" s="7">
        <f>$J81</f>
        <v>0</v>
      </c>
      <c r="E152" s="7">
        <f>$K81</f>
        <v>0</v>
      </c>
      <c r="F152" s="14">
        <f>$L$81</f>
        <v>0</v>
      </c>
      <c r="H152" s="9">
        <f>$B$81</f>
        <v>0</v>
      </c>
      <c r="I152" s="9">
        <f>H152-P152</f>
        <v>0</v>
      </c>
      <c r="J152" s="9">
        <f>I152-Q152</f>
        <v>0</v>
      </c>
      <c r="K152" s="9">
        <f>J152-R152</f>
        <v>0</v>
      </c>
      <c r="L152" s="9">
        <f>K152-S152</f>
        <v>0</v>
      </c>
      <c r="M152" s="9">
        <f>L152-T152</f>
        <v>0</v>
      </c>
      <c r="N152" s="9"/>
      <c r="O152" s="9">
        <f t="shared" ref="O152:T152" si="34">IF(OR($C152="Annual",$D152=$E152),IF(AND($D152=$E152,O$111=$B152+$D152),$H152,IF(AND(O$111&gt;$B152+$D152,O$111&lt;=$B152+$E152), $H152/($E152-$D152),0)), IF(OR(O$111=$B152+$D152,O$111=$B152+$E152),$H152/(($E152-$D152)*2),IF(AND(O$111&gt;$B152+$D152,O$111&lt;$B152+$E152),$H152/($E152-$D152),0)))</f>
        <v>0</v>
      </c>
      <c r="P152" s="9">
        <f t="shared" si="34"/>
        <v>0</v>
      </c>
      <c r="Q152" s="9">
        <f t="shared" si="34"/>
        <v>0</v>
      </c>
      <c r="R152" s="9">
        <f t="shared" si="34"/>
        <v>0</v>
      </c>
      <c r="S152" s="9">
        <f t="shared" si="34"/>
        <v>0</v>
      </c>
      <c r="T152" s="9">
        <f t="shared" si="34"/>
        <v>0</v>
      </c>
      <c r="U152" s="9"/>
      <c r="V152" s="9">
        <f>IF($C152="annual",IF(V$111=$B152,0,G152*$F152),IF(V$111-$B152=0,0,IF((V$111-$B152)&lt;$E152,AVERAGE(G152,H152)*$F152,IF((V$111-$B152)=$E152,G152*$F152/2,0))))</f>
        <v>0</v>
      </c>
      <c r="W152" s="9">
        <f t="shared" ref="W152:AA157" si="35">IF($C152="annual",IF(W$111=$B152,0,H152*$F152),IF(W$111-$B152=0,0,IF((W$111-$B152)&lt;$E152,AVERAGE(H152,I152)*$F152,IF((W$111-$B152)=$E152,H152*$F152/2,0))))</f>
        <v>0</v>
      </c>
      <c r="X152" s="9">
        <f t="shared" si="35"/>
        <v>0</v>
      </c>
      <c r="Y152" s="9">
        <f t="shared" si="35"/>
        <v>0</v>
      </c>
      <c r="Z152" s="9">
        <f t="shared" si="35"/>
        <v>0</v>
      </c>
      <c r="AA152" s="9">
        <f t="shared" si="35"/>
        <v>0</v>
      </c>
      <c r="AC152" s="243"/>
      <c r="AD152" s="243"/>
      <c r="AE152" s="148"/>
      <c r="AF152" s="243"/>
      <c r="AG152" s="243"/>
      <c r="AH152" s="243"/>
      <c r="AI152" s="243"/>
      <c r="AJ152" s="243"/>
      <c r="AK152" s="243"/>
      <c r="AL152" s="243"/>
      <c r="AM152" s="243"/>
      <c r="AN152" s="243"/>
      <c r="AO152" s="243"/>
      <c r="AP152" s="243"/>
      <c r="AQ152" s="243"/>
      <c r="AR152" s="243"/>
      <c r="AS152" s="243"/>
      <c r="AT152" s="243"/>
      <c r="AU152" s="244"/>
      <c r="AV152" s="244"/>
      <c r="AW152" s="244"/>
      <c r="AX152" s="243"/>
      <c r="AY152" s="243"/>
      <c r="AZ152" s="243"/>
    </row>
    <row r="153" spans="1:52">
      <c r="A153" s="8" t="str">
        <f>A152</f>
        <v>Type 3</v>
      </c>
      <c r="B153" s="7">
        <f>B152+1</f>
        <v>2019</v>
      </c>
      <c r="C153" s="7" t="str">
        <f>C152</f>
        <v>Annual</v>
      </c>
      <c r="D153" s="7">
        <f t="shared" ref="D153:E157" si="36">D152</f>
        <v>0</v>
      </c>
      <c r="E153" s="7">
        <f t="shared" si="36"/>
        <v>0</v>
      </c>
      <c r="F153" s="14">
        <f>$M$81</f>
        <v>7.1007506480822574E-3</v>
      </c>
      <c r="H153" s="9"/>
      <c r="I153" s="9">
        <f ca="1">$C$81</f>
        <v>57.5</v>
      </c>
      <c r="J153" s="9">
        <f ca="1">I153-Q153</f>
        <v>46</v>
      </c>
      <c r="K153" s="9">
        <f ca="1">J153-R153</f>
        <v>34.5</v>
      </c>
      <c r="L153" s="9">
        <f ca="1">K153-S153</f>
        <v>23</v>
      </c>
      <c r="M153" s="9">
        <f ca="1">L153-T153</f>
        <v>11.5</v>
      </c>
      <c r="N153" s="9"/>
      <c r="O153" s="9"/>
      <c r="P153" s="9">
        <f ca="1">IF(OR($C153="Annual",$D153=$E153),IF(AND($D153=$E153,P$111=$B153+$D153),$I153,IF(AND(P$111&gt;$B153+$D153,P$111&lt;=$B153+$E153), $I153/($E153-$D153),0)), IF(OR(P$111=$B153+$D153,P$111=$B153+$E153),$I153/(($E153-$D153)*2),IF(AND(P$111&gt;$B153+$D153,P$111&lt;$B153+$E153),$I153/($E153-$D153),0)))</f>
        <v>0</v>
      </c>
      <c r="Q153" s="9">
        <f>IF(OR($C153="Annual",$D153=$E153),IF(AND($D153=$E153,Q$111=$B153+$D153),$I153,IF(AND(Q$111&gt;$B153+$D153,Q$111&lt;=$B153+$E153), $I153/($E153-$D153),0)), IF(OR(Q$111=$B153+$D153,Q$111=$B153+$E153),$I153/(($E153-$D153)*2),IF(AND(Q$111&gt;$B153+$D153,Q$111&lt;$B153+$E153),$I153/($E153-$D153),0)))</f>
        <v>0</v>
      </c>
      <c r="R153" s="9">
        <f>IF(OR($C153="Annual",$D153=$E153),IF(AND($D153=$E153,R$111=$B153+$D153),$I153,IF(AND(R$111&gt;$B153+$D153,R$111&lt;=$B153+$E153), $I153/($E153-$D153),0)), IF(OR(R$111=$B153+$D153,R$111=$B153+$E153),$I153/(($E153-$D153)*2),IF(AND(R$111&gt;$B153+$D153,R$111&lt;$B153+$E153),$I153/($E153-$D153),0)))</f>
        <v>0</v>
      </c>
      <c r="S153" s="9">
        <f>IF(OR($C153="Annual",$D153=$E153),IF(AND($D153=$E153,S$111=$B153+$D153),$I153,IF(AND(S$111&gt;$B153+$D153,S$111&lt;=$B153+$E153), $I153/($E153-$D153),0)), IF(OR(S$111=$B153+$D153,S$111=$B153+$E153),$I153/(($E153-$D153)*2),IF(AND(S$111&gt;$B153+$D153,S$111&lt;$B153+$E153),$I153/($E153-$D153),0)))</f>
        <v>0</v>
      </c>
      <c r="T153" s="9">
        <f>IF(OR($C153="Annual",$D153=$E153),IF(AND($D153=$E153,T$111=$B153+$D153),$I153,IF(AND(T$111&gt;$B153+$D153,T$111&lt;=$B153+$E153), $I153/($E153-$D153),0)), IF(OR(T$111=$B153+$D153,T$111=$B153+$E153),$I153/(($E153-$D153)*2),IF(AND(T$111&gt;$B153+$D153,T$111&lt;$B153+$E153),$I153/($E153-$D153),0)))</f>
        <v>0</v>
      </c>
      <c r="U153" s="9"/>
      <c r="V153" s="9"/>
      <c r="W153" s="9">
        <f t="shared" si="35"/>
        <v>0</v>
      </c>
      <c r="X153" s="9">
        <f t="shared" ca="1" si="35"/>
        <v>2.1850000000000001</v>
      </c>
      <c r="Y153" s="9">
        <f t="shared" ca="1" si="35"/>
        <v>1.748</v>
      </c>
      <c r="Z153" s="9">
        <f t="shared" ca="1" si="35"/>
        <v>1.3109999999999999</v>
      </c>
      <c r="AA153" s="9">
        <f t="shared" ca="1" si="35"/>
        <v>0.874</v>
      </c>
      <c r="AC153" s="243"/>
      <c r="AD153" s="243"/>
      <c r="AE153" s="148"/>
      <c r="AF153" s="243"/>
      <c r="AG153" s="243"/>
      <c r="AH153" s="243"/>
      <c r="AI153" s="243"/>
      <c r="AJ153" s="243"/>
      <c r="AK153" s="243"/>
      <c r="AL153" s="243"/>
      <c r="AM153" s="243"/>
      <c r="AN153" s="243"/>
      <c r="AO153" s="243"/>
      <c r="AP153" s="243"/>
      <c r="AQ153" s="243"/>
      <c r="AR153" s="243"/>
      <c r="AS153" s="243"/>
      <c r="AT153" s="243"/>
      <c r="AU153" s="244"/>
      <c r="AV153" s="244"/>
      <c r="AW153" s="244"/>
      <c r="AX153" s="243"/>
      <c r="AY153" s="243"/>
      <c r="AZ153" s="243"/>
    </row>
    <row r="154" spans="1:52">
      <c r="A154" s="8" t="str">
        <f>A153</f>
        <v>Type 3</v>
      </c>
      <c r="B154" s="7">
        <f>B153+1</f>
        <v>2020</v>
      </c>
      <c r="C154" s="7" t="str">
        <f>C153</f>
        <v>Annual</v>
      </c>
      <c r="D154" s="7">
        <f t="shared" si="36"/>
        <v>0</v>
      </c>
      <c r="E154" s="7">
        <f t="shared" si="36"/>
        <v>0</v>
      </c>
      <c r="F154" s="14">
        <f>$N$81</f>
        <v>1.4545456510151461E-2</v>
      </c>
      <c r="H154" s="9"/>
      <c r="I154" s="9"/>
      <c r="J154" s="9">
        <f ca="1">$D$81</f>
        <v>59.6</v>
      </c>
      <c r="K154" s="9">
        <f ca="1">J154-R154</f>
        <v>47.68</v>
      </c>
      <c r="L154" s="9">
        <f ca="1">K154-S154</f>
        <v>35.76</v>
      </c>
      <c r="M154" s="9">
        <f ca="1">L154-T154</f>
        <v>23.839999999999996</v>
      </c>
      <c r="N154" s="9"/>
      <c r="O154" s="9"/>
      <c r="P154" s="9"/>
      <c r="Q154" s="9">
        <f ca="1">IF(OR($C154="Annual",$D154=$E154),IF(AND($D154=$E154,Q$111=$B154+$D154),$J154,IF(AND(Q$111&gt;$B154+$D154,Q$111&lt;=$B154+$E154), $J154/($E154-$D154),0)), IF(OR(Q$111=$B154+$D154,Q$111=$B154+$E154),$J154/(($E154-$D154)*2),IF(AND(Q$111&gt;$B154+$D154,Q$111&lt;$B154+$E154),$J154/($E154-$D154),0)))</f>
        <v>0</v>
      </c>
      <c r="R154" s="9">
        <f>IF(OR($C154="Annual",$D154=$E154),IF(AND($D154=$E154,R$111=$B154+$D154),$J154,IF(AND(R$111&gt;$B154+$D154,R$111&lt;=$B154+$E154), $J154/($E154-$D154),0)), IF(OR(R$111=$B154+$D154,R$111=$B154+$E154),$J154/(($E154-$D154)*2),IF(AND(R$111&gt;$B154+$D154,R$111&lt;$B154+$E154),$J154/($E154-$D154),0)))</f>
        <v>0</v>
      </c>
      <c r="S154" s="9">
        <f>IF(OR($C154="Annual",$D154=$E154),IF(AND($D154=$E154,S$111=$B154+$D154),$J154,IF(AND(S$111&gt;$B154+$D154,S$111&lt;=$B154+$E154), $J154/($E154-$D154),0)), IF(OR(S$111=$B154+$D154,S$111=$B154+$E154),$J154/(($E154-$D154)*2),IF(AND(S$111&gt;$B154+$D154,S$111&lt;$B154+$E154),$J154/($E154-$D154),0)))</f>
        <v>0</v>
      </c>
      <c r="T154" s="9">
        <f>IF(OR($C154="Annual",$D154=$E154),IF(AND($D154=$E154,T$111=$B154+$D154),$J154,IF(AND(T$111&gt;$B154+$D154,T$111&lt;=$B154+$E154), $J154/($E154-$D154),0)), IF(OR(T$111=$B154+$D154,T$111=$B154+$E154),$J154/(($E154-$D154)*2),IF(AND(T$111&gt;$B154+$D154,T$111&lt;$B154+$E154),$J154/($E154-$D154),0)))</f>
        <v>0</v>
      </c>
      <c r="U154" s="9"/>
      <c r="V154" s="9"/>
      <c r="W154" s="9"/>
      <c r="X154" s="9">
        <f t="shared" si="35"/>
        <v>0</v>
      </c>
      <c r="Y154" s="9">
        <f t="shared" ca="1" si="35"/>
        <v>2.4435999999999996</v>
      </c>
      <c r="Z154" s="9">
        <f t="shared" ca="1" si="35"/>
        <v>1.9548799999999997</v>
      </c>
      <c r="AA154" s="9">
        <f t="shared" ca="1" si="35"/>
        <v>1.4661599999999997</v>
      </c>
      <c r="AC154" s="243"/>
      <c r="AD154" s="243"/>
      <c r="AE154" s="148"/>
      <c r="AF154" s="243"/>
      <c r="AG154" s="243"/>
      <c r="AH154" s="243"/>
      <c r="AI154" s="243"/>
      <c r="AJ154" s="243"/>
      <c r="AK154" s="243"/>
      <c r="AL154" s="243"/>
      <c r="AM154" s="243"/>
      <c r="AN154" s="243"/>
      <c r="AO154" s="243"/>
      <c r="AP154" s="243"/>
      <c r="AQ154" s="243"/>
      <c r="AR154" s="243"/>
      <c r="AS154" s="243"/>
      <c r="AT154" s="243"/>
      <c r="AU154" s="244"/>
      <c r="AV154" s="244"/>
      <c r="AW154" s="244"/>
      <c r="AX154" s="243"/>
      <c r="AY154" s="243"/>
      <c r="AZ154" s="243"/>
    </row>
    <row r="155" spans="1:52">
      <c r="A155" s="8" t="str">
        <f>A154</f>
        <v>Type 3</v>
      </c>
      <c r="B155" s="7">
        <f>B154+1</f>
        <v>2021</v>
      </c>
      <c r="C155" s="7" t="str">
        <f>C154</f>
        <v>Annual</v>
      </c>
      <c r="D155" s="7">
        <f t="shared" si="36"/>
        <v>0</v>
      </c>
      <c r="E155" s="7">
        <f t="shared" si="36"/>
        <v>0</v>
      </c>
      <c r="F155" s="14">
        <f>$O$81</f>
        <v>0</v>
      </c>
      <c r="H155" s="9"/>
      <c r="I155" s="9"/>
      <c r="J155" s="9"/>
      <c r="K155" s="9">
        <f ca="1">$E$81</f>
        <v>48</v>
      </c>
      <c r="L155" s="9">
        <f ca="1">K155-S155</f>
        <v>38.4</v>
      </c>
      <c r="M155" s="9">
        <f ca="1">L155-T155</f>
        <v>28.799999999999997</v>
      </c>
      <c r="N155" s="9"/>
      <c r="O155" s="9"/>
      <c r="P155" s="9"/>
      <c r="Q155" s="9"/>
      <c r="R155" s="9">
        <f ca="1">IF(OR($C155="Annual",$D155=$E155),IF(AND($D155=$E155,R$111=$B155+$D155),$K155,IF(AND(R$111&gt;$B155+$D155,R$111&lt;=$B155+$E155), $K155/($E155-$D155),0)), IF(OR(R$111=$B155+$D155,R$111=$B155+$E155),$K155/(($E155-$D155)*2),IF(AND(R$111&gt;$B155+$D155,R$111&lt;$B155+$E155),$K155/($E155-$D155),0)))</f>
        <v>0</v>
      </c>
      <c r="S155" s="9">
        <f>IF(OR($C155="Annual",$D155=$E155),IF(AND($D155=$E155,S$111=$B155+$D155),$K155,IF(AND(S$111&gt;$B155+$D155,S$111&lt;=$B155+$E155), $K155/($E155-$D155),0)), IF(OR(S$111=$B155+$D155,S$111=$B155+$E155),$K155/(($E155-$D155)*2),IF(AND(S$111&gt;$B155+$D155,S$111&lt;$B155+$E155),$K155/($E155-$D155),0)))</f>
        <v>0</v>
      </c>
      <c r="T155" s="9">
        <f>IF(OR($C155="Annual",$D155=$E155),IF(AND($D155=$E155,T$111=$B155+$D155),$K155,IF(AND(T$111&gt;$B155+$D155,T$111&lt;=$B155+$E155), $K155/($E155-$D155),0)), IF(OR(T$111=$B155+$D155,T$111=$B155+$E155),$K155/(($E155-$D155)*2),IF(AND(T$111&gt;$B155+$D155,T$111&lt;$B155+$E155),$K155/($E155-$D155),0)))</f>
        <v>0</v>
      </c>
      <c r="U155" s="9"/>
      <c r="V155" s="9"/>
      <c r="W155" s="9"/>
      <c r="X155" s="9"/>
      <c r="Y155" s="9">
        <f t="shared" si="35"/>
        <v>0</v>
      </c>
      <c r="Z155" s="9">
        <f t="shared" ca="1" si="35"/>
        <v>2.016</v>
      </c>
      <c r="AA155" s="9">
        <f t="shared" ca="1" si="35"/>
        <v>1.6128</v>
      </c>
      <c r="AC155" s="243"/>
      <c r="AD155" s="243"/>
      <c r="AE155" s="148"/>
      <c r="AF155" s="243"/>
      <c r="AG155" s="243"/>
      <c r="AH155" s="243"/>
      <c r="AI155" s="243"/>
      <c r="AJ155" s="243"/>
      <c r="AK155" s="243"/>
      <c r="AL155" s="243"/>
      <c r="AM155" s="243"/>
      <c r="AN155" s="243"/>
      <c r="AO155" s="243"/>
      <c r="AP155" s="243"/>
      <c r="AQ155" s="243"/>
      <c r="AR155" s="243"/>
      <c r="AS155" s="243"/>
      <c r="AT155" s="243"/>
      <c r="AU155" s="244"/>
      <c r="AV155" s="244"/>
      <c r="AW155" s="244"/>
      <c r="AX155" s="243"/>
      <c r="AY155" s="243"/>
      <c r="AZ155" s="243"/>
    </row>
    <row r="156" spans="1:52">
      <c r="A156" s="8" t="str">
        <f>A155</f>
        <v>Type 3</v>
      </c>
      <c r="B156" s="7">
        <f>B155+1</f>
        <v>2022</v>
      </c>
      <c r="C156" s="7" t="str">
        <f>C155</f>
        <v>Annual</v>
      </c>
      <c r="D156" s="7">
        <f t="shared" si="36"/>
        <v>0</v>
      </c>
      <c r="E156" s="7">
        <f t="shared" si="36"/>
        <v>0</v>
      </c>
      <c r="F156" s="14">
        <f>$P$81</f>
        <v>0</v>
      </c>
      <c r="H156" s="9"/>
      <c r="I156" s="9"/>
      <c r="J156" s="9"/>
      <c r="K156" s="9"/>
      <c r="L156" s="9">
        <f ca="1">$F$81</f>
        <v>53.500000000000007</v>
      </c>
      <c r="M156" s="9">
        <f ca="1">L156-T156</f>
        <v>42.800000000000004</v>
      </c>
      <c r="N156" s="9"/>
      <c r="O156" s="9"/>
      <c r="P156" s="9"/>
      <c r="Q156" s="9"/>
      <c r="R156" s="9"/>
      <c r="S156" s="9">
        <f ca="1">IF(OR($C156="Annual",$D156=$E156),IF(AND($D156=$E156,S$111=$B156+$D156),$L156,IF(AND(S$111&gt;$B156+$D156,S$111&lt;=$B156+$E156), $L156/($E156-$D156),0)), IF(OR(S$111=$B156+$D156,S$111=$B156+$E156),$L156/(($E156-$D156)*2),IF(AND(S$111&gt;$B156+$D156,S$111&lt;$B156+$E156),$L156/($E156-$D156),0)))</f>
        <v>0</v>
      </c>
      <c r="T156" s="9">
        <f>IF(OR($C156="Annual",$D156=$E156),IF(AND($D156=$E156,T$111=$B156+$D156),$L156,IF(AND(T$111&gt;$B156+$D156,T$111&lt;=$B156+$E156), $L156/($E156-$D156),0)), IF(OR(T$111=$B156+$D156,T$111=$B156+$E156),$L156/(($E156-$D156)*2),IF(AND(T$111&gt;$B156+$D156,T$111&lt;$B156+$E156),$L156/($E156-$D156),0)))</f>
        <v>0</v>
      </c>
      <c r="U156" s="9"/>
      <c r="V156" s="9"/>
      <c r="W156" s="9"/>
      <c r="X156" s="9"/>
      <c r="Y156" s="9"/>
      <c r="Z156" s="9">
        <f t="shared" si="35"/>
        <v>0</v>
      </c>
      <c r="AA156" s="9">
        <f t="shared" ca="1" si="35"/>
        <v>2.3005</v>
      </c>
      <c r="AC156" s="243"/>
      <c r="AD156" s="243"/>
      <c r="AE156" s="148"/>
      <c r="AF156" s="243"/>
      <c r="AG156" s="243"/>
      <c r="AH156" s="243"/>
      <c r="AI156" s="243"/>
      <c r="AJ156" s="243"/>
      <c r="AK156" s="243"/>
      <c r="AL156" s="243"/>
      <c r="AM156" s="243"/>
      <c r="AN156" s="243"/>
      <c r="AO156" s="243"/>
      <c r="AP156" s="243"/>
      <c r="AQ156" s="243"/>
      <c r="AR156" s="243"/>
      <c r="AS156" s="243"/>
      <c r="AT156" s="243"/>
      <c r="AU156" s="244"/>
      <c r="AV156" s="244"/>
      <c r="AW156" s="244"/>
      <c r="AX156" s="243"/>
      <c r="AY156" s="243"/>
      <c r="AZ156" s="243"/>
    </row>
    <row r="157" spans="1:52">
      <c r="A157" s="8" t="str">
        <f>A156</f>
        <v>Type 3</v>
      </c>
      <c r="B157" s="7">
        <f>B156+1</f>
        <v>2023</v>
      </c>
      <c r="C157" s="7" t="str">
        <f>C156</f>
        <v>Annual</v>
      </c>
      <c r="D157" s="7">
        <f t="shared" si="36"/>
        <v>0</v>
      </c>
      <c r="E157" s="7">
        <f t="shared" si="36"/>
        <v>0</v>
      </c>
      <c r="F157" s="14">
        <f>$Q$81</f>
        <v>0</v>
      </c>
      <c r="H157" s="9"/>
      <c r="I157" s="9"/>
      <c r="J157" s="9"/>
      <c r="K157" s="9"/>
      <c r="L157" s="9"/>
      <c r="M157" s="9">
        <f ca="1">$G$81</f>
        <v>55.4</v>
      </c>
      <c r="N157" s="9"/>
      <c r="O157" s="9"/>
      <c r="P157" s="9"/>
      <c r="Q157" s="9"/>
      <c r="R157" s="9"/>
      <c r="S157" s="9"/>
      <c r="T157" s="9">
        <f ca="1">IF(OR($C157="Annual",$D157=$E157),IF(AND($D157=$E157,T$111=$B157+$D157),$M157,IF(AND(T$111&gt;$B157+$D157,T$111&lt;=$B157+$E157), $M157/($E157-$D157),0)), IF(OR(T$111=$B157+$D157,T$111=$B157+$E157),$M157/(($E157-$D157)*2),IF(AND(T$111&gt;$B157+$D157,T$111&lt;$B157+$E157),$M157/($E157-$D157),0)))</f>
        <v>0</v>
      </c>
      <c r="U157" s="9"/>
      <c r="V157" s="9"/>
      <c r="W157" s="9"/>
      <c r="X157" s="9"/>
      <c r="Y157" s="9"/>
      <c r="Z157" s="9"/>
      <c r="AA157" s="9">
        <f t="shared" si="35"/>
        <v>0</v>
      </c>
      <c r="AC157" s="243"/>
      <c r="AD157" s="243"/>
      <c r="AE157" s="148"/>
      <c r="AF157" s="243"/>
      <c r="AG157" s="243"/>
      <c r="AH157" s="243"/>
      <c r="AI157" s="243"/>
      <c r="AJ157" s="243"/>
      <c r="AK157" s="243"/>
      <c r="AL157" s="243"/>
      <c r="AM157" s="243"/>
      <c r="AN157" s="243"/>
      <c r="AO157" s="243"/>
      <c r="AP157" s="243"/>
      <c r="AQ157" s="243"/>
      <c r="AR157" s="243"/>
      <c r="AS157" s="243"/>
      <c r="AT157" s="243"/>
      <c r="AU157" s="244"/>
      <c r="AV157" s="244"/>
      <c r="AW157" s="244"/>
      <c r="AX157" s="243"/>
      <c r="AY157" s="243"/>
      <c r="AZ157" s="243"/>
    </row>
    <row r="158" spans="1:52">
      <c r="C158" s="281"/>
      <c r="F158" s="15"/>
      <c r="H158" s="10"/>
      <c r="I158" s="10"/>
      <c r="J158" s="10"/>
      <c r="K158" s="10"/>
      <c r="L158" s="10"/>
      <c r="M158" s="10"/>
      <c r="N158" s="10"/>
      <c r="O158" s="278"/>
      <c r="P158" s="10"/>
      <c r="Q158" s="10"/>
      <c r="R158" s="10"/>
      <c r="S158" s="10"/>
      <c r="T158" s="10"/>
      <c r="U158" s="10"/>
      <c r="V158" s="10"/>
      <c r="W158" s="10"/>
      <c r="X158" s="10"/>
      <c r="Y158" s="10"/>
      <c r="Z158" s="10"/>
      <c r="AA158" s="10"/>
      <c r="AC158" s="243"/>
      <c r="AD158" s="243"/>
      <c r="AE158" s="148"/>
      <c r="AF158" s="243"/>
      <c r="AG158" s="243"/>
      <c r="AH158" s="243"/>
      <c r="AI158" s="243"/>
      <c r="AJ158" s="243"/>
      <c r="AK158" s="243"/>
      <c r="AL158" s="243"/>
      <c r="AM158" s="243"/>
      <c r="AN158" s="243"/>
      <c r="AO158" s="243"/>
      <c r="AP158" s="243"/>
      <c r="AQ158" s="243"/>
      <c r="AR158" s="243"/>
      <c r="AS158" s="243"/>
      <c r="AT158" s="243"/>
      <c r="AU158" s="244"/>
      <c r="AV158" s="244"/>
      <c r="AW158" s="244"/>
      <c r="AX158" s="243"/>
      <c r="AY158" s="243"/>
      <c r="AZ158" s="243"/>
    </row>
    <row r="159" spans="1:52">
      <c r="A159" s="8" t="str">
        <f>'Input 4 - Forecast'!A63</f>
        <v>Type 4</v>
      </c>
      <c r="B159" s="7">
        <f>B119</f>
        <v>2018</v>
      </c>
      <c r="C159" s="7" t="str">
        <f>$I82</f>
        <v>Annual</v>
      </c>
      <c r="D159" s="7">
        <f>$J82</f>
        <v>0</v>
      </c>
      <c r="E159" s="7">
        <f>$K82</f>
        <v>0</v>
      </c>
      <c r="F159" s="14">
        <f>$L$82</f>
        <v>0</v>
      </c>
      <c r="H159" s="9">
        <f>$B$82</f>
        <v>0</v>
      </c>
      <c r="I159" s="9">
        <f>H159-P159</f>
        <v>0</v>
      </c>
      <c r="J159" s="9">
        <f>I159-Q159</f>
        <v>0</v>
      </c>
      <c r="K159" s="9">
        <f>J159-R159</f>
        <v>0</v>
      </c>
      <c r="L159" s="9">
        <f>K159-S159</f>
        <v>0</v>
      </c>
      <c r="M159" s="9">
        <f>L159-T159</f>
        <v>0</v>
      </c>
      <c r="N159" s="9"/>
      <c r="O159" s="9">
        <f t="shared" ref="O159:T159" si="37">IF(OR($C159="Annual",$D159=$E159),IF(AND($D159=$E159,O$111=$B159+$D159),$H159,IF(AND(O$111&gt;$B159+$D159,O$111&lt;=$B159+$E159), $H159/($E159-$D159),0)), IF(OR(O$111=$B159+$D159,O$111=$B159+$E159),$H159/(($E159-$D159)*2),IF(AND(O$111&gt;$B159+$D159,O$111&lt;$B159+$E159),$H159/($E159-$D159),0)))</f>
        <v>0</v>
      </c>
      <c r="P159" s="9">
        <f t="shared" si="37"/>
        <v>0</v>
      </c>
      <c r="Q159" s="9">
        <f t="shared" si="37"/>
        <v>0</v>
      </c>
      <c r="R159" s="9">
        <f t="shared" si="37"/>
        <v>0</v>
      </c>
      <c r="S159" s="9">
        <f t="shared" si="37"/>
        <v>0</v>
      </c>
      <c r="T159" s="9">
        <f t="shared" si="37"/>
        <v>0</v>
      </c>
      <c r="U159" s="9"/>
      <c r="V159" s="9">
        <f>IF($C159="annual",IF(V$111=$B159,0,G159*$F159),IF(V$111-$B159=0,0,IF((V$111-$B159)&lt;$E159,AVERAGE(G159,H159)*$F159,IF((V$111-$B159)=$E159,G159*$F159/2,0))))</f>
        <v>0</v>
      </c>
      <c r="W159" s="9">
        <f t="shared" ref="W159:AA164" si="38">IF($C159="annual",IF(W$111=$B159,0,H159*$F159),IF(W$111-$B159=0,0,IF((W$111-$B159)&lt;$E159,AVERAGE(H159,I159)*$F159,IF((W$111-$B159)=$E159,H159*$F159/2,0))))</f>
        <v>0</v>
      </c>
      <c r="X159" s="9">
        <f t="shared" si="38"/>
        <v>0</v>
      </c>
      <c r="Y159" s="9">
        <f t="shared" si="38"/>
        <v>0</v>
      </c>
      <c r="Z159" s="9">
        <f t="shared" si="38"/>
        <v>0</v>
      </c>
      <c r="AA159" s="9">
        <f t="shared" si="38"/>
        <v>0</v>
      </c>
      <c r="AC159" s="243"/>
      <c r="AD159" s="243"/>
      <c r="AE159" s="148"/>
      <c r="AF159" s="243"/>
      <c r="AG159" s="243"/>
      <c r="AH159" s="243"/>
      <c r="AI159" s="243"/>
      <c r="AJ159" s="243"/>
      <c r="AK159" s="243"/>
      <c r="AL159" s="243"/>
      <c r="AM159" s="243"/>
      <c r="AN159" s="243"/>
      <c r="AO159" s="243"/>
      <c r="AP159" s="243"/>
      <c r="AQ159" s="243"/>
      <c r="AR159" s="243"/>
      <c r="AS159" s="243"/>
      <c r="AT159" s="243"/>
      <c r="AU159" s="244"/>
      <c r="AV159" s="244"/>
      <c r="AW159" s="244"/>
      <c r="AX159" s="243"/>
      <c r="AY159" s="243"/>
      <c r="AZ159" s="243"/>
    </row>
    <row r="160" spans="1:52">
      <c r="A160" s="8" t="str">
        <f>A159</f>
        <v>Type 4</v>
      </c>
      <c r="B160" s="7">
        <f>B159+1</f>
        <v>2019</v>
      </c>
      <c r="C160" s="7" t="str">
        <f>C159</f>
        <v>Annual</v>
      </c>
      <c r="D160" s="7">
        <f t="shared" ref="D160:E164" si="39">D159</f>
        <v>0</v>
      </c>
      <c r="E160" s="7">
        <f t="shared" si="39"/>
        <v>0</v>
      </c>
      <c r="F160" s="14">
        <f>$M$82</f>
        <v>7.1007506480822574E-3</v>
      </c>
      <c r="H160" s="9"/>
      <c r="I160" s="9">
        <f ca="1">$C$82</f>
        <v>94</v>
      </c>
      <c r="J160" s="9">
        <f ca="1">I160-Q160</f>
        <v>84.6</v>
      </c>
      <c r="K160" s="9">
        <f ca="1">J160-R160</f>
        <v>75.199999999999989</v>
      </c>
      <c r="L160" s="9">
        <f ca="1">K160-S160</f>
        <v>65.799999999999983</v>
      </c>
      <c r="M160" s="9">
        <f ca="1">L160-T160</f>
        <v>56.399999999999984</v>
      </c>
      <c r="N160" s="9"/>
      <c r="O160" s="9"/>
      <c r="P160" s="9">
        <f ca="1">IF(OR($C160="Annual",$D160=$E160),IF(AND($D160=$E160,P$111=$B160+$D160),$I160,IF(AND(P$111&gt;$B160+$D160,P$111&lt;=$B160+$E160), $I160/($E160-$D160),0)), IF(OR(P$111=$B160+$D160,P$111=$B160+$E160),$I160/(($E160-$D160)*2),IF(AND(P$111&gt;$B160+$D160,P$111&lt;$B160+$E160),$I160/($E160-$D160),0)))</f>
        <v>0</v>
      </c>
      <c r="Q160" s="9">
        <f>IF(OR($C160="Annual",$D160=$E160),IF(AND($D160=$E160,Q$111=$B160+$D160),$I160,IF(AND(Q$111&gt;$B160+$D160,Q$111&lt;=$B160+$E160), $I160/($E160-$D160),0)), IF(OR(Q$111=$B160+$D160,Q$111=$B160+$E160),$I160/(($E160-$D160)*2),IF(AND(Q$111&gt;$B160+$D160,Q$111&lt;$B160+$E160),$I160/($E160-$D160),0)))</f>
        <v>0</v>
      </c>
      <c r="R160" s="9">
        <f>IF(OR($C160="Annual",$D160=$E160),IF(AND($D160=$E160,R$111=$B160+$D160),$I160,IF(AND(R$111&gt;$B160+$D160,R$111&lt;=$B160+$E160), $I160/($E160-$D160),0)), IF(OR(R$111=$B160+$D160,R$111=$B160+$E160),$I160/(($E160-$D160)*2),IF(AND(R$111&gt;$B160+$D160,R$111&lt;$B160+$E160),$I160/($E160-$D160),0)))</f>
        <v>0</v>
      </c>
      <c r="S160" s="9">
        <f>IF(OR($C160="Annual",$D160=$E160),IF(AND($D160=$E160,S$111=$B160+$D160),$I160,IF(AND(S$111&gt;$B160+$D160,S$111&lt;=$B160+$E160), $I160/($E160-$D160),0)), IF(OR(S$111=$B160+$D160,S$111=$B160+$E160),$I160/(($E160-$D160)*2),IF(AND(S$111&gt;$B160+$D160,S$111&lt;$B160+$E160),$I160/($E160-$D160),0)))</f>
        <v>0</v>
      </c>
      <c r="T160" s="9">
        <f>IF(OR($C160="Annual",$D160=$E160),IF(AND($D160=$E160,T$111=$B160+$D160),$I160,IF(AND(T$111&gt;$B160+$D160,T$111&lt;=$B160+$E160), $I160/($E160-$D160),0)), IF(OR(T$111=$B160+$D160,T$111=$B160+$E160),$I160/(($E160-$D160)*2),IF(AND(T$111&gt;$B160+$D160,T$111&lt;$B160+$E160),$I160/($E160-$D160),0)))</f>
        <v>0</v>
      </c>
      <c r="U160" s="9"/>
      <c r="V160" s="9"/>
      <c r="W160" s="9">
        <f t="shared" si="38"/>
        <v>0</v>
      </c>
      <c r="X160" s="9">
        <f t="shared" ca="1" si="38"/>
        <v>4.5120000000000005</v>
      </c>
      <c r="Y160" s="9">
        <f t="shared" ca="1" si="38"/>
        <v>4.0607999999999995</v>
      </c>
      <c r="Z160" s="9">
        <f t="shared" ca="1" si="38"/>
        <v>3.6095999999999995</v>
      </c>
      <c r="AA160" s="9">
        <f t="shared" ca="1" si="38"/>
        <v>3.1583999999999994</v>
      </c>
      <c r="AC160" s="243"/>
      <c r="AD160" s="243"/>
      <c r="AE160" s="148"/>
      <c r="AF160" s="243"/>
      <c r="AG160" s="243"/>
      <c r="AH160" s="243"/>
      <c r="AI160" s="243"/>
      <c r="AJ160" s="243"/>
      <c r="AK160" s="243"/>
      <c r="AL160" s="243"/>
      <c r="AM160" s="243"/>
      <c r="AN160" s="243"/>
      <c r="AO160" s="243"/>
      <c r="AP160" s="243"/>
      <c r="AQ160" s="243"/>
      <c r="AR160" s="243"/>
      <c r="AS160" s="243"/>
      <c r="AT160" s="243"/>
      <c r="AU160" s="244"/>
      <c r="AV160" s="244"/>
      <c r="AW160" s="244"/>
      <c r="AX160" s="243"/>
      <c r="AY160" s="243"/>
      <c r="AZ160" s="243"/>
    </row>
    <row r="161" spans="1:52">
      <c r="A161" s="8" t="str">
        <f>A160</f>
        <v>Type 4</v>
      </c>
      <c r="B161" s="7">
        <f>B160+1</f>
        <v>2020</v>
      </c>
      <c r="C161" s="7" t="str">
        <f>C160</f>
        <v>Annual</v>
      </c>
      <c r="D161" s="7">
        <f t="shared" si="39"/>
        <v>0</v>
      </c>
      <c r="E161" s="7">
        <f t="shared" si="39"/>
        <v>0</v>
      </c>
      <c r="F161" s="14">
        <f>$N$82</f>
        <v>1.4545456510151461E-2</v>
      </c>
      <c r="H161" s="9"/>
      <c r="I161" s="9"/>
      <c r="J161" s="9">
        <f ca="1">$D$82</f>
        <v>91</v>
      </c>
      <c r="K161" s="9">
        <f ca="1">J161-R161</f>
        <v>81.900000000000006</v>
      </c>
      <c r="L161" s="9">
        <f ca="1">K161-S161</f>
        <v>72.800000000000011</v>
      </c>
      <c r="M161" s="9">
        <f ca="1">L161-T161</f>
        <v>63.70000000000001</v>
      </c>
      <c r="N161" s="9"/>
      <c r="O161" s="9"/>
      <c r="P161" s="9"/>
      <c r="Q161" s="9">
        <f ca="1">IF(OR($C161="Annual",$D161=$E161),IF(AND($D161=$E161,Q$111=$B161+$D161),$J161,IF(AND(Q$111&gt;$B161+$D161,Q$111&lt;=$B161+$E161), $J161/($E161-$D161),0)), IF(OR(Q$111=$B161+$D161,Q$111=$B161+$E161),$J161/(($E161-$D161)*2),IF(AND(Q$111&gt;$B161+$D161,Q$111&lt;$B161+$E161),$J161/($E161-$D161),0)))</f>
        <v>0</v>
      </c>
      <c r="R161" s="9">
        <f>IF(OR($C161="Annual",$D161=$E161),IF(AND($D161=$E161,R$111=$B161+$D161),$J161,IF(AND(R$111&gt;$B161+$D161,R$111&lt;=$B161+$E161), $J161/($E161-$D161),0)), IF(OR(R$111=$B161+$D161,R$111=$B161+$E161),$J161/(($E161-$D161)*2),IF(AND(R$111&gt;$B161+$D161,R$111&lt;$B161+$E161),$J161/($E161-$D161),0)))</f>
        <v>0</v>
      </c>
      <c r="S161" s="9">
        <f>IF(OR($C161="Annual",$D161=$E161),IF(AND($D161=$E161,S$111=$B161+$D161),$J161,IF(AND(S$111&gt;$B161+$D161,S$111&lt;=$B161+$E161), $J161/($E161-$D161),0)), IF(OR(S$111=$B161+$D161,S$111=$B161+$E161),$J161/(($E161-$D161)*2),IF(AND(S$111&gt;$B161+$D161,S$111&lt;$B161+$E161),$J161/($E161-$D161),0)))</f>
        <v>0</v>
      </c>
      <c r="T161" s="9">
        <f>IF(OR($C161="Annual",$D161=$E161),IF(AND($D161=$E161,T$111=$B161+$D161),$J161,IF(AND(T$111&gt;$B161+$D161,T$111&lt;=$B161+$E161), $J161/($E161-$D161),0)), IF(OR(T$111=$B161+$D161,T$111=$B161+$E161),$J161/(($E161-$D161)*2),IF(AND(T$111&gt;$B161+$D161,T$111&lt;$B161+$E161),$J161/($E161-$D161),0)))</f>
        <v>0</v>
      </c>
      <c r="U161" s="9"/>
      <c r="V161" s="9"/>
      <c r="W161" s="9"/>
      <c r="X161" s="9">
        <f t="shared" si="38"/>
        <v>0</v>
      </c>
      <c r="Y161" s="9">
        <f t="shared" ca="1" si="38"/>
        <v>4.641</v>
      </c>
      <c r="Z161" s="9">
        <f t="shared" ca="1" si="38"/>
        <v>4.1768999999999998</v>
      </c>
      <c r="AA161" s="9">
        <f t="shared" ca="1" si="38"/>
        <v>3.7128000000000005</v>
      </c>
      <c r="AC161" s="243"/>
      <c r="AD161" s="243"/>
      <c r="AE161" s="148"/>
      <c r="AF161" s="243"/>
      <c r="AG161" s="243"/>
      <c r="AH161" s="243"/>
      <c r="AI161" s="243"/>
      <c r="AJ161" s="243"/>
      <c r="AK161" s="243"/>
      <c r="AL161" s="243"/>
      <c r="AM161" s="243"/>
      <c r="AN161" s="243"/>
      <c r="AO161" s="243"/>
      <c r="AP161" s="243"/>
      <c r="AQ161" s="243"/>
      <c r="AR161" s="243"/>
      <c r="AS161" s="243"/>
      <c r="AT161" s="243"/>
      <c r="AU161" s="244"/>
      <c r="AV161" s="244"/>
      <c r="AW161" s="244"/>
      <c r="AX161" s="243"/>
      <c r="AY161" s="243"/>
      <c r="AZ161" s="243"/>
    </row>
    <row r="162" spans="1:52">
      <c r="A162" s="8" t="str">
        <f>A161</f>
        <v>Type 4</v>
      </c>
      <c r="B162" s="7">
        <f>B161+1</f>
        <v>2021</v>
      </c>
      <c r="C162" s="7" t="str">
        <f>C161</f>
        <v>Annual</v>
      </c>
      <c r="D162" s="7">
        <f t="shared" si="39"/>
        <v>0</v>
      </c>
      <c r="E162" s="7">
        <f t="shared" si="39"/>
        <v>0</v>
      </c>
      <c r="F162" s="14">
        <f>$O$82</f>
        <v>0</v>
      </c>
      <c r="H162" s="9"/>
      <c r="I162" s="9"/>
      <c r="J162" s="9"/>
      <c r="K162" s="9">
        <f ca="1">$E$82</f>
        <v>90.000000000000014</v>
      </c>
      <c r="L162" s="9">
        <f ca="1">K162-S162</f>
        <v>81.000000000000014</v>
      </c>
      <c r="M162" s="9">
        <f ca="1">L162-T162</f>
        <v>72.000000000000014</v>
      </c>
      <c r="N162" s="9"/>
      <c r="O162" s="9"/>
      <c r="P162" s="9"/>
      <c r="Q162" s="9"/>
      <c r="R162" s="9">
        <f ca="1">IF(OR($C162="Annual",$D162=$E162),IF(AND($D162=$E162,R$111=$B162+$D162),$K162,IF(AND(R$111&gt;$B162+$D162,R$111&lt;=$B162+$E162), $K162/($E162-$D162),0)), IF(OR(R$111=$B162+$D162,R$111=$B162+$E162),$K162/(($E162-$D162)*2),IF(AND(R$111&gt;$B162+$D162,R$111&lt;$B162+$E162),$K162/($E162-$D162),0)))</f>
        <v>0</v>
      </c>
      <c r="S162" s="9">
        <f>IF(OR($C162="Annual",$D162=$E162),IF(AND($D162=$E162,S$111=$B162+$D162),$K162,IF(AND(S$111&gt;$B162+$D162,S$111&lt;=$B162+$E162), $K162/($E162-$D162),0)), IF(OR(S$111=$B162+$D162,S$111=$B162+$E162),$K162/(($E162-$D162)*2),IF(AND(S$111&gt;$B162+$D162,S$111&lt;$B162+$E162),$K162/($E162-$D162),0)))</f>
        <v>0</v>
      </c>
      <c r="T162" s="9">
        <f>IF(OR($C162="Annual",$D162=$E162),IF(AND($D162=$E162,T$111=$B162+$D162),$K162,IF(AND(T$111&gt;$B162+$D162,T$111&lt;=$B162+$E162), $K162/($E162-$D162),0)), IF(OR(T$111=$B162+$D162,T$111=$B162+$E162),$K162/(($E162-$D162)*2),IF(AND(T$111&gt;$B162+$D162,T$111&lt;$B162+$E162),$K162/($E162-$D162),0)))</f>
        <v>0</v>
      </c>
      <c r="U162" s="9"/>
      <c r="V162" s="9"/>
      <c r="W162" s="9"/>
      <c r="X162" s="9"/>
      <c r="Y162" s="9">
        <f t="shared" si="38"/>
        <v>0</v>
      </c>
      <c r="Z162" s="9">
        <f t="shared" ca="1" si="38"/>
        <v>4.6800000000000015</v>
      </c>
      <c r="AA162" s="9">
        <f t="shared" ca="1" si="38"/>
        <v>4.2120000000000015</v>
      </c>
      <c r="AC162" s="243"/>
      <c r="AD162" s="243"/>
      <c r="AE162" s="148"/>
      <c r="AF162" s="243"/>
      <c r="AG162" s="243"/>
      <c r="AH162" s="243"/>
      <c r="AI162" s="243"/>
      <c r="AJ162" s="243"/>
      <c r="AK162" s="243"/>
      <c r="AL162" s="243"/>
      <c r="AM162" s="243"/>
      <c r="AN162" s="243"/>
      <c r="AO162" s="243"/>
      <c r="AP162" s="243"/>
      <c r="AQ162" s="243"/>
      <c r="AR162" s="243"/>
      <c r="AS162" s="243"/>
      <c r="AT162" s="243"/>
      <c r="AU162" s="244"/>
      <c r="AV162" s="244"/>
      <c r="AW162" s="244"/>
      <c r="AX162" s="243"/>
      <c r="AY162" s="243"/>
      <c r="AZ162" s="243"/>
    </row>
    <row r="163" spans="1:52">
      <c r="A163" s="8" t="str">
        <f>A162</f>
        <v>Type 4</v>
      </c>
      <c r="B163" s="7">
        <f>B162+1</f>
        <v>2022</v>
      </c>
      <c r="C163" s="7" t="str">
        <f>C162</f>
        <v>Annual</v>
      </c>
      <c r="D163" s="7">
        <f t="shared" si="39"/>
        <v>0</v>
      </c>
      <c r="E163" s="7">
        <f t="shared" si="39"/>
        <v>0</v>
      </c>
      <c r="F163" s="14">
        <f>$P$82</f>
        <v>0</v>
      </c>
      <c r="H163" s="9"/>
      <c r="I163" s="9"/>
      <c r="J163" s="9"/>
      <c r="K163" s="9"/>
      <c r="L163" s="9">
        <f ca="1">$F$82</f>
        <v>90</v>
      </c>
      <c r="M163" s="9">
        <f ca="1">L163-T163</f>
        <v>81</v>
      </c>
      <c r="N163" s="9"/>
      <c r="O163" s="9"/>
      <c r="P163" s="9"/>
      <c r="Q163" s="9"/>
      <c r="R163" s="9"/>
      <c r="S163" s="9">
        <f ca="1">IF(OR($C163="Annual",$D163=$E163),IF(AND($D163=$E163,S$111=$B163+$D163),$L163,IF(AND(S$111&gt;$B163+$D163,S$111&lt;=$B163+$E163), $L163/($E163-$D163),0)), IF(OR(S$111=$B163+$D163,S$111=$B163+$E163),$L163/(($E163-$D163)*2),IF(AND(S$111&gt;$B163+$D163,S$111&lt;$B163+$E163),$L163/($E163-$D163),0)))</f>
        <v>0</v>
      </c>
      <c r="T163" s="9">
        <f>IF(OR($C163="Annual",$D163=$E163),IF(AND($D163=$E163,T$111=$B163+$D163),$L163,IF(AND(T$111&gt;$B163+$D163,T$111&lt;=$B163+$E163), $L163/($E163-$D163),0)), IF(OR(T$111=$B163+$D163,T$111=$B163+$E163),$L163/(($E163-$D163)*2),IF(AND(T$111&gt;$B163+$D163,T$111&lt;$B163+$E163),$L163/($E163-$D163),0)))</f>
        <v>0</v>
      </c>
      <c r="U163" s="9"/>
      <c r="V163" s="9"/>
      <c r="W163" s="9"/>
      <c r="X163" s="9"/>
      <c r="Y163" s="9"/>
      <c r="Z163" s="9">
        <f t="shared" si="38"/>
        <v>0</v>
      </c>
      <c r="AA163" s="9">
        <f t="shared" ca="1" si="38"/>
        <v>4.7699999999999996</v>
      </c>
      <c r="AC163" s="243"/>
      <c r="AD163" s="243"/>
      <c r="AE163" s="148"/>
      <c r="AF163" s="243"/>
      <c r="AG163" s="243"/>
      <c r="AH163" s="243"/>
      <c r="AI163" s="243"/>
      <c r="AJ163" s="243"/>
      <c r="AK163" s="243"/>
      <c r="AL163" s="243"/>
      <c r="AM163" s="243"/>
      <c r="AN163" s="243"/>
      <c r="AO163" s="243"/>
      <c r="AP163" s="243"/>
      <c r="AQ163" s="243"/>
      <c r="AR163" s="243"/>
      <c r="AS163" s="243"/>
      <c r="AT163" s="243"/>
      <c r="AU163" s="244"/>
      <c r="AV163" s="244"/>
      <c r="AW163" s="244"/>
      <c r="AX163" s="243"/>
      <c r="AY163" s="243"/>
      <c r="AZ163" s="243"/>
    </row>
    <row r="164" spans="1:52">
      <c r="A164" s="8" t="str">
        <f>A163</f>
        <v>Type 4</v>
      </c>
      <c r="B164" s="7">
        <f>B163+1</f>
        <v>2023</v>
      </c>
      <c r="C164" s="7" t="str">
        <f>C163</f>
        <v>Annual</v>
      </c>
      <c r="D164" s="7">
        <f t="shared" si="39"/>
        <v>0</v>
      </c>
      <c r="E164" s="7">
        <f t="shared" si="39"/>
        <v>0</v>
      </c>
      <c r="F164" s="14">
        <f>$Q$82</f>
        <v>0</v>
      </c>
      <c r="H164" s="9"/>
      <c r="I164" s="9"/>
      <c r="J164" s="9"/>
      <c r="K164" s="9"/>
      <c r="L164" s="9"/>
      <c r="M164" s="9">
        <f ca="1">$G$82</f>
        <v>90</v>
      </c>
      <c r="N164" s="9"/>
      <c r="O164" s="9"/>
      <c r="P164" s="9"/>
      <c r="Q164" s="9"/>
      <c r="R164" s="9"/>
      <c r="S164" s="9"/>
      <c r="T164" s="9">
        <f ca="1">IF(OR($C164="Annual",$D164=$E164),IF(AND($D164=$E164,T$111=$B164+$D164),$M164,IF(AND(T$111&gt;$B164+$D164,T$111&lt;=$B164+$E164), $M164/($E164-$D164),0)), IF(OR(T$111=$B164+$D164,T$111=$B164+$E164),$M164/(($E164-$D164)*2),IF(AND(T$111&gt;$B164+$D164,T$111&lt;$B164+$E164),$M164/($E164-$D164),0)))</f>
        <v>0</v>
      </c>
      <c r="U164" s="9"/>
      <c r="V164" s="9"/>
      <c r="W164" s="9"/>
      <c r="X164" s="9"/>
      <c r="Y164" s="9"/>
      <c r="Z164" s="9"/>
      <c r="AA164" s="9">
        <f t="shared" si="38"/>
        <v>0</v>
      </c>
      <c r="AC164" s="243"/>
      <c r="AD164" s="243"/>
      <c r="AE164" s="148"/>
      <c r="AF164" s="243"/>
      <c r="AG164" s="243"/>
      <c r="AH164" s="243"/>
      <c r="AI164" s="243"/>
      <c r="AJ164" s="243"/>
      <c r="AK164" s="243"/>
      <c r="AL164" s="243"/>
      <c r="AM164" s="243"/>
      <c r="AN164" s="243"/>
      <c r="AO164" s="243"/>
      <c r="AP164" s="243"/>
      <c r="AQ164" s="243"/>
      <c r="AR164" s="243"/>
      <c r="AS164" s="243"/>
      <c r="AT164" s="243"/>
      <c r="AU164" s="244"/>
      <c r="AV164" s="244"/>
      <c r="AW164" s="244"/>
      <c r="AX164" s="243"/>
      <c r="AY164" s="243"/>
      <c r="AZ164" s="243"/>
    </row>
    <row r="165" spans="1:52">
      <c r="C165" s="281"/>
      <c r="F165" s="15"/>
      <c r="H165" s="10"/>
      <c r="I165" s="10"/>
      <c r="J165" s="10"/>
      <c r="K165" s="10"/>
      <c r="L165" s="10"/>
      <c r="M165" s="10"/>
      <c r="N165" s="10"/>
      <c r="O165" s="278"/>
      <c r="P165" s="10"/>
      <c r="Q165" s="10"/>
      <c r="R165" s="10"/>
      <c r="S165" s="10"/>
      <c r="T165" s="10"/>
      <c r="U165" s="10"/>
      <c r="V165" s="10"/>
      <c r="W165" s="10"/>
      <c r="X165" s="10"/>
      <c r="Y165" s="10"/>
      <c r="Z165" s="10"/>
      <c r="AA165" s="10"/>
      <c r="AC165" s="243"/>
      <c r="AD165" s="243"/>
      <c r="AE165" s="148"/>
      <c r="AF165" s="243"/>
      <c r="AG165" s="243"/>
      <c r="AH165" s="243"/>
      <c r="AI165" s="243"/>
      <c r="AJ165" s="243"/>
      <c r="AK165" s="243"/>
      <c r="AL165" s="243"/>
      <c r="AM165" s="243"/>
      <c r="AN165" s="243"/>
      <c r="AO165" s="243"/>
      <c r="AP165" s="243"/>
      <c r="AQ165" s="243"/>
      <c r="AR165" s="243"/>
      <c r="AS165" s="243"/>
      <c r="AT165" s="243"/>
      <c r="AU165" s="244"/>
      <c r="AV165" s="244"/>
      <c r="AW165" s="244"/>
      <c r="AX165" s="243"/>
      <c r="AY165" s="243"/>
      <c r="AZ165" s="243"/>
    </row>
    <row r="166" spans="1:52" s="1150" customFormat="1">
      <c r="A166" s="1347" t="str">
        <f>'Input 4 - Forecast'!A64</f>
        <v>ZERO-COUPON BOND</v>
      </c>
      <c r="B166" s="1348">
        <f>B119</f>
        <v>2018</v>
      </c>
      <c r="C166" s="1348"/>
      <c r="D166" s="1348">
        <f>$J83</f>
        <v>0</v>
      </c>
      <c r="E166" s="1348">
        <f>$K83</f>
        <v>0</v>
      </c>
      <c r="F166" s="1349">
        <f>$L$83</f>
        <v>0</v>
      </c>
      <c r="H166" s="1350">
        <f>$B$83</f>
        <v>0</v>
      </c>
      <c r="I166" s="1350">
        <f>H166-P166</f>
        <v>0</v>
      </c>
      <c r="J166" s="1350">
        <f>I166-Q166</f>
        <v>0</v>
      </c>
      <c r="K166" s="1350">
        <f>J166-R166</f>
        <v>0</v>
      </c>
      <c r="L166" s="1350">
        <f>K166-S166</f>
        <v>0</v>
      </c>
      <c r="M166" s="1350">
        <f>L166-T166</f>
        <v>0</v>
      </c>
      <c r="N166" s="1350"/>
      <c r="O166" s="1350">
        <f t="shared" ref="O166:T166" si="40">IF($D166=$E166,IF(O$111=$B166+$E166,$H166,0),0)</f>
        <v>0</v>
      </c>
      <c r="P166" s="1350">
        <f t="shared" si="40"/>
        <v>0</v>
      </c>
      <c r="Q166" s="1350">
        <f t="shared" si="40"/>
        <v>0</v>
      </c>
      <c r="R166" s="1350">
        <f t="shared" si="40"/>
        <v>0</v>
      </c>
      <c r="S166" s="1350">
        <f t="shared" si="40"/>
        <v>0</v>
      </c>
      <c r="T166" s="1350">
        <f t="shared" si="40"/>
        <v>0</v>
      </c>
      <c r="U166" s="1350"/>
      <c r="V166" s="1350">
        <f t="shared" ref="V166:AA166" si="41">IF(V$111-$B166=$D166,$H166*(((1+$F166)^$D166)-1),0)</f>
        <v>0</v>
      </c>
      <c r="W166" s="1350">
        <f t="shared" si="41"/>
        <v>0</v>
      </c>
      <c r="X166" s="1350">
        <f t="shared" si="41"/>
        <v>0</v>
      </c>
      <c r="Y166" s="1350">
        <f t="shared" si="41"/>
        <v>0</v>
      </c>
      <c r="Z166" s="1350">
        <f t="shared" si="41"/>
        <v>0</v>
      </c>
      <c r="AA166" s="1350">
        <f t="shared" si="41"/>
        <v>0</v>
      </c>
      <c r="AC166" s="1481"/>
      <c r="AD166" s="1481"/>
      <c r="AE166" s="1482"/>
      <c r="AF166" s="1481"/>
      <c r="AG166" s="1481"/>
      <c r="AH166" s="1481"/>
      <c r="AI166" s="1481"/>
      <c r="AJ166" s="1481"/>
      <c r="AK166" s="1481"/>
      <c r="AL166" s="1481"/>
      <c r="AM166" s="1481"/>
      <c r="AN166" s="1481"/>
      <c r="AO166" s="1481"/>
      <c r="AP166" s="1481"/>
      <c r="AQ166" s="1481"/>
      <c r="AR166" s="1481"/>
      <c r="AS166" s="1481"/>
      <c r="AT166" s="1481"/>
      <c r="AU166" s="1483"/>
      <c r="AV166" s="1483"/>
      <c r="AW166" s="1483"/>
      <c r="AX166" s="1481"/>
      <c r="AY166" s="1481"/>
      <c r="AZ166" s="1481"/>
    </row>
    <row r="167" spans="1:52" s="1150" customFormat="1">
      <c r="A167" s="1347" t="str">
        <f>A166</f>
        <v>ZERO-COUPON BOND</v>
      </c>
      <c r="B167" s="1348">
        <f>B166+1</f>
        <v>2019</v>
      </c>
      <c r="C167" s="1348"/>
      <c r="D167" s="1348">
        <f t="shared" ref="D167:E171" si="42">D166</f>
        <v>0</v>
      </c>
      <c r="E167" s="1348">
        <f t="shared" si="42"/>
        <v>0</v>
      </c>
      <c r="F167" s="1349">
        <f>$M$83</f>
        <v>7.1007506480822574E-3</v>
      </c>
      <c r="H167" s="1350"/>
      <c r="I167" s="1350">
        <f ca="1">$C$83</f>
        <v>0</v>
      </c>
      <c r="J167" s="1350">
        <f ca="1">I167-Q167</f>
        <v>0</v>
      </c>
      <c r="K167" s="1350">
        <f ca="1">J167-R167</f>
        <v>0</v>
      </c>
      <c r="L167" s="1350">
        <f ca="1">K167-S167</f>
        <v>0</v>
      </c>
      <c r="M167" s="1350">
        <f ca="1">L167-T167</f>
        <v>0</v>
      </c>
      <c r="N167" s="1350"/>
      <c r="O167" s="1351"/>
      <c r="P167" s="1350">
        <f ca="1">IF($D167=$E167,IF(P$111=$B167+$E167,$I167,0),0)</f>
        <v>0</v>
      </c>
      <c r="Q167" s="1350">
        <f>IF($D167=$E167,IF(Q$111=$B167+$E167,$I167,0),0)</f>
        <v>0</v>
      </c>
      <c r="R167" s="1350">
        <f>IF($D167=$E167,IF(R$111=$B167+$E167,$I167,0),0)</f>
        <v>0</v>
      </c>
      <c r="S167" s="1350">
        <f>IF($D167=$E167,IF(S$111=$B167+$E167,$I167,0),0)</f>
        <v>0</v>
      </c>
      <c r="T167" s="1350">
        <f>IF($D167=$E167,IF(T$111=$B167+$E167,$I167,0),0)</f>
        <v>0</v>
      </c>
      <c r="U167" s="1350"/>
      <c r="V167" s="1350"/>
      <c r="W167" s="1350">
        <f ca="1">IF(W$111-$B167=$D167,$I167*(((1+$F167)^$D167)-1),0)</f>
        <v>0</v>
      </c>
      <c r="X167" s="1350">
        <f>IF(X$111-$B167=$D167,$I167*(((1+$F167)^$D167)-1),0)</f>
        <v>0</v>
      </c>
      <c r="Y167" s="1350">
        <f>IF(Y$111-$B167=$D167,$I167*(((1+$F167)^$D167)-1),0)</f>
        <v>0</v>
      </c>
      <c r="Z167" s="1350">
        <f>IF(Z$111-$B167=$D167,$I167*(((1+$F167)^$D167)-1),0)</f>
        <v>0</v>
      </c>
      <c r="AA167" s="1350">
        <f>IF(AA$111-$B167=$D167,$I167*(((1+$F167)^$D167)-1),0)</f>
        <v>0</v>
      </c>
      <c r="AC167" s="1481"/>
      <c r="AD167" s="1481"/>
      <c r="AE167" s="1482"/>
      <c r="AF167" s="1481"/>
      <c r="AG167" s="1481"/>
      <c r="AH167" s="1481"/>
      <c r="AI167" s="1481"/>
      <c r="AJ167" s="1481"/>
      <c r="AK167" s="1481"/>
      <c r="AL167" s="1481"/>
      <c r="AM167" s="1481"/>
      <c r="AN167" s="1481"/>
      <c r="AO167" s="1481"/>
      <c r="AP167" s="1481"/>
      <c r="AQ167" s="1481"/>
      <c r="AR167" s="1481"/>
      <c r="AS167" s="1481"/>
      <c r="AT167" s="1481"/>
      <c r="AU167" s="1483"/>
      <c r="AV167" s="1483"/>
      <c r="AW167" s="1483"/>
      <c r="AX167" s="1481"/>
      <c r="AY167" s="1481"/>
      <c r="AZ167" s="1481"/>
    </row>
    <row r="168" spans="1:52" s="1150" customFormat="1">
      <c r="A168" s="1347" t="str">
        <f>A167</f>
        <v>ZERO-COUPON BOND</v>
      </c>
      <c r="B168" s="1348">
        <f>B167+1</f>
        <v>2020</v>
      </c>
      <c r="C168" s="1348"/>
      <c r="D168" s="1348">
        <f t="shared" si="42"/>
        <v>0</v>
      </c>
      <c r="E168" s="1348">
        <f t="shared" si="42"/>
        <v>0</v>
      </c>
      <c r="F168" s="1349">
        <f>$N$83</f>
        <v>1.4545456510151461E-2</v>
      </c>
      <c r="H168" s="1350"/>
      <c r="I168" s="1350"/>
      <c r="J168" s="1350">
        <f ca="1">$D$83</f>
        <v>0</v>
      </c>
      <c r="K168" s="1350">
        <f ca="1">J168-R168</f>
        <v>0</v>
      </c>
      <c r="L168" s="1350">
        <f ca="1">K168-S168</f>
        <v>0</v>
      </c>
      <c r="M168" s="1350">
        <f ca="1">L168-T168</f>
        <v>0</v>
      </c>
      <c r="N168" s="1350"/>
      <c r="O168" s="1351"/>
      <c r="P168" s="1350"/>
      <c r="Q168" s="1350">
        <f ca="1">IF($D168=$E168,IF(Q$111=$B168+$E168,$J168,0),0)</f>
        <v>0</v>
      </c>
      <c r="R168" s="1350">
        <f>IF($D168=$E168,IF(R$111=$B168+$E168,$J168,0),0)</f>
        <v>0</v>
      </c>
      <c r="S168" s="1350">
        <f>IF($D168=$E168,IF(S$111=$B168+$E168,$J168,0),0)</f>
        <v>0</v>
      </c>
      <c r="T168" s="1350">
        <f>IF($D168=$E168,IF(T$111=$B168+$E168,$J168,0),0)</f>
        <v>0</v>
      </c>
      <c r="U168" s="1350"/>
      <c r="V168" s="1350"/>
      <c r="W168" s="1350"/>
      <c r="X168" s="1350">
        <f ca="1">IF(X$111-$B168=$D168,$J168*(((1+$F168)^$D168)-1),0)</f>
        <v>0</v>
      </c>
      <c r="Y168" s="1350">
        <f>IF(Y$111-$B168=$D168,$J168*(((1+$F168)^$D168)-1),0)</f>
        <v>0</v>
      </c>
      <c r="Z168" s="1350">
        <f>IF(Z$111-$B168=$D168,$J168*(((1+$F168)^$D168)-1),0)</f>
        <v>0</v>
      </c>
      <c r="AA168" s="1350">
        <f>IF(AA$111-$B168=$D168,$J168*(((1+$F168)^$D168)-1),0)</f>
        <v>0</v>
      </c>
      <c r="AC168" s="1481"/>
      <c r="AD168" s="1481"/>
      <c r="AE168" s="1482"/>
      <c r="AF168" s="1481"/>
      <c r="AG168" s="1481"/>
      <c r="AH168" s="1481"/>
      <c r="AI168" s="1481"/>
      <c r="AJ168" s="1481"/>
      <c r="AK168" s="1481"/>
      <c r="AL168" s="1481"/>
      <c r="AM168" s="1481"/>
      <c r="AN168" s="1481"/>
      <c r="AO168" s="1481"/>
      <c r="AP168" s="1481"/>
      <c r="AQ168" s="1481"/>
      <c r="AR168" s="1481"/>
      <c r="AS168" s="1481"/>
      <c r="AT168" s="1481"/>
      <c r="AU168" s="1483"/>
      <c r="AV168" s="1483"/>
      <c r="AW168" s="1483"/>
      <c r="AX168" s="1481"/>
      <c r="AY168" s="1481"/>
      <c r="AZ168" s="1481"/>
    </row>
    <row r="169" spans="1:52" s="1150" customFormat="1">
      <c r="A169" s="1347" t="str">
        <f>A168</f>
        <v>ZERO-COUPON BOND</v>
      </c>
      <c r="B169" s="1348">
        <f>B168+1</f>
        <v>2021</v>
      </c>
      <c r="C169" s="1348"/>
      <c r="D169" s="1348">
        <f t="shared" si="42"/>
        <v>0</v>
      </c>
      <c r="E169" s="1348">
        <f t="shared" si="42"/>
        <v>0</v>
      </c>
      <c r="F169" s="1349">
        <f>$O$83</f>
        <v>0</v>
      </c>
      <c r="H169" s="1350"/>
      <c r="I169" s="1350"/>
      <c r="J169" s="1350"/>
      <c r="K169" s="1350">
        <f ca="1">$E$83</f>
        <v>0</v>
      </c>
      <c r="L169" s="1350">
        <f ca="1">K169-S169</f>
        <v>0</v>
      </c>
      <c r="M169" s="1350">
        <f ca="1">L169-T169</f>
        <v>0</v>
      </c>
      <c r="N169" s="1350"/>
      <c r="O169" s="1351"/>
      <c r="P169" s="1350"/>
      <c r="Q169" s="1350"/>
      <c r="R169" s="1350">
        <f ca="1">IF($D169=$E169,IF(R$111=$B169+$E169,$K169,0),0)</f>
        <v>0</v>
      </c>
      <c r="S169" s="1350">
        <f>IF($D169=$E169,IF(S$111=$B169+$E169,$K169,0),0)</f>
        <v>0</v>
      </c>
      <c r="T169" s="1350">
        <f>IF($D169=$E169,IF(T$111=$B169+$E169,$K169,0),0)</f>
        <v>0</v>
      </c>
      <c r="U169" s="1350"/>
      <c r="V169" s="1350"/>
      <c r="W169" s="1350"/>
      <c r="X169" s="1350"/>
      <c r="Y169" s="1350">
        <f ca="1">IF(Y$111-$B169=$D169,$K169*(((1+$F169)^$D169)-1),0)</f>
        <v>0</v>
      </c>
      <c r="Z169" s="1350">
        <f>IF(Z$111-$B169=$D169,$K169*(((1+$F169)^$D169)-1),0)</f>
        <v>0</v>
      </c>
      <c r="AA169" s="1350">
        <f>IF(AA$111-$B169=$D169,$K169*(((1+$F169)^$D169)-1),0)</f>
        <v>0</v>
      </c>
      <c r="AC169" s="1481"/>
      <c r="AD169" s="1481"/>
      <c r="AE169" s="1482"/>
      <c r="AF169" s="1481"/>
      <c r="AG169" s="1481"/>
      <c r="AH169" s="1481"/>
      <c r="AI169" s="1481"/>
      <c r="AJ169" s="1481"/>
      <c r="AK169" s="1481"/>
      <c r="AL169" s="1481"/>
      <c r="AM169" s="1481"/>
      <c r="AN169" s="1481"/>
      <c r="AO169" s="1481"/>
      <c r="AP169" s="1481"/>
      <c r="AQ169" s="1481"/>
      <c r="AR169" s="1481"/>
      <c r="AS169" s="1481"/>
      <c r="AT169" s="1481"/>
      <c r="AU169" s="1483"/>
      <c r="AV169" s="1483"/>
      <c r="AW169" s="1483"/>
      <c r="AX169" s="1481"/>
      <c r="AY169" s="1481"/>
      <c r="AZ169" s="1481"/>
    </row>
    <row r="170" spans="1:52" s="1150" customFormat="1">
      <c r="A170" s="1347" t="str">
        <f>A169</f>
        <v>ZERO-COUPON BOND</v>
      </c>
      <c r="B170" s="1348">
        <f>B169+1</f>
        <v>2022</v>
      </c>
      <c r="C170" s="1348"/>
      <c r="D170" s="1348">
        <f t="shared" si="42"/>
        <v>0</v>
      </c>
      <c r="E170" s="1348">
        <f t="shared" si="42"/>
        <v>0</v>
      </c>
      <c r="F170" s="1349">
        <f>$P$83</f>
        <v>0</v>
      </c>
      <c r="H170" s="1350"/>
      <c r="I170" s="1350"/>
      <c r="J170" s="1350"/>
      <c r="K170" s="1350"/>
      <c r="L170" s="1350">
        <f ca="1">$F$83</f>
        <v>0</v>
      </c>
      <c r="M170" s="1350">
        <f ca="1">L170-T170</f>
        <v>0</v>
      </c>
      <c r="N170" s="1350"/>
      <c r="O170" s="1351"/>
      <c r="P170" s="1350"/>
      <c r="Q170" s="1350"/>
      <c r="R170" s="1350"/>
      <c r="S170" s="1350">
        <f ca="1">IF($D170=$E170,IF(S$111=$B170+$E170,$L170,0),0)</f>
        <v>0</v>
      </c>
      <c r="T170" s="1350">
        <f>IF($D170=$E170,IF(T$111=$B170+$E170,$L170,0),0)</f>
        <v>0</v>
      </c>
      <c r="U170" s="1350"/>
      <c r="V170" s="1350"/>
      <c r="W170" s="1350"/>
      <c r="X170" s="1350"/>
      <c r="Y170" s="1350"/>
      <c r="Z170" s="1350">
        <f ca="1">IF(Z$111-$B170=$D170,$L170*(((1+$F170)^$D170)-1),0)</f>
        <v>0</v>
      </c>
      <c r="AA170" s="1350">
        <f>IF(AA$111-$B170=$D170,$L170*(((1+$F170)^$D170)-1),0)</f>
        <v>0</v>
      </c>
      <c r="AC170" s="1481"/>
      <c r="AD170" s="1481"/>
      <c r="AE170" s="1482"/>
      <c r="AF170" s="1481"/>
      <c r="AG170" s="1481"/>
      <c r="AH170" s="1481"/>
      <c r="AI170" s="1481"/>
      <c r="AJ170" s="1481"/>
      <c r="AK170" s="1481"/>
      <c r="AL170" s="1481"/>
      <c r="AM170" s="1481"/>
      <c r="AN170" s="1481"/>
      <c r="AO170" s="1481"/>
      <c r="AP170" s="1481"/>
      <c r="AQ170" s="1481"/>
      <c r="AR170" s="1481"/>
      <c r="AS170" s="1481"/>
      <c r="AT170" s="1481"/>
      <c r="AU170" s="1483"/>
      <c r="AV170" s="1483"/>
      <c r="AW170" s="1483"/>
      <c r="AX170" s="1481"/>
      <c r="AY170" s="1481"/>
      <c r="AZ170" s="1481"/>
    </row>
    <row r="171" spans="1:52" s="1150" customFormat="1">
      <c r="A171" s="1347" t="str">
        <f>A170</f>
        <v>ZERO-COUPON BOND</v>
      </c>
      <c r="B171" s="1348">
        <f>B170+1</f>
        <v>2023</v>
      </c>
      <c r="C171" s="1348"/>
      <c r="D171" s="1348">
        <f t="shared" si="42"/>
        <v>0</v>
      </c>
      <c r="E171" s="1348">
        <f t="shared" si="42"/>
        <v>0</v>
      </c>
      <c r="F171" s="1349">
        <f>$Q$83</f>
        <v>0</v>
      </c>
      <c r="H171" s="1350"/>
      <c r="I171" s="1350"/>
      <c r="J171" s="1350"/>
      <c r="K171" s="1350"/>
      <c r="L171" s="1350"/>
      <c r="M171" s="1350">
        <f ca="1">$G$83</f>
        <v>0</v>
      </c>
      <c r="N171" s="1350"/>
      <c r="O171" s="1351"/>
      <c r="P171" s="1350"/>
      <c r="Q171" s="1350"/>
      <c r="R171" s="1350"/>
      <c r="S171" s="1350"/>
      <c r="T171" s="1350">
        <f ca="1">IF($D171=$E171,IF(T$111=$B171+$E171,$M171,0),0)</f>
        <v>0</v>
      </c>
      <c r="U171" s="1350"/>
      <c r="V171" s="1350"/>
      <c r="W171" s="1350"/>
      <c r="X171" s="1350"/>
      <c r="Y171" s="1350"/>
      <c r="Z171" s="1350"/>
      <c r="AA171" s="1350">
        <f ca="1">IF(AA$111-$B171=$D171,$M171*(((1+$F171)^$D171)-1),0)</f>
        <v>0</v>
      </c>
      <c r="AC171" s="1481"/>
      <c r="AD171" s="1481"/>
      <c r="AE171" s="1482"/>
      <c r="AF171" s="1481"/>
      <c r="AG171" s="1481"/>
      <c r="AH171" s="1481"/>
      <c r="AI171" s="1481"/>
      <c r="AJ171" s="1481"/>
      <c r="AK171" s="1481"/>
      <c r="AL171" s="1481"/>
      <c r="AM171" s="1481"/>
      <c r="AN171" s="1481"/>
      <c r="AO171" s="1481"/>
      <c r="AP171" s="1481"/>
      <c r="AQ171" s="1481"/>
      <c r="AR171" s="1481"/>
      <c r="AS171" s="1481"/>
      <c r="AT171" s="1481"/>
      <c r="AU171" s="1483"/>
      <c r="AV171" s="1483"/>
      <c r="AW171" s="1483"/>
      <c r="AX171" s="1481"/>
      <c r="AY171" s="1481"/>
      <c r="AZ171" s="1481"/>
    </row>
    <row r="172" spans="1:52" ht="15.75" thickBot="1">
      <c r="H172" s="10"/>
      <c r="I172" s="10"/>
      <c r="J172" s="10"/>
      <c r="K172" s="10"/>
      <c r="L172" s="10"/>
      <c r="M172" s="10"/>
      <c r="N172" s="10"/>
      <c r="O172" s="10"/>
      <c r="P172" s="10"/>
      <c r="Q172" s="10"/>
      <c r="R172" s="10"/>
      <c r="S172" s="10"/>
      <c r="T172" s="10"/>
      <c r="U172" s="10"/>
      <c r="V172" s="10"/>
      <c r="W172" s="10"/>
      <c r="X172" s="10"/>
      <c r="Y172" s="10"/>
      <c r="Z172" s="10"/>
      <c r="AA172" s="10"/>
      <c r="AC172" s="243"/>
      <c r="AD172" s="243"/>
      <c r="AE172" s="148"/>
      <c r="AF172" s="243"/>
      <c r="AG172" s="243"/>
      <c r="AH172" s="243"/>
      <c r="AI172" s="243"/>
      <c r="AJ172" s="243"/>
      <c r="AK172" s="243"/>
      <c r="AL172" s="243"/>
      <c r="AM172" s="243"/>
      <c r="AN172" s="243"/>
      <c r="AO172" s="243"/>
      <c r="AP172" s="243"/>
      <c r="AQ172" s="243"/>
      <c r="AR172" s="243"/>
      <c r="AS172" s="243"/>
      <c r="AT172" s="243"/>
      <c r="AU172" s="244"/>
      <c r="AV172" s="244"/>
      <c r="AW172" s="244"/>
      <c r="AX172" s="243"/>
      <c r="AY172" s="243"/>
      <c r="AZ172" s="243"/>
    </row>
    <row r="173" spans="1:52" ht="15.75" thickBot="1">
      <c r="A173" s="12" t="str">
        <f>'Input 4 - Forecast'!A65</f>
        <v>Denominated in foreign currency</v>
      </c>
      <c r="B173" s="1999" t="s">
        <v>52</v>
      </c>
      <c r="C173" s="2000"/>
      <c r="D173" s="2000"/>
      <c r="E173" s="2000"/>
      <c r="F173" s="2000"/>
      <c r="G173" s="2000"/>
      <c r="H173" s="2000"/>
      <c r="I173" s="2000"/>
      <c r="J173" s="2000"/>
      <c r="K173" s="2000"/>
      <c r="L173" s="2000"/>
      <c r="M173" s="2000"/>
      <c r="N173" s="2000"/>
      <c r="O173" s="2000"/>
      <c r="P173" s="2000"/>
      <c r="Q173" s="2000"/>
      <c r="R173" s="2000"/>
      <c r="S173" s="2000"/>
      <c r="T173" s="2000"/>
      <c r="U173" s="2000"/>
      <c r="V173" s="2000"/>
      <c r="W173" s="2000"/>
      <c r="X173" s="2000"/>
      <c r="Y173" s="2000"/>
      <c r="Z173" s="2000"/>
      <c r="AA173" s="2001"/>
      <c r="AC173" s="243"/>
      <c r="AD173" s="243"/>
      <c r="AE173" s="148"/>
      <c r="AF173" s="243"/>
      <c r="AG173" s="243"/>
      <c r="AH173" s="243"/>
      <c r="AI173" s="243"/>
      <c r="AJ173" s="243"/>
      <c r="AK173" s="243"/>
      <c r="AL173" s="243"/>
      <c r="AM173" s="243"/>
      <c r="AN173" s="243"/>
      <c r="AO173" s="243"/>
      <c r="AP173" s="243"/>
      <c r="AQ173" s="243"/>
      <c r="AR173" s="243"/>
      <c r="AS173" s="243"/>
      <c r="AT173" s="243"/>
      <c r="AU173" s="244"/>
      <c r="AV173" s="244"/>
      <c r="AW173" s="244"/>
      <c r="AX173" s="243"/>
      <c r="AY173" s="243"/>
      <c r="AZ173" s="243"/>
    </row>
    <row r="174" spans="1:52">
      <c r="H174" s="10"/>
      <c r="I174" s="10"/>
      <c r="J174" s="10"/>
      <c r="K174" s="10"/>
      <c r="L174" s="10"/>
      <c r="M174" s="10"/>
      <c r="N174" s="10"/>
      <c r="O174" s="10"/>
      <c r="P174" s="10"/>
      <c r="Q174" s="10"/>
      <c r="R174" s="10"/>
      <c r="S174" s="10"/>
      <c r="T174" s="10"/>
      <c r="U174" s="10"/>
      <c r="V174" s="10"/>
      <c r="W174" s="10"/>
      <c r="X174" s="10"/>
      <c r="Y174" s="10"/>
      <c r="Z174" s="10"/>
      <c r="AA174" s="10"/>
      <c r="AC174" s="243"/>
      <c r="AD174" s="243"/>
      <c r="AE174" s="148"/>
      <c r="AF174" s="243"/>
      <c r="AG174" s="243"/>
      <c r="AH174" s="243"/>
      <c r="AI174" s="243"/>
      <c r="AJ174" s="243"/>
      <c r="AK174" s="243"/>
      <c r="AL174" s="243"/>
      <c r="AM174" s="243"/>
      <c r="AN174" s="243"/>
      <c r="AO174" s="243"/>
      <c r="AP174" s="243"/>
      <c r="AQ174" s="243"/>
      <c r="AR174" s="243"/>
      <c r="AS174" s="243"/>
      <c r="AT174" s="243"/>
      <c r="AU174" s="244"/>
      <c r="AV174" s="244"/>
      <c r="AW174" s="244"/>
      <c r="AX174" s="243"/>
      <c r="AY174" s="243"/>
      <c r="AZ174" s="243"/>
    </row>
    <row r="175" spans="1:52">
      <c r="A175" s="8" t="str">
        <f>'Input 4 - Forecast'!A66</f>
        <v>Type 6</v>
      </c>
      <c r="B175" s="7">
        <f>B119</f>
        <v>2018</v>
      </c>
      <c r="C175" s="7" t="str">
        <f>$I85</f>
        <v>Annual</v>
      </c>
      <c r="D175" s="7">
        <f>$J85</f>
        <v>0</v>
      </c>
      <c r="E175" s="7">
        <f>$K85</f>
        <v>0</v>
      </c>
      <c r="F175" s="14">
        <f>$L$85</f>
        <v>0</v>
      </c>
      <c r="H175" s="9">
        <f>$B$85/$B$31</f>
        <v>0</v>
      </c>
      <c r="I175" s="9">
        <f>H175-P175</f>
        <v>0</v>
      </c>
      <c r="J175" s="9">
        <f>I175-Q175</f>
        <v>0</v>
      </c>
      <c r="K175" s="9">
        <f>J175-R175</f>
        <v>0</v>
      </c>
      <c r="L175" s="9">
        <f>K175-S175</f>
        <v>0</v>
      </c>
      <c r="M175" s="9">
        <f>L175-T175</f>
        <v>0</v>
      </c>
      <c r="N175" s="9"/>
      <c r="O175" s="9">
        <f t="shared" ref="O175:T175" si="43">IF(OR($C175="Annual",$D175=$E175),IF(AND($D175=$E175,O$111=$B175+$D175),$H175,IF(AND(O$111&gt;$B175+$D175,O$111&lt;=$B175+$E175), $H175/($E175-$D175),0)), IF(OR(O$111=$B175+$D175,O$111=$B175+$E175),$H175/(($E175-$D175)*2),IF(AND(O$111&gt;$B175+$D175,O$111&lt;$B175+$E175),$H175/($E175-$D175),0)))</f>
        <v>0</v>
      </c>
      <c r="P175" s="9">
        <f t="shared" si="43"/>
        <v>0</v>
      </c>
      <c r="Q175" s="9">
        <f t="shared" si="43"/>
        <v>0</v>
      </c>
      <c r="R175" s="9">
        <f t="shared" si="43"/>
        <v>0</v>
      </c>
      <c r="S175" s="9">
        <f t="shared" si="43"/>
        <v>0</v>
      </c>
      <c r="T175" s="9">
        <f t="shared" si="43"/>
        <v>0</v>
      </c>
      <c r="U175" s="9"/>
      <c r="V175" s="9">
        <f>IF($C175="annual",IF(V$111=$B175,0,G175*$F175),IF(V$111-$B175=0,0,IF((V$111-$B175)&lt;$E175,AVERAGE(G175,H175)*$F175,IF((V$111-$B175)=$E175,G175*$F175/2,0))))</f>
        <v>0</v>
      </c>
      <c r="W175" s="9">
        <f t="shared" ref="W175:AA180" si="44">IF($C175="annual",IF(W$111=$B175,0,H175*$F175),IF(W$111-$B175=0,0,IF((W$111-$B175)&lt;$E175,AVERAGE(H175,I175)*$F175,IF((W$111-$B175)=$E175,H175*$F175/2,0))))</f>
        <v>0</v>
      </c>
      <c r="X175" s="9">
        <f t="shared" si="44"/>
        <v>0</v>
      </c>
      <c r="Y175" s="9">
        <f t="shared" si="44"/>
        <v>0</v>
      </c>
      <c r="Z175" s="9">
        <f t="shared" si="44"/>
        <v>0</v>
      </c>
      <c r="AA175" s="9">
        <f t="shared" si="44"/>
        <v>0</v>
      </c>
      <c r="AC175" s="243"/>
      <c r="AD175" s="243"/>
      <c r="AE175" s="148"/>
      <c r="AF175" s="243"/>
      <c r="AG175" s="243"/>
      <c r="AH175" s="243"/>
      <c r="AI175" s="243"/>
      <c r="AJ175" s="243"/>
      <c r="AK175" s="243"/>
      <c r="AL175" s="243"/>
      <c r="AM175" s="243"/>
      <c r="AN175" s="243"/>
      <c r="AO175" s="243"/>
      <c r="AP175" s="243"/>
      <c r="AQ175" s="243"/>
      <c r="AR175" s="243"/>
      <c r="AS175" s="243"/>
      <c r="AT175" s="243"/>
      <c r="AU175" s="244"/>
      <c r="AV175" s="244"/>
      <c r="AW175" s="244"/>
      <c r="AX175" s="243"/>
      <c r="AY175" s="243"/>
      <c r="AZ175" s="243"/>
    </row>
    <row r="176" spans="1:52">
      <c r="A176" s="8" t="str">
        <f>A175</f>
        <v>Type 6</v>
      </c>
      <c r="B176" s="7">
        <f>B175+1</f>
        <v>2019</v>
      </c>
      <c r="C176" s="7" t="str">
        <f t="shared" ref="C176:D180" si="45">C175</f>
        <v>Annual</v>
      </c>
      <c r="D176" s="7">
        <f t="shared" si="45"/>
        <v>0</v>
      </c>
      <c r="E176" s="7">
        <f>E175</f>
        <v>0</v>
      </c>
      <c r="F176" s="14">
        <f>$M$85</f>
        <v>7.1007506480822574E-3</v>
      </c>
      <c r="H176" s="9"/>
      <c r="I176" s="9">
        <f ca="1">$C$85/$C$31</f>
        <v>0</v>
      </c>
      <c r="J176" s="9">
        <f ca="1">I176-Q176</f>
        <v>0</v>
      </c>
      <c r="K176" s="9">
        <f ca="1">J176-R176</f>
        <v>0</v>
      </c>
      <c r="L176" s="9">
        <f ca="1">K176-S176</f>
        <v>0</v>
      </c>
      <c r="M176" s="9">
        <f ca="1">L176-T176</f>
        <v>0</v>
      </c>
      <c r="N176" s="9"/>
      <c r="O176" s="9"/>
      <c r="P176" s="9">
        <f ca="1">IF(OR($C176="Annual",$D176=$E176),IF(AND($D176=$E176,P$111=$B176+$D176),$I176,IF(AND(P$111&gt;$B176+$D176,P$111&lt;=$B176+$E176), $I176/($E176-$D176),0)), IF(OR(P$111=$B176+$D176,P$111=$B176+$E176),$I176/(($E176-$D176)*2),IF(AND(P$111&gt;$B176+$D176,P$111&lt;$B176+$E176),$I176/($E176-$D176),0)))</f>
        <v>0</v>
      </c>
      <c r="Q176" s="9">
        <f>IF(OR($C176="Annual",$D176=$E176),IF(AND($D176=$E176,Q$111=$B176+$D176),$I176,IF(AND(Q$111&gt;$B176+$D176,Q$111&lt;=$B176+$E176), $I176/($E176-$D176),0)), IF(OR(Q$111=$B176+$D176,Q$111=$B176+$E176),$I176/(($E176-$D176)*2),IF(AND(Q$111&gt;$B176+$D176,Q$111&lt;$B176+$E176),$I176/($E176-$D176),0)))</f>
        <v>0</v>
      </c>
      <c r="R176" s="9">
        <f>IF(OR($C176="Annual",$D176=$E176),IF(AND($D176=$E176,R$111=$B176+$D176),$I176,IF(AND(R$111&gt;$B176+$D176,R$111&lt;=$B176+$E176), $I176/($E176-$D176),0)), IF(OR(R$111=$B176+$D176,R$111=$B176+$E176),$I176/(($E176-$D176)*2),IF(AND(R$111&gt;$B176+$D176,R$111&lt;$B176+$E176),$I176/($E176-$D176),0)))</f>
        <v>0</v>
      </c>
      <c r="S176" s="9">
        <f>IF(OR($C176="Annual",$D176=$E176),IF(AND($D176=$E176,S$111=$B176+$D176),$I176,IF(AND(S$111&gt;$B176+$D176,S$111&lt;=$B176+$E176), $I176/($E176-$D176),0)), IF(OR(S$111=$B176+$D176,S$111=$B176+$E176),$I176/(($E176-$D176)*2),IF(AND(S$111&gt;$B176+$D176,S$111&lt;$B176+$E176),$I176/($E176-$D176),0)))</f>
        <v>0</v>
      </c>
      <c r="T176" s="9">
        <f>IF(OR($C176="Annual",$D176=$E176),IF(AND($D176=$E176,T$111=$B176+$D176),$I176,IF(AND(T$111&gt;$B176+$D176,T$111&lt;=$B176+$E176), $I176/($E176-$D176),0)), IF(OR(T$111=$B176+$D176,T$111=$B176+$E176),$I176/(($E176-$D176)*2),IF(AND(T$111&gt;$B176+$D176,T$111&lt;$B176+$E176),$I176/($E176-$D176),0)))</f>
        <v>0</v>
      </c>
      <c r="U176" s="9"/>
      <c r="V176" s="9"/>
      <c r="W176" s="9">
        <f t="shared" si="44"/>
        <v>0</v>
      </c>
      <c r="X176" s="9">
        <f t="shared" ca="1" si="44"/>
        <v>0</v>
      </c>
      <c r="Y176" s="9">
        <f t="shared" ca="1" si="44"/>
        <v>0</v>
      </c>
      <c r="Z176" s="9">
        <f t="shared" ca="1" si="44"/>
        <v>0</v>
      </c>
      <c r="AA176" s="9">
        <f t="shared" ca="1" si="44"/>
        <v>0</v>
      </c>
      <c r="AC176" s="243"/>
      <c r="AD176" s="243"/>
      <c r="AE176" s="148"/>
      <c r="AF176" s="243"/>
      <c r="AG176" s="243"/>
      <c r="AH176" s="243"/>
      <c r="AI176" s="243"/>
      <c r="AJ176" s="243"/>
      <c r="AK176" s="243"/>
      <c r="AL176" s="243"/>
      <c r="AM176" s="243"/>
      <c r="AN176" s="243"/>
      <c r="AO176" s="243"/>
      <c r="AP176" s="243"/>
      <c r="AQ176" s="243"/>
      <c r="AR176" s="243"/>
      <c r="AS176" s="243"/>
      <c r="AT176" s="243"/>
      <c r="AU176" s="244"/>
      <c r="AV176" s="244"/>
      <c r="AW176" s="244"/>
      <c r="AX176" s="243"/>
      <c r="AY176" s="243"/>
      <c r="AZ176" s="243"/>
    </row>
    <row r="177" spans="1:52">
      <c r="A177" s="8" t="str">
        <f>A176</f>
        <v>Type 6</v>
      </c>
      <c r="B177" s="7">
        <f>B176+1</f>
        <v>2020</v>
      </c>
      <c r="C177" s="7" t="str">
        <f t="shared" si="45"/>
        <v>Annual</v>
      </c>
      <c r="D177" s="7">
        <f t="shared" si="45"/>
        <v>0</v>
      </c>
      <c r="E177" s="7">
        <f>E176</f>
        <v>0</v>
      </c>
      <c r="F177" s="14">
        <f>$N$85</f>
        <v>1.4545456510151461E-2</v>
      </c>
      <c r="H177" s="9"/>
      <c r="I177" s="9"/>
      <c r="J177" s="9">
        <f ca="1">$D$85/$D$31</f>
        <v>0</v>
      </c>
      <c r="K177" s="9">
        <f ca="1">J177-R177</f>
        <v>0</v>
      </c>
      <c r="L177" s="9">
        <f ca="1">K177-S177</f>
        <v>0</v>
      </c>
      <c r="M177" s="9">
        <f ca="1">L177-T177</f>
        <v>0</v>
      </c>
      <c r="N177" s="9"/>
      <c r="O177" s="9"/>
      <c r="P177" s="9"/>
      <c r="Q177" s="9">
        <f ca="1">IF(OR($C177="Annual",$D177=$E177),IF(AND($D177=$E177,Q$111=$B177+$D177),$J177,IF(AND(Q$111&gt;$B177+$D177,Q$111&lt;=$B177+$E177), $J177/($E177-$D177),0)), IF(OR(Q$111=$B177+$D177,Q$111=$B177+$E177),$J177/(($E177-$D177)*2),IF(AND(Q$111&gt;$B177+$D177,Q$111&lt;$B177+$E177),$J177/($E177-$D177),0)))</f>
        <v>0</v>
      </c>
      <c r="R177" s="9">
        <f>IF(OR($C177="Annual",$D177=$E177),IF(AND($D177=$E177,R$111=$B177+$D177),$J177,IF(AND(R$111&gt;$B177+$D177,R$111&lt;=$B177+$E177), $J177/($E177-$D177),0)), IF(OR(R$111=$B177+$D177,R$111=$B177+$E177),$J177/(($E177-$D177)*2),IF(AND(R$111&gt;$B177+$D177,R$111&lt;$B177+$E177),$J177/($E177-$D177),0)))</f>
        <v>0</v>
      </c>
      <c r="S177" s="9">
        <f>IF(OR($C177="Annual",$D177=$E177),IF(AND($D177=$E177,S$111=$B177+$D177),$J177,IF(AND(S$111&gt;$B177+$D177,S$111&lt;=$B177+$E177), $J177/($E177-$D177),0)), IF(OR(S$111=$B177+$D177,S$111=$B177+$E177),$J177/(($E177-$D177)*2),IF(AND(S$111&gt;$B177+$D177,S$111&lt;$B177+$E177),$J177/($E177-$D177),0)))</f>
        <v>0</v>
      </c>
      <c r="T177" s="9">
        <f>IF(OR($C177="Annual",$D177=$E177),IF(AND($D177=$E177,T$111=$B177+$D177),$J177,IF(AND(T$111&gt;$B177+$D177,T$111&lt;=$B177+$E177), $J177/($E177-$D177),0)), IF(OR(T$111=$B177+$D177,T$111=$B177+$E177),$J177/(($E177-$D177)*2),IF(AND(T$111&gt;$B177+$D177,T$111&lt;$B177+$E177),$J177/($E177-$D177),0)))</f>
        <v>0</v>
      </c>
      <c r="U177" s="9"/>
      <c r="V177" s="9"/>
      <c r="W177" s="9"/>
      <c r="X177" s="9">
        <f t="shared" si="44"/>
        <v>0</v>
      </c>
      <c r="Y177" s="9">
        <f t="shared" ca="1" si="44"/>
        <v>0</v>
      </c>
      <c r="Z177" s="9">
        <f t="shared" ca="1" si="44"/>
        <v>0</v>
      </c>
      <c r="AA177" s="9">
        <f t="shared" ca="1" si="44"/>
        <v>0</v>
      </c>
      <c r="AC177" s="243"/>
      <c r="AD177" s="243"/>
      <c r="AE177" s="148"/>
      <c r="AF177" s="243"/>
      <c r="AG177" s="243"/>
      <c r="AH177" s="243"/>
      <c r="AI177" s="243"/>
      <c r="AJ177" s="243"/>
      <c r="AK177" s="243"/>
      <c r="AL177" s="243"/>
      <c r="AM177" s="243"/>
      <c r="AN177" s="243"/>
      <c r="AO177" s="243"/>
      <c r="AP177" s="243"/>
      <c r="AQ177" s="243"/>
      <c r="AR177" s="243"/>
      <c r="AS177" s="243"/>
      <c r="AT177" s="243"/>
      <c r="AU177" s="244"/>
      <c r="AV177" s="244"/>
      <c r="AW177" s="244"/>
      <c r="AX177" s="243"/>
      <c r="AY177" s="243"/>
      <c r="AZ177" s="243"/>
    </row>
    <row r="178" spans="1:52">
      <c r="A178" s="8" t="str">
        <f>A177</f>
        <v>Type 6</v>
      </c>
      <c r="B178" s="7">
        <f>B177+1</f>
        <v>2021</v>
      </c>
      <c r="C178" s="7" t="str">
        <f t="shared" si="45"/>
        <v>Annual</v>
      </c>
      <c r="D178" s="7">
        <f t="shared" si="45"/>
        <v>0</v>
      </c>
      <c r="E178" s="7">
        <f>E177</f>
        <v>0</v>
      </c>
      <c r="F178" s="14">
        <f>$O$85</f>
        <v>0</v>
      </c>
      <c r="H178" s="9"/>
      <c r="I178" s="9"/>
      <c r="J178" s="9"/>
      <c r="K178" s="9">
        <f ca="1">$E$85/$E$31</f>
        <v>0</v>
      </c>
      <c r="L178" s="9">
        <f ca="1">K178-S178</f>
        <v>0</v>
      </c>
      <c r="M178" s="9">
        <f ca="1">L178-T178</f>
        <v>0</v>
      </c>
      <c r="N178" s="9"/>
      <c r="O178" s="9"/>
      <c r="P178" s="9"/>
      <c r="Q178" s="9"/>
      <c r="R178" s="9">
        <f ca="1">IF(OR($C178="Annual",$D178=$E178),IF(AND($D178=$E178,R$111=$B178+$D178),$K178,IF(AND(R$111&gt;$B178+$D178,R$111&lt;=$B178+$E178), $K178/($E178-$D178),0)), IF(OR(R$111=$B178+$D178,R$111=$B178+$E178),$K178/(($E178-$D178)*2),IF(AND(R$111&gt;$B178+$D178,R$111&lt;$B178+$E178),$K178/($E178-$D178),0)))</f>
        <v>0</v>
      </c>
      <c r="S178" s="9">
        <f>IF(OR($C178="Annual",$D178=$E178),IF(AND($D178=$E178,S$111=$B178+$D178),$K178,IF(AND(S$111&gt;$B178+$D178,S$111&lt;=$B178+$E178), $K178/($E178-$D178),0)), IF(OR(S$111=$B178+$D178,S$111=$B178+$E178),$K178/(($E178-$D178)*2),IF(AND(S$111&gt;$B178+$D178,S$111&lt;$B178+$E178),$K178/($E178-$D178),0)))</f>
        <v>0</v>
      </c>
      <c r="T178" s="9">
        <f>IF(OR($C178="Annual",$D178=$E178),IF(AND($D178=$E178,T$111=$B178+$D178),$K178,IF(AND(T$111&gt;$B178+$D178,T$111&lt;=$B178+$E178), $K178/($E178-$D178),0)), IF(OR(T$111=$B178+$D178,T$111=$B178+$E178),$K178/(($E178-$D178)*2),IF(AND(T$111&gt;$B178+$D178,T$111&lt;$B178+$E178),$K178/($E178-$D178),0)))</f>
        <v>0</v>
      </c>
      <c r="U178" s="9"/>
      <c r="V178" s="9"/>
      <c r="W178" s="9"/>
      <c r="X178" s="9"/>
      <c r="Y178" s="9">
        <f t="shared" si="44"/>
        <v>0</v>
      </c>
      <c r="Z178" s="9">
        <f t="shared" ca="1" si="44"/>
        <v>0</v>
      </c>
      <c r="AA178" s="9">
        <f t="shared" ca="1" si="44"/>
        <v>0</v>
      </c>
      <c r="AC178" s="243"/>
      <c r="AD178" s="243"/>
      <c r="AE178" s="148"/>
      <c r="AF178" s="243"/>
      <c r="AG178" s="243"/>
      <c r="AH178" s="243"/>
      <c r="AI178" s="243"/>
      <c r="AJ178" s="243"/>
      <c r="AK178" s="243"/>
      <c r="AL178" s="243"/>
      <c r="AM178" s="243"/>
      <c r="AN178" s="243"/>
      <c r="AO178" s="243"/>
      <c r="AP178" s="243"/>
      <c r="AQ178" s="243"/>
      <c r="AR178" s="243"/>
      <c r="AS178" s="243"/>
      <c r="AT178" s="243"/>
      <c r="AU178" s="244"/>
      <c r="AV178" s="244"/>
      <c r="AW178" s="244"/>
      <c r="AX178" s="243"/>
      <c r="AY178" s="243"/>
      <c r="AZ178" s="243"/>
    </row>
    <row r="179" spans="1:52">
      <c r="A179" s="8" t="str">
        <f>A178</f>
        <v>Type 6</v>
      </c>
      <c r="B179" s="7">
        <f>B178+1</f>
        <v>2022</v>
      </c>
      <c r="C179" s="7" t="str">
        <f t="shared" si="45"/>
        <v>Annual</v>
      </c>
      <c r="D179" s="7">
        <f t="shared" si="45"/>
        <v>0</v>
      </c>
      <c r="E179" s="7">
        <f>E178</f>
        <v>0</v>
      </c>
      <c r="F179" s="14">
        <f>$P$85</f>
        <v>0</v>
      </c>
      <c r="H179" s="9"/>
      <c r="I179" s="9"/>
      <c r="J179" s="9"/>
      <c r="K179" s="9"/>
      <c r="L179" s="9">
        <f ca="1">$F$85/$F$31</f>
        <v>0</v>
      </c>
      <c r="M179" s="9">
        <f ca="1">L179-T179</f>
        <v>0</v>
      </c>
      <c r="N179" s="9"/>
      <c r="O179" s="9"/>
      <c r="P179" s="9"/>
      <c r="Q179" s="9"/>
      <c r="R179" s="9"/>
      <c r="S179" s="9">
        <f ca="1">IF(OR($C179="Annual",$D179=$E179),IF(AND($D179=$E179,S$111=$B179+$D179),$L179,IF(AND(S$111&gt;$B179+$D179,S$111&lt;=$B179+$E179), $L179/($E179-$D179),0)), IF(OR(S$111=$B179+$D179,S$111=$B179+$E179),$L179/(($E179-$D179)*2),IF(AND(S$111&gt;$B179+$D179,S$111&lt;$B179+$E179),$L179/($E179-$D179),0)))</f>
        <v>0</v>
      </c>
      <c r="T179" s="9">
        <f>IF(OR($C179="Annual",$D179=$E179),IF(AND($D179=$E179,T$111=$B179+$D179),$L179,IF(AND(T$111&gt;$B179+$D179,T$111&lt;=$B179+$E179), $L179/($E179-$D179),0)), IF(OR(T$111=$B179+$D179,T$111=$B179+$E179),$L179/(($E179-$D179)*2),IF(AND(T$111&gt;$B179+$D179,T$111&lt;$B179+$E179),$L179/($E179-$D179),0)))</f>
        <v>0</v>
      </c>
      <c r="U179" s="9"/>
      <c r="V179" s="9"/>
      <c r="W179" s="9"/>
      <c r="X179" s="9"/>
      <c r="Y179" s="9"/>
      <c r="Z179" s="9">
        <f t="shared" si="44"/>
        <v>0</v>
      </c>
      <c r="AA179" s="9">
        <f t="shared" ca="1" si="44"/>
        <v>0</v>
      </c>
      <c r="AC179" s="243"/>
      <c r="AD179" s="243"/>
      <c r="AE179" s="148"/>
      <c r="AF179" s="243"/>
      <c r="AG179" s="243"/>
      <c r="AH179" s="243"/>
      <c r="AI179" s="243"/>
      <c r="AJ179" s="243"/>
      <c r="AK179" s="243"/>
      <c r="AL179" s="243"/>
      <c r="AM179" s="243"/>
      <c r="AN179" s="243"/>
      <c r="AO179" s="243"/>
      <c r="AP179" s="243"/>
      <c r="AQ179" s="243"/>
      <c r="AR179" s="243"/>
      <c r="AS179" s="243"/>
      <c r="AT179" s="243"/>
      <c r="AU179" s="244"/>
      <c r="AV179" s="244"/>
      <c r="AW179" s="244"/>
      <c r="AX179" s="243"/>
      <c r="AY179" s="243"/>
      <c r="AZ179" s="243"/>
    </row>
    <row r="180" spans="1:52">
      <c r="A180" s="8" t="str">
        <f>A179</f>
        <v>Type 6</v>
      </c>
      <c r="B180" s="7">
        <f>B179+1</f>
        <v>2023</v>
      </c>
      <c r="C180" s="7" t="str">
        <f t="shared" si="45"/>
        <v>Annual</v>
      </c>
      <c r="D180" s="7">
        <f t="shared" si="45"/>
        <v>0</v>
      </c>
      <c r="E180" s="7">
        <f>E179</f>
        <v>0</v>
      </c>
      <c r="F180" s="14">
        <f>$Q$85</f>
        <v>0</v>
      </c>
      <c r="H180" s="9"/>
      <c r="I180" s="9"/>
      <c r="J180" s="9"/>
      <c r="K180" s="9"/>
      <c r="L180" s="9"/>
      <c r="M180" s="9">
        <f ca="1">$G$85/$G$31</f>
        <v>0</v>
      </c>
      <c r="N180" s="9"/>
      <c r="O180" s="9"/>
      <c r="P180" s="9"/>
      <c r="Q180" s="9"/>
      <c r="R180" s="9"/>
      <c r="S180" s="9"/>
      <c r="T180" s="9">
        <f ca="1">IF(OR($C180="Annual",$D180=$E180),IF(AND($D180=$E180,T$111=$B180+$D180),$M180,IF(AND(T$111&gt;$B180+$D180,T$111&lt;=$B180+$E180), $M180/($E180-$D180),0)), IF(OR(T$111=$B180+$D180,T$111=$B180+$E180),$M180/(($E180-$D180)*2),IF(AND(T$111&gt;$B180+$D180,T$111&lt;$B180+$E180),$M180/($E180-$D180),0)))</f>
        <v>0</v>
      </c>
      <c r="U180" s="9"/>
      <c r="V180" s="9"/>
      <c r="W180" s="9"/>
      <c r="X180" s="9"/>
      <c r="Y180" s="9"/>
      <c r="Z180" s="9"/>
      <c r="AA180" s="9">
        <f t="shared" si="44"/>
        <v>0</v>
      </c>
      <c r="AC180" s="243"/>
      <c r="AD180" s="243"/>
      <c r="AE180" s="148"/>
      <c r="AF180" s="243"/>
      <c r="AG180" s="243"/>
      <c r="AH180" s="243"/>
      <c r="AI180" s="243"/>
      <c r="AJ180" s="243"/>
      <c r="AK180" s="243"/>
      <c r="AL180" s="243"/>
      <c r="AM180" s="243"/>
      <c r="AN180" s="243"/>
      <c r="AO180" s="243"/>
      <c r="AP180" s="243"/>
      <c r="AQ180" s="243"/>
      <c r="AR180" s="243"/>
      <c r="AS180" s="243"/>
      <c r="AT180" s="243"/>
      <c r="AU180" s="244"/>
      <c r="AV180" s="244"/>
      <c r="AW180" s="244"/>
      <c r="AX180" s="243"/>
      <c r="AY180" s="243"/>
      <c r="AZ180" s="243"/>
    </row>
    <row r="181" spans="1:52">
      <c r="A181" s="8"/>
      <c r="B181" s="7"/>
      <c r="C181" s="7"/>
      <c r="D181" s="7"/>
      <c r="E181" s="7"/>
      <c r="F181" s="15"/>
      <c r="H181" s="9"/>
      <c r="I181" s="9"/>
      <c r="J181" s="9"/>
      <c r="K181" s="9"/>
      <c r="L181" s="9"/>
      <c r="M181" s="9"/>
      <c r="N181" s="9"/>
      <c r="O181" s="278"/>
      <c r="P181" s="10"/>
      <c r="Q181" s="10"/>
      <c r="R181" s="10"/>
      <c r="S181" s="10"/>
      <c r="T181" s="10"/>
      <c r="U181" s="9"/>
      <c r="V181" s="10"/>
      <c r="W181" s="10"/>
      <c r="X181" s="10"/>
      <c r="Y181" s="10"/>
      <c r="Z181" s="10"/>
      <c r="AA181" s="10"/>
      <c r="AC181" s="243"/>
      <c r="AD181" s="243"/>
      <c r="AE181" s="148"/>
      <c r="AF181" s="243"/>
      <c r="AG181" s="243"/>
      <c r="AH181" s="243"/>
      <c r="AI181" s="243"/>
      <c r="AJ181" s="243"/>
      <c r="AK181" s="243"/>
      <c r="AL181" s="243"/>
      <c r="AM181" s="243"/>
      <c r="AN181" s="243"/>
      <c r="AO181" s="243"/>
      <c r="AP181" s="243"/>
      <c r="AQ181" s="243"/>
      <c r="AR181" s="243"/>
      <c r="AS181" s="243"/>
      <c r="AT181" s="243"/>
      <c r="AU181" s="244"/>
      <c r="AV181" s="244"/>
      <c r="AW181" s="244"/>
      <c r="AX181" s="243"/>
      <c r="AY181" s="243"/>
      <c r="AZ181" s="243"/>
    </row>
    <row r="182" spans="1:52">
      <c r="A182" s="8" t="str">
        <f>'Input 4 - Forecast'!A67</f>
        <v>Type 7</v>
      </c>
      <c r="B182" s="7">
        <f>B119</f>
        <v>2018</v>
      </c>
      <c r="C182" s="7" t="str">
        <f>$I86</f>
        <v>Annual</v>
      </c>
      <c r="D182" s="7">
        <f>$J86</f>
        <v>0</v>
      </c>
      <c r="E182" s="7">
        <f>$K86</f>
        <v>0</v>
      </c>
      <c r="F182" s="14">
        <f>$L$86</f>
        <v>0</v>
      </c>
      <c r="H182" s="9">
        <f>$B$86/$B$31</f>
        <v>0</v>
      </c>
      <c r="I182" s="9">
        <f>H182-P182</f>
        <v>0</v>
      </c>
      <c r="J182" s="9">
        <f>I182-Q182</f>
        <v>0</v>
      </c>
      <c r="K182" s="9">
        <f>J182-R182</f>
        <v>0</v>
      </c>
      <c r="L182" s="9">
        <f>K182-S182</f>
        <v>0</v>
      </c>
      <c r="M182" s="9">
        <f>L182-T182</f>
        <v>0</v>
      </c>
      <c r="N182" s="9"/>
      <c r="O182" s="9">
        <f t="shared" ref="O182:T182" si="46">IF(OR($C182="Annual",$D182=$E182),IF(AND($D182=$E182,O$111=$B182+$D182),$H182,IF(AND(O$111&gt;$B182+$D182,O$111&lt;=$B182+$E182), $H182/($E182-$D182),0)), IF(OR(O$111=$B182+$D182,O$111=$B182+$E182),$H182/(($E182-$D182)*2),IF(AND(O$111&gt;$B182+$D182,O$111&lt;$B182+$E182),$H182/($E182-$D182),0)))</f>
        <v>0</v>
      </c>
      <c r="P182" s="9">
        <f t="shared" si="46"/>
        <v>0</v>
      </c>
      <c r="Q182" s="9">
        <f t="shared" si="46"/>
        <v>0</v>
      </c>
      <c r="R182" s="9">
        <f t="shared" si="46"/>
        <v>0</v>
      </c>
      <c r="S182" s="9">
        <f t="shared" si="46"/>
        <v>0</v>
      </c>
      <c r="T182" s="9">
        <f t="shared" si="46"/>
        <v>0</v>
      </c>
      <c r="U182" s="9"/>
      <c r="V182" s="9">
        <f>IF($C182="annual",IF(V$111=$B182,0,G182*$F182),IF(V$111-$B182=0,0,IF((V$111-$B182)&lt;$E182,AVERAGE(G182,H182)*$F182,IF((V$111-$B182)=$E182,G182*$F182/2,0))))</f>
        <v>0</v>
      </c>
      <c r="W182" s="9">
        <f t="shared" ref="W182:AA187" si="47">IF($C182="annual",IF(W$111=$B182,0,H182*$F182),IF(W$111-$B182=0,0,IF((W$111-$B182)&lt;$E182,AVERAGE(H182,I182)*$F182,IF((W$111-$B182)=$E182,H182*$F182/2,0))))</f>
        <v>0</v>
      </c>
      <c r="X182" s="9">
        <f t="shared" si="47"/>
        <v>0</v>
      </c>
      <c r="Y182" s="9">
        <f t="shared" si="47"/>
        <v>0</v>
      </c>
      <c r="Z182" s="9">
        <f t="shared" si="47"/>
        <v>0</v>
      </c>
      <c r="AA182" s="9">
        <f t="shared" si="47"/>
        <v>0</v>
      </c>
      <c r="AC182" s="243"/>
      <c r="AD182" s="243"/>
      <c r="AE182" s="148"/>
      <c r="AF182" s="243"/>
      <c r="AG182" s="243"/>
      <c r="AH182" s="243"/>
      <c r="AI182" s="243"/>
      <c r="AJ182" s="243"/>
      <c r="AK182" s="243"/>
      <c r="AL182" s="243"/>
      <c r="AM182" s="243"/>
      <c r="AN182" s="243"/>
      <c r="AO182" s="243"/>
      <c r="AP182" s="243"/>
      <c r="AQ182" s="243"/>
      <c r="AR182" s="243"/>
      <c r="AS182" s="243"/>
      <c r="AT182" s="243"/>
      <c r="AU182" s="244"/>
      <c r="AV182" s="244"/>
      <c r="AW182" s="244"/>
      <c r="AX182" s="243"/>
      <c r="AY182" s="243"/>
      <c r="AZ182" s="243"/>
    </row>
    <row r="183" spans="1:52">
      <c r="A183" s="8" t="str">
        <f>A182</f>
        <v>Type 7</v>
      </c>
      <c r="B183" s="7">
        <f>B182+1</f>
        <v>2019</v>
      </c>
      <c r="C183" s="7" t="str">
        <f>C182</f>
        <v>Annual</v>
      </c>
      <c r="D183" s="7">
        <f>D182</f>
        <v>0</v>
      </c>
      <c r="E183" s="7">
        <f>E182</f>
        <v>0</v>
      </c>
      <c r="F183" s="14">
        <f>$M$86</f>
        <v>7.1007506480822574E-3</v>
      </c>
      <c r="H183" s="9"/>
      <c r="I183" s="9">
        <f ca="1">$C$86/$C$31</f>
        <v>0</v>
      </c>
      <c r="J183" s="9">
        <f ca="1">I183-Q183</f>
        <v>0</v>
      </c>
      <c r="K183" s="9">
        <f ca="1">J183-R183</f>
        <v>0</v>
      </c>
      <c r="L183" s="9">
        <f ca="1">K183-S183</f>
        <v>0</v>
      </c>
      <c r="M183" s="9">
        <f ca="1">L183-T183</f>
        <v>0</v>
      </c>
      <c r="N183" s="9"/>
      <c r="O183" s="9"/>
      <c r="P183" s="9">
        <f ca="1">IF(OR($C183="Annual",$D183=$E183),IF(AND($D183=$E183,P$111=$B183+$D183),$I183,IF(AND(P$111&gt;$B183+$D183,P$111&lt;=$B183+$E183), $I183/($E183-$D183),0)), IF(OR(P$111=$B183+$D183,P$111=$B183+$E183),$I183/(($E183-$D183)*2),IF(AND(P$111&gt;$B183+$D183,P$111&lt;$B183+$E183),$I183/($E183-$D183),0)))</f>
        <v>0</v>
      </c>
      <c r="Q183" s="9">
        <f>IF(OR($C183="Annual",$D183=$E183),IF(AND($D183=$E183,Q$111=$B183+$D183),$I183,IF(AND(Q$111&gt;$B183+$D183,Q$111&lt;=$B183+$E183), $I183/($E183-$D183),0)), IF(OR(Q$111=$B183+$D183,Q$111=$B183+$E183),$I183/(($E183-$D183)*2),IF(AND(Q$111&gt;$B183+$D183,Q$111&lt;$B183+$E183),$I183/($E183-$D183),0)))</f>
        <v>0</v>
      </c>
      <c r="R183" s="9">
        <f>IF(OR($C183="Annual",$D183=$E183),IF(AND($D183=$E183,R$111=$B183+$D183),$I183,IF(AND(R$111&gt;$B183+$D183,R$111&lt;=$B183+$E183), $I183/($E183-$D183),0)), IF(OR(R$111=$B183+$D183,R$111=$B183+$E183),$I183/(($E183-$D183)*2),IF(AND(R$111&gt;$B183+$D183,R$111&lt;$B183+$E183),$I183/($E183-$D183),0)))</f>
        <v>0</v>
      </c>
      <c r="S183" s="9">
        <f>IF(OR($C183="Annual",$D183=$E183),IF(AND($D183=$E183,S$111=$B183+$D183),$I183,IF(AND(S$111&gt;$B183+$D183,S$111&lt;=$B183+$E183), $I183/($E183-$D183),0)), IF(OR(S$111=$B183+$D183,S$111=$B183+$E183),$I183/(($E183-$D183)*2),IF(AND(S$111&gt;$B183+$D183,S$111&lt;$B183+$E183),$I183/($E183-$D183),0)))</f>
        <v>0</v>
      </c>
      <c r="T183" s="9">
        <f>IF(OR($C183="Annual",$D183=$E183),IF(AND($D183=$E183,T$111=$B183+$D183),$I183,IF(AND(T$111&gt;$B183+$D183,T$111&lt;=$B183+$E183), $I183/($E183-$D183),0)), IF(OR(T$111=$B183+$D183,T$111=$B183+$E183),$I183/(($E183-$D183)*2),IF(AND(T$111&gt;$B183+$D183,T$111&lt;$B183+$E183),$I183/($E183-$D183),0)))</f>
        <v>0</v>
      </c>
      <c r="U183" s="9"/>
      <c r="V183" s="9"/>
      <c r="W183" s="9">
        <f t="shared" si="47"/>
        <v>0</v>
      </c>
      <c r="X183" s="9">
        <f t="shared" ca="1" si="47"/>
        <v>0</v>
      </c>
      <c r="Y183" s="9">
        <f t="shared" ca="1" si="47"/>
        <v>0</v>
      </c>
      <c r="Z183" s="9">
        <f t="shared" ca="1" si="47"/>
        <v>0</v>
      </c>
      <c r="AA183" s="9">
        <f t="shared" ca="1" si="47"/>
        <v>0</v>
      </c>
      <c r="AC183" s="243"/>
      <c r="AD183" s="243"/>
      <c r="AE183" s="148"/>
      <c r="AF183" s="243"/>
      <c r="AG183" s="243"/>
      <c r="AH183" s="243"/>
      <c r="AI183" s="243"/>
      <c r="AJ183" s="243"/>
      <c r="AK183" s="243"/>
      <c r="AL183" s="243"/>
      <c r="AM183" s="243"/>
      <c r="AN183" s="243"/>
      <c r="AO183" s="243"/>
      <c r="AP183" s="243"/>
      <c r="AQ183" s="243"/>
      <c r="AR183" s="243"/>
      <c r="AS183" s="243"/>
      <c r="AT183" s="243"/>
      <c r="AU183" s="244"/>
      <c r="AV183" s="244"/>
      <c r="AW183" s="244"/>
      <c r="AX183" s="243"/>
      <c r="AY183" s="243"/>
      <c r="AZ183" s="243"/>
    </row>
    <row r="184" spans="1:52">
      <c r="A184" s="8" t="str">
        <f>A183</f>
        <v>Type 7</v>
      </c>
      <c r="B184" s="7">
        <f>B183+1</f>
        <v>2020</v>
      </c>
      <c r="C184" s="7" t="str">
        <f t="shared" ref="C184:D187" si="48">C183</f>
        <v>Annual</v>
      </c>
      <c r="D184" s="7">
        <f t="shared" si="48"/>
        <v>0</v>
      </c>
      <c r="E184" s="7">
        <f>E183</f>
        <v>0</v>
      </c>
      <c r="F184" s="14">
        <f>$N$86</f>
        <v>1.4545456510151461E-2</v>
      </c>
      <c r="H184" s="9"/>
      <c r="I184" s="9"/>
      <c r="J184" s="9">
        <f ca="1">$D$86/$D$31</f>
        <v>0</v>
      </c>
      <c r="K184" s="9">
        <f ca="1">J184-R184</f>
        <v>0</v>
      </c>
      <c r="L184" s="9">
        <f ca="1">K184-S184</f>
        <v>0</v>
      </c>
      <c r="M184" s="9">
        <f ca="1">L184-T184</f>
        <v>0</v>
      </c>
      <c r="N184" s="9"/>
      <c r="O184" s="9"/>
      <c r="P184" s="9"/>
      <c r="Q184" s="9">
        <f ca="1">IF(OR($C184="Annual",$D184=$E184),IF(AND($D184=$E184,Q$111=$B184+$D184),$J184,IF(AND(Q$111&gt;$B184+$D184,Q$111&lt;=$B184+$E184), $J184/($E184-$D184),0)), IF(OR(Q$111=$B184+$D184,Q$111=$B184+$E184),$J184/(($E184-$D184)*2),IF(AND(Q$111&gt;$B184+$D184,Q$111&lt;$B184+$E184),$J184/($E184-$D184),0)))</f>
        <v>0</v>
      </c>
      <c r="R184" s="9">
        <f>IF(OR($C184="Annual",$D184=$E184),IF(AND($D184=$E184,R$111=$B184+$D184),$J184,IF(AND(R$111&gt;$B184+$D184,R$111&lt;=$B184+$E184), $J184/($E184-$D184),0)), IF(OR(R$111=$B184+$D184,R$111=$B184+$E184),$J184/(($E184-$D184)*2),IF(AND(R$111&gt;$B184+$D184,R$111&lt;$B184+$E184),$J184/($E184-$D184),0)))</f>
        <v>0</v>
      </c>
      <c r="S184" s="9">
        <f>IF(OR($C184="Annual",$D184=$E184),IF(AND($D184=$E184,S$111=$B184+$D184),$J184,IF(AND(S$111&gt;$B184+$D184,S$111&lt;=$B184+$E184), $J184/($E184-$D184),0)), IF(OR(S$111=$B184+$D184,S$111=$B184+$E184),$J184/(($E184-$D184)*2),IF(AND(S$111&gt;$B184+$D184,S$111&lt;$B184+$E184),$J184/($E184-$D184),0)))</f>
        <v>0</v>
      </c>
      <c r="T184" s="9">
        <f>IF(OR($C184="Annual",$D184=$E184),IF(AND($D184=$E184,T$111=$B184+$D184),$J184,IF(AND(T$111&gt;$B184+$D184,T$111&lt;=$B184+$E184), $J184/($E184-$D184),0)), IF(OR(T$111=$B184+$D184,T$111=$B184+$E184),$J184/(($E184-$D184)*2),IF(AND(T$111&gt;$B184+$D184,T$111&lt;$B184+$E184),$J184/($E184-$D184),0)))</f>
        <v>0</v>
      </c>
      <c r="U184" s="9"/>
      <c r="V184" s="9"/>
      <c r="W184" s="9"/>
      <c r="X184" s="9">
        <f t="shared" si="47"/>
        <v>0</v>
      </c>
      <c r="Y184" s="9">
        <f t="shared" ca="1" si="47"/>
        <v>0</v>
      </c>
      <c r="Z184" s="9">
        <f t="shared" ca="1" si="47"/>
        <v>0</v>
      </c>
      <c r="AA184" s="9">
        <f t="shared" ca="1" si="47"/>
        <v>0</v>
      </c>
      <c r="AC184" s="243"/>
      <c r="AD184" s="243"/>
      <c r="AE184" s="148"/>
      <c r="AF184" s="243"/>
      <c r="AG184" s="243"/>
      <c r="AH184" s="243"/>
      <c r="AI184" s="243"/>
      <c r="AJ184" s="243"/>
      <c r="AK184" s="243"/>
      <c r="AL184" s="243"/>
      <c r="AM184" s="243"/>
      <c r="AN184" s="243"/>
      <c r="AO184" s="243"/>
      <c r="AP184" s="243"/>
      <c r="AQ184" s="243"/>
      <c r="AR184" s="243"/>
      <c r="AS184" s="243"/>
      <c r="AT184" s="243"/>
      <c r="AU184" s="244"/>
      <c r="AV184" s="244"/>
      <c r="AW184" s="244"/>
      <c r="AX184" s="243"/>
      <c r="AY184" s="243"/>
      <c r="AZ184" s="243"/>
    </row>
    <row r="185" spans="1:52">
      <c r="A185" s="8" t="str">
        <f>A184</f>
        <v>Type 7</v>
      </c>
      <c r="B185" s="7">
        <f>B184+1</f>
        <v>2021</v>
      </c>
      <c r="C185" s="7" t="str">
        <f t="shared" si="48"/>
        <v>Annual</v>
      </c>
      <c r="D185" s="7">
        <f t="shared" si="48"/>
        <v>0</v>
      </c>
      <c r="E185" s="7">
        <f>E184</f>
        <v>0</v>
      </c>
      <c r="F185" s="14">
        <f>$O$86</f>
        <v>0</v>
      </c>
      <c r="H185" s="9"/>
      <c r="I185" s="9"/>
      <c r="J185" s="9"/>
      <c r="K185" s="9">
        <f ca="1">$E$86/$E$31</f>
        <v>0</v>
      </c>
      <c r="L185" s="9">
        <f ca="1">K185-S185</f>
        <v>0</v>
      </c>
      <c r="M185" s="9">
        <f ca="1">L185-T185</f>
        <v>0</v>
      </c>
      <c r="N185" s="9"/>
      <c r="O185" s="9"/>
      <c r="P185" s="9"/>
      <c r="Q185" s="9"/>
      <c r="R185" s="9">
        <f ca="1">IF(OR($C185="Annual",$D185=$E185),IF(AND($D185=$E185,R$111=$B185+$D185),$K185,IF(AND(R$111&gt;$B185+$D185,R$111&lt;=$B185+$E185), $K185/($E185-$D185),0)), IF(OR(R$111=$B185+$D185,R$111=$B185+$E185),$K185/(($E185-$D185)*2),IF(AND(R$111&gt;$B185+$D185,R$111&lt;$B185+$E185),$K185/($E185-$D185),0)))</f>
        <v>0</v>
      </c>
      <c r="S185" s="9">
        <f>IF(OR($C185="Annual",$D185=$E185),IF(AND($D185=$E185,S$111=$B185+$D185),$K185,IF(AND(S$111&gt;$B185+$D185,S$111&lt;=$B185+$E185), $K185/($E185-$D185),0)), IF(OR(S$111=$B185+$D185,S$111=$B185+$E185),$K185/(($E185-$D185)*2),IF(AND(S$111&gt;$B185+$D185,S$111&lt;$B185+$E185),$K185/($E185-$D185),0)))</f>
        <v>0</v>
      </c>
      <c r="T185" s="9">
        <f>IF(OR($C185="Annual",$D185=$E185),IF(AND($D185=$E185,T$111=$B185+$D185),$K185,IF(AND(T$111&gt;$B185+$D185,T$111&lt;=$B185+$E185), $K185/($E185-$D185),0)), IF(OR(T$111=$B185+$D185,T$111=$B185+$E185),$K185/(($E185-$D185)*2),IF(AND(T$111&gt;$B185+$D185,T$111&lt;$B185+$E185),$K185/($E185-$D185),0)))</f>
        <v>0</v>
      </c>
      <c r="U185" s="9"/>
      <c r="V185" s="9"/>
      <c r="W185" s="9"/>
      <c r="X185" s="9"/>
      <c r="Y185" s="9">
        <f t="shared" si="47"/>
        <v>0</v>
      </c>
      <c r="Z185" s="9">
        <f t="shared" ca="1" si="47"/>
        <v>0</v>
      </c>
      <c r="AA185" s="9">
        <f t="shared" ca="1" si="47"/>
        <v>0</v>
      </c>
      <c r="AC185" s="243"/>
      <c r="AD185" s="243"/>
      <c r="AE185" s="148"/>
      <c r="AF185" s="243"/>
      <c r="AG185" s="243"/>
      <c r="AH185" s="243"/>
      <c r="AI185" s="243"/>
      <c r="AJ185" s="243"/>
      <c r="AK185" s="243"/>
      <c r="AL185" s="243"/>
      <c r="AM185" s="243"/>
      <c r="AN185" s="243"/>
      <c r="AO185" s="243"/>
      <c r="AP185" s="243"/>
      <c r="AQ185" s="243"/>
      <c r="AR185" s="243"/>
      <c r="AS185" s="243"/>
      <c r="AT185" s="243"/>
      <c r="AU185" s="244"/>
      <c r="AV185" s="244"/>
      <c r="AW185" s="244"/>
      <c r="AX185" s="243"/>
      <c r="AY185" s="243"/>
      <c r="AZ185" s="243"/>
    </row>
    <row r="186" spans="1:52">
      <c r="A186" s="8" t="str">
        <f>A185</f>
        <v>Type 7</v>
      </c>
      <c r="B186" s="7">
        <f>B185+1</f>
        <v>2022</v>
      </c>
      <c r="C186" s="7" t="str">
        <f t="shared" si="48"/>
        <v>Annual</v>
      </c>
      <c r="D186" s="7">
        <f t="shared" si="48"/>
        <v>0</v>
      </c>
      <c r="E186" s="7">
        <f>E185</f>
        <v>0</v>
      </c>
      <c r="F186" s="14">
        <f>$P$86</f>
        <v>0</v>
      </c>
      <c r="H186" s="9"/>
      <c r="I186" s="9"/>
      <c r="J186" s="9"/>
      <c r="K186" s="9"/>
      <c r="L186" s="9">
        <f ca="1">$F$86/$F$31</f>
        <v>0</v>
      </c>
      <c r="M186" s="9">
        <f ca="1">L186-T186</f>
        <v>0</v>
      </c>
      <c r="N186" s="9"/>
      <c r="O186" s="9"/>
      <c r="P186" s="9"/>
      <c r="Q186" s="9"/>
      <c r="R186" s="9"/>
      <c r="S186" s="9">
        <f ca="1">IF(OR($C186="Annual",$D186=$E186),IF(AND($D186=$E186,S$111=$B186+$D186),$L186,IF(AND(S$111&gt;$B186+$D186,S$111&lt;=$B186+$E186), $L186/($E186-$D186),0)), IF(OR(S$111=$B186+$D186,S$111=$B186+$E186),$L186/(($E186-$D186)*2),IF(AND(S$111&gt;$B186+$D186,S$111&lt;$B186+$E186),$L186/($E186-$D186),0)))</f>
        <v>0</v>
      </c>
      <c r="T186" s="9">
        <f>IF(OR($C186="Annual",$D186=$E186),IF(AND($D186=$E186,T$111=$B186+$D186),$L186,IF(AND(T$111&gt;$B186+$D186,T$111&lt;=$B186+$E186), $L186/($E186-$D186),0)), IF(OR(T$111=$B186+$D186,T$111=$B186+$E186),$L186/(($E186-$D186)*2),IF(AND(T$111&gt;$B186+$D186,T$111&lt;$B186+$E186),$L186/($E186-$D186),0)))</f>
        <v>0</v>
      </c>
      <c r="U186" s="9"/>
      <c r="V186" s="9"/>
      <c r="W186" s="9"/>
      <c r="X186" s="9"/>
      <c r="Y186" s="9"/>
      <c r="Z186" s="9">
        <f t="shared" si="47"/>
        <v>0</v>
      </c>
      <c r="AA186" s="9">
        <f t="shared" ca="1" si="47"/>
        <v>0</v>
      </c>
      <c r="AC186" s="243"/>
      <c r="AD186" s="243"/>
      <c r="AE186" s="148"/>
      <c r="AF186" s="243"/>
      <c r="AG186" s="243"/>
      <c r="AH186" s="243"/>
      <c r="AI186" s="243"/>
      <c r="AJ186" s="243"/>
      <c r="AK186" s="243"/>
      <c r="AL186" s="243"/>
      <c r="AM186" s="243"/>
      <c r="AN186" s="243"/>
      <c r="AO186" s="243"/>
      <c r="AP186" s="243"/>
      <c r="AQ186" s="243"/>
      <c r="AR186" s="243"/>
      <c r="AS186" s="243"/>
      <c r="AT186" s="243"/>
      <c r="AU186" s="244"/>
      <c r="AV186" s="244"/>
      <c r="AW186" s="244"/>
      <c r="AX186" s="243"/>
      <c r="AY186" s="243"/>
      <c r="AZ186" s="243"/>
    </row>
    <row r="187" spans="1:52">
      <c r="A187" s="8" t="str">
        <f>A186</f>
        <v>Type 7</v>
      </c>
      <c r="B187" s="7">
        <f>B186+1</f>
        <v>2023</v>
      </c>
      <c r="C187" s="7" t="str">
        <f t="shared" si="48"/>
        <v>Annual</v>
      </c>
      <c r="D187" s="7">
        <f t="shared" si="48"/>
        <v>0</v>
      </c>
      <c r="E187" s="7">
        <f>E186</f>
        <v>0</v>
      </c>
      <c r="F187" s="14">
        <f>$Q$86</f>
        <v>0</v>
      </c>
      <c r="H187" s="9"/>
      <c r="I187" s="9"/>
      <c r="J187" s="9"/>
      <c r="K187" s="9"/>
      <c r="L187" s="9"/>
      <c r="M187" s="9">
        <f ca="1">$G$86/$G$31</f>
        <v>0</v>
      </c>
      <c r="N187" s="9"/>
      <c r="O187" s="9"/>
      <c r="P187" s="9"/>
      <c r="Q187" s="9"/>
      <c r="R187" s="9"/>
      <c r="S187" s="9"/>
      <c r="T187" s="9">
        <f ca="1">IF(OR($C187="Annual",$D187=$E187),IF(AND($D187=$E187,T$111=$B187+$D187),$M187,IF(AND(T$111&gt;$B187+$D187,T$111&lt;=$B187+$E187), $M187/($E187-$D187),0)), IF(OR(T$111=$B187+$D187,T$111=$B187+$E187),$M187/(($E187-$D187)*2),IF(AND(T$111&gt;$B187+$D187,T$111&lt;$B187+$E187),$M187/($E187-$D187),0)))</f>
        <v>0</v>
      </c>
      <c r="U187" s="9"/>
      <c r="V187" s="9"/>
      <c r="W187" s="9"/>
      <c r="X187" s="9"/>
      <c r="Y187" s="9"/>
      <c r="Z187" s="9"/>
      <c r="AA187" s="9">
        <f t="shared" si="47"/>
        <v>0</v>
      </c>
      <c r="AC187" s="243"/>
      <c r="AD187" s="243"/>
      <c r="AE187" s="148"/>
      <c r="AF187" s="243"/>
      <c r="AG187" s="243"/>
      <c r="AH187" s="243"/>
      <c r="AI187" s="243"/>
      <c r="AJ187" s="243"/>
      <c r="AK187" s="243"/>
      <c r="AL187" s="243"/>
      <c r="AM187" s="243"/>
      <c r="AN187" s="243"/>
      <c r="AO187" s="243"/>
      <c r="AP187" s="243"/>
      <c r="AQ187" s="243"/>
      <c r="AR187" s="243"/>
      <c r="AS187" s="243"/>
      <c r="AT187" s="243"/>
      <c r="AU187" s="244"/>
      <c r="AV187" s="244"/>
      <c r="AW187" s="244"/>
      <c r="AX187" s="243"/>
      <c r="AY187" s="243"/>
      <c r="AZ187" s="243"/>
    </row>
    <row r="188" spans="1:52">
      <c r="A188" s="8"/>
      <c r="B188" s="7"/>
      <c r="C188" s="7"/>
      <c r="D188" s="7"/>
      <c r="E188" s="7"/>
      <c r="F188" s="15"/>
      <c r="H188" s="9"/>
      <c r="I188" s="9"/>
      <c r="J188" s="9"/>
      <c r="K188" s="9"/>
      <c r="L188" s="9"/>
      <c r="M188" s="9"/>
      <c r="N188" s="9"/>
      <c r="O188" s="278"/>
      <c r="P188" s="10"/>
      <c r="Q188" s="10"/>
      <c r="R188" s="10"/>
      <c r="S188" s="10"/>
      <c r="T188" s="10"/>
      <c r="U188" s="9"/>
      <c r="V188" s="10"/>
      <c r="W188" s="10"/>
      <c r="X188" s="10"/>
      <c r="Y188" s="10"/>
      <c r="Z188" s="10"/>
      <c r="AA188" s="10"/>
      <c r="AC188" s="243"/>
      <c r="AD188" s="243"/>
      <c r="AE188" s="148"/>
      <c r="AF188" s="243"/>
      <c r="AG188" s="243"/>
      <c r="AH188" s="243"/>
      <c r="AI188" s="243"/>
      <c r="AJ188" s="243"/>
      <c r="AK188" s="243"/>
      <c r="AL188" s="243"/>
      <c r="AM188" s="243"/>
      <c r="AN188" s="243"/>
      <c r="AO188" s="243"/>
      <c r="AP188" s="243"/>
      <c r="AQ188" s="243"/>
      <c r="AR188" s="243"/>
      <c r="AS188" s="243"/>
      <c r="AT188" s="243"/>
      <c r="AU188" s="244"/>
      <c r="AV188" s="244"/>
      <c r="AW188" s="244"/>
      <c r="AX188" s="243"/>
      <c r="AY188" s="243"/>
      <c r="AZ188" s="243"/>
    </row>
    <row r="189" spans="1:52">
      <c r="A189" s="8" t="str">
        <f>'Input 4 - Forecast'!A68</f>
        <v>Type 8</v>
      </c>
      <c r="B189" s="7">
        <f>B119</f>
        <v>2018</v>
      </c>
      <c r="C189" s="7" t="str">
        <f>$I87</f>
        <v>Annual</v>
      </c>
      <c r="D189" s="7">
        <f>$J87</f>
        <v>0</v>
      </c>
      <c r="E189" s="7">
        <f>$K87</f>
        <v>0</v>
      </c>
      <c r="F189" s="14">
        <f>$L$87</f>
        <v>0</v>
      </c>
      <c r="H189" s="9">
        <f>$B$87/$B$31</f>
        <v>0</v>
      </c>
      <c r="I189" s="9">
        <f>H189-P189</f>
        <v>0</v>
      </c>
      <c r="J189" s="9">
        <f>I189-Q189</f>
        <v>0</v>
      </c>
      <c r="K189" s="9">
        <f>J189-R189</f>
        <v>0</v>
      </c>
      <c r="L189" s="9">
        <f>K189-S189</f>
        <v>0</v>
      </c>
      <c r="M189" s="9">
        <f>L189-T189</f>
        <v>0</v>
      </c>
      <c r="N189" s="9"/>
      <c r="O189" s="9">
        <f t="shared" ref="O189:T189" si="49">IF(OR($C189="Annual",$D189=$E189),IF(AND($D189=$E189,O$111=$B189+$D189),$H189,IF(AND(O$111&gt;$B189+$D189,O$111&lt;=$B189+$E189), $H189/($E189-$D189),0)), IF(OR(O$111=$B189+$D189,O$111=$B189+$E189),$H189/(($E189-$D189)*2),IF(AND(O$111&gt;$B189+$D189,O$111&lt;$B189+$E189),$H189/($E189-$D189),0)))</f>
        <v>0</v>
      </c>
      <c r="P189" s="9">
        <f t="shared" si="49"/>
        <v>0</v>
      </c>
      <c r="Q189" s="9">
        <f t="shared" si="49"/>
        <v>0</v>
      </c>
      <c r="R189" s="9">
        <f t="shared" si="49"/>
        <v>0</v>
      </c>
      <c r="S189" s="9">
        <f t="shared" si="49"/>
        <v>0</v>
      </c>
      <c r="T189" s="9">
        <f t="shared" si="49"/>
        <v>0</v>
      </c>
      <c r="U189" s="9"/>
      <c r="V189" s="9">
        <f>IF($C189="annual",IF(V$111=$B189,0,G189*$F189),IF(V$111-$B189=0,0,IF((V$111-$B189)&lt;$E189,AVERAGE(G189,H189)*$F189,IF((V$111-$B189)=$E189,G189*$F189/2,0))))</f>
        <v>0</v>
      </c>
      <c r="W189" s="9">
        <f t="shared" ref="W189:AA194" si="50">IF($C189="annual",IF(W$111=$B189,0,H189*$F189),IF(W$111-$B189=0,0,IF((W$111-$B189)&lt;$E189,AVERAGE(H189,I189)*$F189,IF((W$111-$B189)=$E189,H189*$F189/2,0))))</f>
        <v>0</v>
      </c>
      <c r="X189" s="9">
        <f t="shared" si="50"/>
        <v>0</v>
      </c>
      <c r="Y189" s="9">
        <f t="shared" si="50"/>
        <v>0</v>
      </c>
      <c r="Z189" s="9">
        <f t="shared" si="50"/>
        <v>0</v>
      </c>
      <c r="AA189" s="9">
        <f t="shared" si="50"/>
        <v>0</v>
      </c>
      <c r="AC189" s="243"/>
      <c r="AD189" s="243"/>
      <c r="AE189" s="148"/>
      <c r="AF189" s="243"/>
      <c r="AG189" s="243"/>
      <c r="AH189" s="243"/>
      <c r="AI189" s="243"/>
      <c r="AJ189" s="243"/>
      <c r="AK189" s="243"/>
      <c r="AL189" s="243"/>
      <c r="AM189" s="243"/>
      <c r="AN189" s="243"/>
      <c r="AO189" s="243"/>
      <c r="AP189" s="243"/>
      <c r="AQ189" s="243"/>
      <c r="AR189" s="243"/>
      <c r="AS189" s="243"/>
      <c r="AT189" s="243"/>
      <c r="AU189" s="244"/>
      <c r="AV189" s="244"/>
      <c r="AW189" s="244"/>
      <c r="AX189" s="243"/>
      <c r="AY189" s="243"/>
      <c r="AZ189" s="243"/>
    </row>
    <row r="190" spans="1:52">
      <c r="A190" s="8" t="str">
        <f>A189</f>
        <v>Type 8</v>
      </c>
      <c r="B190" s="7">
        <f>B189+1</f>
        <v>2019</v>
      </c>
      <c r="C190" s="7" t="str">
        <f t="shared" ref="C190:D194" si="51">C189</f>
        <v>Annual</v>
      </c>
      <c r="D190" s="7">
        <f t="shared" si="51"/>
        <v>0</v>
      </c>
      <c r="E190" s="7">
        <f>E189</f>
        <v>0</v>
      </c>
      <c r="F190" s="14">
        <f>$M$87</f>
        <v>7.1007506480822574E-3</v>
      </c>
      <c r="H190" s="9"/>
      <c r="I190" s="9">
        <f ca="1">$C$87/$C$31</f>
        <v>0</v>
      </c>
      <c r="J190" s="9">
        <f ca="1">I190-Q190</f>
        <v>0</v>
      </c>
      <c r="K190" s="9">
        <f ca="1">J190-R190</f>
        <v>0</v>
      </c>
      <c r="L190" s="9">
        <f ca="1">K190-S190</f>
        <v>0</v>
      </c>
      <c r="M190" s="9">
        <f ca="1">L190-T190</f>
        <v>0</v>
      </c>
      <c r="N190" s="9"/>
      <c r="O190" s="9"/>
      <c r="P190" s="9">
        <f ca="1">IF(OR($C190="Annual",$D190=$E190),IF(AND($D190=$E190,P$111=$B190+$D190),$I190,IF(AND(P$111&gt;$B190+$D190,P$111&lt;=$B190+$E190), $I190/($E190-$D190),0)), IF(OR(P$111=$B190+$D190,P$111=$B190+$E190),$I190/(($E190-$D190)*2),IF(AND(P$111&gt;$B190+$D190,P$111&lt;$B190+$E190),$I190/($E190-$D190),0)))</f>
        <v>0</v>
      </c>
      <c r="Q190" s="9">
        <f>IF(OR($C190="Annual",$D190=$E190),IF(AND($D190=$E190,Q$111=$B190+$D190),$I190,IF(AND(Q$111&gt;$B190+$D190,Q$111&lt;=$B190+$E190), $I190/($E190-$D190),0)), IF(OR(Q$111=$B190+$D190,Q$111=$B190+$E190),$I190/(($E190-$D190)*2),IF(AND(Q$111&gt;$B190+$D190,Q$111&lt;$B190+$E190),$I190/($E190-$D190),0)))</f>
        <v>0</v>
      </c>
      <c r="R190" s="9">
        <f>IF(OR($C190="Annual",$D190=$E190),IF(AND($D190=$E190,R$111=$B190+$D190),$I190,IF(AND(R$111&gt;$B190+$D190,R$111&lt;=$B190+$E190), $I190/($E190-$D190),0)), IF(OR(R$111=$B190+$D190,R$111=$B190+$E190),$I190/(($E190-$D190)*2),IF(AND(R$111&gt;$B190+$D190,R$111&lt;$B190+$E190),$I190/($E190-$D190),0)))</f>
        <v>0</v>
      </c>
      <c r="S190" s="9">
        <f>IF(OR($C190="Annual",$D190=$E190),IF(AND($D190=$E190,S$111=$B190+$D190),$I190,IF(AND(S$111&gt;$B190+$D190,S$111&lt;=$B190+$E190), $I190/($E190-$D190),0)), IF(OR(S$111=$B190+$D190,S$111=$B190+$E190),$I190/(($E190-$D190)*2),IF(AND(S$111&gt;$B190+$D190,S$111&lt;$B190+$E190),$I190/($E190-$D190),0)))</f>
        <v>0</v>
      </c>
      <c r="T190" s="9">
        <f>IF(OR($C190="Annual",$D190=$E190),IF(AND($D190=$E190,T$111=$B190+$D190),$I190,IF(AND(T$111&gt;$B190+$D190,T$111&lt;=$B190+$E190), $I190/($E190-$D190),0)), IF(OR(T$111=$B190+$D190,T$111=$B190+$E190),$I190/(($E190-$D190)*2),IF(AND(T$111&gt;$B190+$D190,T$111&lt;$B190+$E190),$I190/($E190-$D190),0)))</f>
        <v>0</v>
      </c>
      <c r="U190" s="9"/>
      <c r="V190" s="9"/>
      <c r="W190" s="9">
        <f t="shared" si="50"/>
        <v>0</v>
      </c>
      <c r="X190" s="9">
        <f t="shared" ca="1" si="50"/>
        <v>0</v>
      </c>
      <c r="Y190" s="9">
        <f t="shared" ca="1" si="50"/>
        <v>0</v>
      </c>
      <c r="Z190" s="9">
        <f t="shared" ca="1" si="50"/>
        <v>0</v>
      </c>
      <c r="AA190" s="9">
        <f t="shared" ca="1" si="50"/>
        <v>0</v>
      </c>
      <c r="AC190" s="243"/>
      <c r="AD190" s="243"/>
      <c r="AE190" s="148"/>
      <c r="AF190" s="243"/>
      <c r="AG190" s="243"/>
      <c r="AH190" s="243"/>
      <c r="AI190" s="243"/>
      <c r="AJ190" s="243"/>
      <c r="AK190" s="243"/>
      <c r="AL190" s="243"/>
      <c r="AM190" s="243"/>
      <c r="AN190" s="243"/>
      <c r="AO190" s="243"/>
      <c r="AP190" s="243"/>
      <c r="AQ190" s="243"/>
      <c r="AR190" s="243"/>
      <c r="AS190" s="243"/>
      <c r="AT190" s="243"/>
      <c r="AU190" s="244"/>
      <c r="AV190" s="244"/>
      <c r="AW190" s="244"/>
      <c r="AX190" s="243"/>
      <c r="AY190" s="243"/>
      <c r="AZ190" s="243"/>
    </row>
    <row r="191" spans="1:52">
      <c r="A191" s="8" t="str">
        <f>A190</f>
        <v>Type 8</v>
      </c>
      <c r="B191" s="7">
        <f>B190+1</f>
        <v>2020</v>
      </c>
      <c r="C191" s="7" t="str">
        <f t="shared" si="51"/>
        <v>Annual</v>
      </c>
      <c r="D191" s="7">
        <f t="shared" si="51"/>
        <v>0</v>
      </c>
      <c r="E191" s="7">
        <f>E190</f>
        <v>0</v>
      </c>
      <c r="F191" s="14">
        <f>$N$87</f>
        <v>1.4545456510151461E-2</v>
      </c>
      <c r="H191" s="9"/>
      <c r="I191" s="9"/>
      <c r="J191" s="9">
        <f ca="1">$D$87/$D$31</f>
        <v>0</v>
      </c>
      <c r="K191" s="9">
        <f ca="1">J191-R191</f>
        <v>0</v>
      </c>
      <c r="L191" s="9">
        <f ca="1">K191-S191</f>
        <v>0</v>
      </c>
      <c r="M191" s="9">
        <f ca="1">L191-T191</f>
        <v>0</v>
      </c>
      <c r="N191" s="9"/>
      <c r="O191" s="9"/>
      <c r="P191" s="9"/>
      <c r="Q191" s="9">
        <f ca="1">IF(OR($C191="Annual",$D191=$E191),IF(AND($D191=$E191,Q$111=$B191+$D191),$J191,IF(AND(Q$111&gt;$B191+$D191,Q$111&lt;=$B191+$E191), $J191/($E191-$D191),0)), IF(OR(Q$111=$B191+$D191,Q$111=$B191+$E191),$J191/(($E191-$D191)*2),IF(AND(Q$111&gt;$B191+$D191,Q$111&lt;$B191+$E191),$J191/($E191-$D191),0)))</f>
        <v>0</v>
      </c>
      <c r="R191" s="9">
        <f>IF(OR($C191="Annual",$D191=$E191),IF(AND($D191=$E191,R$111=$B191+$D191),$J191,IF(AND(R$111&gt;$B191+$D191,R$111&lt;=$B191+$E191), $J191/($E191-$D191),0)), IF(OR(R$111=$B191+$D191,R$111=$B191+$E191),$J191/(($E191-$D191)*2),IF(AND(R$111&gt;$B191+$D191,R$111&lt;$B191+$E191),$J191/($E191-$D191),0)))</f>
        <v>0</v>
      </c>
      <c r="S191" s="9">
        <f>IF(OR($C191="Annual",$D191=$E191),IF(AND($D191=$E191,S$111=$B191+$D191),$J191,IF(AND(S$111&gt;$B191+$D191,S$111&lt;=$B191+$E191), $J191/($E191-$D191),0)), IF(OR(S$111=$B191+$D191,S$111=$B191+$E191),$J191/(($E191-$D191)*2),IF(AND(S$111&gt;$B191+$D191,S$111&lt;$B191+$E191),$J191/($E191-$D191),0)))</f>
        <v>0</v>
      </c>
      <c r="T191" s="9">
        <f>IF(OR($C191="Annual",$D191=$E191),IF(AND($D191=$E191,T$111=$B191+$D191),$J191,IF(AND(T$111&gt;$B191+$D191,T$111&lt;=$B191+$E191), $J191/($E191-$D191),0)), IF(OR(T$111=$B191+$D191,T$111=$B191+$E191),$J191/(($E191-$D191)*2),IF(AND(T$111&gt;$B191+$D191,T$111&lt;$B191+$E191),$J191/($E191-$D191),0)))</f>
        <v>0</v>
      </c>
      <c r="U191" s="9"/>
      <c r="V191" s="9"/>
      <c r="W191" s="9"/>
      <c r="X191" s="9">
        <f t="shared" si="50"/>
        <v>0</v>
      </c>
      <c r="Y191" s="9">
        <f t="shared" ca="1" si="50"/>
        <v>0</v>
      </c>
      <c r="Z191" s="9">
        <f t="shared" ca="1" si="50"/>
        <v>0</v>
      </c>
      <c r="AA191" s="9">
        <f t="shared" ca="1" si="50"/>
        <v>0</v>
      </c>
      <c r="AC191" s="243"/>
      <c r="AD191" s="243"/>
      <c r="AE191" s="148"/>
      <c r="AF191" s="243"/>
      <c r="AG191" s="243"/>
      <c r="AH191" s="243"/>
      <c r="AI191" s="243"/>
      <c r="AJ191" s="243"/>
      <c r="AK191" s="243"/>
      <c r="AL191" s="243"/>
      <c r="AM191" s="243"/>
      <c r="AN191" s="243"/>
      <c r="AO191" s="243"/>
      <c r="AP191" s="243"/>
      <c r="AQ191" s="243"/>
      <c r="AR191" s="243"/>
      <c r="AS191" s="243"/>
      <c r="AT191" s="243"/>
      <c r="AU191" s="244"/>
      <c r="AV191" s="244"/>
      <c r="AW191" s="244"/>
      <c r="AX191" s="243"/>
      <c r="AY191" s="243"/>
      <c r="AZ191" s="243"/>
    </row>
    <row r="192" spans="1:52">
      <c r="A192" s="8" t="str">
        <f>A191</f>
        <v>Type 8</v>
      </c>
      <c r="B192" s="7">
        <f>B191+1</f>
        <v>2021</v>
      </c>
      <c r="C192" s="7" t="str">
        <f t="shared" si="51"/>
        <v>Annual</v>
      </c>
      <c r="D192" s="7">
        <f t="shared" si="51"/>
        <v>0</v>
      </c>
      <c r="E192" s="7">
        <f>E191</f>
        <v>0</v>
      </c>
      <c r="F192" s="14">
        <f>$O$87</f>
        <v>0</v>
      </c>
      <c r="H192" s="9"/>
      <c r="I192" s="9"/>
      <c r="J192" s="9"/>
      <c r="K192" s="9">
        <f ca="1">$E$87/$E$31</f>
        <v>0</v>
      </c>
      <c r="L192" s="9">
        <f ca="1">K192-S192</f>
        <v>0</v>
      </c>
      <c r="M192" s="9">
        <f ca="1">L192-T192</f>
        <v>0</v>
      </c>
      <c r="N192" s="9"/>
      <c r="O192" s="9"/>
      <c r="P192" s="9"/>
      <c r="Q192" s="9"/>
      <c r="R192" s="9">
        <f ca="1">IF(OR($C192="Annual",$D192=$E192),IF(AND($D192=$E192,R$111=$B192+$D192),$K192,IF(AND(R$111&gt;$B192+$D192,R$111&lt;=$B192+$E192), $K192/($E192-$D192),0)), IF(OR(R$111=$B192+$D192,R$111=$B192+$E192),$K192/(($E192-$D192)*2),IF(AND(R$111&gt;$B192+$D192,R$111&lt;$B192+$E192),$K192/($E192-$D192),0)))</f>
        <v>0</v>
      </c>
      <c r="S192" s="9">
        <f>IF(OR($C192="Annual",$D192=$E192),IF(AND($D192=$E192,S$111=$B192+$D192),$K192,IF(AND(S$111&gt;$B192+$D192,S$111&lt;=$B192+$E192), $K192/($E192-$D192),0)), IF(OR(S$111=$B192+$D192,S$111=$B192+$E192),$K192/(($E192-$D192)*2),IF(AND(S$111&gt;$B192+$D192,S$111&lt;$B192+$E192),$K192/($E192-$D192),0)))</f>
        <v>0</v>
      </c>
      <c r="T192" s="9">
        <f>IF(OR($C192="Annual",$D192=$E192),IF(AND($D192=$E192,T$111=$B192+$D192),$K192,IF(AND(T$111&gt;$B192+$D192,T$111&lt;=$B192+$E192), $K192/($E192-$D192),0)), IF(OR(T$111=$B192+$D192,T$111=$B192+$E192),$K192/(($E192-$D192)*2),IF(AND(T$111&gt;$B192+$D192,T$111&lt;$B192+$E192),$K192/($E192-$D192),0)))</f>
        <v>0</v>
      </c>
      <c r="U192" s="9"/>
      <c r="V192" s="9"/>
      <c r="W192" s="9"/>
      <c r="X192" s="9"/>
      <c r="Y192" s="9">
        <f t="shared" si="50"/>
        <v>0</v>
      </c>
      <c r="Z192" s="9">
        <f t="shared" ca="1" si="50"/>
        <v>0</v>
      </c>
      <c r="AA192" s="9">
        <f t="shared" ca="1" si="50"/>
        <v>0</v>
      </c>
      <c r="AC192" s="243"/>
      <c r="AD192" s="243"/>
      <c r="AE192" s="148"/>
      <c r="AF192" s="243"/>
      <c r="AG192" s="243"/>
      <c r="AH192" s="243"/>
      <c r="AI192" s="243"/>
      <c r="AJ192" s="243"/>
      <c r="AK192" s="243"/>
      <c r="AL192" s="243"/>
      <c r="AM192" s="243"/>
      <c r="AN192" s="243"/>
      <c r="AO192" s="243"/>
      <c r="AP192" s="243"/>
      <c r="AQ192" s="243"/>
      <c r="AR192" s="243"/>
      <c r="AS192" s="243"/>
      <c r="AT192" s="243"/>
      <c r="AU192" s="244"/>
      <c r="AV192" s="244"/>
      <c r="AW192" s="244"/>
      <c r="AX192" s="243"/>
      <c r="AY192" s="243"/>
      <c r="AZ192" s="243"/>
    </row>
    <row r="193" spans="1:52">
      <c r="A193" s="8" t="str">
        <f>A192</f>
        <v>Type 8</v>
      </c>
      <c r="B193" s="7">
        <f>B192+1</f>
        <v>2022</v>
      </c>
      <c r="C193" s="7" t="str">
        <f t="shared" si="51"/>
        <v>Annual</v>
      </c>
      <c r="D193" s="7">
        <f t="shared" si="51"/>
        <v>0</v>
      </c>
      <c r="E193" s="7">
        <f>E192</f>
        <v>0</v>
      </c>
      <c r="F193" s="14">
        <f>$P$87</f>
        <v>0</v>
      </c>
      <c r="H193" s="9"/>
      <c r="I193" s="9"/>
      <c r="J193" s="9"/>
      <c r="K193" s="9"/>
      <c r="L193" s="9">
        <f ca="1">$F$87/$F$31</f>
        <v>0</v>
      </c>
      <c r="M193" s="9">
        <f ca="1">L193-T193</f>
        <v>0</v>
      </c>
      <c r="N193" s="9"/>
      <c r="O193" s="9"/>
      <c r="P193" s="9"/>
      <c r="Q193" s="9"/>
      <c r="R193" s="9"/>
      <c r="S193" s="9">
        <f ca="1">IF(OR($C193="Annual",$D193=$E193),IF(AND($D193=$E193,S$111=$B193+$D193),$L193,IF(AND(S$111&gt;$B193+$D193,S$111&lt;=$B193+$E193), $L193/($E193-$D193),0)), IF(OR(S$111=$B193+$D193,S$111=$B193+$E193),$L193/(($E193-$D193)*2),IF(AND(S$111&gt;$B193+$D193,S$111&lt;$B193+$E193),$L193/($E193-$D193),0)))</f>
        <v>0</v>
      </c>
      <c r="T193" s="9">
        <f>IF(OR($C193="Annual",$D193=$E193),IF(AND($D193=$E193,T$111=$B193+$D193),$L193,IF(AND(T$111&gt;$B193+$D193,T$111&lt;=$B193+$E193), $L193/($E193-$D193),0)), IF(OR(T$111=$B193+$D193,T$111=$B193+$E193),$L193/(($E193-$D193)*2),IF(AND(T$111&gt;$B193+$D193,T$111&lt;$B193+$E193),$L193/($E193-$D193),0)))</f>
        <v>0</v>
      </c>
      <c r="U193" s="9"/>
      <c r="V193" s="9"/>
      <c r="W193" s="9"/>
      <c r="X193" s="9"/>
      <c r="Y193" s="9"/>
      <c r="Z193" s="9">
        <f t="shared" si="50"/>
        <v>0</v>
      </c>
      <c r="AA193" s="9">
        <f t="shared" ca="1" si="50"/>
        <v>0</v>
      </c>
      <c r="AC193" s="243"/>
      <c r="AD193" s="243"/>
      <c r="AE193" s="148"/>
      <c r="AF193" s="243"/>
      <c r="AG193" s="243"/>
      <c r="AH193" s="243"/>
      <c r="AI193" s="243"/>
      <c r="AJ193" s="243"/>
      <c r="AK193" s="243"/>
      <c r="AL193" s="243"/>
      <c r="AM193" s="243"/>
      <c r="AN193" s="243"/>
      <c r="AO193" s="243"/>
      <c r="AP193" s="243"/>
      <c r="AQ193" s="243"/>
      <c r="AR193" s="243"/>
      <c r="AS193" s="243"/>
      <c r="AT193" s="243"/>
      <c r="AU193" s="244"/>
      <c r="AV193" s="244"/>
      <c r="AW193" s="244"/>
      <c r="AX193" s="243"/>
      <c r="AY193" s="243"/>
      <c r="AZ193" s="243"/>
    </row>
    <row r="194" spans="1:52">
      <c r="A194" s="8" t="str">
        <f>A193</f>
        <v>Type 8</v>
      </c>
      <c r="B194" s="7">
        <f>B193+1</f>
        <v>2023</v>
      </c>
      <c r="C194" s="7" t="str">
        <f t="shared" si="51"/>
        <v>Annual</v>
      </c>
      <c r="D194" s="7">
        <f t="shared" si="51"/>
        <v>0</v>
      </c>
      <c r="E194" s="7">
        <f>E193</f>
        <v>0</v>
      </c>
      <c r="F194" s="14">
        <f>$Q$87</f>
        <v>0</v>
      </c>
      <c r="H194" s="9"/>
      <c r="I194" s="9"/>
      <c r="J194" s="9"/>
      <c r="K194" s="9"/>
      <c r="L194" s="9"/>
      <c r="M194" s="9">
        <f ca="1">$G$87/$G$31</f>
        <v>0</v>
      </c>
      <c r="N194" s="9"/>
      <c r="O194" s="9"/>
      <c r="P194" s="9"/>
      <c r="Q194" s="9"/>
      <c r="R194" s="9"/>
      <c r="S194" s="9"/>
      <c r="T194" s="9">
        <f ca="1">IF(OR($C194="Annual",$D194=$E194),IF(AND($D194=$E194,T$111=$B194+$D194),$M194,IF(AND(T$111&gt;$B194+$D194,T$111&lt;=$B194+$E194), $M194/($E194-$D194),0)), IF(OR(T$111=$B194+$D194,T$111=$B194+$E194),$M194/(($E194-$D194)*2),IF(AND(T$111&gt;$B194+$D194,T$111&lt;$B194+$E194),$M194/($E194-$D194),0)))</f>
        <v>0</v>
      </c>
      <c r="U194" s="9"/>
      <c r="V194" s="9"/>
      <c r="W194" s="9"/>
      <c r="X194" s="9"/>
      <c r="Y194" s="9"/>
      <c r="Z194" s="9"/>
      <c r="AA194" s="9">
        <f t="shared" si="50"/>
        <v>0</v>
      </c>
      <c r="AC194" s="243"/>
      <c r="AD194" s="243"/>
      <c r="AE194" s="148"/>
      <c r="AF194" s="243"/>
      <c r="AG194" s="243"/>
      <c r="AH194" s="243"/>
      <c r="AI194" s="243"/>
      <c r="AJ194" s="243"/>
      <c r="AK194" s="243"/>
      <c r="AL194" s="243"/>
      <c r="AM194" s="243"/>
      <c r="AN194" s="243"/>
      <c r="AO194" s="243"/>
      <c r="AP194" s="243"/>
      <c r="AQ194" s="243"/>
      <c r="AR194" s="243"/>
      <c r="AS194" s="243"/>
      <c r="AT194" s="243"/>
      <c r="AU194" s="244"/>
      <c r="AV194" s="244"/>
      <c r="AW194" s="244"/>
      <c r="AX194" s="243"/>
      <c r="AY194" s="243"/>
      <c r="AZ194" s="243"/>
    </row>
    <row r="195" spans="1:52">
      <c r="A195" s="8"/>
      <c r="B195" s="7"/>
      <c r="C195" s="7"/>
      <c r="D195" s="7"/>
      <c r="E195" s="7"/>
      <c r="F195" s="15"/>
      <c r="H195" s="9"/>
      <c r="I195" s="9"/>
      <c r="J195" s="9"/>
      <c r="K195" s="9"/>
      <c r="L195" s="9"/>
      <c r="M195" s="9"/>
      <c r="N195" s="9"/>
      <c r="O195" s="278"/>
      <c r="P195" s="10"/>
      <c r="Q195" s="10"/>
      <c r="R195" s="10"/>
      <c r="S195" s="10"/>
      <c r="T195" s="10"/>
      <c r="U195" s="9"/>
      <c r="V195" s="10"/>
      <c r="W195" s="10"/>
      <c r="X195" s="10"/>
      <c r="Y195" s="10"/>
      <c r="Z195" s="10"/>
      <c r="AA195" s="10"/>
      <c r="AC195" s="243"/>
      <c r="AD195" s="243"/>
      <c r="AE195" s="148"/>
      <c r="AF195" s="243"/>
      <c r="AG195" s="243"/>
      <c r="AH195" s="243"/>
      <c r="AI195" s="243"/>
      <c r="AJ195" s="243"/>
      <c r="AK195" s="243"/>
      <c r="AL195" s="243"/>
      <c r="AM195" s="243"/>
      <c r="AN195" s="243"/>
      <c r="AO195" s="243"/>
      <c r="AP195" s="243"/>
      <c r="AQ195" s="243"/>
      <c r="AR195" s="243"/>
      <c r="AS195" s="243"/>
      <c r="AT195" s="243"/>
      <c r="AU195" s="244"/>
      <c r="AV195" s="244"/>
      <c r="AW195" s="244"/>
      <c r="AX195" s="243"/>
      <c r="AY195" s="243"/>
      <c r="AZ195" s="243"/>
    </row>
    <row r="196" spans="1:52">
      <c r="A196" s="8" t="str">
        <f>'Input 4 - Forecast'!A69</f>
        <v>Type 9</v>
      </c>
      <c r="B196" s="7">
        <f>B119</f>
        <v>2018</v>
      </c>
      <c r="C196" s="7" t="str">
        <f>$I88</f>
        <v>Annual</v>
      </c>
      <c r="D196" s="7">
        <f>$J88</f>
        <v>0</v>
      </c>
      <c r="E196" s="7">
        <f>$K88</f>
        <v>0</v>
      </c>
      <c r="F196" s="14">
        <f>$L$88</f>
        <v>0</v>
      </c>
      <c r="H196" s="9">
        <f>$B$88/$B$31</f>
        <v>0</v>
      </c>
      <c r="I196" s="9">
        <f>H196-P196</f>
        <v>0</v>
      </c>
      <c r="J196" s="9">
        <f>I196-Q196</f>
        <v>0</v>
      </c>
      <c r="K196" s="9">
        <f>J196-R196</f>
        <v>0</v>
      </c>
      <c r="L196" s="9">
        <f>K196-S196</f>
        <v>0</v>
      </c>
      <c r="M196" s="9">
        <f>L196-T196</f>
        <v>0</v>
      </c>
      <c r="N196" s="9"/>
      <c r="O196" s="9">
        <f t="shared" ref="O196:T196" si="52">IF(OR($C196="Annual",$D196=$E196),IF(AND($D196=$E196,O$111=$B196+$D196),$H196,IF(AND(O$111&gt;$B196+$D196,O$111&lt;=$B196+$E196), $H196/($E196-$D196),0)), IF(OR(O$111=$B196+$D196,O$111=$B196+$E196),$H196/(($E196-$D196)*2),IF(AND(O$111&gt;$B196+$D196,O$111&lt;$B196+$E196),$H196/($E196-$D196),0)))</f>
        <v>0</v>
      </c>
      <c r="P196" s="9">
        <f t="shared" si="52"/>
        <v>0</v>
      </c>
      <c r="Q196" s="9">
        <f t="shared" si="52"/>
        <v>0</v>
      </c>
      <c r="R196" s="9">
        <f t="shared" si="52"/>
        <v>0</v>
      </c>
      <c r="S196" s="9">
        <f t="shared" si="52"/>
        <v>0</v>
      </c>
      <c r="T196" s="9">
        <f t="shared" si="52"/>
        <v>0</v>
      </c>
      <c r="U196" s="9"/>
      <c r="V196" s="9">
        <f>IF($C196="annual",IF(V$111=$B196,0,G196*$F196),IF(V$111-$B196=0,0,IF((V$111-$B196)&lt;$E196,AVERAGE(G196,H196)*$F196,IF((V$111-$B196)=$E196,G196*$F196/2,0))))</f>
        <v>0</v>
      </c>
      <c r="W196" s="9">
        <f t="shared" ref="W196:AA201" si="53">IF($C196="annual",IF(W$111=$B196,0,H196*$F196),IF(W$111-$B196=0,0,IF((W$111-$B196)&lt;$E196,AVERAGE(H196,I196)*$F196,IF((W$111-$B196)=$E196,H196*$F196/2,0))))</f>
        <v>0</v>
      </c>
      <c r="X196" s="9">
        <f t="shared" si="53"/>
        <v>0</v>
      </c>
      <c r="Y196" s="9">
        <f t="shared" si="53"/>
        <v>0</v>
      </c>
      <c r="Z196" s="9">
        <f t="shared" si="53"/>
        <v>0</v>
      </c>
      <c r="AA196" s="9">
        <f t="shared" si="53"/>
        <v>0</v>
      </c>
      <c r="AC196" s="243"/>
      <c r="AD196" s="243"/>
      <c r="AE196" s="148"/>
      <c r="AF196" s="243"/>
      <c r="AG196" s="243"/>
      <c r="AH196" s="243"/>
      <c r="AI196" s="243"/>
      <c r="AJ196" s="243"/>
      <c r="AK196" s="243"/>
      <c r="AL196" s="243"/>
      <c r="AM196" s="243"/>
      <c r="AN196" s="243"/>
      <c r="AO196" s="243"/>
      <c r="AP196" s="243"/>
      <c r="AQ196" s="243"/>
      <c r="AR196" s="243"/>
      <c r="AS196" s="243"/>
      <c r="AT196" s="243"/>
      <c r="AU196" s="244"/>
      <c r="AV196" s="244"/>
      <c r="AW196" s="244"/>
      <c r="AX196" s="243"/>
      <c r="AY196" s="243"/>
      <c r="AZ196" s="243"/>
    </row>
    <row r="197" spans="1:52">
      <c r="A197" s="8" t="str">
        <f>A196</f>
        <v>Type 9</v>
      </c>
      <c r="B197" s="7">
        <f>B196+1</f>
        <v>2019</v>
      </c>
      <c r="C197" s="7" t="str">
        <f t="shared" ref="C197:D201" si="54">C196</f>
        <v>Annual</v>
      </c>
      <c r="D197" s="7">
        <f t="shared" si="54"/>
        <v>0</v>
      </c>
      <c r="E197" s="7">
        <f>E196</f>
        <v>0</v>
      </c>
      <c r="F197" s="14">
        <f>$M$88</f>
        <v>7.1007506480822574E-3</v>
      </c>
      <c r="H197" s="9"/>
      <c r="I197" s="9">
        <f ca="1">$C$88/$C$31</f>
        <v>0</v>
      </c>
      <c r="J197" s="9">
        <f ca="1">I197-Q197</f>
        <v>0</v>
      </c>
      <c r="K197" s="9">
        <f ca="1">J197-R197</f>
        <v>0</v>
      </c>
      <c r="L197" s="9">
        <f ca="1">K197-S197</f>
        <v>0</v>
      </c>
      <c r="M197" s="9">
        <f ca="1">L197-T197</f>
        <v>0</v>
      </c>
      <c r="N197" s="9"/>
      <c r="O197" s="9"/>
      <c r="P197" s="9">
        <f ca="1">IF(OR($C197="Annual",$D197=$E197),IF(AND($D197=$E197,P$111=$B197+$D197),$I197,IF(AND(P$111&gt;$B197+$D197,P$111&lt;=$B197+$E197), $I197/($E197-$D197),0)), IF(OR(P$111=$B197+$D197,P$111=$B197+$E197),$I197/(($E197-$D197)*2),IF(AND(P$111&gt;$B197+$D197,P$111&lt;$B197+$E197),$I197/($E197-$D197),0)))</f>
        <v>0</v>
      </c>
      <c r="Q197" s="9">
        <f>IF(OR($C197="Annual",$D197=$E197),IF(AND($D197=$E197,Q$111=$B197+$D197),$I197,IF(AND(Q$111&gt;$B197+$D197,Q$111&lt;=$B197+$E197), $I197/($E197-$D197),0)), IF(OR(Q$111=$B197+$D197,Q$111=$B197+$E197),$I197/(($E197-$D197)*2),IF(AND(Q$111&gt;$B197+$D197,Q$111&lt;$B197+$E197),$I197/($E197-$D197),0)))</f>
        <v>0</v>
      </c>
      <c r="R197" s="9">
        <f>IF(OR($C197="Annual",$D197=$E197),IF(AND($D197=$E197,R$111=$B197+$D197),$I197,IF(AND(R$111&gt;$B197+$D197,R$111&lt;=$B197+$E197), $I197/($E197-$D197),0)), IF(OR(R$111=$B197+$D197,R$111=$B197+$E197),$I197/(($E197-$D197)*2),IF(AND(R$111&gt;$B197+$D197,R$111&lt;$B197+$E197),$I197/($E197-$D197),0)))</f>
        <v>0</v>
      </c>
      <c r="S197" s="9">
        <f>IF(OR($C197="Annual",$D197=$E197),IF(AND($D197=$E197,S$111=$B197+$D197),$I197,IF(AND(S$111&gt;$B197+$D197,S$111&lt;=$B197+$E197), $I197/($E197-$D197),0)), IF(OR(S$111=$B197+$D197,S$111=$B197+$E197),$I197/(($E197-$D197)*2),IF(AND(S$111&gt;$B197+$D197,S$111&lt;$B197+$E197),$I197/($E197-$D197),0)))</f>
        <v>0</v>
      </c>
      <c r="T197" s="9">
        <f>IF(OR($C197="Annual",$D197=$E197),IF(AND($D197=$E197,T$111=$B197+$D197),$I197,IF(AND(T$111&gt;$B197+$D197,T$111&lt;=$B197+$E197), $I197/($E197-$D197),0)), IF(OR(T$111=$B197+$D197,T$111=$B197+$E197),$I197/(($E197-$D197)*2),IF(AND(T$111&gt;$B197+$D197,T$111&lt;$B197+$E197),$I197/($E197-$D197),0)))</f>
        <v>0</v>
      </c>
      <c r="U197" s="9"/>
      <c r="V197" s="9"/>
      <c r="W197" s="9">
        <f t="shared" si="53"/>
        <v>0</v>
      </c>
      <c r="X197" s="9">
        <f t="shared" ca="1" si="53"/>
        <v>0</v>
      </c>
      <c r="Y197" s="9">
        <f t="shared" ca="1" si="53"/>
        <v>0</v>
      </c>
      <c r="Z197" s="9">
        <f t="shared" ca="1" si="53"/>
        <v>0</v>
      </c>
      <c r="AA197" s="9">
        <f t="shared" ca="1" si="53"/>
        <v>0</v>
      </c>
      <c r="AC197" s="243"/>
      <c r="AD197" s="243"/>
      <c r="AE197" s="148"/>
      <c r="AF197" s="243"/>
      <c r="AG197" s="243"/>
      <c r="AH197" s="243"/>
      <c r="AI197" s="243"/>
      <c r="AJ197" s="243"/>
      <c r="AK197" s="243"/>
      <c r="AL197" s="243"/>
      <c r="AM197" s="243"/>
      <c r="AN197" s="243"/>
      <c r="AO197" s="243"/>
      <c r="AP197" s="243"/>
      <c r="AQ197" s="243"/>
      <c r="AR197" s="243"/>
      <c r="AS197" s="243"/>
      <c r="AT197" s="243"/>
      <c r="AU197" s="244"/>
      <c r="AV197" s="244"/>
      <c r="AW197" s="244"/>
      <c r="AX197" s="243"/>
      <c r="AY197" s="243"/>
      <c r="AZ197" s="243"/>
    </row>
    <row r="198" spans="1:52">
      <c r="A198" s="8" t="str">
        <f>A197</f>
        <v>Type 9</v>
      </c>
      <c r="B198" s="7">
        <f>B197+1</f>
        <v>2020</v>
      </c>
      <c r="C198" s="7" t="str">
        <f t="shared" si="54"/>
        <v>Annual</v>
      </c>
      <c r="D198" s="7">
        <f t="shared" si="54"/>
        <v>0</v>
      </c>
      <c r="E198" s="7">
        <f>E197</f>
        <v>0</v>
      </c>
      <c r="F198" s="14">
        <f>$N$88</f>
        <v>1.4545456510151461E-2</v>
      </c>
      <c r="H198" s="9"/>
      <c r="I198" s="9"/>
      <c r="J198" s="9">
        <f ca="1">$D$88/$D$31</f>
        <v>0</v>
      </c>
      <c r="K198" s="9">
        <f ca="1">J198-R198</f>
        <v>0</v>
      </c>
      <c r="L198" s="9">
        <f ca="1">K198-S198</f>
        <v>0</v>
      </c>
      <c r="M198" s="9">
        <f ca="1">L198-T198</f>
        <v>0</v>
      </c>
      <c r="N198" s="9"/>
      <c r="O198" s="9"/>
      <c r="P198" s="9"/>
      <c r="Q198" s="9">
        <f ca="1">IF(OR($C198="Annual",$D198=$E198),IF(AND($D198=$E198,Q$111=$B198+$D198),$J198,IF(AND(Q$111&gt;$B198+$D198,Q$111&lt;=$B198+$E198), $J198/($E198-$D198),0)), IF(OR(Q$111=$B198+$D198,Q$111=$B198+$E198),$J198/(($E198-$D198)*2),IF(AND(Q$111&gt;$B198+$D198,Q$111&lt;$B198+$E198),$J198/($E198-$D198),0)))</f>
        <v>0</v>
      </c>
      <c r="R198" s="9">
        <f>IF(OR($C198="Annual",$D198=$E198),IF(AND($D198=$E198,R$111=$B198+$D198),$J198,IF(AND(R$111&gt;$B198+$D198,R$111&lt;=$B198+$E198), $J198/($E198-$D198),0)), IF(OR(R$111=$B198+$D198,R$111=$B198+$E198),$J198/(($E198-$D198)*2),IF(AND(R$111&gt;$B198+$D198,R$111&lt;$B198+$E198),$J198/($E198-$D198),0)))</f>
        <v>0</v>
      </c>
      <c r="S198" s="9">
        <f>IF(OR($C198="Annual",$D198=$E198),IF(AND($D198=$E198,S$111=$B198+$D198),$J198,IF(AND(S$111&gt;$B198+$D198,S$111&lt;=$B198+$E198), $J198/($E198-$D198),0)), IF(OR(S$111=$B198+$D198,S$111=$B198+$E198),$J198/(($E198-$D198)*2),IF(AND(S$111&gt;$B198+$D198,S$111&lt;$B198+$E198),$J198/($E198-$D198),0)))</f>
        <v>0</v>
      </c>
      <c r="T198" s="9">
        <f>IF(OR($C198="Annual",$D198=$E198),IF(AND($D198=$E198,T$111=$B198+$D198),$J198,IF(AND(T$111&gt;$B198+$D198,T$111&lt;=$B198+$E198), $J198/($E198-$D198),0)), IF(OR(T$111=$B198+$D198,T$111=$B198+$E198),$J198/(($E198-$D198)*2),IF(AND(T$111&gt;$B198+$D198,T$111&lt;$B198+$E198),$J198/($E198-$D198),0)))</f>
        <v>0</v>
      </c>
      <c r="U198" s="9"/>
      <c r="V198" s="9"/>
      <c r="W198" s="9"/>
      <c r="X198" s="9">
        <f t="shared" si="53"/>
        <v>0</v>
      </c>
      <c r="Y198" s="9">
        <f t="shared" ca="1" si="53"/>
        <v>0</v>
      </c>
      <c r="Z198" s="9">
        <f t="shared" ca="1" si="53"/>
        <v>0</v>
      </c>
      <c r="AA198" s="9">
        <f t="shared" ca="1" si="53"/>
        <v>0</v>
      </c>
      <c r="AC198" s="243"/>
      <c r="AD198" s="243"/>
      <c r="AE198" s="148"/>
      <c r="AF198" s="243"/>
      <c r="AG198" s="243"/>
      <c r="AH198" s="243"/>
      <c r="AI198" s="243"/>
      <c r="AJ198" s="243"/>
      <c r="AK198" s="243"/>
      <c r="AL198" s="243"/>
      <c r="AM198" s="243"/>
      <c r="AN198" s="243"/>
      <c r="AO198" s="243"/>
      <c r="AP198" s="243"/>
      <c r="AQ198" s="243"/>
      <c r="AR198" s="243"/>
      <c r="AS198" s="243"/>
      <c r="AT198" s="243"/>
      <c r="AU198" s="244"/>
      <c r="AV198" s="244"/>
      <c r="AW198" s="244"/>
      <c r="AX198" s="243"/>
      <c r="AY198" s="243"/>
      <c r="AZ198" s="243"/>
    </row>
    <row r="199" spans="1:52">
      <c r="A199" s="8" t="str">
        <f>A198</f>
        <v>Type 9</v>
      </c>
      <c r="B199" s="7">
        <f>B198+1</f>
        <v>2021</v>
      </c>
      <c r="C199" s="7" t="str">
        <f t="shared" si="54"/>
        <v>Annual</v>
      </c>
      <c r="D199" s="7">
        <f t="shared" si="54"/>
        <v>0</v>
      </c>
      <c r="E199" s="7">
        <f>E198</f>
        <v>0</v>
      </c>
      <c r="F199" s="14">
        <f>$O$88</f>
        <v>0</v>
      </c>
      <c r="H199" s="9"/>
      <c r="I199" s="9"/>
      <c r="J199" s="9"/>
      <c r="K199" s="9">
        <f ca="1">$E$88/$E$31</f>
        <v>0</v>
      </c>
      <c r="L199" s="9">
        <f ca="1">K199-S199</f>
        <v>0</v>
      </c>
      <c r="M199" s="9">
        <f ca="1">L199-T199</f>
        <v>0</v>
      </c>
      <c r="N199" s="9"/>
      <c r="O199" s="9"/>
      <c r="P199" s="9"/>
      <c r="Q199" s="9"/>
      <c r="R199" s="9">
        <f ca="1">IF(OR($C199="Annual",$D199=$E199),IF(AND($D199=$E199,R$111=$B199+$D199),$K199,IF(AND(R$111&gt;$B199+$D199,R$111&lt;=$B199+$E199), $K199/($E199-$D199),0)), IF(OR(R$111=$B199+$D199,R$111=$B199+$E199),$K199/(($E199-$D199)*2),IF(AND(R$111&gt;$B199+$D199,R$111&lt;$B199+$E199),$K199/($E199-$D199),0)))</f>
        <v>0</v>
      </c>
      <c r="S199" s="9">
        <f>IF(OR($C199="Annual",$D199=$E199),IF(AND($D199=$E199,S$111=$B199+$D199),$K199,IF(AND(S$111&gt;$B199+$D199,S$111&lt;=$B199+$E199), $K199/($E199-$D199),0)), IF(OR(S$111=$B199+$D199,S$111=$B199+$E199),$K199/(($E199-$D199)*2),IF(AND(S$111&gt;$B199+$D199,S$111&lt;$B199+$E199),$K199/($E199-$D199),0)))</f>
        <v>0</v>
      </c>
      <c r="T199" s="9">
        <f>IF(OR($C199="Annual",$D199=$E199),IF(AND($D199=$E199,T$111=$B199+$D199),$K199,IF(AND(T$111&gt;$B199+$D199,T$111&lt;=$B199+$E199), $K199/($E199-$D199),0)), IF(OR(T$111=$B199+$D199,T$111=$B199+$E199),$K199/(($E199-$D199)*2),IF(AND(T$111&gt;$B199+$D199,T$111&lt;$B199+$E199),$K199/($E199-$D199),0)))</f>
        <v>0</v>
      </c>
      <c r="U199" s="9"/>
      <c r="V199" s="9"/>
      <c r="W199" s="9"/>
      <c r="X199" s="9"/>
      <c r="Y199" s="9">
        <f t="shared" si="53"/>
        <v>0</v>
      </c>
      <c r="Z199" s="9">
        <f t="shared" ca="1" si="53"/>
        <v>0</v>
      </c>
      <c r="AA199" s="9">
        <f t="shared" ca="1" si="53"/>
        <v>0</v>
      </c>
      <c r="AC199" s="243"/>
      <c r="AD199" s="243"/>
      <c r="AE199" s="148"/>
      <c r="AF199" s="243"/>
      <c r="AG199" s="243"/>
      <c r="AH199" s="243"/>
      <c r="AI199" s="243"/>
      <c r="AJ199" s="243"/>
      <c r="AK199" s="243"/>
      <c r="AL199" s="243"/>
      <c r="AM199" s="243"/>
      <c r="AN199" s="243"/>
      <c r="AO199" s="243"/>
      <c r="AP199" s="243"/>
      <c r="AQ199" s="243"/>
      <c r="AR199" s="243"/>
      <c r="AS199" s="243"/>
      <c r="AT199" s="243"/>
      <c r="AU199" s="244"/>
      <c r="AV199" s="244"/>
      <c r="AW199" s="244"/>
      <c r="AX199" s="243"/>
      <c r="AY199" s="243"/>
      <c r="AZ199" s="243"/>
    </row>
    <row r="200" spans="1:52">
      <c r="A200" s="8" t="str">
        <f>A199</f>
        <v>Type 9</v>
      </c>
      <c r="B200" s="7">
        <f>B199+1</f>
        <v>2022</v>
      </c>
      <c r="C200" s="7" t="str">
        <f t="shared" si="54"/>
        <v>Annual</v>
      </c>
      <c r="D200" s="7">
        <f t="shared" si="54"/>
        <v>0</v>
      </c>
      <c r="E200" s="7">
        <f>E199</f>
        <v>0</v>
      </c>
      <c r="F200" s="14">
        <f>$P$88</f>
        <v>0</v>
      </c>
      <c r="H200" s="9"/>
      <c r="I200" s="9"/>
      <c r="J200" s="9"/>
      <c r="K200" s="9"/>
      <c r="L200" s="9">
        <f ca="1">$F$88/$F$31</f>
        <v>0</v>
      </c>
      <c r="M200" s="9">
        <f ca="1">L200-T200</f>
        <v>0</v>
      </c>
      <c r="N200" s="9"/>
      <c r="O200" s="9"/>
      <c r="P200" s="9"/>
      <c r="Q200" s="9"/>
      <c r="R200" s="9"/>
      <c r="S200" s="9">
        <f ca="1">IF(OR($C200="Annual",$D200=$E200),IF(AND($D200=$E200,S$111=$B200+$D200),$L200,IF(AND(S$111&gt;$B200+$D200,S$111&lt;=$B200+$E200), $L200/($E200-$D200),0)), IF(OR(S$111=$B200+$D200,S$111=$B200+$E200),$L200/(($E200-$D200)*2),IF(AND(S$111&gt;$B200+$D200,S$111&lt;$B200+$E200),$L200/($E200-$D200),0)))</f>
        <v>0</v>
      </c>
      <c r="T200" s="9">
        <f>IF(OR($C200="Annual",$D200=$E200),IF(AND($D200=$E200,T$111=$B200+$D200),$L200,IF(AND(T$111&gt;$B200+$D200,T$111&lt;=$B200+$E200), $L200/($E200-$D200),0)), IF(OR(T$111=$B200+$D200,T$111=$B200+$E200),$L200/(($E200-$D200)*2),IF(AND(T$111&gt;$B200+$D200,T$111&lt;$B200+$E200),$L200/($E200-$D200),0)))</f>
        <v>0</v>
      </c>
      <c r="U200" s="9"/>
      <c r="V200" s="9"/>
      <c r="W200" s="9"/>
      <c r="X200" s="9"/>
      <c r="Y200" s="9"/>
      <c r="Z200" s="9">
        <f t="shared" si="53"/>
        <v>0</v>
      </c>
      <c r="AA200" s="9">
        <f t="shared" ca="1" si="53"/>
        <v>0</v>
      </c>
      <c r="AC200" s="243"/>
      <c r="AD200" s="243"/>
      <c r="AE200" s="148"/>
      <c r="AF200" s="243"/>
      <c r="AG200" s="243"/>
      <c r="AH200" s="243"/>
      <c r="AI200" s="243"/>
      <c r="AJ200" s="243"/>
      <c r="AK200" s="243"/>
      <c r="AL200" s="243"/>
      <c r="AM200" s="243"/>
      <c r="AN200" s="243"/>
      <c r="AO200" s="243"/>
      <c r="AP200" s="243"/>
      <c r="AQ200" s="243"/>
      <c r="AR200" s="243"/>
      <c r="AS200" s="243"/>
      <c r="AT200" s="243"/>
      <c r="AU200" s="244"/>
      <c r="AV200" s="244"/>
      <c r="AW200" s="244"/>
      <c r="AX200" s="243"/>
      <c r="AY200" s="243"/>
      <c r="AZ200" s="243"/>
    </row>
    <row r="201" spans="1:52">
      <c r="A201" s="8" t="str">
        <f>A200</f>
        <v>Type 9</v>
      </c>
      <c r="B201" s="7">
        <f>B200+1</f>
        <v>2023</v>
      </c>
      <c r="C201" s="7" t="str">
        <f t="shared" si="54"/>
        <v>Annual</v>
      </c>
      <c r="D201" s="7">
        <f t="shared" si="54"/>
        <v>0</v>
      </c>
      <c r="E201" s="7">
        <f>E200</f>
        <v>0</v>
      </c>
      <c r="F201" s="14">
        <f>$Q$88</f>
        <v>0</v>
      </c>
      <c r="H201" s="9"/>
      <c r="I201" s="9"/>
      <c r="J201" s="9"/>
      <c r="K201" s="9"/>
      <c r="L201" s="9"/>
      <c r="M201" s="9">
        <f ca="1">$G$88/$G$31</f>
        <v>0</v>
      </c>
      <c r="N201" s="9"/>
      <c r="O201" s="9"/>
      <c r="P201" s="9"/>
      <c r="Q201" s="9"/>
      <c r="R201" s="9"/>
      <c r="S201" s="9"/>
      <c r="T201" s="9">
        <f ca="1">IF(OR($C201="Annual",$D201=$E201),IF(AND($D201=$E201,T$111=$B201+$D201),$M201,IF(AND(T$111&gt;$B201+$D201,T$111&lt;=$B201+$E201), $M201/($E201-$D201),0)), IF(OR(T$111=$B201+$D201,T$111=$B201+$E201),$M201/(($E201-$D201)*2),IF(AND(T$111&gt;$B201+$D201,T$111&lt;$B201+$E201),$M201/($E201-$D201),0)))</f>
        <v>0</v>
      </c>
      <c r="U201" s="9"/>
      <c r="V201" s="9"/>
      <c r="W201" s="9"/>
      <c r="X201" s="9"/>
      <c r="Y201" s="9"/>
      <c r="Z201" s="9"/>
      <c r="AA201" s="9">
        <f t="shared" si="53"/>
        <v>0</v>
      </c>
      <c r="AC201" s="243"/>
      <c r="AD201" s="243"/>
      <c r="AE201" s="148"/>
      <c r="AF201" s="243"/>
      <c r="AG201" s="243"/>
      <c r="AH201" s="243"/>
      <c r="AI201" s="243"/>
      <c r="AJ201" s="243"/>
      <c r="AK201" s="243"/>
      <c r="AL201" s="243"/>
      <c r="AM201" s="243"/>
      <c r="AN201" s="243"/>
      <c r="AO201" s="243"/>
      <c r="AP201" s="243"/>
      <c r="AQ201" s="243"/>
      <c r="AR201" s="243"/>
      <c r="AS201" s="243"/>
      <c r="AT201" s="243"/>
      <c r="AU201" s="244"/>
      <c r="AV201" s="244"/>
      <c r="AW201" s="244"/>
      <c r="AX201" s="243"/>
      <c r="AY201" s="243"/>
      <c r="AZ201" s="243"/>
    </row>
    <row r="202" spans="1:52">
      <c r="A202" s="8"/>
      <c r="B202" s="7"/>
      <c r="C202" s="7"/>
      <c r="D202" s="7"/>
      <c r="E202" s="7"/>
      <c r="F202" s="15"/>
      <c r="H202" s="9"/>
      <c r="I202" s="9"/>
      <c r="J202" s="9"/>
      <c r="K202" s="9"/>
      <c r="L202" s="9"/>
      <c r="M202" s="9"/>
      <c r="N202" s="9"/>
      <c r="O202" s="278"/>
      <c r="P202" s="10"/>
      <c r="Q202" s="10"/>
      <c r="R202" s="10"/>
      <c r="S202" s="10"/>
      <c r="T202" s="10"/>
      <c r="U202" s="9"/>
      <c r="V202" s="10"/>
      <c r="W202" s="10"/>
      <c r="X202" s="10"/>
      <c r="Y202" s="10"/>
      <c r="Z202" s="10"/>
      <c r="AA202" s="10"/>
      <c r="AC202" s="243"/>
      <c r="AD202" s="243"/>
      <c r="AE202" s="148"/>
      <c r="AF202" s="243"/>
      <c r="AG202" s="243"/>
      <c r="AH202" s="243"/>
      <c r="AI202" s="243"/>
      <c r="AJ202" s="243"/>
      <c r="AK202" s="243"/>
      <c r="AL202" s="243"/>
      <c r="AM202" s="243"/>
      <c r="AN202" s="243"/>
      <c r="AO202" s="243"/>
      <c r="AP202" s="243"/>
      <c r="AQ202" s="243"/>
      <c r="AR202" s="243"/>
      <c r="AS202" s="243"/>
      <c r="AT202" s="243"/>
      <c r="AU202" s="244"/>
      <c r="AV202" s="244"/>
      <c r="AW202" s="244"/>
      <c r="AX202" s="243"/>
      <c r="AY202" s="243"/>
      <c r="AZ202" s="243"/>
    </row>
    <row r="203" spans="1:52" s="1150" customFormat="1">
      <c r="A203" s="1347" t="str">
        <f>'Input 4 - Forecast'!A70</f>
        <v>ZERO-COUPON BOND</v>
      </c>
      <c r="B203" s="1348">
        <f>B119</f>
        <v>2018</v>
      </c>
      <c r="C203" s="1348"/>
      <c r="D203" s="1348">
        <f>$J89</f>
        <v>0</v>
      </c>
      <c r="E203" s="1348">
        <f>$K89</f>
        <v>0</v>
      </c>
      <c r="F203" s="1349">
        <f>$L$89</f>
        <v>0</v>
      </c>
      <c r="H203" s="1350">
        <f>$B$89/$B$31</f>
        <v>0</v>
      </c>
      <c r="I203" s="1350">
        <f>H203-P203</f>
        <v>0</v>
      </c>
      <c r="J203" s="1350">
        <f>I203-Q203</f>
        <v>0</v>
      </c>
      <c r="K203" s="1350">
        <f>J203-R203</f>
        <v>0</v>
      </c>
      <c r="L203" s="1350">
        <f>K203-S203</f>
        <v>0</v>
      </c>
      <c r="M203" s="1350">
        <f>L203-T203</f>
        <v>0</v>
      </c>
      <c r="N203" s="1350"/>
      <c r="O203" s="1350">
        <f t="shared" ref="O203:T203" si="55">IF($D203=$E203,IF(O$111=$B203+$E203,$H203,0),0)</f>
        <v>0</v>
      </c>
      <c r="P203" s="1350">
        <f t="shared" si="55"/>
        <v>0</v>
      </c>
      <c r="Q203" s="1350">
        <f t="shared" si="55"/>
        <v>0</v>
      </c>
      <c r="R203" s="1350">
        <f t="shared" si="55"/>
        <v>0</v>
      </c>
      <c r="S203" s="1350">
        <f t="shared" si="55"/>
        <v>0</v>
      </c>
      <c r="T203" s="1350">
        <f t="shared" si="55"/>
        <v>0</v>
      </c>
      <c r="U203" s="1350"/>
      <c r="V203" s="1350">
        <f t="shared" ref="V203:AA203" si="56">IF(V$111-$B203=$D203,$H203*(((1+$F203)^$D203)-1),0)</f>
        <v>0</v>
      </c>
      <c r="W203" s="1350">
        <f t="shared" si="56"/>
        <v>0</v>
      </c>
      <c r="X203" s="1350">
        <f t="shared" si="56"/>
        <v>0</v>
      </c>
      <c r="Y203" s="1350">
        <f t="shared" si="56"/>
        <v>0</v>
      </c>
      <c r="Z203" s="1350">
        <f t="shared" si="56"/>
        <v>0</v>
      </c>
      <c r="AA203" s="1350">
        <f t="shared" si="56"/>
        <v>0</v>
      </c>
      <c r="AC203" s="1481"/>
      <c r="AD203" s="1481"/>
      <c r="AE203" s="1482"/>
      <c r="AF203" s="1481"/>
      <c r="AG203" s="1481"/>
      <c r="AH203" s="1481"/>
      <c r="AI203" s="1481"/>
      <c r="AJ203" s="1481"/>
      <c r="AK203" s="1481"/>
      <c r="AL203" s="1481"/>
      <c r="AM203" s="1481"/>
      <c r="AN203" s="1481"/>
      <c r="AO203" s="1481"/>
      <c r="AP203" s="1481"/>
      <c r="AQ203" s="1481"/>
      <c r="AR203" s="1481"/>
      <c r="AS203" s="1481"/>
      <c r="AT203" s="1481"/>
      <c r="AU203" s="1483"/>
      <c r="AV203" s="1483"/>
      <c r="AW203" s="1483"/>
      <c r="AX203" s="1481"/>
      <c r="AY203" s="1481"/>
      <c r="AZ203" s="1481"/>
    </row>
    <row r="204" spans="1:52" s="1150" customFormat="1">
      <c r="A204" s="1347" t="str">
        <f>A203</f>
        <v>ZERO-COUPON BOND</v>
      </c>
      <c r="B204" s="1348">
        <f>B203+1</f>
        <v>2019</v>
      </c>
      <c r="C204" s="1348"/>
      <c r="D204" s="1348">
        <f t="shared" ref="D204:E208" si="57">D203</f>
        <v>0</v>
      </c>
      <c r="E204" s="1348">
        <f t="shared" si="57"/>
        <v>0</v>
      </c>
      <c r="F204" s="1349">
        <f>$M$89</f>
        <v>7.1007506480822574E-3</v>
      </c>
      <c r="H204" s="1350"/>
      <c r="I204" s="1350">
        <f ca="1">$C$89/$C$31</f>
        <v>0</v>
      </c>
      <c r="J204" s="1350">
        <f ca="1">I204-Q204</f>
        <v>0</v>
      </c>
      <c r="K204" s="1350">
        <f ca="1">J204-R204</f>
        <v>0</v>
      </c>
      <c r="L204" s="1350">
        <f ca="1">K204-S204</f>
        <v>0</v>
      </c>
      <c r="M204" s="1350">
        <f ca="1">L204-T204</f>
        <v>0</v>
      </c>
      <c r="N204" s="1350"/>
      <c r="O204" s="1351"/>
      <c r="P204" s="1350">
        <f ca="1">IF($D204=$E204,IF(P$111=$B204+$E204,$I204,0),0)</f>
        <v>0</v>
      </c>
      <c r="Q204" s="1350">
        <f>IF($D204=$E204,IF(Q$111=$B204+$E204,$I204,0),0)</f>
        <v>0</v>
      </c>
      <c r="R204" s="1350">
        <f>IF($D204=$E204,IF(R$111=$B204+$E204,$I204,0),0)</f>
        <v>0</v>
      </c>
      <c r="S204" s="1350">
        <f>IF($D204=$E204,IF(S$111=$B204+$E204,$I204,0),0)</f>
        <v>0</v>
      </c>
      <c r="T204" s="1350">
        <f>IF($D204=$E204,IF(T$111=$B204+$E204,$I204,0),0)</f>
        <v>0</v>
      </c>
      <c r="U204" s="1350"/>
      <c r="V204" s="1350"/>
      <c r="W204" s="1350">
        <f ca="1">IF(W$111-$B204=$D204,$I204*(((1+$F204)^$D204)-1),0)</f>
        <v>0</v>
      </c>
      <c r="X204" s="1350">
        <f>IF(X$111-$B204=$D204,$I204*(((1+$F204)^$D204)-1),0)</f>
        <v>0</v>
      </c>
      <c r="Y204" s="1350">
        <f>IF(Y$111-$B204=$D204,$I204*(((1+$F204)^$D204)-1),0)</f>
        <v>0</v>
      </c>
      <c r="Z204" s="1350">
        <f>IF(Z$111-$B204=$D204,$I204*(((1+$F204)^$D204)-1),0)</f>
        <v>0</v>
      </c>
      <c r="AA204" s="1350">
        <f>IF(AA$111-$B204=$D204,$I204*(((1+$F204)^$D204)-1),0)</f>
        <v>0</v>
      </c>
      <c r="AC204" s="1481"/>
      <c r="AD204" s="1481"/>
      <c r="AE204" s="1482"/>
      <c r="AF204" s="1481"/>
      <c r="AG204" s="1481"/>
      <c r="AH204" s="1481"/>
      <c r="AI204" s="1481"/>
      <c r="AJ204" s="1481"/>
      <c r="AK204" s="1481"/>
      <c r="AL204" s="1481"/>
      <c r="AM204" s="1481"/>
      <c r="AN204" s="1481"/>
      <c r="AO204" s="1481"/>
      <c r="AP204" s="1481"/>
      <c r="AQ204" s="1481"/>
      <c r="AR204" s="1481"/>
      <c r="AS204" s="1481"/>
      <c r="AT204" s="1481"/>
      <c r="AU204" s="1483"/>
      <c r="AV204" s="1483"/>
      <c r="AW204" s="1483"/>
      <c r="AX204" s="1481"/>
      <c r="AY204" s="1481"/>
      <c r="AZ204" s="1481"/>
    </row>
    <row r="205" spans="1:52" s="1150" customFormat="1">
      <c r="A205" s="1347" t="str">
        <f>A204</f>
        <v>ZERO-COUPON BOND</v>
      </c>
      <c r="B205" s="1348">
        <f>B204+1</f>
        <v>2020</v>
      </c>
      <c r="C205" s="1348"/>
      <c r="D205" s="1348">
        <f t="shared" si="57"/>
        <v>0</v>
      </c>
      <c r="E205" s="1348">
        <f t="shared" si="57"/>
        <v>0</v>
      </c>
      <c r="F205" s="1349">
        <f>$N$89</f>
        <v>1.4545456510151461E-2</v>
      </c>
      <c r="H205" s="1350"/>
      <c r="I205" s="1350"/>
      <c r="J205" s="1350">
        <f ca="1">$D$89/$D$31</f>
        <v>0</v>
      </c>
      <c r="K205" s="1350">
        <f ca="1">J205-R205</f>
        <v>0</v>
      </c>
      <c r="L205" s="1350">
        <f ca="1">K205-S205</f>
        <v>0</v>
      </c>
      <c r="M205" s="1350">
        <f ca="1">L205-T205</f>
        <v>0</v>
      </c>
      <c r="N205" s="1350"/>
      <c r="O205" s="1351"/>
      <c r="P205" s="1350"/>
      <c r="Q205" s="1350">
        <f ca="1">IF($D205=$E205,IF(Q$111=$B205+$E205,$J205,0),0)</f>
        <v>0</v>
      </c>
      <c r="R205" s="1350">
        <f>IF($D205=$E205,IF(R$111=$B205+$E205,$J205,0),0)</f>
        <v>0</v>
      </c>
      <c r="S205" s="1350">
        <f>IF($D205=$E205,IF(S$111=$B205+$E205,$J205,0),0)</f>
        <v>0</v>
      </c>
      <c r="T205" s="1350">
        <f>IF($D205=$E205,IF(T$111=$B205+$E205,$J205,0),0)</f>
        <v>0</v>
      </c>
      <c r="U205" s="1350"/>
      <c r="V205" s="1350"/>
      <c r="W205" s="1350"/>
      <c r="X205" s="1350">
        <f ca="1">IF(X$111-$B205=$D205,$J205*(((1+$F205)^$D205)-1),0)</f>
        <v>0</v>
      </c>
      <c r="Y205" s="1350">
        <f>IF(Y$111-$B205=$D205,$J205*(((1+$F205)^$D205)-1),0)</f>
        <v>0</v>
      </c>
      <c r="Z205" s="1350">
        <f>IF(Z$111-$B205=$D205,$J205*(((1+$F205)^$D205)-1),0)</f>
        <v>0</v>
      </c>
      <c r="AA205" s="1350">
        <f>IF(AA$111-$B205=$D205,$J205*(((1+$F205)^$D205)-1),0)</f>
        <v>0</v>
      </c>
      <c r="AC205" s="1481"/>
      <c r="AD205" s="1481"/>
      <c r="AE205" s="1482"/>
      <c r="AF205" s="1481"/>
      <c r="AG205" s="1481"/>
      <c r="AH205" s="1481"/>
      <c r="AI205" s="1481"/>
      <c r="AJ205" s="1481"/>
      <c r="AK205" s="1481"/>
      <c r="AL205" s="1481"/>
      <c r="AM205" s="1481"/>
      <c r="AN205" s="1481"/>
      <c r="AO205" s="1481"/>
      <c r="AP205" s="1481"/>
      <c r="AQ205" s="1481"/>
      <c r="AR205" s="1481"/>
      <c r="AS205" s="1481"/>
      <c r="AT205" s="1481"/>
      <c r="AU205" s="1483"/>
      <c r="AV205" s="1483"/>
      <c r="AW205" s="1483"/>
      <c r="AX205" s="1481"/>
      <c r="AY205" s="1481"/>
      <c r="AZ205" s="1481"/>
    </row>
    <row r="206" spans="1:52" s="1150" customFormat="1">
      <c r="A206" s="1347" t="str">
        <f>A205</f>
        <v>ZERO-COUPON BOND</v>
      </c>
      <c r="B206" s="1348">
        <f>B205+1</f>
        <v>2021</v>
      </c>
      <c r="C206" s="1348"/>
      <c r="D206" s="1348">
        <f t="shared" si="57"/>
        <v>0</v>
      </c>
      <c r="E206" s="1348">
        <f t="shared" si="57"/>
        <v>0</v>
      </c>
      <c r="F206" s="1349">
        <f>$O$89</f>
        <v>0</v>
      </c>
      <c r="H206" s="1350"/>
      <c r="I206" s="1350"/>
      <c r="J206" s="1350"/>
      <c r="K206" s="1350">
        <f ca="1">$E$89/$E$31</f>
        <v>0</v>
      </c>
      <c r="L206" s="1350">
        <f ca="1">K206-S206</f>
        <v>0</v>
      </c>
      <c r="M206" s="1350">
        <f ca="1">L206-T206</f>
        <v>0</v>
      </c>
      <c r="N206" s="1350"/>
      <c r="O206" s="1351"/>
      <c r="P206" s="1350"/>
      <c r="Q206" s="1350"/>
      <c r="R206" s="1350">
        <f ca="1">IF($D206=$E206,IF(R$111=$B206+$E206,$K206,0),0)</f>
        <v>0</v>
      </c>
      <c r="S206" s="1350">
        <f>IF($D206=$E206,IF(S$111=$B206+$E206,$K206,0),0)</f>
        <v>0</v>
      </c>
      <c r="T206" s="1350">
        <f>IF($D206=$E206,IF(T$111=$B206+$E206,$K206,0),0)</f>
        <v>0</v>
      </c>
      <c r="U206" s="1350"/>
      <c r="V206" s="1350"/>
      <c r="W206" s="1350"/>
      <c r="X206" s="1350"/>
      <c r="Y206" s="1350">
        <f ca="1">IF(Y$111-$B206=$D206,$K206*(((1+$F206)^$D206)-1),0)</f>
        <v>0</v>
      </c>
      <c r="Z206" s="1350">
        <f>IF(Z$111-$B206=$D206,$K206*(((1+$F206)^$D206)-1),0)</f>
        <v>0</v>
      </c>
      <c r="AA206" s="1350">
        <f>IF(AA$111-$B206=$D206,$K206*(((1+$F206)^$D206)-1),0)</f>
        <v>0</v>
      </c>
      <c r="AC206" s="1481"/>
      <c r="AD206" s="1481"/>
      <c r="AE206" s="1482"/>
      <c r="AF206" s="1481"/>
      <c r="AG206" s="1481"/>
      <c r="AH206" s="1481"/>
      <c r="AI206" s="1481"/>
      <c r="AJ206" s="1481"/>
      <c r="AK206" s="1481"/>
      <c r="AL206" s="1481"/>
      <c r="AM206" s="1481"/>
      <c r="AN206" s="1481"/>
      <c r="AO206" s="1481"/>
      <c r="AP206" s="1481"/>
      <c r="AQ206" s="1481"/>
      <c r="AR206" s="1481"/>
      <c r="AS206" s="1481"/>
      <c r="AT206" s="1481"/>
      <c r="AU206" s="1483"/>
      <c r="AV206" s="1483"/>
      <c r="AW206" s="1483"/>
      <c r="AX206" s="1481"/>
      <c r="AY206" s="1481"/>
      <c r="AZ206" s="1481"/>
    </row>
    <row r="207" spans="1:52" s="1150" customFormat="1">
      <c r="A207" s="1347" t="str">
        <f>A206</f>
        <v>ZERO-COUPON BOND</v>
      </c>
      <c r="B207" s="1348">
        <f>B206+1</f>
        <v>2022</v>
      </c>
      <c r="C207" s="1348"/>
      <c r="D207" s="1348">
        <f t="shared" si="57"/>
        <v>0</v>
      </c>
      <c r="E207" s="1348">
        <f t="shared" si="57"/>
        <v>0</v>
      </c>
      <c r="F207" s="1349">
        <f>$P$89</f>
        <v>0</v>
      </c>
      <c r="H207" s="1350"/>
      <c r="I207" s="1350"/>
      <c r="J207" s="1350"/>
      <c r="K207" s="1350"/>
      <c r="L207" s="1350">
        <f ca="1">$F$89/$F$31</f>
        <v>0</v>
      </c>
      <c r="M207" s="1350">
        <f ca="1">L207-T207</f>
        <v>0</v>
      </c>
      <c r="N207" s="1350"/>
      <c r="O207" s="1351"/>
      <c r="P207" s="1350"/>
      <c r="Q207" s="1350"/>
      <c r="R207" s="1350"/>
      <c r="S207" s="1350">
        <f ca="1">IF($D207=$E207,IF(S$111=$B207+$E207,$L207,0),0)</f>
        <v>0</v>
      </c>
      <c r="T207" s="1350">
        <f>IF($D207=$E207,IF(T$111=$B207+$E207,$L207,0),0)</f>
        <v>0</v>
      </c>
      <c r="U207" s="1350"/>
      <c r="V207" s="1350"/>
      <c r="W207" s="1350"/>
      <c r="X207" s="1350"/>
      <c r="Y207" s="1350"/>
      <c r="Z207" s="1350">
        <f ca="1">IF(Z$111-$B207=$D207,$L207*(((1+$F207)^$D207)-1),0)</f>
        <v>0</v>
      </c>
      <c r="AA207" s="1350">
        <f>IF(AA$111-$B207=$D207,$L207*(((1+$F207)^$D207)-1),0)</f>
        <v>0</v>
      </c>
      <c r="AC207" s="1481"/>
      <c r="AD207" s="1481"/>
      <c r="AE207" s="1482"/>
      <c r="AF207" s="1481"/>
      <c r="AG207" s="1481"/>
      <c r="AH207" s="1481"/>
      <c r="AI207" s="1481"/>
      <c r="AJ207" s="1481"/>
      <c r="AK207" s="1481"/>
      <c r="AL207" s="1481"/>
      <c r="AM207" s="1481"/>
      <c r="AN207" s="1481"/>
      <c r="AO207" s="1481"/>
      <c r="AP207" s="1481"/>
      <c r="AQ207" s="1481"/>
      <c r="AR207" s="1481"/>
      <c r="AS207" s="1481"/>
      <c r="AT207" s="1481"/>
      <c r="AU207" s="1483"/>
      <c r="AV207" s="1483"/>
      <c r="AW207" s="1483"/>
      <c r="AX207" s="1481"/>
      <c r="AY207" s="1481"/>
      <c r="AZ207" s="1481"/>
    </row>
    <row r="208" spans="1:52" s="1150" customFormat="1">
      <c r="A208" s="1347" t="str">
        <f>A207</f>
        <v>ZERO-COUPON BOND</v>
      </c>
      <c r="B208" s="1348">
        <f>B207+1</f>
        <v>2023</v>
      </c>
      <c r="C208" s="1348"/>
      <c r="D208" s="1348">
        <f t="shared" si="57"/>
        <v>0</v>
      </c>
      <c r="E208" s="1348">
        <f t="shared" si="57"/>
        <v>0</v>
      </c>
      <c r="F208" s="1349">
        <f>$Q$89</f>
        <v>0</v>
      </c>
      <c r="H208" s="1350"/>
      <c r="I208" s="1350"/>
      <c r="J208" s="1350"/>
      <c r="K208" s="1350"/>
      <c r="L208" s="1350"/>
      <c r="M208" s="1350">
        <f ca="1">$G$89/$G$31</f>
        <v>0</v>
      </c>
      <c r="N208" s="1350"/>
      <c r="O208" s="1351"/>
      <c r="P208" s="1350"/>
      <c r="Q208" s="1350"/>
      <c r="R208" s="1350"/>
      <c r="S208" s="1350"/>
      <c r="T208" s="1350">
        <f ca="1">IF($D208=$E208,IF(T$111=$B208+$E208,$M208,0),0)</f>
        <v>0</v>
      </c>
      <c r="U208" s="1350"/>
      <c r="V208" s="1350"/>
      <c r="W208" s="1350"/>
      <c r="X208" s="1350"/>
      <c r="Y208" s="1350"/>
      <c r="Z208" s="1350"/>
      <c r="AA208" s="1350">
        <f ca="1">IF(AA$111-$B208=$D208,$M208*(((1+$F208)^$D208)-1),0)</f>
        <v>0</v>
      </c>
      <c r="AC208" s="1481"/>
      <c r="AD208" s="1481"/>
      <c r="AE208" s="1482"/>
      <c r="AF208" s="1481"/>
      <c r="AG208" s="1481"/>
      <c r="AH208" s="1481"/>
      <c r="AI208" s="1481"/>
      <c r="AJ208" s="1481"/>
      <c r="AK208" s="1481"/>
      <c r="AL208" s="1481"/>
      <c r="AM208" s="1481"/>
      <c r="AN208" s="1481"/>
      <c r="AO208" s="1481"/>
      <c r="AP208" s="1481"/>
      <c r="AQ208" s="1481"/>
      <c r="AR208" s="1481"/>
      <c r="AS208" s="1481"/>
      <c r="AT208" s="1481"/>
      <c r="AU208" s="1483"/>
      <c r="AV208" s="1483"/>
      <c r="AW208" s="1483"/>
      <c r="AX208" s="1481"/>
      <c r="AY208" s="1481"/>
      <c r="AZ208" s="1481"/>
    </row>
    <row r="209" spans="1:52">
      <c r="A209" s="17"/>
      <c r="B209" s="7"/>
      <c r="D209" s="7"/>
      <c r="E209" s="7"/>
      <c r="F209" s="7"/>
      <c r="AC209" s="243"/>
      <c r="AD209" s="243"/>
      <c r="AE209" s="148"/>
      <c r="AF209" s="243"/>
      <c r="AG209" s="243"/>
      <c r="AH209" s="243"/>
      <c r="AI209" s="243"/>
      <c r="AJ209" s="243"/>
      <c r="AK209" s="243"/>
      <c r="AL209" s="243"/>
      <c r="AM209" s="243"/>
      <c r="AN209" s="243"/>
      <c r="AO209" s="243"/>
      <c r="AP209" s="243"/>
      <c r="AQ209" s="243"/>
      <c r="AR209" s="243"/>
      <c r="AS209" s="243"/>
      <c r="AT209" s="243"/>
      <c r="AU209" s="244"/>
      <c r="AV209" s="244"/>
      <c r="AW209" s="244"/>
      <c r="AX209" s="243"/>
      <c r="AY209" s="243"/>
      <c r="AZ209" s="243"/>
    </row>
    <row r="210" spans="1:52">
      <c r="A210" s="20" t="str">
        <f>'Input 4 - Forecast'!A71</f>
        <v>New Issuance of External Debt (new debt) 1/</v>
      </c>
      <c r="AC210" s="243"/>
      <c r="AD210" s="243"/>
      <c r="AE210" s="148"/>
      <c r="AF210" s="243"/>
      <c r="AG210" s="243"/>
      <c r="AH210" s="243"/>
      <c r="AI210" s="243"/>
      <c r="AJ210" s="243"/>
      <c r="AK210" s="243"/>
      <c r="AL210" s="243"/>
      <c r="AM210" s="243"/>
      <c r="AN210" s="243"/>
      <c r="AO210" s="243"/>
      <c r="AP210" s="243"/>
      <c r="AQ210" s="243"/>
      <c r="AR210" s="243"/>
      <c r="AS210" s="243"/>
      <c r="AT210" s="243"/>
      <c r="AU210" s="244"/>
      <c r="AV210" s="244"/>
      <c r="AW210" s="244"/>
      <c r="AX210" s="243"/>
      <c r="AY210" s="243"/>
      <c r="AZ210" s="243"/>
    </row>
    <row r="211" spans="1:52" customFormat="1" ht="15.75" thickBot="1">
      <c r="A211" s="21" t="str">
        <f>'Input 4 - Forecast'!A72</f>
        <v>Short-term debt 2/</v>
      </c>
      <c r="B211" s="18"/>
      <c r="C211" s="6"/>
      <c r="D211" s="13"/>
      <c r="E211" s="13"/>
      <c r="F211" s="13"/>
      <c r="G211" s="13"/>
      <c r="H211" s="13"/>
      <c r="I211" s="13"/>
      <c r="J211" s="17"/>
      <c r="K211" s="19"/>
      <c r="L211" s="19"/>
      <c r="M211" s="19"/>
      <c r="N211" s="19"/>
      <c r="O211" s="19"/>
      <c r="P211" s="19"/>
      <c r="Q211" s="19"/>
      <c r="R211" s="19"/>
      <c r="AC211" s="243"/>
      <c r="AD211" s="243"/>
      <c r="AE211" s="148"/>
      <c r="AF211" s="243"/>
      <c r="AG211" s="243"/>
      <c r="AH211" s="243"/>
      <c r="AI211" s="243"/>
      <c r="AJ211" s="243"/>
      <c r="AK211" s="243"/>
      <c r="AL211" s="243"/>
      <c r="AM211" s="243"/>
      <c r="AN211" s="243"/>
      <c r="AO211" s="243"/>
      <c r="AP211" s="243"/>
      <c r="AQ211" s="243"/>
      <c r="AR211" s="243"/>
      <c r="AS211" s="243"/>
      <c r="AT211" s="243"/>
      <c r="AU211" s="244"/>
      <c r="AV211" s="244"/>
      <c r="AW211" s="244"/>
      <c r="AX211" s="243"/>
      <c r="AY211" s="243"/>
      <c r="AZ211" s="243"/>
    </row>
    <row r="212" spans="1:52" customFormat="1" ht="15.75" thickBot="1">
      <c r="A212" s="22" t="str">
        <f>'Input 4 - Forecast'!A73</f>
        <v>Denominated in local currency</v>
      </c>
      <c r="B212" s="1999" t="s">
        <v>51</v>
      </c>
      <c r="C212" s="2000"/>
      <c r="D212" s="2000"/>
      <c r="E212" s="2000"/>
      <c r="F212" s="2000"/>
      <c r="G212" s="2000"/>
      <c r="H212" s="2000"/>
      <c r="I212" s="2000"/>
      <c r="J212" s="2000"/>
      <c r="K212" s="2000"/>
      <c r="L212" s="2000"/>
      <c r="M212" s="2000"/>
      <c r="N212" s="2000"/>
      <c r="O212" s="2000"/>
      <c r="P212" s="2000"/>
      <c r="Q212" s="2000"/>
      <c r="R212" s="2000"/>
      <c r="S212" s="2000"/>
      <c r="T212" s="2000"/>
      <c r="U212" s="2000"/>
      <c r="V212" s="2000"/>
      <c r="W212" s="2000"/>
      <c r="X212" s="2000"/>
      <c r="Y212" s="2000"/>
      <c r="Z212" s="2000"/>
      <c r="AA212" s="2001"/>
      <c r="AC212" s="243"/>
      <c r="AD212" s="243"/>
      <c r="AE212" s="148"/>
      <c r="AF212" s="243"/>
      <c r="AG212" s="243"/>
      <c r="AH212" s="243"/>
      <c r="AI212" s="243"/>
      <c r="AJ212" s="243"/>
      <c r="AK212" s="243"/>
      <c r="AL212" s="243"/>
      <c r="AM212" s="243"/>
      <c r="AN212" s="243"/>
      <c r="AO212" s="243"/>
      <c r="AP212" s="243"/>
      <c r="AQ212" s="243"/>
      <c r="AR212" s="243"/>
      <c r="AS212" s="243"/>
      <c r="AT212" s="243"/>
      <c r="AU212" s="244"/>
      <c r="AV212" s="244"/>
      <c r="AW212" s="244"/>
      <c r="AX212" s="243"/>
      <c r="AY212" s="243"/>
      <c r="AZ212" s="243"/>
    </row>
    <row r="213" spans="1:52">
      <c r="F213" s="15"/>
      <c r="H213" s="10"/>
      <c r="I213" s="10"/>
      <c r="J213" s="10"/>
      <c r="K213" s="10"/>
      <c r="L213" s="10"/>
      <c r="M213" s="10"/>
      <c r="N213" s="10"/>
      <c r="O213" s="10"/>
      <c r="P213" s="10"/>
      <c r="Q213" s="10"/>
      <c r="R213" s="10"/>
      <c r="S213" s="10"/>
      <c r="T213" s="10"/>
      <c r="U213" s="10"/>
      <c r="V213" s="10"/>
      <c r="W213" s="10"/>
      <c r="X213" s="10"/>
      <c r="Y213" s="10"/>
      <c r="Z213" s="10"/>
      <c r="AA213" s="10"/>
      <c r="AC213" s="243"/>
      <c r="AD213" s="243"/>
      <c r="AE213" s="148"/>
      <c r="AF213" s="243"/>
      <c r="AG213" s="243"/>
      <c r="AH213" s="243"/>
      <c r="AI213" s="243"/>
      <c r="AJ213" s="243"/>
      <c r="AK213" s="243"/>
      <c r="AL213" s="243"/>
      <c r="AM213" s="243"/>
      <c r="AN213" s="243"/>
      <c r="AO213" s="243"/>
      <c r="AP213" s="243"/>
      <c r="AQ213" s="243"/>
      <c r="AR213" s="243"/>
      <c r="AS213" s="243"/>
      <c r="AT213" s="243"/>
      <c r="AU213" s="244"/>
      <c r="AV213" s="244"/>
      <c r="AW213" s="244"/>
      <c r="AX213" s="243"/>
      <c r="AY213" s="243"/>
      <c r="AZ213" s="243"/>
    </row>
    <row r="214" spans="1:52" customFormat="1">
      <c r="A214" s="23"/>
      <c r="B214" s="7">
        <f>B119</f>
        <v>2018</v>
      </c>
      <c r="C214" s="13" t="str">
        <f>$I92</f>
        <v>Semi-annual</v>
      </c>
      <c r="D214" s="13">
        <f>$J92</f>
        <v>0</v>
      </c>
      <c r="E214" s="13">
        <f>$K92</f>
        <v>0</v>
      </c>
      <c r="F214" s="14">
        <f>$L$92</f>
        <v>0</v>
      </c>
      <c r="G214" s="13"/>
      <c r="H214" s="9">
        <f>$B$92</f>
        <v>0</v>
      </c>
      <c r="I214" s="9">
        <f>H214-P214</f>
        <v>0</v>
      </c>
      <c r="J214" s="9">
        <f>I214-Q214</f>
        <v>0</v>
      </c>
      <c r="K214" s="9">
        <f>J214-R214</f>
        <v>0</v>
      </c>
      <c r="L214" s="9">
        <f>K214-S214</f>
        <v>0</v>
      </c>
      <c r="M214" s="9">
        <f>L214-T214</f>
        <v>0</v>
      </c>
      <c r="N214" s="9"/>
      <c r="O214" s="9">
        <v>0</v>
      </c>
      <c r="P214" s="9">
        <f>H214</f>
        <v>0</v>
      </c>
      <c r="Q214" s="9">
        <v>0</v>
      </c>
      <c r="R214" s="9">
        <v>0</v>
      </c>
      <c r="S214" s="9">
        <v>0</v>
      </c>
      <c r="T214" s="9">
        <v>0</v>
      </c>
      <c r="U214" s="9"/>
      <c r="V214" s="9">
        <f>IF($C214="annual",IF(V$111=$B214,0,G214*$F214),IF(V$111-$B214=0,0,IF((V$111-$B214)&lt;$E214,AVERAGE(G214,H214)*$F214,IF((V$111-$B214)=$E214,G214*$F214/2,0))))</f>
        <v>0</v>
      </c>
      <c r="W214" s="9">
        <f t="shared" ref="W214:AA219" si="58">IF($C214="annual",IF(W$111=$B214,0,H214*$F214),IF(W$111-$B214=0,0,IF((W$111-$B214)&lt;$E214,AVERAGE(H214,I214)*$F214,IF((W$111-$B214)=$E214,H214*$F214/2,0))))</f>
        <v>0</v>
      </c>
      <c r="X214" s="9">
        <f t="shared" si="58"/>
        <v>0</v>
      </c>
      <c r="Y214" s="9">
        <f t="shared" si="58"/>
        <v>0</v>
      </c>
      <c r="Z214" s="9">
        <f t="shared" si="58"/>
        <v>0</v>
      </c>
      <c r="AA214" s="9">
        <f t="shared" si="58"/>
        <v>0</v>
      </c>
      <c r="AC214" s="243"/>
      <c r="AD214" s="243"/>
      <c r="AE214" s="148"/>
      <c r="AF214" s="243"/>
      <c r="AG214" s="243"/>
      <c r="AH214" s="243"/>
      <c r="AI214" s="243"/>
      <c r="AJ214" s="243"/>
      <c r="AK214" s="243"/>
      <c r="AL214" s="243"/>
      <c r="AM214" s="243"/>
      <c r="AN214" s="243"/>
      <c r="AO214" s="243"/>
      <c r="AP214" s="243"/>
      <c r="AQ214" s="243"/>
      <c r="AR214" s="243"/>
      <c r="AS214" s="243"/>
      <c r="AT214" s="243"/>
      <c r="AU214" s="244"/>
      <c r="AV214" s="244"/>
      <c r="AW214" s="244"/>
      <c r="AX214" s="243"/>
      <c r="AY214" s="243"/>
      <c r="AZ214" s="243"/>
    </row>
    <row r="215" spans="1:52" customFormat="1">
      <c r="A215" s="23"/>
      <c r="B215" s="7">
        <f>B214+1</f>
        <v>2019</v>
      </c>
      <c r="C215" s="13" t="str">
        <f>C214</f>
        <v>Semi-annual</v>
      </c>
      <c r="D215" s="13">
        <f>D214</f>
        <v>0</v>
      </c>
      <c r="E215" s="13">
        <f>E214</f>
        <v>0</v>
      </c>
      <c r="F215" s="14">
        <f>$M$92</f>
        <v>7.1007506480822574E-3</v>
      </c>
      <c r="G215" s="13"/>
      <c r="H215" s="9"/>
      <c r="I215" s="9">
        <f ca="1">$C$92</f>
        <v>0</v>
      </c>
      <c r="J215" s="9">
        <f ca="1">I215-Q215</f>
        <v>0</v>
      </c>
      <c r="K215" s="9">
        <f ca="1">J215-R215</f>
        <v>0</v>
      </c>
      <c r="L215" s="9">
        <f ca="1">K215-S215</f>
        <v>0</v>
      </c>
      <c r="M215" s="9">
        <f ca="1">L215-T215</f>
        <v>0</v>
      </c>
      <c r="N215" s="9"/>
      <c r="O215" s="9"/>
      <c r="P215" s="9">
        <v>0</v>
      </c>
      <c r="Q215" s="9">
        <f ca="1">I215</f>
        <v>0</v>
      </c>
      <c r="R215" s="9">
        <v>0</v>
      </c>
      <c r="S215" s="9">
        <v>0</v>
      </c>
      <c r="T215" s="9">
        <v>0</v>
      </c>
      <c r="U215" s="9"/>
      <c r="V215" s="9"/>
      <c r="W215" s="9">
        <f t="shared" si="58"/>
        <v>0</v>
      </c>
      <c r="X215" s="9">
        <f t="shared" si="58"/>
        <v>0</v>
      </c>
      <c r="Y215" s="9">
        <f t="shared" si="58"/>
        <v>0</v>
      </c>
      <c r="Z215" s="9">
        <f t="shared" si="58"/>
        <v>0</v>
      </c>
      <c r="AA215" s="9">
        <f t="shared" si="58"/>
        <v>0</v>
      </c>
      <c r="AC215" s="243"/>
      <c r="AD215" s="243"/>
      <c r="AE215" s="148"/>
      <c r="AF215" s="243"/>
      <c r="AG215" s="243"/>
      <c r="AH215" s="243"/>
      <c r="AI215" s="243"/>
      <c r="AJ215" s="243"/>
      <c r="AK215" s="243"/>
      <c r="AL215" s="243"/>
      <c r="AM215" s="243"/>
      <c r="AN215" s="243"/>
      <c r="AO215" s="243"/>
      <c r="AP215" s="243"/>
      <c r="AQ215" s="243"/>
      <c r="AR215" s="243"/>
      <c r="AS215" s="243"/>
      <c r="AT215" s="243"/>
      <c r="AU215" s="244"/>
      <c r="AV215" s="244"/>
      <c r="AW215" s="244"/>
      <c r="AX215" s="243"/>
      <c r="AY215" s="243"/>
      <c r="AZ215" s="243"/>
    </row>
    <row r="216" spans="1:52" customFormat="1">
      <c r="A216" s="23"/>
      <c r="B216" s="7">
        <f>B215+1</f>
        <v>2020</v>
      </c>
      <c r="C216" s="13" t="str">
        <f>C215</f>
        <v>Semi-annual</v>
      </c>
      <c r="D216" s="13">
        <f t="shared" ref="D216:E219" si="59">D215</f>
        <v>0</v>
      </c>
      <c r="E216" s="13">
        <f t="shared" si="59"/>
        <v>0</v>
      </c>
      <c r="F216" s="14">
        <f>$N$92</f>
        <v>1.4545456510151461E-2</v>
      </c>
      <c r="G216" s="13"/>
      <c r="H216" s="9"/>
      <c r="I216" s="9"/>
      <c r="J216" s="9">
        <f ca="1">$D$92</f>
        <v>0</v>
      </c>
      <c r="K216" s="9">
        <f ca="1">J216-R216</f>
        <v>0</v>
      </c>
      <c r="L216" s="9">
        <f ca="1">K216-S216</f>
        <v>0</v>
      </c>
      <c r="M216" s="9">
        <f ca="1">L216-T216</f>
        <v>0</v>
      </c>
      <c r="N216" s="9"/>
      <c r="O216" s="9"/>
      <c r="P216" s="9"/>
      <c r="Q216" s="9">
        <v>0</v>
      </c>
      <c r="R216" s="9">
        <f ca="1">J216</f>
        <v>0</v>
      </c>
      <c r="S216" s="9">
        <v>0</v>
      </c>
      <c r="T216" s="9">
        <v>0</v>
      </c>
      <c r="U216" s="9"/>
      <c r="V216" s="9"/>
      <c r="W216" s="9"/>
      <c r="X216" s="9">
        <f t="shared" si="58"/>
        <v>0</v>
      </c>
      <c r="Y216" s="9">
        <f t="shared" si="58"/>
        <v>0</v>
      </c>
      <c r="Z216" s="9">
        <f t="shared" si="58"/>
        <v>0</v>
      </c>
      <c r="AA216" s="9">
        <f t="shared" si="58"/>
        <v>0</v>
      </c>
      <c r="AC216" s="243"/>
      <c r="AD216" s="243"/>
      <c r="AE216" s="148"/>
      <c r="AF216" s="243"/>
      <c r="AG216" s="243"/>
      <c r="AH216" s="243"/>
      <c r="AI216" s="243"/>
      <c r="AJ216" s="243"/>
      <c r="AK216" s="243"/>
      <c r="AL216" s="243"/>
      <c r="AM216" s="243"/>
      <c r="AN216" s="243"/>
      <c r="AO216" s="243"/>
      <c r="AP216" s="243"/>
      <c r="AQ216" s="243"/>
      <c r="AR216" s="243"/>
      <c r="AS216" s="243"/>
      <c r="AT216" s="243"/>
      <c r="AU216" s="244"/>
      <c r="AV216" s="244"/>
      <c r="AW216" s="244"/>
      <c r="AX216" s="243"/>
      <c r="AY216" s="243"/>
      <c r="AZ216" s="243"/>
    </row>
    <row r="217" spans="1:52" customFormat="1">
      <c r="A217" s="23"/>
      <c r="B217" s="7">
        <f>B216+1</f>
        <v>2021</v>
      </c>
      <c r="C217" s="13" t="str">
        <f>C216</f>
        <v>Semi-annual</v>
      </c>
      <c r="D217" s="13">
        <f t="shared" si="59"/>
        <v>0</v>
      </c>
      <c r="E217" s="13">
        <f t="shared" si="59"/>
        <v>0</v>
      </c>
      <c r="F217" s="14">
        <f>$O$92</f>
        <v>0</v>
      </c>
      <c r="G217" s="13"/>
      <c r="H217" s="9"/>
      <c r="I217" s="9"/>
      <c r="J217" s="9"/>
      <c r="K217" s="9">
        <f ca="1">$E$92</f>
        <v>0</v>
      </c>
      <c r="L217" s="9">
        <f ca="1">K217-S217</f>
        <v>0</v>
      </c>
      <c r="M217" s="9">
        <f ca="1">L217-T217</f>
        <v>0</v>
      </c>
      <c r="N217" s="9"/>
      <c r="O217" s="9"/>
      <c r="P217" s="9"/>
      <c r="Q217" s="9"/>
      <c r="R217" s="9">
        <v>0</v>
      </c>
      <c r="S217" s="9">
        <f ca="1">K217</f>
        <v>0</v>
      </c>
      <c r="T217" s="9">
        <v>0</v>
      </c>
      <c r="U217" s="9"/>
      <c r="V217" s="9"/>
      <c r="W217" s="9"/>
      <c r="X217" s="9"/>
      <c r="Y217" s="9">
        <f t="shared" si="58"/>
        <v>0</v>
      </c>
      <c r="Z217" s="9">
        <f t="shared" si="58"/>
        <v>0</v>
      </c>
      <c r="AA217" s="9">
        <f t="shared" si="58"/>
        <v>0</v>
      </c>
      <c r="AC217" s="243"/>
      <c r="AD217" s="243"/>
      <c r="AE217" s="148"/>
      <c r="AF217" s="243"/>
      <c r="AG217" s="243"/>
      <c r="AH217" s="243"/>
      <c r="AI217" s="243"/>
      <c r="AJ217" s="243"/>
      <c r="AK217" s="243"/>
      <c r="AL217" s="243"/>
      <c r="AM217" s="243"/>
      <c r="AN217" s="243"/>
      <c r="AO217" s="243"/>
      <c r="AP217" s="243"/>
      <c r="AQ217" s="243"/>
      <c r="AR217" s="243"/>
      <c r="AS217" s="243"/>
      <c r="AT217" s="243"/>
      <c r="AU217" s="244"/>
      <c r="AV217" s="244"/>
      <c r="AW217" s="244"/>
      <c r="AX217" s="243"/>
      <c r="AY217" s="243"/>
      <c r="AZ217" s="243"/>
    </row>
    <row r="218" spans="1:52" customFormat="1">
      <c r="A218" s="23"/>
      <c r="B218" s="7">
        <f>B217+1</f>
        <v>2022</v>
      </c>
      <c r="C218" s="13" t="str">
        <f>C217</f>
        <v>Semi-annual</v>
      </c>
      <c r="D218" s="13">
        <f t="shared" si="59"/>
        <v>0</v>
      </c>
      <c r="E218" s="13">
        <f t="shared" si="59"/>
        <v>0</v>
      </c>
      <c r="F218" s="14">
        <f>$P$92</f>
        <v>0</v>
      </c>
      <c r="G218" s="13"/>
      <c r="H218" s="9"/>
      <c r="I218" s="9"/>
      <c r="J218" s="9"/>
      <c r="K218" s="9"/>
      <c r="L218" s="9">
        <f ca="1">$F$92</f>
        <v>0</v>
      </c>
      <c r="M218" s="9">
        <f ca="1">L218-T218</f>
        <v>0</v>
      </c>
      <c r="N218" s="9"/>
      <c r="O218" s="9"/>
      <c r="P218" s="9"/>
      <c r="Q218" s="9"/>
      <c r="R218" s="9"/>
      <c r="S218" s="9">
        <v>0</v>
      </c>
      <c r="T218" s="9">
        <f ca="1">L218</f>
        <v>0</v>
      </c>
      <c r="U218" s="9"/>
      <c r="V218" s="9"/>
      <c r="W218" s="9"/>
      <c r="X218" s="9"/>
      <c r="Y218" s="9"/>
      <c r="Z218" s="9">
        <f t="shared" si="58"/>
        <v>0</v>
      </c>
      <c r="AA218" s="9">
        <f t="shared" si="58"/>
        <v>0</v>
      </c>
      <c r="AC218" s="243"/>
      <c r="AD218" s="243"/>
      <c r="AE218" s="148"/>
      <c r="AF218" s="243"/>
      <c r="AG218" s="243"/>
      <c r="AH218" s="243"/>
      <c r="AI218" s="243"/>
      <c r="AJ218" s="243"/>
      <c r="AK218" s="243"/>
      <c r="AL218" s="243"/>
      <c r="AM218" s="243"/>
      <c r="AN218" s="243"/>
      <c r="AO218" s="243"/>
      <c r="AP218" s="243"/>
      <c r="AQ218" s="243"/>
      <c r="AR218" s="243"/>
      <c r="AS218" s="243"/>
      <c r="AT218" s="243"/>
      <c r="AU218" s="244"/>
      <c r="AV218" s="244"/>
      <c r="AW218" s="244"/>
      <c r="AX218" s="243"/>
      <c r="AY218" s="243"/>
      <c r="AZ218" s="243"/>
    </row>
    <row r="219" spans="1:52" customFormat="1">
      <c r="A219" s="23"/>
      <c r="B219" s="7">
        <f>B218+1</f>
        <v>2023</v>
      </c>
      <c r="C219" s="13" t="str">
        <f>C218</f>
        <v>Semi-annual</v>
      </c>
      <c r="D219" s="13">
        <f t="shared" si="59"/>
        <v>0</v>
      </c>
      <c r="E219" s="13">
        <f t="shared" si="59"/>
        <v>0</v>
      </c>
      <c r="F219" s="14">
        <f>$Q$92</f>
        <v>0</v>
      </c>
      <c r="G219" s="13"/>
      <c r="H219" s="9"/>
      <c r="I219" s="9"/>
      <c r="J219" s="9"/>
      <c r="K219" s="9"/>
      <c r="L219" s="9"/>
      <c r="M219" s="9">
        <f ca="1">$G$92</f>
        <v>0</v>
      </c>
      <c r="N219" s="9"/>
      <c r="O219" s="9"/>
      <c r="P219" s="9"/>
      <c r="Q219" s="9"/>
      <c r="R219" s="9"/>
      <c r="S219" s="9"/>
      <c r="T219" s="9">
        <v>0</v>
      </c>
      <c r="U219" s="9"/>
      <c r="V219" s="9"/>
      <c r="W219" s="9"/>
      <c r="X219" s="9"/>
      <c r="Y219" s="9"/>
      <c r="Z219" s="9"/>
      <c r="AA219" s="9">
        <f t="shared" si="58"/>
        <v>0</v>
      </c>
      <c r="AC219" s="243"/>
      <c r="AD219" s="243"/>
      <c r="AE219" s="148"/>
      <c r="AF219" s="243"/>
      <c r="AG219" s="243"/>
      <c r="AH219" s="243"/>
      <c r="AI219" s="243"/>
      <c r="AJ219" s="243"/>
      <c r="AK219" s="243"/>
      <c r="AL219" s="243"/>
      <c r="AM219" s="243"/>
      <c r="AN219" s="243"/>
      <c r="AO219" s="243"/>
      <c r="AP219" s="243"/>
      <c r="AQ219" s="243"/>
      <c r="AR219" s="243"/>
      <c r="AS219" s="243"/>
      <c r="AT219" s="243"/>
      <c r="AU219" s="244"/>
      <c r="AV219" s="244"/>
      <c r="AW219" s="244"/>
      <c r="AX219" s="243"/>
      <c r="AY219" s="243"/>
      <c r="AZ219" s="243"/>
    </row>
    <row r="220" spans="1:52" ht="15.75" thickBot="1">
      <c r="B220" s="7"/>
      <c r="F220" s="15"/>
      <c r="H220" s="10"/>
      <c r="I220" s="10"/>
      <c r="J220" s="10"/>
      <c r="K220" s="10"/>
      <c r="L220" s="10"/>
      <c r="M220" s="10"/>
      <c r="N220" s="10"/>
      <c r="O220" s="10"/>
      <c r="P220" s="10"/>
      <c r="Q220" s="10"/>
      <c r="R220" s="10"/>
      <c r="S220" s="10"/>
      <c r="T220" s="10"/>
      <c r="U220" s="10"/>
      <c r="V220" s="10"/>
      <c r="W220" s="10"/>
      <c r="X220" s="10"/>
      <c r="Y220" s="10"/>
      <c r="Z220" s="10"/>
      <c r="AA220" s="10"/>
      <c r="AC220" s="243"/>
      <c r="AD220" s="243"/>
      <c r="AE220" s="148"/>
      <c r="AF220" s="243"/>
      <c r="AG220" s="243"/>
      <c r="AH220" s="243"/>
      <c r="AI220" s="243"/>
      <c r="AJ220" s="243"/>
      <c r="AK220" s="243"/>
      <c r="AL220" s="243"/>
      <c r="AM220" s="243"/>
      <c r="AN220" s="243"/>
      <c r="AO220" s="243"/>
      <c r="AP220" s="243"/>
      <c r="AQ220" s="243"/>
      <c r="AR220" s="243"/>
      <c r="AS220" s="243"/>
      <c r="AT220" s="243"/>
      <c r="AU220" s="244"/>
      <c r="AV220" s="244"/>
      <c r="AW220" s="244"/>
      <c r="AX220" s="243"/>
      <c r="AY220" s="243"/>
      <c r="AZ220" s="243"/>
    </row>
    <row r="221" spans="1:52" customFormat="1" ht="15.75" thickBot="1">
      <c r="A221" s="22" t="str">
        <f>'Input 4 - Forecast'!A82</f>
        <v>Denominated in foreign currency</v>
      </c>
      <c r="B221" s="1999" t="s">
        <v>52</v>
      </c>
      <c r="C221" s="2000"/>
      <c r="D221" s="2000"/>
      <c r="E221" s="2000"/>
      <c r="F221" s="2000"/>
      <c r="G221" s="2000"/>
      <c r="H221" s="2000"/>
      <c r="I221" s="2000"/>
      <c r="J221" s="2000"/>
      <c r="K221" s="2000"/>
      <c r="L221" s="2000"/>
      <c r="M221" s="2000"/>
      <c r="N221" s="2000"/>
      <c r="O221" s="2000"/>
      <c r="P221" s="2000"/>
      <c r="Q221" s="2000"/>
      <c r="R221" s="2000"/>
      <c r="S221" s="2000"/>
      <c r="T221" s="2000"/>
      <c r="U221" s="2000"/>
      <c r="V221" s="2000"/>
      <c r="W221" s="2000"/>
      <c r="X221" s="2000"/>
      <c r="Y221" s="2000"/>
      <c r="Z221" s="2000"/>
      <c r="AA221" s="2001"/>
      <c r="AC221" s="243"/>
      <c r="AD221" s="243"/>
      <c r="AE221" s="148"/>
      <c r="AF221" s="243"/>
      <c r="AG221" s="243"/>
      <c r="AH221" s="243"/>
      <c r="AI221" s="243"/>
      <c r="AJ221" s="243"/>
      <c r="AK221" s="243"/>
      <c r="AL221" s="243"/>
      <c r="AM221" s="243"/>
      <c r="AN221" s="243"/>
      <c r="AO221" s="243"/>
      <c r="AP221" s="243"/>
      <c r="AQ221" s="243"/>
      <c r="AR221" s="243"/>
      <c r="AS221" s="243"/>
      <c r="AT221" s="243"/>
      <c r="AU221" s="244"/>
      <c r="AV221" s="244"/>
      <c r="AW221" s="244"/>
      <c r="AX221" s="243"/>
      <c r="AY221" s="243"/>
      <c r="AZ221" s="243"/>
    </row>
    <row r="222" spans="1:52">
      <c r="F222" s="15"/>
      <c r="H222" s="10"/>
      <c r="I222" s="10"/>
      <c r="J222" s="10"/>
      <c r="K222" s="10"/>
      <c r="L222" s="10"/>
      <c r="M222" s="10"/>
      <c r="N222" s="10"/>
      <c r="O222" s="10"/>
      <c r="P222" s="10"/>
      <c r="Q222" s="10"/>
      <c r="R222" s="10"/>
      <c r="S222" s="10"/>
      <c r="T222" s="10"/>
      <c r="U222" s="10"/>
      <c r="V222" s="10"/>
      <c r="W222" s="10"/>
      <c r="X222" s="10"/>
      <c r="Y222" s="10"/>
      <c r="Z222" s="10"/>
      <c r="AA222" s="10"/>
      <c r="AC222" s="243"/>
      <c r="AD222" s="243"/>
      <c r="AE222" s="148"/>
      <c r="AF222" s="243"/>
      <c r="AG222" s="243"/>
      <c r="AH222" s="243"/>
      <c r="AI222" s="243"/>
      <c r="AJ222" s="243"/>
      <c r="AK222" s="243"/>
      <c r="AL222" s="243"/>
      <c r="AM222" s="243"/>
      <c r="AN222" s="243"/>
      <c r="AO222" s="243"/>
      <c r="AP222" s="243"/>
      <c r="AQ222" s="243"/>
      <c r="AR222" s="243"/>
      <c r="AS222" s="243"/>
      <c r="AT222" s="243"/>
      <c r="AU222" s="244"/>
      <c r="AV222" s="244"/>
      <c r="AW222" s="244"/>
      <c r="AX222" s="243"/>
      <c r="AY222" s="243"/>
      <c r="AZ222" s="243"/>
    </row>
    <row r="223" spans="1:52" customFormat="1">
      <c r="A223" s="23"/>
      <c r="B223" s="7">
        <f>B119</f>
        <v>2018</v>
      </c>
      <c r="C223" s="13" t="str">
        <f>$I93</f>
        <v>Semi-annual</v>
      </c>
      <c r="D223" s="13">
        <f>$J93</f>
        <v>0</v>
      </c>
      <c r="E223" s="13">
        <f>$K93</f>
        <v>0</v>
      </c>
      <c r="F223" s="14">
        <f>$L$93</f>
        <v>0</v>
      </c>
      <c r="G223" s="13"/>
      <c r="H223" s="9">
        <f>$B$93/$B$31</f>
        <v>0</v>
      </c>
      <c r="I223" s="9">
        <f>H223-P223</f>
        <v>0</v>
      </c>
      <c r="J223" s="9">
        <f>I223-Q223</f>
        <v>0</v>
      </c>
      <c r="K223" s="9">
        <f>J223-R223</f>
        <v>0</v>
      </c>
      <c r="L223" s="9">
        <f>K223-S223</f>
        <v>0</v>
      </c>
      <c r="M223" s="9">
        <f>L223-T223</f>
        <v>0</v>
      </c>
      <c r="N223" s="9"/>
      <c r="O223" s="9">
        <v>0</v>
      </c>
      <c r="P223" s="9">
        <f>H223</f>
        <v>0</v>
      </c>
      <c r="Q223" s="9">
        <v>0</v>
      </c>
      <c r="R223" s="9">
        <v>0</v>
      </c>
      <c r="S223" s="9">
        <v>0</v>
      </c>
      <c r="T223" s="9">
        <v>0</v>
      </c>
      <c r="U223" s="9"/>
      <c r="V223" s="9">
        <f>IF($C223="annual",IF(V$111=$B223,0,G223*$F223),IF(V$111-$B223=0,0,IF((V$111-$B223)&lt;$E223,AVERAGE(G223,H223)*$F223,IF((V$111-$B223)=$E223,G223*$F223/2,0))))</f>
        <v>0</v>
      </c>
      <c r="W223" s="9">
        <f t="shared" ref="W223:AA228" si="60">IF($C223="annual",IF(W$111=$B223,0,H223*$F223),IF(W$111-$B223=0,0,IF((W$111-$B223)&lt;$E223,AVERAGE(H223,I223)*$F223,IF((W$111-$B223)=$E223,H223*$F223/2,0))))</f>
        <v>0</v>
      </c>
      <c r="X223" s="9">
        <f t="shared" si="60"/>
        <v>0</v>
      </c>
      <c r="Y223" s="9">
        <f t="shared" si="60"/>
        <v>0</v>
      </c>
      <c r="Z223" s="9">
        <f t="shared" si="60"/>
        <v>0</v>
      </c>
      <c r="AA223" s="9">
        <f t="shared" si="60"/>
        <v>0</v>
      </c>
      <c r="AC223" s="243"/>
      <c r="AD223" s="243"/>
      <c r="AE223" s="148"/>
      <c r="AF223" s="243"/>
      <c r="AG223" s="243"/>
      <c r="AH223" s="243"/>
      <c r="AI223" s="243"/>
      <c r="AJ223" s="243"/>
      <c r="AK223" s="243"/>
      <c r="AL223" s="243"/>
      <c r="AM223" s="243"/>
      <c r="AN223" s="243"/>
      <c r="AO223" s="243"/>
      <c r="AP223" s="243"/>
      <c r="AQ223" s="243"/>
      <c r="AR223" s="243"/>
      <c r="AS223" s="243"/>
      <c r="AT223" s="243"/>
      <c r="AU223" s="244"/>
      <c r="AV223" s="244"/>
      <c r="AW223" s="244"/>
      <c r="AX223" s="243"/>
      <c r="AY223" s="243"/>
      <c r="AZ223" s="243"/>
    </row>
    <row r="224" spans="1:52" customFormat="1">
      <c r="A224" s="23"/>
      <c r="B224" s="7">
        <f>B223+1</f>
        <v>2019</v>
      </c>
      <c r="C224" s="13" t="str">
        <f>C223</f>
        <v>Semi-annual</v>
      </c>
      <c r="D224" s="13">
        <f>D223</f>
        <v>0</v>
      </c>
      <c r="E224" s="13">
        <f>E223</f>
        <v>0</v>
      </c>
      <c r="F224" s="14">
        <f>$M$93</f>
        <v>7.1007506480822574E-3</v>
      </c>
      <c r="G224" s="13"/>
      <c r="H224" s="9"/>
      <c r="I224" s="9">
        <f ca="1">$C$93/$C$31</f>
        <v>0</v>
      </c>
      <c r="J224" s="9">
        <f ca="1">I224-Q224</f>
        <v>0</v>
      </c>
      <c r="K224" s="9">
        <f ca="1">J224-R224</f>
        <v>0</v>
      </c>
      <c r="L224" s="9">
        <f ca="1">K224-S224</f>
        <v>0</v>
      </c>
      <c r="M224" s="9">
        <f ca="1">L224-T224</f>
        <v>0</v>
      </c>
      <c r="N224" s="9"/>
      <c r="O224" s="9"/>
      <c r="P224" s="9">
        <v>0</v>
      </c>
      <c r="Q224" s="9">
        <f ca="1">I224</f>
        <v>0</v>
      </c>
      <c r="R224" s="9">
        <v>0</v>
      </c>
      <c r="S224" s="9">
        <v>0</v>
      </c>
      <c r="T224" s="9">
        <v>0</v>
      </c>
      <c r="U224" s="9"/>
      <c r="V224" s="9"/>
      <c r="W224" s="9">
        <f t="shared" si="60"/>
        <v>0</v>
      </c>
      <c r="X224" s="9">
        <f t="shared" si="60"/>
        <v>0</v>
      </c>
      <c r="Y224" s="9">
        <f t="shared" si="60"/>
        <v>0</v>
      </c>
      <c r="Z224" s="9">
        <f t="shared" si="60"/>
        <v>0</v>
      </c>
      <c r="AA224" s="9">
        <f t="shared" si="60"/>
        <v>0</v>
      </c>
      <c r="AC224" s="243"/>
      <c r="AD224" s="243"/>
      <c r="AE224" s="148"/>
      <c r="AF224" s="243"/>
      <c r="AG224" s="243"/>
      <c r="AH224" s="243"/>
      <c r="AI224" s="243"/>
      <c r="AJ224" s="243"/>
      <c r="AK224" s="243"/>
      <c r="AL224" s="243"/>
      <c r="AM224" s="243"/>
      <c r="AN224" s="243"/>
      <c r="AO224" s="243"/>
      <c r="AP224" s="243"/>
      <c r="AQ224" s="243"/>
      <c r="AR224" s="243"/>
      <c r="AS224" s="243"/>
      <c r="AT224" s="243"/>
      <c r="AU224" s="244"/>
      <c r="AV224" s="244"/>
      <c r="AW224" s="244"/>
      <c r="AX224" s="243"/>
      <c r="AY224" s="243"/>
      <c r="AZ224" s="243"/>
    </row>
    <row r="225" spans="1:52" customFormat="1">
      <c r="A225" s="23"/>
      <c r="B225" s="7">
        <f>B224+1</f>
        <v>2020</v>
      </c>
      <c r="C225" s="13" t="str">
        <f>C224</f>
        <v>Semi-annual</v>
      </c>
      <c r="D225" s="13">
        <f t="shared" ref="D225:E228" si="61">D224</f>
        <v>0</v>
      </c>
      <c r="E225" s="13">
        <f t="shared" si="61"/>
        <v>0</v>
      </c>
      <c r="F225" s="14">
        <f>$N$93</f>
        <v>1.4545456510151461E-2</v>
      </c>
      <c r="G225" s="13"/>
      <c r="H225" s="9"/>
      <c r="I225" s="9"/>
      <c r="J225" s="9">
        <f ca="1">$D$93/$D$31</f>
        <v>0</v>
      </c>
      <c r="K225" s="9">
        <f ca="1">J225-R225</f>
        <v>0</v>
      </c>
      <c r="L225" s="9">
        <f ca="1">K225-S225</f>
        <v>0</v>
      </c>
      <c r="M225" s="9">
        <f ca="1">L225-T225</f>
        <v>0</v>
      </c>
      <c r="N225" s="9"/>
      <c r="O225" s="9"/>
      <c r="P225" s="9"/>
      <c r="Q225" s="9">
        <v>0</v>
      </c>
      <c r="R225" s="9">
        <f ca="1">J225</f>
        <v>0</v>
      </c>
      <c r="S225" s="9">
        <v>0</v>
      </c>
      <c r="T225" s="9">
        <v>0</v>
      </c>
      <c r="U225" s="9"/>
      <c r="V225" s="9"/>
      <c r="W225" s="9"/>
      <c r="X225" s="9">
        <f t="shared" si="60"/>
        <v>0</v>
      </c>
      <c r="Y225" s="9">
        <f t="shared" si="60"/>
        <v>0</v>
      </c>
      <c r="Z225" s="9">
        <f t="shared" si="60"/>
        <v>0</v>
      </c>
      <c r="AA225" s="9">
        <f t="shared" si="60"/>
        <v>0</v>
      </c>
      <c r="AC225" s="243"/>
      <c r="AD225" s="243"/>
      <c r="AE225" s="148"/>
      <c r="AF225" s="243"/>
      <c r="AG225" s="243"/>
      <c r="AH225" s="243"/>
      <c r="AI225" s="243"/>
      <c r="AJ225" s="243"/>
      <c r="AK225" s="243"/>
      <c r="AL225" s="243"/>
      <c r="AM225" s="243"/>
      <c r="AN225" s="243"/>
      <c r="AO225" s="243"/>
      <c r="AP225" s="243"/>
      <c r="AQ225" s="243"/>
      <c r="AR225" s="243"/>
      <c r="AS225" s="243"/>
      <c r="AT225" s="243"/>
      <c r="AU225" s="244"/>
      <c r="AV225" s="244"/>
      <c r="AW225" s="244"/>
      <c r="AX225" s="243"/>
      <c r="AY225" s="243"/>
      <c r="AZ225" s="243"/>
    </row>
    <row r="226" spans="1:52" customFormat="1">
      <c r="A226" s="23"/>
      <c r="B226" s="7">
        <f>B225+1</f>
        <v>2021</v>
      </c>
      <c r="C226" s="13" t="str">
        <f>C225</f>
        <v>Semi-annual</v>
      </c>
      <c r="D226" s="13">
        <f t="shared" si="61"/>
        <v>0</v>
      </c>
      <c r="E226" s="13">
        <f t="shared" si="61"/>
        <v>0</v>
      </c>
      <c r="F226" s="14">
        <f>$O$93</f>
        <v>0</v>
      </c>
      <c r="G226" s="13"/>
      <c r="H226" s="9"/>
      <c r="I226" s="9"/>
      <c r="J226" s="9"/>
      <c r="K226" s="9">
        <f ca="1">$E$93/$E$31</f>
        <v>0</v>
      </c>
      <c r="L226" s="9">
        <f ca="1">K226-S226</f>
        <v>0</v>
      </c>
      <c r="M226" s="9">
        <f ca="1">L226-T226</f>
        <v>0</v>
      </c>
      <c r="N226" s="9"/>
      <c r="O226" s="9"/>
      <c r="P226" s="9"/>
      <c r="Q226" s="9"/>
      <c r="R226" s="9">
        <v>0</v>
      </c>
      <c r="S226" s="9">
        <f ca="1">K226</f>
        <v>0</v>
      </c>
      <c r="T226" s="9">
        <v>0</v>
      </c>
      <c r="U226" s="9"/>
      <c r="V226" s="9"/>
      <c r="W226" s="9"/>
      <c r="X226" s="9"/>
      <c r="Y226" s="9">
        <f t="shared" si="60"/>
        <v>0</v>
      </c>
      <c r="Z226" s="9">
        <f t="shared" si="60"/>
        <v>0</v>
      </c>
      <c r="AA226" s="9">
        <f t="shared" si="60"/>
        <v>0</v>
      </c>
      <c r="AC226" s="243"/>
      <c r="AD226" s="243"/>
      <c r="AE226" s="148"/>
      <c r="AF226" s="243"/>
      <c r="AG226" s="243"/>
      <c r="AH226" s="243"/>
      <c r="AI226" s="243"/>
      <c r="AJ226" s="243"/>
      <c r="AK226" s="243"/>
      <c r="AL226" s="243"/>
      <c r="AM226" s="243"/>
      <c r="AN226" s="243"/>
      <c r="AO226" s="243"/>
      <c r="AP226" s="243"/>
      <c r="AQ226" s="243"/>
      <c r="AR226" s="243"/>
      <c r="AS226" s="243"/>
      <c r="AT226" s="243"/>
      <c r="AU226" s="244"/>
      <c r="AV226" s="244"/>
      <c r="AW226" s="244"/>
      <c r="AX226" s="243"/>
      <c r="AY226" s="243"/>
      <c r="AZ226" s="243"/>
    </row>
    <row r="227" spans="1:52" customFormat="1">
      <c r="A227" s="23"/>
      <c r="B227" s="7">
        <f>B226+1</f>
        <v>2022</v>
      </c>
      <c r="C227" s="13" t="str">
        <f>C226</f>
        <v>Semi-annual</v>
      </c>
      <c r="D227" s="13">
        <f t="shared" si="61"/>
        <v>0</v>
      </c>
      <c r="E227" s="13">
        <f t="shared" si="61"/>
        <v>0</v>
      </c>
      <c r="F227" s="14">
        <f>$P$93</f>
        <v>0</v>
      </c>
      <c r="G227" s="13"/>
      <c r="H227" s="9"/>
      <c r="I227" s="9"/>
      <c r="J227" s="9"/>
      <c r="K227" s="9"/>
      <c r="L227" s="9">
        <f ca="1">$F$93/$F$31</f>
        <v>0</v>
      </c>
      <c r="M227" s="9">
        <f ca="1">L227-T227</f>
        <v>0</v>
      </c>
      <c r="N227" s="9"/>
      <c r="O227" s="9"/>
      <c r="P227" s="9"/>
      <c r="Q227" s="9"/>
      <c r="R227" s="9"/>
      <c r="S227" s="9">
        <v>0</v>
      </c>
      <c r="T227" s="9">
        <f ca="1">L227</f>
        <v>0</v>
      </c>
      <c r="U227" s="9"/>
      <c r="V227" s="9"/>
      <c r="W227" s="9"/>
      <c r="X227" s="9"/>
      <c r="Y227" s="9"/>
      <c r="Z227" s="9">
        <f t="shared" si="60"/>
        <v>0</v>
      </c>
      <c r="AA227" s="9">
        <f t="shared" si="60"/>
        <v>0</v>
      </c>
      <c r="AC227" s="243"/>
      <c r="AD227" s="243"/>
      <c r="AE227" s="148"/>
      <c r="AF227" s="243"/>
      <c r="AG227" s="243"/>
      <c r="AH227" s="243"/>
      <c r="AI227" s="243"/>
      <c r="AJ227" s="243"/>
      <c r="AK227" s="243"/>
      <c r="AL227" s="243"/>
      <c r="AM227" s="243"/>
      <c r="AN227" s="243"/>
      <c r="AO227" s="243"/>
      <c r="AP227" s="243"/>
      <c r="AQ227" s="243"/>
      <c r="AR227" s="243"/>
      <c r="AS227" s="243"/>
      <c r="AT227" s="243"/>
      <c r="AU227" s="244"/>
      <c r="AV227" s="244"/>
      <c r="AW227" s="244"/>
      <c r="AX227" s="243"/>
      <c r="AY227" s="243"/>
      <c r="AZ227" s="243"/>
    </row>
    <row r="228" spans="1:52" customFormat="1">
      <c r="A228" s="23"/>
      <c r="B228" s="7">
        <f>B227+1</f>
        <v>2023</v>
      </c>
      <c r="C228" s="13" t="str">
        <f>C227</f>
        <v>Semi-annual</v>
      </c>
      <c r="D228" s="13">
        <f t="shared" si="61"/>
        <v>0</v>
      </c>
      <c r="E228" s="13">
        <f t="shared" si="61"/>
        <v>0</v>
      </c>
      <c r="F228" s="14">
        <f>$Q$93</f>
        <v>0</v>
      </c>
      <c r="G228" s="13"/>
      <c r="H228" s="9"/>
      <c r="I228" s="9"/>
      <c r="J228" s="9"/>
      <c r="K228" s="9"/>
      <c r="L228" s="9"/>
      <c r="M228" s="9">
        <f ca="1">$G$93/$G$31</f>
        <v>0</v>
      </c>
      <c r="N228" s="9"/>
      <c r="O228" s="9"/>
      <c r="P228" s="9"/>
      <c r="Q228" s="9"/>
      <c r="R228" s="9"/>
      <c r="S228" s="9"/>
      <c r="T228" s="9">
        <v>0</v>
      </c>
      <c r="U228" s="9"/>
      <c r="V228" s="9"/>
      <c r="W228" s="9"/>
      <c r="X228" s="9"/>
      <c r="Y228" s="9"/>
      <c r="Z228" s="9"/>
      <c r="AA228" s="9">
        <f t="shared" si="60"/>
        <v>0</v>
      </c>
      <c r="AC228" s="243"/>
      <c r="AD228" s="243"/>
      <c r="AE228" s="148"/>
      <c r="AF228" s="243"/>
      <c r="AG228" s="243"/>
      <c r="AH228" s="243"/>
      <c r="AI228" s="243"/>
      <c r="AJ228" s="243"/>
      <c r="AK228" s="243"/>
      <c r="AL228" s="243"/>
      <c r="AM228" s="243"/>
      <c r="AN228" s="243"/>
      <c r="AO228" s="243"/>
      <c r="AP228" s="243"/>
      <c r="AQ228" s="243"/>
      <c r="AR228" s="243"/>
      <c r="AS228" s="243"/>
      <c r="AT228" s="243"/>
      <c r="AU228" s="244"/>
      <c r="AV228" s="244"/>
      <c r="AW228" s="244"/>
      <c r="AX228" s="243"/>
      <c r="AY228" s="243"/>
      <c r="AZ228" s="243"/>
    </row>
    <row r="229" spans="1:52">
      <c r="AC229" s="243"/>
      <c r="AD229" s="243"/>
      <c r="AE229" s="148"/>
      <c r="AF229" s="243"/>
      <c r="AG229" s="243"/>
      <c r="AH229" s="243"/>
      <c r="AI229" s="243"/>
      <c r="AJ229" s="243"/>
      <c r="AK229" s="243"/>
      <c r="AL229" s="243"/>
      <c r="AM229" s="243"/>
      <c r="AN229" s="243"/>
      <c r="AO229" s="243"/>
      <c r="AP229" s="243"/>
      <c r="AQ229" s="243"/>
      <c r="AR229" s="243"/>
      <c r="AS229" s="243"/>
      <c r="AT229" s="243"/>
      <c r="AU229" s="244"/>
      <c r="AV229" s="244"/>
      <c r="AW229" s="244"/>
      <c r="AX229" s="243"/>
      <c r="AY229" s="243"/>
      <c r="AZ229" s="243"/>
    </row>
    <row r="230" spans="1:52" ht="15.75" thickBot="1">
      <c r="A230" s="11" t="str">
        <f>'Input 4 - Forecast'!A75</f>
        <v>Long-term debt 3/</v>
      </c>
      <c r="AC230" s="243"/>
      <c r="AD230" s="243"/>
      <c r="AE230" s="148"/>
      <c r="AF230" s="243"/>
      <c r="AG230" s="243"/>
      <c r="AH230" s="243"/>
      <c r="AI230" s="243"/>
      <c r="AJ230" s="243"/>
      <c r="AK230" s="243"/>
      <c r="AL230" s="243"/>
      <c r="AM230" s="243"/>
      <c r="AN230" s="243"/>
      <c r="AO230" s="243"/>
      <c r="AP230" s="243"/>
      <c r="AQ230" s="243"/>
      <c r="AR230" s="243"/>
      <c r="AS230" s="243"/>
      <c r="AT230" s="243"/>
      <c r="AU230" s="244"/>
      <c r="AV230" s="244"/>
      <c r="AW230" s="244"/>
      <c r="AX230" s="243"/>
      <c r="AY230" s="243"/>
      <c r="AZ230" s="243"/>
    </row>
    <row r="231" spans="1:52" ht="15.75" thickBot="1">
      <c r="A231" s="12" t="str">
        <f>'Input 4 - Forecast'!A76</f>
        <v>Denominated in local currency</v>
      </c>
      <c r="B231" s="1999" t="s">
        <v>51</v>
      </c>
      <c r="C231" s="2000"/>
      <c r="D231" s="2000"/>
      <c r="E231" s="2000"/>
      <c r="F231" s="2000"/>
      <c r="G231" s="2000"/>
      <c r="H231" s="2000"/>
      <c r="I231" s="2000"/>
      <c r="J231" s="2000"/>
      <c r="K231" s="2000"/>
      <c r="L231" s="2000"/>
      <c r="M231" s="2000"/>
      <c r="N231" s="2000"/>
      <c r="O231" s="2000"/>
      <c r="P231" s="2000"/>
      <c r="Q231" s="2000"/>
      <c r="R231" s="2000"/>
      <c r="S231" s="2000"/>
      <c r="T231" s="2000"/>
      <c r="U231" s="2000"/>
      <c r="V231" s="2000"/>
      <c r="W231" s="2000"/>
      <c r="X231" s="2000"/>
      <c r="Y231" s="2000"/>
      <c r="Z231" s="2000"/>
      <c r="AA231" s="2001"/>
      <c r="AC231" s="243"/>
      <c r="AD231" s="243"/>
      <c r="AE231" s="148"/>
      <c r="AF231" s="243"/>
      <c r="AG231" s="243"/>
      <c r="AH231" s="243"/>
      <c r="AI231" s="243"/>
      <c r="AJ231" s="243"/>
      <c r="AK231" s="243"/>
      <c r="AL231" s="243"/>
      <c r="AM231" s="243"/>
      <c r="AN231" s="243"/>
      <c r="AO231" s="243"/>
      <c r="AP231" s="243"/>
      <c r="AQ231" s="243"/>
      <c r="AR231" s="243"/>
      <c r="AS231" s="243"/>
      <c r="AT231" s="243"/>
      <c r="AU231" s="244"/>
      <c r="AV231" s="244"/>
      <c r="AW231" s="244"/>
      <c r="AX231" s="243"/>
      <c r="AY231" s="243"/>
      <c r="AZ231" s="243"/>
    </row>
    <row r="232" spans="1:52">
      <c r="AC232" s="243"/>
      <c r="AD232" s="243"/>
      <c r="AE232" s="148"/>
      <c r="AF232" s="243"/>
      <c r="AG232" s="243"/>
      <c r="AH232" s="243"/>
      <c r="AI232" s="243"/>
      <c r="AJ232" s="243"/>
      <c r="AK232" s="243"/>
      <c r="AL232" s="243"/>
      <c r="AM232" s="243"/>
      <c r="AN232" s="243"/>
      <c r="AO232" s="243"/>
      <c r="AP232" s="243"/>
      <c r="AQ232" s="243"/>
      <c r="AR232" s="243"/>
      <c r="AS232" s="243"/>
      <c r="AT232" s="243"/>
      <c r="AU232" s="244"/>
      <c r="AV232" s="244"/>
      <c r="AW232" s="244"/>
      <c r="AX232" s="243"/>
      <c r="AY232" s="243"/>
      <c r="AZ232" s="243"/>
    </row>
    <row r="233" spans="1:52">
      <c r="A233" s="8" t="str">
        <f>'Input 4 - Forecast'!A77</f>
        <v>Type 11</v>
      </c>
      <c r="B233" s="7">
        <f>B119</f>
        <v>2018</v>
      </c>
      <c r="C233" s="7" t="str">
        <f>$I96</f>
        <v>Annual</v>
      </c>
      <c r="D233" s="7">
        <f>$J96</f>
        <v>10</v>
      </c>
      <c r="E233" s="7">
        <f>$K96</f>
        <v>10</v>
      </c>
      <c r="F233" s="14">
        <f>$L$96</f>
        <v>1.125E-2</v>
      </c>
      <c r="H233" s="9">
        <f>$B$96</f>
        <v>499.99798625313935</v>
      </c>
      <c r="I233" s="9">
        <f>H233-P233</f>
        <v>499.99798625313935</v>
      </c>
      <c r="J233" s="9">
        <f>I233-Q233</f>
        <v>499.99798625313935</v>
      </c>
      <c r="K233" s="9">
        <f>J233-R233</f>
        <v>499.99798625313935</v>
      </c>
      <c r="L233" s="9">
        <f>K233-S233</f>
        <v>499.99798625313935</v>
      </c>
      <c r="M233" s="9">
        <f>L233-T233</f>
        <v>499.99798625313935</v>
      </c>
      <c r="N233" s="9"/>
      <c r="O233" s="9">
        <f t="shared" ref="O233:T233" si="62">IF(OR($C233="Annual",$D233=$E233),IF(AND($D233=$E233,O$111=$B233+$D233),$H233,IF(AND(O$111&gt;$B233+$D233,O$111&lt;=$B233+$E233), $H233/($E233-$D233),0)), IF(OR(O$111=$B233+$D233,O$111=$B233+$E233),$H233/(($E233-$D233)*2),IF(AND(O$111&gt;$B233+$D233,O$111&lt;$B233+$E233),$H233/($E233-$D233),0)))</f>
        <v>0</v>
      </c>
      <c r="P233" s="9">
        <f t="shared" si="62"/>
        <v>0</v>
      </c>
      <c r="Q233" s="9">
        <f t="shared" si="62"/>
        <v>0</v>
      </c>
      <c r="R233" s="9">
        <f t="shared" si="62"/>
        <v>0</v>
      </c>
      <c r="S233" s="9">
        <f t="shared" si="62"/>
        <v>0</v>
      </c>
      <c r="T233" s="9">
        <f t="shared" si="62"/>
        <v>0</v>
      </c>
      <c r="U233" s="9"/>
      <c r="V233" s="9">
        <f>IF($C233="annual",IF(V$111=$B233,0,G233*$F233),IF(V$111-$B233=0,0,IF((V$111-$B233)&lt;$E233,AVERAGE(G233,H233)*$F233,IF((V$111-$B233)=$E233,G233*$F233/2,0))))</f>
        <v>0</v>
      </c>
      <c r="W233" s="9">
        <f t="shared" ref="W233:AA238" si="63">IF($C233="annual",IF(W$111=$B233,0,H233*$F233),IF(W$111-$B233=0,0,IF((W$111-$B233)&lt;$E233,AVERAGE(H233,I233)*$F233,IF((W$111-$B233)=$E233,H233*$F233/2,0))))</f>
        <v>5.6249773453478173</v>
      </c>
      <c r="X233" s="9">
        <f t="shared" si="63"/>
        <v>5.6249773453478173</v>
      </c>
      <c r="Y233" s="9">
        <f t="shared" si="63"/>
        <v>5.6249773453478173</v>
      </c>
      <c r="Z233" s="9">
        <f t="shared" si="63"/>
        <v>5.6249773453478173</v>
      </c>
      <c r="AA233" s="9">
        <f t="shared" si="63"/>
        <v>5.6249773453478173</v>
      </c>
      <c r="AC233" s="243"/>
      <c r="AD233" s="243"/>
      <c r="AE233" s="148"/>
      <c r="AF233" s="243"/>
      <c r="AG233" s="243"/>
      <c r="AH233" s="243"/>
      <c r="AI233" s="243"/>
      <c r="AJ233" s="243"/>
      <c r="AK233" s="243"/>
      <c r="AL233" s="243"/>
      <c r="AM233" s="243"/>
      <c r="AN233" s="243"/>
      <c r="AO233" s="243"/>
      <c r="AP233" s="243"/>
      <c r="AQ233" s="243"/>
      <c r="AR233" s="243"/>
      <c r="AS233" s="243"/>
      <c r="AT233" s="243"/>
      <c r="AU233" s="244"/>
      <c r="AV233" s="244"/>
      <c r="AW233" s="244"/>
      <c r="AX233" s="243"/>
      <c r="AY233" s="243"/>
      <c r="AZ233" s="243"/>
    </row>
    <row r="234" spans="1:52">
      <c r="A234" s="8" t="str">
        <f>A233</f>
        <v>Type 11</v>
      </c>
      <c r="B234" s="7">
        <f>B233+1</f>
        <v>2019</v>
      </c>
      <c r="C234" s="7" t="str">
        <f>C233</f>
        <v>Annual</v>
      </c>
      <c r="D234" s="7">
        <f t="shared" ref="D234:E238" si="64">D233</f>
        <v>10</v>
      </c>
      <c r="E234" s="7">
        <f t="shared" si="64"/>
        <v>10</v>
      </c>
      <c r="F234" s="14">
        <f>$M$96</f>
        <v>2.5850750648082257E-2</v>
      </c>
      <c r="H234" s="9"/>
      <c r="I234" s="9">
        <f ca="1">$C$96</f>
        <v>0</v>
      </c>
      <c r="J234" s="9">
        <f ca="1">I234-Q234</f>
        <v>0</v>
      </c>
      <c r="K234" s="9">
        <f ca="1">J234-R234</f>
        <v>0</v>
      </c>
      <c r="L234" s="9">
        <f ca="1">K234-S234</f>
        <v>0</v>
      </c>
      <c r="M234" s="9">
        <f ca="1">L234-T234</f>
        <v>0</v>
      </c>
      <c r="N234" s="9"/>
      <c r="O234" s="9"/>
      <c r="P234" s="9">
        <f>IF(OR($C234="Annual",$D234=$E234),IF(AND($D234=$E234,P$111=$B234+$D234),$I234,IF(AND(P$111&gt;$B234+$D234,P$111&lt;=$B234+$E234), $I234/($E234-$D234),0)), IF(OR(P$111=$B234+$D234,P$111=$B234+$E234),$I234/(($E234-$D234)*2),IF(AND(P$111&gt;$B234+$D234,P$111&lt;$B234+$E234),$I234/($E234-$D234),0)))</f>
        <v>0</v>
      </c>
      <c r="Q234" s="9">
        <f>IF(OR($C234="Annual",$D234=$E234),IF(AND($D234=$E234,Q$111=$B234+$D234),$I234,IF(AND(Q$111&gt;$B234+$D234,Q$111&lt;=$B234+$E234), $I234/($E234-$D234),0)), IF(OR(Q$111=$B234+$D234,Q$111=$B234+$E234),$I234/(($E234-$D234)*2),IF(AND(Q$111&gt;$B234+$D234,Q$111&lt;$B234+$E234),$I234/($E234-$D234),0)))</f>
        <v>0</v>
      </c>
      <c r="R234" s="9">
        <f>IF(OR($C234="Annual",$D234=$E234),IF(AND($D234=$E234,R$111=$B234+$D234),$I234,IF(AND(R$111&gt;$B234+$D234,R$111&lt;=$B234+$E234), $I234/($E234-$D234),0)), IF(OR(R$111=$B234+$D234,R$111=$B234+$E234),$I234/(($E234-$D234)*2),IF(AND(R$111&gt;$B234+$D234,R$111&lt;$B234+$E234),$I234/($E234-$D234),0)))</f>
        <v>0</v>
      </c>
      <c r="S234" s="9">
        <f>IF(OR($C234="Annual",$D234=$E234),IF(AND($D234=$E234,S$111=$B234+$D234),$I234,IF(AND(S$111&gt;$B234+$D234,S$111&lt;=$B234+$E234), $I234/($E234-$D234),0)), IF(OR(S$111=$B234+$D234,S$111=$B234+$E234),$I234/(($E234-$D234)*2),IF(AND(S$111&gt;$B234+$D234,S$111&lt;$B234+$E234),$I234/($E234-$D234),0)))</f>
        <v>0</v>
      </c>
      <c r="T234" s="9">
        <f>IF(OR($C234="Annual",$D234=$E234),IF(AND($D234=$E234,T$111=$B234+$D234),$I234,IF(AND(T$111&gt;$B234+$D234,T$111&lt;=$B234+$E234), $I234/($E234-$D234),0)), IF(OR(T$111=$B234+$D234,T$111=$B234+$E234),$I234/(($E234-$D234)*2),IF(AND(T$111&gt;$B234+$D234,T$111&lt;$B234+$E234),$I234/($E234-$D234),0)))</f>
        <v>0</v>
      </c>
      <c r="U234" s="9"/>
      <c r="V234" s="9"/>
      <c r="W234" s="9">
        <f t="shared" si="63"/>
        <v>0</v>
      </c>
      <c r="X234" s="9">
        <f t="shared" ca="1" si="63"/>
        <v>0</v>
      </c>
      <c r="Y234" s="9">
        <f t="shared" ca="1" si="63"/>
        <v>0</v>
      </c>
      <c r="Z234" s="9">
        <f t="shared" ca="1" si="63"/>
        <v>0</v>
      </c>
      <c r="AA234" s="9">
        <f t="shared" ca="1" si="63"/>
        <v>0</v>
      </c>
      <c r="AC234" s="243"/>
      <c r="AD234" s="243"/>
      <c r="AE234" s="148"/>
      <c r="AF234" s="243"/>
      <c r="AG234" s="243"/>
      <c r="AH234" s="243"/>
      <c r="AI234" s="243"/>
      <c r="AJ234" s="243"/>
      <c r="AK234" s="243"/>
      <c r="AL234" s="243"/>
      <c r="AM234" s="243"/>
      <c r="AN234" s="243"/>
      <c r="AO234" s="243"/>
      <c r="AP234" s="243"/>
      <c r="AQ234" s="243"/>
      <c r="AR234" s="243"/>
      <c r="AS234" s="243"/>
      <c r="AT234" s="243"/>
      <c r="AU234" s="244"/>
      <c r="AV234" s="244"/>
      <c r="AW234" s="244"/>
      <c r="AX234" s="243"/>
      <c r="AY234" s="243"/>
      <c r="AZ234" s="243"/>
    </row>
    <row r="235" spans="1:52">
      <c r="A235" s="8" t="str">
        <f>A234</f>
        <v>Type 11</v>
      </c>
      <c r="B235" s="7">
        <f>B234+1</f>
        <v>2020</v>
      </c>
      <c r="C235" s="7" t="str">
        <f>C234</f>
        <v>Annual</v>
      </c>
      <c r="D235" s="7">
        <f t="shared" si="64"/>
        <v>10</v>
      </c>
      <c r="E235" s="7">
        <f t="shared" si="64"/>
        <v>10</v>
      </c>
      <c r="F235" s="14">
        <f>$N$96</f>
        <v>3.654545651015146E-2</v>
      </c>
      <c r="H235" s="9"/>
      <c r="I235" s="9"/>
      <c r="J235" s="9">
        <f ca="1">$D$96</f>
        <v>0</v>
      </c>
      <c r="K235" s="9">
        <f ca="1">J235-R235</f>
        <v>0</v>
      </c>
      <c r="L235" s="9">
        <f ca="1">K235-S235</f>
        <v>0</v>
      </c>
      <c r="M235" s="9">
        <f ca="1">L235-T235</f>
        <v>0</v>
      </c>
      <c r="N235" s="9"/>
      <c r="O235" s="9"/>
      <c r="P235" s="9"/>
      <c r="Q235" s="9">
        <f>IF(OR($C235="Annual",$D235=$E235),IF(AND($D235=$E235,Q$111=$B235+$D235),$J235,IF(AND(Q$111&gt;$B235+$D235,Q$111&lt;=$B235+$E235), $J235/($E235-$D235),0)), IF(OR(Q$111=$B235+$D235,Q$111=$B235+$E235),$J235/(($E235-$D235)*2),IF(AND(Q$111&gt;$B235+$D235,Q$111&lt;$B235+$E235),$J235/($E235-$D235),0)))</f>
        <v>0</v>
      </c>
      <c r="R235" s="9">
        <f>IF(OR($C235="Annual",$D235=$E235),IF(AND($D235=$E235,R$111=$B235+$D235),$J235,IF(AND(R$111&gt;$B235+$D235,R$111&lt;=$B235+$E235), $J235/($E235-$D235),0)), IF(OR(R$111=$B235+$D235,R$111=$B235+$E235),$J235/(($E235-$D235)*2),IF(AND(R$111&gt;$B235+$D235,R$111&lt;$B235+$E235),$J235/($E235-$D235),0)))</f>
        <v>0</v>
      </c>
      <c r="S235" s="9">
        <f>IF(OR($C235="Annual",$D235=$E235),IF(AND($D235=$E235,S$111=$B235+$D235),$J235,IF(AND(S$111&gt;$B235+$D235,S$111&lt;=$B235+$E235), $J235/($E235-$D235),0)), IF(OR(S$111=$B235+$D235,S$111=$B235+$E235),$J235/(($E235-$D235)*2),IF(AND(S$111&gt;$B235+$D235,S$111&lt;$B235+$E235),$J235/($E235-$D235),0)))</f>
        <v>0</v>
      </c>
      <c r="T235" s="9">
        <f>IF(OR($C235="Annual",$D235=$E235),IF(AND($D235=$E235,T$111=$B235+$D235),$J235,IF(AND(T$111&gt;$B235+$D235,T$111&lt;=$B235+$E235), $J235/($E235-$D235),0)), IF(OR(T$111=$B235+$D235,T$111=$B235+$E235),$J235/(($E235-$D235)*2),IF(AND(T$111&gt;$B235+$D235,T$111&lt;$B235+$E235),$J235/($E235-$D235),0)))</f>
        <v>0</v>
      </c>
      <c r="U235" s="9"/>
      <c r="V235" s="9"/>
      <c r="W235" s="9"/>
      <c r="X235" s="9">
        <f t="shared" si="63"/>
        <v>0</v>
      </c>
      <c r="Y235" s="9">
        <f t="shared" ca="1" si="63"/>
        <v>0</v>
      </c>
      <c r="Z235" s="9">
        <f t="shared" ca="1" si="63"/>
        <v>0</v>
      </c>
      <c r="AA235" s="9">
        <f t="shared" ca="1" si="63"/>
        <v>0</v>
      </c>
      <c r="AC235" s="243"/>
      <c r="AD235" s="243"/>
      <c r="AE235" s="148"/>
      <c r="AF235" s="243"/>
      <c r="AG235" s="243"/>
      <c r="AH235" s="243"/>
      <c r="AI235" s="243"/>
      <c r="AJ235" s="243"/>
      <c r="AK235" s="243"/>
      <c r="AL235" s="243"/>
      <c r="AM235" s="243"/>
      <c r="AN235" s="243"/>
      <c r="AO235" s="243"/>
      <c r="AP235" s="243"/>
      <c r="AQ235" s="243"/>
      <c r="AR235" s="243"/>
      <c r="AS235" s="243"/>
      <c r="AT235" s="243"/>
      <c r="AU235" s="244"/>
      <c r="AV235" s="244"/>
      <c r="AW235" s="244"/>
      <c r="AX235" s="243"/>
      <c r="AY235" s="243"/>
      <c r="AZ235" s="243"/>
    </row>
    <row r="236" spans="1:52">
      <c r="A236" s="8" t="str">
        <f>A235</f>
        <v>Type 11</v>
      </c>
      <c r="B236" s="7">
        <f>B235+1</f>
        <v>2021</v>
      </c>
      <c r="C236" s="7" t="str">
        <f>C235</f>
        <v>Annual</v>
      </c>
      <c r="D236" s="7">
        <f t="shared" si="64"/>
        <v>10</v>
      </c>
      <c r="E236" s="7">
        <f t="shared" si="64"/>
        <v>10</v>
      </c>
      <c r="F236" s="14">
        <f>$O$96</f>
        <v>2.1999999999999999E-2</v>
      </c>
      <c r="H236" s="9"/>
      <c r="I236" s="9"/>
      <c r="J236" s="9"/>
      <c r="K236" s="9">
        <f ca="1">$E$96</f>
        <v>0</v>
      </c>
      <c r="L236" s="9">
        <f ca="1">K236-S236</f>
        <v>0</v>
      </c>
      <c r="M236" s="9">
        <f ca="1">L236-T236</f>
        <v>0</v>
      </c>
      <c r="N236" s="9"/>
      <c r="O236" s="9"/>
      <c r="P236" s="9"/>
      <c r="Q236" s="9"/>
      <c r="R236" s="9">
        <f>IF(OR($C236="Annual",$D236=$E236),IF(AND($D236=$E236,R$111=$B236+$D236),$K236,IF(AND(R$111&gt;$B236+$D236,R$111&lt;=$B236+$E236), $K236/($E236-$D236),0)), IF(OR(R$111=$B236+$D236,R$111=$B236+$E236),$K236/(($E236-$D236)*2),IF(AND(R$111&gt;$B236+$D236,R$111&lt;$B236+$E236),$K236/($E236-$D236),0)))</f>
        <v>0</v>
      </c>
      <c r="S236" s="9">
        <f>IF(OR($C236="Annual",$D236=$E236),IF(AND($D236=$E236,S$111=$B236+$D236),$K236,IF(AND(S$111&gt;$B236+$D236,S$111&lt;=$B236+$E236), $K236/($E236-$D236),0)), IF(OR(S$111=$B236+$D236,S$111=$B236+$E236),$K236/(($E236-$D236)*2),IF(AND(S$111&gt;$B236+$D236,S$111&lt;$B236+$E236),$K236/($E236-$D236),0)))</f>
        <v>0</v>
      </c>
      <c r="T236" s="9">
        <f>IF(OR($C236="Annual",$D236=$E236),IF(AND($D236=$E236,T$111=$B236+$D236),$K236,IF(AND(T$111&gt;$B236+$D236,T$111&lt;=$B236+$E236), $K236/($E236-$D236),0)), IF(OR(T$111=$B236+$D236,T$111=$B236+$E236),$K236/(($E236-$D236)*2),IF(AND(T$111&gt;$B236+$D236,T$111&lt;$B236+$E236),$K236/($E236-$D236),0)))</f>
        <v>0</v>
      </c>
      <c r="U236" s="9"/>
      <c r="V236" s="9"/>
      <c r="W236" s="9"/>
      <c r="X236" s="9"/>
      <c r="Y236" s="9">
        <f t="shared" si="63"/>
        <v>0</v>
      </c>
      <c r="Z236" s="9">
        <f t="shared" ca="1" si="63"/>
        <v>0</v>
      </c>
      <c r="AA236" s="9">
        <f t="shared" ca="1" si="63"/>
        <v>0</v>
      </c>
      <c r="AC236" s="243"/>
      <c r="AD236" s="243"/>
      <c r="AE236" s="148"/>
      <c r="AF236" s="243"/>
      <c r="AG236" s="243"/>
      <c r="AH236" s="243"/>
      <c r="AI236" s="243"/>
      <c r="AJ236" s="243"/>
      <c r="AK236" s="243"/>
      <c r="AL236" s="243"/>
      <c r="AM236" s="243"/>
      <c r="AN236" s="243"/>
      <c r="AO236" s="243"/>
      <c r="AP236" s="243"/>
      <c r="AQ236" s="243"/>
      <c r="AR236" s="243"/>
      <c r="AS236" s="243"/>
      <c r="AT236" s="243"/>
      <c r="AU236" s="244"/>
      <c r="AV236" s="244"/>
      <c r="AW236" s="244"/>
      <c r="AX236" s="243"/>
      <c r="AY236" s="243"/>
      <c r="AZ236" s="243"/>
    </row>
    <row r="237" spans="1:52">
      <c r="A237" s="8" t="str">
        <f>A236</f>
        <v>Type 11</v>
      </c>
      <c r="B237" s="7">
        <f>B236+1</f>
        <v>2022</v>
      </c>
      <c r="C237" s="7" t="str">
        <f>C236</f>
        <v>Annual</v>
      </c>
      <c r="D237" s="7">
        <f t="shared" si="64"/>
        <v>10</v>
      </c>
      <c r="E237" s="7">
        <f t="shared" si="64"/>
        <v>10</v>
      </c>
      <c r="F237" s="14">
        <f>$P$96</f>
        <v>2.1999999999999999E-2</v>
      </c>
      <c r="H237" s="9"/>
      <c r="I237" s="9"/>
      <c r="J237" s="9"/>
      <c r="K237" s="9"/>
      <c r="L237" s="9">
        <f ca="1">$F$96</f>
        <v>0</v>
      </c>
      <c r="M237" s="9">
        <f ca="1">L237-T237</f>
        <v>0</v>
      </c>
      <c r="N237" s="9"/>
      <c r="O237" s="9"/>
      <c r="P237" s="9"/>
      <c r="Q237" s="9"/>
      <c r="R237" s="9"/>
      <c r="S237" s="9">
        <f>IF(OR($C237="Annual",$D237=$E237),IF(AND($D237=$E237,S$111=$B237+$D237),$L237,IF(AND(S$111&gt;$B237+$D237,S$111&lt;=$B237+$E237), $L237/($E237-$D237),0)), IF(OR(S$111=$B237+$D237,S$111=$B237+$E237),$L237/(($E237-$D237)*2),IF(AND(S$111&gt;$B237+$D237,S$111&lt;$B237+$E237),$L237/($E237-$D237),0)))</f>
        <v>0</v>
      </c>
      <c r="T237" s="9">
        <f>IF(OR($C237="Annual",$D237=$E237),IF(AND($D237=$E237,T$111=$B237+$D237),$L237,IF(AND(T$111&gt;$B237+$D237,T$111&lt;=$B237+$E237), $L237/($E237-$D237),0)), IF(OR(T$111=$B237+$D237,T$111=$B237+$E237),$L237/(($E237-$D237)*2),IF(AND(T$111&gt;$B237+$D237,T$111&lt;$B237+$E237),$L237/($E237-$D237),0)))</f>
        <v>0</v>
      </c>
      <c r="U237" s="9"/>
      <c r="V237" s="9"/>
      <c r="W237" s="9"/>
      <c r="X237" s="9"/>
      <c r="Y237" s="9"/>
      <c r="Z237" s="9">
        <f t="shared" si="63"/>
        <v>0</v>
      </c>
      <c r="AA237" s="9">
        <f t="shared" ca="1" si="63"/>
        <v>0</v>
      </c>
      <c r="AC237" s="243"/>
      <c r="AD237" s="243"/>
      <c r="AE237" s="148"/>
      <c r="AF237" s="243"/>
      <c r="AG237" s="243"/>
      <c r="AH237" s="243"/>
      <c r="AI237" s="243"/>
      <c r="AJ237" s="243"/>
      <c r="AK237" s="243"/>
      <c r="AL237" s="243"/>
      <c r="AM237" s="243"/>
      <c r="AN237" s="243"/>
      <c r="AO237" s="243"/>
      <c r="AP237" s="243"/>
      <c r="AQ237" s="243"/>
      <c r="AR237" s="243"/>
      <c r="AS237" s="243"/>
      <c r="AT237" s="243"/>
      <c r="AU237" s="244"/>
      <c r="AV237" s="244"/>
      <c r="AW237" s="244"/>
      <c r="AX237" s="243"/>
      <c r="AY237" s="243"/>
      <c r="AZ237" s="243"/>
    </row>
    <row r="238" spans="1:52">
      <c r="A238" s="8" t="str">
        <f>A237</f>
        <v>Type 11</v>
      </c>
      <c r="B238" s="7">
        <f>B237+1</f>
        <v>2023</v>
      </c>
      <c r="C238" s="7" t="str">
        <f>C237</f>
        <v>Annual</v>
      </c>
      <c r="D238" s="7">
        <f t="shared" si="64"/>
        <v>10</v>
      </c>
      <c r="E238" s="7">
        <f t="shared" si="64"/>
        <v>10</v>
      </c>
      <c r="F238" s="14">
        <f>$Q$96</f>
        <v>2.1999999999999999E-2</v>
      </c>
      <c r="H238" s="9"/>
      <c r="I238" s="9"/>
      <c r="J238" s="9"/>
      <c r="K238" s="9"/>
      <c r="L238" s="9"/>
      <c r="M238" s="9">
        <f ca="1">$G$96</f>
        <v>0</v>
      </c>
      <c r="N238" s="9"/>
      <c r="O238" s="9"/>
      <c r="P238" s="9"/>
      <c r="Q238" s="9"/>
      <c r="R238" s="9"/>
      <c r="S238" s="9"/>
      <c r="T238" s="9">
        <f>IF(OR($C238="Annual",$D238=$E238),IF(AND($D238=$E238,T$111=$B238+$D238),$M238,IF(AND(T$111&gt;$B238+$D238,T$111&lt;=$B238+$E238), $M238/($E238-$D238),0)), IF(OR(T$111=$B238+$D238,T$111=$B238+$E238),$M238/(($E238-$D238)*2),IF(AND(T$111&gt;$B238+$D238,T$111&lt;$B238+$E238),$M238/($E238-$D238),0)))</f>
        <v>0</v>
      </c>
      <c r="U238" s="9"/>
      <c r="V238" s="9"/>
      <c r="W238" s="9"/>
      <c r="X238" s="9"/>
      <c r="Y238" s="9"/>
      <c r="Z238" s="9"/>
      <c r="AA238" s="9">
        <f t="shared" si="63"/>
        <v>0</v>
      </c>
      <c r="AC238" s="243"/>
      <c r="AD238" s="243"/>
      <c r="AE238" s="148"/>
      <c r="AF238" s="243"/>
      <c r="AG238" s="243"/>
      <c r="AH238" s="243"/>
      <c r="AI238" s="243"/>
      <c r="AJ238" s="243"/>
      <c r="AK238" s="243"/>
      <c r="AL238" s="243"/>
      <c r="AM238" s="243"/>
      <c r="AN238" s="243"/>
      <c r="AO238" s="243"/>
      <c r="AP238" s="243"/>
      <c r="AQ238" s="243"/>
      <c r="AR238" s="243"/>
      <c r="AS238" s="243"/>
      <c r="AT238" s="243"/>
      <c r="AU238" s="244"/>
      <c r="AV238" s="244"/>
      <c r="AW238" s="244"/>
      <c r="AX238" s="243"/>
      <c r="AY238" s="243"/>
      <c r="AZ238" s="243"/>
    </row>
    <row r="239" spans="1:52">
      <c r="C239" s="281"/>
      <c r="F239" s="15"/>
      <c r="H239" s="10"/>
      <c r="I239" s="10"/>
      <c r="J239" s="10"/>
      <c r="K239" s="10"/>
      <c r="L239" s="10"/>
      <c r="M239" s="10"/>
      <c r="N239" s="10"/>
      <c r="O239" s="278"/>
      <c r="P239" s="10"/>
      <c r="Q239" s="10"/>
      <c r="R239" s="10"/>
      <c r="S239" s="10"/>
      <c r="T239" s="10"/>
      <c r="U239" s="10"/>
      <c r="V239" s="10"/>
      <c r="W239" s="10"/>
      <c r="X239" s="10"/>
      <c r="Y239" s="10"/>
      <c r="Z239" s="10"/>
      <c r="AA239" s="10"/>
      <c r="AC239" s="243"/>
      <c r="AD239" s="243"/>
      <c r="AE239" s="148"/>
      <c r="AF239" s="243"/>
      <c r="AG239" s="243"/>
      <c r="AH239" s="243"/>
      <c r="AI239" s="243"/>
      <c r="AJ239" s="243"/>
      <c r="AK239" s="243"/>
      <c r="AL239" s="243"/>
      <c r="AM239" s="243"/>
      <c r="AN239" s="243"/>
      <c r="AO239" s="243"/>
      <c r="AP239" s="243"/>
      <c r="AQ239" s="243"/>
      <c r="AR239" s="243"/>
      <c r="AS239" s="243"/>
      <c r="AT239" s="243"/>
      <c r="AU239" s="244"/>
      <c r="AV239" s="244"/>
      <c r="AW239" s="244"/>
      <c r="AX239" s="243"/>
      <c r="AY239" s="243"/>
      <c r="AZ239" s="243"/>
    </row>
    <row r="240" spans="1:52">
      <c r="A240" s="8" t="str">
        <f>'Input 4 - Forecast'!A78</f>
        <v>Type 12</v>
      </c>
      <c r="B240" s="7">
        <f>B119</f>
        <v>2018</v>
      </c>
      <c r="C240" s="7" t="str">
        <f>$I97</f>
        <v>Annual</v>
      </c>
      <c r="D240" s="7">
        <f>$J97</f>
        <v>30</v>
      </c>
      <c r="E240" s="7">
        <f>$K97</f>
        <v>30</v>
      </c>
      <c r="F240" s="14">
        <f>$L$97</f>
        <v>2.2499999999999999E-2</v>
      </c>
      <c r="H240" s="9">
        <f>$B$97</f>
        <v>499.99798625313935</v>
      </c>
      <c r="I240" s="9">
        <f>H240-P240</f>
        <v>499.99798625313935</v>
      </c>
      <c r="J240" s="9">
        <f>I240-Q240</f>
        <v>499.99798625313935</v>
      </c>
      <c r="K240" s="9">
        <f>J240-R240</f>
        <v>499.99798625313935</v>
      </c>
      <c r="L240" s="9">
        <f>K240-S240</f>
        <v>499.99798625313935</v>
      </c>
      <c r="M240" s="9">
        <f>L240-T240</f>
        <v>499.99798625313935</v>
      </c>
      <c r="N240" s="9"/>
      <c r="O240" s="9">
        <f t="shared" ref="O240:T240" si="65">IF(OR($C240="Annual",$D240=$E240),IF(AND($D240=$E240,O$111=$B240+$D240),$H240,IF(AND(O$111&gt;$B240+$D240,O$111&lt;=$B240+$E240), $H240/($E240-$D240),0)), IF(OR(O$111=$B240+$D240,O$111=$B240+$E240),$H240/(($E240-$D240)*2),IF(AND(O$111&gt;$B240+$D240,O$111&lt;$B240+$E240),$H240/($E240-$D240),0)))</f>
        <v>0</v>
      </c>
      <c r="P240" s="9">
        <f t="shared" si="65"/>
        <v>0</v>
      </c>
      <c r="Q240" s="9">
        <f t="shared" si="65"/>
        <v>0</v>
      </c>
      <c r="R240" s="9">
        <f t="shared" si="65"/>
        <v>0</v>
      </c>
      <c r="S240" s="9">
        <f t="shared" si="65"/>
        <v>0</v>
      </c>
      <c r="T240" s="9">
        <f t="shared" si="65"/>
        <v>0</v>
      </c>
      <c r="U240" s="9"/>
      <c r="V240" s="9">
        <f>IF($C240="annual",IF(V$111=$B240,0,G240*$F240),IF(V$111-$B240=0,0,IF((V$111-$B240)&lt;$E240,AVERAGE(G240,H240)*$F240,IF((V$111-$B240)=$E240,G240*$F240/2,0))))</f>
        <v>0</v>
      </c>
      <c r="W240" s="9">
        <f t="shared" ref="W240:AA245" si="66">IF($C240="annual",IF(W$111=$B240,0,H240*$F240),IF(W$111-$B240=0,0,IF((W$111-$B240)&lt;$E240,AVERAGE(H240,I240)*$F240,IF((W$111-$B240)=$E240,H240*$F240/2,0))))</f>
        <v>11.249954690695635</v>
      </c>
      <c r="X240" s="9">
        <f t="shared" si="66"/>
        <v>11.249954690695635</v>
      </c>
      <c r="Y240" s="9">
        <f t="shared" si="66"/>
        <v>11.249954690695635</v>
      </c>
      <c r="Z240" s="9">
        <f t="shared" si="66"/>
        <v>11.249954690695635</v>
      </c>
      <c r="AA240" s="9">
        <f t="shared" si="66"/>
        <v>11.249954690695635</v>
      </c>
      <c r="AC240" s="243"/>
      <c r="AD240" s="243"/>
      <c r="AE240" s="148"/>
      <c r="AF240" s="243"/>
      <c r="AG240" s="243"/>
      <c r="AH240" s="243"/>
      <c r="AI240" s="243"/>
      <c r="AJ240" s="243"/>
      <c r="AK240" s="243"/>
      <c r="AL240" s="243"/>
      <c r="AM240" s="243"/>
      <c r="AN240" s="243"/>
      <c r="AO240" s="243"/>
      <c r="AP240" s="243"/>
      <c r="AQ240" s="243"/>
      <c r="AR240" s="243"/>
      <c r="AS240" s="243"/>
      <c r="AT240" s="243"/>
      <c r="AU240" s="244"/>
      <c r="AV240" s="244"/>
      <c r="AW240" s="244"/>
      <c r="AX240" s="243"/>
      <c r="AY240" s="243"/>
      <c r="AZ240" s="243"/>
    </row>
    <row r="241" spans="1:52">
      <c r="A241" s="8" t="str">
        <f>A240</f>
        <v>Type 12</v>
      </c>
      <c r="B241" s="7">
        <f>B240+1</f>
        <v>2019</v>
      </c>
      <c r="C241" s="7" t="str">
        <f>C240</f>
        <v>Annual</v>
      </c>
      <c r="D241" s="7">
        <f>D240</f>
        <v>30</v>
      </c>
      <c r="E241" s="7">
        <f>E240</f>
        <v>30</v>
      </c>
      <c r="F241" s="14">
        <f>$M$97</f>
        <v>7.1007506480822574E-3</v>
      </c>
      <c r="H241" s="9"/>
      <c r="I241" s="9">
        <f ca="1">$C$97</f>
        <v>0</v>
      </c>
      <c r="J241" s="9">
        <f ca="1">I241-Q241</f>
        <v>0</v>
      </c>
      <c r="K241" s="9">
        <f ca="1">J241-R241</f>
        <v>0</v>
      </c>
      <c r="L241" s="9">
        <f ca="1">K241-S241</f>
        <v>0</v>
      </c>
      <c r="M241" s="9">
        <f ca="1">L241-T241</f>
        <v>0</v>
      </c>
      <c r="N241" s="9"/>
      <c r="O241" s="9"/>
      <c r="P241" s="9">
        <f>IF(OR($C241="Annual",$D241=$E241),IF(AND($D241=$E241,P$111=$B241+$D241),$I241,IF(AND(P$111&gt;$B241+$D241,P$111&lt;=$B241+$E241), $I241/($E241-$D241),0)), IF(OR(P$111=$B241+$D241,P$111=$B241+$E241),$I241/(($E241-$D241)*2),IF(AND(P$111&gt;$B241+$D241,P$111&lt;$B241+$E241),$I241/($E241-$D241),0)))</f>
        <v>0</v>
      </c>
      <c r="Q241" s="9">
        <f>IF(OR($C241="Annual",$D241=$E241),IF(AND($D241=$E241,Q$111=$B241+$D241),$I241,IF(AND(Q$111&gt;$B241+$D241,Q$111&lt;=$B241+$E241), $I241/($E241-$D241),0)), IF(OR(Q$111=$B241+$D241,Q$111=$B241+$E241),$I241/(($E241-$D241)*2),IF(AND(Q$111&gt;$B241+$D241,Q$111&lt;$B241+$E241),$I241/($E241-$D241),0)))</f>
        <v>0</v>
      </c>
      <c r="R241" s="9">
        <f>IF(OR($C241="Annual",$D241=$E241),IF(AND($D241=$E241,R$111=$B241+$D241),$I241,IF(AND(R$111&gt;$B241+$D241,R$111&lt;=$B241+$E241), $I241/($E241-$D241),0)), IF(OR(R$111=$B241+$D241,R$111=$B241+$E241),$I241/(($E241-$D241)*2),IF(AND(R$111&gt;$B241+$D241,R$111&lt;$B241+$E241),$I241/($E241-$D241),0)))</f>
        <v>0</v>
      </c>
      <c r="S241" s="9">
        <f>IF(OR($C241="Annual",$D241=$E241),IF(AND($D241=$E241,S$111=$B241+$D241),$I241,IF(AND(S$111&gt;$B241+$D241,S$111&lt;=$B241+$E241), $I241/($E241-$D241),0)), IF(OR(S$111=$B241+$D241,S$111=$B241+$E241),$I241/(($E241-$D241)*2),IF(AND(S$111&gt;$B241+$D241,S$111&lt;$B241+$E241),$I241/($E241-$D241),0)))</f>
        <v>0</v>
      </c>
      <c r="T241" s="9">
        <f>IF(OR($C241="Annual",$D241=$E241),IF(AND($D241=$E241,T$111=$B241+$D241),$I241,IF(AND(T$111&gt;$B241+$D241,T$111&lt;=$B241+$E241), $I241/($E241-$D241),0)), IF(OR(T$111=$B241+$D241,T$111=$B241+$E241),$I241/(($E241-$D241)*2),IF(AND(T$111&gt;$B241+$D241,T$111&lt;$B241+$E241),$I241/($E241-$D241),0)))</f>
        <v>0</v>
      </c>
      <c r="U241" s="9"/>
      <c r="V241" s="9"/>
      <c r="W241" s="9">
        <f t="shared" si="66"/>
        <v>0</v>
      </c>
      <c r="X241" s="9">
        <f t="shared" ca="1" si="66"/>
        <v>0</v>
      </c>
      <c r="Y241" s="9">
        <f t="shared" ca="1" si="66"/>
        <v>0</v>
      </c>
      <c r="Z241" s="9">
        <f t="shared" ca="1" si="66"/>
        <v>0</v>
      </c>
      <c r="AA241" s="9">
        <f t="shared" ca="1" si="66"/>
        <v>0</v>
      </c>
      <c r="AC241" s="243"/>
      <c r="AD241" s="243"/>
      <c r="AE241" s="148"/>
      <c r="AF241" s="243"/>
      <c r="AG241" s="243"/>
      <c r="AH241" s="243"/>
      <c r="AI241" s="243"/>
      <c r="AJ241" s="243"/>
      <c r="AK241" s="243"/>
      <c r="AL241" s="243"/>
      <c r="AM241" s="243"/>
      <c r="AN241" s="243"/>
      <c r="AO241" s="243"/>
      <c r="AP241" s="243"/>
      <c r="AQ241" s="243"/>
      <c r="AR241" s="243"/>
      <c r="AS241" s="243"/>
      <c r="AT241" s="243"/>
      <c r="AU241" s="244"/>
      <c r="AV241" s="244"/>
      <c r="AW241" s="244"/>
      <c r="AX241" s="243"/>
      <c r="AY241" s="243"/>
      <c r="AZ241" s="243"/>
    </row>
    <row r="242" spans="1:52">
      <c r="A242" s="8" t="str">
        <f>A241</f>
        <v>Type 12</v>
      </c>
      <c r="B242" s="7">
        <f>B241+1</f>
        <v>2020</v>
      </c>
      <c r="C242" s="7" t="str">
        <f>C241</f>
        <v>Annual</v>
      </c>
      <c r="D242" s="7">
        <f t="shared" ref="D242:E245" si="67">D241</f>
        <v>30</v>
      </c>
      <c r="E242" s="7">
        <f t="shared" si="67"/>
        <v>30</v>
      </c>
      <c r="F242" s="14">
        <f>$N$97</f>
        <v>1.4545456510151461E-2</v>
      </c>
      <c r="H242" s="9"/>
      <c r="I242" s="9"/>
      <c r="J242" s="9">
        <f ca="1">$D$97</f>
        <v>0</v>
      </c>
      <c r="K242" s="9">
        <f ca="1">J242-R242</f>
        <v>0</v>
      </c>
      <c r="L242" s="9">
        <f ca="1">K242-S242</f>
        <v>0</v>
      </c>
      <c r="M242" s="9">
        <f ca="1">L242-T242</f>
        <v>0</v>
      </c>
      <c r="N242" s="9"/>
      <c r="O242" s="9"/>
      <c r="P242" s="9"/>
      <c r="Q242" s="9">
        <f>IF(OR($C242="Annual",$D242=$E242),IF(AND($D242=$E242,Q$111=$B242+$D242),$J242,IF(AND(Q$111&gt;$B242+$D242,Q$111&lt;=$B242+$E242), $J242/($E242-$D242),0)), IF(OR(Q$111=$B242+$D242,Q$111=$B242+$E242),$J242/(($E242-$D242)*2),IF(AND(Q$111&gt;$B242+$D242,Q$111&lt;$B242+$E242),$J242/($E242-$D242),0)))</f>
        <v>0</v>
      </c>
      <c r="R242" s="9">
        <f>IF(OR($C242="Annual",$D242=$E242),IF(AND($D242=$E242,R$111=$B242+$D242),$J242,IF(AND(R$111&gt;$B242+$D242,R$111&lt;=$B242+$E242), $J242/($E242-$D242),0)), IF(OR(R$111=$B242+$D242,R$111=$B242+$E242),$J242/(($E242-$D242)*2),IF(AND(R$111&gt;$B242+$D242,R$111&lt;$B242+$E242),$J242/($E242-$D242),0)))</f>
        <v>0</v>
      </c>
      <c r="S242" s="9">
        <f>IF(OR($C242="Annual",$D242=$E242),IF(AND($D242=$E242,S$111=$B242+$D242),$J242,IF(AND(S$111&gt;$B242+$D242,S$111&lt;=$B242+$E242), $J242/($E242-$D242),0)), IF(OR(S$111=$B242+$D242,S$111=$B242+$E242),$J242/(($E242-$D242)*2),IF(AND(S$111&gt;$B242+$D242,S$111&lt;$B242+$E242),$J242/($E242-$D242),0)))</f>
        <v>0</v>
      </c>
      <c r="T242" s="9">
        <f>IF(OR($C242="Annual",$D242=$E242),IF(AND($D242=$E242,T$111=$B242+$D242),$J242,IF(AND(T$111&gt;$B242+$D242,T$111&lt;=$B242+$E242), $J242/($E242-$D242),0)), IF(OR(T$111=$B242+$D242,T$111=$B242+$E242),$J242/(($E242-$D242)*2),IF(AND(T$111&gt;$B242+$D242,T$111&lt;$B242+$E242),$J242/($E242-$D242),0)))</f>
        <v>0</v>
      </c>
      <c r="U242" s="9"/>
      <c r="V242" s="9"/>
      <c r="W242" s="9"/>
      <c r="X242" s="9">
        <f t="shared" si="66"/>
        <v>0</v>
      </c>
      <c r="Y242" s="9">
        <f t="shared" ca="1" si="66"/>
        <v>0</v>
      </c>
      <c r="Z242" s="9">
        <f t="shared" ca="1" si="66"/>
        <v>0</v>
      </c>
      <c r="AA242" s="9">
        <f t="shared" ca="1" si="66"/>
        <v>0</v>
      </c>
      <c r="AC242" s="243"/>
      <c r="AD242" s="243"/>
      <c r="AE242" s="148"/>
      <c r="AF242" s="243"/>
      <c r="AG242" s="243"/>
      <c r="AH242" s="243"/>
      <c r="AI242" s="243"/>
      <c r="AJ242" s="243"/>
      <c r="AK242" s="243"/>
      <c r="AL242" s="243"/>
      <c r="AM242" s="243"/>
      <c r="AN242" s="243"/>
      <c r="AO242" s="243"/>
      <c r="AP242" s="243"/>
      <c r="AQ242" s="243"/>
      <c r="AR242" s="243"/>
      <c r="AS242" s="243"/>
      <c r="AT242" s="243"/>
      <c r="AU242" s="244"/>
      <c r="AV242" s="244"/>
      <c r="AW242" s="244"/>
      <c r="AX242" s="243"/>
      <c r="AY242" s="243"/>
      <c r="AZ242" s="243"/>
    </row>
    <row r="243" spans="1:52">
      <c r="A243" s="8" t="str">
        <f>A242</f>
        <v>Type 12</v>
      </c>
      <c r="B243" s="7">
        <f>B242+1</f>
        <v>2021</v>
      </c>
      <c r="C243" s="7" t="str">
        <f>C242</f>
        <v>Annual</v>
      </c>
      <c r="D243" s="7">
        <f t="shared" si="67"/>
        <v>30</v>
      </c>
      <c r="E243" s="7">
        <f t="shared" si="67"/>
        <v>30</v>
      </c>
      <c r="F243" s="14">
        <f>$O$97</f>
        <v>0</v>
      </c>
      <c r="H243" s="9"/>
      <c r="I243" s="9"/>
      <c r="J243" s="9"/>
      <c r="K243" s="9">
        <f ca="1">$E$97</f>
        <v>0</v>
      </c>
      <c r="L243" s="9">
        <f ca="1">K243-S243</f>
        <v>0</v>
      </c>
      <c r="M243" s="9">
        <f ca="1">L243-T243</f>
        <v>0</v>
      </c>
      <c r="N243" s="9"/>
      <c r="O243" s="9"/>
      <c r="P243" s="9"/>
      <c r="Q243" s="9"/>
      <c r="R243" s="9">
        <f>IF(OR($C243="Annual",$D243=$E243),IF(AND($D243=$E243,R$111=$B243+$D243),$K243,IF(AND(R$111&gt;$B243+$D243,R$111&lt;=$B243+$E243), $K243/($E243-$D243),0)), IF(OR(R$111=$B243+$D243,R$111=$B243+$E243),$K243/(($E243-$D243)*2),IF(AND(R$111&gt;$B243+$D243,R$111&lt;$B243+$E243),$K243/($E243-$D243),0)))</f>
        <v>0</v>
      </c>
      <c r="S243" s="9">
        <f>IF(OR($C243="Annual",$D243=$E243),IF(AND($D243=$E243,S$111=$B243+$D243),$K243,IF(AND(S$111&gt;$B243+$D243,S$111&lt;=$B243+$E243), $K243/($E243-$D243),0)), IF(OR(S$111=$B243+$D243,S$111=$B243+$E243),$K243/(($E243-$D243)*2),IF(AND(S$111&gt;$B243+$D243,S$111&lt;$B243+$E243),$K243/($E243-$D243),0)))</f>
        <v>0</v>
      </c>
      <c r="T243" s="9">
        <f>IF(OR($C243="Annual",$D243=$E243),IF(AND($D243=$E243,T$111=$B243+$D243),$K243,IF(AND(T$111&gt;$B243+$D243,T$111&lt;=$B243+$E243), $K243/($E243-$D243),0)), IF(OR(T$111=$B243+$D243,T$111=$B243+$E243),$K243/(($E243-$D243)*2),IF(AND(T$111&gt;$B243+$D243,T$111&lt;$B243+$E243),$K243/($E243-$D243),0)))</f>
        <v>0</v>
      </c>
      <c r="U243" s="9"/>
      <c r="V243" s="9"/>
      <c r="W243" s="9"/>
      <c r="X243" s="9"/>
      <c r="Y243" s="9">
        <f t="shared" si="66"/>
        <v>0</v>
      </c>
      <c r="Z243" s="9">
        <f t="shared" ca="1" si="66"/>
        <v>0</v>
      </c>
      <c r="AA243" s="9">
        <f t="shared" ca="1" si="66"/>
        <v>0</v>
      </c>
      <c r="AC243" s="243"/>
      <c r="AD243" s="243"/>
      <c r="AE243" s="148"/>
      <c r="AF243" s="243"/>
      <c r="AG243" s="243"/>
      <c r="AH243" s="243"/>
      <c r="AI243" s="243"/>
      <c r="AJ243" s="243"/>
      <c r="AK243" s="243"/>
      <c r="AL243" s="243"/>
      <c r="AM243" s="243"/>
      <c r="AN243" s="243"/>
      <c r="AO243" s="243"/>
      <c r="AP243" s="243"/>
      <c r="AQ243" s="243"/>
      <c r="AR243" s="243"/>
      <c r="AS243" s="243"/>
      <c r="AT243" s="243"/>
      <c r="AU243" s="244"/>
      <c r="AV243" s="244"/>
      <c r="AW243" s="244"/>
      <c r="AX243" s="243"/>
      <c r="AY243" s="243"/>
      <c r="AZ243" s="243"/>
    </row>
    <row r="244" spans="1:52">
      <c r="A244" s="8" t="str">
        <f>A243</f>
        <v>Type 12</v>
      </c>
      <c r="B244" s="7">
        <f>B243+1</f>
        <v>2022</v>
      </c>
      <c r="C244" s="7" t="str">
        <f>C243</f>
        <v>Annual</v>
      </c>
      <c r="D244" s="7">
        <f t="shared" si="67"/>
        <v>30</v>
      </c>
      <c r="E244" s="7">
        <f t="shared" si="67"/>
        <v>30</v>
      </c>
      <c r="F244" s="14">
        <f>$P$97</f>
        <v>0</v>
      </c>
      <c r="H244" s="9"/>
      <c r="I244" s="9"/>
      <c r="J244" s="9"/>
      <c r="K244" s="9"/>
      <c r="L244" s="9">
        <f ca="1">$F$97</f>
        <v>0</v>
      </c>
      <c r="M244" s="9">
        <f ca="1">L244-T244</f>
        <v>0</v>
      </c>
      <c r="N244" s="9"/>
      <c r="O244" s="9"/>
      <c r="P244" s="9"/>
      <c r="Q244" s="9"/>
      <c r="R244" s="9"/>
      <c r="S244" s="9">
        <f>IF(OR($C244="Annual",$D244=$E244),IF(AND($D244=$E244,S$111=$B244+$D244),$L244,IF(AND(S$111&gt;$B244+$D244,S$111&lt;=$B244+$E244), $L244/($E244-$D244),0)), IF(OR(S$111=$B244+$D244,S$111=$B244+$E244),$L244/(($E244-$D244)*2),IF(AND(S$111&gt;$B244+$D244,S$111&lt;$B244+$E244),$L244/($E244-$D244),0)))</f>
        <v>0</v>
      </c>
      <c r="T244" s="9">
        <f>IF(OR($C244="Annual",$D244=$E244),IF(AND($D244=$E244,T$111=$B244+$D244),$L244,IF(AND(T$111&gt;$B244+$D244,T$111&lt;=$B244+$E244), $L244/($E244-$D244),0)), IF(OR(T$111=$B244+$D244,T$111=$B244+$E244),$L244/(($E244-$D244)*2),IF(AND(T$111&gt;$B244+$D244,T$111&lt;$B244+$E244),$L244/($E244-$D244),0)))</f>
        <v>0</v>
      </c>
      <c r="U244" s="9"/>
      <c r="V244" s="9"/>
      <c r="W244" s="9"/>
      <c r="X244" s="9"/>
      <c r="Y244" s="9"/>
      <c r="Z244" s="9">
        <f t="shared" si="66"/>
        <v>0</v>
      </c>
      <c r="AA244" s="9">
        <f t="shared" ca="1" si="66"/>
        <v>0</v>
      </c>
      <c r="AC244" s="243"/>
      <c r="AD244" s="243"/>
      <c r="AE244" s="148"/>
      <c r="AF244" s="243"/>
      <c r="AG244" s="243"/>
      <c r="AH244" s="243"/>
      <c r="AI244" s="243"/>
      <c r="AJ244" s="243"/>
      <c r="AK244" s="243"/>
      <c r="AL244" s="243"/>
      <c r="AM244" s="243"/>
      <c r="AN244" s="243"/>
      <c r="AO244" s="243"/>
      <c r="AP244" s="243"/>
      <c r="AQ244" s="243"/>
      <c r="AR244" s="243"/>
      <c r="AS244" s="243"/>
      <c r="AT244" s="243"/>
      <c r="AU244" s="244"/>
      <c r="AV244" s="244"/>
      <c r="AW244" s="244"/>
      <c r="AX244" s="243"/>
      <c r="AY244" s="243"/>
      <c r="AZ244" s="243"/>
    </row>
    <row r="245" spans="1:52">
      <c r="A245" s="8" t="str">
        <f>A244</f>
        <v>Type 12</v>
      </c>
      <c r="B245" s="7">
        <f>B244+1</f>
        <v>2023</v>
      </c>
      <c r="C245" s="7" t="str">
        <f>C244</f>
        <v>Annual</v>
      </c>
      <c r="D245" s="7">
        <f t="shared" si="67"/>
        <v>30</v>
      </c>
      <c r="E245" s="7">
        <f t="shared" si="67"/>
        <v>30</v>
      </c>
      <c r="F245" s="14">
        <f>$Q$97</f>
        <v>0</v>
      </c>
      <c r="H245" s="9"/>
      <c r="I245" s="9"/>
      <c r="J245" s="9"/>
      <c r="K245" s="9"/>
      <c r="L245" s="9"/>
      <c r="M245" s="9">
        <f ca="1">$G$97</f>
        <v>0</v>
      </c>
      <c r="N245" s="9"/>
      <c r="O245" s="9"/>
      <c r="P245" s="9"/>
      <c r="Q245" s="9"/>
      <c r="R245" s="9"/>
      <c r="S245" s="9"/>
      <c r="T245" s="9">
        <f>IF(OR($C245="Annual",$D245=$E245),IF(AND($D245=$E245,T$111=$B245+$D245),$M245,IF(AND(T$111&gt;$B245+$D245,T$111&lt;=$B245+$E245), $M245/($E245-$D245),0)), IF(OR(T$111=$B245+$D245,T$111=$B245+$E245),$M245/(($E245-$D245)*2),IF(AND(T$111&gt;$B245+$D245,T$111&lt;$B245+$E245),$M245/($E245-$D245),0)))</f>
        <v>0</v>
      </c>
      <c r="U245" s="9"/>
      <c r="V245" s="9"/>
      <c r="W245" s="9"/>
      <c r="X245" s="9"/>
      <c r="Y245" s="9"/>
      <c r="Z245" s="9"/>
      <c r="AA245" s="9">
        <f t="shared" si="66"/>
        <v>0</v>
      </c>
      <c r="AC245" s="243"/>
      <c r="AD245" s="243"/>
      <c r="AE245" s="148"/>
      <c r="AF245" s="243"/>
      <c r="AG245" s="243"/>
      <c r="AH245" s="243"/>
      <c r="AI245" s="243"/>
      <c r="AJ245" s="243"/>
      <c r="AK245" s="243"/>
      <c r="AL245" s="243"/>
      <c r="AM245" s="243"/>
      <c r="AN245" s="243"/>
      <c r="AO245" s="243"/>
      <c r="AP245" s="243"/>
      <c r="AQ245" s="243"/>
      <c r="AR245" s="243"/>
      <c r="AS245" s="243"/>
      <c r="AT245" s="243"/>
      <c r="AU245" s="244"/>
      <c r="AV245" s="244"/>
      <c r="AW245" s="244"/>
      <c r="AX245" s="243"/>
      <c r="AY245" s="243"/>
      <c r="AZ245" s="243"/>
    </row>
    <row r="246" spans="1:52">
      <c r="C246" s="281"/>
      <c r="F246" s="15"/>
      <c r="H246" s="10"/>
      <c r="I246" s="10"/>
      <c r="J246" s="10"/>
      <c r="K246" s="10"/>
      <c r="L246" s="10"/>
      <c r="M246" s="10"/>
      <c r="N246" s="10"/>
      <c r="O246" s="278"/>
      <c r="P246" s="10"/>
      <c r="Q246" s="10"/>
      <c r="R246" s="10"/>
      <c r="S246" s="10"/>
      <c r="T246" s="10"/>
      <c r="U246" s="10"/>
      <c r="V246" s="10"/>
      <c r="W246" s="10"/>
      <c r="X246" s="10"/>
      <c r="Y246" s="10"/>
      <c r="Z246" s="10"/>
      <c r="AA246" s="10"/>
      <c r="AC246" s="243"/>
      <c r="AD246" s="243"/>
      <c r="AE246" s="148"/>
      <c r="AF246" s="243"/>
      <c r="AG246" s="243"/>
      <c r="AH246" s="243"/>
      <c r="AI246" s="243"/>
      <c r="AJ246" s="243"/>
      <c r="AK246" s="243"/>
      <c r="AL246" s="243"/>
      <c r="AM246" s="243"/>
      <c r="AN246" s="243"/>
      <c r="AO246" s="243"/>
      <c r="AP246" s="243"/>
      <c r="AQ246" s="243"/>
      <c r="AR246" s="243"/>
      <c r="AS246" s="243"/>
      <c r="AT246" s="243"/>
      <c r="AU246" s="244"/>
      <c r="AV246" s="244"/>
      <c r="AW246" s="244"/>
      <c r="AX246" s="243"/>
      <c r="AY246" s="243"/>
      <c r="AZ246" s="243"/>
    </row>
    <row r="247" spans="1:52">
      <c r="A247" s="8" t="str">
        <f>'Input 4 - Forecast'!A79</f>
        <v>Type 13</v>
      </c>
      <c r="B247" s="7">
        <f>B119</f>
        <v>2018</v>
      </c>
      <c r="C247" s="7" t="str">
        <f>$I98</f>
        <v>Annual</v>
      </c>
      <c r="D247" s="7">
        <f>$J98</f>
        <v>0</v>
      </c>
      <c r="E247" s="7">
        <f>$K98</f>
        <v>0</v>
      </c>
      <c r="F247" s="14">
        <f>$L$98</f>
        <v>0</v>
      </c>
      <c r="H247" s="9">
        <f>$B$98</f>
        <v>0</v>
      </c>
      <c r="I247" s="9">
        <f>H247-P247</f>
        <v>0</v>
      </c>
      <c r="J247" s="9">
        <f>I247-Q247</f>
        <v>0</v>
      </c>
      <c r="K247" s="9">
        <f>J247-R247</f>
        <v>0</v>
      </c>
      <c r="L247" s="9">
        <f>K247-S247</f>
        <v>0</v>
      </c>
      <c r="M247" s="9">
        <f>L247-T247</f>
        <v>0</v>
      </c>
      <c r="N247" s="9"/>
      <c r="O247" s="9">
        <f t="shared" ref="O247:T247" si="68">IF(OR($C247="Annual",$D247=$E247),IF(AND($D247=$E247,O$111=$B247+$D247),$H247,IF(AND(O$111&gt;$B247+$D247,O$111&lt;=$B247+$E247), $H247/($E247-$D247),0)), IF(OR(O$111=$B247+$D247,O$111=$B247+$E247),$H247/(($E247-$D247)*2),IF(AND(O$111&gt;$B247+$D247,O$111&lt;$B247+$E247),$H247/($E247-$D247),0)))</f>
        <v>0</v>
      </c>
      <c r="P247" s="9">
        <f t="shared" si="68"/>
        <v>0</v>
      </c>
      <c r="Q247" s="9">
        <f t="shared" si="68"/>
        <v>0</v>
      </c>
      <c r="R247" s="9">
        <f t="shared" si="68"/>
        <v>0</v>
      </c>
      <c r="S247" s="9">
        <f t="shared" si="68"/>
        <v>0</v>
      </c>
      <c r="T247" s="9">
        <f t="shared" si="68"/>
        <v>0</v>
      </c>
      <c r="U247" s="9"/>
      <c r="V247" s="9">
        <f>IF($C247="annual",IF(V$111=$B247,0,G247*$F247),IF(V$111-$B247=0,0,IF((V$111-$B247)&lt;$E247,AVERAGE(G247,H247)*$F247,IF((V$111-$B247)=$E247,G247*$F247/2,0))))</f>
        <v>0</v>
      </c>
      <c r="W247" s="9">
        <f t="shared" ref="W247:AA252" si="69">IF($C247="annual",IF(W$111=$B247,0,H247*$F247),IF(W$111-$B247=0,0,IF((W$111-$B247)&lt;$E247,AVERAGE(H247,I247)*$F247,IF((W$111-$B247)=$E247,H247*$F247/2,0))))</f>
        <v>0</v>
      </c>
      <c r="X247" s="9">
        <f t="shared" si="69"/>
        <v>0</v>
      </c>
      <c r="Y247" s="9">
        <f t="shared" si="69"/>
        <v>0</v>
      </c>
      <c r="Z247" s="9">
        <f t="shared" si="69"/>
        <v>0</v>
      </c>
      <c r="AA247" s="9">
        <f t="shared" si="69"/>
        <v>0</v>
      </c>
      <c r="AC247" s="243"/>
      <c r="AD247" s="243"/>
      <c r="AE247" s="148"/>
      <c r="AF247" s="243"/>
      <c r="AG247" s="243"/>
      <c r="AH247" s="243"/>
      <c r="AI247" s="243"/>
      <c r="AJ247" s="243"/>
      <c r="AK247" s="243"/>
      <c r="AL247" s="243"/>
      <c r="AM247" s="243"/>
      <c r="AN247" s="243"/>
      <c r="AO247" s="243"/>
      <c r="AP247" s="243"/>
      <c r="AQ247" s="243"/>
      <c r="AR247" s="243"/>
      <c r="AS247" s="243"/>
      <c r="AT247" s="243"/>
      <c r="AU247" s="244"/>
      <c r="AV247" s="244"/>
      <c r="AW247" s="244"/>
      <c r="AX247" s="243"/>
      <c r="AY247" s="243"/>
      <c r="AZ247" s="243"/>
    </row>
    <row r="248" spans="1:52">
      <c r="A248" s="8" t="str">
        <f>A247</f>
        <v>Type 13</v>
      </c>
      <c r="B248" s="7">
        <f>B247+1</f>
        <v>2019</v>
      </c>
      <c r="C248" s="7" t="str">
        <f>C247</f>
        <v>Annual</v>
      </c>
      <c r="D248" s="7">
        <f t="shared" ref="D248:E252" si="70">D247</f>
        <v>0</v>
      </c>
      <c r="E248" s="7">
        <f t="shared" si="70"/>
        <v>0</v>
      </c>
      <c r="F248" s="14">
        <f>$M$98</f>
        <v>7.1007506480822574E-3</v>
      </c>
      <c r="H248" s="9"/>
      <c r="I248" s="9">
        <f ca="1">$C$98</f>
        <v>0</v>
      </c>
      <c r="J248" s="9">
        <f ca="1">I248-Q248</f>
        <v>0</v>
      </c>
      <c r="K248" s="9">
        <f ca="1">J248-R248</f>
        <v>0</v>
      </c>
      <c r="L248" s="9">
        <f ca="1">K248-S248</f>
        <v>0</v>
      </c>
      <c r="M248" s="9">
        <f ca="1">L248-T248</f>
        <v>0</v>
      </c>
      <c r="N248" s="9"/>
      <c r="O248" s="9"/>
      <c r="P248" s="9">
        <f ca="1">IF(OR($C248="Annual",$D248=$E248),IF(AND($D248=$E248,P$111=$B248+$D248),$I248,IF(AND(P$111&gt;$B248+$D248,P$111&lt;=$B248+$E248), $I248/($E248-$D248),0)), IF(OR(P$111=$B248+$D248,P$111=$B248+$E248),$I248/(($E248-$D248)*2),IF(AND(P$111&gt;$B248+$D248,P$111&lt;$B248+$E248),$I248/($E248-$D248),0)))</f>
        <v>0</v>
      </c>
      <c r="Q248" s="9">
        <f>IF(OR($C248="Annual",$D248=$E248),IF(AND($D248=$E248,Q$111=$B248+$D248),$I248,IF(AND(Q$111&gt;$B248+$D248,Q$111&lt;=$B248+$E248), $I248/($E248-$D248),0)), IF(OR(Q$111=$B248+$D248,Q$111=$B248+$E248),$I248/(($E248-$D248)*2),IF(AND(Q$111&gt;$B248+$D248,Q$111&lt;$B248+$E248),$I248/($E248-$D248),0)))</f>
        <v>0</v>
      </c>
      <c r="R248" s="9">
        <f>IF(OR($C248="Annual",$D248=$E248),IF(AND($D248=$E248,R$111=$B248+$D248),$I248,IF(AND(R$111&gt;$B248+$D248,R$111&lt;=$B248+$E248), $I248/($E248-$D248),0)), IF(OR(R$111=$B248+$D248,R$111=$B248+$E248),$I248/(($E248-$D248)*2),IF(AND(R$111&gt;$B248+$D248,R$111&lt;$B248+$E248),$I248/($E248-$D248),0)))</f>
        <v>0</v>
      </c>
      <c r="S248" s="9">
        <f>IF(OR($C248="Annual",$D248=$E248),IF(AND($D248=$E248,S$111=$B248+$D248),$I248,IF(AND(S$111&gt;$B248+$D248,S$111&lt;=$B248+$E248), $I248/($E248-$D248),0)), IF(OR(S$111=$B248+$D248,S$111=$B248+$E248),$I248/(($E248-$D248)*2),IF(AND(S$111&gt;$B248+$D248,S$111&lt;$B248+$E248),$I248/($E248-$D248),0)))</f>
        <v>0</v>
      </c>
      <c r="T248" s="9">
        <f>IF(OR($C248="Annual",$D248=$E248),IF(AND($D248=$E248,T$111=$B248+$D248),$I248,IF(AND(T$111&gt;$B248+$D248,T$111&lt;=$B248+$E248), $I248/($E248-$D248),0)), IF(OR(T$111=$B248+$D248,T$111=$B248+$E248),$I248/(($E248-$D248)*2),IF(AND(T$111&gt;$B248+$D248,T$111&lt;$B248+$E248),$I248/($E248-$D248),0)))</f>
        <v>0</v>
      </c>
      <c r="U248" s="9"/>
      <c r="V248" s="9"/>
      <c r="W248" s="9">
        <f t="shared" si="69"/>
        <v>0</v>
      </c>
      <c r="X248" s="9">
        <f t="shared" ca="1" si="69"/>
        <v>0</v>
      </c>
      <c r="Y248" s="9">
        <f t="shared" ca="1" si="69"/>
        <v>0</v>
      </c>
      <c r="Z248" s="9">
        <f t="shared" ca="1" si="69"/>
        <v>0</v>
      </c>
      <c r="AA248" s="9">
        <f t="shared" ca="1" si="69"/>
        <v>0</v>
      </c>
      <c r="AC248" s="243"/>
      <c r="AD248" s="243"/>
      <c r="AE248" s="148"/>
      <c r="AF248" s="243"/>
      <c r="AG248" s="243"/>
      <c r="AH248" s="243"/>
      <c r="AI248" s="243"/>
      <c r="AJ248" s="243"/>
      <c r="AK248" s="243"/>
      <c r="AL248" s="243"/>
      <c r="AM248" s="243"/>
      <c r="AN248" s="243"/>
      <c r="AO248" s="243"/>
      <c r="AP248" s="243"/>
      <c r="AQ248" s="243"/>
      <c r="AR248" s="243"/>
      <c r="AS248" s="243"/>
      <c r="AT248" s="243"/>
      <c r="AU248" s="244"/>
      <c r="AV248" s="244"/>
      <c r="AW248" s="244"/>
      <c r="AX248" s="243"/>
      <c r="AY248" s="243"/>
      <c r="AZ248" s="243"/>
    </row>
    <row r="249" spans="1:52">
      <c r="A249" s="8" t="str">
        <f>A248</f>
        <v>Type 13</v>
      </c>
      <c r="B249" s="7">
        <f>B248+1</f>
        <v>2020</v>
      </c>
      <c r="C249" s="7" t="str">
        <f>C248</f>
        <v>Annual</v>
      </c>
      <c r="D249" s="7">
        <f t="shared" si="70"/>
        <v>0</v>
      </c>
      <c r="E249" s="7">
        <f t="shared" si="70"/>
        <v>0</v>
      </c>
      <c r="F249" s="14">
        <f>$N$98</f>
        <v>1.4545456510151461E-2</v>
      </c>
      <c r="H249" s="9"/>
      <c r="I249" s="9"/>
      <c r="J249" s="9">
        <f ca="1">$D$98</f>
        <v>0</v>
      </c>
      <c r="K249" s="9">
        <f ca="1">J249-R249</f>
        <v>0</v>
      </c>
      <c r="L249" s="9">
        <f ca="1">K249-S249</f>
        <v>0</v>
      </c>
      <c r="M249" s="9">
        <f ca="1">L249-T249</f>
        <v>0</v>
      </c>
      <c r="N249" s="9"/>
      <c r="O249" s="9"/>
      <c r="P249" s="9"/>
      <c r="Q249" s="9">
        <f ca="1">IF(OR($C249="Annual",$D249=$E249),IF(AND($D249=$E249,Q$111=$B249+$D249),$J249,IF(AND(Q$111&gt;$B249+$D249,Q$111&lt;=$B249+$E249), $J249/($E249-$D249),0)), IF(OR(Q$111=$B249+$D249,Q$111=$B249+$E249),$J249/(($E249-$D249)*2),IF(AND(Q$111&gt;$B249+$D249,Q$111&lt;$B249+$E249),$J249/($E249-$D249),0)))</f>
        <v>0</v>
      </c>
      <c r="R249" s="9">
        <f>IF(OR($C249="Annual",$D249=$E249),IF(AND($D249=$E249,R$111=$B249+$D249),$J249,IF(AND(R$111&gt;$B249+$D249,R$111&lt;=$B249+$E249), $J249/($E249-$D249),0)), IF(OR(R$111=$B249+$D249,R$111=$B249+$E249),$J249/(($E249-$D249)*2),IF(AND(R$111&gt;$B249+$D249,R$111&lt;$B249+$E249),$J249/($E249-$D249),0)))</f>
        <v>0</v>
      </c>
      <c r="S249" s="9">
        <f>IF(OR($C249="Annual",$D249=$E249),IF(AND($D249=$E249,S$111=$B249+$D249),$J249,IF(AND(S$111&gt;$B249+$D249,S$111&lt;=$B249+$E249), $J249/($E249-$D249),0)), IF(OR(S$111=$B249+$D249,S$111=$B249+$E249),$J249/(($E249-$D249)*2),IF(AND(S$111&gt;$B249+$D249,S$111&lt;$B249+$E249),$J249/($E249-$D249),0)))</f>
        <v>0</v>
      </c>
      <c r="T249" s="9">
        <f>IF(OR($C249="Annual",$D249=$E249),IF(AND($D249=$E249,T$111=$B249+$D249),$J249,IF(AND(T$111&gt;$B249+$D249,T$111&lt;=$B249+$E249), $J249/($E249-$D249),0)), IF(OR(T$111=$B249+$D249,T$111=$B249+$E249),$J249/(($E249-$D249)*2),IF(AND(T$111&gt;$B249+$D249,T$111&lt;$B249+$E249),$J249/($E249-$D249),0)))</f>
        <v>0</v>
      </c>
      <c r="U249" s="9"/>
      <c r="V249" s="9"/>
      <c r="W249" s="9"/>
      <c r="X249" s="9">
        <f t="shared" si="69"/>
        <v>0</v>
      </c>
      <c r="Y249" s="9">
        <f t="shared" ca="1" si="69"/>
        <v>0</v>
      </c>
      <c r="Z249" s="9">
        <f t="shared" ca="1" si="69"/>
        <v>0</v>
      </c>
      <c r="AA249" s="9">
        <f t="shared" ca="1" si="69"/>
        <v>0</v>
      </c>
      <c r="AC249" s="243"/>
      <c r="AD249" s="243"/>
      <c r="AE249" s="148"/>
      <c r="AF249" s="243"/>
      <c r="AG249" s="243"/>
      <c r="AH249" s="243"/>
      <c r="AI249" s="243"/>
      <c r="AJ249" s="243"/>
      <c r="AK249" s="243"/>
      <c r="AL249" s="243"/>
      <c r="AM249" s="243"/>
      <c r="AN249" s="243"/>
      <c r="AO249" s="243"/>
      <c r="AP249" s="243"/>
      <c r="AQ249" s="243"/>
      <c r="AR249" s="243"/>
      <c r="AS249" s="243"/>
      <c r="AT249" s="243"/>
      <c r="AU249" s="244"/>
      <c r="AV249" s="244"/>
      <c r="AW249" s="244"/>
      <c r="AX249" s="243"/>
      <c r="AY249" s="243"/>
      <c r="AZ249" s="243"/>
    </row>
    <row r="250" spans="1:52">
      <c r="A250" s="8" t="str">
        <f>A249</f>
        <v>Type 13</v>
      </c>
      <c r="B250" s="7">
        <f>B249+1</f>
        <v>2021</v>
      </c>
      <c r="C250" s="7" t="str">
        <f>C249</f>
        <v>Annual</v>
      </c>
      <c r="D250" s="7">
        <f t="shared" si="70"/>
        <v>0</v>
      </c>
      <c r="E250" s="7">
        <f t="shared" si="70"/>
        <v>0</v>
      </c>
      <c r="F250" s="14">
        <f>$O$98</f>
        <v>0</v>
      </c>
      <c r="H250" s="9"/>
      <c r="I250" s="9"/>
      <c r="J250" s="9"/>
      <c r="K250" s="9">
        <f ca="1">$E$98</f>
        <v>0</v>
      </c>
      <c r="L250" s="9">
        <f ca="1">K250-S250</f>
        <v>0</v>
      </c>
      <c r="M250" s="9">
        <f ca="1">L250-T250</f>
        <v>0</v>
      </c>
      <c r="N250" s="9"/>
      <c r="O250" s="9"/>
      <c r="P250" s="9"/>
      <c r="Q250" s="9"/>
      <c r="R250" s="9">
        <f ca="1">IF(OR($C250="Annual",$D250=$E250),IF(AND($D250=$E250,R$111=$B250+$D250),$K250,IF(AND(R$111&gt;$B250+$D250,R$111&lt;=$B250+$E250), $K250/($E250-$D250),0)), IF(OR(R$111=$B250+$D250,R$111=$B250+$E250),$K250/(($E250-$D250)*2),IF(AND(R$111&gt;$B250+$D250,R$111&lt;$B250+$E250),$K250/($E250-$D250),0)))</f>
        <v>0</v>
      </c>
      <c r="S250" s="9">
        <f>IF(OR($C250="Annual",$D250=$E250),IF(AND($D250=$E250,S$111=$B250+$D250),$K250,IF(AND(S$111&gt;$B250+$D250,S$111&lt;=$B250+$E250), $K250/($E250-$D250),0)), IF(OR(S$111=$B250+$D250,S$111=$B250+$E250),$K250/(($E250-$D250)*2),IF(AND(S$111&gt;$B250+$D250,S$111&lt;$B250+$E250),$K250/($E250-$D250),0)))</f>
        <v>0</v>
      </c>
      <c r="T250" s="9">
        <f>IF(OR($C250="Annual",$D250=$E250),IF(AND($D250=$E250,T$111=$B250+$D250),$K250,IF(AND(T$111&gt;$B250+$D250,T$111&lt;=$B250+$E250), $K250/($E250-$D250),0)), IF(OR(T$111=$B250+$D250,T$111=$B250+$E250),$K250/(($E250-$D250)*2),IF(AND(T$111&gt;$B250+$D250,T$111&lt;$B250+$E250),$K250/($E250-$D250),0)))</f>
        <v>0</v>
      </c>
      <c r="U250" s="9"/>
      <c r="V250" s="9"/>
      <c r="W250" s="9"/>
      <c r="X250" s="9"/>
      <c r="Y250" s="9">
        <f t="shared" si="69"/>
        <v>0</v>
      </c>
      <c r="Z250" s="9">
        <f t="shared" ca="1" si="69"/>
        <v>0</v>
      </c>
      <c r="AA250" s="9">
        <f t="shared" ca="1" si="69"/>
        <v>0</v>
      </c>
      <c r="AC250" s="243"/>
      <c r="AD250" s="243"/>
      <c r="AE250" s="148"/>
      <c r="AF250" s="243"/>
      <c r="AG250" s="243"/>
      <c r="AH250" s="243"/>
      <c r="AI250" s="243"/>
      <c r="AJ250" s="243"/>
      <c r="AK250" s="243"/>
      <c r="AL250" s="243"/>
      <c r="AM250" s="243"/>
      <c r="AN250" s="243"/>
      <c r="AO250" s="243"/>
      <c r="AP250" s="243"/>
      <c r="AQ250" s="243"/>
      <c r="AR250" s="243"/>
      <c r="AS250" s="243"/>
      <c r="AT250" s="243"/>
      <c r="AU250" s="244"/>
      <c r="AV250" s="244"/>
      <c r="AW250" s="244"/>
      <c r="AX250" s="243"/>
      <c r="AY250" s="243"/>
      <c r="AZ250" s="243"/>
    </row>
    <row r="251" spans="1:52">
      <c r="A251" s="8" t="str">
        <f>A250</f>
        <v>Type 13</v>
      </c>
      <c r="B251" s="7">
        <f>B250+1</f>
        <v>2022</v>
      </c>
      <c r="C251" s="7" t="str">
        <f>C250</f>
        <v>Annual</v>
      </c>
      <c r="D251" s="7">
        <f t="shared" si="70"/>
        <v>0</v>
      </c>
      <c r="E251" s="7">
        <f t="shared" si="70"/>
        <v>0</v>
      </c>
      <c r="F251" s="14">
        <f>$P$98</f>
        <v>0</v>
      </c>
      <c r="H251" s="9"/>
      <c r="I251" s="9"/>
      <c r="J251" s="9"/>
      <c r="K251" s="9"/>
      <c r="L251" s="9">
        <f ca="1">$F$98</f>
        <v>0</v>
      </c>
      <c r="M251" s="9">
        <f ca="1">L251-T251</f>
        <v>0</v>
      </c>
      <c r="N251" s="9"/>
      <c r="O251" s="9"/>
      <c r="P251" s="9"/>
      <c r="Q251" s="9"/>
      <c r="R251" s="9"/>
      <c r="S251" s="9">
        <f ca="1">IF(OR($C251="Annual",$D251=$E251),IF(AND($D251=$E251,S$111=$B251+$D251),$L251,IF(AND(S$111&gt;$B251+$D251,S$111&lt;=$B251+$E251), $L251/($E251-$D251),0)), IF(OR(S$111=$B251+$D251,S$111=$B251+$E251),$L251/(($E251-$D251)*2),IF(AND(S$111&gt;$B251+$D251,S$111&lt;$B251+$E251),$L251/($E251-$D251),0)))</f>
        <v>0</v>
      </c>
      <c r="T251" s="9">
        <f>IF(OR($C251="Annual",$D251=$E251),IF(AND($D251=$E251,T$111=$B251+$D251),$L251,IF(AND(T$111&gt;$B251+$D251,T$111&lt;=$B251+$E251), $L251/($E251-$D251),0)), IF(OR(T$111=$B251+$D251,T$111=$B251+$E251),$L251/(($E251-$D251)*2),IF(AND(T$111&gt;$B251+$D251,T$111&lt;$B251+$E251),$L251/($E251-$D251),0)))</f>
        <v>0</v>
      </c>
      <c r="U251" s="9"/>
      <c r="V251" s="9"/>
      <c r="W251" s="9"/>
      <c r="X251" s="9"/>
      <c r="Y251" s="9"/>
      <c r="Z251" s="9">
        <f t="shared" si="69"/>
        <v>0</v>
      </c>
      <c r="AA251" s="9">
        <f t="shared" ca="1" si="69"/>
        <v>0</v>
      </c>
      <c r="AC251" s="243"/>
      <c r="AD251" s="243"/>
      <c r="AE251" s="148"/>
      <c r="AF251" s="243"/>
      <c r="AG251" s="243"/>
      <c r="AH251" s="243"/>
      <c r="AI251" s="243"/>
      <c r="AJ251" s="243"/>
      <c r="AK251" s="243"/>
      <c r="AL251" s="243"/>
      <c r="AM251" s="243"/>
      <c r="AN251" s="243"/>
      <c r="AO251" s="243"/>
      <c r="AP251" s="243"/>
      <c r="AQ251" s="243"/>
      <c r="AR251" s="243"/>
      <c r="AS251" s="243"/>
      <c r="AT251" s="243"/>
      <c r="AU251" s="244"/>
      <c r="AV251" s="244"/>
      <c r="AW251" s="244"/>
      <c r="AX251" s="243"/>
      <c r="AY251" s="243"/>
      <c r="AZ251" s="243"/>
    </row>
    <row r="252" spans="1:52">
      <c r="A252" s="8" t="str">
        <f>A251</f>
        <v>Type 13</v>
      </c>
      <c r="B252" s="7">
        <f>B251+1</f>
        <v>2023</v>
      </c>
      <c r="C252" s="7" t="str">
        <f>C251</f>
        <v>Annual</v>
      </c>
      <c r="D252" s="7">
        <f t="shared" si="70"/>
        <v>0</v>
      </c>
      <c r="E252" s="7">
        <f t="shared" si="70"/>
        <v>0</v>
      </c>
      <c r="F252" s="14">
        <f>$Q$98</f>
        <v>0</v>
      </c>
      <c r="H252" s="9"/>
      <c r="I252" s="9"/>
      <c r="J252" s="9"/>
      <c r="K252" s="9"/>
      <c r="L252" s="9"/>
      <c r="M252" s="9">
        <f ca="1">$G$98</f>
        <v>0</v>
      </c>
      <c r="N252" s="9"/>
      <c r="O252" s="9"/>
      <c r="P252" s="9"/>
      <c r="Q252" s="9"/>
      <c r="R252" s="9"/>
      <c r="S252" s="9"/>
      <c r="T252" s="9">
        <f ca="1">IF(OR($C252="Annual",$D252=$E252),IF(AND($D252=$E252,T$111=$B252+$D252),$M252,IF(AND(T$111&gt;$B252+$D252,T$111&lt;=$B252+$E252), $M252/($E252-$D252),0)), IF(OR(T$111=$B252+$D252,T$111=$B252+$E252),$M252/(($E252-$D252)*2),IF(AND(T$111&gt;$B252+$D252,T$111&lt;$B252+$E252),$M252/($E252-$D252),0)))</f>
        <v>0</v>
      </c>
      <c r="U252" s="9"/>
      <c r="V252" s="9"/>
      <c r="W252" s="9"/>
      <c r="X252" s="9"/>
      <c r="Y252" s="9"/>
      <c r="Z252" s="9"/>
      <c r="AA252" s="9">
        <f t="shared" si="69"/>
        <v>0</v>
      </c>
      <c r="AC252" s="243"/>
      <c r="AD252" s="243"/>
      <c r="AE252" s="148"/>
      <c r="AF252" s="243"/>
      <c r="AG252" s="243"/>
      <c r="AH252" s="243"/>
      <c r="AI252" s="243"/>
      <c r="AJ252" s="243"/>
      <c r="AK252" s="243"/>
      <c r="AL252" s="243"/>
      <c r="AM252" s="243"/>
      <c r="AN252" s="243"/>
      <c r="AO252" s="243"/>
      <c r="AP252" s="243"/>
      <c r="AQ252" s="243"/>
      <c r="AR252" s="243"/>
      <c r="AS252" s="243"/>
      <c r="AT252" s="243"/>
      <c r="AU252" s="244"/>
      <c r="AV252" s="244"/>
      <c r="AW252" s="244"/>
      <c r="AX252" s="243"/>
      <c r="AY252" s="243"/>
      <c r="AZ252" s="243"/>
    </row>
    <row r="253" spans="1:52">
      <c r="C253" s="281"/>
      <c r="F253" s="15"/>
      <c r="H253" s="10"/>
      <c r="I253" s="10"/>
      <c r="J253" s="10"/>
      <c r="K253" s="10"/>
      <c r="L253" s="10"/>
      <c r="M253" s="10"/>
      <c r="N253" s="10"/>
      <c r="O253" s="278"/>
      <c r="P253" s="10"/>
      <c r="Q253" s="10"/>
      <c r="R253" s="10"/>
      <c r="S253" s="10"/>
      <c r="T253" s="10"/>
      <c r="U253" s="10"/>
      <c r="V253" s="10"/>
      <c r="W253" s="10"/>
      <c r="X253" s="10"/>
      <c r="Y253" s="10"/>
      <c r="Z253" s="10"/>
      <c r="AA253" s="10"/>
      <c r="AC253" s="243"/>
      <c r="AD253" s="243"/>
      <c r="AE253" s="148"/>
      <c r="AF253" s="243"/>
      <c r="AG253" s="243"/>
      <c r="AH253" s="243"/>
      <c r="AI253" s="243"/>
      <c r="AJ253" s="243"/>
      <c r="AK253" s="243"/>
      <c r="AL253" s="243"/>
      <c r="AM253" s="243"/>
      <c r="AN253" s="243"/>
      <c r="AO253" s="243"/>
      <c r="AP253" s="243"/>
      <c r="AQ253" s="243"/>
      <c r="AR253" s="243"/>
      <c r="AS253" s="243"/>
      <c r="AT253" s="243"/>
      <c r="AU253" s="244"/>
      <c r="AV253" s="244"/>
      <c r="AW253" s="244"/>
      <c r="AX253" s="243"/>
      <c r="AY253" s="243"/>
      <c r="AZ253" s="243"/>
    </row>
    <row r="254" spans="1:52">
      <c r="A254" s="8" t="str">
        <f>'Input 4 - Forecast'!A80</f>
        <v>Type 14</v>
      </c>
      <c r="B254" s="7">
        <f>B119</f>
        <v>2018</v>
      </c>
      <c r="C254" s="7" t="str">
        <f>$I99</f>
        <v>Annual</v>
      </c>
      <c r="D254" s="7">
        <f>$J99</f>
        <v>0</v>
      </c>
      <c r="E254" s="7">
        <f>$K99</f>
        <v>0</v>
      </c>
      <c r="F254" s="14">
        <f>$L$99</f>
        <v>0</v>
      </c>
      <c r="H254" s="9">
        <f>$B$99</f>
        <v>0</v>
      </c>
      <c r="I254" s="9">
        <f>H254-P254</f>
        <v>0</v>
      </c>
      <c r="J254" s="9">
        <f>I254-Q254</f>
        <v>0</v>
      </c>
      <c r="K254" s="9">
        <f>J254-R254</f>
        <v>0</v>
      </c>
      <c r="L254" s="9">
        <f>K254-S254</f>
        <v>0</v>
      </c>
      <c r="M254" s="9">
        <f>L254-T254</f>
        <v>0</v>
      </c>
      <c r="N254" s="9"/>
      <c r="O254" s="9">
        <f t="shared" ref="O254:T254" si="71">IF(OR($C254="Annual",$D254=$E254),IF(AND($D254=$E254,O$111=$B254+$D254),$H254,IF(AND(O$111&gt;$B254+$D254,O$111&lt;=$B254+$E254), $H254/($E254-$D254),0)), IF(OR(O$111=$B254+$D254,O$111=$B254+$E254),$H254/(($E254-$D254)*2),IF(AND(O$111&gt;$B254+$D254,O$111&lt;$B254+$E254),$H254/($E254-$D254),0)))</f>
        <v>0</v>
      </c>
      <c r="P254" s="9">
        <f t="shared" si="71"/>
        <v>0</v>
      </c>
      <c r="Q254" s="9">
        <f t="shared" si="71"/>
        <v>0</v>
      </c>
      <c r="R254" s="9">
        <f t="shared" si="71"/>
        <v>0</v>
      </c>
      <c r="S254" s="9">
        <f t="shared" si="71"/>
        <v>0</v>
      </c>
      <c r="T254" s="9">
        <f t="shared" si="71"/>
        <v>0</v>
      </c>
      <c r="U254" s="9"/>
      <c r="V254" s="9">
        <f>IF($C254="annual",IF(V$111=$B254,0,G254*$F254),IF(V$111-$B254=0,0,IF((V$111-$B254)&lt;$E254,AVERAGE(G254,H254)*$F254,IF((V$111-$B254)=$E254,G254*$F254/2,0))))</f>
        <v>0</v>
      </c>
      <c r="W254" s="9">
        <f t="shared" ref="W254:AA259" si="72">IF($C254="annual",IF(W$111=$B254,0,H254*$F254),IF(W$111-$B254=0,0,IF((W$111-$B254)&lt;$E254,AVERAGE(H254,I254)*$F254,IF((W$111-$B254)=$E254,H254*$F254/2,0))))</f>
        <v>0</v>
      </c>
      <c r="X254" s="9">
        <f t="shared" si="72"/>
        <v>0</v>
      </c>
      <c r="Y254" s="9">
        <f t="shared" si="72"/>
        <v>0</v>
      </c>
      <c r="Z254" s="9">
        <f t="shared" si="72"/>
        <v>0</v>
      </c>
      <c r="AA254" s="9">
        <f t="shared" si="72"/>
        <v>0</v>
      </c>
      <c r="AC254" s="243"/>
      <c r="AD254" s="243"/>
      <c r="AE254" s="148"/>
      <c r="AF254" s="243"/>
      <c r="AG254" s="243"/>
      <c r="AH254" s="243"/>
      <c r="AI254" s="243"/>
      <c r="AJ254" s="243"/>
      <c r="AK254" s="243"/>
      <c r="AL254" s="243"/>
      <c r="AM254" s="243"/>
      <c r="AN254" s="243"/>
      <c r="AO254" s="243"/>
      <c r="AP254" s="243"/>
      <c r="AQ254" s="243"/>
      <c r="AR254" s="243"/>
      <c r="AS254" s="243"/>
      <c r="AT254" s="243"/>
      <c r="AU254" s="244"/>
      <c r="AV254" s="244"/>
      <c r="AW254" s="244"/>
      <c r="AX254" s="243"/>
      <c r="AY254" s="243"/>
      <c r="AZ254" s="243"/>
    </row>
    <row r="255" spans="1:52">
      <c r="A255" s="8" t="str">
        <f>A254</f>
        <v>Type 14</v>
      </c>
      <c r="B255" s="7">
        <f>B254+1</f>
        <v>2019</v>
      </c>
      <c r="C255" s="7" t="str">
        <f>C254</f>
        <v>Annual</v>
      </c>
      <c r="D255" s="7">
        <f t="shared" ref="D255:E259" si="73">D254</f>
        <v>0</v>
      </c>
      <c r="E255" s="7">
        <f t="shared" si="73"/>
        <v>0</v>
      </c>
      <c r="F255" s="14">
        <f>$M$99</f>
        <v>7.1007506480822574E-3</v>
      </c>
      <c r="H255" s="9"/>
      <c r="I255" s="9">
        <f ca="1">$C$99</f>
        <v>0</v>
      </c>
      <c r="J255" s="9">
        <f ca="1">I255-Q255</f>
        <v>0</v>
      </c>
      <c r="K255" s="9">
        <f ca="1">J255-R255</f>
        <v>0</v>
      </c>
      <c r="L255" s="9">
        <f ca="1">K255-S255</f>
        <v>0</v>
      </c>
      <c r="M255" s="9">
        <f ca="1">L255-T255</f>
        <v>0</v>
      </c>
      <c r="N255" s="9"/>
      <c r="O255" s="9"/>
      <c r="P255" s="9">
        <f ca="1">IF(OR($C255="Annual",$D255=$E255),IF(AND($D255=$E255,P$111=$B255+$D255),$I255,IF(AND(P$111&gt;$B255+$D255,P$111&lt;=$B255+$E255), $I255/($E255-$D255),0)), IF(OR(P$111=$B255+$D255,P$111=$B255+$E255),$I255/(($E255-$D255)*2),IF(AND(P$111&gt;$B255+$D255,P$111&lt;$B255+$E255),$I255/($E255-$D255),0)))</f>
        <v>0</v>
      </c>
      <c r="Q255" s="9">
        <f>IF(OR($C255="Annual",$D255=$E255),IF(AND($D255=$E255,Q$111=$B255+$D255),$I255,IF(AND(Q$111&gt;$B255+$D255,Q$111&lt;=$B255+$E255), $I255/($E255-$D255),0)), IF(OR(Q$111=$B255+$D255,Q$111=$B255+$E255),$I255/(($E255-$D255)*2),IF(AND(Q$111&gt;$B255+$D255,Q$111&lt;$B255+$E255),$I255/($E255-$D255),0)))</f>
        <v>0</v>
      </c>
      <c r="R255" s="9">
        <f>IF(OR($C255="Annual",$D255=$E255),IF(AND($D255=$E255,R$111=$B255+$D255),$I255,IF(AND(R$111&gt;$B255+$D255,R$111&lt;=$B255+$E255), $I255/($E255-$D255),0)), IF(OR(R$111=$B255+$D255,R$111=$B255+$E255),$I255/(($E255-$D255)*2),IF(AND(R$111&gt;$B255+$D255,R$111&lt;$B255+$E255),$I255/($E255-$D255),0)))</f>
        <v>0</v>
      </c>
      <c r="S255" s="9">
        <f>IF(OR($C255="Annual",$D255=$E255),IF(AND($D255=$E255,S$111=$B255+$D255),$I255,IF(AND(S$111&gt;$B255+$D255,S$111&lt;=$B255+$E255), $I255/($E255-$D255),0)), IF(OR(S$111=$B255+$D255,S$111=$B255+$E255),$I255/(($E255-$D255)*2),IF(AND(S$111&gt;$B255+$D255,S$111&lt;$B255+$E255),$I255/($E255-$D255),0)))</f>
        <v>0</v>
      </c>
      <c r="T255" s="9">
        <f>IF(OR($C255="Annual",$D255=$E255),IF(AND($D255=$E255,T$111=$B255+$D255),$I255,IF(AND(T$111&gt;$B255+$D255,T$111&lt;=$B255+$E255), $I255/($E255-$D255),0)), IF(OR(T$111=$B255+$D255,T$111=$B255+$E255),$I255/(($E255-$D255)*2),IF(AND(T$111&gt;$B255+$D255,T$111&lt;$B255+$E255),$I255/($E255-$D255),0)))</f>
        <v>0</v>
      </c>
      <c r="U255" s="9"/>
      <c r="V255" s="9"/>
      <c r="W255" s="9">
        <f t="shared" si="72"/>
        <v>0</v>
      </c>
      <c r="X255" s="9">
        <f t="shared" ca="1" si="72"/>
        <v>0</v>
      </c>
      <c r="Y255" s="9">
        <f t="shared" ca="1" si="72"/>
        <v>0</v>
      </c>
      <c r="Z255" s="9">
        <f t="shared" ca="1" si="72"/>
        <v>0</v>
      </c>
      <c r="AA255" s="9">
        <f t="shared" ca="1" si="72"/>
        <v>0</v>
      </c>
      <c r="AC255" s="243"/>
      <c r="AD255" s="243"/>
      <c r="AE255" s="148"/>
      <c r="AF255" s="243"/>
      <c r="AG255" s="243"/>
      <c r="AH255" s="243"/>
      <c r="AI255" s="243"/>
      <c r="AJ255" s="243"/>
      <c r="AK255" s="243"/>
      <c r="AL255" s="243"/>
      <c r="AM255" s="243"/>
      <c r="AN255" s="243"/>
      <c r="AO255" s="243"/>
      <c r="AP255" s="243"/>
      <c r="AQ255" s="243"/>
      <c r="AR255" s="243"/>
      <c r="AS255" s="243"/>
      <c r="AT255" s="243"/>
      <c r="AU255" s="244"/>
      <c r="AV255" s="244"/>
      <c r="AW255" s="244"/>
      <c r="AX255" s="243"/>
      <c r="AY255" s="243"/>
      <c r="AZ255" s="243"/>
    </row>
    <row r="256" spans="1:52">
      <c r="A256" s="8" t="str">
        <f>A255</f>
        <v>Type 14</v>
      </c>
      <c r="B256" s="7">
        <f>B255+1</f>
        <v>2020</v>
      </c>
      <c r="C256" s="7" t="str">
        <f>C255</f>
        <v>Annual</v>
      </c>
      <c r="D256" s="7">
        <f t="shared" si="73"/>
        <v>0</v>
      </c>
      <c r="E256" s="7">
        <f t="shared" si="73"/>
        <v>0</v>
      </c>
      <c r="F256" s="14">
        <f>$N$99</f>
        <v>1.4545456510151461E-2</v>
      </c>
      <c r="H256" s="9"/>
      <c r="I256" s="9"/>
      <c r="J256" s="9">
        <f ca="1">$D$99</f>
        <v>0</v>
      </c>
      <c r="K256" s="9">
        <f ca="1">J256-R256</f>
        <v>0</v>
      </c>
      <c r="L256" s="9">
        <f ca="1">K256-S256</f>
        <v>0</v>
      </c>
      <c r="M256" s="9">
        <f ca="1">L256-T256</f>
        <v>0</v>
      </c>
      <c r="N256" s="9"/>
      <c r="O256" s="9"/>
      <c r="P256" s="9"/>
      <c r="Q256" s="9">
        <f ca="1">IF(OR($C256="Annual",$D256=$E256),IF(AND($D256=$E256,Q$111=$B256+$D256),$J256,IF(AND(Q$111&gt;$B256+$D256,Q$111&lt;=$B256+$E256), $J256/($E256-$D256),0)), IF(OR(Q$111=$B256+$D256,Q$111=$B256+$E256),$J256/(($E256-$D256)*2),IF(AND(Q$111&gt;$B256+$D256,Q$111&lt;$B256+$E256),$J256/($E256-$D256),0)))</f>
        <v>0</v>
      </c>
      <c r="R256" s="9">
        <f>IF(OR($C256="Annual",$D256=$E256),IF(AND($D256=$E256,R$111=$B256+$D256),$J256,IF(AND(R$111&gt;$B256+$D256,R$111&lt;=$B256+$E256), $J256/($E256-$D256),0)), IF(OR(R$111=$B256+$D256,R$111=$B256+$E256),$J256/(($E256-$D256)*2),IF(AND(R$111&gt;$B256+$D256,R$111&lt;$B256+$E256),$J256/($E256-$D256),0)))</f>
        <v>0</v>
      </c>
      <c r="S256" s="9">
        <f>IF(OR($C256="Annual",$D256=$E256),IF(AND($D256=$E256,S$111=$B256+$D256),$J256,IF(AND(S$111&gt;$B256+$D256,S$111&lt;=$B256+$E256), $J256/($E256-$D256),0)), IF(OR(S$111=$B256+$D256,S$111=$B256+$E256),$J256/(($E256-$D256)*2),IF(AND(S$111&gt;$B256+$D256,S$111&lt;$B256+$E256),$J256/($E256-$D256),0)))</f>
        <v>0</v>
      </c>
      <c r="T256" s="9">
        <f>IF(OR($C256="Annual",$D256=$E256),IF(AND($D256=$E256,T$111=$B256+$D256),$J256,IF(AND(T$111&gt;$B256+$D256,T$111&lt;=$B256+$E256), $J256/($E256-$D256),0)), IF(OR(T$111=$B256+$D256,T$111=$B256+$E256),$J256/(($E256-$D256)*2),IF(AND(T$111&gt;$B256+$D256,T$111&lt;$B256+$E256),$J256/($E256-$D256),0)))</f>
        <v>0</v>
      </c>
      <c r="U256" s="9"/>
      <c r="V256" s="9"/>
      <c r="W256" s="9"/>
      <c r="X256" s="9">
        <f t="shared" si="72"/>
        <v>0</v>
      </c>
      <c r="Y256" s="9">
        <f t="shared" ca="1" si="72"/>
        <v>0</v>
      </c>
      <c r="Z256" s="9">
        <f t="shared" ca="1" si="72"/>
        <v>0</v>
      </c>
      <c r="AA256" s="9">
        <f t="shared" ca="1" si="72"/>
        <v>0</v>
      </c>
      <c r="AC256" s="243"/>
      <c r="AD256" s="243"/>
      <c r="AE256" s="148"/>
      <c r="AF256" s="243"/>
      <c r="AG256" s="243"/>
      <c r="AH256" s="243"/>
      <c r="AI256" s="243"/>
      <c r="AJ256" s="243"/>
      <c r="AK256" s="243"/>
      <c r="AL256" s="243"/>
      <c r="AM256" s="243"/>
      <c r="AN256" s="243"/>
      <c r="AO256" s="243"/>
      <c r="AP256" s="243"/>
      <c r="AQ256" s="243"/>
      <c r="AR256" s="243"/>
      <c r="AS256" s="243"/>
      <c r="AT256" s="243"/>
      <c r="AU256" s="244"/>
      <c r="AV256" s="244"/>
      <c r="AW256" s="244"/>
      <c r="AX256" s="243"/>
      <c r="AY256" s="243"/>
      <c r="AZ256" s="243"/>
    </row>
    <row r="257" spans="1:52">
      <c r="A257" s="8" t="str">
        <f>A256</f>
        <v>Type 14</v>
      </c>
      <c r="B257" s="7">
        <f>B256+1</f>
        <v>2021</v>
      </c>
      <c r="C257" s="7" t="str">
        <f>C256</f>
        <v>Annual</v>
      </c>
      <c r="D257" s="7">
        <f t="shared" si="73"/>
        <v>0</v>
      </c>
      <c r="E257" s="7">
        <f t="shared" si="73"/>
        <v>0</v>
      </c>
      <c r="F257" s="14">
        <f>$O$99</f>
        <v>0</v>
      </c>
      <c r="H257" s="9"/>
      <c r="I257" s="9"/>
      <c r="J257" s="9"/>
      <c r="K257" s="9">
        <f ca="1">$E$99</f>
        <v>0</v>
      </c>
      <c r="L257" s="9">
        <f ca="1">K257-S257</f>
        <v>0</v>
      </c>
      <c r="M257" s="9">
        <f ca="1">L257-T257</f>
        <v>0</v>
      </c>
      <c r="N257" s="9"/>
      <c r="O257" s="9"/>
      <c r="P257" s="9"/>
      <c r="Q257" s="9"/>
      <c r="R257" s="9">
        <f ca="1">IF(OR($C257="Annual",$D257=$E257),IF(AND($D257=$E257,R$111=$B257+$D257),$K257,IF(AND(R$111&gt;$B257+$D257,R$111&lt;=$B257+$E257), $K257/($E257-$D257),0)), IF(OR(R$111=$B257+$D257,R$111=$B257+$E257),$K257/(($E257-$D257)*2),IF(AND(R$111&gt;$B257+$D257,R$111&lt;$B257+$E257),$K257/($E257-$D257),0)))</f>
        <v>0</v>
      </c>
      <c r="S257" s="9">
        <f>IF(OR($C257="Annual",$D257=$E257),IF(AND($D257=$E257,S$111=$B257+$D257),$K257,IF(AND(S$111&gt;$B257+$D257,S$111&lt;=$B257+$E257), $K257/($E257-$D257),0)), IF(OR(S$111=$B257+$D257,S$111=$B257+$E257),$K257/(($E257-$D257)*2),IF(AND(S$111&gt;$B257+$D257,S$111&lt;$B257+$E257),$K257/($E257-$D257),0)))</f>
        <v>0</v>
      </c>
      <c r="T257" s="9">
        <f>IF(OR($C257="Annual",$D257=$E257),IF(AND($D257=$E257,T$111=$B257+$D257),$K257,IF(AND(T$111&gt;$B257+$D257,T$111&lt;=$B257+$E257), $K257/($E257-$D257),0)), IF(OR(T$111=$B257+$D257,T$111=$B257+$E257),$K257/(($E257-$D257)*2),IF(AND(T$111&gt;$B257+$D257,T$111&lt;$B257+$E257),$K257/($E257-$D257),0)))</f>
        <v>0</v>
      </c>
      <c r="U257" s="9"/>
      <c r="V257" s="9"/>
      <c r="W257" s="9"/>
      <c r="X257" s="9"/>
      <c r="Y257" s="9">
        <f t="shared" si="72"/>
        <v>0</v>
      </c>
      <c r="Z257" s="9">
        <f t="shared" ca="1" si="72"/>
        <v>0</v>
      </c>
      <c r="AA257" s="9">
        <f t="shared" ca="1" si="72"/>
        <v>0</v>
      </c>
      <c r="AC257" s="243"/>
      <c r="AD257" s="243"/>
      <c r="AE257" s="148"/>
      <c r="AF257" s="243"/>
      <c r="AG257" s="243"/>
      <c r="AH257" s="243"/>
      <c r="AI257" s="243"/>
      <c r="AJ257" s="243"/>
      <c r="AK257" s="243"/>
      <c r="AL257" s="243"/>
      <c r="AM257" s="243"/>
      <c r="AN257" s="243"/>
      <c r="AO257" s="243"/>
      <c r="AP257" s="243"/>
      <c r="AQ257" s="243"/>
      <c r="AR257" s="243"/>
      <c r="AS257" s="243"/>
      <c r="AT257" s="243"/>
      <c r="AU257" s="244"/>
      <c r="AV257" s="244"/>
      <c r="AW257" s="244"/>
      <c r="AX257" s="243"/>
      <c r="AY257" s="243"/>
      <c r="AZ257" s="243"/>
    </row>
    <row r="258" spans="1:52">
      <c r="A258" s="8" t="str">
        <f>A257</f>
        <v>Type 14</v>
      </c>
      <c r="B258" s="7">
        <f>B257+1</f>
        <v>2022</v>
      </c>
      <c r="C258" s="7" t="str">
        <f>C257</f>
        <v>Annual</v>
      </c>
      <c r="D258" s="7">
        <f t="shared" si="73"/>
        <v>0</v>
      </c>
      <c r="E258" s="7">
        <f t="shared" si="73"/>
        <v>0</v>
      </c>
      <c r="F258" s="14">
        <f>$P$99</f>
        <v>0</v>
      </c>
      <c r="H258" s="9"/>
      <c r="I258" s="9"/>
      <c r="J258" s="9"/>
      <c r="K258" s="9"/>
      <c r="L258" s="9">
        <f ca="1">$F$99</f>
        <v>0</v>
      </c>
      <c r="M258" s="9">
        <f ca="1">L258-T258</f>
        <v>0</v>
      </c>
      <c r="N258" s="9"/>
      <c r="O258" s="9"/>
      <c r="P258" s="9"/>
      <c r="Q258" s="9"/>
      <c r="R258" s="9"/>
      <c r="S258" s="9">
        <f ca="1">IF(OR($C258="Annual",$D258=$E258),IF(AND($D258=$E258,S$111=$B258+$D258),$L258,IF(AND(S$111&gt;$B258+$D258,S$111&lt;=$B258+$E258), $L258/($E258-$D258),0)), IF(OR(S$111=$B258+$D258,S$111=$B258+$E258),$L258/(($E258-$D258)*2),IF(AND(S$111&gt;$B258+$D258,S$111&lt;$B258+$E258),$L258/($E258-$D258),0)))</f>
        <v>0</v>
      </c>
      <c r="T258" s="9">
        <f>IF(OR($C258="Annual",$D258=$E258),IF(AND($D258=$E258,T$111=$B258+$D258),$L258,IF(AND(T$111&gt;$B258+$D258,T$111&lt;=$B258+$E258), $L258/($E258-$D258),0)), IF(OR(T$111=$B258+$D258,T$111=$B258+$E258),$L258/(($E258-$D258)*2),IF(AND(T$111&gt;$B258+$D258,T$111&lt;$B258+$E258),$L258/($E258-$D258),0)))</f>
        <v>0</v>
      </c>
      <c r="U258" s="9"/>
      <c r="V258" s="9"/>
      <c r="W258" s="9"/>
      <c r="X258" s="9"/>
      <c r="Y258" s="9"/>
      <c r="Z258" s="9">
        <f t="shared" si="72"/>
        <v>0</v>
      </c>
      <c r="AA258" s="9">
        <f t="shared" ca="1" si="72"/>
        <v>0</v>
      </c>
      <c r="AC258" s="243"/>
      <c r="AD258" s="243"/>
      <c r="AE258" s="148"/>
      <c r="AF258" s="243"/>
      <c r="AG258" s="243"/>
      <c r="AH258" s="243"/>
      <c r="AI258" s="243"/>
      <c r="AJ258" s="243"/>
      <c r="AK258" s="243"/>
      <c r="AL258" s="243"/>
      <c r="AM258" s="243"/>
      <c r="AN258" s="243"/>
      <c r="AO258" s="243"/>
      <c r="AP258" s="243"/>
      <c r="AQ258" s="243"/>
      <c r="AR258" s="243"/>
      <c r="AS258" s="243"/>
      <c r="AT258" s="243"/>
      <c r="AU258" s="244"/>
      <c r="AV258" s="244"/>
      <c r="AW258" s="244"/>
      <c r="AX258" s="243"/>
      <c r="AY258" s="243"/>
      <c r="AZ258" s="243"/>
    </row>
    <row r="259" spans="1:52">
      <c r="A259" s="8" t="str">
        <f>A258</f>
        <v>Type 14</v>
      </c>
      <c r="B259" s="7">
        <f>B258+1</f>
        <v>2023</v>
      </c>
      <c r="C259" s="7" t="str">
        <f>C258</f>
        <v>Annual</v>
      </c>
      <c r="D259" s="7">
        <f t="shared" si="73"/>
        <v>0</v>
      </c>
      <c r="E259" s="7">
        <f t="shared" si="73"/>
        <v>0</v>
      </c>
      <c r="F259" s="14">
        <f>$Q$99</f>
        <v>0</v>
      </c>
      <c r="H259" s="9"/>
      <c r="I259" s="9"/>
      <c r="J259" s="9"/>
      <c r="K259" s="9"/>
      <c r="L259" s="9"/>
      <c r="M259" s="9">
        <f ca="1">$G$99</f>
        <v>0</v>
      </c>
      <c r="N259" s="9"/>
      <c r="O259" s="9"/>
      <c r="P259" s="9"/>
      <c r="Q259" s="9"/>
      <c r="R259" s="9"/>
      <c r="S259" s="9"/>
      <c r="T259" s="9">
        <f ca="1">IF(OR($C259="Annual",$D259=$E259),IF(AND($D259=$E259,T$111=$B259+$D259),$M259,IF(AND(T$111&gt;$B259+$D259,T$111&lt;=$B259+$E259), $M259/($E259-$D259),0)), IF(OR(T$111=$B259+$D259,T$111=$B259+$E259),$M259/(($E259-$D259)*2),IF(AND(T$111&gt;$B259+$D259,T$111&lt;$B259+$E259),$M259/($E259-$D259),0)))</f>
        <v>0</v>
      </c>
      <c r="U259" s="9"/>
      <c r="V259" s="9"/>
      <c r="W259" s="9"/>
      <c r="X259" s="9"/>
      <c r="Y259" s="9"/>
      <c r="Z259" s="9"/>
      <c r="AA259" s="9">
        <f t="shared" si="72"/>
        <v>0</v>
      </c>
      <c r="AC259" s="243"/>
      <c r="AD259" s="243"/>
      <c r="AE259" s="148"/>
      <c r="AF259" s="243"/>
      <c r="AG259" s="243"/>
      <c r="AH259" s="243"/>
      <c r="AI259" s="243"/>
      <c r="AJ259" s="243"/>
      <c r="AK259" s="243"/>
      <c r="AL259" s="243"/>
      <c r="AM259" s="243"/>
      <c r="AN259" s="243"/>
      <c r="AO259" s="243"/>
      <c r="AP259" s="243"/>
      <c r="AQ259" s="243"/>
      <c r="AR259" s="243"/>
      <c r="AS259" s="243"/>
      <c r="AT259" s="243"/>
      <c r="AU259" s="244"/>
      <c r="AV259" s="244"/>
      <c r="AW259" s="244"/>
      <c r="AX259" s="243"/>
      <c r="AY259" s="243"/>
      <c r="AZ259" s="243"/>
    </row>
    <row r="260" spans="1:52">
      <c r="C260" s="281"/>
      <c r="F260" s="15"/>
      <c r="H260" s="10"/>
      <c r="I260" s="10"/>
      <c r="J260" s="10"/>
      <c r="K260" s="10"/>
      <c r="L260" s="10"/>
      <c r="M260" s="10"/>
      <c r="N260" s="10"/>
      <c r="O260" s="278"/>
      <c r="P260" s="10"/>
      <c r="Q260" s="10"/>
      <c r="R260" s="10"/>
      <c r="S260" s="10"/>
      <c r="T260" s="10"/>
      <c r="U260" s="10"/>
      <c r="V260" s="10"/>
      <c r="W260" s="10"/>
      <c r="X260" s="10"/>
      <c r="Y260" s="10"/>
      <c r="Z260" s="10"/>
      <c r="AA260" s="10"/>
      <c r="AC260" s="243"/>
      <c r="AD260" s="243"/>
      <c r="AE260" s="148"/>
      <c r="AF260" s="243"/>
      <c r="AG260" s="243"/>
      <c r="AH260" s="243"/>
      <c r="AI260" s="243"/>
      <c r="AJ260" s="243"/>
      <c r="AK260" s="243"/>
      <c r="AL260" s="243"/>
      <c r="AM260" s="243"/>
      <c r="AN260" s="243"/>
      <c r="AO260" s="243"/>
      <c r="AP260" s="243"/>
      <c r="AQ260" s="243"/>
      <c r="AR260" s="243"/>
      <c r="AS260" s="243"/>
      <c r="AT260" s="243"/>
      <c r="AU260" s="244"/>
      <c r="AV260" s="244"/>
      <c r="AW260" s="244"/>
      <c r="AX260" s="243"/>
      <c r="AY260" s="243"/>
      <c r="AZ260" s="243"/>
    </row>
    <row r="261" spans="1:52" s="1150" customFormat="1">
      <c r="A261" s="1347" t="str">
        <f>'Input 4 - Forecast'!A81</f>
        <v>ZERO-COUPON BOND</v>
      </c>
      <c r="B261" s="1348">
        <f>B119</f>
        <v>2018</v>
      </c>
      <c r="C261" s="1348"/>
      <c r="D261" s="1348">
        <f>$J100</f>
        <v>0</v>
      </c>
      <c r="E261" s="1348">
        <f>$K100</f>
        <v>0</v>
      </c>
      <c r="F261" s="1349">
        <f>$L$100</f>
        <v>0</v>
      </c>
      <c r="H261" s="1350">
        <f>$B$100</f>
        <v>0</v>
      </c>
      <c r="I261" s="1350">
        <f>H261-P261</f>
        <v>0</v>
      </c>
      <c r="J261" s="1350">
        <f>I261-Q261</f>
        <v>0</v>
      </c>
      <c r="K261" s="1350">
        <f>J261-R261</f>
        <v>0</v>
      </c>
      <c r="L261" s="1350">
        <f>K261-S261</f>
        <v>0</v>
      </c>
      <c r="M261" s="1350">
        <f>L261-T261</f>
        <v>0</v>
      </c>
      <c r="N261" s="1350"/>
      <c r="O261" s="1350">
        <f t="shared" ref="O261:T261" si="74">IF($D261=$E261,IF(O$111=$B261+$E261,$H261,0),0)</f>
        <v>0</v>
      </c>
      <c r="P261" s="1350">
        <f t="shared" si="74"/>
        <v>0</v>
      </c>
      <c r="Q261" s="1350">
        <f t="shared" si="74"/>
        <v>0</v>
      </c>
      <c r="R261" s="1350">
        <f t="shared" si="74"/>
        <v>0</v>
      </c>
      <c r="S261" s="1350">
        <f t="shared" si="74"/>
        <v>0</v>
      </c>
      <c r="T261" s="1350">
        <f t="shared" si="74"/>
        <v>0</v>
      </c>
      <c r="U261" s="1350"/>
      <c r="V261" s="1350">
        <f t="shared" ref="V261:AA261" si="75">IF(V$111-$B261=$D261,$H261*(((1+$F261)^$D261)-1),0)</f>
        <v>0</v>
      </c>
      <c r="W261" s="1350">
        <f t="shared" si="75"/>
        <v>0</v>
      </c>
      <c r="X261" s="1350">
        <f t="shared" si="75"/>
        <v>0</v>
      </c>
      <c r="Y261" s="1350">
        <f t="shared" si="75"/>
        <v>0</v>
      </c>
      <c r="Z261" s="1350">
        <f t="shared" si="75"/>
        <v>0</v>
      </c>
      <c r="AA261" s="1350">
        <f t="shared" si="75"/>
        <v>0</v>
      </c>
      <c r="AC261" s="1481"/>
      <c r="AD261" s="1481"/>
      <c r="AE261" s="1482"/>
      <c r="AF261" s="1481"/>
      <c r="AG261" s="1481"/>
      <c r="AH261" s="1481"/>
      <c r="AI261" s="1481"/>
      <c r="AJ261" s="1481"/>
      <c r="AK261" s="1481"/>
      <c r="AL261" s="1481"/>
      <c r="AM261" s="1481"/>
      <c r="AN261" s="1481"/>
      <c r="AO261" s="1481"/>
      <c r="AP261" s="1481"/>
      <c r="AQ261" s="1481"/>
      <c r="AR261" s="1481"/>
      <c r="AS261" s="1481"/>
      <c r="AT261" s="1481"/>
      <c r="AU261" s="1483"/>
      <c r="AV261" s="1483"/>
      <c r="AW261" s="1483"/>
      <c r="AX261" s="1481"/>
      <c r="AY261" s="1481"/>
      <c r="AZ261" s="1481"/>
    </row>
    <row r="262" spans="1:52" s="1150" customFormat="1">
      <c r="A262" s="1347" t="str">
        <f>A261</f>
        <v>ZERO-COUPON BOND</v>
      </c>
      <c r="B262" s="1348">
        <f>B261+1</f>
        <v>2019</v>
      </c>
      <c r="C262" s="1348"/>
      <c r="D262" s="1348">
        <f t="shared" ref="D262:E266" si="76">D261</f>
        <v>0</v>
      </c>
      <c r="E262" s="1348">
        <f t="shared" si="76"/>
        <v>0</v>
      </c>
      <c r="F262" s="1349">
        <f>$M$100</f>
        <v>7.1007506480822574E-3</v>
      </c>
      <c r="H262" s="1350"/>
      <c r="I262" s="1350">
        <f ca="1">$C$100</f>
        <v>0</v>
      </c>
      <c r="J262" s="1350">
        <f ca="1">I262-Q262</f>
        <v>0</v>
      </c>
      <c r="K262" s="1350">
        <f ca="1">J262-R262</f>
        <v>0</v>
      </c>
      <c r="L262" s="1350">
        <f ca="1">K262-S262</f>
        <v>0</v>
      </c>
      <c r="M262" s="1350">
        <f ca="1">L262-T262</f>
        <v>0</v>
      </c>
      <c r="N262" s="1350"/>
      <c r="O262" s="1351"/>
      <c r="P262" s="1350">
        <f ca="1">IF($D262=$E262,IF(P$111=$B262+$E262,$I262,0),0)</f>
        <v>0</v>
      </c>
      <c r="Q262" s="1350">
        <f>IF($D262=$E262,IF(Q$111=$B262+$E262,$I262,0),0)</f>
        <v>0</v>
      </c>
      <c r="R262" s="1350">
        <f>IF($D262=$E262,IF(R$111=$B262+$E262,$I262,0),0)</f>
        <v>0</v>
      </c>
      <c r="S262" s="1350">
        <f>IF($D262=$E262,IF(S$111=$B262+$E262,$I262,0),0)</f>
        <v>0</v>
      </c>
      <c r="T262" s="1350">
        <f>IF($D262=$E262,IF(T$111=$B262+$E262,$I262,0),0)</f>
        <v>0</v>
      </c>
      <c r="U262" s="1350"/>
      <c r="V262" s="1350"/>
      <c r="W262" s="1350">
        <f ca="1">IF(W$111-$B262=$D262,$I262*(((1+$F262)^$D262)-1),0)</f>
        <v>0</v>
      </c>
      <c r="X262" s="1350">
        <f>IF(X$111-$B262=$D262,$I262*(((1+$F262)^$D262)-1),0)</f>
        <v>0</v>
      </c>
      <c r="Y262" s="1350">
        <f>IF(Y$111-$B262=$D262,$I262*(((1+$F262)^$D262)-1),0)</f>
        <v>0</v>
      </c>
      <c r="Z262" s="1350">
        <f>IF(Z$111-$B262=$D262,$I262*(((1+$F262)^$D262)-1),0)</f>
        <v>0</v>
      </c>
      <c r="AA262" s="1350">
        <f>IF(AA$111-$B262=$D262,$I262*(((1+$F262)^$D262)-1),0)</f>
        <v>0</v>
      </c>
      <c r="AC262" s="1481"/>
      <c r="AD262" s="1481"/>
      <c r="AE262" s="1482"/>
      <c r="AF262" s="1481"/>
      <c r="AG262" s="1481"/>
      <c r="AH262" s="1481"/>
      <c r="AI262" s="1481"/>
      <c r="AJ262" s="1481"/>
      <c r="AK262" s="1481"/>
      <c r="AL262" s="1481"/>
      <c r="AM262" s="1481"/>
      <c r="AN262" s="1481"/>
      <c r="AO262" s="1481"/>
      <c r="AP262" s="1481"/>
      <c r="AQ262" s="1481"/>
      <c r="AR262" s="1481"/>
      <c r="AS262" s="1481"/>
      <c r="AT262" s="1481"/>
      <c r="AU262" s="1483"/>
      <c r="AV262" s="1483"/>
      <c r="AW262" s="1483"/>
      <c r="AX262" s="1481"/>
      <c r="AY262" s="1481"/>
      <c r="AZ262" s="1481"/>
    </row>
    <row r="263" spans="1:52" s="1150" customFormat="1">
      <c r="A263" s="1347" t="str">
        <f>A262</f>
        <v>ZERO-COUPON BOND</v>
      </c>
      <c r="B263" s="1348">
        <f>B262+1</f>
        <v>2020</v>
      </c>
      <c r="C263" s="1348"/>
      <c r="D263" s="1348">
        <f t="shared" si="76"/>
        <v>0</v>
      </c>
      <c r="E263" s="1348">
        <f t="shared" si="76"/>
        <v>0</v>
      </c>
      <c r="F263" s="1349">
        <f>$N$100</f>
        <v>1.4545456510151461E-2</v>
      </c>
      <c r="H263" s="1350"/>
      <c r="I263" s="1350"/>
      <c r="J263" s="1350">
        <f ca="1">$D$100</f>
        <v>0</v>
      </c>
      <c r="K263" s="1350">
        <f ca="1">J263-R263</f>
        <v>0</v>
      </c>
      <c r="L263" s="1350">
        <f ca="1">K263-S263</f>
        <v>0</v>
      </c>
      <c r="M263" s="1350">
        <f ca="1">L263-T263</f>
        <v>0</v>
      </c>
      <c r="N263" s="1350"/>
      <c r="O263" s="1351"/>
      <c r="P263" s="1350"/>
      <c r="Q263" s="1350">
        <f ca="1">IF($D263=$E263,IF(Q$111=$B263+$E263,$J263,0),0)</f>
        <v>0</v>
      </c>
      <c r="R263" s="1350">
        <f>IF($D263=$E263,IF(R$111=$B263+$E263,$J263,0),0)</f>
        <v>0</v>
      </c>
      <c r="S263" s="1350">
        <f>IF($D263=$E263,IF(S$111=$B263+$E263,$J263,0),0)</f>
        <v>0</v>
      </c>
      <c r="T263" s="1350">
        <f>IF($D263=$E263,IF(T$111=$B263+$E263,$J263,0),0)</f>
        <v>0</v>
      </c>
      <c r="U263" s="1350"/>
      <c r="V263" s="1350"/>
      <c r="W263" s="1350"/>
      <c r="X263" s="1350">
        <f ca="1">IF(X$111-$B263=$D263,$J263*(((1+$F263)^$D263)-1),0)</f>
        <v>0</v>
      </c>
      <c r="Y263" s="1350">
        <f>IF(Y$111-$B263=$D263,$J263*(((1+$F263)^$D263)-1),0)</f>
        <v>0</v>
      </c>
      <c r="Z263" s="1350">
        <f>IF(Z$111-$B263=$D263,$J263*(((1+$F263)^$D263)-1),0)</f>
        <v>0</v>
      </c>
      <c r="AA263" s="1350">
        <f>IF(AA$111-$B263=$D263,$J263*(((1+$F263)^$D263)-1),0)</f>
        <v>0</v>
      </c>
      <c r="AC263" s="1481"/>
      <c r="AD263" s="1481"/>
      <c r="AE263" s="1482"/>
      <c r="AF263" s="1481"/>
      <c r="AG263" s="1481"/>
      <c r="AH263" s="1481"/>
      <c r="AI263" s="1481"/>
      <c r="AJ263" s="1481"/>
      <c r="AK263" s="1481"/>
      <c r="AL263" s="1481"/>
      <c r="AM263" s="1481"/>
      <c r="AN263" s="1481"/>
      <c r="AO263" s="1481"/>
      <c r="AP263" s="1481"/>
      <c r="AQ263" s="1481"/>
      <c r="AR263" s="1481"/>
      <c r="AS263" s="1481"/>
      <c r="AT263" s="1481"/>
      <c r="AU263" s="1483"/>
      <c r="AV263" s="1483"/>
      <c r="AW263" s="1483"/>
      <c r="AX263" s="1481"/>
      <c r="AY263" s="1481"/>
      <c r="AZ263" s="1481"/>
    </row>
    <row r="264" spans="1:52" s="1150" customFormat="1">
      <c r="A264" s="1347" t="str">
        <f>A263</f>
        <v>ZERO-COUPON BOND</v>
      </c>
      <c r="B264" s="1348">
        <f>B263+1</f>
        <v>2021</v>
      </c>
      <c r="C264" s="1348"/>
      <c r="D264" s="1348">
        <f t="shared" si="76"/>
        <v>0</v>
      </c>
      <c r="E264" s="1348">
        <f t="shared" si="76"/>
        <v>0</v>
      </c>
      <c r="F264" s="1349">
        <f>$O$100</f>
        <v>0</v>
      </c>
      <c r="H264" s="1350"/>
      <c r="I264" s="1350"/>
      <c r="J264" s="1350"/>
      <c r="K264" s="1350">
        <f ca="1">$E$100</f>
        <v>0</v>
      </c>
      <c r="L264" s="1350">
        <f ca="1">K264-S264</f>
        <v>0</v>
      </c>
      <c r="M264" s="1350">
        <f ca="1">L264-T264</f>
        <v>0</v>
      </c>
      <c r="N264" s="1350"/>
      <c r="O264" s="1351"/>
      <c r="P264" s="1350"/>
      <c r="Q264" s="1350"/>
      <c r="R264" s="1350">
        <f ca="1">IF($D264=$E264,IF(R$111=$B264+$E264,$K264,0),0)</f>
        <v>0</v>
      </c>
      <c r="S264" s="1350">
        <f>IF($D264=$E264,IF(S$111=$B264+$E264,$K264,0),0)</f>
        <v>0</v>
      </c>
      <c r="T264" s="1350">
        <f>IF($D264=$E264,IF(T$111=$B264+$E264,$K264,0),0)</f>
        <v>0</v>
      </c>
      <c r="U264" s="1350"/>
      <c r="V264" s="1350"/>
      <c r="W264" s="1350"/>
      <c r="X264" s="1350"/>
      <c r="Y264" s="1350">
        <f ca="1">IF(Y$111-$B264=$D264,$K264*(((1+$F264)^$D264)-1),0)</f>
        <v>0</v>
      </c>
      <c r="Z264" s="1350">
        <f>IF(Z$111-$B264=$D264,$K264*(((1+$F264)^$D264)-1),0)</f>
        <v>0</v>
      </c>
      <c r="AA264" s="1350">
        <f>IF(AA$111-$B264=$D264,$K264*(((1+$F264)^$D264)-1),0)</f>
        <v>0</v>
      </c>
      <c r="AC264" s="1481"/>
      <c r="AD264" s="1481"/>
      <c r="AE264" s="1482"/>
      <c r="AF264" s="1481"/>
      <c r="AG264" s="1481"/>
      <c r="AH264" s="1481"/>
      <c r="AI264" s="1481"/>
      <c r="AJ264" s="1481"/>
      <c r="AK264" s="1481"/>
      <c r="AL264" s="1481"/>
      <c r="AM264" s="1481"/>
      <c r="AN264" s="1481"/>
      <c r="AO264" s="1481"/>
      <c r="AP264" s="1481"/>
      <c r="AQ264" s="1481"/>
      <c r="AR264" s="1481"/>
      <c r="AS264" s="1481"/>
      <c r="AT264" s="1481"/>
      <c r="AU264" s="1483"/>
      <c r="AV264" s="1483"/>
      <c r="AW264" s="1483"/>
      <c r="AX264" s="1481"/>
      <c r="AY264" s="1481"/>
      <c r="AZ264" s="1481"/>
    </row>
    <row r="265" spans="1:52" s="1150" customFormat="1">
      <c r="A265" s="1347" t="str">
        <f>A264</f>
        <v>ZERO-COUPON BOND</v>
      </c>
      <c r="B265" s="1348">
        <f>B264+1</f>
        <v>2022</v>
      </c>
      <c r="C265" s="1348"/>
      <c r="D265" s="1348">
        <f t="shared" si="76"/>
        <v>0</v>
      </c>
      <c r="E265" s="1348">
        <f t="shared" si="76"/>
        <v>0</v>
      </c>
      <c r="F265" s="1349">
        <f>$P$100</f>
        <v>0</v>
      </c>
      <c r="H265" s="1350"/>
      <c r="I265" s="1350"/>
      <c r="J265" s="1350"/>
      <c r="K265" s="1350"/>
      <c r="L265" s="1350">
        <f ca="1">$F$100</f>
        <v>0</v>
      </c>
      <c r="M265" s="1350">
        <f ca="1">L265-T265</f>
        <v>0</v>
      </c>
      <c r="N265" s="1350"/>
      <c r="O265" s="1351"/>
      <c r="P265" s="1350"/>
      <c r="Q265" s="1350"/>
      <c r="R265" s="1350"/>
      <c r="S265" s="1350">
        <f ca="1">IF($D265=$E265,IF(S$111=$B265+$E265,$L265,0),0)</f>
        <v>0</v>
      </c>
      <c r="T265" s="1350">
        <f>IF($D265=$E265,IF(T$111=$B265+$E265,$L265,0),0)</f>
        <v>0</v>
      </c>
      <c r="U265" s="1350"/>
      <c r="V265" s="1350"/>
      <c r="W265" s="1350"/>
      <c r="X265" s="1350"/>
      <c r="Y265" s="1350"/>
      <c r="Z265" s="1350">
        <f ca="1">IF(Z$111-$B265=$D265,$L265*(((1+$F265)^$D265)-1),0)</f>
        <v>0</v>
      </c>
      <c r="AA265" s="1350">
        <f>IF(AA$111-$B265=$D265,$L265*(((1+$F265)^$D265)-1),0)</f>
        <v>0</v>
      </c>
      <c r="AC265" s="1481"/>
      <c r="AD265" s="1481"/>
      <c r="AE265" s="1482"/>
      <c r="AF265" s="1481"/>
      <c r="AG265" s="1481"/>
      <c r="AH265" s="1481"/>
      <c r="AI265" s="1481"/>
      <c r="AJ265" s="1481"/>
      <c r="AK265" s="1481"/>
      <c r="AL265" s="1481"/>
      <c r="AM265" s="1481"/>
      <c r="AN265" s="1481"/>
      <c r="AO265" s="1481"/>
      <c r="AP265" s="1481"/>
      <c r="AQ265" s="1481"/>
      <c r="AR265" s="1481"/>
      <c r="AS265" s="1481"/>
      <c r="AT265" s="1481"/>
      <c r="AU265" s="1483"/>
      <c r="AV265" s="1483"/>
      <c r="AW265" s="1483"/>
      <c r="AX265" s="1481"/>
      <c r="AY265" s="1481"/>
      <c r="AZ265" s="1481"/>
    </row>
    <row r="266" spans="1:52" s="1150" customFormat="1">
      <c r="A266" s="1347" t="str">
        <f>A265</f>
        <v>ZERO-COUPON BOND</v>
      </c>
      <c r="B266" s="1348">
        <f>B265+1</f>
        <v>2023</v>
      </c>
      <c r="C266" s="1348"/>
      <c r="D266" s="1348">
        <f t="shared" si="76"/>
        <v>0</v>
      </c>
      <c r="E266" s="1348">
        <f t="shared" si="76"/>
        <v>0</v>
      </c>
      <c r="F266" s="1349">
        <f>$Q$100</f>
        <v>0</v>
      </c>
      <c r="H266" s="1350"/>
      <c r="I266" s="1350"/>
      <c r="J266" s="1350"/>
      <c r="K266" s="1350"/>
      <c r="L266" s="1350"/>
      <c r="M266" s="1350">
        <f ca="1">$G$100</f>
        <v>0</v>
      </c>
      <c r="N266" s="1350"/>
      <c r="O266" s="1351"/>
      <c r="P266" s="1350"/>
      <c r="Q266" s="1350"/>
      <c r="R266" s="1350"/>
      <c r="S266" s="1350"/>
      <c r="T266" s="1350">
        <f ca="1">IF($D266=$E266,IF(T$111=$B266+$E266,$M266,0),0)</f>
        <v>0</v>
      </c>
      <c r="U266" s="1350"/>
      <c r="V266" s="1350"/>
      <c r="W266" s="1350"/>
      <c r="X266" s="1350"/>
      <c r="Y266" s="1350"/>
      <c r="Z266" s="1350"/>
      <c r="AA266" s="1350">
        <f ca="1">IF(AA$111-$B266=$D266,$M266*(((1+$F266)^$D266)-1),0)</f>
        <v>0</v>
      </c>
      <c r="AC266" s="1481"/>
      <c r="AD266" s="1481"/>
      <c r="AE266" s="1482"/>
      <c r="AF266" s="1481"/>
      <c r="AG266" s="1481"/>
      <c r="AH266" s="1481"/>
      <c r="AI266" s="1481"/>
      <c r="AJ266" s="1481"/>
      <c r="AK266" s="1481"/>
      <c r="AL266" s="1481"/>
      <c r="AM266" s="1481"/>
      <c r="AN266" s="1481"/>
      <c r="AO266" s="1481"/>
      <c r="AP266" s="1481"/>
      <c r="AQ266" s="1481"/>
      <c r="AR266" s="1481"/>
      <c r="AS266" s="1481"/>
      <c r="AT266" s="1481"/>
      <c r="AU266" s="1483"/>
      <c r="AV266" s="1483"/>
      <c r="AW266" s="1483"/>
      <c r="AX266" s="1481"/>
      <c r="AY266" s="1481"/>
      <c r="AZ266" s="1481"/>
    </row>
    <row r="267" spans="1:52" ht="15.75" thickBot="1">
      <c r="H267" s="10"/>
      <c r="I267" s="10"/>
      <c r="J267" s="10"/>
      <c r="K267" s="10"/>
      <c r="L267" s="10"/>
      <c r="M267" s="10"/>
      <c r="N267" s="10"/>
      <c r="O267" s="10"/>
      <c r="P267" s="10"/>
      <c r="Q267" s="10"/>
      <c r="R267" s="10"/>
      <c r="S267" s="10"/>
      <c r="T267" s="10"/>
      <c r="U267" s="10"/>
      <c r="V267" s="10"/>
      <c r="W267" s="10"/>
      <c r="X267" s="10"/>
      <c r="Y267" s="10"/>
      <c r="Z267" s="10"/>
      <c r="AA267" s="10"/>
      <c r="AC267" s="243"/>
      <c r="AD267" s="243"/>
      <c r="AE267" s="148"/>
      <c r="AF267" s="243"/>
      <c r="AG267" s="243"/>
      <c r="AH267" s="243"/>
      <c r="AI267" s="243"/>
      <c r="AJ267" s="243"/>
      <c r="AK267" s="243"/>
      <c r="AL267" s="243"/>
      <c r="AM267" s="243"/>
      <c r="AN267" s="243"/>
      <c r="AO267" s="243"/>
      <c r="AP267" s="243"/>
      <c r="AQ267" s="243"/>
      <c r="AR267" s="243"/>
      <c r="AS267" s="243"/>
      <c r="AT267" s="243"/>
      <c r="AU267" s="244"/>
      <c r="AV267" s="244"/>
      <c r="AW267" s="244"/>
      <c r="AX267" s="243"/>
      <c r="AY267" s="243"/>
      <c r="AZ267" s="243"/>
    </row>
    <row r="268" spans="1:52" ht="15.75" thickBot="1">
      <c r="A268" s="12" t="str">
        <f>'Input 4 - Forecast'!A82</f>
        <v>Denominated in foreign currency</v>
      </c>
      <c r="B268" s="1999" t="s">
        <v>52</v>
      </c>
      <c r="C268" s="2000"/>
      <c r="D268" s="2000"/>
      <c r="E268" s="2000"/>
      <c r="F268" s="2000"/>
      <c r="G268" s="2000"/>
      <c r="H268" s="2000"/>
      <c r="I268" s="2000"/>
      <c r="J268" s="2000"/>
      <c r="K268" s="2000"/>
      <c r="L268" s="2000"/>
      <c r="M268" s="2000"/>
      <c r="N268" s="2000"/>
      <c r="O268" s="2000"/>
      <c r="P268" s="2000"/>
      <c r="Q268" s="2000"/>
      <c r="R268" s="2000"/>
      <c r="S268" s="2000"/>
      <c r="T268" s="2000"/>
      <c r="U268" s="2000"/>
      <c r="V268" s="2000"/>
      <c r="W268" s="2000"/>
      <c r="X268" s="2000"/>
      <c r="Y268" s="2000"/>
      <c r="Z268" s="2000"/>
      <c r="AA268" s="2001"/>
      <c r="AC268" s="243"/>
      <c r="AD268" s="243"/>
      <c r="AE268" s="148"/>
      <c r="AF268" s="243"/>
      <c r="AG268" s="243"/>
      <c r="AH268" s="243"/>
      <c r="AI268" s="243"/>
      <c r="AJ268" s="243"/>
      <c r="AK268" s="243"/>
      <c r="AL268" s="243"/>
      <c r="AM268" s="243"/>
      <c r="AN268" s="243"/>
      <c r="AO268" s="243"/>
      <c r="AP268" s="243"/>
      <c r="AQ268" s="243"/>
      <c r="AR268" s="243"/>
      <c r="AS268" s="243"/>
      <c r="AT268" s="243"/>
      <c r="AU268" s="244"/>
      <c r="AV268" s="244"/>
      <c r="AW268" s="244"/>
      <c r="AX268" s="243"/>
      <c r="AY268" s="243"/>
      <c r="AZ268" s="243"/>
    </row>
    <row r="269" spans="1:52">
      <c r="H269" s="10"/>
      <c r="I269" s="10"/>
      <c r="J269" s="10"/>
      <c r="K269" s="10"/>
      <c r="L269" s="10"/>
      <c r="M269" s="10"/>
      <c r="N269" s="10"/>
      <c r="O269" s="10"/>
      <c r="P269" s="10"/>
      <c r="Q269" s="10"/>
      <c r="R269" s="10"/>
      <c r="S269" s="10"/>
      <c r="T269" s="10"/>
      <c r="U269" s="10"/>
      <c r="V269" s="10"/>
      <c r="W269" s="10"/>
      <c r="X269" s="10"/>
      <c r="Y269" s="10"/>
      <c r="Z269" s="10"/>
      <c r="AA269" s="10"/>
      <c r="AC269" s="243"/>
      <c r="AD269" s="243"/>
      <c r="AE269" s="148"/>
      <c r="AF269" s="243"/>
      <c r="AG269" s="243"/>
      <c r="AH269" s="243"/>
      <c r="AI269" s="243"/>
      <c r="AJ269" s="243"/>
      <c r="AK269" s="243"/>
      <c r="AL269" s="243"/>
      <c r="AM269" s="243"/>
      <c r="AN269" s="243"/>
      <c r="AO269" s="243"/>
      <c r="AP269" s="243"/>
      <c r="AQ269" s="243"/>
      <c r="AR269" s="243"/>
      <c r="AS269" s="243"/>
      <c r="AT269" s="243"/>
      <c r="AU269" s="244"/>
      <c r="AV269" s="244"/>
      <c r="AW269" s="244"/>
      <c r="AX269" s="243"/>
      <c r="AY269" s="243"/>
      <c r="AZ269" s="243"/>
    </row>
    <row r="270" spans="1:52">
      <c r="A270" s="8" t="str">
        <f>'Input 4 - Forecast'!A83</f>
        <v>Type 16</v>
      </c>
      <c r="B270" s="7">
        <f>B119</f>
        <v>2018</v>
      </c>
      <c r="C270" s="7" t="str">
        <f>$I102</f>
        <v>Annual</v>
      </c>
      <c r="D270" s="7">
        <f>$J102</f>
        <v>0</v>
      </c>
      <c r="E270" s="7">
        <f>$K102</f>
        <v>0</v>
      </c>
      <c r="F270" s="14">
        <f>$L$102</f>
        <v>0</v>
      </c>
      <c r="H270" s="9">
        <f>$B$102/$B$31</f>
        <v>0</v>
      </c>
      <c r="I270" s="9">
        <f>H270-P270</f>
        <v>0</v>
      </c>
      <c r="J270" s="9">
        <f>I270-Q270</f>
        <v>0</v>
      </c>
      <c r="K270" s="9">
        <f>J270-R270</f>
        <v>0</v>
      </c>
      <c r="L270" s="9">
        <f>K270-S270</f>
        <v>0</v>
      </c>
      <c r="M270" s="9">
        <f>L270-T270</f>
        <v>0</v>
      </c>
      <c r="N270" s="9"/>
      <c r="O270" s="9">
        <f t="shared" ref="O270:T270" si="77">IF(OR($C270="Annual",$D270=$E270),IF(AND($D270=$E270,O$111=$B270+$D270),$H270,IF(AND(O$111&gt;$B270+$D270,O$111&lt;=$B270+$E270), $H270/($E270-$D270),0)), IF(OR(O$111=$B270+$D270,O$111=$B270+$E270),$H270/(($E270-$D270)*2),IF(AND(O$111&gt;$B270+$D270,O$111&lt;$B270+$E270),$H270/($E270-$D270),0)))</f>
        <v>0</v>
      </c>
      <c r="P270" s="9">
        <f t="shared" si="77"/>
        <v>0</v>
      </c>
      <c r="Q270" s="9">
        <f t="shared" si="77"/>
        <v>0</v>
      </c>
      <c r="R270" s="9">
        <f t="shared" si="77"/>
        <v>0</v>
      </c>
      <c r="S270" s="9">
        <f t="shared" si="77"/>
        <v>0</v>
      </c>
      <c r="T270" s="9">
        <f t="shared" si="77"/>
        <v>0</v>
      </c>
      <c r="U270" s="9"/>
      <c r="V270" s="9">
        <f>IF($C270="annual",IF(V$111=$B270,0,G270*$F270),IF(V$111-$B270=0,0,IF((V$111-$B270)&lt;$E270,AVERAGE(G270,H270)*$F270,IF((V$111-$B270)=$E270,G270*$F270/2,0))))</f>
        <v>0</v>
      </c>
      <c r="W270" s="9">
        <f t="shared" ref="W270:AA275" si="78">IF($C270="annual",IF(W$111=$B270,0,H270*$F270),IF(W$111-$B270=0,0,IF((W$111-$B270)&lt;$E270,AVERAGE(H270,I270)*$F270,IF((W$111-$B270)=$E270,H270*$F270/2,0))))</f>
        <v>0</v>
      </c>
      <c r="X270" s="9">
        <f t="shared" si="78"/>
        <v>0</v>
      </c>
      <c r="Y270" s="9">
        <f t="shared" si="78"/>
        <v>0</v>
      </c>
      <c r="Z270" s="9">
        <f t="shared" si="78"/>
        <v>0</v>
      </c>
      <c r="AA270" s="9">
        <f t="shared" si="78"/>
        <v>0</v>
      </c>
      <c r="AC270" s="243"/>
      <c r="AD270" s="243"/>
      <c r="AE270" s="148"/>
      <c r="AF270" s="243"/>
      <c r="AG270" s="243"/>
      <c r="AH270" s="243"/>
      <c r="AI270" s="243"/>
      <c r="AJ270" s="243"/>
      <c r="AK270" s="243"/>
      <c r="AL270" s="243"/>
      <c r="AM270" s="243"/>
      <c r="AN270" s="243"/>
      <c r="AO270" s="243"/>
      <c r="AP270" s="243"/>
      <c r="AQ270" s="243"/>
      <c r="AR270" s="243"/>
      <c r="AS270" s="243"/>
      <c r="AT270" s="243"/>
      <c r="AU270" s="244"/>
      <c r="AV270" s="244"/>
      <c r="AW270" s="244"/>
      <c r="AX270" s="243"/>
      <c r="AY270" s="243"/>
      <c r="AZ270" s="243"/>
    </row>
    <row r="271" spans="1:52">
      <c r="A271" s="8" t="str">
        <f>A270</f>
        <v>Type 16</v>
      </c>
      <c r="B271" s="7">
        <f>B270+1</f>
        <v>2019</v>
      </c>
      <c r="C271" s="7" t="str">
        <f>C270</f>
        <v>Annual</v>
      </c>
      <c r="D271" s="7">
        <f t="shared" ref="D271:E275" si="79">D270</f>
        <v>0</v>
      </c>
      <c r="E271" s="7">
        <f t="shared" si="79"/>
        <v>0</v>
      </c>
      <c r="F271" s="14">
        <f>$M$102</f>
        <v>7.1007506480822574E-3</v>
      </c>
      <c r="H271" s="9"/>
      <c r="I271" s="9">
        <f ca="1">$C$102/$C$31</f>
        <v>0</v>
      </c>
      <c r="J271" s="9">
        <f ca="1">I271-Q271</f>
        <v>0</v>
      </c>
      <c r="K271" s="9">
        <f ca="1">J271-R271</f>
        <v>0</v>
      </c>
      <c r="L271" s="9">
        <f ca="1">K271-S271</f>
        <v>0</v>
      </c>
      <c r="M271" s="9">
        <f ca="1">L271-T271</f>
        <v>0</v>
      </c>
      <c r="N271" s="9"/>
      <c r="O271" s="9"/>
      <c r="P271" s="9">
        <f ca="1">IF(OR($C271="Annual",$D271=$E271),IF(AND($D271=$E271,P$111=$B271+$D271),$I271,IF(AND(P$111&gt;$B271+$D271,P$111&lt;=$B271+$E271), $I271/($E271-$D271),0)), IF(OR(P$111=$B271+$D271,P$111=$B271+$E271),$I271/(($E271-$D271)*2),IF(AND(P$111&gt;$B271+$D271,P$111&lt;$B271+$E271),$I271/($E271-$D271),0)))</f>
        <v>0</v>
      </c>
      <c r="Q271" s="9">
        <f>IF(OR($C271="Annual",$D271=$E271),IF(AND($D271=$E271,Q$111=$B271+$D271),$I271,IF(AND(Q$111&gt;$B271+$D271,Q$111&lt;=$B271+$E271), $I271/($E271-$D271),0)), IF(OR(Q$111=$B271+$D271,Q$111=$B271+$E271),$I271/(($E271-$D271)*2),IF(AND(Q$111&gt;$B271+$D271,Q$111&lt;$B271+$E271),$I271/($E271-$D271),0)))</f>
        <v>0</v>
      </c>
      <c r="R271" s="9">
        <f>IF(OR($C271="Annual",$D271=$E271),IF(AND($D271=$E271,R$111=$B271+$D271),$I271,IF(AND(R$111&gt;$B271+$D271,R$111&lt;=$B271+$E271), $I271/($E271-$D271),0)), IF(OR(R$111=$B271+$D271,R$111=$B271+$E271),$I271/(($E271-$D271)*2),IF(AND(R$111&gt;$B271+$D271,R$111&lt;$B271+$E271),$I271/($E271-$D271),0)))</f>
        <v>0</v>
      </c>
      <c r="S271" s="9">
        <f>IF(OR($C271="Annual",$D271=$E271),IF(AND($D271=$E271,S$111=$B271+$D271),$I271,IF(AND(S$111&gt;$B271+$D271,S$111&lt;=$B271+$E271), $I271/($E271-$D271),0)), IF(OR(S$111=$B271+$D271,S$111=$B271+$E271),$I271/(($E271-$D271)*2),IF(AND(S$111&gt;$B271+$D271,S$111&lt;$B271+$E271),$I271/($E271-$D271),0)))</f>
        <v>0</v>
      </c>
      <c r="T271" s="9">
        <f>IF(OR($C271="Annual",$D271=$E271),IF(AND($D271=$E271,T$111=$B271+$D271),$I271,IF(AND(T$111&gt;$B271+$D271,T$111&lt;=$B271+$E271), $I271/($E271-$D271),0)), IF(OR(T$111=$B271+$D271,T$111=$B271+$E271),$I271/(($E271-$D271)*2),IF(AND(T$111&gt;$B271+$D271,T$111&lt;$B271+$E271),$I271/($E271-$D271),0)))</f>
        <v>0</v>
      </c>
      <c r="U271" s="9"/>
      <c r="V271" s="9"/>
      <c r="W271" s="9">
        <f t="shared" si="78"/>
        <v>0</v>
      </c>
      <c r="X271" s="9">
        <f t="shared" ca="1" si="78"/>
        <v>0</v>
      </c>
      <c r="Y271" s="9">
        <f t="shared" ca="1" si="78"/>
        <v>0</v>
      </c>
      <c r="Z271" s="9">
        <f t="shared" ca="1" si="78"/>
        <v>0</v>
      </c>
      <c r="AA271" s="9">
        <f t="shared" ca="1" si="78"/>
        <v>0</v>
      </c>
      <c r="AC271" s="243"/>
      <c r="AD271" s="243"/>
      <c r="AE271" s="148"/>
      <c r="AF271" s="243"/>
      <c r="AG271" s="243"/>
      <c r="AH271" s="243"/>
      <c r="AI271" s="243"/>
      <c r="AJ271" s="243"/>
      <c r="AK271" s="243"/>
      <c r="AL271" s="243"/>
      <c r="AM271" s="243"/>
      <c r="AN271" s="243"/>
      <c r="AO271" s="243"/>
      <c r="AP271" s="243"/>
      <c r="AQ271" s="243"/>
      <c r="AR271" s="243"/>
      <c r="AS271" s="243"/>
      <c r="AT271" s="243"/>
      <c r="AU271" s="244"/>
      <c r="AV271" s="244"/>
      <c r="AW271" s="244"/>
      <c r="AX271" s="243"/>
      <c r="AY271" s="243"/>
      <c r="AZ271" s="243"/>
    </row>
    <row r="272" spans="1:52">
      <c r="A272" s="8" t="str">
        <f>A271</f>
        <v>Type 16</v>
      </c>
      <c r="B272" s="7">
        <f>B271+1</f>
        <v>2020</v>
      </c>
      <c r="C272" s="7" t="str">
        <f>C271</f>
        <v>Annual</v>
      </c>
      <c r="D272" s="7">
        <f t="shared" si="79"/>
        <v>0</v>
      </c>
      <c r="E272" s="7">
        <f t="shared" si="79"/>
        <v>0</v>
      </c>
      <c r="F272" s="14">
        <f>$N$102</f>
        <v>1.4545456510151461E-2</v>
      </c>
      <c r="H272" s="9"/>
      <c r="I272" s="9"/>
      <c r="J272" s="9">
        <f ca="1">$D$102/$D$31</f>
        <v>0</v>
      </c>
      <c r="K272" s="9">
        <f ca="1">J272-R272</f>
        <v>0</v>
      </c>
      <c r="L272" s="9">
        <f ca="1">K272-S272</f>
        <v>0</v>
      </c>
      <c r="M272" s="9">
        <f ca="1">L272-T272</f>
        <v>0</v>
      </c>
      <c r="N272" s="9"/>
      <c r="O272" s="9"/>
      <c r="P272" s="9"/>
      <c r="Q272" s="9">
        <f ca="1">IF(OR($C272="Annual",$D272=$E272),IF(AND($D272=$E272,Q$111=$B272+$D272),$J272,IF(AND(Q$111&gt;$B272+$D272,Q$111&lt;=$B272+$E272), $J272/($E272-$D272),0)), IF(OR(Q$111=$B272+$D272,Q$111=$B272+$E272),$J272/(($E272-$D272)*2),IF(AND(Q$111&gt;$B272+$D272,Q$111&lt;$B272+$E272),$J272/($E272-$D272),0)))</f>
        <v>0</v>
      </c>
      <c r="R272" s="9">
        <f>IF(OR($C272="Annual",$D272=$E272),IF(AND($D272=$E272,R$111=$B272+$D272),$J272,IF(AND(R$111&gt;$B272+$D272,R$111&lt;=$B272+$E272), $J272/($E272-$D272),0)), IF(OR(R$111=$B272+$D272,R$111=$B272+$E272),$J272/(($E272-$D272)*2),IF(AND(R$111&gt;$B272+$D272,R$111&lt;$B272+$E272),$J272/($E272-$D272),0)))</f>
        <v>0</v>
      </c>
      <c r="S272" s="9">
        <f>IF(OR($C272="Annual",$D272=$E272),IF(AND($D272=$E272,S$111=$B272+$D272),$J272,IF(AND(S$111&gt;$B272+$D272,S$111&lt;=$B272+$E272), $J272/($E272-$D272),0)), IF(OR(S$111=$B272+$D272,S$111=$B272+$E272),$J272/(($E272-$D272)*2),IF(AND(S$111&gt;$B272+$D272,S$111&lt;$B272+$E272),$J272/($E272-$D272),0)))</f>
        <v>0</v>
      </c>
      <c r="T272" s="9">
        <f>IF(OR($C272="Annual",$D272=$E272),IF(AND($D272=$E272,T$111=$B272+$D272),$J272,IF(AND(T$111&gt;$B272+$D272,T$111&lt;=$B272+$E272), $J272/($E272-$D272),0)), IF(OR(T$111=$B272+$D272,T$111=$B272+$E272),$J272/(($E272-$D272)*2),IF(AND(T$111&gt;$B272+$D272,T$111&lt;$B272+$E272),$J272/($E272-$D272),0)))</f>
        <v>0</v>
      </c>
      <c r="U272" s="9"/>
      <c r="V272" s="9"/>
      <c r="W272" s="9"/>
      <c r="X272" s="9">
        <f t="shared" si="78"/>
        <v>0</v>
      </c>
      <c r="Y272" s="9">
        <f t="shared" ca="1" si="78"/>
        <v>0</v>
      </c>
      <c r="Z272" s="9">
        <f t="shared" ca="1" si="78"/>
        <v>0</v>
      </c>
      <c r="AA272" s="9">
        <f t="shared" ca="1" si="78"/>
        <v>0</v>
      </c>
      <c r="AC272" s="243"/>
      <c r="AD272" s="243"/>
      <c r="AE272" s="148"/>
      <c r="AF272" s="243"/>
      <c r="AG272" s="243"/>
      <c r="AH272" s="243"/>
      <c r="AI272" s="243"/>
      <c r="AJ272" s="243"/>
      <c r="AK272" s="243"/>
      <c r="AL272" s="243"/>
      <c r="AM272" s="243"/>
      <c r="AN272" s="243"/>
      <c r="AO272" s="243"/>
      <c r="AP272" s="243"/>
      <c r="AQ272" s="243"/>
      <c r="AR272" s="243"/>
      <c r="AS272" s="243"/>
      <c r="AT272" s="243"/>
      <c r="AU272" s="244"/>
      <c r="AV272" s="244"/>
      <c r="AW272" s="244"/>
      <c r="AX272" s="243"/>
      <c r="AY272" s="243"/>
      <c r="AZ272" s="243"/>
    </row>
    <row r="273" spans="1:52">
      <c r="A273" s="8" t="str">
        <f>A272</f>
        <v>Type 16</v>
      </c>
      <c r="B273" s="7">
        <f>B272+1</f>
        <v>2021</v>
      </c>
      <c r="C273" s="7" t="str">
        <f>C272</f>
        <v>Annual</v>
      </c>
      <c r="D273" s="7">
        <f t="shared" si="79"/>
        <v>0</v>
      </c>
      <c r="E273" s="7">
        <f t="shared" si="79"/>
        <v>0</v>
      </c>
      <c r="F273" s="14">
        <f>$O$102</f>
        <v>0</v>
      </c>
      <c r="H273" s="9"/>
      <c r="I273" s="9"/>
      <c r="J273" s="9"/>
      <c r="K273" s="9">
        <f ca="1">$E$102/$E$31</f>
        <v>0</v>
      </c>
      <c r="L273" s="9">
        <f ca="1">K273-S273</f>
        <v>0</v>
      </c>
      <c r="M273" s="9">
        <f ca="1">L273-T273</f>
        <v>0</v>
      </c>
      <c r="N273" s="9"/>
      <c r="O273" s="9"/>
      <c r="P273" s="9"/>
      <c r="Q273" s="9"/>
      <c r="R273" s="9">
        <f ca="1">IF(OR($C273="Annual",$D273=$E273),IF(AND($D273=$E273,R$111=$B273+$D273),$K273,IF(AND(R$111&gt;$B273+$D273,R$111&lt;=$B273+$E273), $K273/($E273-$D273),0)), IF(OR(R$111=$B273+$D273,R$111=$B273+$E273),$K273/(($E273-$D273)*2),IF(AND(R$111&gt;$B273+$D273,R$111&lt;$B273+$E273),$K273/($E273-$D273),0)))</f>
        <v>0</v>
      </c>
      <c r="S273" s="9">
        <f>IF(OR($C273="Annual",$D273=$E273),IF(AND($D273=$E273,S$111=$B273+$D273),$K273,IF(AND(S$111&gt;$B273+$D273,S$111&lt;=$B273+$E273), $K273/($E273-$D273),0)), IF(OR(S$111=$B273+$D273,S$111=$B273+$E273),$K273/(($E273-$D273)*2),IF(AND(S$111&gt;$B273+$D273,S$111&lt;$B273+$E273),$K273/($E273-$D273),0)))</f>
        <v>0</v>
      </c>
      <c r="T273" s="9">
        <f>IF(OR($C273="Annual",$D273=$E273),IF(AND($D273=$E273,T$111=$B273+$D273),$K273,IF(AND(T$111&gt;$B273+$D273,T$111&lt;=$B273+$E273), $K273/($E273-$D273),0)), IF(OR(T$111=$B273+$D273,T$111=$B273+$E273),$K273/(($E273-$D273)*2),IF(AND(T$111&gt;$B273+$D273,T$111&lt;$B273+$E273),$K273/($E273-$D273),0)))</f>
        <v>0</v>
      </c>
      <c r="U273" s="9"/>
      <c r="V273" s="9"/>
      <c r="W273" s="9"/>
      <c r="X273" s="9"/>
      <c r="Y273" s="9">
        <f t="shared" si="78"/>
        <v>0</v>
      </c>
      <c r="Z273" s="9">
        <f t="shared" ca="1" si="78"/>
        <v>0</v>
      </c>
      <c r="AA273" s="9">
        <f t="shared" ca="1" si="78"/>
        <v>0</v>
      </c>
      <c r="AC273" s="243"/>
      <c r="AD273" s="243"/>
      <c r="AE273" s="148"/>
      <c r="AF273" s="243"/>
      <c r="AG273" s="243"/>
      <c r="AH273" s="243"/>
      <c r="AI273" s="243"/>
      <c r="AJ273" s="243"/>
      <c r="AK273" s="243"/>
      <c r="AL273" s="243"/>
      <c r="AM273" s="243"/>
      <c r="AN273" s="243"/>
      <c r="AO273" s="243"/>
      <c r="AP273" s="243"/>
      <c r="AQ273" s="243"/>
      <c r="AR273" s="243"/>
      <c r="AS273" s="243"/>
      <c r="AT273" s="243"/>
      <c r="AU273" s="244"/>
      <c r="AV273" s="244"/>
      <c r="AW273" s="244"/>
      <c r="AX273" s="243"/>
      <c r="AY273" s="243"/>
      <c r="AZ273" s="243"/>
    </row>
    <row r="274" spans="1:52">
      <c r="A274" s="8" t="str">
        <f>A273</f>
        <v>Type 16</v>
      </c>
      <c r="B274" s="7">
        <f>B273+1</f>
        <v>2022</v>
      </c>
      <c r="C274" s="7" t="str">
        <f>C273</f>
        <v>Annual</v>
      </c>
      <c r="D274" s="7">
        <f t="shared" si="79"/>
        <v>0</v>
      </c>
      <c r="E274" s="7">
        <f t="shared" si="79"/>
        <v>0</v>
      </c>
      <c r="F274" s="14">
        <f>$P$102</f>
        <v>0</v>
      </c>
      <c r="H274" s="9"/>
      <c r="I274" s="9"/>
      <c r="J274" s="9"/>
      <c r="K274" s="9"/>
      <c r="L274" s="9">
        <f ca="1">$F$102/$F$31</f>
        <v>0</v>
      </c>
      <c r="M274" s="9">
        <f ca="1">L274-T274</f>
        <v>0</v>
      </c>
      <c r="N274" s="9"/>
      <c r="O274" s="9"/>
      <c r="P274" s="9"/>
      <c r="Q274" s="9"/>
      <c r="R274" s="9"/>
      <c r="S274" s="9">
        <f ca="1">IF(OR($C274="Annual",$D274=$E274),IF(AND($D274=$E274,S$111=$B274+$D274),$L274,IF(AND(S$111&gt;$B274+$D274,S$111&lt;=$B274+$E274), $L274/($E274-$D274),0)), IF(OR(S$111=$B274+$D274,S$111=$B274+$E274),$L274/(($E274-$D274)*2),IF(AND(S$111&gt;$B274+$D274,S$111&lt;$B274+$E274),$L274/($E274-$D274),0)))</f>
        <v>0</v>
      </c>
      <c r="T274" s="9">
        <f>IF(OR($C274="Annual",$D274=$E274),IF(AND($D274=$E274,T$111=$B274+$D274),$L274,IF(AND(T$111&gt;$B274+$D274,T$111&lt;=$B274+$E274), $L274/($E274-$D274),0)), IF(OR(T$111=$B274+$D274,T$111=$B274+$E274),$L274/(($E274-$D274)*2),IF(AND(T$111&gt;$B274+$D274,T$111&lt;$B274+$E274),$L274/($E274-$D274),0)))</f>
        <v>0</v>
      </c>
      <c r="U274" s="9"/>
      <c r="V274" s="9"/>
      <c r="W274" s="9"/>
      <c r="X274" s="9"/>
      <c r="Y274" s="9"/>
      <c r="Z274" s="9">
        <f t="shared" si="78"/>
        <v>0</v>
      </c>
      <c r="AA274" s="9">
        <f t="shared" ca="1" si="78"/>
        <v>0</v>
      </c>
      <c r="AC274" s="243"/>
      <c r="AD274" s="243"/>
      <c r="AE274" s="148"/>
      <c r="AF274" s="243"/>
      <c r="AG274" s="243"/>
      <c r="AH274" s="243"/>
      <c r="AI274" s="243"/>
      <c r="AJ274" s="243"/>
      <c r="AK274" s="243"/>
      <c r="AL274" s="243"/>
      <c r="AM274" s="243"/>
      <c r="AN274" s="243"/>
      <c r="AO274" s="243"/>
      <c r="AP274" s="243"/>
      <c r="AQ274" s="243"/>
      <c r="AR274" s="243"/>
      <c r="AS274" s="243"/>
      <c r="AT274" s="243"/>
      <c r="AU274" s="244"/>
      <c r="AV274" s="244"/>
      <c r="AW274" s="244"/>
      <c r="AX274" s="243"/>
      <c r="AY274" s="243"/>
      <c r="AZ274" s="243"/>
    </row>
    <row r="275" spans="1:52">
      <c r="A275" s="8" t="str">
        <f>A274</f>
        <v>Type 16</v>
      </c>
      <c r="B275" s="7">
        <f>B274+1</f>
        <v>2023</v>
      </c>
      <c r="C275" s="7" t="str">
        <f>C274</f>
        <v>Annual</v>
      </c>
      <c r="D275" s="7">
        <f t="shared" si="79"/>
        <v>0</v>
      </c>
      <c r="E275" s="7">
        <f t="shared" si="79"/>
        <v>0</v>
      </c>
      <c r="F275" s="14">
        <f>$Q$102</f>
        <v>0</v>
      </c>
      <c r="H275" s="9"/>
      <c r="I275" s="9"/>
      <c r="J275" s="9"/>
      <c r="K275" s="9"/>
      <c r="L275" s="9"/>
      <c r="M275" s="9">
        <f ca="1">$G$102/$G$31</f>
        <v>0</v>
      </c>
      <c r="N275" s="9"/>
      <c r="O275" s="9"/>
      <c r="P275" s="9"/>
      <c r="Q275" s="9"/>
      <c r="R275" s="9"/>
      <c r="S275" s="9"/>
      <c r="T275" s="9">
        <f ca="1">IF(OR($C275="Annual",$D275=$E275),IF(AND($D275=$E275,T$111=$B275+$D275),$M275,IF(AND(T$111&gt;$B275+$D275,T$111&lt;=$B275+$E275), $M275/($E275-$D275),0)), IF(OR(T$111=$B275+$D275,T$111=$B275+$E275),$M275/(($E275-$D275)*2),IF(AND(T$111&gt;$B275+$D275,T$111&lt;$B275+$E275),$M275/($E275-$D275),0)))</f>
        <v>0</v>
      </c>
      <c r="U275" s="9"/>
      <c r="V275" s="9"/>
      <c r="W275" s="9"/>
      <c r="X275" s="9"/>
      <c r="Y275" s="9"/>
      <c r="Z275" s="9"/>
      <c r="AA275" s="9">
        <f t="shared" si="78"/>
        <v>0</v>
      </c>
      <c r="AC275" s="243"/>
      <c r="AD275" s="243"/>
      <c r="AE275" s="148"/>
      <c r="AF275" s="243"/>
      <c r="AG275" s="243"/>
      <c r="AH275" s="243"/>
      <c r="AI275" s="243"/>
      <c r="AJ275" s="243"/>
      <c r="AK275" s="243"/>
      <c r="AL275" s="243"/>
      <c r="AM275" s="243"/>
      <c r="AN275" s="243"/>
      <c r="AO275" s="243"/>
      <c r="AP275" s="243"/>
      <c r="AQ275" s="243"/>
      <c r="AR275" s="243"/>
      <c r="AS275" s="243"/>
      <c r="AT275" s="243"/>
      <c r="AU275" s="244"/>
      <c r="AV275" s="244"/>
      <c r="AW275" s="244"/>
      <c r="AX275" s="243"/>
      <c r="AY275" s="243"/>
      <c r="AZ275" s="243"/>
    </row>
    <row r="276" spans="1:52">
      <c r="A276" s="8"/>
      <c r="B276" s="7"/>
      <c r="C276" s="7"/>
      <c r="D276" s="7"/>
      <c r="E276" s="7"/>
      <c r="F276" s="15"/>
      <c r="H276" s="9"/>
      <c r="I276" s="9"/>
      <c r="J276" s="9"/>
      <c r="K276" s="9"/>
      <c r="L276" s="9"/>
      <c r="M276" s="9"/>
      <c r="N276" s="9"/>
      <c r="O276" s="278"/>
      <c r="P276" s="10"/>
      <c r="Q276" s="10"/>
      <c r="R276" s="10"/>
      <c r="S276" s="10"/>
      <c r="T276" s="10"/>
      <c r="U276" s="9"/>
      <c r="V276" s="10"/>
      <c r="W276" s="10"/>
      <c r="X276" s="10"/>
      <c r="Y276" s="10"/>
      <c r="Z276" s="10"/>
      <c r="AA276" s="10"/>
      <c r="AC276" s="243"/>
      <c r="AD276" s="243"/>
      <c r="AE276" s="148"/>
      <c r="AF276" s="243"/>
      <c r="AG276" s="243"/>
      <c r="AH276" s="243"/>
      <c r="AI276" s="243"/>
      <c r="AJ276" s="243"/>
      <c r="AK276" s="243"/>
      <c r="AL276" s="243"/>
      <c r="AM276" s="243"/>
      <c r="AN276" s="243"/>
      <c r="AO276" s="243"/>
      <c r="AP276" s="243"/>
      <c r="AQ276" s="243"/>
      <c r="AR276" s="243"/>
      <c r="AS276" s="243"/>
      <c r="AT276" s="243"/>
      <c r="AU276" s="244"/>
      <c r="AV276" s="244"/>
      <c r="AW276" s="244"/>
      <c r="AX276" s="243"/>
      <c r="AY276" s="243"/>
      <c r="AZ276" s="243"/>
    </row>
    <row r="277" spans="1:52">
      <c r="A277" s="8" t="str">
        <f>'Input 4 - Forecast'!A84</f>
        <v>Type 17</v>
      </c>
      <c r="B277" s="7">
        <f>B119</f>
        <v>2018</v>
      </c>
      <c r="C277" s="7" t="str">
        <f>$I103</f>
        <v>Annual</v>
      </c>
      <c r="D277" s="7">
        <f>$J103</f>
        <v>0</v>
      </c>
      <c r="E277" s="7">
        <f>$K103</f>
        <v>0</v>
      </c>
      <c r="F277" s="14">
        <f>$L$103</f>
        <v>0</v>
      </c>
      <c r="H277" s="9">
        <f>$B$103/$B$31</f>
        <v>0</v>
      </c>
      <c r="I277" s="9">
        <f>H277-P277</f>
        <v>0</v>
      </c>
      <c r="J277" s="9">
        <f>I277-Q277</f>
        <v>0</v>
      </c>
      <c r="K277" s="9">
        <f>J277-R277</f>
        <v>0</v>
      </c>
      <c r="L277" s="9">
        <f>K277-S277</f>
        <v>0</v>
      </c>
      <c r="M277" s="9">
        <f>L277-T277</f>
        <v>0</v>
      </c>
      <c r="N277" s="9"/>
      <c r="O277" s="9">
        <f t="shared" ref="O277:T277" si="80">IF(OR($C277="Annual",$D277=$E277),IF(AND($D277=$E277,O$111=$B277+$D277),$H277,IF(AND(O$111&gt;$B277+$D277,O$111&lt;=$B277+$E277), $H277/($E277-$D277),0)), IF(OR(O$111=$B277+$D277,O$111=$B277+$E277),$H277/(($E277-$D277)*2),IF(AND(O$111&gt;$B277+$D277,O$111&lt;$B277+$E277),$H277/($E277-$D277),0)))</f>
        <v>0</v>
      </c>
      <c r="P277" s="9">
        <f t="shared" si="80"/>
        <v>0</v>
      </c>
      <c r="Q277" s="9">
        <f t="shared" si="80"/>
        <v>0</v>
      </c>
      <c r="R277" s="9">
        <f t="shared" si="80"/>
        <v>0</v>
      </c>
      <c r="S277" s="9">
        <f t="shared" si="80"/>
        <v>0</v>
      </c>
      <c r="T277" s="9">
        <f t="shared" si="80"/>
        <v>0</v>
      </c>
      <c r="U277" s="9"/>
      <c r="V277" s="9">
        <f>IF($C277="annual",IF(V$111=$B277,0,G277*$F277),IF(V$111-$B277=0,0,IF((V$111-$B277)&lt;$E277,AVERAGE(G277,H277)*$F277,IF((V$111-$B277)=$E277,G277*$F277/2,0))))</f>
        <v>0</v>
      </c>
      <c r="W277" s="9">
        <f t="shared" ref="W277:AA282" si="81">IF($C277="annual",IF(W$111=$B277,0,H277*$F277),IF(W$111-$B277=0,0,IF((W$111-$B277)&lt;$E277,AVERAGE(H277,I277)*$F277,IF((W$111-$B277)=$E277,H277*$F277/2,0))))</f>
        <v>0</v>
      </c>
      <c r="X277" s="9">
        <f t="shared" si="81"/>
        <v>0</v>
      </c>
      <c r="Y277" s="9">
        <f t="shared" si="81"/>
        <v>0</v>
      </c>
      <c r="Z277" s="9">
        <f t="shared" si="81"/>
        <v>0</v>
      </c>
      <c r="AA277" s="9">
        <f t="shared" si="81"/>
        <v>0</v>
      </c>
      <c r="AC277" s="243"/>
      <c r="AD277" s="243"/>
      <c r="AE277" s="148"/>
      <c r="AF277" s="243"/>
      <c r="AG277" s="243"/>
      <c r="AH277" s="243"/>
      <c r="AI277" s="243"/>
      <c r="AJ277" s="243"/>
      <c r="AK277" s="243"/>
      <c r="AL277" s="243"/>
      <c r="AM277" s="243"/>
      <c r="AN277" s="243"/>
      <c r="AO277" s="243"/>
      <c r="AP277" s="243"/>
      <c r="AQ277" s="243"/>
      <c r="AR277" s="243"/>
      <c r="AS277" s="243"/>
      <c r="AT277" s="243"/>
      <c r="AU277" s="244"/>
      <c r="AV277" s="244"/>
      <c r="AW277" s="244"/>
      <c r="AX277" s="243"/>
      <c r="AY277" s="243"/>
      <c r="AZ277" s="243"/>
    </row>
    <row r="278" spans="1:52">
      <c r="A278" s="8" t="str">
        <f>A277</f>
        <v>Type 17</v>
      </c>
      <c r="B278" s="7">
        <f>B277+1</f>
        <v>2019</v>
      </c>
      <c r="C278" s="7" t="str">
        <f>C277</f>
        <v>Annual</v>
      </c>
      <c r="D278" s="7">
        <f t="shared" ref="D278:E282" si="82">D277</f>
        <v>0</v>
      </c>
      <c r="E278" s="7">
        <f t="shared" si="82"/>
        <v>0</v>
      </c>
      <c r="F278" s="14">
        <f>$M$103</f>
        <v>7.1007506480822574E-3</v>
      </c>
      <c r="H278" s="9"/>
      <c r="I278" s="9">
        <f ca="1">$C$103/$C$31</f>
        <v>0</v>
      </c>
      <c r="J278" s="9">
        <f ca="1">I278-Q278</f>
        <v>0</v>
      </c>
      <c r="K278" s="9">
        <f ca="1">J278-R278</f>
        <v>0</v>
      </c>
      <c r="L278" s="9">
        <f ca="1">K278-S278</f>
        <v>0</v>
      </c>
      <c r="M278" s="9">
        <f ca="1">L278-T278</f>
        <v>0</v>
      </c>
      <c r="N278" s="9"/>
      <c r="O278" s="9"/>
      <c r="P278" s="9">
        <f ca="1">IF(OR($C278="Annual",$D278=$E278),IF(AND($D278=$E278,P$111=$B278+$D278),$I278,IF(AND(P$111&gt;$B278+$D278,P$111&lt;=$B278+$E278), $I278/($E278-$D278),0)), IF(OR(P$111=$B278+$D278,P$111=$B278+$E278),$I278/(($E278-$D278)*2),IF(AND(P$111&gt;$B278+$D278,P$111&lt;$B278+$E278),$I278/($E278-$D278),0)))</f>
        <v>0</v>
      </c>
      <c r="Q278" s="9">
        <f>IF(OR($C278="Annual",$D278=$E278),IF(AND($D278=$E278,Q$111=$B278+$D278),$I278,IF(AND(Q$111&gt;$B278+$D278,Q$111&lt;=$B278+$E278), $I278/($E278-$D278),0)), IF(OR(Q$111=$B278+$D278,Q$111=$B278+$E278),$I278/(($E278-$D278)*2),IF(AND(Q$111&gt;$B278+$D278,Q$111&lt;$B278+$E278),$I278/($E278-$D278),0)))</f>
        <v>0</v>
      </c>
      <c r="R278" s="9">
        <f>IF(OR($C278="Annual",$D278=$E278),IF(AND($D278=$E278,R$111=$B278+$D278),$I278,IF(AND(R$111&gt;$B278+$D278,R$111&lt;=$B278+$E278), $I278/($E278-$D278),0)), IF(OR(R$111=$B278+$D278,R$111=$B278+$E278),$I278/(($E278-$D278)*2),IF(AND(R$111&gt;$B278+$D278,R$111&lt;$B278+$E278),$I278/($E278-$D278),0)))</f>
        <v>0</v>
      </c>
      <c r="S278" s="9">
        <f>IF(OR($C278="Annual",$D278=$E278),IF(AND($D278=$E278,S$111=$B278+$D278),$I278,IF(AND(S$111&gt;$B278+$D278,S$111&lt;=$B278+$E278), $I278/($E278-$D278),0)), IF(OR(S$111=$B278+$D278,S$111=$B278+$E278),$I278/(($E278-$D278)*2),IF(AND(S$111&gt;$B278+$D278,S$111&lt;$B278+$E278),$I278/($E278-$D278),0)))</f>
        <v>0</v>
      </c>
      <c r="T278" s="9">
        <f>IF(OR($C278="Annual",$D278=$E278),IF(AND($D278=$E278,T$111=$B278+$D278),$I278,IF(AND(T$111&gt;$B278+$D278,T$111&lt;=$B278+$E278), $I278/($E278-$D278),0)), IF(OR(T$111=$B278+$D278,T$111=$B278+$E278),$I278/(($E278-$D278)*2),IF(AND(T$111&gt;$B278+$D278,T$111&lt;$B278+$E278),$I278/($E278-$D278),0)))</f>
        <v>0</v>
      </c>
      <c r="U278" s="9"/>
      <c r="V278" s="9"/>
      <c r="W278" s="9">
        <f t="shared" si="81"/>
        <v>0</v>
      </c>
      <c r="X278" s="9">
        <f t="shared" ca="1" si="81"/>
        <v>0</v>
      </c>
      <c r="Y278" s="9">
        <f t="shared" ca="1" si="81"/>
        <v>0</v>
      </c>
      <c r="Z278" s="9">
        <f t="shared" ca="1" si="81"/>
        <v>0</v>
      </c>
      <c r="AA278" s="9">
        <f t="shared" ca="1" si="81"/>
        <v>0</v>
      </c>
      <c r="AC278" s="243"/>
      <c r="AD278" s="243"/>
      <c r="AE278" s="148"/>
      <c r="AF278" s="243"/>
      <c r="AG278" s="243"/>
      <c r="AH278" s="243"/>
      <c r="AI278" s="243"/>
      <c r="AJ278" s="243"/>
      <c r="AK278" s="243"/>
      <c r="AL278" s="243"/>
      <c r="AM278" s="243"/>
      <c r="AN278" s="243"/>
      <c r="AO278" s="243"/>
      <c r="AP278" s="243"/>
      <c r="AQ278" s="243"/>
      <c r="AR278" s="243"/>
      <c r="AS278" s="243"/>
      <c r="AT278" s="243"/>
      <c r="AU278" s="244"/>
      <c r="AV278" s="244"/>
      <c r="AW278" s="244"/>
      <c r="AX278" s="243"/>
      <c r="AY278" s="243"/>
      <c r="AZ278" s="243"/>
    </row>
    <row r="279" spans="1:52">
      <c r="A279" s="8" t="str">
        <f>A278</f>
        <v>Type 17</v>
      </c>
      <c r="B279" s="7">
        <f>B278+1</f>
        <v>2020</v>
      </c>
      <c r="C279" s="7" t="str">
        <f>C278</f>
        <v>Annual</v>
      </c>
      <c r="D279" s="7">
        <f t="shared" si="82"/>
        <v>0</v>
      </c>
      <c r="E279" s="7">
        <f t="shared" si="82"/>
        <v>0</v>
      </c>
      <c r="F279" s="14">
        <f>$N$103</f>
        <v>1.4545456510151461E-2</v>
      </c>
      <c r="H279" s="9"/>
      <c r="I279" s="9"/>
      <c r="J279" s="9">
        <f ca="1">$D$103/$D$31</f>
        <v>0</v>
      </c>
      <c r="K279" s="9">
        <f ca="1">J279-R279</f>
        <v>0</v>
      </c>
      <c r="L279" s="9">
        <f ca="1">K279-S279</f>
        <v>0</v>
      </c>
      <c r="M279" s="9">
        <f ca="1">L279-T279</f>
        <v>0</v>
      </c>
      <c r="N279" s="9"/>
      <c r="O279" s="9"/>
      <c r="P279" s="9"/>
      <c r="Q279" s="9">
        <f ca="1">IF(OR($C279="Annual",$D279=$E279),IF(AND($D279=$E279,Q$111=$B279+$D279),$J279,IF(AND(Q$111&gt;$B279+$D279,Q$111&lt;=$B279+$E279), $J279/($E279-$D279),0)), IF(OR(Q$111=$B279+$D279,Q$111=$B279+$E279),$J279/(($E279-$D279)*2),IF(AND(Q$111&gt;$B279+$D279,Q$111&lt;$B279+$E279),$J279/($E279-$D279),0)))</f>
        <v>0</v>
      </c>
      <c r="R279" s="9">
        <f>IF(OR($C279="Annual",$D279=$E279),IF(AND($D279=$E279,R$111=$B279+$D279),$J279,IF(AND(R$111&gt;$B279+$D279,R$111&lt;=$B279+$E279), $J279/($E279-$D279),0)), IF(OR(R$111=$B279+$D279,R$111=$B279+$E279),$J279/(($E279-$D279)*2),IF(AND(R$111&gt;$B279+$D279,R$111&lt;$B279+$E279),$J279/($E279-$D279),0)))</f>
        <v>0</v>
      </c>
      <c r="S279" s="9">
        <f>IF(OR($C279="Annual",$D279=$E279),IF(AND($D279=$E279,S$111=$B279+$D279),$J279,IF(AND(S$111&gt;$B279+$D279,S$111&lt;=$B279+$E279), $J279/($E279-$D279),0)), IF(OR(S$111=$B279+$D279,S$111=$B279+$E279),$J279/(($E279-$D279)*2),IF(AND(S$111&gt;$B279+$D279,S$111&lt;$B279+$E279),$J279/($E279-$D279),0)))</f>
        <v>0</v>
      </c>
      <c r="T279" s="9">
        <f>IF(OR($C279="Annual",$D279=$E279),IF(AND($D279=$E279,T$111=$B279+$D279),$J279,IF(AND(T$111&gt;$B279+$D279,T$111&lt;=$B279+$E279), $J279/($E279-$D279),0)), IF(OR(T$111=$B279+$D279,T$111=$B279+$E279),$J279/(($E279-$D279)*2),IF(AND(T$111&gt;$B279+$D279,T$111&lt;$B279+$E279),$J279/($E279-$D279),0)))</f>
        <v>0</v>
      </c>
      <c r="U279" s="9"/>
      <c r="V279" s="9"/>
      <c r="W279" s="9"/>
      <c r="X279" s="9">
        <f t="shared" si="81"/>
        <v>0</v>
      </c>
      <c r="Y279" s="9">
        <f t="shared" ca="1" si="81"/>
        <v>0</v>
      </c>
      <c r="Z279" s="9">
        <f t="shared" ca="1" si="81"/>
        <v>0</v>
      </c>
      <c r="AA279" s="9">
        <f t="shared" ca="1" si="81"/>
        <v>0</v>
      </c>
      <c r="AC279" s="243"/>
      <c r="AD279" s="243"/>
      <c r="AE279" s="148"/>
      <c r="AF279" s="243"/>
      <c r="AG279" s="243"/>
      <c r="AH279" s="243"/>
      <c r="AI279" s="243"/>
      <c r="AJ279" s="243"/>
      <c r="AK279" s="243"/>
      <c r="AL279" s="243"/>
      <c r="AM279" s="243"/>
      <c r="AN279" s="243"/>
      <c r="AO279" s="243"/>
      <c r="AP279" s="243"/>
      <c r="AQ279" s="243"/>
      <c r="AR279" s="243"/>
      <c r="AS279" s="243"/>
      <c r="AT279" s="243"/>
      <c r="AU279" s="244"/>
      <c r="AV279" s="244"/>
      <c r="AW279" s="244"/>
      <c r="AX279" s="243"/>
      <c r="AY279" s="243"/>
      <c r="AZ279" s="243"/>
    </row>
    <row r="280" spans="1:52">
      <c r="A280" s="8" t="str">
        <f>A279</f>
        <v>Type 17</v>
      </c>
      <c r="B280" s="7">
        <f>B279+1</f>
        <v>2021</v>
      </c>
      <c r="C280" s="7" t="str">
        <f>C279</f>
        <v>Annual</v>
      </c>
      <c r="D280" s="7">
        <f t="shared" si="82"/>
        <v>0</v>
      </c>
      <c r="E280" s="7">
        <f t="shared" si="82"/>
        <v>0</v>
      </c>
      <c r="F280" s="14">
        <f>$O$103</f>
        <v>0</v>
      </c>
      <c r="H280" s="9"/>
      <c r="I280" s="9"/>
      <c r="J280" s="9"/>
      <c r="K280" s="9">
        <f ca="1">$E$103/$E$31</f>
        <v>0</v>
      </c>
      <c r="L280" s="9">
        <f ca="1">K280-S280</f>
        <v>0</v>
      </c>
      <c r="M280" s="9">
        <f ca="1">L280-T280</f>
        <v>0</v>
      </c>
      <c r="N280" s="9"/>
      <c r="O280" s="9"/>
      <c r="P280" s="9"/>
      <c r="Q280" s="9"/>
      <c r="R280" s="9">
        <f ca="1">IF(OR($C280="Annual",$D280=$E280),IF(AND($D280=$E280,R$111=$B280+$D280),$K280,IF(AND(R$111&gt;$B280+$D280,R$111&lt;=$B280+$E280), $K280/($E280-$D280),0)), IF(OR(R$111=$B280+$D280,R$111=$B280+$E280),$K280/(($E280-$D280)*2),IF(AND(R$111&gt;$B280+$D280,R$111&lt;$B280+$E280),$K280/($E280-$D280),0)))</f>
        <v>0</v>
      </c>
      <c r="S280" s="9">
        <f>IF(OR($C280="Annual",$D280=$E280),IF(AND($D280=$E280,S$111=$B280+$D280),$K280,IF(AND(S$111&gt;$B280+$D280,S$111&lt;=$B280+$E280), $K280/($E280-$D280),0)), IF(OR(S$111=$B280+$D280,S$111=$B280+$E280),$K280/(($E280-$D280)*2),IF(AND(S$111&gt;$B280+$D280,S$111&lt;$B280+$E280),$K280/($E280-$D280),0)))</f>
        <v>0</v>
      </c>
      <c r="T280" s="9">
        <f>IF(OR($C280="Annual",$D280=$E280),IF(AND($D280=$E280,T$111=$B280+$D280),$K280,IF(AND(T$111&gt;$B280+$D280,T$111&lt;=$B280+$E280), $K280/($E280-$D280),0)), IF(OR(T$111=$B280+$D280,T$111=$B280+$E280),$K280/(($E280-$D280)*2),IF(AND(T$111&gt;$B280+$D280,T$111&lt;$B280+$E280),$K280/($E280-$D280),0)))</f>
        <v>0</v>
      </c>
      <c r="U280" s="9"/>
      <c r="V280" s="9"/>
      <c r="W280" s="9"/>
      <c r="X280" s="9"/>
      <c r="Y280" s="9">
        <f t="shared" si="81"/>
        <v>0</v>
      </c>
      <c r="Z280" s="9">
        <f t="shared" ca="1" si="81"/>
        <v>0</v>
      </c>
      <c r="AA280" s="9">
        <f t="shared" ca="1" si="81"/>
        <v>0</v>
      </c>
      <c r="AC280" s="243"/>
      <c r="AD280" s="243"/>
      <c r="AE280" s="148"/>
      <c r="AF280" s="243"/>
      <c r="AG280" s="243"/>
      <c r="AH280" s="243"/>
      <c r="AI280" s="243"/>
      <c r="AJ280" s="243"/>
      <c r="AK280" s="243"/>
      <c r="AL280" s="243"/>
      <c r="AM280" s="243"/>
      <c r="AN280" s="243"/>
      <c r="AO280" s="243"/>
      <c r="AP280" s="243"/>
      <c r="AQ280" s="243"/>
      <c r="AR280" s="243"/>
      <c r="AS280" s="243"/>
      <c r="AT280" s="243"/>
      <c r="AU280" s="244"/>
      <c r="AV280" s="244"/>
      <c r="AW280" s="244"/>
      <c r="AX280" s="243"/>
      <c r="AY280" s="243"/>
      <c r="AZ280" s="243"/>
    </row>
    <row r="281" spans="1:52">
      <c r="A281" s="8" t="str">
        <f>A280</f>
        <v>Type 17</v>
      </c>
      <c r="B281" s="7">
        <f>B280+1</f>
        <v>2022</v>
      </c>
      <c r="C281" s="7" t="str">
        <f>C280</f>
        <v>Annual</v>
      </c>
      <c r="D281" s="7">
        <f t="shared" si="82"/>
        <v>0</v>
      </c>
      <c r="E281" s="7">
        <f t="shared" si="82"/>
        <v>0</v>
      </c>
      <c r="F281" s="14">
        <f>$P$103</f>
        <v>0</v>
      </c>
      <c r="H281" s="9"/>
      <c r="I281" s="9"/>
      <c r="J281" s="9"/>
      <c r="K281" s="9"/>
      <c r="L281" s="9">
        <f ca="1">$F$103/$F$31</f>
        <v>0</v>
      </c>
      <c r="M281" s="9">
        <f ca="1">L281-T281</f>
        <v>0</v>
      </c>
      <c r="N281" s="9"/>
      <c r="O281" s="9"/>
      <c r="P281" s="9"/>
      <c r="Q281" s="9"/>
      <c r="R281" s="9"/>
      <c r="S281" s="9">
        <f ca="1">IF(OR($C281="Annual",$D281=$E281),IF(AND($D281=$E281,S$111=$B281+$D281),$L281,IF(AND(S$111&gt;$B281+$D281,S$111&lt;=$B281+$E281), $L281/($E281-$D281),0)), IF(OR(S$111=$B281+$D281,S$111=$B281+$E281),$L281/(($E281-$D281)*2),IF(AND(S$111&gt;$B281+$D281,S$111&lt;$B281+$E281),$L281/($E281-$D281),0)))</f>
        <v>0</v>
      </c>
      <c r="T281" s="9">
        <f>IF(OR($C281="Annual",$D281=$E281),IF(AND($D281=$E281,T$111=$B281+$D281),$L281,IF(AND(T$111&gt;$B281+$D281,T$111&lt;=$B281+$E281), $L281/($E281-$D281),0)), IF(OR(T$111=$B281+$D281,T$111=$B281+$E281),$L281/(($E281-$D281)*2),IF(AND(T$111&gt;$B281+$D281,T$111&lt;$B281+$E281),$L281/($E281-$D281),0)))</f>
        <v>0</v>
      </c>
      <c r="U281" s="9"/>
      <c r="V281" s="9"/>
      <c r="W281" s="9"/>
      <c r="X281" s="9"/>
      <c r="Y281" s="9"/>
      <c r="Z281" s="9">
        <f t="shared" si="81"/>
        <v>0</v>
      </c>
      <c r="AA281" s="9">
        <f t="shared" ca="1" si="81"/>
        <v>0</v>
      </c>
      <c r="AC281" s="243"/>
      <c r="AD281" s="243"/>
      <c r="AE281" s="148"/>
      <c r="AF281" s="243"/>
      <c r="AG281" s="243"/>
      <c r="AH281" s="243"/>
      <c r="AI281" s="243"/>
      <c r="AJ281" s="243"/>
      <c r="AK281" s="243"/>
      <c r="AL281" s="243"/>
      <c r="AM281" s="243"/>
      <c r="AN281" s="243"/>
      <c r="AO281" s="243"/>
      <c r="AP281" s="243"/>
      <c r="AQ281" s="243"/>
      <c r="AR281" s="243"/>
      <c r="AS281" s="243"/>
      <c r="AT281" s="243"/>
      <c r="AU281" s="244"/>
      <c r="AV281" s="244"/>
      <c r="AW281" s="244"/>
      <c r="AX281" s="243"/>
      <c r="AY281" s="243"/>
      <c r="AZ281" s="243"/>
    </row>
    <row r="282" spans="1:52">
      <c r="A282" s="8" t="str">
        <f>A281</f>
        <v>Type 17</v>
      </c>
      <c r="B282" s="7">
        <f>B281+1</f>
        <v>2023</v>
      </c>
      <c r="C282" s="7" t="str">
        <f>C281</f>
        <v>Annual</v>
      </c>
      <c r="D282" s="7">
        <f t="shared" si="82"/>
        <v>0</v>
      </c>
      <c r="E282" s="7">
        <f t="shared" si="82"/>
        <v>0</v>
      </c>
      <c r="F282" s="14">
        <f>$Q$103</f>
        <v>0</v>
      </c>
      <c r="H282" s="9"/>
      <c r="I282" s="9"/>
      <c r="J282" s="9"/>
      <c r="K282" s="9"/>
      <c r="L282" s="9"/>
      <c r="M282" s="9">
        <f ca="1">$G$103/$G$31</f>
        <v>0</v>
      </c>
      <c r="N282" s="9"/>
      <c r="O282" s="9"/>
      <c r="P282" s="9"/>
      <c r="Q282" s="9"/>
      <c r="R282" s="9"/>
      <c r="S282" s="9"/>
      <c r="T282" s="9">
        <f ca="1">IF(OR($C282="Annual",$D282=$E282),IF(AND($D282=$E282,T$111=$B282+$D282),$M282,IF(AND(T$111&gt;$B282+$D282,T$111&lt;=$B282+$E282), $M282/($E282-$D282),0)), IF(OR(T$111=$B282+$D282,T$111=$B282+$E282),$M282/(($E282-$D282)*2),IF(AND(T$111&gt;$B282+$D282,T$111&lt;$B282+$E282),$M282/($E282-$D282),0)))</f>
        <v>0</v>
      </c>
      <c r="U282" s="9"/>
      <c r="V282" s="9"/>
      <c r="W282" s="9"/>
      <c r="X282" s="9"/>
      <c r="Y282" s="9"/>
      <c r="Z282" s="9"/>
      <c r="AA282" s="9">
        <f t="shared" si="81"/>
        <v>0</v>
      </c>
      <c r="AC282" s="243"/>
      <c r="AD282" s="243"/>
      <c r="AE282" s="148"/>
      <c r="AF282" s="243"/>
      <c r="AG282" s="243"/>
      <c r="AH282" s="243"/>
      <c r="AI282" s="243"/>
      <c r="AJ282" s="243"/>
      <c r="AK282" s="243"/>
      <c r="AL282" s="243"/>
      <c r="AM282" s="243"/>
      <c r="AN282" s="243"/>
      <c r="AO282" s="243"/>
      <c r="AP282" s="243"/>
      <c r="AQ282" s="243"/>
      <c r="AR282" s="243"/>
      <c r="AS282" s="243"/>
      <c r="AT282" s="243"/>
      <c r="AU282" s="244"/>
      <c r="AV282" s="244"/>
      <c r="AW282" s="244"/>
      <c r="AX282" s="243"/>
      <c r="AY282" s="243"/>
      <c r="AZ282" s="243"/>
    </row>
    <row r="283" spans="1:52">
      <c r="A283" s="8"/>
      <c r="B283" s="7"/>
      <c r="C283" s="7"/>
      <c r="D283" s="7"/>
      <c r="E283" s="7"/>
      <c r="F283" s="15"/>
      <c r="H283" s="9"/>
      <c r="I283" s="9"/>
      <c r="J283" s="9"/>
      <c r="K283" s="9"/>
      <c r="L283" s="9"/>
      <c r="M283" s="9"/>
      <c r="N283" s="9"/>
      <c r="O283" s="278"/>
      <c r="P283" s="10"/>
      <c r="Q283" s="10"/>
      <c r="R283" s="10"/>
      <c r="S283" s="10"/>
      <c r="T283" s="10"/>
      <c r="U283" s="9"/>
      <c r="V283" s="10"/>
      <c r="W283" s="10"/>
      <c r="X283" s="10"/>
      <c r="Y283" s="10"/>
      <c r="Z283" s="10"/>
      <c r="AA283" s="10"/>
      <c r="AC283" s="243"/>
      <c r="AD283" s="243"/>
      <c r="AE283" s="148"/>
      <c r="AF283" s="243"/>
      <c r="AG283" s="243"/>
      <c r="AH283" s="243"/>
      <c r="AI283" s="243"/>
      <c r="AJ283" s="243"/>
      <c r="AK283" s="243"/>
      <c r="AL283" s="243"/>
      <c r="AM283" s="243"/>
      <c r="AN283" s="243"/>
      <c r="AO283" s="243"/>
      <c r="AP283" s="243"/>
      <c r="AQ283" s="243"/>
      <c r="AR283" s="243"/>
      <c r="AS283" s="243"/>
      <c r="AT283" s="243"/>
      <c r="AU283" s="244"/>
      <c r="AV283" s="244"/>
      <c r="AW283" s="244"/>
      <c r="AX283" s="243"/>
      <c r="AY283" s="243"/>
      <c r="AZ283" s="243"/>
    </row>
    <row r="284" spans="1:52">
      <c r="A284" s="8" t="str">
        <f>'Input 4 - Forecast'!A85</f>
        <v>Type 18</v>
      </c>
      <c r="B284" s="7">
        <f>B119</f>
        <v>2018</v>
      </c>
      <c r="C284" s="7" t="str">
        <f>$I104</f>
        <v>Annual</v>
      </c>
      <c r="D284" s="7">
        <f>$J104</f>
        <v>0</v>
      </c>
      <c r="E284" s="7">
        <f>$K104</f>
        <v>0</v>
      </c>
      <c r="F284" s="14">
        <f>$L$104</f>
        <v>0</v>
      </c>
      <c r="H284" s="9">
        <f>$B$104/$B$31</f>
        <v>0</v>
      </c>
      <c r="I284" s="9">
        <f>H284-P284</f>
        <v>0</v>
      </c>
      <c r="J284" s="9">
        <f>I284-Q284</f>
        <v>0</v>
      </c>
      <c r="K284" s="9">
        <f>J284-R284</f>
        <v>0</v>
      </c>
      <c r="L284" s="9">
        <f>K284-S284</f>
        <v>0</v>
      </c>
      <c r="M284" s="9">
        <f>L284-T284</f>
        <v>0</v>
      </c>
      <c r="N284" s="9"/>
      <c r="O284" s="9">
        <f t="shared" ref="O284:T284" si="83">IF(OR($C284="Annual",$D284=$E284),IF(AND($D284=$E284,O$111=$B284+$D284),$H284,IF(AND(O$111&gt;$B284+$D284,O$111&lt;=$B284+$E284), $H284/($E284-$D284),0)), IF(OR(O$111=$B284+$D284,O$111=$B284+$E284),$H284/(($E284-$D284)*2),IF(AND(O$111&gt;$B284+$D284,O$111&lt;$B284+$E284),$H284/($E284-$D284),0)))</f>
        <v>0</v>
      </c>
      <c r="P284" s="9">
        <f t="shared" si="83"/>
        <v>0</v>
      </c>
      <c r="Q284" s="9">
        <f t="shared" si="83"/>
        <v>0</v>
      </c>
      <c r="R284" s="9">
        <f t="shared" si="83"/>
        <v>0</v>
      </c>
      <c r="S284" s="9">
        <f t="shared" si="83"/>
        <v>0</v>
      </c>
      <c r="T284" s="9">
        <f t="shared" si="83"/>
        <v>0</v>
      </c>
      <c r="U284" s="9"/>
      <c r="V284" s="9">
        <f>IF($C284="annual",IF(V$111=$B284,0,G284*$F284),IF(V$111-$B284=0,0,IF((V$111-$B284)&lt;$E284,AVERAGE(G284,H284)*$F284,IF((V$111-$B284)=$E284,G284*$F284/2,0))))</f>
        <v>0</v>
      </c>
      <c r="W284" s="9">
        <f t="shared" ref="W284:AA289" si="84">IF($C284="annual",IF(W$111=$B284,0,H284*$F284),IF(W$111-$B284=0,0,IF((W$111-$B284)&lt;$E284,AVERAGE(H284,I284)*$F284,IF((W$111-$B284)=$E284,H284*$F284/2,0))))</f>
        <v>0</v>
      </c>
      <c r="X284" s="9">
        <f t="shared" si="84"/>
        <v>0</v>
      </c>
      <c r="Y284" s="9">
        <f t="shared" si="84"/>
        <v>0</v>
      </c>
      <c r="Z284" s="9">
        <f t="shared" si="84"/>
        <v>0</v>
      </c>
      <c r="AA284" s="9">
        <f t="shared" si="84"/>
        <v>0</v>
      </c>
      <c r="AC284" s="243"/>
      <c r="AD284" s="243"/>
      <c r="AE284" s="148"/>
      <c r="AF284" s="243"/>
      <c r="AG284" s="243"/>
      <c r="AH284" s="243"/>
      <c r="AI284" s="243"/>
      <c r="AJ284" s="243"/>
      <c r="AK284" s="243"/>
      <c r="AL284" s="243"/>
      <c r="AM284" s="243"/>
      <c r="AN284" s="243"/>
      <c r="AO284" s="243"/>
      <c r="AP284" s="243"/>
      <c r="AQ284" s="243"/>
      <c r="AR284" s="243"/>
      <c r="AS284" s="243"/>
      <c r="AT284" s="243"/>
      <c r="AU284" s="244"/>
      <c r="AV284" s="244"/>
      <c r="AW284" s="244"/>
      <c r="AX284" s="243"/>
      <c r="AY284" s="243"/>
      <c r="AZ284" s="243"/>
    </row>
    <row r="285" spans="1:52">
      <c r="A285" s="8" t="str">
        <f>A284</f>
        <v>Type 18</v>
      </c>
      <c r="B285" s="7">
        <f>B284+1</f>
        <v>2019</v>
      </c>
      <c r="C285" s="7" t="str">
        <f>C284</f>
        <v>Annual</v>
      </c>
      <c r="D285" s="7">
        <f t="shared" ref="D285:E289" si="85">D284</f>
        <v>0</v>
      </c>
      <c r="E285" s="7">
        <f t="shared" si="85"/>
        <v>0</v>
      </c>
      <c r="F285" s="14">
        <f>$M$104</f>
        <v>7.1007506480822574E-3</v>
      </c>
      <c r="H285" s="9"/>
      <c r="I285" s="9">
        <f ca="1">$C$104/$C$31</f>
        <v>0</v>
      </c>
      <c r="J285" s="9">
        <f ca="1">I285-Q285</f>
        <v>0</v>
      </c>
      <c r="K285" s="9">
        <f ca="1">J285-R285</f>
        <v>0</v>
      </c>
      <c r="L285" s="9">
        <f ca="1">K285-S285</f>
        <v>0</v>
      </c>
      <c r="M285" s="9">
        <f ca="1">L285-T285</f>
        <v>0</v>
      </c>
      <c r="N285" s="9"/>
      <c r="O285" s="9"/>
      <c r="P285" s="9">
        <f ca="1">IF(OR($C285="Annual",$D285=$E285),IF(AND($D285=$E285,P$111=$B285+$D285),$I285,IF(AND(P$111&gt;$B285+$D285,P$111&lt;=$B285+$E285), $I285/($E285-$D285),0)), IF(OR(P$111=$B285+$D285,P$111=$B285+$E285),$I285/(($E285-$D285)*2),IF(AND(P$111&gt;$B285+$D285,P$111&lt;$B285+$E285),$I285/($E285-$D285),0)))</f>
        <v>0</v>
      </c>
      <c r="Q285" s="9">
        <f>IF(OR($C285="Annual",$D285=$E285),IF(AND($D285=$E285,Q$111=$B285+$D285),$I285,IF(AND(Q$111&gt;$B285+$D285,Q$111&lt;=$B285+$E285), $I285/($E285-$D285),0)), IF(OR(Q$111=$B285+$D285,Q$111=$B285+$E285),$I285/(($E285-$D285)*2),IF(AND(Q$111&gt;$B285+$D285,Q$111&lt;$B285+$E285),$I285/($E285-$D285),0)))</f>
        <v>0</v>
      </c>
      <c r="R285" s="9">
        <f>IF(OR($C285="Annual",$D285=$E285),IF(AND($D285=$E285,R$111=$B285+$D285),$I285,IF(AND(R$111&gt;$B285+$D285,R$111&lt;=$B285+$E285), $I285/($E285-$D285),0)), IF(OR(R$111=$B285+$D285,R$111=$B285+$E285),$I285/(($E285-$D285)*2),IF(AND(R$111&gt;$B285+$D285,R$111&lt;$B285+$E285),$I285/($E285-$D285),0)))</f>
        <v>0</v>
      </c>
      <c r="S285" s="9">
        <f>IF(OR($C285="Annual",$D285=$E285),IF(AND($D285=$E285,S$111=$B285+$D285),$I285,IF(AND(S$111&gt;$B285+$D285,S$111&lt;=$B285+$E285), $I285/($E285-$D285),0)), IF(OR(S$111=$B285+$D285,S$111=$B285+$E285),$I285/(($E285-$D285)*2),IF(AND(S$111&gt;$B285+$D285,S$111&lt;$B285+$E285),$I285/($E285-$D285),0)))</f>
        <v>0</v>
      </c>
      <c r="T285" s="9">
        <f>IF(OR($C285="Annual",$D285=$E285),IF(AND($D285=$E285,T$111=$B285+$D285),$I285,IF(AND(T$111&gt;$B285+$D285,T$111&lt;=$B285+$E285), $I285/($E285-$D285),0)), IF(OR(T$111=$B285+$D285,T$111=$B285+$E285),$I285/(($E285-$D285)*2),IF(AND(T$111&gt;$B285+$D285,T$111&lt;$B285+$E285),$I285/($E285-$D285),0)))</f>
        <v>0</v>
      </c>
      <c r="U285" s="9"/>
      <c r="V285" s="9"/>
      <c r="W285" s="9">
        <f t="shared" si="84"/>
        <v>0</v>
      </c>
      <c r="X285" s="9">
        <f t="shared" ca="1" si="84"/>
        <v>0</v>
      </c>
      <c r="Y285" s="9">
        <f t="shared" ca="1" si="84"/>
        <v>0</v>
      </c>
      <c r="Z285" s="9">
        <f t="shared" ca="1" si="84"/>
        <v>0</v>
      </c>
      <c r="AA285" s="9">
        <f t="shared" ca="1" si="84"/>
        <v>0</v>
      </c>
      <c r="AC285" s="243"/>
      <c r="AD285" s="243"/>
      <c r="AE285" s="148"/>
      <c r="AF285" s="243"/>
      <c r="AG285" s="243"/>
      <c r="AH285" s="243"/>
      <c r="AI285" s="243"/>
      <c r="AJ285" s="243"/>
      <c r="AK285" s="243"/>
      <c r="AL285" s="243"/>
      <c r="AM285" s="243"/>
      <c r="AN285" s="243"/>
      <c r="AO285" s="243"/>
      <c r="AP285" s="243"/>
      <c r="AQ285" s="243"/>
      <c r="AR285" s="243"/>
      <c r="AS285" s="243"/>
      <c r="AT285" s="243"/>
      <c r="AU285" s="244"/>
      <c r="AV285" s="244"/>
      <c r="AW285" s="244"/>
      <c r="AX285" s="243"/>
      <c r="AY285" s="243"/>
      <c r="AZ285" s="243"/>
    </row>
    <row r="286" spans="1:52">
      <c r="A286" s="8" t="str">
        <f>A285</f>
        <v>Type 18</v>
      </c>
      <c r="B286" s="7">
        <f>B285+1</f>
        <v>2020</v>
      </c>
      <c r="C286" s="7" t="str">
        <f>C285</f>
        <v>Annual</v>
      </c>
      <c r="D286" s="7">
        <f t="shared" si="85"/>
        <v>0</v>
      </c>
      <c r="E286" s="7">
        <f t="shared" si="85"/>
        <v>0</v>
      </c>
      <c r="F286" s="14">
        <f>$N$104</f>
        <v>1.4545456510151461E-2</v>
      </c>
      <c r="H286" s="9"/>
      <c r="I286" s="9"/>
      <c r="J286" s="9">
        <f ca="1">$D$104/$D$31</f>
        <v>0</v>
      </c>
      <c r="K286" s="9">
        <f ca="1">J286-R286</f>
        <v>0</v>
      </c>
      <c r="L286" s="9">
        <f ca="1">K286-S286</f>
        <v>0</v>
      </c>
      <c r="M286" s="9">
        <f ca="1">L286-T286</f>
        <v>0</v>
      </c>
      <c r="N286" s="9"/>
      <c r="O286" s="9"/>
      <c r="P286" s="9"/>
      <c r="Q286" s="9">
        <f ca="1">IF(OR($C286="Annual",$D286=$E286),IF(AND($D286=$E286,Q$111=$B286+$D286),$J286,IF(AND(Q$111&gt;$B286+$D286,Q$111&lt;=$B286+$E286), $J286/($E286-$D286),0)), IF(OR(Q$111=$B286+$D286,Q$111=$B286+$E286),$J286/(($E286-$D286)*2),IF(AND(Q$111&gt;$B286+$D286,Q$111&lt;$B286+$E286),$J286/($E286-$D286),0)))</f>
        <v>0</v>
      </c>
      <c r="R286" s="9">
        <f>IF(OR($C286="Annual",$D286=$E286),IF(AND($D286=$E286,R$111=$B286+$D286),$J286,IF(AND(R$111&gt;$B286+$D286,R$111&lt;=$B286+$E286), $J286/($E286-$D286),0)), IF(OR(R$111=$B286+$D286,R$111=$B286+$E286),$J286/(($E286-$D286)*2),IF(AND(R$111&gt;$B286+$D286,R$111&lt;$B286+$E286),$J286/($E286-$D286),0)))</f>
        <v>0</v>
      </c>
      <c r="S286" s="9">
        <f>IF(OR($C286="Annual",$D286=$E286),IF(AND($D286=$E286,S$111=$B286+$D286),$J286,IF(AND(S$111&gt;$B286+$D286,S$111&lt;=$B286+$E286), $J286/($E286-$D286),0)), IF(OR(S$111=$B286+$D286,S$111=$B286+$E286),$J286/(($E286-$D286)*2),IF(AND(S$111&gt;$B286+$D286,S$111&lt;$B286+$E286),$J286/($E286-$D286),0)))</f>
        <v>0</v>
      </c>
      <c r="T286" s="9">
        <f>IF(OR($C286="Annual",$D286=$E286),IF(AND($D286=$E286,T$111=$B286+$D286),$J286,IF(AND(T$111&gt;$B286+$D286,T$111&lt;=$B286+$E286), $J286/($E286-$D286),0)), IF(OR(T$111=$B286+$D286,T$111=$B286+$E286),$J286/(($E286-$D286)*2),IF(AND(T$111&gt;$B286+$D286,T$111&lt;$B286+$E286),$J286/($E286-$D286),0)))</f>
        <v>0</v>
      </c>
      <c r="U286" s="9"/>
      <c r="V286" s="9"/>
      <c r="W286" s="9"/>
      <c r="X286" s="9">
        <f t="shared" si="84"/>
        <v>0</v>
      </c>
      <c r="Y286" s="9">
        <f t="shared" ca="1" si="84"/>
        <v>0</v>
      </c>
      <c r="Z286" s="9">
        <f t="shared" ca="1" si="84"/>
        <v>0</v>
      </c>
      <c r="AA286" s="9">
        <f t="shared" ca="1" si="84"/>
        <v>0</v>
      </c>
      <c r="AC286" s="243"/>
      <c r="AD286" s="243"/>
      <c r="AE286" s="148"/>
      <c r="AF286" s="243"/>
      <c r="AG286" s="243"/>
      <c r="AH286" s="243"/>
      <c r="AI286" s="243"/>
      <c r="AJ286" s="243"/>
      <c r="AK286" s="243"/>
      <c r="AL286" s="243"/>
      <c r="AM286" s="243"/>
      <c r="AN286" s="243"/>
      <c r="AO286" s="243"/>
      <c r="AP286" s="243"/>
      <c r="AQ286" s="243"/>
      <c r="AR286" s="243"/>
      <c r="AS286" s="243"/>
      <c r="AT286" s="243"/>
      <c r="AU286" s="244"/>
      <c r="AV286" s="244"/>
      <c r="AW286" s="244"/>
      <c r="AX286" s="243"/>
      <c r="AY286" s="243"/>
      <c r="AZ286" s="243"/>
    </row>
    <row r="287" spans="1:52">
      <c r="A287" s="8" t="str">
        <f>A286</f>
        <v>Type 18</v>
      </c>
      <c r="B287" s="7">
        <f>B286+1</f>
        <v>2021</v>
      </c>
      <c r="C287" s="7" t="str">
        <f>C286</f>
        <v>Annual</v>
      </c>
      <c r="D287" s="7">
        <f t="shared" si="85"/>
        <v>0</v>
      </c>
      <c r="E287" s="7">
        <f t="shared" si="85"/>
        <v>0</v>
      </c>
      <c r="F287" s="14">
        <f>$O$104</f>
        <v>0</v>
      </c>
      <c r="H287" s="9"/>
      <c r="I287" s="9"/>
      <c r="J287" s="9"/>
      <c r="K287" s="9">
        <f ca="1">$E$104/$E$31</f>
        <v>0</v>
      </c>
      <c r="L287" s="9">
        <f ca="1">K287-S287</f>
        <v>0</v>
      </c>
      <c r="M287" s="9">
        <f ca="1">L287-T287</f>
        <v>0</v>
      </c>
      <c r="N287" s="9"/>
      <c r="O287" s="9"/>
      <c r="P287" s="9"/>
      <c r="Q287" s="9"/>
      <c r="R287" s="9">
        <f ca="1">IF(OR($C287="Annual",$D287=$E287),IF(AND($D287=$E287,R$111=$B287+$D287),$K287,IF(AND(R$111&gt;$B287+$D287,R$111&lt;=$B287+$E287), $K287/($E287-$D287),0)), IF(OR(R$111=$B287+$D287,R$111=$B287+$E287),$K287/(($E287-$D287)*2),IF(AND(R$111&gt;$B287+$D287,R$111&lt;$B287+$E287),$K287/($E287-$D287),0)))</f>
        <v>0</v>
      </c>
      <c r="S287" s="9">
        <f>IF(OR($C287="Annual",$D287=$E287),IF(AND($D287=$E287,S$111=$B287+$D287),$K287,IF(AND(S$111&gt;$B287+$D287,S$111&lt;=$B287+$E287), $K287/($E287-$D287),0)), IF(OR(S$111=$B287+$D287,S$111=$B287+$E287),$K287/(($E287-$D287)*2),IF(AND(S$111&gt;$B287+$D287,S$111&lt;$B287+$E287),$K287/($E287-$D287),0)))</f>
        <v>0</v>
      </c>
      <c r="T287" s="9">
        <f>IF(OR($C287="Annual",$D287=$E287),IF(AND($D287=$E287,T$111=$B287+$D287),$K287,IF(AND(T$111&gt;$B287+$D287,T$111&lt;=$B287+$E287), $K287/($E287-$D287),0)), IF(OR(T$111=$B287+$D287,T$111=$B287+$E287),$K287/(($E287-$D287)*2),IF(AND(T$111&gt;$B287+$D287,T$111&lt;$B287+$E287),$K287/($E287-$D287),0)))</f>
        <v>0</v>
      </c>
      <c r="U287" s="9"/>
      <c r="V287" s="9"/>
      <c r="W287" s="9"/>
      <c r="X287" s="9"/>
      <c r="Y287" s="9">
        <f t="shared" si="84"/>
        <v>0</v>
      </c>
      <c r="Z287" s="9">
        <f t="shared" ca="1" si="84"/>
        <v>0</v>
      </c>
      <c r="AA287" s="9">
        <f t="shared" ca="1" si="84"/>
        <v>0</v>
      </c>
      <c r="AC287" s="243"/>
      <c r="AD287" s="243"/>
      <c r="AE287" s="148"/>
      <c r="AF287" s="243"/>
      <c r="AG287" s="243"/>
      <c r="AH287" s="243"/>
      <c r="AI287" s="243"/>
      <c r="AJ287" s="243"/>
      <c r="AK287" s="243"/>
      <c r="AL287" s="243"/>
      <c r="AM287" s="243"/>
      <c r="AN287" s="243"/>
      <c r="AO287" s="243"/>
      <c r="AP287" s="243"/>
      <c r="AQ287" s="243"/>
      <c r="AR287" s="243"/>
      <c r="AS287" s="243"/>
      <c r="AT287" s="243"/>
      <c r="AU287" s="244"/>
      <c r="AV287" s="244"/>
      <c r="AW287" s="244"/>
      <c r="AX287" s="243"/>
      <c r="AY287" s="243"/>
      <c r="AZ287" s="243"/>
    </row>
    <row r="288" spans="1:52">
      <c r="A288" s="8" t="str">
        <f>A287</f>
        <v>Type 18</v>
      </c>
      <c r="B288" s="7">
        <f>B287+1</f>
        <v>2022</v>
      </c>
      <c r="C288" s="7" t="str">
        <f>C287</f>
        <v>Annual</v>
      </c>
      <c r="D288" s="7">
        <f t="shared" si="85"/>
        <v>0</v>
      </c>
      <c r="E288" s="7">
        <f t="shared" si="85"/>
        <v>0</v>
      </c>
      <c r="F288" s="14">
        <f>$P$104</f>
        <v>0</v>
      </c>
      <c r="H288" s="9"/>
      <c r="I288" s="9"/>
      <c r="J288" s="9"/>
      <c r="K288" s="9"/>
      <c r="L288" s="9">
        <f ca="1">$F$104/$F$31</f>
        <v>0</v>
      </c>
      <c r="M288" s="9">
        <f ca="1">L288-T288</f>
        <v>0</v>
      </c>
      <c r="N288" s="9"/>
      <c r="O288" s="9"/>
      <c r="P288" s="9"/>
      <c r="Q288" s="9"/>
      <c r="R288" s="9"/>
      <c r="S288" s="9">
        <f ca="1">IF(OR($C288="Annual",$D288=$E288),IF(AND($D288=$E288,S$111=$B288+$D288),$L288,IF(AND(S$111&gt;$B288+$D288,S$111&lt;=$B288+$E288), $L288/($E288-$D288),0)), IF(OR(S$111=$B288+$D288,S$111=$B288+$E288),$L288/(($E288-$D288)*2),IF(AND(S$111&gt;$B288+$D288,S$111&lt;$B288+$E288),$L288/($E288-$D288),0)))</f>
        <v>0</v>
      </c>
      <c r="T288" s="9">
        <f>IF(OR($C288="Annual",$D288=$E288),IF(AND($D288=$E288,T$111=$B288+$D288),$L288,IF(AND(T$111&gt;$B288+$D288,T$111&lt;=$B288+$E288), $L288/($E288-$D288),0)), IF(OR(T$111=$B288+$D288,T$111=$B288+$E288),$L288/(($E288-$D288)*2),IF(AND(T$111&gt;$B288+$D288,T$111&lt;$B288+$E288),$L288/($E288-$D288),0)))</f>
        <v>0</v>
      </c>
      <c r="U288" s="9"/>
      <c r="V288" s="9"/>
      <c r="W288" s="9"/>
      <c r="X288" s="9"/>
      <c r="Y288" s="9"/>
      <c r="Z288" s="9">
        <f t="shared" si="84"/>
        <v>0</v>
      </c>
      <c r="AA288" s="9">
        <f t="shared" ca="1" si="84"/>
        <v>0</v>
      </c>
      <c r="AC288" s="243"/>
      <c r="AD288" s="243"/>
      <c r="AE288" s="148"/>
      <c r="AF288" s="243"/>
      <c r="AG288" s="243"/>
      <c r="AH288" s="243"/>
      <c r="AI288" s="243"/>
      <c r="AJ288" s="243"/>
      <c r="AK288" s="243"/>
      <c r="AL288" s="243"/>
      <c r="AM288" s="243"/>
      <c r="AN288" s="243"/>
      <c r="AO288" s="243"/>
      <c r="AP288" s="243"/>
      <c r="AQ288" s="243"/>
      <c r="AR288" s="243"/>
      <c r="AS288" s="243"/>
      <c r="AT288" s="243"/>
      <c r="AU288" s="244"/>
      <c r="AV288" s="244"/>
      <c r="AW288" s="244"/>
      <c r="AX288" s="243"/>
      <c r="AY288" s="243"/>
      <c r="AZ288" s="243"/>
    </row>
    <row r="289" spans="1:52">
      <c r="A289" s="8" t="str">
        <f>A288</f>
        <v>Type 18</v>
      </c>
      <c r="B289" s="7">
        <f>B288+1</f>
        <v>2023</v>
      </c>
      <c r="C289" s="7" t="str">
        <f>C288</f>
        <v>Annual</v>
      </c>
      <c r="D289" s="7">
        <f t="shared" si="85"/>
        <v>0</v>
      </c>
      <c r="E289" s="7">
        <f t="shared" si="85"/>
        <v>0</v>
      </c>
      <c r="F289" s="14">
        <f>$Q$104</f>
        <v>0</v>
      </c>
      <c r="H289" s="9"/>
      <c r="I289" s="9"/>
      <c r="J289" s="9"/>
      <c r="K289" s="9"/>
      <c r="L289" s="9"/>
      <c r="M289" s="9">
        <f ca="1">$G$104/$G$31</f>
        <v>0</v>
      </c>
      <c r="N289" s="9"/>
      <c r="O289" s="9"/>
      <c r="P289" s="9"/>
      <c r="Q289" s="9"/>
      <c r="R289" s="9"/>
      <c r="S289" s="9"/>
      <c r="T289" s="9">
        <f ca="1">IF(OR($C289="Annual",$D289=$E289),IF(AND($D289=$E289,T$111=$B289+$D289),$M289,IF(AND(T$111&gt;$B289+$D289,T$111&lt;=$B289+$E289), $M289/($E289-$D289),0)), IF(OR(T$111=$B289+$D289,T$111=$B289+$E289),$M289/(($E289-$D289)*2),IF(AND(T$111&gt;$B289+$D289,T$111&lt;$B289+$E289),$M289/($E289-$D289),0)))</f>
        <v>0</v>
      </c>
      <c r="U289" s="9"/>
      <c r="V289" s="9"/>
      <c r="W289" s="9"/>
      <c r="X289" s="9"/>
      <c r="Y289" s="9"/>
      <c r="Z289" s="9"/>
      <c r="AA289" s="9">
        <f t="shared" si="84"/>
        <v>0</v>
      </c>
      <c r="AC289" s="243"/>
      <c r="AD289" s="243"/>
      <c r="AE289" s="148"/>
      <c r="AF289" s="243"/>
      <c r="AG289" s="243"/>
      <c r="AH289" s="243"/>
      <c r="AI289" s="243"/>
      <c r="AJ289" s="243"/>
      <c r="AK289" s="243"/>
      <c r="AL289" s="243"/>
      <c r="AM289" s="243"/>
      <c r="AN289" s="243"/>
      <c r="AO289" s="243"/>
      <c r="AP289" s="243"/>
      <c r="AQ289" s="243"/>
      <c r="AR289" s="243"/>
      <c r="AS289" s="243"/>
      <c r="AT289" s="243"/>
      <c r="AU289" s="244"/>
      <c r="AV289" s="244"/>
      <c r="AW289" s="244"/>
      <c r="AX289" s="243"/>
      <c r="AY289" s="243"/>
      <c r="AZ289" s="243"/>
    </row>
    <row r="290" spans="1:52">
      <c r="A290" s="8"/>
      <c r="B290" s="7"/>
      <c r="C290" s="7"/>
      <c r="D290" s="7"/>
      <c r="E290" s="7"/>
      <c r="F290" s="15"/>
      <c r="H290" s="9"/>
      <c r="I290" s="9"/>
      <c r="J290" s="9"/>
      <c r="K290" s="9"/>
      <c r="L290" s="9"/>
      <c r="M290" s="9"/>
      <c r="N290" s="9"/>
      <c r="O290" s="278"/>
      <c r="P290" s="10"/>
      <c r="Q290" s="10"/>
      <c r="R290" s="10"/>
      <c r="S290" s="10"/>
      <c r="T290" s="10"/>
      <c r="U290" s="9"/>
      <c r="V290" s="10"/>
      <c r="W290" s="10"/>
      <c r="X290" s="10"/>
      <c r="Y290" s="10"/>
      <c r="Z290" s="10"/>
      <c r="AA290" s="10"/>
      <c r="AC290" s="243"/>
      <c r="AD290" s="243"/>
      <c r="AE290" s="148"/>
      <c r="AF290" s="243"/>
      <c r="AG290" s="243"/>
      <c r="AH290" s="243"/>
      <c r="AI290" s="243"/>
      <c r="AJ290" s="243"/>
      <c r="AK290" s="243"/>
      <c r="AL290" s="243"/>
      <c r="AM290" s="243"/>
      <c r="AN290" s="243"/>
      <c r="AO290" s="243"/>
      <c r="AP290" s="243"/>
      <c r="AQ290" s="243"/>
      <c r="AR290" s="243"/>
      <c r="AS290" s="243"/>
      <c r="AT290" s="243"/>
      <c r="AU290" s="244"/>
      <c r="AV290" s="244"/>
      <c r="AW290" s="244"/>
      <c r="AX290" s="243"/>
      <c r="AY290" s="243"/>
      <c r="AZ290" s="243"/>
    </row>
    <row r="291" spans="1:52">
      <c r="A291" s="8" t="str">
        <f>'Input 4 - Forecast'!A86</f>
        <v>Type 19</v>
      </c>
      <c r="B291" s="7">
        <f>B119</f>
        <v>2018</v>
      </c>
      <c r="C291" s="7" t="str">
        <f>$I105</f>
        <v>Annual</v>
      </c>
      <c r="D291" s="7">
        <f>$J105</f>
        <v>0</v>
      </c>
      <c r="E291" s="7">
        <f>$K105</f>
        <v>0</v>
      </c>
      <c r="F291" s="14">
        <f>$L$105</f>
        <v>0</v>
      </c>
      <c r="H291" s="9">
        <f>$B$105/$B$31</f>
        <v>0</v>
      </c>
      <c r="I291" s="9">
        <f>H291-P291</f>
        <v>0</v>
      </c>
      <c r="J291" s="9">
        <f>I291-Q291</f>
        <v>0</v>
      </c>
      <c r="K291" s="9">
        <f>J291-R291</f>
        <v>0</v>
      </c>
      <c r="L291" s="9">
        <f>K291-S291</f>
        <v>0</v>
      </c>
      <c r="M291" s="9">
        <f>L291-T291</f>
        <v>0</v>
      </c>
      <c r="N291" s="9"/>
      <c r="O291" s="9">
        <f t="shared" ref="O291:T291" si="86">IF(OR($C291="Annual",$D291=$E291),IF(AND($D291=$E291,O$111=$B291+$D291),$H291,IF(AND(O$111&gt;$B291+$D291,O$111&lt;=$B291+$E291), $H291/($E291-$D291),0)), IF(OR(O$111=$B291+$D291,O$111=$B291+$E291),$H291/(($E291-$D291)*2),IF(AND(O$111&gt;$B291+$D291,O$111&lt;$B291+$E291),$H291/($E291-$D291),0)))</f>
        <v>0</v>
      </c>
      <c r="P291" s="9">
        <f t="shared" si="86"/>
        <v>0</v>
      </c>
      <c r="Q291" s="9">
        <f t="shared" si="86"/>
        <v>0</v>
      </c>
      <c r="R291" s="9">
        <f t="shared" si="86"/>
        <v>0</v>
      </c>
      <c r="S291" s="9">
        <f t="shared" si="86"/>
        <v>0</v>
      </c>
      <c r="T291" s="9">
        <f t="shared" si="86"/>
        <v>0</v>
      </c>
      <c r="U291" s="9"/>
      <c r="V291" s="9">
        <f>IF($C291="annual",IF(V$111=$B291,0,G291*$F291),IF(V$111-$B291=0,0,IF((V$111-$B291)&lt;$E291,AVERAGE(G291,H291)*$F291,IF((V$111-$B291)=$E291,G291*$F291/2,0))))</f>
        <v>0</v>
      </c>
      <c r="W291" s="9">
        <f t="shared" ref="W291:AA296" si="87">IF($C291="annual",IF(W$111=$B291,0,H291*$F291),IF(W$111-$B291=0,0,IF((W$111-$B291)&lt;$E291,AVERAGE(H291,I291)*$F291,IF((W$111-$B291)=$E291,H291*$F291/2,0))))</f>
        <v>0</v>
      </c>
      <c r="X291" s="9">
        <f t="shared" si="87"/>
        <v>0</v>
      </c>
      <c r="Y291" s="9">
        <f t="shared" si="87"/>
        <v>0</v>
      </c>
      <c r="Z291" s="9">
        <f t="shared" si="87"/>
        <v>0</v>
      </c>
      <c r="AA291" s="9">
        <f t="shared" si="87"/>
        <v>0</v>
      </c>
      <c r="AC291" s="243"/>
      <c r="AD291" s="243"/>
      <c r="AE291" s="148"/>
      <c r="AF291" s="243"/>
      <c r="AG291" s="243"/>
      <c r="AH291" s="243"/>
      <c r="AI291" s="243"/>
      <c r="AJ291" s="243"/>
      <c r="AK291" s="243"/>
      <c r="AL291" s="243"/>
      <c r="AM291" s="243"/>
      <c r="AN291" s="243"/>
      <c r="AO291" s="243"/>
      <c r="AP291" s="243"/>
      <c r="AQ291" s="243"/>
      <c r="AR291" s="243"/>
      <c r="AS291" s="243"/>
      <c r="AT291" s="243"/>
      <c r="AU291" s="244"/>
      <c r="AV291" s="244"/>
      <c r="AW291" s="244"/>
      <c r="AX291" s="243"/>
      <c r="AY291" s="243"/>
      <c r="AZ291" s="243"/>
    </row>
    <row r="292" spans="1:52">
      <c r="A292" s="8" t="str">
        <f>A291</f>
        <v>Type 19</v>
      </c>
      <c r="B292" s="7">
        <f>B291+1</f>
        <v>2019</v>
      </c>
      <c r="C292" s="7" t="str">
        <f>C291</f>
        <v>Annual</v>
      </c>
      <c r="D292" s="7">
        <f t="shared" ref="D292:E296" si="88">D291</f>
        <v>0</v>
      </c>
      <c r="E292" s="7">
        <f t="shared" si="88"/>
        <v>0</v>
      </c>
      <c r="F292" s="14">
        <f>$M$105</f>
        <v>7.1007506480822574E-3</v>
      </c>
      <c r="H292" s="9"/>
      <c r="I292" s="9">
        <f ca="1">$C$105/$C$31</f>
        <v>0</v>
      </c>
      <c r="J292" s="9">
        <f ca="1">I292-Q292</f>
        <v>0</v>
      </c>
      <c r="K292" s="9">
        <f ca="1">J292-R292</f>
        <v>0</v>
      </c>
      <c r="L292" s="9">
        <f ca="1">K292-S292</f>
        <v>0</v>
      </c>
      <c r="M292" s="9">
        <f ca="1">L292-T292</f>
        <v>0</v>
      </c>
      <c r="N292" s="9"/>
      <c r="O292" s="9"/>
      <c r="P292" s="9">
        <f ca="1">IF(OR($C292="Annual",$D292=$E292),IF(AND($D292=$E292,P$111=$B292+$D292),$I292,IF(AND(P$111&gt;$B292+$D292,P$111&lt;=$B292+$E292), $I292/($E292-$D292),0)), IF(OR(P$111=$B292+$D292,P$111=$B292+$E292),$I292/(($E292-$D292)*2),IF(AND(P$111&gt;$B292+$D292,P$111&lt;$B292+$E292),$I292/($E292-$D292),0)))</f>
        <v>0</v>
      </c>
      <c r="Q292" s="9">
        <f>IF(OR($C292="Annual",$D292=$E292),IF(AND($D292=$E292,Q$111=$B292+$D292),$I292,IF(AND(Q$111&gt;$B292+$D292,Q$111&lt;=$B292+$E292), $I292/($E292-$D292),0)), IF(OR(Q$111=$B292+$D292,Q$111=$B292+$E292),$I292/(($E292-$D292)*2),IF(AND(Q$111&gt;$B292+$D292,Q$111&lt;$B292+$E292),$I292/($E292-$D292),0)))</f>
        <v>0</v>
      </c>
      <c r="R292" s="9">
        <f>IF(OR($C292="Annual",$D292=$E292),IF(AND($D292=$E292,R$111=$B292+$D292),$I292,IF(AND(R$111&gt;$B292+$D292,R$111&lt;=$B292+$E292), $I292/($E292-$D292),0)), IF(OR(R$111=$B292+$D292,R$111=$B292+$E292),$I292/(($E292-$D292)*2),IF(AND(R$111&gt;$B292+$D292,R$111&lt;$B292+$E292),$I292/($E292-$D292),0)))</f>
        <v>0</v>
      </c>
      <c r="S292" s="9">
        <f>IF(OR($C292="Annual",$D292=$E292),IF(AND($D292=$E292,S$111=$B292+$D292),$I292,IF(AND(S$111&gt;$B292+$D292,S$111&lt;=$B292+$E292), $I292/($E292-$D292),0)), IF(OR(S$111=$B292+$D292,S$111=$B292+$E292),$I292/(($E292-$D292)*2),IF(AND(S$111&gt;$B292+$D292,S$111&lt;$B292+$E292),$I292/($E292-$D292),0)))</f>
        <v>0</v>
      </c>
      <c r="T292" s="9">
        <f>IF(OR($C292="Annual",$D292=$E292),IF(AND($D292=$E292,T$111=$B292+$D292),$I292,IF(AND(T$111&gt;$B292+$D292,T$111&lt;=$B292+$E292), $I292/($E292-$D292),0)), IF(OR(T$111=$B292+$D292,T$111=$B292+$E292),$I292/(($E292-$D292)*2),IF(AND(T$111&gt;$B292+$D292,T$111&lt;$B292+$E292),$I292/($E292-$D292),0)))</f>
        <v>0</v>
      </c>
      <c r="U292" s="9"/>
      <c r="V292" s="9"/>
      <c r="W292" s="9">
        <f t="shared" si="87"/>
        <v>0</v>
      </c>
      <c r="X292" s="9">
        <f t="shared" ca="1" si="87"/>
        <v>0</v>
      </c>
      <c r="Y292" s="9">
        <f t="shared" ca="1" si="87"/>
        <v>0</v>
      </c>
      <c r="Z292" s="9">
        <f t="shared" ca="1" si="87"/>
        <v>0</v>
      </c>
      <c r="AA292" s="9">
        <f t="shared" ca="1" si="87"/>
        <v>0</v>
      </c>
      <c r="AC292" s="243"/>
      <c r="AD292" s="243"/>
      <c r="AE292" s="148"/>
      <c r="AF292" s="243"/>
      <c r="AG292" s="243"/>
      <c r="AH292" s="243"/>
      <c r="AI292" s="243"/>
      <c r="AJ292" s="243"/>
      <c r="AK292" s="243"/>
      <c r="AL292" s="243"/>
      <c r="AM292" s="243"/>
      <c r="AN292" s="243"/>
      <c r="AO292" s="243"/>
      <c r="AP292" s="243"/>
      <c r="AQ292" s="243"/>
      <c r="AR292" s="243"/>
      <c r="AS292" s="243"/>
      <c r="AT292" s="243"/>
      <c r="AU292" s="244"/>
      <c r="AV292" s="244"/>
      <c r="AW292" s="244"/>
      <c r="AX292" s="243"/>
      <c r="AY292" s="243"/>
      <c r="AZ292" s="243"/>
    </row>
    <row r="293" spans="1:52">
      <c r="A293" s="8" t="str">
        <f>A292</f>
        <v>Type 19</v>
      </c>
      <c r="B293" s="7">
        <f>B292+1</f>
        <v>2020</v>
      </c>
      <c r="C293" s="7" t="str">
        <f>C292</f>
        <v>Annual</v>
      </c>
      <c r="D293" s="7">
        <f t="shared" si="88"/>
        <v>0</v>
      </c>
      <c r="E293" s="7">
        <f t="shared" si="88"/>
        <v>0</v>
      </c>
      <c r="F293" s="14">
        <f>$N$105</f>
        <v>1.4545456510151461E-2</v>
      </c>
      <c r="H293" s="9"/>
      <c r="I293" s="9"/>
      <c r="J293" s="9">
        <f ca="1">$D$105/$D$31</f>
        <v>0</v>
      </c>
      <c r="K293" s="9">
        <f ca="1">J293-R293</f>
        <v>0</v>
      </c>
      <c r="L293" s="9">
        <f ca="1">K293-S293</f>
        <v>0</v>
      </c>
      <c r="M293" s="9">
        <f ca="1">L293-T293</f>
        <v>0</v>
      </c>
      <c r="N293" s="9"/>
      <c r="O293" s="9"/>
      <c r="P293" s="9"/>
      <c r="Q293" s="9">
        <f ca="1">IF(OR($C293="Annual",$D293=$E293),IF(AND($D293=$E293,Q$111=$B293+$D293),$J293,IF(AND(Q$111&gt;$B293+$D293,Q$111&lt;=$B293+$E293), $J293/($E293-$D293),0)), IF(OR(Q$111=$B293+$D293,Q$111=$B293+$E293),$J293/(($E293-$D293)*2),IF(AND(Q$111&gt;$B293+$D293,Q$111&lt;$B293+$E293),$J293/($E293-$D293),0)))</f>
        <v>0</v>
      </c>
      <c r="R293" s="9">
        <f>IF(OR($C293="Annual",$D293=$E293),IF(AND($D293=$E293,R$111=$B293+$D293),$J293,IF(AND(R$111&gt;$B293+$D293,R$111&lt;=$B293+$E293), $J293/($E293-$D293),0)), IF(OR(R$111=$B293+$D293,R$111=$B293+$E293),$J293/(($E293-$D293)*2),IF(AND(R$111&gt;$B293+$D293,R$111&lt;$B293+$E293),$J293/($E293-$D293),0)))</f>
        <v>0</v>
      </c>
      <c r="S293" s="9">
        <f>IF(OR($C293="Annual",$D293=$E293),IF(AND($D293=$E293,S$111=$B293+$D293),$J293,IF(AND(S$111&gt;$B293+$D293,S$111&lt;=$B293+$E293), $J293/($E293-$D293),0)), IF(OR(S$111=$B293+$D293,S$111=$B293+$E293),$J293/(($E293-$D293)*2),IF(AND(S$111&gt;$B293+$D293,S$111&lt;$B293+$E293),$J293/($E293-$D293),0)))</f>
        <v>0</v>
      </c>
      <c r="T293" s="9">
        <f>IF(OR($C293="Annual",$D293=$E293),IF(AND($D293=$E293,T$111=$B293+$D293),$J293,IF(AND(T$111&gt;$B293+$D293,T$111&lt;=$B293+$E293), $J293/($E293-$D293),0)), IF(OR(T$111=$B293+$D293,T$111=$B293+$E293),$J293/(($E293-$D293)*2),IF(AND(T$111&gt;$B293+$D293,T$111&lt;$B293+$E293),$J293/($E293-$D293),0)))</f>
        <v>0</v>
      </c>
      <c r="U293" s="9"/>
      <c r="V293" s="9"/>
      <c r="W293" s="9"/>
      <c r="X293" s="9">
        <f t="shared" si="87"/>
        <v>0</v>
      </c>
      <c r="Y293" s="9">
        <f t="shared" ca="1" si="87"/>
        <v>0</v>
      </c>
      <c r="Z293" s="9">
        <f t="shared" ca="1" si="87"/>
        <v>0</v>
      </c>
      <c r="AA293" s="9">
        <f t="shared" ca="1" si="87"/>
        <v>0</v>
      </c>
      <c r="AC293" s="243"/>
      <c r="AD293" s="243"/>
      <c r="AE293" s="148"/>
      <c r="AF293" s="243"/>
      <c r="AG293" s="243"/>
      <c r="AH293" s="243"/>
      <c r="AI293" s="243"/>
      <c r="AJ293" s="243"/>
      <c r="AK293" s="243"/>
      <c r="AL293" s="243"/>
      <c r="AM293" s="243"/>
      <c r="AN293" s="243"/>
      <c r="AO293" s="243"/>
      <c r="AP293" s="243"/>
      <c r="AQ293" s="243"/>
      <c r="AR293" s="243"/>
      <c r="AS293" s="243"/>
      <c r="AT293" s="243"/>
      <c r="AU293" s="244"/>
      <c r="AV293" s="244"/>
      <c r="AW293" s="244"/>
      <c r="AX293" s="243"/>
      <c r="AY293" s="243"/>
      <c r="AZ293" s="243"/>
    </row>
    <row r="294" spans="1:52">
      <c r="A294" s="8" t="str">
        <f>A293</f>
        <v>Type 19</v>
      </c>
      <c r="B294" s="7">
        <f>B293+1</f>
        <v>2021</v>
      </c>
      <c r="C294" s="7" t="str">
        <f>C293</f>
        <v>Annual</v>
      </c>
      <c r="D294" s="7">
        <f t="shared" si="88"/>
        <v>0</v>
      </c>
      <c r="E294" s="7">
        <f t="shared" si="88"/>
        <v>0</v>
      </c>
      <c r="F294" s="14">
        <f>$O$105</f>
        <v>0</v>
      </c>
      <c r="H294" s="9"/>
      <c r="I294" s="9"/>
      <c r="J294" s="9"/>
      <c r="K294" s="9">
        <f ca="1">$E$105/$E$31</f>
        <v>0</v>
      </c>
      <c r="L294" s="9">
        <f ca="1">K294-S294</f>
        <v>0</v>
      </c>
      <c r="M294" s="9">
        <f ca="1">L294-T294</f>
        <v>0</v>
      </c>
      <c r="N294" s="9"/>
      <c r="O294" s="9"/>
      <c r="P294" s="9"/>
      <c r="Q294" s="9"/>
      <c r="R294" s="9">
        <f ca="1">IF(OR($C294="Annual",$D294=$E294),IF(AND($D294=$E294,R$111=$B294+$D294),$K294,IF(AND(R$111&gt;$B294+$D294,R$111&lt;=$B294+$E294), $K294/($E294-$D294),0)), IF(OR(R$111=$B294+$D294,R$111=$B294+$E294),$K294/(($E294-$D294)*2),IF(AND(R$111&gt;$B294+$D294,R$111&lt;$B294+$E294),$K294/($E294-$D294),0)))</f>
        <v>0</v>
      </c>
      <c r="S294" s="9">
        <f>IF(OR($C294="Annual",$D294=$E294),IF(AND($D294=$E294,S$111=$B294+$D294),$K294,IF(AND(S$111&gt;$B294+$D294,S$111&lt;=$B294+$E294), $K294/($E294-$D294),0)), IF(OR(S$111=$B294+$D294,S$111=$B294+$E294),$K294/(($E294-$D294)*2),IF(AND(S$111&gt;$B294+$D294,S$111&lt;$B294+$E294),$K294/($E294-$D294),0)))</f>
        <v>0</v>
      </c>
      <c r="T294" s="9">
        <f>IF(OR($C294="Annual",$D294=$E294),IF(AND($D294=$E294,T$111=$B294+$D294),$K294,IF(AND(T$111&gt;$B294+$D294,T$111&lt;=$B294+$E294), $K294/($E294-$D294),0)), IF(OR(T$111=$B294+$D294,T$111=$B294+$E294),$K294/(($E294-$D294)*2),IF(AND(T$111&gt;$B294+$D294,T$111&lt;$B294+$E294),$K294/($E294-$D294),0)))</f>
        <v>0</v>
      </c>
      <c r="U294" s="9"/>
      <c r="V294" s="9"/>
      <c r="W294" s="9"/>
      <c r="X294" s="9"/>
      <c r="Y294" s="9">
        <f t="shared" si="87"/>
        <v>0</v>
      </c>
      <c r="Z294" s="9">
        <f t="shared" ca="1" si="87"/>
        <v>0</v>
      </c>
      <c r="AA294" s="9">
        <f t="shared" ca="1" si="87"/>
        <v>0</v>
      </c>
      <c r="AC294" s="243"/>
      <c r="AD294" s="243"/>
      <c r="AE294" s="148"/>
      <c r="AF294" s="243"/>
      <c r="AG294" s="243"/>
      <c r="AH294" s="243"/>
      <c r="AI294" s="243"/>
      <c r="AJ294" s="243"/>
      <c r="AK294" s="243"/>
      <c r="AL294" s="243"/>
      <c r="AM294" s="243"/>
      <c r="AN294" s="243"/>
      <c r="AO294" s="243"/>
      <c r="AP294" s="243"/>
      <c r="AQ294" s="243"/>
      <c r="AR294" s="243"/>
      <c r="AS294" s="243"/>
      <c r="AT294" s="243"/>
      <c r="AU294" s="244"/>
      <c r="AV294" s="244"/>
      <c r="AW294" s="244"/>
      <c r="AX294" s="243"/>
      <c r="AY294" s="243"/>
      <c r="AZ294" s="243"/>
    </row>
    <row r="295" spans="1:52">
      <c r="A295" s="8" t="str">
        <f>A294</f>
        <v>Type 19</v>
      </c>
      <c r="B295" s="7">
        <f>B294+1</f>
        <v>2022</v>
      </c>
      <c r="C295" s="7" t="str">
        <f>C294</f>
        <v>Annual</v>
      </c>
      <c r="D295" s="7">
        <f t="shared" si="88"/>
        <v>0</v>
      </c>
      <c r="E295" s="7">
        <f t="shared" si="88"/>
        <v>0</v>
      </c>
      <c r="F295" s="14">
        <f>$P$105</f>
        <v>0</v>
      </c>
      <c r="H295" s="9"/>
      <c r="I295" s="9"/>
      <c r="J295" s="9"/>
      <c r="K295" s="9"/>
      <c r="L295" s="9">
        <f ca="1">$F$105/$F$31</f>
        <v>0</v>
      </c>
      <c r="M295" s="9">
        <f ca="1">L295-T295</f>
        <v>0</v>
      </c>
      <c r="N295" s="9"/>
      <c r="O295" s="9"/>
      <c r="P295" s="9"/>
      <c r="Q295" s="9"/>
      <c r="R295" s="9"/>
      <c r="S295" s="9">
        <f ca="1">IF(OR($C295="Annual",$D295=$E295),IF(AND($D295=$E295,S$111=$B295+$D295),$L295,IF(AND(S$111&gt;$B295+$D295,S$111&lt;=$B295+$E295), $L295/($E295-$D295),0)), IF(OR(S$111=$B295+$D295,S$111=$B295+$E295),$L295/(($E295-$D295)*2),IF(AND(S$111&gt;$B295+$D295,S$111&lt;$B295+$E295),$L295/($E295-$D295),0)))</f>
        <v>0</v>
      </c>
      <c r="T295" s="9">
        <f>IF(OR($C295="Annual",$D295=$E295),IF(AND($D295=$E295,T$111=$B295+$D295),$L295,IF(AND(T$111&gt;$B295+$D295,T$111&lt;=$B295+$E295), $L295/($E295-$D295),0)), IF(OR(T$111=$B295+$D295,T$111=$B295+$E295),$L295/(($E295-$D295)*2),IF(AND(T$111&gt;$B295+$D295,T$111&lt;$B295+$E295),$L295/($E295-$D295),0)))</f>
        <v>0</v>
      </c>
      <c r="U295" s="9"/>
      <c r="V295" s="9"/>
      <c r="W295" s="9"/>
      <c r="X295" s="9"/>
      <c r="Y295" s="9"/>
      <c r="Z295" s="9">
        <f t="shared" si="87"/>
        <v>0</v>
      </c>
      <c r="AA295" s="9">
        <f t="shared" ca="1" si="87"/>
        <v>0</v>
      </c>
      <c r="AC295" s="243"/>
      <c r="AD295" s="243"/>
      <c r="AE295" s="148"/>
      <c r="AF295" s="243"/>
      <c r="AG295" s="243"/>
      <c r="AH295" s="243"/>
      <c r="AI295" s="243"/>
      <c r="AJ295" s="243"/>
      <c r="AK295" s="243"/>
      <c r="AL295" s="243"/>
      <c r="AM295" s="243"/>
      <c r="AN295" s="243"/>
      <c r="AO295" s="243"/>
      <c r="AP295" s="243"/>
      <c r="AQ295" s="243"/>
      <c r="AR295" s="243"/>
      <c r="AS295" s="243"/>
      <c r="AT295" s="243"/>
      <c r="AU295" s="244"/>
      <c r="AV295" s="244"/>
      <c r="AW295" s="244"/>
      <c r="AX295" s="243"/>
      <c r="AY295" s="243"/>
      <c r="AZ295" s="243"/>
    </row>
    <row r="296" spans="1:52">
      <c r="A296" s="8" t="str">
        <f>A295</f>
        <v>Type 19</v>
      </c>
      <c r="B296" s="7">
        <f>B295+1</f>
        <v>2023</v>
      </c>
      <c r="C296" s="7" t="str">
        <f>C295</f>
        <v>Annual</v>
      </c>
      <c r="D296" s="7">
        <f t="shared" si="88"/>
        <v>0</v>
      </c>
      <c r="E296" s="7">
        <f t="shared" si="88"/>
        <v>0</v>
      </c>
      <c r="F296" s="14">
        <f>$Q$105</f>
        <v>0</v>
      </c>
      <c r="H296" s="9"/>
      <c r="I296" s="9"/>
      <c r="J296" s="9"/>
      <c r="K296" s="9"/>
      <c r="L296" s="9"/>
      <c r="M296" s="9">
        <f ca="1">$G$105/$G$31</f>
        <v>0</v>
      </c>
      <c r="N296" s="9"/>
      <c r="O296" s="9"/>
      <c r="P296" s="9"/>
      <c r="Q296" s="9"/>
      <c r="R296" s="9"/>
      <c r="S296" s="9"/>
      <c r="T296" s="9">
        <f ca="1">IF(OR($C296="Annual",$D296=$E296),IF(AND($D296=$E296,T$111=$B296+$D296),$M296,IF(AND(T$111&gt;$B296+$D296,T$111&lt;=$B296+$E296), $M296/($E296-$D296),0)), IF(OR(T$111=$B296+$D296,T$111=$B296+$E296),$M296/(($E296-$D296)*2),IF(AND(T$111&gt;$B296+$D296,T$111&lt;$B296+$E296),$M296/($E296-$D296),0)))</f>
        <v>0</v>
      </c>
      <c r="U296" s="9"/>
      <c r="V296" s="9"/>
      <c r="W296" s="9"/>
      <c r="X296" s="9"/>
      <c r="Y296" s="9"/>
      <c r="Z296" s="9"/>
      <c r="AA296" s="9">
        <f t="shared" si="87"/>
        <v>0</v>
      </c>
      <c r="AC296" s="243"/>
      <c r="AD296" s="243"/>
      <c r="AE296" s="148"/>
      <c r="AF296" s="243"/>
      <c r="AG296" s="243"/>
      <c r="AH296" s="243"/>
      <c r="AI296" s="243"/>
      <c r="AJ296" s="243"/>
      <c r="AK296" s="243"/>
      <c r="AL296" s="243"/>
      <c r="AM296" s="243"/>
      <c r="AN296" s="243"/>
      <c r="AO296" s="243"/>
      <c r="AP296" s="243"/>
      <c r="AQ296" s="243"/>
      <c r="AR296" s="243"/>
      <c r="AS296" s="243"/>
      <c r="AT296" s="243"/>
      <c r="AU296" s="244"/>
      <c r="AV296" s="244"/>
      <c r="AW296" s="244"/>
      <c r="AX296" s="243"/>
      <c r="AY296" s="243"/>
      <c r="AZ296" s="243"/>
    </row>
    <row r="297" spans="1:52">
      <c r="A297" s="8"/>
      <c r="B297" s="7"/>
      <c r="C297" s="7"/>
      <c r="D297" s="7"/>
      <c r="E297" s="7"/>
      <c r="F297" s="15"/>
      <c r="H297" s="9"/>
      <c r="I297" s="9"/>
      <c r="J297" s="9"/>
      <c r="K297" s="9"/>
      <c r="L297" s="9"/>
      <c r="M297" s="9"/>
      <c r="N297" s="9"/>
      <c r="O297" s="278"/>
      <c r="P297" s="10"/>
      <c r="Q297" s="10"/>
      <c r="R297" s="10"/>
      <c r="S297" s="10"/>
      <c r="T297" s="10"/>
      <c r="U297" s="9"/>
      <c r="V297" s="10"/>
      <c r="W297" s="10"/>
      <c r="X297" s="10"/>
      <c r="Y297" s="10"/>
      <c r="Z297" s="10"/>
      <c r="AA297" s="10"/>
      <c r="AC297" s="243"/>
      <c r="AD297" s="243"/>
      <c r="AE297" s="148"/>
      <c r="AF297" s="243"/>
      <c r="AG297" s="243"/>
      <c r="AH297" s="243"/>
      <c r="AI297" s="243"/>
      <c r="AJ297" s="243"/>
      <c r="AK297" s="243"/>
      <c r="AL297" s="243"/>
      <c r="AM297" s="243"/>
      <c r="AN297" s="243"/>
      <c r="AO297" s="243"/>
      <c r="AP297" s="243"/>
      <c r="AQ297" s="243"/>
      <c r="AR297" s="243"/>
      <c r="AS297" s="243"/>
      <c r="AT297" s="243"/>
      <c r="AU297" s="244"/>
      <c r="AV297" s="244"/>
      <c r="AW297" s="244"/>
      <c r="AX297" s="243"/>
      <c r="AY297" s="243"/>
      <c r="AZ297" s="243"/>
    </row>
    <row r="298" spans="1:52" s="1150" customFormat="1">
      <c r="A298" s="1347" t="str">
        <f>'Input 4 - Forecast'!A87</f>
        <v>ZERO-COUPON BOND</v>
      </c>
      <c r="B298" s="1348">
        <f>B119</f>
        <v>2018</v>
      </c>
      <c r="C298" s="1348"/>
      <c r="D298" s="1348">
        <f>$J106</f>
        <v>0</v>
      </c>
      <c r="E298" s="1348">
        <f>$K106</f>
        <v>0</v>
      </c>
      <c r="F298" s="1349">
        <f>$L$106</f>
        <v>0</v>
      </c>
      <c r="H298" s="1350">
        <f>$B$106/$B$31</f>
        <v>0</v>
      </c>
      <c r="I298" s="1350">
        <f>H298-P298</f>
        <v>0</v>
      </c>
      <c r="J298" s="1350">
        <f>I298-Q298</f>
        <v>0</v>
      </c>
      <c r="K298" s="1350">
        <f>J298-R298</f>
        <v>0</v>
      </c>
      <c r="L298" s="1350">
        <f>K298-S298</f>
        <v>0</v>
      </c>
      <c r="M298" s="1350">
        <f>L298-T298</f>
        <v>0</v>
      </c>
      <c r="N298" s="1350"/>
      <c r="O298" s="1350">
        <f t="shared" ref="O298:T298" si="89">IF($D298=$E298,IF(O$111=$B298+$E298,$H298,0),0)</f>
        <v>0</v>
      </c>
      <c r="P298" s="1350">
        <f t="shared" si="89"/>
        <v>0</v>
      </c>
      <c r="Q298" s="1350">
        <f t="shared" si="89"/>
        <v>0</v>
      </c>
      <c r="R298" s="1350">
        <f t="shared" si="89"/>
        <v>0</v>
      </c>
      <c r="S298" s="1350">
        <f t="shared" si="89"/>
        <v>0</v>
      </c>
      <c r="T298" s="1350">
        <f t="shared" si="89"/>
        <v>0</v>
      </c>
      <c r="U298" s="1350"/>
      <c r="V298" s="1350">
        <f t="shared" ref="V298:AA298" si="90">IF(V$111-$B298=$D298,$H298*(((1+$F298)^$D298)-1),0)</f>
        <v>0</v>
      </c>
      <c r="W298" s="1350">
        <f t="shared" si="90"/>
        <v>0</v>
      </c>
      <c r="X298" s="1350">
        <f t="shared" si="90"/>
        <v>0</v>
      </c>
      <c r="Y298" s="1350">
        <f t="shared" si="90"/>
        <v>0</v>
      </c>
      <c r="Z298" s="1350">
        <f t="shared" si="90"/>
        <v>0</v>
      </c>
      <c r="AA298" s="1350">
        <f t="shared" si="90"/>
        <v>0</v>
      </c>
      <c r="AC298" s="1481"/>
      <c r="AD298" s="1481"/>
      <c r="AE298" s="1482"/>
      <c r="AF298" s="1481"/>
      <c r="AG298" s="1481"/>
      <c r="AH298" s="1481"/>
      <c r="AI298" s="1481"/>
      <c r="AJ298" s="1481"/>
      <c r="AK298" s="1481"/>
      <c r="AL298" s="1481"/>
      <c r="AM298" s="1481"/>
      <c r="AN298" s="1481"/>
      <c r="AO298" s="1481"/>
      <c r="AP298" s="1481"/>
      <c r="AQ298" s="1481"/>
      <c r="AR298" s="1481"/>
      <c r="AS298" s="1481"/>
      <c r="AT298" s="1481"/>
      <c r="AU298" s="1483"/>
      <c r="AV298" s="1483"/>
      <c r="AW298" s="1483"/>
      <c r="AX298" s="1481"/>
      <c r="AY298" s="1481"/>
      <c r="AZ298" s="1481"/>
    </row>
    <row r="299" spans="1:52" s="1150" customFormat="1">
      <c r="A299" s="1347" t="str">
        <f>A298</f>
        <v>ZERO-COUPON BOND</v>
      </c>
      <c r="B299" s="1348">
        <f>B298+1</f>
        <v>2019</v>
      </c>
      <c r="C299" s="1348"/>
      <c r="D299" s="1348">
        <f t="shared" ref="D299:E303" si="91">D298</f>
        <v>0</v>
      </c>
      <c r="E299" s="1348">
        <f t="shared" si="91"/>
        <v>0</v>
      </c>
      <c r="F299" s="1349">
        <f>$M$106</f>
        <v>7.1007506480822574E-3</v>
      </c>
      <c r="H299" s="1350"/>
      <c r="I299" s="1350">
        <f ca="1">$C$106/$C$31</f>
        <v>0</v>
      </c>
      <c r="J299" s="1350">
        <f ca="1">I299-Q299</f>
        <v>0</v>
      </c>
      <c r="K299" s="1350">
        <f ca="1">J299-R299</f>
        <v>0</v>
      </c>
      <c r="L299" s="1350">
        <f ca="1">K299-S299</f>
        <v>0</v>
      </c>
      <c r="M299" s="1350">
        <f ca="1">L299-T299</f>
        <v>0</v>
      </c>
      <c r="N299" s="1350"/>
      <c r="O299" s="1351"/>
      <c r="P299" s="1350">
        <f ca="1">IF($D299=$E299,IF(P$111=$B299+$E299,$I299,0),0)</f>
        <v>0</v>
      </c>
      <c r="Q299" s="1350">
        <f>IF($D299=$E299,IF(Q$111=$B299+$E299,$I299,0),0)</f>
        <v>0</v>
      </c>
      <c r="R299" s="1350">
        <f>IF($D299=$E299,IF(R$111=$B299+$E299,$I299,0),0)</f>
        <v>0</v>
      </c>
      <c r="S299" s="1350">
        <f>IF($D299=$E299,IF(S$111=$B299+$E299,$I299,0),0)</f>
        <v>0</v>
      </c>
      <c r="T299" s="1350">
        <f>IF($D299=$E299,IF(T$111=$B299+$E299,$I299,0),0)</f>
        <v>0</v>
      </c>
      <c r="U299" s="1350"/>
      <c r="V299" s="1350"/>
      <c r="W299" s="1350">
        <f ca="1">IF(W$111-$B299=$D299,$I299*(((1+$F299)^$D299)-1),0)</f>
        <v>0</v>
      </c>
      <c r="X299" s="1350">
        <f>IF(X$111-$B299=$D299,$I299*(((1+$F299)^$D299)-1),0)</f>
        <v>0</v>
      </c>
      <c r="Y299" s="1350">
        <f>IF(Y$111-$B299=$D299,$I299*(((1+$F299)^$D299)-1),0)</f>
        <v>0</v>
      </c>
      <c r="Z299" s="1350">
        <f>IF(Z$111-$B299=$D299,$I299*(((1+$F299)^$D299)-1),0)</f>
        <v>0</v>
      </c>
      <c r="AA299" s="1350">
        <f>IF(AA$111-$B299=$D299,$I299*(((1+$F299)^$D299)-1),0)</f>
        <v>0</v>
      </c>
      <c r="AC299" s="1481"/>
      <c r="AD299" s="1481"/>
      <c r="AE299" s="1482"/>
      <c r="AF299" s="1481"/>
      <c r="AG299" s="1481"/>
      <c r="AH299" s="1481"/>
      <c r="AI299" s="1481"/>
      <c r="AJ299" s="1481"/>
      <c r="AK299" s="1481"/>
      <c r="AL299" s="1481"/>
      <c r="AM299" s="1481"/>
      <c r="AN299" s="1481"/>
      <c r="AO299" s="1481"/>
      <c r="AP299" s="1481"/>
      <c r="AQ299" s="1481"/>
      <c r="AR299" s="1481"/>
      <c r="AS299" s="1481"/>
      <c r="AT299" s="1481"/>
      <c r="AU299" s="1483"/>
      <c r="AV299" s="1483"/>
      <c r="AW299" s="1483"/>
      <c r="AX299" s="1481"/>
      <c r="AY299" s="1481"/>
      <c r="AZ299" s="1481"/>
    </row>
    <row r="300" spans="1:52" s="1150" customFormat="1">
      <c r="A300" s="1347" t="str">
        <f>A299</f>
        <v>ZERO-COUPON BOND</v>
      </c>
      <c r="B300" s="1348">
        <f>B299+1</f>
        <v>2020</v>
      </c>
      <c r="C300" s="1348"/>
      <c r="D300" s="1348">
        <f t="shared" si="91"/>
        <v>0</v>
      </c>
      <c r="E300" s="1348">
        <f t="shared" si="91"/>
        <v>0</v>
      </c>
      <c r="F300" s="1349">
        <f>$N$106</f>
        <v>1.4545456510151461E-2</v>
      </c>
      <c r="H300" s="1350"/>
      <c r="I300" s="1350"/>
      <c r="J300" s="1350">
        <f ca="1">$D$106/$D$31</f>
        <v>0</v>
      </c>
      <c r="K300" s="1350">
        <f ca="1">J300-R300</f>
        <v>0</v>
      </c>
      <c r="L300" s="1350">
        <f ca="1">K300-S300</f>
        <v>0</v>
      </c>
      <c r="M300" s="1350">
        <f ca="1">L300-T300</f>
        <v>0</v>
      </c>
      <c r="N300" s="1350"/>
      <c r="O300" s="1351"/>
      <c r="P300" s="1350"/>
      <c r="Q300" s="1350">
        <f ca="1">IF($D300=$E300,IF(Q$111=$B300+$E300,$J300,0),0)</f>
        <v>0</v>
      </c>
      <c r="R300" s="1350">
        <f>IF($D300=$E300,IF(R$111=$B300+$E300,$J300,0),0)</f>
        <v>0</v>
      </c>
      <c r="S300" s="1350">
        <f>IF($D300=$E300,IF(S$111=$B300+$E300,$J300,0),0)</f>
        <v>0</v>
      </c>
      <c r="T300" s="1350">
        <f>IF($D300=$E300,IF(T$111=$B300+$E300,$J300,0),0)</f>
        <v>0</v>
      </c>
      <c r="U300" s="1350"/>
      <c r="V300" s="1350"/>
      <c r="W300" s="1350"/>
      <c r="X300" s="1350">
        <f ca="1">IF(X$111-$B300=$D300,$J300*(((1+$F300)^$D300)-1),0)</f>
        <v>0</v>
      </c>
      <c r="Y300" s="1350">
        <f>IF(Y$111-$B300=$D300,$J300*(((1+$F300)^$D300)-1),0)</f>
        <v>0</v>
      </c>
      <c r="Z300" s="1350">
        <f>IF(Z$111-$B300=$D300,$J300*(((1+$F300)^$D300)-1),0)</f>
        <v>0</v>
      </c>
      <c r="AA300" s="1350">
        <f>IF(AA$111-$B300=$D300,$J300*(((1+$F300)^$D300)-1),0)</f>
        <v>0</v>
      </c>
      <c r="AC300" s="1481"/>
      <c r="AD300" s="1481"/>
      <c r="AE300" s="1482"/>
      <c r="AF300" s="1481"/>
      <c r="AG300" s="1481"/>
      <c r="AH300" s="1481"/>
      <c r="AI300" s="1481"/>
      <c r="AJ300" s="1481"/>
      <c r="AK300" s="1481"/>
      <c r="AL300" s="1481"/>
      <c r="AM300" s="1481"/>
      <c r="AN300" s="1481"/>
      <c r="AO300" s="1481"/>
      <c r="AP300" s="1481"/>
      <c r="AQ300" s="1481"/>
      <c r="AR300" s="1481"/>
      <c r="AS300" s="1481"/>
      <c r="AT300" s="1481"/>
      <c r="AU300" s="1483"/>
      <c r="AV300" s="1483"/>
      <c r="AW300" s="1483"/>
      <c r="AX300" s="1481"/>
      <c r="AY300" s="1481"/>
      <c r="AZ300" s="1481"/>
    </row>
    <row r="301" spans="1:52" s="1150" customFormat="1">
      <c r="A301" s="1347" t="str">
        <f>A300</f>
        <v>ZERO-COUPON BOND</v>
      </c>
      <c r="B301" s="1348">
        <f>B300+1</f>
        <v>2021</v>
      </c>
      <c r="C301" s="1348"/>
      <c r="D301" s="1348">
        <f t="shared" si="91"/>
        <v>0</v>
      </c>
      <c r="E301" s="1348">
        <f t="shared" si="91"/>
        <v>0</v>
      </c>
      <c r="F301" s="1349">
        <f>$O$106</f>
        <v>0</v>
      </c>
      <c r="H301" s="1350"/>
      <c r="I301" s="1350"/>
      <c r="J301" s="1350"/>
      <c r="K301" s="1350">
        <f ca="1">$E$106/$E$31</f>
        <v>0</v>
      </c>
      <c r="L301" s="1350">
        <f ca="1">K301-S301</f>
        <v>0</v>
      </c>
      <c r="M301" s="1350">
        <f ca="1">L301-T301</f>
        <v>0</v>
      </c>
      <c r="N301" s="1350"/>
      <c r="O301" s="1351"/>
      <c r="P301" s="1350"/>
      <c r="Q301" s="1350"/>
      <c r="R301" s="1350">
        <f ca="1">IF($D301=$E301,IF(R$111=$B301+$E301,$K301,0),0)</f>
        <v>0</v>
      </c>
      <c r="S301" s="1350">
        <f>IF($D301=$E301,IF(S$111=$B301+$E301,$K301,0),0)</f>
        <v>0</v>
      </c>
      <c r="T301" s="1350">
        <f>IF($D301=$E301,IF(T$111=$B301+$E301,$K301,0),0)</f>
        <v>0</v>
      </c>
      <c r="U301" s="1350"/>
      <c r="V301" s="1350"/>
      <c r="W301" s="1350"/>
      <c r="X301" s="1350"/>
      <c r="Y301" s="1350">
        <f ca="1">IF(Y$111-$B301=$D301,$K301*(((1+$F301)^$D301)-1),0)</f>
        <v>0</v>
      </c>
      <c r="Z301" s="1350">
        <f>IF(Z$111-$B301=$D301,$K301*(((1+$F301)^$D301)-1),0)</f>
        <v>0</v>
      </c>
      <c r="AA301" s="1350">
        <f>IF(AA$111-$B301=$D301,$K301*(((1+$F301)^$D301)-1),0)</f>
        <v>0</v>
      </c>
      <c r="AC301" s="1481"/>
      <c r="AD301" s="1481"/>
      <c r="AE301" s="1482"/>
      <c r="AF301" s="1481"/>
      <c r="AG301" s="1481"/>
      <c r="AH301" s="1481"/>
      <c r="AI301" s="1481"/>
      <c r="AJ301" s="1481"/>
      <c r="AK301" s="1481"/>
      <c r="AL301" s="1481"/>
      <c r="AM301" s="1481"/>
      <c r="AN301" s="1481"/>
      <c r="AO301" s="1481"/>
      <c r="AP301" s="1481"/>
      <c r="AQ301" s="1481"/>
      <c r="AR301" s="1481"/>
      <c r="AS301" s="1481"/>
      <c r="AT301" s="1481"/>
      <c r="AU301" s="1483"/>
      <c r="AV301" s="1483"/>
      <c r="AW301" s="1483"/>
      <c r="AX301" s="1481"/>
      <c r="AY301" s="1481"/>
      <c r="AZ301" s="1481"/>
    </row>
    <row r="302" spans="1:52" s="1150" customFormat="1">
      <c r="A302" s="1347" t="str">
        <f>A301</f>
        <v>ZERO-COUPON BOND</v>
      </c>
      <c r="B302" s="1348">
        <f>B301+1</f>
        <v>2022</v>
      </c>
      <c r="C302" s="1348"/>
      <c r="D302" s="1348">
        <f t="shared" si="91"/>
        <v>0</v>
      </c>
      <c r="E302" s="1348">
        <f t="shared" si="91"/>
        <v>0</v>
      </c>
      <c r="F302" s="1349">
        <f>$P$106</f>
        <v>0</v>
      </c>
      <c r="H302" s="1350"/>
      <c r="I302" s="1350"/>
      <c r="J302" s="1350"/>
      <c r="K302" s="1350"/>
      <c r="L302" s="1350">
        <f ca="1">$F$106/$F$31</f>
        <v>0</v>
      </c>
      <c r="M302" s="1350">
        <f ca="1">L302-T302</f>
        <v>0</v>
      </c>
      <c r="N302" s="1350"/>
      <c r="O302" s="1351"/>
      <c r="P302" s="1350"/>
      <c r="Q302" s="1350"/>
      <c r="R302" s="1350"/>
      <c r="S302" s="1350">
        <f ca="1">IF($D302=$E302,IF(S$111=$B302+$E302,$L302,0),0)</f>
        <v>0</v>
      </c>
      <c r="T302" s="1350">
        <f>IF($D302=$E302,IF(T$111=$B302+$E302,$L302,0),0)</f>
        <v>0</v>
      </c>
      <c r="U302" s="1350"/>
      <c r="V302" s="1350"/>
      <c r="W302" s="1350"/>
      <c r="X302" s="1350"/>
      <c r="Y302" s="1350"/>
      <c r="Z302" s="1350">
        <f ca="1">IF(Z$111-$B302=$D302,$L302*(((1+$F302)^$D302)-1),0)</f>
        <v>0</v>
      </c>
      <c r="AA302" s="1350">
        <f>IF(AA$111-$B302=$D302,$L302*(((1+$F302)^$D302)-1),0)</f>
        <v>0</v>
      </c>
      <c r="AC302" s="1481"/>
      <c r="AD302" s="1481"/>
      <c r="AE302" s="1482"/>
      <c r="AF302" s="1481"/>
      <c r="AG302" s="1481"/>
      <c r="AH302" s="1481"/>
      <c r="AI302" s="1481"/>
      <c r="AJ302" s="1481"/>
      <c r="AK302" s="1481"/>
      <c r="AL302" s="1481"/>
      <c r="AM302" s="1481"/>
      <c r="AN302" s="1481"/>
      <c r="AO302" s="1481"/>
      <c r="AP302" s="1481"/>
      <c r="AQ302" s="1481"/>
      <c r="AR302" s="1481"/>
      <c r="AS302" s="1481"/>
      <c r="AT302" s="1481"/>
      <c r="AU302" s="1483"/>
      <c r="AV302" s="1483"/>
      <c r="AW302" s="1483"/>
      <c r="AX302" s="1481"/>
      <c r="AY302" s="1481"/>
      <c r="AZ302" s="1481"/>
    </row>
    <row r="303" spans="1:52" s="1150" customFormat="1">
      <c r="A303" s="1347" t="str">
        <f>A302</f>
        <v>ZERO-COUPON BOND</v>
      </c>
      <c r="B303" s="1348">
        <f>B302+1</f>
        <v>2023</v>
      </c>
      <c r="C303" s="1348"/>
      <c r="D303" s="1348">
        <f t="shared" si="91"/>
        <v>0</v>
      </c>
      <c r="E303" s="1348">
        <f t="shared" si="91"/>
        <v>0</v>
      </c>
      <c r="F303" s="1349">
        <f>$Q$106</f>
        <v>0</v>
      </c>
      <c r="H303" s="1350"/>
      <c r="I303" s="1350"/>
      <c r="J303" s="1350"/>
      <c r="K303" s="1350"/>
      <c r="L303" s="1350"/>
      <c r="M303" s="1350">
        <f ca="1">$G$106/$G$31</f>
        <v>0</v>
      </c>
      <c r="N303" s="1350"/>
      <c r="O303" s="1351"/>
      <c r="P303" s="1350"/>
      <c r="Q303" s="1350"/>
      <c r="R303" s="1350"/>
      <c r="S303" s="1350"/>
      <c r="T303" s="1350">
        <f ca="1">IF($D303=$E303,IF(T$111=$B303+$E303,$M303,0),0)</f>
        <v>0</v>
      </c>
      <c r="U303" s="1350"/>
      <c r="V303" s="1350"/>
      <c r="W303" s="1350"/>
      <c r="X303" s="1350"/>
      <c r="Y303" s="1350"/>
      <c r="Z303" s="1350"/>
      <c r="AA303" s="1350">
        <f ca="1">IF(AA$111-$B303=$D303,$M303*(((1+$F303)^$D303)-1),0)</f>
        <v>0</v>
      </c>
      <c r="AC303" s="1481"/>
      <c r="AD303" s="1481"/>
      <c r="AE303" s="1482"/>
      <c r="AF303" s="1481"/>
      <c r="AG303" s="1481"/>
      <c r="AH303" s="1481"/>
      <c r="AI303" s="1481"/>
      <c r="AJ303" s="1481"/>
      <c r="AK303" s="1481"/>
      <c r="AL303" s="1481"/>
      <c r="AM303" s="1481"/>
      <c r="AN303" s="1481"/>
      <c r="AO303" s="1481"/>
      <c r="AP303" s="1481"/>
      <c r="AQ303" s="1481"/>
      <c r="AR303" s="1481"/>
      <c r="AS303" s="1481"/>
      <c r="AT303" s="1481"/>
      <c r="AU303" s="1483"/>
      <c r="AV303" s="1483"/>
      <c r="AW303" s="1483"/>
      <c r="AX303" s="1481"/>
      <c r="AY303" s="1481"/>
      <c r="AZ303" s="1481"/>
    </row>
    <row r="304" spans="1:52" ht="15.75" thickBot="1">
      <c r="H304" s="10"/>
      <c r="I304" s="10"/>
      <c r="J304" s="10"/>
      <c r="K304" s="10"/>
      <c r="L304" s="10"/>
      <c r="M304" s="10"/>
      <c r="N304" s="10"/>
      <c r="O304" s="10"/>
      <c r="P304" s="10"/>
      <c r="Q304" s="10"/>
      <c r="R304" s="10"/>
      <c r="S304" s="10"/>
      <c r="T304" s="10"/>
      <c r="U304" s="10"/>
      <c r="V304" s="10"/>
      <c r="W304" s="10"/>
      <c r="X304" s="10"/>
      <c r="Y304" s="10"/>
      <c r="Z304" s="10"/>
      <c r="AA304" s="10"/>
      <c r="AC304" s="243"/>
      <c r="AD304" s="243"/>
      <c r="AE304" s="148"/>
      <c r="AF304" s="243"/>
      <c r="AG304" s="243"/>
      <c r="AH304" s="243"/>
      <c r="AI304" s="243"/>
      <c r="AJ304" s="243"/>
      <c r="AK304" s="243"/>
      <c r="AL304" s="243"/>
      <c r="AM304" s="243"/>
      <c r="AN304" s="243"/>
      <c r="AO304" s="243"/>
      <c r="AP304" s="243"/>
      <c r="AQ304" s="243"/>
      <c r="AR304" s="243"/>
      <c r="AS304" s="243"/>
      <c r="AT304" s="243"/>
      <c r="AU304" s="244"/>
      <c r="AV304" s="244"/>
      <c r="AW304" s="244"/>
      <c r="AX304" s="243"/>
      <c r="AY304" s="243"/>
      <c r="AZ304" s="243"/>
    </row>
    <row r="305" spans="1:52" ht="15.75" thickBot="1">
      <c r="B305" s="1999" t="s">
        <v>51</v>
      </c>
      <c r="C305" s="2000"/>
      <c r="D305" s="2000"/>
      <c r="E305" s="2000"/>
      <c r="F305" s="2000"/>
      <c r="G305" s="2000"/>
      <c r="H305" s="2000"/>
      <c r="I305" s="2000"/>
      <c r="J305" s="2000"/>
      <c r="K305" s="2000"/>
      <c r="L305" s="2000"/>
      <c r="M305" s="2000"/>
      <c r="N305" s="2000"/>
      <c r="O305" s="2000"/>
      <c r="P305" s="2000"/>
      <c r="Q305" s="2000"/>
      <c r="R305" s="2000"/>
      <c r="S305" s="2000"/>
      <c r="T305" s="2000"/>
      <c r="U305" s="2000"/>
      <c r="V305" s="2000"/>
      <c r="W305" s="2000"/>
      <c r="X305" s="2000"/>
      <c r="Y305" s="2000"/>
      <c r="Z305" s="2000"/>
      <c r="AA305" s="2001"/>
      <c r="AC305" s="243"/>
      <c r="AD305" s="243"/>
      <c r="AE305" s="148"/>
      <c r="AF305" s="243"/>
      <c r="AG305" s="243"/>
      <c r="AH305" s="243"/>
      <c r="AI305" s="243"/>
      <c r="AJ305" s="243"/>
      <c r="AK305" s="243"/>
      <c r="AL305" s="243"/>
      <c r="AM305" s="243"/>
      <c r="AN305" s="243"/>
      <c r="AO305" s="243"/>
      <c r="AP305" s="243"/>
      <c r="AQ305" s="243"/>
      <c r="AR305" s="243"/>
      <c r="AS305" s="243"/>
      <c r="AT305" s="243"/>
      <c r="AU305" s="244"/>
      <c r="AV305" s="244"/>
      <c r="AW305" s="244"/>
      <c r="AX305" s="243"/>
      <c r="AY305" s="243"/>
      <c r="AZ305" s="243"/>
    </row>
    <row r="306" spans="1:52">
      <c r="H306" s="10"/>
      <c r="I306" s="10"/>
      <c r="J306" s="10"/>
      <c r="K306" s="10"/>
      <c r="L306" s="10"/>
      <c r="M306" s="10"/>
      <c r="N306" s="10"/>
      <c r="O306" s="10"/>
      <c r="P306" s="10"/>
      <c r="Q306" s="10"/>
      <c r="R306" s="10"/>
      <c r="S306" s="10"/>
      <c r="T306" s="10"/>
      <c r="U306" s="10"/>
      <c r="V306" s="10"/>
      <c r="W306" s="10"/>
      <c r="X306" s="10"/>
      <c r="Y306" s="10"/>
      <c r="Z306" s="10"/>
      <c r="AA306" s="10"/>
      <c r="AC306" s="243"/>
      <c r="AD306" s="243"/>
      <c r="AE306" s="148"/>
      <c r="AF306" s="243"/>
      <c r="AG306" s="243"/>
      <c r="AH306" s="243"/>
      <c r="AI306" s="243"/>
      <c r="AJ306" s="243"/>
      <c r="AK306" s="243"/>
      <c r="AL306" s="243"/>
      <c r="AM306" s="243"/>
      <c r="AN306" s="243"/>
      <c r="AO306" s="243"/>
      <c r="AP306" s="243"/>
      <c r="AQ306" s="243"/>
      <c r="AR306" s="243"/>
      <c r="AS306" s="243"/>
      <c r="AT306" s="243"/>
      <c r="AU306" s="244"/>
      <c r="AV306" s="244"/>
      <c r="AW306" s="244"/>
      <c r="AX306" s="243"/>
      <c r="AY306" s="243"/>
      <c r="AZ306" s="243"/>
    </row>
    <row r="307" spans="1:52">
      <c r="A307" s="16" t="str">
        <f>'Input 4 - Forecast'!A89</f>
        <v>Domestic Residual Financing (annual payments, no interest or amortization in current year)</v>
      </c>
      <c r="B307" s="7">
        <f>B119</f>
        <v>2018</v>
      </c>
      <c r="C307" s="7"/>
      <c r="D307" s="7">
        <f>$J108</f>
        <v>1</v>
      </c>
      <c r="E307" s="7">
        <f>$K108</f>
        <v>1</v>
      </c>
      <c r="F307" s="14">
        <f>$L$108</f>
        <v>0</v>
      </c>
      <c r="H307" s="9">
        <f>$B$108</f>
        <v>-267.59452840452661</v>
      </c>
      <c r="I307" s="9">
        <f>H307-P307</f>
        <v>0</v>
      </c>
      <c r="J307" s="9">
        <f>I307-Q307</f>
        <v>0</v>
      </c>
      <c r="K307" s="9">
        <f>J307-R307</f>
        <v>0</v>
      </c>
      <c r="L307" s="9">
        <f>K307-S307</f>
        <v>0</v>
      </c>
      <c r="M307" s="9">
        <f>L307-T307</f>
        <v>0</v>
      </c>
      <c r="N307" s="9"/>
      <c r="O307" s="9">
        <v>0</v>
      </c>
      <c r="P307" s="9">
        <f>H307</f>
        <v>-267.59452840452661</v>
      </c>
      <c r="Q307" s="9">
        <v>0</v>
      </c>
      <c r="R307" s="9">
        <v>0</v>
      </c>
      <c r="S307" s="9">
        <v>0</v>
      </c>
      <c r="T307" s="9">
        <v>0</v>
      </c>
      <c r="U307" s="9"/>
      <c r="V307" s="9">
        <v>0</v>
      </c>
      <c r="W307" s="9">
        <f>H307*$F307</f>
        <v>0</v>
      </c>
      <c r="X307" s="9">
        <f t="shared" ref="X307:AA309" si="92">I307*$F307</f>
        <v>0</v>
      </c>
      <c r="Y307" s="9">
        <f t="shared" si="92"/>
        <v>0</v>
      </c>
      <c r="Z307" s="9">
        <f t="shared" si="92"/>
        <v>0</v>
      </c>
      <c r="AA307" s="9">
        <f t="shared" si="92"/>
        <v>0</v>
      </c>
      <c r="AC307" s="243"/>
      <c r="AD307" s="243"/>
      <c r="AE307" s="148"/>
      <c r="AF307" s="243"/>
      <c r="AG307" s="243"/>
      <c r="AH307" s="243"/>
      <c r="AI307" s="243"/>
      <c r="AJ307" s="243"/>
      <c r="AK307" s="243"/>
      <c r="AL307" s="243"/>
      <c r="AM307" s="243"/>
      <c r="AN307" s="243"/>
      <c r="AO307" s="243"/>
      <c r="AP307" s="243"/>
      <c r="AQ307" s="243"/>
      <c r="AR307" s="243"/>
      <c r="AS307" s="243"/>
      <c r="AT307" s="243"/>
      <c r="AU307" s="244"/>
      <c r="AV307" s="244"/>
      <c r="AW307" s="244"/>
      <c r="AX307" s="243"/>
      <c r="AY307" s="243"/>
      <c r="AZ307" s="243"/>
    </row>
    <row r="308" spans="1:52">
      <c r="B308" s="7">
        <f>B307+1</f>
        <v>2019</v>
      </c>
      <c r="C308" s="7"/>
      <c r="D308" s="7">
        <f t="shared" ref="D308:E312" si="93">D307</f>
        <v>1</v>
      </c>
      <c r="E308" s="7">
        <f t="shared" si="93"/>
        <v>1</v>
      </c>
      <c r="F308" s="14">
        <f>$M$108</f>
        <v>7.1007506480822574E-3</v>
      </c>
      <c r="H308" s="9"/>
      <c r="I308" s="9">
        <f ca="1">$C$108</f>
        <v>1808.3804037295163</v>
      </c>
      <c r="J308" s="9">
        <f ca="1">I308-Q308</f>
        <v>0</v>
      </c>
      <c r="K308" s="9">
        <f ca="1">J308-R308</f>
        <v>0</v>
      </c>
      <c r="L308" s="9">
        <f ca="1">K308-S308</f>
        <v>0</v>
      </c>
      <c r="M308" s="9">
        <f ca="1">L308-T308</f>
        <v>0</v>
      </c>
      <c r="O308" s="9"/>
      <c r="P308" s="9">
        <v>0</v>
      </c>
      <c r="Q308" s="9">
        <f ca="1">I308</f>
        <v>1808.3804037295163</v>
      </c>
      <c r="R308" s="9">
        <v>0</v>
      </c>
      <c r="S308" s="9">
        <v>0</v>
      </c>
      <c r="T308" s="9">
        <v>0</v>
      </c>
      <c r="V308" s="9"/>
      <c r="W308" s="9">
        <v>0</v>
      </c>
      <c r="X308" s="9">
        <f ca="1">I308*$F308</f>
        <v>58.772363121209281</v>
      </c>
      <c r="Y308" s="9">
        <f t="shared" ca="1" si="92"/>
        <v>0</v>
      </c>
      <c r="Z308" s="9">
        <f t="shared" ca="1" si="92"/>
        <v>0</v>
      </c>
      <c r="AA308" s="9">
        <f t="shared" ca="1" si="92"/>
        <v>0</v>
      </c>
      <c r="AC308" s="243"/>
      <c r="AD308" s="243"/>
      <c r="AE308" s="148"/>
      <c r="AF308" s="243"/>
      <c r="AG308" s="243"/>
      <c r="AH308" s="243"/>
      <c r="AI308" s="243"/>
      <c r="AJ308" s="243"/>
      <c r="AK308" s="243"/>
      <c r="AL308" s="243"/>
      <c r="AM308" s="243"/>
      <c r="AN308" s="243"/>
      <c r="AO308" s="243"/>
      <c r="AP308" s="243"/>
      <c r="AQ308" s="243"/>
      <c r="AR308" s="243"/>
      <c r="AS308" s="243"/>
      <c r="AT308" s="243"/>
      <c r="AU308" s="244"/>
      <c r="AV308" s="244"/>
      <c r="AW308" s="244"/>
      <c r="AX308" s="243"/>
      <c r="AY308" s="243"/>
      <c r="AZ308" s="243"/>
    </row>
    <row r="309" spans="1:52">
      <c r="B309" s="7">
        <f>B308+1</f>
        <v>2020</v>
      </c>
      <c r="C309" s="7"/>
      <c r="D309" s="7">
        <f t="shared" si="93"/>
        <v>1</v>
      </c>
      <c r="E309" s="7">
        <f t="shared" si="93"/>
        <v>1</v>
      </c>
      <c r="F309" s="14">
        <f>$N$108</f>
        <v>1.4545456510151461E-2</v>
      </c>
      <c r="H309" s="9"/>
      <c r="I309" s="9"/>
      <c r="J309" s="9">
        <f ca="1">$D$108</f>
        <v>3302.4748880028706</v>
      </c>
      <c r="K309" s="9">
        <f ca="1">J309-R309</f>
        <v>0</v>
      </c>
      <c r="L309" s="9">
        <f ca="1">K309-S309</f>
        <v>0</v>
      </c>
      <c r="M309" s="9">
        <f ca="1">L309-T309</f>
        <v>0</v>
      </c>
      <c r="O309" s="9"/>
      <c r="P309" s="9"/>
      <c r="Q309" s="9">
        <v>0</v>
      </c>
      <c r="R309" s="9">
        <f ca="1">J309</f>
        <v>3302.4748880028706</v>
      </c>
      <c r="S309" s="9">
        <v>0</v>
      </c>
      <c r="T309" s="9">
        <v>0</v>
      </c>
      <c r="V309" s="9"/>
      <c r="W309" s="9"/>
      <c r="X309" s="9">
        <v>0</v>
      </c>
      <c r="Y309" s="9">
        <f ca="1">J309*$F309</f>
        <v>107.33043386009329</v>
      </c>
      <c r="Z309" s="9">
        <f t="shared" ca="1" si="92"/>
        <v>0</v>
      </c>
      <c r="AA309" s="9">
        <f t="shared" ca="1" si="92"/>
        <v>0</v>
      </c>
      <c r="AC309" s="243"/>
      <c r="AD309" s="243"/>
      <c r="AE309" s="148"/>
      <c r="AF309" s="243"/>
      <c r="AG309" s="243"/>
      <c r="AH309" s="243"/>
      <c r="AI309" s="243"/>
      <c r="AJ309" s="243"/>
      <c r="AK309" s="243"/>
      <c r="AL309" s="243"/>
      <c r="AM309" s="243"/>
      <c r="AN309" s="243"/>
      <c r="AO309" s="243"/>
      <c r="AP309" s="243"/>
      <c r="AQ309" s="243"/>
      <c r="AR309" s="243"/>
      <c r="AS309" s="243"/>
      <c r="AT309" s="243"/>
      <c r="AU309" s="244"/>
      <c r="AV309" s="244"/>
      <c r="AW309" s="244"/>
      <c r="AX309" s="243"/>
      <c r="AY309" s="243"/>
      <c r="AZ309" s="243"/>
    </row>
    <row r="310" spans="1:52">
      <c r="B310" s="7">
        <f>B309+1</f>
        <v>2021</v>
      </c>
      <c r="C310" s="7"/>
      <c r="D310" s="7">
        <f t="shared" si="93"/>
        <v>1</v>
      </c>
      <c r="E310" s="7">
        <f t="shared" si="93"/>
        <v>1</v>
      </c>
      <c r="F310" s="14">
        <f>$O$108</f>
        <v>0</v>
      </c>
      <c r="H310" s="9"/>
      <c r="I310" s="9"/>
      <c r="J310" s="9"/>
      <c r="K310" s="9">
        <f ca="1">$E$108</f>
        <v>4866.733670636645</v>
      </c>
      <c r="L310" s="9">
        <f ca="1">K310-S310</f>
        <v>0</v>
      </c>
      <c r="M310" s="9">
        <f ca="1">L310-T310</f>
        <v>0</v>
      </c>
      <c r="O310" s="9"/>
      <c r="P310" s="9"/>
      <c r="Q310" s="9"/>
      <c r="R310" s="9">
        <v>0</v>
      </c>
      <c r="S310" s="9">
        <f ca="1">K310</f>
        <v>4866.733670636645</v>
      </c>
      <c r="T310" s="9">
        <v>0</v>
      </c>
      <c r="V310" s="9"/>
      <c r="W310" s="9"/>
      <c r="X310" s="9"/>
      <c r="Y310" s="9">
        <v>0</v>
      </c>
      <c r="Z310" s="9">
        <f ca="1">K310*$F310</f>
        <v>170.33567847228258</v>
      </c>
      <c r="AA310" s="9">
        <f ca="1">L310*$F310</f>
        <v>0</v>
      </c>
      <c r="AC310" s="243"/>
      <c r="AD310" s="243"/>
      <c r="AE310" s="148"/>
      <c r="AF310" s="243"/>
      <c r="AG310" s="243"/>
      <c r="AH310" s="243"/>
      <c r="AI310" s="243"/>
      <c r="AJ310" s="243"/>
      <c r="AK310" s="243"/>
      <c r="AL310" s="243"/>
      <c r="AM310" s="243"/>
      <c r="AN310" s="243"/>
      <c r="AO310" s="243"/>
      <c r="AP310" s="243"/>
      <c r="AQ310" s="243"/>
      <c r="AR310" s="243"/>
      <c r="AS310" s="243"/>
      <c r="AT310" s="243"/>
      <c r="AU310" s="244"/>
      <c r="AV310" s="244"/>
      <c r="AW310" s="244"/>
      <c r="AX310" s="243"/>
      <c r="AY310" s="243"/>
      <c r="AZ310" s="243"/>
    </row>
    <row r="311" spans="1:52">
      <c r="B311" s="7">
        <f>B310+1</f>
        <v>2022</v>
      </c>
      <c r="C311" s="7"/>
      <c r="D311" s="7">
        <f t="shared" si="93"/>
        <v>1</v>
      </c>
      <c r="E311" s="7">
        <f t="shared" si="93"/>
        <v>1</v>
      </c>
      <c r="F311" s="14">
        <f>$P$108</f>
        <v>0</v>
      </c>
      <c r="H311" s="9"/>
      <c r="I311" s="9"/>
      <c r="J311" s="9"/>
      <c r="K311" s="9"/>
      <c r="L311" s="9">
        <f ca="1">$F$108</f>
        <v>5367.6621946222604</v>
      </c>
      <c r="M311" s="9">
        <f ca="1">L311-T311</f>
        <v>0</v>
      </c>
      <c r="O311" s="9"/>
      <c r="P311" s="9"/>
      <c r="Q311" s="9"/>
      <c r="R311" s="9"/>
      <c r="S311" s="9">
        <v>0</v>
      </c>
      <c r="T311" s="9">
        <f ca="1">L311</f>
        <v>5367.6621946222604</v>
      </c>
      <c r="V311" s="9"/>
      <c r="W311" s="9"/>
      <c r="X311" s="9"/>
      <c r="Y311" s="9"/>
      <c r="Z311" s="9">
        <v>0</v>
      </c>
      <c r="AA311" s="9">
        <f ca="1">L311*$F311</f>
        <v>187.86817681177914</v>
      </c>
      <c r="AC311" s="243"/>
      <c r="AD311" s="243"/>
      <c r="AE311" s="148"/>
      <c r="AF311" s="243"/>
      <c r="AG311" s="243"/>
      <c r="AH311" s="243"/>
      <c r="AI311" s="243"/>
      <c r="AJ311" s="243"/>
      <c r="AK311" s="243"/>
      <c r="AL311" s="243"/>
      <c r="AM311" s="243"/>
      <c r="AN311" s="243"/>
      <c r="AO311" s="243"/>
      <c r="AP311" s="243"/>
      <c r="AQ311" s="243"/>
      <c r="AR311" s="243"/>
      <c r="AS311" s="243"/>
      <c r="AT311" s="243"/>
      <c r="AU311" s="244"/>
      <c r="AV311" s="244"/>
      <c r="AW311" s="244"/>
      <c r="AX311" s="243"/>
      <c r="AY311" s="243"/>
      <c r="AZ311" s="243"/>
    </row>
    <row r="312" spans="1:52">
      <c r="B312" s="7">
        <f>B311+1</f>
        <v>2023</v>
      </c>
      <c r="C312" s="7"/>
      <c r="D312" s="7">
        <f t="shared" si="93"/>
        <v>1</v>
      </c>
      <c r="E312" s="7">
        <f t="shared" si="93"/>
        <v>1</v>
      </c>
      <c r="F312" s="14">
        <f>$Q$108</f>
        <v>0</v>
      </c>
      <c r="H312" s="9"/>
      <c r="I312" s="9"/>
      <c r="J312" s="9"/>
      <c r="K312" s="9"/>
      <c r="L312" s="9"/>
      <c r="M312" s="9">
        <f ca="1">$G$108</f>
        <v>5623.1440019285474</v>
      </c>
      <c r="O312" s="9"/>
      <c r="P312" s="9"/>
      <c r="Q312" s="9"/>
      <c r="R312" s="9"/>
      <c r="S312" s="9"/>
      <c r="T312" s="9">
        <v>0</v>
      </c>
      <c r="V312" s="9"/>
      <c r="W312" s="9"/>
      <c r="X312" s="9"/>
      <c r="Y312" s="9"/>
      <c r="Z312" s="9"/>
      <c r="AA312" s="9">
        <v>0</v>
      </c>
      <c r="AC312" s="243"/>
      <c r="AD312" s="243"/>
      <c r="AE312" s="148"/>
      <c r="AF312" s="243"/>
      <c r="AG312" s="243"/>
      <c r="AH312" s="243"/>
      <c r="AI312" s="243"/>
      <c r="AJ312" s="243"/>
      <c r="AK312" s="243"/>
      <c r="AL312" s="243"/>
      <c r="AM312" s="243"/>
      <c r="AN312" s="243"/>
      <c r="AO312" s="243"/>
      <c r="AP312" s="243"/>
      <c r="AQ312" s="243"/>
      <c r="AR312" s="243"/>
      <c r="AS312" s="243"/>
      <c r="AT312" s="243"/>
      <c r="AU312" s="244"/>
      <c r="AV312" s="244"/>
      <c r="AW312" s="244"/>
      <c r="AX312" s="243"/>
      <c r="AY312" s="243"/>
      <c r="AZ312" s="243"/>
    </row>
    <row r="313" spans="1:52">
      <c r="B313" s="7"/>
      <c r="D313" s="7"/>
      <c r="E313" s="14"/>
      <c r="G313" s="9"/>
      <c r="H313" s="9"/>
      <c r="I313" s="9"/>
      <c r="J313" s="9"/>
      <c r="K313" s="9"/>
      <c r="L313" s="9"/>
      <c r="N313" s="89"/>
      <c r="O313" s="9"/>
      <c r="P313" s="9"/>
      <c r="Q313" s="9"/>
      <c r="R313" s="9"/>
      <c r="S313" s="9"/>
      <c r="U313" s="9"/>
      <c r="V313" s="9"/>
      <c r="W313" s="9"/>
      <c r="X313" s="9"/>
      <c r="Y313" s="9"/>
      <c r="Z313" s="9"/>
    </row>
    <row r="314" spans="1:52">
      <c r="B314" s="7"/>
      <c r="C314" s="7"/>
      <c r="D314" s="7"/>
      <c r="E314" s="14"/>
      <c r="G314" s="9"/>
      <c r="H314" s="9"/>
      <c r="I314" s="9"/>
      <c r="J314" s="9"/>
      <c r="K314" s="9"/>
      <c r="L314" s="9"/>
      <c r="N314" s="89"/>
      <c r="O314" s="9"/>
      <c r="P314" s="9"/>
      <c r="Q314" s="9"/>
      <c r="R314" s="9"/>
      <c r="S314" s="9"/>
      <c r="U314" s="9"/>
      <c r="V314" s="9"/>
      <c r="W314" s="9"/>
      <c r="X314" s="9"/>
      <c r="Y314" s="9"/>
      <c r="Z314" s="9"/>
    </row>
    <row r="315" spans="1:52">
      <c r="A315" s="8"/>
      <c r="B315" s="7"/>
    </row>
  </sheetData>
  <mergeCells count="14">
    <mergeCell ref="B231:AA231"/>
    <mergeCell ref="B268:AA268"/>
    <mergeCell ref="B305:AA305"/>
    <mergeCell ref="B126:AA126"/>
    <mergeCell ref="B136:AA136"/>
    <mergeCell ref="B173:AA173"/>
    <mergeCell ref="B212:AA212"/>
    <mergeCell ref="B221:AA221"/>
    <mergeCell ref="B117:AA117"/>
    <mergeCell ref="B73:G73"/>
    <mergeCell ref="H112:M112"/>
    <mergeCell ref="O112:T112"/>
    <mergeCell ref="V112:AA112"/>
    <mergeCell ref="B112:F112"/>
  </mergeCells>
  <pageMargins left="0.7" right="0.7" top="0.75" bottom="0.75" header="0.3" footer="0.3"/>
  <pageSetup orientation="portrait"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0">
    <tabColor rgb="FF00B050"/>
  </sheetPr>
  <dimension ref="A1:AA315"/>
  <sheetViews>
    <sheetView zoomScale="80" zoomScaleNormal="80" workbookViewId="0"/>
  </sheetViews>
  <sheetFormatPr defaultColWidth="9.140625" defaultRowHeight="15"/>
  <cols>
    <col min="1" max="1" width="79.28515625" style="6" customWidth="1"/>
    <col min="2" max="3" width="15.42578125" style="6" customWidth="1"/>
    <col min="4" max="19" width="10.7109375" style="6" customWidth="1"/>
    <col min="20" max="20" width="10.5703125" style="6" customWidth="1"/>
    <col min="21" max="21" width="5.7109375" style="6" customWidth="1"/>
    <col min="22" max="26" width="13.5703125" style="6" customWidth="1"/>
    <col min="27" max="16384" width="9.140625" style="6"/>
  </cols>
  <sheetData>
    <row r="1" spans="1:19" customFormat="1" ht="15.75" thickBot="1">
      <c r="B1" s="1"/>
      <c r="C1" s="1"/>
      <c r="D1" s="1"/>
      <c r="E1" s="60"/>
      <c r="F1" s="60"/>
      <c r="G1" s="60"/>
      <c r="H1" s="60"/>
      <c r="I1" s="60"/>
      <c r="J1" s="60"/>
      <c r="K1" s="60"/>
      <c r="L1" s="1"/>
      <c r="M1" s="1"/>
      <c r="N1" s="1"/>
      <c r="O1" s="1"/>
      <c r="P1" s="1"/>
      <c r="Q1" s="1"/>
      <c r="R1" s="1"/>
      <c r="S1" s="1"/>
    </row>
    <row r="2" spans="1:19" customFormat="1" ht="46.5" customHeight="1" thickBot="1">
      <c r="A2" s="1304" t="s">
        <v>83</v>
      </c>
      <c r="B2" s="118" t="s">
        <v>16</v>
      </c>
      <c r="C2" s="1"/>
      <c r="D2" s="1"/>
      <c r="E2" s="1"/>
      <c r="F2" s="1"/>
      <c r="G2" s="1"/>
    </row>
    <row r="3" spans="1:19" customFormat="1">
      <c r="A3" s="17"/>
      <c r="B3" s="225">
        <f>FirstYear</f>
        <v>2018</v>
      </c>
      <c r="C3" s="226">
        <f>B3+1</f>
        <v>2019</v>
      </c>
      <c r="D3" s="226">
        <f>C3+1</f>
        <v>2020</v>
      </c>
      <c r="E3" s="226">
        <f>D3+1</f>
        <v>2021</v>
      </c>
      <c r="F3" s="226">
        <f>E3+1</f>
        <v>2022</v>
      </c>
      <c r="G3" s="227">
        <f>F3+1</f>
        <v>2023</v>
      </c>
    </row>
    <row r="4" spans="1:19" customFormat="1">
      <c r="A4" s="17"/>
      <c r="B4" s="168"/>
      <c r="C4" s="62"/>
      <c r="D4" s="62"/>
      <c r="E4" s="62"/>
      <c r="F4" s="62"/>
      <c r="G4" s="169"/>
    </row>
    <row r="5" spans="1:19" customFormat="1">
      <c r="A5" s="63" t="s">
        <v>62</v>
      </c>
      <c r="B5" s="170">
        <f t="shared" ref="B5:G5" si="0">B7+B13</f>
        <v>10948.652288728241</v>
      </c>
      <c r="C5" s="171">
        <f ca="1">C7+C13</f>
        <v>11278.58759706811</v>
      </c>
      <c r="D5" s="171">
        <f t="shared" ca="1" si="0"/>
        <v>12012.957705770534</v>
      </c>
      <c r="E5" s="171">
        <f t="shared" ca="1" si="0"/>
        <v>12974.446474776147</v>
      </c>
      <c r="F5" s="171">
        <f t="shared" ca="1" si="0"/>
        <v>14464.849462717475</v>
      </c>
      <c r="G5" s="172">
        <f t="shared" ca="1" si="0"/>
        <v>16342.125392871267</v>
      </c>
    </row>
    <row r="6" spans="1:19" s="284" customFormat="1">
      <c r="A6" s="18" t="s">
        <v>1026</v>
      </c>
      <c r="B6" s="170" t="str">
        <f>'Baseline debt'!P8</f>
        <v/>
      </c>
      <c r="C6" s="171" t="str">
        <f>'Baseline debt'!Q8</f>
        <v/>
      </c>
      <c r="D6" s="171" t="str">
        <f>'Baseline debt'!R8</f>
        <v/>
      </c>
      <c r="E6" s="171" t="str">
        <f>'Baseline debt'!S8</f>
        <v/>
      </c>
      <c r="F6" s="171" t="str">
        <f>'Baseline debt'!T8</f>
        <v/>
      </c>
      <c r="G6" s="172" t="str">
        <f>'Baseline debt'!U8</f>
        <v/>
      </c>
    </row>
    <row r="7" spans="1:19" customFormat="1">
      <c r="A7" s="21" t="s">
        <v>70</v>
      </c>
      <c r="B7" s="170">
        <f t="shared" ref="B7:G7" si="1">B8+B9</f>
        <v>9886.2521736994167</v>
      </c>
      <c r="C7" s="171">
        <f t="shared" si="1"/>
        <v>8910.6988594887644</v>
      </c>
      <c r="D7" s="171">
        <f t="shared" si="1"/>
        <v>7603.6701863278031</v>
      </c>
      <c r="E7" s="171">
        <f t="shared" si="1"/>
        <v>6150.6557892545252</v>
      </c>
      <c r="F7" s="171">
        <f t="shared" si="1"/>
        <v>5844.6400886862239</v>
      </c>
      <c r="G7" s="172">
        <f t="shared" si="1"/>
        <v>5585.3532924462243</v>
      </c>
    </row>
    <row r="8" spans="1:19" customFormat="1">
      <c r="A8" s="18" t="s">
        <v>72</v>
      </c>
      <c r="B8" s="170">
        <f>'Baseline debt'!P11</f>
        <v>9879.101789236136</v>
      </c>
      <c r="C8" s="171">
        <f>'Baseline debt'!Q11</f>
        <v>8904.2169986260087</v>
      </c>
      <c r="D8" s="171">
        <f>'Baseline debt'!R11</f>
        <v>8210.6547722760079</v>
      </c>
      <c r="E8" s="171">
        <f>'Baseline debt'!S11</f>
        <v>7110.6102222407098</v>
      </c>
      <c r="F8" s="171">
        <f>'Baseline debt'!T11</f>
        <v>6804.9355125304046</v>
      </c>
      <c r="G8" s="172">
        <f>'Baseline debt'!U11</f>
        <v>6545.648716290405</v>
      </c>
    </row>
    <row r="9" spans="1:19" customFormat="1">
      <c r="A9" s="18" t="s">
        <v>63</v>
      </c>
      <c r="B9" s="170">
        <f>'Baseline debt'!P13/'Baseline debt'!P$73*B32</f>
        <v>7.1503844632814992</v>
      </c>
      <c r="C9" s="171">
        <f>'Baseline debt'!Q13/'Baseline debt'!Q$73*C32</f>
        <v>6.481860862754961</v>
      </c>
      <c r="D9" s="171">
        <f>'Baseline debt'!R13/'Baseline debt'!R$73*D32</f>
        <v>-606.98458594820488</v>
      </c>
      <c r="E9" s="171">
        <f>'Baseline debt'!S13/'Baseline debt'!S$73*E32</f>
        <v>-959.954432986185</v>
      </c>
      <c r="F9" s="171">
        <f>'Baseline debt'!T13/'Baseline debt'!T$73*F32</f>
        <v>-960.29542384418096</v>
      </c>
      <c r="G9" s="172">
        <f>'Baseline debt'!U13/'Baseline debt'!U$73*G32</f>
        <v>-960.29542384418096</v>
      </c>
    </row>
    <row r="10" spans="1:19" customFormat="1">
      <c r="A10" s="18" t="s">
        <v>60</v>
      </c>
      <c r="B10" s="170">
        <v>0</v>
      </c>
      <c r="C10" s="171">
        <v>0</v>
      </c>
      <c r="D10" s="171">
        <v>0</v>
      </c>
      <c r="E10" s="171">
        <v>0</v>
      </c>
      <c r="F10" s="171">
        <v>0</v>
      </c>
      <c r="G10" s="172">
        <v>0</v>
      </c>
    </row>
    <row r="11" spans="1:19" customFormat="1">
      <c r="A11" s="18" t="s">
        <v>73</v>
      </c>
      <c r="B11" s="170">
        <f t="shared" ref="B11:G11" si="2">B8+B9</f>
        <v>9886.2521736994167</v>
      </c>
      <c r="C11" s="171">
        <f t="shared" si="2"/>
        <v>8910.6988594887644</v>
      </c>
      <c r="D11" s="171">
        <f t="shared" si="2"/>
        <v>7603.6701863278031</v>
      </c>
      <c r="E11" s="171">
        <f t="shared" si="2"/>
        <v>6150.6557892545252</v>
      </c>
      <c r="F11" s="171">
        <f t="shared" si="2"/>
        <v>5844.6400886862239</v>
      </c>
      <c r="G11" s="172">
        <f t="shared" si="2"/>
        <v>5585.3532924462243</v>
      </c>
    </row>
    <row r="12" spans="1:19" customFormat="1">
      <c r="A12" s="17"/>
      <c r="B12" s="170"/>
      <c r="C12" s="171"/>
      <c r="D12" s="171"/>
      <c r="E12" s="171"/>
      <c r="F12" s="171"/>
      <c r="G12" s="172"/>
    </row>
    <row r="13" spans="1:19" customFormat="1">
      <c r="A13" s="21" t="s">
        <v>71</v>
      </c>
      <c r="B13" s="170">
        <f t="shared" ref="B13:G13" si="3">B14+B15</f>
        <v>1062.4001150288241</v>
      </c>
      <c r="C13" s="171">
        <f t="shared" ca="1" si="3"/>
        <v>2366.8875970681092</v>
      </c>
      <c r="D13" s="171">
        <f t="shared" ca="1" si="3"/>
        <v>4377.257705770533</v>
      </c>
      <c r="E13" s="171">
        <f t="shared" ca="1" si="3"/>
        <v>6773.746474776146</v>
      </c>
      <c r="F13" s="171">
        <f t="shared" ca="1" si="3"/>
        <v>8570.1494627174743</v>
      </c>
      <c r="G13" s="172">
        <f t="shared" ca="1" si="3"/>
        <v>10456.425392871266</v>
      </c>
    </row>
    <row r="14" spans="1:19" customFormat="1">
      <c r="A14" s="18" t="s">
        <v>72</v>
      </c>
      <c r="B14" s="170">
        <f t="shared" ref="B14:G14" si="4">SUM(H119:H124,H138:H171,H214:H219,H233:H266,H307:H312)</f>
        <v>1062.4001150288241</v>
      </c>
      <c r="C14" s="171">
        <f t="shared" ca="1" si="4"/>
        <v>2366.8875970681092</v>
      </c>
      <c r="D14" s="171">
        <f t="shared" ca="1" si="4"/>
        <v>4377.257705770533</v>
      </c>
      <c r="E14" s="171">
        <f t="shared" ca="1" si="4"/>
        <v>6773.746474776146</v>
      </c>
      <c r="F14" s="171">
        <f t="shared" ca="1" si="4"/>
        <v>8570.1494627174743</v>
      </c>
      <c r="G14" s="172">
        <f t="shared" ca="1" si="4"/>
        <v>10456.425392871266</v>
      </c>
    </row>
    <row r="15" spans="1:19" customFormat="1">
      <c r="A15" s="18" t="s">
        <v>63</v>
      </c>
      <c r="B15" s="170">
        <f t="shared" ref="B15:G15" si="5">SUM(H128:H133,H175:H208,H223:H228,H270:H303)*B32</f>
        <v>0</v>
      </c>
      <c r="C15" s="171">
        <f t="shared" ca="1" si="5"/>
        <v>0</v>
      </c>
      <c r="D15" s="171">
        <f t="shared" ca="1" si="5"/>
        <v>0</v>
      </c>
      <c r="E15" s="171">
        <f t="shared" ca="1" si="5"/>
        <v>0</v>
      </c>
      <c r="F15" s="171">
        <f t="shared" ca="1" si="5"/>
        <v>0</v>
      </c>
      <c r="G15" s="172">
        <f t="shared" ca="1" si="5"/>
        <v>0</v>
      </c>
    </row>
    <row r="16" spans="1:19" customFormat="1">
      <c r="A16" s="18" t="s">
        <v>60</v>
      </c>
      <c r="B16" s="170">
        <f t="shared" ref="B16:G16" si="6">SUM(H119:H124,H214:H219,H307:H312)+SUM(H128:H133,H223:H228)*B32</f>
        <v>-267.59452840452661</v>
      </c>
      <c r="C16" s="171">
        <f t="shared" ca="1" si="6"/>
        <v>1959.3804037295163</v>
      </c>
      <c r="D16" s="171">
        <f t="shared" ca="1" si="6"/>
        <v>3811.0119346002734</v>
      </c>
      <c r="E16" s="171">
        <f t="shared" ca="1" si="6"/>
        <v>6100.8115098019061</v>
      </c>
      <c r="F16" s="171">
        <f t="shared" ca="1" si="6"/>
        <v>7756.9068417940844</v>
      </c>
      <c r="G16" s="172">
        <f t="shared" ca="1" si="6"/>
        <v>9511.0081982184347</v>
      </c>
    </row>
    <row r="17" spans="1:17" customFormat="1">
      <c r="A17" s="18" t="s">
        <v>73</v>
      </c>
      <c r="B17" s="170">
        <f t="shared" ref="B17:G17" si="7">B14+B15-B16</f>
        <v>1329.9946434333506</v>
      </c>
      <c r="C17" s="171">
        <f t="shared" ca="1" si="7"/>
        <v>407.50719333859297</v>
      </c>
      <c r="D17" s="171">
        <f t="shared" ca="1" si="7"/>
        <v>566.24577117025956</v>
      </c>
      <c r="E17" s="171">
        <f t="shared" ca="1" si="7"/>
        <v>672.93496497423985</v>
      </c>
      <c r="F17" s="171">
        <f t="shared" ca="1" si="7"/>
        <v>813.24262092338995</v>
      </c>
      <c r="G17" s="172">
        <f t="shared" ca="1" si="7"/>
        <v>945.41719465283131</v>
      </c>
    </row>
    <row r="18" spans="1:17" customFormat="1" ht="6.75" customHeight="1">
      <c r="A18" s="17"/>
      <c r="B18" s="170"/>
      <c r="C18" s="171"/>
      <c r="D18" s="171"/>
      <c r="E18" s="171"/>
      <c r="F18" s="171"/>
      <c r="G18" s="172"/>
    </row>
    <row r="19" spans="1:17" customFormat="1">
      <c r="A19" s="20" t="s">
        <v>74</v>
      </c>
      <c r="B19" s="170">
        <f t="shared" ref="B19:G19" si="8">B63</f>
        <v>1062.4001150288241</v>
      </c>
      <c r="C19" s="171">
        <f t="shared" ca="1" si="8"/>
        <v>2190.8804037295163</v>
      </c>
      <c r="D19" s="171">
        <f t="shared" ca="1" si="8"/>
        <v>4074.3141091012362</v>
      </c>
      <c r="E19" s="171">
        <f t="shared" ca="1" si="8"/>
        <v>6359.7875609208031</v>
      </c>
      <c r="F19" s="171">
        <f t="shared" ca="1" si="8"/>
        <v>8078.0812769818622</v>
      </c>
      <c r="G19" s="172">
        <f t="shared" ca="1" si="8"/>
        <v>9863.8640417950883</v>
      </c>
    </row>
    <row r="20" spans="1:17" customFormat="1">
      <c r="A20" s="18" t="s">
        <v>55</v>
      </c>
      <c r="B20" s="170">
        <f t="shared" ref="B20:G20" si="9">B49-B47</f>
        <v>15.437150622194167</v>
      </c>
      <c r="C20" s="171">
        <f t="shared" si="9"/>
        <v>-14.627246396521514</v>
      </c>
      <c r="D20" s="171">
        <f t="shared" si="9"/>
        <v>-102.64302041036717</v>
      </c>
      <c r="E20" s="171">
        <f t="shared" si="9"/>
        <v>-77.647238183100853</v>
      </c>
      <c r="F20" s="171">
        <f t="shared" si="9"/>
        <v>-322.80914374632812</v>
      </c>
      <c r="G20" s="172">
        <f t="shared" si="9"/>
        <v>-340.14399476550534</v>
      </c>
    </row>
    <row r="21" spans="1:17" s="284" customFormat="1">
      <c r="A21" s="18" t="s">
        <v>1172</v>
      </c>
      <c r="B21" s="170">
        <f>B48</f>
        <v>48.271190640000007</v>
      </c>
      <c r="C21" s="171">
        <v>0</v>
      </c>
      <c r="D21" s="171">
        <v>0</v>
      </c>
      <c r="E21" s="171">
        <v>0</v>
      </c>
      <c r="F21" s="171">
        <v>0</v>
      </c>
      <c r="G21" s="172">
        <v>0</v>
      </c>
    </row>
    <row r="22" spans="1:17" customFormat="1">
      <c r="A22" s="23" t="s">
        <v>102</v>
      </c>
      <c r="B22" s="170">
        <f t="shared" ref="B22:G22" si="10">B23+B24</f>
        <v>1095.234155046629</v>
      </c>
      <c r="C22" s="171">
        <f t="shared" ca="1" si="10"/>
        <v>2190.8804037295163</v>
      </c>
      <c r="D22" s="171">
        <f t="shared" ca="1" si="10"/>
        <v>4074.3141091012362</v>
      </c>
      <c r="E22" s="171">
        <f t="shared" ca="1" si="10"/>
        <v>6359.7875609208031</v>
      </c>
      <c r="F22" s="171">
        <f t="shared" ca="1" si="10"/>
        <v>8078.0812769818622</v>
      </c>
      <c r="G22" s="172">
        <f t="shared" ca="1" si="10"/>
        <v>9863.8640417950883</v>
      </c>
    </row>
    <row r="23" spans="1:17" customFormat="1">
      <c r="A23" s="228" t="s">
        <v>1173</v>
      </c>
      <c r="B23" s="170">
        <f t="shared" ref="B23:G23" si="11">SUM(B50:B51,B58:B59)</f>
        <v>210.95965861346764</v>
      </c>
      <c r="C23" s="171">
        <f t="shared" ca="1" si="11"/>
        <v>272.737797096664</v>
      </c>
      <c r="D23" s="171">
        <f t="shared" ca="1" si="11"/>
        <v>734.37010870242341</v>
      </c>
      <c r="E23" s="171">
        <f t="shared" ca="1" si="11"/>
        <v>961.48876900561356</v>
      </c>
      <c r="F23" s="171">
        <f t="shared" ca="1" si="11"/>
        <v>1490.4029879413279</v>
      </c>
      <c r="G23" s="172">
        <f t="shared" ca="1" si="11"/>
        <v>1877.2759301537917</v>
      </c>
    </row>
    <row r="24" spans="1:17" customFormat="1">
      <c r="A24" s="228" t="s">
        <v>1174</v>
      </c>
      <c r="B24" s="170">
        <f t="shared" ref="B24:G24" si="12">SUM(B53:B54,B60:B61)</f>
        <v>884.2744964331614</v>
      </c>
      <c r="C24" s="171">
        <f t="shared" ca="1" si="12"/>
        <v>1918.1426066328522</v>
      </c>
      <c r="D24" s="171">
        <f t="shared" ca="1" si="12"/>
        <v>3339.9440003988129</v>
      </c>
      <c r="E24" s="171">
        <f t="shared" ca="1" si="12"/>
        <v>5398.2987919151892</v>
      </c>
      <c r="F24" s="171">
        <f t="shared" ca="1" si="12"/>
        <v>6587.6782890405348</v>
      </c>
      <c r="G24" s="172">
        <f t="shared" ca="1" si="12"/>
        <v>7986.5881116412966</v>
      </c>
    </row>
    <row r="25" spans="1:17" customFormat="1" ht="15" customHeight="1">
      <c r="A25" s="63" t="s">
        <v>304</v>
      </c>
      <c r="B25" s="271">
        <f>'Baseline debt'!P64</f>
        <v>1.9586439007071743E-2</v>
      </c>
      <c r="C25" s="176">
        <f ca="1">IF(Guarantees="Yes",IF(ISNUMBER(C23/(B5-B6)),C23/(B5-B6),""),IF(ISNUMBER(C23/B5),C23/B5,""))</f>
        <v>2.4781166566290192E-2</v>
      </c>
      <c r="D25" s="176">
        <f ca="1">IF(Guarantees="Yes",IF(ISNUMBER(D23/(C5-C6)),D23/(C5-C6),""),IF(ISNUMBER(D23/C5),D23/C5,""))</f>
        <v>6.5111885897248714E-2</v>
      </c>
      <c r="E25" s="176">
        <f ca="1">IF(Guarantees="Yes",IF(ISNUMBER(E23/(D5-D6)),E23/(D5-D6),""),IF(ISNUMBER(E23/D5),E23/D5,""))</f>
        <v>8.0037638736025318E-2</v>
      </c>
      <c r="F25" s="176">
        <f ca="1">IF(Guarantees="Yes",IF(ISNUMBER(F23/(E5-E6)),F23/(E5-E6),""),IF(ISNUMBER(F23/E5),F23/E5,""))</f>
        <v>0.11487218285873289</v>
      </c>
      <c r="G25" s="177">
        <f ca="1">IF(Guarantees="Yes",IF(ISNUMBER(G23/(F5-F6)),G23/(F5-F6),""),IF(ISNUMBER(G23/F5),G23/F5,""))</f>
        <v>0.12978191961087387</v>
      </c>
    </row>
    <row r="26" spans="1:17" customFormat="1">
      <c r="A26" s="20" t="s">
        <v>77</v>
      </c>
      <c r="B26" s="173">
        <f>'Input 5 - Scenario Design'!E73</f>
        <v>4.7697166816344838E-2</v>
      </c>
      <c r="C26" s="174">
        <f>'Input 5 - Scenario Design'!F73</f>
        <v>3.1686434574876632E-2</v>
      </c>
      <c r="D26" s="174">
        <f>'Input 5 - Scenario Design'!G73</f>
        <v>2.9947102444823903E-2</v>
      </c>
      <c r="E26" s="174">
        <f>'Input 5 - Scenario Design'!H73</f>
        <v>2.8871442593204177E-2</v>
      </c>
      <c r="F26" s="174">
        <f>'Input 5 - Scenario Design'!I73</f>
        <v>2.933023694707515E-2</v>
      </c>
      <c r="G26" s="175">
        <f>'Input 5 - Scenario Design'!J73</f>
        <v>2.8000000000000025E-2</v>
      </c>
    </row>
    <row r="27" spans="1:17" customFormat="1">
      <c r="A27" s="20" t="s">
        <v>78</v>
      </c>
      <c r="B27" s="173">
        <f>'Input 5 - Scenario Design'!E74</f>
        <v>4.2122999157540031E-2</v>
      </c>
      <c r="C27" s="174">
        <f>'Input 5 - Scenario Design'!F74</f>
        <v>3.085754504401117E-2</v>
      </c>
      <c r="D27" s="174">
        <f>'Input 5 - Scenario Design'!G74</f>
        <v>2.7938359016816516E-2</v>
      </c>
      <c r="E27" s="174">
        <f>'Input 5 - Scenario Design'!H74</f>
        <v>2.5315565708619037E-2</v>
      </c>
      <c r="F27" s="174">
        <f>'Input 5 - Scenario Design'!I74</f>
        <v>2.4647711698661201E-2</v>
      </c>
      <c r="G27" s="175">
        <f>'Input 5 - Scenario Design'!J74</f>
        <v>2.5000000000000133E-2</v>
      </c>
    </row>
    <row r="28" spans="1:17" customFormat="1">
      <c r="A28" s="20" t="s">
        <v>828</v>
      </c>
      <c r="B28" s="173">
        <f>'Input 5 - Scenario Design'!E75</f>
        <v>0.36781832970756889</v>
      </c>
      <c r="C28" s="174">
        <f>'Input 5 - Scenario Design'!F75</f>
        <v>0.35899708650221951</v>
      </c>
      <c r="D28" s="174">
        <f>'Input 5 - Scenario Design'!G75</f>
        <v>0.35663219049317713</v>
      </c>
      <c r="E28" s="174">
        <f>'Input 5 - Scenario Design'!H75</f>
        <v>0.35111135216456818</v>
      </c>
      <c r="F28" s="174">
        <f>'Input 5 - Scenario Design'!I75</f>
        <v>0.34585635256377734</v>
      </c>
      <c r="G28" s="175">
        <f>'Input 5 - Scenario Design'!J75</f>
        <v>0.34585635256377734</v>
      </c>
    </row>
    <row r="29" spans="1:17" customFormat="1">
      <c r="A29" s="20" t="s">
        <v>80</v>
      </c>
      <c r="B29" s="173">
        <f>'Input 5 - Scenario Design'!E76</f>
        <v>0.36834134844430905</v>
      </c>
      <c r="C29" s="174">
        <f>'Input 5 - Scenario Design'!F76</f>
        <v>0.35853110754106615</v>
      </c>
      <c r="D29" s="174">
        <f>'Input 5 - Scenario Design'!G76</f>
        <v>0.35354366520139902</v>
      </c>
      <c r="E29" s="174">
        <f>'Input 5 - Scenario Design'!H76</f>
        <v>0.34889657983921007</v>
      </c>
      <c r="F29" s="174">
        <f>'Input 5 - Scenario Design'!I76</f>
        <v>0.33712624493397764</v>
      </c>
      <c r="G29" s="175">
        <f>'Input 5 - Scenario Design'!J76</f>
        <v>0.33712624493397758</v>
      </c>
    </row>
    <row r="30" spans="1:17" customFormat="1">
      <c r="A30" s="20" t="s">
        <v>147</v>
      </c>
      <c r="B30" s="173">
        <f>'Input 5 - Scenario Design'!E77</f>
        <v>-5.2301873674015509E-4</v>
      </c>
      <c r="C30" s="176">
        <f>'Input 5 - Scenario Design'!F77</f>
        <v>4.6597896115335713E-4</v>
      </c>
      <c r="D30" s="176">
        <f>'Input 5 - Scenario Design'!G77</f>
        <v>3.0885252917781103E-3</v>
      </c>
      <c r="E30" s="176">
        <f>'Input 5 - Scenario Design'!H77</f>
        <v>2.2147723253581053E-3</v>
      </c>
      <c r="F30" s="176">
        <f>'Input 5 - Scenario Design'!I77</f>
        <v>8.7301076297996993E-3</v>
      </c>
      <c r="G30" s="177">
        <f>'Input 5 - Scenario Design'!J77</f>
        <v>8.7301076297997549E-3</v>
      </c>
    </row>
    <row r="31" spans="1:17" ht="15" customHeight="1">
      <c r="A31" s="20" t="s">
        <v>1129</v>
      </c>
      <c r="B31" s="229">
        <f>'Input 5 - Scenario Design'!E78</f>
        <v>1.18</v>
      </c>
      <c r="C31" s="230">
        <f>'Input 5 - Scenario Design'!F78</f>
        <v>1.1399999999999999</v>
      </c>
      <c r="D31" s="230">
        <f>'Input 5 - Scenario Design'!G78</f>
        <v>1.1399999999999999</v>
      </c>
      <c r="E31" s="230">
        <f>'Input 5 - Scenario Design'!H78</f>
        <v>1.1399999999999999</v>
      </c>
      <c r="F31" s="230">
        <f>'Input 5 - Scenario Design'!I78</f>
        <v>1.1399999999999999</v>
      </c>
      <c r="G31" s="231">
        <f>'Input 5 - Scenario Design'!J78</f>
        <v>1.1399999999999999</v>
      </c>
      <c r="I31" s="188"/>
      <c r="J31" s="188"/>
      <c r="K31" s="188"/>
      <c r="L31" s="188"/>
      <c r="M31" s="188"/>
      <c r="N31" s="188"/>
      <c r="O31" s="188"/>
      <c r="P31" s="188"/>
      <c r="Q31" s="189"/>
    </row>
    <row r="32" spans="1:17" customFormat="1">
      <c r="A32" s="20" t="s">
        <v>1130</v>
      </c>
      <c r="B32" s="229">
        <f>'Input 5 - Scenario Design'!E79</f>
        <v>1.18</v>
      </c>
      <c r="C32" s="230">
        <f>'Input 5 - Scenario Design'!F79</f>
        <v>1.1399999999999999</v>
      </c>
      <c r="D32" s="230">
        <f>'Input 5 - Scenario Design'!G79</f>
        <v>1.1399999999999999</v>
      </c>
      <c r="E32" s="230">
        <f>'Input 5 - Scenario Design'!H79</f>
        <v>1.1399999999999999</v>
      </c>
      <c r="F32" s="230">
        <f>'Input 5 - Scenario Design'!I79</f>
        <v>1.1399999999999999</v>
      </c>
      <c r="G32" s="231">
        <f>'Input 5 - Scenario Design'!J79</f>
        <v>1.1399999999999999</v>
      </c>
    </row>
    <row r="33" spans="1:17" customFormat="1">
      <c r="A33" s="20" t="s">
        <v>89</v>
      </c>
      <c r="B33" s="233">
        <f>'Input 5 - Scenario Design'!E80</f>
        <v>0</v>
      </c>
      <c r="C33" s="232">
        <f>'Input 5 - Scenario Design'!F80</f>
        <v>1860.6977230199898</v>
      </c>
      <c r="D33" s="232">
        <f>'Input 5 - Scenario Design'!G80</f>
        <v>1860.6977230199898</v>
      </c>
      <c r="E33" s="232">
        <f>'Input 5 - Scenario Design'!H80</f>
        <v>1860.6977230199898</v>
      </c>
      <c r="F33" s="232">
        <f>'Input 5 - Scenario Design'!I80</f>
        <v>1860.6977230199898</v>
      </c>
      <c r="G33" s="234">
        <f>'Input 5 - Scenario Design'!J80</f>
        <v>1860.6977230199898</v>
      </c>
    </row>
    <row r="34" spans="1:17" customFormat="1">
      <c r="A34" s="20" t="s">
        <v>92</v>
      </c>
      <c r="B34" s="173">
        <f t="shared" ref="B34:G34" si="13">(1+B26)*(1+B27)-1</f>
        <v>9.1829313691506709E-2</v>
      </c>
      <c r="C34" s="174">
        <f t="shared" si="13"/>
        <v>6.3521745201066127E-2</v>
      </c>
      <c r="D34" s="174">
        <f t="shared" si="13"/>
        <v>5.8722134361257394E-2</v>
      </c>
      <c r="E34" s="174">
        <f t="shared" si="13"/>
        <v>5.4917905203894168E-2</v>
      </c>
      <c r="F34" s="174">
        <f t="shared" si="13"/>
        <v>5.470087187006123E-2</v>
      </c>
      <c r="G34" s="175">
        <f t="shared" si="13"/>
        <v>5.3700000000000081E-2</v>
      </c>
    </row>
    <row r="35" spans="1:17" ht="15" customHeight="1">
      <c r="A35" s="20" t="s">
        <v>10</v>
      </c>
      <c r="B35" s="190">
        <f>'Input 2 - Data'!P7*(1+B34)</f>
        <v>29515.482979464068</v>
      </c>
      <c r="C35" s="13">
        <f>B35*(1+C34)</f>
        <v>31390.35796877199</v>
      </c>
      <c r="D35" s="13">
        <f>C35*(1+D34)</f>
        <v>33233.666787062182</v>
      </c>
      <c r="E35" s="13">
        <f>D35*(1+E34)</f>
        <v>35058.790149251872</v>
      </c>
      <c r="F35" s="13">
        <f>E35*(1+F34)</f>
        <v>36976.536537125467</v>
      </c>
      <c r="G35" s="191">
        <f>F35*(1+G34)</f>
        <v>38962.176549169104</v>
      </c>
      <c r="I35" s="188"/>
      <c r="J35" s="188"/>
      <c r="K35" s="188"/>
      <c r="L35" s="188"/>
      <c r="M35" s="188"/>
      <c r="N35" s="188"/>
      <c r="O35" s="188"/>
      <c r="P35" s="188"/>
      <c r="Q35" s="189"/>
    </row>
    <row r="36" spans="1:17" customFormat="1" ht="6" customHeight="1">
      <c r="A36" s="20"/>
      <c r="B36" s="170"/>
      <c r="C36" s="171"/>
      <c r="D36" s="171"/>
      <c r="E36" s="171"/>
      <c r="F36" s="171"/>
      <c r="G36" s="172"/>
    </row>
    <row r="37" spans="1:17" customFormat="1">
      <c r="A37" s="20" t="s">
        <v>96</v>
      </c>
      <c r="B37" s="178">
        <f t="shared" ref="B37:G37" si="14">B5/B35</f>
        <v>0.37094606570883371</v>
      </c>
      <c r="C37" s="179">
        <f t="shared" ca="1" si="14"/>
        <v>0.36564685698719956</v>
      </c>
      <c r="D37" s="179">
        <f t="shared" ca="1" si="14"/>
        <v>0.36799396931371353</v>
      </c>
      <c r="E37" s="179">
        <f t="shared" ca="1" si="14"/>
        <v>0.37665139591309976</v>
      </c>
      <c r="F37" s="179">
        <f t="shared" ca="1" si="14"/>
        <v>0.39794646428117192</v>
      </c>
      <c r="G37" s="180">
        <f t="shared" ca="1" si="14"/>
        <v>0.42606833612302042</v>
      </c>
    </row>
    <row r="38" spans="1:17" customFormat="1">
      <c r="A38" s="20" t="s">
        <v>100</v>
      </c>
      <c r="B38" s="178">
        <f t="shared" ref="B38:G38" si="15">B22/B35</f>
        <v>3.7107105982600995E-2</v>
      </c>
      <c r="C38" s="179">
        <f t="shared" ca="1" si="15"/>
        <v>7.1027380579709198E-2</v>
      </c>
      <c r="D38" s="179">
        <f t="shared" ca="1" si="15"/>
        <v>0.12480881544424459</v>
      </c>
      <c r="E38" s="179">
        <f t="shared" ca="1" si="15"/>
        <v>0.18462620869326277</v>
      </c>
      <c r="F38" s="179">
        <f t="shared" ca="1" si="15"/>
        <v>0.22223832267570237</v>
      </c>
      <c r="G38" s="180">
        <f t="shared" ca="1" si="15"/>
        <v>0.25716851627295739</v>
      </c>
    </row>
    <row r="39" spans="1:17" customFormat="1">
      <c r="A39" s="20" t="s">
        <v>98</v>
      </c>
      <c r="B39" s="178">
        <f t="shared" ref="B39:G39" si="16">B19/B35</f>
        <v>3.5994671534530134E-2</v>
      </c>
      <c r="C39" s="179">
        <f t="shared" ca="1" si="16"/>
        <v>7.1027380579709198E-2</v>
      </c>
      <c r="D39" s="179">
        <f t="shared" ca="1" si="16"/>
        <v>0.12480881544424459</v>
      </c>
      <c r="E39" s="179">
        <f t="shared" ca="1" si="16"/>
        <v>0.18462620869326277</v>
      </c>
      <c r="F39" s="179">
        <f t="shared" ca="1" si="16"/>
        <v>0.22223832267570237</v>
      </c>
      <c r="G39" s="180">
        <f t="shared" ca="1" si="16"/>
        <v>0.25716851627295739</v>
      </c>
    </row>
    <row r="40" spans="1:17" customFormat="1">
      <c r="A40" s="20" t="s">
        <v>1175</v>
      </c>
      <c r="B40" s="178">
        <f>B5/(B47+B48)</f>
        <v>1.0040391596609757</v>
      </c>
      <c r="C40" s="179" t="e">
        <f ca="1">C5/C47</f>
        <v>#DIV/0!</v>
      </c>
      <c r="D40" s="179" t="e">
        <f ca="1">D5/D47</f>
        <v>#DIV/0!</v>
      </c>
      <c r="E40" s="179" t="e">
        <f ca="1">E5/E47</f>
        <v>#DIV/0!</v>
      </c>
      <c r="F40" s="179" t="e">
        <f ca="1">F5/F47</f>
        <v>#DIV/0!</v>
      </c>
      <c r="G40" s="180" t="e">
        <f ca="1">G5/G47</f>
        <v>#DIV/0!</v>
      </c>
    </row>
    <row r="41" spans="1:17" customFormat="1">
      <c r="A41" s="20" t="s">
        <v>1176</v>
      </c>
      <c r="B41" s="178">
        <f>B22/(B47+B48)</f>
        <v>0.10043774810504542</v>
      </c>
      <c r="C41" s="179" t="e">
        <f ca="1">C22/C47</f>
        <v>#DIV/0!</v>
      </c>
      <c r="D41" s="179" t="e">
        <f ca="1">D22/D47</f>
        <v>#DIV/0!</v>
      </c>
      <c r="E41" s="179" t="e">
        <f ca="1">E22/E47</f>
        <v>#DIV/0!</v>
      </c>
      <c r="F41" s="179" t="e">
        <f ca="1">F22/F47</f>
        <v>#DIV/0!</v>
      </c>
      <c r="G41" s="180" t="e">
        <f ca="1">G22/G47</f>
        <v>#DIV/0!</v>
      </c>
    </row>
    <row r="42" spans="1:17" customFormat="1">
      <c r="A42" s="20" t="s">
        <v>99</v>
      </c>
      <c r="B42" s="178">
        <f>B19/(B47+B48)</f>
        <v>9.7426723453025818E-2</v>
      </c>
      <c r="C42" s="179" t="e">
        <f ca="1">C19/C47</f>
        <v>#DIV/0!</v>
      </c>
      <c r="D42" s="179" t="e">
        <f ca="1">D19/D47</f>
        <v>#DIV/0!</v>
      </c>
      <c r="E42" s="179" t="e">
        <f ca="1">E19/E47</f>
        <v>#DIV/0!</v>
      </c>
      <c r="F42" s="179" t="e">
        <f ca="1">F19/F47</f>
        <v>#DIV/0!</v>
      </c>
      <c r="G42" s="180" t="e">
        <f ca="1">G19/G47</f>
        <v>#DIV/0!</v>
      </c>
    </row>
    <row r="43" spans="1:17" ht="6" customHeight="1" thickBot="1">
      <c r="A43" s="17"/>
      <c r="B43" s="181"/>
      <c r="C43" s="182"/>
      <c r="D43" s="182"/>
      <c r="E43" s="182"/>
      <c r="F43" s="182"/>
      <c r="G43" s="183"/>
    </row>
    <row r="44" spans="1:17" ht="6" customHeight="1" thickBot="1">
      <c r="B44" s="7"/>
      <c r="C44" s="7"/>
      <c r="D44" s="7"/>
      <c r="E44" s="7"/>
      <c r="F44" s="7"/>
      <c r="G44" s="7"/>
      <c r="I44" s="184"/>
      <c r="J44" s="184"/>
      <c r="K44" s="184"/>
      <c r="L44" s="184"/>
      <c r="M44" s="184"/>
      <c r="N44" s="184"/>
      <c r="O44" s="184"/>
      <c r="P44" s="184"/>
    </row>
    <row r="45" spans="1:17" ht="15.75" thickBot="1">
      <c r="B45" s="165">
        <f>FirstYear</f>
        <v>2018</v>
      </c>
      <c r="C45" s="166">
        <f>B45+1</f>
        <v>2019</v>
      </c>
      <c r="D45" s="166">
        <f>C45+1</f>
        <v>2020</v>
      </c>
      <c r="E45" s="166">
        <f>D45+1</f>
        <v>2021</v>
      </c>
      <c r="F45" s="166">
        <f>E45+1</f>
        <v>2022</v>
      </c>
      <c r="G45" s="167">
        <f>F45+1</f>
        <v>2023</v>
      </c>
      <c r="I45" s="184"/>
      <c r="J45" s="184"/>
      <c r="K45" s="184"/>
      <c r="L45" s="184"/>
      <c r="M45" s="184"/>
      <c r="N45" s="184"/>
      <c r="O45" s="184"/>
      <c r="P45" s="184"/>
    </row>
    <row r="46" spans="1:17" ht="6" customHeight="1" thickBot="1">
      <c r="B46" s="195"/>
      <c r="C46" s="195"/>
      <c r="D46" s="195"/>
      <c r="E46" s="195"/>
      <c r="F46" s="195"/>
      <c r="G46" s="195"/>
      <c r="I46" s="188"/>
      <c r="J46" s="188"/>
      <c r="K46" s="188"/>
      <c r="L46" s="188"/>
      <c r="M46" s="188"/>
      <c r="N46" s="188"/>
      <c r="O46" s="188"/>
      <c r="P46" s="188"/>
      <c r="Q46" s="189"/>
    </row>
    <row r="47" spans="1:17" ht="15" customHeight="1">
      <c r="A47" s="1384" t="s">
        <v>830</v>
      </c>
      <c r="B47" s="185">
        <f t="shared" ref="B47:G47" si="17">B28*B$35</f>
        <v>10856.335650018653</v>
      </c>
      <c r="C47" s="186">
        <f t="shared" si="17"/>
        <v>11269.047055050874</v>
      </c>
      <c r="D47" s="186">
        <f t="shared" si="17"/>
        <v>11852.195384390334</v>
      </c>
      <c r="E47" s="186">
        <f t="shared" si="17"/>
        <v>12309.539214557668</v>
      </c>
      <c r="F47" s="186">
        <f t="shared" si="17"/>
        <v>12788.570057171461</v>
      </c>
      <c r="G47" s="187">
        <f t="shared" si="17"/>
        <v>13475.316269241566</v>
      </c>
      <c r="I47" s="188"/>
      <c r="J47" s="188"/>
      <c r="K47" s="188"/>
      <c r="L47" s="188"/>
      <c r="M47" s="188"/>
      <c r="N47" s="188"/>
      <c r="O47" s="188"/>
      <c r="P47" s="188"/>
      <c r="Q47" s="189"/>
    </row>
    <row r="48" spans="1:17" s="281" customFormat="1" ht="15" customHeight="1">
      <c r="A48" s="1383" t="s">
        <v>824</v>
      </c>
      <c r="B48" s="190">
        <f>'Input 4 - Forecast'!C21</f>
        <v>48.271190640000007</v>
      </c>
      <c r="C48" s="13">
        <f>'Input 4 - Forecast'!D21</f>
        <v>51.337460912386192</v>
      </c>
      <c r="D48" s="13">
        <f>'Input 4 - Forecast'!E21</f>
        <v>54.35210618984911</v>
      </c>
      <c r="E48" s="13">
        <f>'Input 4 - Forecast'!F21</f>
        <v>57.337010005215234</v>
      </c>
      <c r="F48" s="13">
        <f>'Input 4 - Forecast'!G21</f>
        <v>60.473394442922938</v>
      </c>
      <c r="G48" s="191">
        <f>'Input 4 - Forecast'!H21</f>
        <v>63.71294897394791</v>
      </c>
      <c r="I48" s="188"/>
      <c r="J48" s="188"/>
      <c r="K48" s="188"/>
      <c r="L48" s="188"/>
      <c r="M48" s="188"/>
      <c r="N48" s="188"/>
      <c r="O48" s="188"/>
      <c r="P48" s="188"/>
      <c r="Q48" s="189"/>
    </row>
    <row r="49" spans="1:17" ht="15" customHeight="1">
      <c r="A49" s="5" t="s">
        <v>69</v>
      </c>
      <c r="B49" s="190">
        <f t="shared" ref="B49:G49" si="18">B29*B$35</f>
        <v>10871.772800640847</v>
      </c>
      <c r="C49" s="13">
        <f t="shared" si="18"/>
        <v>11254.419808654353</v>
      </c>
      <c r="D49" s="13">
        <f t="shared" si="18"/>
        <v>11749.552363979967</v>
      </c>
      <c r="E49" s="13">
        <f t="shared" si="18"/>
        <v>12231.891976374567</v>
      </c>
      <c r="F49" s="13">
        <f t="shared" si="18"/>
        <v>12465.760913425132</v>
      </c>
      <c r="G49" s="191">
        <f t="shared" si="18"/>
        <v>13135.172274476061</v>
      </c>
      <c r="I49" s="188"/>
      <c r="J49" s="188"/>
      <c r="K49" s="188"/>
      <c r="L49" s="188"/>
      <c r="M49" s="188"/>
      <c r="N49" s="188"/>
      <c r="O49" s="188"/>
      <c r="P49" s="188"/>
      <c r="Q49" s="189"/>
    </row>
    <row r="50" spans="1:17" ht="15" customHeight="1">
      <c r="A50" s="3" t="s">
        <v>66</v>
      </c>
      <c r="B50" s="190">
        <f>'Input 4 - Forecast'!C24</f>
        <v>174.85657659911266</v>
      </c>
      <c r="C50" s="13">
        <f>'Input 4 - Forecast'!D24</f>
        <v>162.29082986591305</v>
      </c>
      <c r="D50" s="13">
        <f>'Input 4 - Forecast'!E24</f>
        <v>139.59781983027952</v>
      </c>
      <c r="E50" s="13">
        <f>'Input 4 - Forecast'!F24</f>
        <v>135.40250794027952</v>
      </c>
      <c r="F50" s="13">
        <f>'Input 4 - Forecast'!G24</f>
        <v>103.26669278984103</v>
      </c>
      <c r="G50" s="191">
        <f>'Input 4 - Forecast'!H24</f>
        <v>95.657544050000013</v>
      </c>
      <c r="I50" s="197" t="s">
        <v>87</v>
      </c>
      <c r="J50" s="188"/>
      <c r="K50" s="188"/>
      <c r="L50" s="188"/>
      <c r="M50" s="188"/>
      <c r="N50" s="188"/>
      <c r="O50" s="188"/>
      <c r="P50" s="188"/>
      <c r="Q50" s="189"/>
    </row>
    <row r="51" spans="1:17" ht="15" customHeight="1" thickBot="1">
      <c r="A51" s="198" t="s">
        <v>65</v>
      </c>
      <c r="B51" s="192">
        <f>('Input 4 - Forecast'!C25/'Input 4 - Forecast'!C$17)*B31</f>
        <v>36.103082014354982</v>
      </c>
      <c r="C51" s="193">
        <f>('Input 4 - Forecast'!D25/'Input 4 - Forecast'!D$17)*C31</f>
        <v>36.793459074872004</v>
      </c>
      <c r="D51" s="193">
        <f>('Input 4 - Forecast'!E25/'Input 4 - Forecast'!E$17)*D31</f>
        <v>28.352366134432003</v>
      </c>
      <c r="E51" s="193">
        <f>('Input 4 - Forecast'!F25/'Input 4 - Forecast'!F$17)*E31</f>
        <v>10.689095726641995</v>
      </c>
      <c r="F51" s="193">
        <f>('Input 4 - Forecast'!G25/'Input 4 - Forecast'!G$17)*F31</f>
        <v>0.23301181859500275</v>
      </c>
      <c r="G51" s="194">
        <f>('Input 4 - Forecast'!H25/'Input 4 - Forecast'!H$17)*G31</f>
        <v>0.22278209171348351</v>
      </c>
      <c r="I51" s="197" t="s">
        <v>85</v>
      </c>
      <c r="J51" s="188"/>
      <c r="K51" s="188"/>
      <c r="L51" s="188"/>
      <c r="M51" s="188"/>
      <c r="N51" s="188"/>
      <c r="O51" s="188"/>
      <c r="P51" s="188"/>
      <c r="Q51" s="189"/>
    </row>
    <row r="52" spans="1:17" ht="6" customHeight="1" thickBot="1">
      <c r="B52" s="195"/>
      <c r="C52" s="195"/>
      <c r="D52" s="195"/>
      <c r="E52" s="195"/>
      <c r="F52" s="195"/>
      <c r="G52" s="195"/>
      <c r="I52" s="199"/>
      <c r="J52" s="199"/>
      <c r="K52" s="199"/>
      <c r="L52" s="199"/>
      <c r="M52" s="199"/>
      <c r="N52" s="199"/>
      <c r="O52" s="199"/>
      <c r="P52" s="199"/>
    </row>
    <row r="53" spans="1:17">
      <c r="A53" s="196" t="s">
        <v>67</v>
      </c>
      <c r="B53" s="185">
        <f>'Input 4 - Forecast'!C27</f>
        <v>880.82751076386637</v>
      </c>
      <c r="C53" s="186">
        <f>'Input 4 - Forecast'!D27</f>
        <v>974.88479061012663</v>
      </c>
      <c r="D53" s="186">
        <f>'Input 4 - Forecast'!E27</f>
        <v>693.56222634999995</v>
      </c>
      <c r="E53" s="186">
        <f>'Input 4 - Forecast'!F27</f>
        <v>1100.0445500352976</v>
      </c>
      <c r="F53" s="186">
        <f>'Input 4 - Forecast'!G27</f>
        <v>305.67470971030548</v>
      </c>
      <c r="G53" s="187">
        <f>'Input 4 - Forecast'!H27</f>
        <v>259.28679624</v>
      </c>
      <c r="I53" s="197" t="s">
        <v>88</v>
      </c>
      <c r="J53" s="199"/>
      <c r="K53" s="199"/>
      <c r="L53" s="199"/>
      <c r="M53" s="199"/>
      <c r="N53" s="199"/>
      <c r="O53" s="199"/>
      <c r="P53" s="199"/>
    </row>
    <row r="54" spans="1:17" ht="15.75" thickBot="1">
      <c r="A54" s="198" t="s">
        <v>68</v>
      </c>
      <c r="B54" s="192">
        <f>('Input 4 - Forecast'!C28/'Input 4 - Forecast'!C$17)*B31</f>
        <v>3.4469856692949747</v>
      </c>
      <c r="C54" s="193">
        <f>('Input 4 - Forecast'!D28/'Input 4 - Forecast'!D$17)*C31</f>
        <v>0.42613768651699502</v>
      </c>
      <c r="D54" s="193">
        <f>('Input 4 - Forecast'!E28/'Input 4 - Forecast'!E$17)*D31</f>
        <v>613.46644681095995</v>
      </c>
      <c r="E54" s="193">
        <f>('Input 4 - Forecast'!F28/'Input 4 - Forecast'!F$17)*E31</f>
        <v>352.96984703798012</v>
      </c>
      <c r="F54" s="193">
        <f>('Input 4 - Forecast'!G28/'Input 4 - Forecast'!G$17)*F31</f>
        <v>0.34099085799599038</v>
      </c>
      <c r="G54" s="194">
        <f>('Input 4 - Forecast'!H28/'Input 4 - Forecast'!H$17)*G31</f>
        <v>0</v>
      </c>
      <c r="I54" s="197" t="s">
        <v>86</v>
      </c>
      <c r="J54" s="199"/>
      <c r="K54" s="199"/>
      <c r="L54" s="199"/>
      <c r="M54" s="199"/>
      <c r="N54" s="199"/>
      <c r="O54" s="199"/>
      <c r="P54" s="199"/>
    </row>
    <row r="55" spans="1:17" ht="15.75" thickBot="1">
      <c r="B55" s="195"/>
      <c r="C55" s="195"/>
      <c r="D55" s="195"/>
      <c r="E55" s="195"/>
      <c r="F55" s="195"/>
      <c r="G55" s="195"/>
      <c r="I55" s="199"/>
      <c r="J55" s="199"/>
      <c r="K55" s="199"/>
      <c r="L55" s="199"/>
      <c r="M55" s="199"/>
      <c r="N55" s="199"/>
      <c r="O55" s="199"/>
      <c r="P55" s="199"/>
    </row>
    <row r="56" spans="1:17" ht="15.75" thickBot="1">
      <c r="A56" s="200" t="s">
        <v>5</v>
      </c>
      <c r="B56" s="201">
        <f>'Input 4 - Forecast'!C30</f>
        <v>0</v>
      </c>
      <c r="C56" s="202">
        <f>'Input 4 - Forecast'!D30</f>
        <v>0</v>
      </c>
      <c r="D56" s="202">
        <f>'Input 4 - Forecast'!E30</f>
        <v>0</v>
      </c>
      <c r="E56" s="202">
        <f>'Input 4 - Forecast'!F30</f>
        <v>0</v>
      </c>
      <c r="F56" s="202">
        <f>'Input 4 - Forecast'!G30</f>
        <v>0</v>
      </c>
      <c r="G56" s="203">
        <f>'Input 4 - Forecast'!H30</f>
        <v>0</v>
      </c>
      <c r="I56" s="199"/>
      <c r="J56" s="199"/>
      <c r="K56" s="199"/>
      <c r="L56" s="199"/>
      <c r="M56" s="199"/>
      <c r="N56" s="199"/>
      <c r="O56" s="199"/>
      <c r="P56" s="199"/>
    </row>
    <row r="57" spans="1:17" ht="15.75" thickBot="1">
      <c r="B57" s="195"/>
      <c r="C57" s="195"/>
      <c r="D57" s="195"/>
      <c r="E57" s="195"/>
      <c r="F57" s="195"/>
      <c r="G57" s="195"/>
      <c r="I57" s="199"/>
      <c r="J57" s="199"/>
      <c r="K57" s="199"/>
      <c r="L57" s="199"/>
      <c r="M57" s="199"/>
      <c r="N57" s="199"/>
      <c r="O57" s="199"/>
      <c r="P57" s="199"/>
    </row>
    <row r="58" spans="1:17">
      <c r="A58" s="196" t="s">
        <v>47</v>
      </c>
      <c r="B58" s="185">
        <f>'Input 4 - Forecast'!C32</f>
        <v>0</v>
      </c>
      <c r="C58" s="186">
        <f ca="1">SUM(W119:W124,W138:W171,W214:W219,W233:W266,W307:W312)+Baseline!W282</f>
        <v>34.440056379275418</v>
      </c>
      <c r="D58" s="186">
        <f ca="1">SUM(X119:X124,X138:X171,X214:X219,X233:X266,X307:X312)+Baseline!X282</f>
        <v>459.37010870242341</v>
      </c>
      <c r="E58" s="186">
        <f ca="1">SUM(Y119:Y124,Y138:Y171,Y214:Y219,Y233:Y266,Y307:Y312)+Baseline!Y282</f>
        <v>898.17911716561355</v>
      </c>
      <c r="F58" s="186">
        <f ca="1">SUM(Z119:Z124,Z138:Z171,Z214:Z219,Z233:Z266,Z307:Z312)+Baseline!Z282</f>
        <v>1431.4782982613278</v>
      </c>
      <c r="G58" s="187">
        <f ca="1">SUM(AA119:AA124,AA138:AA171,AA214:AA219,AA233:AA266,AA307:AA312)+Baseline!AA282</f>
        <v>1822.7078846337918</v>
      </c>
      <c r="I58" s="199"/>
      <c r="J58" s="199"/>
      <c r="K58" s="199"/>
      <c r="L58" s="199"/>
      <c r="M58" s="199"/>
      <c r="N58" s="199"/>
      <c r="O58" s="199"/>
      <c r="P58" s="199"/>
    </row>
    <row r="59" spans="1:17">
      <c r="A59" s="5" t="s">
        <v>48</v>
      </c>
      <c r="B59" s="190">
        <f>'Input 4 - Forecast'!C33</f>
        <v>0</v>
      </c>
      <c r="C59" s="13">
        <f ca="1">SUM(W128:W133,W175:W210,W223:W229,W270:W303,Baseline!W283)*C31</f>
        <v>0</v>
      </c>
      <c r="D59" s="13">
        <f ca="1">SUM(X128:X133,X175:X210,X223:X229,X270:X303,Baseline!X283)*D31</f>
        <v>0</v>
      </c>
      <c r="E59" s="13">
        <f ca="1">SUM(Y128:Y133,Y175:Y210,Y223:Y229,Y270:Y303,Baseline!Y283)*E31</f>
        <v>0</v>
      </c>
      <c r="F59" s="13">
        <f ca="1">SUM(Z128:Z133,Z175:Z210,Z223:Z229,Z270:Z303,Baseline!Z283)*F31</f>
        <v>0</v>
      </c>
      <c r="G59" s="191">
        <f ca="1">SUM(AA128:AA133,AA175:AA210,AA223:AA229,AA270:AA303,Baseline!AA283)*G31</f>
        <v>0</v>
      </c>
      <c r="I59" s="199"/>
      <c r="J59" s="199"/>
      <c r="K59" s="199"/>
      <c r="L59" s="199"/>
      <c r="M59" s="199"/>
      <c r="N59" s="199"/>
      <c r="O59" s="199"/>
      <c r="P59" s="199"/>
    </row>
    <row r="60" spans="1:17">
      <c r="A60" s="5" t="s">
        <v>49</v>
      </c>
      <c r="B60" s="190">
        <f>'Input 4 - Forecast'!C34</f>
        <v>0</v>
      </c>
      <c r="C60" s="13">
        <f ca="1">SUM(P119:P124,P138:P171,P214:P219,P233:P266,P307:P312)</f>
        <v>934.00594810140706</v>
      </c>
      <c r="D60" s="13">
        <f ca="1">SUM(Q119:Q124,Q138:Q171,Q214:Q219,Q233:Q266,Q307:Q312)</f>
        <v>2063.9440003988129</v>
      </c>
      <c r="E60" s="13">
        <f ca="1">SUM(R119:R124,R138:R171,R214:R219,R233:R266,R307:R312)</f>
        <v>3963.2987919151897</v>
      </c>
      <c r="F60" s="13">
        <f ca="1">SUM(S119:S124,S138:S171,S214:S219,S233:S266,S307:S312)</f>
        <v>6281.6782890405348</v>
      </c>
      <c r="G60" s="191">
        <f ca="1">SUM(T119:T124,T138:T171,T214:T219,T233:T266,T307:T312)</f>
        <v>7977.5881116412966</v>
      </c>
      <c r="I60" s="199"/>
      <c r="J60" s="199"/>
      <c r="K60" s="199"/>
      <c r="L60" s="199"/>
      <c r="M60" s="199"/>
      <c r="N60" s="199"/>
      <c r="O60" s="199"/>
      <c r="P60" s="199"/>
    </row>
    <row r="61" spans="1:17" ht="15.75" thickBot="1">
      <c r="A61" s="198" t="s">
        <v>50</v>
      </c>
      <c r="B61" s="192">
        <f>'Input 4 - Forecast'!C35</f>
        <v>0</v>
      </c>
      <c r="C61" s="193">
        <f ca="1">SUM(P128:P134,P175:P210,P223:P229,P270:P303)*C31</f>
        <v>0</v>
      </c>
      <c r="D61" s="193">
        <f ca="1">SUM(Q128:Q134,Q175:Q210,Q223:Q229,Q270:Q303)*D31</f>
        <v>0</v>
      </c>
      <c r="E61" s="193">
        <f ca="1">SUM(R128:R134,R175:R210,R223:R229,R270:R303)*E31</f>
        <v>0</v>
      </c>
      <c r="F61" s="193">
        <f ca="1">SUM(S128:S134,S175:S210,S223:S229,S270:S303)*F31</f>
        <v>0</v>
      </c>
      <c r="G61" s="194">
        <f ca="1">SUM(T128:T134,T175:T210,T223:T229,T270:T303)*G31</f>
        <v>0</v>
      </c>
      <c r="I61" s="199"/>
      <c r="J61" s="199"/>
      <c r="K61" s="199"/>
      <c r="L61" s="199"/>
      <c r="M61" s="199"/>
      <c r="N61" s="199"/>
      <c r="O61" s="199"/>
      <c r="P61" s="199"/>
    </row>
    <row r="62" spans="1:17" ht="15.75" thickBot="1">
      <c r="B62" s="195"/>
      <c r="C62" s="195"/>
      <c r="D62" s="195"/>
      <c r="E62" s="195"/>
      <c r="F62" s="195"/>
      <c r="G62" s="195"/>
      <c r="I62" s="199"/>
      <c r="J62" s="199"/>
      <c r="K62" s="199"/>
      <c r="L62" s="199"/>
      <c r="M62" s="199"/>
      <c r="N62" s="199"/>
      <c r="O62" s="199"/>
      <c r="P62" s="199"/>
    </row>
    <row r="63" spans="1:17" ht="15.75" thickBot="1">
      <c r="A63" s="200" t="s">
        <v>4</v>
      </c>
      <c r="B63" s="1386">
        <f t="shared" ref="B63:G63" si="19">SUM(B49:B51,B53:B54,B56,B58:B61)-SUM(B47:B48)</f>
        <v>1062.4001150288241</v>
      </c>
      <c r="C63" s="1386">
        <f t="shared" ca="1" si="19"/>
        <v>2190.8804037295163</v>
      </c>
      <c r="D63" s="1386">
        <f t="shared" ca="1" si="19"/>
        <v>4074.3141091012362</v>
      </c>
      <c r="E63" s="1386">
        <f t="shared" ca="1" si="19"/>
        <v>6359.7875609208031</v>
      </c>
      <c r="F63" s="1386">
        <f t="shared" ca="1" si="19"/>
        <v>8078.0812769818622</v>
      </c>
      <c r="G63" s="1387">
        <f t="shared" ca="1" si="19"/>
        <v>9863.8640417950883</v>
      </c>
      <c r="I63" s="199"/>
      <c r="J63" s="199"/>
      <c r="L63" s="199"/>
      <c r="M63" s="199"/>
      <c r="N63" s="199"/>
      <c r="O63" s="199"/>
      <c r="P63" s="199"/>
    </row>
    <row r="64" spans="1:17" ht="15.75" thickBot="1">
      <c r="B64" s="195"/>
      <c r="C64" s="195"/>
      <c r="D64" s="195"/>
      <c r="E64" s="195"/>
      <c r="F64" s="195"/>
      <c r="G64" s="195"/>
      <c r="I64" s="199"/>
      <c r="J64" s="199"/>
      <c r="K64" s="199"/>
      <c r="L64" s="199"/>
      <c r="M64" s="199"/>
      <c r="N64" s="199"/>
      <c r="O64" s="199"/>
      <c r="P64" s="199"/>
    </row>
    <row r="65" spans="1:17">
      <c r="A65" s="1816" t="s">
        <v>1137</v>
      </c>
      <c r="B65" s="186">
        <f>'Input 4 - Forecast'!C39</f>
        <v>0</v>
      </c>
      <c r="C65" s="186">
        <f>'Input 4 - Forecast'!D39</f>
        <v>0</v>
      </c>
      <c r="D65" s="186">
        <f>'Input 4 - Forecast'!E39</f>
        <v>0</v>
      </c>
      <c r="E65" s="186">
        <f>'Input 4 - Forecast'!F39</f>
        <v>0</v>
      </c>
      <c r="F65" s="186">
        <f>'Input 4 - Forecast'!G39</f>
        <v>0</v>
      </c>
      <c r="G65" s="187">
        <f>'Input 4 - Forecast'!H39</f>
        <v>0</v>
      </c>
      <c r="I65" s="199"/>
      <c r="J65" s="199"/>
      <c r="K65" s="199"/>
      <c r="L65" s="199"/>
      <c r="M65" s="199"/>
      <c r="N65" s="199"/>
      <c r="O65" s="199"/>
      <c r="P65" s="199"/>
    </row>
    <row r="66" spans="1:17">
      <c r="A66" s="1817" t="s">
        <v>1138</v>
      </c>
      <c r="B66" s="13">
        <f>('Input 4 - Forecast'!C40/'Input 4 - Forecast'!C$17)*'Input 5 - Scenario Design'!E$48</f>
        <v>0</v>
      </c>
      <c r="C66" s="13">
        <f>('Input 4 - Forecast'!D40/'Input 4 - Forecast'!D$17)*'Input 5 - Scenario Design'!F$48</f>
        <v>0</v>
      </c>
      <c r="D66" s="13">
        <f>('Input 4 - Forecast'!E40/'Input 4 - Forecast'!E$17)*'Input 5 - Scenario Design'!G$48</f>
        <v>0</v>
      </c>
      <c r="E66" s="13">
        <f>('Input 4 - Forecast'!F40/'Input 4 - Forecast'!F$17)*'Input 5 - Scenario Design'!H$48</f>
        <v>0</v>
      </c>
      <c r="F66" s="13">
        <f>('Input 4 - Forecast'!G40/'Input 4 - Forecast'!G$17)*'Input 5 - Scenario Design'!I$48</f>
        <v>0</v>
      </c>
      <c r="G66" s="191">
        <f>('Input 4 - Forecast'!H40/'Input 4 - Forecast'!H$17)*'Input 5 - Scenario Design'!J$48</f>
        <v>0</v>
      </c>
      <c r="I66" s="197" t="s">
        <v>90</v>
      </c>
      <c r="J66" s="199"/>
      <c r="K66" s="199"/>
      <c r="L66" s="199"/>
      <c r="M66" s="199"/>
      <c r="N66" s="199"/>
      <c r="O66" s="199"/>
      <c r="P66" s="199"/>
    </row>
    <row r="67" spans="1:17">
      <c r="A67" s="1817" t="s">
        <v>8</v>
      </c>
      <c r="B67" s="13">
        <f>('Input 4 - Forecast'!C41/'Input 4 - Forecast'!C$17)*'Input 5 - Scenario Design'!E$48</f>
        <v>0</v>
      </c>
      <c r="C67" s="13">
        <f>('Input 4 - Forecast'!D41/'Input 4 - Forecast'!D$17)*'Input 5 - Scenario Design'!F$48</f>
        <v>0</v>
      </c>
      <c r="D67" s="13">
        <f>('Input 4 - Forecast'!E41/'Input 4 - Forecast'!E$17)*'Input 5 - Scenario Design'!G$48</f>
        <v>0</v>
      </c>
      <c r="E67" s="13">
        <f>('Input 4 - Forecast'!F41/'Input 4 - Forecast'!F$17)*'Input 5 - Scenario Design'!H$48</f>
        <v>0</v>
      </c>
      <c r="F67" s="13">
        <f>('Input 4 - Forecast'!G41/'Input 4 - Forecast'!G$17)*'Input 5 - Scenario Design'!I$48</f>
        <v>0</v>
      </c>
      <c r="G67" s="191">
        <f>('Input 4 - Forecast'!H41/'Input 4 - Forecast'!H$17)*'Input 5 - Scenario Design'!J$48</f>
        <v>0</v>
      </c>
      <c r="I67" s="197" t="s">
        <v>91</v>
      </c>
      <c r="J67" s="199"/>
      <c r="K67" s="199"/>
      <c r="L67" s="199"/>
      <c r="M67" s="199"/>
      <c r="N67" s="199"/>
      <c r="O67" s="199"/>
      <c r="P67" s="199"/>
    </row>
    <row r="68" spans="1:17">
      <c r="A68" s="1817" t="str">
        <f>'Input 2 - Data'!D31</f>
        <v>Please specify (1) (e.g., privatization receipts) (+ reduces financing needs)</v>
      </c>
      <c r="B68" s="13">
        <f>'Input 4 - Forecast'!C42</f>
        <v>0</v>
      </c>
      <c r="C68" s="13">
        <f>'Input 4 - Forecast'!D42</f>
        <v>0</v>
      </c>
      <c r="D68" s="13">
        <f>'Input 4 - Forecast'!E42</f>
        <v>0</v>
      </c>
      <c r="E68" s="13">
        <f>'Input 4 - Forecast'!F42</f>
        <v>0</v>
      </c>
      <c r="F68" s="13">
        <f>'Input 4 - Forecast'!G42</f>
        <v>0</v>
      </c>
      <c r="G68" s="191">
        <f>'Input 4 - Forecast'!H42</f>
        <v>0</v>
      </c>
      <c r="I68" s="199"/>
      <c r="J68" s="199"/>
      <c r="K68" s="199"/>
      <c r="L68" s="199"/>
      <c r="M68" s="199"/>
      <c r="N68" s="199"/>
      <c r="O68" s="199"/>
      <c r="P68" s="199"/>
    </row>
    <row r="69" spans="1:17" s="281" customFormat="1" ht="15.75" thickBot="1">
      <c r="A69" s="1818" t="str">
        <f>'Input 2 - Data'!D32</f>
        <v>Please specify (2) (e.g., other debt flows) (+ increases financing needs)</v>
      </c>
      <c r="B69" s="193">
        <f>'Input 4 - Forecast'!C43</f>
        <v>0</v>
      </c>
      <c r="C69" s="193">
        <f>'Input 4 - Forecast'!D43</f>
        <v>0</v>
      </c>
      <c r="D69" s="193">
        <f>'Input 4 - Forecast'!E43</f>
        <v>0</v>
      </c>
      <c r="E69" s="193">
        <f>'Input 4 - Forecast'!F43</f>
        <v>0</v>
      </c>
      <c r="F69" s="193">
        <f>'Input 4 - Forecast'!G43</f>
        <v>0</v>
      </c>
      <c r="G69" s="194">
        <f>'Input 4 - Forecast'!H43</f>
        <v>0</v>
      </c>
      <c r="I69" s="199"/>
      <c r="J69" s="199"/>
      <c r="K69" s="199"/>
      <c r="L69" s="199"/>
      <c r="M69" s="199"/>
      <c r="N69" s="199"/>
      <c r="O69" s="199"/>
      <c r="P69" s="199"/>
    </row>
    <row r="70" spans="1:17" ht="15.75" thickBot="1">
      <c r="B70" s="195"/>
      <c r="C70" s="195"/>
      <c r="D70" s="195"/>
      <c r="E70" s="195"/>
      <c r="F70" s="195"/>
      <c r="G70" s="195"/>
      <c r="I70" s="235"/>
      <c r="J70" s="235"/>
      <c r="K70" s="199"/>
      <c r="L70" s="199"/>
      <c r="M70" s="199"/>
      <c r="N70" s="199"/>
      <c r="O70" s="199"/>
      <c r="P70" s="199"/>
    </row>
    <row r="71" spans="1:17" ht="16.5" customHeight="1" thickBot="1">
      <c r="A71" s="200" t="s">
        <v>1141</v>
      </c>
      <c r="B71" s="202">
        <f t="shared" ref="B71:G71" si="20">B63-B65-B66-B67-B68+B69</f>
        <v>1062.4001150288241</v>
      </c>
      <c r="C71" s="202">
        <f t="shared" ca="1" si="20"/>
        <v>2190.8804037295163</v>
      </c>
      <c r="D71" s="202">
        <f t="shared" ca="1" si="20"/>
        <v>4074.3141091012362</v>
      </c>
      <c r="E71" s="202">
        <f t="shared" ca="1" si="20"/>
        <v>6359.7875609208031</v>
      </c>
      <c r="F71" s="202">
        <f t="shared" ca="1" si="20"/>
        <v>8078.0812769818622</v>
      </c>
      <c r="G71" s="203">
        <f t="shared" ca="1" si="20"/>
        <v>9863.8640417950883</v>
      </c>
      <c r="I71" s="236"/>
      <c r="J71" s="236"/>
    </row>
    <row r="72" spans="1:17" ht="15.75" thickBot="1">
      <c r="A72" s="4"/>
      <c r="B72" s="13"/>
      <c r="C72" s="13"/>
      <c r="D72" s="13"/>
      <c r="E72" s="13"/>
      <c r="F72" s="13"/>
      <c r="G72" s="13"/>
      <c r="I72" s="184"/>
      <c r="J72" s="184"/>
      <c r="K72" s="184"/>
      <c r="L72" s="184"/>
      <c r="M72" s="184"/>
      <c r="N72" s="184"/>
      <c r="O72" s="184"/>
      <c r="P72" s="184"/>
    </row>
    <row r="73" spans="1:17" ht="82.5" customHeight="1" thickBot="1">
      <c r="A73" s="2" t="s">
        <v>1177</v>
      </c>
      <c r="B73" s="2041" t="s">
        <v>103</v>
      </c>
      <c r="C73" s="2042"/>
      <c r="D73" s="2042"/>
      <c r="E73" s="2042"/>
      <c r="F73" s="2042"/>
      <c r="G73" s="2043"/>
      <c r="I73" s="204" t="s">
        <v>459</v>
      </c>
      <c r="J73" s="204" t="s">
        <v>38</v>
      </c>
      <c r="K73" s="205" t="s">
        <v>39</v>
      </c>
      <c r="L73" s="204" t="str">
        <f t="shared" ref="L73:Q73" si="21">CONCATENATE("Interest Rate on debt issued in ",B45)</f>
        <v>Interest Rate on debt issued in 2018</v>
      </c>
      <c r="M73" s="204" t="str">
        <f t="shared" si="21"/>
        <v>Interest Rate on debt issued in 2019</v>
      </c>
      <c r="N73" s="204" t="str">
        <f t="shared" si="21"/>
        <v>Interest Rate on debt issued in 2020</v>
      </c>
      <c r="O73" s="204" t="str">
        <f t="shared" si="21"/>
        <v>Interest Rate on debt issued in 2021</v>
      </c>
      <c r="P73" s="204" t="str">
        <f t="shared" si="21"/>
        <v>Interest Rate on debt issued in 2022</v>
      </c>
      <c r="Q73" s="204" t="str">
        <f t="shared" si="21"/>
        <v>Interest Rate on debt issued in 2023</v>
      </c>
    </row>
    <row r="74" spans="1:17">
      <c r="A74" s="206" t="s">
        <v>13</v>
      </c>
      <c r="B74" s="185"/>
      <c r="C74" s="186"/>
      <c r="D74" s="186"/>
      <c r="E74" s="186"/>
      <c r="F74" s="186"/>
      <c r="G74" s="187"/>
      <c r="I74" s="207"/>
      <c r="J74" s="207"/>
      <c r="K74" s="208"/>
      <c r="L74" s="208"/>
      <c r="M74" s="208"/>
      <c r="N74" s="208"/>
      <c r="O74" s="208"/>
      <c r="P74" s="208"/>
      <c r="Q74" s="209"/>
    </row>
    <row r="75" spans="1:17" ht="30">
      <c r="A75" s="210" t="s">
        <v>0</v>
      </c>
      <c r="B75" s="190">
        <f>('Input 4 - Forecast'!C56/'Input 4 - Forecast'!C$45)*MAX(B$71,0)</f>
        <v>0</v>
      </c>
      <c r="C75" s="13">
        <f ca="1">('Input 4 - Forecast'!D56/'Input 4 - Forecast'!D$45)*MAX(C$71,0)</f>
        <v>151</v>
      </c>
      <c r="D75" s="13">
        <f ca="1">('Input 4 - Forecast'!E56/'Input 4 - Forecast'!E$45)*MAX(D$71,0)</f>
        <v>166.63297715693798</v>
      </c>
      <c r="E75" s="13">
        <f ca="1">('Input 4 - Forecast'!F56/'Input 4 - Forecast'!F$45)*MAX(E$71,0)</f>
        <v>183.59335079320863</v>
      </c>
      <c r="F75" s="13">
        <f ca="1">('Input 4 - Forecast'!G56/'Input 4 - Forecast'!G$45)*MAX(F$71,0)</f>
        <v>212.2421869293413</v>
      </c>
      <c r="G75" s="191">
        <f ca="1">('Input 4 - Forecast'!H56/'Input 4 - Forecast'!H$45)*MAX(G$71,0)</f>
        <v>248.72296871212595</v>
      </c>
      <c r="I75" s="211" t="str">
        <f>'Input 4 - Forecast'!J56</f>
        <v>Semi-annual</v>
      </c>
      <c r="J75" s="211">
        <f>'Input 4 - Forecast'!K56</f>
        <v>0</v>
      </c>
      <c r="K75" s="19">
        <f>'Input 4 - Forecast'!L56</f>
        <v>0</v>
      </c>
      <c r="L75" s="212">
        <f>'Input 4 - Forecast'!M56+B$33/10000</f>
        <v>0</v>
      </c>
      <c r="M75" s="212">
        <f>'Input 4 - Forecast'!N56+C$33/10000</f>
        <v>0.18606977230199898</v>
      </c>
      <c r="N75" s="212">
        <f>'Input 4 - Forecast'!O56+D$33/10000</f>
        <v>0.18606977230199898</v>
      </c>
      <c r="O75" s="212">
        <f>'Input 4 - Forecast'!P56+E$33/10000</f>
        <v>0.18606977230199898</v>
      </c>
      <c r="P75" s="212">
        <f>'Input 4 - Forecast'!Q56+F$33/10000</f>
        <v>0.18606977230199898</v>
      </c>
      <c r="Q75" s="213">
        <f>'Input 4 - Forecast'!R56+G$33/10000</f>
        <v>0.18606977230199898</v>
      </c>
    </row>
    <row r="76" spans="1:17" ht="30">
      <c r="A76" s="210" t="s">
        <v>1</v>
      </c>
      <c r="B76" s="190">
        <f>('Input 4 - Forecast'!C57/'Input 4 - Forecast'!C$45)*MAX(B$71,0)</f>
        <v>0</v>
      </c>
      <c r="C76" s="13">
        <f ca="1">('Input 4 - Forecast'!D57/'Input 4 - Forecast'!D$45)*MAX(C$71,0)</f>
        <v>0</v>
      </c>
      <c r="D76" s="13">
        <f ca="1">('Input 4 - Forecast'!E57/'Input 4 - Forecast'!E$45)*MAX(D$71,0)</f>
        <v>0</v>
      </c>
      <c r="E76" s="13">
        <f ca="1">('Input 4 - Forecast'!F57/'Input 4 - Forecast'!F$45)*MAX(E$71,0)</f>
        <v>0</v>
      </c>
      <c r="F76" s="13">
        <f ca="1">('Input 4 - Forecast'!G57/'Input 4 - Forecast'!G$45)*MAX(F$71,0)</f>
        <v>0</v>
      </c>
      <c r="G76" s="191">
        <f ca="1">('Input 4 - Forecast'!H57/'Input 4 - Forecast'!H$45)*MAX(G$71,0)</f>
        <v>0</v>
      </c>
      <c r="I76" s="211" t="str">
        <f>'Input 4 - Forecast'!J57</f>
        <v>Semi-annual</v>
      </c>
      <c r="J76" s="211">
        <f>'Input 4 - Forecast'!K57</f>
        <v>0</v>
      </c>
      <c r="K76" s="19">
        <f>'Input 4 - Forecast'!L57</f>
        <v>0</v>
      </c>
      <c r="L76" s="212">
        <f>'Input 4 - Forecast'!M57+B$33/10000</f>
        <v>0</v>
      </c>
      <c r="M76" s="212">
        <f>'Input 4 - Forecast'!N57+C$33/10000</f>
        <v>0.18606977230199898</v>
      </c>
      <c r="N76" s="212">
        <f>'Input 4 - Forecast'!O57+D$33/10000</f>
        <v>0.18606977230199898</v>
      </c>
      <c r="O76" s="212">
        <f>'Input 4 - Forecast'!P57+E$33/10000</f>
        <v>0.18606977230199898</v>
      </c>
      <c r="P76" s="212">
        <f>'Input 4 - Forecast'!Q57+F$33/10000</f>
        <v>0.18606977230199898</v>
      </c>
      <c r="Q76" s="213">
        <f>'Input 4 - Forecast'!R57+G$33/10000</f>
        <v>0.18606977230199898</v>
      </c>
    </row>
    <row r="77" spans="1:17">
      <c r="A77" s="206" t="s">
        <v>14</v>
      </c>
      <c r="B77" s="190"/>
      <c r="C77" s="13"/>
      <c r="D77" s="13"/>
      <c r="E77" s="13"/>
      <c r="F77" s="13"/>
      <c r="G77" s="191"/>
      <c r="I77" s="211"/>
      <c r="J77" s="211"/>
      <c r="K77" s="19"/>
      <c r="L77" s="19"/>
      <c r="M77" s="19"/>
      <c r="N77" s="19"/>
      <c r="O77" s="19"/>
      <c r="P77" s="19"/>
      <c r="Q77" s="214"/>
    </row>
    <row r="78" spans="1:17">
      <c r="A78" s="210" t="s">
        <v>0</v>
      </c>
      <c r="B78" s="190"/>
      <c r="C78" s="13"/>
      <c r="D78" s="13"/>
      <c r="E78" s="13"/>
      <c r="F78" s="13"/>
      <c r="G78" s="191"/>
      <c r="I78" s="211"/>
      <c r="J78" s="211"/>
      <c r="K78" s="19"/>
      <c r="L78" s="19"/>
      <c r="M78" s="19"/>
      <c r="N78" s="19"/>
      <c r="O78" s="19"/>
      <c r="P78" s="19"/>
      <c r="Q78" s="214"/>
    </row>
    <row r="79" spans="1:17">
      <c r="A79" s="215" t="s">
        <v>18</v>
      </c>
      <c r="B79" s="190">
        <f>('Input 4 - Forecast'!C60/'Input 4 - Forecast'!C$45)*MAX(B$71,0)</f>
        <v>329.998670927072</v>
      </c>
      <c r="C79" s="13">
        <f ca="1">('Input 4 - Forecast'!D60/'Input 4 - Forecast'!D$45)*MAX(C$71,0)</f>
        <v>35</v>
      </c>
      <c r="D79" s="13">
        <f ca="1">('Input 4 - Forecast'!E60/'Input 4 - Forecast'!E$45)*MAX(D$71,0)</f>
        <v>44.141186001837873</v>
      </c>
      <c r="E79" s="13">
        <f ca="1">('Input 4 - Forecast'!F60/'Input 4 - Forecast'!F$45)*MAX(E$71,0)</f>
        <v>42.554750183856299</v>
      </c>
      <c r="F79" s="13">
        <f ca="1">('Input 4 - Forecast'!G60/'Input 4 - Forecast'!G$45)*MAX(F$71,0)</f>
        <v>56.223095875322201</v>
      </c>
      <c r="G79" s="191">
        <f ca="1">('Input 4 - Forecast'!H60/'Input 4 - Forecast'!H$45)*MAX(G$71,0)</f>
        <v>50.238745335892986</v>
      </c>
      <c r="I79" s="211" t="str">
        <f>'Input 4 - Forecast'!J60</f>
        <v>Annual</v>
      </c>
      <c r="J79" s="211">
        <f>'Input 4 - Forecast'!K60</f>
        <v>5</v>
      </c>
      <c r="K79" s="19">
        <f>'Input 4 - Forecast'!L60</f>
        <v>5</v>
      </c>
      <c r="L79" s="212">
        <f>'Input 4 - Forecast'!M60+B$33/10000</f>
        <v>5.0000000000000001E-3</v>
      </c>
      <c r="M79" s="212">
        <f>'Input 4 - Forecast'!N60+C$33/10000</f>
        <v>0.19106977230199898</v>
      </c>
      <c r="N79" s="212">
        <f>'Input 4 - Forecast'!O60+D$33/10000</f>
        <v>0.19606977230199898</v>
      </c>
      <c r="O79" s="212">
        <f>'Input 4 - Forecast'!P60+E$33/10000</f>
        <v>0.19606977230199898</v>
      </c>
      <c r="P79" s="212">
        <f>'Input 4 - Forecast'!Q60+F$33/10000</f>
        <v>0.19606977230199898</v>
      </c>
      <c r="Q79" s="213">
        <f>'Input 4 - Forecast'!R60+G$33/10000</f>
        <v>0.19606977230199898</v>
      </c>
    </row>
    <row r="80" spans="1:17">
      <c r="A80" s="215" t="s">
        <v>19</v>
      </c>
      <c r="B80" s="190">
        <f>('Input 4 - Forecast'!C61/'Input 4 - Forecast'!C$45)*MAX(B$71,0)</f>
        <v>0</v>
      </c>
      <c r="C80" s="13">
        <f ca="1">('Input 4 - Forecast'!D61/'Input 4 - Forecast'!D$45)*MAX(C$71,0)</f>
        <v>45</v>
      </c>
      <c r="D80" s="13">
        <f ca="1">('Input 4 - Forecast'!E61/'Input 4 - Forecast'!E$45)*MAX(D$71,0)</f>
        <v>52.969423202205455</v>
      </c>
      <c r="E80" s="13">
        <f ca="1">('Input 4 - Forecast'!F61/'Input 4 - Forecast'!F$45)*MAX(E$71,0)</f>
        <v>48.634000210121485</v>
      </c>
      <c r="F80" s="13">
        <f ca="1">('Input 4 - Forecast'!G61/'Input 4 - Forecast'!G$45)*MAX(F$71,0)</f>
        <v>63.250982859737469</v>
      </c>
      <c r="G80" s="191">
        <f ca="1">('Input 4 - Forecast'!H61/'Input 4 - Forecast'!H$45)*MAX(G$71,0)</f>
        <v>63.118292606699626</v>
      </c>
      <c r="I80" s="211" t="str">
        <f>'Input 4 - Forecast'!J61</f>
        <v>Annual</v>
      </c>
      <c r="J80" s="211">
        <f>'Input 4 - Forecast'!K61</f>
        <v>0</v>
      </c>
      <c r="K80" s="19">
        <f>'Input 4 - Forecast'!L61</f>
        <v>0</v>
      </c>
      <c r="L80" s="212">
        <f>'Input 4 - Forecast'!M61+B$33/10000</f>
        <v>0</v>
      </c>
      <c r="M80" s="212">
        <f>'Input 4 - Forecast'!N61+C$33/10000</f>
        <v>0.18606977230199898</v>
      </c>
      <c r="N80" s="212">
        <f>'Input 4 - Forecast'!O61+D$33/10000</f>
        <v>0.18606977230199898</v>
      </c>
      <c r="O80" s="212">
        <f>'Input 4 - Forecast'!P61+E$33/10000</f>
        <v>0.18606977230199898</v>
      </c>
      <c r="P80" s="212">
        <f>'Input 4 - Forecast'!Q61+F$33/10000</f>
        <v>0.18606977230199898</v>
      </c>
      <c r="Q80" s="213">
        <f>'Input 4 - Forecast'!R61+G$33/10000</f>
        <v>0.18606977230199898</v>
      </c>
    </row>
    <row r="81" spans="1:17">
      <c r="A81" s="215" t="s">
        <v>20</v>
      </c>
      <c r="B81" s="190">
        <f>('Input 4 - Forecast'!C62/'Input 4 - Forecast'!C$45)*MAX(B$71,0)</f>
        <v>0</v>
      </c>
      <c r="C81" s="13">
        <f ca="1">('Input 4 - Forecast'!D62/'Input 4 - Forecast'!D$45)*MAX(C$71,0)</f>
        <v>57.5</v>
      </c>
      <c r="D81" s="13">
        <f ca="1">('Input 4 - Forecast'!E62/'Input 4 - Forecast'!E$45)*MAX(D$71,0)</f>
        <v>65.770367142738436</v>
      </c>
      <c r="E81" s="13">
        <f ca="1">('Input 4 - Forecast'!F62/'Input 4 - Forecast'!F$45)*MAX(E$71,0)</f>
        <v>58.360800252145786</v>
      </c>
      <c r="F81" s="13">
        <f ca="1">('Input 4 - Forecast'!G62/'Input 4 - Forecast'!G$45)*MAX(F$71,0)</f>
        <v>75.198390733243443</v>
      </c>
      <c r="G81" s="191">
        <f ca="1">('Input 4 - Forecast'!H62/'Input 4 - Forecast'!H$45)*MAX(G$71,0)</f>
        <v>91.253327593720371</v>
      </c>
      <c r="I81" s="211" t="str">
        <f>'Input 4 - Forecast'!J62</f>
        <v>Annual</v>
      </c>
      <c r="J81" s="211">
        <f>'Input 4 - Forecast'!K62</f>
        <v>0</v>
      </c>
      <c r="K81" s="19">
        <f>'Input 4 - Forecast'!L62</f>
        <v>0</v>
      </c>
      <c r="L81" s="212">
        <f>'Input 4 - Forecast'!M62+B$33/10000</f>
        <v>0</v>
      </c>
      <c r="M81" s="212">
        <f>'Input 4 - Forecast'!N62+C$33/10000</f>
        <v>0.18606977230199898</v>
      </c>
      <c r="N81" s="212">
        <f>'Input 4 - Forecast'!O62+D$33/10000</f>
        <v>0.18606977230199898</v>
      </c>
      <c r="O81" s="212">
        <f>'Input 4 - Forecast'!P62+E$33/10000</f>
        <v>0.18606977230199898</v>
      </c>
      <c r="P81" s="212">
        <f>'Input 4 - Forecast'!Q62+F$33/10000</f>
        <v>0.18606977230199898</v>
      </c>
      <c r="Q81" s="213">
        <f>'Input 4 - Forecast'!R62+G$33/10000</f>
        <v>0.18606977230199898</v>
      </c>
    </row>
    <row r="82" spans="1:17">
      <c r="A82" s="215" t="s">
        <v>21</v>
      </c>
      <c r="B82" s="190">
        <f>('Input 4 - Forecast'!C63/'Input 4 - Forecast'!C$45)*MAX(B$71,0)</f>
        <v>0</v>
      </c>
      <c r="C82" s="13">
        <f ca="1">('Input 4 - Forecast'!D63/'Input 4 - Forecast'!D$45)*MAX(C$71,0)</f>
        <v>94</v>
      </c>
      <c r="D82" s="13">
        <f ca="1">('Input 4 - Forecast'!E63/'Input 4 - Forecast'!E$45)*MAX(D$71,0)</f>
        <v>100.42119815418117</v>
      </c>
      <c r="E82" s="13">
        <f ca="1">('Input 4 - Forecast'!F63/'Input 4 - Forecast'!F$45)*MAX(E$71,0)</f>
        <v>109.42650047277336</v>
      </c>
      <c r="F82" s="13">
        <f ca="1">('Input 4 - Forecast'!G63/'Input 4 - Forecast'!G$45)*MAX(F$71,0)</f>
        <v>126.50196571947494</v>
      </c>
      <c r="G82" s="191">
        <f ca="1">('Input 4 - Forecast'!H63/'Input 4 - Forecast'!H$45)*MAX(G$71,0)</f>
        <v>148.24547804033995</v>
      </c>
      <c r="I82" s="211" t="str">
        <f>'Input 4 - Forecast'!J63</f>
        <v>Annual</v>
      </c>
      <c r="J82" s="211">
        <f>'Input 4 - Forecast'!K63</f>
        <v>0</v>
      </c>
      <c r="K82" s="19">
        <f>'Input 4 - Forecast'!L63</f>
        <v>0</v>
      </c>
      <c r="L82" s="212">
        <f>'Input 4 - Forecast'!M63+B$33/10000</f>
        <v>0</v>
      </c>
      <c r="M82" s="212">
        <f>'Input 4 - Forecast'!N63+C$33/10000</f>
        <v>0.18606977230199898</v>
      </c>
      <c r="N82" s="212">
        <f>'Input 4 - Forecast'!O63+D$33/10000</f>
        <v>0.18606977230199898</v>
      </c>
      <c r="O82" s="212">
        <f>'Input 4 - Forecast'!P63+E$33/10000</f>
        <v>0.18606977230199898</v>
      </c>
      <c r="P82" s="212">
        <f>'Input 4 - Forecast'!Q63+F$33/10000</f>
        <v>0.18606977230199898</v>
      </c>
      <c r="Q82" s="213">
        <f>'Input 4 - Forecast'!R63+G$33/10000</f>
        <v>0.18606977230199898</v>
      </c>
    </row>
    <row r="83" spans="1:17">
      <c r="A83" s="215" t="s">
        <v>22</v>
      </c>
      <c r="B83" s="190">
        <f>('Input 4 - Forecast'!C64/'Input 4 - Forecast'!C$45)*MAX(B$71,0)</f>
        <v>0</v>
      </c>
      <c r="C83" s="13">
        <f ca="1">('Input 4 - Forecast'!D64/'Input 4 - Forecast'!D$45)*MAX(C$71,0)</f>
        <v>0</v>
      </c>
      <c r="D83" s="13">
        <f ca="1">('Input 4 - Forecast'!E64/'Input 4 - Forecast'!E$45)*MAX(D$71,0)</f>
        <v>0</v>
      </c>
      <c r="E83" s="13">
        <f ca="1">('Input 4 - Forecast'!F64/'Input 4 - Forecast'!F$45)*MAX(E$71,0)</f>
        <v>0</v>
      </c>
      <c r="F83" s="13">
        <f ca="1">('Input 4 - Forecast'!G64/'Input 4 - Forecast'!G$45)*MAX(F$71,0)</f>
        <v>0</v>
      </c>
      <c r="G83" s="191">
        <f ca="1">('Input 4 - Forecast'!H64/'Input 4 - Forecast'!H$45)*MAX(G$71,0)</f>
        <v>0</v>
      </c>
      <c r="I83" s="211"/>
      <c r="J83" s="211">
        <f>'Input 4 - Forecast'!K64</f>
        <v>0</v>
      </c>
      <c r="K83" s="19">
        <f>'Input 4 - Forecast'!L64</f>
        <v>0</v>
      </c>
      <c r="L83" s="212">
        <f>'Input 4 - Forecast'!M64+B$33/10000</f>
        <v>0</v>
      </c>
      <c r="M83" s="212">
        <f>'Input 4 - Forecast'!N64+C$33/10000</f>
        <v>0.18606977230199898</v>
      </c>
      <c r="N83" s="212">
        <f>'Input 4 - Forecast'!O64+D$33/10000</f>
        <v>0.18606977230199898</v>
      </c>
      <c r="O83" s="212">
        <f>'Input 4 - Forecast'!P64+E$33/10000</f>
        <v>0.18606977230199898</v>
      </c>
      <c r="P83" s="212">
        <f>'Input 4 - Forecast'!Q64+F$33/10000</f>
        <v>0.18606977230199898</v>
      </c>
      <c r="Q83" s="213">
        <f>'Input 4 - Forecast'!R64+G$33/10000</f>
        <v>0.18606977230199898</v>
      </c>
    </row>
    <row r="84" spans="1:17">
      <c r="A84" s="210" t="s">
        <v>1</v>
      </c>
      <c r="B84" s="190"/>
      <c r="C84" s="13"/>
      <c r="D84" s="13"/>
      <c r="E84" s="13"/>
      <c r="F84" s="13"/>
      <c r="G84" s="191"/>
      <c r="I84" s="211"/>
      <c r="J84" s="211"/>
      <c r="K84" s="19"/>
      <c r="L84" s="19"/>
      <c r="M84" s="19"/>
      <c r="N84" s="19"/>
      <c r="O84" s="19"/>
      <c r="P84" s="19"/>
      <c r="Q84" s="214"/>
    </row>
    <row r="85" spans="1:17">
      <c r="A85" s="215" t="s">
        <v>23</v>
      </c>
      <c r="B85" s="190">
        <f>('Input 4 - Forecast'!C66/'Input 4 - Forecast'!C$45)*MAX(B$71,0)</f>
        <v>0</v>
      </c>
      <c r="C85" s="13">
        <f ca="1">('Input 4 - Forecast'!D66/'Input 4 - Forecast'!D$45)*MAX(C$71,0)</f>
        <v>0</v>
      </c>
      <c r="D85" s="13">
        <f ca="1">('Input 4 - Forecast'!E66/'Input 4 - Forecast'!E$45)*MAX(D$71,0)</f>
        <v>0</v>
      </c>
      <c r="E85" s="13">
        <f ca="1">('Input 4 - Forecast'!F66/'Input 4 - Forecast'!F$45)*MAX(E$71,0)</f>
        <v>0</v>
      </c>
      <c r="F85" s="13">
        <f ca="1">('Input 4 - Forecast'!G66/'Input 4 - Forecast'!G$45)*MAX(F$71,0)</f>
        <v>0</v>
      </c>
      <c r="G85" s="191">
        <f ca="1">('Input 4 - Forecast'!H66/'Input 4 - Forecast'!H$45)*MAX(G$71,0)</f>
        <v>0</v>
      </c>
      <c r="I85" s="211" t="str">
        <f>'Input 4 - Forecast'!J66</f>
        <v>Annual</v>
      </c>
      <c r="J85" s="211">
        <f>'Input 4 - Forecast'!K66</f>
        <v>0</v>
      </c>
      <c r="K85" s="19">
        <f>'Input 4 - Forecast'!L66</f>
        <v>0</v>
      </c>
      <c r="L85" s="212">
        <f>'Input 4 - Forecast'!M66+B$33/10000</f>
        <v>0</v>
      </c>
      <c r="M85" s="212">
        <f>'Input 4 - Forecast'!N66+C$33/10000</f>
        <v>0.18606977230199898</v>
      </c>
      <c r="N85" s="212">
        <f>'Input 4 - Forecast'!O66+D$33/10000</f>
        <v>0.18606977230199898</v>
      </c>
      <c r="O85" s="212">
        <f>'Input 4 - Forecast'!P66+E$33/10000</f>
        <v>0.18606977230199898</v>
      </c>
      <c r="P85" s="212">
        <f>'Input 4 - Forecast'!Q66+F$33/10000</f>
        <v>0.18606977230199898</v>
      </c>
      <c r="Q85" s="213">
        <f>'Input 4 - Forecast'!R66+G$33/10000</f>
        <v>0.18606977230199898</v>
      </c>
    </row>
    <row r="86" spans="1:17">
      <c r="A86" s="215" t="s">
        <v>24</v>
      </c>
      <c r="B86" s="190">
        <f>('Input 4 - Forecast'!C67/'Input 4 - Forecast'!C$45)*MAX(B$71,0)</f>
        <v>0</v>
      </c>
      <c r="C86" s="13">
        <f ca="1">('Input 4 - Forecast'!D67/'Input 4 - Forecast'!D$45)*MAX(C$71,0)</f>
        <v>0</v>
      </c>
      <c r="D86" s="13">
        <f ca="1">('Input 4 - Forecast'!E67/'Input 4 - Forecast'!E$45)*MAX(D$71,0)</f>
        <v>0</v>
      </c>
      <c r="E86" s="13">
        <f ca="1">('Input 4 - Forecast'!F67/'Input 4 - Forecast'!F$45)*MAX(E$71,0)</f>
        <v>0</v>
      </c>
      <c r="F86" s="13">
        <f ca="1">('Input 4 - Forecast'!G67/'Input 4 - Forecast'!G$45)*MAX(F$71,0)</f>
        <v>0</v>
      </c>
      <c r="G86" s="191">
        <f ca="1">('Input 4 - Forecast'!H67/'Input 4 - Forecast'!H$45)*MAX(G$71,0)</f>
        <v>0</v>
      </c>
      <c r="I86" s="211" t="str">
        <f>'Input 4 - Forecast'!J67</f>
        <v>Annual</v>
      </c>
      <c r="J86" s="211">
        <f>'Input 4 - Forecast'!K67</f>
        <v>0</v>
      </c>
      <c r="K86" s="19">
        <f>'Input 4 - Forecast'!L67</f>
        <v>0</v>
      </c>
      <c r="L86" s="212">
        <f>'Input 4 - Forecast'!M67+B$33/10000</f>
        <v>0</v>
      </c>
      <c r="M86" s="212">
        <f>'Input 4 - Forecast'!N67+C$33/10000</f>
        <v>0.18606977230199898</v>
      </c>
      <c r="N86" s="212">
        <f>'Input 4 - Forecast'!O67+D$33/10000</f>
        <v>0.18606977230199898</v>
      </c>
      <c r="O86" s="212">
        <f>'Input 4 - Forecast'!P67+E$33/10000</f>
        <v>0.18606977230199898</v>
      </c>
      <c r="P86" s="212">
        <f>'Input 4 - Forecast'!Q67+F$33/10000</f>
        <v>0.18606977230199898</v>
      </c>
      <c r="Q86" s="213">
        <f>'Input 4 - Forecast'!R67+G$33/10000</f>
        <v>0.18606977230199898</v>
      </c>
    </row>
    <row r="87" spans="1:17">
      <c r="A87" s="215" t="s">
        <v>25</v>
      </c>
      <c r="B87" s="190">
        <f>('Input 4 - Forecast'!C68/'Input 4 - Forecast'!C$45)*MAX(B$71,0)</f>
        <v>0</v>
      </c>
      <c r="C87" s="13">
        <f ca="1">('Input 4 - Forecast'!D68/'Input 4 - Forecast'!D$45)*MAX(C$71,0)</f>
        <v>0</v>
      </c>
      <c r="D87" s="13">
        <f ca="1">('Input 4 - Forecast'!E68/'Input 4 - Forecast'!E$45)*MAX(D$71,0)</f>
        <v>0</v>
      </c>
      <c r="E87" s="13">
        <f ca="1">('Input 4 - Forecast'!F68/'Input 4 - Forecast'!F$45)*MAX(E$71,0)</f>
        <v>0</v>
      </c>
      <c r="F87" s="13">
        <f ca="1">('Input 4 - Forecast'!G68/'Input 4 - Forecast'!G$45)*MAX(F$71,0)</f>
        <v>0</v>
      </c>
      <c r="G87" s="191">
        <f ca="1">('Input 4 - Forecast'!H68/'Input 4 - Forecast'!H$45)*MAX(G$71,0)</f>
        <v>0</v>
      </c>
      <c r="I87" s="211" t="str">
        <f>'Input 4 - Forecast'!J68</f>
        <v>Annual</v>
      </c>
      <c r="J87" s="211">
        <f>'Input 4 - Forecast'!K68</f>
        <v>0</v>
      </c>
      <c r="K87" s="19">
        <f>'Input 4 - Forecast'!L68</f>
        <v>0</v>
      </c>
      <c r="L87" s="212">
        <f>'Input 4 - Forecast'!M68+B$33/10000</f>
        <v>0</v>
      </c>
      <c r="M87" s="212">
        <f>'Input 4 - Forecast'!N68+C$33/10000</f>
        <v>0.18606977230199898</v>
      </c>
      <c r="N87" s="212">
        <f>'Input 4 - Forecast'!O68+D$33/10000</f>
        <v>0.18606977230199898</v>
      </c>
      <c r="O87" s="212">
        <f>'Input 4 - Forecast'!P68+E$33/10000</f>
        <v>0.18606977230199898</v>
      </c>
      <c r="P87" s="212">
        <f>'Input 4 - Forecast'!Q68+F$33/10000</f>
        <v>0.18606977230199898</v>
      </c>
      <c r="Q87" s="213">
        <f>'Input 4 - Forecast'!R68+G$33/10000</f>
        <v>0.18606977230199898</v>
      </c>
    </row>
    <row r="88" spans="1:17">
      <c r="A88" s="215" t="s">
        <v>26</v>
      </c>
      <c r="B88" s="190">
        <f>('Input 4 - Forecast'!C69/'Input 4 - Forecast'!C$45)*MAX(B$71,0)</f>
        <v>0</v>
      </c>
      <c r="C88" s="13">
        <f ca="1">('Input 4 - Forecast'!D69/'Input 4 - Forecast'!D$45)*MAX(C$71,0)</f>
        <v>0</v>
      </c>
      <c r="D88" s="13">
        <f ca="1">('Input 4 - Forecast'!E69/'Input 4 - Forecast'!E$45)*MAX(D$71,0)</f>
        <v>0</v>
      </c>
      <c r="E88" s="13">
        <f ca="1">('Input 4 - Forecast'!F69/'Input 4 - Forecast'!F$45)*MAX(E$71,0)</f>
        <v>0</v>
      </c>
      <c r="F88" s="13">
        <f ca="1">('Input 4 - Forecast'!G69/'Input 4 - Forecast'!G$45)*MAX(F$71,0)</f>
        <v>0</v>
      </c>
      <c r="G88" s="191">
        <f ca="1">('Input 4 - Forecast'!H69/'Input 4 - Forecast'!H$45)*MAX(G$71,0)</f>
        <v>0</v>
      </c>
      <c r="I88" s="211" t="str">
        <f>'Input 4 - Forecast'!J69</f>
        <v>Annual</v>
      </c>
      <c r="J88" s="211">
        <f>'Input 4 - Forecast'!K69</f>
        <v>0</v>
      </c>
      <c r="K88" s="19">
        <f>'Input 4 - Forecast'!L69</f>
        <v>0</v>
      </c>
      <c r="L88" s="212">
        <f>'Input 4 - Forecast'!M69+B$33/10000</f>
        <v>0</v>
      </c>
      <c r="M88" s="212">
        <f>'Input 4 - Forecast'!N69+C$33/10000</f>
        <v>0.18606977230199898</v>
      </c>
      <c r="N88" s="212">
        <f>'Input 4 - Forecast'!O69+D$33/10000</f>
        <v>0.18606977230199898</v>
      </c>
      <c r="O88" s="212">
        <f>'Input 4 - Forecast'!P69+E$33/10000</f>
        <v>0.18606977230199898</v>
      </c>
      <c r="P88" s="212">
        <f>'Input 4 - Forecast'!Q69+F$33/10000</f>
        <v>0.18606977230199898</v>
      </c>
      <c r="Q88" s="213">
        <f>'Input 4 - Forecast'!R69+G$33/10000</f>
        <v>0.18606977230199898</v>
      </c>
    </row>
    <row r="89" spans="1:17">
      <c r="A89" s="215" t="s">
        <v>27</v>
      </c>
      <c r="B89" s="190">
        <f>('Input 4 - Forecast'!C70/'Input 4 - Forecast'!C$45)*MAX(B$71,0)</f>
        <v>0</v>
      </c>
      <c r="C89" s="13">
        <f ca="1">('Input 4 - Forecast'!D70/'Input 4 - Forecast'!D$45)*MAX(C$71,0)</f>
        <v>0</v>
      </c>
      <c r="D89" s="13">
        <f ca="1">('Input 4 - Forecast'!E70/'Input 4 - Forecast'!E$45)*MAX(D$71,0)</f>
        <v>0</v>
      </c>
      <c r="E89" s="13">
        <f ca="1">('Input 4 - Forecast'!F70/'Input 4 - Forecast'!F$45)*MAX(E$71,0)</f>
        <v>0</v>
      </c>
      <c r="F89" s="13">
        <f ca="1">('Input 4 - Forecast'!G70/'Input 4 - Forecast'!G$45)*MAX(F$71,0)</f>
        <v>0</v>
      </c>
      <c r="G89" s="191">
        <f ca="1">('Input 4 - Forecast'!H70/'Input 4 - Forecast'!H$45)*MAX(G$71,0)</f>
        <v>0</v>
      </c>
      <c r="I89" s="211"/>
      <c r="J89" s="211">
        <f>'Input 4 - Forecast'!K70</f>
        <v>0</v>
      </c>
      <c r="K89" s="19">
        <f>'Input 4 - Forecast'!L70</f>
        <v>0</v>
      </c>
      <c r="L89" s="212">
        <f>'Input 4 - Forecast'!M70+B$33/10000</f>
        <v>0</v>
      </c>
      <c r="M89" s="212">
        <f>'Input 4 - Forecast'!N70+C$33/10000</f>
        <v>0.18606977230199898</v>
      </c>
      <c r="N89" s="212">
        <f>'Input 4 - Forecast'!O70+D$33/10000</f>
        <v>0.18606977230199898</v>
      </c>
      <c r="O89" s="212">
        <f>'Input 4 - Forecast'!P70+E$33/10000</f>
        <v>0.18606977230199898</v>
      </c>
      <c r="P89" s="212">
        <f>'Input 4 - Forecast'!Q70+F$33/10000</f>
        <v>0.18606977230199898</v>
      </c>
      <c r="Q89" s="213">
        <f>'Input 4 - Forecast'!R70+G$33/10000</f>
        <v>0.18606977230199898</v>
      </c>
    </row>
    <row r="90" spans="1:17">
      <c r="A90" s="3" t="s">
        <v>1178</v>
      </c>
      <c r="B90" s="190"/>
      <c r="C90" s="13"/>
      <c r="D90" s="13"/>
      <c r="E90" s="13"/>
      <c r="F90" s="13"/>
      <c r="G90" s="191"/>
      <c r="I90" s="211"/>
      <c r="J90" s="211"/>
      <c r="K90" s="19"/>
      <c r="L90" s="19"/>
      <c r="M90" s="19"/>
      <c r="N90" s="19"/>
      <c r="O90" s="19"/>
      <c r="P90" s="19"/>
      <c r="Q90" s="214"/>
    </row>
    <row r="91" spans="1:17">
      <c r="A91" s="206" t="s">
        <v>13</v>
      </c>
      <c r="B91" s="190"/>
      <c r="C91" s="13"/>
      <c r="D91" s="13"/>
      <c r="E91" s="13"/>
      <c r="F91" s="13"/>
      <c r="G91" s="191"/>
      <c r="I91" s="211"/>
      <c r="J91" s="211"/>
      <c r="K91" s="19"/>
      <c r="L91" s="19"/>
      <c r="M91" s="19"/>
      <c r="N91" s="19"/>
      <c r="O91" s="19"/>
      <c r="P91" s="19"/>
      <c r="Q91" s="214"/>
    </row>
    <row r="92" spans="1:17" ht="30">
      <c r="A92" s="210" t="s">
        <v>0</v>
      </c>
      <c r="B92" s="190">
        <f>('Input 4 - Forecast'!C73/'Input 4 - Forecast'!C$45)*MAX(B$71,0)</f>
        <v>0</v>
      </c>
      <c r="C92" s="13">
        <f ca="1">('Input 4 - Forecast'!D73/'Input 4 - Forecast'!D$45)*MAX(C$71,0)</f>
        <v>0</v>
      </c>
      <c r="D92" s="13">
        <f ca="1">('Input 4 - Forecast'!E73/'Input 4 - Forecast'!E$45)*MAX(D$71,0)</f>
        <v>0</v>
      </c>
      <c r="E92" s="13">
        <f ca="1">('Input 4 - Forecast'!F73/'Input 4 - Forecast'!F$45)*MAX(E$71,0)</f>
        <v>0</v>
      </c>
      <c r="F92" s="13">
        <f ca="1">('Input 4 - Forecast'!G73/'Input 4 - Forecast'!G$45)*MAX(F$71,0)</f>
        <v>0</v>
      </c>
      <c r="G92" s="191">
        <f ca="1">('Input 4 - Forecast'!H73/'Input 4 - Forecast'!H$45)*MAX(G$71,0)</f>
        <v>0</v>
      </c>
      <c r="I92" s="211" t="str">
        <f>'Input 4 - Forecast'!J73</f>
        <v>Semi-annual</v>
      </c>
      <c r="J92" s="211">
        <f>'Input 4 - Forecast'!K73</f>
        <v>0</v>
      </c>
      <c r="K92" s="19">
        <f>'Input 4 - Forecast'!L73</f>
        <v>0</v>
      </c>
      <c r="L92" s="212">
        <f>'Input 4 - Forecast'!M73+B$33/10000</f>
        <v>0</v>
      </c>
      <c r="M92" s="212">
        <f>'Input 4 - Forecast'!N73+C$33/10000</f>
        <v>0.18606977230199898</v>
      </c>
      <c r="N92" s="212">
        <f>'Input 4 - Forecast'!O73+D$33/10000</f>
        <v>0.18606977230199898</v>
      </c>
      <c r="O92" s="212">
        <f>'Input 4 - Forecast'!P73+E$33/10000</f>
        <v>0.18606977230199898</v>
      </c>
      <c r="P92" s="212">
        <f>'Input 4 - Forecast'!Q73+F$33/10000</f>
        <v>0.18606977230199898</v>
      </c>
      <c r="Q92" s="213">
        <f>'Input 4 - Forecast'!R73+G$33/10000</f>
        <v>0.18606977230199898</v>
      </c>
    </row>
    <row r="93" spans="1:17" ht="30">
      <c r="A93" s="210" t="s">
        <v>1</v>
      </c>
      <c r="B93" s="190">
        <f>('Input 4 - Forecast'!C74/'Input 4 - Forecast'!C$45)*MAX(B$71,0)</f>
        <v>0</v>
      </c>
      <c r="C93" s="13">
        <f ca="1">('Input 4 - Forecast'!D74/'Input 4 - Forecast'!D$45)*MAX(C$71,0)</f>
        <v>0</v>
      </c>
      <c r="D93" s="13">
        <f ca="1">('Input 4 - Forecast'!E74/'Input 4 - Forecast'!E$45)*MAX(D$71,0)</f>
        <v>0</v>
      </c>
      <c r="E93" s="13">
        <f ca="1">('Input 4 - Forecast'!F74/'Input 4 - Forecast'!F$45)*MAX(E$71,0)</f>
        <v>0</v>
      </c>
      <c r="F93" s="13">
        <f ca="1">('Input 4 - Forecast'!G74/'Input 4 - Forecast'!G$45)*MAX(F$71,0)</f>
        <v>0</v>
      </c>
      <c r="G93" s="191">
        <f ca="1">('Input 4 - Forecast'!H74/'Input 4 - Forecast'!H$45)*MAX(G$71,0)</f>
        <v>0</v>
      </c>
      <c r="I93" s="211" t="str">
        <f>'Input 4 - Forecast'!J74</f>
        <v>Semi-annual</v>
      </c>
      <c r="J93" s="211">
        <f>'Input 4 - Forecast'!K74</f>
        <v>0</v>
      </c>
      <c r="K93" s="19">
        <f>'Input 4 - Forecast'!L74</f>
        <v>0</v>
      </c>
      <c r="L93" s="212">
        <f>'Input 4 - Forecast'!M74+B$33/10000</f>
        <v>0</v>
      </c>
      <c r="M93" s="212">
        <f>'Input 4 - Forecast'!N74+C$33/10000</f>
        <v>0.18606977230199898</v>
      </c>
      <c r="N93" s="212">
        <f>'Input 4 - Forecast'!O74+D$33/10000</f>
        <v>0.18606977230199898</v>
      </c>
      <c r="O93" s="212">
        <f>'Input 4 - Forecast'!P74+E$33/10000</f>
        <v>0.18606977230199898</v>
      </c>
      <c r="P93" s="212">
        <f>'Input 4 - Forecast'!Q74+F$33/10000</f>
        <v>0.18606977230199898</v>
      </c>
      <c r="Q93" s="213">
        <f>'Input 4 - Forecast'!R74+G$33/10000</f>
        <v>0.18606977230199898</v>
      </c>
    </row>
    <row r="94" spans="1:17">
      <c r="A94" s="206" t="s">
        <v>14</v>
      </c>
      <c r="B94" s="190"/>
      <c r="C94" s="13"/>
      <c r="D94" s="13"/>
      <c r="E94" s="13"/>
      <c r="F94" s="13"/>
      <c r="G94" s="191"/>
      <c r="I94" s="211"/>
      <c r="J94" s="211"/>
      <c r="K94" s="19"/>
      <c r="L94" s="19"/>
      <c r="M94" s="19"/>
      <c r="N94" s="19"/>
      <c r="O94" s="19"/>
      <c r="P94" s="19"/>
      <c r="Q94" s="214"/>
    </row>
    <row r="95" spans="1:17">
      <c r="A95" s="210" t="s">
        <v>0</v>
      </c>
      <c r="B95" s="190"/>
      <c r="C95" s="13"/>
      <c r="D95" s="13"/>
      <c r="E95" s="13"/>
      <c r="F95" s="13"/>
      <c r="G95" s="191"/>
      <c r="I95" s="211"/>
      <c r="J95" s="211"/>
      <c r="K95" s="19"/>
      <c r="L95" s="19"/>
      <c r="M95" s="19"/>
      <c r="N95" s="19"/>
      <c r="O95" s="19"/>
      <c r="P95" s="19"/>
      <c r="Q95" s="214"/>
    </row>
    <row r="96" spans="1:17">
      <c r="A96" s="215" t="s">
        <v>28</v>
      </c>
      <c r="B96" s="190">
        <f>('Input 4 - Forecast'!C77/'Input 4 - Forecast'!C$45)*MAX(B$71,0)</f>
        <v>499.99798625313935</v>
      </c>
      <c r="C96" s="13">
        <f ca="1">('Input 4 - Forecast'!D77/'Input 4 - Forecast'!D$45)*MAX(C$71,0)</f>
        <v>0</v>
      </c>
      <c r="D96" s="13">
        <f ca="1">('Input 4 - Forecast'!E77/'Input 4 - Forecast'!E$45)*MAX(D$71,0)</f>
        <v>0</v>
      </c>
      <c r="E96" s="13">
        <f ca="1">('Input 4 - Forecast'!F77/'Input 4 - Forecast'!F$45)*MAX(E$71,0)</f>
        <v>0</v>
      </c>
      <c r="F96" s="13">
        <f ca="1">('Input 4 - Forecast'!G77/'Input 4 - Forecast'!G$45)*MAX(F$71,0)</f>
        <v>0</v>
      </c>
      <c r="G96" s="191">
        <f ca="1">('Input 4 - Forecast'!H77/'Input 4 - Forecast'!H$45)*MAX(G$71,0)</f>
        <v>0</v>
      </c>
      <c r="I96" s="211" t="str">
        <f>'Input 4 - Forecast'!J77</f>
        <v>Annual</v>
      </c>
      <c r="J96" s="211">
        <f>'Input 4 - Forecast'!K77</f>
        <v>10</v>
      </c>
      <c r="K96" s="19">
        <f>'Input 4 - Forecast'!L77</f>
        <v>10</v>
      </c>
      <c r="L96" s="212">
        <f>'Input 4 - Forecast'!M77+B$33/10000</f>
        <v>1.125E-2</v>
      </c>
      <c r="M96" s="212">
        <f>'Input 4 - Forecast'!N77+C$33/10000</f>
        <v>0.20481977230199896</v>
      </c>
      <c r="N96" s="212">
        <f>'Input 4 - Forecast'!O77+D$33/10000</f>
        <v>0.20806977230199897</v>
      </c>
      <c r="O96" s="212">
        <f>'Input 4 - Forecast'!P77+E$33/10000</f>
        <v>0.20806977230199897</v>
      </c>
      <c r="P96" s="212">
        <f>'Input 4 - Forecast'!Q77+F$33/10000</f>
        <v>0.20806977230199897</v>
      </c>
      <c r="Q96" s="213">
        <f>'Input 4 - Forecast'!R77+G$33/10000</f>
        <v>0.20806977230199897</v>
      </c>
    </row>
    <row r="97" spans="1:27">
      <c r="A97" s="215" t="s">
        <v>29</v>
      </c>
      <c r="B97" s="190">
        <f>('Input 4 - Forecast'!C78/'Input 4 - Forecast'!C$45)*MAX(B$71,0)</f>
        <v>499.99798625313935</v>
      </c>
      <c r="C97" s="13">
        <f ca="1">('Input 4 - Forecast'!D78/'Input 4 - Forecast'!D$45)*MAX(C$71,0)</f>
        <v>0</v>
      </c>
      <c r="D97" s="13">
        <f ca="1">('Input 4 - Forecast'!E78/'Input 4 - Forecast'!E$45)*MAX(D$71,0)</f>
        <v>0</v>
      </c>
      <c r="E97" s="13">
        <f ca="1">('Input 4 - Forecast'!F78/'Input 4 - Forecast'!F$45)*MAX(E$71,0)</f>
        <v>0</v>
      </c>
      <c r="F97" s="13">
        <f ca="1">('Input 4 - Forecast'!G78/'Input 4 - Forecast'!G$45)*MAX(F$71,0)</f>
        <v>0</v>
      </c>
      <c r="G97" s="191">
        <f ca="1">('Input 4 - Forecast'!H78/'Input 4 - Forecast'!H$45)*MAX(G$71,0)</f>
        <v>0</v>
      </c>
      <c r="I97" s="211" t="str">
        <f>'Input 4 - Forecast'!J78</f>
        <v>Annual</v>
      </c>
      <c r="J97" s="211">
        <f>'Input 4 - Forecast'!K78</f>
        <v>30</v>
      </c>
      <c r="K97" s="19">
        <f>'Input 4 - Forecast'!L78</f>
        <v>30</v>
      </c>
      <c r="L97" s="212">
        <f>'Input 4 - Forecast'!M78+B$33/10000</f>
        <v>2.2499999999999999E-2</v>
      </c>
      <c r="M97" s="212">
        <f>'Input 4 - Forecast'!N78+C$33/10000</f>
        <v>0.18606977230199898</v>
      </c>
      <c r="N97" s="212">
        <f>'Input 4 - Forecast'!O78+D$33/10000</f>
        <v>0.18606977230199898</v>
      </c>
      <c r="O97" s="212">
        <f>'Input 4 - Forecast'!P78+E$33/10000</f>
        <v>0.18606977230199898</v>
      </c>
      <c r="P97" s="212">
        <f>'Input 4 - Forecast'!Q78+F$33/10000</f>
        <v>0.18606977230199898</v>
      </c>
      <c r="Q97" s="213">
        <f>'Input 4 - Forecast'!R78+G$33/10000</f>
        <v>0.18606977230199898</v>
      </c>
    </row>
    <row r="98" spans="1:27">
      <c r="A98" s="215" t="s">
        <v>30</v>
      </c>
      <c r="B98" s="190">
        <f>('Input 4 - Forecast'!C79/'Input 4 - Forecast'!C$45)*MAX(B$71,0)</f>
        <v>0</v>
      </c>
      <c r="C98" s="13">
        <f ca="1">('Input 4 - Forecast'!D79/'Input 4 - Forecast'!D$45)*MAX(C$71,0)</f>
        <v>0</v>
      </c>
      <c r="D98" s="13">
        <f ca="1">('Input 4 - Forecast'!E79/'Input 4 - Forecast'!E$45)*MAX(D$71,0)</f>
        <v>0</v>
      </c>
      <c r="E98" s="13">
        <f ca="1">('Input 4 - Forecast'!F79/'Input 4 - Forecast'!F$45)*MAX(E$71,0)</f>
        <v>0</v>
      </c>
      <c r="F98" s="13">
        <f ca="1">('Input 4 - Forecast'!G79/'Input 4 - Forecast'!G$45)*MAX(F$71,0)</f>
        <v>0</v>
      </c>
      <c r="G98" s="191">
        <f ca="1">('Input 4 - Forecast'!H79/'Input 4 - Forecast'!H$45)*MAX(G$71,0)</f>
        <v>0</v>
      </c>
      <c r="I98" s="211" t="str">
        <f>'Input 4 - Forecast'!J79</f>
        <v>Annual</v>
      </c>
      <c r="J98" s="211">
        <f>'Input 4 - Forecast'!K79</f>
        <v>0</v>
      </c>
      <c r="K98" s="19">
        <f>'Input 4 - Forecast'!L79</f>
        <v>0</v>
      </c>
      <c r="L98" s="212">
        <f>'Input 4 - Forecast'!M79+B$33/10000</f>
        <v>0</v>
      </c>
      <c r="M98" s="212">
        <f>'Input 4 - Forecast'!N79+C$33/10000</f>
        <v>0.18606977230199898</v>
      </c>
      <c r="N98" s="212">
        <f>'Input 4 - Forecast'!O79+D$33/10000</f>
        <v>0.18606977230199898</v>
      </c>
      <c r="O98" s="212">
        <f>'Input 4 - Forecast'!P79+E$33/10000</f>
        <v>0.18606977230199898</v>
      </c>
      <c r="P98" s="212">
        <f>'Input 4 - Forecast'!Q79+F$33/10000</f>
        <v>0.18606977230199898</v>
      </c>
      <c r="Q98" s="213">
        <f>'Input 4 - Forecast'!R79+G$33/10000</f>
        <v>0.18606977230199898</v>
      </c>
    </row>
    <row r="99" spans="1:27">
      <c r="A99" s="215" t="s">
        <v>31</v>
      </c>
      <c r="B99" s="190">
        <f>('Input 4 - Forecast'!C80/'Input 4 - Forecast'!C$45)*MAX(B$71,0)</f>
        <v>0</v>
      </c>
      <c r="C99" s="13">
        <f ca="1">('Input 4 - Forecast'!D80/'Input 4 - Forecast'!D$45)*MAX(C$71,0)</f>
        <v>0</v>
      </c>
      <c r="D99" s="13">
        <f ca="1">('Input 4 - Forecast'!E80/'Input 4 - Forecast'!E$45)*MAX(D$71,0)</f>
        <v>0</v>
      </c>
      <c r="E99" s="13">
        <f ca="1">('Input 4 - Forecast'!F80/'Input 4 - Forecast'!F$45)*MAX(E$71,0)</f>
        <v>0</v>
      </c>
      <c r="F99" s="13">
        <f ca="1">('Input 4 - Forecast'!G80/'Input 4 - Forecast'!G$45)*MAX(F$71,0)</f>
        <v>0</v>
      </c>
      <c r="G99" s="191">
        <f ca="1">('Input 4 - Forecast'!H80/'Input 4 - Forecast'!H$45)*MAX(G$71,0)</f>
        <v>0</v>
      </c>
      <c r="I99" s="211" t="str">
        <f>'Input 4 - Forecast'!J80</f>
        <v>Annual</v>
      </c>
      <c r="J99" s="211">
        <f>'Input 4 - Forecast'!K80</f>
        <v>0</v>
      </c>
      <c r="K99" s="19">
        <f>'Input 4 - Forecast'!L80</f>
        <v>0</v>
      </c>
      <c r="L99" s="212">
        <f>'Input 4 - Forecast'!M80+B$33/10000</f>
        <v>0</v>
      </c>
      <c r="M99" s="212">
        <f>'Input 4 - Forecast'!N80+C$33/10000</f>
        <v>0.18606977230199898</v>
      </c>
      <c r="N99" s="212">
        <f>'Input 4 - Forecast'!O80+D$33/10000</f>
        <v>0.18606977230199898</v>
      </c>
      <c r="O99" s="212">
        <f>'Input 4 - Forecast'!P80+E$33/10000</f>
        <v>0.18606977230199898</v>
      </c>
      <c r="P99" s="212">
        <f>'Input 4 - Forecast'!Q80+F$33/10000</f>
        <v>0.18606977230199898</v>
      </c>
      <c r="Q99" s="213">
        <f>'Input 4 - Forecast'!R80+G$33/10000</f>
        <v>0.18606977230199898</v>
      </c>
    </row>
    <row r="100" spans="1:27">
      <c r="A100" s="215" t="s">
        <v>32</v>
      </c>
      <c r="B100" s="190">
        <f>('Input 4 - Forecast'!C81/'Input 4 - Forecast'!C$45)*MAX(B$71,0)</f>
        <v>0</v>
      </c>
      <c r="C100" s="13">
        <f ca="1">('Input 4 - Forecast'!D81/'Input 4 - Forecast'!D$45)*MAX(C$71,0)</f>
        <v>0</v>
      </c>
      <c r="D100" s="13">
        <f ca="1">('Input 4 - Forecast'!E81/'Input 4 - Forecast'!E$45)*MAX(D$71,0)</f>
        <v>0</v>
      </c>
      <c r="E100" s="13">
        <f ca="1">('Input 4 - Forecast'!F81/'Input 4 - Forecast'!F$45)*MAX(E$71,0)</f>
        <v>0</v>
      </c>
      <c r="F100" s="13">
        <f ca="1">('Input 4 - Forecast'!G81/'Input 4 - Forecast'!G$45)*MAX(F$71,0)</f>
        <v>0</v>
      </c>
      <c r="G100" s="191">
        <f ca="1">('Input 4 - Forecast'!H81/'Input 4 - Forecast'!H$45)*MAX(G$71,0)</f>
        <v>0</v>
      </c>
      <c r="I100" s="211"/>
      <c r="J100" s="211">
        <f>'Input 4 - Forecast'!K81</f>
        <v>0</v>
      </c>
      <c r="K100" s="19">
        <f>'Input 4 - Forecast'!L81</f>
        <v>0</v>
      </c>
      <c r="L100" s="212">
        <f>'Input 4 - Forecast'!M81+B$33/10000</f>
        <v>0</v>
      </c>
      <c r="M100" s="212">
        <f>'Input 4 - Forecast'!N81+C$33/10000</f>
        <v>0.18606977230199898</v>
      </c>
      <c r="N100" s="212">
        <f>'Input 4 - Forecast'!O81+D$33/10000</f>
        <v>0.18606977230199898</v>
      </c>
      <c r="O100" s="212">
        <f>'Input 4 - Forecast'!P81+E$33/10000</f>
        <v>0.18606977230199898</v>
      </c>
      <c r="P100" s="212">
        <f>'Input 4 - Forecast'!Q81+F$33/10000</f>
        <v>0.18606977230199898</v>
      </c>
      <c r="Q100" s="213">
        <f>'Input 4 - Forecast'!R81+G$33/10000</f>
        <v>0.18606977230199898</v>
      </c>
    </row>
    <row r="101" spans="1:27">
      <c r="A101" s="210" t="s">
        <v>1</v>
      </c>
      <c r="B101" s="190"/>
      <c r="C101" s="13"/>
      <c r="D101" s="13"/>
      <c r="E101" s="13"/>
      <c r="F101" s="13"/>
      <c r="G101" s="191"/>
      <c r="I101" s="211"/>
      <c r="J101" s="211"/>
      <c r="K101" s="19"/>
      <c r="L101" s="19"/>
      <c r="M101" s="19"/>
      <c r="N101" s="19"/>
      <c r="O101" s="19"/>
      <c r="P101" s="19"/>
      <c r="Q101" s="214"/>
    </row>
    <row r="102" spans="1:27">
      <c r="A102" s="215" t="s">
        <v>33</v>
      </c>
      <c r="B102" s="190">
        <f>('Input 4 - Forecast'!C83/'Input 4 - Forecast'!C$45)*MAX(B$71,0)</f>
        <v>0</v>
      </c>
      <c r="C102" s="13">
        <f ca="1">('Input 4 - Forecast'!D83/'Input 4 - Forecast'!D$45)*MAX(C$71,0)</f>
        <v>0</v>
      </c>
      <c r="D102" s="13">
        <f ca="1">('Input 4 - Forecast'!E83/'Input 4 - Forecast'!E$45)*MAX(D$71,0)</f>
        <v>0</v>
      </c>
      <c r="E102" s="13">
        <f ca="1">('Input 4 - Forecast'!F83/'Input 4 - Forecast'!F$45)*MAX(E$71,0)</f>
        <v>0</v>
      </c>
      <c r="F102" s="13">
        <f ca="1">('Input 4 - Forecast'!G83/'Input 4 - Forecast'!G$45)*MAX(F$71,0)</f>
        <v>0</v>
      </c>
      <c r="G102" s="191">
        <f ca="1">('Input 4 - Forecast'!H83/'Input 4 - Forecast'!H$45)*MAX(G$71,0)</f>
        <v>0</v>
      </c>
      <c r="I102" s="211" t="str">
        <f>'Input 4 - Forecast'!J83</f>
        <v>Annual</v>
      </c>
      <c r="J102" s="211">
        <f>'Input 4 - Forecast'!K83</f>
        <v>0</v>
      </c>
      <c r="K102" s="19">
        <f>'Input 4 - Forecast'!L83</f>
        <v>0</v>
      </c>
      <c r="L102" s="212">
        <f>'Input 4 - Forecast'!M83+B$33/10000</f>
        <v>0</v>
      </c>
      <c r="M102" s="212">
        <f>'Input 4 - Forecast'!N83+C$33/10000</f>
        <v>0.18606977230199898</v>
      </c>
      <c r="N102" s="212">
        <f>'Input 4 - Forecast'!O83+D$33/10000</f>
        <v>0.18606977230199898</v>
      </c>
      <c r="O102" s="212">
        <f>'Input 4 - Forecast'!P83+E$33/10000</f>
        <v>0.18606977230199898</v>
      </c>
      <c r="P102" s="212">
        <f>'Input 4 - Forecast'!Q83+F$33/10000</f>
        <v>0.18606977230199898</v>
      </c>
      <c r="Q102" s="213">
        <f>'Input 4 - Forecast'!R83+G$33/10000</f>
        <v>0.18606977230199898</v>
      </c>
    </row>
    <row r="103" spans="1:27">
      <c r="A103" s="215" t="s">
        <v>34</v>
      </c>
      <c r="B103" s="190">
        <f>('Input 4 - Forecast'!C84/'Input 4 - Forecast'!C$45)*MAX(B$71,0)</f>
        <v>0</v>
      </c>
      <c r="C103" s="13">
        <f ca="1">('Input 4 - Forecast'!D84/'Input 4 - Forecast'!D$45)*MAX(C$71,0)</f>
        <v>0</v>
      </c>
      <c r="D103" s="13">
        <f ca="1">('Input 4 - Forecast'!E84/'Input 4 - Forecast'!E$45)*MAX(D$71,0)</f>
        <v>0</v>
      </c>
      <c r="E103" s="13">
        <f ca="1">('Input 4 - Forecast'!F84/'Input 4 - Forecast'!F$45)*MAX(E$71,0)</f>
        <v>0</v>
      </c>
      <c r="F103" s="13">
        <f ca="1">('Input 4 - Forecast'!G84/'Input 4 - Forecast'!G$45)*MAX(F$71,0)</f>
        <v>0</v>
      </c>
      <c r="G103" s="191">
        <f ca="1">('Input 4 - Forecast'!H84/'Input 4 - Forecast'!H$45)*MAX(G$71,0)</f>
        <v>0</v>
      </c>
      <c r="I103" s="211" t="str">
        <f>'Input 4 - Forecast'!J84</f>
        <v>Annual</v>
      </c>
      <c r="J103" s="211">
        <f>'Input 4 - Forecast'!K84</f>
        <v>0</v>
      </c>
      <c r="K103" s="19">
        <f>'Input 4 - Forecast'!L84</f>
        <v>0</v>
      </c>
      <c r="L103" s="212">
        <f>'Input 4 - Forecast'!M84+B$33/10000</f>
        <v>0</v>
      </c>
      <c r="M103" s="212">
        <f>'Input 4 - Forecast'!N84+C$33/10000</f>
        <v>0.18606977230199898</v>
      </c>
      <c r="N103" s="212">
        <f>'Input 4 - Forecast'!O84+D$33/10000</f>
        <v>0.18606977230199898</v>
      </c>
      <c r="O103" s="212">
        <f>'Input 4 - Forecast'!P84+E$33/10000</f>
        <v>0.18606977230199898</v>
      </c>
      <c r="P103" s="212">
        <f>'Input 4 - Forecast'!Q84+F$33/10000</f>
        <v>0.18606977230199898</v>
      </c>
      <c r="Q103" s="213">
        <f>'Input 4 - Forecast'!R84+G$33/10000</f>
        <v>0.18606977230199898</v>
      </c>
    </row>
    <row r="104" spans="1:27">
      <c r="A104" s="215" t="s">
        <v>35</v>
      </c>
      <c r="B104" s="190">
        <f>('Input 4 - Forecast'!C85/'Input 4 - Forecast'!C$45)*MAX(B$71,0)</f>
        <v>0</v>
      </c>
      <c r="C104" s="13">
        <f ca="1">('Input 4 - Forecast'!D85/'Input 4 - Forecast'!D$45)*MAX(C$71,0)</f>
        <v>0</v>
      </c>
      <c r="D104" s="13">
        <f ca="1">('Input 4 - Forecast'!E85/'Input 4 - Forecast'!E$45)*MAX(D$71,0)</f>
        <v>0</v>
      </c>
      <c r="E104" s="13">
        <f ca="1">('Input 4 - Forecast'!F85/'Input 4 - Forecast'!F$45)*MAX(E$71,0)</f>
        <v>0</v>
      </c>
      <c r="F104" s="13">
        <f ca="1">('Input 4 - Forecast'!G85/'Input 4 - Forecast'!G$45)*MAX(F$71,0)</f>
        <v>0</v>
      </c>
      <c r="G104" s="191">
        <f ca="1">('Input 4 - Forecast'!H85/'Input 4 - Forecast'!H$45)*MAX(G$71,0)</f>
        <v>0</v>
      </c>
      <c r="I104" s="211" t="str">
        <f>'Input 4 - Forecast'!J85</f>
        <v>Annual</v>
      </c>
      <c r="J104" s="211">
        <f>'Input 4 - Forecast'!K85</f>
        <v>0</v>
      </c>
      <c r="K104" s="19">
        <f>'Input 4 - Forecast'!L85</f>
        <v>0</v>
      </c>
      <c r="L104" s="212">
        <f>'Input 4 - Forecast'!M85+B$33/10000</f>
        <v>0</v>
      </c>
      <c r="M104" s="212">
        <f>'Input 4 - Forecast'!N85+C$33/10000</f>
        <v>0.18606977230199898</v>
      </c>
      <c r="N104" s="212">
        <f>'Input 4 - Forecast'!O85+D$33/10000</f>
        <v>0.18606977230199898</v>
      </c>
      <c r="O104" s="212">
        <f>'Input 4 - Forecast'!P85+E$33/10000</f>
        <v>0.18606977230199898</v>
      </c>
      <c r="P104" s="212">
        <f>'Input 4 - Forecast'!Q85+F$33/10000</f>
        <v>0.18606977230199898</v>
      </c>
      <c r="Q104" s="213">
        <f>'Input 4 - Forecast'!R85+G$33/10000</f>
        <v>0.18606977230199898</v>
      </c>
    </row>
    <row r="105" spans="1:27">
      <c r="A105" s="215" t="s">
        <v>36</v>
      </c>
      <c r="B105" s="190">
        <f>('Input 4 - Forecast'!C86/'Input 4 - Forecast'!C$45)*MAX(B$71,0)</f>
        <v>0</v>
      </c>
      <c r="C105" s="13">
        <f ca="1">('Input 4 - Forecast'!D86/'Input 4 - Forecast'!D$45)*MAX(C$71,0)</f>
        <v>0</v>
      </c>
      <c r="D105" s="13">
        <f ca="1">('Input 4 - Forecast'!E86/'Input 4 - Forecast'!E$45)*MAX(D$71,0)</f>
        <v>0</v>
      </c>
      <c r="E105" s="13">
        <f ca="1">('Input 4 - Forecast'!F86/'Input 4 - Forecast'!F$45)*MAX(E$71,0)</f>
        <v>0</v>
      </c>
      <c r="F105" s="13">
        <f ca="1">('Input 4 - Forecast'!G86/'Input 4 - Forecast'!G$45)*MAX(F$71,0)</f>
        <v>0</v>
      </c>
      <c r="G105" s="191">
        <f ca="1">('Input 4 - Forecast'!H86/'Input 4 - Forecast'!H$45)*MAX(G$71,0)</f>
        <v>0</v>
      </c>
      <c r="I105" s="211" t="str">
        <f>'Input 4 - Forecast'!J86</f>
        <v>Annual</v>
      </c>
      <c r="J105" s="211">
        <f>'Input 4 - Forecast'!K86</f>
        <v>0</v>
      </c>
      <c r="K105" s="19">
        <f>'Input 4 - Forecast'!L86</f>
        <v>0</v>
      </c>
      <c r="L105" s="212">
        <f>'Input 4 - Forecast'!M86+B$33/10000</f>
        <v>0</v>
      </c>
      <c r="M105" s="212">
        <f>'Input 4 - Forecast'!N86+C$33/10000</f>
        <v>0.18606977230199898</v>
      </c>
      <c r="N105" s="212">
        <f>'Input 4 - Forecast'!O86+D$33/10000</f>
        <v>0.18606977230199898</v>
      </c>
      <c r="O105" s="212">
        <f>'Input 4 - Forecast'!P86+E$33/10000</f>
        <v>0.18606977230199898</v>
      </c>
      <c r="P105" s="212">
        <f>'Input 4 - Forecast'!Q86+F$33/10000</f>
        <v>0.18606977230199898</v>
      </c>
      <c r="Q105" s="213">
        <f>'Input 4 - Forecast'!R86+G$33/10000</f>
        <v>0.18606977230199898</v>
      </c>
    </row>
    <row r="106" spans="1:27" ht="15.75" thickBot="1">
      <c r="A106" s="216" t="s">
        <v>37</v>
      </c>
      <c r="B106" s="192">
        <f>('Input 4 - Forecast'!C87/'Input 4 - Forecast'!C$45)*MAX(B$71,0)</f>
        <v>0</v>
      </c>
      <c r="C106" s="193">
        <f ca="1">('Input 4 - Forecast'!D87/'Input 4 - Forecast'!D$45)*MAX(C$71,0)</f>
        <v>0</v>
      </c>
      <c r="D106" s="193">
        <f ca="1">('Input 4 - Forecast'!E87/'Input 4 - Forecast'!E$45)*MAX(D$71,0)</f>
        <v>0</v>
      </c>
      <c r="E106" s="193">
        <f ca="1">('Input 4 - Forecast'!F87/'Input 4 - Forecast'!F$45)*MAX(E$71,0)</f>
        <v>0</v>
      </c>
      <c r="F106" s="193">
        <f ca="1">('Input 4 - Forecast'!G87/'Input 4 - Forecast'!G$45)*MAX(F$71,0)</f>
        <v>0</v>
      </c>
      <c r="G106" s="194">
        <f ca="1">('Input 4 - Forecast'!H87/'Input 4 - Forecast'!H$45)*MAX(G$71,0)</f>
        <v>0</v>
      </c>
      <c r="I106" s="217"/>
      <c r="J106" s="217">
        <f>'Input 4 - Forecast'!K87</f>
        <v>0</v>
      </c>
      <c r="K106" s="218">
        <f>'Input 4 - Forecast'!L87</f>
        <v>0</v>
      </c>
      <c r="L106" s="219">
        <f>'Input 4 - Forecast'!M87+B$33/10000</f>
        <v>0</v>
      </c>
      <c r="M106" s="219">
        <f>'Input 4 - Forecast'!N87+C$33/10000</f>
        <v>0.18606977230199898</v>
      </c>
      <c r="N106" s="219">
        <f>'Input 4 - Forecast'!O87+D$33/10000</f>
        <v>0.18606977230199898</v>
      </c>
      <c r="O106" s="219">
        <f>'Input 4 - Forecast'!P87+E$33/10000</f>
        <v>0.18606977230199898</v>
      </c>
      <c r="P106" s="219">
        <f>'Input 4 - Forecast'!Q87+F$33/10000</f>
        <v>0.18606977230199898</v>
      </c>
      <c r="Q106" s="220">
        <f>'Input 4 - Forecast'!R87+G$33/10000</f>
        <v>0.18606977230199898</v>
      </c>
    </row>
    <row r="107" spans="1:27" ht="15.75" thickBot="1">
      <c r="B107" s="195"/>
      <c r="C107" s="195"/>
      <c r="D107" s="195"/>
      <c r="E107" s="195"/>
      <c r="F107" s="195"/>
      <c r="G107" s="195"/>
      <c r="I107" s="184"/>
      <c r="J107" s="184"/>
      <c r="K107" s="184"/>
      <c r="L107" s="184"/>
      <c r="M107" s="184"/>
      <c r="N107" s="184"/>
      <c r="O107" s="184"/>
      <c r="P107" s="184"/>
      <c r="Q107" s="184"/>
    </row>
    <row r="108" spans="1:27" ht="15.75" thickBot="1">
      <c r="A108" s="200" t="s">
        <v>1179</v>
      </c>
      <c r="B108" s="201">
        <f>('Input 4 - Forecast'!C89/'Input 4 - Forecast'!C$45)*MAX(B$71,0)</f>
        <v>-267.59452840452661</v>
      </c>
      <c r="C108" s="202">
        <f ca="1">('Input 4 - Forecast'!D89/'Input 4 - Forecast'!D$45)*MAX(C$71,0)</f>
        <v>1808.3804037295163</v>
      </c>
      <c r="D108" s="202">
        <f ca="1">('Input 4 - Forecast'!E89/'Input 4 - Forecast'!E$45)*MAX(D$71,0)</f>
        <v>3644.3789574433354</v>
      </c>
      <c r="E108" s="202">
        <f ca="1">('Input 4 - Forecast'!F89/'Input 4 - Forecast'!F$45)*MAX(E$71,0)</f>
        <v>5917.2181590086975</v>
      </c>
      <c r="F108" s="202">
        <f ca="1">('Input 4 - Forecast'!G89/'Input 4 - Forecast'!G$45)*MAX(F$71,0)</f>
        <v>7544.6646548647432</v>
      </c>
      <c r="G108" s="203">
        <f ca="1">('Input 4 - Forecast'!H89/'Input 4 - Forecast'!H$45)*MAX(G$71,0)</f>
        <v>9262.2852295063094</v>
      </c>
      <c r="I108" s="221"/>
      <c r="J108" s="221">
        <f>'Input 4 - Forecast'!K89</f>
        <v>1</v>
      </c>
      <c r="K108" s="222">
        <f>'Input 4 - Forecast'!L89</f>
        <v>1</v>
      </c>
      <c r="L108" s="223">
        <f>'Input 4 - Forecast'!M89+B$33/10000</f>
        <v>0</v>
      </c>
      <c r="M108" s="223">
        <f>'Input 4 - Forecast'!N89+C$33/10000</f>
        <v>0.18606977230199898</v>
      </c>
      <c r="N108" s="223">
        <f>'Input 4 - Forecast'!O89+D$33/10000</f>
        <v>0.18606977230199898</v>
      </c>
      <c r="O108" s="223">
        <f>'Input 4 - Forecast'!P89+E$33/10000</f>
        <v>0.18606977230199898</v>
      </c>
      <c r="P108" s="223">
        <f>'Input 4 - Forecast'!Q89+F$33/10000</f>
        <v>0.18606977230199898</v>
      </c>
      <c r="Q108" s="224">
        <f>'Input 4 - Forecast'!R89+G$33/10000</f>
        <v>0.18606977230199898</v>
      </c>
    </row>
    <row r="109" spans="1:27">
      <c r="B109" s="7"/>
      <c r="C109" s="7"/>
      <c r="D109" s="7"/>
      <c r="E109" s="7"/>
      <c r="F109" s="7"/>
      <c r="G109" s="7"/>
      <c r="I109" s="184"/>
      <c r="J109" s="184"/>
      <c r="K109" s="184"/>
      <c r="L109" s="184"/>
      <c r="M109" s="184"/>
      <c r="N109" s="184"/>
      <c r="O109" s="184"/>
      <c r="P109" s="184"/>
    </row>
    <row r="111" spans="1:27" ht="15.75" thickBot="1">
      <c r="H111" s="7">
        <f>'Input 4 - Forecast'!C9</f>
        <v>2018</v>
      </c>
      <c r="I111" s="7">
        <f>H111+1</f>
        <v>2019</v>
      </c>
      <c r="J111" s="7">
        <f>I111+1</f>
        <v>2020</v>
      </c>
      <c r="K111" s="7">
        <f>J111+1</f>
        <v>2021</v>
      </c>
      <c r="L111" s="7">
        <f>K111+1</f>
        <v>2022</v>
      </c>
      <c r="M111" s="7">
        <f>L111+1</f>
        <v>2023</v>
      </c>
      <c r="O111" s="7">
        <f t="shared" ref="O111:T111" si="22">H111</f>
        <v>2018</v>
      </c>
      <c r="P111" s="7">
        <f t="shared" si="22"/>
        <v>2019</v>
      </c>
      <c r="Q111" s="7">
        <f t="shared" si="22"/>
        <v>2020</v>
      </c>
      <c r="R111" s="7">
        <f t="shared" si="22"/>
        <v>2021</v>
      </c>
      <c r="S111" s="7">
        <f t="shared" si="22"/>
        <v>2022</v>
      </c>
      <c r="T111" s="7">
        <f t="shared" si="22"/>
        <v>2023</v>
      </c>
      <c r="V111" s="7">
        <f t="shared" ref="V111:AA111" si="23">O111</f>
        <v>2018</v>
      </c>
      <c r="W111" s="7">
        <f t="shared" si="23"/>
        <v>2019</v>
      </c>
      <c r="X111" s="7">
        <f t="shared" si="23"/>
        <v>2020</v>
      </c>
      <c r="Y111" s="7">
        <f t="shared" si="23"/>
        <v>2021</v>
      </c>
      <c r="Z111" s="7">
        <f t="shared" si="23"/>
        <v>2022</v>
      </c>
      <c r="AA111" s="7">
        <f t="shared" si="23"/>
        <v>2023</v>
      </c>
    </row>
    <row r="112" spans="1:27" ht="15.75" thickBot="1">
      <c r="A112" s="281"/>
      <c r="B112" s="2009" t="s">
        <v>44</v>
      </c>
      <c r="C112" s="2010"/>
      <c r="D112" s="2010"/>
      <c r="E112" s="2010"/>
      <c r="F112" s="2011"/>
      <c r="H112" s="2012" t="s">
        <v>40</v>
      </c>
      <c r="I112" s="2013"/>
      <c r="J112" s="2013"/>
      <c r="K112" s="2013"/>
      <c r="L112" s="2013"/>
      <c r="M112" s="2014"/>
      <c r="O112" s="2015" t="s">
        <v>46</v>
      </c>
      <c r="P112" s="2016"/>
      <c r="Q112" s="2016"/>
      <c r="R112" s="2016"/>
      <c r="S112" s="2016"/>
      <c r="T112" s="2017"/>
      <c r="V112" s="1996" t="s">
        <v>42</v>
      </c>
      <c r="W112" s="1997"/>
      <c r="X112" s="1997"/>
      <c r="Y112" s="1997"/>
      <c r="Z112" s="1997"/>
      <c r="AA112" s="1998"/>
    </row>
    <row r="113" spans="1:27">
      <c r="A113" s="281"/>
      <c r="B113" s="7" t="s">
        <v>45</v>
      </c>
      <c r="C113" s="281" t="s">
        <v>462</v>
      </c>
      <c r="D113" s="7" t="s">
        <v>43</v>
      </c>
      <c r="E113" s="7" t="s">
        <v>39</v>
      </c>
      <c r="F113" s="7" t="s">
        <v>41</v>
      </c>
    </row>
    <row r="114" spans="1:27">
      <c r="A114" s="17"/>
      <c r="B114" s="7"/>
      <c r="C114" s="7"/>
      <c r="D114" s="7"/>
      <c r="E114" s="7"/>
    </row>
    <row r="115" spans="1:27">
      <c r="A115" s="20" t="str">
        <f>'Input 4 - Forecast'!A50</f>
        <v>Issuance of New Debt to Fill Fiscal Needs</v>
      </c>
    </row>
    <row r="116" spans="1:27" customFormat="1" ht="15.75" thickBot="1">
      <c r="A116" s="21" t="str">
        <f>'Input 4 - Forecast'!A55</f>
        <v>Short-term debt 2/</v>
      </c>
      <c r="B116" s="18"/>
      <c r="C116" s="13"/>
      <c r="D116" s="13"/>
      <c r="E116" s="13"/>
      <c r="F116" s="13"/>
      <c r="G116" s="13"/>
      <c r="H116" s="13"/>
      <c r="I116" s="17"/>
      <c r="J116" s="19"/>
      <c r="K116" s="19"/>
      <c r="L116" s="19"/>
      <c r="M116" s="19"/>
      <c r="N116" s="19"/>
      <c r="O116" s="19"/>
      <c r="P116" s="19"/>
      <c r="Q116" s="19"/>
    </row>
    <row r="117" spans="1:27" customFormat="1" ht="15.75" thickBot="1">
      <c r="A117" s="22" t="str">
        <f>'Input 4 - Forecast'!A56</f>
        <v>Denominated in local currency</v>
      </c>
      <c r="B117" s="1999" t="s">
        <v>51</v>
      </c>
      <c r="C117" s="2000"/>
      <c r="D117" s="2000"/>
      <c r="E117" s="2000"/>
      <c r="F117" s="2000"/>
      <c r="G117" s="2000"/>
      <c r="H117" s="2000"/>
      <c r="I117" s="2000"/>
      <c r="J117" s="2000"/>
      <c r="K117" s="2000"/>
      <c r="L117" s="2000"/>
      <c r="M117" s="2000"/>
      <c r="N117" s="2000"/>
      <c r="O117" s="2000"/>
      <c r="P117" s="2000"/>
      <c r="Q117" s="2000"/>
      <c r="R117" s="2000"/>
      <c r="S117" s="2000"/>
      <c r="T117" s="2000"/>
      <c r="U117" s="2000"/>
      <c r="V117" s="2000"/>
      <c r="W117" s="2000"/>
      <c r="X117" s="2000"/>
      <c r="Y117" s="2000"/>
      <c r="Z117" s="2000"/>
      <c r="AA117" s="2001"/>
    </row>
    <row r="118" spans="1:27">
      <c r="B118" s="281"/>
      <c r="F118" s="15"/>
      <c r="H118" s="10"/>
      <c r="I118" s="10"/>
      <c r="J118" s="10"/>
      <c r="K118" s="10"/>
      <c r="L118" s="10"/>
      <c r="M118" s="10"/>
      <c r="N118" s="10"/>
      <c r="O118" s="10"/>
      <c r="P118" s="10"/>
      <c r="Q118" s="10"/>
      <c r="R118" s="10"/>
      <c r="S118" s="10"/>
      <c r="T118" s="10"/>
      <c r="U118" s="10"/>
      <c r="V118" s="10"/>
      <c r="W118" s="10"/>
      <c r="X118" s="10"/>
      <c r="Y118" s="10"/>
      <c r="Z118" s="10"/>
      <c r="AA118" s="10"/>
    </row>
    <row r="119" spans="1:27" customFormat="1">
      <c r="A119" s="23"/>
      <c r="B119" s="7">
        <f>'Input 4 - Forecast'!C9</f>
        <v>2018</v>
      </c>
      <c r="C119" s="13" t="str">
        <f>$I75</f>
        <v>Semi-annual</v>
      </c>
      <c r="D119" s="13">
        <f>$J75</f>
        <v>0</v>
      </c>
      <c r="E119" s="13">
        <f>$K75</f>
        <v>0</v>
      </c>
      <c r="F119" s="14">
        <f>$L$75</f>
        <v>0</v>
      </c>
      <c r="G119" s="13"/>
      <c r="H119" s="9">
        <f>$B$75</f>
        <v>0</v>
      </c>
      <c r="I119" s="9">
        <f>H119-P119</f>
        <v>0</v>
      </c>
      <c r="J119" s="9">
        <f>I119-Q119</f>
        <v>0</v>
      </c>
      <c r="K119" s="9">
        <f>J119-R119</f>
        <v>0</v>
      </c>
      <c r="L119" s="9">
        <f>K119-S119</f>
        <v>0</v>
      </c>
      <c r="M119" s="9">
        <f>L119-T119</f>
        <v>0</v>
      </c>
      <c r="N119" s="9"/>
      <c r="O119" s="9">
        <v>0</v>
      </c>
      <c r="P119" s="9">
        <f>H119</f>
        <v>0</v>
      </c>
      <c r="Q119" s="9">
        <v>0</v>
      </c>
      <c r="R119" s="9">
        <v>0</v>
      </c>
      <c r="S119" s="9">
        <v>0</v>
      </c>
      <c r="T119" s="9">
        <v>0</v>
      </c>
      <c r="U119" s="9"/>
      <c r="V119" s="9">
        <f>IF($C119="annual",IF(V$111=$B119,0,G119*$F119),IF(V$111-$B119=0,0,IF((V$111-$B119)&lt;$E119,AVERAGE(G119,H119)*$F119,IF((V$111-$B119)=$E119,G119*$F119/2,0))))</f>
        <v>0</v>
      </c>
      <c r="W119" s="9">
        <f t="shared" ref="W119:AA124" si="24">IF($C119="annual",IF(W$111=$B119,0,H119*$F119),IF(W$111-$B119=0,0,IF((W$111-$B119)&lt;$E119,AVERAGE(H119,I119)*$F119,IF((W$111-$B119)=$E119,H119*$F119/2,0))))</f>
        <v>0</v>
      </c>
      <c r="X119" s="9">
        <f t="shared" si="24"/>
        <v>0</v>
      </c>
      <c r="Y119" s="9">
        <f t="shared" si="24"/>
        <v>0</v>
      </c>
      <c r="Z119" s="9">
        <f t="shared" si="24"/>
        <v>0</v>
      </c>
      <c r="AA119" s="9">
        <f t="shared" si="24"/>
        <v>0</v>
      </c>
    </row>
    <row r="120" spans="1:27" customFormat="1">
      <c r="A120" s="23"/>
      <c r="B120" s="7">
        <f>B119+1</f>
        <v>2019</v>
      </c>
      <c r="C120" s="13" t="str">
        <f>C119</f>
        <v>Semi-annual</v>
      </c>
      <c r="D120" s="13">
        <f>D119</f>
        <v>0</v>
      </c>
      <c r="E120" s="13">
        <f>E119</f>
        <v>0</v>
      </c>
      <c r="F120" s="14">
        <f>$M$75</f>
        <v>0.18606977230199898</v>
      </c>
      <c r="G120" s="13"/>
      <c r="H120" s="9"/>
      <c r="I120" s="9">
        <f ca="1">$C$75</f>
        <v>151</v>
      </c>
      <c r="J120" s="9">
        <f ca="1">I120-Q120</f>
        <v>0</v>
      </c>
      <c r="K120" s="9">
        <f ca="1">J120-R120</f>
        <v>0</v>
      </c>
      <c r="L120" s="9">
        <f ca="1">K120-S120</f>
        <v>0</v>
      </c>
      <c r="M120" s="9">
        <f ca="1">L120-T120</f>
        <v>0</v>
      </c>
      <c r="N120" s="9"/>
      <c r="O120" s="9"/>
      <c r="P120" s="9">
        <v>0</v>
      </c>
      <c r="Q120" s="9">
        <f ca="1">I120</f>
        <v>151</v>
      </c>
      <c r="R120" s="9">
        <v>0</v>
      </c>
      <c r="S120" s="9">
        <v>0</v>
      </c>
      <c r="T120" s="9">
        <v>0</v>
      </c>
      <c r="U120" s="9"/>
      <c r="V120" s="9"/>
      <c r="W120" s="9">
        <f t="shared" si="24"/>
        <v>0</v>
      </c>
      <c r="X120" s="9">
        <f t="shared" si="24"/>
        <v>0</v>
      </c>
      <c r="Y120" s="9">
        <f t="shared" si="24"/>
        <v>0</v>
      </c>
      <c r="Z120" s="9">
        <f t="shared" si="24"/>
        <v>0</v>
      </c>
      <c r="AA120" s="9">
        <f t="shared" si="24"/>
        <v>0</v>
      </c>
    </row>
    <row r="121" spans="1:27" customFormat="1">
      <c r="A121" s="23"/>
      <c r="B121" s="7">
        <f>B120+1</f>
        <v>2020</v>
      </c>
      <c r="C121" s="13" t="str">
        <f>C120</f>
        <v>Semi-annual</v>
      </c>
      <c r="D121" s="13">
        <f t="shared" ref="D121:E124" si="25">D120</f>
        <v>0</v>
      </c>
      <c r="E121" s="13">
        <f t="shared" si="25"/>
        <v>0</v>
      </c>
      <c r="F121" s="14">
        <f>$N$75</f>
        <v>0.18606977230199898</v>
      </c>
      <c r="G121" s="13"/>
      <c r="H121" s="9"/>
      <c r="I121" s="9"/>
      <c r="J121" s="9">
        <f ca="1">$D$75</f>
        <v>166.63297715693798</v>
      </c>
      <c r="K121" s="9">
        <f ca="1">J121-R121</f>
        <v>0</v>
      </c>
      <c r="L121" s="9">
        <f ca="1">K121-S121</f>
        <v>0</v>
      </c>
      <c r="M121" s="9">
        <f ca="1">L121-T121</f>
        <v>0</v>
      </c>
      <c r="N121" s="9"/>
      <c r="O121" s="9"/>
      <c r="P121" s="9"/>
      <c r="Q121" s="9">
        <v>0</v>
      </c>
      <c r="R121" s="9">
        <f ca="1">J121</f>
        <v>166.63297715693798</v>
      </c>
      <c r="S121" s="9">
        <v>0</v>
      </c>
      <c r="T121" s="9">
        <v>0</v>
      </c>
      <c r="U121" s="9"/>
      <c r="V121" s="9"/>
      <c r="W121" s="9"/>
      <c r="X121" s="9">
        <f t="shared" si="24"/>
        <v>0</v>
      </c>
      <c r="Y121" s="9">
        <f t="shared" si="24"/>
        <v>0</v>
      </c>
      <c r="Z121" s="9">
        <f t="shared" si="24"/>
        <v>0</v>
      </c>
      <c r="AA121" s="9">
        <f t="shared" si="24"/>
        <v>0</v>
      </c>
    </row>
    <row r="122" spans="1:27" customFormat="1">
      <c r="A122" s="23"/>
      <c r="B122" s="7">
        <f>B121+1</f>
        <v>2021</v>
      </c>
      <c r="C122" s="13" t="str">
        <f>C121</f>
        <v>Semi-annual</v>
      </c>
      <c r="D122" s="13">
        <f t="shared" si="25"/>
        <v>0</v>
      </c>
      <c r="E122" s="13">
        <f t="shared" si="25"/>
        <v>0</v>
      </c>
      <c r="F122" s="14">
        <f>$O$75</f>
        <v>0.18606977230199898</v>
      </c>
      <c r="G122" s="13"/>
      <c r="H122" s="9"/>
      <c r="I122" s="9"/>
      <c r="J122" s="9"/>
      <c r="K122" s="9">
        <f ca="1">$E$75</f>
        <v>183.59335079320863</v>
      </c>
      <c r="L122" s="9">
        <f ca="1">K122-S122</f>
        <v>0</v>
      </c>
      <c r="M122" s="9">
        <f ca="1">L122-T122</f>
        <v>0</v>
      </c>
      <c r="N122" s="9"/>
      <c r="O122" s="9"/>
      <c r="P122" s="9"/>
      <c r="Q122" s="9"/>
      <c r="R122" s="9">
        <v>0</v>
      </c>
      <c r="S122" s="9">
        <f ca="1">K122</f>
        <v>183.59335079320863</v>
      </c>
      <c r="T122" s="9">
        <v>0</v>
      </c>
      <c r="U122" s="9"/>
      <c r="V122" s="9"/>
      <c r="W122" s="9"/>
      <c r="X122" s="9"/>
      <c r="Y122" s="9">
        <f t="shared" si="24"/>
        <v>0</v>
      </c>
      <c r="Z122" s="9">
        <f t="shared" si="24"/>
        <v>0</v>
      </c>
      <c r="AA122" s="9">
        <f t="shared" si="24"/>
        <v>0</v>
      </c>
    </row>
    <row r="123" spans="1:27" customFormat="1">
      <c r="A123" s="23"/>
      <c r="B123" s="7">
        <f>B122+1</f>
        <v>2022</v>
      </c>
      <c r="C123" s="13" t="str">
        <f>C122</f>
        <v>Semi-annual</v>
      </c>
      <c r="D123" s="13">
        <f t="shared" si="25"/>
        <v>0</v>
      </c>
      <c r="E123" s="13">
        <f t="shared" si="25"/>
        <v>0</v>
      </c>
      <c r="F123" s="14">
        <f>$P$75</f>
        <v>0.18606977230199898</v>
      </c>
      <c r="G123" s="13"/>
      <c r="H123" s="9"/>
      <c r="I123" s="9"/>
      <c r="J123" s="9"/>
      <c r="K123" s="9"/>
      <c r="L123" s="9">
        <f ca="1">$F$75</f>
        <v>212.2421869293413</v>
      </c>
      <c r="M123" s="9">
        <f ca="1">L123-T123</f>
        <v>0</v>
      </c>
      <c r="N123" s="9"/>
      <c r="O123" s="9"/>
      <c r="P123" s="9"/>
      <c r="Q123" s="9"/>
      <c r="R123" s="9"/>
      <c r="S123" s="9">
        <v>0</v>
      </c>
      <c r="T123" s="9">
        <f ca="1">L123</f>
        <v>212.2421869293413</v>
      </c>
      <c r="U123" s="9"/>
      <c r="V123" s="9"/>
      <c r="W123" s="9"/>
      <c r="X123" s="9"/>
      <c r="Y123" s="9"/>
      <c r="Z123" s="9">
        <f t="shared" si="24"/>
        <v>0</v>
      </c>
      <c r="AA123" s="9">
        <f t="shared" si="24"/>
        <v>0</v>
      </c>
    </row>
    <row r="124" spans="1:27" customFormat="1">
      <c r="A124" s="23"/>
      <c r="B124" s="7">
        <f>B123+1</f>
        <v>2023</v>
      </c>
      <c r="C124" s="13" t="str">
        <f>C123</f>
        <v>Semi-annual</v>
      </c>
      <c r="D124" s="13">
        <f t="shared" si="25"/>
        <v>0</v>
      </c>
      <c r="E124" s="13">
        <f t="shared" si="25"/>
        <v>0</v>
      </c>
      <c r="F124" s="14">
        <f>$Q$75</f>
        <v>0.18606977230199898</v>
      </c>
      <c r="G124" s="13"/>
      <c r="H124" s="9"/>
      <c r="I124" s="9"/>
      <c r="J124" s="9"/>
      <c r="K124" s="9"/>
      <c r="L124" s="9"/>
      <c r="M124" s="9">
        <f ca="1">$G$75</f>
        <v>248.72296871212595</v>
      </c>
      <c r="N124" s="9"/>
      <c r="O124" s="9"/>
      <c r="P124" s="9"/>
      <c r="Q124" s="9"/>
      <c r="R124" s="9"/>
      <c r="S124" s="9"/>
      <c r="T124" s="9">
        <v>0</v>
      </c>
      <c r="U124" s="9"/>
      <c r="V124" s="9"/>
      <c r="W124" s="9"/>
      <c r="X124" s="9"/>
      <c r="Y124" s="9"/>
      <c r="Z124" s="9"/>
      <c r="AA124" s="9">
        <f t="shared" si="24"/>
        <v>0</v>
      </c>
    </row>
    <row r="125" spans="1:27" ht="15.75" thickBot="1">
      <c r="F125" s="15"/>
      <c r="H125" s="10"/>
      <c r="I125" s="10"/>
      <c r="J125" s="10"/>
      <c r="K125" s="10"/>
      <c r="L125" s="10"/>
      <c r="M125" s="10"/>
      <c r="N125" s="10"/>
      <c r="O125" s="10"/>
      <c r="P125" s="10"/>
      <c r="Q125" s="10"/>
      <c r="R125" s="10"/>
      <c r="S125" s="10"/>
      <c r="T125" s="10"/>
      <c r="U125" s="10"/>
      <c r="V125" s="10"/>
      <c r="W125" s="10"/>
      <c r="X125" s="10"/>
      <c r="Y125" s="10"/>
      <c r="Z125" s="10"/>
      <c r="AA125" s="10"/>
    </row>
    <row r="126" spans="1:27" customFormat="1" ht="15.75" thickBot="1">
      <c r="A126" s="22" t="str">
        <f>'Input 4 - Forecast'!A65</f>
        <v>Denominated in foreign currency</v>
      </c>
      <c r="B126" s="1999" t="s">
        <v>52</v>
      </c>
      <c r="C126" s="2000"/>
      <c r="D126" s="2000"/>
      <c r="E126" s="2000"/>
      <c r="F126" s="2000"/>
      <c r="G126" s="2000"/>
      <c r="H126" s="2000"/>
      <c r="I126" s="2000"/>
      <c r="J126" s="2000"/>
      <c r="K126" s="2000"/>
      <c r="L126" s="2000"/>
      <c r="M126" s="2000"/>
      <c r="N126" s="2000"/>
      <c r="O126" s="2000"/>
      <c r="P126" s="2000"/>
      <c r="Q126" s="2000"/>
      <c r="R126" s="2000"/>
      <c r="S126" s="2000"/>
      <c r="T126" s="2000"/>
      <c r="U126" s="2000"/>
      <c r="V126" s="2000"/>
      <c r="W126" s="2000"/>
      <c r="X126" s="2000"/>
      <c r="Y126" s="2000"/>
      <c r="Z126" s="2000"/>
      <c r="AA126" s="2001"/>
    </row>
    <row r="127" spans="1:27">
      <c r="F127" s="15"/>
      <c r="H127" s="10"/>
      <c r="I127" s="10"/>
      <c r="J127" s="10"/>
      <c r="K127" s="10"/>
      <c r="L127" s="10"/>
      <c r="M127" s="10"/>
      <c r="N127" s="10"/>
      <c r="O127" s="10"/>
      <c r="P127" s="10"/>
      <c r="Q127" s="10"/>
      <c r="R127" s="10"/>
      <c r="S127" s="10"/>
      <c r="T127" s="10"/>
      <c r="U127" s="10"/>
      <c r="V127" s="10"/>
      <c r="W127" s="10"/>
      <c r="X127" s="10"/>
      <c r="Y127" s="10"/>
      <c r="Z127" s="10"/>
      <c r="AA127" s="10"/>
    </row>
    <row r="128" spans="1:27" customFormat="1">
      <c r="A128" s="23"/>
      <c r="B128" s="7">
        <f>B119</f>
        <v>2018</v>
      </c>
      <c r="C128" s="13" t="str">
        <f>$I76</f>
        <v>Semi-annual</v>
      </c>
      <c r="D128" s="13">
        <f>$J76</f>
        <v>0</v>
      </c>
      <c r="E128" s="13">
        <f>$K76</f>
        <v>0</v>
      </c>
      <c r="F128" s="14">
        <f>$L$76</f>
        <v>0</v>
      </c>
      <c r="G128" s="13"/>
      <c r="H128" s="9">
        <f>$B$76/$B$31</f>
        <v>0</v>
      </c>
      <c r="I128" s="9">
        <f>H128-P128</f>
        <v>0</v>
      </c>
      <c r="J128" s="9">
        <f>I128-Q128</f>
        <v>0</v>
      </c>
      <c r="K128" s="9">
        <f>J128-R128</f>
        <v>0</v>
      </c>
      <c r="L128" s="9">
        <f>K128-S128</f>
        <v>0</v>
      </c>
      <c r="M128" s="9">
        <f>L128-T128</f>
        <v>0</v>
      </c>
      <c r="N128" s="9"/>
      <c r="O128" s="9">
        <v>0</v>
      </c>
      <c r="P128" s="9">
        <f>H128</f>
        <v>0</v>
      </c>
      <c r="Q128" s="9">
        <v>0</v>
      </c>
      <c r="R128" s="9">
        <v>0</v>
      </c>
      <c r="S128" s="9">
        <v>0</v>
      </c>
      <c r="T128" s="9">
        <v>0</v>
      </c>
      <c r="U128" s="9"/>
      <c r="V128" s="9">
        <f>IF($C128="annual",IF(V$111=$B128,0,G128*$F128),IF(V$111-$B128=0,0,IF((V$111-$B128)&lt;$E128,AVERAGE(G128,H128)*$F128,IF((V$111-$B128)=$E128,G128*$F128/2,0))))</f>
        <v>0</v>
      </c>
      <c r="W128" s="9">
        <f t="shared" ref="W128:AA133" si="26">IF($C128="annual",IF(W$111=$B128,0,H128*$F128),IF(W$111-$B128=0,0,IF((W$111-$B128)&lt;$E128,AVERAGE(H128,I128)*$F128,IF((W$111-$B128)=$E128,H128*$F128/2,0))))</f>
        <v>0</v>
      </c>
      <c r="X128" s="9">
        <f t="shared" si="26"/>
        <v>0</v>
      </c>
      <c r="Y128" s="9">
        <f t="shared" si="26"/>
        <v>0</v>
      </c>
      <c r="Z128" s="9">
        <f t="shared" si="26"/>
        <v>0</v>
      </c>
      <c r="AA128" s="9">
        <f t="shared" si="26"/>
        <v>0</v>
      </c>
    </row>
    <row r="129" spans="1:27" customFormat="1">
      <c r="A129" s="23"/>
      <c r="B129" s="7">
        <f>B128+1</f>
        <v>2019</v>
      </c>
      <c r="C129" s="13" t="str">
        <f>C128</f>
        <v>Semi-annual</v>
      </c>
      <c r="D129" s="13">
        <f>D128</f>
        <v>0</v>
      </c>
      <c r="E129" s="13">
        <f>E128</f>
        <v>0</v>
      </c>
      <c r="F129" s="14">
        <f>$M$76</f>
        <v>0.18606977230199898</v>
      </c>
      <c r="G129" s="13"/>
      <c r="H129" s="9"/>
      <c r="I129" s="9">
        <f ca="1">$C$76/$C$31</f>
        <v>0</v>
      </c>
      <c r="J129" s="9">
        <f ca="1">I129-Q129</f>
        <v>0</v>
      </c>
      <c r="K129" s="9">
        <f ca="1">J129-R129</f>
        <v>0</v>
      </c>
      <c r="L129" s="9">
        <f ca="1">K129-S129</f>
        <v>0</v>
      </c>
      <c r="M129" s="9">
        <f ca="1">L129-T129</f>
        <v>0</v>
      </c>
      <c r="N129" s="9"/>
      <c r="O129" s="9"/>
      <c r="P129" s="9">
        <v>0</v>
      </c>
      <c r="Q129" s="9">
        <f ca="1">I129</f>
        <v>0</v>
      </c>
      <c r="R129" s="9">
        <v>0</v>
      </c>
      <c r="S129" s="9">
        <v>0</v>
      </c>
      <c r="T129" s="9">
        <v>0</v>
      </c>
      <c r="U129" s="9"/>
      <c r="V129" s="9"/>
      <c r="W129" s="9">
        <f t="shared" si="26"/>
        <v>0</v>
      </c>
      <c r="X129" s="9">
        <f t="shared" si="26"/>
        <v>0</v>
      </c>
      <c r="Y129" s="9">
        <f t="shared" si="26"/>
        <v>0</v>
      </c>
      <c r="Z129" s="9">
        <f t="shared" si="26"/>
        <v>0</v>
      </c>
      <c r="AA129" s="9">
        <f t="shared" si="26"/>
        <v>0</v>
      </c>
    </row>
    <row r="130" spans="1:27" customFormat="1">
      <c r="A130" s="23"/>
      <c r="B130" s="7">
        <f>B129+1</f>
        <v>2020</v>
      </c>
      <c r="C130" s="13" t="str">
        <f>C129</f>
        <v>Semi-annual</v>
      </c>
      <c r="D130" s="13">
        <f t="shared" ref="D130:E133" si="27">D129</f>
        <v>0</v>
      </c>
      <c r="E130" s="13">
        <f t="shared" si="27"/>
        <v>0</v>
      </c>
      <c r="F130" s="14">
        <f>$N$76</f>
        <v>0.18606977230199898</v>
      </c>
      <c r="G130" s="13"/>
      <c r="H130" s="9"/>
      <c r="I130" s="9"/>
      <c r="J130" s="9">
        <f ca="1">$D$76/$D$31</f>
        <v>0</v>
      </c>
      <c r="K130" s="9">
        <f ca="1">J130-R130</f>
        <v>0</v>
      </c>
      <c r="L130" s="9">
        <f ca="1">K130-S130</f>
        <v>0</v>
      </c>
      <c r="M130" s="9">
        <f ca="1">L130-T130</f>
        <v>0</v>
      </c>
      <c r="N130" s="9"/>
      <c r="O130" s="9"/>
      <c r="P130" s="9"/>
      <c r="Q130" s="9">
        <v>0</v>
      </c>
      <c r="R130" s="9">
        <f ca="1">J130</f>
        <v>0</v>
      </c>
      <c r="S130" s="9">
        <v>0</v>
      </c>
      <c r="T130" s="9">
        <v>0</v>
      </c>
      <c r="U130" s="9"/>
      <c r="V130" s="9"/>
      <c r="W130" s="9"/>
      <c r="X130" s="9">
        <f t="shared" si="26"/>
        <v>0</v>
      </c>
      <c r="Y130" s="9">
        <f t="shared" si="26"/>
        <v>0</v>
      </c>
      <c r="Z130" s="9">
        <f t="shared" si="26"/>
        <v>0</v>
      </c>
      <c r="AA130" s="9">
        <f t="shared" si="26"/>
        <v>0</v>
      </c>
    </row>
    <row r="131" spans="1:27" customFormat="1">
      <c r="A131" s="23"/>
      <c r="B131" s="7">
        <f>B130+1</f>
        <v>2021</v>
      </c>
      <c r="C131" s="13" t="str">
        <f>C130</f>
        <v>Semi-annual</v>
      </c>
      <c r="D131" s="13">
        <f t="shared" si="27"/>
        <v>0</v>
      </c>
      <c r="E131" s="13">
        <f t="shared" si="27"/>
        <v>0</v>
      </c>
      <c r="F131" s="14">
        <f>$O$76</f>
        <v>0.18606977230199898</v>
      </c>
      <c r="G131" s="13"/>
      <c r="H131" s="9"/>
      <c r="I131" s="9"/>
      <c r="J131" s="9"/>
      <c r="K131" s="9">
        <f ca="1">$E$76/$E$31</f>
        <v>0</v>
      </c>
      <c r="L131" s="9">
        <f ca="1">K131-S131</f>
        <v>0</v>
      </c>
      <c r="M131" s="9">
        <f ca="1">L131-T131</f>
        <v>0</v>
      </c>
      <c r="N131" s="9"/>
      <c r="O131" s="9"/>
      <c r="P131" s="9"/>
      <c r="Q131" s="9"/>
      <c r="R131" s="9">
        <v>0</v>
      </c>
      <c r="S131" s="9">
        <f ca="1">K131</f>
        <v>0</v>
      </c>
      <c r="T131" s="9">
        <v>0</v>
      </c>
      <c r="U131" s="9"/>
      <c r="V131" s="9"/>
      <c r="W131" s="9"/>
      <c r="X131" s="9"/>
      <c r="Y131" s="9">
        <f t="shared" si="26"/>
        <v>0</v>
      </c>
      <c r="Z131" s="9">
        <f t="shared" si="26"/>
        <v>0</v>
      </c>
      <c r="AA131" s="9">
        <f t="shared" si="26"/>
        <v>0</v>
      </c>
    </row>
    <row r="132" spans="1:27" customFormat="1">
      <c r="A132" s="23"/>
      <c r="B132" s="7">
        <f>B131+1</f>
        <v>2022</v>
      </c>
      <c r="C132" s="13" t="str">
        <f>C131</f>
        <v>Semi-annual</v>
      </c>
      <c r="D132" s="13">
        <f t="shared" si="27"/>
        <v>0</v>
      </c>
      <c r="E132" s="13">
        <f t="shared" si="27"/>
        <v>0</v>
      </c>
      <c r="F132" s="14">
        <f>$P$76</f>
        <v>0.18606977230199898</v>
      </c>
      <c r="G132" s="13"/>
      <c r="H132" s="9"/>
      <c r="I132" s="9"/>
      <c r="J132" s="9"/>
      <c r="K132" s="9"/>
      <c r="L132" s="9">
        <f ca="1">$F$76/$F$31</f>
        <v>0</v>
      </c>
      <c r="M132" s="9">
        <f ca="1">L132-T132</f>
        <v>0</v>
      </c>
      <c r="N132" s="9"/>
      <c r="O132" s="9"/>
      <c r="P132" s="9"/>
      <c r="Q132" s="9"/>
      <c r="R132" s="9"/>
      <c r="S132" s="9">
        <v>0</v>
      </c>
      <c r="T132" s="9">
        <f ca="1">L132</f>
        <v>0</v>
      </c>
      <c r="U132" s="9"/>
      <c r="V132" s="9"/>
      <c r="W132" s="9"/>
      <c r="X132" s="9"/>
      <c r="Y132" s="9"/>
      <c r="Z132" s="9">
        <f t="shared" si="26"/>
        <v>0</v>
      </c>
      <c r="AA132" s="9">
        <f t="shared" si="26"/>
        <v>0</v>
      </c>
    </row>
    <row r="133" spans="1:27" customFormat="1">
      <c r="A133" s="23"/>
      <c r="B133" s="7">
        <f>B132+1</f>
        <v>2023</v>
      </c>
      <c r="C133" s="13" t="str">
        <f>C132</f>
        <v>Semi-annual</v>
      </c>
      <c r="D133" s="13">
        <f t="shared" si="27"/>
        <v>0</v>
      </c>
      <c r="E133" s="13">
        <f t="shared" si="27"/>
        <v>0</v>
      </c>
      <c r="F133" s="14">
        <f>$Q$76</f>
        <v>0.18606977230199898</v>
      </c>
      <c r="G133" s="13"/>
      <c r="H133" s="9"/>
      <c r="I133" s="9"/>
      <c r="J133" s="9"/>
      <c r="K133" s="9"/>
      <c r="L133" s="9"/>
      <c r="M133" s="9">
        <f ca="1">$G$76/$G$31</f>
        <v>0</v>
      </c>
      <c r="N133" s="9"/>
      <c r="O133" s="9"/>
      <c r="P133" s="9"/>
      <c r="Q133" s="9"/>
      <c r="R133" s="9"/>
      <c r="S133" s="9"/>
      <c r="T133" s="9">
        <v>0</v>
      </c>
      <c r="U133" s="9"/>
      <c r="V133" s="9"/>
      <c r="W133" s="9"/>
      <c r="X133" s="9"/>
      <c r="Y133" s="9"/>
      <c r="Z133" s="9"/>
      <c r="AA133" s="9">
        <f t="shared" si="26"/>
        <v>0</v>
      </c>
    </row>
    <row r="135" spans="1:27" ht="15.75" thickBot="1">
      <c r="A135" s="11" t="str">
        <f>'Input 4 - Forecast'!A58</f>
        <v>Long-term debt 3/</v>
      </c>
    </row>
    <row r="136" spans="1:27" ht="15.75" thickBot="1">
      <c r="A136" s="12" t="str">
        <f>'Input 4 - Forecast'!A59</f>
        <v>Denominated in local currency</v>
      </c>
      <c r="B136" s="1999" t="s">
        <v>51</v>
      </c>
      <c r="C136" s="2000"/>
      <c r="D136" s="2000"/>
      <c r="E136" s="2000"/>
      <c r="F136" s="2000"/>
      <c r="G136" s="2000"/>
      <c r="H136" s="2000"/>
      <c r="I136" s="2000"/>
      <c r="J136" s="2000"/>
      <c r="K136" s="2000"/>
      <c r="L136" s="2000"/>
      <c r="M136" s="2000"/>
      <c r="N136" s="2000"/>
      <c r="O136" s="2000"/>
      <c r="P136" s="2000"/>
      <c r="Q136" s="2000"/>
      <c r="R136" s="2000"/>
      <c r="S136" s="2000"/>
      <c r="T136" s="2000"/>
      <c r="U136" s="2000"/>
      <c r="V136" s="2000"/>
      <c r="W136" s="2000"/>
      <c r="X136" s="2000"/>
      <c r="Y136" s="2000"/>
      <c r="Z136" s="2000"/>
      <c r="AA136" s="2001"/>
    </row>
    <row r="138" spans="1:27">
      <c r="A138" s="8" t="str">
        <f>'Input 4 - Forecast'!A60</f>
        <v>Type 1</v>
      </c>
      <c r="B138" s="7">
        <f>B119</f>
        <v>2018</v>
      </c>
      <c r="C138" s="7" t="str">
        <f>$I79</f>
        <v>Annual</v>
      </c>
      <c r="D138" s="7">
        <f>$J79</f>
        <v>5</v>
      </c>
      <c r="E138" s="7">
        <f>$K79</f>
        <v>5</v>
      </c>
      <c r="F138" s="14">
        <f>$L$79</f>
        <v>5.0000000000000001E-3</v>
      </c>
      <c r="H138" s="9">
        <f>$B$79</f>
        <v>329.998670927072</v>
      </c>
      <c r="I138" s="9">
        <f>H138-P138</f>
        <v>329.998670927072</v>
      </c>
      <c r="J138" s="9">
        <f>I138-Q138</f>
        <v>329.998670927072</v>
      </c>
      <c r="K138" s="9">
        <f>J138-R138</f>
        <v>329.998670927072</v>
      </c>
      <c r="L138" s="9">
        <f>K138-S138</f>
        <v>329.998670927072</v>
      </c>
      <c r="M138" s="9">
        <f>L138-T138</f>
        <v>0</v>
      </c>
      <c r="N138" s="9"/>
      <c r="O138" s="9">
        <f t="shared" ref="O138:T138" si="28">IF(OR($C138="Annual",$D138=$E138),IF(AND($D138=$E138,O$111=$B138+$D138),$H138,IF(AND(O$111&gt;$B138+$D138,O$111&lt;=$B138+$E138), $H138/($E138-$D138),0)), IF(OR(O$111=$B138+$D138,O$111=$B138+$E138),$H138/(($E138-$D138)*2),IF(AND(O$111&gt;$B138+$D138,O$111&lt;$B138+$E138),$H138/($E138-$D138),0)))</f>
        <v>0</v>
      </c>
      <c r="P138" s="9">
        <f t="shared" si="28"/>
        <v>0</v>
      </c>
      <c r="Q138" s="9">
        <f t="shared" si="28"/>
        <v>0</v>
      </c>
      <c r="R138" s="9">
        <f t="shared" si="28"/>
        <v>0</v>
      </c>
      <c r="S138" s="9">
        <f t="shared" si="28"/>
        <v>0</v>
      </c>
      <c r="T138" s="9">
        <f t="shared" si="28"/>
        <v>329.998670927072</v>
      </c>
      <c r="U138" s="9"/>
      <c r="V138" s="9">
        <f>IF($C138="annual",IF(V$111=$B138,0,G138*$F138),IF(V$111-$B138=0,0,IF((V$111-$B138)&lt;$E138,AVERAGE(G138,H138)*$F138,IF((V$111-$B138)=$E138,G138*$F138/2,0))))</f>
        <v>0</v>
      </c>
      <c r="W138" s="9">
        <f t="shared" ref="W138:AA143" si="29">IF($C138="annual",IF(W$111=$B138,0,H138*$F138),IF(W$111-$B138=0,0,IF((W$111-$B138)&lt;$E138,AVERAGE(H138,I138)*$F138,IF((W$111-$B138)=$E138,H138*$F138/2,0))))</f>
        <v>1.64999335463536</v>
      </c>
      <c r="X138" s="9">
        <f t="shared" si="29"/>
        <v>1.64999335463536</v>
      </c>
      <c r="Y138" s="9">
        <f t="shared" si="29"/>
        <v>1.64999335463536</v>
      </c>
      <c r="Z138" s="9">
        <f t="shared" si="29"/>
        <v>1.64999335463536</v>
      </c>
      <c r="AA138" s="9">
        <f t="shared" si="29"/>
        <v>1.64999335463536</v>
      </c>
    </row>
    <row r="139" spans="1:27">
      <c r="A139" s="8" t="str">
        <f>A138</f>
        <v>Type 1</v>
      </c>
      <c r="B139" s="7">
        <f>B138+1</f>
        <v>2019</v>
      </c>
      <c r="C139" s="7" t="str">
        <f>C138</f>
        <v>Annual</v>
      </c>
      <c r="D139" s="7">
        <f>D138</f>
        <v>5</v>
      </c>
      <c r="E139" s="7">
        <f>E138</f>
        <v>5</v>
      </c>
      <c r="F139" s="14">
        <f>$M$79</f>
        <v>0.19106977230199898</v>
      </c>
      <c r="H139" s="9"/>
      <c r="I139" s="9">
        <f ca="1">$C$79</f>
        <v>35</v>
      </c>
      <c r="J139" s="9">
        <f ca="1">I139-Q139</f>
        <v>17.5</v>
      </c>
      <c r="K139" s="9">
        <f ca="1">J139-R139</f>
        <v>0</v>
      </c>
      <c r="L139" s="9">
        <f ca="1">K139-S139</f>
        <v>0</v>
      </c>
      <c r="M139" s="9">
        <f ca="1">L139-T139</f>
        <v>0</v>
      </c>
      <c r="N139" s="9"/>
      <c r="O139" s="9"/>
      <c r="P139" s="9">
        <f>IF(OR($C139="Annual",$D139=$E139),IF(AND($D139=$E139,P$111=$B139+$D139),$I139,IF(AND(P$111&gt;$B139+$D139,P$111&lt;=$B139+$E139), $I139/($E139-$D139),0)), IF(OR(P$111=$B139+$D139,P$111=$B139+$E139),$I139/(($E139-$D139)*2),IF(AND(P$111&gt;$B139+$D139,P$111&lt;$B139+$E139),$I139/($E139-$D139),0)))</f>
        <v>0</v>
      </c>
      <c r="Q139" s="9">
        <f>IF(OR($C139="Annual",$D139=$E139),IF(AND($D139=$E139,Q$111=$B139+$D139),$I139,IF(AND(Q$111&gt;$B139+$D139,Q$111&lt;=$B139+$E139), $I139/($E139-$D139),0)), IF(OR(Q$111=$B139+$D139,Q$111=$B139+$E139),$I139/(($E139-$D139)*2),IF(AND(Q$111&gt;$B139+$D139,Q$111&lt;$B139+$E139),$I139/($E139-$D139),0)))</f>
        <v>0</v>
      </c>
      <c r="R139" s="9">
        <f>IF(OR($C139="Annual",$D139=$E139),IF(AND($D139=$E139,R$111=$B139+$D139),$I139,IF(AND(R$111&gt;$B139+$D139,R$111&lt;=$B139+$E139), $I139/($E139-$D139),0)), IF(OR(R$111=$B139+$D139,R$111=$B139+$E139),$I139/(($E139-$D139)*2),IF(AND(R$111&gt;$B139+$D139,R$111&lt;$B139+$E139),$I139/($E139-$D139),0)))</f>
        <v>0</v>
      </c>
      <c r="S139" s="9">
        <f>IF(OR($C139="Annual",$D139=$E139),IF(AND($D139=$E139,S$111=$B139+$D139),$I139,IF(AND(S$111&gt;$B139+$D139,S$111&lt;=$B139+$E139), $I139/($E139-$D139),0)), IF(OR(S$111=$B139+$D139,S$111=$B139+$E139),$I139/(($E139-$D139)*2),IF(AND(S$111&gt;$B139+$D139,S$111&lt;$B139+$E139),$I139/($E139-$D139),0)))</f>
        <v>0</v>
      </c>
      <c r="T139" s="9">
        <f>IF(OR($C139="Annual",$D139=$E139),IF(AND($D139=$E139,T$111=$B139+$D139),$I139,IF(AND(T$111&gt;$B139+$D139,T$111&lt;=$B139+$E139), $I139/($E139-$D139),0)), IF(OR(T$111=$B139+$D139,T$111=$B139+$E139),$I139/(($E139-$D139)*2),IF(AND(T$111&gt;$B139+$D139,T$111&lt;$B139+$E139),$I139/($E139-$D139),0)))</f>
        <v>0</v>
      </c>
      <c r="U139" s="9"/>
      <c r="V139" s="9"/>
      <c r="W139" s="9">
        <f t="shared" si="29"/>
        <v>0</v>
      </c>
      <c r="X139" s="9">
        <f t="shared" ca="1" si="29"/>
        <v>7.2844279996962236</v>
      </c>
      <c r="Y139" s="9">
        <f t="shared" ca="1" si="29"/>
        <v>3.6422139998481118</v>
      </c>
      <c r="Z139" s="9">
        <f t="shared" ca="1" si="29"/>
        <v>0</v>
      </c>
      <c r="AA139" s="9">
        <f t="shared" ca="1" si="29"/>
        <v>0</v>
      </c>
    </row>
    <row r="140" spans="1:27">
      <c r="A140" s="8" t="str">
        <f>A139</f>
        <v>Type 1</v>
      </c>
      <c r="B140" s="7">
        <f>B139+1</f>
        <v>2020</v>
      </c>
      <c r="C140" s="7" t="str">
        <f>C139</f>
        <v>Annual</v>
      </c>
      <c r="D140" s="7">
        <f t="shared" ref="D140:E143" si="30">D139</f>
        <v>5</v>
      </c>
      <c r="E140" s="7">
        <f t="shared" si="30"/>
        <v>5</v>
      </c>
      <c r="F140" s="14">
        <f>$N$79</f>
        <v>0.19606977230199898</v>
      </c>
      <c r="H140" s="9"/>
      <c r="I140" s="9"/>
      <c r="J140" s="9">
        <f ca="1">$D$79</f>
        <v>44.141186001837873</v>
      </c>
      <c r="K140" s="9">
        <f ca="1">J140-R140</f>
        <v>22.070593000918937</v>
      </c>
      <c r="L140" s="9">
        <f ca="1">K140-S140</f>
        <v>0</v>
      </c>
      <c r="M140" s="9">
        <f ca="1">L140-T140</f>
        <v>0</v>
      </c>
      <c r="N140" s="9"/>
      <c r="O140" s="9"/>
      <c r="P140" s="9"/>
      <c r="Q140" s="9">
        <f>IF(OR($C140="Annual",$D140=$E140),IF(AND($D140=$E140,Q$111=$B140+$D140),$J140,IF(AND(Q$111&gt;$B140+$D140,Q$111&lt;=$B140+$E140), $J140/($E140-$D140),0)), IF(OR(Q$111=$B140+$D140,Q$111=$B140+$E140),$J140/(($E140-$D140)*2),IF(AND(Q$111&gt;$B140+$D140,Q$111&lt;$B140+$E140),$J140/($E140-$D140),0)))</f>
        <v>0</v>
      </c>
      <c r="R140" s="9">
        <f>IF(OR($C140="Annual",$D140=$E140),IF(AND($D140=$E140,R$111=$B140+$D140),$J140,IF(AND(R$111&gt;$B140+$D140,R$111&lt;=$B140+$E140), $J140/($E140-$D140),0)), IF(OR(R$111=$B140+$D140,R$111=$B140+$E140),$J140/(($E140-$D140)*2),IF(AND(R$111&gt;$B140+$D140,R$111&lt;$B140+$E140),$J140/($E140-$D140),0)))</f>
        <v>0</v>
      </c>
      <c r="S140" s="9">
        <f>IF(OR($C140="Annual",$D140=$E140),IF(AND($D140=$E140,S$111=$B140+$D140),$J140,IF(AND(S$111&gt;$B140+$D140,S$111&lt;=$B140+$E140), $J140/($E140-$D140),0)), IF(OR(S$111=$B140+$D140,S$111=$B140+$E140),$J140/(($E140-$D140)*2),IF(AND(S$111&gt;$B140+$D140,S$111&lt;$B140+$E140),$J140/($E140-$D140),0)))</f>
        <v>0</v>
      </c>
      <c r="T140" s="9">
        <f>IF(OR($C140="Annual",$D140=$E140),IF(AND($D140=$E140,T$111=$B140+$D140),$J140,IF(AND(T$111&gt;$B140+$D140,T$111&lt;=$B140+$E140), $J140/($E140-$D140),0)), IF(OR(T$111=$B140+$D140,T$111=$B140+$E140),$J140/(($E140-$D140)*2),IF(AND(T$111&gt;$B140+$D140,T$111&lt;$B140+$E140),$J140/($E140-$D140),0)))</f>
        <v>0</v>
      </c>
      <c r="U140" s="9"/>
      <c r="V140" s="9"/>
      <c r="W140" s="9"/>
      <c r="X140" s="9">
        <f t="shared" si="29"/>
        <v>0</v>
      </c>
      <c r="Y140" s="9">
        <f t="shared" ca="1" si="29"/>
        <v>9.3185470893847437</v>
      </c>
      <c r="Z140" s="9">
        <f t="shared" ca="1" si="29"/>
        <v>4.6592735446923719</v>
      </c>
      <c r="AA140" s="9">
        <f t="shared" ca="1" si="29"/>
        <v>0</v>
      </c>
    </row>
    <row r="141" spans="1:27">
      <c r="A141" s="8" t="str">
        <f>A140</f>
        <v>Type 1</v>
      </c>
      <c r="B141" s="7">
        <f>B140+1</f>
        <v>2021</v>
      </c>
      <c r="C141" s="7" t="str">
        <f>C140</f>
        <v>Annual</v>
      </c>
      <c r="D141" s="7">
        <f t="shared" si="30"/>
        <v>5</v>
      </c>
      <c r="E141" s="7">
        <f t="shared" si="30"/>
        <v>5</v>
      </c>
      <c r="F141" s="14">
        <f>$O$79</f>
        <v>0.19606977230199898</v>
      </c>
      <c r="H141" s="9"/>
      <c r="I141" s="9"/>
      <c r="J141" s="9"/>
      <c r="K141" s="9">
        <f ca="1">$E$79</f>
        <v>42.554750183856299</v>
      </c>
      <c r="L141" s="9">
        <f ca="1">K141-S141</f>
        <v>21.27737509192815</v>
      </c>
      <c r="M141" s="9">
        <f ca="1">L141-T141</f>
        <v>0</v>
      </c>
      <c r="N141" s="9"/>
      <c r="O141" s="9"/>
      <c r="P141" s="9"/>
      <c r="Q141" s="9"/>
      <c r="R141" s="9">
        <f>IF(OR($C141="Annual",$D141=$E141),IF(AND($D141=$E141,R$111=$B141+$D141),$K141,IF(AND(R$111&gt;$B141+$D141,R$111&lt;=$B141+$E141), $K141/($E141-$D141),0)), IF(OR(R$111=$B141+$D141,R$111=$B141+$E141),$K141/(($E141-$D141)*2),IF(AND(R$111&gt;$B141+$D141,R$111&lt;$B141+$E141),$K141/($E141-$D141),0)))</f>
        <v>0</v>
      </c>
      <c r="S141" s="9">
        <f>IF(OR($C141="Annual",$D141=$E141),IF(AND($D141=$E141,S$111=$B141+$D141),$K141,IF(AND(S$111&gt;$B141+$D141,S$111&lt;=$B141+$E141), $K141/($E141-$D141),0)), IF(OR(S$111=$B141+$D141,S$111=$B141+$E141),$K141/(($E141-$D141)*2),IF(AND(S$111&gt;$B141+$D141,S$111&lt;$B141+$E141),$K141/($E141-$D141),0)))</f>
        <v>0</v>
      </c>
      <c r="T141" s="9">
        <f>IF(OR($C141="Annual",$D141=$E141),IF(AND($D141=$E141,T$111=$B141+$D141),$K141,IF(AND(T$111&gt;$B141+$D141,T$111&lt;=$B141+$E141), $K141/($E141-$D141),0)), IF(OR(T$111=$B141+$D141,T$111=$B141+$E141),$K141/(($E141-$D141)*2),IF(AND(T$111&gt;$B141+$D141,T$111&lt;$B141+$E141),$K141/($E141-$D141),0)))</f>
        <v>0</v>
      </c>
      <c r="U141" s="9"/>
      <c r="V141" s="9"/>
      <c r="W141" s="9"/>
      <c r="X141" s="9"/>
      <c r="Y141" s="9">
        <f t="shared" si="29"/>
        <v>0</v>
      </c>
      <c r="Z141" s="9">
        <f t="shared" ca="1" si="29"/>
        <v>9.0894931117639874</v>
      </c>
      <c r="AA141" s="9">
        <f t="shared" ca="1" si="29"/>
        <v>4.5447465558819937</v>
      </c>
    </row>
    <row r="142" spans="1:27">
      <c r="A142" s="8" t="str">
        <f>A141</f>
        <v>Type 1</v>
      </c>
      <c r="B142" s="7">
        <f>B141+1</f>
        <v>2022</v>
      </c>
      <c r="C142" s="7" t="str">
        <f>C141</f>
        <v>Annual</v>
      </c>
      <c r="D142" s="7">
        <f t="shared" si="30"/>
        <v>5</v>
      </c>
      <c r="E142" s="7">
        <f t="shared" si="30"/>
        <v>5</v>
      </c>
      <c r="F142" s="14">
        <f>$P$79</f>
        <v>0.19606977230199898</v>
      </c>
      <c r="H142" s="9"/>
      <c r="I142" s="9"/>
      <c r="J142" s="9"/>
      <c r="K142" s="9"/>
      <c r="L142" s="9">
        <f ca="1">$F$79</f>
        <v>56.223095875322201</v>
      </c>
      <c r="M142" s="9">
        <f ca="1">L142-T142</f>
        <v>28.111547937661101</v>
      </c>
      <c r="N142" s="9"/>
      <c r="O142" s="9"/>
      <c r="P142" s="9"/>
      <c r="Q142" s="9"/>
      <c r="R142" s="9"/>
      <c r="S142" s="9">
        <f>IF(OR($C142="Annual",$D142=$E142),IF(AND($D142=$E142,S$111=$B142+$D142),$L142,IF(AND(S$111&gt;$B142+$D142,S$111&lt;=$B142+$E142), $L142/($E142-$D142),0)), IF(OR(S$111=$B142+$D142,S$111=$B142+$E142),$L142/(($E142-$D142)*2),IF(AND(S$111&gt;$B142+$D142,S$111&lt;$B142+$E142),$L142/($E142-$D142),0)))</f>
        <v>0</v>
      </c>
      <c r="T142" s="9">
        <f>IF(OR($C142="Annual",$D142=$E142),IF(AND($D142=$E142,T$111=$B142+$D142),$L142,IF(AND(T$111&gt;$B142+$D142,T$111&lt;=$B142+$E142), $L142/($E142-$D142),0)), IF(OR(T$111=$B142+$D142,T$111=$B142+$E142),$L142/(($E142-$D142)*2),IF(AND(T$111&gt;$B142+$D142,T$111&lt;$B142+$E142),$L142/($E142-$D142),0)))</f>
        <v>0</v>
      </c>
      <c r="U142" s="9"/>
      <c r="V142" s="9"/>
      <c r="W142" s="9"/>
      <c r="X142" s="9"/>
      <c r="Y142" s="9"/>
      <c r="Z142" s="9">
        <f t="shared" si="29"/>
        <v>0</v>
      </c>
      <c r="AA142" s="9">
        <f t="shared" ca="1" si="29"/>
        <v>12.127406917649918</v>
      </c>
    </row>
    <row r="143" spans="1:27">
      <c r="A143" s="8" t="str">
        <f>A142</f>
        <v>Type 1</v>
      </c>
      <c r="B143" s="7">
        <f>B142+1</f>
        <v>2023</v>
      </c>
      <c r="C143" s="7" t="str">
        <f>C142</f>
        <v>Annual</v>
      </c>
      <c r="D143" s="7">
        <f t="shared" si="30"/>
        <v>5</v>
      </c>
      <c r="E143" s="7">
        <f t="shared" si="30"/>
        <v>5</v>
      </c>
      <c r="F143" s="14">
        <f>$Q$79</f>
        <v>0.19606977230199898</v>
      </c>
      <c r="H143" s="9"/>
      <c r="I143" s="9"/>
      <c r="J143" s="9"/>
      <c r="K143" s="9"/>
      <c r="L143" s="9"/>
      <c r="M143" s="9">
        <f ca="1">$G$79</f>
        <v>50.238745335892986</v>
      </c>
      <c r="N143" s="9"/>
      <c r="O143" s="9"/>
      <c r="P143" s="9"/>
      <c r="Q143" s="9"/>
      <c r="R143" s="9"/>
      <c r="S143" s="9"/>
      <c r="T143" s="9">
        <f>IF(OR($C143="Annual",$D143=$E143),IF(AND($D143=$E143,T$111=$B143+$D143),$M143,IF(AND(T$111&gt;$B143+$D143,T$111&lt;=$B143+$E143), $M143/($E143-$D143),0)), IF(OR(T$111=$B143+$D143,T$111=$B143+$E143),$M143/(($E143-$D143)*2),IF(AND(T$111&gt;$B143+$D143,T$111&lt;$B143+$E143),$M143/($E143-$D143),0)))</f>
        <v>0</v>
      </c>
      <c r="U143" s="9"/>
      <c r="V143" s="9"/>
      <c r="W143" s="9"/>
      <c r="X143" s="9"/>
      <c r="Y143" s="9"/>
      <c r="Z143" s="9"/>
      <c r="AA143" s="9">
        <f t="shared" si="29"/>
        <v>0</v>
      </c>
    </row>
    <row r="144" spans="1:27">
      <c r="C144" s="281"/>
      <c r="F144" s="15"/>
      <c r="H144" s="10"/>
      <c r="I144" s="10"/>
      <c r="J144" s="10"/>
      <c r="K144" s="10"/>
      <c r="L144" s="10"/>
      <c r="M144" s="10"/>
      <c r="N144" s="10"/>
      <c r="O144" s="278"/>
      <c r="P144" s="10"/>
      <c r="Q144" s="10"/>
      <c r="R144" s="10"/>
      <c r="S144" s="10"/>
      <c r="T144" s="10"/>
      <c r="U144" s="10"/>
      <c r="V144" s="10"/>
      <c r="W144" s="10"/>
      <c r="X144" s="10"/>
      <c r="Y144" s="10"/>
      <c r="Z144" s="10"/>
      <c r="AA144" s="10"/>
    </row>
    <row r="145" spans="1:27">
      <c r="A145" s="8" t="str">
        <f>'Input 4 - Forecast'!A61</f>
        <v>Type 2</v>
      </c>
      <c r="B145" s="7">
        <f>B119</f>
        <v>2018</v>
      </c>
      <c r="C145" s="7" t="str">
        <f>$I80</f>
        <v>Annual</v>
      </c>
      <c r="D145" s="7">
        <f>$J80</f>
        <v>0</v>
      </c>
      <c r="E145" s="7">
        <f>$K80</f>
        <v>0</v>
      </c>
      <c r="F145" s="14">
        <f>$L$80</f>
        <v>0</v>
      </c>
      <c r="H145" s="9">
        <f>$B$80</f>
        <v>0</v>
      </c>
      <c r="I145" s="9">
        <f>H145-P145</f>
        <v>0</v>
      </c>
      <c r="J145" s="9">
        <f>I145-Q145</f>
        <v>0</v>
      </c>
      <c r="K145" s="9">
        <f>J145-R145</f>
        <v>0</v>
      </c>
      <c r="L145" s="9">
        <f>K145-S145</f>
        <v>0</v>
      </c>
      <c r="M145" s="9">
        <f>L145-T145</f>
        <v>0</v>
      </c>
      <c r="N145" s="9"/>
      <c r="O145" s="9">
        <f t="shared" ref="O145:T145" si="31">IF(OR($C145="Annual",$D145=$E145),IF(AND($D145=$E145,O$111=$B145+$D145),$H145,IF(AND(O$111&gt;$B145+$D145,O$111&lt;=$B145+$E145), $H145/($E145-$D145),0)), IF(OR(O$111=$B145+$D145,O$111=$B145+$E145),$H145/(($E145-$D145)*2),IF(AND(O$111&gt;$B145+$D145,O$111&lt;$B145+$E145),$H145/($E145-$D145),0)))</f>
        <v>0</v>
      </c>
      <c r="P145" s="9">
        <f t="shared" si="31"/>
        <v>0</v>
      </c>
      <c r="Q145" s="9">
        <f t="shared" si="31"/>
        <v>0</v>
      </c>
      <c r="R145" s="9">
        <f t="shared" si="31"/>
        <v>0</v>
      </c>
      <c r="S145" s="9">
        <f t="shared" si="31"/>
        <v>0</v>
      </c>
      <c r="T145" s="9">
        <f t="shared" si="31"/>
        <v>0</v>
      </c>
      <c r="U145" s="9"/>
      <c r="V145" s="9">
        <f>IF($C145="annual",IF(V$111=$B145,0,G145*$F145),IF(V$111-$B145=0,0,IF((V$111-$B145)&lt;$E145,AVERAGE(G145,H145)*$F145,IF((V$111-$B145)=$E145,G145*$F145/2,0))))</f>
        <v>0</v>
      </c>
      <c r="W145" s="9">
        <f t="shared" ref="W145:AA150" si="32">IF($C145="annual",IF(W$111=$B145,0,H145*$F145),IF(W$111-$B145=0,0,IF((W$111-$B145)&lt;$E145,AVERAGE(H145,I145)*$F145,IF((W$111-$B145)=$E145,H145*$F145/2,0))))</f>
        <v>0</v>
      </c>
      <c r="X145" s="9">
        <f t="shared" si="32"/>
        <v>0</v>
      </c>
      <c r="Y145" s="9">
        <f t="shared" si="32"/>
        <v>0</v>
      </c>
      <c r="Z145" s="9">
        <f t="shared" si="32"/>
        <v>0</v>
      </c>
      <c r="AA145" s="9">
        <f t="shared" si="32"/>
        <v>0</v>
      </c>
    </row>
    <row r="146" spans="1:27">
      <c r="A146" s="8" t="str">
        <f>A145</f>
        <v>Type 2</v>
      </c>
      <c r="B146" s="7">
        <f>B145+1</f>
        <v>2019</v>
      </c>
      <c r="C146" s="7" t="str">
        <f>C145</f>
        <v>Annual</v>
      </c>
      <c r="D146" s="7">
        <f t="shared" ref="D146:E150" si="33">D145</f>
        <v>0</v>
      </c>
      <c r="E146" s="7">
        <f t="shared" si="33"/>
        <v>0</v>
      </c>
      <c r="F146" s="14">
        <f>$M$80</f>
        <v>0.18606977230199898</v>
      </c>
      <c r="H146" s="9"/>
      <c r="I146" s="9">
        <f ca="1">$C$80</f>
        <v>45</v>
      </c>
      <c r="J146" s="9">
        <f ca="1">I146-Q146</f>
        <v>30</v>
      </c>
      <c r="K146" s="9">
        <f ca="1">J146-R146</f>
        <v>15</v>
      </c>
      <c r="L146" s="9">
        <f ca="1">K146-S146</f>
        <v>0</v>
      </c>
      <c r="M146" s="9">
        <f ca="1">L146-T146</f>
        <v>0</v>
      </c>
      <c r="N146" s="9"/>
      <c r="O146" s="9"/>
      <c r="P146" s="9">
        <f ca="1">IF(OR($C146="Annual",$D146=$E146),IF(AND($D146=$E146,P$111=$B146+$D146),$I146,IF(AND(P$111&gt;$B146+$D146,P$111&lt;=$B146+$E146), $I146/($E146-$D146),0)), IF(OR(P$111=$B146+$D146,P$111=$B146+$E146),$I146/(($E146-$D146)*2),IF(AND(P$111&gt;$B146+$D146,P$111&lt;$B146+$E146),$I146/($E146-$D146),0)))</f>
        <v>0</v>
      </c>
      <c r="Q146" s="9">
        <f>IF(OR($C146="Annual",$D146=$E146),IF(AND($D146=$E146,Q$111=$B146+$D146),$I146,IF(AND(Q$111&gt;$B146+$D146,Q$111&lt;=$B146+$E146), $I146/($E146-$D146),0)), IF(OR(Q$111=$B146+$D146,Q$111=$B146+$E146),$I146/(($E146-$D146)*2),IF(AND(Q$111&gt;$B146+$D146,Q$111&lt;$B146+$E146),$I146/($E146-$D146),0)))</f>
        <v>0</v>
      </c>
      <c r="R146" s="9">
        <f>IF(OR($C146="Annual",$D146=$E146),IF(AND($D146=$E146,R$111=$B146+$D146),$I146,IF(AND(R$111&gt;$B146+$D146,R$111&lt;=$B146+$E146), $I146/($E146-$D146),0)), IF(OR(R$111=$B146+$D146,R$111=$B146+$E146),$I146/(($E146-$D146)*2),IF(AND(R$111&gt;$B146+$D146,R$111&lt;$B146+$E146),$I146/($E146-$D146),0)))</f>
        <v>0</v>
      </c>
      <c r="S146" s="9">
        <f>IF(OR($C146="Annual",$D146=$E146),IF(AND($D146=$E146,S$111=$B146+$D146),$I146,IF(AND(S$111&gt;$B146+$D146,S$111&lt;=$B146+$E146), $I146/($E146-$D146),0)), IF(OR(S$111=$B146+$D146,S$111=$B146+$E146),$I146/(($E146-$D146)*2),IF(AND(S$111&gt;$B146+$D146,S$111&lt;$B146+$E146),$I146/($E146-$D146),0)))</f>
        <v>0</v>
      </c>
      <c r="T146" s="9">
        <f>IF(OR($C146="Annual",$D146=$E146),IF(AND($D146=$E146,T$111=$B146+$D146),$I146,IF(AND(T$111&gt;$B146+$D146,T$111&lt;=$B146+$E146), $I146/($E146-$D146),0)), IF(OR(T$111=$B146+$D146,T$111=$B146+$E146),$I146/(($E146-$D146)*2),IF(AND(T$111&gt;$B146+$D146,T$111&lt;$B146+$E146),$I146/($E146-$D146),0)))</f>
        <v>0</v>
      </c>
      <c r="U146" s="9"/>
      <c r="V146" s="9"/>
      <c r="W146" s="9">
        <f t="shared" si="32"/>
        <v>0</v>
      </c>
      <c r="X146" s="9">
        <f t="shared" ca="1" si="32"/>
        <v>9.3656931424665739</v>
      </c>
      <c r="Y146" s="9">
        <f t="shared" ca="1" si="32"/>
        <v>6.2437954283110493</v>
      </c>
      <c r="Z146" s="9">
        <f t="shared" ca="1" si="32"/>
        <v>3.1218977141555246</v>
      </c>
      <c r="AA146" s="9">
        <f t="shared" ca="1" si="32"/>
        <v>0</v>
      </c>
    </row>
    <row r="147" spans="1:27">
      <c r="A147" s="8" t="str">
        <f>A146</f>
        <v>Type 2</v>
      </c>
      <c r="B147" s="7">
        <f>B146+1</f>
        <v>2020</v>
      </c>
      <c r="C147" s="7" t="str">
        <f>C146</f>
        <v>Annual</v>
      </c>
      <c r="D147" s="7">
        <f t="shared" si="33"/>
        <v>0</v>
      </c>
      <c r="E147" s="7">
        <f t="shared" si="33"/>
        <v>0</v>
      </c>
      <c r="F147" s="14">
        <f>$N$80</f>
        <v>0.18606977230199898</v>
      </c>
      <c r="H147" s="9"/>
      <c r="I147" s="9"/>
      <c r="J147" s="9">
        <f ca="1">$D$80</f>
        <v>52.969423202205455</v>
      </c>
      <c r="K147" s="9">
        <f ca="1">J147-R147</f>
        <v>35.312948801470299</v>
      </c>
      <c r="L147" s="9">
        <f ca="1">K147-S147</f>
        <v>17.656474400735146</v>
      </c>
      <c r="M147" s="9">
        <f ca="1">L147-T147</f>
        <v>0</v>
      </c>
      <c r="N147" s="9"/>
      <c r="O147" s="9"/>
      <c r="P147" s="9"/>
      <c r="Q147" s="9">
        <f ca="1">IF(OR($C147="Annual",$D147=$E147),IF(AND($D147=$E147,Q$111=$B147+$D147),$J147,IF(AND(Q$111&gt;$B147+$D147,Q$111&lt;=$B147+$E147), $J147/($E147-$D147),0)), IF(OR(Q$111=$B147+$D147,Q$111=$B147+$E147),$J147/(($E147-$D147)*2),IF(AND(Q$111&gt;$B147+$D147,Q$111&lt;$B147+$E147),$J147/($E147-$D147),0)))</f>
        <v>0</v>
      </c>
      <c r="R147" s="9">
        <f>IF(OR($C147="Annual",$D147=$E147),IF(AND($D147=$E147,R$111=$B147+$D147),$J147,IF(AND(R$111&gt;$B147+$D147,R$111&lt;=$B147+$E147), $J147/($E147-$D147),0)), IF(OR(R$111=$B147+$D147,R$111=$B147+$E147),$J147/(($E147-$D147)*2),IF(AND(R$111&gt;$B147+$D147,R$111&lt;$B147+$E147),$J147/($E147-$D147),0)))</f>
        <v>0</v>
      </c>
      <c r="S147" s="9">
        <f>IF(OR($C147="Annual",$D147=$E147),IF(AND($D147=$E147,S$111=$B147+$D147),$J147,IF(AND(S$111&gt;$B147+$D147,S$111&lt;=$B147+$E147), $J147/($E147-$D147),0)), IF(OR(S$111=$B147+$D147,S$111=$B147+$E147),$J147/(($E147-$D147)*2),IF(AND(S$111&gt;$B147+$D147,S$111&lt;$B147+$E147),$J147/($E147-$D147),0)))</f>
        <v>0</v>
      </c>
      <c r="T147" s="9">
        <f>IF(OR($C147="Annual",$D147=$E147),IF(AND($D147=$E147,T$111=$B147+$D147),$J147,IF(AND(T$111&gt;$B147+$D147,T$111&lt;=$B147+$E147), $J147/($E147-$D147),0)), IF(OR(T$111=$B147+$D147,T$111=$B147+$E147),$J147/(($E147-$D147)*2),IF(AND(T$111&gt;$B147+$D147,T$111&lt;$B147+$E147),$J147/($E147-$D147),0)))</f>
        <v>0</v>
      </c>
      <c r="U147" s="9"/>
      <c r="V147" s="9"/>
      <c r="W147" s="9"/>
      <c r="X147" s="9">
        <f t="shared" si="32"/>
        <v>0</v>
      </c>
      <c r="Y147" s="9">
        <f t="shared" ca="1" si="32"/>
        <v>11.182256507261693</v>
      </c>
      <c r="Z147" s="9">
        <f t="shared" ca="1" si="32"/>
        <v>7.4548376715077946</v>
      </c>
      <c r="AA147" s="9">
        <f t="shared" ca="1" si="32"/>
        <v>3.7274188357538964</v>
      </c>
    </row>
    <row r="148" spans="1:27">
      <c r="A148" s="8" t="str">
        <f>A147</f>
        <v>Type 2</v>
      </c>
      <c r="B148" s="7">
        <f>B147+1</f>
        <v>2021</v>
      </c>
      <c r="C148" s="7" t="str">
        <f>C147</f>
        <v>Annual</v>
      </c>
      <c r="D148" s="7">
        <f t="shared" si="33"/>
        <v>0</v>
      </c>
      <c r="E148" s="7">
        <f t="shared" si="33"/>
        <v>0</v>
      </c>
      <c r="F148" s="14">
        <f>$O$80</f>
        <v>0.18606977230199898</v>
      </c>
      <c r="H148" s="9"/>
      <c r="I148" s="9"/>
      <c r="J148" s="9"/>
      <c r="K148" s="9">
        <f ca="1">$E$80</f>
        <v>48.634000210121485</v>
      </c>
      <c r="L148" s="9">
        <f ca="1">K148-S148</f>
        <v>32.422666806747657</v>
      </c>
      <c r="M148" s="9">
        <f ca="1">L148-T148</f>
        <v>16.211333403373828</v>
      </c>
      <c r="N148" s="9"/>
      <c r="O148" s="9"/>
      <c r="P148" s="9"/>
      <c r="Q148" s="9"/>
      <c r="R148" s="9">
        <f ca="1">IF(OR($C148="Annual",$D148=$E148),IF(AND($D148=$E148,R$111=$B148+$D148),$K148,IF(AND(R$111&gt;$B148+$D148,R$111&lt;=$B148+$E148), $K148/($E148-$D148),0)), IF(OR(R$111=$B148+$D148,R$111=$B148+$E148),$K148/(($E148-$D148)*2),IF(AND(R$111&gt;$B148+$D148,R$111&lt;$B148+$E148),$K148/($E148-$D148),0)))</f>
        <v>0</v>
      </c>
      <c r="S148" s="9">
        <f>IF(OR($C148="Annual",$D148=$E148),IF(AND($D148=$E148,S$111=$B148+$D148),$K148,IF(AND(S$111&gt;$B148+$D148,S$111&lt;=$B148+$E148), $K148/($E148-$D148),0)), IF(OR(S$111=$B148+$D148,S$111=$B148+$E148),$K148/(($E148-$D148)*2),IF(AND(S$111&gt;$B148+$D148,S$111&lt;$B148+$E148),$K148/($E148-$D148),0)))</f>
        <v>0</v>
      </c>
      <c r="T148" s="9">
        <f>IF(OR($C148="Annual",$D148=$E148),IF(AND($D148=$E148,T$111=$B148+$D148),$K148,IF(AND(T$111&gt;$B148+$D148,T$111&lt;=$B148+$E148), $K148/($E148-$D148),0)), IF(OR(T$111=$B148+$D148,T$111=$B148+$E148),$K148/(($E148-$D148)*2),IF(AND(T$111&gt;$B148+$D148,T$111&lt;$B148+$E148),$K148/($E148-$D148),0)))</f>
        <v>0</v>
      </c>
      <c r="U148" s="9"/>
      <c r="V148" s="9"/>
      <c r="W148" s="9"/>
      <c r="X148" s="9"/>
      <c r="Y148" s="9">
        <f t="shared" si="32"/>
        <v>0</v>
      </c>
      <c r="Z148" s="9">
        <f t="shared" ca="1" si="32"/>
        <v>10.387992127730271</v>
      </c>
      <c r="AA148" s="9">
        <f t="shared" ca="1" si="32"/>
        <v>6.9253280851535139</v>
      </c>
    </row>
    <row r="149" spans="1:27">
      <c r="A149" s="8" t="str">
        <f>A148</f>
        <v>Type 2</v>
      </c>
      <c r="B149" s="7">
        <f>B148+1</f>
        <v>2022</v>
      </c>
      <c r="C149" s="7" t="str">
        <f>C148</f>
        <v>Annual</v>
      </c>
      <c r="D149" s="7">
        <f t="shared" si="33"/>
        <v>0</v>
      </c>
      <c r="E149" s="7">
        <f t="shared" si="33"/>
        <v>0</v>
      </c>
      <c r="F149" s="14">
        <f>$P$80</f>
        <v>0.18606977230199898</v>
      </c>
      <c r="H149" s="9"/>
      <c r="I149" s="9"/>
      <c r="J149" s="9"/>
      <c r="K149" s="9"/>
      <c r="L149" s="9">
        <f ca="1">$F$80</f>
        <v>63.250982859737469</v>
      </c>
      <c r="M149" s="9">
        <f ca="1">L149-T149</f>
        <v>42.167321906491651</v>
      </c>
      <c r="N149" s="9"/>
      <c r="O149" s="9"/>
      <c r="P149" s="9"/>
      <c r="Q149" s="9"/>
      <c r="R149" s="9"/>
      <c r="S149" s="9">
        <f ca="1">IF(OR($C149="Annual",$D149=$E149),IF(AND($D149=$E149,S$111=$B149+$D149),$L149,IF(AND(S$111&gt;$B149+$D149,S$111&lt;=$B149+$E149), $L149/($E149-$D149),0)), IF(OR(S$111=$B149+$D149,S$111=$B149+$E149),$L149/(($E149-$D149)*2),IF(AND(S$111&gt;$B149+$D149,S$111&lt;$B149+$E149),$L149/($E149-$D149),0)))</f>
        <v>0</v>
      </c>
      <c r="T149" s="9">
        <f>IF(OR($C149="Annual",$D149=$E149),IF(AND($D149=$E149,T$111=$B149+$D149),$L149,IF(AND(T$111&gt;$B149+$D149,T$111&lt;=$B149+$E149), $L149/($E149-$D149),0)), IF(OR(T$111=$B149+$D149,T$111=$B149+$E149),$L149/(($E149-$D149)*2),IF(AND(T$111&gt;$B149+$D149,T$111&lt;$B149+$E149),$L149/($E149-$D149),0)))</f>
        <v>0</v>
      </c>
      <c r="U149" s="9"/>
      <c r="V149" s="9"/>
      <c r="W149" s="9"/>
      <c r="X149" s="9"/>
      <c r="Y149" s="9"/>
      <c r="Z149" s="9">
        <f t="shared" si="32"/>
        <v>0</v>
      </c>
      <c r="AA149" s="9">
        <f t="shared" ca="1" si="32"/>
        <v>13.643332782356156</v>
      </c>
    </row>
    <row r="150" spans="1:27">
      <c r="A150" s="8" t="str">
        <f>A149</f>
        <v>Type 2</v>
      </c>
      <c r="B150" s="7">
        <f>B149+1</f>
        <v>2023</v>
      </c>
      <c r="C150" s="7" t="str">
        <f>C149</f>
        <v>Annual</v>
      </c>
      <c r="D150" s="7">
        <f t="shared" si="33"/>
        <v>0</v>
      </c>
      <c r="E150" s="7">
        <f t="shared" si="33"/>
        <v>0</v>
      </c>
      <c r="F150" s="14">
        <f>$Q$80</f>
        <v>0.18606977230199898</v>
      </c>
      <c r="H150" s="9"/>
      <c r="I150" s="9"/>
      <c r="J150" s="9"/>
      <c r="K150" s="9"/>
      <c r="L150" s="9"/>
      <c r="M150" s="9">
        <f ca="1">$G$80</f>
        <v>63.118292606699626</v>
      </c>
      <c r="N150" s="9"/>
      <c r="O150" s="9"/>
      <c r="P150" s="9"/>
      <c r="Q150" s="9"/>
      <c r="R150" s="9"/>
      <c r="S150" s="9"/>
      <c r="T150" s="9">
        <f ca="1">IF(OR($C150="Annual",$D150=$E150),IF(AND($D150=$E150,T$111=$B150+$D150),$M150,IF(AND(T$111&gt;$B150+$D150,T$111&lt;=$B150+$E150), $M150/($E150-$D150),0)), IF(OR(T$111=$B150+$D150,T$111=$B150+$E150),$M150/(($E150-$D150)*2),IF(AND(T$111&gt;$B150+$D150,T$111&lt;$B150+$E150),$M150/($E150-$D150),0)))</f>
        <v>0</v>
      </c>
      <c r="U150" s="9"/>
      <c r="V150" s="9"/>
      <c r="W150" s="9"/>
      <c r="X150" s="9"/>
      <c r="Y150" s="9"/>
      <c r="Z150" s="9"/>
      <c r="AA150" s="9">
        <f t="shared" si="32"/>
        <v>0</v>
      </c>
    </row>
    <row r="151" spans="1:27">
      <c r="C151" s="281"/>
      <c r="F151" s="15"/>
      <c r="H151" s="10"/>
      <c r="I151" s="10"/>
      <c r="J151" s="10"/>
      <c r="K151" s="10"/>
      <c r="L151" s="10"/>
      <c r="M151" s="10"/>
      <c r="N151" s="10"/>
      <c r="O151" s="278"/>
      <c r="P151" s="10"/>
      <c r="Q151" s="10"/>
      <c r="R151" s="10"/>
      <c r="S151" s="10"/>
      <c r="T151" s="10"/>
      <c r="U151" s="10"/>
      <c r="V151" s="10"/>
      <c r="W151" s="10"/>
      <c r="X151" s="10"/>
      <c r="Y151" s="10"/>
      <c r="Z151" s="10"/>
      <c r="AA151" s="10"/>
    </row>
    <row r="152" spans="1:27">
      <c r="A152" s="8" t="str">
        <f>'Input 4 - Forecast'!A62</f>
        <v>Type 3</v>
      </c>
      <c r="B152" s="7">
        <f>B119</f>
        <v>2018</v>
      </c>
      <c r="C152" s="7" t="str">
        <f>$I81</f>
        <v>Annual</v>
      </c>
      <c r="D152" s="7">
        <f>$J81</f>
        <v>0</v>
      </c>
      <c r="E152" s="7">
        <f>$K81</f>
        <v>0</v>
      </c>
      <c r="F152" s="14">
        <f>$L$81</f>
        <v>0</v>
      </c>
      <c r="H152" s="9">
        <f>$B$81</f>
        <v>0</v>
      </c>
      <c r="I152" s="9">
        <f>H152-P152</f>
        <v>0</v>
      </c>
      <c r="J152" s="9">
        <f>I152-Q152</f>
        <v>0</v>
      </c>
      <c r="K152" s="9">
        <f>J152-R152</f>
        <v>0</v>
      </c>
      <c r="L152" s="9">
        <f>K152-S152</f>
        <v>0</v>
      </c>
      <c r="M152" s="9">
        <f>L152-T152</f>
        <v>0</v>
      </c>
      <c r="N152" s="9"/>
      <c r="O152" s="9">
        <f t="shared" ref="O152:T152" si="34">IF(OR($C152="Annual",$D152=$E152),IF(AND($D152=$E152,O$111=$B152+$D152),$H152,IF(AND(O$111&gt;$B152+$D152,O$111&lt;=$B152+$E152), $H152/($E152-$D152),0)), IF(OR(O$111=$B152+$D152,O$111=$B152+$E152),$H152/(($E152-$D152)*2),IF(AND(O$111&gt;$B152+$D152,O$111&lt;$B152+$E152),$H152/($E152-$D152),0)))</f>
        <v>0</v>
      </c>
      <c r="P152" s="9">
        <f t="shared" si="34"/>
        <v>0</v>
      </c>
      <c r="Q152" s="9">
        <f t="shared" si="34"/>
        <v>0</v>
      </c>
      <c r="R152" s="9">
        <f t="shared" si="34"/>
        <v>0</v>
      </c>
      <c r="S152" s="9">
        <f t="shared" si="34"/>
        <v>0</v>
      </c>
      <c r="T152" s="9">
        <f t="shared" si="34"/>
        <v>0</v>
      </c>
      <c r="U152" s="9"/>
      <c r="V152" s="9">
        <f>IF($C152="annual",IF(V$111=$B152,0,G152*$F152),IF(V$111-$B152=0,0,IF((V$111-$B152)&lt;$E152,AVERAGE(G152,H152)*$F152,IF((V$111-$B152)=$E152,G152*$F152/2,0))))</f>
        <v>0</v>
      </c>
      <c r="W152" s="9">
        <f t="shared" ref="W152:AA157" si="35">IF($C152="annual",IF(W$111=$B152,0,H152*$F152),IF(W$111-$B152=0,0,IF((W$111-$B152)&lt;$E152,AVERAGE(H152,I152)*$F152,IF((W$111-$B152)=$E152,H152*$F152/2,0))))</f>
        <v>0</v>
      </c>
      <c r="X152" s="9">
        <f t="shared" si="35"/>
        <v>0</v>
      </c>
      <c r="Y152" s="9">
        <f t="shared" si="35"/>
        <v>0</v>
      </c>
      <c r="Z152" s="9">
        <f t="shared" si="35"/>
        <v>0</v>
      </c>
      <c r="AA152" s="9">
        <f t="shared" si="35"/>
        <v>0</v>
      </c>
    </row>
    <row r="153" spans="1:27">
      <c r="A153" s="8" t="str">
        <f>A152</f>
        <v>Type 3</v>
      </c>
      <c r="B153" s="7">
        <f>B152+1</f>
        <v>2019</v>
      </c>
      <c r="C153" s="7" t="str">
        <f>C152</f>
        <v>Annual</v>
      </c>
      <c r="D153" s="7">
        <f t="shared" ref="D153:E157" si="36">D152</f>
        <v>0</v>
      </c>
      <c r="E153" s="7">
        <f t="shared" si="36"/>
        <v>0</v>
      </c>
      <c r="F153" s="14">
        <f>$M$81</f>
        <v>0.18606977230199898</v>
      </c>
      <c r="H153" s="9"/>
      <c r="I153" s="9">
        <f ca="1">$C$81</f>
        <v>57.5</v>
      </c>
      <c r="J153" s="9">
        <f ca="1">I153-Q153</f>
        <v>46</v>
      </c>
      <c r="K153" s="9">
        <f ca="1">J153-R153</f>
        <v>34.5</v>
      </c>
      <c r="L153" s="9">
        <f ca="1">K153-S153</f>
        <v>23</v>
      </c>
      <c r="M153" s="9">
        <f ca="1">L153-T153</f>
        <v>11.5</v>
      </c>
      <c r="N153" s="9"/>
      <c r="O153" s="9"/>
      <c r="P153" s="9">
        <f ca="1">IF(OR($C153="Annual",$D153=$E153),IF(AND($D153=$E153,P$111=$B153+$D153),$I153,IF(AND(P$111&gt;$B153+$D153,P$111&lt;=$B153+$E153), $I153/($E153-$D153),0)), IF(OR(P$111=$B153+$D153,P$111=$B153+$E153),$I153/(($E153-$D153)*2),IF(AND(P$111&gt;$B153+$D153,P$111&lt;$B153+$E153),$I153/($E153-$D153),0)))</f>
        <v>0</v>
      </c>
      <c r="Q153" s="9">
        <f>IF(OR($C153="Annual",$D153=$E153),IF(AND($D153=$E153,Q$111=$B153+$D153),$I153,IF(AND(Q$111&gt;$B153+$D153,Q$111&lt;=$B153+$E153), $I153/($E153-$D153),0)), IF(OR(Q$111=$B153+$D153,Q$111=$B153+$E153),$I153/(($E153-$D153)*2),IF(AND(Q$111&gt;$B153+$D153,Q$111&lt;$B153+$E153),$I153/($E153-$D153),0)))</f>
        <v>0</v>
      </c>
      <c r="R153" s="9">
        <f>IF(OR($C153="Annual",$D153=$E153),IF(AND($D153=$E153,R$111=$B153+$D153),$I153,IF(AND(R$111&gt;$B153+$D153,R$111&lt;=$B153+$E153), $I153/($E153-$D153),0)), IF(OR(R$111=$B153+$D153,R$111=$B153+$E153),$I153/(($E153-$D153)*2),IF(AND(R$111&gt;$B153+$D153,R$111&lt;$B153+$E153),$I153/($E153-$D153),0)))</f>
        <v>0</v>
      </c>
      <c r="S153" s="9">
        <f>IF(OR($C153="Annual",$D153=$E153),IF(AND($D153=$E153,S$111=$B153+$D153),$I153,IF(AND(S$111&gt;$B153+$D153,S$111&lt;=$B153+$E153), $I153/($E153-$D153),0)), IF(OR(S$111=$B153+$D153,S$111=$B153+$E153),$I153/(($E153-$D153)*2),IF(AND(S$111&gt;$B153+$D153,S$111&lt;$B153+$E153),$I153/($E153-$D153),0)))</f>
        <v>0</v>
      </c>
      <c r="T153" s="9">
        <f>IF(OR($C153="Annual",$D153=$E153),IF(AND($D153=$E153,T$111=$B153+$D153),$I153,IF(AND(T$111&gt;$B153+$D153,T$111&lt;=$B153+$E153), $I153/($E153-$D153),0)), IF(OR(T$111=$B153+$D153,T$111=$B153+$E153),$I153/(($E153-$D153)*2),IF(AND(T$111&gt;$B153+$D153,T$111&lt;$B153+$E153),$I153/($E153-$D153),0)))</f>
        <v>0</v>
      </c>
      <c r="U153" s="9"/>
      <c r="V153" s="9"/>
      <c r="W153" s="9">
        <f t="shared" si="35"/>
        <v>0</v>
      </c>
      <c r="X153" s="9">
        <f t="shared" ca="1" si="35"/>
        <v>12.574977695929512</v>
      </c>
      <c r="Y153" s="9">
        <f t="shared" ca="1" si="35"/>
        <v>10.05998215674361</v>
      </c>
      <c r="Z153" s="9">
        <f t="shared" ca="1" si="35"/>
        <v>7.5449866175577069</v>
      </c>
      <c r="AA153" s="9">
        <f t="shared" ca="1" si="35"/>
        <v>5.0299910783718049</v>
      </c>
    </row>
    <row r="154" spans="1:27">
      <c r="A154" s="8" t="str">
        <f>A153</f>
        <v>Type 3</v>
      </c>
      <c r="B154" s="7">
        <f>B153+1</f>
        <v>2020</v>
      </c>
      <c r="C154" s="7" t="str">
        <f>C153</f>
        <v>Annual</v>
      </c>
      <c r="D154" s="7">
        <f t="shared" si="36"/>
        <v>0</v>
      </c>
      <c r="E154" s="7">
        <f t="shared" si="36"/>
        <v>0</v>
      </c>
      <c r="F154" s="14">
        <f>$N$81</f>
        <v>0.18606977230199898</v>
      </c>
      <c r="H154" s="9"/>
      <c r="I154" s="9"/>
      <c r="J154" s="9">
        <f ca="1">$D$81</f>
        <v>65.770367142738436</v>
      </c>
      <c r="K154" s="9">
        <f ca="1">J154-R154</f>
        <v>52.616293714190746</v>
      </c>
      <c r="L154" s="9">
        <f ca="1">K154-S154</f>
        <v>39.462220285643056</v>
      </c>
      <c r="M154" s="9">
        <f ca="1">L154-T154</f>
        <v>26.30814685709537</v>
      </c>
      <c r="N154" s="9"/>
      <c r="O154" s="9"/>
      <c r="P154" s="9"/>
      <c r="Q154" s="9">
        <f ca="1">IF(OR($C154="Annual",$D154=$E154),IF(AND($D154=$E154,Q$111=$B154+$D154),$J154,IF(AND(Q$111&gt;$B154+$D154,Q$111&lt;=$B154+$E154), $J154/($E154-$D154),0)), IF(OR(Q$111=$B154+$D154,Q$111=$B154+$E154),$J154/(($E154-$D154)*2),IF(AND(Q$111&gt;$B154+$D154,Q$111&lt;$B154+$E154),$J154/($E154-$D154),0)))</f>
        <v>0</v>
      </c>
      <c r="R154" s="9">
        <f>IF(OR($C154="Annual",$D154=$E154),IF(AND($D154=$E154,R$111=$B154+$D154),$J154,IF(AND(R$111&gt;$B154+$D154,R$111&lt;=$B154+$E154), $J154/($E154-$D154),0)), IF(OR(R$111=$B154+$D154,R$111=$B154+$E154),$J154/(($E154-$D154)*2),IF(AND(R$111&gt;$B154+$D154,R$111&lt;$B154+$E154),$J154/($E154-$D154),0)))</f>
        <v>0</v>
      </c>
      <c r="S154" s="9">
        <f>IF(OR($C154="Annual",$D154=$E154),IF(AND($D154=$E154,S$111=$B154+$D154),$J154,IF(AND(S$111&gt;$B154+$D154,S$111&lt;=$B154+$E154), $J154/($E154-$D154),0)), IF(OR(S$111=$B154+$D154,S$111=$B154+$E154),$J154/(($E154-$D154)*2),IF(AND(S$111&gt;$B154+$D154,S$111&lt;$B154+$E154),$J154/($E154-$D154),0)))</f>
        <v>0</v>
      </c>
      <c r="T154" s="9">
        <f>IF(OR($C154="Annual",$D154=$E154),IF(AND($D154=$E154,T$111=$B154+$D154),$J154,IF(AND(T$111&gt;$B154+$D154,T$111&lt;=$B154+$E154), $J154/($E154-$D154),0)), IF(OR(T$111=$B154+$D154,T$111=$B154+$E154),$J154/(($E154-$D154)*2),IF(AND(T$111&gt;$B154+$D154,T$111&lt;$B154+$E154),$J154/($E154-$D154),0)))</f>
        <v>0</v>
      </c>
      <c r="U154" s="9"/>
      <c r="V154" s="9"/>
      <c r="W154" s="9"/>
      <c r="X154" s="9">
        <f t="shared" si="35"/>
        <v>0</v>
      </c>
      <c r="Y154" s="9">
        <f t="shared" ca="1" si="35"/>
        <v>14.580978925307013</v>
      </c>
      <c r="Z154" s="9">
        <f t="shared" ca="1" si="35"/>
        <v>11.664783140245611</v>
      </c>
      <c r="AA154" s="9">
        <f t="shared" ca="1" si="35"/>
        <v>8.7485873551842079</v>
      </c>
    </row>
    <row r="155" spans="1:27">
      <c r="A155" s="8" t="str">
        <f>A154</f>
        <v>Type 3</v>
      </c>
      <c r="B155" s="7">
        <f>B154+1</f>
        <v>2021</v>
      </c>
      <c r="C155" s="7" t="str">
        <f>C154</f>
        <v>Annual</v>
      </c>
      <c r="D155" s="7">
        <f t="shared" si="36"/>
        <v>0</v>
      </c>
      <c r="E155" s="7">
        <f t="shared" si="36"/>
        <v>0</v>
      </c>
      <c r="F155" s="14">
        <f>$O$81</f>
        <v>0.18606977230199898</v>
      </c>
      <c r="H155" s="9"/>
      <c r="I155" s="9"/>
      <c r="J155" s="9"/>
      <c r="K155" s="9">
        <f ca="1">$E$81</f>
        <v>58.360800252145786</v>
      </c>
      <c r="L155" s="9">
        <f ca="1">K155-S155</f>
        <v>46.68864020171663</v>
      </c>
      <c r="M155" s="9">
        <f ca="1">L155-T155</f>
        <v>35.016480151287475</v>
      </c>
      <c r="N155" s="9"/>
      <c r="O155" s="9"/>
      <c r="P155" s="9"/>
      <c r="Q155" s="9"/>
      <c r="R155" s="9">
        <f ca="1">IF(OR($C155="Annual",$D155=$E155),IF(AND($D155=$E155,R$111=$B155+$D155),$K155,IF(AND(R$111&gt;$B155+$D155,R$111&lt;=$B155+$E155), $K155/($E155-$D155),0)), IF(OR(R$111=$B155+$D155,R$111=$B155+$E155),$K155/(($E155-$D155)*2),IF(AND(R$111&gt;$B155+$D155,R$111&lt;$B155+$E155),$K155/($E155-$D155),0)))</f>
        <v>0</v>
      </c>
      <c r="S155" s="9">
        <f>IF(OR($C155="Annual",$D155=$E155),IF(AND($D155=$E155,S$111=$B155+$D155),$K155,IF(AND(S$111&gt;$B155+$D155,S$111&lt;=$B155+$E155), $K155/($E155-$D155),0)), IF(OR(S$111=$B155+$D155,S$111=$B155+$E155),$K155/(($E155-$D155)*2),IF(AND(S$111&gt;$B155+$D155,S$111&lt;$B155+$E155),$K155/($E155-$D155),0)))</f>
        <v>0</v>
      </c>
      <c r="T155" s="9">
        <f>IF(OR($C155="Annual",$D155=$E155),IF(AND($D155=$E155,T$111=$B155+$D155),$K155,IF(AND(T$111&gt;$B155+$D155,T$111&lt;=$B155+$E155), $K155/($E155-$D155),0)), IF(OR(T$111=$B155+$D155,T$111=$B155+$E155),$K155/(($E155-$D155)*2),IF(AND(T$111&gt;$B155+$D155,T$111&lt;$B155+$E155),$K155/($E155-$D155),0)))</f>
        <v>0</v>
      </c>
      <c r="U155" s="9"/>
      <c r="V155" s="9"/>
      <c r="W155" s="9"/>
      <c r="X155" s="9"/>
      <c r="Y155" s="9">
        <f t="shared" si="35"/>
        <v>0</v>
      </c>
      <c r="Z155" s="9">
        <f t="shared" ca="1" si="35"/>
        <v>12.996673835570856</v>
      </c>
      <c r="AA155" s="9">
        <f t="shared" ca="1" si="35"/>
        <v>10.397339068456684</v>
      </c>
    </row>
    <row r="156" spans="1:27">
      <c r="A156" s="8" t="str">
        <f>A155</f>
        <v>Type 3</v>
      </c>
      <c r="B156" s="7">
        <f>B155+1</f>
        <v>2022</v>
      </c>
      <c r="C156" s="7" t="str">
        <f>C155</f>
        <v>Annual</v>
      </c>
      <c r="D156" s="7">
        <f t="shared" si="36"/>
        <v>0</v>
      </c>
      <c r="E156" s="7">
        <f t="shared" si="36"/>
        <v>0</v>
      </c>
      <c r="F156" s="14">
        <f>$P$81</f>
        <v>0.18606977230199898</v>
      </c>
      <c r="H156" s="9"/>
      <c r="I156" s="9"/>
      <c r="J156" s="9"/>
      <c r="K156" s="9"/>
      <c r="L156" s="9">
        <f ca="1">$F$81</f>
        <v>75.198390733243443</v>
      </c>
      <c r="M156" s="9">
        <f ca="1">L156-T156</f>
        <v>60.158712586594753</v>
      </c>
      <c r="N156" s="9"/>
      <c r="O156" s="9"/>
      <c r="P156" s="9"/>
      <c r="Q156" s="9"/>
      <c r="R156" s="9"/>
      <c r="S156" s="9">
        <f ca="1">IF(OR($C156="Annual",$D156=$E156),IF(AND($D156=$E156,S$111=$B156+$D156),$L156,IF(AND(S$111&gt;$B156+$D156,S$111&lt;=$B156+$E156), $L156/($E156-$D156),0)), IF(OR(S$111=$B156+$D156,S$111=$B156+$E156),$L156/(($E156-$D156)*2),IF(AND(S$111&gt;$B156+$D156,S$111&lt;$B156+$E156),$L156/($E156-$D156),0)))</f>
        <v>0</v>
      </c>
      <c r="T156" s="9">
        <f>IF(OR($C156="Annual",$D156=$E156),IF(AND($D156=$E156,T$111=$B156+$D156),$L156,IF(AND(T$111&gt;$B156+$D156,T$111&lt;=$B156+$E156), $L156/($E156-$D156),0)), IF(OR(T$111=$B156+$D156,T$111=$B156+$E156),$L156/(($E156-$D156)*2),IF(AND(T$111&gt;$B156+$D156,T$111&lt;$B156+$E156),$L156/($E156-$D156),0)))</f>
        <v>0</v>
      </c>
      <c r="U156" s="9"/>
      <c r="V156" s="9"/>
      <c r="W156" s="9"/>
      <c r="X156" s="9"/>
      <c r="Y156" s="9"/>
      <c r="Z156" s="9">
        <f t="shared" si="35"/>
        <v>0</v>
      </c>
      <c r="AA156" s="9">
        <f t="shared" ca="1" si="35"/>
        <v>16.821523888280627</v>
      </c>
    </row>
    <row r="157" spans="1:27">
      <c r="A157" s="8" t="str">
        <f>A156</f>
        <v>Type 3</v>
      </c>
      <c r="B157" s="7">
        <f>B156+1</f>
        <v>2023</v>
      </c>
      <c r="C157" s="7" t="str">
        <f>C156</f>
        <v>Annual</v>
      </c>
      <c r="D157" s="7">
        <f t="shared" si="36"/>
        <v>0</v>
      </c>
      <c r="E157" s="7">
        <f t="shared" si="36"/>
        <v>0</v>
      </c>
      <c r="F157" s="14">
        <f>$Q$81</f>
        <v>0.18606977230199898</v>
      </c>
      <c r="H157" s="9"/>
      <c r="I157" s="9"/>
      <c r="J157" s="9"/>
      <c r="K157" s="9"/>
      <c r="L157" s="9"/>
      <c r="M157" s="9">
        <f ca="1">$G$81</f>
        <v>91.253327593720371</v>
      </c>
      <c r="N157" s="9"/>
      <c r="O157" s="9"/>
      <c r="P157" s="9"/>
      <c r="Q157" s="9"/>
      <c r="R157" s="9"/>
      <c r="S157" s="9"/>
      <c r="T157" s="9">
        <f ca="1">IF(OR($C157="Annual",$D157=$E157),IF(AND($D157=$E157,T$111=$B157+$D157),$M157,IF(AND(T$111&gt;$B157+$D157,T$111&lt;=$B157+$E157), $M157/($E157-$D157),0)), IF(OR(T$111=$B157+$D157,T$111=$B157+$E157),$M157/(($E157-$D157)*2),IF(AND(T$111&gt;$B157+$D157,T$111&lt;$B157+$E157),$M157/($E157-$D157),0)))</f>
        <v>0</v>
      </c>
      <c r="U157" s="9"/>
      <c r="V157" s="9"/>
      <c r="W157" s="9"/>
      <c r="X157" s="9"/>
      <c r="Y157" s="9"/>
      <c r="Z157" s="9"/>
      <c r="AA157" s="9">
        <f t="shared" si="35"/>
        <v>0</v>
      </c>
    </row>
    <row r="158" spans="1:27">
      <c r="C158" s="281"/>
      <c r="F158" s="15"/>
      <c r="H158" s="10"/>
      <c r="I158" s="10"/>
      <c r="J158" s="10"/>
      <c r="K158" s="10"/>
      <c r="L158" s="10"/>
      <c r="M158" s="10"/>
      <c r="N158" s="10"/>
      <c r="O158" s="278"/>
      <c r="P158" s="10"/>
      <c r="Q158" s="10"/>
      <c r="R158" s="10"/>
      <c r="S158" s="10"/>
      <c r="T158" s="10"/>
      <c r="U158" s="10"/>
      <c r="V158" s="10"/>
      <c r="W158" s="10"/>
      <c r="X158" s="10"/>
      <c r="Y158" s="10"/>
      <c r="Z158" s="10"/>
      <c r="AA158" s="10"/>
    </row>
    <row r="159" spans="1:27">
      <c r="A159" s="8" t="str">
        <f>'Input 4 - Forecast'!A63</f>
        <v>Type 4</v>
      </c>
      <c r="B159" s="7">
        <f>B119</f>
        <v>2018</v>
      </c>
      <c r="C159" s="7" t="str">
        <f>$I82</f>
        <v>Annual</v>
      </c>
      <c r="D159" s="7">
        <f>$J82</f>
        <v>0</v>
      </c>
      <c r="E159" s="7">
        <f>$K82</f>
        <v>0</v>
      </c>
      <c r="F159" s="14">
        <f>$L$82</f>
        <v>0</v>
      </c>
      <c r="H159" s="9">
        <f>$B$82</f>
        <v>0</v>
      </c>
      <c r="I159" s="9">
        <f>H159-P159</f>
        <v>0</v>
      </c>
      <c r="J159" s="9">
        <f>I159-Q159</f>
        <v>0</v>
      </c>
      <c r="K159" s="9">
        <f>J159-R159</f>
        <v>0</v>
      </c>
      <c r="L159" s="9">
        <f>K159-S159</f>
        <v>0</v>
      </c>
      <c r="M159" s="9">
        <f>L159-T159</f>
        <v>0</v>
      </c>
      <c r="N159" s="9"/>
      <c r="O159" s="9">
        <f t="shared" ref="O159:T159" si="37">IF(OR($C159="Annual",$D159=$E159),IF(AND($D159=$E159,O$111=$B159+$D159),$H159,IF(AND(O$111&gt;$B159+$D159,O$111&lt;=$B159+$E159), $H159/($E159-$D159),0)), IF(OR(O$111=$B159+$D159,O$111=$B159+$E159),$H159/(($E159-$D159)*2),IF(AND(O$111&gt;$B159+$D159,O$111&lt;$B159+$E159),$H159/($E159-$D159),0)))</f>
        <v>0</v>
      </c>
      <c r="P159" s="9">
        <f t="shared" si="37"/>
        <v>0</v>
      </c>
      <c r="Q159" s="9">
        <f t="shared" si="37"/>
        <v>0</v>
      </c>
      <c r="R159" s="9">
        <f t="shared" si="37"/>
        <v>0</v>
      </c>
      <c r="S159" s="9">
        <f t="shared" si="37"/>
        <v>0</v>
      </c>
      <c r="T159" s="9">
        <f t="shared" si="37"/>
        <v>0</v>
      </c>
      <c r="U159" s="9"/>
      <c r="V159" s="9">
        <f>IF($C159="annual",IF(V$111=$B159,0,G159*$F159),IF(V$111-$B159=0,0,IF((V$111-$B159)&lt;$E159,AVERAGE(G159,H159)*$F159,IF((V$111-$B159)=$E159,G159*$F159/2,0))))</f>
        <v>0</v>
      </c>
      <c r="W159" s="9">
        <f t="shared" ref="W159:AA164" si="38">IF($C159="annual",IF(W$111=$B159,0,H159*$F159),IF(W$111-$B159=0,0,IF((W$111-$B159)&lt;$E159,AVERAGE(H159,I159)*$F159,IF((W$111-$B159)=$E159,H159*$F159/2,0))))</f>
        <v>0</v>
      </c>
      <c r="X159" s="9">
        <f t="shared" si="38"/>
        <v>0</v>
      </c>
      <c r="Y159" s="9">
        <f t="shared" si="38"/>
        <v>0</v>
      </c>
      <c r="Z159" s="9">
        <f t="shared" si="38"/>
        <v>0</v>
      </c>
      <c r="AA159" s="9">
        <f t="shared" si="38"/>
        <v>0</v>
      </c>
    </row>
    <row r="160" spans="1:27">
      <c r="A160" s="8" t="str">
        <f>A159</f>
        <v>Type 4</v>
      </c>
      <c r="B160" s="7">
        <f>B159+1</f>
        <v>2019</v>
      </c>
      <c r="C160" s="7" t="str">
        <f>C159</f>
        <v>Annual</v>
      </c>
      <c r="D160" s="7">
        <f t="shared" ref="D160:E164" si="39">D159</f>
        <v>0</v>
      </c>
      <c r="E160" s="7">
        <f t="shared" si="39"/>
        <v>0</v>
      </c>
      <c r="F160" s="14">
        <f>$M$82</f>
        <v>0.18606977230199898</v>
      </c>
      <c r="H160" s="9"/>
      <c r="I160" s="9">
        <f ca="1">$C$82</f>
        <v>94</v>
      </c>
      <c r="J160" s="9">
        <f ca="1">I160-Q160</f>
        <v>84.6</v>
      </c>
      <c r="K160" s="9">
        <f ca="1">J160-R160</f>
        <v>75.199999999999989</v>
      </c>
      <c r="L160" s="9">
        <f ca="1">K160-S160</f>
        <v>65.799999999999983</v>
      </c>
      <c r="M160" s="9">
        <f ca="1">L160-T160</f>
        <v>56.399999999999984</v>
      </c>
      <c r="N160" s="9"/>
      <c r="O160" s="9"/>
      <c r="P160" s="9">
        <f ca="1">IF(OR($C160="Annual",$D160=$E160),IF(AND($D160=$E160,P$111=$B160+$D160),$I160,IF(AND(P$111&gt;$B160+$D160,P$111&lt;=$B160+$E160), $I160/($E160-$D160),0)), IF(OR(P$111=$B160+$D160,P$111=$B160+$E160),$I160/(($E160-$D160)*2),IF(AND(P$111&gt;$B160+$D160,P$111&lt;$B160+$E160),$I160/($E160-$D160),0)))</f>
        <v>0</v>
      </c>
      <c r="Q160" s="9">
        <f>IF(OR($C160="Annual",$D160=$E160),IF(AND($D160=$E160,Q$111=$B160+$D160),$I160,IF(AND(Q$111&gt;$B160+$D160,Q$111&lt;=$B160+$E160), $I160/($E160-$D160),0)), IF(OR(Q$111=$B160+$D160,Q$111=$B160+$E160),$I160/(($E160-$D160)*2),IF(AND(Q$111&gt;$B160+$D160,Q$111&lt;$B160+$E160),$I160/($E160-$D160),0)))</f>
        <v>0</v>
      </c>
      <c r="R160" s="9">
        <f>IF(OR($C160="Annual",$D160=$E160),IF(AND($D160=$E160,R$111=$B160+$D160),$I160,IF(AND(R$111&gt;$B160+$D160,R$111&lt;=$B160+$E160), $I160/($E160-$D160),0)), IF(OR(R$111=$B160+$D160,R$111=$B160+$E160),$I160/(($E160-$D160)*2),IF(AND(R$111&gt;$B160+$D160,R$111&lt;$B160+$E160),$I160/($E160-$D160),0)))</f>
        <v>0</v>
      </c>
      <c r="S160" s="9">
        <f>IF(OR($C160="Annual",$D160=$E160),IF(AND($D160=$E160,S$111=$B160+$D160),$I160,IF(AND(S$111&gt;$B160+$D160,S$111&lt;=$B160+$E160), $I160/($E160-$D160),0)), IF(OR(S$111=$B160+$D160,S$111=$B160+$E160),$I160/(($E160-$D160)*2),IF(AND(S$111&gt;$B160+$D160,S$111&lt;$B160+$E160),$I160/($E160-$D160),0)))</f>
        <v>0</v>
      </c>
      <c r="T160" s="9">
        <f>IF(OR($C160="Annual",$D160=$E160),IF(AND($D160=$E160,T$111=$B160+$D160),$I160,IF(AND(T$111&gt;$B160+$D160,T$111&lt;=$B160+$E160), $I160/($E160-$D160),0)), IF(OR(T$111=$B160+$D160,T$111=$B160+$E160),$I160/(($E160-$D160)*2),IF(AND(T$111&gt;$B160+$D160,T$111&lt;$B160+$E160),$I160/($E160-$D160),0)))</f>
        <v>0</v>
      </c>
      <c r="U160" s="9"/>
      <c r="V160" s="9"/>
      <c r="W160" s="9">
        <f t="shared" si="38"/>
        <v>0</v>
      </c>
      <c r="X160" s="9">
        <f t="shared" ca="1" si="38"/>
        <v>21.497354842041286</v>
      </c>
      <c r="Y160" s="9">
        <f t="shared" ca="1" si="38"/>
        <v>19.347619357837157</v>
      </c>
      <c r="Z160" s="9">
        <f t="shared" ca="1" si="38"/>
        <v>17.197883873633025</v>
      </c>
      <c r="AA160" s="9">
        <f t="shared" ca="1" si="38"/>
        <v>15.048148389428896</v>
      </c>
    </row>
    <row r="161" spans="1:27">
      <c r="A161" s="8" t="str">
        <f>A160</f>
        <v>Type 4</v>
      </c>
      <c r="B161" s="7">
        <f>B160+1</f>
        <v>2020</v>
      </c>
      <c r="C161" s="7" t="str">
        <f>C160</f>
        <v>Annual</v>
      </c>
      <c r="D161" s="7">
        <f t="shared" si="39"/>
        <v>0</v>
      </c>
      <c r="E161" s="7">
        <f t="shared" si="39"/>
        <v>0</v>
      </c>
      <c r="F161" s="14">
        <f>$N$82</f>
        <v>0.18606977230199898</v>
      </c>
      <c r="H161" s="9"/>
      <c r="I161" s="9"/>
      <c r="J161" s="9">
        <f ca="1">$D$82</f>
        <v>100.42119815418117</v>
      </c>
      <c r="K161" s="9">
        <f ca="1">J161-R161</f>
        <v>90.379078338763051</v>
      </c>
      <c r="L161" s="9">
        <f ca="1">K161-S161</f>
        <v>80.336958523344933</v>
      </c>
      <c r="M161" s="9">
        <f ca="1">L161-T161</f>
        <v>70.294838707926814</v>
      </c>
      <c r="N161" s="9"/>
      <c r="O161" s="9"/>
      <c r="P161" s="9"/>
      <c r="Q161" s="9">
        <f ca="1">IF(OR($C161="Annual",$D161=$E161),IF(AND($D161=$E161,Q$111=$B161+$D161),$J161,IF(AND(Q$111&gt;$B161+$D161,Q$111&lt;=$B161+$E161), $J161/($E161-$D161),0)), IF(OR(Q$111=$B161+$D161,Q$111=$B161+$E161),$J161/(($E161-$D161)*2),IF(AND(Q$111&gt;$B161+$D161,Q$111&lt;$B161+$E161),$J161/($E161-$D161),0)))</f>
        <v>0</v>
      </c>
      <c r="R161" s="9">
        <f>IF(OR($C161="Annual",$D161=$E161),IF(AND($D161=$E161,R$111=$B161+$D161),$J161,IF(AND(R$111&gt;$B161+$D161,R$111&lt;=$B161+$E161), $J161/($E161-$D161),0)), IF(OR(R$111=$B161+$D161,R$111=$B161+$E161),$J161/(($E161-$D161)*2),IF(AND(R$111&gt;$B161+$D161,R$111&lt;$B161+$E161),$J161/($E161-$D161),0)))</f>
        <v>0</v>
      </c>
      <c r="S161" s="9">
        <f>IF(OR($C161="Annual",$D161=$E161),IF(AND($D161=$E161,S$111=$B161+$D161),$J161,IF(AND(S$111&gt;$B161+$D161,S$111&lt;=$B161+$E161), $J161/($E161-$D161),0)), IF(OR(S$111=$B161+$D161,S$111=$B161+$E161),$J161/(($E161-$D161)*2),IF(AND(S$111&gt;$B161+$D161,S$111&lt;$B161+$E161),$J161/($E161-$D161),0)))</f>
        <v>0</v>
      </c>
      <c r="T161" s="9">
        <f>IF(OR($C161="Annual",$D161=$E161),IF(AND($D161=$E161,T$111=$B161+$D161),$J161,IF(AND(T$111&gt;$B161+$D161,T$111&lt;=$B161+$E161), $J161/($E161-$D161),0)), IF(OR(T$111=$B161+$D161,T$111=$B161+$E161),$J161/(($E161-$D161)*2),IF(AND(T$111&gt;$B161+$D161,T$111&lt;$B161+$E161),$J161/($E161-$D161),0)))</f>
        <v>0</v>
      </c>
      <c r="U161" s="9"/>
      <c r="V161" s="9"/>
      <c r="W161" s="9"/>
      <c r="X161" s="9">
        <f t="shared" si="38"/>
        <v>0</v>
      </c>
      <c r="Y161" s="9">
        <f t="shared" ca="1" si="38"/>
        <v>23.267116045349503</v>
      </c>
      <c r="Z161" s="9">
        <f t="shared" ca="1" si="38"/>
        <v>20.94040444081455</v>
      </c>
      <c r="AA161" s="9">
        <f t="shared" ca="1" si="38"/>
        <v>18.613692836279601</v>
      </c>
    </row>
    <row r="162" spans="1:27">
      <c r="A162" s="8" t="str">
        <f>A161</f>
        <v>Type 4</v>
      </c>
      <c r="B162" s="7">
        <f>B161+1</f>
        <v>2021</v>
      </c>
      <c r="C162" s="7" t="str">
        <f>C161</f>
        <v>Annual</v>
      </c>
      <c r="D162" s="7">
        <f t="shared" si="39"/>
        <v>0</v>
      </c>
      <c r="E162" s="7">
        <f t="shared" si="39"/>
        <v>0</v>
      </c>
      <c r="F162" s="14">
        <f>$O$82</f>
        <v>0.18606977230199898</v>
      </c>
      <c r="H162" s="9"/>
      <c r="I162" s="9"/>
      <c r="J162" s="9"/>
      <c r="K162" s="9">
        <f ca="1">$E$82</f>
        <v>109.42650047277336</v>
      </c>
      <c r="L162" s="9">
        <f ca="1">K162-S162</f>
        <v>98.483850425496016</v>
      </c>
      <c r="M162" s="9">
        <f ca="1">L162-T162</f>
        <v>87.541200378218676</v>
      </c>
      <c r="N162" s="9"/>
      <c r="O162" s="9"/>
      <c r="P162" s="9"/>
      <c r="Q162" s="9"/>
      <c r="R162" s="9">
        <f ca="1">IF(OR($C162="Annual",$D162=$E162),IF(AND($D162=$E162,R$111=$B162+$D162),$K162,IF(AND(R$111&gt;$B162+$D162,R$111&lt;=$B162+$E162), $K162/($E162-$D162),0)), IF(OR(R$111=$B162+$D162,R$111=$B162+$E162),$K162/(($E162-$D162)*2),IF(AND(R$111&gt;$B162+$D162,R$111&lt;$B162+$E162),$K162/($E162-$D162),0)))</f>
        <v>0</v>
      </c>
      <c r="S162" s="9">
        <f>IF(OR($C162="Annual",$D162=$E162),IF(AND($D162=$E162,S$111=$B162+$D162),$K162,IF(AND(S$111&gt;$B162+$D162,S$111&lt;=$B162+$E162), $K162/($E162-$D162),0)), IF(OR(S$111=$B162+$D162,S$111=$B162+$E162),$K162/(($E162-$D162)*2),IF(AND(S$111&gt;$B162+$D162,S$111&lt;$B162+$E162),$K162/($E162-$D162),0)))</f>
        <v>0</v>
      </c>
      <c r="T162" s="9">
        <f>IF(OR($C162="Annual",$D162=$E162),IF(AND($D162=$E162,T$111=$B162+$D162),$K162,IF(AND(T$111&gt;$B162+$D162,T$111&lt;=$B162+$E162), $K162/($E162-$D162),0)), IF(OR(T$111=$B162+$D162,T$111=$B162+$E162),$K162/(($E162-$D162)*2),IF(AND(T$111&gt;$B162+$D162,T$111&lt;$B162+$E162),$K162/($E162-$D162),0)))</f>
        <v>0</v>
      </c>
      <c r="U162" s="9"/>
      <c r="V162" s="9"/>
      <c r="W162" s="9"/>
      <c r="X162" s="9"/>
      <c r="Y162" s="9">
        <f t="shared" si="38"/>
        <v>0</v>
      </c>
      <c r="Z162" s="9">
        <f t="shared" ca="1" si="38"/>
        <v>25.463028446423088</v>
      </c>
      <c r="AA162" s="9">
        <f t="shared" ca="1" si="38"/>
        <v>22.916725601780776</v>
      </c>
    </row>
    <row r="163" spans="1:27">
      <c r="A163" s="8" t="str">
        <f>A162</f>
        <v>Type 4</v>
      </c>
      <c r="B163" s="7">
        <f>B162+1</f>
        <v>2022</v>
      </c>
      <c r="C163" s="7" t="str">
        <f>C162</f>
        <v>Annual</v>
      </c>
      <c r="D163" s="7">
        <f t="shared" si="39"/>
        <v>0</v>
      </c>
      <c r="E163" s="7">
        <f t="shared" si="39"/>
        <v>0</v>
      </c>
      <c r="F163" s="14">
        <f>$P$82</f>
        <v>0.18606977230199898</v>
      </c>
      <c r="H163" s="9"/>
      <c r="I163" s="9"/>
      <c r="J163" s="9"/>
      <c r="K163" s="9"/>
      <c r="L163" s="9">
        <f ca="1">$F$82</f>
        <v>126.50196571947494</v>
      </c>
      <c r="M163" s="9">
        <f ca="1">L163-T163</f>
        <v>113.85176914752745</v>
      </c>
      <c r="N163" s="9"/>
      <c r="O163" s="9"/>
      <c r="P163" s="9"/>
      <c r="Q163" s="9"/>
      <c r="R163" s="9"/>
      <c r="S163" s="9">
        <f ca="1">IF(OR($C163="Annual",$D163=$E163),IF(AND($D163=$E163,S$111=$B163+$D163),$L163,IF(AND(S$111&gt;$B163+$D163,S$111&lt;=$B163+$E163), $L163/($E163-$D163),0)), IF(OR(S$111=$B163+$D163,S$111=$B163+$E163),$L163/(($E163-$D163)*2),IF(AND(S$111&gt;$B163+$D163,S$111&lt;$B163+$E163),$L163/($E163-$D163),0)))</f>
        <v>0</v>
      </c>
      <c r="T163" s="9">
        <f>IF(OR($C163="Annual",$D163=$E163),IF(AND($D163=$E163,T$111=$B163+$D163),$L163,IF(AND(T$111&gt;$B163+$D163,T$111&lt;=$B163+$E163), $L163/($E163-$D163),0)), IF(OR(T$111=$B163+$D163,T$111=$B163+$E163),$L163/(($E163-$D163)*2),IF(AND(T$111&gt;$B163+$D163,T$111&lt;$B163+$E163),$L163/($E163-$D163),0)))</f>
        <v>0</v>
      </c>
      <c r="U163" s="9"/>
      <c r="V163" s="9"/>
      <c r="W163" s="9"/>
      <c r="X163" s="9"/>
      <c r="Y163" s="9"/>
      <c r="Z163" s="9">
        <f t="shared" si="38"/>
        <v>0</v>
      </c>
      <c r="AA163" s="9">
        <f t="shared" ca="1" si="38"/>
        <v>29.562910310377113</v>
      </c>
    </row>
    <row r="164" spans="1:27">
      <c r="A164" s="8" t="str">
        <f>A163</f>
        <v>Type 4</v>
      </c>
      <c r="B164" s="7">
        <f>B163+1</f>
        <v>2023</v>
      </c>
      <c r="C164" s="7" t="str">
        <f>C163</f>
        <v>Annual</v>
      </c>
      <c r="D164" s="7">
        <f t="shared" si="39"/>
        <v>0</v>
      </c>
      <c r="E164" s="7">
        <f t="shared" si="39"/>
        <v>0</v>
      </c>
      <c r="F164" s="14">
        <f>$Q$82</f>
        <v>0.18606977230199898</v>
      </c>
      <c r="H164" s="9"/>
      <c r="I164" s="9"/>
      <c r="J164" s="9"/>
      <c r="K164" s="9"/>
      <c r="L164" s="9"/>
      <c r="M164" s="9">
        <f ca="1">$G$82</f>
        <v>148.24547804033995</v>
      </c>
      <c r="N164" s="9"/>
      <c r="O164" s="9"/>
      <c r="P164" s="9"/>
      <c r="Q164" s="9"/>
      <c r="R164" s="9"/>
      <c r="S164" s="9"/>
      <c r="T164" s="9">
        <f ca="1">IF(OR($C164="Annual",$D164=$E164),IF(AND($D164=$E164,T$111=$B164+$D164),$M164,IF(AND(T$111&gt;$B164+$D164,T$111&lt;=$B164+$E164), $M164/($E164-$D164),0)), IF(OR(T$111=$B164+$D164,T$111=$B164+$E164),$M164/(($E164-$D164)*2),IF(AND(T$111&gt;$B164+$D164,T$111&lt;$B164+$E164),$M164/($E164-$D164),0)))</f>
        <v>0</v>
      </c>
      <c r="U164" s="9"/>
      <c r="V164" s="9"/>
      <c r="W164" s="9"/>
      <c r="X164" s="9"/>
      <c r="Y164" s="9"/>
      <c r="Z164" s="9"/>
      <c r="AA164" s="9">
        <f t="shared" si="38"/>
        <v>0</v>
      </c>
    </row>
    <row r="165" spans="1:27">
      <c r="C165" s="281"/>
      <c r="F165" s="15"/>
      <c r="H165" s="10"/>
      <c r="I165" s="10"/>
      <c r="J165" s="10"/>
      <c r="K165" s="10"/>
      <c r="L165" s="10"/>
      <c r="M165" s="10"/>
      <c r="N165" s="10"/>
      <c r="O165" s="278"/>
      <c r="P165" s="10"/>
      <c r="Q165" s="10"/>
      <c r="R165" s="10"/>
      <c r="S165" s="10"/>
      <c r="T165" s="10"/>
      <c r="U165" s="10"/>
      <c r="V165" s="10"/>
      <c r="W165" s="10"/>
      <c r="X165" s="10"/>
      <c r="Y165" s="10"/>
      <c r="Z165" s="10"/>
      <c r="AA165" s="10"/>
    </row>
    <row r="166" spans="1:27" s="1150" customFormat="1">
      <c r="A166" s="1347" t="str">
        <f>'Input 4 - Forecast'!A64</f>
        <v>ZERO-COUPON BOND</v>
      </c>
      <c r="B166" s="1348">
        <f>B119</f>
        <v>2018</v>
      </c>
      <c r="C166" s="1348"/>
      <c r="D166" s="1348">
        <f>$J83</f>
        <v>0</v>
      </c>
      <c r="E166" s="1348">
        <f>$K83</f>
        <v>0</v>
      </c>
      <c r="F166" s="1349">
        <f>$L$83</f>
        <v>0</v>
      </c>
      <c r="H166" s="1350">
        <f>$B$83</f>
        <v>0</v>
      </c>
      <c r="I166" s="1350">
        <f>H166-P166</f>
        <v>0</v>
      </c>
      <c r="J166" s="1350">
        <f>I166-Q166</f>
        <v>0</v>
      </c>
      <c r="K166" s="1350">
        <f>J166-R166</f>
        <v>0</v>
      </c>
      <c r="L166" s="1350">
        <f>K166-S166</f>
        <v>0</v>
      </c>
      <c r="M166" s="1350">
        <f>L166-T166</f>
        <v>0</v>
      </c>
      <c r="N166" s="1350"/>
      <c r="O166" s="1350">
        <f t="shared" ref="O166:T166" si="40">IF($D166=$E166,IF(O$111=$B166+$E166,$H166,0),0)</f>
        <v>0</v>
      </c>
      <c r="P166" s="1350">
        <f t="shared" si="40"/>
        <v>0</v>
      </c>
      <c r="Q166" s="1350">
        <f t="shared" si="40"/>
        <v>0</v>
      </c>
      <c r="R166" s="1350">
        <f t="shared" si="40"/>
        <v>0</v>
      </c>
      <c r="S166" s="1350">
        <f t="shared" si="40"/>
        <v>0</v>
      </c>
      <c r="T166" s="1350">
        <f t="shared" si="40"/>
        <v>0</v>
      </c>
      <c r="U166" s="1350"/>
      <c r="V166" s="1350">
        <f t="shared" ref="V166:AA166" si="41">IF(V$111-$B166=$D166,$H166*(((1+$F166)^$D166)-1),0)</f>
        <v>0</v>
      </c>
      <c r="W166" s="1350">
        <f t="shared" si="41"/>
        <v>0</v>
      </c>
      <c r="X166" s="1350">
        <f t="shared" si="41"/>
        <v>0</v>
      </c>
      <c r="Y166" s="1350">
        <f t="shared" si="41"/>
        <v>0</v>
      </c>
      <c r="Z166" s="1350">
        <f t="shared" si="41"/>
        <v>0</v>
      </c>
      <c r="AA166" s="1350">
        <f t="shared" si="41"/>
        <v>0</v>
      </c>
    </row>
    <row r="167" spans="1:27" s="1150" customFormat="1">
      <c r="A167" s="1347" t="str">
        <f>A166</f>
        <v>ZERO-COUPON BOND</v>
      </c>
      <c r="B167" s="1348">
        <f>B166+1</f>
        <v>2019</v>
      </c>
      <c r="C167" s="1348"/>
      <c r="D167" s="1348">
        <f t="shared" ref="D167:E171" si="42">D166</f>
        <v>0</v>
      </c>
      <c r="E167" s="1348">
        <f t="shared" si="42"/>
        <v>0</v>
      </c>
      <c r="F167" s="1349">
        <f>$M$83</f>
        <v>0.18606977230199898</v>
      </c>
      <c r="H167" s="1350"/>
      <c r="I167" s="1350">
        <f ca="1">$C$83</f>
        <v>0</v>
      </c>
      <c r="J167" s="1350">
        <f ca="1">I167-Q167</f>
        <v>0</v>
      </c>
      <c r="K167" s="1350">
        <f ca="1">J167-R167</f>
        <v>0</v>
      </c>
      <c r="L167" s="1350">
        <f ca="1">K167-S167</f>
        <v>0</v>
      </c>
      <c r="M167" s="1350">
        <f ca="1">L167-T167</f>
        <v>0</v>
      </c>
      <c r="N167" s="1350"/>
      <c r="O167" s="1351"/>
      <c r="P167" s="1350">
        <f ca="1">IF($D167=$E167,IF(P$111=$B167+$E167,$I167,0),0)</f>
        <v>0</v>
      </c>
      <c r="Q167" s="1350">
        <f>IF($D167=$E167,IF(Q$111=$B167+$E167,$I167,0),0)</f>
        <v>0</v>
      </c>
      <c r="R167" s="1350">
        <f>IF($D167=$E167,IF(R$111=$B167+$E167,$I167,0),0)</f>
        <v>0</v>
      </c>
      <c r="S167" s="1350">
        <f>IF($D167=$E167,IF(S$111=$B167+$E167,$I167,0),0)</f>
        <v>0</v>
      </c>
      <c r="T167" s="1350">
        <f>IF($D167=$E167,IF(T$111=$B167+$E167,$I167,0),0)</f>
        <v>0</v>
      </c>
      <c r="U167" s="1350"/>
      <c r="V167" s="1350"/>
      <c r="W167" s="1350">
        <f ca="1">IF(W$111-$B167=$D167,$I167*(((1+$F167)^$D167)-1),0)</f>
        <v>0</v>
      </c>
      <c r="X167" s="1350">
        <f>IF(X$111-$B167=$D167,$I167*(((1+$F167)^$D167)-1),0)</f>
        <v>0</v>
      </c>
      <c r="Y167" s="1350">
        <f>IF(Y$111-$B167=$D167,$I167*(((1+$F167)^$D167)-1),0)</f>
        <v>0</v>
      </c>
      <c r="Z167" s="1350">
        <f>IF(Z$111-$B167=$D167,$I167*(((1+$F167)^$D167)-1),0)</f>
        <v>0</v>
      </c>
      <c r="AA167" s="1350">
        <f>IF(AA$111-$B167=$D167,$I167*(((1+$F167)^$D167)-1),0)</f>
        <v>0</v>
      </c>
    </row>
    <row r="168" spans="1:27" s="1150" customFormat="1">
      <c r="A168" s="1347" t="str">
        <f>A167</f>
        <v>ZERO-COUPON BOND</v>
      </c>
      <c r="B168" s="1348">
        <f>B167+1</f>
        <v>2020</v>
      </c>
      <c r="C168" s="1348"/>
      <c r="D168" s="1348">
        <f t="shared" si="42"/>
        <v>0</v>
      </c>
      <c r="E168" s="1348">
        <f t="shared" si="42"/>
        <v>0</v>
      </c>
      <c r="F168" s="1349">
        <f>$N$83</f>
        <v>0.18606977230199898</v>
      </c>
      <c r="H168" s="1350"/>
      <c r="I168" s="1350"/>
      <c r="J168" s="1350">
        <f ca="1">$D$83</f>
        <v>0</v>
      </c>
      <c r="K168" s="1350">
        <f ca="1">J168-R168</f>
        <v>0</v>
      </c>
      <c r="L168" s="1350">
        <f ca="1">K168-S168</f>
        <v>0</v>
      </c>
      <c r="M168" s="1350">
        <f ca="1">L168-T168</f>
        <v>0</v>
      </c>
      <c r="N168" s="1350"/>
      <c r="O168" s="1351"/>
      <c r="P168" s="1350"/>
      <c r="Q168" s="1350">
        <f ca="1">IF($D168=$E168,IF(Q$111=$B168+$E168,$J168,0),0)</f>
        <v>0</v>
      </c>
      <c r="R168" s="1350">
        <f>IF($D168=$E168,IF(R$111=$B168+$E168,$J168,0),0)</f>
        <v>0</v>
      </c>
      <c r="S168" s="1350">
        <f>IF($D168=$E168,IF(S$111=$B168+$E168,$J168,0),0)</f>
        <v>0</v>
      </c>
      <c r="T168" s="1350">
        <f>IF($D168=$E168,IF(T$111=$B168+$E168,$J168,0),0)</f>
        <v>0</v>
      </c>
      <c r="U168" s="1350"/>
      <c r="V168" s="1350"/>
      <c r="W168" s="1350"/>
      <c r="X168" s="1350">
        <f ca="1">IF(X$111-$B168=$D168,$J168*(((1+$F168)^$D168)-1),0)</f>
        <v>0</v>
      </c>
      <c r="Y168" s="1350">
        <f>IF(Y$111-$B168=$D168,$J168*(((1+$F168)^$D168)-1),0)</f>
        <v>0</v>
      </c>
      <c r="Z168" s="1350">
        <f>IF(Z$111-$B168=$D168,$J168*(((1+$F168)^$D168)-1),0)</f>
        <v>0</v>
      </c>
      <c r="AA168" s="1350">
        <f>IF(AA$111-$B168=$D168,$J168*(((1+$F168)^$D168)-1),0)</f>
        <v>0</v>
      </c>
    </row>
    <row r="169" spans="1:27" s="1150" customFormat="1">
      <c r="A169" s="1347" t="str">
        <f>A168</f>
        <v>ZERO-COUPON BOND</v>
      </c>
      <c r="B169" s="1348">
        <f>B168+1</f>
        <v>2021</v>
      </c>
      <c r="C169" s="1348"/>
      <c r="D169" s="1348">
        <f t="shared" si="42"/>
        <v>0</v>
      </c>
      <c r="E169" s="1348">
        <f t="shared" si="42"/>
        <v>0</v>
      </c>
      <c r="F169" s="1349">
        <f>$O$83</f>
        <v>0.18606977230199898</v>
      </c>
      <c r="H169" s="1350"/>
      <c r="I169" s="1350"/>
      <c r="J169" s="1350"/>
      <c r="K169" s="1350">
        <f ca="1">$E$83</f>
        <v>0</v>
      </c>
      <c r="L169" s="1350">
        <f ca="1">K169-S169</f>
        <v>0</v>
      </c>
      <c r="M169" s="1350">
        <f ca="1">L169-T169</f>
        <v>0</v>
      </c>
      <c r="N169" s="1350"/>
      <c r="O169" s="1351"/>
      <c r="P169" s="1350"/>
      <c r="Q169" s="1350"/>
      <c r="R169" s="1350">
        <f ca="1">IF($D169=$E169,IF(R$111=$B169+$E169,$K169,0),0)</f>
        <v>0</v>
      </c>
      <c r="S169" s="1350">
        <f>IF($D169=$E169,IF(S$111=$B169+$E169,$K169,0),0)</f>
        <v>0</v>
      </c>
      <c r="T169" s="1350">
        <f>IF($D169=$E169,IF(T$111=$B169+$E169,$K169,0),0)</f>
        <v>0</v>
      </c>
      <c r="U169" s="1350"/>
      <c r="V169" s="1350"/>
      <c r="W169" s="1350"/>
      <c r="X169" s="1350"/>
      <c r="Y169" s="1350">
        <f ca="1">IF(Y$111-$B169=$D169,$K169*(((1+$F169)^$D169)-1),0)</f>
        <v>0</v>
      </c>
      <c r="Z169" s="1350">
        <f>IF(Z$111-$B169=$D169,$K169*(((1+$F169)^$D169)-1),0)</f>
        <v>0</v>
      </c>
      <c r="AA169" s="1350">
        <f>IF(AA$111-$B169=$D169,$K169*(((1+$F169)^$D169)-1),0)</f>
        <v>0</v>
      </c>
    </row>
    <row r="170" spans="1:27" s="1150" customFormat="1">
      <c r="A170" s="1347" t="str">
        <f>A169</f>
        <v>ZERO-COUPON BOND</v>
      </c>
      <c r="B170" s="1348">
        <f>B169+1</f>
        <v>2022</v>
      </c>
      <c r="C170" s="1348"/>
      <c r="D170" s="1348">
        <f t="shared" si="42"/>
        <v>0</v>
      </c>
      <c r="E170" s="1348">
        <f t="shared" si="42"/>
        <v>0</v>
      </c>
      <c r="F170" s="1349">
        <f>$P$83</f>
        <v>0.18606977230199898</v>
      </c>
      <c r="H170" s="1350"/>
      <c r="I170" s="1350"/>
      <c r="J170" s="1350"/>
      <c r="K170" s="1350"/>
      <c r="L170" s="1350">
        <f ca="1">$F$83</f>
        <v>0</v>
      </c>
      <c r="M170" s="1350">
        <f ca="1">L170-T170</f>
        <v>0</v>
      </c>
      <c r="N170" s="1350"/>
      <c r="O170" s="1351"/>
      <c r="P170" s="1350"/>
      <c r="Q170" s="1350"/>
      <c r="R170" s="1350"/>
      <c r="S170" s="1350">
        <f ca="1">IF($D170=$E170,IF(S$111=$B170+$E170,$L170,0),0)</f>
        <v>0</v>
      </c>
      <c r="T170" s="1350">
        <f>IF($D170=$E170,IF(T$111=$B170+$E170,$L170,0),0)</f>
        <v>0</v>
      </c>
      <c r="U170" s="1350"/>
      <c r="V170" s="1350"/>
      <c r="W170" s="1350"/>
      <c r="X170" s="1350"/>
      <c r="Y170" s="1350"/>
      <c r="Z170" s="1350">
        <f ca="1">IF(Z$111-$B170=$D170,$L170*(((1+$F170)^$D170)-1),0)</f>
        <v>0</v>
      </c>
      <c r="AA170" s="1350">
        <f>IF(AA$111-$B170=$D170,$L170*(((1+$F170)^$D170)-1),0)</f>
        <v>0</v>
      </c>
    </row>
    <row r="171" spans="1:27" s="1150" customFormat="1">
      <c r="A171" s="1347" t="str">
        <f>A170</f>
        <v>ZERO-COUPON BOND</v>
      </c>
      <c r="B171" s="1348">
        <f>B170+1</f>
        <v>2023</v>
      </c>
      <c r="C171" s="1348"/>
      <c r="D171" s="1348">
        <f t="shared" si="42"/>
        <v>0</v>
      </c>
      <c r="E171" s="1348">
        <f t="shared" si="42"/>
        <v>0</v>
      </c>
      <c r="F171" s="1349">
        <f>$Q$83</f>
        <v>0.18606977230199898</v>
      </c>
      <c r="H171" s="1350"/>
      <c r="I171" s="1350"/>
      <c r="J171" s="1350"/>
      <c r="K171" s="1350"/>
      <c r="L171" s="1350"/>
      <c r="M171" s="1350">
        <f ca="1">$G$83</f>
        <v>0</v>
      </c>
      <c r="N171" s="1350"/>
      <c r="O171" s="1351"/>
      <c r="P171" s="1350"/>
      <c r="Q171" s="1350"/>
      <c r="R171" s="1350"/>
      <c r="S171" s="1350"/>
      <c r="T171" s="1350">
        <f ca="1">IF($D171=$E171,IF(T$111=$B171+$E171,$M171,0),0)</f>
        <v>0</v>
      </c>
      <c r="U171" s="1350"/>
      <c r="V171" s="1350"/>
      <c r="W171" s="1350"/>
      <c r="X171" s="1350"/>
      <c r="Y171" s="1350"/>
      <c r="Z171" s="1350"/>
      <c r="AA171" s="1350">
        <f ca="1">IF(AA$111-$B171=$D171,$M171*(((1+$F171)^$D171)-1),0)</f>
        <v>0</v>
      </c>
    </row>
    <row r="172" spans="1:27" ht="15.75" thickBot="1">
      <c r="H172" s="10"/>
      <c r="I172" s="10"/>
      <c r="J172" s="10"/>
      <c r="K172" s="10"/>
      <c r="L172" s="10"/>
      <c r="M172" s="10"/>
      <c r="N172" s="10"/>
      <c r="O172" s="10"/>
      <c r="P172" s="10"/>
      <c r="Q172" s="10"/>
      <c r="R172" s="10"/>
      <c r="S172" s="10"/>
      <c r="T172" s="10"/>
      <c r="U172" s="10"/>
      <c r="V172" s="10"/>
      <c r="W172" s="10"/>
      <c r="X172" s="10"/>
      <c r="Y172" s="10"/>
      <c r="Z172" s="10"/>
      <c r="AA172" s="10"/>
    </row>
    <row r="173" spans="1:27" ht="15.75" thickBot="1">
      <c r="A173" s="12" t="str">
        <f>'Input 4 - Forecast'!A65</f>
        <v>Denominated in foreign currency</v>
      </c>
      <c r="B173" s="1999" t="s">
        <v>52</v>
      </c>
      <c r="C173" s="2000"/>
      <c r="D173" s="2000"/>
      <c r="E173" s="2000"/>
      <c r="F173" s="2000"/>
      <c r="G173" s="2000"/>
      <c r="H173" s="2000"/>
      <c r="I173" s="2000"/>
      <c r="J173" s="2000"/>
      <c r="K173" s="2000"/>
      <c r="L173" s="2000"/>
      <c r="M173" s="2000"/>
      <c r="N173" s="2000"/>
      <c r="O173" s="2000"/>
      <c r="P173" s="2000"/>
      <c r="Q173" s="2000"/>
      <c r="R173" s="2000"/>
      <c r="S173" s="2000"/>
      <c r="T173" s="2000"/>
      <c r="U173" s="2000"/>
      <c r="V173" s="2000"/>
      <c r="W173" s="2000"/>
      <c r="X173" s="2000"/>
      <c r="Y173" s="2000"/>
      <c r="Z173" s="2000"/>
      <c r="AA173" s="2001"/>
    </row>
    <row r="174" spans="1:27">
      <c r="H174" s="10"/>
      <c r="I174" s="10"/>
      <c r="J174" s="10"/>
      <c r="K174" s="10"/>
      <c r="L174" s="10"/>
      <c r="M174" s="10"/>
      <c r="N174" s="10"/>
      <c r="O174" s="10"/>
      <c r="P174" s="10"/>
      <c r="Q174" s="10"/>
      <c r="R174" s="10"/>
      <c r="S174" s="10"/>
      <c r="T174" s="10"/>
      <c r="U174" s="10"/>
      <c r="V174" s="10"/>
      <c r="W174" s="10"/>
      <c r="X174" s="10"/>
      <c r="Y174" s="10"/>
      <c r="Z174" s="10"/>
      <c r="AA174" s="10"/>
    </row>
    <row r="175" spans="1:27">
      <c r="A175" s="8" t="str">
        <f>'Input 4 - Forecast'!A66</f>
        <v>Type 6</v>
      </c>
      <c r="B175" s="7">
        <f>B119</f>
        <v>2018</v>
      </c>
      <c r="C175" s="7" t="str">
        <f>$I85</f>
        <v>Annual</v>
      </c>
      <c r="D175" s="7">
        <f>$J85</f>
        <v>0</v>
      </c>
      <c r="E175" s="7">
        <f>$K85</f>
        <v>0</v>
      </c>
      <c r="F175" s="14">
        <f>$L$85</f>
        <v>0</v>
      </c>
      <c r="H175" s="9">
        <f>$B$85/$B$31</f>
        <v>0</v>
      </c>
      <c r="I175" s="9">
        <f>H175-P175</f>
        <v>0</v>
      </c>
      <c r="J175" s="9">
        <f>I175-Q175</f>
        <v>0</v>
      </c>
      <c r="K175" s="9">
        <f>J175-R175</f>
        <v>0</v>
      </c>
      <c r="L175" s="9">
        <f>K175-S175</f>
        <v>0</v>
      </c>
      <c r="M175" s="9">
        <f>L175-T175</f>
        <v>0</v>
      </c>
      <c r="N175" s="9"/>
      <c r="O175" s="9">
        <f t="shared" ref="O175:T175" si="43">IF(OR($C175="Annual",$D175=$E175),IF(AND($D175=$E175,O$111=$B175+$D175),$H175,IF(AND(O$111&gt;$B175+$D175,O$111&lt;=$B175+$E175), $H175/($E175-$D175),0)), IF(OR(O$111=$B175+$D175,O$111=$B175+$E175),$H175/(($E175-$D175)*2),IF(AND(O$111&gt;$B175+$D175,O$111&lt;$B175+$E175),$H175/($E175-$D175),0)))</f>
        <v>0</v>
      </c>
      <c r="P175" s="9">
        <f t="shared" si="43"/>
        <v>0</v>
      </c>
      <c r="Q175" s="9">
        <f t="shared" si="43"/>
        <v>0</v>
      </c>
      <c r="R175" s="9">
        <f t="shared" si="43"/>
        <v>0</v>
      </c>
      <c r="S175" s="9">
        <f t="shared" si="43"/>
        <v>0</v>
      </c>
      <c r="T175" s="9">
        <f t="shared" si="43"/>
        <v>0</v>
      </c>
      <c r="U175" s="9"/>
      <c r="V175" s="9">
        <f>IF($C175="annual",IF(V$111=$B175,0,G175*$F175),IF(V$111-$B175=0,0,IF((V$111-$B175)&lt;$E175,AVERAGE(G175,H175)*$F175,IF((V$111-$B175)=$E175,G175*$F175/2,0))))</f>
        <v>0</v>
      </c>
      <c r="W175" s="9">
        <f t="shared" ref="W175:AA180" si="44">IF($C175="annual",IF(W$111=$B175,0,H175*$F175),IF(W$111-$B175=0,0,IF((W$111-$B175)&lt;$E175,AVERAGE(H175,I175)*$F175,IF((W$111-$B175)=$E175,H175*$F175/2,0))))</f>
        <v>0</v>
      </c>
      <c r="X175" s="9">
        <f t="shared" si="44"/>
        <v>0</v>
      </c>
      <c r="Y175" s="9">
        <f t="shared" si="44"/>
        <v>0</v>
      </c>
      <c r="Z175" s="9">
        <f t="shared" si="44"/>
        <v>0</v>
      </c>
      <c r="AA175" s="9">
        <f t="shared" si="44"/>
        <v>0</v>
      </c>
    </row>
    <row r="176" spans="1:27">
      <c r="A176" s="8" t="str">
        <f>A175</f>
        <v>Type 6</v>
      </c>
      <c r="B176" s="7">
        <f>B175+1</f>
        <v>2019</v>
      </c>
      <c r="C176" s="7" t="str">
        <f t="shared" ref="C176:D180" si="45">C175</f>
        <v>Annual</v>
      </c>
      <c r="D176" s="7">
        <f t="shared" si="45"/>
        <v>0</v>
      </c>
      <c r="E176" s="7">
        <f>E175</f>
        <v>0</v>
      </c>
      <c r="F176" s="14">
        <f>$M$85</f>
        <v>0.18606977230199898</v>
      </c>
      <c r="H176" s="9"/>
      <c r="I176" s="9">
        <f ca="1">$C$85/$C$31</f>
        <v>0</v>
      </c>
      <c r="J176" s="9">
        <f ca="1">I176-Q176</f>
        <v>0</v>
      </c>
      <c r="K176" s="9">
        <f ca="1">J176-R176</f>
        <v>0</v>
      </c>
      <c r="L176" s="9">
        <f ca="1">K176-S176</f>
        <v>0</v>
      </c>
      <c r="M176" s="9">
        <f ca="1">L176-T176</f>
        <v>0</v>
      </c>
      <c r="N176" s="9"/>
      <c r="O176" s="9"/>
      <c r="P176" s="9">
        <f ca="1">IF(OR($C176="Annual",$D176=$E176),IF(AND($D176=$E176,P$111=$B176+$D176),$I176,IF(AND(P$111&gt;$B176+$D176,P$111&lt;=$B176+$E176), $I176/($E176-$D176),0)), IF(OR(P$111=$B176+$D176,P$111=$B176+$E176),$I176/(($E176-$D176)*2),IF(AND(P$111&gt;$B176+$D176,P$111&lt;$B176+$E176),$I176/($E176-$D176),0)))</f>
        <v>0</v>
      </c>
      <c r="Q176" s="9">
        <f>IF(OR($C176="Annual",$D176=$E176),IF(AND($D176=$E176,Q$111=$B176+$D176),$I176,IF(AND(Q$111&gt;$B176+$D176,Q$111&lt;=$B176+$E176), $I176/($E176-$D176),0)), IF(OR(Q$111=$B176+$D176,Q$111=$B176+$E176),$I176/(($E176-$D176)*2),IF(AND(Q$111&gt;$B176+$D176,Q$111&lt;$B176+$E176),$I176/($E176-$D176),0)))</f>
        <v>0</v>
      </c>
      <c r="R176" s="9">
        <f>IF(OR($C176="Annual",$D176=$E176),IF(AND($D176=$E176,R$111=$B176+$D176),$I176,IF(AND(R$111&gt;$B176+$D176,R$111&lt;=$B176+$E176), $I176/($E176-$D176),0)), IF(OR(R$111=$B176+$D176,R$111=$B176+$E176),$I176/(($E176-$D176)*2),IF(AND(R$111&gt;$B176+$D176,R$111&lt;$B176+$E176),$I176/($E176-$D176),0)))</f>
        <v>0</v>
      </c>
      <c r="S176" s="9">
        <f>IF(OR($C176="Annual",$D176=$E176),IF(AND($D176=$E176,S$111=$B176+$D176),$I176,IF(AND(S$111&gt;$B176+$D176,S$111&lt;=$B176+$E176), $I176/($E176-$D176),0)), IF(OR(S$111=$B176+$D176,S$111=$B176+$E176),$I176/(($E176-$D176)*2),IF(AND(S$111&gt;$B176+$D176,S$111&lt;$B176+$E176),$I176/($E176-$D176),0)))</f>
        <v>0</v>
      </c>
      <c r="T176" s="9">
        <f>IF(OR($C176="Annual",$D176=$E176),IF(AND($D176=$E176,T$111=$B176+$D176),$I176,IF(AND(T$111&gt;$B176+$D176,T$111&lt;=$B176+$E176), $I176/($E176-$D176),0)), IF(OR(T$111=$B176+$D176,T$111=$B176+$E176),$I176/(($E176-$D176)*2),IF(AND(T$111&gt;$B176+$D176,T$111&lt;$B176+$E176),$I176/($E176-$D176),0)))</f>
        <v>0</v>
      </c>
      <c r="U176" s="9"/>
      <c r="V176" s="9"/>
      <c r="W176" s="9">
        <f t="shared" si="44"/>
        <v>0</v>
      </c>
      <c r="X176" s="9">
        <f t="shared" ca="1" si="44"/>
        <v>0</v>
      </c>
      <c r="Y176" s="9">
        <f t="shared" ca="1" si="44"/>
        <v>0</v>
      </c>
      <c r="Z176" s="9">
        <f t="shared" ca="1" si="44"/>
        <v>0</v>
      </c>
      <c r="AA176" s="9">
        <f t="shared" ca="1" si="44"/>
        <v>0</v>
      </c>
    </row>
    <row r="177" spans="1:27">
      <c r="A177" s="8" t="str">
        <f>A176</f>
        <v>Type 6</v>
      </c>
      <c r="B177" s="7">
        <f>B176+1</f>
        <v>2020</v>
      </c>
      <c r="C177" s="7" t="str">
        <f t="shared" si="45"/>
        <v>Annual</v>
      </c>
      <c r="D177" s="7">
        <f t="shared" si="45"/>
        <v>0</v>
      </c>
      <c r="E177" s="7">
        <f>E176</f>
        <v>0</v>
      </c>
      <c r="F177" s="14">
        <f>$N$85</f>
        <v>0.18606977230199898</v>
      </c>
      <c r="H177" s="9"/>
      <c r="I177" s="9"/>
      <c r="J177" s="9">
        <f ca="1">$D$85/$D$31</f>
        <v>0</v>
      </c>
      <c r="K177" s="9">
        <f ca="1">J177-R177</f>
        <v>0</v>
      </c>
      <c r="L177" s="9">
        <f ca="1">K177-S177</f>
        <v>0</v>
      </c>
      <c r="M177" s="9">
        <f ca="1">L177-T177</f>
        <v>0</v>
      </c>
      <c r="N177" s="9"/>
      <c r="O177" s="9"/>
      <c r="P177" s="9"/>
      <c r="Q177" s="9">
        <f ca="1">IF(OR($C177="Annual",$D177=$E177),IF(AND($D177=$E177,Q$111=$B177+$D177),$J177,IF(AND(Q$111&gt;$B177+$D177,Q$111&lt;=$B177+$E177), $J177/($E177-$D177),0)), IF(OR(Q$111=$B177+$D177,Q$111=$B177+$E177),$J177/(($E177-$D177)*2),IF(AND(Q$111&gt;$B177+$D177,Q$111&lt;$B177+$E177),$J177/($E177-$D177),0)))</f>
        <v>0</v>
      </c>
      <c r="R177" s="9">
        <f>IF(OR($C177="Annual",$D177=$E177),IF(AND($D177=$E177,R$111=$B177+$D177),$J177,IF(AND(R$111&gt;$B177+$D177,R$111&lt;=$B177+$E177), $J177/($E177-$D177),0)), IF(OR(R$111=$B177+$D177,R$111=$B177+$E177),$J177/(($E177-$D177)*2),IF(AND(R$111&gt;$B177+$D177,R$111&lt;$B177+$E177),$J177/($E177-$D177),0)))</f>
        <v>0</v>
      </c>
      <c r="S177" s="9">
        <f>IF(OR($C177="Annual",$D177=$E177),IF(AND($D177=$E177,S$111=$B177+$D177),$J177,IF(AND(S$111&gt;$B177+$D177,S$111&lt;=$B177+$E177), $J177/($E177-$D177),0)), IF(OR(S$111=$B177+$D177,S$111=$B177+$E177),$J177/(($E177-$D177)*2),IF(AND(S$111&gt;$B177+$D177,S$111&lt;$B177+$E177),$J177/($E177-$D177),0)))</f>
        <v>0</v>
      </c>
      <c r="T177" s="9">
        <f>IF(OR($C177="Annual",$D177=$E177),IF(AND($D177=$E177,T$111=$B177+$D177),$J177,IF(AND(T$111&gt;$B177+$D177,T$111&lt;=$B177+$E177), $J177/($E177-$D177),0)), IF(OR(T$111=$B177+$D177,T$111=$B177+$E177),$J177/(($E177-$D177)*2),IF(AND(T$111&gt;$B177+$D177,T$111&lt;$B177+$E177),$J177/($E177-$D177),0)))</f>
        <v>0</v>
      </c>
      <c r="U177" s="9"/>
      <c r="V177" s="9"/>
      <c r="W177" s="9"/>
      <c r="X177" s="9">
        <f t="shared" si="44"/>
        <v>0</v>
      </c>
      <c r="Y177" s="9">
        <f t="shared" ca="1" si="44"/>
        <v>0</v>
      </c>
      <c r="Z177" s="9">
        <f t="shared" ca="1" si="44"/>
        <v>0</v>
      </c>
      <c r="AA177" s="9">
        <f t="shared" ca="1" si="44"/>
        <v>0</v>
      </c>
    </row>
    <row r="178" spans="1:27">
      <c r="A178" s="8" t="str">
        <f>A177</f>
        <v>Type 6</v>
      </c>
      <c r="B178" s="7">
        <f>B177+1</f>
        <v>2021</v>
      </c>
      <c r="C178" s="7" t="str">
        <f t="shared" si="45"/>
        <v>Annual</v>
      </c>
      <c r="D178" s="7">
        <f t="shared" si="45"/>
        <v>0</v>
      </c>
      <c r="E178" s="7">
        <f>E177</f>
        <v>0</v>
      </c>
      <c r="F178" s="14">
        <f>$O$85</f>
        <v>0.18606977230199898</v>
      </c>
      <c r="H178" s="9"/>
      <c r="I178" s="9"/>
      <c r="J178" s="9"/>
      <c r="K178" s="9">
        <f ca="1">$E$85/$E$31</f>
        <v>0</v>
      </c>
      <c r="L178" s="9">
        <f ca="1">K178-S178</f>
        <v>0</v>
      </c>
      <c r="M178" s="9">
        <f ca="1">L178-T178</f>
        <v>0</v>
      </c>
      <c r="N178" s="9"/>
      <c r="O178" s="9"/>
      <c r="P178" s="9"/>
      <c r="Q178" s="9"/>
      <c r="R178" s="9">
        <f ca="1">IF(OR($C178="Annual",$D178=$E178),IF(AND($D178=$E178,R$111=$B178+$D178),$K178,IF(AND(R$111&gt;$B178+$D178,R$111&lt;=$B178+$E178), $K178/($E178-$D178),0)), IF(OR(R$111=$B178+$D178,R$111=$B178+$E178),$K178/(($E178-$D178)*2),IF(AND(R$111&gt;$B178+$D178,R$111&lt;$B178+$E178),$K178/($E178-$D178),0)))</f>
        <v>0</v>
      </c>
      <c r="S178" s="9">
        <f>IF(OR($C178="Annual",$D178=$E178),IF(AND($D178=$E178,S$111=$B178+$D178),$K178,IF(AND(S$111&gt;$B178+$D178,S$111&lt;=$B178+$E178), $K178/($E178-$D178),0)), IF(OR(S$111=$B178+$D178,S$111=$B178+$E178),$K178/(($E178-$D178)*2),IF(AND(S$111&gt;$B178+$D178,S$111&lt;$B178+$E178),$K178/($E178-$D178),0)))</f>
        <v>0</v>
      </c>
      <c r="T178" s="9">
        <f>IF(OR($C178="Annual",$D178=$E178),IF(AND($D178=$E178,T$111=$B178+$D178),$K178,IF(AND(T$111&gt;$B178+$D178,T$111&lt;=$B178+$E178), $K178/($E178-$D178),0)), IF(OR(T$111=$B178+$D178,T$111=$B178+$E178),$K178/(($E178-$D178)*2),IF(AND(T$111&gt;$B178+$D178,T$111&lt;$B178+$E178),$K178/($E178-$D178),0)))</f>
        <v>0</v>
      </c>
      <c r="U178" s="9"/>
      <c r="V178" s="9"/>
      <c r="W178" s="9"/>
      <c r="X178" s="9"/>
      <c r="Y178" s="9">
        <f t="shared" si="44"/>
        <v>0</v>
      </c>
      <c r="Z178" s="9">
        <f t="shared" ca="1" si="44"/>
        <v>0</v>
      </c>
      <c r="AA178" s="9">
        <f t="shared" ca="1" si="44"/>
        <v>0</v>
      </c>
    </row>
    <row r="179" spans="1:27">
      <c r="A179" s="8" t="str">
        <f>A178</f>
        <v>Type 6</v>
      </c>
      <c r="B179" s="7">
        <f>B178+1</f>
        <v>2022</v>
      </c>
      <c r="C179" s="7" t="str">
        <f t="shared" si="45"/>
        <v>Annual</v>
      </c>
      <c r="D179" s="7">
        <f t="shared" si="45"/>
        <v>0</v>
      </c>
      <c r="E179" s="7">
        <f>E178</f>
        <v>0</v>
      </c>
      <c r="F179" s="14">
        <f>$P$85</f>
        <v>0.18606977230199898</v>
      </c>
      <c r="H179" s="9"/>
      <c r="I179" s="9"/>
      <c r="J179" s="9"/>
      <c r="K179" s="9"/>
      <c r="L179" s="9">
        <f ca="1">$F$85/$F$31</f>
        <v>0</v>
      </c>
      <c r="M179" s="9">
        <f ca="1">L179-T179</f>
        <v>0</v>
      </c>
      <c r="N179" s="9"/>
      <c r="O179" s="9"/>
      <c r="P179" s="9"/>
      <c r="Q179" s="9"/>
      <c r="R179" s="9"/>
      <c r="S179" s="9">
        <f ca="1">IF(OR($C179="Annual",$D179=$E179),IF(AND($D179=$E179,S$111=$B179+$D179),$L179,IF(AND(S$111&gt;$B179+$D179,S$111&lt;=$B179+$E179), $L179/($E179-$D179),0)), IF(OR(S$111=$B179+$D179,S$111=$B179+$E179),$L179/(($E179-$D179)*2),IF(AND(S$111&gt;$B179+$D179,S$111&lt;$B179+$E179),$L179/($E179-$D179),0)))</f>
        <v>0</v>
      </c>
      <c r="T179" s="9">
        <f>IF(OR($C179="Annual",$D179=$E179),IF(AND($D179=$E179,T$111=$B179+$D179),$L179,IF(AND(T$111&gt;$B179+$D179,T$111&lt;=$B179+$E179), $L179/($E179-$D179),0)), IF(OR(T$111=$B179+$D179,T$111=$B179+$E179),$L179/(($E179-$D179)*2),IF(AND(T$111&gt;$B179+$D179,T$111&lt;$B179+$E179),$L179/($E179-$D179),0)))</f>
        <v>0</v>
      </c>
      <c r="U179" s="9"/>
      <c r="V179" s="9"/>
      <c r="W179" s="9"/>
      <c r="X179" s="9"/>
      <c r="Y179" s="9"/>
      <c r="Z179" s="9">
        <f t="shared" si="44"/>
        <v>0</v>
      </c>
      <c r="AA179" s="9">
        <f t="shared" ca="1" si="44"/>
        <v>0</v>
      </c>
    </row>
    <row r="180" spans="1:27">
      <c r="A180" s="8" t="str">
        <f>A179</f>
        <v>Type 6</v>
      </c>
      <c r="B180" s="7">
        <f>B179+1</f>
        <v>2023</v>
      </c>
      <c r="C180" s="7" t="str">
        <f t="shared" si="45"/>
        <v>Annual</v>
      </c>
      <c r="D180" s="7">
        <f t="shared" si="45"/>
        <v>0</v>
      </c>
      <c r="E180" s="7">
        <f>E179</f>
        <v>0</v>
      </c>
      <c r="F180" s="14">
        <f>$Q$85</f>
        <v>0.18606977230199898</v>
      </c>
      <c r="H180" s="9"/>
      <c r="I180" s="9"/>
      <c r="J180" s="9"/>
      <c r="K180" s="9"/>
      <c r="L180" s="9"/>
      <c r="M180" s="9">
        <f ca="1">$G$85/$G$31</f>
        <v>0</v>
      </c>
      <c r="N180" s="9"/>
      <c r="O180" s="9"/>
      <c r="P180" s="9"/>
      <c r="Q180" s="9"/>
      <c r="R180" s="9"/>
      <c r="S180" s="9"/>
      <c r="T180" s="9">
        <f ca="1">IF(OR($C180="Annual",$D180=$E180),IF(AND($D180=$E180,T$111=$B180+$D180),$M180,IF(AND(T$111&gt;$B180+$D180,T$111&lt;=$B180+$E180), $M180/($E180-$D180),0)), IF(OR(T$111=$B180+$D180,T$111=$B180+$E180),$M180/(($E180-$D180)*2),IF(AND(T$111&gt;$B180+$D180,T$111&lt;$B180+$E180),$M180/($E180-$D180),0)))</f>
        <v>0</v>
      </c>
      <c r="U180" s="9"/>
      <c r="V180" s="9"/>
      <c r="W180" s="9"/>
      <c r="X180" s="9"/>
      <c r="Y180" s="9"/>
      <c r="Z180" s="9"/>
      <c r="AA180" s="9">
        <f t="shared" si="44"/>
        <v>0</v>
      </c>
    </row>
    <row r="181" spans="1:27">
      <c r="A181" s="8"/>
      <c r="B181" s="7"/>
      <c r="C181" s="7"/>
      <c r="D181" s="7"/>
      <c r="E181" s="7"/>
      <c r="F181" s="15"/>
      <c r="H181" s="9"/>
      <c r="I181" s="9"/>
      <c r="J181" s="9"/>
      <c r="K181" s="9"/>
      <c r="L181" s="9"/>
      <c r="M181" s="9"/>
      <c r="N181" s="9"/>
      <c r="O181" s="278"/>
      <c r="P181" s="10"/>
      <c r="Q181" s="10"/>
      <c r="R181" s="10"/>
      <c r="S181" s="10"/>
      <c r="T181" s="10"/>
      <c r="U181" s="9"/>
      <c r="V181" s="10"/>
      <c r="W181" s="10"/>
      <c r="X181" s="10"/>
      <c r="Y181" s="10"/>
      <c r="Z181" s="10"/>
      <c r="AA181" s="10"/>
    </row>
    <row r="182" spans="1:27">
      <c r="A182" s="8" t="str">
        <f>'Input 4 - Forecast'!A67</f>
        <v>Type 7</v>
      </c>
      <c r="B182" s="7">
        <f>B119</f>
        <v>2018</v>
      </c>
      <c r="C182" s="7" t="str">
        <f>$I86</f>
        <v>Annual</v>
      </c>
      <c r="D182" s="7">
        <f>$J86</f>
        <v>0</v>
      </c>
      <c r="E182" s="7">
        <f>$K86</f>
        <v>0</v>
      </c>
      <c r="F182" s="14">
        <f>$L$86</f>
        <v>0</v>
      </c>
      <c r="H182" s="9">
        <f>$B$86/$B$31</f>
        <v>0</v>
      </c>
      <c r="I182" s="9">
        <f>H182-P182</f>
        <v>0</v>
      </c>
      <c r="J182" s="9">
        <f>I182-Q182</f>
        <v>0</v>
      </c>
      <c r="K182" s="9">
        <f>J182-R182</f>
        <v>0</v>
      </c>
      <c r="L182" s="9">
        <f>K182-S182</f>
        <v>0</v>
      </c>
      <c r="M182" s="9">
        <f>L182-T182</f>
        <v>0</v>
      </c>
      <c r="N182" s="9"/>
      <c r="O182" s="9">
        <f t="shared" ref="O182:T182" si="46">IF(OR($C182="Annual",$D182=$E182),IF(AND($D182=$E182,O$111=$B182+$D182),$H182,IF(AND(O$111&gt;$B182+$D182,O$111&lt;=$B182+$E182), $H182/($E182-$D182),0)), IF(OR(O$111=$B182+$D182,O$111=$B182+$E182),$H182/(($E182-$D182)*2),IF(AND(O$111&gt;$B182+$D182,O$111&lt;$B182+$E182),$H182/($E182-$D182),0)))</f>
        <v>0</v>
      </c>
      <c r="P182" s="9">
        <f t="shared" si="46"/>
        <v>0</v>
      </c>
      <c r="Q182" s="9">
        <f t="shared" si="46"/>
        <v>0</v>
      </c>
      <c r="R182" s="9">
        <f t="shared" si="46"/>
        <v>0</v>
      </c>
      <c r="S182" s="9">
        <f t="shared" si="46"/>
        <v>0</v>
      </c>
      <c r="T182" s="9">
        <f t="shared" si="46"/>
        <v>0</v>
      </c>
      <c r="U182" s="9"/>
      <c r="V182" s="9">
        <f>IF($C182="annual",IF(V$111=$B182,0,G182*$F182),IF(V$111-$B182=0,0,IF((V$111-$B182)&lt;$E182,AVERAGE(G182,H182)*$F182,IF((V$111-$B182)=$E182,G182*$F182/2,0))))</f>
        <v>0</v>
      </c>
      <c r="W182" s="9">
        <f t="shared" ref="W182:AA187" si="47">IF($C182="annual",IF(W$111=$B182,0,H182*$F182),IF(W$111-$B182=0,0,IF((W$111-$B182)&lt;$E182,AVERAGE(H182,I182)*$F182,IF((W$111-$B182)=$E182,H182*$F182/2,0))))</f>
        <v>0</v>
      </c>
      <c r="X182" s="9">
        <f t="shared" si="47"/>
        <v>0</v>
      </c>
      <c r="Y182" s="9">
        <f t="shared" si="47"/>
        <v>0</v>
      </c>
      <c r="Z182" s="9">
        <f t="shared" si="47"/>
        <v>0</v>
      </c>
      <c r="AA182" s="9">
        <f t="shared" si="47"/>
        <v>0</v>
      </c>
    </row>
    <row r="183" spans="1:27">
      <c r="A183" s="8" t="str">
        <f>A182</f>
        <v>Type 7</v>
      </c>
      <c r="B183" s="7">
        <f>B182+1</f>
        <v>2019</v>
      </c>
      <c r="C183" s="7" t="str">
        <f>C182</f>
        <v>Annual</v>
      </c>
      <c r="D183" s="7">
        <f>D182</f>
        <v>0</v>
      </c>
      <c r="E183" s="7">
        <f>E182</f>
        <v>0</v>
      </c>
      <c r="F183" s="14">
        <f>$M$86</f>
        <v>0.18606977230199898</v>
      </c>
      <c r="H183" s="9"/>
      <c r="I183" s="9">
        <f ca="1">$C$86/$C$31</f>
        <v>0</v>
      </c>
      <c r="J183" s="9">
        <f ca="1">I183-Q183</f>
        <v>0</v>
      </c>
      <c r="K183" s="9">
        <f ca="1">J183-R183</f>
        <v>0</v>
      </c>
      <c r="L183" s="9">
        <f ca="1">K183-S183</f>
        <v>0</v>
      </c>
      <c r="M183" s="9">
        <f ca="1">L183-T183</f>
        <v>0</v>
      </c>
      <c r="N183" s="9"/>
      <c r="O183" s="9"/>
      <c r="P183" s="9">
        <f ca="1">IF(OR($C183="Annual",$D183=$E183),IF(AND($D183=$E183,P$111=$B183+$D183),$I183,IF(AND(P$111&gt;$B183+$D183,P$111&lt;=$B183+$E183), $I183/($E183-$D183),0)), IF(OR(P$111=$B183+$D183,P$111=$B183+$E183),$I183/(($E183-$D183)*2),IF(AND(P$111&gt;$B183+$D183,P$111&lt;$B183+$E183),$I183/($E183-$D183),0)))</f>
        <v>0</v>
      </c>
      <c r="Q183" s="9">
        <f>IF(OR($C183="Annual",$D183=$E183),IF(AND($D183=$E183,Q$111=$B183+$D183),$I183,IF(AND(Q$111&gt;$B183+$D183,Q$111&lt;=$B183+$E183), $I183/($E183-$D183),0)), IF(OR(Q$111=$B183+$D183,Q$111=$B183+$E183),$I183/(($E183-$D183)*2),IF(AND(Q$111&gt;$B183+$D183,Q$111&lt;$B183+$E183),$I183/($E183-$D183),0)))</f>
        <v>0</v>
      </c>
      <c r="R183" s="9">
        <f>IF(OR($C183="Annual",$D183=$E183),IF(AND($D183=$E183,R$111=$B183+$D183),$I183,IF(AND(R$111&gt;$B183+$D183,R$111&lt;=$B183+$E183), $I183/($E183-$D183),0)), IF(OR(R$111=$B183+$D183,R$111=$B183+$E183),$I183/(($E183-$D183)*2),IF(AND(R$111&gt;$B183+$D183,R$111&lt;$B183+$E183),$I183/($E183-$D183),0)))</f>
        <v>0</v>
      </c>
      <c r="S183" s="9">
        <f>IF(OR($C183="Annual",$D183=$E183),IF(AND($D183=$E183,S$111=$B183+$D183),$I183,IF(AND(S$111&gt;$B183+$D183,S$111&lt;=$B183+$E183), $I183/($E183-$D183),0)), IF(OR(S$111=$B183+$D183,S$111=$B183+$E183),$I183/(($E183-$D183)*2),IF(AND(S$111&gt;$B183+$D183,S$111&lt;$B183+$E183),$I183/($E183-$D183),0)))</f>
        <v>0</v>
      </c>
      <c r="T183" s="9">
        <f>IF(OR($C183="Annual",$D183=$E183),IF(AND($D183=$E183,T$111=$B183+$D183),$I183,IF(AND(T$111&gt;$B183+$D183,T$111&lt;=$B183+$E183), $I183/($E183-$D183),0)), IF(OR(T$111=$B183+$D183,T$111=$B183+$E183),$I183/(($E183-$D183)*2),IF(AND(T$111&gt;$B183+$D183,T$111&lt;$B183+$E183),$I183/($E183-$D183),0)))</f>
        <v>0</v>
      </c>
      <c r="U183" s="9"/>
      <c r="V183" s="9"/>
      <c r="W183" s="9">
        <f t="shared" si="47"/>
        <v>0</v>
      </c>
      <c r="X183" s="9">
        <f t="shared" ca="1" si="47"/>
        <v>0</v>
      </c>
      <c r="Y183" s="9">
        <f t="shared" ca="1" si="47"/>
        <v>0</v>
      </c>
      <c r="Z183" s="9">
        <f t="shared" ca="1" si="47"/>
        <v>0</v>
      </c>
      <c r="AA183" s="9">
        <f t="shared" ca="1" si="47"/>
        <v>0</v>
      </c>
    </row>
    <row r="184" spans="1:27">
      <c r="A184" s="8" t="str">
        <f>A183</f>
        <v>Type 7</v>
      </c>
      <c r="B184" s="7">
        <f>B183+1</f>
        <v>2020</v>
      </c>
      <c r="C184" s="7" t="str">
        <f t="shared" ref="C184:D187" si="48">C183</f>
        <v>Annual</v>
      </c>
      <c r="D184" s="7">
        <f t="shared" si="48"/>
        <v>0</v>
      </c>
      <c r="E184" s="7">
        <f>E183</f>
        <v>0</v>
      </c>
      <c r="F184" s="14">
        <f>$N$86</f>
        <v>0.18606977230199898</v>
      </c>
      <c r="H184" s="9"/>
      <c r="I184" s="9"/>
      <c r="J184" s="9">
        <f ca="1">$D$86/$D$31</f>
        <v>0</v>
      </c>
      <c r="K184" s="9">
        <f ca="1">J184-R184</f>
        <v>0</v>
      </c>
      <c r="L184" s="9">
        <f ca="1">K184-S184</f>
        <v>0</v>
      </c>
      <c r="M184" s="9">
        <f ca="1">L184-T184</f>
        <v>0</v>
      </c>
      <c r="N184" s="9"/>
      <c r="O184" s="9"/>
      <c r="P184" s="9"/>
      <c r="Q184" s="9">
        <f ca="1">IF(OR($C184="Annual",$D184=$E184),IF(AND($D184=$E184,Q$111=$B184+$D184),$J184,IF(AND(Q$111&gt;$B184+$D184,Q$111&lt;=$B184+$E184), $J184/($E184-$D184),0)), IF(OR(Q$111=$B184+$D184,Q$111=$B184+$E184),$J184/(($E184-$D184)*2),IF(AND(Q$111&gt;$B184+$D184,Q$111&lt;$B184+$E184),$J184/($E184-$D184),0)))</f>
        <v>0</v>
      </c>
      <c r="R184" s="9">
        <f>IF(OR($C184="Annual",$D184=$E184),IF(AND($D184=$E184,R$111=$B184+$D184),$J184,IF(AND(R$111&gt;$B184+$D184,R$111&lt;=$B184+$E184), $J184/($E184-$D184),0)), IF(OR(R$111=$B184+$D184,R$111=$B184+$E184),$J184/(($E184-$D184)*2),IF(AND(R$111&gt;$B184+$D184,R$111&lt;$B184+$E184),$J184/($E184-$D184),0)))</f>
        <v>0</v>
      </c>
      <c r="S184" s="9">
        <f>IF(OR($C184="Annual",$D184=$E184),IF(AND($D184=$E184,S$111=$B184+$D184),$J184,IF(AND(S$111&gt;$B184+$D184,S$111&lt;=$B184+$E184), $J184/($E184-$D184),0)), IF(OR(S$111=$B184+$D184,S$111=$B184+$E184),$J184/(($E184-$D184)*2),IF(AND(S$111&gt;$B184+$D184,S$111&lt;$B184+$E184),$J184/($E184-$D184),0)))</f>
        <v>0</v>
      </c>
      <c r="T184" s="9">
        <f>IF(OR($C184="Annual",$D184=$E184),IF(AND($D184=$E184,T$111=$B184+$D184),$J184,IF(AND(T$111&gt;$B184+$D184,T$111&lt;=$B184+$E184), $J184/($E184-$D184),0)), IF(OR(T$111=$B184+$D184,T$111=$B184+$E184),$J184/(($E184-$D184)*2),IF(AND(T$111&gt;$B184+$D184,T$111&lt;$B184+$E184),$J184/($E184-$D184),0)))</f>
        <v>0</v>
      </c>
      <c r="U184" s="9"/>
      <c r="V184" s="9"/>
      <c r="W184" s="9"/>
      <c r="X184" s="9">
        <f t="shared" si="47"/>
        <v>0</v>
      </c>
      <c r="Y184" s="9">
        <f t="shared" ca="1" si="47"/>
        <v>0</v>
      </c>
      <c r="Z184" s="9">
        <f t="shared" ca="1" si="47"/>
        <v>0</v>
      </c>
      <c r="AA184" s="9">
        <f t="shared" ca="1" si="47"/>
        <v>0</v>
      </c>
    </row>
    <row r="185" spans="1:27">
      <c r="A185" s="8" t="str">
        <f>A184</f>
        <v>Type 7</v>
      </c>
      <c r="B185" s="7">
        <f>B184+1</f>
        <v>2021</v>
      </c>
      <c r="C185" s="7" t="str">
        <f t="shared" si="48"/>
        <v>Annual</v>
      </c>
      <c r="D185" s="7">
        <f t="shared" si="48"/>
        <v>0</v>
      </c>
      <c r="E185" s="7">
        <f>E184</f>
        <v>0</v>
      </c>
      <c r="F185" s="14">
        <f>$O$86</f>
        <v>0.18606977230199898</v>
      </c>
      <c r="H185" s="9"/>
      <c r="I185" s="9"/>
      <c r="J185" s="9"/>
      <c r="K185" s="9">
        <f ca="1">$E$86/$E$31</f>
        <v>0</v>
      </c>
      <c r="L185" s="9">
        <f ca="1">K185-S185</f>
        <v>0</v>
      </c>
      <c r="M185" s="9">
        <f ca="1">L185-T185</f>
        <v>0</v>
      </c>
      <c r="N185" s="9"/>
      <c r="O185" s="9"/>
      <c r="P185" s="9"/>
      <c r="Q185" s="9"/>
      <c r="R185" s="9">
        <f ca="1">IF(OR($C185="Annual",$D185=$E185),IF(AND($D185=$E185,R$111=$B185+$D185),$K185,IF(AND(R$111&gt;$B185+$D185,R$111&lt;=$B185+$E185), $K185/($E185-$D185),0)), IF(OR(R$111=$B185+$D185,R$111=$B185+$E185),$K185/(($E185-$D185)*2),IF(AND(R$111&gt;$B185+$D185,R$111&lt;$B185+$E185),$K185/($E185-$D185),0)))</f>
        <v>0</v>
      </c>
      <c r="S185" s="9">
        <f>IF(OR($C185="Annual",$D185=$E185),IF(AND($D185=$E185,S$111=$B185+$D185),$K185,IF(AND(S$111&gt;$B185+$D185,S$111&lt;=$B185+$E185), $K185/($E185-$D185),0)), IF(OR(S$111=$B185+$D185,S$111=$B185+$E185),$K185/(($E185-$D185)*2),IF(AND(S$111&gt;$B185+$D185,S$111&lt;$B185+$E185),$K185/($E185-$D185),0)))</f>
        <v>0</v>
      </c>
      <c r="T185" s="9">
        <f>IF(OR($C185="Annual",$D185=$E185),IF(AND($D185=$E185,T$111=$B185+$D185),$K185,IF(AND(T$111&gt;$B185+$D185,T$111&lt;=$B185+$E185), $K185/($E185-$D185),0)), IF(OR(T$111=$B185+$D185,T$111=$B185+$E185),$K185/(($E185-$D185)*2),IF(AND(T$111&gt;$B185+$D185,T$111&lt;$B185+$E185),$K185/($E185-$D185),0)))</f>
        <v>0</v>
      </c>
      <c r="U185" s="9"/>
      <c r="V185" s="9"/>
      <c r="W185" s="9"/>
      <c r="X185" s="9"/>
      <c r="Y185" s="9">
        <f t="shared" si="47"/>
        <v>0</v>
      </c>
      <c r="Z185" s="9">
        <f t="shared" ca="1" si="47"/>
        <v>0</v>
      </c>
      <c r="AA185" s="9">
        <f t="shared" ca="1" si="47"/>
        <v>0</v>
      </c>
    </row>
    <row r="186" spans="1:27">
      <c r="A186" s="8" t="str">
        <f>A185</f>
        <v>Type 7</v>
      </c>
      <c r="B186" s="7">
        <f>B185+1</f>
        <v>2022</v>
      </c>
      <c r="C186" s="7" t="str">
        <f t="shared" si="48"/>
        <v>Annual</v>
      </c>
      <c r="D186" s="7">
        <f t="shared" si="48"/>
        <v>0</v>
      </c>
      <c r="E186" s="7">
        <f>E185</f>
        <v>0</v>
      </c>
      <c r="F186" s="14">
        <f>$P$86</f>
        <v>0.18606977230199898</v>
      </c>
      <c r="H186" s="9"/>
      <c r="I186" s="9"/>
      <c r="J186" s="9"/>
      <c r="K186" s="9"/>
      <c r="L186" s="9">
        <f ca="1">$F$86/$F$31</f>
        <v>0</v>
      </c>
      <c r="M186" s="9">
        <f ca="1">L186-T186</f>
        <v>0</v>
      </c>
      <c r="N186" s="9"/>
      <c r="O186" s="9"/>
      <c r="P186" s="9"/>
      <c r="Q186" s="9"/>
      <c r="R186" s="9"/>
      <c r="S186" s="9">
        <f ca="1">IF(OR($C186="Annual",$D186=$E186),IF(AND($D186=$E186,S$111=$B186+$D186),$L186,IF(AND(S$111&gt;$B186+$D186,S$111&lt;=$B186+$E186), $L186/($E186-$D186),0)), IF(OR(S$111=$B186+$D186,S$111=$B186+$E186),$L186/(($E186-$D186)*2),IF(AND(S$111&gt;$B186+$D186,S$111&lt;$B186+$E186),$L186/($E186-$D186),0)))</f>
        <v>0</v>
      </c>
      <c r="T186" s="9">
        <f>IF(OR($C186="Annual",$D186=$E186),IF(AND($D186=$E186,T$111=$B186+$D186),$L186,IF(AND(T$111&gt;$B186+$D186,T$111&lt;=$B186+$E186), $L186/($E186-$D186),0)), IF(OR(T$111=$B186+$D186,T$111=$B186+$E186),$L186/(($E186-$D186)*2),IF(AND(T$111&gt;$B186+$D186,T$111&lt;$B186+$E186),$L186/($E186-$D186),0)))</f>
        <v>0</v>
      </c>
      <c r="U186" s="9"/>
      <c r="V186" s="9"/>
      <c r="W186" s="9"/>
      <c r="X186" s="9"/>
      <c r="Y186" s="9"/>
      <c r="Z186" s="9">
        <f t="shared" si="47"/>
        <v>0</v>
      </c>
      <c r="AA186" s="9">
        <f t="shared" ca="1" si="47"/>
        <v>0</v>
      </c>
    </row>
    <row r="187" spans="1:27">
      <c r="A187" s="8" t="str">
        <f>A186</f>
        <v>Type 7</v>
      </c>
      <c r="B187" s="7">
        <f>B186+1</f>
        <v>2023</v>
      </c>
      <c r="C187" s="7" t="str">
        <f t="shared" si="48"/>
        <v>Annual</v>
      </c>
      <c r="D187" s="7">
        <f t="shared" si="48"/>
        <v>0</v>
      </c>
      <c r="E187" s="7">
        <f>E186</f>
        <v>0</v>
      </c>
      <c r="F187" s="14">
        <f>$Q$86</f>
        <v>0.18606977230199898</v>
      </c>
      <c r="H187" s="9"/>
      <c r="I187" s="9"/>
      <c r="J187" s="9"/>
      <c r="K187" s="9"/>
      <c r="L187" s="9"/>
      <c r="M187" s="9">
        <f ca="1">$G$86/$G$31</f>
        <v>0</v>
      </c>
      <c r="N187" s="9"/>
      <c r="O187" s="9"/>
      <c r="P187" s="9"/>
      <c r="Q187" s="9"/>
      <c r="R187" s="9"/>
      <c r="S187" s="9"/>
      <c r="T187" s="9">
        <f ca="1">IF(OR($C187="Annual",$D187=$E187),IF(AND($D187=$E187,T$111=$B187+$D187),$M187,IF(AND(T$111&gt;$B187+$D187,T$111&lt;=$B187+$E187), $M187/($E187-$D187),0)), IF(OR(T$111=$B187+$D187,T$111=$B187+$E187),$M187/(($E187-$D187)*2),IF(AND(T$111&gt;$B187+$D187,T$111&lt;$B187+$E187),$M187/($E187-$D187),0)))</f>
        <v>0</v>
      </c>
      <c r="U187" s="9"/>
      <c r="V187" s="9"/>
      <c r="W187" s="9"/>
      <c r="X187" s="9"/>
      <c r="Y187" s="9"/>
      <c r="Z187" s="9"/>
      <c r="AA187" s="9">
        <f t="shared" si="47"/>
        <v>0</v>
      </c>
    </row>
    <row r="188" spans="1:27">
      <c r="A188" s="8"/>
      <c r="B188" s="7"/>
      <c r="C188" s="7"/>
      <c r="D188" s="7"/>
      <c r="E188" s="7"/>
      <c r="F188" s="15"/>
      <c r="H188" s="9"/>
      <c r="I188" s="9"/>
      <c r="J188" s="9"/>
      <c r="K188" s="9"/>
      <c r="L188" s="9"/>
      <c r="M188" s="9"/>
      <c r="N188" s="9"/>
      <c r="O188" s="278"/>
      <c r="P188" s="10"/>
      <c r="Q188" s="10"/>
      <c r="R188" s="10"/>
      <c r="S188" s="10"/>
      <c r="T188" s="10"/>
      <c r="U188" s="9"/>
      <c r="V188" s="10"/>
      <c r="W188" s="10"/>
      <c r="X188" s="10"/>
      <c r="Y188" s="10"/>
      <c r="Z188" s="10"/>
      <c r="AA188" s="10"/>
    </row>
    <row r="189" spans="1:27">
      <c r="A189" s="8" t="str">
        <f>'Input 4 - Forecast'!A68</f>
        <v>Type 8</v>
      </c>
      <c r="B189" s="7">
        <f>B119</f>
        <v>2018</v>
      </c>
      <c r="C189" s="7" t="str">
        <f>$I87</f>
        <v>Annual</v>
      </c>
      <c r="D189" s="7">
        <f>$J87</f>
        <v>0</v>
      </c>
      <c r="E189" s="7">
        <f>$K87</f>
        <v>0</v>
      </c>
      <c r="F189" s="14">
        <f>$L$87</f>
        <v>0</v>
      </c>
      <c r="H189" s="9">
        <f>$B$87/$B$31</f>
        <v>0</v>
      </c>
      <c r="I189" s="9">
        <f>H189-P189</f>
        <v>0</v>
      </c>
      <c r="J189" s="9">
        <f>I189-Q189</f>
        <v>0</v>
      </c>
      <c r="K189" s="9">
        <f>J189-R189</f>
        <v>0</v>
      </c>
      <c r="L189" s="9">
        <f>K189-S189</f>
        <v>0</v>
      </c>
      <c r="M189" s="9">
        <f>L189-T189</f>
        <v>0</v>
      </c>
      <c r="N189" s="9"/>
      <c r="O189" s="9">
        <f t="shared" ref="O189:T189" si="49">IF(OR($C189="Annual",$D189=$E189),IF(AND($D189=$E189,O$111=$B189+$D189),$H189,IF(AND(O$111&gt;$B189+$D189,O$111&lt;=$B189+$E189), $H189/($E189-$D189),0)), IF(OR(O$111=$B189+$D189,O$111=$B189+$E189),$H189/(($E189-$D189)*2),IF(AND(O$111&gt;$B189+$D189,O$111&lt;$B189+$E189),$H189/($E189-$D189),0)))</f>
        <v>0</v>
      </c>
      <c r="P189" s="9">
        <f t="shared" si="49"/>
        <v>0</v>
      </c>
      <c r="Q189" s="9">
        <f t="shared" si="49"/>
        <v>0</v>
      </c>
      <c r="R189" s="9">
        <f t="shared" si="49"/>
        <v>0</v>
      </c>
      <c r="S189" s="9">
        <f t="shared" si="49"/>
        <v>0</v>
      </c>
      <c r="T189" s="9">
        <f t="shared" si="49"/>
        <v>0</v>
      </c>
      <c r="U189" s="9"/>
      <c r="V189" s="9">
        <f>IF($C189="annual",IF(V$111=$B189,0,G189*$F189),IF(V$111-$B189=0,0,IF((V$111-$B189)&lt;$E189,AVERAGE(G189,H189)*$F189,IF((V$111-$B189)=$E189,G189*$F189/2,0))))</f>
        <v>0</v>
      </c>
      <c r="W189" s="9">
        <f t="shared" ref="W189:AA194" si="50">IF($C189="annual",IF(W$111=$B189,0,H189*$F189),IF(W$111-$B189=0,0,IF((W$111-$B189)&lt;$E189,AVERAGE(H189,I189)*$F189,IF((W$111-$B189)=$E189,H189*$F189/2,0))))</f>
        <v>0</v>
      </c>
      <c r="X189" s="9">
        <f t="shared" si="50"/>
        <v>0</v>
      </c>
      <c r="Y189" s="9">
        <f t="shared" si="50"/>
        <v>0</v>
      </c>
      <c r="Z189" s="9">
        <f t="shared" si="50"/>
        <v>0</v>
      </c>
      <c r="AA189" s="9">
        <f t="shared" si="50"/>
        <v>0</v>
      </c>
    </row>
    <row r="190" spans="1:27">
      <c r="A190" s="8" t="str">
        <f>A189</f>
        <v>Type 8</v>
      </c>
      <c r="B190" s="7">
        <f>B189+1</f>
        <v>2019</v>
      </c>
      <c r="C190" s="7" t="str">
        <f t="shared" ref="C190:D194" si="51">C189</f>
        <v>Annual</v>
      </c>
      <c r="D190" s="7">
        <f t="shared" si="51"/>
        <v>0</v>
      </c>
      <c r="E190" s="7">
        <f>E189</f>
        <v>0</v>
      </c>
      <c r="F190" s="14">
        <f>$M$87</f>
        <v>0.18606977230199898</v>
      </c>
      <c r="H190" s="9"/>
      <c r="I190" s="9">
        <f ca="1">$C$87/$C$31</f>
        <v>0</v>
      </c>
      <c r="J190" s="9">
        <f ca="1">I190-Q190</f>
        <v>0</v>
      </c>
      <c r="K190" s="9">
        <f ca="1">J190-R190</f>
        <v>0</v>
      </c>
      <c r="L190" s="9">
        <f ca="1">K190-S190</f>
        <v>0</v>
      </c>
      <c r="M190" s="9">
        <f ca="1">L190-T190</f>
        <v>0</v>
      </c>
      <c r="N190" s="9"/>
      <c r="O190" s="9"/>
      <c r="P190" s="9">
        <f ca="1">IF(OR($C190="Annual",$D190=$E190),IF(AND($D190=$E190,P$111=$B190+$D190),$I190,IF(AND(P$111&gt;$B190+$D190,P$111&lt;=$B190+$E190), $I190/($E190-$D190),0)), IF(OR(P$111=$B190+$D190,P$111=$B190+$E190),$I190/(($E190-$D190)*2),IF(AND(P$111&gt;$B190+$D190,P$111&lt;$B190+$E190),$I190/($E190-$D190),0)))</f>
        <v>0</v>
      </c>
      <c r="Q190" s="9">
        <f>IF(OR($C190="Annual",$D190=$E190),IF(AND($D190=$E190,Q$111=$B190+$D190),$I190,IF(AND(Q$111&gt;$B190+$D190,Q$111&lt;=$B190+$E190), $I190/($E190-$D190),0)), IF(OR(Q$111=$B190+$D190,Q$111=$B190+$E190),$I190/(($E190-$D190)*2),IF(AND(Q$111&gt;$B190+$D190,Q$111&lt;$B190+$E190),$I190/($E190-$D190),0)))</f>
        <v>0</v>
      </c>
      <c r="R190" s="9">
        <f>IF(OR($C190="Annual",$D190=$E190),IF(AND($D190=$E190,R$111=$B190+$D190),$I190,IF(AND(R$111&gt;$B190+$D190,R$111&lt;=$B190+$E190), $I190/($E190-$D190),0)), IF(OR(R$111=$B190+$D190,R$111=$B190+$E190),$I190/(($E190-$D190)*2),IF(AND(R$111&gt;$B190+$D190,R$111&lt;$B190+$E190),$I190/($E190-$D190),0)))</f>
        <v>0</v>
      </c>
      <c r="S190" s="9">
        <f>IF(OR($C190="Annual",$D190=$E190),IF(AND($D190=$E190,S$111=$B190+$D190),$I190,IF(AND(S$111&gt;$B190+$D190,S$111&lt;=$B190+$E190), $I190/($E190-$D190),0)), IF(OR(S$111=$B190+$D190,S$111=$B190+$E190),$I190/(($E190-$D190)*2),IF(AND(S$111&gt;$B190+$D190,S$111&lt;$B190+$E190),$I190/($E190-$D190),0)))</f>
        <v>0</v>
      </c>
      <c r="T190" s="9">
        <f>IF(OR($C190="Annual",$D190=$E190),IF(AND($D190=$E190,T$111=$B190+$D190),$I190,IF(AND(T$111&gt;$B190+$D190,T$111&lt;=$B190+$E190), $I190/($E190-$D190),0)), IF(OR(T$111=$B190+$D190,T$111=$B190+$E190),$I190/(($E190-$D190)*2),IF(AND(T$111&gt;$B190+$D190,T$111&lt;$B190+$E190),$I190/($E190-$D190),0)))</f>
        <v>0</v>
      </c>
      <c r="U190" s="9"/>
      <c r="V190" s="9"/>
      <c r="W190" s="9">
        <f t="shared" si="50"/>
        <v>0</v>
      </c>
      <c r="X190" s="9">
        <f t="shared" ca="1" si="50"/>
        <v>0</v>
      </c>
      <c r="Y190" s="9">
        <f t="shared" ca="1" si="50"/>
        <v>0</v>
      </c>
      <c r="Z190" s="9">
        <f t="shared" ca="1" si="50"/>
        <v>0</v>
      </c>
      <c r="AA190" s="9">
        <f t="shared" ca="1" si="50"/>
        <v>0</v>
      </c>
    </row>
    <row r="191" spans="1:27">
      <c r="A191" s="8" t="str">
        <f>A190</f>
        <v>Type 8</v>
      </c>
      <c r="B191" s="7">
        <f>B190+1</f>
        <v>2020</v>
      </c>
      <c r="C191" s="7" t="str">
        <f t="shared" si="51"/>
        <v>Annual</v>
      </c>
      <c r="D191" s="7">
        <f t="shared" si="51"/>
        <v>0</v>
      </c>
      <c r="E191" s="7">
        <f>E190</f>
        <v>0</v>
      </c>
      <c r="F191" s="14">
        <f>$N$87</f>
        <v>0.18606977230199898</v>
      </c>
      <c r="H191" s="9"/>
      <c r="I191" s="9"/>
      <c r="J191" s="9">
        <f ca="1">$D$87/$D$31</f>
        <v>0</v>
      </c>
      <c r="K191" s="9">
        <f ca="1">J191-R191</f>
        <v>0</v>
      </c>
      <c r="L191" s="9">
        <f ca="1">K191-S191</f>
        <v>0</v>
      </c>
      <c r="M191" s="9">
        <f ca="1">L191-T191</f>
        <v>0</v>
      </c>
      <c r="N191" s="9"/>
      <c r="O191" s="9"/>
      <c r="P191" s="9"/>
      <c r="Q191" s="9">
        <f ca="1">IF(OR($C191="Annual",$D191=$E191),IF(AND($D191=$E191,Q$111=$B191+$D191),$J191,IF(AND(Q$111&gt;$B191+$D191,Q$111&lt;=$B191+$E191), $J191/($E191-$D191),0)), IF(OR(Q$111=$B191+$D191,Q$111=$B191+$E191),$J191/(($E191-$D191)*2),IF(AND(Q$111&gt;$B191+$D191,Q$111&lt;$B191+$E191),$J191/($E191-$D191),0)))</f>
        <v>0</v>
      </c>
      <c r="R191" s="9">
        <f>IF(OR($C191="Annual",$D191=$E191),IF(AND($D191=$E191,R$111=$B191+$D191),$J191,IF(AND(R$111&gt;$B191+$D191,R$111&lt;=$B191+$E191), $J191/($E191-$D191),0)), IF(OR(R$111=$B191+$D191,R$111=$B191+$E191),$J191/(($E191-$D191)*2),IF(AND(R$111&gt;$B191+$D191,R$111&lt;$B191+$E191),$J191/($E191-$D191),0)))</f>
        <v>0</v>
      </c>
      <c r="S191" s="9">
        <f>IF(OR($C191="Annual",$D191=$E191),IF(AND($D191=$E191,S$111=$B191+$D191),$J191,IF(AND(S$111&gt;$B191+$D191,S$111&lt;=$B191+$E191), $J191/($E191-$D191),0)), IF(OR(S$111=$B191+$D191,S$111=$B191+$E191),$J191/(($E191-$D191)*2),IF(AND(S$111&gt;$B191+$D191,S$111&lt;$B191+$E191),$J191/($E191-$D191),0)))</f>
        <v>0</v>
      </c>
      <c r="T191" s="9">
        <f>IF(OR($C191="Annual",$D191=$E191),IF(AND($D191=$E191,T$111=$B191+$D191),$J191,IF(AND(T$111&gt;$B191+$D191,T$111&lt;=$B191+$E191), $J191/($E191-$D191),0)), IF(OR(T$111=$B191+$D191,T$111=$B191+$E191),$J191/(($E191-$D191)*2),IF(AND(T$111&gt;$B191+$D191,T$111&lt;$B191+$E191),$J191/($E191-$D191),0)))</f>
        <v>0</v>
      </c>
      <c r="U191" s="9"/>
      <c r="V191" s="9"/>
      <c r="W191" s="9"/>
      <c r="X191" s="9">
        <f t="shared" si="50"/>
        <v>0</v>
      </c>
      <c r="Y191" s="9">
        <f t="shared" ca="1" si="50"/>
        <v>0</v>
      </c>
      <c r="Z191" s="9">
        <f t="shared" ca="1" si="50"/>
        <v>0</v>
      </c>
      <c r="AA191" s="9">
        <f t="shared" ca="1" si="50"/>
        <v>0</v>
      </c>
    </row>
    <row r="192" spans="1:27">
      <c r="A192" s="8" t="str">
        <f>A191</f>
        <v>Type 8</v>
      </c>
      <c r="B192" s="7">
        <f>B191+1</f>
        <v>2021</v>
      </c>
      <c r="C192" s="7" t="str">
        <f t="shared" si="51"/>
        <v>Annual</v>
      </c>
      <c r="D192" s="7">
        <f t="shared" si="51"/>
        <v>0</v>
      </c>
      <c r="E192" s="7">
        <f>E191</f>
        <v>0</v>
      </c>
      <c r="F192" s="14">
        <f>$O$87</f>
        <v>0.18606977230199898</v>
      </c>
      <c r="H192" s="9"/>
      <c r="I192" s="9"/>
      <c r="J192" s="9"/>
      <c r="K192" s="9">
        <f ca="1">$E$87/$E$31</f>
        <v>0</v>
      </c>
      <c r="L192" s="9">
        <f ca="1">K192-S192</f>
        <v>0</v>
      </c>
      <c r="M192" s="9">
        <f ca="1">L192-T192</f>
        <v>0</v>
      </c>
      <c r="N192" s="9"/>
      <c r="O192" s="9"/>
      <c r="P192" s="9"/>
      <c r="Q192" s="9"/>
      <c r="R192" s="9">
        <f ca="1">IF(OR($C192="Annual",$D192=$E192),IF(AND($D192=$E192,R$111=$B192+$D192),$K192,IF(AND(R$111&gt;$B192+$D192,R$111&lt;=$B192+$E192), $K192/($E192-$D192),0)), IF(OR(R$111=$B192+$D192,R$111=$B192+$E192),$K192/(($E192-$D192)*2),IF(AND(R$111&gt;$B192+$D192,R$111&lt;$B192+$E192),$K192/($E192-$D192),0)))</f>
        <v>0</v>
      </c>
      <c r="S192" s="9">
        <f>IF(OR($C192="Annual",$D192=$E192),IF(AND($D192=$E192,S$111=$B192+$D192),$K192,IF(AND(S$111&gt;$B192+$D192,S$111&lt;=$B192+$E192), $K192/($E192-$D192),0)), IF(OR(S$111=$B192+$D192,S$111=$B192+$E192),$K192/(($E192-$D192)*2),IF(AND(S$111&gt;$B192+$D192,S$111&lt;$B192+$E192),$K192/($E192-$D192),0)))</f>
        <v>0</v>
      </c>
      <c r="T192" s="9">
        <f>IF(OR($C192="Annual",$D192=$E192),IF(AND($D192=$E192,T$111=$B192+$D192),$K192,IF(AND(T$111&gt;$B192+$D192,T$111&lt;=$B192+$E192), $K192/($E192-$D192),0)), IF(OR(T$111=$B192+$D192,T$111=$B192+$E192),$K192/(($E192-$D192)*2),IF(AND(T$111&gt;$B192+$D192,T$111&lt;$B192+$E192),$K192/($E192-$D192),0)))</f>
        <v>0</v>
      </c>
      <c r="U192" s="9"/>
      <c r="V192" s="9"/>
      <c r="W192" s="9"/>
      <c r="X192" s="9"/>
      <c r="Y192" s="9">
        <f t="shared" si="50"/>
        <v>0</v>
      </c>
      <c r="Z192" s="9">
        <f t="shared" ca="1" si="50"/>
        <v>0</v>
      </c>
      <c r="AA192" s="9">
        <f t="shared" ca="1" si="50"/>
        <v>0</v>
      </c>
    </row>
    <row r="193" spans="1:27">
      <c r="A193" s="8" t="str">
        <f>A192</f>
        <v>Type 8</v>
      </c>
      <c r="B193" s="7">
        <f>B192+1</f>
        <v>2022</v>
      </c>
      <c r="C193" s="7" t="str">
        <f t="shared" si="51"/>
        <v>Annual</v>
      </c>
      <c r="D193" s="7">
        <f t="shared" si="51"/>
        <v>0</v>
      </c>
      <c r="E193" s="7">
        <f>E192</f>
        <v>0</v>
      </c>
      <c r="F193" s="14">
        <f>$P$87</f>
        <v>0.18606977230199898</v>
      </c>
      <c r="H193" s="9"/>
      <c r="I193" s="9"/>
      <c r="J193" s="9"/>
      <c r="K193" s="9"/>
      <c r="L193" s="9">
        <f ca="1">$F$87/$F$31</f>
        <v>0</v>
      </c>
      <c r="M193" s="9">
        <f ca="1">L193-T193</f>
        <v>0</v>
      </c>
      <c r="N193" s="9"/>
      <c r="O193" s="9"/>
      <c r="P193" s="9"/>
      <c r="Q193" s="9"/>
      <c r="R193" s="9"/>
      <c r="S193" s="9">
        <f ca="1">IF(OR($C193="Annual",$D193=$E193),IF(AND($D193=$E193,S$111=$B193+$D193),$L193,IF(AND(S$111&gt;$B193+$D193,S$111&lt;=$B193+$E193), $L193/($E193-$D193),0)), IF(OR(S$111=$B193+$D193,S$111=$B193+$E193),$L193/(($E193-$D193)*2),IF(AND(S$111&gt;$B193+$D193,S$111&lt;$B193+$E193),$L193/($E193-$D193),0)))</f>
        <v>0</v>
      </c>
      <c r="T193" s="9">
        <f>IF(OR($C193="Annual",$D193=$E193),IF(AND($D193=$E193,T$111=$B193+$D193),$L193,IF(AND(T$111&gt;$B193+$D193,T$111&lt;=$B193+$E193), $L193/($E193-$D193),0)), IF(OR(T$111=$B193+$D193,T$111=$B193+$E193),$L193/(($E193-$D193)*2),IF(AND(T$111&gt;$B193+$D193,T$111&lt;$B193+$E193),$L193/($E193-$D193),0)))</f>
        <v>0</v>
      </c>
      <c r="U193" s="9"/>
      <c r="V193" s="9"/>
      <c r="W193" s="9"/>
      <c r="X193" s="9"/>
      <c r="Y193" s="9"/>
      <c r="Z193" s="9">
        <f t="shared" si="50"/>
        <v>0</v>
      </c>
      <c r="AA193" s="9">
        <f t="shared" ca="1" si="50"/>
        <v>0</v>
      </c>
    </row>
    <row r="194" spans="1:27">
      <c r="A194" s="8" t="str">
        <f>A193</f>
        <v>Type 8</v>
      </c>
      <c r="B194" s="7">
        <f>B193+1</f>
        <v>2023</v>
      </c>
      <c r="C194" s="7" t="str">
        <f t="shared" si="51"/>
        <v>Annual</v>
      </c>
      <c r="D194" s="7">
        <f t="shared" si="51"/>
        <v>0</v>
      </c>
      <c r="E194" s="7">
        <f>E193</f>
        <v>0</v>
      </c>
      <c r="F194" s="14">
        <f>$Q$87</f>
        <v>0.18606977230199898</v>
      </c>
      <c r="H194" s="9"/>
      <c r="I194" s="9"/>
      <c r="J194" s="9"/>
      <c r="K194" s="9"/>
      <c r="L194" s="9"/>
      <c r="M194" s="9">
        <f ca="1">$G$87/$G$31</f>
        <v>0</v>
      </c>
      <c r="N194" s="9"/>
      <c r="O194" s="9"/>
      <c r="P194" s="9"/>
      <c r="Q194" s="9"/>
      <c r="R194" s="9"/>
      <c r="S194" s="9"/>
      <c r="T194" s="9">
        <f ca="1">IF(OR($C194="Annual",$D194=$E194),IF(AND($D194=$E194,T$111=$B194+$D194),$M194,IF(AND(T$111&gt;$B194+$D194,T$111&lt;=$B194+$E194), $M194/($E194-$D194),0)), IF(OR(T$111=$B194+$D194,T$111=$B194+$E194),$M194/(($E194-$D194)*2),IF(AND(T$111&gt;$B194+$D194,T$111&lt;$B194+$E194),$M194/($E194-$D194),0)))</f>
        <v>0</v>
      </c>
      <c r="U194" s="9"/>
      <c r="V194" s="9"/>
      <c r="W194" s="9"/>
      <c r="X194" s="9"/>
      <c r="Y194" s="9"/>
      <c r="Z194" s="9"/>
      <c r="AA194" s="9">
        <f t="shared" si="50"/>
        <v>0</v>
      </c>
    </row>
    <row r="195" spans="1:27">
      <c r="A195" s="8"/>
      <c r="B195" s="7"/>
      <c r="C195" s="7"/>
      <c r="D195" s="7"/>
      <c r="E195" s="7"/>
      <c r="F195" s="15"/>
      <c r="H195" s="9"/>
      <c r="I195" s="9"/>
      <c r="J195" s="9"/>
      <c r="K195" s="9"/>
      <c r="L195" s="9"/>
      <c r="M195" s="9"/>
      <c r="N195" s="9"/>
      <c r="O195" s="278"/>
      <c r="P195" s="10"/>
      <c r="Q195" s="10"/>
      <c r="R195" s="10"/>
      <c r="S195" s="10"/>
      <c r="T195" s="10"/>
      <c r="U195" s="9"/>
      <c r="V195" s="10"/>
      <c r="W195" s="10"/>
      <c r="X195" s="10"/>
      <c r="Y195" s="10"/>
      <c r="Z195" s="10"/>
      <c r="AA195" s="10"/>
    </row>
    <row r="196" spans="1:27">
      <c r="A196" s="8" t="str">
        <f>'Input 4 - Forecast'!A69</f>
        <v>Type 9</v>
      </c>
      <c r="B196" s="7">
        <f>B119</f>
        <v>2018</v>
      </c>
      <c r="C196" s="7" t="str">
        <f>$I88</f>
        <v>Annual</v>
      </c>
      <c r="D196" s="7">
        <f>$J88</f>
        <v>0</v>
      </c>
      <c r="E196" s="7">
        <f>$K88</f>
        <v>0</v>
      </c>
      <c r="F196" s="14">
        <f>$L$88</f>
        <v>0</v>
      </c>
      <c r="H196" s="9">
        <f>$B$88/$B$31</f>
        <v>0</v>
      </c>
      <c r="I196" s="9">
        <f>H196-P196</f>
        <v>0</v>
      </c>
      <c r="J196" s="9">
        <f>I196-Q196</f>
        <v>0</v>
      </c>
      <c r="K196" s="9">
        <f>J196-R196</f>
        <v>0</v>
      </c>
      <c r="L196" s="9">
        <f>K196-S196</f>
        <v>0</v>
      </c>
      <c r="M196" s="9">
        <f>L196-T196</f>
        <v>0</v>
      </c>
      <c r="N196" s="9"/>
      <c r="O196" s="9">
        <f t="shared" ref="O196:T196" si="52">IF(OR($C196="Annual",$D196=$E196),IF(AND($D196=$E196,O$111=$B196+$D196),$H196,IF(AND(O$111&gt;$B196+$D196,O$111&lt;=$B196+$E196), $H196/($E196-$D196),0)), IF(OR(O$111=$B196+$D196,O$111=$B196+$E196),$H196/(($E196-$D196)*2),IF(AND(O$111&gt;$B196+$D196,O$111&lt;$B196+$E196),$H196/($E196-$D196),0)))</f>
        <v>0</v>
      </c>
      <c r="P196" s="9">
        <f t="shared" si="52"/>
        <v>0</v>
      </c>
      <c r="Q196" s="9">
        <f t="shared" si="52"/>
        <v>0</v>
      </c>
      <c r="R196" s="9">
        <f t="shared" si="52"/>
        <v>0</v>
      </c>
      <c r="S196" s="9">
        <f t="shared" si="52"/>
        <v>0</v>
      </c>
      <c r="T196" s="9">
        <f t="shared" si="52"/>
        <v>0</v>
      </c>
      <c r="U196" s="9"/>
      <c r="V196" s="9">
        <f>IF($C196="annual",IF(V$111=$B196,0,G196*$F196),IF(V$111-$B196=0,0,IF((V$111-$B196)&lt;$E196,AVERAGE(G196,H196)*$F196,IF((V$111-$B196)=$E196,G196*$F196/2,0))))</f>
        <v>0</v>
      </c>
      <c r="W196" s="9">
        <f t="shared" ref="W196:AA201" si="53">IF($C196="annual",IF(W$111=$B196,0,H196*$F196),IF(W$111-$B196=0,0,IF((W$111-$B196)&lt;$E196,AVERAGE(H196,I196)*$F196,IF((W$111-$B196)=$E196,H196*$F196/2,0))))</f>
        <v>0</v>
      </c>
      <c r="X196" s="9">
        <f t="shared" si="53"/>
        <v>0</v>
      </c>
      <c r="Y196" s="9">
        <f t="shared" si="53"/>
        <v>0</v>
      </c>
      <c r="Z196" s="9">
        <f t="shared" si="53"/>
        <v>0</v>
      </c>
      <c r="AA196" s="9">
        <f t="shared" si="53"/>
        <v>0</v>
      </c>
    </row>
    <row r="197" spans="1:27">
      <c r="A197" s="8" t="str">
        <f>A196</f>
        <v>Type 9</v>
      </c>
      <c r="B197" s="7">
        <f>B196+1</f>
        <v>2019</v>
      </c>
      <c r="C197" s="7" t="str">
        <f t="shared" ref="C197:D201" si="54">C196</f>
        <v>Annual</v>
      </c>
      <c r="D197" s="7">
        <f t="shared" si="54"/>
        <v>0</v>
      </c>
      <c r="E197" s="7">
        <f>E196</f>
        <v>0</v>
      </c>
      <c r="F197" s="14">
        <f>$M$88</f>
        <v>0.18606977230199898</v>
      </c>
      <c r="H197" s="9"/>
      <c r="I197" s="9">
        <f ca="1">$C$88/$C$31</f>
        <v>0</v>
      </c>
      <c r="J197" s="9">
        <f ca="1">I197-Q197</f>
        <v>0</v>
      </c>
      <c r="K197" s="9">
        <f ca="1">J197-R197</f>
        <v>0</v>
      </c>
      <c r="L197" s="9">
        <f ca="1">K197-S197</f>
        <v>0</v>
      </c>
      <c r="M197" s="9">
        <f ca="1">L197-T197</f>
        <v>0</v>
      </c>
      <c r="N197" s="9"/>
      <c r="O197" s="9"/>
      <c r="P197" s="9">
        <f ca="1">IF(OR($C197="Annual",$D197=$E197),IF(AND($D197=$E197,P$111=$B197+$D197),$I197,IF(AND(P$111&gt;$B197+$D197,P$111&lt;=$B197+$E197), $I197/($E197-$D197),0)), IF(OR(P$111=$B197+$D197,P$111=$B197+$E197),$I197/(($E197-$D197)*2),IF(AND(P$111&gt;$B197+$D197,P$111&lt;$B197+$E197),$I197/($E197-$D197),0)))</f>
        <v>0</v>
      </c>
      <c r="Q197" s="9">
        <f>IF(OR($C197="Annual",$D197=$E197),IF(AND($D197=$E197,Q$111=$B197+$D197),$I197,IF(AND(Q$111&gt;$B197+$D197,Q$111&lt;=$B197+$E197), $I197/($E197-$D197),0)), IF(OR(Q$111=$B197+$D197,Q$111=$B197+$E197),$I197/(($E197-$D197)*2),IF(AND(Q$111&gt;$B197+$D197,Q$111&lt;$B197+$E197),$I197/($E197-$D197),0)))</f>
        <v>0</v>
      </c>
      <c r="R197" s="9">
        <f>IF(OR($C197="Annual",$D197=$E197),IF(AND($D197=$E197,R$111=$B197+$D197),$I197,IF(AND(R$111&gt;$B197+$D197,R$111&lt;=$B197+$E197), $I197/($E197-$D197),0)), IF(OR(R$111=$B197+$D197,R$111=$B197+$E197),$I197/(($E197-$D197)*2),IF(AND(R$111&gt;$B197+$D197,R$111&lt;$B197+$E197),$I197/($E197-$D197),0)))</f>
        <v>0</v>
      </c>
      <c r="S197" s="9">
        <f>IF(OR($C197="Annual",$D197=$E197),IF(AND($D197=$E197,S$111=$B197+$D197),$I197,IF(AND(S$111&gt;$B197+$D197,S$111&lt;=$B197+$E197), $I197/($E197-$D197),0)), IF(OR(S$111=$B197+$D197,S$111=$B197+$E197),$I197/(($E197-$D197)*2),IF(AND(S$111&gt;$B197+$D197,S$111&lt;$B197+$E197),$I197/($E197-$D197),0)))</f>
        <v>0</v>
      </c>
      <c r="T197" s="9">
        <f>IF(OR($C197="Annual",$D197=$E197),IF(AND($D197=$E197,T$111=$B197+$D197),$I197,IF(AND(T$111&gt;$B197+$D197,T$111&lt;=$B197+$E197), $I197/($E197-$D197),0)), IF(OR(T$111=$B197+$D197,T$111=$B197+$E197),$I197/(($E197-$D197)*2),IF(AND(T$111&gt;$B197+$D197,T$111&lt;$B197+$E197),$I197/($E197-$D197),0)))</f>
        <v>0</v>
      </c>
      <c r="U197" s="9"/>
      <c r="V197" s="9"/>
      <c r="W197" s="9">
        <f t="shared" si="53"/>
        <v>0</v>
      </c>
      <c r="X197" s="9">
        <f t="shared" ca="1" si="53"/>
        <v>0</v>
      </c>
      <c r="Y197" s="9">
        <f t="shared" ca="1" si="53"/>
        <v>0</v>
      </c>
      <c r="Z197" s="9">
        <f t="shared" ca="1" si="53"/>
        <v>0</v>
      </c>
      <c r="AA197" s="9">
        <f t="shared" ca="1" si="53"/>
        <v>0</v>
      </c>
    </row>
    <row r="198" spans="1:27">
      <c r="A198" s="8" t="str">
        <f>A197</f>
        <v>Type 9</v>
      </c>
      <c r="B198" s="7">
        <f>B197+1</f>
        <v>2020</v>
      </c>
      <c r="C198" s="7" t="str">
        <f t="shared" si="54"/>
        <v>Annual</v>
      </c>
      <c r="D198" s="7">
        <f t="shared" si="54"/>
        <v>0</v>
      </c>
      <c r="E198" s="7">
        <f>E197</f>
        <v>0</v>
      </c>
      <c r="F198" s="14">
        <f>$N$88</f>
        <v>0.18606977230199898</v>
      </c>
      <c r="H198" s="9"/>
      <c r="I198" s="9"/>
      <c r="J198" s="9">
        <f ca="1">$D$88/$D$31</f>
        <v>0</v>
      </c>
      <c r="K198" s="9">
        <f ca="1">J198-R198</f>
        <v>0</v>
      </c>
      <c r="L198" s="9">
        <f ca="1">K198-S198</f>
        <v>0</v>
      </c>
      <c r="M198" s="9">
        <f ca="1">L198-T198</f>
        <v>0</v>
      </c>
      <c r="N198" s="9"/>
      <c r="O198" s="9"/>
      <c r="P198" s="9"/>
      <c r="Q198" s="9">
        <f ca="1">IF(OR($C198="Annual",$D198=$E198),IF(AND($D198=$E198,Q$111=$B198+$D198),$J198,IF(AND(Q$111&gt;$B198+$D198,Q$111&lt;=$B198+$E198), $J198/($E198-$D198),0)), IF(OR(Q$111=$B198+$D198,Q$111=$B198+$E198),$J198/(($E198-$D198)*2),IF(AND(Q$111&gt;$B198+$D198,Q$111&lt;$B198+$E198),$J198/($E198-$D198),0)))</f>
        <v>0</v>
      </c>
      <c r="R198" s="9">
        <f>IF(OR($C198="Annual",$D198=$E198),IF(AND($D198=$E198,R$111=$B198+$D198),$J198,IF(AND(R$111&gt;$B198+$D198,R$111&lt;=$B198+$E198), $J198/($E198-$D198),0)), IF(OR(R$111=$B198+$D198,R$111=$B198+$E198),$J198/(($E198-$D198)*2),IF(AND(R$111&gt;$B198+$D198,R$111&lt;$B198+$E198),$J198/($E198-$D198),0)))</f>
        <v>0</v>
      </c>
      <c r="S198" s="9">
        <f>IF(OR($C198="Annual",$D198=$E198),IF(AND($D198=$E198,S$111=$B198+$D198),$J198,IF(AND(S$111&gt;$B198+$D198,S$111&lt;=$B198+$E198), $J198/($E198-$D198),0)), IF(OR(S$111=$B198+$D198,S$111=$B198+$E198),$J198/(($E198-$D198)*2),IF(AND(S$111&gt;$B198+$D198,S$111&lt;$B198+$E198),$J198/($E198-$D198),0)))</f>
        <v>0</v>
      </c>
      <c r="T198" s="9">
        <f>IF(OR($C198="Annual",$D198=$E198),IF(AND($D198=$E198,T$111=$B198+$D198),$J198,IF(AND(T$111&gt;$B198+$D198,T$111&lt;=$B198+$E198), $J198/($E198-$D198),0)), IF(OR(T$111=$B198+$D198,T$111=$B198+$E198),$J198/(($E198-$D198)*2),IF(AND(T$111&gt;$B198+$D198,T$111&lt;$B198+$E198),$J198/($E198-$D198),0)))</f>
        <v>0</v>
      </c>
      <c r="U198" s="9"/>
      <c r="V198" s="9"/>
      <c r="W198" s="9"/>
      <c r="X198" s="9">
        <f t="shared" si="53"/>
        <v>0</v>
      </c>
      <c r="Y198" s="9">
        <f t="shared" ca="1" si="53"/>
        <v>0</v>
      </c>
      <c r="Z198" s="9">
        <f t="shared" ca="1" si="53"/>
        <v>0</v>
      </c>
      <c r="AA198" s="9">
        <f t="shared" ca="1" si="53"/>
        <v>0</v>
      </c>
    </row>
    <row r="199" spans="1:27">
      <c r="A199" s="8" t="str">
        <f>A198</f>
        <v>Type 9</v>
      </c>
      <c r="B199" s="7">
        <f>B198+1</f>
        <v>2021</v>
      </c>
      <c r="C199" s="7" t="str">
        <f t="shared" si="54"/>
        <v>Annual</v>
      </c>
      <c r="D199" s="7">
        <f t="shared" si="54"/>
        <v>0</v>
      </c>
      <c r="E199" s="7">
        <f>E198</f>
        <v>0</v>
      </c>
      <c r="F199" s="14">
        <f>$O$88</f>
        <v>0.18606977230199898</v>
      </c>
      <c r="H199" s="9"/>
      <c r="I199" s="9"/>
      <c r="J199" s="9"/>
      <c r="K199" s="9">
        <f ca="1">$E$88/$E$31</f>
        <v>0</v>
      </c>
      <c r="L199" s="9">
        <f ca="1">K199-S199</f>
        <v>0</v>
      </c>
      <c r="M199" s="9">
        <f ca="1">L199-T199</f>
        <v>0</v>
      </c>
      <c r="N199" s="9"/>
      <c r="O199" s="9"/>
      <c r="P199" s="9"/>
      <c r="Q199" s="9"/>
      <c r="R199" s="9">
        <f ca="1">IF(OR($C199="Annual",$D199=$E199),IF(AND($D199=$E199,R$111=$B199+$D199),$K199,IF(AND(R$111&gt;$B199+$D199,R$111&lt;=$B199+$E199), $K199/($E199-$D199),0)), IF(OR(R$111=$B199+$D199,R$111=$B199+$E199),$K199/(($E199-$D199)*2),IF(AND(R$111&gt;$B199+$D199,R$111&lt;$B199+$E199),$K199/($E199-$D199),0)))</f>
        <v>0</v>
      </c>
      <c r="S199" s="9">
        <f>IF(OR($C199="Annual",$D199=$E199),IF(AND($D199=$E199,S$111=$B199+$D199),$K199,IF(AND(S$111&gt;$B199+$D199,S$111&lt;=$B199+$E199), $K199/($E199-$D199),0)), IF(OR(S$111=$B199+$D199,S$111=$B199+$E199),$K199/(($E199-$D199)*2),IF(AND(S$111&gt;$B199+$D199,S$111&lt;$B199+$E199),$K199/($E199-$D199),0)))</f>
        <v>0</v>
      </c>
      <c r="T199" s="9">
        <f>IF(OR($C199="Annual",$D199=$E199),IF(AND($D199=$E199,T$111=$B199+$D199),$K199,IF(AND(T$111&gt;$B199+$D199,T$111&lt;=$B199+$E199), $K199/($E199-$D199),0)), IF(OR(T$111=$B199+$D199,T$111=$B199+$E199),$K199/(($E199-$D199)*2),IF(AND(T$111&gt;$B199+$D199,T$111&lt;$B199+$E199),$K199/($E199-$D199),0)))</f>
        <v>0</v>
      </c>
      <c r="U199" s="9"/>
      <c r="V199" s="9"/>
      <c r="W199" s="9"/>
      <c r="X199" s="9"/>
      <c r="Y199" s="9">
        <f t="shared" si="53"/>
        <v>0</v>
      </c>
      <c r="Z199" s="9">
        <f t="shared" ca="1" si="53"/>
        <v>0</v>
      </c>
      <c r="AA199" s="9">
        <f t="shared" ca="1" si="53"/>
        <v>0</v>
      </c>
    </row>
    <row r="200" spans="1:27">
      <c r="A200" s="8" t="str">
        <f>A199</f>
        <v>Type 9</v>
      </c>
      <c r="B200" s="7">
        <f>B199+1</f>
        <v>2022</v>
      </c>
      <c r="C200" s="7" t="str">
        <f t="shared" si="54"/>
        <v>Annual</v>
      </c>
      <c r="D200" s="7">
        <f t="shared" si="54"/>
        <v>0</v>
      </c>
      <c r="E200" s="7">
        <f>E199</f>
        <v>0</v>
      </c>
      <c r="F200" s="14">
        <f>$P$88</f>
        <v>0.18606977230199898</v>
      </c>
      <c r="H200" s="9"/>
      <c r="I200" s="9"/>
      <c r="J200" s="9"/>
      <c r="K200" s="9"/>
      <c r="L200" s="9">
        <f ca="1">$F$88/$F$31</f>
        <v>0</v>
      </c>
      <c r="M200" s="9">
        <f ca="1">L200-T200</f>
        <v>0</v>
      </c>
      <c r="N200" s="9"/>
      <c r="O200" s="9"/>
      <c r="P200" s="9"/>
      <c r="Q200" s="9"/>
      <c r="R200" s="9"/>
      <c r="S200" s="9">
        <f ca="1">IF(OR($C200="Annual",$D200=$E200),IF(AND($D200=$E200,S$111=$B200+$D200),$L200,IF(AND(S$111&gt;$B200+$D200,S$111&lt;=$B200+$E200), $L200/($E200-$D200),0)), IF(OR(S$111=$B200+$D200,S$111=$B200+$E200),$L200/(($E200-$D200)*2),IF(AND(S$111&gt;$B200+$D200,S$111&lt;$B200+$E200),$L200/($E200-$D200),0)))</f>
        <v>0</v>
      </c>
      <c r="T200" s="9">
        <f>IF(OR($C200="Annual",$D200=$E200),IF(AND($D200=$E200,T$111=$B200+$D200),$L200,IF(AND(T$111&gt;$B200+$D200,T$111&lt;=$B200+$E200), $L200/($E200-$D200),0)), IF(OR(T$111=$B200+$D200,T$111=$B200+$E200),$L200/(($E200-$D200)*2),IF(AND(T$111&gt;$B200+$D200,T$111&lt;$B200+$E200),$L200/($E200-$D200),0)))</f>
        <v>0</v>
      </c>
      <c r="U200" s="9"/>
      <c r="V200" s="9"/>
      <c r="W200" s="9"/>
      <c r="X200" s="9"/>
      <c r="Y200" s="9"/>
      <c r="Z200" s="9">
        <f t="shared" si="53"/>
        <v>0</v>
      </c>
      <c r="AA200" s="9">
        <f t="shared" ca="1" si="53"/>
        <v>0</v>
      </c>
    </row>
    <row r="201" spans="1:27">
      <c r="A201" s="8" t="str">
        <f>A200</f>
        <v>Type 9</v>
      </c>
      <c r="B201" s="7">
        <f>B200+1</f>
        <v>2023</v>
      </c>
      <c r="C201" s="7" t="str">
        <f t="shared" si="54"/>
        <v>Annual</v>
      </c>
      <c r="D201" s="7">
        <f t="shared" si="54"/>
        <v>0</v>
      </c>
      <c r="E201" s="7">
        <f>E200</f>
        <v>0</v>
      </c>
      <c r="F201" s="14">
        <f>$Q$88</f>
        <v>0.18606977230199898</v>
      </c>
      <c r="H201" s="9"/>
      <c r="I201" s="9"/>
      <c r="J201" s="9"/>
      <c r="K201" s="9"/>
      <c r="L201" s="9"/>
      <c r="M201" s="9">
        <f ca="1">$G$88/$G$31</f>
        <v>0</v>
      </c>
      <c r="N201" s="9"/>
      <c r="O201" s="9"/>
      <c r="P201" s="9"/>
      <c r="Q201" s="9"/>
      <c r="R201" s="9"/>
      <c r="S201" s="9"/>
      <c r="T201" s="9">
        <f ca="1">IF(OR($C201="Annual",$D201=$E201),IF(AND($D201=$E201,T$111=$B201+$D201),$M201,IF(AND(T$111&gt;$B201+$D201,T$111&lt;=$B201+$E201), $M201/($E201-$D201),0)), IF(OR(T$111=$B201+$D201,T$111=$B201+$E201),$M201/(($E201-$D201)*2),IF(AND(T$111&gt;$B201+$D201,T$111&lt;$B201+$E201),$M201/($E201-$D201),0)))</f>
        <v>0</v>
      </c>
      <c r="U201" s="9"/>
      <c r="V201" s="9"/>
      <c r="W201" s="9"/>
      <c r="X201" s="9"/>
      <c r="Y201" s="9"/>
      <c r="Z201" s="9"/>
      <c r="AA201" s="9">
        <f t="shared" si="53"/>
        <v>0</v>
      </c>
    </row>
    <row r="202" spans="1:27">
      <c r="A202" s="8"/>
      <c r="B202" s="7"/>
      <c r="C202" s="7"/>
      <c r="D202" s="7"/>
      <c r="E202" s="7"/>
      <c r="F202" s="15"/>
      <c r="H202" s="9"/>
      <c r="I202" s="9"/>
      <c r="J202" s="9"/>
      <c r="K202" s="9"/>
      <c r="L202" s="9"/>
      <c r="M202" s="9"/>
      <c r="N202" s="9"/>
      <c r="O202" s="278"/>
      <c r="P202" s="10"/>
      <c r="Q202" s="10"/>
      <c r="R202" s="10"/>
      <c r="S202" s="10"/>
      <c r="T202" s="10"/>
      <c r="U202" s="9"/>
      <c r="V202" s="10"/>
      <c r="W202" s="10"/>
      <c r="X202" s="10"/>
      <c r="Y202" s="10"/>
      <c r="Z202" s="10"/>
      <c r="AA202" s="10"/>
    </row>
    <row r="203" spans="1:27" s="1150" customFormat="1">
      <c r="A203" s="1347" t="str">
        <f>'Input 4 - Forecast'!A70</f>
        <v>ZERO-COUPON BOND</v>
      </c>
      <c r="B203" s="1348">
        <f>B119</f>
        <v>2018</v>
      </c>
      <c r="C203" s="1348"/>
      <c r="D203" s="1348">
        <f>$J89</f>
        <v>0</v>
      </c>
      <c r="E203" s="1348">
        <f>$K89</f>
        <v>0</v>
      </c>
      <c r="F203" s="1349">
        <f>$L$89</f>
        <v>0</v>
      </c>
      <c r="H203" s="1350">
        <f>$B$89/$B$31</f>
        <v>0</v>
      </c>
      <c r="I203" s="1350">
        <f>H203-P203</f>
        <v>0</v>
      </c>
      <c r="J203" s="1350">
        <f>I203-Q203</f>
        <v>0</v>
      </c>
      <c r="K203" s="1350">
        <f>J203-R203</f>
        <v>0</v>
      </c>
      <c r="L203" s="1350">
        <f>K203-S203</f>
        <v>0</v>
      </c>
      <c r="M203" s="1350">
        <f>L203-T203</f>
        <v>0</v>
      </c>
      <c r="N203" s="1350"/>
      <c r="O203" s="1350">
        <f t="shared" ref="O203:T203" si="55">IF($D203=$E203,IF(O$111=$B203+$E203,$H203,0),0)</f>
        <v>0</v>
      </c>
      <c r="P203" s="1350">
        <f t="shared" si="55"/>
        <v>0</v>
      </c>
      <c r="Q203" s="1350">
        <f t="shared" si="55"/>
        <v>0</v>
      </c>
      <c r="R203" s="1350">
        <f t="shared" si="55"/>
        <v>0</v>
      </c>
      <c r="S203" s="1350">
        <f t="shared" si="55"/>
        <v>0</v>
      </c>
      <c r="T203" s="1350">
        <f t="shared" si="55"/>
        <v>0</v>
      </c>
      <c r="U203" s="1350"/>
      <c r="V203" s="1350">
        <f t="shared" ref="V203:AA203" si="56">IF(V$111-$B203=$D203,$H203*(((1+$F203)^$D203)-1),0)</f>
        <v>0</v>
      </c>
      <c r="W203" s="1350">
        <f t="shared" si="56"/>
        <v>0</v>
      </c>
      <c r="X203" s="1350">
        <f t="shared" si="56"/>
        <v>0</v>
      </c>
      <c r="Y203" s="1350">
        <f t="shared" si="56"/>
        <v>0</v>
      </c>
      <c r="Z203" s="1350">
        <f t="shared" si="56"/>
        <v>0</v>
      </c>
      <c r="AA203" s="1350">
        <f t="shared" si="56"/>
        <v>0</v>
      </c>
    </row>
    <row r="204" spans="1:27" s="1150" customFormat="1">
      <c r="A204" s="1347" t="str">
        <f>A203</f>
        <v>ZERO-COUPON BOND</v>
      </c>
      <c r="B204" s="1348">
        <f>B203+1</f>
        <v>2019</v>
      </c>
      <c r="C204" s="1348"/>
      <c r="D204" s="1348">
        <f t="shared" ref="D204:E208" si="57">D203</f>
        <v>0</v>
      </c>
      <c r="E204" s="1348">
        <f t="shared" si="57"/>
        <v>0</v>
      </c>
      <c r="F204" s="1349">
        <f>$M$89</f>
        <v>0.18606977230199898</v>
      </c>
      <c r="H204" s="1350"/>
      <c r="I204" s="1350">
        <f ca="1">$C$89/$C$31</f>
        <v>0</v>
      </c>
      <c r="J204" s="1350">
        <f ca="1">I204-Q204</f>
        <v>0</v>
      </c>
      <c r="K204" s="1350">
        <f ca="1">J204-R204</f>
        <v>0</v>
      </c>
      <c r="L204" s="1350">
        <f ca="1">K204-S204</f>
        <v>0</v>
      </c>
      <c r="M204" s="1350">
        <f ca="1">L204-T204</f>
        <v>0</v>
      </c>
      <c r="N204" s="1350"/>
      <c r="O204" s="1351"/>
      <c r="P204" s="1350">
        <f ca="1">IF($D204=$E204,IF(P$111=$B204+$E204,$I204,0),0)</f>
        <v>0</v>
      </c>
      <c r="Q204" s="1350">
        <f>IF($D204=$E204,IF(Q$111=$B204+$E204,$I204,0),0)</f>
        <v>0</v>
      </c>
      <c r="R204" s="1350">
        <f>IF($D204=$E204,IF(R$111=$B204+$E204,$I204,0),0)</f>
        <v>0</v>
      </c>
      <c r="S204" s="1350">
        <f>IF($D204=$E204,IF(S$111=$B204+$E204,$I204,0),0)</f>
        <v>0</v>
      </c>
      <c r="T204" s="1350">
        <f>IF($D204=$E204,IF(T$111=$B204+$E204,$I204,0),0)</f>
        <v>0</v>
      </c>
      <c r="U204" s="1350"/>
      <c r="V204" s="1350"/>
      <c r="W204" s="1350">
        <f ca="1">IF(W$111-$B204=$D204,$I204*(((1+$F204)^$D204)-1),0)</f>
        <v>0</v>
      </c>
      <c r="X204" s="1350">
        <f>IF(X$111-$B204=$D204,$I204*(((1+$F204)^$D204)-1),0)</f>
        <v>0</v>
      </c>
      <c r="Y204" s="1350">
        <f>IF(Y$111-$B204=$D204,$I204*(((1+$F204)^$D204)-1),0)</f>
        <v>0</v>
      </c>
      <c r="Z204" s="1350">
        <f>IF(Z$111-$B204=$D204,$I204*(((1+$F204)^$D204)-1),0)</f>
        <v>0</v>
      </c>
      <c r="AA204" s="1350">
        <f>IF(AA$111-$B204=$D204,$I204*(((1+$F204)^$D204)-1),0)</f>
        <v>0</v>
      </c>
    </row>
    <row r="205" spans="1:27" s="1150" customFormat="1">
      <c r="A205" s="1347" t="str">
        <f>A204</f>
        <v>ZERO-COUPON BOND</v>
      </c>
      <c r="B205" s="1348">
        <f>B204+1</f>
        <v>2020</v>
      </c>
      <c r="C205" s="1348"/>
      <c r="D205" s="1348">
        <f t="shared" si="57"/>
        <v>0</v>
      </c>
      <c r="E205" s="1348">
        <f t="shared" si="57"/>
        <v>0</v>
      </c>
      <c r="F205" s="1349">
        <f>$N$89</f>
        <v>0.18606977230199898</v>
      </c>
      <c r="H205" s="1350"/>
      <c r="I205" s="1350"/>
      <c r="J205" s="1350">
        <f ca="1">$D$89/$D$31</f>
        <v>0</v>
      </c>
      <c r="K205" s="1350">
        <f ca="1">J205-R205</f>
        <v>0</v>
      </c>
      <c r="L205" s="1350">
        <f ca="1">K205-S205</f>
        <v>0</v>
      </c>
      <c r="M205" s="1350">
        <f ca="1">L205-T205</f>
        <v>0</v>
      </c>
      <c r="N205" s="1350"/>
      <c r="O205" s="1351"/>
      <c r="P205" s="1350"/>
      <c r="Q205" s="1350">
        <f ca="1">IF($D205=$E205,IF(Q$111=$B205+$E205,$J205,0),0)</f>
        <v>0</v>
      </c>
      <c r="R205" s="1350">
        <f>IF($D205=$E205,IF(R$111=$B205+$E205,$J205,0),0)</f>
        <v>0</v>
      </c>
      <c r="S205" s="1350">
        <f>IF($D205=$E205,IF(S$111=$B205+$E205,$J205,0),0)</f>
        <v>0</v>
      </c>
      <c r="T205" s="1350">
        <f>IF($D205=$E205,IF(T$111=$B205+$E205,$J205,0),0)</f>
        <v>0</v>
      </c>
      <c r="U205" s="1350"/>
      <c r="V205" s="1350"/>
      <c r="W205" s="1350"/>
      <c r="X205" s="1350">
        <f ca="1">IF(X$111-$B205=$D205,$J205*(((1+$F205)^$D205)-1),0)</f>
        <v>0</v>
      </c>
      <c r="Y205" s="1350">
        <f>IF(Y$111-$B205=$D205,$J205*(((1+$F205)^$D205)-1),0)</f>
        <v>0</v>
      </c>
      <c r="Z205" s="1350">
        <f>IF(Z$111-$B205=$D205,$J205*(((1+$F205)^$D205)-1),0)</f>
        <v>0</v>
      </c>
      <c r="AA205" s="1350">
        <f>IF(AA$111-$B205=$D205,$J205*(((1+$F205)^$D205)-1),0)</f>
        <v>0</v>
      </c>
    </row>
    <row r="206" spans="1:27" s="1150" customFormat="1">
      <c r="A206" s="1347" t="str">
        <f>A205</f>
        <v>ZERO-COUPON BOND</v>
      </c>
      <c r="B206" s="1348">
        <f>B205+1</f>
        <v>2021</v>
      </c>
      <c r="C206" s="1348"/>
      <c r="D206" s="1348">
        <f t="shared" si="57"/>
        <v>0</v>
      </c>
      <c r="E206" s="1348">
        <f t="shared" si="57"/>
        <v>0</v>
      </c>
      <c r="F206" s="1349">
        <f>$O$89</f>
        <v>0.18606977230199898</v>
      </c>
      <c r="H206" s="1350"/>
      <c r="I206" s="1350"/>
      <c r="J206" s="1350"/>
      <c r="K206" s="1350">
        <f ca="1">$E$89/$E$31</f>
        <v>0</v>
      </c>
      <c r="L206" s="1350">
        <f ca="1">K206-S206</f>
        <v>0</v>
      </c>
      <c r="M206" s="1350">
        <f ca="1">L206-T206</f>
        <v>0</v>
      </c>
      <c r="N206" s="1350"/>
      <c r="O206" s="1351"/>
      <c r="P206" s="1350"/>
      <c r="Q206" s="1350"/>
      <c r="R206" s="1350">
        <f ca="1">IF($D206=$E206,IF(R$111=$B206+$E206,$K206,0),0)</f>
        <v>0</v>
      </c>
      <c r="S206" s="1350">
        <f>IF($D206=$E206,IF(S$111=$B206+$E206,$K206,0),0)</f>
        <v>0</v>
      </c>
      <c r="T206" s="1350">
        <f>IF($D206=$E206,IF(T$111=$B206+$E206,$K206,0),0)</f>
        <v>0</v>
      </c>
      <c r="U206" s="1350"/>
      <c r="V206" s="1350"/>
      <c r="W206" s="1350"/>
      <c r="X206" s="1350"/>
      <c r="Y206" s="1350">
        <f ca="1">IF(Y$111-$B206=$D206,$K206*(((1+$F206)^$D206)-1),0)</f>
        <v>0</v>
      </c>
      <c r="Z206" s="1350">
        <f>IF(Z$111-$B206=$D206,$K206*(((1+$F206)^$D206)-1),0)</f>
        <v>0</v>
      </c>
      <c r="AA206" s="1350">
        <f>IF(AA$111-$B206=$D206,$K206*(((1+$F206)^$D206)-1),0)</f>
        <v>0</v>
      </c>
    </row>
    <row r="207" spans="1:27" s="1150" customFormat="1">
      <c r="A207" s="1347" t="str">
        <f>A206</f>
        <v>ZERO-COUPON BOND</v>
      </c>
      <c r="B207" s="1348">
        <f>B206+1</f>
        <v>2022</v>
      </c>
      <c r="C207" s="1348"/>
      <c r="D207" s="1348">
        <f t="shared" si="57"/>
        <v>0</v>
      </c>
      <c r="E207" s="1348">
        <f t="shared" si="57"/>
        <v>0</v>
      </c>
      <c r="F207" s="1349">
        <f>$P$89</f>
        <v>0.18606977230199898</v>
      </c>
      <c r="H207" s="1350"/>
      <c r="I207" s="1350"/>
      <c r="J207" s="1350"/>
      <c r="K207" s="1350"/>
      <c r="L207" s="1350">
        <f ca="1">$F$89/$F$31</f>
        <v>0</v>
      </c>
      <c r="M207" s="1350">
        <f ca="1">L207-T207</f>
        <v>0</v>
      </c>
      <c r="N207" s="1350"/>
      <c r="O207" s="1351"/>
      <c r="P207" s="1350"/>
      <c r="Q207" s="1350"/>
      <c r="R207" s="1350"/>
      <c r="S207" s="1350">
        <f ca="1">IF($D207=$E207,IF(S$111=$B207+$E207,$L207,0),0)</f>
        <v>0</v>
      </c>
      <c r="T207" s="1350">
        <f>IF($D207=$E207,IF(T$111=$B207+$E207,$L207,0),0)</f>
        <v>0</v>
      </c>
      <c r="U207" s="1350"/>
      <c r="V207" s="1350"/>
      <c r="W207" s="1350"/>
      <c r="X207" s="1350"/>
      <c r="Y207" s="1350"/>
      <c r="Z207" s="1350">
        <f ca="1">IF(Z$111-$B207=$D207,$L207*(((1+$F207)^$D207)-1),0)</f>
        <v>0</v>
      </c>
      <c r="AA207" s="1350">
        <f>IF(AA$111-$B207=$D207,$L207*(((1+$F207)^$D207)-1),0)</f>
        <v>0</v>
      </c>
    </row>
    <row r="208" spans="1:27" s="1150" customFormat="1">
      <c r="A208" s="1347" t="str">
        <f>A207</f>
        <v>ZERO-COUPON BOND</v>
      </c>
      <c r="B208" s="1348">
        <f>B207+1</f>
        <v>2023</v>
      </c>
      <c r="C208" s="1348"/>
      <c r="D208" s="1348">
        <f t="shared" si="57"/>
        <v>0</v>
      </c>
      <c r="E208" s="1348">
        <f t="shared" si="57"/>
        <v>0</v>
      </c>
      <c r="F208" s="1349">
        <f>$Q$89</f>
        <v>0.18606977230199898</v>
      </c>
      <c r="H208" s="1350"/>
      <c r="I208" s="1350"/>
      <c r="J208" s="1350"/>
      <c r="K208" s="1350"/>
      <c r="L208" s="1350"/>
      <c r="M208" s="1350">
        <f ca="1">$G$89/$G$31</f>
        <v>0</v>
      </c>
      <c r="N208" s="1350"/>
      <c r="O208" s="1351"/>
      <c r="P208" s="1350"/>
      <c r="Q208" s="1350"/>
      <c r="R208" s="1350"/>
      <c r="S208" s="1350"/>
      <c r="T208" s="1350">
        <f ca="1">IF($D208=$E208,IF(T$111=$B208+$E208,$M208,0),0)</f>
        <v>0</v>
      </c>
      <c r="U208" s="1350"/>
      <c r="V208" s="1350"/>
      <c r="W208" s="1350"/>
      <c r="X208" s="1350"/>
      <c r="Y208" s="1350"/>
      <c r="Z208" s="1350"/>
      <c r="AA208" s="1350">
        <f ca="1">IF(AA$111-$B208=$D208,$M208*(((1+$F208)^$D208)-1),0)</f>
        <v>0</v>
      </c>
    </row>
    <row r="209" spans="1:27">
      <c r="A209" s="17"/>
      <c r="B209" s="7"/>
      <c r="D209" s="7"/>
      <c r="E209" s="7"/>
      <c r="F209" s="7"/>
    </row>
    <row r="210" spans="1:27">
      <c r="A210" s="20" t="str">
        <f>'Input 4 - Forecast'!A71</f>
        <v>New Issuance of External Debt (new debt) 1/</v>
      </c>
    </row>
    <row r="211" spans="1:27" customFormat="1" ht="15.75" thickBot="1">
      <c r="A211" s="21" t="str">
        <f>'Input 4 - Forecast'!A72</f>
        <v>Short-term debt 2/</v>
      </c>
      <c r="B211" s="18"/>
      <c r="C211" s="6"/>
      <c r="D211" s="13"/>
      <c r="E211" s="13"/>
      <c r="F211" s="13"/>
      <c r="G211" s="13"/>
      <c r="H211" s="13"/>
      <c r="I211" s="13"/>
      <c r="J211" s="17"/>
      <c r="K211" s="19"/>
      <c r="L211" s="19"/>
      <c r="M211" s="19"/>
      <c r="N211" s="19"/>
      <c r="O211" s="19"/>
      <c r="P211" s="19"/>
      <c r="Q211" s="19"/>
      <c r="R211" s="19"/>
    </row>
    <row r="212" spans="1:27" customFormat="1" ht="15.75" thickBot="1">
      <c r="A212" s="22" t="str">
        <f>'Input 4 - Forecast'!A73</f>
        <v>Denominated in local currency</v>
      </c>
      <c r="B212" s="1999" t="s">
        <v>51</v>
      </c>
      <c r="C212" s="2000"/>
      <c r="D212" s="2000"/>
      <c r="E212" s="2000"/>
      <c r="F212" s="2000"/>
      <c r="G212" s="2000"/>
      <c r="H212" s="2000"/>
      <c r="I212" s="2000"/>
      <c r="J212" s="2000"/>
      <c r="K212" s="2000"/>
      <c r="L212" s="2000"/>
      <c r="M212" s="2000"/>
      <c r="N212" s="2000"/>
      <c r="O212" s="2000"/>
      <c r="P212" s="2000"/>
      <c r="Q212" s="2000"/>
      <c r="R212" s="2000"/>
      <c r="S212" s="2000"/>
      <c r="T212" s="2000"/>
      <c r="U212" s="2000"/>
      <c r="V212" s="2000"/>
      <c r="W212" s="2000"/>
      <c r="X212" s="2000"/>
      <c r="Y212" s="2000"/>
      <c r="Z212" s="2000"/>
      <c r="AA212" s="2001"/>
    </row>
    <row r="213" spans="1:27">
      <c r="F213" s="15"/>
      <c r="H213" s="10"/>
      <c r="I213" s="10"/>
      <c r="J213" s="10"/>
      <c r="K213" s="10"/>
      <c r="L213" s="10"/>
      <c r="M213" s="10"/>
      <c r="N213" s="10"/>
      <c r="O213" s="10"/>
      <c r="P213" s="10"/>
      <c r="Q213" s="10"/>
      <c r="R213" s="10"/>
      <c r="S213" s="10"/>
      <c r="T213" s="10"/>
      <c r="U213" s="10"/>
      <c r="V213" s="10"/>
      <c r="W213" s="10"/>
      <c r="X213" s="10"/>
      <c r="Y213" s="10"/>
      <c r="Z213" s="10"/>
      <c r="AA213" s="10"/>
    </row>
    <row r="214" spans="1:27" customFormat="1">
      <c r="A214" s="23"/>
      <c r="B214" s="7">
        <f>B119</f>
        <v>2018</v>
      </c>
      <c r="C214" s="13" t="str">
        <f>$I92</f>
        <v>Semi-annual</v>
      </c>
      <c r="D214" s="13">
        <f>$J92</f>
        <v>0</v>
      </c>
      <c r="E214" s="13">
        <f>$K92</f>
        <v>0</v>
      </c>
      <c r="F214" s="14">
        <f>$L$92</f>
        <v>0</v>
      </c>
      <c r="G214" s="13"/>
      <c r="H214" s="9">
        <f>$B$92</f>
        <v>0</v>
      </c>
      <c r="I214" s="9">
        <f>H214-P214</f>
        <v>0</v>
      </c>
      <c r="J214" s="9">
        <f>I214-Q214</f>
        <v>0</v>
      </c>
      <c r="K214" s="9">
        <f>J214-R214</f>
        <v>0</v>
      </c>
      <c r="L214" s="9">
        <f>K214-S214</f>
        <v>0</v>
      </c>
      <c r="M214" s="9">
        <f>L214-T214</f>
        <v>0</v>
      </c>
      <c r="N214" s="9"/>
      <c r="O214" s="9">
        <v>0</v>
      </c>
      <c r="P214" s="9">
        <f>H214</f>
        <v>0</v>
      </c>
      <c r="Q214" s="9">
        <v>0</v>
      </c>
      <c r="R214" s="9">
        <v>0</v>
      </c>
      <c r="S214" s="9">
        <v>0</v>
      </c>
      <c r="T214" s="9">
        <v>0</v>
      </c>
      <c r="U214" s="9"/>
      <c r="V214" s="9">
        <f>IF($C214="annual",IF(V$111=$B214,0,G214*$F214),IF(V$111-$B214=0,0,IF((V$111-$B214)&lt;$E214,AVERAGE(G214,H214)*$F214,IF((V$111-$B214)=$E214,G214*$F214/2,0))))</f>
        <v>0</v>
      </c>
      <c r="W214" s="9">
        <f t="shared" ref="W214:AA219" si="58">IF($C214="annual",IF(W$111=$B214,0,H214*$F214),IF(W$111-$B214=0,0,IF((W$111-$B214)&lt;$E214,AVERAGE(H214,I214)*$F214,IF((W$111-$B214)=$E214,H214*$F214/2,0))))</f>
        <v>0</v>
      </c>
      <c r="X214" s="9">
        <f t="shared" si="58"/>
        <v>0</v>
      </c>
      <c r="Y214" s="9">
        <f t="shared" si="58"/>
        <v>0</v>
      </c>
      <c r="Z214" s="9">
        <f t="shared" si="58"/>
        <v>0</v>
      </c>
      <c r="AA214" s="9">
        <f t="shared" si="58"/>
        <v>0</v>
      </c>
    </row>
    <row r="215" spans="1:27" customFormat="1">
      <c r="A215" s="23"/>
      <c r="B215" s="7">
        <f>B214+1</f>
        <v>2019</v>
      </c>
      <c r="C215" s="13" t="str">
        <f>C214</f>
        <v>Semi-annual</v>
      </c>
      <c r="D215" s="13">
        <f>D214</f>
        <v>0</v>
      </c>
      <c r="E215" s="13">
        <f>E214</f>
        <v>0</v>
      </c>
      <c r="F215" s="14">
        <f>$M$92</f>
        <v>0.18606977230199898</v>
      </c>
      <c r="G215" s="13"/>
      <c r="H215" s="9"/>
      <c r="I215" s="9">
        <f ca="1">$C$92</f>
        <v>0</v>
      </c>
      <c r="J215" s="9">
        <f ca="1">I215-Q215</f>
        <v>0</v>
      </c>
      <c r="K215" s="9">
        <f ca="1">J215-R215</f>
        <v>0</v>
      </c>
      <c r="L215" s="9">
        <f ca="1">K215-S215</f>
        <v>0</v>
      </c>
      <c r="M215" s="9">
        <f ca="1">L215-T215</f>
        <v>0</v>
      </c>
      <c r="N215" s="9"/>
      <c r="O215" s="9"/>
      <c r="P215" s="9">
        <v>0</v>
      </c>
      <c r="Q215" s="9">
        <f ca="1">I215</f>
        <v>0</v>
      </c>
      <c r="R215" s="9">
        <v>0</v>
      </c>
      <c r="S215" s="9">
        <v>0</v>
      </c>
      <c r="T215" s="9">
        <v>0</v>
      </c>
      <c r="U215" s="9"/>
      <c r="V215" s="9"/>
      <c r="W215" s="9">
        <f t="shared" si="58"/>
        <v>0</v>
      </c>
      <c r="X215" s="9">
        <f t="shared" si="58"/>
        <v>0</v>
      </c>
      <c r="Y215" s="9">
        <f t="shared" si="58"/>
        <v>0</v>
      </c>
      <c r="Z215" s="9">
        <f t="shared" si="58"/>
        <v>0</v>
      </c>
      <c r="AA215" s="9">
        <f t="shared" si="58"/>
        <v>0</v>
      </c>
    </row>
    <row r="216" spans="1:27" customFormat="1">
      <c r="A216" s="23"/>
      <c r="B216" s="7">
        <f>B215+1</f>
        <v>2020</v>
      </c>
      <c r="C216" s="13" t="str">
        <f>C215</f>
        <v>Semi-annual</v>
      </c>
      <c r="D216" s="13">
        <f t="shared" ref="D216:E219" si="59">D215</f>
        <v>0</v>
      </c>
      <c r="E216" s="13">
        <f t="shared" si="59"/>
        <v>0</v>
      </c>
      <c r="F216" s="14">
        <f>$N$92</f>
        <v>0.18606977230199898</v>
      </c>
      <c r="G216" s="13"/>
      <c r="H216" s="9"/>
      <c r="I216" s="9"/>
      <c r="J216" s="9">
        <f ca="1">$D$92</f>
        <v>0</v>
      </c>
      <c r="K216" s="9">
        <f ca="1">J216-R216</f>
        <v>0</v>
      </c>
      <c r="L216" s="9">
        <f ca="1">K216-S216</f>
        <v>0</v>
      </c>
      <c r="M216" s="9">
        <f ca="1">L216-T216</f>
        <v>0</v>
      </c>
      <c r="N216" s="9"/>
      <c r="O216" s="9"/>
      <c r="P216" s="9"/>
      <c r="Q216" s="9">
        <v>0</v>
      </c>
      <c r="R216" s="9">
        <f ca="1">J216</f>
        <v>0</v>
      </c>
      <c r="S216" s="9">
        <v>0</v>
      </c>
      <c r="T216" s="9">
        <v>0</v>
      </c>
      <c r="U216" s="9"/>
      <c r="V216" s="9"/>
      <c r="W216" s="9"/>
      <c r="X216" s="9">
        <f t="shared" si="58"/>
        <v>0</v>
      </c>
      <c r="Y216" s="9">
        <f t="shared" si="58"/>
        <v>0</v>
      </c>
      <c r="Z216" s="9">
        <f t="shared" si="58"/>
        <v>0</v>
      </c>
      <c r="AA216" s="9">
        <f t="shared" si="58"/>
        <v>0</v>
      </c>
    </row>
    <row r="217" spans="1:27" customFormat="1">
      <c r="A217" s="23"/>
      <c r="B217" s="7">
        <f>B216+1</f>
        <v>2021</v>
      </c>
      <c r="C217" s="13" t="str">
        <f>C216</f>
        <v>Semi-annual</v>
      </c>
      <c r="D217" s="13">
        <f t="shared" si="59"/>
        <v>0</v>
      </c>
      <c r="E217" s="13">
        <f t="shared" si="59"/>
        <v>0</v>
      </c>
      <c r="F217" s="14">
        <f>$O$92</f>
        <v>0.18606977230199898</v>
      </c>
      <c r="G217" s="13"/>
      <c r="H217" s="9"/>
      <c r="I217" s="9"/>
      <c r="J217" s="9"/>
      <c r="K217" s="9">
        <f ca="1">$E$92</f>
        <v>0</v>
      </c>
      <c r="L217" s="9">
        <f ca="1">K217-S217</f>
        <v>0</v>
      </c>
      <c r="M217" s="9">
        <f ca="1">L217-T217</f>
        <v>0</v>
      </c>
      <c r="N217" s="9"/>
      <c r="O217" s="9"/>
      <c r="P217" s="9"/>
      <c r="Q217" s="9"/>
      <c r="R217" s="9">
        <v>0</v>
      </c>
      <c r="S217" s="9">
        <f ca="1">K217</f>
        <v>0</v>
      </c>
      <c r="T217" s="9">
        <v>0</v>
      </c>
      <c r="U217" s="9"/>
      <c r="V217" s="9"/>
      <c r="W217" s="9"/>
      <c r="X217" s="9"/>
      <c r="Y217" s="9">
        <f t="shared" si="58"/>
        <v>0</v>
      </c>
      <c r="Z217" s="9">
        <f t="shared" si="58"/>
        <v>0</v>
      </c>
      <c r="AA217" s="9">
        <f t="shared" si="58"/>
        <v>0</v>
      </c>
    </row>
    <row r="218" spans="1:27" customFormat="1">
      <c r="A218" s="23"/>
      <c r="B218" s="7">
        <f>B217+1</f>
        <v>2022</v>
      </c>
      <c r="C218" s="13" t="str">
        <f>C217</f>
        <v>Semi-annual</v>
      </c>
      <c r="D218" s="13">
        <f t="shared" si="59"/>
        <v>0</v>
      </c>
      <c r="E218" s="13">
        <f t="shared" si="59"/>
        <v>0</v>
      </c>
      <c r="F218" s="14">
        <f>$P$92</f>
        <v>0.18606977230199898</v>
      </c>
      <c r="G218" s="13"/>
      <c r="H218" s="9"/>
      <c r="I218" s="9"/>
      <c r="J218" s="9"/>
      <c r="K218" s="9"/>
      <c r="L218" s="9">
        <f ca="1">$F$92</f>
        <v>0</v>
      </c>
      <c r="M218" s="9">
        <f ca="1">L218-T218</f>
        <v>0</v>
      </c>
      <c r="N218" s="9"/>
      <c r="O218" s="9"/>
      <c r="P218" s="9"/>
      <c r="Q218" s="9"/>
      <c r="R218" s="9"/>
      <c r="S218" s="9">
        <v>0</v>
      </c>
      <c r="T218" s="9">
        <f ca="1">L218</f>
        <v>0</v>
      </c>
      <c r="U218" s="9"/>
      <c r="V218" s="9"/>
      <c r="W218" s="9"/>
      <c r="X218" s="9"/>
      <c r="Y218" s="9"/>
      <c r="Z218" s="9">
        <f t="shared" si="58"/>
        <v>0</v>
      </c>
      <c r="AA218" s="9">
        <f t="shared" si="58"/>
        <v>0</v>
      </c>
    </row>
    <row r="219" spans="1:27" customFormat="1">
      <c r="A219" s="23"/>
      <c r="B219" s="7">
        <f>B218+1</f>
        <v>2023</v>
      </c>
      <c r="C219" s="13" t="str">
        <f>C218</f>
        <v>Semi-annual</v>
      </c>
      <c r="D219" s="13">
        <f t="shared" si="59"/>
        <v>0</v>
      </c>
      <c r="E219" s="13">
        <f t="shared" si="59"/>
        <v>0</v>
      </c>
      <c r="F219" s="14">
        <f>$Q$92</f>
        <v>0.18606977230199898</v>
      </c>
      <c r="G219" s="13"/>
      <c r="H219" s="9"/>
      <c r="I219" s="9"/>
      <c r="J219" s="9"/>
      <c r="K219" s="9"/>
      <c r="L219" s="9"/>
      <c r="M219" s="9">
        <f ca="1">$G$92</f>
        <v>0</v>
      </c>
      <c r="N219" s="9"/>
      <c r="O219" s="9"/>
      <c r="P219" s="9"/>
      <c r="Q219" s="9"/>
      <c r="R219" s="9"/>
      <c r="S219" s="9"/>
      <c r="T219" s="9">
        <v>0</v>
      </c>
      <c r="U219" s="9"/>
      <c r="V219" s="9"/>
      <c r="W219" s="9"/>
      <c r="X219" s="9"/>
      <c r="Y219" s="9"/>
      <c r="Z219" s="9"/>
      <c r="AA219" s="9">
        <f t="shared" si="58"/>
        <v>0</v>
      </c>
    </row>
    <row r="220" spans="1:27" ht="15.75" thickBot="1">
      <c r="B220" s="7"/>
      <c r="F220" s="15"/>
      <c r="H220" s="10"/>
      <c r="I220" s="10"/>
      <c r="J220" s="10"/>
      <c r="K220" s="10"/>
      <c r="L220" s="10"/>
      <c r="M220" s="10"/>
      <c r="N220" s="10"/>
      <c r="O220" s="10"/>
      <c r="P220" s="10"/>
      <c r="Q220" s="10"/>
      <c r="R220" s="10"/>
      <c r="S220" s="10"/>
      <c r="T220" s="10"/>
      <c r="U220" s="10"/>
      <c r="V220" s="10"/>
      <c r="W220" s="10"/>
      <c r="X220" s="10"/>
      <c r="Y220" s="10"/>
      <c r="Z220" s="10"/>
      <c r="AA220" s="10"/>
    </row>
    <row r="221" spans="1:27" customFormat="1" ht="15.75" thickBot="1">
      <c r="A221" s="22" t="str">
        <f>'Input 4 - Forecast'!A82</f>
        <v>Denominated in foreign currency</v>
      </c>
      <c r="B221" s="1999" t="s">
        <v>52</v>
      </c>
      <c r="C221" s="2000"/>
      <c r="D221" s="2000"/>
      <c r="E221" s="2000"/>
      <c r="F221" s="2000"/>
      <c r="G221" s="2000"/>
      <c r="H221" s="2000"/>
      <c r="I221" s="2000"/>
      <c r="J221" s="2000"/>
      <c r="K221" s="2000"/>
      <c r="L221" s="2000"/>
      <c r="M221" s="2000"/>
      <c r="N221" s="2000"/>
      <c r="O221" s="2000"/>
      <c r="P221" s="2000"/>
      <c r="Q221" s="2000"/>
      <c r="R221" s="2000"/>
      <c r="S221" s="2000"/>
      <c r="T221" s="2000"/>
      <c r="U221" s="2000"/>
      <c r="V221" s="2000"/>
      <c r="W221" s="2000"/>
      <c r="X221" s="2000"/>
      <c r="Y221" s="2000"/>
      <c r="Z221" s="2000"/>
      <c r="AA221" s="2001"/>
    </row>
    <row r="222" spans="1:27">
      <c r="F222" s="15"/>
      <c r="H222" s="10"/>
      <c r="I222" s="10"/>
      <c r="J222" s="10"/>
      <c r="K222" s="10"/>
      <c r="L222" s="10"/>
      <c r="M222" s="10"/>
      <c r="N222" s="10"/>
      <c r="O222" s="10"/>
      <c r="P222" s="10"/>
      <c r="Q222" s="10"/>
      <c r="R222" s="10"/>
      <c r="S222" s="10"/>
      <c r="T222" s="10"/>
      <c r="U222" s="10"/>
      <c r="V222" s="10"/>
      <c r="W222" s="10"/>
      <c r="X222" s="10"/>
      <c r="Y222" s="10"/>
      <c r="Z222" s="10"/>
      <c r="AA222" s="10"/>
    </row>
    <row r="223" spans="1:27" customFormat="1">
      <c r="A223" s="23"/>
      <c r="B223" s="7">
        <f>B119</f>
        <v>2018</v>
      </c>
      <c r="C223" s="13" t="str">
        <f>$I93</f>
        <v>Semi-annual</v>
      </c>
      <c r="D223" s="13">
        <f>$J93</f>
        <v>0</v>
      </c>
      <c r="E223" s="13">
        <f>$K93</f>
        <v>0</v>
      </c>
      <c r="F223" s="14">
        <f>$L$93</f>
        <v>0</v>
      </c>
      <c r="G223" s="13"/>
      <c r="H223" s="9">
        <f>$B$93/$B$31</f>
        <v>0</v>
      </c>
      <c r="I223" s="9">
        <f>H223-P223</f>
        <v>0</v>
      </c>
      <c r="J223" s="9">
        <f>I223-Q223</f>
        <v>0</v>
      </c>
      <c r="K223" s="9">
        <f>J223-R223</f>
        <v>0</v>
      </c>
      <c r="L223" s="9">
        <f>K223-S223</f>
        <v>0</v>
      </c>
      <c r="M223" s="9">
        <f>L223-T223</f>
        <v>0</v>
      </c>
      <c r="N223" s="9"/>
      <c r="O223" s="9">
        <v>0</v>
      </c>
      <c r="P223" s="9">
        <f>H223</f>
        <v>0</v>
      </c>
      <c r="Q223" s="9">
        <v>0</v>
      </c>
      <c r="R223" s="9">
        <v>0</v>
      </c>
      <c r="S223" s="9">
        <v>0</v>
      </c>
      <c r="T223" s="9">
        <v>0</v>
      </c>
      <c r="U223" s="9"/>
      <c r="V223" s="9">
        <f>IF($C223="annual",IF(V$111=$B223,0,G223*$F223),IF(V$111-$B223=0,0,IF((V$111-$B223)&lt;$E223,AVERAGE(G223,H223)*$F223,IF((V$111-$B223)=$E223,G223*$F223/2,0))))</f>
        <v>0</v>
      </c>
      <c r="W223" s="9">
        <f t="shared" ref="W223:AA228" si="60">IF($C223="annual",IF(W$111=$B223,0,H223*$F223),IF(W$111-$B223=0,0,IF((W$111-$B223)&lt;$E223,AVERAGE(H223,I223)*$F223,IF((W$111-$B223)=$E223,H223*$F223/2,0))))</f>
        <v>0</v>
      </c>
      <c r="X223" s="9">
        <f t="shared" si="60"/>
        <v>0</v>
      </c>
      <c r="Y223" s="9">
        <f t="shared" si="60"/>
        <v>0</v>
      </c>
      <c r="Z223" s="9">
        <f t="shared" si="60"/>
        <v>0</v>
      </c>
      <c r="AA223" s="9">
        <f t="shared" si="60"/>
        <v>0</v>
      </c>
    </row>
    <row r="224" spans="1:27" customFormat="1">
      <c r="A224" s="23"/>
      <c r="B224" s="7">
        <f>B223+1</f>
        <v>2019</v>
      </c>
      <c r="C224" s="13" t="str">
        <f>C223</f>
        <v>Semi-annual</v>
      </c>
      <c r="D224" s="13">
        <f>D223</f>
        <v>0</v>
      </c>
      <c r="E224" s="13">
        <f>E223</f>
        <v>0</v>
      </c>
      <c r="F224" s="14">
        <f>$M$93</f>
        <v>0.18606977230199898</v>
      </c>
      <c r="G224" s="13"/>
      <c r="H224" s="9"/>
      <c r="I224" s="9">
        <f ca="1">$C$93/$C$31</f>
        <v>0</v>
      </c>
      <c r="J224" s="9">
        <f ca="1">I224-Q224</f>
        <v>0</v>
      </c>
      <c r="K224" s="9">
        <f ca="1">J224-R224</f>
        <v>0</v>
      </c>
      <c r="L224" s="9">
        <f ca="1">K224-S224</f>
        <v>0</v>
      </c>
      <c r="M224" s="9">
        <f ca="1">L224-T224</f>
        <v>0</v>
      </c>
      <c r="N224" s="9"/>
      <c r="O224" s="9"/>
      <c r="P224" s="9">
        <v>0</v>
      </c>
      <c r="Q224" s="9">
        <f ca="1">I224</f>
        <v>0</v>
      </c>
      <c r="R224" s="9">
        <v>0</v>
      </c>
      <c r="S224" s="9">
        <v>0</v>
      </c>
      <c r="T224" s="9">
        <v>0</v>
      </c>
      <c r="U224" s="9"/>
      <c r="V224" s="9"/>
      <c r="W224" s="9">
        <f t="shared" si="60"/>
        <v>0</v>
      </c>
      <c r="X224" s="9">
        <f t="shared" si="60"/>
        <v>0</v>
      </c>
      <c r="Y224" s="9">
        <f t="shared" si="60"/>
        <v>0</v>
      </c>
      <c r="Z224" s="9">
        <f t="shared" si="60"/>
        <v>0</v>
      </c>
      <c r="AA224" s="9">
        <f t="shared" si="60"/>
        <v>0</v>
      </c>
    </row>
    <row r="225" spans="1:27" customFormat="1">
      <c r="A225" s="23"/>
      <c r="B225" s="7">
        <f>B224+1</f>
        <v>2020</v>
      </c>
      <c r="C225" s="13" t="str">
        <f>C224</f>
        <v>Semi-annual</v>
      </c>
      <c r="D225" s="13">
        <f t="shared" ref="D225:E228" si="61">D224</f>
        <v>0</v>
      </c>
      <c r="E225" s="13">
        <f t="shared" si="61"/>
        <v>0</v>
      </c>
      <c r="F225" s="14">
        <f>$N$93</f>
        <v>0.18606977230199898</v>
      </c>
      <c r="G225" s="13"/>
      <c r="H225" s="9"/>
      <c r="I225" s="9"/>
      <c r="J225" s="9">
        <f ca="1">$D$93/$D$31</f>
        <v>0</v>
      </c>
      <c r="K225" s="9">
        <f ca="1">J225-R225</f>
        <v>0</v>
      </c>
      <c r="L225" s="9">
        <f ca="1">K225-S225</f>
        <v>0</v>
      </c>
      <c r="M225" s="9">
        <f ca="1">L225-T225</f>
        <v>0</v>
      </c>
      <c r="N225" s="9"/>
      <c r="O225" s="9"/>
      <c r="P225" s="9"/>
      <c r="Q225" s="9">
        <v>0</v>
      </c>
      <c r="R225" s="9">
        <f ca="1">J225</f>
        <v>0</v>
      </c>
      <c r="S225" s="9">
        <v>0</v>
      </c>
      <c r="T225" s="9">
        <v>0</v>
      </c>
      <c r="U225" s="9"/>
      <c r="V225" s="9"/>
      <c r="W225" s="9"/>
      <c r="X225" s="9">
        <f t="shared" si="60"/>
        <v>0</v>
      </c>
      <c r="Y225" s="9">
        <f t="shared" si="60"/>
        <v>0</v>
      </c>
      <c r="Z225" s="9">
        <f t="shared" si="60"/>
        <v>0</v>
      </c>
      <c r="AA225" s="9">
        <f t="shared" si="60"/>
        <v>0</v>
      </c>
    </row>
    <row r="226" spans="1:27" customFormat="1">
      <c r="A226" s="23"/>
      <c r="B226" s="7">
        <f>B225+1</f>
        <v>2021</v>
      </c>
      <c r="C226" s="13" t="str">
        <f>C225</f>
        <v>Semi-annual</v>
      </c>
      <c r="D226" s="13">
        <f t="shared" si="61"/>
        <v>0</v>
      </c>
      <c r="E226" s="13">
        <f t="shared" si="61"/>
        <v>0</v>
      </c>
      <c r="F226" s="14">
        <f>$O$93</f>
        <v>0.18606977230199898</v>
      </c>
      <c r="G226" s="13"/>
      <c r="H226" s="9"/>
      <c r="I226" s="9"/>
      <c r="J226" s="9"/>
      <c r="K226" s="9">
        <f ca="1">$E$93/$E$31</f>
        <v>0</v>
      </c>
      <c r="L226" s="9">
        <f ca="1">K226-S226</f>
        <v>0</v>
      </c>
      <c r="M226" s="9">
        <f ca="1">L226-T226</f>
        <v>0</v>
      </c>
      <c r="N226" s="9"/>
      <c r="O226" s="9"/>
      <c r="P226" s="9"/>
      <c r="Q226" s="9"/>
      <c r="R226" s="9">
        <v>0</v>
      </c>
      <c r="S226" s="9">
        <f ca="1">K226</f>
        <v>0</v>
      </c>
      <c r="T226" s="9">
        <v>0</v>
      </c>
      <c r="U226" s="9"/>
      <c r="V226" s="9"/>
      <c r="W226" s="9"/>
      <c r="X226" s="9"/>
      <c r="Y226" s="9">
        <f t="shared" si="60"/>
        <v>0</v>
      </c>
      <c r="Z226" s="9">
        <f t="shared" si="60"/>
        <v>0</v>
      </c>
      <c r="AA226" s="9">
        <f t="shared" si="60"/>
        <v>0</v>
      </c>
    </row>
    <row r="227" spans="1:27" customFormat="1">
      <c r="A227" s="23"/>
      <c r="B227" s="7">
        <f>B226+1</f>
        <v>2022</v>
      </c>
      <c r="C227" s="13" t="str">
        <f>C226</f>
        <v>Semi-annual</v>
      </c>
      <c r="D227" s="13">
        <f t="shared" si="61"/>
        <v>0</v>
      </c>
      <c r="E227" s="13">
        <f t="shared" si="61"/>
        <v>0</v>
      </c>
      <c r="F227" s="14">
        <f>$P$93</f>
        <v>0.18606977230199898</v>
      </c>
      <c r="G227" s="13"/>
      <c r="H227" s="9"/>
      <c r="I227" s="9"/>
      <c r="J227" s="9"/>
      <c r="K227" s="9"/>
      <c r="L227" s="9">
        <f ca="1">$F$93/$F$31</f>
        <v>0</v>
      </c>
      <c r="M227" s="9">
        <f ca="1">L227-T227</f>
        <v>0</v>
      </c>
      <c r="N227" s="9"/>
      <c r="O227" s="9"/>
      <c r="P227" s="9"/>
      <c r="Q227" s="9"/>
      <c r="R227" s="9"/>
      <c r="S227" s="9">
        <v>0</v>
      </c>
      <c r="T227" s="9">
        <f ca="1">L227</f>
        <v>0</v>
      </c>
      <c r="U227" s="9"/>
      <c r="V227" s="9"/>
      <c r="W227" s="9"/>
      <c r="X227" s="9"/>
      <c r="Y227" s="9"/>
      <c r="Z227" s="9">
        <f t="shared" si="60"/>
        <v>0</v>
      </c>
      <c r="AA227" s="9">
        <f t="shared" si="60"/>
        <v>0</v>
      </c>
    </row>
    <row r="228" spans="1:27" customFormat="1">
      <c r="A228" s="23"/>
      <c r="B228" s="7">
        <f>B227+1</f>
        <v>2023</v>
      </c>
      <c r="C228" s="13" t="str">
        <f>C227</f>
        <v>Semi-annual</v>
      </c>
      <c r="D228" s="13">
        <f t="shared" si="61"/>
        <v>0</v>
      </c>
      <c r="E228" s="13">
        <f t="shared" si="61"/>
        <v>0</v>
      </c>
      <c r="F228" s="14">
        <f>$Q$93</f>
        <v>0.18606977230199898</v>
      </c>
      <c r="G228" s="13"/>
      <c r="H228" s="9"/>
      <c r="I228" s="9"/>
      <c r="J228" s="9"/>
      <c r="K228" s="9"/>
      <c r="L228" s="9"/>
      <c r="M228" s="9">
        <f ca="1">$G$93/$G$31</f>
        <v>0</v>
      </c>
      <c r="N228" s="9"/>
      <c r="O228" s="9"/>
      <c r="P228" s="9"/>
      <c r="Q228" s="9"/>
      <c r="R228" s="9"/>
      <c r="S228" s="9"/>
      <c r="T228" s="9">
        <v>0</v>
      </c>
      <c r="U228" s="9"/>
      <c r="V228" s="9"/>
      <c r="W228" s="9"/>
      <c r="X228" s="9"/>
      <c r="Y228" s="9"/>
      <c r="Z228" s="9"/>
      <c r="AA228" s="9">
        <f t="shared" si="60"/>
        <v>0</v>
      </c>
    </row>
    <row r="230" spans="1:27" ht="15.75" thickBot="1">
      <c r="A230" s="11" t="str">
        <f>'Input 4 - Forecast'!A75</f>
        <v>Long-term debt 3/</v>
      </c>
    </row>
    <row r="231" spans="1:27" ht="15.75" thickBot="1">
      <c r="A231" s="12" t="str">
        <f>'Input 4 - Forecast'!A76</f>
        <v>Denominated in local currency</v>
      </c>
      <c r="B231" s="1999" t="s">
        <v>51</v>
      </c>
      <c r="C231" s="2000"/>
      <c r="D231" s="2000"/>
      <c r="E231" s="2000"/>
      <c r="F231" s="2000"/>
      <c r="G231" s="2000"/>
      <c r="H231" s="2000"/>
      <c r="I231" s="2000"/>
      <c r="J231" s="2000"/>
      <c r="K231" s="2000"/>
      <c r="L231" s="2000"/>
      <c r="M231" s="2000"/>
      <c r="N231" s="2000"/>
      <c r="O231" s="2000"/>
      <c r="P231" s="2000"/>
      <c r="Q231" s="2000"/>
      <c r="R231" s="2000"/>
      <c r="S231" s="2000"/>
      <c r="T231" s="2000"/>
      <c r="U231" s="2000"/>
      <c r="V231" s="2000"/>
      <c r="W231" s="2000"/>
      <c r="X231" s="2000"/>
      <c r="Y231" s="2000"/>
      <c r="Z231" s="2000"/>
      <c r="AA231" s="2001"/>
    </row>
    <row r="233" spans="1:27">
      <c r="A233" s="8" t="str">
        <f>'Input 4 - Forecast'!A77</f>
        <v>Type 11</v>
      </c>
      <c r="B233" s="7">
        <f>B119</f>
        <v>2018</v>
      </c>
      <c r="C233" s="7" t="str">
        <f>$I96</f>
        <v>Annual</v>
      </c>
      <c r="D233" s="7">
        <f>$J96</f>
        <v>10</v>
      </c>
      <c r="E233" s="7">
        <f>$K96</f>
        <v>10</v>
      </c>
      <c r="F233" s="14">
        <f>$L$96</f>
        <v>1.125E-2</v>
      </c>
      <c r="H233" s="9">
        <f>$B$96</f>
        <v>499.99798625313935</v>
      </c>
      <c r="I233" s="9">
        <f>H233-P233</f>
        <v>499.99798625313935</v>
      </c>
      <c r="J233" s="9">
        <f>I233-Q233</f>
        <v>499.99798625313935</v>
      </c>
      <c r="K233" s="9">
        <f>J233-R233</f>
        <v>499.99798625313935</v>
      </c>
      <c r="L233" s="9">
        <f>K233-S233</f>
        <v>499.99798625313935</v>
      </c>
      <c r="M233" s="9">
        <f>L233-T233</f>
        <v>499.99798625313935</v>
      </c>
      <c r="N233" s="9"/>
      <c r="O233" s="9">
        <f t="shared" ref="O233:T233" si="62">IF(OR($C233="Annual",$D233=$E233),IF(AND($D233=$E233,O$111=$B233+$D233),$H233,IF(AND(O$111&gt;$B233+$D233,O$111&lt;=$B233+$E233), $H233/($E233-$D233),0)), IF(OR(O$111=$B233+$D233,O$111=$B233+$E233),$H233/(($E233-$D233)*2),IF(AND(O$111&gt;$B233+$D233,O$111&lt;$B233+$E233),$H233/($E233-$D233),0)))</f>
        <v>0</v>
      </c>
      <c r="P233" s="9">
        <f t="shared" si="62"/>
        <v>0</v>
      </c>
      <c r="Q233" s="9">
        <f t="shared" si="62"/>
        <v>0</v>
      </c>
      <c r="R233" s="9">
        <f t="shared" si="62"/>
        <v>0</v>
      </c>
      <c r="S233" s="9">
        <f t="shared" si="62"/>
        <v>0</v>
      </c>
      <c r="T233" s="9">
        <f t="shared" si="62"/>
        <v>0</v>
      </c>
      <c r="U233" s="9"/>
      <c r="V233" s="9">
        <f>IF($C233="annual",IF(V$111=$B233,0,G233*$F233),IF(V$111-$B233=0,0,IF((V$111-$B233)&lt;$E233,AVERAGE(G233,H233)*$F233,IF((V$111-$B233)=$E233,G233*$F233/2,0))))</f>
        <v>0</v>
      </c>
      <c r="W233" s="9">
        <f t="shared" ref="W233:AA238" si="63">IF($C233="annual",IF(W$111=$B233,0,H233*$F233),IF(W$111-$B233=0,0,IF((W$111-$B233)&lt;$E233,AVERAGE(H233,I233)*$F233,IF((W$111-$B233)=$E233,H233*$F233/2,0))))</f>
        <v>5.6249773453478173</v>
      </c>
      <c r="X233" s="9">
        <f t="shared" si="63"/>
        <v>5.6249773453478173</v>
      </c>
      <c r="Y233" s="9">
        <f t="shared" si="63"/>
        <v>5.6249773453478173</v>
      </c>
      <c r="Z233" s="9">
        <f t="shared" si="63"/>
        <v>5.6249773453478173</v>
      </c>
      <c r="AA233" s="9">
        <f t="shared" si="63"/>
        <v>5.6249773453478173</v>
      </c>
    </row>
    <row r="234" spans="1:27">
      <c r="A234" s="8" t="str">
        <f>A233</f>
        <v>Type 11</v>
      </c>
      <c r="B234" s="7">
        <f>B233+1</f>
        <v>2019</v>
      </c>
      <c r="C234" s="7" t="str">
        <f>C233</f>
        <v>Annual</v>
      </c>
      <c r="D234" s="7">
        <f t="shared" ref="D234:E238" si="64">D233</f>
        <v>10</v>
      </c>
      <c r="E234" s="7">
        <f t="shared" si="64"/>
        <v>10</v>
      </c>
      <c r="F234" s="14">
        <f>$M$96</f>
        <v>0.20481977230199896</v>
      </c>
      <c r="H234" s="9"/>
      <c r="I234" s="9">
        <f ca="1">$C$96</f>
        <v>0</v>
      </c>
      <c r="J234" s="9">
        <f ca="1">I234-Q234</f>
        <v>0</v>
      </c>
      <c r="K234" s="9">
        <f ca="1">J234-R234</f>
        <v>0</v>
      </c>
      <c r="L234" s="9">
        <f ca="1">K234-S234</f>
        <v>0</v>
      </c>
      <c r="M234" s="9">
        <f ca="1">L234-T234</f>
        <v>0</v>
      </c>
      <c r="N234" s="9"/>
      <c r="O234" s="9"/>
      <c r="P234" s="9">
        <f>IF(OR($C234="Annual",$D234=$E234),IF(AND($D234=$E234,P$111=$B234+$D234),$I234,IF(AND(P$111&gt;$B234+$D234,P$111&lt;=$B234+$E234), $I234/($E234-$D234),0)), IF(OR(P$111=$B234+$D234,P$111=$B234+$E234),$I234/(($E234-$D234)*2),IF(AND(P$111&gt;$B234+$D234,P$111&lt;$B234+$E234),$I234/($E234-$D234),0)))</f>
        <v>0</v>
      </c>
      <c r="Q234" s="9">
        <f>IF(OR($C234="Annual",$D234=$E234),IF(AND($D234=$E234,Q$111=$B234+$D234),$I234,IF(AND(Q$111&gt;$B234+$D234,Q$111&lt;=$B234+$E234), $I234/($E234-$D234),0)), IF(OR(Q$111=$B234+$D234,Q$111=$B234+$E234),$I234/(($E234-$D234)*2),IF(AND(Q$111&gt;$B234+$D234,Q$111&lt;$B234+$E234),$I234/($E234-$D234),0)))</f>
        <v>0</v>
      </c>
      <c r="R234" s="9">
        <f>IF(OR($C234="Annual",$D234=$E234),IF(AND($D234=$E234,R$111=$B234+$D234),$I234,IF(AND(R$111&gt;$B234+$D234,R$111&lt;=$B234+$E234), $I234/($E234-$D234),0)), IF(OR(R$111=$B234+$D234,R$111=$B234+$E234),$I234/(($E234-$D234)*2),IF(AND(R$111&gt;$B234+$D234,R$111&lt;$B234+$E234),$I234/($E234-$D234),0)))</f>
        <v>0</v>
      </c>
      <c r="S234" s="9">
        <f>IF(OR($C234="Annual",$D234=$E234),IF(AND($D234=$E234,S$111=$B234+$D234),$I234,IF(AND(S$111&gt;$B234+$D234,S$111&lt;=$B234+$E234), $I234/($E234-$D234),0)), IF(OR(S$111=$B234+$D234,S$111=$B234+$E234),$I234/(($E234-$D234)*2),IF(AND(S$111&gt;$B234+$D234,S$111&lt;$B234+$E234),$I234/($E234-$D234),0)))</f>
        <v>0</v>
      </c>
      <c r="T234" s="9">
        <f>IF(OR($C234="Annual",$D234=$E234),IF(AND($D234=$E234,T$111=$B234+$D234),$I234,IF(AND(T$111&gt;$B234+$D234,T$111&lt;=$B234+$E234), $I234/($E234-$D234),0)), IF(OR(T$111=$B234+$D234,T$111=$B234+$E234),$I234/(($E234-$D234)*2),IF(AND(T$111&gt;$B234+$D234,T$111&lt;$B234+$E234),$I234/($E234-$D234),0)))</f>
        <v>0</v>
      </c>
      <c r="U234" s="9"/>
      <c r="V234" s="9"/>
      <c r="W234" s="9">
        <f t="shared" si="63"/>
        <v>0</v>
      </c>
      <c r="X234" s="9">
        <f t="shared" ca="1" si="63"/>
        <v>0</v>
      </c>
      <c r="Y234" s="9">
        <f t="shared" ca="1" si="63"/>
        <v>0</v>
      </c>
      <c r="Z234" s="9">
        <f t="shared" ca="1" si="63"/>
        <v>0</v>
      </c>
      <c r="AA234" s="9">
        <f t="shared" ca="1" si="63"/>
        <v>0</v>
      </c>
    </row>
    <row r="235" spans="1:27">
      <c r="A235" s="8" t="str">
        <f>A234</f>
        <v>Type 11</v>
      </c>
      <c r="B235" s="7">
        <f>B234+1</f>
        <v>2020</v>
      </c>
      <c r="C235" s="7" t="str">
        <f>C234</f>
        <v>Annual</v>
      </c>
      <c r="D235" s="7">
        <f t="shared" si="64"/>
        <v>10</v>
      </c>
      <c r="E235" s="7">
        <f t="shared" si="64"/>
        <v>10</v>
      </c>
      <c r="F235" s="14">
        <f>$N$96</f>
        <v>0.20806977230199897</v>
      </c>
      <c r="H235" s="9"/>
      <c r="I235" s="9"/>
      <c r="J235" s="9">
        <f ca="1">$D$96</f>
        <v>0</v>
      </c>
      <c r="K235" s="9">
        <f ca="1">J235-R235</f>
        <v>0</v>
      </c>
      <c r="L235" s="9">
        <f ca="1">K235-S235</f>
        <v>0</v>
      </c>
      <c r="M235" s="9">
        <f ca="1">L235-T235</f>
        <v>0</v>
      </c>
      <c r="N235" s="9"/>
      <c r="O235" s="9"/>
      <c r="P235" s="9"/>
      <c r="Q235" s="9">
        <f>IF(OR($C235="Annual",$D235=$E235),IF(AND($D235=$E235,Q$111=$B235+$D235),$J235,IF(AND(Q$111&gt;$B235+$D235,Q$111&lt;=$B235+$E235), $J235/($E235-$D235),0)), IF(OR(Q$111=$B235+$D235,Q$111=$B235+$E235),$J235/(($E235-$D235)*2),IF(AND(Q$111&gt;$B235+$D235,Q$111&lt;$B235+$E235),$J235/($E235-$D235),0)))</f>
        <v>0</v>
      </c>
      <c r="R235" s="9">
        <f>IF(OR($C235="Annual",$D235=$E235),IF(AND($D235=$E235,R$111=$B235+$D235),$J235,IF(AND(R$111&gt;$B235+$D235,R$111&lt;=$B235+$E235), $J235/($E235-$D235),0)), IF(OR(R$111=$B235+$D235,R$111=$B235+$E235),$J235/(($E235-$D235)*2),IF(AND(R$111&gt;$B235+$D235,R$111&lt;$B235+$E235),$J235/($E235-$D235),0)))</f>
        <v>0</v>
      </c>
      <c r="S235" s="9">
        <f>IF(OR($C235="Annual",$D235=$E235),IF(AND($D235=$E235,S$111=$B235+$D235),$J235,IF(AND(S$111&gt;$B235+$D235,S$111&lt;=$B235+$E235), $J235/($E235-$D235),0)), IF(OR(S$111=$B235+$D235,S$111=$B235+$E235),$J235/(($E235-$D235)*2),IF(AND(S$111&gt;$B235+$D235,S$111&lt;$B235+$E235),$J235/($E235-$D235),0)))</f>
        <v>0</v>
      </c>
      <c r="T235" s="9">
        <f>IF(OR($C235="Annual",$D235=$E235),IF(AND($D235=$E235,T$111=$B235+$D235),$J235,IF(AND(T$111&gt;$B235+$D235,T$111&lt;=$B235+$E235), $J235/($E235-$D235),0)), IF(OR(T$111=$B235+$D235,T$111=$B235+$E235),$J235/(($E235-$D235)*2),IF(AND(T$111&gt;$B235+$D235,T$111&lt;$B235+$E235),$J235/($E235-$D235),0)))</f>
        <v>0</v>
      </c>
      <c r="U235" s="9"/>
      <c r="V235" s="9"/>
      <c r="W235" s="9"/>
      <c r="X235" s="9">
        <f t="shared" si="63"/>
        <v>0</v>
      </c>
      <c r="Y235" s="9">
        <f t="shared" ca="1" si="63"/>
        <v>0</v>
      </c>
      <c r="Z235" s="9">
        <f t="shared" ca="1" si="63"/>
        <v>0</v>
      </c>
      <c r="AA235" s="9">
        <f t="shared" ca="1" si="63"/>
        <v>0</v>
      </c>
    </row>
    <row r="236" spans="1:27">
      <c r="A236" s="8" t="str">
        <f>A235</f>
        <v>Type 11</v>
      </c>
      <c r="B236" s="7">
        <f>B235+1</f>
        <v>2021</v>
      </c>
      <c r="C236" s="7" t="str">
        <f>C235</f>
        <v>Annual</v>
      </c>
      <c r="D236" s="7">
        <f t="shared" si="64"/>
        <v>10</v>
      </c>
      <c r="E236" s="7">
        <f t="shared" si="64"/>
        <v>10</v>
      </c>
      <c r="F236" s="14">
        <f>$O$96</f>
        <v>0.20806977230199897</v>
      </c>
      <c r="H236" s="9"/>
      <c r="I236" s="9"/>
      <c r="J236" s="9"/>
      <c r="K236" s="9">
        <f ca="1">$E$96</f>
        <v>0</v>
      </c>
      <c r="L236" s="9">
        <f ca="1">K236-S236</f>
        <v>0</v>
      </c>
      <c r="M236" s="9">
        <f ca="1">L236-T236</f>
        <v>0</v>
      </c>
      <c r="N236" s="9"/>
      <c r="O236" s="9"/>
      <c r="P236" s="9"/>
      <c r="Q236" s="9"/>
      <c r="R236" s="9">
        <f>IF(OR($C236="Annual",$D236=$E236),IF(AND($D236=$E236,R$111=$B236+$D236),$K236,IF(AND(R$111&gt;$B236+$D236,R$111&lt;=$B236+$E236), $K236/($E236-$D236),0)), IF(OR(R$111=$B236+$D236,R$111=$B236+$E236),$K236/(($E236-$D236)*2),IF(AND(R$111&gt;$B236+$D236,R$111&lt;$B236+$E236),$K236/($E236-$D236),0)))</f>
        <v>0</v>
      </c>
      <c r="S236" s="9">
        <f>IF(OR($C236="Annual",$D236=$E236),IF(AND($D236=$E236,S$111=$B236+$D236),$K236,IF(AND(S$111&gt;$B236+$D236,S$111&lt;=$B236+$E236), $K236/($E236-$D236),0)), IF(OR(S$111=$B236+$D236,S$111=$B236+$E236),$K236/(($E236-$D236)*2),IF(AND(S$111&gt;$B236+$D236,S$111&lt;$B236+$E236),$K236/($E236-$D236),0)))</f>
        <v>0</v>
      </c>
      <c r="T236" s="9">
        <f>IF(OR($C236="Annual",$D236=$E236),IF(AND($D236=$E236,T$111=$B236+$D236),$K236,IF(AND(T$111&gt;$B236+$D236,T$111&lt;=$B236+$E236), $K236/($E236-$D236),0)), IF(OR(T$111=$B236+$D236,T$111=$B236+$E236),$K236/(($E236-$D236)*2),IF(AND(T$111&gt;$B236+$D236,T$111&lt;$B236+$E236),$K236/($E236-$D236),0)))</f>
        <v>0</v>
      </c>
      <c r="U236" s="9"/>
      <c r="V236" s="9"/>
      <c r="W236" s="9"/>
      <c r="X236" s="9"/>
      <c r="Y236" s="9">
        <f t="shared" si="63"/>
        <v>0</v>
      </c>
      <c r="Z236" s="9">
        <f t="shared" ca="1" si="63"/>
        <v>0</v>
      </c>
      <c r="AA236" s="9">
        <f t="shared" ca="1" si="63"/>
        <v>0</v>
      </c>
    </row>
    <row r="237" spans="1:27">
      <c r="A237" s="8" t="str">
        <f>A236</f>
        <v>Type 11</v>
      </c>
      <c r="B237" s="7">
        <f>B236+1</f>
        <v>2022</v>
      </c>
      <c r="C237" s="7" t="str">
        <f>C236</f>
        <v>Annual</v>
      </c>
      <c r="D237" s="7">
        <f t="shared" si="64"/>
        <v>10</v>
      </c>
      <c r="E237" s="7">
        <f t="shared" si="64"/>
        <v>10</v>
      </c>
      <c r="F237" s="14">
        <f>$P$96</f>
        <v>0.20806977230199897</v>
      </c>
      <c r="H237" s="9"/>
      <c r="I237" s="9"/>
      <c r="J237" s="9"/>
      <c r="K237" s="9"/>
      <c r="L237" s="9">
        <f ca="1">$F$96</f>
        <v>0</v>
      </c>
      <c r="M237" s="9">
        <f ca="1">L237-T237</f>
        <v>0</v>
      </c>
      <c r="N237" s="9"/>
      <c r="O237" s="9"/>
      <c r="P237" s="9"/>
      <c r="Q237" s="9"/>
      <c r="R237" s="9"/>
      <c r="S237" s="9">
        <f>IF(OR($C237="Annual",$D237=$E237),IF(AND($D237=$E237,S$111=$B237+$D237),$L237,IF(AND(S$111&gt;$B237+$D237,S$111&lt;=$B237+$E237), $L237/($E237-$D237),0)), IF(OR(S$111=$B237+$D237,S$111=$B237+$E237),$L237/(($E237-$D237)*2),IF(AND(S$111&gt;$B237+$D237,S$111&lt;$B237+$E237),$L237/($E237-$D237),0)))</f>
        <v>0</v>
      </c>
      <c r="T237" s="9">
        <f>IF(OR($C237="Annual",$D237=$E237),IF(AND($D237=$E237,T$111=$B237+$D237),$L237,IF(AND(T$111&gt;$B237+$D237,T$111&lt;=$B237+$E237), $L237/($E237-$D237),0)), IF(OR(T$111=$B237+$D237,T$111=$B237+$E237),$L237/(($E237-$D237)*2),IF(AND(T$111&gt;$B237+$D237,T$111&lt;$B237+$E237),$L237/($E237-$D237),0)))</f>
        <v>0</v>
      </c>
      <c r="U237" s="9"/>
      <c r="V237" s="9"/>
      <c r="W237" s="9"/>
      <c r="X237" s="9"/>
      <c r="Y237" s="9"/>
      <c r="Z237" s="9">
        <f t="shared" si="63"/>
        <v>0</v>
      </c>
      <c r="AA237" s="9">
        <f t="shared" ca="1" si="63"/>
        <v>0</v>
      </c>
    </row>
    <row r="238" spans="1:27">
      <c r="A238" s="8" t="str">
        <f>A237</f>
        <v>Type 11</v>
      </c>
      <c r="B238" s="7">
        <f>B237+1</f>
        <v>2023</v>
      </c>
      <c r="C238" s="7" t="str">
        <f>C237</f>
        <v>Annual</v>
      </c>
      <c r="D238" s="7">
        <f t="shared" si="64"/>
        <v>10</v>
      </c>
      <c r="E238" s="7">
        <f t="shared" si="64"/>
        <v>10</v>
      </c>
      <c r="F238" s="14">
        <f>$Q$96</f>
        <v>0.20806977230199897</v>
      </c>
      <c r="H238" s="9"/>
      <c r="I238" s="9"/>
      <c r="J238" s="9"/>
      <c r="K238" s="9"/>
      <c r="L238" s="9"/>
      <c r="M238" s="9">
        <f ca="1">$G$96</f>
        <v>0</v>
      </c>
      <c r="N238" s="9"/>
      <c r="O238" s="9"/>
      <c r="P238" s="9"/>
      <c r="Q238" s="9"/>
      <c r="R238" s="9"/>
      <c r="S238" s="9"/>
      <c r="T238" s="9">
        <f>IF(OR($C238="Annual",$D238=$E238),IF(AND($D238=$E238,T$111=$B238+$D238),$M238,IF(AND(T$111&gt;$B238+$D238,T$111&lt;=$B238+$E238), $M238/($E238-$D238),0)), IF(OR(T$111=$B238+$D238,T$111=$B238+$E238),$M238/(($E238-$D238)*2),IF(AND(T$111&gt;$B238+$D238,T$111&lt;$B238+$E238),$M238/($E238-$D238),0)))</f>
        <v>0</v>
      </c>
      <c r="U238" s="9"/>
      <c r="V238" s="9"/>
      <c r="W238" s="9"/>
      <c r="X238" s="9"/>
      <c r="Y238" s="9"/>
      <c r="Z238" s="9"/>
      <c r="AA238" s="9">
        <f t="shared" si="63"/>
        <v>0</v>
      </c>
    </row>
    <row r="239" spans="1:27">
      <c r="C239" s="281"/>
      <c r="F239" s="15"/>
      <c r="H239" s="10"/>
      <c r="I239" s="10"/>
      <c r="J239" s="10"/>
      <c r="K239" s="10"/>
      <c r="L239" s="10"/>
      <c r="M239" s="10"/>
      <c r="N239" s="10"/>
      <c r="O239" s="278"/>
      <c r="P239" s="10"/>
      <c r="Q239" s="10"/>
      <c r="R239" s="10"/>
      <c r="S239" s="10"/>
      <c r="T239" s="10"/>
      <c r="U239" s="10"/>
      <c r="V239" s="10"/>
      <c r="W239" s="10"/>
      <c r="X239" s="10"/>
      <c r="Y239" s="10"/>
      <c r="Z239" s="10"/>
      <c r="AA239" s="10"/>
    </row>
    <row r="240" spans="1:27">
      <c r="A240" s="8" t="str">
        <f>'Input 4 - Forecast'!A78</f>
        <v>Type 12</v>
      </c>
      <c r="B240" s="7">
        <f>B119</f>
        <v>2018</v>
      </c>
      <c r="C240" s="7" t="str">
        <f>$I97</f>
        <v>Annual</v>
      </c>
      <c r="D240" s="7">
        <f>$J97</f>
        <v>30</v>
      </c>
      <c r="E240" s="7">
        <f>$K97</f>
        <v>30</v>
      </c>
      <c r="F240" s="14">
        <f>$L$97</f>
        <v>2.2499999999999999E-2</v>
      </c>
      <c r="H240" s="9">
        <f>$B$97</f>
        <v>499.99798625313935</v>
      </c>
      <c r="I240" s="9">
        <f>H240-P240</f>
        <v>499.99798625313935</v>
      </c>
      <c r="J240" s="9">
        <f>I240-Q240</f>
        <v>499.99798625313935</v>
      </c>
      <c r="K240" s="9">
        <f>J240-R240</f>
        <v>499.99798625313935</v>
      </c>
      <c r="L240" s="9">
        <f>K240-S240</f>
        <v>499.99798625313935</v>
      </c>
      <c r="M240" s="9">
        <f>L240-T240</f>
        <v>499.99798625313935</v>
      </c>
      <c r="N240" s="9"/>
      <c r="O240" s="9">
        <f t="shared" ref="O240:T240" si="65">IF(OR($C240="Annual",$D240=$E240),IF(AND($D240=$E240,O$111=$B240+$D240),$H240,IF(AND(O$111&gt;$B240+$D240,O$111&lt;=$B240+$E240), $H240/($E240-$D240),0)), IF(OR(O$111=$B240+$D240,O$111=$B240+$E240),$H240/(($E240-$D240)*2),IF(AND(O$111&gt;$B240+$D240,O$111&lt;$B240+$E240),$H240/($E240-$D240),0)))</f>
        <v>0</v>
      </c>
      <c r="P240" s="9">
        <f t="shared" si="65"/>
        <v>0</v>
      </c>
      <c r="Q240" s="9">
        <f t="shared" si="65"/>
        <v>0</v>
      </c>
      <c r="R240" s="9">
        <f t="shared" si="65"/>
        <v>0</v>
      </c>
      <c r="S240" s="9">
        <f t="shared" si="65"/>
        <v>0</v>
      </c>
      <c r="T240" s="9">
        <f t="shared" si="65"/>
        <v>0</v>
      </c>
      <c r="U240" s="9"/>
      <c r="V240" s="9">
        <f>IF($C240="annual",IF(V$111=$B240,0,G240*$F240),IF(V$111-$B240=0,0,IF((V$111-$B240)&lt;$E240,AVERAGE(G240,H240)*$F240,IF((V$111-$B240)=$E240,G240*$F240/2,0))))</f>
        <v>0</v>
      </c>
      <c r="W240" s="9">
        <f t="shared" ref="W240:AA245" si="66">IF($C240="annual",IF(W$111=$B240,0,H240*$F240),IF(W$111-$B240=0,0,IF((W$111-$B240)&lt;$E240,AVERAGE(H240,I240)*$F240,IF((W$111-$B240)=$E240,H240*$F240/2,0))))</f>
        <v>11.249954690695635</v>
      </c>
      <c r="X240" s="9">
        <f t="shared" si="66"/>
        <v>11.249954690695635</v>
      </c>
      <c r="Y240" s="9">
        <f t="shared" si="66"/>
        <v>11.249954690695635</v>
      </c>
      <c r="Z240" s="9">
        <f t="shared" si="66"/>
        <v>11.249954690695635</v>
      </c>
      <c r="AA240" s="9">
        <f t="shared" si="66"/>
        <v>11.249954690695635</v>
      </c>
    </row>
    <row r="241" spans="1:27">
      <c r="A241" s="8" t="str">
        <f>A240</f>
        <v>Type 12</v>
      </c>
      <c r="B241" s="7">
        <f>B240+1</f>
        <v>2019</v>
      </c>
      <c r="C241" s="7" t="str">
        <f>C240</f>
        <v>Annual</v>
      </c>
      <c r="D241" s="7">
        <f>D240</f>
        <v>30</v>
      </c>
      <c r="E241" s="7">
        <f>E240</f>
        <v>30</v>
      </c>
      <c r="F241" s="14">
        <f>$M$97</f>
        <v>0.18606977230199898</v>
      </c>
      <c r="H241" s="9"/>
      <c r="I241" s="9">
        <f ca="1">$C$97</f>
        <v>0</v>
      </c>
      <c r="J241" s="9">
        <f ca="1">I241-Q241</f>
        <v>0</v>
      </c>
      <c r="K241" s="9">
        <f ca="1">J241-R241</f>
        <v>0</v>
      </c>
      <c r="L241" s="9">
        <f ca="1">K241-S241</f>
        <v>0</v>
      </c>
      <c r="M241" s="9">
        <f ca="1">L241-T241</f>
        <v>0</v>
      </c>
      <c r="N241" s="9"/>
      <c r="O241" s="9"/>
      <c r="P241" s="9">
        <f>IF(OR($C241="Annual",$D241=$E241),IF(AND($D241=$E241,P$111=$B241+$D241),$I241,IF(AND(P$111&gt;$B241+$D241,P$111&lt;=$B241+$E241), $I241/($E241-$D241),0)), IF(OR(P$111=$B241+$D241,P$111=$B241+$E241),$I241/(($E241-$D241)*2),IF(AND(P$111&gt;$B241+$D241,P$111&lt;$B241+$E241),$I241/($E241-$D241),0)))</f>
        <v>0</v>
      </c>
      <c r="Q241" s="9">
        <f>IF(OR($C241="Annual",$D241=$E241),IF(AND($D241=$E241,Q$111=$B241+$D241),$I241,IF(AND(Q$111&gt;$B241+$D241,Q$111&lt;=$B241+$E241), $I241/($E241-$D241),0)), IF(OR(Q$111=$B241+$D241,Q$111=$B241+$E241),$I241/(($E241-$D241)*2),IF(AND(Q$111&gt;$B241+$D241,Q$111&lt;$B241+$E241),$I241/($E241-$D241),0)))</f>
        <v>0</v>
      </c>
      <c r="R241" s="9">
        <f>IF(OR($C241="Annual",$D241=$E241),IF(AND($D241=$E241,R$111=$B241+$D241),$I241,IF(AND(R$111&gt;$B241+$D241,R$111&lt;=$B241+$E241), $I241/($E241-$D241),0)), IF(OR(R$111=$B241+$D241,R$111=$B241+$E241),$I241/(($E241-$D241)*2),IF(AND(R$111&gt;$B241+$D241,R$111&lt;$B241+$E241),$I241/($E241-$D241),0)))</f>
        <v>0</v>
      </c>
      <c r="S241" s="9">
        <f>IF(OR($C241="Annual",$D241=$E241),IF(AND($D241=$E241,S$111=$B241+$D241),$I241,IF(AND(S$111&gt;$B241+$D241,S$111&lt;=$B241+$E241), $I241/($E241-$D241),0)), IF(OR(S$111=$B241+$D241,S$111=$B241+$E241),$I241/(($E241-$D241)*2),IF(AND(S$111&gt;$B241+$D241,S$111&lt;$B241+$E241),$I241/($E241-$D241),0)))</f>
        <v>0</v>
      </c>
      <c r="T241" s="9">
        <f>IF(OR($C241="Annual",$D241=$E241),IF(AND($D241=$E241,T$111=$B241+$D241),$I241,IF(AND(T$111&gt;$B241+$D241,T$111&lt;=$B241+$E241), $I241/($E241-$D241),0)), IF(OR(T$111=$B241+$D241,T$111=$B241+$E241),$I241/(($E241-$D241)*2),IF(AND(T$111&gt;$B241+$D241,T$111&lt;$B241+$E241),$I241/($E241-$D241),0)))</f>
        <v>0</v>
      </c>
      <c r="U241" s="9"/>
      <c r="V241" s="9"/>
      <c r="W241" s="9">
        <f t="shared" si="66"/>
        <v>0</v>
      </c>
      <c r="X241" s="9">
        <f t="shared" ca="1" si="66"/>
        <v>0</v>
      </c>
      <c r="Y241" s="9">
        <f t="shared" ca="1" si="66"/>
        <v>0</v>
      </c>
      <c r="Z241" s="9">
        <f t="shared" ca="1" si="66"/>
        <v>0</v>
      </c>
      <c r="AA241" s="9">
        <f t="shared" ca="1" si="66"/>
        <v>0</v>
      </c>
    </row>
    <row r="242" spans="1:27">
      <c r="A242" s="8" t="str">
        <f>A241</f>
        <v>Type 12</v>
      </c>
      <c r="B242" s="7">
        <f>B241+1</f>
        <v>2020</v>
      </c>
      <c r="C242" s="7" t="str">
        <f>C241</f>
        <v>Annual</v>
      </c>
      <c r="D242" s="7">
        <f t="shared" ref="D242:E245" si="67">D241</f>
        <v>30</v>
      </c>
      <c r="E242" s="7">
        <f t="shared" si="67"/>
        <v>30</v>
      </c>
      <c r="F242" s="14">
        <f>$N$97</f>
        <v>0.18606977230199898</v>
      </c>
      <c r="H242" s="9"/>
      <c r="I242" s="9"/>
      <c r="J242" s="9">
        <f ca="1">$D$97</f>
        <v>0</v>
      </c>
      <c r="K242" s="9">
        <f ca="1">J242-R242</f>
        <v>0</v>
      </c>
      <c r="L242" s="9">
        <f ca="1">K242-S242</f>
        <v>0</v>
      </c>
      <c r="M242" s="9">
        <f ca="1">L242-T242</f>
        <v>0</v>
      </c>
      <c r="N242" s="9"/>
      <c r="O242" s="9"/>
      <c r="P242" s="9"/>
      <c r="Q242" s="9">
        <f>IF(OR($C242="Annual",$D242=$E242),IF(AND($D242=$E242,Q$111=$B242+$D242),$J242,IF(AND(Q$111&gt;$B242+$D242,Q$111&lt;=$B242+$E242), $J242/($E242-$D242),0)), IF(OR(Q$111=$B242+$D242,Q$111=$B242+$E242),$J242/(($E242-$D242)*2),IF(AND(Q$111&gt;$B242+$D242,Q$111&lt;$B242+$E242),$J242/($E242-$D242),0)))</f>
        <v>0</v>
      </c>
      <c r="R242" s="9">
        <f>IF(OR($C242="Annual",$D242=$E242),IF(AND($D242=$E242,R$111=$B242+$D242),$J242,IF(AND(R$111&gt;$B242+$D242,R$111&lt;=$B242+$E242), $J242/($E242-$D242),0)), IF(OR(R$111=$B242+$D242,R$111=$B242+$E242),$J242/(($E242-$D242)*2),IF(AND(R$111&gt;$B242+$D242,R$111&lt;$B242+$E242),$J242/($E242-$D242),0)))</f>
        <v>0</v>
      </c>
      <c r="S242" s="9">
        <f>IF(OR($C242="Annual",$D242=$E242),IF(AND($D242=$E242,S$111=$B242+$D242),$J242,IF(AND(S$111&gt;$B242+$D242,S$111&lt;=$B242+$E242), $J242/($E242-$D242),0)), IF(OR(S$111=$B242+$D242,S$111=$B242+$E242),$J242/(($E242-$D242)*2),IF(AND(S$111&gt;$B242+$D242,S$111&lt;$B242+$E242),$J242/($E242-$D242),0)))</f>
        <v>0</v>
      </c>
      <c r="T242" s="9">
        <f>IF(OR($C242="Annual",$D242=$E242),IF(AND($D242=$E242,T$111=$B242+$D242),$J242,IF(AND(T$111&gt;$B242+$D242,T$111&lt;=$B242+$E242), $J242/($E242-$D242),0)), IF(OR(T$111=$B242+$D242,T$111=$B242+$E242),$J242/(($E242-$D242)*2),IF(AND(T$111&gt;$B242+$D242,T$111&lt;$B242+$E242),$J242/($E242-$D242),0)))</f>
        <v>0</v>
      </c>
      <c r="U242" s="9"/>
      <c r="V242" s="9"/>
      <c r="W242" s="9"/>
      <c r="X242" s="9">
        <f t="shared" si="66"/>
        <v>0</v>
      </c>
      <c r="Y242" s="9">
        <f t="shared" ca="1" si="66"/>
        <v>0</v>
      </c>
      <c r="Z242" s="9">
        <f t="shared" ca="1" si="66"/>
        <v>0</v>
      </c>
      <c r="AA242" s="9">
        <f t="shared" ca="1" si="66"/>
        <v>0</v>
      </c>
    </row>
    <row r="243" spans="1:27">
      <c r="A243" s="8" t="str">
        <f>A242</f>
        <v>Type 12</v>
      </c>
      <c r="B243" s="7">
        <f>B242+1</f>
        <v>2021</v>
      </c>
      <c r="C243" s="7" t="str">
        <f>C242</f>
        <v>Annual</v>
      </c>
      <c r="D243" s="7">
        <f t="shared" si="67"/>
        <v>30</v>
      </c>
      <c r="E243" s="7">
        <f t="shared" si="67"/>
        <v>30</v>
      </c>
      <c r="F243" s="14">
        <f>$O$97</f>
        <v>0.18606977230199898</v>
      </c>
      <c r="H243" s="9"/>
      <c r="I243" s="9"/>
      <c r="J243" s="9"/>
      <c r="K243" s="9">
        <f ca="1">$E$97</f>
        <v>0</v>
      </c>
      <c r="L243" s="9">
        <f ca="1">K243-S243</f>
        <v>0</v>
      </c>
      <c r="M243" s="9">
        <f ca="1">L243-T243</f>
        <v>0</v>
      </c>
      <c r="N243" s="9"/>
      <c r="O243" s="9"/>
      <c r="P243" s="9"/>
      <c r="Q243" s="9"/>
      <c r="R243" s="9">
        <f>IF(OR($C243="Annual",$D243=$E243),IF(AND($D243=$E243,R$111=$B243+$D243),$K243,IF(AND(R$111&gt;$B243+$D243,R$111&lt;=$B243+$E243), $K243/($E243-$D243),0)), IF(OR(R$111=$B243+$D243,R$111=$B243+$E243),$K243/(($E243-$D243)*2),IF(AND(R$111&gt;$B243+$D243,R$111&lt;$B243+$E243),$K243/($E243-$D243),0)))</f>
        <v>0</v>
      </c>
      <c r="S243" s="9">
        <f>IF(OR($C243="Annual",$D243=$E243),IF(AND($D243=$E243,S$111=$B243+$D243),$K243,IF(AND(S$111&gt;$B243+$D243,S$111&lt;=$B243+$E243), $K243/($E243-$D243),0)), IF(OR(S$111=$B243+$D243,S$111=$B243+$E243),$K243/(($E243-$D243)*2),IF(AND(S$111&gt;$B243+$D243,S$111&lt;$B243+$E243),$K243/($E243-$D243),0)))</f>
        <v>0</v>
      </c>
      <c r="T243" s="9">
        <f>IF(OR($C243="Annual",$D243=$E243),IF(AND($D243=$E243,T$111=$B243+$D243),$K243,IF(AND(T$111&gt;$B243+$D243,T$111&lt;=$B243+$E243), $K243/($E243-$D243),0)), IF(OR(T$111=$B243+$D243,T$111=$B243+$E243),$K243/(($E243-$D243)*2),IF(AND(T$111&gt;$B243+$D243,T$111&lt;$B243+$E243),$K243/($E243-$D243),0)))</f>
        <v>0</v>
      </c>
      <c r="U243" s="9"/>
      <c r="V243" s="9"/>
      <c r="W243" s="9"/>
      <c r="X243" s="9"/>
      <c r="Y243" s="9">
        <f t="shared" si="66"/>
        <v>0</v>
      </c>
      <c r="Z243" s="9">
        <f t="shared" ca="1" si="66"/>
        <v>0</v>
      </c>
      <c r="AA243" s="9">
        <f t="shared" ca="1" si="66"/>
        <v>0</v>
      </c>
    </row>
    <row r="244" spans="1:27">
      <c r="A244" s="8" t="str">
        <f>A243</f>
        <v>Type 12</v>
      </c>
      <c r="B244" s="7">
        <f>B243+1</f>
        <v>2022</v>
      </c>
      <c r="C244" s="7" t="str">
        <f>C243</f>
        <v>Annual</v>
      </c>
      <c r="D244" s="7">
        <f t="shared" si="67"/>
        <v>30</v>
      </c>
      <c r="E244" s="7">
        <f t="shared" si="67"/>
        <v>30</v>
      </c>
      <c r="F244" s="14">
        <f>$P$97</f>
        <v>0.18606977230199898</v>
      </c>
      <c r="H244" s="9"/>
      <c r="I244" s="9"/>
      <c r="J244" s="9"/>
      <c r="K244" s="9"/>
      <c r="L244" s="9">
        <f ca="1">$F$97</f>
        <v>0</v>
      </c>
      <c r="M244" s="9">
        <f ca="1">L244-T244</f>
        <v>0</v>
      </c>
      <c r="N244" s="9"/>
      <c r="O244" s="9"/>
      <c r="P244" s="9"/>
      <c r="Q244" s="9"/>
      <c r="R244" s="9"/>
      <c r="S244" s="9">
        <f>IF(OR($C244="Annual",$D244=$E244),IF(AND($D244=$E244,S$111=$B244+$D244),$L244,IF(AND(S$111&gt;$B244+$D244,S$111&lt;=$B244+$E244), $L244/($E244-$D244),0)), IF(OR(S$111=$B244+$D244,S$111=$B244+$E244),$L244/(($E244-$D244)*2),IF(AND(S$111&gt;$B244+$D244,S$111&lt;$B244+$E244),$L244/($E244-$D244),0)))</f>
        <v>0</v>
      </c>
      <c r="T244" s="9">
        <f>IF(OR($C244="Annual",$D244=$E244),IF(AND($D244=$E244,T$111=$B244+$D244),$L244,IF(AND(T$111&gt;$B244+$D244,T$111&lt;=$B244+$E244), $L244/($E244-$D244),0)), IF(OR(T$111=$B244+$D244,T$111=$B244+$E244),$L244/(($E244-$D244)*2),IF(AND(T$111&gt;$B244+$D244,T$111&lt;$B244+$E244),$L244/($E244-$D244),0)))</f>
        <v>0</v>
      </c>
      <c r="U244" s="9"/>
      <c r="V244" s="9"/>
      <c r="W244" s="9"/>
      <c r="X244" s="9"/>
      <c r="Y244" s="9"/>
      <c r="Z244" s="9">
        <f t="shared" si="66"/>
        <v>0</v>
      </c>
      <c r="AA244" s="9">
        <f t="shared" ca="1" si="66"/>
        <v>0</v>
      </c>
    </row>
    <row r="245" spans="1:27">
      <c r="A245" s="8" t="str">
        <f>A244</f>
        <v>Type 12</v>
      </c>
      <c r="B245" s="7">
        <f>B244+1</f>
        <v>2023</v>
      </c>
      <c r="C245" s="7" t="str">
        <f>C244</f>
        <v>Annual</v>
      </c>
      <c r="D245" s="7">
        <f t="shared" si="67"/>
        <v>30</v>
      </c>
      <c r="E245" s="7">
        <f t="shared" si="67"/>
        <v>30</v>
      </c>
      <c r="F245" s="14">
        <f>$Q$97</f>
        <v>0.18606977230199898</v>
      </c>
      <c r="H245" s="9"/>
      <c r="I245" s="9"/>
      <c r="J245" s="9"/>
      <c r="K245" s="9"/>
      <c r="L245" s="9"/>
      <c r="M245" s="9">
        <f ca="1">$G$97</f>
        <v>0</v>
      </c>
      <c r="N245" s="9"/>
      <c r="O245" s="9"/>
      <c r="P245" s="9"/>
      <c r="Q245" s="9"/>
      <c r="R245" s="9"/>
      <c r="S245" s="9"/>
      <c r="T245" s="9">
        <f>IF(OR($C245="Annual",$D245=$E245),IF(AND($D245=$E245,T$111=$B245+$D245),$M245,IF(AND(T$111&gt;$B245+$D245,T$111&lt;=$B245+$E245), $M245/($E245-$D245),0)), IF(OR(T$111=$B245+$D245,T$111=$B245+$E245),$M245/(($E245-$D245)*2),IF(AND(T$111&gt;$B245+$D245,T$111&lt;$B245+$E245),$M245/($E245-$D245),0)))</f>
        <v>0</v>
      </c>
      <c r="U245" s="9"/>
      <c r="V245" s="9"/>
      <c r="W245" s="9"/>
      <c r="X245" s="9"/>
      <c r="Y245" s="9"/>
      <c r="Z245" s="9"/>
      <c r="AA245" s="9">
        <f t="shared" si="66"/>
        <v>0</v>
      </c>
    </row>
    <row r="246" spans="1:27">
      <c r="C246" s="281"/>
      <c r="F246" s="15"/>
      <c r="H246" s="10"/>
      <c r="I246" s="10"/>
      <c r="J246" s="10"/>
      <c r="K246" s="10"/>
      <c r="L246" s="10"/>
      <c r="M246" s="10"/>
      <c r="N246" s="10"/>
      <c r="O246" s="278"/>
      <c r="P246" s="10"/>
      <c r="Q246" s="10"/>
      <c r="R246" s="10"/>
      <c r="S246" s="10"/>
      <c r="T246" s="10"/>
      <c r="U246" s="10"/>
      <c r="V246" s="10"/>
      <c r="W246" s="10"/>
      <c r="X246" s="10"/>
      <c r="Y246" s="10"/>
      <c r="Z246" s="10"/>
      <c r="AA246" s="10"/>
    </row>
    <row r="247" spans="1:27">
      <c r="A247" s="8" t="str">
        <f>'Input 4 - Forecast'!A79</f>
        <v>Type 13</v>
      </c>
      <c r="B247" s="7">
        <f>B119</f>
        <v>2018</v>
      </c>
      <c r="C247" s="7" t="str">
        <f>$I98</f>
        <v>Annual</v>
      </c>
      <c r="D247" s="7">
        <f>$J98</f>
        <v>0</v>
      </c>
      <c r="E247" s="7">
        <f>$K98</f>
        <v>0</v>
      </c>
      <c r="F247" s="14">
        <f>$L$98</f>
        <v>0</v>
      </c>
      <c r="H247" s="9">
        <f>$B$98</f>
        <v>0</v>
      </c>
      <c r="I247" s="9">
        <f>H247-P247</f>
        <v>0</v>
      </c>
      <c r="J247" s="9">
        <f>I247-Q247</f>
        <v>0</v>
      </c>
      <c r="K247" s="9">
        <f>J247-R247</f>
        <v>0</v>
      </c>
      <c r="L247" s="9">
        <f>K247-S247</f>
        <v>0</v>
      </c>
      <c r="M247" s="9">
        <f>L247-T247</f>
        <v>0</v>
      </c>
      <c r="N247" s="9"/>
      <c r="O247" s="9">
        <f t="shared" ref="O247:T247" si="68">IF(OR($C247="Annual",$D247=$E247),IF(AND($D247=$E247,O$111=$B247+$D247),$H247,IF(AND(O$111&gt;$B247+$D247,O$111&lt;=$B247+$E247), $H247/($E247-$D247),0)), IF(OR(O$111=$B247+$D247,O$111=$B247+$E247),$H247/(($E247-$D247)*2),IF(AND(O$111&gt;$B247+$D247,O$111&lt;$B247+$E247),$H247/($E247-$D247),0)))</f>
        <v>0</v>
      </c>
      <c r="P247" s="9">
        <f t="shared" si="68"/>
        <v>0</v>
      </c>
      <c r="Q247" s="9">
        <f t="shared" si="68"/>
        <v>0</v>
      </c>
      <c r="R247" s="9">
        <f t="shared" si="68"/>
        <v>0</v>
      </c>
      <c r="S247" s="9">
        <f t="shared" si="68"/>
        <v>0</v>
      </c>
      <c r="T247" s="9">
        <f t="shared" si="68"/>
        <v>0</v>
      </c>
      <c r="U247" s="9"/>
      <c r="V247" s="9">
        <f>IF($C247="annual",IF(V$111=$B247,0,G247*$F247),IF(V$111-$B247=0,0,IF((V$111-$B247)&lt;$E247,AVERAGE(G247,H247)*$F247,IF((V$111-$B247)=$E247,G247*$F247/2,0))))</f>
        <v>0</v>
      </c>
      <c r="W247" s="9">
        <f t="shared" ref="W247:AA252" si="69">IF($C247="annual",IF(W$111=$B247,0,H247*$F247),IF(W$111-$B247=0,0,IF((W$111-$B247)&lt;$E247,AVERAGE(H247,I247)*$F247,IF((W$111-$B247)=$E247,H247*$F247/2,0))))</f>
        <v>0</v>
      </c>
      <c r="X247" s="9">
        <f t="shared" si="69"/>
        <v>0</v>
      </c>
      <c r="Y247" s="9">
        <f t="shared" si="69"/>
        <v>0</v>
      </c>
      <c r="Z247" s="9">
        <f t="shared" si="69"/>
        <v>0</v>
      </c>
      <c r="AA247" s="9">
        <f t="shared" si="69"/>
        <v>0</v>
      </c>
    </row>
    <row r="248" spans="1:27">
      <c r="A248" s="8" t="str">
        <f>A247</f>
        <v>Type 13</v>
      </c>
      <c r="B248" s="7">
        <f>B247+1</f>
        <v>2019</v>
      </c>
      <c r="C248" s="7" t="str">
        <f>C247</f>
        <v>Annual</v>
      </c>
      <c r="D248" s="7">
        <f t="shared" ref="D248:E252" si="70">D247</f>
        <v>0</v>
      </c>
      <c r="E248" s="7">
        <f t="shared" si="70"/>
        <v>0</v>
      </c>
      <c r="F248" s="14">
        <f>$M$98</f>
        <v>0.18606977230199898</v>
      </c>
      <c r="H248" s="9"/>
      <c r="I248" s="9">
        <f ca="1">$C$98</f>
        <v>0</v>
      </c>
      <c r="J248" s="9">
        <f ca="1">I248-Q248</f>
        <v>0</v>
      </c>
      <c r="K248" s="9">
        <f ca="1">J248-R248</f>
        <v>0</v>
      </c>
      <c r="L248" s="9">
        <f ca="1">K248-S248</f>
        <v>0</v>
      </c>
      <c r="M248" s="9">
        <f ca="1">L248-T248</f>
        <v>0</v>
      </c>
      <c r="N248" s="9"/>
      <c r="O248" s="9"/>
      <c r="P248" s="9">
        <f ca="1">IF(OR($C248="Annual",$D248=$E248),IF(AND($D248=$E248,P$111=$B248+$D248),$I248,IF(AND(P$111&gt;$B248+$D248,P$111&lt;=$B248+$E248), $I248/($E248-$D248),0)), IF(OR(P$111=$B248+$D248,P$111=$B248+$E248),$I248/(($E248-$D248)*2),IF(AND(P$111&gt;$B248+$D248,P$111&lt;$B248+$E248),$I248/($E248-$D248),0)))</f>
        <v>0</v>
      </c>
      <c r="Q248" s="9">
        <f>IF(OR($C248="Annual",$D248=$E248),IF(AND($D248=$E248,Q$111=$B248+$D248),$I248,IF(AND(Q$111&gt;$B248+$D248,Q$111&lt;=$B248+$E248), $I248/($E248-$D248),0)), IF(OR(Q$111=$B248+$D248,Q$111=$B248+$E248),$I248/(($E248-$D248)*2),IF(AND(Q$111&gt;$B248+$D248,Q$111&lt;$B248+$E248),$I248/($E248-$D248),0)))</f>
        <v>0</v>
      </c>
      <c r="R248" s="9">
        <f>IF(OR($C248="Annual",$D248=$E248),IF(AND($D248=$E248,R$111=$B248+$D248),$I248,IF(AND(R$111&gt;$B248+$D248,R$111&lt;=$B248+$E248), $I248/($E248-$D248),0)), IF(OR(R$111=$B248+$D248,R$111=$B248+$E248),$I248/(($E248-$D248)*2),IF(AND(R$111&gt;$B248+$D248,R$111&lt;$B248+$E248),$I248/($E248-$D248),0)))</f>
        <v>0</v>
      </c>
      <c r="S248" s="9">
        <f>IF(OR($C248="Annual",$D248=$E248),IF(AND($D248=$E248,S$111=$B248+$D248),$I248,IF(AND(S$111&gt;$B248+$D248,S$111&lt;=$B248+$E248), $I248/($E248-$D248),0)), IF(OR(S$111=$B248+$D248,S$111=$B248+$E248),$I248/(($E248-$D248)*2),IF(AND(S$111&gt;$B248+$D248,S$111&lt;$B248+$E248),$I248/($E248-$D248),0)))</f>
        <v>0</v>
      </c>
      <c r="T248" s="9">
        <f>IF(OR($C248="Annual",$D248=$E248),IF(AND($D248=$E248,T$111=$B248+$D248),$I248,IF(AND(T$111&gt;$B248+$D248,T$111&lt;=$B248+$E248), $I248/($E248-$D248),0)), IF(OR(T$111=$B248+$D248,T$111=$B248+$E248),$I248/(($E248-$D248)*2),IF(AND(T$111&gt;$B248+$D248,T$111&lt;$B248+$E248),$I248/($E248-$D248),0)))</f>
        <v>0</v>
      </c>
      <c r="U248" s="9"/>
      <c r="V248" s="9"/>
      <c r="W248" s="9">
        <f t="shared" si="69"/>
        <v>0</v>
      </c>
      <c r="X248" s="9">
        <f t="shared" ca="1" si="69"/>
        <v>0</v>
      </c>
      <c r="Y248" s="9">
        <f t="shared" ca="1" si="69"/>
        <v>0</v>
      </c>
      <c r="Z248" s="9">
        <f t="shared" ca="1" si="69"/>
        <v>0</v>
      </c>
      <c r="AA248" s="9">
        <f t="shared" ca="1" si="69"/>
        <v>0</v>
      </c>
    </row>
    <row r="249" spans="1:27">
      <c r="A249" s="8" t="str">
        <f>A248</f>
        <v>Type 13</v>
      </c>
      <c r="B249" s="7">
        <f>B248+1</f>
        <v>2020</v>
      </c>
      <c r="C249" s="7" t="str">
        <f>C248</f>
        <v>Annual</v>
      </c>
      <c r="D249" s="7">
        <f t="shared" si="70"/>
        <v>0</v>
      </c>
      <c r="E249" s="7">
        <f t="shared" si="70"/>
        <v>0</v>
      </c>
      <c r="F249" s="14">
        <f>$N$98</f>
        <v>0.18606977230199898</v>
      </c>
      <c r="H249" s="9"/>
      <c r="I249" s="9"/>
      <c r="J249" s="9">
        <f ca="1">$D$98</f>
        <v>0</v>
      </c>
      <c r="K249" s="9">
        <f ca="1">J249-R249</f>
        <v>0</v>
      </c>
      <c r="L249" s="9">
        <f ca="1">K249-S249</f>
        <v>0</v>
      </c>
      <c r="M249" s="9">
        <f ca="1">L249-T249</f>
        <v>0</v>
      </c>
      <c r="N249" s="9"/>
      <c r="O249" s="9"/>
      <c r="P249" s="9"/>
      <c r="Q249" s="9">
        <f ca="1">IF(OR($C249="Annual",$D249=$E249),IF(AND($D249=$E249,Q$111=$B249+$D249),$J249,IF(AND(Q$111&gt;$B249+$D249,Q$111&lt;=$B249+$E249), $J249/($E249-$D249),0)), IF(OR(Q$111=$B249+$D249,Q$111=$B249+$E249),$J249/(($E249-$D249)*2),IF(AND(Q$111&gt;$B249+$D249,Q$111&lt;$B249+$E249),$J249/($E249-$D249),0)))</f>
        <v>0</v>
      </c>
      <c r="R249" s="9">
        <f>IF(OR($C249="Annual",$D249=$E249),IF(AND($D249=$E249,R$111=$B249+$D249),$J249,IF(AND(R$111&gt;$B249+$D249,R$111&lt;=$B249+$E249), $J249/($E249-$D249),0)), IF(OR(R$111=$B249+$D249,R$111=$B249+$E249),$J249/(($E249-$D249)*2),IF(AND(R$111&gt;$B249+$D249,R$111&lt;$B249+$E249),$J249/($E249-$D249),0)))</f>
        <v>0</v>
      </c>
      <c r="S249" s="9">
        <f>IF(OR($C249="Annual",$D249=$E249),IF(AND($D249=$E249,S$111=$B249+$D249),$J249,IF(AND(S$111&gt;$B249+$D249,S$111&lt;=$B249+$E249), $J249/($E249-$D249),0)), IF(OR(S$111=$B249+$D249,S$111=$B249+$E249),$J249/(($E249-$D249)*2),IF(AND(S$111&gt;$B249+$D249,S$111&lt;$B249+$E249),$J249/($E249-$D249),0)))</f>
        <v>0</v>
      </c>
      <c r="T249" s="9">
        <f>IF(OR($C249="Annual",$D249=$E249),IF(AND($D249=$E249,T$111=$B249+$D249),$J249,IF(AND(T$111&gt;$B249+$D249,T$111&lt;=$B249+$E249), $J249/($E249-$D249),0)), IF(OR(T$111=$B249+$D249,T$111=$B249+$E249),$J249/(($E249-$D249)*2),IF(AND(T$111&gt;$B249+$D249,T$111&lt;$B249+$E249),$J249/($E249-$D249),0)))</f>
        <v>0</v>
      </c>
      <c r="U249" s="9"/>
      <c r="V249" s="9"/>
      <c r="W249" s="9"/>
      <c r="X249" s="9">
        <f t="shared" si="69"/>
        <v>0</v>
      </c>
      <c r="Y249" s="9">
        <f t="shared" ca="1" si="69"/>
        <v>0</v>
      </c>
      <c r="Z249" s="9">
        <f t="shared" ca="1" si="69"/>
        <v>0</v>
      </c>
      <c r="AA249" s="9">
        <f t="shared" ca="1" si="69"/>
        <v>0</v>
      </c>
    </row>
    <row r="250" spans="1:27">
      <c r="A250" s="8" t="str">
        <f>A249</f>
        <v>Type 13</v>
      </c>
      <c r="B250" s="7">
        <f>B249+1</f>
        <v>2021</v>
      </c>
      <c r="C250" s="7" t="str">
        <f>C249</f>
        <v>Annual</v>
      </c>
      <c r="D250" s="7">
        <f t="shared" si="70"/>
        <v>0</v>
      </c>
      <c r="E250" s="7">
        <f t="shared" si="70"/>
        <v>0</v>
      </c>
      <c r="F250" s="14">
        <f>$O$98</f>
        <v>0.18606977230199898</v>
      </c>
      <c r="H250" s="9"/>
      <c r="I250" s="9"/>
      <c r="J250" s="9"/>
      <c r="K250" s="9">
        <f ca="1">$E$98</f>
        <v>0</v>
      </c>
      <c r="L250" s="9">
        <f ca="1">K250-S250</f>
        <v>0</v>
      </c>
      <c r="M250" s="9">
        <f ca="1">L250-T250</f>
        <v>0</v>
      </c>
      <c r="N250" s="9"/>
      <c r="O250" s="9"/>
      <c r="P250" s="9"/>
      <c r="Q250" s="9"/>
      <c r="R250" s="9">
        <f ca="1">IF(OR($C250="Annual",$D250=$E250),IF(AND($D250=$E250,R$111=$B250+$D250),$K250,IF(AND(R$111&gt;$B250+$D250,R$111&lt;=$B250+$E250), $K250/($E250-$D250),0)), IF(OR(R$111=$B250+$D250,R$111=$B250+$E250),$K250/(($E250-$D250)*2),IF(AND(R$111&gt;$B250+$D250,R$111&lt;$B250+$E250),$K250/($E250-$D250),0)))</f>
        <v>0</v>
      </c>
      <c r="S250" s="9">
        <f>IF(OR($C250="Annual",$D250=$E250),IF(AND($D250=$E250,S$111=$B250+$D250),$K250,IF(AND(S$111&gt;$B250+$D250,S$111&lt;=$B250+$E250), $K250/($E250-$D250),0)), IF(OR(S$111=$B250+$D250,S$111=$B250+$E250),$K250/(($E250-$D250)*2),IF(AND(S$111&gt;$B250+$D250,S$111&lt;$B250+$E250),$K250/($E250-$D250),0)))</f>
        <v>0</v>
      </c>
      <c r="T250" s="9">
        <f>IF(OR($C250="Annual",$D250=$E250),IF(AND($D250=$E250,T$111=$B250+$D250),$K250,IF(AND(T$111&gt;$B250+$D250,T$111&lt;=$B250+$E250), $K250/($E250-$D250),0)), IF(OR(T$111=$B250+$D250,T$111=$B250+$E250),$K250/(($E250-$D250)*2),IF(AND(T$111&gt;$B250+$D250,T$111&lt;$B250+$E250),$K250/($E250-$D250),0)))</f>
        <v>0</v>
      </c>
      <c r="U250" s="9"/>
      <c r="V250" s="9"/>
      <c r="W250" s="9"/>
      <c r="X250" s="9"/>
      <c r="Y250" s="9">
        <f t="shared" si="69"/>
        <v>0</v>
      </c>
      <c r="Z250" s="9">
        <f t="shared" ca="1" si="69"/>
        <v>0</v>
      </c>
      <c r="AA250" s="9">
        <f t="shared" ca="1" si="69"/>
        <v>0</v>
      </c>
    </row>
    <row r="251" spans="1:27">
      <c r="A251" s="8" t="str">
        <f>A250</f>
        <v>Type 13</v>
      </c>
      <c r="B251" s="7">
        <f>B250+1</f>
        <v>2022</v>
      </c>
      <c r="C251" s="7" t="str">
        <f>C250</f>
        <v>Annual</v>
      </c>
      <c r="D251" s="7">
        <f t="shared" si="70"/>
        <v>0</v>
      </c>
      <c r="E251" s="7">
        <f t="shared" si="70"/>
        <v>0</v>
      </c>
      <c r="F251" s="14">
        <f>$P$98</f>
        <v>0.18606977230199898</v>
      </c>
      <c r="H251" s="9"/>
      <c r="I251" s="9"/>
      <c r="J251" s="9"/>
      <c r="K251" s="9"/>
      <c r="L251" s="9">
        <f ca="1">$F$98</f>
        <v>0</v>
      </c>
      <c r="M251" s="9">
        <f ca="1">L251-T251</f>
        <v>0</v>
      </c>
      <c r="N251" s="9"/>
      <c r="O251" s="9"/>
      <c r="P251" s="9"/>
      <c r="Q251" s="9"/>
      <c r="R251" s="9"/>
      <c r="S251" s="9">
        <f ca="1">IF(OR($C251="Annual",$D251=$E251),IF(AND($D251=$E251,S$111=$B251+$D251),$L251,IF(AND(S$111&gt;$B251+$D251,S$111&lt;=$B251+$E251), $L251/($E251-$D251),0)), IF(OR(S$111=$B251+$D251,S$111=$B251+$E251),$L251/(($E251-$D251)*2),IF(AND(S$111&gt;$B251+$D251,S$111&lt;$B251+$E251),$L251/($E251-$D251),0)))</f>
        <v>0</v>
      </c>
      <c r="T251" s="9">
        <f>IF(OR($C251="Annual",$D251=$E251),IF(AND($D251=$E251,T$111=$B251+$D251),$L251,IF(AND(T$111&gt;$B251+$D251,T$111&lt;=$B251+$E251), $L251/($E251-$D251),0)), IF(OR(T$111=$B251+$D251,T$111=$B251+$E251),$L251/(($E251-$D251)*2),IF(AND(T$111&gt;$B251+$D251,T$111&lt;$B251+$E251),$L251/($E251-$D251),0)))</f>
        <v>0</v>
      </c>
      <c r="U251" s="9"/>
      <c r="V251" s="9"/>
      <c r="W251" s="9"/>
      <c r="X251" s="9"/>
      <c r="Y251" s="9"/>
      <c r="Z251" s="9">
        <f t="shared" si="69"/>
        <v>0</v>
      </c>
      <c r="AA251" s="9">
        <f t="shared" ca="1" si="69"/>
        <v>0</v>
      </c>
    </row>
    <row r="252" spans="1:27">
      <c r="A252" s="8" t="str">
        <f>A251</f>
        <v>Type 13</v>
      </c>
      <c r="B252" s="7">
        <f>B251+1</f>
        <v>2023</v>
      </c>
      <c r="C252" s="7" t="str">
        <f>C251</f>
        <v>Annual</v>
      </c>
      <c r="D252" s="7">
        <f t="shared" si="70"/>
        <v>0</v>
      </c>
      <c r="E252" s="7">
        <f t="shared" si="70"/>
        <v>0</v>
      </c>
      <c r="F252" s="14">
        <f>$Q$98</f>
        <v>0.18606977230199898</v>
      </c>
      <c r="H252" s="9"/>
      <c r="I252" s="9"/>
      <c r="J252" s="9"/>
      <c r="K252" s="9"/>
      <c r="L252" s="9"/>
      <c r="M252" s="9">
        <f ca="1">$G$98</f>
        <v>0</v>
      </c>
      <c r="N252" s="9"/>
      <c r="O252" s="9"/>
      <c r="P252" s="9"/>
      <c r="Q252" s="9"/>
      <c r="R252" s="9"/>
      <c r="S252" s="9"/>
      <c r="T252" s="9">
        <f ca="1">IF(OR($C252="Annual",$D252=$E252),IF(AND($D252=$E252,T$111=$B252+$D252),$M252,IF(AND(T$111&gt;$B252+$D252,T$111&lt;=$B252+$E252), $M252/($E252-$D252),0)), IF(OR(T$111=$B252+$D252,T$111=$B252+$E252),$M252/(($E252-$D252)*2),IF(AND(T$111&gt;$B252+$D252,T$111&lt;$B252+$E252),$M252/($E252-$D252),0)))</f>
        <v>0</v>
      </c>
      <c r="U252" s="9"/>
      <c r="V252" s="9"/>
      <c r="W252" s="9"/>
      <c r="X252" s="9"/>
      <c r="Y252" s="9"/>
      <c r="Z252" s="9"/>
      <c r="AA252" s="9">
        <f t="shared" si="69"/>
        <v>0</v>
      </c>
    </row>
    <row r="253" spans="1:27">
      <c r="C253" s="281"/>
      <c r="F253" s="15"/>
      <c r="H253" s="10"/>
      <c r="I253" s="10"/>
      <c r="J253" s="10"/>
      <c r="K253" s="10"/>
      <c r="L253" s="10"/>
      <c r="M253" s="10"/>
      <c r="N253" s="10"/>
      <c r="O253" s="278"/>
      <c r="P253" s="10"/>
      <c r="Q253" s="10"/>
      <c r="R253" s="10"/>
      <c r="S253" s="10"/>
      <c r="T253" s="10"/>
      <c r="U253" s="10"/>
      <c r="V253" s="10"/>
      <c r="W253" s="10"/>
      <c r="X253" s="10"/>
      <c r="Y253" s="10"/>
      <c r="Z253" s="10"/>
      <c r="AA253" s="10"/>
    </row>
    <row r="254" spans="1:27">
      <c r="A254" s="8" t="str">
        <f>'Input 4 - Forecast'!A80</f>
        <v>Type 14</v>
      </c>
      <c r="B254" s="7">
        <f>B119</f>
        <v>2018</v>
      </c>
      <c r="C254" s="7" t="str">
        <f>$I99</f>
        <v>Annual</v>
      </c>
      <c r="D254" s="7">
        <f>$J99</f>
        <v>0</v>
      </c>
      <c r="E254" s="7">
        <f>$K99</f>
        <v>0</v>
      </c>
      <c r="F254" s="14">
        <f>$L$99</f>
        <v>0</v>
      </c>
      <c r="H254" s="9">
        <f>$B$99</f>
        <v>0</v>
      </c>
      <c r="I254" s="9">
        <f>H254-P254</f>
        <v>0</v>
      </c>
      <c r="J254" s="9">
        <f>I254-Q254</f>
        <v>0</v>
      </c>
      <c r="K254" s="9">
        <f>J254-R254</f>
        <v>0</v>
      </c>
      <c r="L254" s="9">
        <f>K254-S254</f>
        <v>0</v>
      </c>
      <c r="M254" s="9">
        <f>L254-T254</f>
        <v>0</v>
      </c>
      <c r="N254" s="9"/>
      <c r="O254" s="9">
        <f t="shared" ref="O254:T254" si="71">IF(OR($C254="Annual",$D254=$E254),IF(AND($D254=$E254,O$111=$B254+$D254),$H254,IF(AND(O$111&gt;$B254+$D254,O$111&lt;=$B254+$E254), $H254/($E254-$D254),0)), IF(OR(O$111=$B254+$D254,O$111=$B254+$E254),$H254/(($E254-$D254)*2),IF(AND(O$111&gt;$B254+$D254,O$111&lt;$B254+$E254),$H254/($E254-$D254),0)))</f>
        <v>0</v>
      </c>
      <c r="P254" s="9">
        <f t="shared" si="71"/>
        <v>0</v>
      </c>
      <c r="Q254" s="9">
        <f t="shared" si="71"/>
        <v>0</v>
      </c>
      <c r="R254" s="9">
        <f t="shared" si="71"/>
        <v>0</v>
      </c>
      <c r="S254" s="9">
        <f t="shared" si="71"/>
        <v>0</v>
      </c>
      <c r="T254" s="9">
        <f t="shared" si="71"/>
        <v>0</v>
      </c>
      <c r="U254" s="9"/>
      <c r="V254" s="9">
        <f>IF($C254="annual",IF(V$111=$B254,0,G254*$F254),IF(V$111-$B254=0,0,IF((V$111-$B254)&lt;$E254,AVERAGE(G254,H254)*$F254,IF((V$111-$B254)=$E254,G254*$F254/2,0))))</f>
        <v>0</v>
      </c>
      <c r="W254" s="9">
        <f t="shared" ref="W254:AA259" si="72">IF($C254="annual",IF(W$111=$B254,0,H254*$F254),IF(W$111-$B254=0,0,IF((W$111-$B254)&lt;$E254,AVERAGE(H254,I254)*$F254,IF((W$111-$B254)=$E254,H254*$F254/2,0))))</f>
        <v>0</v>
      </c>
      <c r="X254" s="9">
        <f t="shared" si="72"/>
        <v>0</v>
      </c>
      <c r="Y254" s="9">
        <f t="shared" si="72"/>
        <v>0</v>
      </c>
      <c r="Z254" s="9">
        <f t="shared" si="72"/>
        <v>0</v>
      </c>
      <c r="AA254" s="9">
        <f t="shared" si="72"/>
        <v>0</v>
      </c>
    </row>
    <row r="255" spans="1:27">
      <c r="A255" s="8" t="str">
        <f>A254</f>
        <v>Type 14</v>
      </c>
      <c r="B255" s="7">
        <f>B254+1</f>
        <v>2019</v>
      </c>
      <c r="C255" s="7" t="str">
        <f>C254</f>
        <v>Annual</v>
      </c>
      <c r="D255" s="7">
        <f t="shared" ref="D255:E259" si="73">D254</f>
        <v>0</v>
      </c>
      <c r="E255" s="7">
        <f t="shared" si="73"/>
        <v>0</v>
      </c>
      <c r="F255" s="14">
        <f>$M$99</f>
        <v>0.18606977230199898</v>
      </c>
      <c r="H255" s="9"/>
      <c r="I255" s="9">
        <f ca="1">$C$99</f>
        <v>0</v>
      </c>
      <c r="J255" s="9">
        <f ca="1">I255-Q255</f>
        <v>0</v>
      </c>
      <c r="K255" s="9">
        <f ca="1">J255-R255</f>
        <v>0</v>
      </c>
      <c r="L255" s="9">
        <f ca="1">K255-S255</f>
        <v>0</v>
      </c>
      <c r="M255" s="9">
        <f ca="1">L255-T255</f>
        <v>0</v>
      </c>
      <c r="N255" s="9"/>
      <c r="O255" s="9"/>
      <c r="P255" s="9">
        <f ca="1">IF(OR($C255="Annual",$D255=$E255),IF(AND($D255=$E255,P$111=$B255+$D255),$I255,IF(AND(P$111&gt;$B255+$D255,P$111&lt;=$B255+$E255), $I255/($E255-$D255),0)), IF(OR(P$111=$B255+$D255,P$111=$B255+$E255),$I255/(($E255-$D255)*2),IF(AND(P$111&gt;$B255+$D255,P$111&lt;$B255+$E255),$I255/($E255-$D255),0)))</f>
        <v>0</v>
      </c>
      <c r="Q255" s="9">
        <f>IF(OR($C255="Annual",$D255=$E255),IF(AND($D255=$E255,Q$111=$B255+$D255),$I255,IF(AND(Q$111&gt;$B255+$D255,Q$111&lt;=$B255+$E255), $I255/($E255-$D255),0)), IF(OR(Q$111=$B255+$D255,Q$111=$B255+$E255),$I255/(($E255-$D255)*2),IF(AND(Q$111&gt;$B255+$D255,Q$111&lt;$B255+$E255),$I255/($E255-$D255),0)))</f>
        <v>0</v>
      </c>
      <c r="R255" s="9">
        <f>IF(OR($C255="Annual",$D255=$E255),IF(AND($D255=$E255,R$111=$B255+$D255),$I255,IF(AND(R$111&gt;$B255+$D255,R$111&lt;=$B255+$E255), $I255/($E255-$D255),0)), IF(OR(R$111=$B255+$D255,R$111=$B255+$E255),$I255/(($E255-$D255)*2),IF(AND(R$111&gt;$B255+$D255,R$111&lt;$B255+$E255),$I255/($E255-$D255),0)))</f>
        <v>0</v>
      </c>
      <c r="S255" s="9">
        <f>IF(OR($C255="Annual",$D255=$E255),IF(AND($D255=$E255,S$111=$B255+$D255),$I255,IF(AND(S$111&gt;$B255+$D255,S$111&lt;=$B255+$E255), $I255/($E255-$D255),0)), IF(OR(S$111=$B255+$D255,S$111=$B255+$E255),$I255/(($E255-$D255)*2),IF(AND(S$111&gt;$B255+$D255,S$111&lt;$B255+$E255),$I255/($E255-$D255),0)))</f>
        <v>0</v>
      </c>
      <c r="T255" s="9">
        <f>IF(OR($C255="Annual",$D255=$E255),IF(AND($D255=$E255,T$111=$B255+$D255),$I255,IF(AND(T$111&gt;$B255+$D255,T$111&lt;=$B255+$E255), $I255/($E255-$D255),0)), IF(OR(T$111=$B255+$D255,T$111=$B255+$E255),$I255/(($E255-$D255)*2),IF(AND(T$111&gt;$B255+$D255,T$111&lt;$B255+$E255),$I255/($E255-$D255),0)))</f>
        <v>0</v>
      </c>
      <c r="U255" s="9"/>
      <c r="V255" s="9"/>
      <c r="W255" s="9">
        <f t="shared" si="72"/>
        <v>0</v>
      </c>
      <c r="X255" s="9">
        <f t="shared" ca="1" si="72"/>
        <v>0</v>
      </c>
      <c r="Y255" s="9">
        <f t="shared" ca="1" si="72"/>
        <v>0</v>
      </c>
      <c r="Z255" s="9">
        <f t="shared" ca="1" si="72"/>
        <v>0</v>
      </c>
      <c r="AA255" s="9">
        <f t="shared" ca="1" si="72"/>
        <v>0</v>
      </c>
    </row>
    <row r="256" spans="1:27">
      <c r="A256" s="8" t="str">
        <f>A255</f>
        <v>Type 14</v>
      </c>
      <c r="B256" s="7">
        <f>B255+1</f>
        <v>2020</v>
      </c>
      <c r="C256" s="7" t="str">
        <f>C255</f>
        <v>Annual</v>
      </c>
      <c r="D256" s="7">
        <f t="shared" si="73"/>
        <v>0</v>
      </c>
      <c r="E256" s="7">
        <f t="shared" si="73"/>
        <v>0</v>
      </c>
      <c r="F256" s="14">
        <f>$N$99</f>
        <v>0.18606977230199898</v>
      </c>
      <c r="H256" s="9"/>
      <c r="I256" s="9"/>
      <c r="J256" s="9">
        <f ca="1">$D$99</f>
        <v>0</v>
      </c>
      <c r="K256" s="9">
        <f ca="1">J256-R256</f>
        <v>0</v>
      </c>
      <c r="L256" s="9">
        <f ca="1">K256-S256</f>
        <v>0</v>
      </c>
      <c r="M256" s="9">
        <f ca="1">L256-T256</f>
        <v>0</v>
      </c>
      <c r="N256" s="9"/>
      <c r="O256" s="9"/>
      <c r="P256" s="9"/>
      <c r="Q256" s="9">
        <f ca="1">IF(OR($C256="Annual",$D256=$E256),IF(AND($D256=$E256,Q$111=$B256+$D256),$J256,IF(AND(Q$111&gt;$B256+$D256,Q$111&lt;=$B256+$E256), $J256/($E256-$D256),0)), IF(OR(Q$111=$B256+$D256,Q$111=$B256+$E256),$J256/(($E256-$D256)*2),IF(AND(Q$111&gt;$B256+$D256,Q$111&lt;$B256+$E256),$J256/($E256-$D256),0)))</f>
        <v>0</v>
      </c>
      <c r="R256" s="9">
        <f>IF(OR($C256="Annual",$D256=$E256),IF(AND($D256=$E256,R$111=$B256+$D256),$J256,IF(AND(R$111&gt;$B256+$D256,R$111&lt;=$B256+$E256), $J256/($E256-$D256),0)), IF(OR(R$111=$B256+$D256,R$111=$B256+$E256),$J256/(($E256-$D256)*2),IF(AND(R$111&gt;$B256+$D256,R$111&lt;$B256+$E256),$J256/($E256-$D256),0)))</f>
        <v>0</v>
      </c>
      <c r="S256" s="9">
        <f>IF(OR($C256="Annual",$D256=$E256),IF(AND($D256=$E256,S$111=$B256+$D256),$J256,IF(AND(S$111&gt;$B256+$D256,S$111&lt;=$B256+$E256), $J256/($E256-$D256),0)), IF(OR(S$111=$B256+$D256,S$111=$B256+$E256),$J256/(($E256-$D256)*2),IF(AND(S$111&gt;$B256+$D256,S$111&lt;$B256+$E256),$J256/($E256-$D256),0)))</f>
        <v>0</v>
      </c>
      <c r="T256" s="9">
        <f>IF(OR($C256="Annual",$D256=$E256),IF(AND($D256=$E256,T$111=$B256+$D256),$J256,IF(AND(T$111&gt;$B256+$D256,T$111&lt;=$B256+$E256), $J256/($E256-$D256),0)), IF(OR(T$111=$B256+$D256,T$111=$B256+$E256),$J256/(($E256-$D256)*2),IF(AND(T$111&gt;$B256+$D256,T$111&lt;$B256+$E256),$J256/($E256-$D256),0)))</f>
        <v>0</v>
      </c>
      <c r="U256" s="9"/>
      <c r="V256" s="9"/>
      <c r="W256" s="9"/>
      <c r="X256" s="9">
        <f t="shared" si="72"/>
        <v>0</v>
      </c>
      <c r="Y256" s="9">
        <f t="shared" ca="1" si="72"/>
        <v>0</v>
      </c>
      <c r="Z256" s="9">
        <f t="shared" ca="1" si="72"/>
        <v>0</v>
      </c>
      <c r="AA256" s="9">
        <f t="shared" ca="1" si="72"/>
        <v>0</v>
      </c>
    </row>
    <row r="257" spans="1:27">
      <c r="A257" s="8" t="str">
        <f>A256</f>
        <v>Type 14</v>
      </c>
      <c r="B257" s="7">
        <f>B256+1</f>
        <v>2021</v>
      </c>
      <c r="C257" s="7" t="str">
        <f>C256</f>
        <v>Annual</v>
      </c>
      <c r="D257" s="7">
        <f t="shared" si="73"/>
        <v>0</v>
      </c>
      <c r="E257" s="7">
        <f t="shared" si="73"/>
        <v>0</v>
      </c>
      <c r="F257" s="14">
        <f>$O$99</f>
        <v>0.18606977230199898</v>
      </c>
      <c r="H257" s="9"/>
      <c r="I257" s="9"/>
      <c r="J257" s="9"/>
      <c r="K257" s="9">
        <f ca="1">$E$99</f>
        <v>0</v>
      </c>
      <c r="L257" s="9">
        <f ca="1">K257-S257</f>
        <v>0</v>
      </c>
      <c r="M257" s="9">
        <f ca="1">L257-T257</f>
        <v>0</v>
      </c>
      <c r="N257" s="9"/>
      <c r="O257" s="9"/>
      <c r="P257" s="9"/>
      <c r="Q257" s="9"/>
      <c r="R257" s="9">
        <f ca="1">IF(OR($C257="Annual",$D257=$E257),IF(AND($D257=$E257,R$111=$B257+$D257),$K257,IF(AND(R$111&gt;$B257+$D257,R$111&lt;=$B257+$E257), $K257/($E257-$D257),0)), IF(OR(R$111=$B257+$D257,R$111=$B257+$E257),$K257/(($E257-$D257)*2),IF(AND(R$111&gt;$B257+$D257,R$111&lt;$B257+$E257),$K257/($E257-$D257),0)))</f>
        <v>0</v>
      </c>
      <c r="S257" s="9">
        <f>IF(OR($C257="Annual",$D257=$E257),IF(AND($D257=$E257,S$111=$B257+$D257),$K257,IF(AND(S$111&gt;$B257+$D257,S$111&lt;=$B257+$E257), $K257/($E257-$D257),0)), IF(OR(S$111=$B257+$D257,S$111=$B257+$E257),$K257/(($E257-$D257)*2),IF(AND(S$111&gt;$B257+$D257,S$111&lt;$B257+$E257),$K257/($E257-$D257),0)))</f>
        <v>0</v>
      </c>
      <c r="T257" s="9">
        <f>IF(OR($C257="Annual",$D257=$E257),IF(AND($D257=$E257,T$111=$B257+$D257),$K257,IF(AND(T$111&gt;$B257+$D257,T$111&lt;=$B257+$E257), $K257/($E257-$D257),0)), IF(OR(T$111=$B257+$D257,T$111=$B257+$E257),$K257/(($E257-$D257)*2),IF(AND(T$111&gt;$B257+$D257,T$111&lt;$B257+$E257),$K257/($E257-$D257),0)))</f>
        <v>0</v>
      </c>
      <c r="U257" s="9"/>
      <c r="V257" s="9"/>
      <c r="W257" s="9"/>
      <c r="X257" s="9"/>
      <c r="Y257" s="9">
        <f t="shared" si="72"/>
        <v>0</v>
      </c>
      <c r="Z257" s="9">
        <f t="shared" ca="1" si="72"/>
        <v>0</v>
      </c>
      <c r="AA257" s="9">
        <f t="shared" ca="1" si="72"/>
        <v>0</v>
      </c>
    </row>
    <row r="258" spans="1:27">
      <c r="A258" s="8" t="str">
        <f>A257</f>
        <v>Type 14</v>
      </c>
      <c r="B258" s="7">
        <f>B257+1</f>
        <v>2022</v>
      </c>
      <c r="C258" s="7" t="str">
        <f>C257</f>
        <v>Annual</v>
      </c>
      <c r="D258" s="7">
        <f t="shared" si="73"/>
        <v>0</v>
      </c>
      <c r="E258" s="7">
        <f t="shared" si="73"/>
        <v>0</v>
      </c>
      <c r="F258" s="14">
        <f>$P$99</f>
        <v>0.18606977230199898</v>
      </c>
      <c r="H258" s="9"/>
      <c r="I258" s="9"/>
      <c r="J258" s="9"/>
      <c r="K258" s="9"/>
      <c r="L258" s="9">
        <f ca="1">$F$99</f>
        <v>0</v>
      </c>
      <c r="M258" s="9">
        <f ca="1">L258-T258</f>
        <v>0</v>
      </c>
      <c r="N258" s="9"/>
      <c r="O258" s="9"/>
      <c r="P258" s="9"/>
      <c r="Q258" s="9"/>
      <c r="R258" s="9"/>
      <c r="S258" s="9">
        <f ca="1">IF(OR($C258="Annual",$D258=$E258),IF(AND($D258=$E258,S$111=$B258+$D258),$L258,IF(AND(S$111&gt;$B258+$D258,S$111&lt;=$B258+$E258), $L258/($E258-$D258),0)), IF(OR(S$111=$B258+$D258,S$111=$B258+$E258),$L258/(($E258-$D258)*2),IF(AND(S$111&gt;$B258+$D258,S$111&lt;$B258+$E258),$L258/($E258-$D258),0)))</f>
        <v>0</v>
      </c>
      <c r="T258" s="9">
        <f>IF(OR($C258="Annual",$D258=$E258),IF(AND($D258=$E258,T$111=$B258+$D258),$L258,IF(AND(T$111&gt;$B258+$D258,T$111&lt;=$B258+$E258), $L258/($E258-$D258),0)), IF(OR(T$111=$B258+$D258,T$111=$B258+$E258),$L258/(($E258-$D258)*2),IF(AND(T$111&gt;$B258+$D258,T$111&lt;$B258+$E258),$L258/($E258-$D258),0)))</f>
        <v>0</v>
      </c>
      <c r="U258" s="9"/>
      <c r="V258" s="9"/>
      <c r="W258" s="9"/>
      <c r="X258" s="9"/>
      <c r="Y258" s="9"/>
      <c r="Z258" s="9">
        <f t="shared" si="72"/>
        <v>0</v>
      </c>
      <c r="AA258" s="9">
        <f t="shared" ca="1" si="72"/>
        <v>0</v>
      </c>
    </row>
    <row r="259" spans="1:27">
      <c r="A259" s="8" t="str">
        <f>A258</f>
        <v>Type 14</v>
      </c>
      <c r="B259" s="7">
        <f>B258+1</f>
        <v>2023</v>
      </c>
      <c r="C259" s="7" t="str">
        <f>C258</f>
        <v>Annual</v>
      </c>
      <c r="D259" s="7">
        <f t="shared" si="73"/>
        <v>0</v>
      </c>
      <c r="E259" s="7">
        <f t="shared" si="73"/>
        <v>0</v>
      </c>
      <c r="F259" s="14">
        <f>$Q$99</f>
        <v>0.18606977230199898</v>
      </c>
      <c r="H259" s="9"/>
      <c r="I259" s="9"/>
      <c r="J259" s="9"/>
      <c r="K259" s="9"/>
      <c r="L259" s="9"/>
      <c r="M259" s="9">
        <f ca="1">$G$99</f>
        <v>0</v>
      </c>
      <c r="N259" s="9"/>
      <c r="O259" s="9"/>
      <c r="P259" s="9"/>
      <c r="Q259" s="9"/>
      <c r="R259" s="9"/>
      <c r="S259" s="9"/>
      <c r="T259" s="9">
        <f ca="1">IF(OR($C259="Annual",$D259=$E259),IF(AND($D259=$E259,T$111=$B259+$D259),$M259,IF(AND(T$111&gt;$B259+$D259,T$111&lt;=$B259+$E259), $M259/($E259-$D259),0)), IF(OR(T$111=$B259+$D259,T$111=$B259+$E259),$M259/(($E259-$D259)*2),IF(AND(T$111&gt;$B259+$D259,T$111&lt;$B259+$E259),$M259/($E259-$D259),0)))</f>
        <v>0</v>
      </c>
      <c r="U259" s="9"/>
      <c r="V259" s="9"/>
      <c r="W259" s="9"/>
      <c r="X259" s="9"/>
      <c r="Y259" s="9"/>
      <c r="Z259" s="9"/>
      <c r="AA259" s="9">
        <f t="shared" si="72"/>
        <v>0</v>
      </c>
    </row>
    <row r="260" spans="1:27">
      <c r="C260" s="281"/>
      <c r="F260" s="15"/>
      <c r="H260" s="10"/>
      <c r="I260" s="10"/>
      <c r="J260" s="10"/>
      <c r="K260" s="10"/>
      <c r="L260" s="10"/>
      <c r="M260" s="10"/>
      <c r="N260" s="10"/>
      <c r="O260" s="278"/>
      <c r="P260" s="10"/>
      <c r="Q260" s="10"/>
      <c r="R260" s="10"/>
      <c r="S260" s="10"/>
      <c r="T260" s="10"/>
      <c r="U260" s="10"/>
      <c r="V260" s="10"/>
      <c r="W260" s="10"/>
      <c r="X260" s="10"/>
      <c r="Y260" s="10"/>
      <c r="Z260" s="10"/>
      <c r="AA260" s="10"/>
    </row>
    <row r="261" spans="1:27" s="1150" customFormat="1">
      <c r="A261" s="1347" t="str">
        <f>'Input 4 - Forecast'!A81</f>
        <v>ZERO-COUPON BOND</v>
      </c>
      <c r="B261" s="1348">
        <f>B119</f>
        <v>2018</v>
      </c>
      <c r="C261" s="1348"/>
      <c r="D261" s="1348">
        <f>$J100</f>
        <v>0</v>
      </c>
      <c r="E261" s="1348">
        <f>$K100</f>
        <v>0</v>
      </c>
      <c r="F261" s="1349">
        <f>$L$100</f>
        <v>0</v>
      </c>
      <c r="H261" s="1350">
        <f>$B$100</f>
        <v>0</v>
      </c>
      <c r="I261" s="1350">
        <f>H261-P261</f>
        <v>0</v>
      </c>
      <c r="J261" s="1350">
        <f>I261-Q261</f>
        <v>0</v>
      </c>
      <c r="K261" s="1350">
        <f>J261-R261</f>
        <v>0</v>
      </c>
      <c r="L261" s="1350">
        <f>K261-S261</f>
        <v>0</v>
      </c>
      <c r="M261" s="1350">
        <f>L261-T261</f>
        <v>0</v>
      </c>
      <c r="N261" s="1350"/>
      <c r="O261" s="1350">
        <f t="shared" ref="O261:T261" si="74">IF($D261=$E261,IF(O$111=$B261+$E261,$H261,0),0)</f>
        <v>0</v>
      </c>
      <c r="P261" s="1350">
        <f t="shared" si="74"/>
        <v>0</v>
      </c>
      <c r="Q261" s="1350">
        <f t="shared" si="74"/>
        <v>0</v>
      </c>
      <c r="R261" s="1350">
        <f t="shared" si="74"/>
        <v>0</v>
      </c>
      <c r="S261" s="1350">
        <f t="shared" si="74"/>
        <v>0</v>
      </c>
      <c r="T261" s="1350">
        <f t="shared" si="74"/>
        <v>0</v>
      </c>
      <c r="U261" s="1350"/>
      <c r="V261" s="1350">
        <f t="shared" ref="V261:AA261" si="75">IF(V$111-$B261=$D261,$H261*(((1+$F261)^$D261)-1),0)</f>
        <v>0</v>
      </c>
      <c r="W261" s="1350">
        <f t="shared" si="75"/>
        <v>0</v>
      </c>
      <c r="X261" s="1350">
        <f t="shared" si="75"/>
        <v>0</v>
      </c>
      <c r="Y261" s="1350">
        <f t="shared" si="75"/>
        <v>0</v>
      </c>
      <c r="Z261" s="1350">
        <f t="shared" si="75"/>
        <v>0</v>
      </c>
      <c r="AA261" s="1350">
        <f t="shared" si="75"/>
        <v>0</v>
      </c>
    </row>
    <row r="262" spans="1:27" s="1150" customFormat="1">
      <c r="A262" s="1347" t="str">
        <f>A261</f>
        <v>ZERO-COUPON BOND</v>
      </c>
      <c r="B262" s="1348">
        <f>B261+1</f>
        <v>2019</v>
      </c>
      <c r="C262" s="1348"/>
      <c r="D262" s="1348">
        <f t="shared" ref="D262:E266" si="76">D261</f>
        <v>0</v>
      </c>
      <c r="E262" s="1348">
        <f t="shared" si="76"/>
        <v>0</v>
      </c>
      <c r="F262" s="1349">
        <f>$M$100</f>
        <v>0.18606977230199898</v>
      </c>
      <c r="H262" s="1350"/>
      <c r="I262" s="1350">
        <f ca="1">$C$100</f>
        <v>0</v>
      </c>
      <c r="J262" s="1350">
        <f ca="1">I262-Q262</f>
        <v>0</v>
      </c>
      <c r="K262" s="1350">
        <f ca="1">J262-R262</f>
        <v>0</v>
      </c>
      <c r="L262" s="1350">
        <f ca="1">K262-S262</f>
        <v>0</v>
      </c>
      <c r="M262" s="1350">
        <f ca="1">L262-T262</f>
        <v>0</v>
      </c>
      <c r="N262" s="1350"/>
      <c r="O262" s="1351"/>
      <c r="P262" s="1350">
        <f ca="1">IF($D262=$E262,IF(P$111=$B262+$E262,$I262,0),0)</f>
        <v>0</v>
      </c>
      <c r="Q262" s="1350">
        <f>IF($D262=$E262,IF(Q$111=$B262+$E262,$I262,0),0)</f>
        <v>0</v>
      </c>
      <c r="R262" s="1350">
        <f>IF($D262=$E262,IF(R$111=$B262+$E262,$I262,0),0)</f>
        <v>0</v>
      </c>
      <c r="S262" s="1350">
        <f>IF($D262=$E262,IF(S$111=$B262+$E262,$I262,0),0)</f>
        <v>0</v>
      </c>
      <c r="T262" s="1350">
        <f>IF($D262=$E262,IF(T$111=$B262+$E262,$I262,0),0)</f>
        <v>0</v>
      </c>
      <c r="U262" s="1350"/>
      <c r="V262" s="1350"/>
      <c r="W262" s="1350">
        <f ca="1">IF(W$111-$B262=$D262,$I262*(((1+$F262)^$D262)-1),0)</f>
        <v>0</v>
      </c>
      <c r="X262" s="1350">
        <f>IF(X$111-$B262=$D262,$I262*(((1+$F262)^$D262)-1),0)</f>
        <v>0</v>
      </c>
      <c r="Y262" s="1350">
        <f>IF(Y$111-$B262=$D262,$I262*(((1+$F262)^$D262)-1),0)</f>
        <v>0</v>
      </c>
      <c r="Z262" s="1350">
        <f>IF(Z$111-$B262=$D262,$I262*(((1+$F262)^$D262)-1),0)</f>
        <v>0</v>
      </c>
      <c r="AA262" s="1350">
        <f>IF(AA$111-$B262=$D262,$I262*(((1+$F262)^$D262)-1),0)</f>
        <v>0</v>
      </c>
    </row>
    <row r="263" spans="1:27" s="1150" customFormat="1">
      <c r="A263" s="1347" t="str">
        <f>A262</f>
        <v>ZERO-COUPON BOND</v>
      </c>
      <c r="B263" s="1348">
        <f>B262+1</f>
        <v>2020</v>
      </c>
      <c r="C263" s="1348"/>
      <c r="D263" s="1348">
        <f t="shared" si="76"/>
        <v>0</v>
      </c>
      <c r="E263" s="1348">
        <f t="shared" si="76"/>
        <v>0</v>
      </c>
      <c r="F263" s="1349">
        <f>$N$100</f>
        <v>0.18606977230199898</v>
      </c>
      <c r="H263" s="1350"/>
      <c r="I263" s="1350"/>
      <c r="J263" s="1350">
        <f ca="1">$D$100</f>
        <v>0</v>
      </c>
      <c r="K263" s="1350">
        <f ca="1">J263-R263</f>
        <v>0</v>
      </c>
      <c r="L263" s="1350">
        <f ca="1">K263-S263</f>
        <v>0</v>
      </c>
      <c r="M263" s="1350">
        <f ca="1">L263-T263</f>
        <v>0</v>
      </c>
      <c r="N263" s="1350"/>
      <c r="O263" s="1351"/>
      <c r="P263" s="1350"/>
      <c r="Q263" s="1350">
        <f ca="1">IF($D263=$E263,IF(Q$111=$B263+$E263,$J263,0),0)</f>
        <v>0</v>
      </c>
      <c r="R263" s="1350">
        <f>IF($D263=$E263,IF(R$111=$B263+$E263,$J263,0),0)</f>
        <v>0</v>
      </c>
      <c r="S263" s="1350">
        <f>IF($D263=$E263,IF(S$111=$B263+$E263,$J263,0),0)</f>
        <v>0</v>
      </c>
      <c r="T263" s="1350">
        <f>IF($D263=$E263,IF(T$111=$B263+$E263,$J263,0),0)</f>
        <v>0</v>
      </c>
      <c r="U263" s="1350"/>
      <c r="V263" s="1350"/>
      <c r="W263" s="1350"/>
      <c r="X263" s="1350">
        <f ca="1">IF(X$111-$B263=$D263,$J263*(((1+$F263)^$D263)-1),0)</f>
        <v>0</v>
      </c>
      <c r="Y263" s="1350">
        <f>IF(Y$111-$B263=$D263,$J263*(((1+$F263)^$D263)-1),0)</f>
        <v>0</v>
      </c>
      <c r="Z263" s="1350">
        <f>IF(Z$111-$B263=$D263,$J263*(((1+$F263)^$D263)-1),0)</f>
        <v>0</v>
      </c>
      <c r="AA263" s="1350">
        <f>IF(AA$111-$B263=$D263,$J263*(((1+$F263)^$D263)-1),0)</f>
        <v>0</v>
      </c>
    </row>
    <row r="264" spans="1:27" s="1150" customFormat="1">
      <c r="A264" s="1347" t="str">
        <f>A263</f>
        <v>ZERO-COUPON BOND</v>
      </c>
      <c r="B264" s="1348">
        <f>B263+1</f>
        <v>2021</v>
      </c>
      <c r="C264" s="1348"/>
      <c r="D264" s="1348">
        <f t="shared" si="76"/>
        <v>0</v>
      </c>
      <c r="E264" s="1348">
        <f t="shared" si="76"/>
        <v>0</v>
      </c>
      <c r="F264" s="1349">
        <f>$O$100</f>
        <v>0.18606977230199898</v>
      </c>
      <c r="H264" s="1350"/>
      <c r="I264" s="1350"/>
      <c r="J264" s="1350"/>
      <c r="K264" s="1350">
        <f ca="1">$E$100</f>
        <v>0</v>
      </c>
      <c r="L264" s="1350">
        <f ca="1">K264-S264</f>
        <v>0</v>
      </c>
      <c r="M264" s="1350">
        <f ca="1">L264-T264</f>
        <v>0</v>
      </c>
      <c r="N264" s="1350"/>
      <c r="O264" s="1351"/>
      <c r="P264" s="1350"/>
      <c r="Q264" s="1350"/>
      <c r="R264" s="1350">
        <f ca="1">IF($D264=$E264,IF(R$111=$B264+$E264,$K264,0),0)</f>
        <v>0</v>
      </c>
      <c r="S264" s="1350">
        <f>IF($D264=$E264,IF(S$111=$B264+$E264,$K264,0),0)</f>
        <v>0</v>
      </c>
      <c r="T264" s="1350">
        <f>IF($D264=$E264,IF(T$111=$B264+$E264,$K264,0),0)</f>
        <v>0</v>
      </c>
      <c r="U264" s="1350"/>
      <c r="V264" s="1350"/>
      <c r="W264" s="1350"/>
      <c r="X264" s="1350"/>
      <c r="Y264" s="1350">
        <f ca="1">IF(Y$111-$B264=$D264,$K264*(((1+$F264)^$D264)-1),0)</f>
        <v>0</v>
      </c>
      <c r="Z264" s="1350">
        <f>IF(Z$111-$B264=$D264,$K264*(((1+$F264)^$D264)-1),0)</f>
        <v>0</v>
      </c>
      <c r="AA264" s="1350">
        <f>IF(AA$111-$B264=$D264,$K264*(((1+$F264)^$D264)-1),0)</f>
        <v>0</v>
      </c>
    </row>
    <row r="265" spans="1:27" s="1150" customFormat="1">
      <c r="A265" s="1347" t="str">
        <f>A264</f>
        <v>ZERO-COUPON BOND</v>
      </c>
      <c r="B265" s="1348">
        <f>B264+1</f>
        <v>2022</v>
      </c>
      <c r="C265" s="1348"/>
      <c r="D265" s="1348">
        <f t="shared" si="76"/>
        <v>0</v>
      </c>
      <c r="E265" s="1348">
        <f t="shared" si="76"/>
        <v>0</v>
      </c>
      <c r="F265" s="1349">
        <f>$P$100</f>
        <v>0.18606977230199898</v>
      </c>
      <c r="H265" s="1350"/>
      <c r="I265" s="1350"/>
      <c r="J265" s="1350"/>
      <c r="K265" s="1350"/>
      <c r="L265" s="1350">
        <f ca="1">$F$100</f>
        <v>0</v>
      </c>
      <c r="M265" s="1350">
        <f ca="1">L265-T265</f>
        <v>0</v>
      </c>
      <c r="N265" s="1350"/>
      <c r="O265" s="1351"/>
      <c r="P265" s="1350"/>
      <c r="Q265" s="1350"/>
      <c r="R265" s="1350"/>
      <c r="S265" s="1350">
        <f ca="1">IF($D265=$E265,IF(S$111=$B265+$E265,$L265,0),0)</f>
        <v>0</v>
      </c>
      <c r="T265" s="1350">
        <f>IF($D265=$E265,IF(T$111=$B265+$E265,$L265,0),0)</f>
        <v>0</v>
      </c>
      <c r="U265" s="1350"/>
      <c r="V265" s="1350"/>
      <c r="W265" s="1350"/>
      <c r="X265" s="1350"/>
      <c r="Y265" s="1350"/>
      <c r="Z265" s="1350">
        <f ca="1">IF(Z$111-$B265=$D265,$L265*(((1+$F265)^$D265)-1),0)</f>
        <v>0</v>
      </c>
      <c r="AA265" s="1350">
        <f>IF(AA$111-$B265=$D265,$L265*(((1+$F265)^$D265)-1),0)</f>
        <v>0</v>
      </c>
    </row>
    <row r="266" spans="1:27" s="1150" customFormat="1">
      <c r="A266" s="1347" t="str">
        <f>A265</f>
        <v>ZERO-COUPON BOND</v>
      </c>
      <c r="B266" s="1348">
        <f>B265+1</f>
        <v>2023</v>
      </c>
      <c r="C266" s="1348"/>
      <c r="D266" s="1348">
        <f t="shared" si="76"/>
        <v>0</v>
      </c>
      <c r="E266" s="1348">
        <f t="shared" si="76"/>
        <v>0</v>
      </c>
      <c r="F266" s="1349">
        <f>$Q$100</f>
        <v>0.18606977230199898</v>
      </c>
      <c r="H266" s="1350"/>
      <c r="I266" s="1350"/>
      <c r="J266" s="1350"/>
      <c r="K266" s="1350"/>
      <c r="L266" s="1350"/>
      <c r="M266" s="1350">
        <f ca="1">$G$100</f>
        <v>0</v>
      </c>
      <c r="N266" s="1350"/>
      <c r="O266" s="1351"/>
      <c r="P266" s="1350"/>
      <c r="Q266" s="1350"/>
      <c r="R266" s="1350"/>
      <c r="S266" s="1350"/>
      <c r="T266" s="1350">
        <f ca="1">IF($D266=$E266,IF(T$111=$B266+$E266,$M266,0),0)</f>
        <v>0</v>
      </c>
      <c r="U266" s="1350"/>
      <c r="V266" s="1350"/>
      <c r="W266" s="1350"/>
      <c r="X266" s="1350"/>
      <c r="Y266" s="1350"/>
      <c r="Z266" s="1350"/>
      <c r="AA266" s="1350">
        <f ca="1">IF(AA$111-$B266=$D266,$M266*(((1+$F266)^$D266)-1),0)</f>
        <v>0</v>
      </c>
    </row>
    <row r="267" spans="1:27" ht="15.75" thickBot="1">
      <c r="H267" s="10"/>
      <c r="I267" s="10"/>
      <c r="J267" s="10"/>
      <c r="K267" s="10"/>
      <c r="L267" s="10"/>
      <c r="M267" s="10"/>
      <c r="N267" s="10"/>
      <c r="O267" s="10"/>
      <c r="P267" s="10"/>
      <c r="Q267" s="10"/>
      <c r="R267" s="10"/>
      <c r="S267" s="10"/>
      <c r="T267" s="10"/>
      <c r="U267" s="10"/>
      <c r="V267" s="10"/>
      <c r="W267" s="10"/>
      <c r="X267" s="10"/>
      <c r="Y267" s="10"/>
      <c r="Z267" s="10"/>
      <c r="AA267" s="10"/>
    </row>
    <row r="268" spans="1:27" ht="15.75" thickBot="1">
      <c r="A268" s="12" t="str">
        <f>'Input 4 - Forecast'!A82</f>
        <v>Denominated in foreign currency</v>
      </c>
      <c r="B268" s="1999" t="s">
        <v>52</v>
      </c>
      <c r="C268" s="2000"/>
      <c r="D268" s="2000"/>
      <c r="E268" s="2000"/>
      <c r="F268" s="2000"/>
      <c r="G268" s="2000"/>
      <c r="H268" s="2000"/>
      <c r="I268" s="2000"/>
      <c r="J268" s="2000"/>
      <c r="K268" s="2000"/>
      <c r="L268" s="2000"/>
      <c r="M268" s="2000"/>
      <c r="N268" s="2000"/>
      <c r="O268" s="2000"/>
      <c r="P268" s="2000"/>
      <c r="Q268" s="2000"/>
      <c r="R268" s="2000"/>
      <c r="S268" s="2000"/>
      <c r="T268" s="2000"/>
      <c r="U268" s="2000"/>
      <c r="V268" s="2000"/>
      <c r="W268" s="2000"/>
      <c r="X268" s="2000"/>
      <c r="Y268" s="2000"/>
      <c r="Z268" s="2000"/>
      <c r="AA268" s="2001"/>
    </row>
    <row r="269" spans="1:27">
      <c r="H269" s="10"/>
      <c r="I269" s="10"/>
      <c r="J269" s="10"/>
      <c r="K269" s="10"/>
      <c r="L269" s="10"/>
      <c r="M269" s="10"/>
      <c r="N269" s="10"/>
      <c r="O269" s="10"/>
      <c r="P269" s="10"/>
      <c r="Q269" s="10"/>
      <c r="R269" s="10"/>
      <c r="S269" s="10"/>
      <c r="T269" s="10"/>
      <c r="U269" s="10"/>
      <c r="V269" s="10"/>
      <c r="W269" s="10"/>
      <c r="X269" s="10"/>
      <c r="Y269" s="10"/>
      <c r="Z269" s="10"/>
      <c r="AA269" s="10"/>
    </row>
    <row r="270" spans="1:27">
      <c r="A270" s="8" t="str">
        <f>'Input 4 - Forecast'!A83</f>
        <v>Type 16</v>
      </c>
      <c r="B270" s="7">
        <f>B119</f>
        <v>2018</v>
      </c>
      <c r="C270" s="7" t="str">
        <f>$I102</f>
        <v>Annual</v>
      </c>
      <c r="D270" s="7">
        <f>$J102</f>
        <v>0</v>
      </c>
      <c r="E270" s="7">
        <f>$K102</f>
        <v>0</v>
      </c>
      <c r="F270" s="14">
        <f>$L$102</f>
        <v>0</v>
      </c>
      <c r="H270" s="9">
        <f>$B$102/$B$31</f>
        <v>0</v>
      </c>
      <c r="I270" s="9">
        <f>H270-P270</f>
        <v>0</v>
      </c>
      <c r="J270" s="9">
        <f>I270-Q270</f>
        <v>0</v>
      </c>
      <c r="K270" s="9">
        <f>J270-R270</f>
        <v>0</v>
      </c>
      <c r="L270" s="9">
        <f>K270-S270</f>
        <v>0</v>
      </c>
      <c r="M270" s="9">
        <f>L270-T270</f>
        <v>0</v>
      </c>
      <c r="N270" s="9"/>
      <c r="O270" s="9">
        <f t="shared" ref="O270:T270" si="77">IF(OR($C270="Annual",$D270=$E270),IF(AND($D270=$E270,O$111=$B270+$D270),$H270,IF(AND(O$111&gt;$B270+$D270,O$111&lt;=$B270+$E270), $H270/($E270-$D270),0)), IF(OR(O$111=$B270+$D270,O$111=$B270+$E270),$H270/(($E270-$D270)*2),IF(AND(O$111&gt;$B270+$D270,O$111&lt;$B270+$E270),$H270/($E270-$D270),0)))</f>
        <v>0</v>
      </c>
      <c r="P270" s="9">
        <f t="shared" si="77"/>
        <v>0</v>
      </c>
      <c r="Q270" s="9">
        <f t="shared" si="77"/>
        <v>0</v>
      </c>
      <c r="R270" s="9">
        <f t="shared" si="77"/>
        <v>0</v>
      </c>
      <c r="S270" s="9">
        <f t="shared" si="77"/>
        <v>0</v>
      </c>
      <c r="T270" s="9">
        <f t="shared" si="77"/>
        <v>0</v>
      </c>
      <c r="U270" s="9"/>
      <c r="V270" s="9">
        <f>IF($C270="annual",IF(V$111=$B270,0,G270*$F270),IF(V$111-$B270=0,0,IF((V$111-$B270)&lt;$E270,AVERAGE(G270,H270)*$F270,IF((V$111-$B270)=$E270,G270*$F270/2,0))))</f>
        <v>0</v>
      </c>
      <c r="W270" s="9">
        <f t="shared" ref="W270:AA275" si="78">IF($C270="annual",IF(W$111=$B270,0,H270*$F270),IF(W$111-$B270=0,0,IF((W$111-$B270)&lt;$E270,AVERAGE(H270,I270)*$F270,IF((W$111-$B270)=$E270,H270*$F270/2,0))))</f>
        <v>0</v>
      </c>
      <c r="X270" s="9">
        <f t="shared" si="78"/>
        <v>0</v>
      </c>
      <c r="Y270" s="9">
        <f t="shared" si="78"/>
        <v>0</v>
      </c>
      <c r="Z270" s="9">
        <f t="shared" si="78"/>
        <v>0</v>
      </c>
      <c r="AA270" s="9">
        <f t="shared" si="78"/>
        <v>0</v>
      </c>
    </row>
    <row r="271" spans="1:27">
      <c r="A271" s="8" t="str">
        <f>A270</f>
        <v>Type 16</v>
      </c>
      <c r="B271" s="7">
        <f>B270+1</f>
        <v>2019</v>
      </c>
      <c r="C271" s="7" t="str">
        <f>C270</f>
        <v>Annual</v>
      </c>
      <c r="D271" s="7">
        <f t="shared" ref="D271:E275" si="79">D270</f>
        <v>0</v>
      </c>
      <c r="E271" s="7">
        <f t="shared" si="79"/>
        <v>0</v>
      </c>
      <c r="F271" s="14">
        <f>$M$102</f>
        <v>0.18606977230199898</v>
      </c>
      <c r="H271" s="9"/>
      <c r="I271" s="9">
        <f ca="1">$C$102/$C$31</f>
        <v>0</v>
      </c>
      <c r="J271" s="9">
        <f ca="1">I271-Q271</f>
        <v>0</v>
      </c>
      <c r="K271" s="9">
        <f ca="1">J271-R271</f>
        <v>0</v>
      </c>
      <c r="L271" s="9">
        <f ca="1">K271-S271</f>
        <v>0</v>
      </c>
      <c r="M271" s="9">
        <f ca="1">L271-T271</f>
        <v>0</v>
      </c>
      <c r="N271" s="9"/>
      <c r="O271" s="9"/>
      <c r="P271" s="9">
        <f ca="1">IF(OR($C271="Annual",$D271=$E271),IF(AND($D271=$E271,P$111=$B271+$D271),$I271,IF(AND(P$111&gt;$B271+$D271,P$111&lt;=$B271+$E271), $I271/($E271-$D271),0)), IF(OR(P$111=$B271+$D271,P$111=$B271+$E271),$I271/(($E271-$D271)*2),IF(AND(P$111&gt;$B271+$D271,P$111&lt;$B271+$E271),$I271/($E271-$D271),0)))</f>
        <v>0</v>
      </c>
      <c r="Q271" s="9">
        <f>IF(OR($C271="Annual",$D271=$E271),IF(AND($D271=$E271,Q$111=$B271+$D271),$I271,IF(AND(Q$111&gt;$B271+$D271,Q$111&lt;=$B271+$E271), $I271/($E271-$D271),0)), IF(OR(Q$111=$B271+$D271,Q$111=$B271+$E271),$I271/(($E271-$D271)*2),IF(AND(Q$111&gt;$B271+$D271,Q$111&lt;$B271+$E271),$I271/($E271-$D271),0)))</f>
        <v>0</v>
      </c>
      <c r="R271" s="9">
        <f>IF(OR($C271="Annual",$D271=$E271),IF(AND($D271=$E271,R$111=$B271+$D271),$I271,IF(AND(R$111&gt;$B271+$D271,R$111&lt;=$B271+$E271), $I271/($E271-$D271),0)), IF(OR(R$111=$B271+$D271,R$111=$B271+$E271),$I271/(($E271-$D271)*2),IF(AND(R$111&gt;$B271+$D271,R$111&lt;$B271+$E271),$I271/($E271-$D271),0)))</f>
        <v>0</v>
      </c>
      <c r="S271" s="9">
        <f>IF(OR($C271="Annual",$D271=$E271),IF(AND($D271=$E271,S$111=$B271+$D271),$I271,IF(AND(S$111&gt;$B271+$D271,S$111&lt;=$B271+$E271), $I271/($E271-$D271),0)), IF(OR(S$111=$B271+$D271,S$111=$B271+$E271),$I271/(($E271-$D271)*2),IF(AND(S$111&gt;$B271+$D271,S$111&lt;$B271+$E271),$I271/($E271-$D271),0)))</f>
        <v>0</v>
      </c>
      <c r="T271" s="9">
        <f>IF(OR($C271="Annual",$D271=$E271),IF(AND($D271=$E271,T$111=$B271+$D271),$I271,IF(AND(T$111&gt;$B271+$D271,T$111&lt;=$B271+$E271), $I271/($E271-$D271),0)), IF(OR(T$111=$B271+$D271,T$111=$B271+$E271),$I271/(($E271-$D271)*2),IF(AND(T$111&gt;$B271+$D271,T$111&lt;$B271+$E271),$I271/($E271-$D271),0)))</f>
        <v>0</v>
      </c>
      <c r="U271" s="9"/>
      <c r="V271" s="9"/>
      <c r="W271" s="9">
        <f t="shared" si="78"/>
        <v>0</v>
      </c>
      <c r="X271" s="9">
        <f t="shared" ca="1" si="78"/>
        <v>0</v>
      </c>
      <c r="Y271" s="9">
        <f t="shared" ca="1" si="78"/>
        <v>0</v>
      </c>
      <c r="Z271" s="9">
        <f t="shared" ca="1" si="78"/>
        <v>0</v>
      </c>
      <c r="AA271" s="9">
        <f t="shared" ca="1" si="78"/>
        <v>0</v>
      </c>
    </row>
    <row r="272" spans="1:27">
      <c r="A272" s="8" t="str">
        <f>A271</f>
        <v>Type 16</v>
      </c>
      <c r="B272" s="7">
        <f>B271+1</f>
        <v>2020</v>
      </c>
      <c r="C272" s="7" t="str">
        <f>C271</f>
        <v>Annual</v>
      </c>
      <c r="D272" s="7">
        <f t="shared" si="79"/>
        <v>0</v>
      </c>
      <c r="E272" s="7">
        <f t="shared" si="79"/>
        <v>0</v>
      </c>
      <c r="F272" s="14">
        <f>$N$102</f>
        <v>0.18606977230199898</v>
      </c>
      <c r="H272" s="9"/>
      <c r="I272" s="9"/>
      <c r="J272" s="9">
        <f ca="1">$D$102/$D$31</f>
        <v>0</v>
      </c>
      <c r="K272" s="9">
        <f ca="1">J272-R272</f>
        <v>0</v>
      </c>
      <c r="L272" s="9">
        <f ca="1">K272-S272</f>
        <v>0</v>
      </c>
      <c r="M272" s="9">
        <f ca="1">L272-T272</f>
        <v>0</v>
      </c>
      <c r="N272" s="9"/>
      <c r="O272" s="9"/>
      <c r="P272" s="9"/>
      <c r="Q272" s="9">
        <f ca="1">IF(OR($C272="Annual",$D272=$E272),IF(AND($D272=$E272,Q$111=$B272+$D272),$J272,IF(AND(Q$111&gt;$B272+$D272,Q$111&lt;=$B272+$E272), $J272/($E272-$D272),0)), IF(OR(Q$111=$B272+$D272,Q$111=$B272+$E272),$J272/(($E272-$D272)*2),IF(AND(Q$111&gt;$B272+$D272,Q$111&lt;$B272+$E272),$J272/($E272-$D272),0)))</f>
        <v>0</v>
      </c>
      <c r="R272" s="9">
        <f>IF(OR($C272="Annual",$D272=$E272),IF(AND($D272=$E272,R$111=$B272+$D272),$J272,IF(AND(R$111&gt;$B272+$D272,R$111&lt;=$B272+$E272), $J272/($E272-$D272),0)), IF(OR(R$111=$B272+$D272,R$111=$B272+$E272),$J272/(($E272-$D272)*2),IF(AND(R$111&gt;$B272+$D272,R$111&lt;$B272+$E272),$J272/($E272-$D272),0)))</f>
        <v>0</v>
      </c>
      <c r="S272" s="9">
        <f>IF(OR($C272="Annual",$D272=$E272),IF(AND($D272=$E272,S$111=$B272+$D272),$J272,IF(AND(S$111&gt;$B272+$D272,S$111&lt;=$B272+$E272), $J272/($E272-$D272),0)), IF(OR(S$111=$B272+$D272,S$111=$B272+$E272),$J272/(($E272-$D272)*2),IF(AND(S$111&gt;$B272+$D272,S$111&lt;$B272+$E272),$J272/($E272-$D272),0)))</f>
        <v>0</v>
      </c>
      <c r="T272" s="9">
        <f>IF(OR($C272="Annual",$D272=$E272),IF(AND($D272=$E272,T$111=$B272+$D272),$J272,IF(AND(T$111&gt;$B272+$D272,T$111&lt;=$B272+$E272), $J272/($E272-$D272),0)), IF(OR(T$111=$B272+$D272,T$111=$B272+$E272),$J272/(($E272-$D272)*2),IF(AND(T$111&gt;$B272+$D272,T$111&lt;$B272+$E272),$J272/($E272-$D272),0)))</f>
        <v>0</v>
      </c>
      <c r="U272" s="9"/>
      <c r="V272" s="9"/>
      <c r="W272" s="9"/>
      <c r="X272" s="9">
        <f t="shared" si="78"/>
        <v>0</v>
      </c>
      <c r="Y272" s="9">
        <f t="shared" ca="1" si="78"/>
        <v>0</v>
      </c>
      <c r="Z272" s="9">
        <f t="shared" ca="1" si="78"/>
        <v>0</v>
      </c>
      <c r="AA272" s="9">
        <f t="shared" ca="1" si="78"/>
        <v>0</v>
      </c>
    </row>
    <row r="273" spans="1:27">
      <c r="A273" s="8" t="str">
        <f>A272</f>
        <v>Type 16</v>
      </c>
      <c r="B273" s="7">
        <f>B272+1</f>
        <v>2021</v>
      </c>
      <c r="C273" s="7" t="str">
        <f>C272</f>
        <v>Annual</v>
      </c>
      <c r="D273" s="7">
        <f t="shared" si="79"/>
        <v>0</v>
      </c>
      <c r="E273" s="7">
        <f t="shared" si="79"/>
        <v>0</v>
      </c>
      <c r="F273" s="14">
        <f>$O$102</f>
        <v>0.18606977230199898</v>
      </c>
      <c r="H273" s="9"/>
      <c r="I273" s="9"/>
      <c r="J273" s="9"/>
      <c r="K273" s="9">
        <f ca="1">$E$102/$E$31</f>
        <v>0</v>
      </c>
      <c r="L273" s="9">
        <f ca="1">K273-S273</f>
        <v>0</v>
      </c>
      <c r="M273" s="9">
        <f ca="1">L273-T273</f>
        <v>0</v>
      </c>
      <c r="N273" s="9"/>
      <c r="O273" s="9"/>
      <c r="P273" s="9"/>
      <c r="Q273" s="9"/>
      <c r="R273" s="9">
        <f ca="1">IF(OR($C273="Annual",$D273=$E273),IF(AND($D273=$E273,R$111=$B273+$D273),$K273,IF(AND(R$111&gt;$B273+$D273,R$111&lt;=$B273+$E273), $K273/($E273-$D273),0)), IF(OR(R$111=$B273+$D273,R$111=$B273+$E273),$K273/(($E273-$D273)*2),IF(AND(R$111&gt;$B273+$D273,R$111&lt;$B273+$E273),$K273/($E273-$D273),0)))</f>
        <v>0</v>
      </c>
      <c r="S273" s="9">
        <f>IF(OR($C273="Annual",$D273=$E273),IF(AND($D273=$E273,S$111=$B273+$D273),$K273,IF(AND(S$111&gt;$B273+$D273,S$111&lt;=$B273+$E273), $K273/($E273-$D273),0)), IF(OR(S$111=$B273+$D273,S$111=$B273+$E273),$K273/(($E273-$D273)*2),IF(AND(S$111&gt;$B273+$D273,S$111&lt;$B273+$E273),$K273/($E273-$D273),0)))</f>
        <v>0</v>
      </c>
      <c r="T273" s="9">
        <f>IF(OR($C273="Annual",$D273=$E273),IF(AND($D273=$E273,T$111=$B273+$D273),$K273,IF(AND(T$111&gt;$B273+$D273,T$111&lt;=$B273+$E273), $K273/($E273-$D273),0)), IF(OR(T$111=$B273+$D273,T$111=$B273+$E273),$K273/(($E273-$D273)*2),IF(AND(T$111&gt;$B273+$D273,T$111&lt;$B273+$E273),$K273/($E273-$D273),0)))</f>
        <v>0</v>
      </c>
      <c r="U273" s="9"/>
      <c r="V273" s="9"/>
      <c r="W273" s="9"/>
      <c r="X273" s="9"/>
      <c r="Y273" s="9">
        <f t="shared" si="78"/>
        <v>0</v>
      </c>
      <c r="Z273" s="9">
        <f t="shared" ca="1" si="78"/>
        <v>0</v>
      </c>
      <c r="AA273" s="9">
        <f t="shared" ca="1" si="78"/>
        <v>0</v>
      </c>
    </row>
    <row r="274" spans="1:27">
      <c r="A274" s="8" t="str">
        <f>A273</f>
        <v>Type 16</v>
      </c>
      <c r="B274" s="7">
        <f>B273+1</f>
        <v>2022</v>
      </c>
      <c r="C274" s="7" t="str">
        <f>C273</f>
        <v>Annual</v>
      </c>
      <c r="D274" s="7">
        <f t="shared" si="79"/>
        <v>0</v>
      </c>
      <c r="E274" s="7">
        <f t="shared" si="79"/>
        <v>0</v>
      </c>
      <c r="F274" s="14">
        <f>$P$102</f>
        <v>0.18606977230199898</v>
      </c>
      <c r="H274" s="9"/>
      <c r="I274" s="9"/>
      <c r="J274" s="9"/>
      <c r="K274" s="9"/>
      <c r="L274" s="9">
        <f ca="1">$F$102/$F$31</f>
        <v>0</v>
      </c>
      <c r="M274" s="9">
        <f ca="1">L274-T274</f>
        <v>0</v>
      </c>
      <c r="N274" s="9"/>
      <c r="O274" s="9"/>
      <c r="P274" s="9"/>
      <c r="Q274" s="9"/>
      <c r="R274" s="9"/>
      <c r="S274" s="9">
        <f ca="1">IF(OR($C274="Annual",$D274=$E274),IF(AND($D274=$E274,S$111=$B274+$D274),$L274,IF(AND(S$111&gt;$B274+$D274,S$111&lt;=$B274+$E274), $L274/($E274-$D274),0)), IF(OR(S$111=$B274+$D274,S$111=$B274+$E274),$L274/(($E274-$D274)*2),IF(AND(S$111&gt;$B274+$D274,S$111&lt;$B274+$E274),$L274/($E274-$D274),0)))</f>
        <v>0</v>
      </c>
      <c r="T274" s="9">
        <f>IF(OR($C274="Annual",$D274=$E274),IF(AND($D274=$E274,T$111=$B274+$D274),$L274,IF(AND(T$111&gt;$B274+$D274,T$111&lt;=$B274+$E274), $L274/($E274-$D274),0)), IF(OR(T$111=$B274+$D274,T$111=$B274+$E274),$L274/(($E274-$D274)*2),IF(AND(T$111&gt;$B274+$D274,T$111&lt;$B274+$E274),$L274/($E274-$D274),0)))</f>
        <v>0</v>
      </c>
      <c r="U274" s="9"/>
      <c r="V274" s="9"/>
      <c r="W274" s="9"/>
      <c r="X274" s="9"/>
      <c r="Y274" s="9"/>
      <c r="Z274" s="9">
        <f t="shared" si="78"/>
        <v>0</v>
      </c>
      <c r="AA274" s="9">
        <f t="shared" ca="1" si="78"/>
        <v>0</v>
      </c>
    </row>
    <row r="275" spans="1:27">
      <c r="A275" s="8" t="str">
        <f>A274</f>
        <v>Type 16</v>
      </c>
      <c r="B275" s="7">
        <f>B274+1</f>
        <v>2023</v>
      </c>
      <c r="C275" s="7" t="str">
        <f>C274</f>
        <v>Annual</v>
      </c>
      <c r="D275" s="7">
        <f t="shared" si="79"/>
        <v>0</v>
      </c>
      <c r="E275" s="7">
        <f t="shared" si="79"/>
        <v>0</v>
      </c>
      <c r="F275" s="14">
        <f>$Q$102</f>
        <v>0.18606977230199898</v>
      </c>
      <c r="H275" s="9"/>
      <c r="I275" s="9"/>
      <c r="J275" s="9"/>
      <c r="K275" s="9"/>
      <c r="L275" s="9"/>
      <c r="M275" s="9">
        <f ca="1">$G$102/$G$31</f>
        <v>0</v>
      </c>
      <c r="N275" s="9"/>
      <c r="O275" s="9"/>
      <c r="P275" s="9"/>
      <c r="Q275" s="9"/>
      <c r="R275" s="9"/>
      <c r="S275" s="9"/>
      <c r="T275" s="9">
        <f ca="1">IF(OR($C275="Annual",$D275=$E275),IF(AND($D275=$E275,T$111=$B275+$D275),$M275,IF(AND(T$111&gt;$B275+$D275,T$111&lt;=$B275+$E275), $M275/($E275-$D275),0)), IF(OR(T$111=$B275+$D275,T$111=$B275+$E275),$M275/(($E275-$D275)*2),IF(AND(T$111&gt;$B275+$D275,T$111&lt;$B275+$E275),$M275/($E275-$D275),0)))</f>
        <v>0</v>
      </c>
      <c r="U275" s="9"/>
      <c r="V275" s="9"/>
      <c r="W275" s="9"/>
      <c r="X275" s="9"/>
      <c r="Y275" s="9"/>
      <c r="Z275" s="9"/>
      <c r="AA275" s="9">
        <f t="shared" si="78"/>
        <v>0</v>
      </c>
    </row>
    <row r="276" spans="1:27">
      <c r="A276" s="8"/>
      <c r="B276" s="7"/>
      <c r="C276" s="7"/>
      <c r="D276" s="7"/>
      <c r="E276" s="7"/>
      <c r="F276" s="15"/>
      <c r="H276" s="9"/>
      <c r="I276" s="9"/>
      <c r="J276" s="9"/>
      <c r="K276" s="9"/>
      <c r="L276" s="9"/>
      <c r="M276" s="9"/>
      <c r="N276" s="9"/>
      <c r="O276" s="278"/>
      <c r="P276" s="10"/>
      <c r="Q276" s="10"/>
      <c r="R276" s="10"/>
      <c r="S276" s="10"/>
      <c r="T276" s="10"/>
      <c r="U276" s="9"/>
      <c r="V276" s="10"/>
      <c r="W276" s="10"/>
      <c r="X276" s="10"/>
      <c r="Y276" s="10"/>
      <c r="Z276" s="10"/>
      <c r="AA276" s="10"/>
    </row>
    <row r="277" spans="1:27">
      <c r="A277" s="8" t="str">
        <f>'Input 4 - Forecast'!A84</f>
        <v>Type 17</v>
      </c>
      <c r="B277" s="7">
        <f>B119</f>
        <v>2018</v>
      </c>
      <c r="C277" s="7" t="str">
        <f>$I103</f>
        <v>Annual</v>
      </c>
      <c r="D277" s="7">
        <f>$J103</f>
        <v>0</v>
      </c>
      <c r="E277" s="7">
        <f>$K103</f>
        <v>0</v>
      </c>
      <c r="F277" s="14">
        <f>$L$103</f>
        <v>0</v>
      </c>
      <c r="H277" s="9">
        <f>$B$103/$B$31</f>
        <v>0</v>
      </c>
      <c r="I277" s="9">
        <f>H277-P277</f>
        <v>0</v>
      </c>
      <c r="J277" s="9">
        <f>I277-Q277</f>
        <v>0</v>
      </c>
      <c r="K277" s="9">
        <f>J277-R277</f>
        <v>0</v>
      </c>
      <c r="L277" s="9">
        <f>K277-S277</f>
        <v>0</v>
      </c>
      <c r="M277" s="9">
        <f>L277-T277</f>
        <v>0</v>
      </c>
      <c r="N277" s="9"/>
      <c r="O277" s="9">
        <f t="shared" ref="O277:T277" si="80">IF(OR($C277="Annual",$D277=$E277),IF(AND($D277=$E277,O$111=$B277+$D277),$H277,IF(AND(O$111&gt;$B277+$D277,O$111&lt;=$B277+$E277), $H277/($E277-$D277),0)), IF(OR(O$111=$B277+$D277,O$111=$B277+$E277),$H277/(($E277-$D277)*2),IF(AND(O$111&gt;$B277+$D277,O$111&lt;$B277+$E277),$H277/($E277-$D277),0)))</f>
        <v>0</v>
      </c>
      <c r="P277" s="9">
        <f t="shared" si="80"/>
        <v>0</v>
      </c>
      <c r="Q277" s="9">
        <f t="shared" si="80"/>
        <v>0</v>
      </c>
      <c r="R277" s="9">
        <f t="shared" si="80"/>
        <v>0</v>
      </c>
      <c r="S277" s="9">
        <f t="shared" si="80"/>
        <v>0</v>
      </c>
      <c r="T277" s="9">
        <f t="shared" si="80"/>
        <v>0</v>
      </c>
      <c r="U277" s="9"/>
      <c r="V277" s="9">
        <f>IF($C277="annual",IF(V$111=$B277,0,G277*$F277),IF(V$111-$B277=0,0,IF((V$111-$B277)&lt;$E277,AVERAGE(G277,H277)*$F277,IF((V$111-$B277)=$E277,G277*$F277/2,0))))</f>
        <v>0</v>
      </c>
      <c r="W277" s="9">
        <f t="shared" ref="W277:AA282" si="81">IF($C277="annual",IF(W$111=$B277,0,H277*$F277),IF(W$111-$B277=0,0,IF((W$111-$B277)&lt;$E277,AVERAGE(H277,I277)*$F277,IF((W$111-$B277)=$E277,H277*$F277/2,0))))</f>
        <v>0</v>
      </c>
      <c r="X277" s="9">
        <f t="shared" si="81"/>
        <v>0</v>
      </c>
      <c r="Y277" s="9">
        <f t="shared" si="81"/>
        <v>0</v>
      </c>
      <c r="Z277" s="9">
        <f t="shared" si="81"/>
        <v>0</v>
      </c>
      <c r="AA277" s="9">
        <f t="shared" si="81"/>
        <v>0</v>
      </c>
    </row>
    <row r="278" spans="1:27">
      <c r="A278" s="8" t="str">
        <f>A277</f>
        <v>Type 17</v>
      </c>
      <c r="B278" s="7">
        <f>B277+1</f>
        <v>2019</v>
      </c>
      <c r="C278" s="7" t="str">
        <f>C277</f>
        <v>Annual</v>
      </c>
      <c r="D278" s="7">
        <f t="shared" ref="D278:E282" si="82">D277</f>
        <v>0</v>
      </c>
      <c r="E278" s="7">
        <f t="shared" si="82"/>
        <v>0</v>
      </c>
      <c r="F278" s="14">
        <f>$M$103</f>
        <v>0.18606977230199898</v>
      </c>
      <c r="H278" s="9"/>
      <c r="I278" s="9">
        <f ca="1">$C$103/$C$31</f>
        <v>0</v>
      </c>
      <c r="J278" s="9">
        <f ca="1">I278-Q278</f>
        <v>0</v>
      </c>
      <c r="K278" s="9">
        <f ca="1">J278-R278</f>
        <v>0</v>
      </c>
      <c r="L278" s="9">
        <f ca="1">K278-S278</f>
        <v>0</v>
      </c>
      <c r="M278" s="9">
        <f ca="1">L278-T278</f>
        <v>0</v>
      </c>
      <c r="N278" s="9"/>
      <c r="O278" s="9"/>
      <c r="P278" s="9">
        <f ca="1">IF(OR($C278="Annual",$D278=$E278),IF(AND($D278=$E278,P$111=$B278+$D278),$I278,IF(AND(P$111&gt;$B278+$D278,P$111&lt;=$B278+$E278), $I278/($E278-$D278),0)), IF(OR(P$111=$B278+$D278,P$111=$B278+$E278),$I278/(($E278-$D278)*2),IF(AND(P$111&gt;$B278+$D278,P$111&lt;$B278+$E278),$I278/($E278-$D278),0)))</f>
        <v>0</v>
      </c>
      <c r="Q278" s="9">
        <f>IF(OR($C278="Annual",$D278=$E278),IF(AND($D278=$E278,Q$111=$B278+$D278),$I278,IF(AND(Q$111&gt;$B278+$D278,Q$111&lt;=$B278+$E278), $I278/($E278-$D278),0)), IF(OR(Q$111=$B278+$D278,Q$111=$B278+$E278),$I278/(($E278-$D278)*2),IF(AND(Q$111&gt;$B278+$D278,Q$111&lt;$B278+$E278),$I278/($E278-$D278),0)))</f>
        <v>0</v>
      </c>
      <c r="R278" s="9">
        <f>IF(OR($C278="Annual",$D278=$E278),IF(AND($D278=$E278,R$111=$B278+$D278),$I278,IF(AND(R$111&gt;$B278+$D278,R$111&lt;=$B278+$E278), $I278/($E278-$D278),0)), IF(OR(R$111=$B278+$D278,R$111=$B278+$E278),$I278/(($E278-$D278)*2),IF(AND(R$111&gt;$B278+$D278,R$111&lt;$B278+$E278),$I278/($E278-$D278),0)))</f>
        <v>0</v>
      </c>
      <c r="S278" s="9">
        <f>IF(OR($C278="Annual",$D278=$E278),IF(AND($D278=$E278,S$111=$B278+$D278),$I278,IF(AND(S$111&gt;$B278+$D278,S$111&lt;=$B278+$E278), $I278/($E278-$D278),0)), IF(OR(S$111=$B278+$D278,S$111=$B278+$E278),$I278/(($E278-$D278)*2),IF(AND(S$111&gt;$B278+$D278,S$111&lt;$B278+$E278),$I278/($E278-$D278),0)))</f>
        <v>0</v>
      </c>
      <c r="T278" s="9">
        <f>IF(OR($C278="Annual",$D278=$E278),IF(AND($D278=$E278,T$111=$B278+$D278),$I278,IF(AND(T$111&gt;$B278+$D278,T$111&lt;=$B278+$E278), $I278/($E278-$D278),0)), IF(OR(T$111=$B278+$D278,T$111=$B278+$E278),$I278/(($E278-$D278)*2),IF(AND(T$111&gt;$B278+$D278,T$111&lt;$B278+$E278),$I278/($E278-$D278),0)))</f>
        <v>0</v>
      </c>
      <c r="U278" s="9"/>
      <c r="V278" s="9"/>
      <c r="W278" s="9">
        <f t="shared" si="81"/>
        <v>0</v>
      </c>
      <c r="X278" s="9">
        <f t="shared" ca="1" si="81"/>
        <v>0</v>
      </c>
      <c r="Y278" s="9">
        <f t="shared" ca="1" si="81"/>
        <v>0</v>
      </c>
      <c r="Z278" s="9">
        <f t="shared" ca="1" si="81"/>
        <v>0</v>
      </c>
      <c r="AA278" s="9">
        <f t="shared" ca="1" si="81"/>
        <v>0</v>
      </c>
    </row>
    <row r="279" spans="1:27">
      <c r="A279" s="8" t="str">
        <f>A278</f>
        <v>Type 17</v>
      </c>
      <c r="B279" s="7">
        <f>B278+1</f>
        <v>2020</v>
      </c>
      <c r="C279" s="7" t="str">
        <f>C278</f>
        <v>Annual</v>
      </c>
      <c r="D279" s="7">
        <f t="shared" si="82"/>
        <v>0</v>
      </c>
      <c r="E279" s="7">
        <f t="shared" si="82"/>
        <v>0</v>
      </c>
      <c r="F279" s="14">
        <f>$N$103</f>
        <v>0.18606977230199898</v>
      </c>
      <c r="H279" s="9"/>
      <c r="I279" s="9"/>
      <c r="J279" s="9">
        <f ca="1">$D$103/$D$31</f>
        <v>0</v>
      </c>
      <c r="K279" s="9">
        <f ca="1">J279-R279</f>
        <v>0</v>
      </c>
      <c r="L279" s="9">
        <f ca="1">K279-S279</f>
        <v>0</v>
      </c>
      <c r="M279" s="9">
        <f ca="1">L279-T279</f>
        <v>0</v>
      </c>
      <c r="N279" s="9"/>
      <c r="O279" s="9"/>
      <c r="P279" s="9"/>
      <c r="Q279" s="9">
        <f ca="1">IF(OR($C279="Annual",$D279=$E279),IF(AND($D279=$E279,Q$111=$B279+$D279),$J279,IF(AND(Q$111&gt;$B279+$D279,Q$111&lt;=$B279+$E279), $J279/($E279-$D279),0)), IF(OR(Q$111=$B279+$D279,Q$111=$B279+$E279),$J279/(($E279-$D279)*2),IF(AND(Q$111&gt;$B279+$D279,Q$111&lt;$B279+$E279),$J279/($E279-$D279),0)))</f>
        <v>0</v>
      </c>
      <c r="R279" s="9">
        <f>IF(OR($C279="Annual",$D279=$E279),IF(AND($D279=$E279,R$111=$B279+$D279),$J279,IF(AND(R$111&gt;$B279+$D279,R$111&lt;=$B279+$E279), $J279/($E279-$D279),0)), IF(OR(R$111=$B279+$D279,R$111=$B279+$E279),$J279/(($E279-$D279)*2),IF(AND(R$111&gt;$B279+$D279,R$111&lt;$B279+$E279),$J279/($E279-$D279),0)))</f>
        <v>0</v>
      </c>
      <c r="S279" s="9">
        <f>IF(OR($C279="Annual",$D279=$E279),IF(AND($D279=$E279,S$111=$B279+$D279),$J279,IF(AND(S$111&gt;$B279+$D279,S$111&lt;=$B279+$E279), $J279/($E279-$D279),0)), IF(OR(S$111=$B279+$D279,S$111=$B279+$E279),$J279/(($E279-$D279)*2),IF(AND(S$111&gt;$B279+$D279,S$111&lt;$B279+$E279),$J279/($E279-$D279),0)))</f>
        <v>0</v>
      </c>
      <c r="T279" s="9">
        <f>IF(OR($C279="Annual",$D279=$E279),IF(AND($D279=$E279,T$111=$B279+$D279),$J279,IF(AND(T$111&gt;$B279+$D279,T$111&lt;=$B279+$E279), $J279/($E279-$D279),0)), IF(OR(T$111=$B279+$D279,T$111=$B279+$E279),$J279/(($E279-$D279)*2),IF(AND(T$111&gt;$B279+$D279,T$111&lt;$B279+$E279),$J279/($E279-$D279),0)))</f>
        <v>0</v>
      </c>
      <c r="U279" s="9"/>
      <c r="V279" s="9"/>
      <c r="W279" s="9"/>
      <c r="X279" s="9">
        <f t="shared" si="81"/>
        <v>0</v>
      </c>
      <c r="Y279" s="9">
        <f t="shared" ca="1" si="81"/>
        <v>0</v>
      </c>
      <c r="Z279" s="9">
        <f t="shared" ca="1" si="81"/>
        <v>0</v>
      </c>
      <c r="AA279" s="9">
        <f t="shared" ca="1" si="81"/>
        <v>0</v>
      </c>
    </row>
    <row r="280" spans="1:27">
      <c r="A280" s="8" t="str">
        <f>A279</f>
        <v>Type 17</v>
      </c>
      <c r="B280" s="7">
        <f>B279+1</f>
        <v>2021</v>
      </c>
      <c r="C280" s="7" t="str">
        <f>C279</f>
        <v>Annual</v>
      </c>
      <c r="D280" s="7">
        <f t="shared" si="82"/>
        <v>0</v>
      </c>
      <c r="E280" s="7">
        <f t="shared" si="82"/>
        <v>0</v>
      </c>
      <c r="F280" s="14">
        <f>$O$103</f>
        <v>0.18606977230199898</v>
      </c>
      <c r="H280" s="9"/>
      <c r="I280" s="9"/>
      <c r="J280" s="9"/>
      <c r="K280" s="9">
        <f ca="1">$E$103/$E$31</f>
        <v>0</v>
      </c>
      <c r="L280" s="9">
        <f ca="1">K280-S280</f>
        <v>0</v>
      </c>
      <c r="M280" s="9">
        <f ca="1">L280-T280</f>
        <v>0</v>
      </c>
      <c r="N280" s="9"/>
      <c r="O280" s="9"/>
      <c r="P280" s="9"/>
      <c r="Q280" s="9"/>
      <c r="R280" s="9">
        <f ca="1">IF(OR($C280="Annual",$D280=$E280),IF(AND($D280=$E280,R$111=$B280+$D280),$K280,IF(AND(R$111&gt;$B280+$D280,R$111&lt;=$B280+$E280), $K280/($E280-$D280),0)), IF(OR(R$111=$B280+$D280,R$111=$B280+$E280),$K280/(($E280-$D280)*2),IF(AND(R$111&gt;$B280+$D280,R$111&lt;$B280+$E280),$K280/($E280-$D280),0)))</f>
        <v>0</v>
      </c>
      <c r="S280" s="9">
        <f>IF(OR($C280="Annual",$D280=$E280),IF(AND($D280=$E280,S$111=$B280+$D280),$K280,IF(AND(S$111&gt;$B280+$D280,S$111&lt;=$B280+$E280), $K280/($E280-$D280),0)), IF(OR(S$111=$B280+$D280,S$111=$B280+$E280),$K280/(($E280-$D280)*2),IF(AND(S$111&gt;$B280+$D280,S$111&lt;$B280+$E280),$K280/($E280-$D280),0)))</f>
        <v>0</v>
      </c>
      <c r="T280" s="9">
        <f>IF(OR($C280="Annual",$D280=$E280),IF(AND($D280=$E280,T$111=$B280+$D280),$K280,IF(AND(T$111&gt;$B280+$D280,T$111&lt;=$B280+$E280), $K280/($E280-$D280),0)), IF(OR(T$111=$B280+$D280,T$111=$B280+$E280),$K280/(($E280-$D280)*2),IF(AND(T$111&gt;$B280+$D280,T$111&lt;$B280+$E280),$K280/($E280-$D280),0)))</f>
        <v>0</v>
      </c>
      <c r="U280" s="9"/>
      <c r="V280" s="9"/>
      <c r="W280" s="9"/>
      <c r="X280" s="9"/>
      <c r="Y280" s="9">
        <f t="shared" si="81"/>
        <v>0</v>
      </c>
      <c r="Z280" s="9">
        <f t="shared" ca="1" si="81"/>
        <v>0</v>
      </c>
      <c r="AA280" s="9">
        <f t="shared" ca="1" si="81"/>
        <v>0</v>
      </c>
    </row>
    <row r="281" spans="1:27">
      <c r="A281" s="8" t="str">
        <f>A280</f>
        <v>Type 17</v>
      </c>
      <c r="B281" s="7">
        <f>B280+1</f>
        <v>2022</v>
      </c>
      <c r="C281" s="7" t="str">
        <f>C280</f>
        <v>Annual</v>
      </c>
      <c r="D281" s="7">
        <f t="shared" si="82"/>
        <v>0</v>
      </c>
      <c r="E281" s="7">
        <f t="shared" si="82"/>
        <v>0</v>
      </c>
      <c r="F281" s="14">
        <f>$P$103</f>
        <v>0.18606977230199898</v>
      </c>
      <c r="H281" s="9"/>
      <c r="I281" s="9"/>
      <c r="J281" s="9"/>
      <c r="K281" s="9"/>
      <c r="L281" s="9">
        <f ca="1">$F$103/$F$31</f>
        <v>0</v>
      </c>
      <c r="M281" s="9">
        <f ca="1">L281-T281</f>
        <v>0</v>
      </c>
      <c r="N281" s="9"/>
      <c r="O281" s="9"/>
      <c r="P281" s="9"/>
      <c r="Q281" s="9"/>
      <c r="R281" s="9"/>
      <c r="S281" s="9">
        <f ca="1">IF(OR($C281="Annual",$D281=$E281),IF(AND($D281=$E281,S$111=$B281+$D281),$L281,IF(AND(S$111&gt;$B281+$D281,S$111&lt;=$B281+$E281), $L281/($E281-$D281),0)), IF(OR(S$111=$B281+$D281,S$111=$B281+$E281),$L281/(($E281-$D281)*2),IF(AND(S$111&gt;$B281+$D281,S$111&lt;$B281+$E281),$L281/($E281-$D281),0)))</f>
        <v>0</v>
      </c>
      <c r="T281" s="9">
        <f>IF(OR($C281="Annual",$D281=$E281),IF(AND($D281=$E281,T$111=$B281+$D281),$L281,IF(AND(T$111&gt;$B281+$D281,T$111&lt;=$B281+$E281), $L281/($E281-$D281),0)), IF(OR(T$111=$B281+$D281,T$111=$B281+$E281),$L281/(($E281-$D281)*2),IF(AND(T$111&gt;$B281+$D281,T$111&lt;$B281+$E281),$L281/($E281-$D281),0)))</f>
        <v>0</v>
      </c>
      <c r="U281" s="9"/>
      <c r="V281" s="9"/>
      <c r="W281" s="9"/>
      <c r="X281" s="9"/>
      <c r="Y281" s="9"/>
      <c r="Z281" s="9">
        <f t="shared" si="81"/>
        <v>0</v>
      </c>
      <c r="AA281" s="9">
        <f t="shared" ca="1" si="81"/>
        <v>0</v>
      </c>
    </row>
    <row r="282" spans="1:27">
      <c r="A282" s="8" t="str">
        <f>A281</f>
        <v>Type 17</v>
      </c>
      <c r="B282" s="7">
        <f>B281+1</f>
        <v>2023</v>
      </c>
      <c r="C282" s="7" t="str">
        <f>C281</f>
        <v>Annual</v>
      </c>
      <c r="D282" s="7">
        <f t="shared" si="82"/>
        <v>0</v>
      </c>
      <c r="E282" s="7">
        <f t="shared" si="82"/>
        <v>0</v>
      </c>
      <c r="F282" s="14">
        <f>$Q$103</f>
        <v>0.18606977230199898</v>
      </c>
      <c r="H282" s="9"/>
      <c r="I282" s="9"/>
      <c r="J282" s="9"/>
      <c r="K282" s="9"/>
      <c r="L282" s="9"/>
      <c r="M282" s="9">
        <f ca="1">$G$103/$G$31</f>
        <v>0</v>
      </c>
      <c r="N282" s="9"/>
      <c r="O282" s="9"/>
      <c r="P282" s="9"/>
      <c r="Q282" s="9"/>
      <c r="R282" s="9"/>
      <c r="S282" s="9"/>
      <c r="T282" s="9">
        <f ca="1">IF(OR($C282="Annual",$D282=$E282),IF(AND($D282=$E282,T$111=$B282+$D282),$M282,IF(AND(T$111&gt;$B282+$D282,T$111&lt;=$B282+$E282), $M282/($E282-$D282),0)), IF(OR(T$111=$B282+$D282,T$111=$B282+$E282),$M282/(($E282-$D282)*2),IF(AND(T$111&gt;$B282+$D282,T$111&lt;$B282+$E282),$M282/($E282-$D282),0)))</f>
        <v>0</v>
      </c>
      <c r="U282" s="9"/>
      <c r="V282" s="9"/>
      <c r="W282" s="9"/>
      <c r="X282" s="9"/>
      <c r="Y282" s="9"/>
      <c r="Z282" s="9"/>
      <c r="AA282" s="9">
        <f t="shared" si="81"/>
        <v>0</v>
      </c>
    </row>
    <row r="283" spans="1:27">
      <c r="A283" s="8"/>
      <c r="B283" s="7"/>
      <c r="C283" s="7"/>
      <c r="D283" s="7"/>
      <c r="E283" s="7"/>
      <c r="F283" s="15"/>
      <c r="H283" s="9"/>
      <c r="I283" s="9"/>
      <c r="J283" s="9"/>
      <c r="K283" s="9"/>
      <c r="L283" s="9"/>
      <c r="M283" s="9"/>
      <c r="N283" s="9"/>
      <c r="O283" s="278"/>
      <c r="P283" s="10"/>
      <c r="Q283" s="10"/>
      <c r="R283" s="10"/>
      <c r="S283" s="10"/>
      <c r="T283" s="10"/>
      <c r="U283" s="9"/>
      <c r="V283" s="10"/>
      <c r="W283" s="10"/>
      <c r="X283" s="10"/>
      <c r="Y283" s="10"/>
      <c r="Z283" s="10"/>
      <c r="AA283" s="10"/>
    </row>
    <row r="284" spans="1:27">
      <c r="A284" s="8" t="str">
        <f>'Input 4 - Forecast'!A85</f>
        <v>Type 18</v>
      </c>
      <c r="B284" s="7">
        <f>B119</f>
        <v>2018</v>
      </c>
      <c r="C284" s="7" t="str">
        <f>$I104</f>
        <v>Annual</v>
      </c>
      <c r="D284" s="7">
        <f>$J104</f>
        <v>0</v>
      </c>
      <c r="E284" s="7">
        <f>$K104</f>
        <v>0</v>
      </c>
      <c r="F284" s="14">
        <f>$L$104</f>
        <v>0</v>
      </c>
      <c r="H284" s="9">
        <f>$B$104/$B$31</f>
        <v>0</v>
      </c>
      <c r="I284" s="9">
        <f>H284-P284</f>
        <v>0</v>
      </c>
      <c r="J284" s="9">
        <f>I284-Q284</f>
        <v>0</v>
      </c>
      <c r="K284" s="9">
        <f>J284-R284</f>
        <v>0</v>
      </c>
      <c r="L284" s="9">
        <f>K284-S284</f>
        <v>0</v>
      </c>
      <c r="M284" s="9">
        <f>L284-T284</f>
        <v>0</v>
      </c>
      <c r="N284" s="9"/>
      <c r="O284" s="9">
        <f t="shared" ref="O284:T284" si="83">IF(OR($C284="Annual",$D284=$E284),IF(AND($D284=$E284,O$111=$B284+$D284),$H284,IF(AND(O$111&gt;$B284+$D284,O$111&lt;=$B284+$E284), $H284/($E284-$D284),0)), IF(OR(O$111=$B284+$D284,O$111=$B284+$E284),$H284/(($E284-$D284)*2),IF(AND(O$111&gt;$B284+$D284,O$111&lt;$B284+$E284),$H284/($E284-$D284),0)))</f>
        <v>0</v>
      </c>
      <c r="P284" s="9">
        <f t="shared" si="83"/>
        <v>0</v>
      </c>
      <c r="Q284" s="9">
        <f t="shared" si="83"/>
        <v>0</v>
      </c>
      <c r="R284" s="9">
        <f t="shared" si="83"/>
        <v>0</v>
      </c>
      <c r="S284" s="9">
        <f t="shared" si="83"/>
        <v>0</v>
      </c>
      <c r="T284" s="9">
        <f t="shared" si="83"/>
        <v>0</v>
      </c>
      <c r="U284" s="9"/>
      <c r="V284" s="9">
        <f>IF($C284="annual",IF(V$111=$B284,0,G284*$F284),IF(V$111-$B284=0,0,IF((V$111-$B284)&lt;$E284,AVERAGE(G284,H284)*$F284,IF((V$111-$B284)=$E284,G284*$F284/2,0))))</f>
        <v>0</v>
      </c>
      <c r="W284" s="9">
        <f t="shared" ref="W284:AA289" si="84">IF($C284="annual",IF(W$111=$B284,0,H284*$F284),IF(W$111-$B284=0,0,IF((W$111-$B284)&lt;$E284,AVERAGE(H284,I284)*$F284,IF((W$111-$B284)=$E284,H284*$F284/2,0))))</f>
        <v>0</v>
      </c>
      <c r="X284" s="9">
        <f t="shared" si="84"/>
        <v>0</v>
      </c>
      <c r="Y284" s="9">
        <f t="shared" si="84"/>
        <v>0</v>
      </c>
      <c r="Z284" s="9">
        <f t="shared" si="84"/>
        <v>0</v>
      </c>
      <c r="AA284" s="9">
        <f t="shared" si="84"/>
        <v>0</v>
      </c>
    </row>
    <row r="285" spans="1:27">
      <c r="A285" s="8" t="str">
        <f>A284</f>
        <v>Type 18</v>
      </c>
      <c r="B285" s="7">
        <f>B284+1</f>
        <v>2019</v>
      </c>
      <c r="C285" s="7" t="str">
        <f>C284</f>
        <v>Annual</v>
      </c>
      <c r="D285" s="7">
        <f t="shared" ref="D285:E289" si="85">D284</f>
        <v>0</v>
      </c>
      <c r="E285" s="7">
        <f t="shared" si="85"/>
        <v>0</v>
      </c>
      <c r="F285" s="14">
        <f>$M$104</f>
        <v>0.18606977230199898</v>
      </c>
      <c r="H285" s="9"/>
      <c r="I285" s="9">
        <f ca="1">$C$104/$C$31</f>
        <v>0</v>
      </c>
      <c r="J285" s="9">
        <f ca="1">I285-Q285</f>
        <v>0</v>
      </c>
      <c r="K285" s="9">
        <f ca="1">J285-R285</f>
        <v>0</v>
      </c>
      <c r="L285" s="9">
        <f ca="1">K285-S285</f>
        <v>0</v>
      </c>
      <c r="M285" s="9">
        <f ca="1">L285-T285</f>
        <v>0</v>
      </c>
      <c r="N285" s="9"/>
      <c r="O285" s="9"/>
      <c r="P285" s="9">
        <f ca="1">IF(OR($C285="Annual",$D285=$E285),IF(AND($D285=$E285,P$111=$B285+$D285),$I285,IF(AND(P$111&gt;$B285+$D285,P$111&lt;=$B285+$E285), $I285/($E285-$D285),0)), IF(OR(P$111=$B285+$D285,P$111=$B285+$E285),$I285/(($E285-$D285)*2),IF(AND(P$111&gt;$B285+$D285,P$111&lt;$B285+$E285),$I285/($E285-$D285),0)))</f>
        <v>0</v>
      </c>
      <c r="Q285" s="9">
        <f>IF(OR($C285="Annual",$D285=$E285),IF(AND($D285=$E285,Q$111=$B285+$D285),$I285,IF(AND(Q$111&gt;$B285+$D285,Q$111&lt;=$B285+$E285), $I285/($E285-$D285),0)), IF(OR(Q$111=$B285+$D285,Q$111=$B285+$E285),$I285/(($E285-$D285)*2),IF(AND(Q$111&gt;$B285+$D285,Q$111&lt;$B285+$E285),$I285/($E285-$D285),0)))</f>
        <v>0</v>
      </c>
      <c r="R285" s="9">
        <f>IF(OR($C285="Annual",$D285=$E285),IF(AND($D285=$E285,R$111=$B285+$D285),$I285,IF(AND(R$111&gt;$B285+$D285,R$111&lt;=$B285+$E285), $I285/($E285-$D285),0)), IF(OR(R$111=$B285+$D285,R$111=$B285+$E285),$I285/(($E285-$D285)*2),IF(AND(R$111&gt;$B285+$D285,R$111&lt;$B285+$E285),$I285/($E285-$D285),0)))</f>
        <v>0</v>
      </c>
      <c r="S285" s="9">
        <f>IF(OR($C285="Annual",$D285=$E285),IF(AND($D285=$E285,S$111=$B285+$D285),$I285,IF(AND(S$111&gt;$B285+$D285,S$111&lt;=$B285+$E285), $I285/($E285-$D285),0)), IF(OR(S$111=$B285+$D285,S$111=$B285+$E285),$I285/(($E285-$D285)*2),IF(AND(S$111&gt;$B285+$D285,S$111&lt;$B285+$E285),$I285/($E285-$D285),0)))</f>
        <v>0</v>
      </c>
      <c r="T285" s="9">
        <f>IF(OR($C285="Annual",$D285=$E285),IF(AND($D285=$E285,T$111=$B285+$D285),$I285,IF(AND(T$111&gt;$B285+$D285,T$111&lt;=$B285+$E285), $I285/($E285-$D285),0)), IF(OR(T$111=$B285+$D285,T$111=$B285+$E285),$I285/(($E285-$D285)*2),IF(AND(T$111&gt;$B285+$D285,T$111&lt;$B285+$E285),$I285/($E285-$D285),0)))</f>
        <v>0</v>
      </c>
      <c r="U285" s="9"/>
      <c r="V285" s="9"/>
      <c r="W285" s="9">
        <f t="shared" si="84"/>
        <v>0</v>
      </c>
      <c r="X285" s="9">
        <f t="shared" ca="1" si="84"/>
        <v>0</v>
      </c>
      <c r="Y285" s="9">
        <f t="shared" ca="1" si="84"/>
        <v>0</v>
      </c>
      <c r="Z285" s="9">
        <f t="shared" ca="1" si="84"/>
        <v>0</v>
      </c>
      <c r="AA285" s="9">
        <f t="shared" ca="1" si="84"/>
        <v>0</v>
      </c>
    </row>
    <row r="286" spans="1:27">
      <c r="A286" s="8" t="str">
        <f>A285</f>
        <v>Type 18</v>
      </c>
      <c r="B286" s="7">
        <f>B285+1</f>
        <v>2020</v>
      </c>
      <c r="C286" s="7" t="str">
        <f>C285</f>
        <v>Annual</v>
      </c>
      <c r="D286" s="7">
        <f t="shared" si="85"/>
        <v>0</v>
      </c>
      <c r="E286" s="7">
        <f t="shared" si="85"/>
        <v>0</v>
      </c>
      <c r="F286" s="14">
        <f>$N$104</f>
        <v>0.18606977230199898</v>
      </c>
      <c r="H286" s="9"/>
      <c r="I286" s="9"/>
      <c r="J286" s="9">
        <f ca="1">$D$104/$D$31</f>
        <v>0</v>
      </c>
      <c r="K286" s="9">
        <f ca="1">J286-R286</f>
        <v>0</v>
      </c>
      <c r="L286" s="9">
        <f ca="1">K286-S286</f>
        <v>0</v>
      </c>
      <c r="M286" s="9">
        <f ca="1">L286-T286</f>
        <v>0</v>
      </c>
      <c r="N286" s="9"/>
      <c r="O286" s="9"/>
      <c r="P286" s="9"/>
      <c r="Q286" s="9">
        <f ca="1">IF(OR($C286="Annual",$D286=$E286),IF(AND($D286=$E286,Q$111=$B286+$D286),$J286,IF(AND(Q$111&gt;$B286+$D286,Q$111&lt;=$B286+$E286), $J286/($E286-$D286),0)), IF(OR(Q$111=$B286+$D286,Q$111=$B286+$E286),$J286/(($E286-$D286)*2),IF(AND(Q$111&gt;$B286+$D286,Q$111&lt;$B286+$E286),$J286/($E286-$D286),0)))</f>
        <v>0</v>
      </c>
      <c r="R286" s="9">
        <f>IF(OR($C286="Annual",$D286=$E286),IF(AND($D286=$E286,R$111=$B286+$D286),$J286,IF(AND(R$111&gt;$B286+$D286,R$111&lt;=$B286+$E286), $J286/($E286-$D286),0)), IF(OR(R$111=$B286+$D286,R$111=$B286+$E286),$J286/(($E286-$D286)*2),IF(AND(R$111&gt;$B286+$D286,R$111&lt;$B286+$E286),$J286/($E286-$D286),0)))</f>
        <v>0</v>
      </c>
      <c r="S286" s="9">
        <f>IF(OR($C286="Annual",$D286=$E286),IF(AND($D286=$E286,S$111=$B286+$D286),$J286,IF(AND(S$111&gt;$B286+$D286,S$111&lt;=$B286+$E286), $J286/($E286-$D286),0)), IF(OR(S$111=$B286+$D286,S$111=$B286+$E286),$J286/(($E286-$D286)*2),IF(AND(S$111&gt;$B286+$D286,S$111&lt;$B286+$E286),$J286/($E286-$D286),0)))</f>
        <v>0</v>
      </c>
      <c r="T286" s="9">
        <f>IF(OR($C286="Annual",$D286=$E286),IF(AND($D286=$E286,T$111=$B286+$D286),$J286,IF(AND(T$111&gt;$B286+$D286,T$111&lt;=$B286+$E286), $J286/($E286-$D286),0)), IF(OR(T$111=$B286+$D286,T$111=$B286+$E286),$J286/(($E286-$D286)*2),IF(AND(T$111&gt;$B286+$D286,T$111&lt;$B286+$E286),$J286/($E286-$D286),0)))</f>
        <v>0</v>
      </c>
      <c r="U286" s="9"/>
      <c r="V286" s="9"/>
      <c r="W286" s="9"/>
      <c r="X286" s="9">
        <f t="shared" si="84"/>
        <v>0</v>
      </c>
      <c r="Y286" s="9">
        <f t="shared" ca="1" si="84"/>
        <v>0</v>
      </c>
      <c r="Z286" s="9">
        <f t="shared" ca="1" si="84"/>
        <v>0</v>
      </c>
      <c r="AA286" s="9">
        <f t="shared" ca="1" si="84"/>
        <v>0</v>
      </c>
    </row>
    <row r="287" spans="1:27">
      <c r="A287" s="8" t="str">
        <f>A286</f>
        <v>Type 18</v>
      </c>
      <c r="B287" s="7">
        <f>B286+1</f>
        <v>2021</v>
      </c>
      <c r="C287" s="7" t="str">
        <f>C286</f>
        <v>Annual</v>
      </c>
      <c r="D287" s="7">
        <f t="shared" si="85"/>
        <v>0</v>
      </c>
      <c r="E287" s="7">
        <f t="shared" si="85"/>
        <v>0</v>
      </c>
      <c r="F287" s="14">
        <f>$O$104</f>
        <v>0.18606977230199898</v>
      </c>
      <c r="H287" s="9"/>
      <c r="I287" s="9"/>
      <c r="J287" s="9"/>
      <c r="K287" s="9">
        <f ca="1">$E$104/$E$31</f>
        <v>0</v>
      </c>
      <c r="L287" s="9">
        <f ca="1">K287-S287</f>
        <v>0</v>
      </c>
      <c r="M287" s="9">
        <f ca="1">L287-T287</f>
        <v>0</v>
      </c>
      <c r="N287" s="9"/>
      <c r="O287" s="9"/>
      <c r="P287" s="9"/>
      <c r="Q287" s="9"/>
      <c r="R287" s="9">
        <f ca="1">IF(OR($C287="Annual",$D287=$E287),IF(AND($D287=$E287,R$111=$B287+$D287),$K287,IF(AND(R$111&gt;$B287+$D287,R$111&lt;=$B287+$E287), $K287/($E287-$D287),0)), IF(OR(R$111=$B287+$D287,R$111=$B287+$E287),$K287/(($E287-$D287)*2),IF(AND(R$111&gt;$B287+$D287,R$111&lt;$B287+$E287),$K287/($E287-$D287),0)))</f>
        <v>0</v>
      </c>
      <c r="S287" s="9">
        <f>IF(OR($C287="Annual",$D287=$E287),IF(AND($D287=$E287,S$111=$B287+$D287),$K287,IF(AND(S$111&gt;$B287+$D287,S$111&lt;=$B287+$E287), $K287/($E287-$D287),0)), IF(OR(S$111=$B287+$D287,S$111=$B287+$E287),$K287/(($E287-$D287)*2),IF(AND(S$111&gt;$B287+$D287,S$111&lt;$B287+$E287),$K287/($E287-$D287),0)))</f>
        <v>0</v>
      </c>
      <c r="T287" s="9">
        <f>IF(OR($C287="Annual",$D287=$E287),IF(AND($D287=$E287,T$111=$B287+$D287),$K287,IF(AND(T$111&gt;$B287+$D287,T$111&lt;=$B287+$E287), $K287/($E287-$D287),0)), IF(OR(T$111=$B287+$D287,T$111=$B287+$E287),$K287/(($E287-$D287)*2),IF(AND(T$111&gt;$B287+$D287,T$111&lt;$B287+$E287),$K287/($E287-$D287),0)))</f>
        <v>0</v>
      </c>
      <c r="U287" s="9"/>
      <c r="V287" s="9"/>
      <c r="W287" s="9"/>
      <c r="X287" s="9"/>
      <c r="Y287" s="9">
        <f t="shared" si="84"/>
        <v>0</v>
      </c>
      <c r="Z287" s="9">
        <f t="shared" ca="1" si="84"/>
        <v>0</v>
      </c>
      <c r="AA287" s="9">
        <f t="shared" ca="1" si="84"/>
        <v>0</v>
      </c>
    </row>
    <row r="288" spans="1:27">
      <c r="A288" s="8" t="str">
        <f>A287</f>
        <v>Type 18</v>
      </c>
      <c r="B288" s="7">
        <f>B287+1</f>
        <v>2022</v>
      </c>
      <c r="C288" s="7" t="str">
        <f>C287</f>
        <v>Annual</v>
      </c>
      <c r="D288" s="7">
        <f t="shared" si="85"/>
        <v>0</v>
      </c>
      <c r="E288" s="7">
        <f t="shared" si="85"/>
        <v>0</v>
      </c>
      <c r="F288" s="14">
        <f>$P$104</f>
        <v>0.18606977230199898</v>
      </c>
      <c r="H288" s="9"/>
      <c r="I288" s="9"/>
      <c r="J288" s="9"/>
      <c r="K288" s="9"/>
      <c r="L288" s="9">
        <f ca="1">$F$104/$F$31</f>
        <v>0</v>
      </c>
      <c r="M288" s="9">
        <f ca="1">L288-T288</f>
        <v>0</v>
      </c>
      <c r="N288" s="9"/>
      <c r="O288" s="9"/>
      <c r="P288" s="9"/>
      <c r="Q288" s="9"/>
      <c r="R288" s="9"/>
      <c r="S288" s="9">
        <f ca="1">IF(OR($C288="Annual",$D288=$E288),IF(AND($D288=$E288,S$111=$B288+$D288),$L288,IF(AND(S$111&gt;$B288+$D288,S$111&lt;=$B288+$E288), $L288/($E288-$D288),0)), IF(OR(S$111=$B288+$D288,S$111=$B288+$E288),$L288/(($E288-$D288)*2),IF(AND(S$111&gt;$B288+$D288,S$111&lt;$B288+$E288),$L288/($E288-$D288),0)))</f>
        <v>0</v>
      </c>
      <c r="T288" s="9">
        <f>IF(OR($C288="Annual",$D288=$E288),IF(AND($D288=$E288,T$111=$B288+$D288),$L288,IF(AND(T$111&gt;$B288+$D288,T$111&lt;=$B288+$E288), $L288/($E288-$D288),0)), IF(OR(T$111=$B288+$D288,T$111=$B288+$E288),$L288/(($E288-$D288)*2),IF(AND(T$111&gt;$B288+$D288,T$111&lt;$B288+$E288),$L288/($E288-$D288),0)))</f>
        <v>0</v>
      </c>
      <c r="U288" s="9"/>
      <c r="V288" s="9"/>
      <c r="W288" s="9"/>
      <c r="X288" s="9"/>
      <c r="Y288" s="9"/>
      <c r="Z288" s="9">
        <f t="shared" si="84"/>
        <v>0</v>
      </c>
      <c r="AA288" s="9">
        <f t="shared" ca="1" si="84"/>
        <v>0</v>
      </c>
    </row>
    <row r="289" spans="1:27">
      <c r="A289" s="8" t="str">
        <f>A288</f>
        <v>Type 18</v>
      </c>
      <c r="B289" s="7">
        <f>B288+1</f>
        <v>2023</v>
      </c>
      <c r="C289" s="7" t="str">
        <f>C288</f>
        <v>Annual</v>
      </c>
      <c r="D289" s="7">
        <f t="shared" si="85"/>
        <v>0</v>
      </c>
      <c r="E289" s="7">
        <f t="shared" si="85"/>
        <v>0</v>
      </c>
      <c r="F289" s="14">
        <f>$Q$104</f>
        <v>0.18606977230199898</v>
      </c>
      <c r="H289" s="9"/>
      <c r="I289" s="9"/>
      <c r="J289" s="9"/>
      <c r="K289" s="9"/>
      <c r="L289" s="9"/>
      <c r="M289" s="9">
        <f ca="1">$G$104/$G$31</f>
        <v>0</v>
      </c>
      <c r="N289" s="9"/>
      <c r="O289" s="9"/>
      <c r="P289" s="9"/>
      <c r="Q289" s="9"/>
      <c r="R289" s="9"/>
      <c r="S289" s="9"/>
      <c r="T289" s="9">
        <f ca="1">IF(OR($C289="Annual",$D289=$E289),IF(AND($D289=$E289,T$111=$B289+$D289),$M289,IF(AND(T$111&gt;$B289+$D289,T$111&lt;=$B289+$E289), $M289/($E289-$D289),0)), IF(OR(T$111=$B289+$D289,T$111=$B289+$E289),$M289/(($E289-$D289)*2),IF(AND(T$111&gt;$B289+$D289,T$111&lt;$B289+$E289),$M289/($E289-$D289),0)))</f>
        <v>0</v>
      </c>
      <c r="U289" s="9"/>
      <c r="V289" s="9"/>
      <c r="W289" s="9"/>
      <c r="X289" s="9"/>
      <c r="Y289" s="9"/>
      <c r="Z289" s="9"/>
      <c r="AA289" s="9">
        <f t="shared" si="84"/>
        <v>0</v>
      </c>
    </row>
    <row r="290" spans="1:27">
      <c r="A290" s="8"/>
      <c r="B290" s="7"/>
      <c r="C290" s="7"/>
      <c r="D290" s="7"/>
      <c r="E290" s="7"/>
      <c r="F290" s="15"/>
      <c r="H290" s="9"/>
      <c r="I290" s="9"/>
      <c r="J290" s="9"/>
      <c r="K290" s="9"/>
      <c r="L290" s="9"/>
      <c r="M290" s="9"/>
      <c r="N290" s="9"/>
      <c r="O290" s="278"/>
      <c r="P290" s="10"/>
      <c r="Q290" s="10"/>
      <c r="R290" s="10"/>
      <c r="S290" s="10"/>
      <c r="T290" s="10"/>
      <c r="U290" s="9"/>
      <c r="V290" s="10"/>
      <c r="W290" s="10"/>
      <c r="X290" s="10"/>
      <c r="Y290" s="10"/>
      <c r="Z290" s="10"/>
      <c r="AA290" s="10"/>
    </row>
    <row r="291" spans="1:27">
      <c r="A291" s="8" t="str">
        <f>'Input 4 - Forecast'!A86</f>
        <v>Type 19</v>
      </c>
      <c r="B291" s="7">
        <f>B119</f>
        <v>2018</v>
      </c>
      <c r="C291" s="7" t="str">
        <f>$I105</f>
        <v>Annual</v>
      </c>
      <c r="D291" s="7">
        <f>$J105</f>
        <v>0</v>
      </c>
      <c r="E291" s="7">
        <f>$K105</f>
        <v>0</v>
      </c>
      <c r="F291" s="14">
        <f>$L$105</f>
        <v>0</v>
      </c>
      <c r="H291" s="9">
        <f>$B$105/$B$31</f>
        <v>0</v>
      </c>
      <c r="I291" s="9">
        <f>H291-P291</f>
        <v>0</v>
      </c>
      <c r="J291" s="9">
        <f>I291-Q291</f>
        <v>0</v>
      </c>
      <c r="K291" s="9">
        <f>J291-R291</f>
        <v>0</v>
      </c>
      <c r="L291" s="9">
        <f>K291-S291</f>
        <v>0</v>
      </c>
      <c r="M291" s="9">
        <f>L291-T291</f>
        <v>0</v>
      </c>
      <c r="N291" s="9"/>
      <c r="O291" s="9">
        <f t="shared" ref="O291:T291" si="86">IF(OR($C291="Annual",$D291=$E291),IF(AND($D291=$E291,O$111=$B291+$D291),$H291,IF(AND(O$111&gt;$B291+$D291,O$111&lt;=$B291+$E291), $H291/($E291-$D291),0)), IF(OR(O$111=$B291+$D291,O$111=$B291+$E291),$H291/(($E291-$D291)*2),IF(AND(O$111&gt;$B291+$D291,O$111&lt;$B291+$E291),$H291/($E291-$D291),0)))</f>
        <v>0</v>
      </c>
      <c r="P291" s="9">
        <f t="shared" si="86"/>
        <v>0</v>
      </c>
      <c r="Q291" s="9">
        <f t="shared" si="86"/>
        <v>0</v>
      </c>
      <c r="R291" s="9">
        <f t="shared" si="86"/>
        <v>0</v>
      </c>
      <c r="S291" s="9">
        <f t="shared" si="86"/>
        <v>0</v>
      </c>
      <c r="T291" s="9">
        <f t="shared" si="86"/>
        <v>0</v>
      </c>
      <c r="U291" s="9"/>
      <c r="V291" s="9">
        <f>IF($C291="annual",IF(V$111=$B291,0,G291*$F291),IF(V$111-$B291=0,0,IF((V$111-$B291)&lt;$E291,AVERAGE(G291,H291)*$F291,IF((V$111-$B291)=$E291,G291*$F291/2,0))))</f>
        <v>0</v>
      </c>
      <c r="W291" s="9">
        <f t="shared" ref="W291:AA296" si="87">IF($C291="annual",IF(W$111=$B291,0,H291*$F291),IF(W$111-$B291=0,0,IF((W$111-$B291)&lt;$E291,AVERAGE(H291,I291)*$F291,IF((W$111-$B291)=$E291,H291*$F291/2,0))))</f>
        <v>0</v>
      </c>
      <c r="X291" s="9">
        <f t="shared" si="87"/>
        <v>0</v>
      </c>
      <c r="Y291" s="9">
        <f t="shared" si="87"/>
        <v>0</v>
      </c>
      <c r="Z291" s="9">
        <f t="shared" si="87"/>
        <v>0</v>
      </c>
      <c r="AA291" s="9">
        <f t="shared" si="87"/>
        <v>0</v>
      </c>
    </row>
    <row r="292" spans="1:27">
      <c r="A292" s="8" t="str">
        <f>A291</f>
        <v>Type 19</v>
      </c>
      <c r="B292" s="7">
        <f>B291+1</f>
        <v>2019</v>
      </c>
      <c r="C292" s="7" t="str">
        <f>C291</f>
        <v>Annual</v>
      </c>
      <c r="D292" s="7">
        <f t="shared" ref="D292:E296" si="88">D291</f>
        <v>0</v>
      </c>
      <c r="E292" s="7">
        <f t="shared" si="88"/>
        <v>0</v>
      </c>
      <c r="F292" s="14">
        <f>$M$105</f>
        <v>0.18606977230199898</v>
      </c>
      <c r="H292" s="9"/>
      <c r="I292" s="9">
        <f ca="1">$C$105/$C$31</f>
        <v>0</v>
      </c>
      <c r="J292" s="9">
        <f ca="1">I292-Q292</f>
        <v>0</v>
      </c>
      <c r="K292" s="9">
        <f ca="1">J292-R292</f>
        <v>0</v>
      </c>
      <c r="L292" s="9">
        <f ca="1">K292-S292</f>
        <v>0</v>
      </c>
      <c r="M292" s="9">
        <f ca="1">L292-T292</f>
        <v>0</v>
      </c>
      <c r="N292" s="9"/>
      <c r="O292" s="9"/>
      <c r="P292" s="9">
        <f ca="1">IF(OR($C292="Annual",$D292=$E292),IF(AND($D292=$E292,P$111=$B292+$D292),$I292,IF(AND(P$111&gt;$B292+$D292,P$111&lt;=$B292+$E292), $I292/($E292-$D292),0)), IF(OR(P$111=$B292+$D292,P$111=$B292+$E292),$I292/(($E292-$D292)*2),IF(AND(P$111&gt;$B292+$D292,P$111&lt;$B292+$E292),$I292/($E292-$D292),0)))</f>
        <v>0</v>
      </c>
      <c r="Q292" s="9">
        <f>IF(OR($C292="Annual",$D292=$E292),IF(AND($D292=$E292,Q$111=$B292+$D292),$I292,IF(AND(Q$111&gt;$B292+$D292,Q$111&lt;=$B292+$E292), $I292/($E292-$D292),0)), IF(OR(Q$111=$B292+$D292,Q$111=$B292+$E292),$I292/(($E292-$D292)*2),IF(AND(Q$111&gt;$B292+$D292,Q$111&lt;$B292+$E292),$I292/($E292-$D292),0)))</f>
        <v>0</v>
      </c>
      <c r="R292" s="9">
        <f>IF(OR($C292="Annual",$D292=$E292),IF(AND($D292=$E292,R$111=$B292+$D292),$I292,IF(AND(R$111&gt;$B292+$D292,R$111&lt;=$B292+$E292), $I292/($E292-$D292),0)), IF(OR(R$111=$B292+$D292,R$111=$B292+$E292),$I292/(($E292-$D292)*2),IF(AND(R$111&gt;$B292+$D292,R$111&lt;$B292+$E292),$I292/($E292-$D292),0)))</f>
        <v>0</v>
      </c>
      <c r="S292" s="9">
        <f>IF(OR($C292="Annual",$D292=$E292),IF(AND($D292=$E292,S$111=$B292+$D292),$I292,IF(AND(S$111&gt;$B292+$D292,S$111&lt;=$B292+$E292), $I292/($E292-$D292),0)), IF(OR(S$111=$B292+$D292,S$111=$B292+$E292),$I292/(($E292-$D292)*2),IF(AND(S$111&gt;$B292+$D292,S$111&lt;$B292+$E292),$I292/($E292-$D292),0)))</f>
        <v>0</v>
      </c>
      <c r="T292" s="9">
        <f>IF(OR($C292="Annual",$D292=$E292),IF(AND($D292=$E292,T$111=$B292+$D292),$I292,IF(AND(T$111&gt;$B292+$D292,T$111&lt;=$B292+$E292), $I292/($E292-$D292),0)), IF(OR(T$111=$B292+$D292,T$111=$B292+$E292),$I292/(($E292-$D292)*2),IF(AND(T$111&gt;$B292+$D292,T$111&lt;$B292+$E292),$I292/($E292-$D292),0)))</f>
        <v>0</v>
      </c>
      <c r="U292" s="9"/>
      <c r="V292" s="9"/>
      <c r="W292" s="9">
        <f t="shared" si="87"/>
        <v>0</v>
      </c>
      <c r="X292" s="9">
        <f t="shared" ca="1" si="87"/>
        <v>0</v>
      </c>
      <c r="Y292" s="9">
        <f t="shared" ca="1" si="87"/>
        <v>0</v>
      </c>
      <c r="Z292" s="9">
        <f t="shared" ca="1" si="87"/>
        <v>0</v>
      </c>
      <c r="AA292" s="9">
        <f t="shared" ca="1" si="87"/>
        <v>0</v>
      </c>
    </row>
    <row r="293" spans="1:27">
      <c r="A293" s="8" t="str">
        <f>A292</f>
        <v>Type 19</v>
      </c>
      <c r="B293" s="7">
        <f>B292+1</f>
        <v>2020</v>
      </c>
      <c r="C293" s="7" t="str">
        <f>C292</f>
        <v>Annual</v>
      </c>
      <c r="D293" s="7">
        <f t="shared" si="88"/>
        <v>0</v>
      </c>
      <c r="E293" s="7">
        <f t="shared" si="88"/>
        <v>0</v>
      </c>
      <c r="F293" s="14">
        <f>$N$105</f>
        <v>0.18606977230199898</v>
      </c>
      <c r="H293" s="9"/>
      <c r="I293" s="9"/>
      <c r="J293" s="9">
        <f ca="1">$D$105/$D$31</f>
        <v>0</v>
      </c>
      <c r="K293" s="9">
        <f ca="1">J293-R293</f>
        <v>0</v>
      </c>
      <c r="L293" s="9">
        <f ca="1">K293-S293</f>
        <v>0</v>
      </c>
      <c r="M293" s="9">
        <f ca="1">L293-T293</f>
        <v>0</v>
      </c>
      <c r="N293" s="9"/>
      <c r="O293" s="9"/>
      <c r="P293" s="9"/>
      <c r="Q293" s="9">
        <f ca="1">IF(OR($C293="Annual",$D293=$E293),IF(AND($D293=$E293,Q$111=$B293+$D293),$J293,IF(AND(Q$111&gt;$B293+$D293,Q$111&lt;=$B293+$E293), $J293/($E293-$D293),0)), IF(OR(Q$111=$B293+$D293,Q$111=$B293+$E293),$J293/(($E293-$D293)*2),IF(AND(Q$111&gt;$B293+$D293,Q$111&lt;$B293+$E293),$J293/($E293-$D293),0)))</f>
        <v>0</v>
      </c>
      <c r="R293" s="9">
        <f>IF(OR($C293="Annual",$D293=$E293),IF(AND($D293=$E293,R$111=$B293+$D293),$J293,IF(AND(R$111&gt;$B293+$D293,R$111&lt;=$B293+$E293), $J293/($E293-$D293),0)), IF(OR(R$111=$B293+$D293,R$111=$B293+$E293),$J293/(($E293-$D293)*2),IF(AND(R$111&gt;$B293+$D293,R$111&lt;$B293+$E293),$J293/($E293-$D293),0)))</f>
        <v>0</v>
      </c>
      <c r="S293" s="9">
        <f>IF(OR($C293="Annual",$D293=$E293),IF(AND($D293=$E293,S$111=$B293+$D293),$J293,IF(AND(S$111&gt;$B293+$D293,S$111&lt;=$B293+$E293), $J293/($E293-$D293),0)), IF(OR(S$111=$B293+$D293,S$111=$B293+$E293),$J293/(($E293-$D293)*2),IF(AND(S$111&gt;$B293+$D293,S$111&lt;$B293+$E293),$J293/($E293-$D293),0)))</f>
        <v>0</v>
      </c>
      <c r="T293" s="9">
        <f>IF(OR($C293="Annual",$D293=$E293),IF(AND($D293=$E293,T$111=$B293+$D293),$J293,IF(AND(T$111&gt;$B293+$D293,T$111&lt;=$B293+$E293), $J293/($E293-$D293),0)), IF(OR(T$111=$B293+$D293,T$111=$B293+$E293),$J293/(($E293-$D293)*2),IF(AND(T$111&gt;$B293+$D293,T$111&lt;$B293+$E293),$J293/($E293-$D293),0)))</f>
        <v>0</v>
      </c>
      <c r="U293" s="9"/>
      <c r="V293" s="9"/>
      <c r="W293" s="9"/>
      <c r="X293" s="9">
        <f t="shared" si="87"/>
        <v>0</v>
      </c>
      <c r="Y293" s="9">
        <f t="shared" ca="1" si="87"/>
        <v>0</v>
      </c>
      <c r="Z293" s="9">
        <f t="shared" ca="1" si="87"/>
        <v>0</v>
      </c>
      <c r="AA293" s="9">
        <f t="shared" ca="1" si="87"/>
        <v>0</v>
      </c>
    </row>
    <row r="294" spans="1:27">
      <c r="A294" s="8" t="str">
        <f>A293</f>
        <v>Type 19</v>
      </c>
      <c r="B294" s="7">
        <f>B293+1</f>
        <v>2021</v>
      </c>
      <c r="C294" s="7" t="str">
        <f>C293</f>
        <v>Annual</v>
      </c>
      <c r="D294" s="7">
        <f t="shared" si="88"/>
        <v>0</v>
      </c>
      <c r="E294" s="7">
        <f t="shared" si="88"/>
        <v>0</v>
      </c>
      <c r="F294" s="14">
        <f>$O$105</f>
        <v>0.18606977230199898</v>
      </c>
      <c r="H294" s="9"/>
      <c r="I294" s="9"/>
      <c r="J294" s="9"/>
      <c r="K294" s="9">
        <f ca="1">$E$105/$E$31</f>
        <v>0</v>
      </c>
      <c r="L294" s="9">
        <f ca="1">K294-S294</f>
        <v>0</v>
      </c>
      <c r="M294" s="9">
        <f ca="1">L294-T294</f>
        <v>0</v>
      </c>
      <c r="N294" s="9"/>
      <c r="O294" s="9"/>
      <c r="P294" s="9"/>
      <c r="Q294" s="9"/>
      <c r="R294" s="9">
        <f ca="1">IF(OR($C294="Annual",$D294=$E294),IF(AND($D294=$E294,R$111=$B294+$D294),$K294,IF(AND(R$111&gt;$B294+$D294,R$111&lt;=$B294+$E294), $K294/($E294-$D294),0)), IF(OR(R$111=$B294+$D294,R$111=$B294+$E294),$K294/(($E294-$D294)*2),IF(AND(R$111&gt;$B294+$D294,R$111&lt;$B294+$E294),$K294/($E294-$D294),0)))</f>
        <v>0</v>
      </c>
      <c r="S294" s="9">
        <f>IF(OR($C294="Annual",$D294=$E294),IF(AND($D294=$E294,S$111=$B294+$D294),$K294,IF(AND(S$111&gt;$B294+$D294,S$111&lt;=$B294+$E294), $K294/($E294-$D294),0)), IF(OR(S$111=$B294+$D294,S$111=$B294+$E294),$K294/(($E294-$D294)*2),IF(AND(S$111&gt;$B294+$D294,S$111&lt;$B294+$E294),$K294/($E294-$D294),0)))</f>
        <v>0</v>
      </c>
      <c r="T294" s="9">
        <f>IF(OR($C294="Annual",$D294=$E294),IF(AND($D294=$E294,T$111=$B294+$D294),$K294,IF(AND(T$111&gt;$B294+$D294,T$111&lt;=$B294+$E294), $K294/($E294-$D294),0)), IF(OR(T$111=$B294+$D294,T$111=$B294+$E294),$K294/(($E294-$D294)*2),IF(AND(T$111&gt;$B294+$D294,T$111&lt;$B294+$E294),$K294/($E294-$D294),0)))</f>
        <v>0</v>
      </c>
      <c r="U294" s="9"/>
      <c r="V294" s="9"/>
      <c r="W294" s="9"/>
      <c r="X294" s="9"/>
      <c r="Y294" s="9">
        <f t="shared" si="87"/>
        <v>0</v>
      </c>
      <c r="Z294" s="9">
        <f t="shared" ca="1" si="87"/>
        <v>0</v>
      </c>
      <c r="AA294" s="9">
        <f t="shared" ca="1" si="87"/>
        <v>0</v>
      </c>
    </row>
    <row r="295" spans="1:27">
      <c r="A295" s="8" t="str">
        <f>A294</f>
        <v>Type 19</v>
      </c>
      <c r="B295" s="7">
        <f>B294+1</f>
        <v>2022</v>
      </c>
      <c r="C295" s="7" t="str">
        <f>C294</f>
        <v>Annual</v>
      </c>
      <c r="D295" s="7">
        <f t="shared" si="88"/>
        <v>0</v>
      </c>
      <c r="E295" s="7">
        <f t="shared" si="88"/>
        <v>0</v>
      </c>
      <c r="F295" s="14">
        <f>$P$105</f>
        <v>0.18606977230199898</v>
      </c>
      <c r="H295" s="9"/>
      <c r="I295" s="9"/>
      <c r="J295" s="9"/>
      <c r="K295" s="9"/>
      <c r="L295" s="9">
        <f ca="1">$F$105/$F$31</f>
        <v>0</v>
      </c>
      <c r="M295" s="9">
        <f ca="1">L295-T295</f>
        <v>0</v>
      </c>
      <c r="N295" s="9"/>
      <c r="O295" s="9"/>
      <c r="P295" s="9"/>
      <c r="Q295" s="9"/>
      <c r="R295" s="9"/>
      <c r="S295" s="9">
        <f ca="1">IF(OR($C295="Annual",$D295=$E295),IF(AND($D295=$E295,S$111=$B295+$D295),$L295,IF(AND(S$111&gt;$B295+$D295,S$111&lt;=$B295+$E295), $L295/($E295-$D295),0)), IF(OR(S$111=$B295+$D295,S$111=$B295+$E295),$L295/(($E295-$D295)*2),IF(AND(S$111&gt;$B295+$D295,S$111&lt;$B295+$E295),$L295/($E295-$D295),0)))</f>
        <v>0</v>
      </c>
      <c r="T295" s="9">
        <f>IF(OR($C295="Annual",$D295=$E295),IF(AND($D295=$E295,T$111=$B295+$D295),$L295,IF(AND(T$111&gt;$B295+$D295,T$111&lt;=$B295+$E295), $L295/($E295-$D295),0)), IF(OR(T$111=$B295+$D295,T$111=$B295+$E295),$L295/(($E295-$D295)*2),IF(AND(T$111&gt;$B295+$D295,T$111&lt;$B295+$E295),$L295/($E295-$D295),0)))</f>
        <v>0</v>
      </c>
      <c r="U295" s="9"/>
      <c r="V295" s="9"/>
      <c r="W295" s="9"/>
      <c r="X295" s="9"/>
      <c r="Y295" s="9"/>
      <c r="Z295" s="9">
        <f t="shared" si="87"/>
        <v>0</v>
      </c>
      <c r="AA295" s="9">
        <f t="shared" ca="1" si="87"/>
        <v>0</v>
      </c>
    </row>
    <row r="296" spans="1:27">
      <c r="A296" s="8" t="str">
        <f>A295</f>
        <v>Type 19</v>
      </c>
      <c r="B296" s="7">
        <f>B295+1</f>
        <v>2023</v>
      </c>
      <c r="C296" s="7" t="str">
        <f>C295</f>
        <v>Annual</v>
      </c>
      <c r="D296" s="7">
        <f t="shared" si="88"/>
        <v>0</v>
      </c>
      <c r="E296" s="7">
        <f t="shared" si="88"/>
        <v>0</v>
      </c>
      <c r="F296" s="14">
        <f>$Q$105</f>
        <v>0.18606977230199898</v>
      </c>
      <c r="H296" s="9"/>
      <c r="I296" s="9"/>
      <c r="J296" s="9"/>
      <c r="K296" s="9"/>
      <c r="L296" s="9"/>
      <c r="M296" s="9">
        <f ca="1">$G$105/$G$31</f>
        <v>0</v>
      </c>
      <c r="N296" s="9"/>
      <c r="O296" s="9"/>
      <c r="P296" s="9"/>
      <c r="Q296" s="9"/>
      <c r="R296" s="9"/>
      <c r="S296" s="9"/>
      <c r="T296" s="9">
        <f ca="1">IF(OR($C296="Annual",$D296=$E296),IF(AND($D296=$E296,T$111=$B296+$D296),$M296,IF(AND(T$111&gt;$B296+$D296,T$111&lt;=$B296+$E296), $M296/($E296-$D296),0)), IF(OR(T$111=$B296+$D296,T$111=$B296+$E296),$M296/(($E296-$D296)*2),IF(AND(T$111&gt;$B296+$D296,T$111&lt;$B296+$E296),$M296/($E296-$D296),0)))</f>
        <v>0</v>
      </c>
      <c r="U296" s="9"/>
      <c r="V296" s="9"/>
      <c r="W296" s="9"/>
      <c r="X296" s="9"/>
      <c r="Y296" s="9"/>
      <c r="Z296" s="9"/>
      <c r="AA296" s="9">
        <f t="shared" si="87"/>
        <v>0</v>
      </c>
    </row>
    <row r="297" spans="1:27">
      <c r="A297" s="8"/>
      <c r="B297" s="7"/>
      <c r="C297" s="7"/>
      <c r="D297" s="7"/>
      <c r="E297" s="7"/>
      <c r="F297" s="15"/>
      <c r="H297" s="9"/>
      <c r="I297" s="9"/>
      <c r="J297" s="9"/>
      <c r="K297" s="9"/>
      <c r="L297" s="9"/>
      <c r="M297" s="9"/>
      <c r="N297" s="9"/>
      <c r="O297" s="278"/>
      <c r="P297" s="10"/>
      <c r="Q297" s="10"/>
      <c r="R297" s="10"/>
      <c r="S297" s="10"/>
      <c r="T297" s="10"/>
      <c r="U297" s="9"/>
      <c r="V297" s="10"/>
      <c r="W297" s="10"/>
      <c r="X297" s="10"/>
      <c r="Y297" s="10"/>
      <c r="Z297" s="10"/>
      <c r="AA297" s="10"/>
    </row>
    <row r="298" spans="1:27" s="1150" customFormat="1">
      <c r="A298" s="1347" t="str">
        <f>'Input 4 - Forecast'!A87</f>
        <v>ZERO-COUPON BOND</v>
      </c>
      <c r="B298" s="1348">
        <f>B119</f>
        <v>2018</v>
      </c>
      <c r="C298" s="1348"/>
      <c r="D298" s="1348">
        <f>$J106</f>
        <v>0</v>
      </c>
      <c r="E298" s="1348">
        <f>$K106</f>
        <v>0</v>
      </c>
      <c r="F298" s="1349">
        <f>$L$106</f>
        <v>0</v>
      </c>
      <c r="H298" s="1350">
        <f>$B$106/$B$31</f>
        <v>0</v>
      </c>
      <c r="I298" s="1350">
        <f>H298-P298</f>
        <v>0</v>
      </c>
      <c r="J298" s="1350">
        <f>I298-Q298</f>
        <v>0</v>
      </c>
      <c r="K298" s="1350">
        <f>J298-R298</f>
        <v>0</v>
      </c>
      <c r="L298" s="1350">
        <f>K298-S298</f>
        <v>0</v>
      </c>
      <c r="M298" s="1350">
        <f>L298-T298</f>
        <v>0</v>
      </c>
      <c r="N298" s="1350"/>
      <c r="O298" s="1350">
        <f t="shared" ref="O298:T298" si="89">IF($D298=$E298,IF(O$111=$B298+$E298,$H298,0),0)</f>
        <v>0</v>
      </c>
      <c r="P298" s="1350">
        <f t="shared" si="89"/>
        <v>0</v>
      </c>
      <c r="Q298" s="1350">
        <f t="shared" si="89"/>
        <v>0</v>
      </c>
      <c r="R298" s="1350">
        <f t="shared" si="89"/>
        <v>0</v>
      </c>
      <c r="S298" s="1350">
        <f t="shared" si="89"/>
        <v>0</v>
      </c>
      <c r="T298" s="1350">
        <f t="shared" si="89"/>
        <v>0</v>
      </c>
      <c r="U298" s="1350"/>
      <c r="V298" s="1350">
        <f t="shared" ref="V298:AA298" si="90">IF(V$111-$B298=$D298,$H298*(((1+$F298)^$D298)-1),0)</f>
        <v>0</v>
      </c>
      <c r="W298" s="1350">
        <f t="shared" si="90"/>
        <v>0</v>
      </c>
      <c r="X298" s="1350">
        <f t="shared" si="90"/>
        <v>0</v>
      </c>
      <c r="Y298" s="1350">
        <f t="shared" si="90"/>
        <v>0</v>
      </c>
      <c r="Z298" s="1350">
        <f t="shared" si="90"/>
        <v>0</v>
      </c>
      <c r="AA298" s="1350">
        <f t="shared" si="90"/>
        <v>0</v>
      </c>
    </row>
    <row r="299" spans="1:27" s="1150" customFormat="1">
      <c r="A299" s="1347" t="str">
        <f>A298</f>
        <v>ZERO-COUPON BOND</v>
      </c>
      <c r="B299" s="1348">
        <f>B298+1</f>
        <v>2019</v>
      </c>
      <c r="C299" s="1348"/>
      <c r="D299" s="1348">
        <f t="shared" ref="D299:E303" si="91">D298</f>
        <v>0</v>
      </c>
      <c r="E299" s="1348">
        <f t="shared" si="91"/>
        <v>0</v>
      </c>
      <c r="F299" s="1349">
        <f>$M$106</f>
        <v>0.18606977230199898</v>
      </c>
      <c r="H299" s="1350"/>
      <c r="I299" s="1350">
        <f ca="1">$C$106/$C$31</f>
        <v>0</v>
      </c>
      <c r="J299" s="1350">
        <f ca="1">I299-Q299</f>
        <v>0</v>
      </c>
      <c r="K299" s="1350">
        <f ca="1">J299-R299</f>
        <v>0</v>
      </c>
      <c r="L299" s="1350">
        <f ca="1">K299-S299</f>
        <v>0</v>
      </c>
      <c r="M299" s="1350">
        <f ca="1">L299-T299</f>
        <v>0</v>
      </c>
      <c r="N299" s="1350"/>
      <c r="O299" s="1351"/>
      <c r="P299" s="1350">
        <f ca="1">IF($D299=$E299,IF(P$111=$B299+$E299,$I299,0),0)</f>
        <v>0</v>
      </c>
      <c r="Q299" s="1350">
        <f>IF($D299=$E299,IF(Q$111=$B299+$E299,$I299,0),0)</f>
        <v>0</v>
      </c>
      <c r="R299" s="1350">
        <f>IF($D299=$E299,IF(R$111=$B299+$E299,$I299,0),0)</f>
        <v>0</v>
      </c>
      <c r="S299" s="1350">
        <f>IF($D299=$E299,IF(S$111=$B299+$E299,$I299,0),0)</f>
        <v>0</v>
      </c>
      <c r="T299" s="1350">
        <f>IF($D299=$E299,IF(T$111=$B299+$E299,$I299,0),0)</f>
        <v>0</v>
      </c>
      <c r="U299" s="1350"/>
      <c r="V299" s="1350"/>
      <c r="W299" s="1350">
        <f ca="1">IF(W$111-$B299=$D299,$I299*(((1+$F299)^$D299)-1),0)</f>
        <v>0</v>
      </c>
      <c r="X299" s="1350">
        <f>IF(X$111-$B299=$D299,$I299*(((1+$F299)^$D299)-1),0)</f>
        <v>0</v>
      </c>
      <c r="Y299" s="1350">
        <f>IF(Y$111-$B299=$D299,$I299*(((1+$F299)^$D299)-1),0)</f>
        <v>0</v>
      </c>
      <c r="Z299" s="1350">
        <f>IF(Z$111-$B299=$D299,$I299*(((1+$F299)^$D299)-1),0)</f>
        <v>0</v>
      </c>
      <c r="AA299" s="1350">
        <f>IF(AA$111-$B299=$D299,$I299*(((1+$F299)^$D299)-1),0)</f>
        <v>0</v>
      </c>
    </row>
    <row r="300" spans="1:27" s="1150" customFormat="1">
      <c r="A300" s="1347" t="str">
        <f>A299</f>
        <v>ZERO-COUPON BOND</v>
      </c>
      <c r="B300" s="1348">
        <f>B299+1</f>
        <v>2020</v>
      </c>
      <c r="C300" s="1348"/>
      <c r="D300" s="1348">
        <f t="shared" si="91"/>
        <v>0</v>
      </c>
      <c r="E300" s="1348">
        <f t="shared" si="91"/>
        <v>0</v>
      </c>
      <c r="F300" s="1349">
        <f>$N$106</f>
        <v>0.18606977230199898</v>
      </c>
      <c r="H300" s="1350"/>
      <c r="I300" s="1350"/>
      <c r="J300" s="1350">
        <f ca="1">$D$106/$D$31</f>
        <v>0</v>
      </c>
      <c r="K300" s="1350">
        <f ca="1">J300-R300</f>
        <v>0</v>
      </c>
      <c r="L300" s="1350">
        <f ca="1">K300-S300</f>
        <v>0</v>
      </c>
      <c r="M300" s="1350">
        <f ca="1">L300-T300</f>
        <v>0</v>
      </c>
      <c r="N300" s="1350"/>
      <c r="O300" s="1351"/>
      <c r="P300" s="1350"/>
      <c r="Q300" s="1350">
        <f ca="1">IF($D300=$E300,IF(Q$111=$B300+$E300,$J300,0),0)</f>
        <v>0</v>
      </c>
      <c r="R300" s="1350">
        <f>IF($D300=$E300,IF(R$111=$B300+$E300,$J300,0),0)</f>
        <v>0</v>
      </c>
      <c r="S300" s="1350">
        <f>IF($D300=$E300,IF(S$111=$B300+$E300,$J300,0),0)</f>
        <v>0</v>
      </c>
      <c r="T300" s="1350">
        <f>IF($D300=$E300,IF(T$111=$B300+$E300,$J300,0),0)</f>
        <v>0</v>
      </c>
      <c r="U300" s="1350"/>
      <c r="V300" s="1350"/>
      <c r="W300" s="1350"/>
      <c r="X300" s="1350">
        <f ca="1">IF(X$111-$B300=$D300,$J300*(((1+$F300)^$D300)-1),0)</f>
        <v>0</v>
      </c>
      <c r="Y300" s="1350">
        <f>IF(Y$111-$B300=$D300,$J300*(((1+$F300)^$D300)-1),0)</f>
        <v>0</v>
      </c>
      <c r="Z300" s="1350">
        <f>IF(Z$111-$B300=$D300,$J300*(((1+$F300)^$D300)-1),0)</f>
        <v>0</v>
      </c>
      <c r="AA300" s="1350">
        <f>IF(AA$111-$B300=$D300,$J300*(((1+$F300)^$D300)-1),0)</f>
        <v>0</v>
      </c>
    </row>
    <row r="301" spans="1:27" s="1150" customFormat="1">
      <c r="A301" s="1347" t="str">
        <f>A300</f>
        <v>ZERO-COUPON BOND</v>
      </c>
      <c r="B301" s="1348">
        <f>B300+1</f>
        <v>2021</v>
      </c>
      <c r="C301" s="1348"/>
      <c r="D301" s="1348">
        <f t="shared" si="91"/>
        <v>0</v>
      </c>
      <c r="E301" s="1348">
        <f t="shared" si="91"/>
        <v>0</v>
      </c>
      <c r="F301" s="1349">
        <f>$O$106</f>
        <v>0.18606977230199898</v>
      </c>
      <c r="H301" s="1350"/>
      <c r="I301" s="1350"/>
      <c r="J301" s="1350"/>
      <c r="K301" s="1350">
        <f ca="1">$E$106/$E$31</f>
        <v>0</v>
      </c>
      <c r="L301" s="1350">
        <f ca="1">K301-S301</f>
        <v>0</v>
      </c>
      <c r="M301" s="1350">
        <f ca="1">L301-T301</f>
        <v>0</v>
      </c>
      <c r="N301" s="1350"/>
      <c r="O301" s="1351"/>
      <c r="P301" s="1350"/>
      <c r="Q301" s="1350"/>
      <c r="R301" s="1350">
        <f ca="1">IF($D301=$E301,IF(R$111=$B301+$E301,$K301,0),0)</f>
        <v>0</v>
      </c>
      <c r="S301" s="1350">
        <f>IF($D301=$E301,IF(S$111=$B301+$E301,$K301,0),0)</f>
        <v>0</v>
      </c>
      <c r="T301" s="1350">
        <f>IF($D301=$E301,IF(T$111=$B301+$E301,$K301,0),0)</f>
        <v>0</v>
      </c>
      <c r="U301" s="1350"/>
      <c r="V301" s="1350"/>
      <c r="W301" s="1350"/>
      <c r="X301" s="1350"/>
      <c r="Y301" s="1350">
        <f ca="1">IF(Y$111-$B301=$D301,$K301*(((1+$F301)^$D301)-1),0)</f>
        <v>0</v>
      </c>
      <c r="Z301" s="1350">
        <f>IF(Z$111-$B301=$D301,$K301*(((1+$F301)^$D301)-1),0)</f>
        <v>0</v>
      </c>
      <c r="AA301" s="1350">
        <f>IF(AA$111-$B301=$D301,$K301*(((1+$F301)^$D301)-1),0)</f>
        <v>0</v>
      </c>
    </row>
    <row r="302" spans="1:27" s="1150" customFormat="1">
      <c r="A302" s="1347" t="str">
        <f>A301</f>
        <v>ZERO-COUPON BOND</v>
      </c>
      <c r="B302" s="1348">
        <f>B301+1</f>
        <v>2022</v>
      </c>
      <c r="C302" s="1348"/>
      <c r="D302" s="1348">
        <f t="shared" si="91"/>
        <v>0</v>
      </c>
      <c r="E302" s="1348">
        <f t="shared" si="91"/>
        <v>0</v>
      </c>
      <c r="F302" s="1349">
        <f>$P$106</f>
        <v>0.18606977230199898</v>
      </c>
      <c r="H302" s="1350"/>
      <c r="I302" s="1350"/>
      <c r="J302" s="1350"/>
      <c r="K302" s="1350"/>
      <c r="L302" s="1350">
        <f ca="1">$F$106/$F$31</f>
        <v>0</v>
      </c>
      <c r="M302" s="1350">
        <f ca="1">L302-T302</f>
        <v>0</v>
      </c>
      <c r="N302" s="1350"/>
      <c r="O302" s="1351"/>
      <c r="P302" s="1350"/>
      <c r="Q302" s="1350"/>
      <c r="R302" s="1350"/>
      <c r="S302" s="1350">
        <f ca="1">IF($D302=$E302,IF(S$111=$B302+$E302,$L302,0),0)</f>
        <v>0</v>
      </c>
      <c r="T302" s="1350">
        <f>IF($D302=$E302,IF(T$111=$B302+$E302,$L302,0),0)</f>
        <v>0</v>
      </c>
      <c r="U302" s="1350"/>
      <c r="V302" s="1350"/>
      <c r="W302" s="1350"/>
      <c r="X302" s="1350"/>
      <c r="Y302" s="1350"/>
      <c r="Z302" s="1350">
        <f ca="1">IF(Z$111-$B302=$D302,$L302*(((1+$F302)^$D302)-1),0)</f>
        <v>0</v>
      </c>
      <c r="AA302" s="1350">
        <f>IF(AA$111-$B302=$D302,$L302*(((1+$F302)^$D302)-1),0)</f>
        <v>0</v>
      </c>
    </row>
    <row r="303" spans="1:27" s="1150" customFormat="1">
      <c r="A303" s="1347" t="str">
        <f>A302</f>
        <v>ZERO-COUPON BOND</v>
      </c>
      <c r="B303" s="1348">
        <f>B302+1</f>
        <v>2023</v>
      </c>
      <c r="C303" s="1348"/>
      <c r="D303" s="1348">
        <f t="shared" si="91"/>
        <v>0</v>
      </c>
      <c r="E303" s="1348">
        <f t="shared" si="91"/>
        <v>0</v>
      </c>
      <c r="F303" s="1349">
        <f>$Q$106</f>
        <v>0.18606977230199898</v>
      </c>
      <c r="H303" s="1350"/>
      <c r="I303" s="1350"/>
      <c r="J303" s="1350"/>
      <c r="K303" s="1350"/>
      <c r="L303" s="1350"/>
      <c r="M303" s="1350">
        <f ca="1">$G$106/$G$31</f>
        <v>0</v>
      </c>
      <c r="N303" s="1350"/>
      <c r="O303" s="1351"/>
      <c r="P303" s="1350"/>
      <c r="Q303" s="1350"/>
      <c r="R303" s="1350"/>
      <c r="S303" s="1350"/>
      <c r="T303" s="1350">
        <f ca="1">IF($D303=$E303,IF(T$111=$B303+$E303,$M303,0),0)</f>
        <v>0</v>
      </c>
      <c r="U303" s="1350"/>
      <c r="V303" s="1350"/>
      <c r="W303" s="1350"/>
      <c r="X303" s="1350"/>
      <c r="Y303" s="1350"/>
      <c r="Z303" s="1350"/>
      <c r="AA303" s="1350">
        <f ca="1">IF(AA$111-$B303=$D303,$M303*(((1+$F303)^$D303)-1),0)</f>
        <v>0</v>
      </c>
    </row>
    <row r="304" spans="1:27" ht="15.75" thickBot="1">
      <c r="H304" s="10"/>
      <c r="I304" s="10"/>
      <c r="J304" s="10"/>
      <c r="K304" s="10"/>
      <c r="L304" s="10"/>
      <c r="M304" s="10"/>
      <c r="N304" s="10"/>
      <c r="O304" s="10"/>
      <c r="P304" s="10"/>
      <c r="Q304" s="10"/>
      <c r="R304" s="10"/>
      <c r="S304" s="10"/>
      <c r="T304" s="10"/>
      <c r="U304" s="10"/>
      <c r="V304" s="10"/>
      <c r="W304" s="10"/>
      <c r="X304" s="10"/>
      <c r="Y304" s="10"/>
      <c r="Z304" s="10"/>
      <c r="AA304" s="10"/>
    </row>
    <row r="305" spans="1:27" ht="15.75" thickBot="1">
      <c r="B305" s="1999" t="s">
        <v>51</v>
      </c>
      <c r="C305" s="2000"/>
      <c r="D305" s="2000"/>
      <c r="E305" s="2000"/>
      <c r="F305" s="2000"/>
      <c r="G305" s="2000"/>
      <c r="H305" s="2000"/>
      <c r="I305" s="2000"/>
      <c r="J305" s="2000"/>
      <c r="K305" s="2000"/>
      <c r="L305" s="2000"/>
      <c r="M305" s="2000"/>
      <c r="N305" s="2000"/>
      <c r="O305" s="2000"/>
      <c r="P305" s="2000"/>
      <c r="Q305" s="2000"/>
      <c r="R305" s="2000"/>
      <c r="S305" s="2000"/>
      <c r="T305" s="2000"/>
      <c r="U305" s="2000"/>
      <c r="V305" s="2000"/>
      <c r="W305" s="2000"/>
      <c r="X305" s="2000"/>
      <c r="Y305" s="2000"/>
      <c r="Z305" s="2000"/>
      <c r="AA305" s="2001"/>
    </row>
    <row r="306" spans="1:27">
      <c r="H306" s="10"/>
      <c r="I306" s="10"/>
      <c r="J306" s="10"/>
      <c r="K306" s="10"/>
      <c r="L306" s="10"/>
      <c r="M306" s="10"/>
      <c r="N306" s="10"/>
      <c r="O306" s="10"/>
      <c r="P306" s="10"/>
      <c r="Q306" s="10"/>
      <c r="R306" s="10"/>
      <c r="S306" s="10"/>
      <c r="T306" s="10"/>
      <c r="U306" s="10"/>
      <c r="V306" s="10"/>
      <c r="W306" s="10"/>
      <c r="X306" s="10"/>
      <c r="Y306" s="10"/>
      <c r="Z306" s="10"/>
      <c r="AA306" s="10"/>
    </row>
    <row r="307" spans="1:27">
      <c r="A307" s="16" t="str">
        <f>'Input 4 - Forecast'!A89</f>
        <v>Domestic Residual Financing (annual payments, no interest or amortization in current year)</v>
      </c>
      <c r="B307" s="7">
        <f>B119</f>
        <v>2018</v>
      </c>
      <c r="C307" s="7"/>
      <c r="D307" s="7">
        <f>$J108</f>
        <v>1</v>
      </c>
      <c r="E307" s="7">
        <f>$K108</f>
        <v>1</v>
      </c>
      <c r="F307" s="14">
        <f>$L$108</f>
        <v>0</v>
      </c>
      <c r="H307" s="9">
        <f>$B$108</f>
        <v>-267.59452840452661</v>
      </c>
      <c r="I307" s="9">
        <f>H307-P307</f>
        <v>0</v>
      </c>
      <c r="J307" s="9">
        <f>I307-Q307</f>
        <v>0</v>
      </c>
      <c r="K307" s="9">
        <f>J307-R307</f>
        <v>0</v>
      </c>
      <c r="L307" s="9">
        <f>K307-S307</f>
        <v>0</v>
      </c>
      <c r="M307" s="9">
        <f>L307-T307</f>
        <v>0</v>
      </c>
      <c r="N307" s="9"/>
      <c r="O307" s="9">
        <v>0</v>
      </c>
      <c r="P307" s="9">
        <f>H307</f>
        <v>-267.59452840452661</v>
      </c>
      <c r="Q307" s="9">
        <v>0</v>
      </c>
      <c r="R307" s="9">
        <v>0</v>
      </c>
      <c r="S307" s="9">
        <v>0</v>
      </c>
      <c r="T307" s="9">
        <v>0</v>
      </c>
      <c r="U307" s="9"/>
      <c r="V307" s="9">
        <v>0</v>
      </c>
      <c r="W307" s="9">
        <f>H307*$F307</f>
        <v>0</v>
      </c>
      <c r="X307" s="9">
        <f t="shared" ref="X307:AA309" si="92">I307*$F307</f>
        <v>0</v>
      </c>
      <c r="Y307" s="9">
        <f t="shared" si="92"/>
        <v>0</v>
      </c>
      <c r="Z307" s="9">
        <f t="shared" si="92"/>
        <v>0</v>
      </c>
      <c r="AA307" s="9">
        <f t="shared" si="92"/>
        <v>0</v>
      </c>
    </row>
    <row r="308" spans="1:27">
      <c r="B308" s="7">
        <f>B307+1</f>
        <v>2019</v>
      </c>
      <c r="C308" s="7"/>
      <c r="D308" s="7">
        <f t="shared" ref="D308:E312" si="93">D307</f>
        <v>1</v>
      </c>
      <c r="E308" s="7">
        <f t="shared" si="93"/>
        <v>1</v>
      </c>
      <c r="F308" s="14">
        <f>$M$108</f>
        <v>0.18606977230199898</v>
      </c>
      <c r="H308" s="9"/>
      <c r="I308" s="9">
        <f ca="1">$C$108</f>
        <v>1808.3804037295163</v>
      </c>
      <c r="J308" s="9">
        <f ca="1">I308-Q308</f>
        <v>0</v>
      </c>
      <c r="K308" s="9">
        <f ca="1">J308-R308</f>
        <v>0</v>
      </c>
      <c r="L308" s="9">
        <f ca="1">K308-S308</f>
        <v>0</v>
      </c>
      <c r="M308" s="9">
        <f ca="1">L308-T308</f>
        <v>0</v>
      </c>
      <c r="O308" s="9"/>
      <c r="P308" s="9">
        <v>0</v>
      </c>
      <c r="Q308" s="9">
        <f ca="1">I308</f>
        <v>1808.3804037295163</v>
      </c>
      <c r="R308" s="9">
        <v>0</v>
      </c>
      <c r="S308" s="9">
        <v>0</v>
      </c>
      <c r="T308" s="9">
        <v>0</v>
      </c>
      <c r="V308" s="9"/>
      <c r="W308" s="9">
        <v>0</v>
      </c>
      <c r="X308" s="9">
        <f ca="1">I308*$F308</f>
        <v>385.53813808652541</v>
      </c>
      <c r="Y308" s="9">
        <f t="shared" ca="1" si="92"/>
        <v>0</v>
      </c>
      <c r="Z308" s="9">
        <f t="shared" ca="1" si="92"/>
        <v>0</v>
      </c>
      <c r="AA308" s="9">
        <f t="shared" ca="1" si="92"/>
        <v>0</v>
      </c>
    </row>
    <row r="309" spans="1:27">
      <c r="B309" s="7">
        <f>B308+1</f>
        <v>2020</v>
      </c>
      <c r="C309" s="7"/>
      <c r="D309" s="7">
        <f t="shared" si="93"/>
        <v>1</v>
      </c>
      <c r="E309" s="7">
        <f t="shared" si="93"/>
        <v>1</v>
      </c>
      <c r="F309" s="14">
        <f>$N$108</f>
        <v>0.18606977230199898</v>
      </c>
      <c r="H309" s="9"/>
      <c r="I309" s="9"/>
      <c r="J309" s="9">
        <f ca="1">$D$108</f>
        <v>3644.3789574433354</v>
      </c>
      <c r="K309" s="9">
        <f ca="1">J309-R309</f>
        <v>0</v>
      </c>
      <c r="L309" s="9">
        <f ca="1">K309-S309</f>
        <v>0</v>
      </c>
      <c r="M309" s="9">
        <f ca="1">L309-T309</f>
        <v>0</v>
      </c>
      <c r="O309" s="9"/>
      <c r="P309" s="9"/>
      <c r="Q309" s="9">
        <v>0</v>
      </c>
      <c r="R309" s="9">
        <f ca="1">J309</f>
        <v>3644.3789574433354</v>
      </c>
      <c r="S309" s="9">
        <v>0</v>
      </c>
      <c r="T309" s="9">
        <v>0</v>
      </c>
      <c r="V309" s="9"/>
      <c r="W309" s="9"/>
      <c r="X309" s="9">
        <v>0</v>
      </c>
      <c r="Y309" s="9">
        <f ca="1">J309*$F309</f>
        <v>776.96433495779706</v>
      </c>
      <c r="Z309" s="9">
        <f t="shared" ca="1" si="92"/>
        <v>0</v>
      </c>
      <c r="AA309" s="9">
        <f t="shared" ca="1" si="92"/>
        <v>0</v>
      </c>
    </row>
    <row r="310" spans="1:27">
      <c r="B310" s="7">
        <f>B309+1</f>
        <v>2021</v>
      </c>
      <c r="C310" s="7"/>
      <c r="D310" s="7">
        <f t="shared" si="93"/>
        <v>1</v>
      </c>
      <c r="E310" s="7">
        <f t="shared" si="93"/>
        <v>1</v>
      </c>
      <c r="F310" s="14">
        <f>$O$108</f>
        <v>0.18606977230199898</v>
      </c>
      <c r="H310" s="9"/>
      <c r="I310" s="9"/>
      <c r="J310" s="9"/>
      <c r="K310" s="9">
        <f ca="1">$E$108</f>
        <v>5917.2181590086975</v>
      </c>
      <c r="L310" s="9">
        <f ca="1">K310-S310</f>
        <v>0</v>
      </c>
      <c r="M310" s="9">
        <f ca="1">L310-T310</f>
        <v>0</v>
      </c>
      <c r="O310" s="9"/>
      <c r="P310" s="9"/>
      <c r="Q310" s="9"/>
      <c r="R310" s="9">
        <v>0</v>
      </c>
      <c r="S310" s="9">
        <f ca="1">K310</f>
        <v>5917.2181590086975</v>
      </c>
      <c r="T310" s="9">
        <v>0</v>
      </c>
      <c r="V310" s="9"/>
      <c r="W310" s="9"/>
      <c r="X310" s="9"/>
      <c r="Y310" s="9">
        <v>0</v>
      </c>
      <c r="Z310" s="9">
        <f ca="1">K310*$F310</f>
        <v>1276.3159345922513</v>
      </c>
      <c r="AA310" s="9">
        <f ca="1">L310*$F310</f>
        <v>0</v>
      </c>
    </row>
    <row r="311" spans="1:27">
      <c r="B311" s="7">
        <f>B310+1</f>
        <v>2022</v>
      </c>
      <c r="C311" s="7"/>
      <c r="D311" s="7">
        <f t="shared" si="93"/>
        <v>1</v>
      </c>
      <c r="E311" s="7">
        <f t="shared" si="93"/>
        <v>1</v>
      </c>
      <c r="F311" s="14">
        <f>$P$108</f>
        <v>0.18606977230199898</v>
      </c>
      <c r="H311" s="9"/>
      <c r="I311" s="9"/>
      <c r="J311" s="9"/>
      <c r="K311" s="9"/>
      <c r="L311" s="9">
        <f ca="1">$F$108</f>
        <v>7544.6646548647432</v>
      </c>
      <c r="M311" s="9">
        <f ca="1">L311-T311</f>
        <v>0</v>
      </c>
      <c r="O311" s="9"/>
      <c r="P311" s="9"/>
      <c r="Q311" s="9"/>
      <c r="R311" s="9"/>
      <c r="S311" s="9">
        <v>0</v>
      </c>
      <c r="T311" s="9">
        <f ca="1">L311</f>
        <v>7544.6646548647432</v>
      </c>
      <c r="V311" s="9"/>
      <c r="W311" s="9"/>
      <c r="X311" s="9"/>
      <c r="Y311" s="9"/>
      <c r="Z311" s="9">
        <v>0</v>
      </c>
      <c r="AA311" s="9">
        <f ca="1">L311*$F311</f>
        <v>1627.3484366126556</v>
      </c>
    </row>
    <row r="312" spans="1:27">
      <c r="B312" s="7">
        <f>B311+1</f>
        <v>2023</v>
      </c>
      <c r="C312" s="7"/>
      <c r="D312" s="7">
        <f t="shared" si="93"/>
        <v>1</v>
      </c>
      <c r="E312" s="7">
        <f t="shared" si="93"/>
        <v>1</v>
      </c>
      <c r="F312" s="14">
        <f>$Q$108</f>
        <v>0.18606977230199898</v>
      </c>
      <c r="H312" s="9"/>
      <c r="I312" s="9"/>
      <c r="J312" s="9"/>
      <c r="K312" s="9"/>
      <c r="L312" s="9"/>
      <c r="M312" s="9">
        <f ca="1">$G$108</f>
        <v>9262.2852295063094</v>
      </c>
      <c r="O312" s="9"/>
      <c r="P312" s="9"/>
      <c r="Q312" s="9"/>
      <c r="R312" s="9"/>
      <c r="S312" s="9"/>
      <c r="T312" s="9">
        <v>0</v>
      </c>
      <c r="V312" s="9"/>
      <c r="W312" s="9"/>
      <c r="X312" s="9"/>
      <c r="Y312" s="9"/>
      <c r="Z312" s="9"/>
      <c r="AA312" s="9">
        <v>0</v>
      </c>
    </row>
    <row r="313" spans="1:27">
      <c r="B313" s="7"/>
      <c r="D313" s="7"/>
      <c r="E313" s="14"/>
      <c r="G313" s="9"/>
      <c r="H313" s="9"/>
      <c r="I313" s="9"/>
      <c r="J313" s="9"/>
      <c r="K313" s="9"/>
      <c r="L313" s="9"/>
      <c r="N313" s="89"/>
      <c r="O313" s="9"/>
      <c r="P313" s="9"/>
      <c r="Q313" s="9"/>
      <c r="R313" s="9"/>
      <c r="S313" s="9"/>
      <c r="U313" s="9"/>
      <c r="V313" s="9"/>
      <c r="W313" s="9"/>
      <c r="X313" s="9"/>
      <c r="Y313" s="9"/>
      <c r="Z313" s="9"/>
    </row>
    <row r="314" spans="1:27">
      <c r="B314" s="7"/>
      <c r="C314" s="7"/>
      <c r="D314" s="7"/>
      <c r="E314" s="14"/>
      <c r="G314" s="9"/>
      <c r="H314" s="9"/>
      <c r="I314" s="9"/>
      <c r="J314" s="9"/>
      <c r="K314" s="9"/>
      <c r="L314" s="9"/>
      <c r="N314" s="89"/>
      <c r="O314" s="9"/>
      <c r="P314" s="9"/>
      <c r="Q314" s="9"/>
      <c r="R314" s="9"/>
      <c r="S314" s="9"/>
      <c r="U314" s="9"/>
      <c r="V314" s="9"/>
      <c r="W314" s="9"/>
      <c r="X314" s="9"/>
      <c r="Y314" s="9"/>
      <c r="Z314" s="9"/>
    </row>
    <row r="315" spans="1:27">
      <c r="A315" s="8"/>
      <c r="B315" s="7"/>
    </row>
  </sheetData>
  <mergeCells count="14">
    <mergeCell ref="B231:AA231"/>
    <mergeCell ref="B268:AA268"/>
    <mergeCell ref="B305:AA305"/>
    <mergeCell ref="B126:AA126"/>
    <mergeCell ref="B136:AA136"/>
    <mergeCell ref="B173:AA173"/>
    <mergeCell ref="B212:AA212"/>
    <mergeCell ref="B221:AA221"/>
    <mergeCell ref="B117:AA117"/>
    <mergeCell ref="B73:G73"/>
    <mergeCell ref="H112:M112"/>
    <mergeCell ref="O112:T112"/>
    <mergeCell ref="V112:AA112"/>
    <mergeCell ref="B112:F112"/>
  </mergeCells>
  <pageMargins left="0.7" right="0.7" top="0.75" bottom="0.75" header="0.3" footer="0.3"/>
  <legacy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1">
    <tabColor rgb="FFC081FF"/>
  </sheetPr>
  <dimension ref="A1:AA317"/>
  <sheetViews>
    <sheetView zoomScale="80" zoomScaleNormal="80" workbookViewId="0"/>
  </sheetViews>
  <sheetFormatPr defaultColWidth="9.140625" defaultRowHeight="15"/>
  <cols>
    <col min="1" max="1" width="79.28515625" style="6" customWidth="1"/>
    <col min="2" max="3" width="15.42578125" style="6" customWidth="1"/>
    <col min="4" max="19" width="10.7109375" style="6" customWidth="1"/>
    <col min="20" max="20" width="10.5703125" style="6" customWidth="1"/>
    <col min="21" max="21" width="5.7109375" style="6" customWidth="1"/>
    <col min="22" max="26" width="13.5703125" style="6" customWidth="1"/>
    <col min="27" max="16384" width="9.140625" style="6"/>
  </cols>
  <sheetData>
    <row r="1" spans="1:19" customFormat="1" ht="15.75" thickBot="1">
      <c r="B1" s="1"/>
      <c r="C1" s="1"/>
      <c r="D1" s="1"/>
      <c r="E1" s="60"/>
      <c r="F1" s="60"/>
      <c r="G1" s="60"/>
      <c r="H1" s="60"/>
      <c r="I1" s="60"/>
      <c r="J1" s="60"/>
      <c r="K1" s="60"/>
      <c r="L1" s="1"/>
      <c r="M1" s="1"/>
      <c r="N1" s="1"/>
      <c r="O1" s="1"/>
      <c r="P1" s="1"/>
      <c r="Q1" s="1"/>
      <c r="R1" s="1"/>
      <c r="S1" s="1"/>
    </row>
    <row r="2" spans="1:19" customFormat="1" ht="45.75" customHeight="1" thickBot="1">
      <c r="A2" s="1305" t="s">
        <v>84</v>
      </c>
      <c r="B2" s="118" t="s">
        <v>16</v>
      </c>
      <c r="C2" s="1"/>
      <c r="D2" s="1"/>
      <c r="E2" s="1"/>
      <c r="F2" s="1"/>
      <c r="G2" s="1"/>
    </row>
    <row r="3" spans="1:19" customFormat="1">
      <c r="A3" s="17"/>
      <c r="B3" s="225">
        <f>FirstYear</f>
        <v>2018</v>
      </c>
      <c r="C3" s="226">
        <f>B3+1</f>
        <v>2019</v>
      </c>
      <c r="D3" s="226">
        <f>C3+1</f>
        <v>2020</v>
      </c>
      <c r="E3" s="226">
        <f>D3+1</f>
        <v>2021</v>
      </c>
      <c r="F3" s="226">
        <f>E3+1</f>
        <v>2022</v>
      </c>
      <c r="G3" s="227">
        <f>F3+1</f>
        <v>2023</v>
      </c>
    </row>
    <row r="4" spans="1:19" customFormat="1">
      <c r="A4" s="17"/>
      <c r="B4" s="168"/>
      <c r="C4" s="62"/>
      <c r="D4" s="62"/>
      <c r="E4" s="62"/>
      <c r="F4" s="62"/>
      <c r="G4" s="169"/>
    </row>
    <row r="5" spans="1:19" customFormat="1">
      <c r="A5" s="63" t="s">
        <v>62</v>
      </c>
      <c r="B5" s="170">
        <f t="shared" ref="B5:G5" si="0">B7+B15</f>
        <v>10948.652288728241</v>
      </c>
      <c r="C5" s="171">
        <f t="shared" ca="1" si="0"/>
        <v>11280.540414647294</v>
      </c>
      <c r="D5" s="171">
        <f t="shared" ca="1" si="0"/>
        <v>11632.671302251352</v>
      </c>
      <c r="E5" s="171">
        <f t="shared" ca="1" si="0"/>
        <v>11828.54648821583</v>
      </c>
      <c r="F5" s="171">
        <f t="shared" ca="1" si="0"/>
        <v>12087.681678868114</v>
      </c>
      <c r="G5" s="172">
        <f t="shared" ca="1" si="0"/>
        <v>12364.389340783226</v>
      </c>
    </row>
    <row r="6" spans="1:19" s="284" customFormat="1">
      <c r="A6" s="18" t="s">
        <v>1026</v>
      </c>
      <c r="B6" s="170" t="str">
        <f t="shared" ref="B6:G6" si="1">IFERROR(B9+B11,"")</f>
        <v/>
      </c>
      <c r="C6" s="171" t="str">
        <f t="shared" si="1"/>
        <v/>
      </c>
      <c r="D6" s="171" t="str">
        <f t="shared" si="1"/>
        <v/>
      </c>
      <c r="E6" s="171" t="str">
        <f t="shared" si="1"/>
        <v/>
      </c>
      <c r="F6" s="171" t="str">
        <f t="shared" si="1"/>
        <v/>
      </c>
      <c r="G6" s="172" t="str">
        <f t="shared" si="1"/>
        <v/>
      </c>
    </row>
    <row r="7" spans="1:19" customFormat="1">
      <c r="A7" s="21" t="s">
        <v>70</v>
      </c>
      <c r="B7" s="170">
        <f t="shared" ref="B7:G7" si="2">B8+B10</f>
        <v>9886.2521736994167</v>
      </c>
      <c r="C7" s="171">
        <f t="shared" si="2"/>
        <v>8911.8893426146806</v>
      </c>
      <c r="D7" s="171">
        <f t="shared" si="2"/>
        <v>7492.189097399264</v>
      </c>
      <c r="E7" s="171">
        <f t="shared" si="2"/>
        <v>5974.3469208111837</v>
      </c>
      <c r="F7" s="171">
        <f t="shared" si="2"/>
        <v>5668.2685925698843</v>
      </c>
      <c r="G7" s="172">
        <f t="shared" si="2"/>
        <v>5408.9817963298847</v>
      </c>
    </row>
    <row r="8" spans="1:19" customFormat="1">
      <c r="A8" s="18" t="s">
        <v>72</v>
      </c>
      <c r="B8" s="170">
        <f>'Baseline debt'!P11</f>
        <v>9879.101789236136</v>
      </c>
      <c r="C8" s="171">
        <f>'Baseline debt'!Q11</f>
        <v>8904.2169986260087</v>
      </c>
      <c r="D8" s="171">
        <f>'Baseline debt'!R11</f>
        <v>8210.6547722760079</v>
      </c>
      <c r="E8" s="171">
        <f>'Baseline debt'!S11</f>
        <v>7110.6102222407098</v>
      </c>
      <c r="F8" s="171">
        <f>'Baseline debt'!T11</f>
        <v>6804.9355125304046</v>
      </c>
      <c r="G8" s="172">
        <f>'Baseline debt'!U11</f>
        <v>6545.648716290405</v>
      </c>
    </row>
    <row r="9" spans="1:19" s="284" customFormat="1">
      <c r="A9" s="228" t="s">
        <v>1028</v>
      </c>
      <c r="B9" s="170" t="str">
        <f>'Baseline debt'!P12</f>
        <v/>
      </c>
      <c r="C9" s="171" t="str">
        <f>'Baseline debt'!Q12</f>
        <v/>
      </c>
      <c r="D9" s="171" t="str">
        <f>'Baseline debt'!R12</f>
        <v/>
      </c>
      <c r="E9" s="171" t="str">
        <f>'Baseline debt'!S12</f>
        <v/>
      </c>
      <c r="F9" s="171" t="str">
        <f>'Baseline debt'!T12</f>
        <v/>
      </c>
      <c r="G9" s="172" t="str">
        <f>'Baseline debt'!U12</f>
        <v/>
      </c>
    </row>
    <row r="10" spans="1:19" customFormat="1">
      <c r="A10" s="18" t="s">
        <v>63</v>
      </c>
      <c r="B10" s="170">
        <f>'Baseline debt'!P13/'Baseline debt'!P$73*B34</f>
        <v>7.1503844632814992</v>
      </c>
      <c r="C10" s="171">
        <f>'Baseline debt'!Q13/'Baseline debt'!Q$73*C34</f>
        <v>7.6723439886721989</v>
      </c>
      <c r="D10" s="171">
        <f>'Baseline debt'!R13/'Baseline debt'!R$73*D34</f>
        <v>-718.46567487674349</v>
      </c>
      <c r="E10" s="171">
        <f>'Baseline debt'!S13/'Baseline debt'!S$73*E34</f>
        <v>-1136.2633014295257</v>
      </c>
      <c r="F10" s="171">
        <f>'Baseline debt'!T13/'Baseline debt'!T$73*F34</f>
        <v>-1136.6669199605203</v>
      </c>
      <c r="G10" s="172">
        <f>'Baseline debt'!U13/'Baseline debt'!U$73*G34</f>
        <v>-1136.6669199605203</v>
      </c>
    </row>
    <row r="11" spans="1:19" s="284" customFormat="1">
      <c r="A11" s="228" t="s">
        <v>1028</v>
      </c>
      <c r="B11" s="170" t="str">
        <f>IFERROR('Baseline debt'!P14/'Baseline debt'!P73*exchange!B34,"")</f>
        <v/>
      </c>
      <c r="C11" s="171" t="str">
        <f>IFERROR('Baseline debt'!Q14/'Baseline debt'!Q73*exchange!C34,"")</f>
        <v/>
      </c>
      <c r="D11" s="171" t="str">
        <f>IFERROR('Baseline debt'!R14/'Baseline debt'!R73*exchange!D34,"")</f>
        <v/>
      </c>
      <c r="E11" s="171" t="str">
        <f>IFERROR('Baseline debt'!S14/'Baseline debt'!S73*exchange!E34,"")</f>
        <v/>
      </c>
      <c r="F11" s="171" t="str">
        <f>IFERROR('Baseline debt'!T14/'Baseline debt'!T73*exchange!F34,"")</f>
        <v/>
      </c>
      <c r="G11" s="172" t="str">
        <f>IFERROR('Baseline debt'!U14/'Baseline debt'!U73*exchange!G34,"")</f>
        <v/>
      </c>
    </row>
    <row r="12" spans="1:19" customFormat="1">
      <c r="A12" s="18" t="s">
        <v>60</v>
      </c>
      <c r="B12" s="170">
        <v>0</v>
      </c>
      <c r="C12" s="171">
        <v>0</v>
      </c>
      <c r="D12" s="171">
        <v>0</v>
      </c>
      <c r="E12" s="171">
        <v>0</v>
      </c>
      <c r="F12" s="171">
        <v>0</v>
      </c>
      <c r="G12" s="172">
        <v>0</v>
      </c>
    </row>
    <row r="13" spans="1:19" customFormat="1">
      <c r="A13" s="18" t="s">
        <v>73</v>
      </c>
      <c r="B13" s="170">
        <f t="shared" ref="B13:G13" si="3">B8+B10</f>
        <v>9886.2521736994167</v>
      </c>
      <c r="C13" s="171">
        <f t="shared" si="3"/>
        <v>8911.8893426146806</v>
      </c>
      <c r="D13" s="171">
        <f t="shared" si="3"/>
        <v>7492.189097399264</v>
      </c>
      <c r="E13" s="171">
        <f t="shared" si="3"/>
        <v>5974.3469208111837</v>
      </c>
      <c r="F13" s="171">
        <f t="shared" si="3"/>
        <v>5668.2685925698843</v>
      </c>
      <c r="G13" s="172">
        <f t="shared" si="3"/>
        <v>5408.9817963298847</v>
      </c>
    </row>
    <row r="14" spans="1:19" customFormat="1">
      <c r="A14" s="17"/>
      <c r="B14" s="170"/>
      <c r="C14" s="171"/>
      <c r="D14" s="171"/>
      <c r="E14" s="171"/>
      <c r="F14" s="171"/>
      <c r="G14" s="172"/>
    </row>
    <row r="15" spans="1:19" customFormat="1">
      <c r="A15" s="21" t="s">
        <v>71</v>
      </c>
      <c r="B15" s="170">
        <f t="shared" ref="B15:G15" si="4">B16+B17</f>
        <v>1062.4001150288241</v>
      </c>
      <c r="C15" s="171">
        <f t="shared" ca="1" si="4"/>
        <v>2366.8875970681092</v>
      </c>
      <c r="D15" s="171">
        <f t="shared" ca="1" si="4"/>
        <v>3995.0184846721672</v>
      </c>
      <c r="E15" s="171">
        <f t="shared" ca="1" si="4"/>
        <v>5625.8936706366449</v>
      </c>
      <c r="F15" s="171">
        <f t="shared" ca="1" si="4"/>
        <v>6191.0288612889271</v>
      </c>
      <c r="G15" s="172">
        <f t="shared" ca="1" si="4"/>
        <v>6476.7365232040393</v>
      </c>
    </row>
    <row r="16" spans="1:19" customFormat="1">
      <c r="A16" s="18" t="s">
        <v>72</v>
      </c>
      <c r="B16" s="170">
        <f t="shared" ref="B16:G16" si="5">SUM(H121:H126,H140:H173,H216:H221,H235:H268,H309:H314)</f>
        <v>1062.4001150288241</v>
      </c>
      <c r="C16" s="171">
        <f t="shared" ca="1" si="5"/>
        <v>2366.8875970681092</v>
      </c>
      <c r="D16" s="171">
        <f t="shared" ca="1" si="5"/>
        <v>3995.0184846721672</v>
      </c>
      <c r="E16" s="171">
        <f t="shared" ca="1" si="5"/>
        <v>5625.8936706366449</v>
      </c>
      <c r="F16" s="171">
        <f t="shared" ca="1" si="5"/>
        <v>6191.0288612889271</v>
      </c>
      <c r="G16" s="172">
        <f t="shared" ca="1" si="5"/>
        <v>6476.7365232040393</v>
      </c>
    </row>
    <row r="17" spans="1:7" customFormat="1">
      <c r="A17" s="18" t="s">
        <v>63</v>
      </c>
      <c r="B17" s="170">
        <f t="shared" ref="B17:G17" si="6">SUM(H130:H135,H177:H210,H225:H230,H272:H305)*B34</f>
        <v>0</v>
      </c>
      <c r="C17" s="171">
        <f t="shared" ca="1" si="6"/>
        <v>0</v>
      </c>
      <c r="D17" s="171">
        <f t="shared" ca="1" si="6"/>
        <v>0</v>
      </c>
      <c r="E17" s="171">
        <f t="shared" ca="1" si="6"/>
        <v>0</v>
      </c>
      <c r="F17" s="171">
        <f t="shared" ca="1" si="6"/>
        <v>0</v>
      </c>
      <c r="G17" s="172">
        <f t="shared" ca="1" si="6"/>
        <v>0</v>
      </c>
    </row>
    <row r="18" spans="1:7" customFormat="1">
      <c r="A18" s="18" t="s">
        <v>60</v>
      </c>
      <c r="B18" s="170">
        <f t="shared" ref="B18:G18" si="7">SUM(H121:H126,H216:H221,H309:H314)+SUM(H130:H135,H225:H230)*B34</f>
        <v>-267.59452840452661</v>
      </c>
      <c r="C18" s="171">
        <f t="shared" ca="1" si="7"/>
        <v>1959.3804037295163</v>
      </c>
      <c r="D18" s="171">
        <f t="shared" ca="1" si="7"/>
        <v>3453.4748880028706</v>
      </c>
      <c r="E18" s="171">
        <f t="shared" ca="1" si="7"/>
        <v>5017.733670636645</v>
      </c>
      <c r="F18" s="171">
        <f t="shared" ca="1" si="7"/>
        <v>5518.6621946222604</v>
      </c>
      <c r="G18" s="172">
        <f t="shared" ca="1" si="7"/>
        <v>5774.1440019285474</v>
      </c>
    </row>
    <row r="19" spans="1:7" customFormat="1">
      <c r="A19" s="18" t="s">
        <v>73</v>
      </c>
      <c r="B19" s="170">
        <f t="shared" ref="B19:G19" si="8">B16+B17-B18</f>
        <v>1329.9946434333506</v>
      </c>
      <c r="C19" s="171">
        <f t="shared" ca="1" si="8"/>
        <v>407.50719333859297</v>
      </c>
      <c r="D19" s="171">
        <f t="shared" ca="1" si="8"/>
        <v>541.54359666929668</v>
      </c>
      <c r="E19" s="171">
        <f t="shared" ca="1" si="8"/>
        <v>608.15999999999985</v>
      </c>
      <c r="F19" s="171">
        <f t="shared" ca="1" si="8"/>
        <v>672.36666666666679</v>
      </c>
      <c r="G19" s="172">
        <f t="shared" ca="1" si="8"/>
        <v>702.59252127549189</v>
      </c>
    </row>
    <row r="20" spans="1:7" customFormat="1" ht="6.75" customHeight="1">
      <c r="A20" s="17"/>
      <c r="B20" s="170"/>
      <c r="C20" s="171"/>
      <c r="D20" s="171"/>
      <c r="E20" s="171"/>
      <c r="F20" s="171"/>
      <c r="G20" s="172"/>
    </row>
    <row r="21" spans="1:7" customFormat="1">
      <c r="A21" s="20" t="s">
        <v>74</v>
      </c>
      <c r="B21" s="170">
        <f t="shared" ref="B21:G21" si="9">B65</f>
        <v>1062.4001150288241</v>
      </c>
      <c r="C21" s="171">
        <f t="shared" ca="1" si="9"/>
        <v>2190.8804037295163</v>
      </c>
      <c r="D21" s="171">
        <f t="shared" ca="1" si="9"/>
        <v>3692.0748880028705</v>
      </c>
      <c r="E21" s="171">
        <f t="shared" ca="1" si="9"/>
        <v>5230.733670636645</v>
      </c>
      <c r="F21" s="171">
        <f t="shared" ca="1" si="9"/>
        <v>5747.1621946222604</v>
      </c>
      <c r="G21" s="172">
        <f t="shared" ca="1" si="9"/>
        <v>5988.3631898707063</v>
      </c>
    </row>
    <row r="22" spans="1:7" customFormat="1">
      <c r="A22" s="18" t="s">
        <v>55</v>
      </c>
      <c r="B22" s="170">
        <f t="shared" ref="B22:G22" si="10">B51-B49</f>
        <v>15.437150622194167</v>
      </c>
      <c r="C22" s="171">
        <f t="shared" si="10"/>
        <v>-15.278765975765054</v>
      </c>
      <c r="D22" s="171">
        <f t="shared" si="10"/>
        <v>-107.21489509253661</v>
      </c>
      <c r="E22" s="171">
        <f t="shared" si="10"/>
        <v>-81.105763087865853</v>
      </c>
      <c r="F22" s="171">
        <f t="shared" si="10"/>
        <v>-337.18754907351286</v>
      </c>
      <c r="G22" s="172">
        <f t="shared" si="10"/>
        <v>-355.29452045876133</v>
      </c>
    </row>
    <row r="23" spans="1:7" s="284" customFormat="1">
      <c r="A23" s="18" t="s">
        <v>1172</v>
      </c>
      <c r="B23" s="170">
        <f>B50</f>
        <v>48.271190640000007</v>
      </c>
      <c r="C23" s="171">
        <v>0</v>
      </c>
      <c r="D23" s="171">
        <v>0</v>
      </c>
      <c r="E23" s="171">
        <v>0</v>
      </c>
      <c r="F23" s="171">
        <v>0</v>
      </c>
      <c r="G23" s="172">
        <v>0</v>
      </c>
    </row>
    <row r="24" spans="1:7" customFormat="1">
      <c r="A24" s="23" t="s">
        <v>102</v>
      </c>
      <c r="B24" s="170">
        <f t="shared" ref="B24:G24" si="11">B25+B26</f>
        <v>1095.234155046629</v>
      </c>
      <c r="C24" s="171">
        <f t="shared" ca="1" si="11"/>
        <v>2190.8804037295163</v>
      </c>
      <c r="D24" s="171">
        <f t="shared" ca="1" si="11"/>
        <v>3692.0748880028705</v>
      </c>
      <c r="E24" s="171">
        <f t="shared" ca="1" si="11"/>
        <v>5230.733670636645</v>
      </c>
      <c r="F24" s="171">
        <f t="shared" ca="1" si="11"/>
        <v>5747.1621946222604</v>
      </c>
      <c r="G24" s="172">
        <f t="shared" ca="1" si="11"/>
        <v>5988.3631898707063</v>
      </c>
    </row>
    <row r="25" spans="1:7" customFormat="1">
      <c r="A25" s="228" t="s">
        <v>1173</v>
      </c>
      <c r="B25" s="170">
        <f t="shared" ref="B25:G25" si="12">SUM(B52:B53,B60:B61)</f>
        <v>210.95965861346764</v>
      </c>
      <c r="C25" s="171">
        <f t="shared" ca="1" si="12"/>
        <v>272.737797096664</v>
      </c>
      <c r="D25" s="171">
        <f t="shared" ca="1" si="12"/>
        <v>352.13088760405759</v>
      </c>
      <c r="E25" s="171">
        <f t="shared" ca="1" si="12"/>
        <v>195.87518596447779</v>
      </c>
      <c r="F25" s="171">
        <f t="shared" ca="1" si="12"/>
        <v>259.13519065228257</v>
      </c>
      <c r="G25" s="172">
        <f t="shared" ca="1" si="12"/>
        <v>276.70766191511245</v>
      </c>
    </row>
    <row r="26" spans="1:7" customFormat="1">
      <c r="A26" s="228" t="s">
        <v>1174</v>
      </c>
      <c r="B26" s="170">
        <f t="shared" ref="B26:G26" si="13">SUM(B55:B56,B62:B63)</f>
        <v>884.2744964331614</v>
      </c>
      <c r="C26" s="171">
        <f t="shared" ca="1" si="13"/>
        <v>1918.1426066328522</v>
      </c>
      <c r="D26" s="171">
        <f t="shared" ca="1" si="13"/>
        <v>3339.9440003988129</v>
      </c>
      <c r="E26" s="171">
        <f t="shared" ca="1" si="13"/>
        <v>5034.8584846721669</v>
      </c>
      <c r="F26" s="171">
        <f t="shared" ca="1" si="13"/>
        <v>5488.0270039699781</v>
      </c>
      <c r="G26" s="172">
        <f t="shared" ca="1" si="13"/>
        <v>5711.6555279555942</v>
      </c>
    </row>
    <row r="27" spans="1:7" customFormat="1" ht="15" customHeight="1">
      <c r="A27" s="63" t="s">
        <v>304</v>
      </c>
      <c r="B27" s="271">
        <f>'Baseline debt'!P64</f>
        <v>1.9586439007071743E-2</v>
      </c>
      <c r="C27" s="176">
        <f ca="1">IF(Guarantees="Yes",IF(ISNUMBER(C25/(B5-B6)),C25/(B5-B6),""),IF(ISNUMBER(C25/B5),C25/B5,""))</f>
        <v>2.4781166566290192E-2</v>
      </c>
      <c r="D27" s="176">
        <f ca="1">IF(Guarantees="Yes",IF(ISNUMBER(D25/(C5-C6)),D25/(C5-C6),""),IF(ISNUMBER(D25/C5),D25/C5,""))</f>
        <v>3.1215781749855783E-2</v>
      </c>
      <c r="E27" s="176">
        <f ca="1">IF(Guarantees="Yes",IF(ISNUMBER(E25/(D5-D6)),E25/(D5-D6),""),IF(ISNUMBER(E25/D5),E25/D5,""))</f>
        <v>1.683836677535698E-2</v>
      </c>
      <c r="F27" s="176">
        <f ca="1">IF(Guarantees="Yes",IF(ISNUMBER(F25/(E5-E6)),F25/(E5-E6),""),IF(ISNUMBER(F25/E5),F25/E5,""))</f>
        <v>2.1907610618975507E-2</v>
      </c>
      <c r="G27" s="177">
        <f ca="1">IF(Guarantees="Yes",IF(ISNUMBER(G25/(F5-F6)),G25/(F5-F6),""),IF(ISNUMBER(G25/F5),G25/F5,""))</f>
        <v>2.2891706554355861E-2</v>
      </c>
    </row>
    <row r="28" spans="1:7" customFormat="1">
      <c r="A28" s="20" t="s">
        <v>77</v>
      </c>
      <c r="B28" s="173">
        <f>'Input 5 - Scenario Design'!E83</f>
        <v>4.7697166816344838E-2</v>
      </c>
      <c r="C28" s="174">
        <f>'Input 5 - Scenario Design'!F83</f>
        <v>3.1686434574876632E-2</v>
      </c>
      <c r="D28" s="174">
        <f>'Input 5 - Scenario Design'!G83</f>
        <v>2.9947102444823903E-2</v>
      </c>
      <c r="E28" s="174">
        <f>'Input 5 - Scenario Design'!H83</f>
        <v>2.8871442593204177E-2</v>
      </c>
      <c r="F28" s="174">
        <f>'Input 5 - Scenario Design'!I83</f>
        <v>2.933023694707515E-2</v>
      </c>
      <c r="G28" s="175">
        <f>'Input 5 - Scenario Design'!J83</f>
        <v>2.8000000000000025E-2</v>
      </c>
    </row>
    <row r="29" spans="1:7" customFormat="1">
      <c r="A29" s="20" t="s">
        <v>78</v>
      </c>
      <c r="B29" s="173">
        <f>'Input 5 - Scenario Design'!E84</f>
        <v>4.2122999157540031E-2</v>
      </c>
      <c r="C29" s="174">
        <f>'Input 5 - Scenario Design'!F84</f>
        <v>7.6773492297592449E-2</v>
      </c>
      <c r="D29" s="174">
        <f>'Input 5 - Scenario Design'!G84</f>
        <v>2.7938359016816516E-2</v>
      </c>
      <c r="E29" s="174">
        <f>'Input 5 - Scenario Design'!H84</f>
        <v>2.5315565708619037E-2</v>
      </c>
      <c r="F29" s="174">
        <f>'Input 5 - Scenario Design'!I84</f>
        <v>2.4647711698661201E-2</v>
      </c>
      <c r="G29" s="175">
        <f>'Input 5 - Scenario Design'!J84</f>
        <v>2.5000000000000133E-2</v>
      </c>
    </row>
    <row r="30" spans="1:7" customFormat="1">
      <c r="A30" s="20" t="s">
        <v>828</v>
      </c>
      <c r="B30" s="173">
        <f>'Input 5 - Scenario Design'!E85</f>
        <v>0.36781832970756889</v>
      </c>
      <c r="C30" s="174">
        <f>'Input 5 - Scenario Design'!F85</f>
        <v>0.35899708650221951</v>
      </c>
      <c r="D30" s="174">
        <f>'Input 5 - Scenario Design'!G85</f>
        <v>0.35663219049317713</v>
      </c>
      <c r="E30" s="174">
        <f>'Input 5 - Scenario Design'!H85</f>
        <v>0.35111135216456818</v>
      </c>
      <c r="F30" s="174">
        <f>'Input 5 - Scenario Design'!I85</f>
        <v>0.34585635256377734</v>
      </c>
      <c r="G30" s="175">
        <f>'Input 5 - Scenario Design'!J85</f>
        <v>0.34585635256377734</v>
      </c>
    </row>
    <row r="31" spans="1:7" customFormat="1">
      <c r="A31" s="20" t="s">
        <v>80</v>
      </c>
      <c r="B31" s="173">
        <f>'Input 5 - Scenario Design'!E86</f>
        <v>0.36834134844430905</v>
      </c>
      <c r="C31" s="174">
        <f>'Input 5 - Scenario Design'!F86</f>
        <v>0.35853110754106615</v>
      </c>
      <c r="D31" s="174">
        <f>'Input 5 - Scenario Design'!G86</f>
        <v>0.35354366520139902</v>
      </c>
      <c r="E31" s="174">
        <f>'Input 5 - Scenario Design'!H86</f>
        <v>0.34889657983921007</v>
      </c>
      <c r="F31" s="174">
        <f>'Input 5 - Scenario Design'!I86</f>
        <v>0.33712624493397764</v>
      </c>
      <c r="G31" s="175">
        <f>'Input 5 - Scenario Design'!J86</f>
        <v>0.33712624493397758</v>
      </c>
    </row>
    <row r="32" spans="1:7" customFormat="1">
      <c r="A32" s="20" t="s">
        <v>147</v>
      </c>
      <c r="B32" s="173">
        <f>'Input 5 - Scenario Design'!E87</f>
        <v>-5.2301873674015509E-4</v>
      </c>
      <c r="C32" s="176">
        <f>'Input 5 - Scenario Design'!F87</f>
        <v>4.6597896115335713E-4</v>
      </c>
      <c r="D32" s="176">
        <f>'Input 5 - Scenario Design'!G87</f>
        <v>3.0885252917781103E-3</v>
      </c>
      <c r="E32" s="176">
        <f>'Input 5 - Scenario Design'!H87</f>
        <v>2.2147723253581053E-3</v>
      </c>
      <c r="F32" s="176">
        <f>'Input 5 - Scenario Design'!I87</f>
        <v>8.7301076297996993E-3</v>
      </c>
      <c r="G32" s="177">
        <f>'Input 5 - Scenario Design'!J87</f>
        <v>8.7301076297997549E-3</v>
      </c>
    </row>
    <row r="33" spans="1:17" ht="15" customHeight="1">
      <c r="A33" s="20" t="s">
        <v>1129</v>
      </c>
      <c r="B33" s="229">
        <f>'Input 5 - Scenario Design'!E88</f>
        <v>1.18</v>
      </c>
      <c r="C33" s="230">
        <f>'Input 5 - Scenario Design'!F88</f>
        <v>1.3493767194763304</v>
      </c>
      <c r="D33" s="230">
        <f>'Input 5 - Scenario Design'!G88</f>
        <v>1.3493767194763304</v>
      </c>
      <c r="E33" s="230">
        <f>'Input 5 - Scenario Design'!H88</f>
        <v>1.3493767194763304</v>
      </c>
      <c r="F33" s="230">
        <f>'Input 5 - Scenario Design'!I88</f>
        <v>1.3493767194763304</v>
      </c>
      <c r="G33" s="231">
        <f>'Input 5 - Scenario Design'!J88</f>
        <v>1.3493767194763304</v>
      </c>
      <c r="I33" s="188"/>
      <c r="J33" s="188"/>
      <c r="K33" s="188"/>
      <c r="L33" s="188"/>
      <c r="M33" s="188"/>
      <c r="N33" s="188"/>
      <c r="O33" s="188"/>
      <c r="P33" s="188"/>
      <c r="Q33" s="189"/>
    </row>
    <row r="34" spans="1:17" customFormat="1">
      <c r="A34" s="20" t="s">
        <v>1130</v>
      </c>
      <c r="B34" s="229">
        <f>'Input 5 - Scenario Design'!E89</f>
        <v>1.18</v>
      </c>
      <c r="C34" s="230">
        <f>'Input 5 - Scenario Design'!F89</f>
        <v>1.3493767194763304</v>
      </c>
      <c r="D34" s="230">
        <f>'Input 5 - Scenario Design'!G89</f>
        <v>1.3493767194763304</v>
      </c>
      <c r="E34" s="230">
        <f>'Input 5 - Scenario Design'!H89</f>
        <v>1.3493767194763304</v>
      </c>
      <c r="F34" s="230">
        <f>'Input 5 - Scenario Design'!I89</f>
        <v>1.3493767194763304</v>
      </c>
      <c r="G34" s="231">
        <f>'Input 5 - Scenario Design'!J89</f>
        <v>1.3493767194763304</v>
      </c>
    </row>
    <row r="35" spans="1:17" customFormat="1">
      <c r="A35" s="20" t="s">
        <v>89</v>
      </c>
      <c r="B35" s="233">
        <f>'Input 5 - Scenario Design'!E90</f>
        <v>0</v>
      </c>
      <c r="C35" s="232">
        <f>'Input 5 - Scenario Design'!F90</f>
        <v>0</v>
      </c>
      <c r="D35" s="232">
        <f>'Input 5 - Scenario Design'!G90</f>
        <v>0</v>
      </c>
      <c r="E35" s="232">
        <f>'Input 5 - Scenario Design'!H90</f>
        <v>0</v>
      </c>
      <c r="F35" s="232">
        <f>'Input 5 - Scenario Design'!I90</f>
        <v>0</v>
      </c>
      <c r="G35" s="234">
        <f>'Input 5 - Scenario Design'!J90</f>
        <v>0</v>
      </c>
    </row>
    <row r="36" spans="1:17" customFormat="1">
      <c r="A36" s="20" t="s">
        <v>92</v>
      </c>
      <c r="B36" s="173">
        <f t="shared" ref="B36:G36" si="14">(1+B28)*(1+B29)-1</f>
        <v>9.1829313691506709E-2</v>
      </c>
      <c r="C36" s="174">
        <f t="shared" si="14"/>
        <v>0.1108926051132415</v>
      </c>
      <c r="D36" s="174">
        <f t="shared" si="14"/>
        <v>5.8722134361257394E-2</v>
      </c>
      <c r="E36" s="174">
        <f t="shared" si="14"/>
        <v>5.4917905203894168E-2</v>
      </c>
      <c r="F36" s="174">
        <f t="shared" si="14"/>
        <v>5.470087187006123E-2</v>
      </c>
      <c r="G36" s="175">
        <f t="shared" si="14"/>
        <v>5.3700000000000081E-2</v>
      </c>
    </row>
    <row r="37" spans="1:17" ht="15" customHeight="1">
      <c r="A37" s="20" t="s">
        <v>10</v>
      </c>
      <c r="B37" s="190">
        <f>'Input 2 - Data'!P7*(1+B36)</f>
        <v>29515.482979464068</v>
      </c>
      <c r="C37" s="13">
        <f>B37*(1+C36)</f>
        <v>32788.531778232376</v>
      </c>
      <c r="D37" s="13">
        <f>C37*(1+D36)</f>
        <v>34713.944346822092</v>
      </c>
      <c r="E37" s="13">
        <f>D37*(1+E36)</f>
        <v>36620.361451714125</v>
      </c>
      <c r="F37" s="13">
        <f>E37*(1+F36)</f>
        <v>38623.527151319671</v>
      </c>
      <c r="G37" s="191">
        <f>F37*(1+G36)</f>
        <v>40697.610559345543</v>
      </c>
      <c r="I37" s="188"/>
      <c r="J37" s="188"/>
      <c r="K37" s="188"/>
      <c r="L37" s="188"/>
      <c r="M37" s="188"/>
      <c r="N37" s="188"/>
      <c r="O37" s="188"/>
      <c r="P37" s="188"/>
      <c r="Q37" s="189"/>
    </row>
    <row r="38" spans="1:17" customFormat="1" ht="6" customHeight="1">
      <c r="A38" s="20"/>
      <c r="B38" s="170"/>
      <c r="C38" s="171"/>
      <c r="D38" s="171"/>
      <c r="E38" s="171"/>
      <c r="F38" s="171"/>
      <c r="G38" s="172"/>
    </row>
    <row r="39" spans="1:17" customFormat="1">
      <c r="A39" s="20" t="s">
        <v>96</v>
      </c>
      <c r="B39" s="178">
        <f t="shared" ref="B39:G39" si="15">B5/B37</f>
        <v>0.37094606570883371</v>
      </c>
      <c r="C39" s="179">
        <f t="shared" ca="1" si="15"/>
        <v>0.35031052616552522</v>
      </c>
      <c r="D39" s="179">
        <f t="shared" ca="1" si="15"/>
        <v>0.34133935521940251</v>
      </c>
      <c r="E39" s="179">
        <f t="shared" ca="1" si="15"/>
        <v>0.32892605575059719</v>
      </c>
      <c r="F39" s="179">
        <f t="shared" ca="1" si="15"/>
        <v>0.3185443455854155</v>
      </c>
      <c r="G39" s="180">
        <f t="shared" ca="1" si="15"/>
        <v>0.30878738340041961</v>
      </c>
    </row>
    <row r="40" spans="1:17" customFormat="1">
      <c r="A40" s="20" t="s">
        <v>100</v>
      </c>
      <c r="B40" s="178">
        <f t="shared" ref="B40:G40" si="16">B24/B37</f>
        <v>3.7107105982600995E-2</v>
      </c>
      <c r="C40" s="179">
        <f t="shared" ca="1" si="16"/>
        <v>6.8036498145042285E-2</v>
      </c>
      <c r="D40" s="179">
        <f t="shared" ca="1" si="16"/>
        <v>0.10833715050890697</v>
      </c>
      <c r="E40" s="179">
        <f t="shared" ca="1" si="16"/>
        <v>0.1454552845253155</v>
      </c>
      <c r="F40" s="179">
        <f t="shared" ca="1" si="16"/>
        <v>0.1514538576458126</v>
      </c>
      <c r="G40" s="180">
        <f t="shared" ca="1" si="16"/>
        <v>0.14955295803831684</v>
      </c>
    </row>
    <row r="41" spans="1:17" customFormat="1">
      <c r="A41" s="20" t="s">
        <v>98</v>
      </c>
      <c r="B41" s="178">
        <f t="shared" ref="B41:G41" si="17">B21/B37</f>
        <v>3.5994671534530134E-2</v>
      </c>
      <c r="C41" s="179">
        <f t="shared" ca="1" si="17"/>
        <v>6.8036498145042285E-2</v>
      </c>
      <c r="D41" s="179">
        <f t="shared" ca="1" si="17"/>
        <v>0.10833715050890697</v>
      </c>
      <c r="E41" s="179">
        <f t="shared" ca="1" si="17"/>
        <v>0.1454552845253155</v>
      </c>
      <c r="F41" s="179">
        <f t="shared" ca="1" si="17"/>
        <v>0.1514538576458126</v>
      </c>
      <c r="G41" s="180">
        <f t="shared" ca="1" si="17"/>
        <v>0.14955295803831684</v>
      </c>
    </row>
    <row r="42" spans="1:17" customFormat="1">
      <c r="A42" s="20" t="s">
        <v>1175</v>
      </c>
      <c r="B42" s="178">
        <f>B5/(B49+B50)</f>
        <v>1.0040391596609757</v>
      </c>
      <c r="C42" s="179" t="e">
        <f ca="1">C5/C49</f>
        <v>#DIV/0!</v>
      </c>
      <c r="D42" s="179" t="e">
        <f ca="1">D5/D49</f>
        <v>#DIV/0!</v>
      </c>
      <c r="E42" s="179" t="e">
        <f ca="1">E5/E49</f>
        <v>#DIV/0!</v>
      </c>
      <c r="F42" s="179" t="e">
        <f ca="1">F5/F49</f>
        <v>#DIV/0!</v>
      </c>
      <c r="G42" s="180" t="e">
        <f ca="1">G5/G49</f>
        <v>#DIV/0!</v>
      </c>
    </row>
    <row r="43" spans="1:17" customFormat="1">
      <c r="A43" s="20" t="s">
        <v>1176</v>
      </c>
      <c r="B43" s="178">
        <f>B24/(B49+B50)</f>
        <v>0.10043774810504542</v>
      </c>
      <c r="C43" s="179" t="e">
        <f ca="1">C24/C49</f>
        <v>#DIV/0!</v>
      </c>
      <c r="D43" s="179" t="e">
        <f ca="1">D24/D49</f>
        <v>#DIV/0!</v>
      </c>
      <c r="E43" s="179" t="e">
        <f ca="1">E24/E49</f>
        <v>#DIV/0!</v>
      </c>
      <c r="F43" s="179" t="e">
        <f ca="1">F24/F49</f>
        <v>#DIV/0!</v>
      </c>
      <c r="G43" s="180" t="e">
        <f ca="1">G24/G49</f>
        <v>#DIV/0!</v>
      </c>
    </row>
    <row r="44" spans="1:17" customFormat="1">
      <c r="A44" s="20" t="s">
        <v>99</v>
      </c>
      <c r="B44" s="178">
        <f>B21/(B49+B50)</f>
        <v>9.7426723453025818E-2</v>
      </c>
      <c r="C44" s="179" t="e">
        <f ca="1">C21/C49</f>
        <v>#DIV/0!</v>
      </c>
      <c r="D44" s="179" t="e">
        <f ca="1">D21/D49</f>
        <v>#DIV/0!</v>
      </c>
      <c r="E44" s="179" t="e">
        <f ca="1">E21/E49</f>
        <v>#DIV/0!</v>
      </c>
      <c r="F44" s="179" t="e">
        <f ca="1">F21/F49</f>
        <v>#DIV/0!</v>
      </c>
      <c r="G44" s="180" t="e">
        <f ca="1">G21/G49</f>
        <v>#DIV/0!</v>
      </c>
    </row>
    <row r="45" spans="1:17" ht="6" customHeight="1" thickBot="1">
      <c r="A45" s="17"/>
      <c r="B45" s="181"/>
      <c r="C45" s="182"/>
      <c r="D45" s="182"/>
      <c r="E45" s="182"/>
      <c r="F45" s="182"/>
      <c r="G45" s="183"/>
    </row>
    <row r="46" spans="1:17" ht="6" customHeight="1" thickBot="1">
      <c r="B46" s="7"/>
      <c r="C46" s="7"/>
      <c r="D46" s="7"/>
      <c r="E46" s="7"/>
      <c r="F46" s="7"/>
      <c r="G46" s="7"/>
      <c r="I46" s="184"/>
      <c r="J46" s="184"/>
      <c r="K46" s="184"/>
      <c r="L46" s="184"/>
      <c r="M46" s="184"/>
      <c r="N46" s="184"/>
      <c r="O46" s="184"/>
      <c r="P46" s="184"/>
    </row>
    <row r="47" spans="1:17" ht="15.75" thickBot="1">
      <c r="B47" s="165">
        <f>FirstYear</f>
        <v>2018</v>
      </c>
      <c r="C47" s="166">
        <f>B47+1</f>
        <v>2019</v>
      </c>
      <c r="D47" s="166">
        <f>C47+1</f>
        <v>2020</v>
      </c>
      <c r="E47" s="166">
        <f>D47+1</f>
        <v>2021</v>
      </c>
      <c r="F47" s="166">
        <f>E47+1</f>
        <v>2022</v>
      </c>
      <c r="G47" s="167">
        <f>F47+1</f>
        <v>2023</v>
      </c>
      <c r="I47" s="184"/>
      <c r="J47" s="184"/>
      <c r="K47" s="184"/>
      <c r="L47" s="184"/>
      <c r="M47" s="184"/>
      <c r="N47" s="184"/>
      <c r="O47" s="184"/>
      <c r="P47" s="184"/>
    </row>
    <row r="48" spans="1:17" ht="6" customHeight="1" thickBot="1">
      <c r="B48" s="195"/>
      <c r="C48" s="195"/>
      <c r="D48" s="195"/>
      <c r="E48" s="195"/>
      <c r="F48" s="195"/>
      <c r="G48" s="195"/>
      <c r="I48" s="188"/>
      <c r="J48" s="188"/>
      <c r="K48" s="188"/>
      <c r="L48" s="188"/>
      <c r="M48" s="188"/>
      <c r="N48" s="188"/>
      <c r="O48" s="188"/>
      <c r="P48" s="188"/>
      <c r="Q48" s="189"/>
    </row>
    <row r="49" spans="1:17" ht="15" customHeight="1">
      <c r="A49" s="1384" t="s">
        <v>830</v>
      </c>
      <c r="B49" s="185">
        <f t="shared" ref="B49:G49" si="18">B30*B$37</f>
        <v>10856.335650018653</v>
      </c>
      <c r="C49" s="186">
        <f t="shared" si="18"/>
        <v>11770.987379070863</v>
      </c>
      <c r="D49" s="186">
        <f t="shared" si="18"/>
        <v>12380.110013065405</v>
      </c>
      <c r="E49" s="186">
        <f t="shared" si="18"/>
        <v>12857.824626066575</v>
      </c>
      <c r="F49" s="186">
        <f t="shared" si="18"/>
        <v>13358.192223703443</v>
      </c>
      <c r="G49" s="187">
        <f t="shared" si="18"/>
        <v>14075.527146116319</v>
      </c>
      <c r="I49" s="188"/>
      <c r="J49" s="188"/>
      <c r="K49" s="188"/>
      <c r="L49" s="188"/>
      <c r="M49" s="188"/>
      <c r="N49" s="188"/>
      <c r="O49" s="188"/>
      <c r="P49" s="188"/>
      <c r="Q49" s="189"/>
    </row>
    <row r="50" spans="1:17" s="281" customFormat="1" ht="15" customHeight="1">
      <c r="A50" s="1383" t="s">
        <v>824</v>
      </c>
      <c r="B50" s="190">
        <f>'Input 4 - Forecast'!C21</f>
        <v>48.271190640000007</v>
      </c>
      <c r="C50" s="13">
        <f>'Input 4 - Forecast'!D21</f>
        <v>51.337460912386192</v>
      </c>
      <c r="D50" s="13">
        <f>'Input 4 - Forecast'!E21</f>
        <v>54.35210618984911</v>
      </c>
      <c r="E50" s="13">
        <f>'Input 4 - Forecast'!F21</f>
        <v>57.337010005215234</v>
      </c>
      <c r="F50" s="13">
        <f>'Input 4 - Forecast'!G21</f>
        <v>60.473394442922938</v>
      </c>
      <c r="G50" s="191">
        <f>'Input 4 - Forecast'!H21</f>
        <v>63.71294897394791</v>
      </c>
      <c r="I50" s="188"/>
      <c r="J50" s="188"/>
      <c r="K50" s="188"/>
      <c r="L50" s="188"/>
      <c r="M50" s="188"/>
      <c r="N50" s="188"/>
      <c r="O50" s="188"/>
      <c r="P50" s="188"/>
      <c r="Q50" s="189"/>
    </row>
    <row r="51" spans="1:17" ht="15" customHeight="1">
      <c r="A51" s="5" t="s">
        <v>69</v>
      </c>
      <c r="B51" s="190">
        <f t="shared" ref="B51:G51" si="19">B31*B$37</f>
        <v>10871.772800640847</v>
      </c>
      <c r="C51" s="13">
        <f t="shared" si="19"/>
        <v>11755.708613095097</v>
      </c>
      <c r="D51" s="13">
        <f t="shared" si="19"/>
        <v>12272.895117972868</v>
      </c>
      <c r="E51" s="13">
        <f t="shared" si="19"/>
        <v>12776.718862978709</v>
      </c>
      <c r="F51" s="13">
        <f t="shared" si="19"/>
        <v>13021.00467462993</v>
      </c>
      <c r="G51" s="191">
        <f t="shared" si="19"/>
        <v>13720.232625657558</v>
      </c>
      <c r="I51" s="188"/>
      <c r="J51" s="188"/>
      <c r="K51" s="188"/>
      <c r="L51" s="188"/>
      <c r="M51" s="188"/>
      <c r="N51" s="188"/>
      <c r="O51" s="188"/>
      <c r="P51" s="188"/>
      <c r="Q51" s="189"/>
    </row>
    <row r="52" spans="1:17" ht="15" customHeight="1">
      <c r="A52" s="3" t="s">
        <v>66</v>
      </c>
      <c r="B52" s="190">
        <f>'Input 4 - Forecast'!C24</f>
        <v>174.85657659911266</v>
      </c>
      <c r="C52" s="13">
        <f>'Input 4 - Forecast'!D24</f>
        <v>162.29082986591305</v>
      </c>
      <c r="D52" s="13">
        <f>'Input 4 - Forecast'!E24</f>
        <v>139.59781983027952</v>
      </c>
      <c r="E52" s="13">
        <f>'Input 4 - Forecast'!F24</f>
        <v>135.40250794027952</v>
      </c>
      <c r="F52" s="13">
        <f>'Input 4 - Forecast'!G24</f>
        <v>103.26669278984103</v>
      </c>
      <c r="G52" s="191">
        <f>'Input 4 - Forecast'!H24</f>
        <v>95.657544050000013</v>
      </c>
      <c r="I52" s="197" t="s">
        <v>87</v>
      </c>
      <c r="J52" s="188"/>
      <c r="K52" s="188"/>
      <c r="L52" s="188"/>
      <c r="M52" s="188"/>
      <c r="N52" s="188"/>
      <c r="O52" s="188"/>
      <c r="P52" s="188"/>
      <c r="Q52" s="189"/>
    </row>
    <row r="53" spans="1:17" ht="15" customHeight="1" thickBot="1">
      <c r="A53" s="198" t="s">
        <v>65</v>
      </c>
      <c r="B53" s="192">
        <f>('Input 4 - Forecast'!C25/'Input 4 - Forecast'!C$17)*B33</f>
        <v>36.103082014354982</v>
      </c>
      <c r="C53" s="193">
        <f>('Input 4 - Forecast'!D25/'Input 4 - Forecast'!D$17)*C33</f>
        <v>43.551085179506501</v>
      </c>
      <c r="D53" s="193">
        <f>('Input 4 - Forecast'!E25/'Input 4 - Forecast'!E$17)*D33</f>
        <v>33.559669126203218</v>
      </c>
      <c r="E53" s="193">
        <f>('Input 4 - Forecast'!F25/'Input 4 - Forecast'!F$17)*E33</f>
        <v>12.652295548933893</v>
      </c>
      <c r="F53" s="193">
        <f>('Input 4 - Forecast'!G25/'Input 4 - Forecast'!G$17)*F33</f>
        <v>0.27580765208327951</v>
      </c>
      <c r="G53" s="194">
        <f>('Input 4 - Forecast'!H25/'Input 4 - Forecast'!H$17)*G33</f>
        <v>0.26369909480211878</v>
      </c>
      <c r="I53" s="197" t="s">
        <v>85</v>
      </c>
      <c r="J53" s="188"/>
      <c r="K53" s="188"/>
      <c r="L53" s="188"/>
      <c r="M53" s="188"/>
      <c r="N53" s="188"/>
      <c r="O53" s="188"/>
      <c r="P53" s="188"/>
      <c r="Q53" s="189"/>
    </row>
    <row r="54" spans="1:17" ht="6" customHeight="1" thickBot="1">
      <c r="B54" s="195"/>
      <c r="C54" s="195"/>
      <c r="D54" s="195"/>
      <c r="E54" s="195"/>
      <c r="F54" s="195"/>
      <c r="G54" s="195"/>
      <c r="I54" s="199"/>
      <c r="J54" s="199"/>
      <c r="K54" s="199"/>
      <c r="L54" s="199"/>
      <c r="M54" s="199"/>
      <c r="N54" s="199"/>
      <c r="O54" s="199"/>
      <c r="P54" s="199"/>
    </row>
    <row r="55" spans="1:17">
      <c r="A55" s="196" t="s">
        <v>67</v>
      </c>
      <c r="B55" s="185">
        <f>'Input 4 - Forecast'!C27</f>
        <v>880.82751076386637</v>
      </c>
      <c r="C55" s="186">
        <f>'Input 4 - Forecast'!D27</f>
        <v>974.88479061012663</v>
      </c>
      <c r="D55" s="186">
        <f>'Input 4 - Forecast'!E27</f>
        <v>693.56222634999995</v>
      </c>
      <c r="E55" s="186">
        <f>'Input 4 - Forecast'!F27</f>
        <v>1100.0445500352976</v>
      </c>
      <c r="F55" s="186">
        <f>'Input 4 - Forecast'!G27</f>
        <v>305.67470971030548</v>
      </c>
      <c r="G55" s="187">
        <f>'Input 4 - Forecast'!H27</f>
        <v>259.28679624</v>
      </c>
      <c r="I55" s="197" t="s">
        <v>88</v>
      </c>
      <c r="J55" s="199"/>
      <c r="K55" s="199"/>
      <c r="L55" s="199"/>
      <c r="M55" s="199"/>
      <c r="N55" s="199"/>
      <c r="O55" s="199"/>
      <c r="P55" s="199"/>
    </row>
    <row r="56" spans="1:17" ht="15.75" thickBot="1">
      <c r="A56" s="198" t="s">
        <v>68</v>
      </c>
      <c r="B56" s="192">
        <f>('Input 4 - Forecast'!C28/'Input 4 - Forecast'!C$17)*B33</f>
        <v>3.4469856692949747</v>
      </c>
      <c r="C56" s="193">
        <f>('Input 4 - Forecast'!D28/'Input 4 - Forecast'!D$17)*C33</f>
        <v>0.50440374866450499</v>
      </c>
      <c r="D56" s="193">
        <f>('Input 4 - Forecast'!E28/'Input 4 - Forecast'!E$17)*D33</f>
        <v>726.13801886541569</v>
      </c>
      <c r="E56" s="193">
        <f>('Input 4 - Forecast'!F28/'Input 4 - Forecast'!F$17)*E33</f>
        <v>417.79762655278228</v>
      </c>
      <c r="F56" s="193">
        <f>('Input 4 - Forecast'!G28/'Input 4 - Forecast'!G$17)*F33</f>
        <v>0.40361853099477962</v>
      </c>
      <c r="G56" s="194">
        <f>('Input 4 - Forecast'!H28/'Input 4 - Forecast'!H$17)*G33</f>
        <v>0</v>
      </c>
      <c r="I56" s="197" t="s">
        <v>86</v>
      </c>
      <c r="J56" s="199"/>
      <c r="K56" s="199"/>
      <c r="L56" s="199"/>
      <c r="M56" s="199"/>
      <c r="N56" s="199"/>
      <c r="O56" s="199"/>
      <c r="P56" s="199"/>
    </row>
    <row r="57" spans="1:17" ht="15.75" thickBot="1">
      <c r="B57" s="195"/>
      <c r="C57" s="195"/>
      <c r="D57" s="195"/>
      <c r="E57" s="195"/>
      <c r="F57" s="195"/>
      <c r="G57" s="195"/>
      <c r="I57" s="199"/>
      <c r="J57" s="199"/>
      <c r="K57" s="199"/>
      <c r="L57" s="199"/>
      <c r="M57" s="199"/>
      <c r="N57" s="199"/>
      <c r="O57" s="199"/>
      <c r="P57" s="199"/>
    </row>
    <row r="58" spans="1:17" ht="15.75" thickBot="1">
      <c r="A58" s="200" t="s">
        <v>5</v>
      </c>
      <c r="B58" s="201">
        <f>'Input 4 - Forecast'!C30</f>
        <v>0</v>
      </c>
      <c r="C58" s="202">
        <f>'Input 4 - Forecast'!D30</f>
        <v>0</v>
      </c>
      <c r="D58" s="202">
        <f>'Input 4 - Forecast'!E30</f>
        <v>0</v>
      </c>
      <c r="E58" s="202">
        <f>'Input 4 - Forecast'!F30</f>
        <v>0</v>
      </c>
      <c r="F58" s="202">
        <f>'Input 4 - Forecast'!G30</f>
        <v>0</v>
      </c>
      <c r="G58" s="203">
        <f>'Input 4 - Forecast'!H30</f>
        <v>0</v>
      </c>
      <c r="I58" s="199"/>
      <c r="J58" s="199"/>
      <c r="K58" s="199"/>
      <c r="L58" s="199"/>
      <c r="M58" s="199"/>
      <c r="N58" s="199"/>
      <c r="O58" s="199"/>
      <c r="P58" s="199"/>
    </row>
    <row r="59" spans="1:17" ht="15.75" thickBot="1">
      <c r="B59" s="195"/>
      <c r="C59" s="195"/>
      <c r="D59" s="195"/>
      <c r="E59" s="195"/>
      <c r="F59" s="195"/>
      <c r="G59" s="195"/>
      <c r="I59" s="199"/>
      <c r="J59" s="199"/>
      <c r="K59" s="199"/>
      <c r="L59" s="199"/>
      <c r="M59" s="199"/>
      <c r="N59" s="199"/>
      <c r="O59" s="199"/>
      <c r="P59" s="199"/>
    </row>
    <row r="60" spans="1:17">
      <c r="A60" s="196" t="s">
        <v>47</v>
      </c>
      <c r="B60" s="185">
        <f>'Input 4 - Forecast'!C32</f>
        <v>0</v>
      </c>
      <c r="C60" s="186">
        <f ca="1">SUM(W121:W126,W140:W173,W216:W221,W235:W268,W309:W314)+Baseline!W282</f>
        <v>34.440056379275418</v>
      </c>
      <c r="D60" s="186">
        <f ca="1">SUM(X121:X126,X140:X173,X216:X221,X235:X268,X309:X314)+Baseline!X282</f>
        <v>77.130887604057605</v>
      </c>
      <c r="E60" s="186">
        <f ca="1">SUM(Y121:Y126,Y140:Y173,Y216:Y221,Y235:Y268,Y309:Y314)+Baseline!Y282</f>
        <v>132.56553412447781</v>
      </c>
      <c r="F60" s="186">
        <f ca="1">SUM(Z121:Z126,Z140:Z173,Z216:Z221,Z235:Z268,Z309:Z314)+Baseline!Z282</f>
        <v>200.21050097228257</v>
      </c>
      <c r="G60" s="187">
        <f ca="1">SUM(AA121:AA126,AA140:AA173,AA216:AA221,AA235:AA268,AA309:AA314)+Baseline!AA282</f>
        <v>222.13961639511245</v>
      </c>
      <c r="I60" s="199"/>
      <c r="J60" s="199"/>
      <c r="K60" s="199"/>
      <c r="L60" s="199"/>
      <c r="M60" s="199"/>
      <c r="N60" s="199"/>
      <c r="O60" s="199"/>
      <c r="P60" s="199"/>
    </row>
    <row r="61" spans="1:17">
      <c r="A61" s="5" t="s">
        <v>48</v>
      </c>
      <c r="B61" s="190">
        <f>'Input 4 - Forecast'!C33</f>
        <v>0</v>
      </c>
      <c r="C61" s="13">
        <f ca="1">SUM(W130:W135,W177:W212,W225:W231,W272:W305,Baseline!W283)*C33</f>
        <v>0</v>
      </c>
      <c r="D61" s="13">
        <f ca="1">SUM(X130:X135,X177:X212,X225:X231,X272:X305,Baseline!X283)*D33</f>
        <v>0</v>
      </c>
      <c r="E61" s="13">
        <f ca="1">SUM(Y130:Y135,Y177:Y212,Y225:Y231,Y272:Y305,Baseline!Y283)*E33</f>
        <v>0</v>
      </c>
      <c r="F61" s="13">
        <f ca="1">SUM(Z130:Z135,Z177:Z212,Z225:Z231,Z272:Z305,Baseline!Z283)*F33</f>
        <v>0</v>
      </c>
      <c r="G61" s="191">
        <f ca="1">SUM(AA130:AA135,AA177:AA212,AA225:AA231,AA272:AA305,Baseline!AA283)*G33</f>
        <v>0</v>
      </c>
      <c r="I61" s="199"/>
      <c r="J61" s="199"/>
      <c r="K61" s="199"/>
      <c r="L61" s="199"/>
      <c r="M61" s="199"/>
      <c r="N61" s="199"/>
      <c r="O61" s="199"/>
      <c r="P61" s="199"/>
    </row>
    <row r="62" spans="1:17">
      <c r="A62" s="5" t="s">
        <v>49</v>
      </c>
      <c r="B62" s="190">
        <f>'Input 4 - Forecast'!C34</f>
        <v>0</v>
      </c>
      <c r="C62" s="13">
        <f ca="1">SUM(P121:P126,P140:P173,P216:P221,P235:P268,P309:P314)</f>
        <v>934.00594810140706</v>
      </c>
      <c r="D62" s="13">
        <f ca="1">SUM(Q121:Q126,Q140:Q173,Q216:Q221,Q235:Q268,Q309:Q314)</f>
        <v>2063.9440003988129</v>
      </c>
      <c r="E62" s="13">
        <f ca="1">SUM(R121:R126,R140:R173,R216:R221,R235:R268,R309:R314)</f>
        <v>3599.8584846721669</v>
      </c>
      <c r="F62" s="13">
        <f ca="1">SUM(S121:S126,S140:S173,S216:S221,S235:S268,S309:S314)</f>
        <v>5182.0270039699781</v>
      </c>
      <c r="G62" s="191">
        <f ca="1">SUM(T121:T126,T140:T173,T216:T221,T235:T268,T309:T314)</f>
        <v>5702.6555279555942</v>
      </c>
      <c r="I62" s="199"/>
      <c r="J62" s="199"/>
      <c r="K62" s="199"/>
      <c r="L62" s="199"/>
      <c r="M62" s="199"/>
      <c r="N62" s="199"/>
      <c r="O62" s="199"/>
      <c r="P62" s="199"/>
    </row>
    <row r="63" spans="1:17" ht="15.75" thickBot="1">
      <c r="A63" s="198" t="s">
        <v>50</v>
      </c>
      <c r="B63" s="192">
        <f>'Input 4 - Forecast'!C35</f>
        <v>0</v>
      </c>
      <c r="C63" s="193">
        <f ca="1">SUM(P130:P136,P177:P212,P225:P231,P272:P305)*C33</f>
        <v>0</v>
      </c>
      <c r="D63" s="193">
        <f ca="1">SUM(Q130:Q136,Q177:Q212,Q225:Q231,Q272:Q305)*D33</f>
        <v>0</v>
      </c>
      <c r="E63" s="193">
        <f ca="1">SUM(R130:R136,R177:R212,R225:R231,R272:R305)*E33</f>
        <v>0</v>
      </c>
      <c r="F63" s="193">
        <f ca="1">SUM(S130:S136,S177:S212,S225:S231,S272:S305)*F33</f>
        <v>0</v>
      </c>
      <c r="G63" s="194">
        <f ca="1">SUM(T130:T136,T177:T212,T225:T231,T272:T305)*G33</f>
        <v>0</v>
      </c>
      <c r="I63" s="199"/>
      <c r="J63" s="199"/>
      <c r="K63" s="199"/>
      <c r="L63" s="199"/>
      <c r="M63" s="199"/>
      <c r="N63" s="199"/>
      <c r="O63" s="199"/>
      <c r="P63" s="199"/>
    </row>
    <row r="64" spans="1:17" ht="15.75" thickBot="1">
      <c r="B64" s="195"/>
      <c r="C64" s="195"/>
      <c r="D64" s="195"/>
      <c r="E64" s="195"/>
      <c r="F64" s="195"/>
      <c r="G64" s="195"/>
      <c r="I64" s="199"/>
      <c r="J64" s="199"/>
      <c r="K64" s="199"/>
      <c r="L64" s="199"/>
      <c r="M64" s="199"/>
      <c r="N64" s="199"/>
      <c r="O64" s="199"/>
      <c r="P64" s="199"/>
    </row>
    <row r="65" spans="1:17" ht="15.75" thickBot="1">
      <c r="A65" s="200" t="s">
        <v>4</v>
      </c>
      <c r="B65" s="1386">
        <f t="shared" ref="B65:G65" si="20">SUM(B51:B53,B55:B56,B58,B60:B63)-SUM(B49:B50)</f>
        <v>1062.4001150288241</v>
      </c>
      <c r="C65" s="1386">
        <f t="shared" ca="1" si="20"/>
        <v>2190.8804037295163</v>
      </c>
      <c r="D65" s="1386">
        <f t="shared" ca="1" si="20"/>
        <v>3692.0748880028705</v>
      </c>
      <c r="E65" s="1386">
        <f t="shared" ca="1" si="20"/>
        <v>5230.733670636645</v>
      </c>
      <c r="F65" s="1386">
        <f t="shared" ca="1" si="20"/>
        <v>5747.1621946222604</v>
      </c>
      <c r="G65" s="1387">
        <f t="shared" ca="1" si="20"/>
        <v>5988.3631898707063</v>
      </c>
      <c r="I65" s="199"/>
      <c r="J65" s="199"/>
      <c r="L65" s="199"/>
      <c r="M65" s="199"/>
      <c r="N65" s="199"/>
      <c r="O65" s="199"/>
      <c r="P65" s="199"/>
    </row>
    <row r="66" spans="1:17" ht="15.75" thickBot="1">
      <c r="B66" s="195"/>
      <c r="C66" s="195"/>
      <c r="D66" s="195"/>
      <c r="E66" s="195"/>
      <c r="F66" s="195"/>
      <c r="G66" s="195"/>
      <c r="I66" s="199"/>
      <c r="J66" s="199"/>
      <c r="K66" s="199"/>
      <c r="L66" s="199"/>
      <c r="M66" s="199"/>
      <c r="N66" s="199"/>
      <c r="O66" s="199"/>
      <c r="P66" s="199"/>
    </row>
    <row r="67" spans="1:17">
      <c r="A67" s="1816" t="s">
        <v>1137</v>
      </c>
      <c r="B67" s="186">
        <f>'Input 4 - Forecast'!C39</f>
        <v>0</v>
      </c>
      <c r="C67" s="186">
        <f>'Input 4 - Forecast'!D39</f>
        <v>0</v>
      </c>
      <c r="D67" s="186">
        <f>'Input 4 - Forecast'!E39</f>
        <v>0</v>
      </c>
      <c r="E67" s="186">
        <f>'Input 4 - Forecast'!F39</f>
        <v>0</v>
      </c>
      <c r="F67" s="186">
        <f>'Input 4 - Forecast'!G39</f>
        <v>0</v>
      </c>
      <c r="G67" s="187">
        <f>'Input 4 - Forecast'!H39</f>
        <v>0</v>
      </c>
      <c r="I67" s="199"/>
      <c r="J67" s="199"/>
      <c r="K67" s="199"/>
      <c r="L67" s="199"/>
      <c r="M67" s="199"/>
      <c r="N67" s="199"/>
      <c r="O67" s="199"/>
      <c r="P67" s="199"/>
    </row>
    <row r="68" spans="1:17">
      <c r="A68" s="1817" t="s">
        <v>1138</v>
      </c>
      <c r="B68" s="13">
        <f>('Input 4 - Forecast'!C40/'Input 4 - Forecast'!C$17)*'Input 5 - Scenario Design'!E$48</f>
        <v>0</v>
      </c>
      <c r="C68" s="13">
        <f>('Input 4 - Forecast'!D40/'Input 4 - Forecast'!D$17)*'Input 5 - Scenario Design'!F$48</f>
        <v>0</v>
      </c>
      <c r="D68" s="13">
        <f>('Input 4 - Forecast'!E40/'Input 4 - Forecast'!E$17)*'Input 5 - Scenario Design'!G$48</f>
        <v>0</v>
      </c>
      <c r="E68" s="13">
        <f>('Input 4 - Forecast'!F40/'Input 4 - Forecast'!F$17)*'Input 5 - Scenario Design'!H$48</f>
        <v>0</v>
      </c>
      <c r="F68" s="13">
        <f>('Input 4 - Forecast'!G40/'Input 4 - Forecast'!G$17)*'Input 5 - Scenario Design'!I$48</f>
        <v>0</v>
      </c>
      <c r="G68" s="191">
        <f>('Input 4 - Forecast'!H40/'Input 4 - Forecast'!H$17)*'Input 5 - Scenario Design'!J$48</f>
        <v>0</v>
      </c>
      <c r="I68" s="197" t="s">
        <v>90</v>
      </c>
      <c r="J68" s="199"/>
      <c r="K68" s="199"/>
      <c r="L68" s="199"/>
      <c r="M68" s="199"/>
      <c r="N68" s="199"/>
      <c r="O68" s="199"/>
      <c r="P68" s="199"/>
    </row>
    <row r="69" spans="1:17">
      <c r="A69" s="1817" t="s">
        <v>8</v>
      </c>
      <c r="B69" s="13">
        <f>('Input 4 - Forecast'!C41/'Input 4 - Forecast'!C$17)*'Input 5 - Scenario Design'!E$48</f>
        <v>0</v>
      </c>
      <c r="C69" s="13">
        <f>('Input 4 - Forecast'!D41/'Input 4 - Forecast'!D$17)*'Input 5 - Scenario Design'!F$48</f>
        <v>0</v>
      </c>
      <c r="D69" s="13">
        <f>('Input 4 - Forecast'!E41/'Input 4 - Forecast'!E$17)*'Input 5 - Scenario Design'!G$48</f>
        <v>0</v>
      </c>
      <c r="E69" s="13">
        <f>('Input 4 - Forecast'!F41/'Input 4 - Forecast'!F$17)*'Input 5 - Scenario Design'!H$48</f>
        <v>0</v>
      </c>
      <c r="F69" s="13">
        <f>('Input 4 - Forecast'!G41/'Input 4 - Forecast'!G$17)*'Input 5 - Scenario Design'!I$48</f>
        <v>0</v>
      </c>
      <c r="G69" s="191">
        <f>('Input 4 - Forecast'!H41/'Input 4 - Forecast'!H$17)*'Input 5 - Scenario Design'!J$48</f>
        <v>0</v>
      </c>
      <c r="I69" s="197" t="s">
        <v>91</v>
      </c>
      <c r="J69" s="199"/>
      <c r="K69" s="199"/>
      <c r="L69" s="199"/>
      <c r="M69" s="199"/>
      <c r="N69" s="199"/>
      <c r="O69" s="199"/>
      <c r="P69" s="199"/>
    </row>
    <row r="70" spans="1:17">
      <c r="A70" s="1817" t="str">
        <f>'Input 2 - Data'!D31</f>
        <v>Please specify (1) (e.g., privatization receipts) (+ reduces financing needs)</v>
      </c>
      <c r="B70" s="13">
        <f>'Input 4 - Forecast'!C42</f>
        <v>0</v>
      </c>
      <c r="C70" s="13">
        <f>'Input 4 - Forecast'!D42</f>
        <v>0</v>
      </c>
      <c r="D70" s="13">
        <f>'Input 4 - Forecast'!E42</f>
        <v>0</v>
      </c>
      <c r="E70" s="13">
        <f>'Input 4 - Forecast'!F42</f>
        <v>0</v>
      </c>
      <c r="F70" s="13">
        <f>'Input 4 - Forecast'!G42</f>
        <v>0</v>
      </c>
      <c r="G70" s="191">
        <f>'Input 4 - Forecast'!H42</f>
        <v>0</v>
      </c>
      <c r="I70" s="199"/>
      <c r="J70" s="199"/>
      <c r="K70" s="199"/>
      <c r="L70" s="199"/>
      <c r="M70" s="199"/>
      <c r="N70" s="199"/>
      <c r="O70" s="199"/>
      <c r="P70" s="199"/>
    </row>
    <row r="71" spans="1:17" s="281" customFormat="1" ht="15.75" thickBot="1">
      <c r="A71" s="1818" t="str">
        <f>'Input 2 - Data'!D32</f>
        <v>Please specify (2) (e.g., other debt flows) (+ increases financing needs)</v>
      </c>
      <c r="B71" s="193">
        <f>'Input 4 - Forecast'!C43</f>
        <v>0</v>
      </c>
      <c r="C71" s="193">
        <f>'Input 4 - Forecast'!D43</f>
        <v>0</v>
      </c>
      <c r="D71" s="193">
        <f>'Input 4 - Forecast'!E43</f>
        <v>0</v>
      </c>
      <c r="E71" s="193">
        <f>'Input 4 - Forecast'!F43</f>
        <v>0</v>
      </c>
      <c r="F71" s="193">
        <f>'Input 4 - Forecast'!G43</f>
        <v>0</v>
      </c>
      <c r="G71" s="194">
        <f>'Input 4 - Forecast'!H43</f>
        <v>0</v>
      </c>
      <c r="I71" s="199"/>
      <c r="J71" s="199"/>
      <c r="K71" s="199"/>
      <c r="L71" s="199"/>
      <c r="M71" s="199"/>
      <c r="N71" s="199"/>
      <c r="O71" s="199"/>
      <c r="P71" s="199"/>
    </row>
    <row r="72" spans="1:17" ht="15.75" thickBot="1">
      <c r="B72" s="195"/>
      <c r="C72" s="195"/>
      <c r="D72" s="195"/>
      <c r="E72" s="195"/>
      <c r="F72" s="195"/>
      <c r="G72" s="195"/>
      <c r="I72" s="235"/>
      <c r="J72" s="235"/>
      <c r="K72" s="199"/>
      <c r="L72" s="199"/>
      <c r="M72" s="199"/>
      <c r="N72" s="199"/>
      <c r="O72" s="199"/>
      <c r="P72" s="199"/>
    </row>
    <row r="73" spans="1:17" ht="16.5" customHeight="1" thickBot="1">
      <c r="A73" s="200" t="s">
        <v>1141</v>
      </c>
      <c r="B73" s="202">
        <f t="shared" ref="B73:G73" si="21">B65-B67-B68-B69-B70+B71</f>
        <v>1062.4001150288241</v>
      </c>
      <c r="C73" s="202">
        <f t="shared" ca="1" si="21"/>
        <v>2190.8804037295163</v>
      </c>
      <c r="D73" s="202">
        <f t="shared" ca="1" si="21"/>
        <v>3692.0748880028705</v>
      </c>
      <c r="E73" s="202">
        <f t="shared" ca="1" si="21"/>
        <v>5230.733670636645</v>
      </c>
      <c r="F73" s="202">
        <f t="shared" ca="1" si="21"/>
        <v>5747.1621946222604</v>
      </c>
      <c r="G73" s="203">
        <f t="shared" ca="1" si="21"/>
        <v>5988.3631898707063</v>
      </c>
      <c r="I73" s="236"/>
      <c r="J73" s="236"/>
    </row>
    <row r="74" spans="1:17" ht="15.75" thickBot="1">
      <c r="A74" s="4"/>
      <c r="B74" s="13"/>
      <c r="C74" s="13"/>
      <c r="D74" s="13"/>
      <c r="E74" s="13"/>
      <c r="F74" s="13"/>
      <c r="G74" s="13"/>
      <c r="I74" s="184"/>
      <c r="J74" s="184"/>
      <c r="K74" s="184"/>
      <c r="L74" s="184"/>
      <c r="M74" s="184"/>
      <c r="N74" s="184"/>
      <c r="O74" s="184"/>
      <c r="P74" s="184"/>
    </row>
    <row r="75" spans="1:17" ht="82.5" customHeight="1" thickBot="1">
      <c r="A75" s="2" t="s">
        <v>1177</v>
      </c>
      <c r="B75" s="2041" t="s">
        <v>1181</v>
      </c>
      <c r="C75" s="2042"/>
      <c r="D75" s="2042"/>
      <c r="E75" s="2042"/>
      <c r="F75" s="2042"/>
      <c r="G75" s="2043"/>
      <c r="I75" s="204" t="s">
        <v>459</v>
      </c>
      <c r="J75" s="204" t="s">
        <v>38</v>
      </c>
      <c r="K75" s="205" t="s">
        <v>39</v>
      </c>
      <c r="L75" s="204" t="str">
        <f t="shared" ref="L75:Q75" si="22">CONCATENATE("Interest Rate on debt issued in ",B47)</f>
        <v>Interest Rate on debt issued in 2018</v>
      </c>
      <c r="M75" s="204" t="str">
        <f t="shared" si="22"/>
        <v>Interest Rate on debt issued in 2019</v>
      </c>
      <c r="N75" s="204" t="str">
        <f t="shared" si="22"/>
        <v>Interest Rate on debt issued in 2020</v>
      </c>
      <c r="O75" s="204" t="str">
        <f t="shared" si="22"/>
        <v>Interest Rate on debt issued in 2021</v>
      </c>
      <c r="P75" s="204" t="str">
        <f t="shared" si="22"/>
        <v>Interest Rate on debt issued in 2022</v>
      </c>
      <c r="Q75" s="204" t="str">
        <f t="shared" si="22"/>
        <v>Interest Rate on debt issued in 2023</v>
      </c>
    </row>
    <row r="76" spans="1:17">
      <c r="A76" s="206" t="s">
        <v>13</v>
      </c>
      <c r="B76" s="185"/>
      <c r="C76" s="186"/>
      <c r="D76" s="186"/>
      <c r="E76" s="186"/>
      <c r="F76" s="186"/>
      <c r="G76" s="187"/>
      <c r="I76" s="207"/>
      <c r="J76" s="207"/>
      <c r="K76" s="208"/>
      <c r="L76" s="208"/>
      <c r="M76" s="208"/>
      <c r="N76" s="208"/>
      <c r="O76" s="208"/>
      <c r="P76" s="208"/>
      <c r="Q76" s="209"/>
    </row>
    <row r="77" spans="1:17" ht="30">
      <c r="A77" s="210" t="s">
        <v>0</v>
      </c>
      <c r="B77" s="190">
        <f>('Input 4 - Forecast'!C56/'Input 4 - Forecast'!C$45)*MAX(B$73,0)</f>
        <v>0</v>
      </c>
      <c r="C77" s="13">
        <f ca="1">('Input 4 - Forecast'!D56/'Input 4 - Forecast'!D$45)*MAX(C$73,0)</f>
        <v>151</v>
      </c>
      <c r="D77" s="13">
        <f ca="1">('Input 4 - Forecast'!E56/'Input 4 - Forecast'!E$45)*MAX(D$73,0)</f>
        <v>151</v>
      </c>
      <c r="E77" s="13">
        <f ca="1">('Input 4 - Forecast'!F56/'Input 4 - Forecast'!F$45)*MAX(E$73,0)</f>
        <v>151</v>
      </c>
      <c r="F77" s="13">
        <f ca="1">('Input 4 - Forecast'!G56/'Input 4 - Forecast'!G$45)*MAX(F$73,0)</f>
        <v>151</v>
      </c>
      <c r="G77" s="191">
        <f ca="1">('Input 4 - Forecast'!H56/'Input 4 - Forecast'!H$45)*MAX(G$73,0)</f>
        <v>151</v>
      </c>
      <c r="I77" s="211" t="str">
        <f>'Input 4 - Forecast'!J56</f>
        <v>Semi-annual</v>
      </c>
      <c r="J77" s="211">
        <f>'Input 4 - Forecast'!K56</f>
        <v>0</v>
      </c>
      <c r="K77" s="19">
        <f>'Input 4 - Forecast'!L56</f>
        <v>0</v>
      </c>
      <c r="L77" s="212">
        <f>'Input 4 - Forecast'!M56+B$35/10000</f>
        <v>0</v>
      </c>
      <c r="M77" s="212">
        <f>'Input 4 - Forecast'!N56+C$35/10000</f>
        <v>0</v>
      </c>
      <c r="N77" s="212">
        <f>'Input 4 - Forecast'!O56+D$35/10000</f>
        <v>0</v>
      </c>
      <c r="O77" s="212">
        <f>'Input 4 - Forecast'!P56+E$35/10000</f>
        <v>0</v>
      </c>
      <c r="P77" s="212">
        <f>'Input 4 - Forecast'!Q56+F$35/10000</f>
        <v>0</v>
      </c>
      <c r="Q77" s="213">
        <f>'Input 4 - Forecast'!R56+G$35/10000</f>
        <v>0</v>
      </c>
    </row>
    <row r="78" spans="1:17" ht="30">
      <c r="A78" s="210" t="s">
        <v>1</v>
      </c>
      <c r="B78" s="190">
        <f>('Input 4 - Forecast'!C57/'Input 4 - Forecast'!C$45)*MAX(B$73,0)</f>
        <v>0</v>
      </c>
      <c r="C78" s="13">
        <f ca="1">('Input 4 - Forecast'!D57/'Input 4 - Forecast'!D$45)*MAX(C$73,0)</f>
        <v>0</v>
      </c>
      <c r="D78" s="13">
        <f ca="1">('Input 4 - Forecast'!E57/'Input 4 - Forecast'!E$45)*MAX(D$73,0)</f>
        <v>0</v>
      </c>
      <c r="E78" s="13">
        <f ca="1">('Input 4 - Forecast'!F57/'Input 4 - Forecast'!F$45)*MAX(E$73,0)</f>
        <v>0</v>
      </c>
      <c r="F78" s="13">
        <f ca="1">('Input 4 - Forecast'!G57/'Input 4 - Forecast'!G$45)*MAX(F$73,0)</f>
        <v>0</v>
      </c>
      <c r="G78" s="191">
        <f ca="1">('Input 4 - Forecast'!H57/'Input 4 - Forecast'!H$45)*MAX(G$73,0)</f>
        <v>0</v>
      </c>
      <c r="I78" s="211" t="str">
        <f>'Input 4 - Forecast'!J57</f>
        <v>Semi-annual</v>
      </c>
      <c r="J78" s="211">
        <f>'Input 4 - Forecast'!K57</f>
        <v>0</v>
      </c>
      <c r="K78" s="19">
        <f>'Input 4 - Forecast'!L57</f>
        <v>0</v>
      </c>
      <c r="L78" s="212">
        <f>'Input 4 - Forecast'!M57+B$35/10000</f>
        <v>0</v>
      </c>
      <c r="M78" s="212">
        <f>'Input 4 - Forecast'!N57+C$35/10000</f>
        <v>0</v>
      </c>
      <c r="N78" s="212">
        <f>'Input 4 - Forecast'!O57+D$35/10000</f>
        <v>0</v>
      </c>
      <c r="O78" s="212">
        <f>'Input 4 - Forecast'!P57+E$35/10000</f>
        <v>0</v>
      </c>
      <c r="P78" s="212">
        <f>'Input 4 - Forecast'!Q57+F$35/10000</f>
        <v>0</v>
      </c>
      <c r="Q78" s="213">
        <f>'Input 4 - Forecast'!R57+G$35/10000</f>
        <v>0</v>
      </c>
    </row>
    <row r="79" spans="1:17">
      <c r="A79" s="206" t="s">
        <v>14</v>
      </c>
      <c r="B79" s="190"/>
      <c r="C79" s="13"/>
      <c r="D79" s="13"/>
      <c r="E79" s="13"/>
      <c r="F79" s="13"/>
      <c r="G79" s="191"/>
      <c r="I79" s="211"/>
      <c r="J79" s="211"/>
      <c r="K79" s="19"/>
      <c r="L79" s="19"/>
      <c r="M79" s="19"/>
      <c r="N79" s="19"/>
      <c r="O79" s="19"/>
      <c r="P79" s="19"/>
      <c r="Q79" s="214"/>
    </row>
    <row r="80" spans="1:17">
      <c r="A80" s="210" t="s">
        <v>0</v>
      </c>
      <c r="B80" s="190"/>
      <c r="C80" s="13"/>
      <c r="D80" s="13"/>
      <c r="E80" s="13"/>
      <c r="F80" s="13"/>
      <c r="G80" s="191"/>
      <c r="I80" s="211"/>
      <c r="J80" s="211"/>
      <c r="K80" s="19"/>
      <c r="L80" s="19"/>
      <c r="M80" s="19"/>
      <c r="N80" s="19"/>
      <c r="O80" s="19"/>
      <c r="P80" s="19"/>
      <c r="Q80" s="214"/>
    </row>
    <row r="81" spans="1:17">
      <c r="A81" s="215" t="s">
        <v>18</v>
      </c>
      <c r="B81" s="190">
        <f>('Input 4 - Forecast'!C60/'Input 4 - Forecast'!C$45)*MAX(B$73,0)</f>
        <v>329.998670927072</v>
      </c>
      <c r="C81" s="13">
        <f ca="1">('Input 4 - Forecast'!D60/'Input 4 - Forecast'!D$45)*MAX(C$73,0)</f>
        <v>35</v>
      </c>
      <c r="D81" s="13">
        <f ca="1">('Input 4 - Forecast'!E60/'Input 4 - Forecast'!E$45)*MAX(D$73,0)</f>
        <v>40</v>
      </c>
      <c r="E81" s="13">
        <f ca="1">('Input 4 - Forecast'!F60/'Input 4 - Forecast'!F$45)*MAX(E$73,0)</f>
        <v>35</v>
      </c>
      <c r="F81" s="13">
        <f ca="1">('Input 4 - Forecast'!G60/'Input 4 - Forecast'!G$45)*MAX(F$73,0)</f>
        <v>40</v>
      </c>
      <c r="G81" s="191">
        <f ca="1">('Input 4 - Forecast'!H60/'Input 4 - Forecast'!H$45)*MAX(G$73,0)</f>
        <v>30.5</v>
      </c>
      <c r="I81" s="211" t="str">
        <f>'Input 4 - Forecast'!J60</f>
        <v>Annual</v>
      </c>
      <c r="J81" s="211">
        <f>'Input 4 - Forecast'!K60</f>
        <v>5</v>
      </c>
      <c r="K81" s="19">
        <f>'Input 4 - Forecast'!L60</f>
        <v>5</v>
      </c>
      <c r="L81" s="212">
        <f>'Input 4 - Forecast'!M60+B$35/10000</f>
        <v>5.0000000000000001E-3</v>
      </c>
      <c r="M81" s="212">
        <f>'Input 4 - Forecast'!N60+C$35/10000</f>
        <v>5.0000000000000001E-3</v>
      </c>
      <c r="N81" s="212">
        <f>'Input 4 - Forecast'!O60+D$35/10000</f>
        <v>0.01</v>
      </c>
      <c r="O81" s="212">
        <f>'Input 4 - Forecast'!P60+E$35/10000</f>
        <v>0.01</v>
      </c>
      <c r="P81" s="212">
        <f>'Input 4 - Forecast'!Q60+F$35/10000</f>
        <v>0.01</v>
      </c>
      <c r="Q81" s="213">
        <f>'Input 4 - Forecast'!R60+G$35/10000</f>
        <v>0.01</v>
      </c>
    </row>
    <row r="82" spans="1:17">
      <c r="A82" s="215" t="s">
        <v>19</v>
      </c>
      <c r="B82" s="190">
        <f>('Input 4 - Forecast'!C61/'Input 4 - Forecast'!C$45)*MAX(B$73,0)</f>
        <v>0</v>
      </c>
      <c r="C82" s="13">
        <f ca="1">('Input 4 - Forecast'!D61/'Input 4 - Forecast'!D$45)*MAX(C$73,0)</f>
        <v>45</v>
      </c>
      <c r="D82" s="13">
        <f ca="1">('Input 4 - Forecast'!E61/'Input 4 - Forecast'!E$45)*MAX(D$73,0)</f>
        <v>48</v>
      </c>
      <c r="E82" s="13">
        <f ca="1">('Input 4 - Forecast'!F61/'Input 4 - Forecast'!F$45)*MAX(E$73,0)</f>
        <v>40</v>
      </c>
      <c r="F82" s="13">
        <f ca="1">('Input 4 - Forecast'!G61/'Input 4 - Forecast'!G$45)*MAX(F$73,0)</f>
        <v>45</v>
      </c>
      <c r="G82" s="191">
        <f ca="1">('Input 4 - Forecast'!H61/'Input 4 - Forecast'!H$45)*MAX(G$73,0)</f>
        <v>38.319187942158827</v>
      </c>
      <c r="I82" s="211" t="str">
        <f>'Input 4 - Forecast'!J61</f>
        <v>Annual</v>
      </c>
      <c r="J82" s="211">
        <f>'Input 4 - Forecast'!K61</f>
        <v>0</v>
      </c>
      <c r="K82" s="19">
        <f>'Input 4 - Forecast'!L61</f>
        <v>0</v>
      </c>
      <c r="L82" s="212">
        <f>'Input 4 - Forecast'!M61+B$35/10000</f>
        <v>0</v>
      </c>
      <c r="M82" s="212">
        <f>'Input 4 - Forecast'!N61+C$35/10000</f>
        <v>0</v>
      </c>
      <c r="N82" s="212">
        <f>'Input 4 - Forecast'!O61+D$35/10000</f>
        <v>0</v>
      </c>
      <c r="O82" s="212">
        <f>'Input 4 - Forecast'!P61+E$35/10000</f>
        <v>0</v>
      </c>
      <c r="P82" s="212">
        <f>'Input 4 - Forecast'!Q61+F$35/10000</f>
        <v>0</v>
      </c>
      <c r="Q82" s="213">
        <f>'Input 4 - Forecast'!R61+G$35/10000</f>
        <v>0</v>
      </c>
    </row>
    <row r="83" spans="1:17">
      <c r="A83" s="215" t="s">
        <v>20</v>
      </c>
      <c r="B83" s="190">
        <f>('Input 4 - Forecast'!C62/'Input 4 - Forecast'!C$45)*MAX(B$73,0)</f>
        <v>0</v>
      </c>
      <c r="C83" s="13">
        <f ca="1">('Input 4 - Forecast'!D62/'Input 4 - Forecast'!D$45)*MAX(C$73,0)</f>
        <v>57.5</v>
      </c>
      <c r="D83" s="13">
        <f ca="1">('Input 4 - Forecast'!E62/'Input 4 - Forecast'!E$45)*MAX(D$73,0)</f>
        <v>59.6</v>
      </c>
      <c r="E83" s="13">
        <f ca="1">('Input 4 - Forecast'!F62/'Input 4 - Forecast'!F$45)*MAX(E$73,0)</f>
        <v>48</v>
      </c>
      <c r="F83" s="13">
        <f ca="1">('Input 4 - Forecast'!G62/'Input 4 - Forecast'!G$45)*MAX(F$73,0)</f>
        <v>53.500000000000007</v>
      </c>
      <c r="G83" s="191">
        <f ca="1">('Input 4 - Forecast'!H62/'Input 4 - Forecast'!H$45)*MAX(G$73,0)</f>
        <v>55.4</v>
      </c>
      <c r="I83" s="211" t="str">
        <f>'Input 4 - Forecast'!J62</f>
        <v>Annual</v>
      </c>
      <c r="J83" s="211">
        <f>'Input 4 - Forecast'!K62</f>
        <v>0</v>
      </c>
      <c r="K83" s="19">
        <f>'Input 4 - Forecast'!L62</f>
        <v>0</v>
      </c>
      <c r="L83" s="212">
        <f>'Input 4 - Forecast'!M62+B$35/10000</f>
        <v>0</v>
      </c>
      <c r="M83" s="212">
        <f>'Input 4 - Forecast'!N62+C$35/10000</f>
        <v>0</v>
      </c>
      <c r="N83" s="212">
        <f>'Input 4 - Forecast'!O62+D$35/10000</f>
        <v>0</v>
      </c>
      <c r="O83" s="212">
        <f>'Input 4 - Forecast'!P62+E$35/10000</f>
        <v>0</v>
      </c>
      <c r="P83" s="212">
        <f>'Input 4 - Forecast'!Q62+F$35/10000</f>
        <v>0</v>
      </c>
      <c r="Q83" s="213">
        <f>'Input 4 - Forecast'!R62+G$35/10000</f>
        <v>0</v>
      </c>
    </row>
    <row r="84" spans="1:17">
      <c r="A84" s="215" t="s">
        <v>21</v>
      </c>
      <c r="B84" s="190">
        <f>('Input 4 - Forecast'!C63/'Input 4 - Forecast'!C$45)*MAX(B$73,0)</f>
        <v>0</v>
      </c>
      <c r="C84" s="13">
        <f ca="1">('Input 4 - Forecast'!D63/'Input 4 - Forecast'!D$45)*MAX(C$73,0)</f>
        <v>94</v>
      </c>
      <c r="D84" s="13">
        <f ca="1">('Input 4 - Forecast'!E63/'Input 4 - Forecast'!E$45)*MAX(D$73,0)</f>
        <v>91</v>
      </c>
      <c r="E84" s="13">
        <f ca="1">('Input 4 - Forecast'!F63/'Input 4 - Forecast'!F$45)*MAX(E$73,0)</f>
        <v>90.000000000000014</v>
      </c>
      <c r="F84" s="13">
        <f ca="1">('Input 4 - Forecast'!G63/'Input 4 - Forecast'!G$45)*MAX(F$73,0)</f>
        <v>90</v>
      </c>
      <c r="G84" s="191">
        <f ca="1">('Input 4 - Forecast'!H63/'Input 4 - Forecast'!H$45)*MAX(G$73,0)</f>
        <v>90</v>
      </c>
      <c r="I84" s="211" t="str">
        <f>'Input 4 - Forecast'!J63</f>
        <v>Annual</v>
      </c>
      <c r="J84" s="211">
        <f>'Input 4 - Forecast'!K63</f>
        <v>0</v>
      </c>
      <c r="K84" s="19">
        <f>'Input 4 - Forecast'!L63</f>
        <v>0</v>
      </c>
      <c r="L84" s="212">
        <f>'Input 4 - Forecast'!M63+B$35/10000</f>
        <v>0</v>
      </c>
      <c r="M84" s="212">
        <f>'Input 4 - Forecast'!N63+C$35/10000</f>
        <v>0</v>
      </c>
      <c r="N84" s="212">
        <f>'Input 4 - Forecast'!O63+D$35/10000</f>
        <v>0</v>
      </c>
      <c r="O84" s="212">
        <f>'Input 4 - Forecast'!P63+E$35/10000</f>
        <v>0</v>
      </c>
      <c r="P84" s="212">
        <f>'Input 4 - Forecast'!Q63+F$35/10000</f>
        <v>0</v>
      </c>
      <c r="Q84" s="213">
        <f>'Input 4 - Forecast'!R63+G$35/10000</f>
        <v>0</v>
      </c>
    </row>
    <row r="85" spans="1:17">
      <c r="A85" s="215" t="s">
        <v>22</v>
      </c>
      <c r="B85" s="190">
        <f>('Input 4 - Forecast'!C64/'Input 4 - Forecast'!C$45)*MAX(B$73,0)</f>
        <v>0</v>
      </c>
      <c r="C85" s="13">
        <f ca="1">('Input 4 - Forecast'!D64/'Input 4 - Forecast'!D$45)*MAX(C$73,0)</f>
        <v>0</v>
      </c>
      <c r="D85" s="13">
        <f ca="1">('Input 4 - Forecast'!E64/'Input 4 - Forecast'!E$45)*MAX(D$73,0)</f>
        <v>0</v>
      </c>
      <c r="E85" s="13">
        <f ca="1">('Input 4 - Forecast'!F64/'Input 4 - Forecast'!F$45)*MAX(E$73,0)</f>
        <v>0</v>
      </c>
      <c r="F85" s="13">
        <f ca="1">('Input 4 - Forecast'!G64/'Input 4 - Forecast'!G$45)*MAX(F$73,0)</f>
        <v>0</v>
      </c>
      <c r="G85" s="191">
        <f ca="1">('Input 4 - Forecast'!H64/'Input 4 - Forecast'!H$45)*MAX(G$73,0)</f>
        <v>0</v>
      </c>
      <c r="I85" s="211"/>
      <c r="J85" s="211">
        <f>'Input 4 - Forecast'!K64</f>
        <v>0</v>
      </c>
      <c r="K85" s="19">
        <f>'Input 4 - Forecast'!L64</f>
        <v>0</v>
      </c>
      <c r="L85" s="212">
        <f>'Input 4 - Forecast'!M64+B$35/10000</f>
        <v>0</v>
      </c>
      <c r="M85" s="212">
        <f>'Input 4 - Forecast'!N64+C$35/10000</f>
        <v>0</v>
      </c>
      <c r="N85" s="212">
        <f>'Input 4 - Forecast'!O64+D$35/10000</f>
        <v>0</v>
      </c>
      <c r="O85" s="212">
        <f>'Input 4 - Forecast'!P64+E$35/10000</f>
        <v>0</v>
      </c>
      <c r="P85" s="212">
        <f>'Input 4 - Forecast'!Q64+F$35/10000</f>
        <v>0</v>
      </c>
      <c r="Q85" s="213">
        <f>'Input 4 - Forecast'!R64+G$35/10000</f>
        <v>0</v>
      </c>
    </row>
    <row r="86" spans="1:17">
      <c r="A86" s="210" t="s">
        <v>1</v>
      </c>
      <c r="B86" s="190"/>
      <c r="C86" s="13"/>
      <c r="D86" s="13"/>
      <c r="E86" s="13"/>
      <c r="F86" s="13"/>
      <c r="G86" s="191"/>
      <c r="I86" s="211"/>
      <c r="J86" s="211"/>
      <c r="K86" s="19"/>
      <c r="L86" s="19"/>
      <c r="M86" s="19"/>
      <c r="N86" s="19"/>
      <c r="O86" s="19"/>
      <c r="P86" s="19"/>
      <c r="Q86" s="214"/>
    </row>
    <row r="87" spans="1:17">
      <c r="A87" s="215" t="s">
        <v>23</v>
      </c>
      <c r="B87" s="190">
        <f>('Input 4 - Forecast'!C66/'Input 4 - Forecast'!C$45)*MAX(B$73,0)</f>
        <v>0</v>
      </c>
      <c r="C87" s="13">
        <f ca="1">('Input 4 - Forecast'!D66/'Input 4 - Forecast'!D$45)*MAX(C$73,0)</f>
        <v>0</v>
      </c>
      <c r="D87" s="13">
        <f ca="1">('Input 4 - Forecast'!E66/'Input 4 - Forecast'!E$45)*MAX(D$73,0)</f>
        <v>0</v>
      </c>
      <c r="E87" s="13">
        <f ca="1">('Input 4 - Forecast'!F66/'Input 4 - Forecast'!F$45)*MAX(E$73,0)</f>
        <v>0</v>
      </c>
      <c r="F87" s="13">
        <f ca="1">('Input 4 - Forecast'!G66/'Input 4 - Forecast'!G$45)*MAX(F$73,0)</f>
        <v>0</v>
      </c>
      <c r="G87" s="191">
        <f ca="1">('Input 4 - Forecast'!H66/'Input 4 - Forecast'!H$45)*MAX(G$73,0)</f>
        <v>0</v>
      </c>
      <c r="I87" s="211" t="str">
        <f>'Input 4 - Forecast'!J66</f>
        <v>Annual</v>
      </c>
      <c r="J87" s="211">
        <f>'Input 4 - Forecast'!K66</f>
        <v>0</v>
      </c>
      <c r="K87" s="19">
        <f>'Input 4 - Forecast'!L66</f>
        <v>0</v>
      </c>
      <c r="L87" s="212">
        <f>'Input 4 - Forecast'!M66+B$35/10000</f>
        <v>0</v>
      </c>
      <c r="M87" s="212">
        <f>'Input 4 - Forecast'!N66+C$35/10000</f>
        <v>0</v>
      </c>
      <c r="N87" s="212">
        <f>'Input 4 - Forecast'!O66+D$35/10000</f>
        <v>0</v>
      </c>
      <c r="O87" s="212">
        <f>'Input 4 - Forecast'!P66+E$35/10000</f>
        <v>0</v>
      </c>
      <c r="P87" s="212">
        <f>'Input 4 - Forecast'!Q66+F$35/10000</f>
        <v>0</v>
      </c>
      <c r="Q87" s="213">
        <f>'Input 4 - Forecast'!R66+G$35/10000</f>
        <v>0</v>
      </c>
    </row>
    <row r="88" spans="1:17">
      <c r="A88" s="215" t="s">
        <v>24</v>
      </c>
      <c r="B88" s="190">
        <f>('Input 4 - Forecast'!C67/'Input 4 - Forecast'!C$45)*MAX(B$73,0)</f>
        <v>0</v>
      </c>
      <c r="C88" s="13">
        <f ca="1">('Input 4 - Forecast'!D67/'Input 4 - Forecast'!D$45)*MAX(C$73,0)</f>
        <v>0</v>
      </c>
      <c r="D88" s="13">
        <f ca="1">('Input 4 - Forecast'!E67/'Input 4 - Forecast'!E$45)*MAX(D$73,0)</f>
        <v>0</v>
      </c>
      <c r="E88" s="13">
        <f ca="1">('Input 4 - Forecast'!F67/'Input 4 - Forecast'!F$45)*MAX(E$73,0)</f>
        <v>0</v>
      </c>
      <c r="F88" s="13">
        <f ca="1">('Input 4 - Forecast'!G67/'Input 4 - Forecast'!G$45)*MAX(F$73,0)</f>
        <v>0</v>
      </c>
      <c r="G88" s="191">
        <f ca="1">('Input 4 - Forecast'!H67/'Input 4 - Forecast'!H$45)*MAX(G$73,0)</f>
        <v>0</v>
      </c>
      <c r="I88" s="211" t="str">
        <f>'Input 4 - Forecast'!J67</f>
        <v>Annual</v>
      </c>
      <c r="J88" s="211">
        <f>'Input 4 - Forecast'!K67</f>
        <v>0</v>
      </c>
      <c r="K88" s="19">
        <f>'Input 4 - Forecast'!L67</f>
        <v>0</v>
      </c>
      <c r="L88" s="212">
        <f>'Input 4 - Forecast'!M67+B$35/10000</f>
        <v>0</v>
      </c>
      <c r="M88" s="212">
        <f>'Input 4 - Forecast'!N67+C$35/10000</f>
        <v>0</v>
      </c>
      <c r="N88" s="212">
        <f>'Input 4 - Forecast'!O67+D$35/10000</f>
        <v>0</v>
      </c>
      <c r="O88" s="212">
        <f>'Input 4 - Forecast'!P67+E$35/10000</f>
        <v>0</v>
      </c>
      <c r="P88" s="212">
        <f>'Input 4 - Forecast'!Q67+F$35/10000</f>
        <v>0</v>
      </c>
      <c r="Q88" s="213">
        <f>'Input 4 - Forecast'!R67+G$35/10000</f>
        <v>0</v>
      </c>
    </row>
    <row r="89" spans="1:17">
      <c r="A89" s="215" t="s">
        <v>25</v>
      </c>
      <c r="B89" s="190">
        <f>('Input 4 - Forecast'!C68/'Input 4 - Forecast'!C$45)*MAX(B$73,0)</f>
        <v>0</v>
      </c>
      <c r="C89" s="13">
        <f ca="1">('Input 4 - Forecast'!D68/'Input 4 - Forecast'!D$45)*MAX(C$73,0)</f>
        <v>0</v>
      </c>
      <c r="D89" s="13">
        <f ca="1">('Input 4 - Forecast'!E68/'Input 4 - Forecast'!E$45)*MAX(D$73,0)</f>
        <v>0</v>
      </c>
      <c r="E89" s="13">
        <f ca="1">('Input 4 - Forecast'!F68/'Input 4 - Forecast'!F$45)*MAX(E$73,0)</f>
        <v>0</v>
      </c>
      <c r="F89" s="13">
        <f ca="1">('Input 4 - Forecast'!G68/'Input 4 - Forecast'!G$45)*MAX(F$73,0)</f>
        <v>0</v>
      </c>
      <c r="G89" s="191">
        <f ca="1">('Input 4 - Forecast'!H68/'Input 4 - Forecast'!H$45)*MAX(G$73,0)</f>
        <v>0</v>
      </c>
      <c r="I89" s="211" t="str">
        <f>'Input 4 - Forecast'!J68</f>
        <v>Annual</v>
      </c>
      <c r="J89" s="211">
        <f>'Input 4 - Forecast'!K68</f>
        <v>0</v>
      </c>
      <c r="K89" s="19">
        <f>'Input 4 - Forecast'!L68</f>
        <v>0</v>
      </c>
      <c r="L89" s="212">
        <f>'Input 4 - Forecast'!M68+B$35/10000</f>
        <v>0</v>
      </c>
      <c r="M89" s="212">
        <f>'Input 4 - Forecast'!N68+C$35/10000</f>
        <v>0</v>
      </c>
      <c r="N89" s="212">
        <f>'Input 4 - Forecast'!O68+D$35/10000</f>
        <v>0</v>
      </c>
      <c r="O89" s="212">
        <f>'Input 4 - Forecast'!P68+E$35/10000</f>
        <v>0</v>
      </c>
      <c r="P89" s="212">
        <f>'Input 4 - Forecast'!Q68+F$35/10000</f>
        <v>0</v>
      </c>
      <c r="Q89" s="213">
        <f>'Input 4 - Forecast'!R68+G$35/10000</f>
        <v>0</v>
      </c>
    </row>
    <row r="90" spans="1:17">
      <c r="A90" s="215" t="s">
        <v>26</v>
      </c>
      <c r="B90" s="190">
        <f>('Input 4 - Forecast'!C69/'Input 4 - Forecast'!C$45)*MAX(B$73,0)</f>
        <v>0</v>
      </c>
      <c r="C90" s="13">
        <f ca="1">('Input 4 - Forecast'!D69/'Input 4 - Forecast'!D$45)*MAX(C$73,0)</f>
        <v>0</v>
      </c>
      <c r="D90" s="13">
        <f ca="1">('Input 4 - Forecast'!E69/'Input 4 - Forecast'!E$45)*MAX(D$73,0)</f>
        <v>0</v>
      </c>
      <c r="E90" s="13">
        <f ca="1">('Input 4 - Forecast'!F69/'Input 4 - Forecast'!F$45)*MAX(E$73,0)</f>
        <v>0</v>
      </c>
      <c r="F90" s="13">
        <f ca="1">('Input 4 - Forecast'!G69/'Input 4 - Forecast'!G$45)*MAX(F$73,0)</f>
        <v>0</v>
      </c>
      <c r="G90" s="191">
        <f ca="1">('Input 4 - Forecast'!H69/'Input 4 - Forecast'!H$45)*MAX(G$73,0)</f>
        <v>0</v>
      </c>
      <c r="I90" s="211" t="str">
        <f>'Input 4 - Forecast'!J69</f>
        <v>Annual</v>
      </c>
      <c r="J90" s="211">
        <f>'Input 4 - Forecast'!K69</f>
        <v>0</v>
      </c>
      <c r="K90" s="19">
        <f>'Input 4 - Forecast'!L69</f>
        <v>0</v>
      </c>
      <c r="L90" s="212">
        <f>'Input 4 - Forecast'!M69+B$35/10000</f>
        <v>0</v>
      </c>
      <c r="M90" s="212">
        <f>'Input 4 - Forecast'!N69+C$35/10000</f>
        <v>0</v>
      </c>
      <c r="N90" s="212">
        <f>'Input 4 - Forecast'!O69+D$35/10000</f>
        <v>0</v>
      </c>
      <c r="O90" s="212">
        <f>'Input 4 - Forecast'!P69+E$35/10000</f>
        <v>0</v>
      </c>
      <c r="P90" s="212">
        <f>'Input 4 - Forecast'!Q69+F$35/10000</f>
        <v>0</v>
      </c>
      <c r="Q90" s="213">
        <f>'Input 4 - Forecast'!R69+G$35/10000</f>
        <v>0</v>
      </c>
    </row>
    <row r="91" spans="1:17">
      <c r="A91" s="215" t="s">
        <v>27</v>
      </c>
      <c r="B91" s="190">
        <f>('Input 4 - Forecast'!C70/'Input 4 - Forecast'!C$45)*MAX(B$73,0)</f>
        <v>0</v>
      </c>
      <c r="C91" s="13">
        <f ca="1">('Input 4 - Forecast'!D70/'Input 4 - Forecast'!D$45)*MAX(C$73,0)</f>
        <v>0</v>
      </c>
      <c r="D91" s="13">
        <f ca="1">('Input 4 - Forecast'!E70/'Input 4 - Forecast'!E$45)*MAX(D$73,0)</f>
        <v>0</v>
      </c>
      <c r="E91" s="13">
        <f ca="1">('Input 4 - Forecast'!F70/'Input 4 - Forecast'!F$45)*MAX(E$73,0)</f>
        <v>0</v>
      </c>
      <c r="F91" s="13">
        <f ca="1">('Input 4 - Forecast'!G70/'Input 4 - Forecast'!G$45)*MAX(F$73,0)</f>
        <v>0</v>
      </c>
      <c r="G91" s="191">
        <f ca="1">('Input 4 - Forecast'!H70/'Input 4 - Forecast'!H$45)*MAX(G$73,0)</f>
        <v>0</v>
      </c>
      <c r="I91" s="211"/>
      <c r="J91" s="211">
        <f>'Input 4 - Forecast'!K70</f>
        <v>0</v>
      </c>
      <c r="K91" s="19">
        <f>'Input 4 - Forecast'!L70</f>
        <v>0</v>
      </c>
      <c r="L91" s="212">
        <f>'Input 4 - Forecast'!M70+B$35/10000</f>
        <v>0</v>
      </c>
      <c r="M91" s="212">
        <f>'Input 4 - Forecast'!N70+C$35/10000</f>
        <v>0</v>
      </c>
      <c r="N91" s="212">
        <f>'Input 4 - Forecast'!O70+D$35/10000</f>
        <v>0</v>
      </c>
      <c r="O91" s="212">
        <f>'Input 4 - Forecast'!P70+E$35/10000</f>
        <v>0</v>
      </c>
      <c r="P91" s="212">
        <f>'Input 4 - Forecast'!Q70+F$35/10000</f>
        <v>0</v>
      </c>
      <c r="Q91" s="213">
        <f>'Input 4 - Forecast'!R70+G$35/10000</f>
        <v>0</v>
      </c>
    </row>
    <row r="92" spans="1:17">
      <c r="A92" s="3" t="s">
        <v>1178</v>
      </c>
      <c r="B92" s="190"/>
      <c r="C92" s="13"/>
      <c r="D92" s="13"/>
      <c r="E92" s="13"/>
      <c r="F92" s="13"/>
      <c r="G92" s="191"/>
      <c r="I92" s="211"/>
      <c r="J92" s="211"/>
      <c r="K92" s="19"/>
      <c r="L92" s="19"/>
      <c r="M92" s="19"/>
      <c r="N92" s="19"/>
      <c r="O92" s="19"/>
      <c r="P92" s="19"/>
      <c r="Q92" s="214"/>
    </row>
    <row r="93" spans="1:17">
      <c r="A93" s="206" t="s">
        <v>13</v>
      </c>
      <c r="B93" s="190"/>
      <c r="C93" s="13"/>
      <c r="D93" s="13"/>
      <c r="E93" s="13"/>
      <c r="F93" s="13"/>
      <c r="G93" s="191"/>
      <c r="I93" s="211"/>
      <c r="J93" s="211"/>
      <c r="K93" s="19"/>
      <c r="L93" s="19"/>
      <c r="M93" s="19"/>
      <c r="N93" s="19"/>
      <c r="O93" s="19"/>
      <c r="P93" s="19"/>
      <c r="Q93" s="214"/>
    </row>
    <row r="94" spans="1:17" ht="30">
      <c r="A94" s="210" t="s">
        <v>0</v>
      </c>
      <c r="B94" s="190">
        <f>('Input 4 - Forecast'!C73/'Input 4 - Forecast'!C$45)*MAX(B$73,0)</f>
        <v>0</v>
      </c>
      <c r="C94" s="13">
        <f ca="1">('Input 4 - Forecast'!D73/'Input 4 - Forecast'!D$45)*MAX(C$73,0)</f>
        <v>0</v>
      </c>
      <c r="D94" s="13">
        <f ca="1">('Input 4 - Forecast'!E73/'Input 4 - Forecast'!E$45)*MAX(D$73,0)</f>
        <v>0</v>
      </c>
      <c r="E94" s="13">
        <f ca="1">('Input 4 - Forecast'!F73/'Input 4 - Forecast'!F$45)*MAX(E$73,0)</f>
        <v>0</v>
      </c>
      <c r="F94" s="13">
        <f ca="1">('Input 4 - Forecast'!G73/'Input 4 - Forecast'!G$45)*MAX(F$73,0)</f>
        <v>0</v>
      </c>
      <c r="G94" s="191">
        <f ca="1">('Input 4 - Forecast'!H73/'Input 4 - Forecast'!H$45)*MAX(G$73,0)</f>
        <v>0</v>
      </c>
      <c r="I94" s="211" t="str">
        <f>'Input 4 - Forecast'!J73</f>
        <v>Semi-annual</v>
      </c>
      <c r="J94" s="211">
        <f>'Input 4 - Forecast'!K73</f>
        <v>0</v>
      </c>
      <c r="K94" s="19">
        <f>'Input 4 - Forecast'!L73</f>
        <v>0</v>
      </c>
      <c r="L94" s="212">
        <f>'Input 4 - Forecast'!M73+B$35/10000</f>
        <v>0</v>
      </c>
      <c r="M94" s="212">
        <f>'Input 4 - Forecast'!N73+C$35/10000</f>
        <v>0</v>
      </c>
      <c r="N94" s="212">
        <f>'Input 4 - Forecast'!O73+D$35/10000</f>
        <v>0</v>
      </c>
      <c r="O94" s="212">
        <f>'Input 4 - Forecast'!P73+E$35/10000</f>
        <v>0</v>
      </c>
      <c r="P94" s="212">
        <f>'Input 4 - Forecast'!Q73+F$35/10000</f>
        <v>0</v>
      </c>
      <c r="Q94" s="213">
        <f>'Input 4 - Forecast'!R73+G$35/10000</f>
        <v>0</v>
      </c>
    </row>
    <row r="95" spans="1:17" ht="30">
      <c r="A95" s="210" t="s">
        <v>1</v>
      </c>
      <c r="B95" s="190">
        <f>('Input 4 - Forecast'!C74/'Input 4 - Forecast'!C$45)*MAX(B$73,0)</f>
        <v>0</v>
      </c>
      <c r="C95" s="13">
        <f ca="1">('Input 4 - Forecast'!D74/'Input 4 - Forecast'!D$45)*MAX(C$73,0)</f>
        <v>0</v>
      </c>
      <c r="D95" s="13">
        <f ca="1">('Input 4 - Forecast'!E74/'Input 4 - Forecast'!E$45)*MAX(D$73,0)</f>
        <v>0</v>
      </c>
      <c r="E95" s="13">
        <f ca="1">('Input 4 - Forecast'!F74/'Input 4 - Forecast'!F$45)*MAX(E$73,0)</f>
        <v>0</v>
      </c>
      <c r="F95" s="13">
        <f ca="1">('Input 4 - Forecast'!G74/'Input 4 - Forecast'!G$45)*MAX(F$73,0)</f>
        <v>0</v>
      </c>
      <c r="G95" s="191">
        <f ca="1">('Input 4 - Forecast'!H74/'Input 4 - Forecast'!H$45)*MAX(G$73,0)</f>
        <v>0</v>
      </c>
      <c r="I95" s="211" t="str">
        <f>'Input 4 - Forecast'!J74</f>
        <v>Semi-annual</v>
      </c>
      <c r="J95" s="211">
        <f>'Input 4 - Forecast'!K74</f>
        <v>0</v>
      </c>
      <c r="K95" s="19">
        <f>'Input 4 - Forecast'!L74</f>
        <v>0</v>
      </c>
      <c r="L95" s="212">
        <f>'Input 4 - Forecast'!M74+B$35/10000</f>
        <v>0</v>
      </c>
      <c r="M95" s="212">
        <f>'Input 4 - Forecast'!N74+C$35/10000</f>
        <v>0</v>
      </c>
      <c r="N95" s="212">
        <f>'Input 4 - Forecast'!O74+D$35/10000</f>
        <v>0</v>
      </c>
      <c r="O95" s="212">
        <f>'Input 4 - Forecast'!P74+E$35/10000</f>
        <v>0</v>
      </c>
      <c r="P95" s="212">
        <f>'Input 4 - Forecast'!Q74+F$35/10000</f>
        <v>0</v>
      </c>
      <c r="Q95" s="213">
        <f>'Input 4 - Forecast'!R74+G$35/10000</f>
        <v>0</v>
      </c>
    </row>
    <row r="96" spans="1:17">
      <c r="A96" s="206" t="s">
        <v>14</v>
      </c>
      <c r="B96" s="190"/>
      <c r="C96" s="13"/>
      <c r="D96" s="13"/>
      <c r="E96" s="13"/>
      <c r="F96" s="13"/>
      <c r="G96" s="191"/>
      <c r="I96" s="211"/>
      <c r="J96" s="211"/>
      <c r="K96" s="19"/>
      <c r="L96" s="19"/>
      <c r="M96" s="19"/>
      <c r="N96" s="19"/>
      <c r="O96" s="19"/>
      <c r="P96" s="19"/>
      <c r="Q96" s="214"/>
    </row>
    <row r="97" spans="1:17">
      <c r="A97" s="210" t="s">
        <v>0</v>
      </c>
      <c r="B97" s="190"/>
      <c r="C97" s="13"/>
      <c r="D97" s="13"/>
      <c r="E97" s="13"/>
      <c r="F97" s="13"/>
      <c r="G97" s="191"/>
      <c r="I97" s="211"/>
      <c r="J97" s="211"/>
      <c r="K97" s="19"/>
      <c r="L97" s="19"/>
      <c r="M97" s="19"/>
      <c r="N97" s="19"/>
      <c r="O97" s="19"/>
      <c r="P97" s="19"/>
      <c r="Q97" s="214"/>
    </row>
    <row r="98" spans="1:17">
      <c r="A98" s="215" t="s">
        <v>28</v>
      </c>
      <c r="B98" s="190">
        <f>('Input 4 - Forecast'!C77/'Input 4 - Forecast'!C$45)*MAX(B$73,0)</f>
        <v>499.99798625313935</v>
      </c>
      <c r="C98" s="13">
        <f ca="1">('Input 4 - Forecast'!D77/'Input 4 - Forecast'!D$45)*MAX(C$73,0)</f>
        <v>0</v>
      </c>
      <c r="D98" s="13">
        <f ca="1">('Input 4 - Forecast'!E77/'Input 4 - Forecast'!E$45)*MAX(D$73,0)</f>
        <v>0</v>
      </c>
      <c r="E98" s="13">
        <f ca="1">('Input 4 - Forecast'!F77/'Input 4 - Forecast'!F$45)*MAX(E$73,0)</f>
        <v>0</v>
      </c>
      <c r="F98" s="13">
        <f ca="1">('Input 4 - Forecast'!G77/'Input 4 - Forecast'!G$45)*MAX(F$73,0)</f>
        <v>0</v>
      </c>
      <c r="G98" s="191">
        <f ca="1">('Input 4 - Forecast'!H77/'Input 4 - Forecast'!H$45)*MAX(G$73,0)</f>
        <v>0</v>
      </c>
      <c r="I98" s="211" t="str">
        <f>'Input 4 - Forecast'!J77</f>
        <v>Annual</v>
      </c>
      <c r="J98" s="211">
        <f>'Input 4 - Forecast'!K77</f>
        <v>10</v>
      </c>
      <c r="K98" s="19">
        <f>'Input 4 - Forecast'!L77</f>
        <v>10</v>
      </c>
      <c r="L98" s="212">
        <f>'Input 4 - Forecast'!M77+B$35/10000</f>
        <v>1.125E-2</v>
      </c>
      <c r="M98" s="212">
        <f>'Input 4 - Forecast'!N77+C$35/10000</f>
        <v>1.8749999999999999E-2</v>
      </c>
      <c r="N98" s="212">
        <f>'Input 4 - Forecast'!O77+D$35/10000</f>
        <v>2.1999999999999999E-2</v>
      </c>
      <c r="O98" s="212">
        <f>'Input 4 - Forecast'!P77+E$35/10000</f>
        <v>2.1999999999999999E-2</v>
      </c>
      <c r="P98" s="212">
        <f>'Input 4 - Forecast'!Q77+F$35/10000</f>
        <v>2.1999999999999999E-2</v>
      </c>
      <c r="Q98" s="213">
        <f>'Input 4 - Forecast'!R77+G$35/10000</f>
        <v>2.1999999999999999E-2</v>
      </c>
    </row>
    <row r="99" spans="1:17">
      <c r="A99" s="215" t="s">
        <v>29</v>
      </c>
      <c r="B99" s="190">
        <f>('Input 4 - Forecast'!C78/'Input 4 - Forecast'!C$45)*MAX(B$73,0)</f>
        <v>499.99798625313935</v>
      </c>
      <c r="C99" s="13">
        <f ca="1">('Input 4 - Forecast'!D78/'Input 4 - Forecast'!D$45)*MAX(C$73,0)</f>
        <v>0</v>
      </c>
      <c r="D99" s="13">
        <f ca="1">('Input 4 - Forecast'!E78/'Input 4 - Forecast'!E$45)*MAX(D$73,0)</f>
        <v>0</v>
      </c>
      <c r="E99" s="13">
        <f ca="1">('Input 4 - Forecast'!F78/'Input 4 - Forecast'!F$45)*MAX(E$73,0)</f>
        <v>0</v>
      </c>
      <c r="F99" s="13">
        <f ca="1">('Input 4 - Forecast'!G78/'Input 4 - Forecast'!G$45)*MAX(F$73,0)</f>
        <v>0</v>
      </c>
      <c r="G99" s="191">
        <f ca="1">('Input 4 - Forecast'!H78/'Input 4 - Forecast'!H$45)*MAX(G$73,0)</f>
        <v>0</v>
      </c>
      <c r="I99" s="211" t="str">
        <f>'Input 4 - Forecast'!J78</f>
        <v>Annual</v>
      </c>
      <c r="J99" s="211">
        <f>'Input 4 - Forecast'!K78</f>
        <v>30</v>
      </c>
      <c r="K99" s="19">
        <f>'Input 4 - Forecast'!L78</f>
        <v>30</v>
      </c>
      <c r="L99" s="212">
        <f>'Input 4 - Forecast'!M78+B$35/10000</f>
        <v>2.2499999999999999E-2</v>
      </c>
      <c r="M99" s="212">
        <f>'Input 4 - Forecast'!N78+C$35/10000</f>
        <v>0</v>
      </c>
      <c r="N99" s="212">
        <f>'Input 4 - Forecast'!O78+D$35/10000</f>
        <v>0</v>
      </c>
      <c r="O99" s="212">
        <f>'Input 4 - Forecast'!P78+E$35/10000</f>
        <v>0</v>
      </c>
      <c r="P99" s="212">
        <f>'Input 4 - Forecast'!Q78+F$35/10000</f>
        <v>0</v>
      </c>
      <c r="Q99" s="213">
        <f>'Input 4 - Forecast'!R78+G$35/10000</f>
        <v>0</v>
      </c>
    </row>
    <row r="100" spans="1:17">
      <c r="A100" s="215" t="s">
        <v>30</v>
      </c>
      <c r="B100" s="190">
        <f>('Input 4 - Forecast'!C79/'Input 4 - Forecast'!C$45)*MAX(B$73,0)</f>
        <v>0</v>
      </c>
      <c r="C100" s="13">
        <f ca="1">('Input 4 - Forecast'!D79/'Input 4 - Forecast'!D$45)*MAX(C$73,0)</f>
        <v>0</v>
      </c>
      <c r="D100" s="13">
        <f ca="1">('Input 4 - Forecast'!E79/'Input 4 - Forecast'!E$45)*MAX(D$73,0)</f>
        <v>0</v>
      </c>
      <c r="E100" s="13">
        <f ca="1">('Input 4 - Forecast'!F79/'Input 4 - Forecast'!F$45)*MAX(E$73,0)</f>
        <v>0</v>
      </c>
      <c r="F100" s="13">
        <f ca="1">('Input 4 - Forecast'!G79/'Input 4 - Forecast'!G$45)*MAX(F$73,0)</f>
        <v>0</v>
      </c>
      <c r="G100" s="191">
        <f ca="1">('Input 4 - Forecast'!H79/'Input 4 - Forecast'!H$45)*MAX(G$73,0)</f>
        <v>0</v>
      </c>
      <c r="I100" s="211" t="str">
        <f>'Input 4 - Forecast'!J79</f>
        <v>Annual</v>
      </c>
      <c r="J100" s="211">
        <f>'Input 4 - Forecast'!K79</f>
        <v>0</v>
      </c>
      <c r="K100" s="19">
        <f>'Input 4 - Forecast'!L79</f>
        <v>0</v>
      </c>
      <c r="L100" s="212">
        <f>'Input 4 - Forecast'!M79+B$35/10000</f>
        <v>0</v>
      </c>
      <c r="M100" s="212">
        <f>'Input 4 - Forecast'!N79+C$35/10000</f>
        <v>0</v>
      </c>
      <c r="N100" s="212">
        <f>'Input 4 - Forecast'!O79+D$35/10000</f>
        <v>0</v>
      </c>
      <c r="O100" s="212">
        <f>'Input 4 - Forecast'!P79+E$35/10000</f>
        <v>0</v>
      </c>
      <c r="P100" s="212">
        <f>'Input 4 - Forecast'!Q79+F$35/10000</f>
        <v>0</v>
      </c>
      <c r="Q100" s="213">
        <f>'Input 4 - Forecast'!R79+G$35/10000</f>
        <v>0</v>
      </c>
    </row>
    <row r="101" spans="1:17">
      <c r="A101" s="215" t="s">
        <v>31</v>
      </c>
      <c r="B101" s="190">
        <f>('Input 4 - Forecast'!C80/'Input 4 - Forecast'!C$45)*MAX(B$73,0)</f>
        <v>0</v>
      </c>
      <c r="C101" s="13">
        <f ca="1">('Input 4 - Forecast'!D80/'Input 4 - Forecast'!D$45)*MAX(C$73,0)</f>
        <v>0</v>
      </c>
      <c r="D101" s="13">
        <f ca="1">('Input 4 - Forecast'!E80/'Input 4 - Forecast'!E$45)*MAX(D$73,0)</f>
        <v>0</v>
      </c>
      <c r="E101" s="13">
        <f ca="1">('Input 4 - Forecast'!F80/'Input 4 - Forecast'!F$45)*MAX(E$73,0)</f>
        <v>0</v>
      </c>
      <c r="F101" s="13">
        <f ca="1">('Input 4 - Forecast'!G80/'Input 4 - Forecast'!G$45)*MAX(F$73,0)</f>
        <v>0</v>
      </c>
      <c r="G101" s="191">
        <f ca="1">('Input 4 - Forecast'!H80/'Input 4 - Forecast'!H$45)*MAX(G$73,0)</f>
        <v>0</v>
      </c>
      <c r="I101" s="211" t="str">
        <f>'Input 4 - Forecast'!J80</f>
        <v>Annual</v>
      </c>
      <c r="J101" s="211">
        <f>'Input 4 - Forecast'!K80</f>
        <v>0</v>
      </c>
      <c r="K101" s="19">
        <f>'Input 4 - Forecast'!L80</f>
        <v>0</v>
      </c>
      <c r="L101" s="212">
        <f>'Input 4 - Forecast'!M80+B$35/10000</f>
        <v>0</v>
      </c>
      <c r="M101" s="212">
        <f>'Input 4 - Forecast'!N80+C$35/10000</f>
        <v>0</v>
      </c>
      <c r="N101" s="212">
        <f>'Input 4 - Forecast'!O80+D$35/10000</f>
        <v>0</v>
      </c>
      <c r="O101" s="212">
        <f>'Input 4 - Forecast'!P80+E$35/10000</f>
        <v>0</v>
      </c>
      <c r="P101" s="212">
        <f>'Input 4 - Forecast'!Q80+F$35/10000</f>
        <v>0</v>
      </c>
      <c r="Q101" s="213">
        <f>'Input 4 - Forecast'!R80+G$35/10000</f>
        <v>0</v>
      </c>
    </row>
    <row r="102" spans="1:17">
      <c r="A102" s="215" t="s">
        <v>32</v>
      </c>
      <c r="B102" s="190">
        <f>('Input 4 - Forecast'!C81/'Input 4 - Forecast'!C$45)*MAX(B$73,0)</f>
        <v>0</v>
      </c>
      <c r="C102" s="13">
        <f ca="1">('Input 4 - Forecast'!D81/'Input 4 - Forecast'!D$45)*MAX(C$73,0)</f>
        <v>0</v>
      </c>
      <c r="D102" s="13">
        <f ca="1">('Input 4 - Forecast'!E81/'Input 4 - Forecast'!E$45)*MAX(D$73,0)</f>
        <v>0</v>
      </c>
      <c r="E102" s="13">
        <f ca="1">('Input 4 - Forecast'!F81/'Input 4 - Forecast'!F$45)*MAX(E$73,0)</f>
        <v>0</v>
      </c>
      <c r="F102" s="13">
        <f ca="1">('Input 4 - Forecast'!G81/'Input 4 - Forecast'!G$45)*MAX(F$73,0)</f>
        <v>0</v>
      </c>
      <c r="G102" s="191">
        <f ca="1">('Input 4 - Forecast'!H81/'Input 4 - Forecast'!H$45)*MAX(G$73,0)</f>
        <v>0</v>
      </c>
      <c r="I102" s="211"/>
      <c r="J102" s="211">
        <f>'Input 4 - Forecast'!K81</f>
        <v>0</v>
      </c>
      <c r="K102" s="19">
        <f>'Input 4 - Forecast'!L81</f>
        <v>0</v>
      </c>
      <c r="L102" s="212">
        <f>'Input 4 - Forecast'!M81+B$35/10000</f>
        <v>0</v>
      </c>
      <c r="M102" s="212">
        <f>'Input 4 - Forecast'!N81+C$35/10000</f>
        <v>0</v>
      </c>
      <c r="N102" s="212">
        <f>'Input 4 - Forecast'!O81+D$35/10000</f>
        <v>0</v>
      </c>
      <c r="O102" s="212">
        <f>'Input 4 - Forecast'!P81+E$35/10000</f>
        <v>0</v>
      </c>
      <c r="P102" s="212">
        <f>'Input 4 - Forecast'!Q81+F$35/10000</f>
        <v>0</v>
      </c>
      <c r="Q102" s="213">
        <f>'Input 4 - Forecast'!R81+G$35/10000</f>
        <v>0</v>
      </c>
    </row>
    <row r="103" spans="1:17">
      <c r="A103" s="210" t="s">
        <v>1</v>
      </c>
      <c r="B103" s="190"/>
      <c r="C103" s="13"/>
      <c r="D103" s="13"/>
      <c r="E103" s="13"/>
      <c r="F103" s="13"/>
      <c r="G103" s="191"/>
      <c r="I103" s="211"/>
      <c r="J103" s="211"/>
      <c r="K103" s="19"/>
      <c r="L103" s="19"/>
      <c r="M103" s="19"/>
      <c r="N103" s="19"/>
      <c r="O103" s="19"/>
      <c r="P103" s="19"/>
      <c r="Q103" s="214"/>
    </row>
    <row r="104" spans="1:17">
      <c r="A104" s="215" t="s">
        <v>33</v>
      </c>
      <c r="B104" s="190">
        <f>('Input 4 - Forecast'!C83/'Input 4 - Forecast'!C$45)*MAX(B$73,0)</f>
        <v>0</v>
      </c>
      <c r="C104" s="13">
        <f ca="1">('Input 4 - Forecast'!D83/'Input 4 - Forecast'!D$45)*MAX(C$73,0)</f>
        <v>0</v>
      </c>
      <c r="D104" s="13">
        <f ca="1">('Input 4 - Forecast'!E83/'Input 4 - Forecast'!E$45)*MAX(D$73,0)</f>
        <v>0</v>
      </c>
      <c r="E104" s="13">
        <f ca="1">('Input 4 - Forecast'!F83/'Input 4 - Forecast'!F$45)*MAX(E$73,0)</f>
        <v>0</v>
      </c>
      <c r="F104" s="13">
        <f ca="1">('Input 4 - Forecast'!G83/'Input 4 - Forecast'!G$45)*MAX(F$73,0)</f>
        <v>0</v>
      </c>
      <c r="G104" s="191">
        <f ca="1">('Input 4 - Forecast'!H83/'Input 4 - Forecast'!H$45)*MAX(G$73,0)</f>
        <v>0</v>
      </c>
      <c r="I104" s="211" t="str">
        <f>'Input 4 - Forecast'!J83</f>
        <v>Annual</v>
      </c>
      <c r="J104" s="211">
        <f>'Input 4 - Forecast'!K83</f>
        <v>0</v>
      </c>
      <c r="K104" s="19">
        <f>'Input 4 - Forecast'!L83</f>
        <v>0</v>
      </c>
      <c r="L104" s="212">
        <f>'Input 4 - Forecast'!M83+B$35/10000</f>
        <v>0</v>
      </c>
      <c r="M104" s="212">
        <f>'Input 4 - Forecast'!N83+C$35/10000</f>
        <v>0</v>
      </c>
      <c r="N104" s="212">
        <f>'Input 4 - Forecast'!O83+D$35/10000</f>
        <v>0</v>
      </c>
      <c r="O104" s="212">
        <f>'Input 4 - Forecast'!P83+E$35/10000</f>
        <v>0</v>
      </c>
      <c r="P104" s="212">
        <f>'Input 4 - Forecast'!Q83+F$35/10000</f>
        <v>0</v>
      </c>
      <c r="Q104" s="213">
        <f>'Input 4 - Forecast'!R83+G$35/10000</f>
        <v>0</v>
      </c>
    </row>
    <row r="105" spans="1:17">
      <c r="A105" s="215" t="s">
        <v>34</v>
      </c>
      <c r="B105" s="190">
        <f>('Input 4 - Forecast'!C84/'Input 4 - Forecast'!C$45)*MAX(B$73,0)</f>
        <v>0</v>
      </c>
      <c r="C105" s="13">
        <f ca="1">('Input 4 - Forecast'!D84/'Input 4 - Forecast'!D$45)*MAX(C$73,0)</f>
        <v>0</v>
      </c>
      <c r="D105" s="13">
        <f ca="1">('Input 4 - Forecast'!E84/'Input 4 - Forecast'!E$45)*MAX(D$73,0)</f>
        <v>0</v>
      </c>
      <c r="E105" s="13">
        <f ca="1">('Input 4 - Forecast'!F84/'Input 4 - Forecast'!F$45)*MAX(E$73,0)</f>
        <v>0</v>
      </c>
      <c r="F105" s="13">
        <f ca="1">('Input 4 - Forecast'!G84/'Input 4 - Forecast'!G$45)*MAX(F$73,0)</f>
        <v>0</v>
      </c>
      <c r="G105" s="191">
        <f ca="1">('Input 4 - Forecast'!H84/'Input 4 - Forecast'!H$45)*MAX(G$73,0)</f>
        <v>0</v>
      </c>
      <c r="I105" s="211" t="str">
        <f>'Input 4 - Forecast'!J84</f>
        <v>Annual</v>
      </c>
      <c r="J105" s="211">
        <f>'Input 4 - Forecast'!K84</f>
        <v>0</v>
      </c>
      <c r="K105" s="19">
        <f>'Input 4 - Forecast'!L84</f>
        <v>0</v>
      </c>
      <c r="L105" s="212">
        <f>'Input 4 - Forecast'!M84+B$35/10000</f>
        <v>0</v>
      </c>
      <c r="M105" s="212">
        <f>'Input 4 - Forecast'!N84+C$35/10000</f>
        <v>0</v>
      </c>
      <c r="N105" s="212">
        <f>'Input 4 - Forecast'!O84+D$35/10000</f>
        <v>0</v>
      </c>
      <c r="O105" s="212">
        <f>'Input 4 - Forecast'!P84+E$35/10000</f>
        <v>0</v>
      </c>
      <c r="P105" s="212">
        <f>'Input 4 - Forecast'!Q84+F$35/10000</f>
        <v>0</v>
      </c>
      <c r="Q105" s="213">
        <f>'Input 4 - Forecast'!R84+G$35/10000</f>
        <v>0</v>
      </c>
    </row>
    <row r="106" spans="1:17">
      <c r="A106" s="215" t="s">
        <v>35</v>
      </c>
      <c r="B106" s="190">
        <f>('Input 4 - Forecast'!C85/'Input 4 - Forecast'!C$45)*MAX(B$73,0)</f>
        <v>0</v>
      </c>
      <c r="C106" s="13">
        <f ca="1">('Input 4 - Forecast'!D85/'Input 4 - Forecast'!D$45)*MAX(C$73,0)</f>
        <v>0</v>
      </c>
      <c r="D106" s="13">
        <f ca="1">('Input 4 - Forecast'!E85/'Input 4 - Forecast'!E$45)*MAX(D$73,0)</f>
        <v>0</v>
      </c>
      <c r="E106" s="13">
        <f ca="1">('Input 4 - Forecast'!F85/'Input 4 - Forecast'!F$45)*MAX(E$73,0)</f>
        <v>0</v>
      </c>
      <c r="F106" s="13">
        <f ca="1">('Input 4 - Forecast'!G85/'Input 4 - Forecast'!G$45)*MAX(F$73,0)</f>
        <v>0</v>
      </c>
      <c r="G106" s="191">
        <f ca="1">('Input 4 - Forecast'!H85/'Input 4 - Forecast'!H$45)*MAX(G$73,0)</f>
        <v>0</v>
      </c>
      <c r="I106" s="211" t="str">
        <f>'Input 4 - Forecast'!J85</f>
        <v>Annual</v>
      </c>
      <c r="J106" s="211">
        <f>'Input 4 - Forecast'!K85</f>
        <v>0</v>
      </c>
      <c r="K106" s="19">
        <f>'Input 4 - Forecast'!L85</f>
        <v>0</v>
      </c>
      <c r="L106" s="212">
        <f>'Input 4 - Forecast'!M85+B$35/10000</f>
        <v>0</v>
      </c>
      <c r="M106" s="212">
        <f>'Input 4 - Forecast'!N85+C$35/10000</f>
        <v>0</v>
      </c>
      <c r="N106" s="212">
        <f>'Input 4 - Forecast'!O85+D$35/10000</f>
        <v>0</v>
      </c>
      <c r="O106" s="212">
        <f>'Input 4 - Forecast'!P85+E$35/10000</f>
        <v>0</v>
      </c>
      <c r="P106" s="212">
        <f>'Input 4 - Forecast'!Q85+F$35/10000</f>
        <v>0</v>
      </c>
      <c r="Q106" s="213">
        <f>'Input 4 - Forecast'!R85+G$35/10000</f>
        <v>0</v>
      </c>
    </row>
    <row r="107" spans="1:17">
      <c r="A107" s="215" t="s">
        <v>36</v>
      </c>
      <c r="B107" s="190">
        <f>('Input 4 - Forecast'!C86/'Input 4 - Forecast'!C$45)*MAX(B$73,0)</f>
        <v>0</v>
      </c>
      <c r="C107" s="13">
        <f ca="1">('Input 4 - Forecast'!D86/'Input 4 - Forecast'!D$45)*MAX(C$73,0)</f>
        <v>0</v>
      </c>
      <c r="D107" s="13">
        <f ca="1">('Input 4 - Forecast'!E86/'Input 4 - Forecast'!E$45)*MAX(D$73,0)</f>
        <v>0</v>
      </c>
      <c r="E107" s="13">
        <f ca="1">('Input 4 - Forecast'!F86/'Input 4 - Forecast'!F$45)*MAX(E$73,0)</f>
        <v>0</v>
      </c>
      <c r="F107" s="13">
        <f ca="1">('Input 4 - Forecast'!G86/'Input 4 - Forecast'!G$45)*MAX(F$73,0)</f>
        <v>0</v>
      </c>
      <c r="G107" s="191">
        <f ca="1">('Input 4 - Forecast'!H86/'Input 4 - Forecast'!H$45)*MAX(G$73,0)</f>
        <v>0</v>
      </c>
      <c r="I107" s="211" t="str">
        <f>'Input 4 - Forecast'!J86</f>
        <v>Annual</v>
      </c>
      <c r="J107" s="211">
        <f>'Input 4 - Forecast'!K86</f>
        <v>0</v>
      </c>
      <c r="K107" s="19">
        <f>'Input 4 - Forecast'!L86</f>
        <v>0</v>
      </c>
      <c r="L107" s="212">
        <f>'Input 4 - Forecast'!M86+B$35/10000</f>
        <v>0</v>
      </c>
      <c r="M107" s="212">
        <f>'Input 4 - Forecast'!N86+C$35/10000</f>
        <v>0</v>
      </c>
      <c r="N107" s="212">
        <f>'Input 4 - Forecast'!O86+D$35/10000</f>
        <v>0</v>
      </c>
      <c r="O107" s="212">
        <f>'Input 4 - Forecast'!P86+E$35/10000</f>
        <v>0</v>
      </c>
      <c r="P107" s="212">
        <f>'Input 4 - Forecast'!Q86+F$35/10000</f>
        <v>0</v>
      </c>
      <c r="Q107" s="213">
        <f>'Input 4 - Forecast'!R86+G$35/10000</f>
        <v>0</v>
      </c>
    </row>
    <row r="108" spans="1:17" ht="15.75" thickBot="1">
      <c r="A108" s="216" t="s">
        <v>37</v>
      </c>
      <c r="B108" s="192">
        <f>('Input 4 - Forecast'!C87/'Input 4 - Forecast'!C$45)*MAX(B$73,0)</f>
        <v>0</v>
      </c>
      <c r="C108" s="193">
        <f ca="1">('Input 4 - Forecast'!D87/'Input 4 - Forecast'!D$45)*MAX(C$73,0)</f>
        <v>0</v>
      </c>
      <c r="D108" s="193">
        <f ca="1">('Input 4 - Forecast'!E87/'Input 4 - Forecast'!E$45)*MAX(D$73,0)</f>
        <v>0</v>
      </c>
      <c r="E108" s="193">
        <f ca="1">('Input 4 - Forecast'!F87/'Input 4 - Forecast'!F$45)*MAX(E$73,0)</f>
        <v>0</v>
      </c>
      <c r="F108" s="193">
        <f ca="1">('Input 4 - Forecast'!G87/'Input 4 - Forecast'!G$45)*MAX(F$73,0)</f>
        <v>0</v>
      </c>
      <c r="G108" s="194">
        <f ca="1">('Input 4 - Forecast'!H87/'Input 4 - Forecast'!H$45)*MAX(G$73,0)</f>
        <v>0</v>
      </c>
      <c r="I108" s="217"/>
      <c r="J108" s="217">
        <f>'Input 4 - Forecast'!K87</f>
        <v>0</v>
      </c>
      <c r="K108" s="218">
        <f>'Input 4 - Forecast'!L87</f>
        <v>0</v>
      </c>
      <c r="L108" s="219">
        <f>'Input 4 - Forecast'!M87+B$35/10000</f>
        <v>0</v>
      </c>
      <c r="M108" s="219">
        <f>'Input 4 - Forecast'!N87+C$35/10000</f>
        <v>0</v>
      </c>
      <c r="N108" s="219">
        <f>'Input 4 - Forecast'!O87+D$35/10000</f>
        <v>0</v>
      </c>
      <c r="O108" s="219">
        <f>'Input 4 - Forecast'!P87+E$35/10000</f>
        <v>0</v>
      </c>
      <c r="P108" s="219">
        <f>'Input 4 - Forecast'!Q87+F$35/10000</f>
        <v>0</v>
      </c>
      <c r="Q108" s="220">
        <f>'Input 4 - Forecast'!R87+G$35/10000</f>
        <v>0</v>
      </c>
    </row>
    <row r="109" spans="1:17" ht="15.75" thickBot="1">
      <c r="B109" s="195"/>
      <c r="C109" s="195"/>
      <c r="D109" s="195"/>
      <c r="E109" s="195"/>
      <c r="F109" s="195"/>
      <c r="G109" s="195"/>
      <c r="I109" s="184"/>
      <c r="J109" s="184"/>
      <c r="K109" s="184"/>
      <c r="L109" s="184"/>
      <c r="M109" s="184"/>
      <c r="N109" s="184"/>
      <c r="O109" s="184"/>
      <c r="P109" s="184"/>
      <c r="Q109" s="184"/>
    </row>
    <row r="110" spans="1:17" ht="15.75" thickBot="1">
      <c r="A110" s="200" t="s">
        <v>1179</v>
      </c>
      <c r="B110" s="201">
        <f>('Input 4 - Forecast'!C89/'Input 4 - Forecast'!C$45)*MAX(B$73,0)</f>
        <v>-267.59452840452661</v>
      </c>
      <c r="C110" s="202">
        <f ca="1">('Input 4 - Forecast'!D89/'Input 4 - Forecast'!D$45)*MAX(C$73,0)</f>
        <v>1808.3804037295163</v>
      </c>
      <c r="D110" s="202">
        <f ca="1">('Input 4 - Forecast'!E89/'Input 4 - Forecast'!E$45)*MAX(D$73,0)</f>
        <v>3302.4748880028706</v>
      </c>
      <c r="E110" s="202">
        <f ca="1">('Input 4 - Forecast'!F89/'Input 4 - Forecast'!F$45)*MAX(E$73,0)</f>
        <v>4866.733670636645</v>
      </c>
      <c r="F110" s="202">
        <f ca="1">('Input 4 - Forecast'!G89/'Input 4 - Forecast'!G$45)*MAX(F$73,0)</f>
        <v>5367.6621946222604</v>
      </c>
      <c r="G110" s="203">
        <f ca="1">('Input 4 - Forecast'!H89/'Input 4 - Forecast'!H$45)*MAX(G$73,0)</f>
        <v>5623.1440019285474</v>
      </c>
      <c r="I110" s="221"/>
      <c r="J110" s="221">
        <f>'Input 4 - Forecast'!K89</f>
        <v>1</v>
      </c>
      <c r="K110" s="222">
        <f>'Input 4 - Forecast'!L89</f>
        <v>1</v>
      </c>
      <c r="L110" s="223">
        <f>'Input 4 - Forecast'!M89+B$35/10000</f>
        <v>0</v>
      </c>
      <c r="M110" s="223">
        <f>'Input 4 - Forecast'!N89+C$35/10000</f>
        <v>0</v>
      </c>
      <c r="N110" s="223">
        <f>'Input 4 - Forecast'!O89+D$35/10000</f>
        <v>0</v>
      </c>
      <c r="O110" s="223">
        <f>'Input 4 - Forecast'!P89+E$35/10000</f>
        <v>0</v>
      </c>
      <c r="P110" s="223">
        <f>'Input 4 - Forecast'!Q89+F$35/10000</f>
        <v>0</v>
      </c>
      <c r="Q110" s="224">
        <f>'Input 4 - Forecast'!R89+G$35/10000</f>
        <v>0</v>
      </c>
    </row>
    <row r="111" spans="1:17">
      <c r="B111" s="7"/>
      <c r="C111" s="7"/>
      <c r="D111" s="7"/>
      <c r="E111" s="7"/>
      <c r="F111" s="7"/>
      <c r="G111" s="7"/>
      <c r="I111" s="184"/>
      <c r="J111" s="184"/>
      <c r="K111" s="184"/>
      <c r="L111" s="184"/>
      <c r="M111" s="184"/>
      <c r="N111" s="184"/>
      <c r="O111" s="184"/>
      <c r="P111" s="184"/>
    </row>
    <row r="113" spans="1:27" ht="15.75" thickBot="1">
      <c r="H113" s="7">
        <f>'Input 4 - Forecast'!C9</f>
        <v>2018</v>
      </c>
      <c r="I113" s="7">
        <f>H113+1</f>
        <v>2019</v>
      </c>
      <c r="J113" s="7">
        <f>I113+1</f>
        <v>2020</v>
      </c>
      <c r="K113" s="7">
        <f>J113+1</f>
        <v>2021</v>
      </c>
      <c r="L113" s="7">
        <f>K113+1</f>
        <v>2022</v>
      </c>
      <c r="M113" s="7">
        <f>L113+1</f>
        <v>2023</v>
      </c>
      <c r="O113" s="7">
        <f t="shared" ref="O113:T113" si="23">H113</f>
        <v>2018</v>
      </c>
      <c r="P113" s="7">
        <f t="shared" si="23"/>
        <v>2019</v>
      </c>
      <c r="Q113" s="7">
        <f t="shared" si="23"/>
        <v>2020</v>
      </c>
      <c r="R113" s="7">
        <f t="shared" si="23"/>
        <v>2021</v>
      </c>
      <c r="S113" s="7">
        <f t="shared" si="23"/>
        <v>2022</v>
      </c>
      <c r="T113" s="7">
        <f t="shared" si="23"/>
        <v>2023</v>
      </c>
      <c r="V113" s="7">
        <f t="shared" ref="V113:AA113" si="24">O113</f>
        <v>2018</v>
      </c>
      <c r="W113" s="7">
        <f t="shared" si="24"/>
        <v>2019</v>
      </c>
      <c r="X113" s="7">
        <f t="shared" si="24"/>
        <v>2020</v>
      </c>
      <c r="Y113" s="7">
        <f t="shared" si="24"/>
        <v>2021</v>
      </c>
      <c r="Z113" s="7">
        <f t="shared" si="24"/>
        <v>2022</v>
      </c>
      <c r="AA113" s="7">
        <f t="shared" si="24"/>
        <v>2023</v>
      </c>
    </row>
    <row r="114" spans="1:27" ht="15.75" thickBot="1">
      <c r="A114" s="281"/>
      <c r="B114" s="2009" t="s">
        <v>44</v>
      </c>
      <c r="C114" s="2010"/>
      <c r="D114" s="2010"/>
      <c r="E114" s="2010"/>
      <c r="F114" s="2011"/>
      <c r="H114" s="2012" t="s">
        <v>40</v>
      </c>
      <c r="I114" s="2013"/>
      <c r="J114" s="2013"/>
      <c r="K114" s="2013"/>
      <c r="L114" s="2013"/>
      <c r="M114" s="2014"/>
      <c r="O114" s="2015" t="s">
        <v>46</v>
      </c>
      <c r="P114" s="2016"/>
      <c r="Q114" s="2016"/>
      <c r="R114" s="2016"/>
      <c r="S114" s="2016"/>
      <c r="T114" s="2017"/>
      <c r="V114" s="1996" t="s">
        <v>42</v>
      </c>
      <c r="W114" s="1997"/>
      <c r="X114" s="1997"/>
      <c r="Y114" s="1997"/>
      <c r="Z114" s="1997"/>
      <c r="AA114" s="1998"/>
    </row>
    <row r="115" spans="1:27">
      <c r="A115" s="281"/>
      <c r="B115" s="7" t="s">
        <v>45</v>
      </c>
      <c r="C115" s="281" t="s">
        <v>462</v>
      </c>
      <c r="D115" s="7" t="s">
        <v>43</v>
      </c>
      <c r="E115" s="7" t="s">
        <v>39</v>
      </c>
      <c r="F115" s="7" t="s">
        <v>41</v>
      </c>
    </row>
    <row r="116" spans="1:27">
      <c r="A116" s="17"/>
      <c r="B116" s="7"/>
      <c r="C116" s="7"/>
      <c r="D116" s="7"/>
      <c r="E116" s="7"/>
    </row>
    <row r="117" spans="1:27">
      <c r="A117" s="20" t="str">
        <f>'Input 4 - Forecast'!A50</f>
        <v>Issuance of New Debt to Fill Fiscal Needs</v>
      </c>
    </row>
    <row r="118" spans="1:27" customFormat="1" ht="15.75" thickBot="1">
      <c r="A118" s="21" t="str">
        <f>'Input 4 - Forecast'!A55</f>
        <v>Short-term debt 2/</v>
      </c>
      <c r="B118" s="18"/>
      <c r="C118" s="13"/>
      <c r="D118" s="13"/>
      <c r="E118" s="13"/>
      <c r="F118" s="13"/>
      <c r="G118" s="13"/>
      <c r="H118" s="13"/>
      <c r="I118" s="17"/>
      <c r="J118" s="19"/>
      <c r="K118" s="19"/>
      <c r="L118" s="19"/>
      <c r="M118" s="19"/>
      <c r="N118" s="19"/>
      <c r="O118" s="19"/>
      <c r="P118" s="19"/>
      <c r="Q118" s="19"/>
    </row>
    <row r="119" spans="1:27" customFormat="1" ht="15.75" thickBot="1">
      <c r="A119" s="22" t="str">
        <f>'Input 4 - Forecast'!A56</f>
        <v>Denominated in local currency</v>
      </c>
      <c r="B119" s="1999" t="s">
        <v>51</v>
      </c>
      <c r="C119" s="2000"/>
      <c r="D119" s="2000"/>
      <c r="E119" s="2000"/>
      <c r="F119" s="2000"/>
      <c r="G119" s="2000"/>
      <c r="H119" s="2000"/>
      <c r="I119" s="2000"/>
      <c r="J119" s="2000"/>
      <c r="K119" s="2000"/>
      <c r="L119" s="2000"/>
      <c r="M119" s="2000"/>
      <c r="N119" s="2000"/>
      <c r="O119" s="2000"/>
      <c r="P119" s="2000"/>
      <c r="Q119" s="2000"/>
      <c r="R119" s="2000"/>
      <c r="S119" s="2000"/>
      <c r="T119" s="2000"/>
      <c r="U119" s="2000"/>
      <c r="V119" s="2000"/>
      <c r="W119" s="2000"/>
      <c r="X119" s="2000"/>
      <c r="Y119" s="2000"/>
      <c r="Z119" s="2000"/>
      <c r="AA119" s="2001"/>
    </row>
    <row r="120" spans="1:27">
      <c r="B120" s="281"/>
      <c r="F120" s="15"/>
      <c r="H120" s="10"/>
      <c r="I120" s="10"/>
      <c r="J120" s="10"/>
      <c r="K120" s="10"/>
      <c r="L120" s="10"/>
      <c r="M120" s="10"/>
      <c r="N120" s="10"/>
      <c r="O120" s="10"/>
      <c r="P120" s="10"/>
      <c r="Q120" s="10"/>
      <c r="R120" s="10"/>
      <c r="S120" s="10"/>
      <c r="T120" s="10"/>
      <c r="U120" s="10"/>
      <c r="V120" s="10"/>
      <c r="W120" s="10"/>
      <c r="X120" s="10"/>
      <c r="Y120" s="10"/>
      <c r="Z120" s="10"/>
      <c r="AA120" s="10"/>
    </row>
    <row r="121" spans="1:27" customFormat="1">
      <c r="A121" s="23"/>
      <c r="B121" s="7">
        <f>'Input 4 - Forecast'!C9</f>
        <v>2018</v>
      </c>
      <c r="C121" s="13" t="str">
        <f>$I77</f>
        <v>Semi-annual</v>
      </c>
      <c r="D121" s="13">
        <f>$J77</f>
        <v>0</v>
      </c>
      <c r="E121" s="13">
        <f>$K77</f>
        <v>0</v>
      </c>
      <c r="F121" s="14">
        <f>$L$77</f>
        <v>0</v>
      </c>
      <c r="G121" s="13"/>
      <c r="H121" s="9">
        <f>$B$77</f>
        <v>0</v>
      </c>
      <c r="I121" s="9">
        <f>H121-P121</f>
        <v>0</v>
      </c>
      <c r="J121" s="9">
        <f>I121-Q121</f>
        <v>0</v>
      </c>
      <c r="K121" s="9">
        <f>J121-R121</f>
        <v>0</v>
      </c>
      <c r="L121" s="9">
        <f>K121-S121</f>
        <v>0</v>
      </c>
      <c r="M121" s="9">
        <f>L121-T121</f>
        <v>0</v>
      </c>
      <c r="N121" s="9"/>
      <c r="O121" s="9">
        <v>0</v>
      </c>
      <c r="P121" s="9">
        <f>H121</f>
        <v>0</v>
      </c>
      <c r="Q121" s="9">
        <v>0</v>
      </c>
      <c r="R121" s="9">
        <v>0</v>
      </c>
      <c r="S121" s="9">
        <v>0</v>
      </c>
      <c r="T121" s="9">
        <v>0</v>
      </c>
      <c r="U121" s="9"/>
      <c r="V121" s="9">
        <f>IF($C121="annual",IF(V$113=$B121,0,G121*$F121),IF(V$113-$B121=0,0,IF((V$113-$B121)&lt;$E121,AVERAGE(G121,H121)*$F121,IF((V$113-$B121)=$E121,G121*$F121/2,0))))</f>
        <v>0</v>
      </c>
      <c r="W121" s="9">
        <f t="shared" ref="W121:AA126" si="25">IF($C121="annual",IF(W$113=$B121,0,H121*$F121),IF(W$113-$B121=0,0,IF((W$113-$B121)&lt;$E121,AVERAGE(H121,I121)*$F121,IF((W$113-$B121)=$E121,H121*$F121/2,0))))</f>
        <v>0</v>
      </c>
      <c r="X121" s="9">
        <f t="shared" si="25"/>
        <v>0</v>
      </c>
      <c r="Y121" s="9">
        <f t="shared" si="25"/>
        <v>0</v>
      </c>
      <c r="Z121" s="9">
        <f t="shared" si="25"/>
        <v>0</v>
      </c>
      <c r="AA121" s="9">
        <f t="shared" si="25"/>
        <v>0</v>
      </c>
    </row>
    <row r="122" spans="1:27" customFormat="1">
      <c r="A122" s="23"/>
      <c r="B122" s="7">
        <f>B121+1</f>
        <v>2019</v>
      </c>
      <c r="C122" s="13" t="str">
        <f>C121</f>
        <v>Semi-annual</v>
      </c>
      <c r="D122" s="13">
        <f>D121</f>
        <v>0</v>
      </c>
      <c r="E122" s="13">
        <f>E121</f>
        <v>0</v>
      </c>
      <c r="F122" s="14">
        <f>$M$77</f>
        <v>0</v>
      </c>
      <c r="G122" s="13"/>
      <c r="H122" s="9"/>
      <c r="I122" s="9">
        <f ca="1">$C$77</f>
        <v>151</v>
      </c>
      <c r="J122" s="9">
        <f ca="1">I122-Q122</f>
        <v>0</v>
      </c>
      <c r="K122" s="9">
        <f ca="1">J122-R122</f>
        <v>0</v>
      </c>
      <c r="L122" s="9">
        <f ca="1">K122-S122</f>
        <v>0</v>
      </c>
      <c r="M122" s="9">
        <f ca="1">L122-T122</f>
        <v>0</v>
      </c>
      <c r="N122" s="9"/>
      <c r="O122" s="9"/>
      <c r="P122" s="9">
        <v>0</v>
      </c>
      <c r="Q122" s="9">
        <f ca="1">I122</f>
        <v>151</v>
      </c>
      <c r="R122" s="9">
        <v>0</v>
      </c>
      <c r="S122" s="9">
        <v>0</v>
      </c>
      <c r="T122" s="9">
        <v>0</v>
      </c>
      <c r="U122" s="9"/>
      <c r="V122" s="9"/>
      <c r="W122" s="9">
        <f t="shared" si="25"/>
        <v>0</v>
      </c>
      <c r="X122" s="9">
        <f t="shared" si="25"/>
        <v>0</v>
      </c>
      <c r="Y122" s="9">
        <f t="shared" si="25"/>
        <v>0</v>
      </c>
      <c r="Z122" s="9">
        <f t="shared" si="25"/>
        <v>0</v>
      </c>
      <c r="AA122" s="9">
        <f t="shared" si="25"/>
        <v>0</v>
      </c>
    </row>
    <row r="123" spans="1:27" customFormat="1">
      <c r="A123" s="23"/>
      <c r="B123" s="7">
        <f>B122+1</f>
        <v>2020</v>
      </c>
      <c r="C123" s="13" t="str">
        <f>C122</f>
        <v>Semi-annual</v>
      </c>
      <c r="D123" s="13">
        <f t="shared" ref="D123:E126" si="26">D122</f>
        <v>0</v>
      </c>
      <c r="E123" s="13">
        <f t="shared" si="26"/>
        <v>0</v>
      </c>
      <c r="F123" s="14">
        <f>$N$77</f>
        <v>0</v>
      </c>
      <c r="G123" s="13"/>
      <c r="H123" s="9"/>
      <c r="I123" s="9"/>
      <c r="J123" s="9">
        <f ca="1">$D$77</f>
        <v>151</v>
      </c>
      <c r="K123" s="9">
        <f ca="1">J123-R123</f>
        <v>0</v>
      </c>
      <c r="L123" s="9">
        <f ca="1">K123-S123</f>
        <v>0</v>
      </c>
      <c r="M123" s="9">
        <f ca="1">L123-T123</f>
        <v>0</v>
      </c>
      <c r="N123" s="9"/>
      <c r="O123" s="9"/>
      <c r="P123" s="9"/>
      <c r="Q123" s="9">
        <v>0</v>
      </c>
      <c r="R123" s="9">
        <f ca="1">J123</f>
        <v>151</v>
      </c>
      <c r="S123" s="9">
        <v>0</v>
      </c>
      <c r="T123" s="9">
        <v>0</v>
      </c>
      <c r="U123" s="9"/>
      <c r="V123" s="9"/>
      <c r="W123" s="9"/>
      <c r="X123" s="9">
        <f t="shared" si="25"/>
        <v>0</v>
      </c>
      <c r="Y123" s="9">
        <f t="shared" si="25"/>
        <v>0</v>
      </c>
      <c r="Z123" s="9">
        <f t="shared" si="25"/>
        <v>0</v>
      </c>
      <c r="AA123" s="9">
        <f t="shared" si="25"/>
        <v>0</v>
      </c>
    </row>
    <row r="124" spans="1:27" customFormat="1">
      <c r="A124" s="23"/>
      <c r="B124" s="7">
        <f>B123+1</f>
        <v>2021</v>
      </c>
      <c r="C124" s="13" t="str">
        <f>C123</f>
        <v>Semi-annual</v>
      </c>
      <c r="D124" s="13">
        <f t="shared" si="26"/>
        <v>0</v>
      </c>
      <c r="E124" s="13">
        <f t="shared" si="26"/>
        <v>0</v>
      </c>
      <c r="F124" s="14">
        <f>$O$77</f>
        <v>0</v>
      </c>
      <c r="G124" s="13"/>
      <c r="H124" s="9"/>
      <c r="I124" s="9"/>
      <c r="J124" s="9"/>
      <c r="K124" s="9">
        <f ca="1">$E$77</f>
        <v>151</v>
      </c>
      <c r="L124" s="9">
        <f ca="1">K124-S124</f>
        <v>0</v>
      </c>
      <c r="M124" s="9">
        <f ca="1">L124-T124</f>
        <v>0</v>
      </c>
      <c r="N124" s="9"/>
      <c r="O124" s="9"/>
      <c r="P124" s="9"/>
      <c r="Q124" s="9"/>
      <c r="R124" s="9">
        <v>0</v>
      </c>
      <c r="S124" s="9">
        <f ca="1">K124</f>
        <v>151</v>
      </c>
      <c r="T124" s="9">
        <v>0</v>
      </c>
      <c r="U124" s="9"/>
      <c r="V124" s="9"/>
      <c r="W124" s="9"/>
      <c r="X124" s="9"/>
      <c r="Y124" s="9">
        <f t="shared" si="25"/>
        <v>0</v>
      </c>
      <c r="Z124" s="9">
        <f t="shared" si="25"/>
        <v>0</v>
      </c>
      <c r="AA124" s="9">
        <f t="shared" si="25"/>
        <v>0</v>
      </c>
    </row>
    <row r="125" spans="1:27" customFormat="1">
      <c r="A125" s="23"/>
      <c r="B125" s="7">
        <f>B124+1</f>
        <v>2022</v>
      </c>
      <c r="C125" s="13" t="str">
        <f>C124</f>
        <v>Semi-annual</v>
      </c>
      <c r="D125" s="13">
        <f t="shared" si="26"/>
        <v>0</v>
      </c>
      <c r="E125" s="13">
        <f t="shared" si="26"/>
        <v>0</v>
      </c>
      <c r="F125" s="14">
        <f>$P$77</f>
        <v>0</v>
      </c>
      <c r="G125" s="13"/>
      <c r="H125" s="9"/>
      <c r="I125" s="9"/>
      <c r="J125" s="9"/>
      <c r="K125" s="9"/>
      <c r="L125" s="9">
        <f ca="1">$F$77</f>
        <v>151</v>
      </c>
      <c r="M125" s="9">
        <f ca="1">L125-T125</f>
        <v>0</v>
      </c>
      <c r="N125" s="9"/>
      <c r="O125" s="9"/>
      <c r="P125" s="9"/>
      <c r="Q125" s="9"/>
      <c r="R125" s="9"/>
      <c r="S125" s="9">
        <v>0</v>
      </c>
      <c r="T125" s="9">
        <f ca="1">L125</f>
        <v>151</v>
      </c>
      <c r="U125" s="9"/>
      <c r="V125" s="9"/>
      <c r="W125" s="9"/>
      <c r="X125" s="9"/>
      <c r="Y125" s="9"/>
      <c r="Z125" s="9">
        <f t="shared" si="25"/>
        <v>0</v>
      </c>
      <c r="AA125" s="9">
        <f t="shared" si="25"/>
        <v>0</v>
      </c>
    </row>
    <row r="126" spans="1:27" customFormat="1">
      <c r="A126" s="23"/>
      <c r="B126" s="7">
        <f>B125+1</f>
        <v>2023</v>
      </c>
      <c r="C126" s="13" t="str">
        <f>C125</f>
        <v>Semi-annual</v>
      </c>
      <c r="D126" s="13">
        <f t="shared" si="26"/>
        <v>0</v>
      </c>
      <c r="E126" s="13">
        <f t="shared" si="26"/>
        <v>0</v>
      </c>
      <c r="F126" s="14">
        <f>$Q$77</f>
        <v>0</v>
      </c>
      <c r="G126" s="13"/>
      <c r="H126" s="9"/>
      <c r="I126" s="9"/>
      <c r="J126" s="9"/>
      <c r="K126" s="9"/>
      <c r="L126" s="9"/>
      <c r="M126" s="9">
        <f ca="1">$G$77</f>
        <v>151</v>
      </c>
      <c r="N126" s="9"/>
      <c r="O126" s="9"/>
      <c r="P126" s="9"/>
      <c r="Q126" s="9"/>
      <c r="R126" s="9"/>
      <c r="S126" s="9"/>
      <c r="T126" s="9">
        <v>0</v>
      </c>
      <c r="U126" s="9"/>
      <c r="V126" s="9"/>
      <c r="W126" s="9"/>
      <c r="X126" s="9"/>
      <c r="Y126" s="9"/>
      <c r="Z126" s="9"/>
      <c r="AA126" s="9">
        <f t="shared" si="25"/>
        <v>0</v>
      </c>
    </row>
    <row r="127" spans="1:27" ht="15.75" thickBot="1">
      <c r="F127" s="15"/>
      <c r="H127" s="10"/>
      <c r="I127" s="10"/>
      <c r="J127" s="10"/>
      <c r="K127" s="10"/>
      <c r="L127" s="10"/>
      <c r="M127" s="10"/>
      <c r="N127" s="10"/>
      <c r="O127" s="10"/>
      <c r="P127" s="10"/>
      <c r="Q127" s="10"/>
      <c r="R127" s="10"/>
      <c r="S127" s="10"/>
      <c r="T127" s="10"/>
      <c r="U127" s="10"/>
      <c r="V127" s="10"/>
      <c r="W127" s="10"/>
      <c r="X127" s="10"/>
      <c r="Y127" s="10"/>
      <c r="Z127" s="10"/>
      <c r="AA127" s="10"/>
    </row>
    <row r="128" spans="1:27" customFormat="1" ht="15.75" thickBot="1">
      <c r="A128" s="22" t="str">
        <f>'Input 4 - Forecast'!A65</f>
        <v>Denominated in foreign currency</v>
      </c>
      <c r="B128" s="1999" t="s">
        <v>52</v>
      </c>
      <c r="C128" s="2000"/>
      <c r="D128" s="2000"/>
      <c r="E128" s="2000"/>
      <c r="F128" s="2000"/>
      <c r="G128" s="2000"/>
      <c r="H128" s="2000"/>
      <c r="I128" s="2000"/>
      <c r="J128" s="2000"/>
      <c r="K128" s="2000"/>
      <c r="L128" s="2000"/>
      <c r="M128" s="2000"/>
      <c r="N128" s="2000"/>
      <c r="O128" s="2000"/>
      <c r="P128" s="2000"/>
      <c r="Q128" s="2000"/>
      <c r="R128" s="2000"/>
      <c r="S128" s="2000"/>
      <c r="T128" s="2000"/>
      <c r="U128" s="2000"/>
      <c r="V128" s="2000"/>
      <c r="W128" s="2000"/>
      <c r="X128" s="2000"/>
      <c r="Y128" s="2000"/>
      <c r="Z128" s="2000"/>
      <c r="AA128" s="2001"/>
    </row>
    <row r="129" spans="1:27">
      <c r="F129" s="15"/>
      <c r="H129" s="10"/>
      <c r="I129" s="10"/>
      <c r="J129" s="10"/>
      <c r="K129" s="10"/>
      <c r="L129" s="10"/>
      <c r="M129" s="10"/>
      <c r="N129" s="10"/>
      <c r="O129" s="10"/>
      <c r="P129" s="10"/>
      <c r="Q129" s="10"/>
      <c r="R129" s="10"/>
      <c r="S129" s="10"/>
      <c r="T129" s="10"/>
      <c r="U129" s="10"/>
      <c r="V129" s="10"/>
      <c r="W129" s="10"/>
      <c r="X129" s="10"/>
      <c r="Y129" s="10"/>
      <c r="Z129" s="10"/>
      <c r="AA129" s="10"/>
    </row>
    <row r="130" spans="1:27" customFormat="1">
      <c r="A130" s="23"/>
      <c r="B130" s="7">
        <f>B121</f>
        <v>2018</v>
      </c>
      <c r="C130" s="13" t="str">
        <f>$I78</f>
        <v>Semi-annual</v>
      </c>
      <c r="D130" s="13">
        <f>$J78</f>
        <v>0</v>
      </c>
      <c r="E130" s="13">
        <f>$K78</f>
        <v>0</v>
      </c>
      <c r="F130" s="14">
        <f>$L$78</f>
        <v>0</v>
      </c>
      <c r="G130" s="13"/>
      <c r="H130" s="9">
        <f>$B$78/$B$33</f>
        <v>0</v>
      </c>
      <c r="I130" s="9">
        <f>H130-P130</f>
        <v>0</v>
      </c>
      <c r="J130" s="9">
        <f>I130-Q130</f>
        <v>0</v>
      </c>
      <c r="K130" s="9">
        <f>J130-R130</f>
        <v>0</v>
      </c>
      <c r="L130" s="9">
        <f>K130-S130</f>
        <v>0</v>
      </c>
      <c r="M130" s="9">
        <f>L130-T130</f>
        <v>0</v>
      </c>
      <c r="N130" s="9"/>
      <c r="O130" s="9">
        <v>0</v>
      </c>
      <c r="P130" s="9">
        <f>H130</f>
        <v>0</v>
      </c>
      <c r="Q130" s="9">
        <v>0</v>
      </c>
      <c r="R130" s="9">
        <v>0</v>
      </c>
      <c r="S130" s="9">
        <v>0</v>
      </c>
      <c r="T130" s="9">
        <v>0</v>
      </c>
      <c r="U130" s="9"/>
      <c r="V130" s="9">
        <f>IF($C130="annual",IF(V$113=$B130,0,G130*$F130),IF(V$113-$B130=0,0,IF((V$113-$B130)&lt;$E130,AVERAGE(G130,H130)*$F130,IF((V$113-$B130)=$E130,G130*$F130/2,0))))</f>
        <v>0</v>
      </c>
      <c r="W130" s="9">
        <f t="shared" ref="W130:AA135" si="27">IF($C130="annual",IF(W$113=$B130,0,H130*$F130),IF(W$113-$B130=0,0,IF((W$113-$B130)&lt;$E130,AVERAGE(H130,I130)*$F130,IF((W$113-$B130)=$E130,H130*$F130/2,0))))</f>
        <v>0</v>
      </c>
      <c r="X130" s="9">
        <f t="shared" si="27"/>
        <v>0</v>
      </c>
      <c r="Y130" s="9">
        <f t="shared" si="27"/>
        <v>0</v>
      </c>
      <c r="Z130" s="9">
        <f t="shared" si="27"/>
        <v>0</v>
      </c>
      <c r="AA130" s="9">
        <f t="shared" si="27"/>
        <v>0</v>
      </c>
    </row>
    <row r="131" spans="1:27" customFormat="1">
      <c r="A131" s="23"/>
      <c r="B131" s="7">
        <f>B130+1</f>
        <v>2019</v>
      </c>
      <c r="C131" s="13" t="str">
        <f>C130</f>
        <v>Semi-annual</v>
      </c>
      <c r="D131" s="13">
        <f>D130</f>
        <v>0</v>
      </c>
      <c r="E131" s="13">
        <f>E130</f>
        <v>0</v>
      </c>
      <c r="F131" s="14">
        <f>$M$78</f>
        <v>0</v>
      </c>
      <c r="G131" s="13"/>
      <c r="H131" s="9"/>
      <c r="I131" s="9">
        <f ca="1">$C$78/$C$33</f>
        <v>0</v>
      </c>
      <c r="J131" s="9">
        <f ca="1">I131-Q131</f>
        <v>0</v>
      </c>
      <c r="K131" s="9">
        <f ca="1">J131-R131</f>
        <v>0</v>
      </c>
      <c r="L131" s="9">
        <f ca="1">K131-S131</f>
        <v>0</v>
      </c>
      <c r="M131" s="9">
        <f ca="1">L131-T131</f>
        <v>0</v>
      </c>
      <c r="N131" s="9"/>
      <c r="O131" s="9"/>
      <c r="P131" s="9">
        <v>0</v>
      </c>
      <c r="Q131" s="9">
        <f ca="1">I131</f>
        <v>0</v>
      </c>
      <c r="R131" s="9">
        <v>0</v>
      </c>
      <c r="S131" s="9">
        <v>0</v>
      </c>
      <c r="T131" s="9">
        <v>0</v>
      </c>
      <c r="U131" s="9"/>
      <c r="V131" s="9"/>
      <c r="W131" s="9">
        <f t="shared" si="27"/>
        <v>0</v>
      </c>
      <c r="X131" s="9">
        <f t="shared" si="27"/>
        <v>0</v>
      </c>
      <c r="Y131" s="9">
        <f t="shared" si="27"/>
        <v>0</v>
      </c>
      <c r="Z131" s="9">
        <f t="shared" si="27"/>
        <v>0</v>
      </c>
      <c r="AA131" s="9">
        <f t="shared" si="27"/>
        <v>0</v>
      </c>
    </row>
    <row r="132" spans="1:27" customFormat="1">
      <c r="A132" s="23"/>
      <c r="B132" s="7">
        <f>B131+1</f>
        <v>2020</v>
      </c>
      <c r="C132" s="13" t="str">
        <f>C131</f>
        <v>Semi-annual</v>
      </c>
      <c r="D132" s="13">
        <f t="shared" ref="D132:E135" si="28">D131</f>
        <v>0</v>
      </c>
      <c r="E132" s="13">
        <f t="shared" si="28"/>
        <v>0</v>
      </c>
      <c r="F132" s="14">
        <f>$N$78</f>
        <v>0</v>
      </c>
      <c r="G132" s="13"/>
      <c r="H132" s="9"/>
      <c r="I132" s="9"/>
      <c r="J132" s="9">
        <f ca="1">$D$78/$D$33</f>
        <v>0</v>
      </c>
      <c r="K132" s="9">
        <f ca="1">J132-R132</f>
        <v>0</v>
      </c>
      <c r="L132" s="9">
        <f ca="1">K132-S132</f>
        <v>0</v>
      </c>
      <c r="M132" s="9">
        <f ca="1">L132-T132</f>
        <v>0</v>
      </c>
      <c r="N132" s="9"/>
      <c r="O132" s="9"/>
      <c r="P132" s="9"/>
      <c r="Q132" s="9">
        <v>0</v>
      </c>
      <c r="R132" s="9">
        <f ca="1">J132</f>
        <v>0</v>
      </c>
      <c r="S132" s="9">
        <v>0</v>
      </c>
      <c r="T132" s="9">
        <v>0</v>
      </c>
      <c r="U132" s="9"/>
      <c r="V132" s="9"/>
      <c r="W132" s="9"/>
      <c r="X132" s="9">
        <f t="shared" si="27"/>
        <v>0</v>
      </c>
      <c r="Y132" s="9">
        <f t="shared" si="27"/>
        <v>0</v>
      </c>
      <c r="Z132" s="9">
        <f t="shared" si="27"/>
        <v>0</v>
      </c>
      <c r="AA132" s="9">
        <f t="shared" si="27"/>
        <v>0</v>
      </c>
    </row>
    <row r="133" spans="1:27" customFormat="1">
      <c r="A133" s="23"/>
      <c r="B133" s="7">
        <f>B132+1</f>
        <v>2021</v>
      </c>
      <c r="C133" s="13" t="str">
        <f>C132</f>
        <v>Semi-annual</v>
      </c>
      <c r="D133" s="13">
        <f t="shared" si="28"/>
        <v>0</v>
      </c>
      <c r="E133" s="13">
        <f t="shared" si="28"/>
        <v>0</v>
      </c>
      <c r="F133" s="14">
        <f>$O$78</f>
        <v>0</v>
      </c>
      <c r="G133" s="13"/>
      <c r="H133" s="9"/>
      <c r="I133" s="9"/>
      <c r="J133" s="9"/>
      <c r="K133" s="9">
        <f ca="1">$E$78/$E$33</f>
        <v>0</v>
      </c>
      <c r="L133" s="9">
        <f ca="1">K133-S133</f>
        <v>0</v>
      </c>
      <c r="M133" s="9">
        <f ca="1">L133-T133</f>
        <v>0</v>
      </c>
      <c r="N133" s="9"/>
      <c r="O133" s="9"/>
      <c r="P133" s="9"/>
      <c r="Q133" s="9"/>
      <c r="R133" s="9">
        <v>0</v>
      </c>
      <c r="S133" s="9">
        <f ca="1">K133</f>
        <v>0</v>
      </c>
      <c r="T133" s="9">
        <v>0</v>
      </c>
      <c r="U133" s="9"/>
      <c r="V133" s="9"/>
      <c r="W133" s="9"/>
      <c r="X133" s="9"/>
      <c r="Y133" s="9">
        <f t="shared" si="27"/>
        <v>0</v>
      </c>
      <c r="Z133" s="9">
        <f t="shared" si="27"/>
        <v>0</v>
      </c>
      <c r="AA133" s="9">
        <f t="shared" si="27"/>
        <v>0</v>
      </c>
    </row>
    <row r="134" spans="1:27" customFormat="1">
      <c r="A134" s="23"/>
      <c r="B134" s="7">
        <f>B133+1</f>
        <v>2022</v>
      </c>
      <c r="C134" s="13" t="str">
        <f>C133</f>
        <v>Semi-annual</v>
      </c>
      <c r="D134" s="13">
        <f t="shared" si="28"/>
        <v>0</v>
      </c>
      <c r="E134" s="13">
        <f t="shared" si="28"/>
        <v>0</v>
      </c>
      <c r="F134" s="14">
        <f>$P$78</f>
        <v>0</v>
      </c>
      <c r="G134" s="13"/>
      <c r="H134" s="9"/>
      <c r="I134" s="9"/>
      <c r="J134" s="9"/>
      <c r="K134" s="9"/>
      <c r="L134" s="9">
        <f ca="1">$F$78/$F$33</f>
        <v>0</v>
      </c>
      <c r="M134" s="9">
        <f ca="1">L134-T134</f>
        <v>0</v>
      </c>
      <c r="N134" s="9"/>
      <c r="O134" s="9"/>
      <c r="P134" s="9"/>
      <c r="Q134" s="9"/>
      <c r="R134" s="9"/>
      <c r="S134" s="9">
        <v>0</v>
      </c>
      <c r="T134" s="9">
        <f ca="1">L134</f>
        <v>0</v>
      </c>
      <c r="U134" s="9"/>
      <c r="V134" s="9"/>
      <c r="W134" s="9"/>
      <c r="X134" s="9"/>
      <c r="Y134" s="9"/>
      <c r="Z134" s="9">
        <f t="shared" si="27"/>
        <v>0</v>
      </c>
      <c r="AA134" s="9">
        <f t="shared" si="27"/>
        <v>0</v>
      </c>
    </row>
    <row r="135" spans="1:27" customFormat="1">
      <c r="A135" s="23"/>
      <c r="B135" s="7">
        <f>B134+1</f>
        <v>2023</v>
      </c>
      <c r="C135" s="13" t="str">
        <f>C134</f>
        <v>Semi-annual</v>
      </c>
      <c r="D135" s="13">
        <f t="shared" si="28"/>
        <v>0</v>
      </c>
      <c r="E135" s="13">
        <f t="shared" si="28"/>
        <v>0</v>
      </c>
      <c r="F135" s="14">
        <f>$Q$78</f>
        <v>0</v>
      </c>
      <c r="G135" s="13"/>
      <c r="H135" s="9"/>
      <c r="I135" s="9"/>
      <c r="J135" s="9"/>
      <c r="K135" s="9"/>
      <c r="L135" s="9"/>
      <c r="M135" s="9">
        <f ca="1">$G$78/$G$33</f>
        <v>0</v>
      </c>
      <c r="N135" s="9"/>
      <c r="O135" s="9"/>
      <c r="P135" s="9"/>
      <c r="Q135" s="9"/>
      <c r="R135" s="9"/>
      <c r="S135" s="9"/>
      <c r="T135" s="9">
        <v>0</v>
      </c>
      <c r="U135" s="9"/>
      <c r="V135" s="9"/>
      <c r="W135" s="9"/>
      <c r="X135" s="9"/>
      <c r="Y135" s="9"/>
      <c r="Z135" s="9"/>
      <c r="AA135" s="9">
        <f t="shared" si="27"/>
        <v>0</v>
      </c>
    </row>
    <row r="137" spans="1:27" ht="15.75" thickBot="1">
      <c r="A137" s="11" t="str">
        <f>'Input 4 - Forecast'!A58</f>
        <v>Long-term debt 3/</v>
      </c>
    </row>
    <row r="138" spans="1:27" ht="15.75" thickBot="1">
      <c r="A138" s="12" t="str">
        <f>'Input 4 - Forecast'!A59</f>
        <v>Denominated in local currency</v>
      </c>
      <c r="B138" s="1999" t="s">
        <v>51</v>
      </c>
      <c r="C138" s="2000"/>
      <c r="D138" s="2000"/>
      <c r="E138" s="2000"/>
      <c r="F138" s="2000"/>
      <c r="G138" s="2000"/>
      <c r="H138" s="2000"/>
      <c r="I138" s="2000"/>
      <c r="J138" s="2000"/>
      <c r="K138" s="2000"/>
      <c r="L138" s="2000"/>
      <c r="M138" s="2000"/>
      <c r="N138" s="2000"/>
      <c r="O138" s="2000"/>
      <c r="P138" s="2000"/>
      <c r="Q138" s="2000"/>
      <c r="R138" s="2000"/>
      <c r="S138" s="2000"/>
      <c r="T138" s="2000"/>
      <c r="U138" s="2000"/>
      <c r="V138" s="2000"/>
      <c r="W138" s="2000"/>
      <c r="X138" s="2000"/>
      <c r="Y138" s="2000"/>
      <c r="Z138" s="2000"/>
      <c r="AA138" s="2001"/>
    </row>
    <row r="140" spans="1:27">
      <c r="A140" s="8" t="str">
        <f>'Input 4 - Forecast'!A60</f>
        <v>Type 1</v>
      </c>
      <c r="B140" s="7">
        <f>B121</f>
        <v>2018</v>
      </c>
      <c r="C140" s="7" t="str">
        <f>$I81</f>
        <v>Annual</v>
      </c>
      <c r="D140" s="7">
        <f>$J81</f>
        <v>5</v>
      </c>
      <c r="E140" s="7">
        <f>$K81</f>
        <v>5</v>
      </c>
      <c r="F140" s="14">
        <f>$L$81</f>
        <v>5.0000000000000001E-3</v>
      </c>
      <c r="H140" s="9">
        <f>$B$81</f>
        <v>329.998670927072</v>
      </c>
      <c r="I140" s="9">
        <f>H140-P140</f>
        <v>329.998670927072</v>
      </c>
      <c r="J140" s="9">
        <f>I140-Q140</f>
        <v>329.998670927072</v>
      </c>
      <c r="K140" s="9">
        <f>J140-R140</f>
        <v>329.998670927072</v>
      </c>
      <c r="L140" s="9">
        <f>K140-S140</f>
        <v>329.998670927072</v>
      </c>
      <c r="M140" s="9">
        <f>L140-T140</f>
        <v>0</v>
      </c>
      <c r="N140" s="9"/>
      <c r="O140" s="9">
        <f t="shared" ref="O140:T140" si="29">IF(OR($C140="Annual",$D140=$E140),IF(AND($D140=$E140,O$113=$B140+$D140),$H140,IF(AND(O$113&gt;$B140+$D140,O$113&lt;=$B140+$E140), $H140/($E140-$D140),0)), IF(OR(O$113=$B140+$D140,O$113=$B140+$E140),$H140/(($E140-$D140)*2),IF(AND(O$113&gt;$B140+$D140,O$113&lt;$B140+$E140),$H140/($E140-$D140),0)))</f>
        <v>0</v>
      </c>
      <c r="P140" s="9">
        <f t="shared" si="29"/>
        <v>0</v>
      </c>
      <c r="Q140" s="9">
        <f t="shared" si="29"/>
        <v>0</v>
      </c>
      <c r="R140" s="9">
        <f t="shared" si="29"/>
        <v>0</v>
      </c>
      <c r="S140" s="9">
        <f t="shared" si="29"/>
        <v>0</v>
      </c>
      <c r="T140" s="9">
        <f t="shared" si="29"/>
        <v>329.998670927072</v>
      </c>
      <c r="U140" s="9"/>
      <c r="V140" s="9">
        <f>IF($C140="annual",IF(V$113=$B140,0,G140*$F140),IF(V$113-$B140=0,0,IF((V$113-$B140)&lt;$E140,AVERAGE(G140,H140)*$F140,IF((V$113-$B140)=$E140,G140*$F140/2,0))))</f>
        <v>0</v>
      </c>
      <c r="W140" s="9">
        <f t="shared" ref="W140:AA145" si="30">IF($C140="annual",IF(W$113=$B140,0,H140*$F140),IF(W$113-$B140=0,0,IF((W$113-$B140)&lt;$E140,AVERAGE(H140,I140)*$F140,IF((W$113-$B140)=$E140,H140*$F140/2,0))))</f>
        <v>1.64999335463536</v>
      </c>
      <c r="X140" s="9">
        <f t="shared" si="30"/>
        <v>1.64999335463536</v>
      </c>
      <c r="Y140" s="9">
        <f t="shared" si="30"/>
        <v>1.64999335463536</v>
      </c>
      <c r="Z140" s="9">
        <f t="shared" si="30"/>
        <v>1.64999335463536</v>
      </c>
      <c r="AA140" s="9">
        <f t="shared" si="30"/>
        <v>1.64999335463536</v>
      </c>
    </row>
    <row r="141" spans="1:27">
      <c r="A141" s="8" t="str">
        <f>A140</f>
        <v>Type 1</v>
      </c>
      <c r="B141" s="7">
        <f>B140+1</f>
        <v>2019</v>
      </c>
      <c r="C141" s="7" t="str">
        <f>C140</f>
        <v>Annual</v>
      </c>
      <c r="D141" s="7">
        <f>D140</f>
        <v>5</v>
      </c>
      <c r="E141" s="7">
        <f>E140</f>
        <v>5</v>
      </c>
      <c r="F141" s="14">
        <f>$M$81</f>
        <v>5.0000000000000001E-3</v>
      </c>
      <c r="H141" s="9"/>
      <c r="I141" s="9">
        <f ca="1">$C$81</f>
        <v>35</v>
      </c>
      <c r="J141" s="9">
        <f ca="1">I141-Q141</f>
        <v>17.5</v>
      </c>
      <c r="K141" s="9">
        <f ca="1">J141-R141</f>
        <v>0</v>
      </c>
      <c r="L141" s="9">
        <f ca="1">K141-S141</f>
        <v>0</v>
      </c>
      <c r="M141" s="9">
        <f ca="1">L141-T141</f>
        <v>0</v>
      </c>
      <c r="N141" s="9"/>
      <c r="O141" s="9"/>
      <c r="P141" s="9">
        <f>IF(OR($C141="Annual",$D141=$E141),IF(AND($D141=$E141,P$113=$B141+$D141),$I141,IF(AND(P$113&gt;$B141+$D141,P$113&lt;=$B141+$E141), $I141/($E141-$D141),0)), IF(OR(P$113=$B141+$D141,P$113=$B141+$E141),$I141/(($E141-$D141)*2),IF(AND(P$113&gt;$B141+$D141,P$113&lt;$B141+$E141),$I141/($E141-$D141),0)))</f>
        <v>0</v>
      </c>
      <c r="Q141" s="9">
        <f>IF(OR($C141="Annual",$D141=$E141),IF(AND($D141=$E141,Q$113=$B141+$D141),$I141,IF(AND(Q$113&gt;$B141+$D141,Q$113&lt;=$B141+$E141), $I141/($E141-$D141),0)), IF(OR(Q$113=$B141+$D141,Q$113=$B141+$E141),$I141/(($E141-$D141)*2),IF(AND(Q$113&gt;$B141+$D141,Q$113&lt;$B141+$E141),$I141/($E141-$D141),0)))</f>
        <v>0</v>
      </c>
      <c r="R141" s="9">
        <f>IF(OR($C141="Annual",$D141=$E141),IF(AND($D141=$E141,R$113=$B141+$D141),$I141,IF(AND(R$113&gt;$B141+$D141,R$113&lt;=$B141+$E141), $I141/($E141-$D141),0)), IF(OR(R$113=$B141+$D141,R$113=$B141+$E141),$I141/(($E141-$D141)*2),IF(AND(R$113&gt;$B141+$D141,R$113&lt;$B141+$E141),$I141/($E141-$D141),0)))</f>
        <v>0</v>
      </c>
      <c r="S141" s="9">
        <f>IF(OR($C141="Annual",$D141=$E141),IF(AND($D141=$E141,S$113=$B141+$D141),$I141,IF(AND(S$113&gt;$B141+$D141,S$113&lt;=$B141+$E141), $I141/($E141-$D141),0)), IF(OR(S$113=$B141+$D141,S$113=$B141+$E141),$I141/(($E141-$D141)*2),IF(AND(S$113&gt;$B141+$D141,S$113&lt;$B141+$E141),$I141/($E141-$D141),0)))</f>
        <v>0</v>
      </c>
      <c r="T141" s="9">
        <f>IF(OR($C141="Annual",$D141=$E141),IF(AND($D141=$E141,T$113=$B141+$D141),$I141,IF(AND(T$113&gt;$B141+$D141,T$113&lt;=$B141+$E141), $I141/($E141-$D141),0)), IF(OR(T$113=$B141+$D141,T$113=$B141+$E141),$I141/(($E141-$D141)*2),IF(AND(T$113&gt;$B141+$D141,T$113&lt;$B141+$E141),$I141/($E141-$D141),0)))</f>
        <v>0</v>
      </c>
      <c r="U141" s="9"/>
      <c r="V141" s="9"/>
      <c r="W141" s="9">
        <f t="shared" si="30"/>
        <v>0</v>
      </c>
      <c r="X141" s="9">
        <f t="shared" ca="1" si="30"/>
        <v>0.96009375000000008</v>
      </c>
      <c r="Y141" s="9">
        <f t="shared" ca="1" si="30"/>
        <v>0.48004687500000004</v>
      </c>
      <c r="Z141" s="9">
        <f t="shared" ca="1" si="30"/>
        <v>0</v>
      </c>
      <c r="AA141" s="9">
        <f t="shared" ca="1" si="30"/>
        <v>0</v>
      </c>
    </row>
    <row r="142" spans="1:27">
      <c r="A142" s="8" t="str">
        <f>A141</f>
        <v>Type 1</v>
      </c>
      <c r="B142" s="7">
        <f>B141+1</f>
        <v>2020</v>
      </c>
      <c r="C142" s="7" t="str">
        <f>C141</f>
        <v>Annual</v>
      </c>
      <c r="D142" s="7">
        <f t="shared" ref="D142:E145" si="31">D141</f>
        <v>5</v>
      </c>
      <c r="E142" s="7">
        <f t="shared" si="31"/>
        <v>5</v>
      </c>
      <c r="F142" s="14">
        <f>$N$81</f>
        <v>0.01</v>
      </c>
      <c r="H142" s="9"/>
      <c r="I142" s="9"/>
      <c r="J142" s="9">
        <f ca="1">$D$81</f>
        <v>40</v>
      </c>
      <c r="K142" s="9">
        <f ca="1">J142-R142</f>
        <v>20</v>
      </c>
      <c r="L142" s="9">
        <f ca="1">K142-S142</f>
        <v>0</v>
      </c>
      <c r="M142" s="9">
        <f ca="1">L142-T142</f>
        <v>0</v>
      </c>
      <c r="N142" s="9"/>
      <c r="O142" s="9"/>
      <c r="P142" s="9"/>
      <c r="Q142" s="9">
        <f>IF(OR($C142="Annual",$D142=$E142),IF(AND($D142=$E142,Q$113=$B142+$D142),$J142,IF(AND(Q$113&gt;$B142+$D142,Q$113&lt;=$B142+$E142), $J142/($E142-$D142),0)), IF(OR(Q$113=$B142+$D142,Q$113=$B142+$E142),$J142/(($E142-$D142)*2),IF(AND(Q$113&gt;$B142+$D142,Q$113&lt;$B142+$E142),$J142/($E142-$D142),0)))</f>
        <v>0</v>
      </c>
      <c r="R142" s="9">
        <f>IF(OR($C142="Annual",$D142=$E142),IF(AND($D142=$E142,R$113=$B142+$D142),$J142,IF(AND(R$113&gt;$B142+$D142,R$113&lt;=$B142+$E142), $J142/($E142-$D142),0)), IF(OR(R$113=$B142+$D142,R$113=$B142+$E142),$J142/(($E142-$D142)*2),IF(AND(R$113&gt;$B142+$D142,R$113&lt;$B142+$E142),$J142/($E142-$D142),0)))</f>
        <v>0</v>
      </c>
      <c r="S142" s="9">
        <f>IF(OR($C142="Annual",$D142=$E142),IF(AND($D142=$E142,S$113=$B142+$D142),$J142,IF(AND(S$113&gt;$B142+$D142,S$113&lt;=$B142+$E142), $J142/($E142-$D142),0)), IF(OR(S$113=$B142+$D142,S$113=$B142+$E142),$J142/(($E142-$D142)*2),IF(AND(S$113&gt;$B142+$D142,S$113&lt;$B142+$E142),$J142/($E142-$D142),0)))</f>
        <v>0</v>
      </c>
      <c r="T142" s="9">
        <f>IF(OR($C142="Annual",$D142=$E142),IF(AND($D142=$E142,T$113=$B142+$D142),$J142,IF(AND(T$113&gt;$B142+$D142,T$113&lt;=$B142+$E142), $J142/($E142-$D142),0)), IF(OR(T$113=$B142+$D142,T$113=$B142+$E142),$J142/(($E142-$D142)*2),IF(AND(T$113&gt;$B142+$D142,T$113&lt;$B142+$E142),$J142/($E142-$D142),0)))</f>
        <v>0</v>
      </c>
      <c r="U142" s="9"/>
      <c r="V142" s="9"/>
      <c r="W142" s="9"/>
      <c r="X142" s="9">
        <f t="shared" si="30"/>
        <v>0</v>
      </c>
      <c r="Y142" s="9">
        <f t="shared" ca="1" si="30"/>
        <v>1.2164999999999979</v>
      </c>
      <c r="Z142" s="9">
        <f t="shared" ca="1" si="30"/>
        <v>0.60824999999999896</v>
      </c>
      <c r="AA142" s="9">
        <f t="shared" ca="1" si="30"/>
        <v>0</v>
      </c>
    </row>
    <row r="143" spans="1:27">
      <c r="A143" s="8" t="str">
        <f>A142</f>
        <v>Type 1</v>
      </c>
      <c r="B143" s="7">
        <f>B142+1</f>
        <v>2021</v>
      </c>
      <c r="C143" s="7" t="str">
        <f>C142</f>
        <v>Annual</v>
      </c>
      <c r="D143" s="7">
        <f t="shared" si="31"/>
        <v>5</v>
      </c>
      <c r="E143" s="7">
        <f t="shared" si="31"/>
        <v>5</v>
      </c>
      <c r="F143" s="14">
        <f>$O$81</f>
        <v>0.01</v>
      </c>
      <c r="H143" s="9"/>
      <c r="I143" s="9"/>
      <c r="J143" s="9"/>
      <c r="K143" s="9">
        <f ca="1">$E$81</f>
        <v>35</v>
      </c>
      <c r="L143" s="9">
        <f ca="1">K143-S143</f>
        <v>17.5</v>
      </c>
      <c r="M143" s="9">
        <f ca="1">L143-T143</f>
        <v>0</v>
      </c>
      <c r="N143" s="9"/>
      <c r="O143" s="9"/>
      <c r="P143" s="9"/>
      <c r="Q143" s="9"/>
      <c r="R143" s="9">
        <f>IF(OR($C143="Annual",$D143=$E143),IF(AND($D143=$E143,R$113=$B143+$D143),$K143,IF(AND(R$113&gt;$B143+$D143,R$113&lt;=$B143+$E143), $K143/($E143-$D143),0)), IF(OR(R$113=$B143+$D143,R$113=$B143+$E143),$K143/(($E143-$D143)*2),IF(AND(R$113&gt;$B143+$D143,R$113&lt;$B143+$E143),$K143/($E143-$D143),0)))</f>
        <v>0</v>
      </c>
      <c r="S143" s="9">
        <f>IF(OR($C143="Annual",$D143=$E143),IF(AND($D143=$E143,S$113=$B143+$D143),$K143,IF(AND(S$113&gt;$B143+$D143,S$113&lt;=$B143+$E143), $K143/($E143-$D143),0)), IF(OR(S$113=$B143+$D143,S$113=$B143+$E143),$K143/(($E143-$D143)*2),IF(AND(S$113&gt;$B143+$D143,S$113&lt;$B143+$E143),$K143/($E143-$D143),0)))</f>
        <v>0</v>
      </c>
      <c r="T143" s="9">
        <f>IF(OR($C143="Annual",$D143=$E143),IF(AND($D143=$E143,T$113=$B143+$D143),$K143,IF(AND(T$113&gt;$B143+$D143,T$113&lt;=$B143+$E143), $K143/($E143-$D143),0)), IF(OR(T$113=$B143+$D143,T$113=$B143+$E143),$K143/(($E143-$D143)*2),IF(AND(T$113&gt;$B143+$D143,T$113&lt;$B143+$E143),$K143/($E143-$D143),0)))</f>
        <v>0</v>
      </c>
      <c r="U143" s="9"/>
      <c r="V143" s="9"/>
      <c r="W143" s="9"/>
      <c r="X143" s="9"/>
      <c r="Y143" s="9">
        <f t="shared" si="30"/>
        <v>0</v>
      </c>
      <c r="Z143" s="9">
        <f t="shared" ca="1" si="30"/>
        <v>1.1514999999999982</v>
      </c>
      <c r="AA143" s="9">
        <f t="shared" ca="1" si="30"/>
        <v>0.5757499999999991</v>
      </c>
    </row>
    <row r="144" spans="1:27">
      <c r="A144" s="8" t="str">
        <f>A143</f>
        <v>Type 1</v>
      </c>
      <c r="B144" s="7">
        <f>B143+1</f>
        <v>2022</v>
      </c>
      <c r="C144" s="7" t="str">
        <f>C143</f>
        <v>Annual</v>
      </c>
      <c r="D144" s="7">
        <f t="shared" si="31"/>
        <v>5</v>
      </c>
      <c r="E144" s="7">
        <f t="shared" si="31"/>
        <v>5</v>
      </c>
      <c r="F144" s="14">
        <f>$P$81</f>
        <v>0.01</v>
      </c>
      <c r="H144" s="9"/>
      <c r="I144" s="9"/>
      <c r="J144" s="9"/>
      <c r="K144" s="9"/>
      <c r="L144" s="9">
        <f ca="1">$F$81</f>
        <v>40</v>
      </c>
      <c r="M144" s="9">
        <f ca="1">L144-T144</f>
        <v>20</v>
      </c>
      <c r="N144" s="9"/>
      <c r="O144" s="9"/>
      <c r="P144" s="9"/>
      <c r="Q144" s="9"/>
      <c r="R144" s="9"/>
      <c r="S144" s="9">
        <f>IF(OR($C144="Annual",$D144=$E144),IF(AND($D144=$E144,S$113=$B144+$D144),$L144,IF(AND(S$113&gt;$B144+$D144,S$113&lt;=$B144+$E144), $L144/($E144-$D144),0)), IF(OR(S$113=$B144+$D144,S$113=$B144+$E144),$L144/(($E144-$D144)*2),IF(AND(S$113&gt;$B144+$D144,S$113&lt;$B144+$E144),$L144/($E144-$D144),0)))</f>
        <v>0</v>
      </c>
      <c r="T144" s="9">
        <f>IF(OR($C144="Annual",$D144=$E144),IF(AND($D144=$E144,T$113=$B144+$D144),$L144,IF(AND(T$113&gt;$B144+$D144,T$113&lt;=$B144+$E144), $L144/($E144-$D144),0)), IF(OR(T$113=$B144+$D144,T$113=$B144+$E144),$L144/(($E144-$D144)*2),IF(AND(T$113&gt;$B144+$D144,T$113&lt;$B144+$E144),$L144/($E144-$D144),0)))</f>
        <v>0</v>
      </c>
      <c r="U144" s="9"/>
      <c r="V144" s="9"/>
      <c r="W144" s="9"/>
      <c r="X144" s="9"/>
      <c r="Y144" s="9"/>
      <c r="Z144" s="9">
        <f t="shared" si="30"/>
        <v>0</v>
      </c>
      <c r="AA144" s="9">
        <f t="shared" ca="1" si="30"/>
        <v>1.4002499999999998</v>
      </c>
    </row>
    <row r="145" spans="1:27">
      <c r="A145" s="8" t="str">
        <f>A144</f>
        <v>Type 1</v>
      </c>
      <c r="B145" s="7">
        <f>B144+1</f>
        <v>2023</v>
      </c>
      <c r="C145" s="7" t="str">
        <f>C144</f>
        <v>Annual</v>
      </c>
      <c r="D145" s="7">
        <f t="shared" si="31"/>
        <v>5</v>
      </c>
      <c r="E145" s="7">
        <f t="shared" si="31"/>
        <v>5</v>
      </c>
      <c r="F145" s="14">
        <f>$Q$81</f>
        <v>0.01</v>
      </c>
      <c r="H145" s="9"/>
      <c r="I145" s="9"/>
      <c r="J145" s="9"/>
      <c r="K145" s="9"/>
      <c r="L145" s="9"/>
      <c r="M145" s="9">
        <f ca="1">$G$81</f>
        <v>30.5</v>
      </c>
      <c r="N145" s="9"/>
      <c r="O145" s="9"/>
      <c r="P145" s="9"/>
      <c r="Q145" s="9"/>
      <c r="R145" s="9"/>
      <c r="S145" s="9"/>
      <c r="T145" s="9">
        <f>IF(OR($C145="Annual",$D145=$E145),IF(AND($D145=$E145,T$113=$B145+$D145),$M145,IF(AND(T$113&gt;$B145+$D145,T$113&lt;=$B145+$E145), $M145/($E145-$D145),0)), IF(OR(T$113=$B145+$D145,T$113=$B145+$E145),$M145/(($E145-$D145)*2),IF(AND(T$113&gt;$B145+$D145,T$113&lt;$B145+$E145),$M145/($E145-$D145),0)))</f>
        <v>0</v>
      </c>
      <c r="U145" s="9"/>
      <c r="V145" s="9"/>
      <c r="W145" s="9"/>
      <c r="X145" s="9"/>
      <c r="Y145" s="9"/>
      <c r="Z145" s="9"/>
      <c r="AA145" s="9">
        <f t="shared" si="30"/>
        <v>0</v>
      </c>
    </row>
    <row r="146" spans="1:27">
      <c r="C146" s="281"/>
      <c r="F146" s="15"/>
      <c r="H146" s="10"/>
      <c r="I146" s="10"/>
      <c r="J146" s="10"/>
      <c r="K146" s="10"/>
      <c r="L146" s="10"/>
      <c r="M146" s="10"/>
      <c r="N146" s="10"/>
      <c r="O146" s="278"/>
      <c r="P146" s="10"/>
      <c r="Q146" s="10"/>
      <c r="R146" s="10"/>
      <c r="S146" s="10"/>
      <c r="T146" s="10"/>
      <c r="U146" s="10"/>
      <c r="V146" s="10"/>
      <c r="W146" s="10"/>
      <c r="X146" s="10"/>
      <c r="Y146" s="10"/>
      <c r="Z146" s="10"/>
      <c r="AA146" s="10"/>
    </row>
    <row r="147" spans="1:27">
      <c r="A147" s="8" t="str">
        <f>'Input 4 - Forecast'!A61</f>
        <v>Type 2</v>
      </c>
      <c r="B147" s="7">
        <f>B121</f>
        <v>2018</v>
      </c>
      <c r="C147" s="7" t="str">
        <f>$I82</f>
        <v>Annual</v>
      </c>
      <c r="D147" s="7">
        <f>$J82</f>
        <v>0</v>
      </c>
      <c r="E147" s="7">
        <f>$K82</f>
        <v>0</v>
      </c>
      <c r="F147" s="14">
        <f>$L$82</f>
        <v>0</v>
      </c>
      <c r="H147" s="9">
        <f>$B$82</f>
        <v>0</v>
      </c>
      <c r="I147" s="9">
        <f>H147-P147</f>
        <v>0</v>
      </c>
      <c r="J147" s="9">
        <f>I147-Q147</f>
        <v>0</v>
      </c>
      <c r="K147" s="9">
        <f>J147-R147</f>
        <v>0</v>
      </c>
      <c r="L147" s="9">
        <f>K147-S147</f>
        <v>0</v>
      </c>
      <c r="M147" s="9">
        <f>L147-T147</f>
        <v>0</v>
      </c>
      <c r="N147" s="9"/>
      <c r="O147" s="9">
        <f t="shared" ref="O147:T147" si="32">IF(OR($C147="Annual",$D147=$E147),IF(AND($D147=$E147,O$113=$B147+$D147),$H147,IF(AND(O$113&gt;$B147+$D147,O$113&lt;=$B147+$E147), $H147/($E147-$D147),0)), IF(OR(O$113=$B147+$D147,O$113=$B147+$E147),$H147/(($E147-$D147)*2),IF(AND(O$113&gt;$B147+$D147,O$113&lt;$B147+$E147),$H147/($E147-$D147),0)))</f>
        <v>0</v>
      </c>
      <c r="P147" s="9">
        <f t="shared" si="32"/>
        <v>0</v>
      </c>
      <c r="Q147" s="9">
        <f t="shared" si="32"/>
        <v>0</v>
      </c>
      <c r="R147" s="9">
        <f t="shared" si="32"/>
        <v>0</v>
      </c>
      <c r="S147" s="9">
        <f t="shared" si="32"/>
        <v>0</v>
      </c>
      <c r="T147" s="9">
        <f t="shared" si="32"/>
        <v>0</v>
      </c>
      <c r="U147" s="9"/>
      <c r="V147" s="9">
        <f>IF($C147="annual",IF(V$113=$B147,0,G147*$F147),IF(V$113-$B147=0,0,IF((V$113-$B147)&lt;$E147,AVERAGE(G147,H147)*$F147,IF((V$113-$B147)=$E147,G147*$F147/2,0))))</f>
        <v>0</v>
      </c>
      <c r="W147" s="9">
        <f t="shared" ref="W147:AA152" si="33">IF($C147="annual",IF(W$113=$B147,0,H147*$F147),IF(W$113-$B147=0,0,IF((W$113-$B147)&lt;$E147,AVERAGE(H147,I147)*$F147,IF((W$113-$B147)=$E147,H147*$F147/2,0))))</f>
        <v>0</v>
      </c>
      <c r="X147" s="9">
        <f t="shared" si="33"/>
        <v>0</v>
      </c>
      <c r="Y147" s="9">
        <f t="shared" si="33"/>
        <v>0</v>
      </c>
      <c r="Z147" s="9">
        <f t="shared" si="33"/>
        <v>0</v>
      </c>
      <c r="AA147" s="9">
        <f t="shared" si="33"/>
        <v>0</v>
      </c>
    </row>
    <row r="148" spans="1:27">
      <c r="A148" s="8" t="str">
        <f>A147</f>
        <v>Type 2</v>
      </c>
      <c r="B148" s="7">
        <f>B147+1</f>
        <v>2019</v>
      </c>
      <c r="C148" s="7" t="str">
        <f>C147</f>
        <v>Annual</v>
      </c>
      <c r="D148" s="7">
        <f t="shared" ref="D148:E152" si="34">D147</f>
        <v>0</v>
      </c>
      <c r="E148" s="7">
        <f t="shared" si="34"/>
        <v>0</v>
      </c>
      <c r="F148" s="14">
        <f>$M$82</f>
        <v>0</v>
      </c>
      <c r="H148" s="9"/>
      <c r="I148" s="9">
        <f ca="1">$C$82</f>
        <v>45</v>
      </c>
      <c r="J148" s="9">
        <f ca="1">I148-Q148</f>
        <v>30</v>
      </c>
      <c r="K148" s="9">
        <f ca="1">J148-R148</f>
        <v>15</v>
      </c>
      <c r="L148" s="9">
        <f ca="1">K148-S148</f>
        <v>0</v>
      </c>
      <c r="M148" s="9">
        <f ca="1">L148-T148</f>
        <v>0</v>
      </c>
      <c r="N148" s="9"/>
      <c r="O148" s="9"/>
      <c r="P148" s="9">
        <f ca="1">IF(OR($C148="Annual",$D148=$E148),IF(AND($D148=$E148,P$113=$B148+$D148),$I148,IF(AND(P$113&gt;$B148+$D148,P$113&lt;=$B148+$E148), $I148/($E148-$D148),0)), IF(OR(P$113=$B148+$D148,P$113=$B148+$E148),$I148/(($E148-$D148)*2),IF(AND(P$113&gt;$B148+$D148,P$113&lt;$B148+$E148),$I148/($E148-$D148),0)))</f>
        <v>0</v>
      </c>
      <c r="Q148" s="9">
        <f>IF(OR($C148="Annual",$D148=$E148),IF(AND($D148=$E148,Q$113=$B148+$D148),$I148,IF(AND(Q$113&gt;$B148+$D148,Q$113&lt;=$B148+$E148), $I148/($E148-$D148),0)), IF(OR(Q$113=$B148+$D148,Q$113=$B148+$E148),$I148/(($E148-$D148)*2),IF(AND(Q$113&gt;$B148+$D148,Q$113&lt;$B148+$E148),$I148/($E148-$D148),0)))</f>
        <v>0</v>
      </c>
      <c r="R148" s="9">
        <f>IF(OR($C148="Annual",$D148=$E148),IF(AND($D148=$E148,R$113=$B148+$D148),$I148,IF(AND(R$113&gt;$B148+$D148,R$113&lt;=$B148+$E148), $I148/($E148-$D148),0)), IF(OR(R$113=$B148+$D148,R$113=$B148+$E148),$I148/(($E148-$D148)*2),IF(AND(R$113&gt;$B148+$D148,R$113&lt;$B148+$E148),$I148/($E148-$D148),0)))</f>
        <v>0</v>
      </c>
      <c r="S148" s="9">
        <f>IF(OR($C148="Annual",$D148=$E148),IF(AND($D148=$E148,S$113=$B148+$D148),$I148,IF(AND(S$113&gt;$B148+$D148,S$113&lt;=$B148+$E148), $I148/($E148-$D148),0)), IF(OR(S$113=$B148+$D148,S$113=$B148+$E148),$I148/(($E148-$D148)*2),IF(AND(S$113&gt;$B148+$D148,S$113&lt;$B148+$E148),$I148/($E148-$D148),0)))</f>
        <v>0</v>
      </c>
      <c r="T148" s="9">
        <f>IF(OR($C148="Annual",$D148=$E148),IF(AND($D148=$E148,T$113=$B148+$D148),$I148,IF(AND(T$113&gt;$B148+$D148,T$113&lt;=$B148+$E148), $I148/($E148-$D148),0)), IF(OR(T$113=$B148+$D148,T$113=$B148+$E148),$I148/(($E148-$D148)*2),IF(AND(T$113&gt;$B148+$D148,T$113&lt;$B148+$E148),$I148/($E148-$D148),0)))</f>
        <v>0</v>
      </c>
      <c r="U148" s="9"/>
      <c r="V148" s="9"/>
      <c r="W148" s="9">
        <f t="shared" si="33"/>
        <v>0</v>
      </c>
      <c r="X148" s="9">
        <f t="shared" ca="1" si="33"/>
        <v>1.2344062499999999</v>
      </c>
      <c r="Y148" s="9">
        <f t="shared" ca="1" si="33"/>
        <v>0.82293749999999999</v>
      </c>
      <c r="Z148" s="9">
        <f t="shared" ca="1" si="33"/>
        <v>0.41146874999999999</v>
      </c>
      <c r="AA148" s="9">
        <f t="shared" ca="1" si="33"/>
        <v>0</v>
      </c>
    </row>
    <row r="149" spans="1:27">
      <c r="A149" s="8" t="str">
        <f>A148</f>
        <v>Type 2</v>
      </c>
      <c r="B149" s="7">
        <f>B148+1</f>
        <v>2020</v>
      </c>
      <c r="C149" s="7" t="str">
        <f>C148</f>
        <v>Annual</v>
      </c>
      <c r="D149" s="7">
        <f t="shared" si="34"/>
        <v>0</v>
      </c>
      <c r="E149" s="7">
        <f t="shared" si="34"/>
        <v>0</v>
      </c>
      <c r="F149" s="14">
        <f>$N$82</f>
        <v>0</v>
      </c>
      <c r="H149" s="9"/>
      <c r="I149" s="9"/>
      <c r="J149" s="9">
        <f ca="1">$D$82</f>
        <v>48</v>
      </c>
      <c r="K149" s="9">
        <f ca="1">J149-R149</f>
        <v>32</v>
      </c>
      <c r="L149" s="9">
        <f ca="1">K149-S149</f>
        <v>16</v>
      </c>
      <c r="M149" s="9">
        <f ca="1">L149-T149</f>
        <v>0</v>
      </c>
      <c r="N149" s="9"/>
      <c r="O149" s="9"/>
      <c r="P149" s="9"/>
      <c r="Q149" s="9">
        <f ca="1">IF(OR($C149="Annual",$D149=$E149),IF(AND($D149=$E149,Q$113=$B149+$D149),$J149,IF(AND(Q$113&gt;$B149+$D149,Q$113&lt;=$B149+$E149), $J149/($E149-$D149),0)), IF(OR(Q$113=$B149+$D149,Q$113=$B149+$E149),$J149/(($E149-$D149)*2),IF(AND(Q$113&gt;$B149+$D149,Q$113&lt;$B149+$E149),$J149/($E149-$D149),0)))</f>
        <v>0</v>
      </c>
      <c r="R149" s="9">
        <f>IF(OR($C149="Annual",$D149=$E149),IF(AND($D149=$E149,R$113=$B149+$D149),$J149,IF(AND(R$113&gt;$B149+$D149,R$113&lt;=$B149+$E149), $J149/($E149-$D149),0)), IF(OR(R$113=$B149+$D149,R$113=$B149+$E149),$J149/(($E149-$D149)*2),IF(AND(R$113&gt;$B149+$D149,R$113&lt;$B149+$E149),$J149/($E149-$D149),0)))</f>
        <v>0</v>
      </c>
      <c r="S149" s="9">
        <f>IF(OR($C149="Annual",$D149=$E149),IF(AND($D149=$E149,S$113=$B149+$D149),$J149,IF(AND(S$113&gt;$B149+$D149,S$113&lt;=$B149+$E149), $J149/($E149-$D149),0)), IF(OR(S$113=$B149+$D149,S$113=$B149+$E149),$J149/(($E149-$D149)*2),IF(AND(S$113&gt;$B149+$D149,S$113&lt;$B149+$E149),$J149/($E149-$D149),0)))</f>
        <v>0</v>
      </c>
      <c r="T149" s="9">
        <f>IF(OR($C149="Annual",$D149=$E149),IF(AND($D149=$E149,T$113=$B149+$D149),$J149,IF(AND(T$113&gt;$B149+$D149,T$113&lt;=$B149+$E149), $J149/($E149-$D149),0)), IF(OR(T$113=$B149+$D149,T$113=$B149+$E149),$J149/(($E149-$D149)*2),IF(AND(T$113&gt;$B149+$D149,T$113&lt;$B149+$E149),$J149/($E149-$D149),0)))</f>
        <v>0</v>
      </c>
      <c r="U149" s="9"/>
      <c r="V149" s="9"/>
      <c r="W149" s="9"/>
      <c r="X149" s="9">
        <f t="shared" si="33"/>
        <v>0</v>
      </c>
      <c r="Y149" s="9">
        <f t="shared" ca="1" si="33"/>
        <v>1.4597999999999975</v>
      </c>
      <c r="Z149" s="9">
        <f t="shared" ca="1" si="33"/>
        <v>0.9731999999999984</v>
      </c>
      <c r="AA149" s="9">
        <f t="shared" ca="1" si="33"/>
        <v>0.4865999999999992</v>
      </c>
    </row>
    <row r="150" spans="1:27">
      <c r="A150" s="8" t="str">
        <f>A149</f>
        <v>Type 2</v>
      </c>
      <c r="B150" s="7">
        <f>B149+1</f>
        <v>2021</v>
      </c>
      <c r="C150" s="7" t="str">
        <f>C149</f>
        <v>Annual</v>
      </c>
      <c r="D150" s="7">
        <f t="shared" si="34"/>
        <v>0</v>
      </c>
      <c r="E150" s="7">
        <f t="shared" si="34"/>
        <v>0</v>
      </c>
      <c r="F150" s="14">
        <f>$O$82</f>
        <v>0</v>
      </c>
      <c r="H150" s="9"/>
      <c r="I150" s="9"/>
      <c r="J150" s="9"/>
      <c r="K150" s="9">
        <f ca="1">$E$82</f>
        <v>40</v>
      </c>
      <c r="L150" s="9">
        <f ca="1">K150-S150</f>
        <v>26.666666666666664</v>
      </c>
      <c r="M150" s="9">
        <f ca="1">L150-T150</f>
        <v>13.33333333333333</v>
      </c>
      <c r="N150" s="9"/>
      <c r="O150" s="9"/>
      <c r="P150" s="9"/>
      <c r="Q150" s="9"/>
      <c r="R150" s="9">
        <f ca="1">IF(OR($C150="Annual",$D150=$E150),IF(AND($D150=$E150,R$113=$B150+$D150),$K150,IF(AND(R$113&gt;$B150+$D150,R$113&lt;=$B150+$E150), $K150/($E150-$D150),0)), IF(OR(R$113=$B150+$D150,R$113=$B150+$E150),$K150/(($E150-$D150)*2),IF(AND(R$113&gt;$B150+$D150,R$113&lt;$B150+$E150),$K150/($E150-$D150),0)))</f>
        <v>0</v>
      </c>
      <c r="S150" s="9">
        <f>IF(OR($C150="Annual",$D150=$E150),IF(AND($D150=$E150,S$113=$B150+$D150),$K150,IF(AND(S$113&gt;$B150+$D150,S$113&lt;=$B150+$E150), $K150/($E150-$D150),0)), IF(OR(S$113=$B150+$D150,S$113=$B150+$E150),$K150/(($E150-$D150)*2),IF(AND(S$113&gt;$B150+$D150,S$113&lt;$B150+$E150),$K150/($E150-$D150),0)))</f>
        <v>0</v>
      </c>
      <c r="T150" s="9">
        <f>IF(OR($C150="Annual",$D150=$E150),IF(AND($D150=$E150,T$113=$B150+$D150),$K150,IF(AND(T$113&gt;$B150+$D150,T$113&lt;=$B150+$E150), $K150/($E150-$D150),0)), IF(OR(T$113=$B150+$D150,T$113=$B150+$E150),$K150/(($E150-$D150)*2),IF(AND(T$113&gt;$B150+$D150,T$113&lt;$B150+$E150),$K150/($E150-$D150),0)))</f>
        <v>0</v>
      </c>
      <c r="U150" s="9"/>
      <c r="V150" s="9"/>
      <c r="W150" s="9"/>
      <c r="X150" s="9"/>
      <c r="Y150" s="9">
        <f t="shared" si="33"/>
        <v>0</v>
      </c>
      <c r="Z150" s="9">
        <f t="shared" ca="1" si="33"/>
        <v>1.3159999999999981</v>
      </c>
      <c r="AA150" s="9">
        <f t="shared" ca="1" si="33"/>
        <v>0.87733333333333197</v>
      </c>
    </row>
    <row r="151" spans="1:27">
      <c r="A151" s="8" t="str">
        <f>A150</f>
        <v>Type 2</v>
      </c>
      <c r="B151" s="7">
        <f>B150+1</f>
        <v>2022</v>
      </c>
      <c r="C151" s="7" t="str">
        <f>C150</f>
        <v>Annual</v>
      </c>
      <c r="D151" s="7">
        <f t="shared" si="34"/>
        <v>0</v>
      </c>
      <c r="E151" s="7">
        <f t="shared" si="34"/>
        <v>0</v>
      </c>
      <c r="F151" s="14">
        <f>$P$82</f>
        <v>0</v>
      </c>
      <c r="H151" s="9"/>
      <c r="I151" s="9"/>
      <c r="J151" s="9"/>
      <c r="K151" s="9"/>
      <c r="L151" s="9">
        <f ca="1">$F$82</f>
        <v>45</v>
      </c>
      <c r="M151" s="9">
        <f ca="1">L151-T151</f>
        <v>30</v>
      </c>
      <c r="N151" s="9"/>
      <c r="O151" s="9"/>
      <c r="P151" s="9"/>
      <c r="Q151" s="9"/>
      <c r="R151" s="9"/>
      <c r="S151" s="9">
        <f ca="1">IF(OR($C151="Annual",$D151=$E151),IF(AND($D151=$E151,S$113=$B151+$D151),$L151,IF(AND(S$113&gt;$B151+$D151,S$113&lt;=$B151+$E151), $L151/($E151-$D151),0)), IF(OR(S$113=$B151+$D151,S$113=$B151+$E151),$L151/(($E151-$D151)*2),IF(AND(S$113&gt;$B151+$D151,S$113&lt;$B151+$E151),$L151/($E151-$D151),0)))</f>
        <v>0</v>
      </c>
      <c r="T151" s="9">
        <f>IF(OR($C151="Annual",$D151=$E151),IF(AND($D151=$E151,T$113=$B151+$D151),$L151,IF(AND(T$113&gt;$B151+$D151,T$113&lt;=$B151+$E151), $L151/($E151-$D151),0)), IF(OR(T$113=$B151+$D151,T$113=$B151+$E151),$L151/(($E151-$D151)*2),IF(AND(T$113&gt;$B151+$D151,T$113&lt;$B151+$E151),$L151/($E151-$D151),0)))</f>
        <v>0</v>
      </c>
      <c r="U151" s="9"/>
      <c r="V151" s="9"/>
      <c r="W151" s="9"/>
      <c r="X151" s="9"/>
      <c r="Y151" s="9"/>
      <c r="Z151" s="9">
        <f t="shared" si="33"/>
        <v>0</v>
      </c>
      <c r="AA151" s="9">
        <f t="shared" ca="1" si="33"/>
        <v>1.5752812499999997</v>
      </c>
    </row>
    <row r="152" spans="1:27">
      <c r="A152" s="8" t="str">
        <f>A151</f>
        <v>Type 2</v>
      </c>
      <c r="B152" s="7">
        <f>B151+1</f>
        <v>2023</v>
      </c>
      <c r="C152" s="7" t="str">
        <f>C151</f>
        <v>Annual</v>
      </c>
      <c r="D152" s="7">
        <f t="shared" si="34"/>
        <v>0</v>
      </c>
      <c r="E152" s="7">
        <f t="shared" si="34"/>
        <v>0</v>
      </c>
      <c r="F152" s="14">
        <f>$Q$82</f>
        <v>0</v>
      </c>
      <c r="H152" s="9"/>
      <c r="I152" s="9"/>
      <c r="J152" s="9"/>
      <c r="K152" s="9"/>
      <c r="L152" s="9"/>
      <c r="M152" s="9">
        <f ca="1">$G$82</f>
        <v>38.319187942158827</v>
      </c>
      <c r="N152" s="9"/>
      <c r="O152" s="9"/>
      <c r="P152" s="9"/>
      <c r="Q152" s="9"/>
      <c r="R152" s="9"/>
      <c r="S152" s="9"/>
      <c r="T152" s="9">
        <f ca="1">IF(OR($C152="Annual",$D152=$E152),IF(AND($D152=$E152,T$113=$B152+$D152),$M152,IF(AND(T$113&gt;$B152+$D152,T$113&lt;=$B152+$E152), $M152/($E152-$D152),0)), IF(OR(T$113=$B152+$D152,T$113=$B152+$E152),$M152/(($E152-$D152)*2),IF(AND(T$113&gt;$B152+$D152,T$113&lt;$B152+$E152),$M152/($E152-$D152),0)))</f>
        <v>0</v>
      </c>
      <c r="U152" s="9"/>
      <c r="V152" s="9"/>
      <c r="W152" s="9"/>
      <c r="X152" s="9"/>
      <c r="Y152" s="9"/>
      <c r="Z152" s="9"/>
      <c r="AA152" s="9">
        <f t="shared" si="33"/>
        <v>0</v>
      </c>
    </row>
    <row r="153" spans="1:27">
      <c r="C153" s="281"/>
      <c r="F153" s="15"/>
      <c r="H153" s="10"/>
      <c r="I153" s="10"/>
      <c r="J153" s="10"/>
      <c r="K153" s="10"/>
      <c r="L153" s="10"/>
      <c r="M153" s="10"/>
      <c r="N153" s="10"/>
      <c r="O153" s="278"/>
      <c r="P153" s="10"/>
      <c r="Q153" s="10"/>
      <c r="R153" s="10"/>
      <c r="S153" s="10"/>
      <c r="T153" s="10"/>
      <c r="U153" s="10"/>
      <c r="V153" s="10"/>
      <c r="W153" s="10"/>
      <c r="X153" s="10"/>
      <c r="Y153" s="10"/>
      <c r="Z153" s="10"/>
      <c r="AA153" s="10"/>
    </row>
    <row r="154" spans="1:27">
      <c r="A154" s="8" t="str">
        <f>'Input 4 - Forecast'!A62</f>
        <v>Type 3</v>
      </c>
      <c r="B154" s="7">
        <f>B121</f>
        <v>2018</v>
      </c>
      <c r="C154" s="7" t="str">
        <f>$I83</f>
        <v>Annual</v>
      </c>
      <c r="D154" s="7">
        <f>$J83</f>
        <v>0</v>
      </c>
      <c r="E154" s="7">
        <f>$K83</f>
        <v>0</v>
      </c>
      <c r="F154" s="14">
        <f>$L$83</f>
        <v>0</v>
      </c>
      <c r="H154" s="9">
        <f>$B$83</f>
        <v>0</v>
      </c>
      <c r="I154" s="9">
        <f>H154-P154</f>
        <v>0</v>
      </c>
      <c r="J154" s="9">
        <f>I154-Q154</f>
        <v>0</v>
      </c>
      <c r="K154" s="9">
        <f>J154-R154</f>
        <v>0</v>
      </c>
      <c r="L154" s="9">
        <f>K154-S154</f>
        <v>0</v>
      </c>
      <c r="M154" s="9">
        <f>L154-T154</f>
        <v>0</v>
      </c>
      <c r="N154" s="9"/>
      <c r="O154" s="9">
        <f t="shared" ref="O154:T154" si="35">IF(OR($C154="Annual",$D154=$E154),IF(AND($D154=$E154,O$113=$B154+$D154),$H154,IF(AND(O$113&gt;$B154+$D154,O$113&lt;=$B154+$E154), $H154/($E154-$D154),0)), IF(OR(O$113=$B154+$D154,O$113=$B154+$E154),$H154/(($E154-$D154)*2),IF(AND(O$113&gt;$B154+$D154,O$113&lt;$B154+$E154),$H154/($E154-$D154),0)))</f>
        <v>0</v>
      </c>
      <c r="P154" s="9">
        <f t="shared" si="35"/>
        <v>0</v>
      </c>
      <c r="Q154" s="9">
        <f t="shared" si="35"/>
        <v>0</v>
      </c>
      <c r="R154" s="9">
        <f t="shared" si="35"/>
        <v>0</v>
      </c>
      <c r="S154" s="9">
        <f t="shared" si="35"/>
        <v>0</v>
      </c>
      <c r="T154" s="9">
        <f t="shared" si="35"/>
        <v>0</v>
      </c>
      <c r="U154" s="9"/>
      <c r="V154" s="9">
        <f>IF($C154="annual",IF(V$113=$B154,0,G154*$F154),IF(V$113-$B154=0,0,IF((V$113-$B154)&lt;$E154,AVERAGE(G154,H154)*$F154,IF((V$113-$B154)=$E154,G154*$F154/2,0))))</f>
        <v>0</v>
      </c>
      <c r="W154" s="9">
        <f t="shared" ref="W154:AA159" si="36">IF($C154="annual",IF(W$113=$B154,0,H154*$F154),IF(W$113-$B154=0,0,IF((W$113-$B154)&lt;$E154,AVERAGE(H154,I154)*$F154,IF((W$113-$B154)=$E154,H154*$F154/2,0))))</f>
        <v>0</v>
      </c>
      <c r="X154" s="9">
        <f t="shared" si="36"/>
        <v>0</v>
      </c>
      <c r="Y154" s="9">
        <f t="shared" si="36"/>
        <v>0</v>
      </c>
      <c r="Z154" s="9">
        <f t="shared" si="36"/>
        <v>0</v>
      </c>
      <c r="AA154" s="9">
        <f t="shared" si="36"/>
        <v>0</v>
      </c>
    </row>
    <row r="155" spans="1:27">
      <c r="A155" s="8" t="str">
        <f>A154</f>
        <v>Type 3</v>
      </c>
      <c r="B155" s="7">
        <f>B154+1</f>
        <v>2019</v>
      </c>
      <c r="C155" s="7" t="str">
        <f>C154</f>
        <v>Annual</v>
      </c>
      <c r="D155" s="7">
        <f t="shared" ref="D155:E159" si="37">D154</f>
        <v>0</v>
      </c>
      <c r="E155" s="7">
        <f t="shared" si="37"/>
        <v>0</v>
      </c>
      <c r="F155" s="14">
        <f>$M$83</f>
        <v>0</v>
      </c>
      <c r="H155" s="9"/>
      <c r="I155" s="9">
        <f ca="1">$C$83</f>
        <v>57.5</v>
      </c>
      <c r="J155" s="9">
        <f ca="1">I155-Q155</f>
        <v>46</v>
      </c>
      <c r="K155" s="9">
        <f ca="1">J155-R155</f>
        <v>34.5</v>
      </c>
      <c r="L155" s="9">
        <f ca="1">K155-S155</f>
        <v>23</v>
      </c>
      <c r="M155" s="9">
        <f ca="1">L155-T155</f>
        <v>11.5</v>
      </c>
      <c r="N155" s="9"/>
      <c r="O155" s="9"/>
      <c r="P155" s="9">
        <f ca="1">IF(OR($C155="Annual",$D155=$E155),IF(AND($D155=$E155,P$113=$B155+$D155),$I155,IF(AND(P$113&gt;$B155+$D155,P$113&lt;=$B155+$E155), $I155/($E155-$D155),0)), IF(OR(P$113=$B155+$D155,P$113=$B155+$E155),$I155/(($E155-$D155)*2),IF(AND(P$113&gt;$B155+$D155,P$113&lt;$B155+$E155),$I155/($E155-$D155),0)))</f>
        <v>0</v>
      </c>
      <c r="Q155" s="9">
        <f>IF(OR($C155="Annual",$D155=$E155),IF(AND($D155=$E155,Q$113=$B155+$D155),$I155,IF(AND(Q$113&gt;$B155+$D155,Q$113&lt;=$B155+$E155), $I155/($E155-$D155),0)), IF(OR(Q$113=$B155+$D155,Q$113=$B155+$E155),$I155/(($E155-$D155)*2),IF(AND(Q$113&gt;$B155+$D155,Q$113&lt;$B155+$E155),$I155/($E155-$D155),0)))</f>
        <v>0</v>
      </c>
      <c r="R155" s="9">
        <f>IF(OR($C155="Annual",$D155=$E155),IF(AND($D155=$E155,R$113=$B155+$D155),$I155,IF(AND(R$113&gt;$B155+$D155,R$113&lt;=$B155+$E155), $I155/($E155-$D155),0)), IF(OR(R$113=$B155+$D155,R$113=$B155+$E155),$I155/(($E155-$D155)*2),IF(AND(R$113&gt;$B155+$D155,R$113&lt;$B155+$E155),$I155/($E155-$D155),0)))</f>
        <v>0</v>
      </c>
      <c r="S155" s="9">
        <f>IF(OR($C155="Annual",$D155=$E155),IF(AND($D155=$E155,S$113=$B155+$D155),$I155,IF(AND(S$113&gt;$B155+$D155,S$113&lt;=$B155+$E155), $I155/($E155-$D155),0)), IF(OR(S$113=$B155+$D155,S$113=$B155+$E155),$I155/(($E155-$D155)*2),IF(AND(S$113&gt;$B155+$D155,S$113&lt;$B155+$E155),$I155/($E155-$D155),0)))</f>
        <v>0</v>
      </c>
      <c r="T155" s="9">
        <f>IF(OR($C155="Annual",$D155=$E155),IF(AND($D155=$E155,T$113=$B155+$D155),$I155,IF(AND(T$113&gt;$B155+$D155,T$113&lt;=$B155+$E155), $I155/($E155-$D155),0)), IF(OR(T$113=$B155+$D155,T$113=$B155+$E155),$I155/(($E155-$D155)*2),IF(AND(T$113&gt;$B155+$D155,T$113&lt;$B155+$E155),$I155/($E155-$D155),0)))</f>
        <v>0</v>
      </c>
      <c r="U155" s="9"/>
      <c r="V155" s="9"/>
      <c r="W155" s="9">
        <f t="shared" si="36"/>
        <v>0</v>
      </c>
      <c r="X155" s="9">
        <f t="shared" ca="1" si="36"/>
        <v>2.1850000000000001</v>
      </c>
      <c r="Y155" s="9">
        <f t="shared" ca="1" si="36"/>
        <v>1.748</v>
      </c>
      <c r="Z155" s="9">
        <f t="shared" ca="1" si="36"/>
        <v>1.3109999999999999</v>
      </c>
      <c r="AA155" s="9">
        <f t="shared" ca="1" si="36"/>
        <v>0.874</v>
      </c>
    </row>
    <row r="156" spans="1:27">
      <c r="A156" s="8" t="str">
        <f>A155</f>
        <v>Type 3</v>
      </c>
      <c r="B156" s="7">
        <f>B155+1</f>
        <v>2020</v>
      </c>
      <c r="C156" s="7" t="str">
        <f>C155</f>
        <v>Annual</v>
      </c>
      <c r="D156" s="7">
        <f t="shared" si="37"/>
        <v>0</v>
      </c>
      <c r="E156" s="7">
        <f t="shared" si="37"/>
        <v>0</v>
      </c>
      <c r="F156" s="14">
        <f>$N$83</f>
        <v>0</v>
      </c>
      <c r="H156" s="9"/>
      <c r="I156" s="9"/>
      <c r="J156" s="9">
        <f ca="1">$D$83</f>
        <v>59.6</v>
      </c>
      <c r="K156" s="9">
        <f ca="1">J156-R156</f>
        <v>47.68</v>
      </c>
      <c r="L156" s="9">
        <f ca="1">K156-S156</f>
        <v>35.76</v>
      </c>
      <c r="M156" s="9">
        <f ca="1">L156-T156</f>
        <v>23.839999999999996</v>
      </c>
      <c r="N156" s="9"/>
      <c r="O156" s="9"/>
      <c r="P156" s="9"/>
      <c r="Q156" s="9">
        <f ca="1">IF(OR($C156="Annual",$D156=$E156),IF(AND($D156=$E156,Q$113=$B156+$D156),$J156,IF(AND(Q$113&gt;$B156+$D156,Q$113&lt;=$B156+$E156), $J156/($E156-$D156),0)), IF(OR(Q$113=$B156+$D156,Q$113=$B156+$E156),$J156/(($E156-$D156)*2),IF(AND(Q$113&gt;$B156+$D156,Q$113&lt;$B156+$E156),$J156/($E156-$D156),0)))</f>
        <v>0</v>
      </c>
      <c r="R156" s="9">
        <f>IF(OR($C156="Annual",$D156=$E156),IF(AND($D156=$E156,R$113=$B156+$D156),$J156,IF(AND(R$113&gt;$B156+$D156,R$113&lt;=$B156+$E156), $J156/($E156-$D156),0)), IF(OR(R$113=$B156+$D156,R$113=$B156+$E156),$J156/(($E156-$D156)*2),IF(AND(R$113&gt;$B156+$D156,R$113&lt;$B156+$E156),$J156/($E156-$D156),0)))</f>
        <v>0</v>
      </c>
      <c r="S156" s="9">
        <f>IF(OR($C156="Annual",$D156=$E156),IF(AND($D156=$E156,S$113=$B156+$D156),$J156,IF(AND(S$113&gt;$B156+$D156,S$113&lt;=$B156+$E156), $J156/($E156-$D156),0)), IF(OR(S$113=$B156+$D156,S$113=$B156+$E156),$J156/(($E156-$D156)*2),IF(AND(S$113&gt;$B156+$D156,S$113&lt;$B156+$E156),$J156/($E156-$D156),0)))</f>
        <v>0</v>
      </c>
      <c r="T156" s="9">
        <f>IF(OR($C156="Annual",$D156=$E156),IF(AND($D156=$E156,T$113=$B156+$D156),$J156,IF(AND(T$113&gt;$B156+$D156,T$113&lt;=$B156+$E156), $J156/($E156-$D156),0)), IF(OR(T$113=$B156+$D156,T$113=$B156+$E156),$J156/(($E156-$D156)*2),IF(AND(T$113&gt;$B156+$D156,T$113&lt;$B156+$E156),$J156/($E156-$D156),0)))</f>
        <v>0</v>
      </c>
      <c r="U156" s="9"/>
      <c r="V156" s="9"/>
      <c r="W156" s="9"/>
      <c r="X156" s="9">
        <f t="shared" si="36"/>
        <v>0</v>
      </c>
      <c r="Y156" s="9">
        <f t="shared" ca="1" si="36"/>
        <v>2.4435999999999996</v>
      </c>
      <c r="Z156" s="9">
        <f t="shared" ca="1" si="36"/>
        <v>1.9548799999999997</v>
      </c>
      <c r="AA156" s="9">
        <f t="shared" ca="1" si="36"/>
        <v>1.4661599999999997</v>
      </c>
    </row>
    <row r="157" spans="1:27">
      <c r="A157" s="8" t="str">
        <f>A156</f>
        <v>Type 3</v>
      </c>
      <c r="B157" s="7">
        <f>B156+1</f>
        <v>2021</v>
      </c>
      <c r="C157" s="7" t="str">
        <f>C156</f>
        <v>Annual</v>
      </c>
      <c r="D157" s="7">
        <f t="shared" si="37"/>
        <v>0</v>
      </c>
      <c r="E157" s="7">
        <f t="shared" si="37"/>
        <v>0</v>
      </c>
      <c r="F157" s="14">
        <f>$O$83</f>
        <v>0</v>
      </c>
      <c r="H157" s="9"/>
      <c r="I157" s="9"/>
      <c r="J157" s="9"/>
      <c r="K157" s="9">
        <f ca="1">$E$83</f>
        <v>48</v>
      </c>
      <c r="L157" s="9">
        <f ca="1">K157-S157</f>
        <v>38.4</v>
      </c>
      <c r="M157" s="9">
        <f ca="1">L157-T157</f>
        <v>28.799999999999997</v>
      </c>
      <c r="N157" s="9"/>
      <c r="O157" s="9"/>
      <c r="P157" s="9"/>
      <c r="Q157" s="9"/>
      <c r="R157" s="9">
        <f ca="1">IF(OR($C157="Annual",$D157=$E157),IF(AND($D157=$E157,R$113=$B157+$D157),$K157,IF(AND(R$113&gt;$B157+$D157,R$113&lt;=$B157+$E157), $K157/($E157-$D157),0)), IF(OR(R$113=$B157+$D157,R$113=$B157+$E157),$K157/(($E157-$D157)*2),IF(AND(R$113&gt;$B157+$D157,R$113&lt;$B157+$E157),$K157/($E157-$D157),0)))</f>
        <v>0</v>
      </c>
      <c r="S157" s="9">
        <f>IF(OR($C157="Annual",$D157=$E157),IF(AND($D157=$E157,S$113=$B157+$D157),$K157,IF(AND(S$113&gt;$B157+$D157,S$113&lt;=$B157+$E157), $K157/($E157-$D157),0)), IF(OR(S$113=$B157+$D157,S$113=$B157+$E157),$K157/(($E157-$D157)*2),IF(AND(S$113&gt;$B157+$D157,S$113&lt;$B157+$E157),$K157/($E157-$D157),0)))</f>
        <v>0</v>
      </c>
      <c r="T157" s="9">
        <f>IF(OR($C157="Annual",$D157=$E157),IF(AND($D157=$E157,T$113=$B157+$D157),$K157,IF(AND(T$113&gt;$B157+$D157,T$113&lt;=$B157+$E157), $K157/($E157-$D157),0)), IF(OR(T$113=$B157+$D157,T$113=$B157+$E157),$K157/(($E157-$D157)*2),IF(AND(T$113&gt;$B157+$D157,T$113&lt;$B157+$E157),$K157/($E157-$D157),0)))</f>
        <v>0</v>
      </c>
      <c r="U157" s="9"/>
      <c r="V157" s="9"/>
      <c r="W157" s="9"/>
      <c r="X157" s="9"/>
      <c r="Y157" s="9">
        <f t="shared" si="36"/>
        <v>0</v>
      </c>
      <c r="Z157" s="9">
        <f t="shared" ca="1" si="36"/>
        <v>2.016</v>
      </c>
      <c r="AA157" s="9">
        <f t="shared" ca="1" si="36"/>
        <v>1.6128</v>
      </c>
    </row>
    <row r="158" spans="1:27">
      <c r="A158" s="8" t="str">
        <f>A157</f>
        <v>Type 3</v>
      </c>
      <c r="B158" s="7">
        <f>B157+1</f>
        <v>2022</v>
      </c>
      <c r="C158" s="7" t="str">
        <f>C157</f>
        <v>Annual</v>
      </c>
      <c r="D158" s="7">
        <f t="shared" si="37"/>
        <v>0</v>
      </c>
      <c r="E158" s="7">
        <f t="shared" si="37"/>
        <v>0</v>
      </c>
      <c r="F158" s="14">
        <f>$P$83</f>
        <v>0</v>
      </c>
      <c r="H158" s="9"/>
      <c r="I158" s="9"/>
      <c r="J158" s="9"/>
      <c r="K158" s="9"/>
      <c r="L158" s="9">
        <f ca="1">$F$83</f>
        <v>53.500000000000007</v>
      </c>
      <c r="M158" s="9">
        <f ca="1">L158-T158</f>
        <v>42.800000000000004</v>
      </c>
      <c r="N158" s="9"/>
      <c r="O158" s="9"/>
      <c r="P158" s="9"/>
      <c r="Q158" s="9"/>
      <c r="R158" s="9"/>
      <c r="S158" s="9">
        <f ca="1">IF(OR($C158="Annual",$D158=$E158),IF(AND($D158=$E158,S$113=$B158+$D158),$L158,IF(AND(S$113&gt;$B158+$D158,S$113&lt;=$B158+$E158), $L158/($E158-$D158),0)), IF(OR(S$113=$B158+$D158,S$113=$B158+$E158),$L158/(($E158-$D158)*2),IF(AND(S$113&gt;$B158+$D158,S$113&lt;$B158+$E158),$L158/($E158-$D158),0)))</f>
        <v>0</v>
      </c>
      <c r="T158" s="9">
        <f>IF(OR($C158="Annual",$D158=$E158),IF(AND($D158=$E158,T$113=$B158+$D158),$L158,IF(AND(T$113&gt;$B158+$D158,T$113&lt;=$B158+$E158), $L158/($E158-$D158),0)), IF(OR(T$113=$B158+$D158,T$113=$B158+$E158),$L158/(($E158-$D158)*2),IF(AND(T$113&gt;$B158+$D158,T$113&lt;$B158+$E158),$L158/($E158-$D158),0)))</f>
        <v>0</v>
      </c>
      <c r="U158" s="9"/>
      <c r="V158" s="9"/>
      <c r="W158" s="9"/>
      <c r="X158" s="9"/>
      <c r="Y158" s="9"/>
      <c r="Z158" s="9">
        <f t="shared" si="36"/>
        <v>0</v>
      </c>
      <c r="AA158" s="9">
        <f t="shared" ca="1" si="36"/>
        <v>2.3005</v>
      </c>
    </row>
    <row r="159" spans="1:27">
      <c r="A159" s="8" t="str">
        <f>A158</f>
        <v>Type 3</v>
      </c>
      <c r="B159" s="7">
        <f>B158+1</f>
        <v>2023</v>
      </c>
      <c r="C159" s="7" t="str">
        <f>C158</f>
        <v>Annual</v>
      </c>
      <c r="D159" s="7">
        <f t="shared" si="37"/>
        <v>0</v>
      </c>
      <c r="E159" s="7">
        <f t="shared" si="37"/>
        <v>0</v>
      </c>
      <c r="F159" s="14">
        <f>$Q$83</f>
        <v>0</v>
      </c>
      <c r="H159" s="9"/>
      <c r="I159" s="9"/>
      <c r="J159" s="9"/>
      <c r="K159" s="9"/>
      <c r="L159" s="9"/>
      <c r="M159" s="9">
        <f ca="1">$G$83</f>
        <v>55.4</v>
      </c>
      <c r="N159" s="9"/>
      <c r="O159" s="9"/>
      <c r="P159" s="9"/>
      <c r="Q159" s="9"/>
      <c r="R159" s="9"/>
      <c r="S159" s="9"/>
      <c r="T159" s="9">
        <f ca="1">IF(OR($C159="Annual",$D159=$E159),IF(AND($D159=$E159,T$113=$B159+$D159),$M159,IF(AND(T$113&gt;$B159+$D159,T$113&lt;=$B159+$E159), $M159/($E159-$D159),0)), IF(OR(T$113=$B159+$D159,T$113=$B159+$E159),$M159/(($E159-$D159)*2),IF(AND(T$113&gt;$B159+$D159,T$113&lt;$B159+$E159),$M159/($E159-$D159),0)))</f>
        <v>0</v>
      </c>
      <c r="U159" s="9"/>
      <c r="V159" s="9"/>
      <c r="W159" s="9"/>
      <c r="X159" s="9"/>
      <c r="Y159" s="9"/>
      <c r="Z159" s="9"/>
      <c r="AA159" s="9">
        <f t="shared" si="36"/>
        <v>0</v>
      </c>
    </row>
    <row r="160" spans="1:27">
      <c r="C160" s="281"/>
      <c r="F160" s="15"/>
      <c r="H160" s="10"/>
      <c r="I160" s="10"/>
      <c r="J160" s="10"/>
      <c r="K160" s="10"/>
      <c r="L160" s="10"/>
      <c r="M160" s="10"/>
      <c r="N160" s="10"/>
      <c r="O160" s="278"/>
      <c r="P160" s="10"/>
      <c r="Q160" s="10"/>
      <c r="R160" s="10"/>
      <c r="S160" s="10"/>
      <c r="T160" s="10"/>
      <c r="U160" s="10"/>
      <c r="V160" s="10"/>
      <c r="W160" s="10"/>
      <c r="X160" s="10"/>
      <c r="Y160" s="10"/>
      <c r="Z160" s="10"/>
      <c r="AA160" s="10"/>
    </row>
    <row r="161" spans="1:27">
      <c r="A161" s="8" t="str">
        <f>'Input 4 - Forecast'!A63</f>
        <v>Type 4</v>
      </c>
      <c r="B161" s="7">
        <f>B121</f>
        <v>2018</v>
      </c>
      <c r="C161" s="7" t="str">
        <f>$I84</f>
        <v>Annual</v>
      </c>
      <c r="D161" s="7">
        <f>$J84</f>
        <v>0</v>
      </c>
      <c r="E161" s="7">
        <f>$K84</f>
        <v>0</v>
      </c>
      <c r="F161" s="14">
        <f>$L$84</f>
        <v>0</v>
      </c>
      <c r="H161" s="9">
        <f>$B$84</f>
        <v>0</v>
      </c>
      <c r="I161" s="9">
        <f>H161-P161</f>
        <v>0</v>
      </c>
      <c r="J161" s="9">
        <f>I161-Q161</f>
        <v>0</v>
      </c>
      <c r="K161" s="9">
        <f>J161-R161</f>
        <v>0</v>
      </c>
      <c r="L161" s="9">
        <f>K161-S161</f>
        <v>0</v>
      </c>
      <c r="M161" s="9">
        <f>L161-T161</f>
        <v>0</v>
      </c>
      <c r="N161" s="9"/>
      <c r="O161" s="9">
        <f t="shared" ref="O161:T161" si="38">IF(OR($C161="Annual",$D161=$E161),IF(AND($D161=$E161,O$113=$B161+$D161),$H161,IF(AND(O$113&gt;$B161+$D161,O$113&lt;=$B161+$E161), $H161/($E161-$D161),0)), IF(OR(O$113=$B161+$D161,O$113=$B161+$E161),$H161/(($E161-$D161)*2),IF(AND(O$113&gt;$B161+$D161,O$113&lt;$B161+$E161),$H161/($E161-$D161),0)))</f>
        <v>0</v>
      </c>
      <c r="P161" s="9">
        <f t="shared" si="38"/>
        <v>0</v>
      </c>
      <c r="Q161" s="9">
        <f t="shared" si="38"/>
        <v>0</v>
      </c>
      <c r="R161" s="9">
        <f t="shared" si="38"/>
        <v>0</v>
      </c>
      <c r="S161" s="9">
        <f t="shared" si="38"/>
        <v>0</v>
      </c>
      <c r="T161" s="9">
        <f t="shared" si="38"/>
        <v>0</v>
      </c>
      <c r="U161" s="9"/>
      <c r="V161" s="9">
        <f>IF($C161="annual",IF(V$113=$B161,0,G161*$F161),IF(V$113-$B161=0,0,IF((V$113-$B161)&lt;$E161,AVERAGE(G161,H161)*$F161,IF((V$113-$B161)=$E161,G161*$F161/2,0))))</f>
        <v>0</v>
      </c>
      <c r="W161" s="9">
        <f t="shared" ref="W161:AA166" si="39">IF($C161="annual",IF(W$113=$B161,0,H161*$F161),IF(W$113-$B161=0,0,IF((W$113-$B161)&lt;$E161,AVERAGE(H161,I161)*$F161,IF((W$113-$B161)=$E161,H161*$F161/2,0))))</f>
        <v>0</v>
      </c>
      <c r="X161" s="9">
        <f t="shared" si="39"/>
        <v>0</v>
      </c>
      <c r="Y161" s="9">
        <f t="shared" si="39"/>
        <v>0</v>
      </c>
      <c r="Z161" s="9">
        <f t="shared" si="39"/>
        <v>0</v>
      </c>
      <c r="AA161" s="9">
        <f t="shared" si="39"/>
        <v>0</v>
      </c>
    </row>
    <row r="162" spans="1:27">
      <c r="A162" s="8" t="str">
        <f>A161</f>
        <v>Type 4</v>
      </c>
      <c r="B162" s="7">
        <f>B161+1</f>
        <v>2019</v>
      </c>
      <c r="C162" s="7" t="str">
        <f>C161</f>
        <v>Annual</v>
      </c>
      <c r="D162" s="7">
        <f t="shared" ref="D162:E166" si="40">D161</f>
        <v>0</v>
      </c>
      <c r="E162" s="7">
        <f t="shared" si="40"/>
        <v>0</v>
      </c>
      <c r="F162" s="14">
        <f>$M$84</f>
        <v>0</v>
      </c>
      <c r="H162" s="9"/>
      <c r="I162" s="9">
        <f ca="1">$C$84</f>
        <v>94</v>
      </c>
      <c r="J162" s="9">
        <f ca="1">I162-Q162</f>
        <v>84.6</v>
      </c>
      <c r="K162" s="9">
        <f ca="1">J162-R162</f>
        <v>75.199999999999989</v>
      </c>
      <c r="L162" s="9">
        <f ca="1">K162-S162</f>
        <v>65.799999999999983</v>
      </c>
      <c r="M162" s="9">
        <f ca="1">L162-T162</f>
        <v>56.399999999999984</v>
      </c>
      <c r="N162" s="9"/>
      <c r="O162" s="9"/>
      <c r="P162" s="9">
        <f ca="1">IF(OR($C162="Annual",$D162=$E162),IF(AND($D162=$E162,P$113=$B162+$D162),$I162,IF(AND(P$113&gt;$B162+$D162,P$113&lt;=$B162+$E162), $I162/($E162-$D162),0)), IF(OR(P$113=$B162+$D162,P$113=$B162+$E162),$I162/(($E162-$D162)*2),IF(AND(P$113&gt;$B162+$D162,P$113&lt;$B162+$E162),$I162/($E162-$D162),0)))</f>
        <v>0</v>
      </c>
      <c r="Q162" s="9">
        <f>IF(OR($C162="Annual",$D162=$E162),IF(AND($D162=$E162,Q$113=$B162+$D162),$I162,IF(AND(Q$113&gt;$B162+$D162,Q$113&lt;=$B162+$E162), $I162/($E162-$D162),0)), IF(OR(Q$113=$B162+$D162,Q$113=$B162+$E162),$I162/(($E162-$D162)*2),IF(AND(Q$113&gt;$B162+$D162,Q$113&lt;$B162+$E162),$I162/($E162-$D162),0)))</f>
        <v>0</v>
      </c>
      <c r="R162" s="9">
        <f>IF(OR($C162="Annual",$D162=$E162),IF(AND($D162=$E162,R$113=$B162+$D162),$I162,IF(AND(R$113&gt;$B162+$D162,R$113&lt;=$B162+$E162), $I162/($E162-$D162),0)), IF(OR(R$113=$B162+$D162,R$113=$B162+$E162),$I162/(($E162-$D162)*2),IF(AND(R$113&gt;$B162+$D162,R$113&lt;$B162+$E162),$I162/($E162-$D162),0)))</f>
        <v>0</v>
      </c>
      <c r="S162" s="9">
        <f>IF(OR($C162="Annual",$D162=$E162),IF(AND($D162=$E162,S$113=$B162+$D162),$I162,IF(AND(S$113&gt;$B162+$D162,S$113&lt;=$B162+$E162), $I162/($E162-$D162),0)), IF(OR(S$113=$B162+$D162,S$113=$B162+$E162),$I162/(($E162-$D162)*2),IF(AND(S$113&gt;$B162+$D162,S$113&lt;$B162+$E162),$I162/($E162-$D162),0)))</f>
        <v>0</v>
      </c>
      <c r="T162" s="9">
        <f>IF(OR($C162="Annual",$D162=$E162),IF(AND($D162=$E162,T$113=$B162+$D162),$I162,IF(AND(T$113&gt;$B162+$D162,T$113&lt;=$B162+$E162), $I162/($E162-$D162),0)), IF(OR(T$113=$B162+$D162,T$113=$B162+$E162),$I162/(($E162-$D162)*2),IF(AND(T$113&gt;$B162+$D162,T$113&lt;$B162+$E162),$I162/($E162-$D162),0)))</f>
        <v>0</v>
      </c>
      <c r="U162" s="9"/>
      <c r="V162" s="9"/>
      <c r="W162" s="9">
        <f t="shared" si="39"/>
        <v>0</v>
      </c>
      <c r="X162" s="9">
        <f t="shared" ca="1" si="39"/>
        <v>4.5120000000000005</v>
      </c>
      <c r="Y162" s="9">
        <f t="shared" ca="1" si="39"/>
        <v>4.0607999999999995</v>
      </c>
      <c r="Z162" s="9">
        <f t="shared" ca="1" si="39"/>
        <v>3.6095999999999995</v>
      </c>
      <c r="AA162" s="9">
        <f t="shared" ca="1" si="39"/>
        <v>3.1583999999999994</v>
      </c>
    </row>
    <row r="163" spans="1:27">
      <c r="A163" s="8" t="str">
        <f>A162</f>
        <v>Type 4</v>
      </c>
      <c r="B163" s="7">
        <f>B162+1</f>
        <v>2020</v>
      </c>
      <c r="C163" s="7" t="str">
        <f>C162</f>
        <v>Annual</v>
      </c>
      <c r="D163" s="7">
        <f t="shared" si="40"/>
        <v>0</v>
      </c>
      <c r="E163" s="7">
        <f t="shared" si="40"/>
        <v>0</v>
      </c>
      <c r="F163" s="14">
        <f>$N$84</f>
        <v>0</v>
      </c>
      <c r="H163" s="9"/>
      <c r="I163" s="9"/>
      <c r="J163" s="9">
        <f ca="1">$D$84</f>
        <v>91</v>
      </c>
      <c r="K163" s="9">
        <f ca="1">J163-R163</f>
        <v>81.900000000000006</v>
      </c>
      <c r="L163" s="9">
        <f ca="1">K163-S163</f>
        <v>72.800000000000011</v>
      </c>
      <c r="M163" s="9">
        <f ca="1">L163-T163</f>
        <v>63.70000000000001</v>
      </c>
      <c r="N163" s="9"/>
      <c r="O163" s="9"/>
      <c r="P163" s="9"/>
      <c r="Q163" s="9">
        <f ca="1">IF(OR($C163="Annual",$D163=$E163),IF(AND($D163=$E163,Q$113=$B163+$D163),$J163,IF(AND(Q$113&gt;$B163+$D163,Q$113&lt;=$B163+$E163), $J163/($E163-$D163),0)), IF(OR(Q$113=$B163+$D163,Q$113=$B163+$E163),$J163/(($E163-$D163)*2),IF(AND(Q$113&gt;$B163+$D163,Q$113&lt;$B163+$E163),$J163/($E163-$D163),0)))</f>
        <v>0</v>
      </c>
      <c r="R163" s="9">
        <f>IF(OR($C163="Annual",$D163=$E163),IF(AND($D163=$E163,R$113=$B163+$D163),$J163,IF(AND(R$113&gt;$B163+$D163,R$113&lt;=$B163+$E163), $J163/($E163-$D163),0)), IF(OR(R$113=$B163+$D163,R$113=$B163+$E163),$J163/(($E163-$D163)*2),IF(AND(R$113&gt;$B163+$D163,R$113&lt;$B163+$E163),$J163/($E163-$D163),0)))</f>
        <v>0</v>
      </c>
      <c r="S163" s="9">
        <f>IF(OR($C163="Annual",$D163=$E163),IF(AND($D163=$E163,S$113=$B163+$D163),$J163,IF(AND(S$113&gt;$B163+$D163,S$113&lt;=$B163+$E163), $J163/($E163-$D163),0)), IF(OR(S$113=$B163+$D163,S$113=$B163+$E163),$J163/(($E163-$D163)*2),IF(AND(S$113&gt;$B163+$D163,S$113&lt;$B163+$E163),$J163/($E163-$D163),0)))</f>
        <v>0</v>
      </c>
      <c r="T163" s="9">
        <f>IF(OR($C163="Annual",$D163=$E163),IF(AND($D163=$E163,T$113=$B163+$D163),$J163,IF(AND(T$113&gt;$B163+$D163,T$113&lt;=$B163+$E163), $J163/($E163-$D163),0)), IF(OR(T$113=$B163+$D163,T$113=$B163+$E163),$J163/(($E163-$D163)*2),IF(AND(T$113&gt;$B163+$D163,T$113&lt;$B163+$E163),$J163/($E163-$D163),0)))</f>
        <v>0</v>
      </c>
      <c r="U163" s="9"/>
      <c r="V163" s="9"/>
      <c r="W163" s="9"/>
      <c r="X163" s="9">
        <f t="shared" si="39"/>
        <v>0</v>
      </c>
      <c r="Y163" s="9">
        <f t="shared" ca="1" si="39"/>
        <v>4.641</v>
      </c>
      <c r="Z163" s="9">
        <f t="shared" ca="1" si="39"/>
        <v>4.1768999999999998</v>
      </c>
      <c r="AA163" s="9">
        <f t="shared" ca="1" si="39"/>
        <v>3.7128000000000005</v>
      </c>
    </row>
    <row r="164" spans="1:27">
      <c r="A164" s="8" t="str">
        <f>A163</f>
        <v>Type 4</v>
      </c>
      <c r="B164" s="7">
        <f>B163+1</f>
        <v>2021</v>
      </c>
      <c r="C164" s="7" t="str">
        <f>C163</f>
        <v>Annual</v>
      </c>
      <c r="D164" s="7">
        <f t="shared" si="40"/>
        <v>0</v>
      </c>
      <c r="E164" s="7">
        <f t="shared" si="40"/>
        <v>0</v>
      </c>
      <c r="F164" s="14">
        <f>$O$84</f>
        <v>0</v>
      </c>
      <c r="H164" s="9"/>
      <c r="I164" s="9"/>
      <c r="J164" s="9"/>
      <c r="K164" s="9">
        <f ca="1">$E$84</f>
        <v>90.000000000000014</v>
      </c>
      <c r="L164" s="9">
        <f ca="1">K164-S164</f>
        <v>81.000000000000014</v>
      </c>
      <c r="M164" s="9">
        <f ca="1">L164-T164</f>
        <v>72.000000000000014</v>
      </c>
      <c r="N164" s="9"/>
      <c r="O164" s="9"/>
      <c r="P164" s="9"/>
      <c r="Q164" s="9"/>
      <c r="R164" s="9">
        <f ca="1">IF(OR($C164="Annual",$D164=$E164),IF(AND($D164=$E164,R$113=$B164+$D164),$K164,IF(AND(R$113&gt;$B164+$D164,R$113&lt;=$B164+$E164), $K164/($E164-$D164),0)), IF(OR(R$113=$B164+$D164,R$113=$B164+$E164),$K164/(($E164-$D164)*2),IF(AND(R$113&gt;$B164+$D164,R$113&lt;$B164+$E164),$K164/($E164-$D164),0)))</f>
        <v>0</v>
      </c>
      <c r="S164" s="9">
        <f>IF(OR($C164="Annual",$D164=$E164),IF(AND($D164=$E164,S$113=$B164+$D164),$K164,IF(AND(S$113&gt;$B164+$D164,S$113&lt;=$B164+$E164), $K164/($E164-$D164),0)), IF(OR(S$113=$B164+$D164,S$113=$B164+$E164),$K164/(($E164-$D164)*2),IF(AND(S$113&gt;$B164+$D164,S$113&lt;$B164+$E164),$K164/($E164-$D164),0)))</f>
        <v>0</v>
      </c>
      <c r="T164" s="9">
        <f>IF(OR($C164="Annual",$D164=$E164),IF(AND($D164=$E164,T$113=$B164+$D164),$K164,IF(AND(T$113&gt;$B164+$D164,T$113&lt;=$B164+$E164), $K164/($E164-$D164),0)), IF(OR(T$113=$B164+$D164,T$113=$B164+$E164),$K164/(($E164-$D164)*2),IF(AND(T$113&gt;$B164+$D164,T$113&lt;$B164+$E164),$K164/($E164-$D164),0)))</f>
        <v>0</v>
      </c>
      <c r="U164" s="9"/>
      <c r="V164" s="9"/>
      <c r="W164" s="9"/>
      <c r="X164" s="9"/>
      <c r="Y164" s="9">
        <f t="shared" si="39"/>
        <v>0</v>
      </c>
      <c r="Z164" s="9">
        <f t="shared" ca="1" si="39"/>
        <v>4.6800000000000015</v>
      </c>
      <c r="AA164" s="9">
        <f t="shared" ca="1" si="39"/>
        <v>4.2120000000000015</v>
      </c>
    </row>
    <row r="165" spans="1:27">
      <c r="A165" s="8" t="str">
        <f>A164</f>
        <v>Type 4</v>
      </c>
      <c r="B165" s="7">
        <f>B164+1</f>
        <v>2022</v>
      </c>
      <c r="C165" s="7" t="str">
        <f>C164</f>
        <v>Annual</v>
      </c>
      <c r="D165" s="7">
        <f t="shared" si="40"/>
        <v>0</v>
      </c>
      <c r="E165" s="7">
        <f t="shared" si="40"/>
        <v>0</v>
      </c>
      <c r="F165" s="14">
        <f>$P$84</f>
        <v>0</v>
      </c>
      <c r="H165" s="9"/>
      <c r="I165" s="9"/>
      <c r="J165" s="9"/>
      <c r="K165" s="9"/>
      <c r="L165" s="9">
        <f ca="1">$F$84</f>
        <v>90</v>
      </c>
      <c r="M165" s="9">
        <f ca="1">L165-T165</f>
        <v>81</v>
      </c>
      <c r="N165" s="9"/>
      <c r="O165" s="9"/>
      <c r="P165" s="9"/>
      <c r="Q165" s="9"/>
      <c r="R165" s="9"/>
      <c r="S165" s="9">
        <f ca="1">IF(OR($C165="Annual",$D165=$E165),IF(AND($D165=$E165,S$113=$B165+$D165),$L165,IF(AND(S$113&gt;$B165+$D165,S$113&lt;=$B165+$E165), $L165/($E165-$D165),0)), IF(OR(S$113=$B165+$D165,S$113=$B165+$E165),$L165/(($E165-$D165)*2),IF(AND(S$113&gt;$B165+$D165,S$113&lt;$B165+$E165),$L165/($E165-$D165),0)))</f>
        <v>0</v>
      </c>
      <c r="T165" s="9">
        <f>IF(OR($C165="Annual",$D165=$E165),IF(AND($D165=$E165,T$113=$B165+$D165),$L165,IF(AND(T$113&gt;$B165+$D165,T$113&lt;=$B165+$E165), $L165/($E165-$D165),0)), IF(OR(T$113=$B165+$D165,T$113=$B165+$E165),$L165/(($E165-$D165)*2),IF(AND(T$113&gt;$B165+$D165,T$113&lt;$B165+$E165),$L165/($E165-$D165),0)))</f>
        <v>0</v>
      </c>
      <c r="U165" s="9"/>
      <c r="V165" s="9"/>
      <c r="W165" s="9"/>
      <c r="X165" s="9"/>
      <c r="Y165" s="9"/>
      <c r="Z165" s="9">
        <f t="shared" si="39"/>
        <v>0</v>
      </c>
      <c r="AA165" s="9">
        <f t="shared" ca="1" si="39"/>
        <v>4.7699999999999996</v>
      </c>
    </row>
    <row r="166" spans="1:27">
      <c r="A166" s="8" t="str">
        <f>A165</f>
        <v>Type 4</v>
      </c>
      <c r="B166" s="7">
        <f>B165+1</f>
        <v>2023</v>
      </c>
      <c r="C166" s="7" t="str">
        <f>C165</f>
        <v>Annual</v>
      </c>
      <c r="D166" s="7">
        <f t="shared" si="40"/>
        <v>0</v>
      </c>
      <c r="E166" s="7">
        <f t="shared" si="40"/>
        <v>0</v>
      </c>
      <c r="F166" s="14">
        <f>$Q$84</f>
        <v>0</v>
      </c>
      <c r="H166" s="9"/>
      <c r="I166" s="9"/>
      <c r="J166" s="9"/>
      <c r="K166" s="9"/>
      <c r="L166" s="9"/>
      <c r="M166" s="9">
        <f ca="1">$G$84</f>
        <v>90</v>
      </c>
      <c r="N166" s="9"/>
      <c r="O166" s="9"/>
      <c r="P166" s="9"/>
      <c r="Q166" s="9"/>
      <c r="R166" s="9"/>
      <c r="S166" s="9"/>
      <c r="T166" s="9">
        <f ca="1">IF(OR($C166="Annual",$D166=$E166),IF(AND($D166=$E166,T$113=$B166+$D166),$M166,IF(AND(T$113&gt;$B166+$D166,T$113&lt;=$B166+$E166), $M166/($E166-$D166),0)), IF(OR(T$113=$B166+$D166,T$113=$B166+$E166),$M166/(($E166-$D166)*2),IF(AND(T$113&gt;$B166+$D166,T$113&lt;$B166+$E166),$M166/($E166-$D166),0)))</f>
        <v>0</v>
      </c>
      <c r="U166" s="9"/>
      <c r="V166" s="9"/>
      <c r="W166" s="9"/>
      <c r="X166" s="9"/>
      <c r="Y166" s="9"/>
      <c r="Z166" s="9"/>
      <c r="AA166" s="9">
        <f t="shared" si="39"/>
        <v>0</v>
      </c>
    </row>
    <row r="167" spans="1:27">
      <c r="C167" s="281"/>
      <c r="F167" s="15"/>
      <c r="H167" s="10"/>
      <c r="I167" s="10"/>
      <c r="J167" s="10"/>
      <c r="K167" s="10"/>
      <c r="L167" s="10"/>
      <c r="M167" s="10"/>
      <c r="N167" s="10"/>
      <c r="O167" s="278"/>
      <c r="P167" s="10"/>
      <c r="Q167" s="10"/>
      <c r="R167" s="10"/>
      <c r="S167" s="10"/>
      <c r="T167" s="10"/>
      <c r="U167" s="10"/>
      <c r="V167" s="10"/>
      <c r="W167" s="10"/>
      <c r="X167" s="10"/>
      <c r="Y167" s="10"/>
      <c r="Z167" s="10"/>
      <c r="AA167" s="10"/>
    </row>
    <row r="168" spans="1:27" s="1150" customFormat="1">
      <c r="A168" s="1347" t="str">
        <f>'Input 4 - Forecast'!A64</f>
        <v>ZERO-COUPON BOND</v>
      </c>
      <c r="B168" s="1348">
        <f>B121</f>
        <v>2018</v>
      </c>
      <c r="C168" s="1348"/>
      <c r="D168" s="1348">
        <f>$J85</f>
        <v>0</v>
      </c>
      <c r="E168" s="1348">
        <f>$K85</f>
        <v>0</v>
      </c>
      <c r="F168" s="1349">
        <f>$L$85</f>
        <v>0</v>
      </c>
      <c r="H168" s="1350">
        <f>$B$85</f>
        <v>0</v>
      </c>
      <c r="I168" s="1350">
        <f>H168-P168</f>
        <v>0</v>
      </c>
      <c r="J168" s="1350">
        <f>I168-Q168</f>
        <v>0</v>
      </c>
      <c r="K168" s="1350">
        <f>J168-R168</f>
        <v>0</v>
      </c>
      <c r="L168" s="1350">
        <f>K168-S168</f>
        <v>0</v>
      </c>
      <c r="M168" s="1350">
        <f>L168-T168</f>
        <v>0</v>
      </c>
      <c r="N168" s="1350"/>
      <c r="O168" s="1350">
        <f t="shared" ref="O168:T168" si="41">IF($D168=$E168,IF(O$113=$B168+$E168,$H168,0),0)</f>
        <v>0</v>
      </c>
      <c r="P168" s="1350">
        <f t="shared" si="41"/>
        <v>0</v>
      </c>
      <c r="Q168" s="1350">
        <f t="shared" si="41"/>
        <v>0</v>
      </c>
      <c r="R168" s="1350">
        <f t="shared" si="41"/>
        <v>0</v>
      </c>
      <c r="S168" s="1350">
        <f t="shared" si="41"/>
        <v>0</v>
      </c>
      <c r="T168" s="1350">
        <f t="shared" si="41"/>
        <v>0</v>
      </c>
      <c r="U168" s="1350"/>
      <c r="V168" s="1350">
        <f t="shared" ref="V168:AA168" si="42">IF(V$113-$B168=$D168,$H168*(((1+$F168)^$D168)-1),0)</f>
        <v>0</v>
      </c>
      <c r="W168" s="1350">
        <f t="shared" si="42"/>
        <v>0</v>
      </c>
      <c r="X168" s="1350">
        <f t="shared" si="42"/>
        <v>0</v>
      </c>
      <c r="Y168" s="1350">
        <f t="shared" si="42"/>
        <v>0</v>
      </c>
      <c r="Z168" s="1350">
        <f t="shared" si="42"/>
        <v>0</v>
      </c>
      <c r="AA168" s="1350">
        <f t="shared" si="42"/>
        <v>0</v>
      </c>
    </row>
    <row r="169" spans="1:27" s="1150" customFormat="1">
      <c r="A169" s="1347" t="str">
        <f>A168</f>
        <v>ZERO-COUPON BOND</v>
      </c>
      <c r="B169" s="1348">
        <f>B168+1</f>
        <v>2019</v>
      </c>
      <c r="C169" s="1348"/>
      <c r="D169" s="1348">
        <f t="shared" ref="D169:E173" si="43">D168</f>
        <v>0</v>
      </c>
      <c r="E169" s="1348">
        <f t="shared" si="43"/>
        <v>0</v>
      </c>
      <c r="F169" s="1349">
        <f>$M$85</f>
        <v>0</v>
      </c>
      <c r="H169" s="1350"/>
      <c r="I169" s="1350">
        <f ca="1">$C$85</f>
        <v>0</v>
      </c>
      <c r="J169" s="1350">
        <f ca="1">I169-Q169</f>
        <v>0</v>
      </c>
      <c r="K169" s="1350">
        <f ca="1">J169-R169</f>
        <v>0</v>
      </c>
      <c r="L169" s="1350">
        <f ca="1">K169-S169</f>
        <v>0</v>
      </c>
      <c r="M169" s="1350">
        <f ca="1">L169-T169</f>
        <v>0</v>
      </c>
      <c r="N169" s="1350"/>
      <c r="O169" s="1351"/>
      <c r="P169" s="1350">
        <f ca="1">IF($D169=$E169,IF(P$113=$B169+$E169,$I169,0),0)</f>
        <v>0</v>
      </c>
      <c r="Q169" s="1350">
        <f>IF($D169=$E169,IF(Q$113=$B169+$E169,$I169,0),0)</f>
        <v>0</v>
      </c>
      <c r="R169" s="1350">
        <f>IF($D169=$E169,IF(R$113=$B169+$E169,$I169,0),0)</f>
        <v>0</v>
      </c>
      <c r="S169" s="1350">
        <f>IF($D169=$E169,IF(S$113=$B169+$E169,$I169,0),0)</f>
        <v>0</v>
      </c>
      <c r="T169" s="1350">
        <f>IF($D169=$E169,IF(T$113=$B169+$E169,$I169,0),0)</f>
        <v>0</v>
      </c>
      <c r="U169" s="1350"/>
      <c r="V169" s="1350"/>
      <c r="W169" s="1350">
        <f ca="1">IF(W$113-$B169=$D169,$I169*(((1+$F169)^$D169)-1),0)</f>
        <v>0</v>
      </c>
      <c r="X169" s="1350">
        <f>IF(X$113-$B169=$D169,$I169*(((1+$F169)^$D169)-1),0)</f>
        <v>0</v>
      </c>
      <c r="Y169" s="1350">
        <f>IF(Y$113-$B169=$D169,$I169*(((1+$F169)^$D169)-1),0)</f>
        <v>0</v>
      </c>
      <c r="Z169" s="1350">
        <f>IF(Z$113-$B169=$D169,$I169*(((1+$F169)^$D169)-1),0)</f>
        <v>0</v>
      </c>
      <c r="AA169" s="1350">
        <f>IF(AA$113-$B169=$D169,$I169*(((1+$F169)^$D169)-1),0)</f>
        <v>0</v>
      </c>
    </row>
    <row r="170" spans="1:27" s="1150" customFormat="1">
      <c r="A170" s="1347" t="str">
        <f>A169</f>
        <v>ZERO-COUPON BOND</v>
      </c>
      <c r="B170" s="1348">
        <f>B169+1</f>
        <v>2020</v>
      </c>
      <c r="C170" s="1348"/>
      <c r="D170" s="1348">
        <f t="shared" si="43"/>
        <v>0</v>
      </c>
      <c r="E170" s="1348">
        <f t="shared" si="43"/>
        <v>0</v>
      </c>
      <c r="F170" s="1349">
        <f>$N$85</f>
        <v>0</v>
      </c>
      <c r="H170" s="1350"/>
      <c r="I170" s="1350"/>
      <c r="J170" s="1350">
        <f ca="1">$D$85</f>
        <v>0</v>
      </c>
      <c r="K170" s="1350">
        <f ca="1">J170-R170</f>
        <v>0</v>
      </c>
      <c r="L170" s="1350">
        <f ca="1">K170-S170</f>
        <v>0</v>
      </c>
      <c r="M170" s="1350">
        <f ca="1">L170-T170</f>
        <v>0</v>
      </c>
      <c r="N170" s="1350"/>
      <c r="O170" s="1351"/>
      <c r="P170" s="1350"/>
      <c r="Q170" s="1350">
        <f ca="1">IF($D170=$E170,IF(Q$113=$B170+$E170,$J170,0),0)</f>
        <v>0</v>
      </c>
      <c r="R170" s="1350">
        <f>IF($D170=$E170,IF(R$113=$B170+$E170,$J170,0),0)</f>
        <v>0</v>
      </c>
      <c r="S170" s="1350">
        <f>IF($D170=$E170,IF(S$113=$B170+$E170,$J170,0),0)</f>
        <v>0</v>
      </c>
      <c r="T170" s="1350">
        <f>IF($D170=$E170,IF(T$113=$B170+$E170,$J170,0),0)</f>
        <v>0</v>
      </c>
      <c r="U170" s="1350"/>
      <c r="V170" s="1350"/>
      <c r="W170" s="1350"/>
      <c r="X170" s="1350">
        <f ca="1">IF(X$113-$B170=$D170,$J170*(((1+$F170)^$D170)-1),0)</f>
        <v>0</v>
      </c>
      <c r="Y170" s="1350">
        <f>IF(Y$113-$B170=$D170,$J170*(((1+$F170)^$D170)-1),0)</f>
        <v>0</v>
      </c>
      <c r="Z170" s="1350">
        <f>IF(Z$113-$B170=$D170,$J170*(((1+$F170)^$D170)-1),0)</f>
        <v>0</v>
      </c>
      <c r="AA170" s="1350">
        <f>IF(AA$113-$B170=$D170,$J170*(((1+$F170)^$D170)-1),0)</f>
        <v>0</v>
      </c>
    </row>
    <row r="171" spans="1:27" s="1150" customFormat="1">
      <c r="A171" s="1347" t="str">
        <f>A170</f>
        <v>ZERO-COUPON BOND</v>
      </c>
      <c r="B171" s="1348">
        <f>B170+1</f>
        <v>2021</v>
      </c>
      <c r="C171" s="1348"/>
      <c r="D171" s="1348">
        <f t="shared" si="43"/>
        <v>0</v>
      </c>
      <c r="E171" s="1348">
        <f t="shared" si="43"/>
        <v>0</v>
      </c>
      <c r="F171" s="1349">
        <f>$O$85</f>
        <v>0</v>
      </c>
      <c r="H171" s="1350"/>
      <c r="I171" s="1350"/>
      <c r="J171" s="1350"/>
      <c r="K171" s="1350">
        <f ca="1">$E$85</f>
        <v>0</v>
      </c>
      <c r="L171" s="1350">
        <f ca="1">K171-S171</f>
        <v>0</v>
      </c>
      <c r="M171" s="1350">
        <f ca="1">L171-T171</f>
        <v>0</v>
      </c>
      <c r="N171" s="1350"/>
      <c r="O171" s="1351"/>
      <c r="P171" s="1350"/>
      <c r="Q171" s="1350"/>
      <c r="R171" s="1350">
        <f ca="1">IF($D171=$E171,IF(R$113=$B171+$E171,$K171,0),0)</f>
        <v>0</v>
      </c>
      <c r="S171" s="1350">
        <f>IF($D171=$E171,IF(S$113=$B171+$E171,$K171,0),0)</f>
        <v>0</v>
      </c>
      <c r="T171" s="1350">
        <f>IF($D171=$E171,IF(T$113=$B171+$E171,$K171,0),0)</f>
        <v>0</v>
      </c>
      <c r="U171" s="1350"/>
      <c r="V171" s="1350"/>
      <c r="W171" s="1350"/>
      <c r="X171" s="1350"/>
      <c r="Y171" s="1350">
        <f ca="1">IF(Y$113-$B171=$D171,$K171*(((1+$F171)^$D171)-1),0)</f>
        <v>0</v>
      </c>
      <c r="Z171" s="1350">
        <f>IF(Z$113-$B171=$D171,$K171*(((1+$F171)^$D171)-1),0)</f>
        <v>0</v>
      </c>
      <c r="AA171" s="1350">
        <f>IF(AA$113-$B171=$D171,$K171*(((1+$F171)^$D171)-1),0)</f>
        <v>0</v>
      </c>
    </row>
    <row r="172" spans="1:27" s="1150" customFormat="1">
      <c r="A172" s="1347" t="str">
        <f>A171</f>
        <v>ZERO-COUPON BOND</v>
      </c>
      <c r="B172" s="1348">
        <f>B171+1</f>
        <v>2022</v>
      </c>
      <c r="C172" s="1348"/>
      <c r="D172" s="1348">
        <f t="shared" si="43"/>
        <v>0</v>
      </c>
      <c r="E172" s="1348">
        <f t="shared" si="43"/>
        <v>0</v>
      </c>
      <c r="F172" s="1349">
        <f>$P$85</f>
        <v>0</v>
      </c>
      <c r="H172" s="1350"/>
      <c r="I172" s="1350"/>
      <c r="J172" s="1350"/>
      <c r="K172" s="1350"/>
      <c r="L172" s="1350">
        <f ca="1">$F$85</f>
        <v>0</v>
      </c>
      <c r="M172" s="1350">
        <f ca="1">L172-T172</f>
        <v>0</v>
      </c>
      <c r="N172" s="1350"/>
      <c r="O172" s="1351"/>
      <c r="P172" s="1350"/>
      <c r="Q172" s="1350"/>
      <c r="R172" s="1350"/>
      <c r="S172" s="1350">
        <f ca="1">IF($D172=$E172,IF(S$113=$B172+$E172,$L172,0),0)</f>
        <v>0</v>
      </c>
      <c r="T172" s="1350">
        <f>IF($D172=$E172,IF(T$113=$B172+$E172,$L172,0),0)</f>
        <v>0</v>
      </c>
      <c r="U172" s="1350"/>
      <c r="V172" s="1350"/>
      <c r="W172" s="1350"/>
      <c r="X172" s="1350"/>
      <c r="Y172" s="1350"/>
      <c r="Z172" s="1350">
        <f ca="1">IF(Z$113-$B172=$D172,$L172*(((1+$F172)^$D172)-1),0)</f>
        <v>0</v>
      </c>
      <c r="AA172" s="1350">
        <f>IF(AA$113-$B172=$D172,$L172*(((1+$F172)^$D172)-1),0)</f>
        <v>0</v>
      </c>
    </row>
    <row r="173" spans="1:27" s="1150" customFormat="1">
      <c r="A173" s="1347" t="str">
        <f>A172</f>
        <v>ZERO-COUPON BOND</v>
      </c>
      <c r="B173" s="1348">
        <f>B172+1</f>
        <v>2023</v>
      </c>
      <c r="C173" s="1348"/>
      <c r="D173" s="1348">
        <f t="shared" si="43"/>
        <v>0</v>
      </c>
      <c r="E173" s="1348">
        <f t="shared" si="43"/>
        <v>0</v>
      </c>
      <c r="F173" s="1349">
        <f>$Q$85</f>
        <v>0</v>
      </c>
      <c r="H173" s="1350"/>
      <c r="I173" s="1350"/>
      <c r="J173" s="1350"/>
      <c r="K173" s="1350"/>
      <c r="L173" s="1350"/>
      <c r="M173" s="1350">
        <f ca="1">$G$85</f>
        <v>0</v>
      </c>
      <c r="N173" s="1350"/>
      <c r="O173" s="1351"/>
      <c r="P173" s="1350"/>
      <c r="Q173" s="1350"/>
      <c r="R173" s="1350"/>
      <c r="S173" s="1350"/>
      <c r="T173" s="1350">
        <f ca="1">IF($D173=$E173,IF(T$113=$B173+$E173,$M173,0),0)</f>
        <v>0</v>
      </c>
      <c r="U173" s="1350"/>
      <c r="V173" s="1350"/>
      <c r="W173" s="1350"/>
      <c r="X173" s="1350"/>
      <c r="Y173" s="1350"/>
      <c r="Z173" s="1350"/>
      <c r="AA173" s="1350">
        <f ca="1">IF(AA$113-$B173=$D173,$M173*(((1+$F173)^$D173)-1),0)</f>
        <v>0</v>
      </c>
    </row>
    <row r="174" spans="1:27" ht="15.75" thickBot="1">
      <c r="H174" s="10"/>
      <c r="I174" s="10"/>
      <c r="J174" s="10"/>
      <c r="K174" s="10"/>
      <c r="L174" s="10"/>
      <c r="M174" s="10"/>
      <c r="N174" s="10"/>
      <c r="O174" s="10"/>
      <c r="P174" s="10"/>
      <c r="Q174" s="10"/>
      <c r="R174" s="10"/>
      <c r="S174" s="10"/>
      <c r="T174" s="10"/>
      <c r="U174" s="10"/>
      <c r="V174" s="10"/>
      <c r="W174" s="10"/>
      <c r="X174" s="10"/>
      <c r="Y174" s="10"/>
      <c r="Z174" s="10"/>
      <c r="AA174" s="10"/>
    </row>
    <row r="175" spans="1:27" ht="15.75" thickBot="1">
      <c r="A175" s="12" t="str">
        <f>'Input 4 - Forecast'!A65</f>
        <v>Denominated in foreign currency</v>
      </c>
      <c r="B175" s="1999" t="s">
        <v>52</v>
      </c>
      <c r="C175" s="2000"/>
      <c r="D175" s="2000"/>
      <c r="E175" s="2000"/>
      <c r="F175" s="2000"/>
      <c r="G175" s="2000"/>
      <c r="H175" s="2000"/>
      <c r="I175" s="2000"/>
      <c r="J175" s="2000"/>
      <c r="K175" s="2000"/>
      <c r="L175" s="2000"/>
      <c r="M175" s="2000"/>
      <c r="N175" s="2000"/>
      <c r="O175" s="2000"/>
      <c r="P175" s="2000"/>
      <c r="Q175" s="2000"/>
      <c r="R175" s="2000"/>
      <c r="S175" s="2000"/>
      <c r="T175" s="2000"/>
      <c r="U175" s="2000"/>
      <c r="V175" s="2000"/>
      <c r="W175" s="2000"/>
      <c r="X175" s="2000"/>
      <c r="Y175" s="2000"/>
      <c r="Z175" s="2000"/>
      <c r="AA175" s="2001"/>
    </row>
    <row r="176" spans="1:27">
      <c r="H176" s="10"/>
      <c r="I176" s="10"/>
      <c r="J176" s="10"/>
      <c r="K176" s="10"/>
      <c r="L176" s="10"/>
      <c r="M176" s="10"/>
      <c r="N176" s="10"/>
      <c r="O176" s="10"/>
      <c r="P176" s="10"/>
      <c r="Q176" s="10"/>
      <c r="R176" s="10"/>
      <c r="S176" s="10"/>
      <c r="T176" s="10"/>
      <c r="U176" s="10"/>
      <c r="V176" s="10"/>
      <c r="W176" s="10"/>
      <c r="X176" s="10"/>
      <c r="Y176" s="10"/>
      <c r="Z176" s="10"/>
      <c r="AA176" s="10"/>
    </row>
    <row r="177" spans="1:27">
      <c r="A177" s="8" t="str">
        <f>'Input 4 - Forecast'!A66</f>
        <v>Type 6</v>
      </c>
      <c r="B177" s="7">
        <f>B121</f>
        <v>2018</v>
      </c>
      <c r="C177" s="7" t="str">
        <f>$I87</f>
        <v>Annual</v>
      </c>
      <c r="D177" s="7">
        <f>$J87</f>
        <v>0</v>
      </c>
      <c r="E177" s="7">
        <f>$K87</f>
        <v>0</v>
      </c>
      <c r="F177" s="14">
        <f>$L$87</f>
        <v>0</v>
      </c>
      <c r="H177" s="9">
        <f>$B$87/$B$33</f>
        <v>0</v>
      </c>
      <c r="I177" s="9">
        <f>H177-P177</f>
        <v>0</v>
      </c>
      <c r="J177" s="9">
        <f>I177-Q177</f>
        <v>0</v>
      </c>
      <c r="K177" s="9">
        <f>J177-R177</f>
        <v>0</v>
      </c>
      <c r="L177" s="9">
        <f>K177-S177</f>
        <v>0</v>
      </c>
      <c r="M177" s="9">
        <f>L177-T177</f>
        <v>0</v>
      </c>
      <c r="N177" s="9"/>
      <c r="O177" s="9">
        <f t="shared" ref="O177:T177" si="44">IF(OR($C177="Annual",$D177=$E177),IF(AND($D177=$E177,O$113=$B177+$D177),$H177,IF(AND(O$113&gt;$B177+$D177,O$113&lt;=$B177+$E177), $H177/($E177-$D177),0)), IF(OR(O$113=$B177+$D177,O$113=$B177+$E177),$H177/(($E177-$D177)*2),IF(AND(O$113&gt;$B177+$D177,O$113&lt;$B177+$E177),$H177/($E177-$D177),0)))</f>
        <v>0</v>
      </c>
      <c r="P177" s="9">
        <f t="shared" si="44"/>
        <v>0</v>
      </c>
      <c r="Q177" s="9">
        <f t="shared" si="44"/>
        <v>0</v>
      </c>
      <c r="R177" s="9">
        <f t="shared" si="44"/>
        <v>0</v>
      </c>
      <c r="S177" s="9">
        <f t="shared" si="44"/>
        <v>0</v>
      </c>
      <c r="T177" s="9">
        <f t="shared" si="44"/>
        <v>0</v>
      </c>
      <c r="U177" s="9"/>
      <c r="V177" s="9">
        <f>IF($C177="annual",IF(V$113=$B177,0,G177*$F177),IF(V$113-$B177=0,0,IF((V$113-$B177)&lt;$E177,AVERAGE(G177,H177)*$F177,IF((V$113-$B177)=$E177,G177*$F177/2,0))))</f>
        <v>0</v>
      </c>
      <c r="W177" s="9">
        <f t="shared" ref="W177:AA182" si="45">IF($C177="annual",IF(W$113=$B177,0,H177*$F177),IF(W$113-$B177=0,0,IF((W$113-$B177)&lt;$E177,AVERAGE(H177,I177)*$F177,IF((W$113-$B177)=$E177,H177*$F177/2,0))))</f>
        <v>0</v>
      </c>
      <c r="X177" s="9">
        <f t="shared" si="45"/>
        <v>0</v>
      </c>
      <c r="Y177" s="9">
        <f t="shared" si="45"/>
        <v>0</v>
      </c>
      <c r="Z177" s="9">
        <f t="shared" si="45"/>
        <v>0</v>
      </c>
      <c r="AA177" s="9">
        <f t="shared" si="45"/>
        <v>0</v>
      </c>
    </row>
    <row r="178" spans="1:27">
      <c r="A178" s="8" t="str">
        <f>A177</f>
        <v>Type 6</v>
      </c>
      <c r="B178" s="7">
        <f>B177+1</f>
        <v>2019</v>
      </c>
      <c r="C178" s="7" t="str">
        <f t="shared" ref="C178:D182" si="46">C177</f>
        <v>Annual</v>
      </c>
      <c r="D178" s="7">
        <f t="shared" si="46"/>
        <v>0</v>
      </c>
      <c r="E178" s="7">
        <f>E177</f>
        <v>0</v>
      </c>
      <c r="F178" s="14">
        <f>$M$87</f>
        <v>0</v>
      </c>
      <c r="H178" s="9"/>
      <c r="I178" s="9">
        <f ca="1">$C$87/$C$33</f>
        <v>0</v>
      </c>
      <c r="J178" s="9">
        <f ca="1">I178-Q178</f>
        <v>0</v>
      </c>
      <c r="K178" s="9">
        <f ca="1">J178-R178</f>
        <v>0</v>
      </c>
      <c r="L178" s="9">
        <f ca="1">K178-S178</f>
        <v>0</v>
      </c>
      <c r="M178" s="9">
        <f ca="1">L178-T178</f>
        <v>0</v>
      </c>
      <c r="N178" s="9"/>
      <c r="O178" s="9"/>
      <c r="P178" s="9">
        <f ca="1">IF(OR($C178="Annual",$D178=$E178),IF(AND($D178=$E178,P$113=$B178+$D178),$I178,IF(AND(P$113&gt;$B178+$D178,P$113&lt;=$B178+$E178), $I178/($E178-$D178),0)), IF(OR(P$113=$B178+$D178,P$113=$B178+$E178),$I178/(($E178-$D178)*2),IF(AND(P$113&gt;$B178+$D178,P$113&lt;$B178+$E178),$I178/($E178-$D178),0)))</f>
        <v>0</v>
      </c>
      <c r="Q178" s="9">
        <f>IF(OR($C178="Annual",$D178=$E178),IF(AND($D178=$E178,Q$113=$B178+$D178),$I178,IF(AND(Q$113&gt;$B178+$D178,Q$113&lt;=$B178+$E178), $I178/($E178-$D178),0)), IF(OR(Q$113=$B178+$D178,Q$113=$B178+$E178),$I178/(($E178-$D178)*2),IF(AND(Q$113&gt;$B178+$D178,Q$113&lt;$B178+$E178),$I178/($E178-$D178),0)))</f>
        <v>0</v>
      </c>
      <c r="R178" s="9">
        <f>IF(OR($C178="Annual",$D178=$E178),IF(AND($D178=$E178,R$113=$B178+$D178),$I178,IF(AND(R$113&gt;$B178+$D178,R$113&lt;=$B178+$E178), $I178/($E178-$D178),0)), IF(OR(R$113=$B178+$D178,R$113=$B178+$E178),$I178/(($E178-$D178)*2),IF(AND(R$113&gt;$B178+$D178,R$113&lt;$B178+$E178),$I178/($E178-$D178),0)))</f>
        <v>0</v>
      </c>
      <c r="S178" s="9">
        <f>IF(OR($C178="Annual",$D178=$E178),IF(AND($D178=$E178,S$113=$B178+$D178),$I178,IF(AND(S$113&gt;$B178+$D178,S$113&lt;=$B178+$E178), $I178/($E178-$D178),0)), IF(OR(S$113=$B178+$D178,S$113=$B178+$E178),$I178/(($E178-$D178)*2),IF(AND(S$113&gt;$B178+$D178,S$113&lt;$B178+$E178),$I178/($E178-$D178),0)))</f>
        <v>0</v>
      </c>
      <c r="T178" s="9">
        <f>IF(OR($C178="Annual",$D178=$E178),IF(AND($D178=$E178,T$113=$B178+$D178),$I178,IF(AND(T$113&gt;$B178+$D178,T$113&lt;=$B178+$E178), $I178/($E178-$D178),0)), IF(OR(T$113=$B178+$D178,T$113=$B178+$E178),$I178/(($E178-$D178)*2),IF(AND(T$113&gt;$B178+$D178,T$113&lt;$B178+$E178),$I178/($E178-$D178),0)))</f>
        <v>0</v>
      </c>
      <c r="U178" s="9"/>
      <c r="V178" s="9"/>
      <c r="W178" s="9">
        <f t="shared" si="45"/>
        <v>0</v>
      </c>
      <c r="X178" s="9">
        <f t="shared" ca="1" si="45"/>
        <v>0</v>
      </c>
      <c r="Y178" s="9">
        <f t="shared" ca="1" si="45"/>
        <v>0</v>
      </c>
      <c r="Z178" s="9">
        <f t="shared" ca="1" si="45"/>
        <v>0</v>
      </c>
      <c r="AA178" s="9">
        <f t="shared" ca="1" si="45"/>
        <v>0</v>
      </c>
    </row>
    <row r="179" spans="1:27">
      <c r="A179" s="8" t="str">
        <f>A178</f>
        <v>Type 6</v>
      </c>
      <c r="B179" s="7">
        <f>B178+1</f>
        <v>2020</v>
      </c>
      <c r="C179" s="7" t="str">
        <f t="shared" si="46"/>
        <v>Annual</v>
      </c>
      <c r="D179" s="7">
        <f t="shared" si="46"/>
        <v>0</v>
      </c>
      <c r="E179" s="7">
        <f>E178</f>
        <v>0</v>
      </c>
      <c r="F179" s="14">
        <f>$N$87</f>
        <v>0</v>
      </c>
      <c r="H179" s="9"/>
      <c r="I179" s="9"/>
      <c r="J179" s="9">
        <f ca="1">$D$87/$D$33</f>
        <v>0</v>
      </c>
      <c r="K179" s="9">
        <f ca="1">J179-R179</f>
        <v>0</v>
      </c>
      <c r="L179" s="9">
        <f ca="1">K179-S179</f>
        <v>0</v>
      </c>
      <c r="M179" s="9">
        <f ca="1">L179-T179</f>
        <v>0</v>
      </c>
      <c r="N179" s="9"/>
      <c r="O179" s="9"/>
      <c r="P179" s="9"/>
      <c r="Q179" s="9">
        <f ca="1">IF(OR($C179="Annual",$D179=$E179),IF(AND($D179=$E179,Q$113=$B179+$D179),$J179,IF(AND(Q$113&gt;$B179+$D179,Q$113&lt;=$B179+$E179), $J179/($E179-$D179),0)), IF(OR(Q$113=$B179+$D179,Q$113=$B179+$E179),$J179/(($E179-$D179)*2),IF(AND(Q$113&gt;$B179+$D179,Q$113&lt;$B179+$E179),$J179/($E179-$D179),0)))</f>
        <v>0</v>
      </c>
      <c r="R179" s="9">
        <f>IF(OR($C179="Annual",$D179=$E179),IF(AND($D179=$E179,R$113=$B179+$D179),$J179,IF(AND(R$113&gt;$B179+$D179,R$113&lt;=$B179+$E179), $J179/($E179-$D179),0)), IF(OR(R$113=$B179+$D179,R$113=$B179+$E179),$J179/(($E179-$D179)*2),IF(AND(R$113&gt;$B179+$D179,R$113&lt;$B179+$E179),$J179/($E179-$D179),0)))</f>
        <v>0</v>
      </c>
      <c r="S179" s="9">
        <f>IF(OR($C179="Annual",$D179=$E179),IF(AND($D179=$E179,S$113=$B179+$D179),$J179,IF(AND(S$113&gt;$B179+$D179,S$113&lt;=$B179+$E179), $J179/($E179-$D179),0)), IF(OR(S$113=$B179+$D179,S$113=$B179+$E179),$J179/(($E179-$D179)*2),IF(AND(S$113&gt;$B179+$D179,S$113&lt;$B179+$E179),$J179/($E179-$D179),0)))</f>
        <v>0</v>
      </c>
      <c r="T179" s="9">
        <f>IF(OR($C179="Annual",$D179=$E179),IF(AND($D179=$E179,T$113=$B179+$D179),$J179,IF(AND(T$113&gt;$B179+$D179,T$113&lt;=$B179+$E179), $J179/($E179-$D179),0)), IF(OR(T$113=$B179+$D179,T$113=$B179+$E179),$J179/(($E179-$D179)*2),IF(AND(T$113&gt;$B179+$D179,T$113&lt;$B179+$E179),$J179/($E179-$D179),0)))</f>
        <v>0</v>
      </c>
      <c r="U179" s="9"/>
      <c r="V179" s="9"/>
      <c r="W179" s="9"/>
      <c r="X179" s="9">
        <f t="shared" si="45"/>
        <v>0</v>
      </c>
      <c r="Y179" s="9">
        <f t="shared" ca="1" si="45"/>
        <v>0</v>
      </c>
      <c r="Z179" s="9">
        <f t="shared" ca="1" si="45"/>
        <v>0</v>
      </c>
      <c r="AA179" s="9">
        <f t="shared" ca="1" si="45"/>
        <v>0</v>
      </c>
    </row>
    <row r="180" spans="1:27">
      <c r="A180" s="8" t="str">
        <f>A179</f>
        <v>Type 6</v>
      </c>
      <c r="B180" s="7">
        <f>B179+1</f>
        <v>2021</v>
      </c>
      <c r="C180" s="7" t="str">
        <f t="shared" si="46"/>
        <v>Annual</v>
      </c>
      <c r="D180" s="7">
        <f t="shared" si="46"/>
        <v>0</v>
      </c>
      <c r="E180" s="7">
        <f>E179</f>
        <v>0</v>
      </c>
      <c r="F180" s="14">
        <f>$O$87</f>
        <v>0</v>
      </c>
      <c r="H180" s="9"/>
      <c r="I180" s="9"/>
      <c r="J180" s="9"/>
      <c r="K180" s="9">
        <f ca="1">$E$87/$E$33</f>
        <v>0</v>
      </c>
      <c r="L180" s="9">
        <f ca="1">K180-S180</f>
        <v>0</v>
      </c>
      <c r="M180" s="9">
        <f ca="1">L180-T180</f>
        <v>0</v>
      </c>
      <c r="N180" s="9"/>
      <c r="O180" s="9"/>
      <c r="P180" s="9"/>
      <c r="Q180" s="9"/>
      <c r="R180" s="9">
        <f ca="1">IF(OR($C180="Annual",$D180=$E180),IF(AND($D180=$E180,R$113=$B180+$D180),$K180,IF(AND(R$113&gt;$B180+$D180,R$113&lt;=$B180+$E180), $K180/($E180-$D180),0)), IF(OR(R$113=$B180+$D180,R$113=$B180+$E180),$K180/(($E180-$D180)*2),IF(AND(R$113&gt;$B180+$D180,R$113&lt;$B180+$E180),$K180/($E180-$D180),0)))</f>
        <v>0</v>
      </c>
      <c r="S180" s="9">
        <f>IF(OR($C180="Annual",$D180=$E180),IF(AND($D180=$E180,S$113=$B180+$D180),$K180,IF(AND(S$113&gt;$B180+$D180,S$113&lt;=$B180+$E180), $K180/($E180-$D180),0)), IF(OR(S$113=$B180+$D180,S$113=$B180+$E180),$K180/(($E180-$D180)*2),IF(AND(S$113&gt;$B180+$D180,S$113&lt;$B180+$E180),$K180/($E180-$D180),0)))</f>
        <v>0</v>
      </c>
      <c r="T180" s="9">
        <f>IF(OR($C180="Annual",$D180=$E180),IF(AND($D180=$E180,T$113=$B180+$D180),$K180,IF(AND(T$113&gt;$B180+$D180,T$113&lt;=$B180+$E180), $K180/($E180-$D180),0)), IF(OR(T$113=$B180+$D180,T$113=$B180+$E180),$K180/(($E180-$D180)*2),IF(AND(T$113&gt;$B180+$D180,T$113&lt;$B180+$E180),$K180/($E180-$D180),0)))</f>
        <v>0</v>
      </c>
      <c r="U180" s="9"/>
      <c r="V180" s="9"/>
      <c r="W180" s="9"/>
      <c r="X180" s="9"/>
      <c r="Y180" s="9">
        <f t="shared" si="45"/>
        <v>0</v>
      </c>
      <c r="Z180" s="9">
        <f t="shared" ca="1" si="45"/>
        <v>0</v>
      </c>
      <c r="AA180" s="9">
        <f t="shared" ca="1" si="45"/>
        <v>0</v>
      </c>
    </row>
    <row r="181" spans="1:27">
      <c r="A181" s="8" t="str">
        <f>A180</f>
        <v>Type 6</v>
      </c>
      <c r="B181" s="7">
        <f>B180+1</f>
        <v>2022</v>
      </c>
      <c r="C181" s="7" t="str">
        <f t="shared" si="46"/>
        <v>Annual</v>
      </c>
      <c r="D181" s="7">
        <f t="shared" si="46"/>
        <v>0</v>
      </c>
      <c r="E181" s="7">
        <f>E180</f>
        <v>0</v>
      </c>
      <c r="F181" s="14">
        <f>$P$87</f>
        <v>0</v>
      </c>
      <c r="H181" s="9"/>
      <c r="I181" s="9"/>
      <c r="J181" s="9"/>
      <c r="K181" s="9"/>
      <c r="L181" s="9">
        <f ca="1">$F$87/$F$33</f>
        <v>0</v>
      </c>
      <c r="M181" s="9">
        <f ca="1">L181-T181</f>
        <v>0</v>
      </c>
      <c r="N181" s="9"/>
      <c r="O181" s="9"/>
      <c r="P181" s="9"/>
      <c r="Q181" s="9"/>
      <c r="R181" s="9"/>
      <c r="S181" s="9">
        <f ca="1">IF(OR($C181="Annual",$D181=$E181),IF(AND($D181=$E181,S$113=$B181+$D181),$L181,IF(AND(S$113&gt;$B181+$D181,S$113&lt;=$B181+$E181), $L181/($E181-$D181),0)), IF(OR(S$113=$B181+$D181,S$113=$B181+$E181),$L181/(($E181-$D181)*2),IF(AND(S$113&gt;$B181+$D181,S$113&lt;$B181+$E181),$L181/($E181-$D181),0)))</f>
        <v>0</v>
      </c>
      <c r="T181" s="9">
        <f>IF(OR($C181="Annual",$D181=$E181),IF(AND($D181=$E181,T$113=$B181+$D181),$L181,IF(AND(T$113&gt;$B181+$D181,T$113&lt;=$B181+$E181), $L181/($E181-$D181),0)), IF(OR(T$113=$B181+$D181,T$113=$B181+$E181),$L181/(($E181-$D181)*2),IF(AND(T$113&gt;$B181+$D181,T$113&lt;$B181+$E181),$L181/($E181-$D181),0)))</f>
        <v>0</v>
      </c>
      <c r="U181" s="9"/>
      <c r="V181" s="9"/>
      <c r="W181" s="9"/>
      <c r="X181" s="9"/>
      <c r="Y181" s="9"/>
      <c r="Z181" s="9">
        <f t="shared" si="45"/>
        <v>0</v>
      </c>
      <c r="AA181" s="9">
        <f t="shared" ca="1" si="45"/>
        <v>0</v>
      </c>
    </row>
    <row r="182" spans="1:27">
      <c r="A182" s="8" t="str">
        <f>A181</f>
        <v>Type 6</v>
      </c>
      <c r="B182" s="7">
        <f>B181+1</f>
        <v>2023</v>
      </c>
      <c r="C182" s="7" t="str">
        <f t="shared" si="46"/>
        <v>Annual</v>
      </c>
      <c r="D182" s="7">
        <f t="shared" si="46"/>
        <v>0</v>
      </c>
      <c r="E182" s="7">
        <f>E181</f>
        <v>0</v>
      </c>
      <c r="F182" s="14">
        <f>$Q$87</f>
        <v>0</v>
      </c>
      <c r="H182" s="9"/>
      <c r="I182" s="9"/>
      <c r="J182" s="9"/>
      <c r="K182" s="9"/>
      <c r="L182" s="9"/>
      <c r="M182" s="9">
        <f ca="1">$G$87/$G$33</f>
        <v>0</v>
      </c>
      <c r="N182" s="9"/>
      <c r="O182" s="9"/>
      <c r="P182" s="9"/>
      <c r="Q182" s="9"/>
      <c r="R182" s="9"/>
      <c r="S182" s="9"/>
      <c r="T182" s="9">
        <f ca="1">IF(OR($C182="Annual",$D182=$E182),IF(AND($D182=$E182,T$113=$B182+$D182),$M182,IF(AND(T$113&gt;$B182+$D182,T$113&lt;=$B182+$E182), $M182/($E182-$D182),0)), IF(OR(T$113=$B182+$D182,T$113=$B182+$E182),$M182/(($E182-$D182)*2),IF(AND(T$113&gt;$B182+$D182,T$113&lt;$B182+$E182),$M182/($E182-$D182),0)))</f>
        <v>0</v>
      </c>
      <c r="U182" s="9"/>
      <c r="V182" s="9"/>
      <c r="W182" s="9"/>
      <c r="X182" s="9"/>
      <c r="Y182" s="9"/>
      <c r="Z182" s="9"/>
      <c r="AA182" s="9">
        <f t="shared" si="45"/>
        <v>0</v>
      </c>
    </row>
    <row r="183" spans="1:27">
      <c r="A183" s="8"/>
      <c r="B183" s="7"/>
      <c r="C183" s="7"/>
      <c r="D183" s="7"/>
      <c r="E183" s="7"/>
      <c r="F183" s="15"/>
      <c r="H183" s="9"/>
      <c r="I183" s="9"/>
      <c r="J183" s="9"/>
      <c r="K183" s="9"/>
      <c r="L183" s="9"/>
      <c r="M183" s="9"/>
      <c r="N183" s="9"/>
      <c r="O183" s="278"/>
      <c r="P183" s="10"/>
      <c r="Q183" s="10"/>
      <c r="R183" s="10"/>
      <c r="S183" s="10"/>
      <c r="T183" s="10"/>
      <c r="U183" s="9"/>
      <c r="V183" s="10"/>
      <c r="W183" s="10"/>
      <c r="X183" s="10"/>
      <c r="Y183" s="10"/>
      <c r="Z183" s="10"/>
      <c r="AA183" s="10"/>
    </row>
    <row r="184" spans="1:27">
      <c r="A184" s="8" t="str">
        <f>'Input 4 - Forecast'!A67</f>
        <v>Type 7</v>
      </c>
      <c r="B184" s="7">
        <f>B121</f>
        <v>2018</v>
      </c>
      <c r="C184" s="7" t="str">
        <f>$I88</f>
        <v>Annual</v>
      </c>
      <c r="D184" s="7">
        <f>$J88</f>
        <v>0</v>
      </c>
      <c r="E184" s="7">
        <f>$K88</f>
        <v>0</v>
      </c>
      <c r="F184" s="14">
        <f>$L$88</f>
        <v>0</v>
      </c>
      <c r="H184" s="9">
        <f>$B$88/$B$33</f>
        <v>0</v>
      </c>
      <c r="I184" s="9">
        <f>H184-P184</f>
        <v>0</v>
      </c>
      <c r="J184" s="9">
        <f>I184-Q184</f>
        <v>0</v>
      </c>
      <c r="K184" s="9">
        <f>J184-R184</f>
        <v>0</v>
      </c>
      <c r="L184" s="9">
        <f>K184-S184</f>
        <v>0</v>
      </c>
      <c r="M184" s="9">
        <f>L184-T184</f>
        <v>0</v>
      </c>
      <c r="N184" s="9"/>
      <c r="O184" s="9">
        <f t="shared" ref="O184:T184" si="47">IF(OR($C184="Annual",$D184=$E184),IF(AND($D184=$E184,O$113=$B184+$D184),$H184,IF(AND(O$113&gt;$B184+$D184,O$113&lt;=$B184+$E184), $H184/($E184-$D184),0)), IF(OR(O$113=$B184+$D184,O$113=$B184+$E184),$H184/(($E184-$D184)*2),IF(AND(O$113&gt;$B184+$D184,O$113&lt;$B184+$E184),$H184/($E184-$D184),0)))</f>
        <v>0</v>
      </c>
      <c r="P184" s="9">
        <f t="shared" si="47"/>
        <v>0</v>
      </c>
      <c r="Q184" s="9">
        <f t="shared" si="47"/>
        <v>0</v>
      </c>
      <c r="R184" s="9">
        <f t="shared" si="47"/>
        <v>0</v>
      </c>
      <c r="S184" s="9">
        <f t="shared" si="47"/>
        <v>0</v>
      </c>
      <c r="T184" s="9">
        <f t="shared" si="47"/>
        <v>0</v>
      </c>
      <c r="U184" s="9"/>
      <c r="V184" s="9">
        <f>IF($C184="annual",IF(V$113=$B184,0,G184*$F184),IF(V$113-$B184=0,0,IF((V$113-$B184)&lt;$E184,AVERAGE(G184,H184)*$F184,IF((V$113-$B184)=$E184,G184*$F184/2,0))))</f>
        <v>0</v>
      </c>
      <c r="W184" s="9">
        <f t="shared" ref="W184:AA189" si="48">IF($C184="annual",IF(W$113=$B184,0,H184*$F184),IF(W$113-$B184=0,0,IF((W$113-$B184)&lt;$E184,AVERAGE(H184,I184)*$F184,IF((W$113-$B184)=$E184,H184*$F184/2,0))))</f>
        <v>0</v>
      </c>
      <c r="X184" s="9">
        <f t="shared" si="48"/>
        <v>0</v>
      </c>
      <c r="Y184" s="9">
        <f t="shared" si="48"/>
        <v>0</v>
      </c>
      <c r="Z184" s="9">
        <f t="shared" si="48"/>
        <v>0</v>
      </c>
      <c r="AA184" s="9">
        <f t="shared" si="48"/>
        <v>0</v>
      </c>
    </row>
    <row r="185" spans="1:27">
      <c r="A185" s="8" t="str">
        <f>A184</f>
        <v>Type 7</v>
      </c>
      <c r="B185" s="7">
        <f>B184+1</f>
        <v>2019</v>
      </c>
      <c r="C185" s="7" t="str">
        <f>C184</f>
        <v>Annual</v>
      </c>
      <c r="D185" s="7">
        <f>D184</f>
        <v>0</v>
      </c>
      <c r="E185" s="7">
        <f>E184</f>
        <v>0</v>
      </c>
      <c r="F185" s="14">
        <f>$M$88</f>
        <v>0</v>
      </c>
      <c r="H185" s="9"/>
      <c r="I185" s="9">
        <f ca="1">$C$88/$C$33</f>
        <v>0</v>
      </c>
      <c r="J185" s="9">
        <f ca="1">I185-Q185</f>
        <v>0</v>
      </c>
      <c r="K185" s="9">
        <f ca="1">J185-R185</f>
        <v>0</v>
      </c>
      <c r="L185" s="9">
        <f ca="1">K185-S185</f>
        <v>0</v>
      </c>
      <c r="M185" s="9">
        <f ca="1">L185-T185</f>
        <v>0</v>
      </c>
      <c r="N185" s="9"/>
      <c r="O185" s="9"/>
      <c r="P185" s="9">
        <f ca="1">IF(OR($C185="Annual",$D185=$E185),IF(AND($D185=$E185,P$113=$B185+$D185),$I185,IF(AND(P$113&gt;$B185+$D185,P$113&lt;=$B185+$E185), $I185/($E185-$D185),0)), IF(OR(P$113=$B185+$D185,P$113=$B185+$E185),$I185/(($E185-$D185)*2),IF(AND(P$113&gt;$B185+$D185,P$113&lt;$B185+$E185),$I185/($E185-$D185),0)))</f>
        <v>0</v>
      </c>
      <c r="Q185" s="9">
        <f>IF(OR($C185="Annual",$D185=$E185),IF(AND($D185=$E185,Q$113=$B185+$D185),$I185,IF(AND(Q$113&gt;$B185+$D185,Q$113&lt;=$B185+$E185), $I185/($E185-$D185),0)), IF(OR(Q$113=$B185+$D185,Q$113=$B185+$E185),$I185/(($E185-$D185)*2),IF(AND(Q$113&gt;$B185+$D185,Q$113&lt;$B185+$E185),$I185/($E185-$D185),0)))</f>
        <v>0</v>
      </c>
      <c r="R185" s="9">
        <f>IF(OR($C185="Annual",$D185=$E185),IF(AND($D185=$E185,R$113=$B185+$D185),$I185,IF(AND(R$113&gt;$B185+$D185,R$113&lt;=$B185+$E185), $I185/($E185-$D185),0)), IF(OR(R$113=$B185+$D185,R$113=$B185+$E185),$I185/(($E185-$D185)*2),IF(AND(R$113&gt;$B185+$D185,R$113&lt;$B185+$E185),$I185/($E185-$D185),0)))</f>
        <v>0</v>
      </c>
      <c r="S185" s="9">
        <f>IF(OR($C185="Annual",$D185=$E185),IF(AND($D185=$E185,S$113=$B185+$D185),$I185,IF(AND(S$113&gt;$B185+$D185,S$113&lt;=$B185+$E185), $I185/($E185-$D185),0)), IF(OR(S$113=$B185+$D185,S$113=$B185+$E185),$I185/(($E185-$D185)*2),IF(AND(S$113&gt;$B185+$D185,S$113&lt;$B185+$E185),$I185/($E185-$D185),0)))</f>
        <v>0</v>
      </c>
      <c r="T185" s="9">
        <f>IF(OR($C185="Annual",$D185=$E185),IF(AND($D185=$E185,T$113=$B185+$D185),$I185,IF(AND(T$113&gt;$B185+$D185,T$113&lt;=$B185+$E185), $I185/($E185-$D185),0)), IF(OR(T$113=$B185+$D185,T$113=$B185+$E185),$I185/(($E185-$D185)*2),IF(AND(T$113&gt;$B185+$D185,T$113&lt;$B185+$E185),$I185/($E185-$D185),0)))</f>
        <v>0</v>
      </c>
      <c r="U185" s="9"/>
      <c r="V185" s="9"/>
      <c r="W185" s="9">
        <f t="shared" si="48"/>
        <v>0</v>
      </c>
      <c r="X185" s="9">
        <f t="shared" ca="1" si="48"/>
        <v>0</v>
      </c>
      <c r="Y185" s="9">
        <f t="shared" ca="1" si="48"/>
        <v>0</v>
      </c>
      <c r="Z185" s="9">
        <f t="shared" ca="1" si="48"/>
        <v>0</v>
      </c>
      <c r="AA185" s="9">
        <f t="shared" ca="1" si="48"/>
        <v>0</v>
      </c>
    </row>
    <row r="186" spans="1:27">
      <c r="A186" s="8" t="str">
        <f>A185</f>
        <v>Type 7</v>
      </c>
      <c r="B186" s="7">
        <f>B185+1</f>
        <v>2020</v>
      </c>
      <c r="C186" s="7" t="str">
        <f t="shared" ref="C186:D189" si="49">C185</f>
        <v>Annual</v>
      </c>
      <c r="D186" s="7">
        <f t="shared" si="49"/>
        <v>0</v>
      </c>
      <c r="E186" s="7">
        <f>E185</f>
        <v>0</v>
      </c>
      <c r="F186" s="14">
        <f>$N$88</f>
        <v>0</v>
      </c>
      <c r="H186" s="9"/>
      <c r="I186" s="9"/>
      <c r="J186" s="9">
        <f ca="1">$D$88/$D$33</f>
        <v>0</v>
      </c>
      <c r="K186" s="9">
        <f ca="1">J186-R186</f>
        <v>0</v>
      </c>
      <c r="L186" s="9">
        <f ca="1">K186-S186</f>
        <v>0</v>
      </c>
      <c r="M186" s="9">
        <f ca="1">L186-T186</f>
        <v>0</v>
      </c>
      <c r="N186" s="9"/>
      <c r="O186" s="9"/>
      <c r="P186" s="9"/>
      <c r="Q186" s="9">
        <f ca="1">IF(OR($C186="Annual",$D186=$E186),IF(AND($D186=$E186,Q$113=$B186+$D186),$J186,IF(AND(Q$113&gt;$B186+$D186,Q$113&lt;=$B186+$E186), $J186/($E186-$D186),0)), IF(OR(Q$113=$B186+$D186,Q$113=$B186+$E186),$J186/(($E186-$D186)*2),IF(AND(Q$113&gt;$B186+$D186,Q$113&lt;$B186+$E186),$J186/($E186-$D186),0)))</f>
        <v>0</v>
      </c>
      <c r="R186" s="9">
        <f>IF(OR($C186="Annual",$D186=$E186),IF(AND($D186=$E186,R$113=$B186+$D186),$J186,IF(AND(R$113&gt;$B186+$D186,R$113&lt;=$B186+$E186), $J186/($E186-$D186),0)), IF(OR(R$113=$B186+$D186,R$113=$B186+$E186),$J186/(($E186-$D186)*2),IF(AND(R$113&gt;$B186+$D186,R$113&lt;$B186+$E186),$J186/($E186-$D186),0)))</f>
        <v>0</v>
      </c>
      <c r="S186" s="9">
        <f>IF(OR($C186="Annual",$D186=$E186),IF(AND($D186=$E186,S$113=$B186+$D186),$J186,IF(AND(S$113&gt;$B186+$D186,S$113&lt;=$B186+$E186), $J186/($E186-$D186),0)), IF(OR(S$113=$B186+$D186,S$113=$B186+$E186),$J186/(($E186-$D186)*2),IF(AND(S$113&gt;$B186+$D186,S$113&lt;$B186+$E186),$J186/($E186-$D186),0)))</f>
        <v>0</v>
      </c>
      <c r="T186" s="9">
        <f>IF(OR($C186="Annual",$D186=$E186),IF(AND($D186=$E186,T$113=$B186+$D186),$J186,IF(AND(T$113&gt;$B186+$D186,T$113&lt;=$B186+$E186), $J186/($E186-$D186),0)), IF(OR(T$113=$B186+$D186,T$113=$B186+$E186),$J186/(($E186-$D186)*2),IF(AND(T$113&gt;$B186+$D186,T$113&lt;$B186+$E186),$J186/($E186-$D186),0)))</f>
        <v>0</v>
      </c>
      <c r="U186" s="9"/>
      <c r="V186" s="9"/>
      <c r="W186" s="9"/>
      <c r="X186" s="9">
        <f t="shared" si="48"/>
        <v>0</v>
      </c>
      <c r="Y186" s="9">
        <f t="shared" ca="1" si="48"/>
        <v>0</v>
      </c>
      <c r="Z186" s="9">
        <f t="shared" ca="1" si="48"/>
        <v>0</v>
      </c>
      <c r="AA186" s="9">
        <f t="shared" ca="1" si="48"/>
        <v>0</v>
      </c>
    </row>
    <row r="187" spans="1:27">
      <c r="A187" s="8" t="str">
        <f>A186</f>
        <v>Type 7</v>
      </c>
      <c r="B187" s="7">
        <f>B186+1</f>
        <v>2021</v>
      </c>
      <c r="C187" s="7" t="str">
        <f t="shared" si="49"/>
        <v>Annual</v>
      </c>
      <c r="D187" s="7">
        <f t="shared" si="49"/>
        <v>0</v>
      </c>
      <c r="E187" s="7">
        <f>E186</f>
        <v>0</v>
      </c>
      <c r="F187" s="14">
        <f>$O$88</f>
        <v>0</v>
      </c>
      <c r="H187" s="9"/>
      <c r="I187" s="9"/>
      <c r="J187" s="9"/>
      <c r="K187" s="9">
        <f ca="1">$E$88/$E$33</f>
        <v>0</v>
      </c>
      <c r="L187" s="9">
        <f ca="1">K187-S187</f>
        <v>0</v>
      </c>
      <c r="M187" s="9">
        <f ca="1">L187-T187</f>
        <v>0</v>
      </c>
      <c r="N187" s="9"/>
      <c r="O187" s="9"/>
      <c r="P187" s="9"/>
      <c r="Q187" s="9"/>
      <c r="R187" s="9">
        <f ca="1">IF(OR($C187="Annual",$D187=$E187),IF(AND($D187=$E187,R$113=$B187+$D187),$K187,IF(AND(R$113&gt;$B187+$D187,R$113&lt;=$B187+$E187), $K187/($E187-$D187),0)), IF(OR(R$113=$B187+$D187,R$113=$B187+$E187),$K187/(($E187-$D187)*2),IF(AND(R$113&gt;$B187+$D187,R$113&lt;$B187+$E187),$K187/($E187-$D187),0)))</f>
        <v>0</v>
      </c>
      <c r="S187" s="9">
        <f>IF(OR($C187="Annual",$D187=$E187),IF(AND($D187=$E187,S$113=$B187+$D187),$K187,IF(AND(S$113&gt;$B187+$D187,S$113&lt;=$B187+$E187), $K187/($E187-$D187),0)), IF(OR(S$113=$B187+$D187,S$113=$B187+$E187),$K187/(($E187-$D187)*2),IF(AND(S$113&gt;$B187+$D187,S$113&lt;$B187+$E187),$K187/($E187-$D187),0)))</f>
        <v>0</v>
      </c>
      <c r="T187" s="9">
        <f>IF(OR($C187="Annual",$D187=$E187),IF(AND($D187=$E187,T$113=$B187+$D187),$K187,IF(AND(T$113&gt;$B187+$D187,T$113&lt;=$B187+$E187), $K187/($E187-$D187),0)), IF(OR(T$113=$B187+$D187,T$113=$B187+$E187),$K187/(($E187-$D187)*2),IF(AND(T$113&gt;$B187+$D187,T$113&lt;$B187+$E187),$K187/($E187-$D187),0)))</f>
        <v>0</v>
      </c>
      <c r="U187" s="9"/>
      <c r="V187" s="9"/>
      <c r="W187" s="9"/>
      <c r="X187" s="9"/>
      <c r="Y187" s="9">
        <f t="shared" si="48"/>
        <v>0</v>
      </c>
      <c r="Z187" s="9">
        <f t="shared" ca="1" si="48"/>
        <v>0</v>
      </c>
      <c r="AA187" s="9">
        <f t="shared" ca="1" si="48"/>
        <v>0</v>
      </c>
    </row>
    <row r="188" spans="1:27">
      <c r="A188" s="8" t="str">
        <f>A187</f>
        <v>Type 7</v>
      </c>
      <c r="B188" s="7">
        <f>B187+1</f>
        <v>2022</v>
      </c>
      <c r="C188" s="7" t="str">
        <f t="shared" si="49"/>
        <v>Annual</v>
      </c>
      <c r="D188" s="7">
        <f t="shared" si="49"/>
        <v>0</v>
      </c>
      <c r="E188" s="7">
        <f>E187</f>
        <v>0</v>
      </c>
      <c r="F188" s="14">
        <f>$P$88</f>
        <v>0</v>
      </c>
      <c r="H188" s="9"/>
      <c r="I188" s="9"/>
      <c r="J188" s="9"/>
      <c r="K188" s="9"/>
      <c r="L188" s="9">
        <f ca="1">$F$88/$F$33</f>
        <v>0</v>
      </c>
      <c r="M188" s="9">
        <f ca="1">L188-T188</f>
        <v>0</v>
      </c>
      <c r="N188" s="9"/>
      <c r="O188" s="9"/>
      <c r="P188" s="9"/>
      <c r="Q188" s="9"/>
      <c r="R188" s="9"/>
      <c r="S188" s="9">
        <f ca="1">IF(OR($C188="Annual",$D188=$E188),IF(AND($D188=$E188,S$113=$B188+$D188),$L188,IF(AND(S$113&gt;$B188+$D188,S$113&lt;=$B188+$E188), $L188/($E188-$D188),0)), IF(OR(S$113=$B188+$D188,S$113=$B188+$E188),$L188/(($E188-$D188)*2),IF(AND(S$113&gt;$B188+$D188,S$113&lt;$B188+$E188),$L188/($E188-$D188),0)))</f>
        <v>0</v>
      </c>
      <c r="T188" s="9">
        <f>IF(OR($C188="Annual",$D188=$E188),IF(AND($D188=$E188,T$113=$B188+$D188),$L188,IF(AND(T$113&gt;$B188+$D188,T$113&lt;=$B188+$E188), $L188/($E188-$D188),0)), IF(OR(T$113=$B188+$D188,T$113=$B188+$E188),$L188/(($E188-$D188)*2),IF(AND(T$113&gt;$B188+$D188,T$113&lt;$B188+$E188),$L188/($E188-$D188),0)))</f>
        <v>0</v>
      </c>
      <c r="U188" s="9"/>
      <c r="V188" s="9"/>
      <c r="W188" s="9"/>
      <c r="X188" s="9"/>
      <c r="Y188" s="9"/>
      <c r="Z188" s="9">
        <f t="shared" si="48"/>
        <v>0</v>
      </c>
      <c r="AA188" s="9">
        <f t="shared" ca="1" si="48"/>
        <v>0</v>
      </c>
    </row>
    <row r="189" spans="1:27">
      <c r="A189" s="8" t="str">
        <f>A188</f>
        <v>Type 7</v>
      </c>
      <c r="B189" s="7">
        <f>B188+1</f>
        <v>2023</v>
      </c>
      <c r="C189" s="7" t="str">
        <f t="shared" si="49"/>
        <v>Annual</v>
      </c>
      <c r="D189" s="7">
        <f t="shared" si="49"/>
        <v>0</v>
      </c>
      <c r="E189" s="7">
        <f>E188</f>
        <v>0</v>
      </c>
      <c r="F189" s="14">
        <f>$Q$88</f>
        <v>0</v>
      </c>
      <c r="H189" s="9"/>
      <c r="I189" s="9"/>
      <c r="J189" s="9"/>
      <c r="K189" s="9"/>
      <c r="L189" s="9"/>
      <c r="M189" s="9">
        <f ca="1">$G$88/$G$33</f>
        <v>0</v>
      </c>
      <c r="N189" s="9"/>
      <c r="O189" s="9"/>
      <c r="P189" s="9"/>
      <c r="Q189" s="9"/>
      <c r="R189" s="9"/>
      <c r="S189" s="9"/>
      <c r="T189" s="9">
        <f ca="1">IF(OR($C189="Annual",$D189=$E189),IF(AND($D189=$E189,T$113=$B189+$D189),$M189,IF(AND(T$113&gt;$B189+$D189,T$113&lt;=$B189+$E189), $M189/($E189-$D189),0)), IF(OR(T$113=$B189+$D189,T$113=$B189+$E189),$M189/(($E189-$D189)*2),IF(AND(T$113&gt;$B189+$D189,T$113&lt;$B189+$E189),$M189/($E189-$D189),0)))</f>
        <v>0</v>
      </c>
      <c r="U189" s="9"/>
      <c r="V189" s="9"/>
      <c r="W189" s="9"/>
      <c r="X189" s="9"/>
      <c r="Y189" s="9"/>
      <c r="Z189" s="9"/>
      <c r="AA189" s="9">
        <f t="shared" si="48"/>
        <v>0</v>
      </c>
    </row>
    <row r="190" spans="1:27">
      <c r="A190" s="8"/>
      <c r="B190" s="7"/>
      <c r="C190" s="7"/>
      <c r="D190" s="7"/>
      <c r="E190" s="7"/>
      <c r="F190" s="15"/>
      <c r="H190" s="9"/>
      <c r="I190" s="9"/>
      <c r="J190" s="9"/>
      <c r="K190" s="9"/>
      <c r="L190" s="9"/>
      <c r="M190" s="9"/>
      <c r="N190" s="9"/>
      <c r="O190" s="278"/>
      <c r="P190" s="10"/>
      <c r="Q190" s="10"/>
      <c r="R190" s="10"/>
      <c r="S190" s="10"/>
      <c r="T190" s="10"/>
      <c r="U190" s="9"/>
      <c r="V190" s="10"/>
      <c r="W190" s="10"/>
      <c r="X190" s="10"/>
      <c r="Y190" s="10"/>
      <c r="Z190" s="10"/>
      <c r="AA190" s="10"/>
    </row>
    <row r="191" spans="1:27">
      <c r="A191" s="8" t="str">
        <f>'Input 4 - Forecast'!A68</f>
        <v>Type 8</v>
      </c>
      <c r="B191" s="7">
        <f>B121</f>
        <v>2018</v>
      </c>
      <c r="C191" s="7" t="str">
        <f>$I89</f>
        <v>Annual</v>
      </c>
      <c r="D191" s="7">
        <f>$J89</f>
        <v>0</v>
      </c>
      <c r="E191" s="7">
        <f>$K89</f>
        <v>0</v>
      </c>
      <c r="F191" s="14">
        <f>$L$89</f>
        <v>0</v>
      </c>
      <c r="H191" s="9">
        <f>$B$89/$B$33</f>
        <v>0</v>
      </c>
      <c r="I191" s="9">
        <f>H191-P191</f>
        <v>0</v>
      </c>
      <c r="J191" s="9">
        <f>I191-Q191</f>
        <v>0</v>
      </c>
      <c r="K191" s="9">
        <f>J191-R191</f>
        <v>0</v>
      </c>
      <c r="L191" s="9">
        <f>K191-S191</f>
        <v>0</v>
      </c>
      <c r="M191" s="9">
        <f>L191-T191</f>
        <v>0</v>
      </c>
      <c r="N191" s="9"/>
      <c r="O191" s="9">
        <f t="shared" ref="O191:T191" si="50">IF(OR($C191="Annual",$D191=$E191),IF(AND($D191=$E191,O$113=$B191+$D191),$H191,IF(AND(O$113&gt;$B191+$D191,O$113&lt;=$B191+$E191), $H191/($E191-$D191),0)), IF(OR(O$113=$B191+$D191,O$113=$B191+$E191),$H191/(($E191-$D191)*2),IF(AND(O$113&gt;$B191+$D191,O$113&lt;$B191+$E191),$H191/($E191-$D191),0)))</f>
        <v>0</v>
      </c>
      <c r="P191" s="9">
        <f t="shared" si="50"/>
        <v>0</v>
      </c>
      <c r="Q191" s="9">
        <f t="shared" si="50"/>
        <v>0</v>
      </c>
      <c r="R191" s="9">
        <f t="shared" si="50"/>
        <v>0</v>
      </c>
      <c r="S191" s="9">
        <f t="shared" si="50"/>
        <v>0</v>
      </c>
      <c r="T191" s="9">
        <f t="shared" si="50"/>
        <v>0</v>
      </c>
      <c r="U191" s="9"/>
      <c r="V191" s="9">
        <f>IF($C191="annual",IF(V$113=$B191,0,G191*$F191),IF(V$113-$B191=0,0,IF((V$113-$B191)&lt;$E191,AVERAGE(G191,H191)*$F191,IF((V$113-$B191)=$E191,G191*$F191/2,0))))</f>
        <v>0</v>
      </c>
      <c r="W191" s="9">
        <f t="shared" ref="W191:AA196" si="51">IF($C191="annual",IF(W$113=$B191,0,H191*$F191),IF(W$113-$B191=0,0,IF((W$113-$B191)&lt;$E191,AVERAGE(H191,I191)*$F191,IF((W$113-$B191)=$E191,H191*$F191/2,0))))</f>
        <v>0</v>
      </c>
      <c r="X191" s="9">
        <f t="shared" si="51"/>
        <v>0</v>
      </c>
      <c r="Y191" s="9">
        <f t="shared" si="51"/>
        <v>0</v>
      </c>
      <c r="Z191" s="9">
        <f t="shared" si="51"/>
        <v>0</v>
      </c>
      <c r="AA191" s="9">
        <f t="shared" si="51"/>
        <v>0</v>
      </c>
    </row>
    <row r="192" spans="1:27">
      <c r="A192" s="8" t="str">
        <f>A191</f>
        <v>Type 8</v>
      </c>
      <c r="B192" s="7">
        <f>B191+1</f>
        <v>2019</v>
      </c>
      <c r="C192" s="7" t="str">
        <f t="shared" ref="C192:D196" si="52">C191</f>
        <v>Annual</v>
      </c>
      <c r="D192" s="7">
        <f t="shared" si="52"/>
        <v>0</v>
      </c>
      <c r="E192" s="7">
        <f>E191</f>
        <v>0</v>
      </c>
      <c r="F192" s="14">
        <f>$M$89</f>
        <v>0</v>
      </c>
      <c r="H192" s="9"/>
      <c r="I192" s="9">
        <f ca="1">$C$89/$C$33</f>
        <v>0</v>
      </c>
      <c r="J192" s="9">
        <f ca="1">I192-Q192</f>
        <v>0</v>
      </c>
      <c r="K192" s="9">
        <f ca="1">J192-R192</f>
        <v>0</v>
      </c>
      <c r="L192" s="9">
        <f ca="1">K192-S192</f>
        <v>0</v>
      </c>
      <c r="M192" s="9">
        <f ca="1">L192-T192</f>
        <v>0</v>
      </c>
      <c r="N192" s="9"/>
      <c r="O192" s="9"/>
      <c r="P192" s="9">
        <f ca="1">IF(OR($C192="Annual",$D192=$E192),IF(AND($D192=$E192,P$113=$B192+$D192),$I192,IF(AND(P$113&gt;$B192+$D192,P$113&lt;=$B192+$E192), $I192/($E192-$D192),0)), IF(OR(P$113=$B192+$D192,P$113=$B192+$E192),$I192/(($E192-$D192)*2),IF(AND(P$113&gt;$B192+$D192,P$113&lt;$B192+$E192),$I192/($E192-$D192),0)))</f>
        <v>0</v>
      </c>
      <c r="Q192" s="9">
        <f>IF(OR($C192="Annual",$D192=$E192),IF(AND($D192=$E192,Q$113=$B192+$D192),$I192,IF(AND(Q$113&gt;$B192+$D192,Q$113&lt;=$B192+$E192), $I192/($E192-$D192),0)), IF(OR(Q$113=$B192+$D192,Q$113=$B192+$E192),$I192/(($E192-$D192)*2),IF(AND(Q$113&gt;$B192+$D192,Q$113&lt;$B192+$E192),$I192/($E192-$D192),0)))</f>
        <v>0</v>
      </c>
      <c r="R192" s="9">
        <f>IF(OR($C192="Annual",$D192=$E192),IF(AND($D192=$E192,R$113=$B192+$D192),$I192,IF(AND(R$113&gt;$B192+$D192,R$113&lt;=$B192+$E192), $I192/($E192-$D192),0)), IF(OR(R$113=$B192+$D192,R$113=$B192+$E192),$I192/(($E192-$D192)*2),IF(AND(R$113&gt;$B192+$D192,R$113&lt;$B192+$E192),$I192/($E192-$D192),0)))</f>
        <v>0</v>
      </c>
      <c r="S192" s="9">
        <f>IF(OR($C192="Annual",$D192=$E192),IF(AND($D192=$E192,S$113=$B192+$D192),$I192,IF(AND(S$113&gt;$B192+$D192,S$113&lt;=$B192+$E192), $I192/($E192-$D192),0)), IF(OR(S$113=$B192+$D192,S$113=$B192+$E192),$I192/(($E192-$D192)*2),IF(AND(S$113&gt;$B192+$D192,S$113&lt;$B192+$E192),$I192/($E192-$D192),0)))</f>
        <v>0</v>
      </c>
      <c r="T192" s="9">
        <f>IF(OR($C192="Annual",$D192=$E192),IF(AND($D192=$E192,T$113=$B192+$D192),$I192,IF(AND(T$113&gt;$B192+$D192,T$113&lt;=$B192+$E192), $I192/($E192-$D192),0)), IF(OR(T$113=$B192+$D192,T$113=$B192+$E192),$I192/(($E192-$D192)*2),IF(AND(T$113&gt;$B192+$D192,T$113&lt;$B192+$E192),$I192/($E192-$D192),0)))</f>
        <v>0</v>
      </c>
      <c r="U192" s="9"/>
      <c r="V192" s="9"/>
      <c r="W192" s="9">
        <f t="shared" si="51"/>
        <v>0</v>
      </c>
      <c r="X192" s="9">
        <f t="shared" ca="1" si="51"/>
        <v>0</v>
      </c>
      <c r="Y192" s="9">
        <f t="shared" ca="1" si="51"/>
        <v>0</v>
      </c>
      <c r="Z192" s="9">
        <f t="shared" ca="1" si="51"/>
        <v>0</v>
      </c>
      <c r="AA192" s="9">
        <f t="shared" ca="1" si="51"/>
        <v>0</v>
      </c>
    </row>
    <row r="193" spans="1:27">
      <c r="A193" s="8" t="str">
        <f>A192</f>
        <v>Type 8</v>
      </c>
      <c r="B193" s="7">
        <f>B192+1</f>
        <v>2020</v>
      </c>
      <c r="C193" s="7" t="str">
        <f t="shared" si="52"/>
        <v>Annual</v>
      </c>
      <c r="D193" s="7">
        <f t="shared" si="52"/>
        <v>0</v>
      </c>
      <c r="E193" s="7">
        <f>E192</f>
        <v>0</v>
      </c>
      <c r="F193" s="14">
        <f>$N$89</f>
        <v>0</v>
      </c>
      <c r="H193" s="9"/>
      <c r="I193" s="9"/>
      <c r="J193" s="9">
        <f ca="1">$D$89/$D$33</f>
        <v>0</v>
      </c>
      <c r="K193" s="9">
        <f ca="1">J193-R193</f>
        <v>0</v>
      </c>
      <c r="L193" s="9">
        <f ca="1">K193-S193</f>
        <v>0</v>
      </c>
      <c r="M193" s="9">
        <f ca="1">L193-T193</f>
        <v>0</v>
      </c>
      <c r="N193" s="9"/>
      <c r="O193" s="9"/>
      <c r="P193" s="9"/>
      <c r="Q193" s="9">
        <f ca="1">IF(OR($C193="Annual",$D193=$E193),IF(AND($D193=$E193,Q$113=$B193+$D193),$J193,IF(AND(Q$113&gt;$B193+$D193,Q$113&lt;=$B193+$E193), $J193/($E193-$D193),0)), IF(OR(Q$113=$B193+$D193,Q$113=$B193+$E193),$J193/(($E193-$D193)*2),IF(AND(Q$113&gt;$B193+$D193,Q$113&lt;$B193+$E193),$J193/($E193-$D193),0)))</f>
        <v>0</v>
      </c>
      <c r="R193" s="9">
        <f>IF(OR($C193="Annual",$D193=$E193),IF(AND($D193=$E193,R$113=$B193+$D193),$J193,IF(AND(R$113&gt;$B193+$D193,R$113&lt;=$B193+$E193), $J193/($E193-$D193),0)), IF(OR(R$113=$B193+$D193,R$113=$B193+$E193),$J193/(($E193-$D193)*2),IF(AND(R$113&gt;$B193+$D193,R$113&lt;$B193+$E193),$J193/($E193-$D193),0)))</f>
        <v>0</v>
      </c>
      <c r="S193" s="9">
        <f>IF(OR($C193="Annual",$D193=$E193),IF(AND($D193=$E193,S$113=$B193+$D193),$J193,IF(AND(S$113&gt;$B193+$D193,S$113&lt;=$B193+$E193), $J193/($E193-$D193),0)), IF(OR(S$113=$B193+$D193,S$113=$B193+$E193),$J193/(($E193-$D193)*2),IF(AND(S$113&gt;$B193+$D193,S$113&lt;$B193+$E193),$J193/($E193-$D193),0)))</f>
        <v>0</v>
      </c>
      <c r="T193" s="9">
        <f>IF(OR($C193="Annual",$D193=$E193),IF(AND($D193=$E193,T$113=$B193+$D193),$J193,IF(AND(T$113&gt;$B193+$D193,T$113&lt;=$B193+$E193), $J193/($E193-$D193),0)), IF(OR(T$113=$B193+$D193,T$113=$B193+$E193),$J193/(($E193-$D193)*2),IF(AND(T$113&gt;$B193+$D193,T$113&lt;$B193+$E193),$J193/($E193-$D193),0)))</f>
        <v>0</v>
      </c>
      <c r="U193" s="9"/>
      <c r="V193" s="9"/>
      <c r="W193" s="9"/>
      <c r="X193" s="9">
        <f t="shared" si="51"/>
        <v>0</v>
      </c>
      <c r="Y193" s="9">
        <f t="shared" ca="1" si="51"/>
        <v>0</v>
      </c>
      <c r="Z193" s="9">
        <f t="shared" ca="1" si="51"/>
        <v>0</v>
      </c>
      <c r="AA193" s="9">
        <f t="shared" ca="1" si="51"/>
        <v>0</v>
      </c>
    </row>
    <row r="194" spans="1:27">
      <c r="A194" s="8" t="str">
        <f>A193</f>
        <v>Type 8</v>
      </c>
      <c r="B194" s="7">
        <f>B193+1</f>
        <v>2021</v>
      </c>
      <c r="C194" s="7" t="str">
        <f t="shared" si="52"/>
        <v>Annual</v>
      </c>
      <c r="D194" s="7">
        <f t="shared" si="52"/>
        <v>0</v>
      </c>
      <c r="E194" s="7">
        <f>E193</f>
        <v>0</v>
      </c>
      <c r="F194" s="14">
        <f>$O$89</f>
        <v>0</v>
      </c>
      <c r="H194" s="9"/>
      <c r="I194" s="9"/>
      <c r="J194" s="9"/>
      <c r="K194" s="9">
        <f ca="1">$E$89/$E$33</f>
        <v>0</v>
      </c>
      <c r="L194" s="9">
        <f ca="1">K194-S194</f>
        <v>0</v>
      </c>
      <c r="M194" s="9">
        <f ca="1">L194-T194</f>
        <v>0</v>
      </c>
      <c r="N194" s="9"/>
      <c r="O194" s="9"/>
      <c r="P194" s="9"/>
      <c r="Q194" s="9"/>
      <c r="R194" s="9">
        <f ca="1">IF(OR($C194="Annual",$D194=$E194),IF(AND($D194=$E194,R$113=$B194+$D194),$K194,IF(AND(R$113&gt;$B194+$D194,R$113&lt;=$B194+$E194), $K194/($E194-$D194),0)), IF(OR(R$113=$B194+$D194,R$113=$B194+$E194),$K194/(($E194-$D194)*2),IF(AND(R$113&gt;$B194+$D194,R$113&lt;$B194+$E194),$K194/($E194-$D194),0)))</f>
        <v>0</v>
      </c>
      <c r="S194" s="9">
        <f>IF(OR($C194="Annual",$D194=$E194),IF(AND($D194=$E194,S$113=$B194+$D194),$K194,IF(AND(S$113&gt;$B194+$D194,S$113&lt;=$B194+$E194), $K194/($E194-$D194),0)), IF(OR(S$113=$B194+$D194,S$113=$B194+$E194),$K194/(($E194-$D194)*2),IF(AND(S$113&gt;$B194+$D194,S$113&lt;$B194+$E194),$K194/($E194-$D194),0)))</f>
        <v>0</v>
      </c>
      <c r="T194" s="9">
        <f>IF(OR($C194="Annual",$D194=$E194),IF(AND($D194=$E194,T$113=$B194+$D194),$K194,IF(AND(T$113&gt;$B194+$D194,T$113&lt;=$B194+$E194), $K194/($E194-$D194),0)), IF(OR(T$113=$B194+$D194,T$113=$B194+$E194),$K194/(($E194-$D194)*2),IF(AND(T$113&gt;$B194+$D194,T$113&lt;$B194+$E194),$K194/($E194-$D194),0)))</f>
        <v>0</v>
      </c>
      <c r="U194" s="9"/>
      <c r="V194" s="9"/>
      <c r="W194" s="9"/>
      <c r="X194" s="9"/>
      <c r="Y194" s="9">
        <f t="shared" si="51"/>
        <v>0</v>
      </c>
      <c r="Z194" s="9">
        <f t="shared" ca="1" si="51"/>
        <v>0</v>
      </c>
      <c r="AA194" s="9">
        <f t="shared" ca="1" si="51"/>
        <v>0</v>
      </c>
    </row>
    <row r="195" spans="1:27">
      <c r="A195" s="8" t="str">
        <f>A194</f>
        <v>Type 8</v>
      </c>
      <c r="B195" s="7">
        <f>B194+1</f>
        <v>2022</v>
      </c>
      <c r="C195" s="7" t="str">
        <f t="shared" si="52"/>
        <v>Annual</v>
      </c>
      <c r="D195" s="7">
        <f t="shared" si="52"/>
        <v>0</v>
      </c>
      <c r="E195" s="7">
        <f>E194</f>
        <v>0</v>
      </c>
      <c r="F195" s="14">
        <f>$P$89</f>
        <v>0</v>
      </c>
      <c r="H195" s="9"/>
      <c r="I195" s="9"/>
      <c r="J195" s="9"/>
      <c r="K195" s="9"/>
      <c r="L195" s="9">
        <f ca="1">$F$89/$F$33</f>
        <v>0</v>
      </c>
      <c r="M195" s="9">
        <f ca="1">L195-T195</f>
        <v>0</v>
      </c>
      <c r="N195" s="9"/>
      <c r="O195" s="9"/>
      <c r="P195" s="9"/>
      <c r="Q195" s="9"/>
      <c r="R195" s="9"/>
      <c r="S195" s="9">
        <f ca="1">IF(OR($C195="Annual",$D195=$E195),IF(AND($D195=$E195,S$113=$B195+$D195),$L195,IF(AND(S$113&gt;$B195+$D195,S$113&lt;=$B195+$E195), $L195/($E195-$D195),0)), IF(OR(S$113=$B195+$D195,S$113=$B195+$E195),$L195/(($E195-$D195)*2),IF(AND(S$113&gt;$B195+$D195,S$113&lt;$B195+$E195),$L195/($E195-$D195),0)))</f>
        <v>0</v>
      </c>
      <c r="T195" s="9">
        <f>IF(OR($C195="Annual",$D195=$E195),IF(AND($D195=$E195,T$113=$B195+$D195),$L195,IF(AND(T$113&gt;$B195+$D195,T$113&lt;=$B195+$E195), $L195/($E195-$D195),0)), IF(OR(T$113=$B195+$D195,T$113=$B195+$E195),$L195/(($E195-$D195)*2),IF(AND(T$113&gt;$B195+$D195,T$113&lt;$B195+$E195),$L195/($E195-$D195),0)))</f>
        <v>0</v>
      </c>
      <c r="U195" s="9"/>
      <c r="V195" s="9"/>
      <c r="W195" s="9"/>
      <c r="X195" s="9"/>
      <c r="Y195" s="9"/>
      <c r="Z195" s="9">
        <f t="shared" si="51"/>
        <v>0</v>
      </c>
      <c r="AA195" s="9">
        <f t="shared" ca="1" si="51"/>
        <v>0</v>
      </c>
    </row>
    <row r="196" spans="1:27">
      <c r="A196" s="8" t="str">
        <f>A195</f>
        <v>Type 8</v>
      </c>
      <c r="B196" s="7">
        <f>B195+1</f>
        <v>2023</v>
      </c>
      <c r="C196" s="7" t="str">
        <f t="shared" si="52"/>
        <v>Annual</v>
      </c>
      <c r="D196" s="7">
        <f t="shared" si="52"/>
        <v>0</v>
      </c>
      <c r="E196" s="7">
        <f>E195</f>
        <v>0</v>
      </c>
      <c r="F196" s="14">
        <f>$Q$89</f>
        <v>0</v>
      </c>
      <c r="H196" s="9"/>
      <c r="I196" s="9"/>
      <c r="J196" s="9"/>
      <c r="K196" s="9"/>
      <c r="L196" s="9"/>
      <c r="M196" s="9">
        <f ca="1">$G$89/$G$33</f>
        <v>0</v>
      </c>
      <c r="N196" s="9"/>
      <c r="O196" s="9"/>
      <c r="P196" s="9"/>
      <c r="Q196" s="9"/>
      <c r="R196" s="9"/>
      <c r="S196" s="9"/>
      <c r="T196" s="9">
        <f ca="1">IF(OR($C196="Annual",$D196=$E196),IF(AND($D196=$E196,T$113=$B196+$D196),$M196,IF(AND(T$113&gt;$B196+$D196,T$113&lt;=$B196+$E196), $M196/($E196-$D196),0)), IF(OR(T$113=$B196+$D196,T$113=$B196+$E196),$M196/(($E196-$D196)*2),IF(AND(T$113&gt;$B196+$D196,T$113&lt;$B196+$E196),$M196/($E196-$D196),0)))</f>
        <v>0</v>
      </c>
      <c r="U196" s="9"/>
      <c r="V196" s="9"/>
      <c r="W196" s="9"/>
      <c r="X196" s="9"/>
      <c r="Y196" s="9"/>
      <c r="Z196" s="9"/>
      <c r="AA196" s="9">
        <f t="shared" si="51"/>
        <v>0</v>
      </c>
    </row>
    <row r="197" spans="1:27">
      <c r="A197" s="8"/>
      <c r="B197" s="7"/>
      <c r="C197" s="7"/>
      <c r="D197" s="7"/>
      <c r="E197" s="7"/>
      <c r="F197" s="15"/>
      <c r="H197" s="9"/>
      <c r="I197" s="9"/>
      <c r="J197" s="9"/>
      <c r="K197" s="9"/>
      <c r="L197" s="9"/>
      <c r="M197" s="9"/>
      <c r="N197" s="9"/>
      <c r="O197" s="278"/>
      <c r="P197" s="10"/>
      <c r="Q197" s="10"/>
      <c r="R197" s="10"/>
      <c r="S197" s="10"/>
      <c r="T197" s="10"/>
      <c r="U197" s="9"/>
      <c r="V197" s="10"/>
      <c r="W197" s="10"/>
      <c r="X197" s="10"/>
      <c r="Y197" s="10"/>
      <c r="Z197" s="10"/>
      <c r="AA197" s="10"/>
    </row>
    <row r="198" spans="1:27">
      <c r="A198" s="8" t="str">
        <f>'Input 4 - Forecast'!A69</f>
        <v>Type 9</v>
      </c>
      <c r="B198" s="7">
        <f>B121</f>
        <v>2018</v>
      </c>
      <c r="C198" s="7" t="str">
        <f>$I90</f>
        <v>Annual</v>
      </c>
      <c r="D198" s="7">
        <f>$J90</f>
        <v>0</v>
      </c>
      <c r="E198" s="7">
        <f>$K90</f>
        <v>0</v>
      </c>
      <c r="F198" s="14">
        <f>$L$90</f>
        <v>0</v>
      </c>
      <c r="H198" s="9">
        <f>$B$90/$B$33</f>
        <v>0</v>
      </c>
      <c r="I198" s="9">
        <f>H198-P198</f>
        <v>0</v>
      </c>
      <c r="J198" s="9">
        <f>I198-Q198</f>
        <v>0</v>
      </c>
      <c r="K198" s="9">
        <f>J198-R198</f>
        <v>0</v>
      </c>
      <c r="L198" s="9">
        <f>K198-S198</f>
        <v>0</v>
      </c>
      <c r="M198" s="9">
        <f>L198-T198</f>
        <v>0</v>
      </c>
      <c r="N198" s="9"/>
      <c r="O198" s="9">
        <f t="shared" ref="O198:T198" si="53">IF(OR($C198="Annual",$D198=$E198),IF(AND($D198=$E198,O$113=$B198+$D198),$H198,IF(AND(O$113&gt;$B198+$D198,O$113&lt;=$B198+$E198), $H198/($E198-$D198),0)), IF(OR(O$113=$B198+$D198,O$113=$B198+$E198),$H198/(($E198-$D198)*2),IF(AND(O$113&gt;$B198+$D198,O$113&lt;$B198+$E198),$H198/($E198-$D198),0)))</f>
        <v>0</v>
      </c>
      <c r="P198" s="9">
        <f t="shared" si="53"/>
        <v>0</v>
      </c>
      <c r="Q198" s="9">
        <f t="shared" si="53"/>
        <v>0</v>
      </c>
      <c r="R198" s="9">
        <f t="shared" si="53"/>
        <v>0</v>
      </c>
      <c r="S198" s="9">
        <f t="shared" si="53"/>
        <v>0</v>
      </c>
      <c r="T198" s="9">
        <f t="shared" si="53"/>
        <v>0</v>
      </c>
      <c r="U198" s="9"/>
      <c r="V198" s="9">
        <f>IF($C198="annual",IF(V$113=$B198,0,G198*$F198),IF(V$113-$B198=0,0,IF((V$113-$B198)&lt;$E198,AVERAGE(G198,H198)*$F198,IF((V$113-$B198)=$E198,G198*$F198/2,0))))</f>
        <v>0</v>
      </c>
      <c r="W198" s="9">
        <f t="shared" ref="W198:AA203" si="54">IF($C198="annual",IF(W$113=$B198,0,H198*$F198),IF(W$113-$B198=0,0,IF((W$113-$B198)&lt;$E198,AVERAGE(H198,I198)*$F198,IF((W$113-$B198)=$E198,H198*$F198/2,0))))</f>
        <v>0</v>
      </c>
      <c r="X198" s="9">
        <f t="shared" si="54"/>
        <v>0</v>
      </c>
      <c r="Y198" s="9">
        <f t="shared" si="54"/>
        <v>0</v>
      </c>
      <c r="Z198" s="9">
        <f t="shared" si="54"/>
        <v>0</v>
      </c>
      <c r="AA198" s="9">
        <f t="shared" si="54"/>
        <v>0</v>
      </c>
    </row>
    <row r="199" spans="1:27">
      <c r="A199" s="8" t="str">
        <f>A198</f>
        <v>Type 9</v>
      </c>
      <c r="B199" s="7">
        <f>B198+1</f>
        <v>2019</v>
      </c>
      <c r="C199" s="7" t="str">
        <f t="shared" ref="C199:D203" si="55">C198</f>
        <v>Annual</v>
      </c>
      <c r="D199" s="7">
        <f t="shared" si="55"/>
        <v>0</v>
      </c>
      <c r="E199" s="7">
        <f>E198</f>
        <v>0</v>
      </c>
      <c r="F199" s="14">
        <f>$M$90</f>
        <v>0</v>
      </c>
      <c r="H199" s="9"/>
      <c r="I199" s="9">
        <f ca="1">$C$90/$C$33</f>
        <v>0</v>
      </c>
      <c r="J199" s="9">
        <f ca="1">I199-Q199</f>
        <v>0</v>
      </c>
      <c r="K199" s="9">
        <f ca="1">J199-R199</f>
        <v>0</v>
      </c>
      <c r="L199" s="9">
        <f ca="1">K199-S199</f>
        <v>0</v>
      </c>
      <c r="M199" s="9">
        <f ca="1">L199-T199</f>
        <v>0</v>
      </c>
      <c r="N199" s="9"/>
      <c r="O199" s="9"/>
      <c r="P199" s="9">
        <f ca="1">IF(OR($C199="Annual",$D199=$E199),IF(AND($D199=$E199,P$113=$B199+$D199),$I199,IF(AND(P$113&gt;$B199+$D199,P$113&lt;=$B199+$E199), $I199/($E199-$D199),0)), IF(OR(P$113=$B199+$D199,P$113=$B199+$E199),$I199/(($E199-$D199)*2),IF(AND(P$113&gt;$B199+$D199,P$113&lt;$B199+$E199),$I199/($E199-$D199),0)))</f>
        <v>0</v>
      </c>
      <c r="Q199" s="9">
        <f>IF(OR($C199="Annual",$D199=$E199),IF(AND($D199=$E199,Q$113=$B199+$D199),$I199,IF(AND(Q$113&gt;$B199+$D199,Q$113&lt;=$B199+$E199), $I199/($E199-$D199),0)), IF(OR(Q$113=$B199+$D199,Q$113=$B199+$E199),$I199/(($E199-$D199)*2),IF(AND(Q$113&gt;$B199+$D199,Q$113&lt;$B199+$E199),$I199/($E199-$D199),0)))</f>
        <v>0</v>
      </c>
      <c r="R199" s="9">
        <f>IF(OR($C199="Annual",$D199=$E199),IF(AND($D199=$E199,R$113=$B199+$D199),$I199,IF(AND(R$113&gt;$B199+$D199,R$113&lt;=$B199+$E199), $I199/($E199-$D199),0)), IF(OR(R$113=$B199+$D199,R$113=$B199+$E199),$I199/(($E199-$D199)*2),IF(AND(R$113&gt;$B199+$D199,R$113&lt;$B199+$E199),$I199/($E199-$D199),0)))</f>
        <v>0</v>
      </c>
      <c r="S199" s="9">
        <f>IF(OR($C199="Annual",$D199=$E199),IF(AND($D199=$E199,S$113=$B199+$D199),$I199,IF(AND(S$113&gt;$B199+$D199,S$113&lt;=$B199+$E199), $I199/($E199-$D199),0)), IF(OR(S$113=$B199+$D199,S$113=$B199+$E199),$I199/(($E199-$D199)*2),IF(AND(S$113&gt;$B199+$D199,S$113&lt;$B199+$E199),$I199/($E199-$D199),0)))</f>
        <v>0</v>
      </c>
      <c r="T199" s="9">
        <f>IF(OR($C199="Annual",$D199=$E199),IF(AND($D199=$E199,T$113=$B199+$D199),$I199,IF(AND(T$113&gt;$B199+$D199,T$113&lt;=$B199+$E199), $I199/($E199-$D199),0)), IF(OR(T$113=$B199+$D199,T$113=$B199+$E199),$I199/(($E199-$D199)*2),IF(AND(T$113&gt;$B199+$D199,T$113&lt;$B199+$E199),$I199/($E199-$D199),0)))</f>
        <v>0</v>
      </c>
      <c r="U199" s="9"/>
      <c r="V199" s="9"/>
      <c r="W199" s="9">
        <f t="shared" si="54"/>
        <v>0</v>
      </c>
      <c r="X199" s="9">
        <f t="shared" ca="1" si="54"/>
        <v>0</v>
      </c>
      <c r="Y199" s="9">
        <f t="shared" ca="1" si="54"/>
        <v>0</v>
      </c>
      <c r="Z199" s="9">
        <f t="shared" ca="1" si="54"/>
        <v>0</v>
      </c>
      <c r="AA199" s="9">
        <f t="shared" ca="1" si="54"/>
        <v>0</v>
      </c>
    </row>
    <row r="200" spans="1:27">
      <c r="A200" s="8" t="str">
        <f>A199</f>
        <v>Type 9</v>
      </c>
      <c r="B200" s="7">
        <f>B199+1</f>
        <v>2020</v>
      </c>
      <c r="C200" s="7" t="str">
        <f t="shared" si="55"/>
        <v>Annual</v>
      </c>
      <c r="D200" s="7">
        <f t="shared" si="55"/>
        <v>0</v>
      </c>
      <c r="E200" s="7">
        <f>E199</f>
        <v>0</v>
      </c>
      <c r="F200" s="14">
        <f>$N$90</f>
        <v>0</v>
      </c>
      <c r="H200" s="9"/>
      <c r="I200" s="9"/>
      <c r="J200" s="9">
        <f ca="1">$D$90/$D$33</f>
        <v>0</v>
      </c>
      <c r="K200" s="9">
        <f ca="1">J200-R200</f>
        <v>0</v>
      </c>
      <c r="L200" s="9">
        <f ca="1">K200-S200</f>
        <v>0</v>
      </c>
      <c r="M200" s="9">
        <f ca="1">L200-T200</f>
        <v>0</v>
      </c>
      <c r="N200" s="9"/>
      <c r="O200" s="9"/>
      <c r="P200" s="9"/>
      <c r="Q200" s="9">
        <f ca="1">IF(OR($C200="Annual",$D200=$E200),IF(AND($D200=$E200,Q$113=$B200+$D200),$J200,IF(AND(Q$113&gt;$B200+$D200,Q$113&lt;=$B200+$E200), $J200/($E200-$D200),0)), IF(OR(Q$113=$B200+$D200,Q$113=$B200+$E200),$J200/(($E200-$D200)*2),IF(AND(Q$113&gt;$B200+$D200,Q$113&lt;$B200+$E200),$J200/($E200-$D200),0)))</f>
        <v>0</v>
      </c>
      <c r="R200" s="9">
        <f>IF(OR($C200="Annual",$D200=$E200),IF(AND($D200=$E200,R$113=$B200+$D200),$J200,IF(AND(R$113&gt;$B200+$D200,R$113&lt;=$B200+$E200), $J200/($E200-$D200),0)), IF(OR(R$113=$B200+$D200,R$113=$B200+$E200),$J200/(($E200-$D200)*2),IF(AND(R$113&gt;$B200+$D200,R$113&lt;$B200+$E200),$J200/($E200-$D200),0)))</f>
        <v>0</v>
      </c>
      <c r="S200" s="9">
        <f>IF(OR($C200="Annual",$D200=$E200),IF(AND($D200=$E200,S$113=$B200+$D200),$J200,IF(AND(S$113&gt;$B200+$D200,S$113&lt;=$B200+$E200), $J200/($E200-$D200),0)), IF(OR(S$113=$B200+$D200,S$113=$B200+$E200),$J200/(($E200-$D200)*2),IF(AND(S$113&gt;$B200+$D200,S$113&lt;$B200+$E200),$J200/($E200-$D200),0)))</f>
        <v>0</v>
      </c>
      <c r="T200" s="9">
        <f>IF(OR($C200="Annual",$D200=$E200),IF(AND($D200=$E200,T$113=$B200+$D200),$J200,IF(AND(T$113&gt;$B200+$D200,T$113&lt;=$B200+$E200), $J200/($E200-$D200),0)), IF(OR(T$113=$B200+$D200,T$113=$B200+$E200),$J200/(($E200-$D200)*2),IF(AND(T$113&gt;$B200+$D200,T$113&lt;$B200+$E200),$J200/($E200-$D200),0)))</f>
        <v>0</v>
      </c>
      <c r="U200" s="9"/>
      <c r="V200" s="9"/>
      <c r="W200" s="9"/>
      <c r="X200" s="9">
        <f t="shared" si="54"/>
        <v>0</v>
      </c>
      <c r="Y200" s="9">
        <f t="shared" ca="1" si="54"/>
        <v>0</v>
      </c>
      <c r="Z200" s="9">
        <f t="shared" ca="1" si="54"/>
        <v>0</v>
      </c>
      <c r="AA200" s="9">
        <f t="shared" ca="1" si="54"/>
        <v>0</v>
      </c>
    </row>
    <row r="201" spans="1:27">
      <c r="A201" s="8" t="str">
        <f>A200</f>
        <v>Type 9</v>
      </c>
      <c r="B201" s="7">
        <f>B200+1</f>
        <v>2021</v>
      </c>
      <c r="C201" s="7" t="str">
        <f t="shared" si="55"/>
        <v>Annual</v>
      </c>
      <c r="D201" s="7">
        <f t="shared" si="55"/>
        <v>0</v>
      </c>
      <c r="E201" s="7">
        <f>E200</f>
        <v>0</v>
      </c>
      <c r="F201" s="14">
        <f>$O$90</f>
        <v>0</v>
      </c>
      <c r="H201" s="9"/>
      <c r="I201" s="9"/>
      <c r="J201" s="9"/>
      <c r="K201" s="9">
        <f ca="1">$E$90/$E$33</f>
        <v>0</v>
      </c>
      <c r="L201" s="9">
        <f ca="1">K201-S201</f>
        <v>0</v>
      </c>
      <c r="M201" s="9">
        <f ca="1">L201-T201</f>
        <v>0</v>
      </c>
      <c r="N201" s="9"/>
      <c r="O201" s="9"/>
      <c r="P201" s="9"/>
      <c r="Q201" s="9"/>
      <c r="R201" s="9">
        <f ca="1">IF(OR($C201="Annual",$D201=$E201),IF(AND($D201=$E201,R$113=$B201+$D201),$K201,IF(AND(R$113&gt;$B201+$D201,R$113&lt;=$B201+$E201), $K201/($E201-$D201),0)), IF(OR(R$113=$B201+$D201,R$113=$B201+$E201),$K201/(($E201-$D201)*2),IF(AND(R$113&gt;$B201+$D201,R$113&lt;$B201+$E201),$K201/($E201-$D201),0)))</f>
        <v>0</v>
      </c>
      <c r="S201" s="9">
        <f>IF(OR($C201="Annual",$D201=$E201),IF(AND($D201=$E201,S$113=$B201+$D201),$K201,IF(AND(S$113&gt;$B201+$D201,S$113&lt;=$B201+$E201), $K201/($E201-$D201),0)), IF(OR(S$113=$B201+$D201,S$113=$B201+$E201),$K201/(($E201-$D201)*2),IF(AND(S$113&gt;$B201+$D201,S$113&lt;$B201+$E201),$K201/($E201-$D201),0)))</f>
        <v>0</v>
      </c>
      <c r="T201" s="9">
        <f>IF(OR($C201="Annual",$D201=$E201),IF(AND($D201=$E201,T$113=$B201+$D201),$K201,IF(AND(T$113&gt;$B201+$D201,T$113&lt;=$B201+$E201), $K201/($E201-$D201),0)), IF(OR(T$113=$B201+$D201,T$113=$B201+$E201),$K201/(($E201-$D201)*2),IF(AND(T$113&gt;$B201+$D201,T$113&lt;$B201+$E201),$K201/($E201-$D201),0)))</f>
        <v>0</v>
      </c>
      <c r="U201" s="9"/>
      <c r="V201" s="9"/>
      <c r="W201" s="9"/>
      <c r="X201" s="9"/>
      <c r="Y201" s="9">
        <f t="shared" si="54"/>
        <v>0</v>
      </c>
      <c r="Z201" s="9">
        <f t="shared" ca="1" si="54"/>
        <v>0</v>
      </c>
      <c r="AA201" s="9">
        <f t="shared" ca="1" si="54"/>
        <v>0</v>
      </c>
    </row>
    <row r="202" spans="1:27">
      <c r="A202" s="8" t="str">
        <f>A201</f>
        <v>Type 9</v>
      </c>
      <c r="B202" s="7">
        <f>B201+1</f>
        <v>2022</v>
      </c>
      <c r="C202" s="7" t="str">
        <f t="shared" si="55"/>
        <v>Annual</v>
      </c>
      <c r="D202" s="7">
        <f t="shared" si="55"/>
        <v>0</v>
      </c>
      <c r="E202" s="7">
        <f>E201</f>
        <v>0</v>
      </c>
      <c r="F202" s="14">
        <f>$P$90</f>
        <v>0</v>
      </c>
      <c r="H202" s="9"/>
      <c r="I202" s="9"/>
      <c r="J202" s="9"/>
      <c r="K202" s="9"/>
      <c r="L202" s="9">
        <f ca="1">$F$90/$F$33</f>
        <v>0</v>
      </c>
      <c r="M202" s="9">
        <f ca="1">L202-T202</f>
        <v>0</v>
      </c>
      <c r="N202" s="9"/>
      <c r="O202" s="9"/>
      <c r="P202" s="9"/>
      <c r="Q202" s="9"/>
      <c r="R202" s="9"/>
      <c r="S202" s="9">
        <f ca="1">IF(OR($C202="Annual",$D202=$E202),IF(AND($D202=$E202,S$113=$B202+$D202),$L202,IF(AND(S$113&gt;$B202+$D202,S$113&lt;=$B202+$E202), $L202/($E202-$D202),0)), IF(OR(S$113=$B202+$D202,S$113=$B202+$E202),$L202/(($E202-$D202)*2),IF(AND(S$113&gt;$B202+$D202,S$113&lt;$B202+$E202),$L202/($E202-$D202),0)))</f>
        <v>0</v>
      </c>
      <c r="T202" s="9">
        <f>IF(OR($C202="Annual",$D202=$E202),IF(AND($D202=$E202,T$113=$B202+$D202),$L202,IF(AND(T$113&gt;$B202+$D202,T$113&lt;=$B202+$E202), $L202/($E202-$D202),0)), IF(OR(T$113=$B202+$D202,T$113=$B202+$E202),$L202/(($E202-$D202)*2),IF(AND(T$113&gt;$B202+$D202,T$113&lt;$B202+$E202),$L202/($E202-$D202),0)))</f>
        <v>0</v>
      </c>
      <c r="U202" s="9"/>
      <c r="V202" s="9"/>
      <c r="W202" s="9"/>
      <c r="X202" s="9"/>
      <c r="Y202" s="9"/>
      <c r="Z202" s="9">
        <f t="shared" si="54"/>
        <v>0</v>
      </c>
      <c r="AA202" s="9">
        <f t="shared" ca="1" si="54"/>
        <v>0</v>
      </c>
    </row>
    <row r="203" spans="1:27">
      <c r="A203" s="8" t="str">
        <f>A202</f>
        <v>Type 9</v>
      </c>
      <c r="B203" s="7">
        <f>B202+1</f>
        <v>2023</v>
      </c>
      <c r="C203" s="7" t="str">
        <f t="shared" si="55"/>
        <v>Annual</v>
      </c>
      <c r="D203" s="7">
        <f t="shared" si="55"/>
        <v>0</v>
      </c>
      <c r="E203" s="7">
        <f>E202</f>
        <v>0</v>
      </c>
      <c r="F203" s="14">
        <f>$Q$90</f>
        <v>0</v>
      </c>
      <c r="H203" s="9"/>
      <c r="I203" s="9"/>
      <c r="J203" s="9"/>
      <c r="K203" s="9"/>
      <c r="L203" s="9"/>
      <c r="M203" s="9">
        <f ca="1">$G$90/$G$33</f>
        <v>0</v>
      </c>
      <c r="N203" s="9"/>
      <c r="O203" s="9"/>
      <c r="P203" s="9"/>
      <c r="Q203" s="9"/>
      <c r="R203" s="9"/>
      <c r="S203" s="9"/>
      <c r="T203" s="9">
        <f ca="1">IF(OR($C203="Annual",$D203=$E203),IF(AND($D203=$E203,T$113=$B203+$D203),$M203,IF(AND(T$113&gt;$B203+$D203,T$113&lt;=$B203+$E203), $M203/($E203-$D203),0)), IF(OR(T$113=$B203+$D203,T$113=$B203+$E203),$M203/(($E203-$D203)*2),IF(AND(T$113&gt;$B203+$D203,T$113&lt;$B203+$E203),$M203/($E203-$D203),0)))</f>
        <v>0</v>
      </c>
      <c r="U203" s="9"/>
      <c r="V203" s="9"/>
      <c r="W203" s="9"/>
      <c r="X203" s="9"/>
      <c r="Y203" s="9"/>
      <c r="Z203" s="9"/>
      <c r="AA203" s="9">
        <f t="shared" si="54"/>
        <v>0</v>
      </c>
    </row>
    <row r="204" spans="1:27">
      <c r="A204" s="8"/>
      <c r="B204" s="7"/>
      <c r="C204" s="7"/>
      <c r="D204" s="7"/>
      <c r="E204" s="7"/>
      <c r="F204" s="15"/>
      <c r="H204" s="9"/>
      <c r="I204" s="9"/>
      <c r="J204" s="9"/>
      <c r="K204" s="9"/>
      <c r="L204" s="9"/>
      <c r="M204" s="9"/>
      <c r="N204" s="9"/>
      <c r="O204" s="278"/>
      <c r="P204" s="10"/>
      <c r="Q204" s="10"/>
      <c r="R204" s="10"/>
      <c r="S204" s="10"/>
      <c r="T204" s="10"/>
      <c r="U204" s="9"/>
      <c r="V204" s="10"/>
      <c r="W204" s="10"/>
      <c r="X204" s="10"/>
      <c r="Y204" s="10"/>
      <c r="Z204" s="10"/>
      <c r="AA204" s="10"/>
    </row>
    <row r="205" spans="1:27" s="1150" customFormat="1">
      <c r="A205" s="1347" t="str">
        <f>'Input 4 - Forecast'!A70</f>
        <v>ZERO-COUPON BOND</v>
      </c>
      <c r="B205" s="1348">
        <f>B121</f>
        <v>2018</v>
      </c>
      <c r="C205" s="1348"/>
      <c r="D205" s="1348">
        <f>$J91</f>
        <v>0</v>
      </c>
      <c r="E205" s="1348">
        <f>$K91</f>
        <v>0</v>
      </c>
      <c r="F205" s="1349">
        <f>$L$91</f>
        <v>0</v>
      </c>
      <c r="H205" s="1350">
        <f>$B$91/$B$33</f>
        <v>0</v>
      </c>
      <c r="I205" s="1350">
        <f>H205-P205</f>
        <v>0</v>
      </c>
      <c r="J205" s="1350">
        <f>I205-Q205</f>
        <v>0</v>
      </c>
      <c r="K205" s="1350">
        <f>J205-R205</f>
        <v>0</v>
      </c>
      <c r="L205" s="1350">
        <f>K205-S205</f>
        <v>0</v>
      </c>
      <c r="M205" s="1350">
        <f>L205-T205</f>
        <v>0</v>
      </c>
      <c r="N205" s="1350"/>
      <c r="O205" s="1350">
        <f t="shared" ref="O205:T205" si="56">IF($D205=$E205,IF(O$113=$B205+$E205,$H205,0),0)</f>
        <v>0</v>
      </c>
      <c r="P205" s="1350">
        <f t="shared" si="56"/>
        <v>0</v>
      </c>
      <c r="Q205" s="1350">
        <f t="shared" si="56"/>
        <v>0</v>
      </c>
      <c r="R205" s="1350">
        <f t="shared" si="56"/>
        <v>0</v>
      </c>
      <c r="S205" s="1350">
        <f t="shared" si="56"/>
        <v>0</v>
      </c>
      <c r="T205" s="1350">
        <f t="shared" si="56"/>
        <v>0</v>
      </c>
      <c r="U205" s="1350"/>
      <c r="V205" s="1350">
        <f t="shared" ref="V205:AA205" si="57">IF(V$113-$B205=$D205,$H205*(((1+$F205)^$D205)-1),0)</f>
        <v>0</v>
      </c>
      <c r="W205" s="1350">
        <f t="shared" si="57"/>
        <v>0</v>
      </c>
      <c r="X205" s="1350">
        <f t="shared" si="57"/>
        <v>0</v>
      </c>
      <c r="Y205" s="1350">
        <f t="shared" si="57"/>
        <v>0</v>
      </c>
      <c r="Z205" s="1350">
        <f t="shared" si="57"/>
        <v>0</v>
      </c>
      <c r="AA205" s="1350">
        <f t="shared" si="57"/>
        <v>0</v>
      </c>
    </row>
    <row r="206" spans="1:27" s="1150" customFormat="1">
      <c r="A206" s="1347" t="str">
        <f>A205</f>
        <v>ZERO-COUPON BOND</v>
      </c>
      <c r="B206" s="1348">
        <f>B205+1</f>
        <v>2019</v>
      </c>
      <c r="C206" s="1348"/>
      <c r="D206" s="1348">
        <f t="shared" ref="D206:E210" si="58">D205</f>
        <v>0</v>
      </c>
      <c r="E206" s="1348">
        <f t="shared" si="58"/>
        <v>0</v>
      </c>
      <c r="F206" s="1349">
        <f>$M$91</f>
        <v>0</v>
      </c>
      <c r="H206" s="1350"/>
      <c r="I206" s="1350">
        <f ca="1">$C$91/$C$33</f>
        <v>0</v>
      </c>
      <c r="J206" s="1350">
        <f ca="1">I206-Q206</f>
        <v>0</v>
      </c>
      <c r="K206" s="1350">
        <f ca="1">J206-R206</f>
        <v>0</v>
      </c>
      <c r="L206" s="1350">
        <f ca="1">K206-S206</f>
        <v>0</v>
      </c>
      <c r="M206" s="1350">
        <f ca="1">L206-T206</f>
        <v>0</v>
      </c>
      <c r="N206" s="1350"/>
      <c r="O206" s="1351"/>
      <c r="P206" s="1350">
        <f ca="1">IF($D206=$E206,IF(P$113=$B206+$E206,$I206,0),0)</f>
        <v>0</v>
      </c>
      <c r="Q206" s="1350">
        <f>IF($D206=$E206,IF(Q$113=$B206+$E206,$I206,0),0)</f>
        <v>0</v>
      </c>
      <c r="R206" s="1350">
        <f>IF($D206=$E206,IF(R$113=$B206+$E206,$I206,0),0)</f>
        <v>0</v>
      </c>
      <c r="S206" s="1350">
        <f>IF($D206=$E206,IF(S$113=$B206+$E206,$I206,0),0)</f>
        <v>0</v>
      </c>
      <c r="T206" s="1350">
        <f>IF($D206=$E206,IF(T$113=$B206+$E206,$I206,0),0)</f>
        <v>0</v>
      </c>
      <c r="U206" s="1350"/>
      <c r="V206" s="1350"/>
      <c r="W206" s="1350">
        <f ca="1">IF(W$113-$B206=$D206,$I206*(((1+$F206)^$D206)-1),0)</f>
        <v>0</v>
      </c>
      <c r="X206" s="1350">
        <f>IF(X$113-$B206=$D206,$I206*(((1+$F206)^$D206)-1),0)</f>
        <v>0</v>
      </c>
      <c r="Y206" s="1350">
        <f>IF(Y$113-$B206=$D206,$I206*(((1+$F206)^$D206)-1),0)</f>
        <v>0</v>
      </c>
      <c r="Z206" s="1350">
        <f>IF(Z$113-$B206=$D206,$I206*(((1+$F206)^$D206)-1),0)</f>
        <v>0</v>
      </c>
      <c r="AA206" s="1350">
        <f>IF(AA$113-$B206=$D206,$I206*(((1+$F206)^$D206)-1),0)</f>
        <v>0</v>
      </c>
    </row>
    <row r="207" spans="1:27" s="1150" customFormat="1">
      <c r="A207" s="1347" t="str">
        <f>A206</f>
        <v>ZERO-COUPON BOND</v>
      </c>
      <c r="B207" s="1348">
        <f>B206+1</f>
        <v>2020</v>
      </c>
      <c r="C207" s="1348"/>
      <c r="D207" s="1348">
        <f t="shared" si="58"/>
        <v>0</v>
      </c>
      <c r="E207" s="1348">
        <f t="shared" si="58"/>
        <v>0</v>
      </c>
      <c r="F207" s="1349">
        <f>$N$91</f>
        <v>0</v>
      </c>
      <c r="H207" s="1350"/>
      <c r="I207" s="1350"/>
      <c r="J207" s="1350">
        <f ca="1">$D$91/$D$33</f>
        <v>0</v>
      </c>
      <c r="K207" s="1350">
        <f ca="1">J207-R207</f>
        <v>0</v>
      </c>
      <c r="L207" s="1350">
        <f ca="1">K207-S207</f>
        <v>0</v>
      </c>
      <c r="M207" s="1350">
        <f ca="1">L207-T207</f>
        <v>0</v>
      </c>
      <c r="N207" s="1350"/>
      <c r="O207" s="1351"/>
      <c r="P207" s="1350"/>
      <c r="Q207" s="1350">
        <f ca="1">IF($D207=$E207,IF(Q$113=$B207+$E207,$J207,0),0)</f>
        <v>0</v>
      </c>
      <c r="R207" s="1350">
        <f>IF($D207=$E207,IF(R$113=$B207+$E207,$J207,0),0)</f>
        <v>0</v>
      </c>
      <c r="S207" s="1350">
        <f>IF($D207=$E207,IF(S$113=$B207+$E207,$J207,0),0)</f>
        <v>0</v>
      </c>
      <c r="T207" s="1350">
        <f>IF($D207=$E207,IF(T$113=$B207+$E207,$J207,0),0)</f>
        <v>0</v>
      </c>
      <c r="U207" s="1350"/>
      <c r="V207" s="1350"/>
      <c r="W207" s="1350"/>
      <c r="X207" s="1350">
        <f ca="1">IF(X$113-$B207=$D207,$J207*(((1+$F207)^$D207)-1),0)</f>
        <v>0</v>
      </c>
      <c r="Y207" s="1350">
        <f>IF(Y$113-$B207=$D207,$J207*(((1+$F207)^$D207)-1),0)</f>
        <v>0</v>
      </c>
      <c r="Z207" s="1350">
        <f>IF(Z$113-$B207=$D207,$J207*(((1+$F207)^$D207)-1),0)</f>
        <v>0</v>
      </c>
      <c r="AA207" s="1350">
        <f>IF(AA$113-$B207=$D207,$J207*(((1+$F207)^$D207)-1),0)</f>
        <v>0</v>
      </c>
    </row>
    <row r="208" spans="1:27" s="1150" customFormat="1">
      <c r="A208" s="1347" t="str">
        <f>A207</f>
        <v>ZERO-COUPON BOND</v>
      </c>
      <c r="B208" s="1348">
        <f>B207+1</f>
        <v>2021</v>
      </c>
      <c r="C208" s="1348"/>
      <c r="D208" s="1348">
        <f t="shared" si="58"/>
        <v>0</v>
      </c>
      <c r="E208" s="1348">
        <f t="shared" si="58"/>
        <v>0</v>
      </c>
      <c r="F208" s="1349">
        <f>$O$91</f>
        <v>0</v>
      </c>
      <c r="H208" s="1350"/>
      <c r="I208" s="1350"/>
      <c r="J208" s="1350"/>
      <c r="K208" s="1350">
        <f ca="1">$E$91/$E$33</f>
        <v>0</v>
      </c>
      <c r="L208" s="1350">
        <f ca="1">K208-S208</f>
        <v>0</v>
      </c>
      <c r="M208" s="1350">
        <f ca="1">L208-T208</f>
        <v>0</v>
      </c>
      <c r="N208" s="1350"/>
      <c r="O208" s="1351"/>
      <c r="P208" s="1350"/>
      <c r="Q208" s="1350"/>
      <c r="R208" s="1350">
        <f ca="1">IF($D208=$E208,IF(R$113=$B208+$E208,$K208,0),0)</f>
        <v>0</v>
      </c>
      <c r="S208" s="1350">
        <f>IF($D208=$E208,IF(S$113=$B208+$E208,$K208,0),0)</f>
        <v>0</v>
      </c>
      <c r="T208" s="1350">
        <f>IF($D208=$E208,IF(T$113=$B208+$E208,$K208,0),0)</f>
        <v>0</v>
      </c>
      <c r="U208" s="1350"/>
      <c r="V208" s="1350"/>
      <c r="W208" s="1350"/>
      <c r="X208" s="1350"/>
      <c r="Y208" s="1350">
        <f ca="1">IF(Y$113-$B208=$D208,$K208*(((1+$F208)^$D208)-1),0)</f>
        <v>0</v>
      </c>
      <c r="Z208" s="1350">
        <f>IF(Z$113-$B208=$D208,$K208*(((1+$F208)^$D208)-1),0)</f>
        <v>0</v>
      </c>
      <c r="AA208" s="1350">
        <f>IF(AA$113-$B208=$D208,$K208*(((1+$F208)^$D208)-1),0)</f>
        <v>0</v>
      </c>
    </row>
    <row r="209" spans="1:27" s="1150" customFormat="1">
      <c r="A209" s="1347" t="str">
        <f>A208</f>
        <v>ZERO-COUPON BOND</v>
      </c>
      <c r="B209" s="1348">
        <f>B208+1</f>
        <v>2022</v>
      </c>
      <c r="C209" s="1348"/>
      <c r="D209" s="1348">
        <f t="shared" si="58"/>
        <v>0</v>
      </c>
      <c r="E209" s="1348">
        <f t="shared" si="58"/>
        <v>0</v>
      </c>
      <c r="F209" s="1349">
        <f>$P$91</f>
        <v>0</v>
      </c>
      <c r="H209" s="1350"/>
      <c r="I209" s="1350"/>
      <c r="J209" s="1350"/>
      <c r="K209" s="1350"/>
      <c r="L209" s="1350">
        <f ca="1">$F$91/$F$33</f>
        <v>0</v>
      </c>
      <c r="M209" s="1350">
        <f ca="1">L209-T209</f>
        <v>0</v>
      </c>
      <c r="N209" s="1350"/>
      <c r="O209" s="1351"/>
      <c r="P209" s="1350"/>
      <c r="Q209" s="1350"/>
      <c r="R209" s="1350"/>
      <c r="S209" s="1350">
        <f ca="1">IF($D209=$E209,IF(S$113=$B209+$E209,$L209,0),0)</f>
        <v>0</v>
      </c>
      <c r="T209" s="1350">
        <f>IF($D209=$E209,IF(T$113=$B209+$E209,$L209,0),0)</f>
        <v>0</v>
      </c>
      <c r="U209" s="1350"/>
      <c r="V209" s="1350"/>
      <c r="W209" s="1350"/>
      <c r="X209" s="1350"/>
      <c r="Y209" s="1350"/>
      <c r="Z209" s="1350">
        <f ca="1">IF(Z$113-$B209=$D209,$L209*(((1+$F209)^$D209)-1),0)</f>
        <v>0</v>
      </c>
      <c r="AA209" s="1350">
        <f>IF(AA$113-$B209=$D209,$L209*(((1+$F209)^$D209)-1),0)</f>
        <v>0</v>
      </c>
    </row>
    <row r="210" spans="1:27" s="1150" customFormat="1">
      <c r="A210" s="1347" t="str">
        <f>A209</f>
        <v>ZERO-COUPON BOND</v>
      </c>
      <c r="B210" s="1348">
        <f>B209+1</f>
        <v>2023</v>
      </c>
      <c r="C210" s="1348"/>
      <c r="D210" s="1348">
        <f t="shared" si="58"/>
        <v>0</v>
      </c>
      <c r="E210" s="1348">
        <f t="shared" si="58"/>
        <v>0</v>
      </c>
      <c r="F210" s="1349">
        <f>$Q$91</f>
        <v>0</v>
      </c>
      <c r="H210" s="1350"/>
      <c r="I210" s="1350"/>
      <c r="J210" s="1350"/>
      <c r="K210" s="1350"/>
      <c r="L210" s="1350"/>
      <c r="M210" s="1350">
        <f ca="1">$G$91/$G$33</f>
        <v>0</v>
      </c>
      <c r="N210" s="1350"/>
      <c r="O210" s="1351"/>
      <c r="P210" s="1350"/>
      <c r="Q210" s="1350"/>
      <c r="R210" s="1350"/>
      <c r="S210" s="1350"/>
      <c r="T210" s="1350">
        <f ca="1">IF($D210=$E210,IF(T$113=$B210+$E210,$M210,0),0)</f>
        <v>0</v>
      </c>
      <c r="U210" s="1350"/>
      <c r="V210" s="1350"/>
      <c r="W210" s="1350"/>
      <c r="X210" s="1350"/>
      <c r="Y210" s="1350"/>
      <c r="Z210" s="1350"/>
      <c r="AA210" s="1350">
        <f ca="1">IF(AA$113-$B210=$D210,$M210*(((1+$F210)^$D210)-1),0)</f>
        <v>0</v>
      </c>
    </row>
    <row r="211" spans="1:27">
      <c r="A211" s="17"/>
      <c r="B211" s="7"/>
      <c r="D211" s="7"/>
      <c r="E211" s="7"/>
      <c r="F211" s="7"/>
    </row>
    <row r="212" spans="1:27">
      <c r="A212" s="20" t="str">
        <f>'Input 4 - Forecast'!A71</f>
        <v>New Issuance of External Debt (new debt) 1/</v>
      </c>
    </row>
    <row r="213" spans="1:27" customFormat="1" ht="15.75" thickBot="1">
      <c r="A213" s="21" t="str">
        <f>'Input 4 - Forecast'!A72</f>
        <v>Short-term debt 2/</v>
      </c>
      <c r="B213" s="18"/>
      <c r="C213" s="6"/>
      <c r="D213" s="13"/>
      <c r="E213" s="13"/>
      <c r="F213" s="13"/>
      <c r="G213" s="13"/>
      <c r="H213" s="13"/>
      <c r="I213" s="13"/>
      <c r="J213" s="17"/>
      <c r="K213" s="19"/>
      <c r="L213" s="19"/>
      <c r="M213" s="19"/>
      <c r="N213" s="19"/>
      <c r="O213" s="19"/>
      <c r="P213" s="19"/>
      <c r="Q213" s="19"/>
      <c r="R213" s="19"/>
    </row>
    <row r="214" spans="1:27" customFormat="1" ht="15.75" thickBot="1">
      <c r="A214" s="22" t="str">
        <f>'Input 4 - Forecast'!A73</f>
        <v>Denominated in local currency</v>
      </c>
      <c r="B214" s="1999" t="s">
        <v>51</v>
      </c>
      <c r="C214" s="2000"/>
      <c r="D214" s="2000"/>
      <c r="E214" s="2000"/>
      <c r="F214" s="2000"/>
      <c r="G214" s="2000"/>
      <c r="H214" s="2000"/>
      <c r="I214" s="2000"/>
      <c r="J214" s="2000"/>
      <c r="K214" s="2000"/>
      <c r="L214" s="2000"/>
      <c r="M214" s="2000"/>
      <c r="N214" s="2000"/>
      <c r="O214" s="2000"/>
      <c r="P214" s="2000"/>
      <c r="Q214" s="2000"/>
      <c r="R214" s="2000"/>
      <c r="S214" s="2000"/>
      <c r="T214" s="2000"/>
      <c r="U214" s="2000"/>
      <c r="V214" s="2000"/>
      <c r="W214" s="2000"/>
      <c r="X214" s="2000"/>
      <c r="Y214" s="2000"/>
      <c r="Z214" s="2000"/>
      <c r="AA214" s="2001"/>
    </row>
    <row r="215" spans="1:27">
      <c r="F215" s="15"/>
      <c r="H215" s="10"/>
      <c r="I215" s="10"/>
      <c r="J215" s="10"/>
      <c r="K215" s="10"/>
      <c r="L215" s="10"/>
      <c r="M215" s="10"/>
      <c r="N215" s="10"/>
      <c r="O215" s="10"/>
      <c r="P215" s="10"/>
      <c r="Q215" s="10"/>
      <c r="R215" s="10"/>
      <c r="S215" s="10"/>
      <c r="T215" s="10"/>
      <c r="U215" s="10"/>
      <c r="V215" s="10"/>
      <c r="W215" s="10"/>
      <c r="X215" s="10"/>
      <c r="Y215" s="10"/>
      <c r="Z215" s="10"/>
      <c r="AA215" s="10"/>
    </row>
    <row r="216" spans="1:27" customFormat="1">
      <c r="A216" s="23"/>
      <c r="B216" s="7">
        <f>B121</f>
        <v>2018</v>
      </c>
      <c r="C216" s="13" t="str">
        <f>$I94</f>
        <v>Semi-annual</v>
      </c>
      <c r="D216" s="13">
        <f>$J94</f>
        <v>0</v>
      </c>
      <c r="E216" s="13">
        <f>$K94</f>
        <v>0</v>
      </c>
      <c r="F216" s="14">
        <f>$L$94</f>
        <v>0</v>
      </c>
      <c r="G216" s="13"/>
      <c r="H216" s="9">
        <f>$B$94</f>
        <v>0</v>
      </c>
      <c r="I216" s="9">
        <f>H216-P216</f>
        <v>0</v>
      </c>
      <c r="J216" s="9">
        <f>I216-Q216</f>
        <v>0</v>
      </c>
      <c r="K216" s="9">
        <f>J216-R216</f>
        <v>0</v>
      </c>
      <c r="L216" s="9">
        <f>K216-S216</f>
        <v>0</v>
      </c>
      <c r="M216" s="9">
        <f>L216-T216</f>
        <v>0</v>
      </c>
      <c r="N216" s="9"/>
      <c r="O216" s="9">
        <v>0</v>
      </c>
      <c r="P216" s="9">
        <f>H216</f>
        <v>0</v>
      </c>
      <c r="Q216" s="9">
        <v>0</v>
      </c>
      <c r="R216" s="9">
        <v>0</v>
      </c>
      <c r="S216" s="9">
        <v>0</v>
      </c>
      <c r="T216" s="9">
        <v>0</v>
      </c>
      <c r="U216" s="9"/>
      <c r="V216" s="9">
        <f>IF($C216="annual",IF(V$113=$B216,0,G216*$F216),IF(V$113-$B216=0,0,IF((V$113-$B216)&lt;$E216,AVERAGE(G216,H216)*$F216,IF((V$113-$B216)=$E216,G216*$F216/2,0))))</f>
        <v>0</v>
      </c>
      <c r="W216" s="9">
        <f t="shared" ref="W216:AA221" si="59">IF($C216="annual",IF(W$113=$B216,0,H216*$F216),IF(W$113-$B216=0,0,IF((W$113-$B216)&lt;$E216,AVERAGE(H216,I216)*$F216,IF((W$113-$B216)=$E216,H216*$F216/2,0))))</f>
        <v>0</v>
      </c>
      <c r="X216" s="9">
        <f t="shared" si="59"/>
        <v>0</v>
      </c>
      <c r="Y216" s="9">
        <f t="shared" si="59"/>
        <v>0</v>
      </c>
      <c r="Z216" s="9">
        <f t="shared" si="59"/>
        <v>0</v>
      </c>
      <c r="AA216" s="9">
        <f t="shared" si="59"/>
        <v>0</v>
      </c>
    </row>
    <row r="217" spans="1:27" customFormat="1">
      <c r="A217" s="23"/>
      <c r="B217" s="7">
        <f>B216+1</f>
        <v>2019</v>
      </c>
      <c r="C217" s="13" t="str">
        <f>C216</f>
        <v>Semi-annual</v>
      </c>
      <c r="D217" s="13">
        <f>D216</f>
        <v>0</v>
      </c>
      <c r="E217" s="13">
        <f>E216</f>
        <v>0</v>
      </c>
      <c r="F217" s="14">
        <f>$M$94</f>
        <v>0</v>
      </c>
      <c r="G217" s="13"/>
      <c r="H217" s="9"/>
      <c r="I217" s="9">
        <f ca="1">$C$94</f>
        <v>0</v>
      </c>
      <c r="J217" s="9">
        <f ca="1">I217-Q217</f>
        <v>0</v>
      </c>
      <c r="K217" s="9">
        <f ca="1">J217-R217</f>
        <v>0</v>
      </c>
      <c r="L217" s="9">
        <f ca="1">K217-S217</f>
        <v>0</v>
      </c>
      <c r="M217" s="9">
        <f ca="1">L217-T217</f>
        <v>0</v>
      </c>
      <c r="N217" s="9"/>
      <c r="O217" s="9"/>
      <c r="P217" s="9">
        <v>0</v>
      </c>
      <c r="Q217" s="9">
        <f ca="1">I217</f>
        <v>0</v>
      </c>
      <c r="R217" s="9">
        <v>0</v>
      </c>
      <c r="S217" s="9">
        <v>0</v>
      </c>
      <c r="T217" s="9">
        <v>0</v>
      </c>
      <c r="U217" s="9"/>
      <c r="V217" s="9"/>
      <c r="W217" s="9">
        <f t="shared" si="59"/>
        <v>0</v>
      </c>
      <c r="X217" s="9">
        <f t="shared" si="59"/>
        <v>0</v>
      </c>
      <c r="Y217" s="9">
        <f t="shared" si="59"/>
        <v>0</v>
      </c>
      <c r="Z217" s="9">
        <f t="shared" si="59"/>
        <v>0</v>
      </c>
      <c r="AA217" s="9">
        <f t="shared" si="59"/>
        <v>0</v>
      </c>
    </row>
    <row r="218" spans="1:27" customFormat="1">
      <c r="A218" s="23"/>
      <c r="B218" s="7">
        <f>B217+1</f>
        <v>2020</v>
      </c>
      <c r="C218" s="13" t="str">
        <f>C217</f>
        <v>Semi-annual</v>
      </c>
      <c r="D218" s="13">
        <f t="shared" ref="D218:E221" si="60">D217</f>
        <v>0</v>
      </c>
      <c r="E218" s="13">
        <f t="shared" si="60"/>
        <v>0</v>
      </c>
      <c r="F218" s="14">
        <f>$N$94</f>
        <v>0</v>
      </c>
      <c r="G218" s="13"/>
      <c r="H218" s="9"/>
      <c r="I218" s="9"/>
      <c r="J218" s="9">
        <f ca="1">$D$94</f>
        <v>0</v>
      </c>
      <c r="K218" s="9">
        <f ca="1">J218-R218</f>
        <v>0</v>
      </c>
      <c r="L218" s="9">
        <f ca="1">K218-S218</f>
        <v>0</v>
      </c>
      <c r="M218" s="9">
        <f ca="1">L218-T218</f>
        <v>0</v>
      </c>
      <c r="N218" s="9"/>
      <c r="O218" s="9"/>
      <c r="P218" s="9"/>
      <c r="Q218" s="9">
        <v>0</v>
      </c>
      <c r="R218" s="9">
        <f ca="1">J218</f>
        <v>0</v>
      </c>
      <c r="S218" s="9">
        <v>0</v>
      </c>
      <c r="T218" s="9">
        <v>0</v>
      </c>
      <c r="U218" s="9"/>
      <c r="V218" s="9"/>
      <c r="W218" s="9"/>
      <c r="X218" s="9">
        <f t="shared" si="59"/>
        <v>0</v>
      </c>
      <c r="Y218" s="9">
        <f t="shared" si="59"/>
        <v>0</v>
      </c>
      <c r="Z218" s="9">
        <f t="shared" si="59"/>
        <v>0</v>
      </c>
      <c r="AA218" s="9">
        <f t="shared" si="59"/>
        <v>0</v>
      </c>
    </row>
    <row r="219" spans="1:27" customFormat="1">
      <c r="A219" s="23"/>
      <c r="B219" s="7">
        <f>B218+1</f>
        <v>2021</v>
      </c>
      <c r="C219" s="13" t="str">
        <f>C218</f>
        <v>Semi-annual</v>
      </c>
      <c r="D219" s="13">
        <f t="shared" si="60"/>
        <v>0</v>
      </c>
      <c r="E219" s="13">
        <f t="shared" si="60"/>
        <v>0</v>
      </c>
      <c r="F219" s="14">
        <f>$O$94</f>
        <v>0</v>
      </c>
      <c r="G219" s="13"/>
      <c r="H219" s="9"/>
      <c r="I219" s="9"/>
      <c r="J219" s="9"/>
      <c r="K219" s="9">
        <f ca="1">$E$94</f>
        <v>0</v>
      </c>
      <c r="L219" s="9">
        <f ca="1">K219-S219</f>
        <v>0</v>
      </c>
      <c r="M219" s="9">
        <f ca="1">L219-T219</f>
        <v>0</v>
      </c>
      <c r="N219" s="9"/>
      <c r="O219" s="9"/>
      <c r="P219" s="9"/>
      <c r="Q219" s="9"/>
      <c r="R219" s="9">
        <v>0</v>
      </c>
      <c r="S219" s="9">
        <f ca="1">K219</f>
        <v>0</v>
      </c>
      <c r="T219" s="9">
        <v>0</v>
      </c>
      <c r="U219" s="9"/>
      <c r="V219" s="9"/>
      <c r="W219" s="9"/>
      <c r="X219" s="9"/>
      <c r="Y219" s="9">
        <f t="shared" si="59"/>
        <v>0</v>
      </c>
      <c r="Z219" s="9">
        <f t="shared" si="59"/>
        <v>0</v>
      </c>
      <c r="AA219" s="9">
        <f t="shared" si="59"/>
        <v>0</v>
      </c>
    </row>
    <row r="220" spans="1:27" customFormat="1">
      <c r="A220" s="23"/>
      <c r="B220" s="7">
        <f>B219+1</f>
        <v>2022</v>
      </c>
      <c r="C220" s="13" t="str">
        <f>C219</f>
        <v>Semi-annual</v>
      </c>
      <c r="D220" s="13">
        <f t="shared" si="60"/>
        <v>0</v>
      </c>
      <c r="E220" s="13">
        <f t="shared" si="60"/>
        <v>0</v>
      </c>
      <c r="F220" s="14">
        <f>$P$94</f>
        <v>0</v>
      </c>
      <c r="G220" s="13"/>
      <c r="H220" s="9"/>
      <c r="I220" s="9"/>
      <c r="J220" s="9"/>
      <c r="K220" s="9"/>
      <c r="L220" s="9">
        <f ca="1">$F$94</f>
        <v>0</v>
      </c>
      <c r="M220" s="9">
        <f ca="1">L220-T220</f>
        <v>0</v>
      </c>
      <c r="N220" s="9"/>
      <c r="O220" s="9"/>
      <c r="P220" s="9"/>
      <c r="Q220" s="9"/>
      <c r="R220" s="9"/>
      <c r="S220" s="9">
        <v>0</v>
      </c>
      <c r="T220" s="9">
        <f ca="1">L220</f>
        <v>0</v>
      </c>
      <c r="U220" s="9"/>
      <c r="V220" s="9"/>
      <c r="W220" s="9"/>
      <c r="X220" s="9"/>
      <c r="Y220" s="9"/>
      <c r="Z220" s="9">
        <f t="shared" si="59"/>
        <v>0</v>
      </c>
      <c r="AA220" s="9">
        <f t="shared" si="59"/>
        <v>0</v>
      </c>
    </row>
    <row r="221" spans="1:27" customFormat="1">
      <c r="A221" s="23"/>
      <c r="B221" s="7">
        <f>B220+1</f>
        <v>2023</v>
      </c>
      <c r="C221" s="13" t="str">
        <f>C220</f>
        <v>Semi-annual</v>
      </c>
      <c r="D221" s="13">
        <f t="shared" si="60"/>
        <v>0</v>
      </c>
      <c r="E221" s="13">
        <f t="shared" si="60"/>
        <v>0</v>
      </c>
      <c r="F221" s="14">
        <f>$Q$94</f>
        <v>0</v>
      </c>
      <c r="G221" s="13"/>
      <c r="H221" s="9"/>
      <c r="I221" s="9"/>
      <c r="J221" s="9"/>
      <c r="K221" s="9"/>
      <c r="L221" s="9"/>
      <c r="M221" s="9">
        <f ca="1">$G$94</f>
        <v>0</v>
      </c>
      <c r="N221" s="9"/>
      <c r="O221" s="9"/>
      <c r="P221" s="9"/>
      <c r="Q221" s="9"/>
      <c r="R221" s="9"/>
      <c r="S221" s="9"/>
      <c r="T221" s="9">
        <v>0</v>
      </c>
      <c r="U221" s="9"/>
      <c r="V221" s="9"/>
      <c r="W221" s="9"/>
      <c r="X221" s="9"/>
      <c r="Y221" s="9"/>
      <c r="Z221" s="9"/>
      <c r="AA221" s="9">
        <f t="shared" si="59"/>
        <v>0</v>
      </c>
    </row>
    <row r="222" spans="1:27" ht="15.75" thickBot="1">
      <c r="B222" s="7"/>
      <c r="F222" s="15"/>
      <c r="H222" s="10"/>
      <c r="I222" s="10"/>
      <c r="J222" s="10"/>
      <c r="K222" s="10"/>
      <c r="L222" s="10"/>
      <c r="M222" s="10"/>
      <c r="N222" s="10"/>
      <c r="O222" s="10"/>
      <c r="P222" s="10"/>
      <c r="Q222" s="10"/>
      <c r="R222" s="10"/>
      <c r="S222" s="10"/>
      <c r="T222" s="10"/>
      <c r="U222" s="10"/>
      <c r="V222" s="10"/>
      <c r="W222" s="10"/>
      <c r="X222" s="10"/>
      <c r="Y222" s="10"/>
      <c r="Z222" s="10"/>
      <c r="AA222" s="10"/>
    </row>
    <row r="223" spans="1:27" customFormat="1" ht="15.75" thickBot="1">
      <c r="A223" s="22" t="str">
        <f>'Input 4 - Forecast'!A82</f>
        <v>Denominated in foreign currency</v>
      </c>
      <c r="B223" s="1999" t="s">
        <v>52</v>
      </c>
      <c r="C223" s="2000"/>
      <c r="D223" s="2000"/>
      <c r="E223" s="2000"/>
      <c r="F223" s="2000"/>
      <c r="G223" s="2000"/>
      <c r="H223" s="2000"/>
      <c r="I223" s="2000"/>
      <c r="J223" s="2000"/>
      <c r="K223" s="2000"/>
      <c r="L223" s="2000"/>
      <c r="M223" s="2000"/>
      <c r="N223" s="2000"/>
      <c r="O223" s="2000"/>
      <c r="P223" s="2000"/>
      <c r="Q223" s="2000"/>
      <c r="R223" s="2000"/>
      <c r="S223" s="2000"/>
      <c r="T223" s="2000"/>
      <c r="U223" s="2000"/>
      <c r="V223" s="2000"/>
      <c r="W223" s="2000"/>
      <c r="X223" s="2000"/>
      <c r="Y223" s="2000"/>
      <c r="Z223" s="2000"/>
      <c r="AA223" s="2001"/>
    </row>
    <row r="224" spans="1:27">
      <c r="F224" s="15"/>
      <c r="H224" s="10"/>
      <c r="I224" s="10"/>
      <c r="J224" s="10"/>
      <c r="K224" s="10"/>
      <c r="L224" s="10"/>
      <c r="M224" s="10"/>
      <c r="N224" s="10"/>
      <c r="O224" s="10"/>
      <c r="P224" s="10"/>
      <c r="Q224" s="10"/>
      <c r="R224" s="10"/>
      <c r="S224" s="10"/>
      <c r="T224" s="10"/>
      <c r="U224" s="10"/>
      <c r="V224" s="10"/>
      <c r="W224" s="10"/>
      <c r="X224" s="10"/>
      <c r="Y224" s="10"/>
      <c r="Z224" s="10"/>
      <c r="AA224" s="10"/>
    </row>
    <row r="225" spans="1:27" customFormat="1">
      <c r="A225" s="23"/>
      <c r="B225" s="7">
        <f>B121</f>
        <v>2018</v>
      </c>
      <c r="C225" s="13" t="str">
        <f>$I95</f>
        <v>Semi-annual</v>
      </c>
      <c r="D225" s="13">
        <f>$J95</f>
        <v>0</v>
      </c>
      <c r="E225" s="13">
        <f>$K95</f>
        <v>0</v>
      </c>
      <c r="F225" s="14">
        <f>$L$95</f>
        <v>0</v>
      </c>
      <c r="G225" s="13"/>
      <c r="H225" s="9">
        <f>$B$95/$B$33</f>
        <v>0</v>
      </c>
      <c r="I225" s="9">
        <f>H225-P225</f>
        <v>0</v>
      </c>
      <c r="J225" s="9">
        <f>I225-Q225</f>
        <v>0</v>
      </c>
      <c r="K225" s="9">
        <f>J225-R225</f>
        <v>0</v>
      </c>
      <c r="L225" s="9">
        <f>K225-S225</f>
        <v>0</v>
      </c>
      <c r="M225" s="9">
        <f>L225-T225</f>
        <v>0</v>
      </c>
      <c r="N225" s="9"/>
      <c r="O225" s="9">
        <v>0</v>
      </c>
      <c r="P225" s="9">
        <f>H225</f>
        <v>0</v>
      </c>
      <c r="Q225" s="9">
        <v>0</v>
      </c>
      <c r="R225" s="9">
        <v>0</v>
      </c>
      <c r="S225" s="9">
        <v>0</v>
      </c>
      <c r="T225" s="9">
        <v>0</v>
      </c>
      <c r="U225" s="9"/>
      <c r="V225" s="9">
        <f>IF($C225="annual",IF(V$113=$B225,0,G225*$F225),IF(V$113-$B225=0,0,IF((V$113-$B225)&lt;$E225,AVERAGE(G225,H225)*$F225,IF((V$113-$B225)=$E225,G225*$F225/2,0))))</f>
        <v>0</v>
      </c>
      <c r="W225" s="9">
        <f t="shared" ref="W225:AA230" si="61">IF($C225="annual",IF(W$113=$B225,0,H225*$F225),IF(W$113-$B225=0,0,IF((W$113-$B225)&lt;$E225,AVERAGE(H225,I225)*$F225,IF((W$113-$B225)=$E225,H225*$F225/2,0))))</f>
        <v>0</v>
      </c>
      <c r="X225" s="9">
        <f t="shared" si="61"/>
        <v>0</v>
      </c>
      <c r="Y225" s="9">
        <f t="shared" si="61"/>
        <v>0</v>
      </c>
      <c r="Z225" s="9">
        <f t="shared" si="61"/>
        <v>0</v>
      </c>
      <c r="AA225" s="9">
        <f t="shared" si="61"/>
        <v>0</v>
      </c>
    </row>
    <row r="226" spans="1:27" customFormat="1">
      <c r="A226" s="23"/>
      <c r="B226" s="7">
        <f>B225+1</f>
        <v>2019</v>
      </c>
      <c r="C226" s="13" t="str">
        <f>C225</f>
        <v>Semi-annual</v>
      </c>
      <c r="D226" s="13">
        <f>D225</f>
        <v>0</v>
      </c>
      <c r="E226" s="13">
        <f>E225</f>
        <v>0</v>
      </c>
      <c r="F226" s="14">
        <f>$M$95</f>
        <v>0</v>
      </c>
      <c r="G226" s="13"/>
      <c r="H226" s="9"/>
      <c r="I226" s="9">
        <f ca="1">$C$95/$C$33</f>
        <v>0</v>
      </c>
      <c r="J226" s="9">
        <f ca="1">I226-Q226</f>
        <v>0</v>
      </c>
      <c r="K226" s="9">
        <f ca="1">J226-R226</f>
        <v>0</v>
      </c>
      <c r="L226" s="9">
        <f ca="1">K226-S226</f>
        <v>0</v>
      </c>
      <c r="M226" s="9">
        <f ca="1">L226-T226</f>
        <v>0</v>
      </c>
      <c r="N226" s="9"/>
      <c r="O226" s="9"/>
      <c r="P226" s="9">
        <v>0</v>
      </c>
      <c r="Q226" s="9">
        <f ca="1">I226</f>
        <v>0</v>
      </c>
      <c r="R226" s="9">
        <v>0</v>
      </c>
      <c r="S226" s="9">
        <v>0</v>
      </c>
      <c r="T226" s="9">
        <v>0</v>
      </c>
      <c r="U226" s="9"/>
      <c r="V226" s="9"/>
      <c r="W226" s="9">
        <f t="shared" si="61"/>
        <v>0</v>
      </c>
      <c r="X226" s="9">
        <f t="shared" si="61"/>
        <v>0</v>
      </c>
      <c r="Y226" s="9">
        <f t="shared" si="61"/>
        <v>0</v>
      </c>
      <c r="Z226" s="9">
        <f t="shared" si="61"/>
        <v>0</v>
      </c>
      <c r="AA226" s="9">
        <f t="shared" si="61"/>
        <v>0</v>
      </c>
    </row>
    <row r="227" spans="1:27" customFormat="1">
      <c r="A227" s="23"/>
      <c r="B227" s="7">
        <f>B226+1</f>
        <v>2020</v>
      </c>
      <c r="C227" s="13" t="str">
        <f>C226</f>
        <v>Semi-annual</v>
      </c>
      <c r="D227" s="13">
        <f t="shared" ref="D227:E230" si="62">D226</f>
        <v>0</v>
      </c>
      <c r="E227" s="13">
        <f t="shared" si="62"/>
        <v>0</v>
      </c>
      <c r="F227" s="14">
        <f>$N$95</f>
        <v>0</v>
      </c>
      <c r="G227" s="13"/>
      <c r="H227" s="9"/>
      <c r="I227" s="9"/>
      <c r="J227" s="9">
        <f ca="1">$D$95/$D$33</f>
        <v>0</v>
      </c>
      <c r="K227" s="9">
        <f ca="1">J227-R227</f>
        <v>0</v>
      </c>
      <c r="L227" s="9">
        <f ca="1">K227-S227</f>
        <v>0</v>
      </c>
      <c r="M227" s="9">
        <f ca="1">L227-T227</f>
        <v>0</v>
      </c>
      <c r="N227" s="9"/>
      <c r="O227" s="9"/>
      <c r="P227" s="9"/>
      <c r="Q227" s="9">
        <v>0</v>
      </c>
      <c r="R227" s="9">
        <f ca="1">J227</f>
        <v>0</v>
      </c>
      <c r="S227" s="9">
        <v>0</v>
      </c>
      <c r="T227" s="9">
        <v>0</v>
      </c>
      <c r="U227" s="9"/>
      <c r="V227" s="9"/>
      <c r="W227" s="9"/>
      <c r="X227" s="9">
        <f t="shared" si="61"/>
        <v>0</v>
      </c>
      <c r="Y227" s="9">
        <f t="shared" si="61"/>
        <v>0</v>
      </c>
      <c r="Z227" s="9">
        <f t="shared" si="61"/>
        <v>0</v>
      </c>
      <c r="AA227" s="9">
        <f t="shared" si="61"/>
        <v>0</v>
      </c>
    </row>
    <row r="228" spans="1:27" customFormat="1">
      <c r="A228" s="23"/>
      <c r="B228" s="7">
        <f>B227+1</f>
        <v>2021</v>
      </c>
      <c r="C228" s="13" t="str">
        <f>C227</f>
        <v>Semi-annual</v>
      </c>
      <c r="D228" s="13">
        <f t="shared" si="62"/>
        <v>0</v>
      </c>
      <c r="E228" s="13">
        <f t="shared" si="62"/>
        <v>0</v>
      </c>
      <c r="F228" s="14">
        <f>$O$95</f>
        <v>0</v>
      </c>
      <c r="G228" s="13"/>
      <c r="H228" s="9"/>
      <c r="I228" s="9"/>
      <c r="J228" s="9"/>
      <c r="K228" s="9">
        <f ca="1">$E$95/$E$33</f>
        <v>0</v>
      </c>
      <c r="L228" s="9">
        <f ca="1">K228-S228</f>
        <v>0</v>
      </c>
      <c r="M228" s="9">
        <f ca="1">L228-T228</f>
        <v>0</v>
      </c>
      <c r="N228" s="9"/>
      <c r="O228" s="9"/>
      <c r="P228" s="9"/>
      <c r="Q228" s="9"/>
      <c r="R228" s="9">
        <v>0</v>
      </c>
      <c r="S228" s="9">
        <f ca="1">K228</f>
        <v>0</v>
      </c>
      <c r="T228" s="9">
        <v>0</v>
      </c>
      <c r="U228" s="9"/>
      <c r="V228" s="9"/>
      <c r="W228" s="9"/>
      <c r="X228" s="9"/>
      <c r="Y228" s="9">
        <f t="shared" si="61"/>
        <v>0</v>
      </c>
      <c r="Z228" s="9">
        <f t="shared" si="61"/>
        <v>0</v>
      </c>
      <c r="AA228" s="9">
        <f t="shared" si="61"/>
        <v>0</v>
      </c>
    </row>
    <row r="229" spans="1:27" customFormat="1">
      <c r="A229" s="23"/>
      <c r="B229" s="7">
        <f>B228+1</f>
        <v>2022</v>
      </c>
      <c r="C229" s="13" t="str">
        <f>C228</f>
        <v>Semi-annual</v>
      </c>
      <c r="D229" s="13">
        <f t="shared" si="62"/>
        <v>0</v>
      </c>
      <c r="E229" s="13">
        <f t="shared" si="62"/>
        <v>0</v>
      </c>
      <c r="F229" s="14">
        <f>$P$95</f>
        <v>0</v>
      </c>
      <c r="G229" s="13"/>
      <c r="H229" s="9"/>
      <c r="I229" s="9"/>
      <c r="J229" s="9"/>
      <c r="K229" s="9"/>
      <c r="L229" s="9">
        <f ca="1">$F$95/$F$33</f>
        <v>0</v>
      </c>
      <c r="M229" s="9">
        <f ca="1">L229-T229</f>
        <v>0</v>
      </c>
      <c r="N229" s="9"/>
      <c r="O229" s="9"/>
      <c r="P229" s="9"/>
      <c r="Q229" s="9"/>
      <c r="R229" s="9"/>
      <c r="S229" s="9">
        <v>0</v>
      </c>
      <c r="T229" s="9">
        <f ca="1">L229</f>
        <v>0</v>
      </c>
      <c r="U229" s="9"/>
      <c r="V229" s="9"/>
      <c r="W229" s="9"/>
      <c r="X229" s="9"/>
      <c r="Y229" s="9"/>
      <c r="Z229" s="9">
        <f t="shared" si="61"/>
        <v>0</v>
      </c>
      <c r="AA229" s="9">
        <f t="shared" si="61"/>
        <v>0</v>
      </c>
    </row>
    <row r="230" spans="1:27" customFormat="1">
      <c r="A230" s="23"/>
      <c r="B230" s="7">
        <f>B229+1</f>
        <v>2023</v>
      </c>
      <c r="C230" s="13" t="str">
        <f>C229</f>
        <v>Semi-annual</v>
      </c>
      <c r="D230" s="13">
        <f t="shared" si="62"/>
        <v>0</v>
      </c>
      <c r="E230" s="13">
        <f t="shared" si="62"/>
        <v>0</v>
      </c>
      <c r="F230" s="14">
        <f>$Q$95</f>
        <v>0</v>
      </c>
      <c r="G230" s="13"/>
      <c r="H230" s="9"/>
      <c r="I230" s="9"/>
      <c r="J230" s="9"/>
      <c r="K230" s="9"/>
      <c r="L230" s="9"/>
      <c r="M230" s="9">
        <f ca="1">$G$95/$G$33</f>
        <v>0</v>
      </c>
      <c r="N230" s="9"/>
      <c r="O230" s="9"/>
      <c r="P230" s="9"/>
      <c r="Q230" s="9"/>
      <c r="R230" s="9"/>
      <c r="S230" s="9"/>
      <c r="T230" s="9">
        <v>0</v>
      </c>
      <c r="U230" s="9"/>
      <c r="V230" s="9"/>
      <c r="W230" s="9"/>
      <c r="X230" s="9"/>
      <c r="Y230" s="9"/>
      <c r="Z230" s="9"/>
      <c r="AA230" s="9">
        <f t="shared" si="61"/>
        <v>0</v>
      </c>
    </row>
    <row r="232" spans="1:27" ht="15.75" thickBot="1">
      <c r="A232" s="11" t="str">
        <f>'Input 4 - Forecast'!A75</f>
        <v>Long-term debt 3/</v>
      </c>
    </row>
    <row r="233" spans="1:27" ht="15.75" thickBot="1">
      <c r="A233" s="12" t="str">
        <f>'Input 4 - Forecast'!A76</f>
        <v>Denominated in local currency</v>
      </c>
      <c r="B233" s="1999" t="s">
        <v>51</v>
      </c>
      <c r="C233" s="2000"/>
      <c r="D233" s="2000"/>
      <c r="E233" s="2000"/>
      <c r="F233" s="2000"/>
      <c r="G233" s="2000"/>
      <c r="H233" s="2000"/>
      <c r="I233" s="2000"/>
      <c r="J233" s="2000"/>
      <c r="K233" s="2000"/>
      <c r="L233" s="2000"/>
      <c r="M233" s="2000"/>
      <c r="N233" s="2000"/>
      <c r="O233" s="2000"/>
      <c r="P233" s="2000"/>
      <c r="Q233" s="2000"/>
      <c r="R233" s="2000"/>
      <c r="S233" s="2000"/>
      <c r="T233" s="2000"/>
      <c r="U233" s="2000"/>
      <c r="V233" s="2000"/>
      <c r="W233" s="2000"/>
      <c r="X233" s="2000"/>
      <c r="Y233" s="2000"/>
      <c r="Z233" s="2000"/>
      <c r="AA233" s="2001"/>
    </row>
    <row r="235" spans="1:27">
      <c r="A235" s="8" t="str">
        <f>'Input 4 - Forecast'!A77</f>
        <v>Type 11</v>
      </c>
      <c r="B235" s="7">
        <f>B121</f>
        <v>2018</v>
      </c>
      <c r="C235" s="7" t="str">
        <f>$I98</f>
        <v>Annual</v>
      </c>
      <c r="D235" s="7">
        <f>$J98</f>
        <v>10</v>
      </c>
      <c r="E235" s="7">
        <f>$K98</f>
        <v>10</v>
      </c>
      <c r="F235" s="14">
        <f>$L$98</f>
        <v>1.125E-2</v>
      </c>
      <c r="H235" s="9">
        <f>$B$98</f>
        <v>499.99798625313935</v>
      </c>
      <c r="I235" s="9">
        <f>H235-P235</f>
        <v>499.99798625313935</v>
      </c>
      <c r="J235" s="9">
        <f>I235-Q235</f>
        <v>499.99798625313935</v>
      </c>
      <c r="K235" s="9">
        <f>J235-R235</f>
        <v>499.99798625313935</v>
      </c>
      <c r="L235" s="9">
        <f>K235-S235</f>
        <v>499.99798625313935</v>
      </c>
      <c r="M235" s="9">
        <f>L235-T235</f>
        <v>499.99798625313935</v>
      </c>
      <c r="N235" s="9"/>
      <c r="O235" s="9">
        <f t="shared" ref="O235:T235" si="63">IF(OR($C235="Annual",$D235=$E235),IF(AND($D235=$E235,O$113=$B235+$D235),$H235,IF(AND(O$113&gt;$B235+$D235,O$113&lt;=$B235+$E235), $H235/($E235-$D235),0)), IF(OR(O$113=$B235+$D235,O$113=$B235+$E235),$H235/(($E235-$D235)*2),IF(AND(O$113&gt;$B235+$D235,O$113&lt;$B235+$E235),$H235/($E235-$D235),0)))</f>
        <v>0</v>
      </c>
      <c r="P235" s="9">
        <f t="shared" si="63"/>
        <v>0</v>
      </c>
      <c r="Q235" s="9">
        <f t="shared" si="63"/>
        <v>0</v>
      </c>
      <c r="R235" s="9">
        <f t="shared" si="63"/>
        <v>0</v>
      </c>
      <c r="S235" s="9">
        <f t="shared" si="63"/>
        <v>0</v>
      </c>
      <c r="T235" s="9">
        <f t="shared" si="63"/>
        <v>0</v>
      </c>
      <c r="U235" s="9"/>
      <c r="V235" s="9">
        <f>IF($C235="annual",IF(V$113=$B235,0,G235*$F235),IF(V$113-$B235=0,0,IF((V$113-$B235)&lt;$E235,AVERAGE(G235,H235)*$F235,IF((V$113-$B235)=$E235,G235*$F235/2,0))))</f>
        <v>0</v>
      </c>
      <c r="W235" s="9">
        <f t="shared" ref="W235:AA240" si="64">IF($C235="annual",IF(W$113=$B235,0,H235*$F235),IF(W$113-$B235=0,0,IF((W$113-$B235)&lt;$E235,AVERAGE(H235,I235)*$F235,IF((W$113-$B235)=$E235,H235*$F235/2,0))))</f>
        <v>5.6249773453478173</v>
      </c>
      <c r="X235" s="9">
        <f t="shared" si="64"/>
        <v>5.6249773453478173</v>
      </c>
      <c r="Y235" s="9">
        <f t="shared" si="64"/>
        <v>5.6249773453478173</v>
      </c>
      <c r="Z235" s="9">
        <f t="shared" si="64"/>
        <v>5.6249773453478173</v>
      </c>
      <c r="AA235" s="9">
        <f t="shared" si="64"/>
        <v>5.6249773453478173</v>
      </c>
    </row>
    <row r="236" spans="1:27">
      <c r="A236" s="8" t="str">
        <f>A235</f>
        <v>Type 11</v>
      </c>
      <c r="B236" s="7">
        <f>B235+1</f>
        <v>2019</v>
      </c>
      <c r="C236" s="7" t="str">
        <f>C235</f>
        <v>Annual</v>
      </c>
      <c r="D236" s="7">
        <f t="shared" ref="D236:E240" si="65">D235</f>
        <v>10</v>
      </c>
      <c r="E236" s="7">
        <f t="shared" si="65"/>
        <v>10</v>
      </c>
      <c r="F236" s="14">
        <f>$M$98</f>
        <v>1.8749999999999999E-2</v>
      </c>
      <c r="H236" s="9"/>
      <c r="I236" s="9">
        <f ca="1">$C$98</f>
        <v>0</v>
      </c>
      <c r="J236" s="9">
        <f ca="1">I236-Q236</f>
        <v>0</v>
      </c>
      <c r="K236" s="9">
        <f ca="1">J236-R236</f>
        <v>0</v>
      </c>
      <c r="L236" s="9">
        <f ca="1">K236-S236</f>
        <v>0</v>
      </c>
      <c r="M236" s="9">
        <f ca="1">L236-T236</f>
        <v>0</v>
      </c>
      <c r="N236" s="9"/>
      <c r="O236" s="9"/>
      <c r="P236" s="9">
        <f>IF(OR($C236="Annual",$D236=$E236),IF(AND($D236=$E236,P$113=$B236+$D236),$I236,IF(AND(P$113&gt;$B236+$D236,P$113&lt;=$B236+$E236), $I236/($E236-$D236),0)), IF(OR(P$113=$B236+$D236,P$113=$B236+$E236),$I236/(($E236-$D236)*2),IF(AND(P$113&gt;$B236+$D236,P$113&lt;$B236+$E236),$I236/($E236-$D236),0)))</f>
        <v>0</v>
      </c>
      <c r="Q236" s="9">
        <f>IF(OR($C236="Annual",$D236=$E236),IF(AND($D236=$E236,Q$113=$B236+$D236),$I236,IF(AND(Q$113&gt;$B236+$D236,Q$113&lt;=$B236+$E236), $I236/($E236-$D236),0)), IF(OR(Q$113=$B236+$D236,Q$113=$B236+$E236),$I236/(($E236-$D236)*2),IF(AND(Q$113&gt;$B236+$D236,Q$113&lt;$B236+$E236),$I236/($E236-$D236),0)))</f>
        <v>0</v>
      </c>
      <c r="R236" s="9">
        <f>IF(OR($C236="Annual",$D236=$E236),IF(AND($D236=$E236,R$113=$B236+$D236),$I236,IF(AND(R$113&gt;$B236+$D236,R$113&lt;=$B236+$E236), $I236/($E236-$D236),0)), IF(OR(R$113=$B236+$D236,R$113=$B236+$E236),$I236/(($E236-$D236)*2),IF(AND(R$113&gt;$B236+$D236,R$113&lt;$B236+$E236),$I236/($E236-$D236),0)))</f>
        <v>0</v>
      </c>
      <c r="S236" s="9">
        <f>IF(OR($C236="Annual",$D236=$E236),IF(AND($D236=$E236,S$113=$B236+$D236),$I236,IF(AND(S$113&gt;$B236+$D236,S$113&lt;=$B236+$E236), $I236/($E236-$D236),0)), IF(OR(S$113=$B236+$D236,S$113=$B236+$E236),$I236/(($E236-$D236)*2),IF(AND(S$113&gt;$B236+$D236,S$113&lt;$B236+$E236),$I236/($E236-$D236),0)))</f>
        <v>0</v>
      </c>
      <c r="T236" s="9">
        <f>IF(OR($C236="Annual",$D236=$E236),IF(AND($D236=$E236,T$113=$B236+$D236),$I236,IF(AND(T$113&gt;$B236+$D236,T$113&lt;=$B236+$E236), $I236/($E236-$D236),0)), IF(OR(T$113=$B236+$D236,T$113=$B236+$E236),$I236/(($E236-$D236)*2),IF(AND(T$113&gt;$B236+$D236,T$113&lt;$B236+$E236),$I236/($E236-$D236),0)))</f>
        <v>0</v>
      </c>
      <c r="U236" s="9"/>
      <c r="V236" s="9"/>
      <c r="W236" s="9">
        <f t="shared" si="64"/>
        <v>0</v>
      </c>
      <c r="X236" s="9">
        <f t="shared" ca="1" si="64"/>
        <v>0</v>
      </c>
      <c r="Y236" s="9">
        <f t="shared" ca="1" si="64"/>
        <v>0</v>
      </c>
      <c r="Z236" s="9">
        <f t="shared" ca="1" si="64"/>
        <v>0</v>
      </c>
      <c r="AA236" s="9">
        <f t="shared" ca="1" si="64"/>
        <v>0</v>
      </c>
    </row>
    <row r="237" spans="1:27">
      <c r="A237" s="8" t="str">
        <f>A236</f>
        <v>Type 11</v>
      </c>
      <c r="B237" s="7">
        <f>B236+1</f>
        <v>2020</v>
      </c>
      <c r="C237" s="7" t="str">
        <f>C236</f>
        <v>Annual</v>
      </c>
      <c r="D237" s="7">
        <f t="shared" si="65"/>
        <v>10</v>
      </c>
      <c r="E237" s="7">
        <f t="shared" si="65"/>
        <v>10</v>
      </c>
      <c r="F237" s="14">
        <f>$N$98</f>
        <v>2.1999999999999999E-2</v>
      </c>
      <c r="H237" s="9"/>
      <c r="I237" s="9"/>
      <c r="J237" s="9">
        <f ca="1">$D$98</f>
        <v>0</v>
      </c>
      <c r="K237" s="9">
        <f ca="1">J237-R237</f>
        <v>0</v>
      </c>
      <c r="L237" s="9">
        <f ca="1">K237-S237</f>
        <v>0</v>
      </c>
      <c r="M237" s="9">
        <f ca="1">L237-T237</f>
        <v>0</v>
      </c>
      <c r="N237" s="9"/>
      <c r="O237" s="9"/>
      <c r="P237" s="9"/>
      <c r="Q237" s="9">
        <f>IF(OR($C237="Annual",$D237=$E237),IF(AND($D237=$E237,Q$113=$B237+$D237),$J237,IF(AND(Q$113&gt;$B237+$D237,Q$113&lt;=$B237+$E237), $J237/($E237-$D237),0)), IF(OR(Q$113=$B237+$D237,Q$113=$B237+$E237),$J237/(($E237-$D237)*2),IF(AND(Q$113&gt;$B237+$D237,Q$113&lt;$B237+$E237),$J237/($E237-$D237),0)))</f>
        <v>0</v>
      </c>
      <c r="R237" s="9">
        <f>IF(OR($C237="Annual",$D237=$E237),IF(AND($D237=$E237,R$113=$B237+$D237),$J237,IF(AND(R$113&gt;$B237+$D237,R$113&lt;=$B237+$E237), $J237/($E237-$D237),0)), IF(OR(R$113=$B237+$D237,R$113=$B237+$E237),$J237/(($E237-$D237)*2),IF(AND(R$113&gt;$B237+$D237,R$113&lt;$B237+$E237),$J237/($E237-$D237),0)))</f>
        <v>0</v>
      </c>
      <c r="S237" s="9">
        <f>IF(OR($C237="Annual",$D237=$E237),IF(AND($D237=$E237,S$113=$B237+$D237),$J237,IF(AND(S$113&gt;$B237+$D237,S$113&lt;=$B237+$E237), $J237/($E237-$D237),0)), IF(OR(S$113=$B237+$D237,S$113=$B237+$E237),$J237/(($E237-$D237)*2),IF(AND(S$113&gt;$B237+$D237,S$113&lt;$B237+$E237),$J237/($E237-$D237),0)))</f>
        <v>0</v>
      </c>
      <c r="T237" s="9">
        <f>IF(OR($C237="Annual",$D237=$E237),IF(AND($D237=$E237,T$113=$B237+$D237),$J237,IF(AND(T$113&gt;$B237+$D237,T$113&lt;=$B237+$E237), $J237/($E237-$D237),0)), IF(OR(T$113=$B237+$D237,T$113=$B237+$E237),$J237/(($E237-$D237)*2),IF(AND(T$113&gt;$B237+$D237,T$113&lt;$B237+$E237),$J237/($E237-$D237),0)))</f>
        <v>0</v>
      </c>
      <c r="U237" s="9"/>
      <c r="V237" s="9"/>
      <c r="W237" s="9"/>
      <c r="X237" s="9">
        <f t="shared" si="64"/>
        <v>0</v>
      </c>
      <c r="Y237" s="9">
        <f t="shared" ca="1" si="64"/>
        <v>0</v>
      </c>
      <c r="Z237" s="9">
        <f t="shared" ca="1" si="64"/>
        <v>0</v>
      </c>
      <c r="AA237" s="9">
        <f t="shared" ca="1" si="64"/>
        <v>0</v>
      </c>
    </row>
    <row r="238" spans="1:27">
      <c r="A238" s="8" t="str">
        <f>A237</f>
        <v>Type 11</v>
      </c>
      <c r="B238" s="7">
        <f>B237+1</f>
        <v>2021</v>
      </c>
      <c r="C238" s="7" t="str">
        <f>C237</f>
        <v>Annual</v>
      </c>
      <c r="D238" s="7">
        <f t="shared" si="65"/>
        <v>10</v>
      </c>
      <c r="E238" s="7">
        <f t="shared" si="65"/>
        <v>10</v>
      </c>
      <c r="F238" s="14">
        <f>$O$98</f>
        <v>2.1999999999999999E-2</v>
      </c>
      <c r="H238" s="9"/>
      <c r="I238" s="9"/>
      <c r="J238" s="9"/>
      <c r="K238" s="9">
        <f ca="1">$E$98</f>
        <v>0</v>
      </c>
      <c r="L238" s="9">
        <f ca="1">K238-S238</f>
        <v>0</v>
      </c>
      <c r="M238" s="9">
        <f ca="1">L238-T238</f>
        <v>0</v>
      </c>
      <c r="N238" s="9"/>
      <c r="O238" s="9"/>
      <c r="P238" s="9"/>
      <c r="Q238" s="9"/>
      <c r="R238" s="9">
        <f>IF(OR($C238="Annual",$D238=$E238),IF(AND($D238=$E238,R$113=$B238+$D238),$K238,IF(AND(R$113&gt;$B238+$D238,R$113&lt;=$B238+$E238), $K238/($E238-$D238),0)), IF(OR(R$113=$B238+$D238,R$113=$B238+$E238),$K238/(($E238-$D238)*2),IF(AND(R$113&gt;$B238+$D238,R$113&lt;$B238+$E238),$K238/($E238-$D238),0)))</f>
        <v>0</v>
      </c>
      <c r="S238" s="9">
        <f>IF(OR($C238="Annual",$D238=$E238),IF(AND($D238=$E238,S$113=$B238+$D238),$K238,IF(AND(S$113&gt;$B238+$D238,S$113&lt;=$B238+$E238), $K238/($E238-$D238),0)), IF(OR(S$113=$B238+$D238,S$113=$B238+$E238),$K238/(($E238-$D238)*2),IF(AND(S$113&gt;$B238+$D238,S$113&lt;$B238+$E238),$K238/($E238-$D238),0)))</f>
        <v>0</v>
      </c>
      <c r="T238" s="9">
        <f>IF(OR($C238="Annual",$D238=$E238),IF(AND($D238=$E238,T$113=$B238+$D238),$K238,IF(AND(T$113&gt;$B238+$D238,T$113&lt;=$B238+$E238), $K238/($E238-$D238),0)), IF(OR(T$113=$B238+$D238,T$113=$B238+$E238),$K238/(($E238-$D238)*2),IF(AND(T$113&gt;$B238+$D238,T$113&lt;$B238+$E238),$K238/($E238-$D238),0)))</f>
        <v>0</v>
      </c>
      <c r="U238" s="9"/>
      <c r="V238" s="9"/>
      <c r="W238" s="9"/>
      <c r="X238" s="9"/>
      <c r="Y238" s="9">
        <f t="shared" si="64"/>
        <v>0</v>
      </c>
      <c r="Z238" s="9">
        <f t="shared" ca="1" si="64"/>
        <v>0</v>
      </c>
      <c r="AA238" s="9">
        <f t="shared" ca="1" si="64"/>
        <v>0</v>
      </c>
    </row>
    <row r="239" spans="1:27">
      <c r="A239" s="8" t="str">
        <f>A238</f>
        <v>Type 11</v>
      </c>
      <c r="B239" s="7">
        <f>B238+1</f>
        <v>2022</v>
      </c>
      <c r="C239" s="7" t="str">
        <f>C238</f>
        <v>Annual</v>
      </c>
      <c r="D239" s="7">
        <f t="shared" si="65"/>
        <v>10</v>
      </c>
      <c r="E239" s="7">
        <f t="shared" si="65"/>
        <v>10</v>
      </c>
      <c r="F239" s="14">
        <f>$P$98</f>
        <v>2.1999999999999999E-2</v>
      </c>
      <c r="H239" s="9"/>
      <c r="I239" s="9"/>
      <c r="J239" s="9"/>
      <c r="K239" s="9"/>
      <c r="L239" s="9">
        <f ca="1">$F$98</f>
        <v>0</v>
      </c>
      <c r="M239" s="9">
        <f ca="1">L239-T239</f>
        <v>0</v>
      </c>
      <c r="N239" s="9"/>
      <c r="O239" s="9"/>
      <c r="P239" s="9"/>
      <c r="Q239" s="9"/>
      <c r="R239" s="9"/>
      <c r="S239" s="9">
        <f>IF(OR($C239="Annual",$D239=$E239),IF(AND($D239=$E239,S$113=$B239+$D239),$L239,IF(AND(S$113&gt;$B239+$D239,S$113&lt;=$B239+$E239), $L239/($E239-$D239),0)), IF(OR(S$113=$B239+$D239,S$113=$B239+$E239),$L239/(($E239-$D239)*2),IF(AND(S$113&gt;$B239+$D239,S$113&lt;$B239+$E239),$L239/($E239-$D239),0)))</f>
        <v>0</v>
      </c>
      <c r="T239" s="9">
        <f>IF(OR($C239="Annual",$D239=$E239),IF(AND($D239=$E239,T$113=$B239+$D239),$L239,IF(AND(T$113&gt;$B239+$D239,T$113&lt;=$B239+$E239), $L239/($E239-$D239),0)), IF(OR(T$113=$B239+$D239,T$113=$B239+$E239),$L239/(($E239-$D239)*2),IF(AND(T$113&gt;$B239+$D239,T$113&lt;$B239+$E239),$L239/($E239-$D239),0)))</f>
        <v>0</v>
      </c>
      <c r="U239" s="9"/>
      <c r="V239" s="9"/>
      <c r="W239" s="9"/>
      <c r="X239" s="9"/>
      <c r="Y239" s="9"/>
      <c r="Z239" s="9">
        <f t="shared" si="64"/>
        <v>0</v>
      </c>
      <c r="AA239" s="9">
        <f t="shared" ca="1" si="64"/>
        <v>0</v>
      </c>
    </row>
    <row r="240" spans="1:27">
      <c r="A240" s="8" t="str">
        <f>A239</f>
        <v>Type 11</v>
      </c>
      <c r="B240" s="7">
        <f>B239+1</f>
        <v>2023</v>
      </c>
      <c r="C240" s="7" t="str">
        <f>C239</f>
        <v>Annual</v>
      </c>
      <c r="D240" s="7">
        <f t="shared" si="65"/>
        <v>10</v>
      </c>
      <c r="E240" s="7">
        <f t="shared" si="65"/>
        <v>10</v>
      </c>
      <c r="F240" s="14">
        <f>$Q$98</f>
        <v>2.1999999999999999E-2</v>
      </c>
      <c r="H240" s="9"/>
      <c r="I240" s="9"/>
      <c r="J240" s="9"/>
      <c r="K240" s="9"/>
      <c r="L240" s="9"/>
      <c r="M240" s="9">
        <f ca="1">$G$98</f>
        <v>0</v>
      </c>
      <c r="N240" s="9"/>
      <c r="O240" s="9"/>
      <c r="P240" s="9"/>
      <c r="Q240" s="9"/>
      <c r="R240" s="9"/>
      <c r="S240" s="9"/>
      <c r="T240" s="9">
        <f>IF(OR($C240="Annual",$D240=$E240),IF(AND($D240=$E240,T$113=$B240+$D240),$M240,IF(AND(T$113&gt;$B240+$D240,T$113&lt;=$B240+$E240), $M240/($E240-$D240),0)), IF(OR(T$113=$B240+$D240,T$113=$B240+$E240),$M240/(($E240-$D240)*2),IF(AND(T$113&gt;$B240+$D240,T$113&lt;$B240+$E240),$M240/($E240-$D240),0)))</f>
        <v>0</v>
      </c>
      <c r="U240" s="9"/>
      <c r="V240" s="9"/>
      <c r="W240" s="9"/>
      <c r="X240" s="9"/>
      <c r="Y240" s="9"/>
      <c r="Z240" s="9"/>
      <c r="AA240" s="9">
        <f t="shared" si="64"/>
        <v>0</v>
      </c>
    </row>
    <row r="241" spans="1:27">
      <c r="C241" s="281"/>
      <c r="F241" s="15"/>
      <c r="H241" s="10"/>
      <c r="I241" s="10"/>
      <c r="J241" s="10"/>
      <c r="K241" s="10"/>
      <c r="L241" s="10"/>
      <c r="M241" s="10"/>
      <c r="N241" s="10"/>
      <c r="O241" s="278"/>
      <c r="P241" s="10"/>
      <c r="Q241" s="10"/>
      <c r="R241" s="10"/>
      <c r="S241" s="10"/>
      <c r="T241" s="10"/>
      <c r="U241" s="10"/>
      <c r="V241" s="10"/>
      <c r="W241" s="10"/>
      <c r="X241" s="10"/>
      <c r="Y241" s="10"/>
      <c r="Z241" s="10"/>
      <c r="AA241" s="10"/>
    </row>
    <row r="242" spans="1:27">
      <c r="A242" s="8" t="str">
        <f>'Input 4 - Forecast'!A78</f>
        <v>Type 12</v>
      </c>
      <c r="B242" s="7">
        <f>B121</f>
        <v>2018</v>
      </c>
      <c r="C242" s="7" t="str">
        <f>$I99</f>
        <v>Annual</v>
      </c>
      <c r="D242" s="7">
        <f>$J99</f>
        <v>30</v>
      </c>
      <c r="E242" s="7">
        <f>$K99</f>
        <v>30</v>
      </c>
      <c r="F242" s="14">
        <f>$L$99</f>
        <v>2.2499999999999999E-2</v>
      </c>
      <c r="H242" s="9">
        <f>$B$99</f>
        <v>499.99798625313935</v>
      </c>
      <c r="I242" s="9">
        <f>H242-P242</f>
        <v>499.99798625313935</v>
      </c>
      <c r="J242" s="9">
        <f>I242-Q242</f>
        <v>499.99798625313935</v>
      </c>
      <c r="K242" s="9">
        <f>J242-R242</f>
        <v>499.99798625313935</v>
      </c>
      <c r="L242" s="9">
        <f>K242-S242</f>
        <v>499.99798625313935</v>
      </c>
      <c r="M242" s="9">
        <f>L242-T242</f>
        <v>499.99798625313935</v>
      </c>
      <c r="N242" s="9"/>
      <c r="O242" s="9">
        <f t="shared" ref="O242:T242" si="66">IF(OR($C242="Annual",$D242=$E242),IF(AND($D242=$E242,O$113=$B242+$D242),$H242,IF(AND(O$113&gt;$B242+$D242,O$113&lt;=$B242+$E242), $H242/($E242-$D242),0)), IF(OR(O$113=$B242+$D242,O$113=$B242+$E242),$H242/(($E242-$D242)*2),IF(AND(O$113&gt;$B242+$D242,O$113&lt;$B242+$E242),$H242/($E242-$D242),0)))</f>
        <v>0</v>
      </c>
      <c r="P242" s="9">
        <f t="shared" si="66"/>
        <v>0</v>
      </c>
      <c r="Q242" s="9">
        <f t="shared" si="66"/>
        <v>0</v>
      </c>
      <c r="R242" s="9">
        <f t="shared" si="66"/>
        <v>0</v>
      </c>
      <c r="S242" s="9">
        <f t="shared" si="66"/>
        <v>0</v>
      </c>
      <c r="T242" s="9">
        <f t="shared" si="66"/>
        <v>0</v>
      </c>
      <c r="U242" s="9"/>
      <c r="V242" s="9">
        <f>IF($C242="annual",IF(V$113=$B242,0,G242*$F242),IF(V$113-$B242=0,0,IF((V$113-$B242)&lt;$E242,AVERAGE(G242,H242)*$F242,IF((V$113-$B242)=$E242,G242*$F242/2,0))))</f>
        <v>0</v>
      </c>
      <c r="W242" s="9">
        <f t="shared" ref="W242:AA247" si="67">IF($C242="annual",IF(W$113=$B242,0,H242*$F242),IF(W$113-$B242=0,0,IF((W$113-$B242)&lt;$E242,AVERAGE(H242,I242)*$F242,IF((W$113-$B242)=$E242,H242*$F242/2,0))))</f>
        <v>11.249954690695635</v>
      </c>
      <c r="X242" s="9">
        <f t="shared" si="67"/>
        <v>11.249954690695635</v>
      </c>
      <c r="Y242" s="9">
        <f t="shared" si="67"/>
        <v>11.249954690695635</v>
      </c>
      <c r="Z242" s="9">
        <f t="shared" si="67"/>
        <v>11.249954690695635</v>
      </c>
      <c r="AA242" s="9">
        <f t="shared" si="67"/>
        <v>11.249954690695635</v>
      </c>
    </row>
    <row r="243" spans="1:27">
      <c r="A243" s="8" t="str">
        <f>A242</f>
        <v>Type 12</v>
      </c>
      <c r="B243" s="7">
        <f>B242+1</f>
        <v>2019</v>
      </c>
      <c r="C243" s="7" t="str">
        <f>C242</f>
        <v>Annual</v>
      </c>
      <c r="D243" s="7">
        <f>D242</f>
        <v>30</v>
      </c>
      <c r="E243" s="7">
        <f>E242</f>
        <v>30</v>
      </c>
      <c r="F243" s="14">
        <f>$M$99</f>
        <v>0</v>
      </c>
      <c r="H243" s="9"/>
      <c r="I243" s="9">
        <f ca="1">$C$99</f>
        <v>0</v>
      </c>
      <c r="J243" s="9">
        <f ca="1">I243-Q243</f>
        <v>0</v>
      </c>
      <c r="K243" s="9">
        <f ca="1">J243-R243</f>
        <v>0</v>
      </c>
      <c r="L243" s="9">
        <f ca="1">K243-S243</f>
        <v>0</v>
      </c>
      <c r="M243" s="9">
        <f ca="1">L243-T243</f>
        <v>0</v>
      </c>
      <c r="N243" s="9"/>
      <c r="O243" s="9"/>
      <c r="P243" s="9">
        <f>IF(OR($C243="Annual",$D243=$E243),IF(AND($D243=$E243,P$113=$B243+$D243),$I243,IF(AND(P$113&gt;$B243+$D243,P$113&lt;=$B243+$E243), $I243/($E243-$D243),0)), IF(OR(P$113=$B243+$D243,P$113=$B243+$E243),$I243/(($E243-$D243)*2),IF(AND(P$113&gt;$B243+$D243,P$113&lt;$B243+$E243),$I243/($E243-$D243),0)))</f>
        <v>0</v>
      </c>
      <c r="Q243" s="9">
        <f>IF(OR($C243="Annual",$D243=$E243),IF(AND($D243=$E243,Q$113=$B243+$D243),$I243,IF(AND(Q$113&gt;$B243+$D243,Q$113&lt;=$B243+$E243), $I243/($E243-$D243),0)), IF(OR(Q$113=$B243+$D243,Q$113=$B243+$E243),$I243/(($E243-$D243)*2),IF(AND(Q$113&gt;$B243+$D243,Q$113&lt;$B243+$E243),$I243/($E243-$D243),0)))</f>
        <v>0</v>
      </c>
      <c r="R243" s="9">
        <f>IF(OR($C243="Annual",$D243=$E243),IF(AND($D243=$E243,R$113=$B243+$D243),$I243,IF(AND(R$113&gt;$B243+$D243,R$113&lt;=$B243+$E243), $I243/($E243-$D243),0)), IF(OR(R$113=$B243+$D243,R$113=$B243+$E243),$I243/(($E243-$D243)*2),IF(AND(R$113&gt;$B243+$D243,R$113&lt;$B243+$E243),$I243/($E243-$D243),0)))</f>
        <v>0</v>
      </c>
      <c r="S243" s="9">
        <f>IF(OR($C243="Annual",$D243=$E243),IF(AND($D243=$E243,S$113=$B243+$D243),$I243,IF(AND(S$113&gt;$B243+$D243,S$113&lt;=$B243+$E243), $I243/($E243-$D243),0)), IF(OR(S$113=$B243+$D243,S$113=$B243+$E243),$I243/(($E243-$D243)*2),IF(AND(S$113&gt;$B243+$D243,S$113&lt;$B243+$E243),$I243/($E243-$D243),0)))</f>
        <v>0</v>
      </c>
      <c r="T243" s="9">
        <f>IF(OR($C243="Annual",$D243=$E243),IF(AND($D243=$E243,T$113=$B243+$D243),$I243,IF(AND(T$113&gt;$B243+$D243,T$113&lt;=$B243+$E243), $I243/($E243-$D243),0)), IF(OR(T$113=$B243+$D243,T$113=$B243+$E243),$I243/(($E243-$D243)*2),IF(AND(T$113&gt;$B243+$D243,T$113&lt;$B243+$E243),$I243/($E243-$D243),0)))</f>
        <v>0</v>
      </c>
      <c r="U243" s="9"/>
      <c r="V243" s="9"/>
      <c r="W243" s="9">
        <f t="shared" si="67"/>
        <v>0</v>
      </c>
      <c r="X243" s="9">
        <f t="shared" ca="1" si="67"/>
        <v>0</v>
      </c>
      <c r="Y243" s="9">
        <f t="shared" ca="1" si="67"/>
        <v>0</v>
      </c>
      <c r="Z243" s="9">
        <f t="shared" ca="1" si="67"/>
        <v>0</v>
      </c>
      <c r="AA243" s="9">
        <f t="shared" ca="1" si="67"/>
        <v>0</v>
      </c>
    </row>
    <row r="244" spans="1:27">
      <c r="A244" s="8" t="str">
        <f>A243</f>
        <v>Type 12</v>
      </c>
      <c r="B244" s="7">
        <f>B243+1</f>
        <v>2020</v>
      </c>
      <c r="C244" s="7" t="str">
        <f>C243</f>
        <v>Annual</v>
      </c>
      <c r="D244" s="7">
        <f t="shared" ref="D244:E247" si="68">D243</f>
        <v>30</v>
      </c>
      <c r="E244" s="7">
        <f t="shared" si="68"/>
        <v>30</v>
      </c>
      <c r="F244" s="14">
        <f>$N$99</f>
        <v>0</v>
      </c>
      <c r="H244" s="9"/>
      <c r="I244" s="9"/>
      <c r="J244" s="9">
        <f ca="1">$D$99</f>
        <v>0</v>
      </c>
      <c r="K244" s="9">
        <f ca="1">J244-R244</f>
        <v>0</v>
      </c>
      <c r="L244" s="9">
        <f ca="1">K244-S244</f>
        <v>0</v>
      </c>
      <c r="M244" s="9">
        <f ca="1">L244-T244</f>
        <v>0</v>
      </c>
      <c r="N244" s="9"/>
      <c r="O244" s="9"/>
      <c r="P244" s="9"/>
      <c r="Q244" s="9">
        <f>IF(OR($C244="Annual",$D244=$E244),IF(AND($D244=$E244,Q$113=$B244+$D244),$J244,IF(AND(Q$113&gt;$B244+$D244,Q$113&lt;=$B244+$E244), $J244/($E244-$D244),0)), IF(OR(Q$113=$B244+$D244,Q$113=$B244+$E244),$J244/(($E244-$D244)*2),IF(AND(Q$113&gt;$B244+$D244,Q$113&lt;$B244+$E244),$J244/($E244-$D244),0)))</f>
        <v>0</v>
      </c>
      <c r="R244" s="9">
        <f>IF(OR($C244="Annual",$D244=$E244),IF(AND($D244=$E244,R$113=$B244+$D244),$J244,IF(AND(R$113&gt;$B244+$D244,R$113&lt;=$B244+$E244), $J244/($E244-$D244),0)), IF(OR(R$113=$B244+$D244,R$113=$B244+$E244),$J244/(($E244-$D244)*2),IF(AND(R$113&gt;$B244+$D244,R$113&lt;$B244+$E244),$J244/($E244-$D244),0)))</f>
        <v>0</v>
      </c>
      <c r="S244" s="9">
        <f>IF(OR($C244="Annual",$D244=$E244),IF(AND($D244=$E244,S$113=$B244+$D244),$J244,IF(AND(S$113&gt;$B244+$D244,S$113&lt;=$B244+$E244), $J244/($E244-$D244),0)), IF(OR(S$113=$B244+$D244,S$113=$B244+$E244),$J244/(($E244-$D244)*2),IF(AND(S$113&gt;$B244+$D244,S$113&lt;$B244+$E244),$J244/($E244-$D244),0)))</f>
        <v>0</v>
      </c>
      <c r="T244" s="9">
        <f>IF(OR($C244="Annual",$D244=$E244),IF(AND($D244=$E244,T$113=$B244+$D244),$J244,IF(AND(T$113&gt;$B244+$D244,T$113&lt;=$B244+$E244), $J244/($E244-$D244),0)), IF(OR(T$113=$B244+$D244,T$113=$B244+$E244),$J244/(($E244-$D244)*2),IF(AND(T$113&gt;$B244+$D244,T$113&lt;$B244+$E244),$J244/($E244-$D244),0)))</f>
        <v>0</v>
      </c>
      <c r="U244" s="9"/>
      <c r="V244" s="9"/>
      <c r="W244" s="9"/>
      <c r="X244" s="9">
        <f t="shared" si="67"/>
        <v>0</v>
      </c>
      <c r="Y244" s="9">
        <f t="shared" ca="1" si="67"/>
        <v>0</v>
      </c>
      <c r="Z244" s="9">
        <f t="shared" ca="1" si="67"/>
        <v>0</v>
      </c>
      <c r="AA244" s="9">
        <f t="shared" ca="1" si="67"/>
        <v>0</v>
      </c>
    </row>
    <row r="245" spans="1:27">
      <c r="A245" s="8" t="str">
        <f>A244</f>
        <v>Type 12</v>
      </c>
      <c r="B245" s="7">
        <f>B244+1</f>
        <v>2021</v>
      </c>
      <c r="C245" s="7" t="str">
        <f>C244</f>
        <v>Annual</v>
      </c>
      <c r="D245" s="7">
        <f t="shared" si="68"/>
        <v>30</v>
      </c>
      <c r="E245" s="7">
        <f t="shared" si="68"/>
        <v>30</v>
      </c>
      <c r="F245" s="14">
        <f>$O$99</f>
        <v>0</v>
      </c>
      <c r="H245" s="9"/>
      <c r="I245" s="9"/>
      <c r="J245" s="9"/>
      <c r="K245" s="9">
        <f ca="1">$E$99</f>
        <v>0</v>
      </c>
      <c r="L245" s="9">
        <f ca="1">K245-S245</f>
        <v>0</v>
      </c>
      <c r="M245" s="9">
        <f ca="1">L245-T245</f>
        <v>0</v>
      </c>
      <c r="N245" s="9"/>
      <c r="O245" s="9"/>
      <c r="P245" s="9"/>
      <c r="Q245" s="9"/>
      <c r="R245" s="9">
        <f>IF(OR($C245="Annual",$D245=$E245),IF(AND($D245=$E245,R$113=$B245+$D245),$K245,IF(AND(R$113&gt;$B245+$D245,R$113&lt;=$B245+$E245), $K245/($E245-$D245),0)), IF(OR(R$113=$B245+$D245,R$113=$B245+$E245),$K245/(($E245-$D245)*2),IF(AND(R$113&gt;$B245+$D245,R$113&lt;$B245+$E245),$K245/($E245-$D245),0)))</f>
        <v>0</v>
      </c>
      <c r="S245" s="9">
        <f>IF(OR($C245="Annual",$D245=$E245),IF(AND($D245=$E245,S$113=$B245+$D245),$K245,IF(AND(S$113&gt;$B245+$D245,S$113&lt;=$B245+$E245), $K245/($E245-$D245),0)), IF(OR(S$113=$B245+$D245,S$113=$B245+$E245),$K245/(($E245-$D245)*2),IF(AND(S$113&gt;$B245+$D245,S$113&lt;$B245+$E245),$K245/($E245-$D245),0)))</f>
        <v>0</v>
      </c>
      <c r="T245" s="9">
        <f>IF(OR($C245="Annual",$D245=$E245),IF(AND($D245=$E245,T$113=$B245+$D245),$K245,IF(AND(T$113&gt;$B245+$D245,T$113&lt;=$B245+$E245), $K245/($E245-$D245),0)), IF(OR(T$113=$B245+$D245,T$113=$B245+$E245),$K245/(($E245-$D245)*2),IF(AND(T$113&gt;$B245+$D245,T$113&lt;$B245+$E245),$K245/($E245-$D245),0)))</f>
        <v>0</v>
      </c>
      <c r="U245" s="9"/>
      <c r="V245" s="9"/>
      <c r="W245" s="9"/>
      <c r="X245" s="9"/>
      <c r="Y245" s="9">
        <f t="shared" si="67"/>
        <v>0</v>
      </c>
      <c r="Z245" s="9">
        <f t="shared" ca="1" si="67"/>
        <v>0</v>
      </c>
      <c r="AA245" s="9">
        <f t="shared" ca="1" si="67"/>
        <v>0</v>
      </c>
    </row>
    <row r="246" spans="1:27">
      <c r="A246" s="8" t="str">
        <f>A245</f>
        <v>Type 12</v>
      </c>
      <c r="B246" s="7">
        <f>B245+1</f>
        <v>2022</v>
      </c>
      <c r="C246" s="7" t="str">
        <f>C245</f>
        <v>Annual</v>
      </c>
      <c r="D246" s="7">
        <f t="shared" si="68"/>
        <v>30</v>
      </c>
      <c r="E246" s="7">
        <f t="shared" si="68"/>
        <v>30</v>
      </c>
      <c r="F246" s="14">
        <f>$P$99</f>
        <v>0</v>
      </c>
      <c r="H246" s="9"/>
      <c r="I246" s="9"/>
      <c r="J246" s="9"/>
      <c r="K246" s="9"/>
      <c r="L246" s="9">
        <f ca="1">$F$99</f>
        <v>0</v>
      </c>
      <c r="M246" s="9">
        <f ca="1">L246-T246</f>
        <v>0</v>
      </c>
      <c r="N246" s="9"/>
      <c r="O246" s="9"/>
      <c r="P246" s="9"/>
      <c r="Q246" s="9"/>
      <c r="R246" s="9"/>
      <c r="S246" s="9">
        <f>IF(OR($C246="Annual",$D246=$E246),IF(AND($D246=$E246,S$113=$B246+$D246),$L246,IF(AND(S$113&gt;$B246+$D246,S$113&lt;=$B246+$E246), $L246/($E246-$D246),0)), IF(OR(S$113=$B246+$D246,S$113=$B246+$E246),$L246/(($E246-$D246)*2),IF(AND(S$113&gt;$B246+$D246,S$113&lt;$B246+$E246),$L246/($E246-$D246),0)))</f>
        <v>0</v>
      </c>
      <c r="T246" s="9">
        <f>IF(OR($C246="Annual",$D246=$E246),IF(AND($D246=$E246,T$113=$B246+$D246),$L246,IF(AND(T$113&gt;$B246+$D246,T$113&lt;=$B246+$E246), $L246/($E246-$D246),0)), IF(OR(T$113=$B246+$D246,T$113=$B246+$E246),$L246/(($E246-$D246)*2),IF(AND(T$113&gt;$B246+$D246,T$113&lt;$B246+$E246),$L246/($E246-$D246),0)))</f>
        <v>0</v>
      </c>
      <c r="U246" s="9"/>
      <c r="V246" s="9"/>
      <c r="W246" s="9"/>
      <c r="X246" s="9"/>
      <c r="Y246" s="9"/>
      <c r="Z246" s="9">
        <f t="shared" si="67"/>
        <v>0</v>
      </c>
      <c r="AA246" s="9">
        <f t="shared" ca="1" si="67"/>
        <v>0</v>
      </c>
    </row>
    <row r="247" spans="1:27">
      <c r="A247" s="8" t="str">
        <f>A246</f>
        <v>Type 12</v>
      </c>
      <c r="B247" s="7">
        <f>B246+1</f>
        <v>2023</v>
      </c>
      <c r="C247" s="7" t="str">
        <f>C246</f>
        <v>Annual</v>
      </c>
      <c r="D247" s="7">
        <f t="shared" si="68"/>
        <v>30</v>
      </c>
      <c r="E247" s="7">
        <f t="shared" si="68"/>
        <v>30</v>
      </c>
      <c r="F247" s="14">
        <f>$Q$99</f>
        <v>0</v>
      </c>
      <c r="H247" s="9"/>
      <c r="I247" s="9"/>
      <c r="J247" s="9"/>
      <c r="K247" s="9"/>
      <c r="L247" s="9"/>
      <c r="M247" s="9">
        <f ca="1">$G$99</f>
        <v>0</v>
      </c>
      <c r="N247" s="9"/>
      <c r="O247" s="9"/>
      <c r="P247" s="9"/>
      <c r="Q247" s="9"/>
      <c r="R247" s="9"/>
      <c r="S247" s="9"/>
      <c r="T247" s="9">
        <f>IF(OR($C247="Annual",$D247=$E247),IF(AND($D247=$E247,T$113=$B247+$D247),$M247,IF(AND(T$113&gt;$B247+$D247,T$113&lt;=$B247+$E247), $M247/($E247-$D247),0)), IF(OR(T$113=$B247+$D247,T$113=$B247+$E247),$M247/(($E247-$D247)*2),IF(AND(T$113&gt;$B247+$D247,T$113&lt;$B247+$E247),$M247/($E247-$D247),0)))</f>
        <v>0</v>
      </c>
      <c r="U247" s="9"/>
      <c r="V247" s="9"/>
      <c r="W247" s="9"/>
      <c r="X247" s="9"/>
      <c r="Y247" s="9"/>
      <c r="Z247" s="9"/>
      <c r="AA247" s="9">
        <f t="shared" si="67"/>
        <v>0</v>
      </c>
    </row>
    <row r="248" spans="1:27">
      <c r="C248" s="281"/>
      <c r="F248" s="15"/>
      <c r="H248" s="10"/>
      <c r="I248" s="10"/>
      <c r="J248" s="10"/>
      <c r="K248" s="10"/>
      <c r="L248" s="10"/>
      <c r="M248" s="10"/>
      <c r="N248" s="10"/>
      <c r="O248" s="278"/>
      <c r="P248" s="10"/>
      <c r="Q248" s="10"/>
      <c r="R248" s="10"/>
      <c r="S248" s="10"/>
      <c r="T248" s="10"/>
      <c r="U248" s="10"/>
      <c r="V248" s="10"/>
      <c r="W248" s="10"/>
      <c r="X248" s="10"/>
      <c r="Y248" s="10"/>
      <c r="Z248" s="10"/>
      <c r="AA248" s="10"/>
    </row>
    <row r="249" spans="1:27">
      <c r="A249" s="8" t="str">
        <f>'Input 4 - Forecast'!A79</f>
        <v>Type 13</v>
      </c>
      <c r="B249" s="7">
        <f>B121</f>
        <v>2018</v>
      </c>
      <c r="C249" s="7" t="str">
        <f>$I100</f>
        <v>Annual</v>
      </c>
      <c r="D249" s="7">
        <f>$J100</f>
        <v>0</v>
      </c>
      <c r="E249" s="7">
        <f>$K100</f>
        <v>0</v>
      </c>
      <c r="F249" s="14">
        <f>$L$100</f>
        <v>0</v>
      </c>
      <c r="H249" s="9">
        <f>$B$100</f>
        <v>0</v>
      </c>
      <c r="I249" s="9">
        <f>H249-P249</f>
        <v>0</v>
      </c>
      <c r="J249" s="9">
        <f>I249-Q249</f>
        <v>0</v>
      </c>
      <c r="K249" s="9">
        <f>J249-R249</f>
        <v>0</v>
      </c>
      <c r="L249" s="9">
        <f>K249-S249</f>
        <v>0</v>
      </c>
      <c r="M249" s="9">
        <f>L249-T249</f>
        <v>0</v>
      </c>
      <c r="N249" s="9"/>
      <c r="O249" s="9">
        <f t="shared" ref="O249:T249" si="69">IF(OR($C249="Annual",$D249=$E249),IF(AND($D249=$E249,O$113=$B249+$D249),$H249,IF(AND(O$113&gt;$B249+$D249,O$113&lt;=$B249+$E249), $H249/($E249-$D249),0)), IF(OR(O$113=$B249+$D249,O$113=$B249+$E249),$H249/(($E249-$D249)*2),IF(AND(O$113&gt;$B249+$D249,O$113&lt;$B249+$E249),$H249/($E249-$D249),0)))</f>
        <v>0</v>
      </c>
      <c r="P249" s="9">
        <f t="shared" si="69"/>
        <v>0</v>
      </c>
      <c r="Q249" s="9">
        <f t="shared" si="69"/>
        <v>0</v>
      </c>
      <c r="R249" s="9">
        <f t="shared" si="69"/>
        <v>0</v>
      </c>
      <c r="S249" s="9">
        <f t="shared" si="69"/>
        <v>0</v>
      </c>
      <c r="T249" s="9">
        <f t="shared" si="69"/>
        <v>0</v>
      </c>
      <c r="U249" s="9"/>
      <c r="V249" s="9">
        <f>IF($C249="annual",IF(V$113=$B249,0,G249*$F249),IF(V$113-$B249=0,0,IF((V$113-$B249)&lt;$E249,AVERAGE(G249,H249)*$F249,IF((V$113-$B249)=$E249,G249*$F249/2,0))))</f>
        <v>0</v>
      </c>
      <c r="W249" s="9">
        <f t="shared" ref="W249:AA254" si="70">IF($C249="annual",IF(W$113=$B249,0,H249*$F249),IF(W$113-$B249=0,0,IF((W$113-$B249)&lt;$E249,AVERAGE(H249,I249)*$F249,IF((W$113-$B249)=$E249,H249*$F249/2,0))))</f>
        <v>0</v>
      </c>
      <c r="X249" s="9">
        <f t="shared" si="70"/>
        <v>0</v>
      </c>
      <c r="Y249" s="9">
        <f t="shared" si="70"/>
        <v>0</v>
      </c>
      <c r="Z249" s="9">
        <f t="shared" si="70"/>
        <v>0</v>
      </c>
      <c r="AA249" s="9">
        <f t="shared" si="70"/>
        <v>0</v>
      </c>
    </row>
    <row r="250" spans="1:27">
      <c r="A250" s="8" t="str">
        <f>A249</f>
        <v>Type 13</v>
      </c>
      <c r="B250" s="7">
        <f>B249+1</f>
        <v>2019</v>
      </c>
      <c r="C250" s="7" t="str">
        <f>C249</f>
        <v>Annual</v>
      </c>
      <c r="D250" s="7">
        <f t="shared" ref="D250:E254" si="71">D249</f>
        <v>0</v>
      </c>
      <c r="E250" s="7">
        <f t="shared" si="71"/>
        <v>0</v>
      </c>
      <c r="F250" s="14">
        <f>$M$100</f>
        <v>0</v>
      </c>
      <c r="H250" s="9"/>
      <c r="I250" s="9">
        <f ca="1">$C$100</f>
        <v>0</v>
      </c>
      <c r="J250" s="9">
        <f ca="1">I250-Q250</f>
        <v>0</v>
      </c>
      <c r="K250" s="9">
        <f ca="1">J250-R250</f>
        <v>0</v>
      </c>
      <c r="L250" s="9">
        <f ca="1">K250-S250</f>
        <v>0</v>
      </c>
      <c r="M250" s="9">
        <f ca="1">L250-T250</f>
        <v>0</v>
      </c>
      <c r="N250" s="9"/>
      <c r="O250" s="9"/>
      <c r="P250" s="9">
        <f ca="1">IF(OR($C250="Annual",$D250=$E250),IF(AND($D250=$E250,P$113=$B250+$D250),$I250,IF(AND(P$113&gt;$B250+$D250,P$113&lt;=$B250+$E250), $I250/($E250-$D250),0)), IF(OR(P$113=$B250+$D250,P$113=$B250+$E250),$I250/(($E250-$D250)*2),IF(AND(P$113&gt;$B250+$D250,P$113&lt;$B250+$E250),$I250/($E250-$D250),0)))</f>
        <v>0</v>
      </c>
      <c r="Q250" s="9">
        <f>IF(OR($C250="Annual",$D250=$E250),IF(AND($D250=$E250,Q$113=$B250+$D250),$I250,IF(AND(Q$113&gt;$B250+$D250,Q$113&lt;=$B250+$E250), $I250/($E250-$D250),0)), IF(OR(Q$113=$B250+$D250,Q$113=$B250+$E250),$I250/(($E250-$D250)*2),IF(AND(Q$113&gt;$B250+$D250,Q$113&lt;$B250+$E250),$I250/($E250-$D250),0)))</f>
        <v>0</v>
      </c>
      <c r="R250" s="9">
        <f>IF(OR($C250="Annual",$D250=$E250),IF(AND($D250=$E250,R$113=$B250+$D250),$I250,IF(AND(R$113&gt;$B250+$D250,R$113&lt;=$B250+$E250), $I250/($E250-$D250),0)), IF(OR(R$113=$B250+$D250,R$113=$B250+$E250),$I250/(($E250-$D250)*2),IF(AND(R$113&gt;$B250+$D250,R$113&lt;$B250+$E250),$I250/($E250-$D250),0)))</f>
        <v>0</v>
      </c>
      <c r="S250" s="9">
        <f>IF(OR($C250="Annual",$D250=$E250),IF(AND($D250=$E250,S$113=$B250+$D250),$I250,IF(AND(S$113&gt;$B250+$D250,S$113&lt;=$B250+$E250), $I250/($E250-$D250),0)), IF(OR(S$113=$B250+$D250,S$113=$B250+$E250),$I250/(($E250-$D250)*2),IF(AND(S$113&gt;$B250+$D250,S$113&lt;$B250+$E250),$I250/($E250-$D250),0)))</f>
        <v>0</v>
      </c>
      <c r="T250" s="9">
        <f>IF(OR($C250="Annual",$D250=$E250),IF(AND($D250=$E250,T$113=$B250+$D250),$I250,IF(AND(T$113&gt;$B250+$D250,T$113&lt;=$B250+$E250), $I250/($E250-$D250),0)), IF(OR(T$113=$B250+$D250,T$113=$B250+$E250),$I250/(($E250-$D250)*2),IF(AND(T$113&gt;$B250+$D250,T$113&lt;$B250+$E250),$I250/($E250-$D250),0)))</f>
        <v>0</v>
      </c>
      <c r="U250" s="9"/>
      <c r="V250" s="9"/>
      <c r="W250" s="9">
        <f t="shared" si="70"/>
        <v>0</v>
      </c>
      <c r="X250" s="9">
        <f t="shared" ca="1" si="70"/>
        <v>0</v>
      </c>
      <c r="Y250" s="9">
        <f t="shared" ca="1" si="70"/>
        <v>0</v>
      </c>
      <c r="Z250" s="9">
        <f t="shared" ca="1" si="70"/>
        <v>0</v>
      </c>
      <c r="AA250" s="9">
        <f t="shared" ca="1" si="70"/>
        <v>0</v>
      </c>
    </row>
    <row r="251" spans="1:27">
      <c r="A251" s="8" t="str">
        <f>A250</f>
        <v>Type 13</v>
      </c>
      <c r="B251" s="7">
        <f>B250+1</f>
        <v>2020</v>
      </c>
      <c r="C251" s="7" t="str">
        <f>C250</f>
        <v>Annual</v>
      </c>
      <c r="D251" s="7">
        <f t="shared" si="71"/>
        <v>0</v>
      </c>
      <c r="E251" s="7">
        <f t="shared" si="71"/>
        <v>0</v>
      </c>
      <c r="F251" s="14">
        <f>$N$100</f>
        <v>0</v>
      </c>
      <c r="H251" s="9"/>
      <c r="I251" s="9"/>
      <c r="J251" s="9">
        <f ca="1">$D$100</f>
        <v>0</v>
      </c>
      <c r="K251" s="9">
        <f ca="1">J251-R251</f>
        <v>0</v>
      </c>
      <c r="L251" s="9">
        <f ca="1">K251-S251</f>
        <v>0</v>
      </c>
      <c r="M251" s="9">
        <f ca="1">L251-T251</f>
        <v>0</v>
      </c>
      <c r="N251" s="9"/>
      <c r="O251" s="9"/>
      <c r="P251" s="9"/>
      <c r="Q251" s="9">
        <f ca="1">IF(OR($C251="Annual",$D251=$E251),IF(AND($D251=$E251,Q$113=$B251+$D251),$J251,IF(AND(Q$113&gt;$B251+$D251,Q$113&lt;=$B251+$E251), $J251/($E251-$D251),0)), IF(OR(Q$113=$B251+$D251,Q$113=$B251+$E251),$J251/(($E251-$D251)*2),IF(AND(Q$113&gt;$B251+$D251,Q$113&lt;$B251+$E251),$J251/($E251-$D251),0)))</f>
        <v>0</v>
      </c>
      <c r="R251" s="9">
        <f>IF(OR($C251="Annual",$D251=$E251),IF(AND($D251=$E251,R$113=$B251+$D251),$J251,IF(AND(R$113&gt;$B251+$D251,R$113&lt;=$B251+$E251), $J251/($E251-$D251),0)), IF(OR(R$113=$B251+$D251,R$113=$B251+$E251),$J251/(($E251-$D251)*2),IF(AND(R$113&gt;$B251+$D251,R$113&lt;$B251+$E251),$J251/($E251-$D251),0)))</f>
        <v>0</v>
      </c>
      <c r="S251" s="9">
        <f>IF(OR($C251="Annual",$D251=$E251),IF(AND($D251=$E251,S$113=$B251+$D251),$J251,IF(AND(S$113&gt;$B251+$D251,S$113&lt;=$B251+$E251), $J251/($E251-$D251),0)), IF(OR(S$113=$B251+$D251,S$113=$B251+$E251),$J251/(($E251-$D251)*2),IF(AND(S$113&gt;$B251+$D251,S$113&lt;$B251+$E251),$J251/($E251-$D251),0)))</f>
        <v>0</v>
      </c>
      <c r="T251" s="9">
        <f>IF(OR($C251="Annual",$D251=$E251),IF(AND($D251=$E251,T$113=$B251+$D251),$J251,IF(AND(T$113&gt;$B251+$D251,T$113&lt;=$B251+$E251), $J251/($E251-$D251),0)), IF(OR(T$113=$B251+$D251,T$113=$B251+$E251),$J251/(($E251-$D251)*2),IF(AND(T$113&gt;$B251+$D251,T$113&lt;$B251+$E251),$J251/($E251-$D251),0)))</f>
        <v>0</v>
      </c>
      <c r="U251" s="9"/>
      <c r="V251" s="9"/>
      <c r="W251" s="9"/>
      <c r="X251" s="9">
        <f t="shared" si="70"/>
        <v>0</v>
      </c>
      <c r="Y251" s="9">
        <f t="shared" ca="1" si="70"/>
        <v>0</v>
      </c>
      <c r="Z251" s="9">
        <f t="shared" ca="1" si="70"/>
        <v>0</v>
      </c>
      <c r="AA251" s="9">
        <f t="shared" ca="1" si="70"/>
        <v>0</v>
      </c>
    </row>
    <row r="252" spans="1:27">
      <c r="A252" s="8" t="str">
        <f>A251</f>
        <v>Type 13</v>
      </c>
      <c r="B252" s="7">
        <f>B251+1</f>
        <v>2021</v>
      </c>
      <c r="C252" s="7" t="str">
        <f>C251</f>
        <v>Annual</v>
      </c>
      <c r="D252" s="7">
        <f t="shared" si="71"/>
        <v>0</v>
      </c>
      <c r="E252" s="7">
        <f t="shared" si="71"/>
        <v>0</v>
      </c>
      <c r="F252" s="14">
        <f>$O$100</f>
        <v>0</v>
      </c>
      <c r="H252" s="9"/>
      <c r="I252" s="9"/>
      <c r="J252" s="9"/>
      <c r="K252" s="9">
        <f ca="1">$E$100</f>
        <v>0</v>
      </c>
      <c r="L252" s="9">
        <f ca="1">K252-S252</f>
        <v>0</v>
      </c>
      <c r="M252" s="9">
        <f ca="1">L252-T252</f>
        <v>0</v>
      </c>
      <c r="N252" s="9"/>
      <c r="O252" s="9"/>
      <c r="P252" s="9"/>
      <c r="Q252" s="9"/>
      <c r="R252" s="9">
        <f ca="1">IF(OR($C252="Annual",$D252=$E252),IF(AND($D252=$E252,R$113=$B252+$D252),$K252,IF(AND(R$113&gt;$B252+$D252,R$113&lt;=$B252+$E252), $K252/($E252-$D252),0)), IF(OR(R$113=$B252+$D252,R$113=$B252+$E252),$K252/(($E252-$D252)*2),IF(AND(R$113&gt;$B252+$D252,R$113&lt;$B252+$E252),$K252/($E252-$D252),0)))</f>
        <v>0</v>
      </c>
      <c r="S252" s="9">
        <f>IF(OR($C252="Annual",$D252=$E252),IF(AND($D252=$E252,S$113=$B252+$D252),$K252,IF(AND(S$113&gt;$B252+$D252,S$113&lt;=$B252+$E252), $K252/($E252-$D252),0)), IF(OR(S$113=$B252+$D252,S$113=$B252+$E252),$K252/(($E252-$D252)*2),IF(AND(S$113&gt;$B252+$D252,S$113&lt;$B252+$E252),$K252/($E252-$D252),0)))</f>
        <v>0</v>
      </c>
      <c r="T252" s="9">
        <f>IF(OR($C252="Annual",$D252=$E252),IF(AND($D252=$E252,T$113=$B252+$D252),$K252,IF(AND(T$113&gt;$B252+$D252,T$113&lt;=$B252+$E252), $K252/($E252-$D252),0)), IF(OR(T$113=$B252+$D252,T$113=$B252+$E252),$K252/(($E252-$D252)*2),IF(AND(T$113&gt;$B252+$D252,T$113&lt;$B252+$E252),$K252/($E252-$D252),0)))</f>
        <v>0</v>
      </c>
      <c r="U252" s="9"/>
      <c r="V252" s="9"/>
      <c r="W252" s="9"/>
      <c r="X252" s="9"/>
      <c r="Y252" s="9">
        <f t="shared" si="70"/>
        <v>0</v>
      </c>
      <c r="Z252" s="9">
        <f t="shared" ca="1" si="70"/>
        <v>0</v>
      </c>
      <c r="AA252" s="9">
        <f t="shared" ca="1" si="70"/>
        <v>0</v>
      </c>
    </row>
    <row r="253" spans="1:27">
      <c r="A253" s="8" t="str">
        <f>A252</f>
        <v>Type 13</v>
      </c>
      <c r="B253" s="7">
        <f>B252+1</f>
        <v>2022</v>
      </c>
      <c r="C253" s="7" t="str">
        <f>C252</f>
        <v>Annual</v>
      </c>
      <c r="D253" s="7">
        <f t="shared" si="71"/>
        <v>0</v>
      </c>
      <c r="E253" s="7">
        <f t="shared" si="71"/>
        <v>0</v>
      </c>
      <c r="F253" s="14">
        <f>$P$100</f>
        <v>0</v>
      </c>
      <c r="H253" s="9"/>
      <c r="I253" s="9"/>
      <c r="J253" s="9"/>
      <c r="K253" s="9"/>
      <c r="L253" s="9">
        <f ca="1">$F$100</f>
        <v>0</v>
      </c>
      <c r="M253" s="9">
        <f ca="1">L253-T253</f>
        <v>0</v>
      </c>
      <c r="N253" s="9"/>
      <c r="O253" s="9"/>
      <c r="P253" s="9"/>
      <c r="Q253" s="9"/>
      <c r="R253" s="9"/>
      <c r="S253" s="9">
        <f ca="1">IF(OR($C253="Annual",$D253=$E253),IF(AND($D253=$E253,S$113=$B253+$D253),$L253,IF(AND(S$113&gt;$B253+$D253,S$113&lt;=$B253+$E253), $L253/($E253-$D253),0)), IF(OR(S$113=$B253+$D253,S$113=$B253+$E253),$L253/(($E253-$D253)*2),IF(AND(S$113&gt;$B253+$D253,S$113&lt;$B253+$E253),$L253/($E253-$D253),0)))</f>
        <v>0</v>
      </c>
      <c r="T253" s="9">
        <f>IF(OR($C253="Annual",$D253=$E253),IF(AND($D253=$E253,T$113=$B253+$D253),$L253,IF(AND(T$113&gt;$B253+$D253,T$113&lt;=$B253+$E253), $L253/($E253-$D253),0)), IF(OR(T$113=$B253+$D253,T$113=$B253+$E253),$L253/(($E253-$D253)*2),IF(AND(T$113&gt;$B253+$D253,T$113&lt;$B253+$E253),$L253/($E253-$D253),0)))</f>
        <v>0</v>
      </c>
      <c r="U253" s="9"/>
      <c r="V253" s="9"/>
      <c r="W253" s="9"/>
      <c r="X253" s="9"/>
      <c r="Y253" s="9"/>
      <c r="Z253" s="9">
        <f t="shared" si="70"/>
        <v>0</v>
      </c>
      <c r="AA253" s="9">
        <f t="shared" ca="1" si="70"/>
        <v>0</v>
      </c>
    </row>
    <row r="254" spans="1:27">
      <c r="A254" s="8" t="str">
        <f>A253</f>
        <v>Type 13</v>
      </c>
      <c r="B254" s="7">
        <f>B253+1</f>
        <v>2023</v>
      </c>
      <c r="C254" s="7" t="str">
        <f>C253</f>
        <v>Annual</v>
      </c>
      <c r="D254" s="7">
        <f t="shared" si="71"/>
        <v>0</v>
      </c>
      <c r="E254" s="7">
        <f t="shared" si="71"/>
        <v>0</v>
      </c>
      <c r="F254" s="14">
        <f>$Q$100</f>
        <v>0</v>
      </c>
      <c r="H254" s="9"/>
      <c r="I254" s="9"/>
      <c r="J254" s="9"/>
      <c r="K254" s="9"/>
      <c r="L254" s="9"/>
      <c r="M254" s="9">
        <f ca="1">$G$100</f>
        <v>0</v>
      </c>
      <c r="N254" s="9"/>
      <c r="O254" s="9"/>
      <c r="P254" s="9"/>
      <c r="Q254" s="9"/>
      <c r="R254" s="9"/>
      <c r="S254" s="9"/>
      <c r="T254" s="9">
        <f ca="1">IF(OR($C254="Annual",$D254=$E254),IF(AND($D254=$E254,T$113=$B254+$D254),$M254,IF(AND(T$113&gt;$B254+$D254,T$113&lt;=$B254+$E254), $M254/($E254-$D254),0)), IF(OR(T$113=$B254+$D254,T$113=$B254+$E254),$M254/(($E254-$D254)*2),IF(AND(T$113&gt;$B254+$D254,T$113&lt;$B254+$E254),$M254/($E254-$D254),0)))</f>
        <v>0</v>
      </c>
      <c r="U254" s="9"/>
      <c r="V254" s="9"/>
      <c r="W254" s="9"/>
      <c r="X254" s="9"/>
      <c r="Y254" s="9"/>
      <c r="Z254" s="9"/>
      <c r="AA254" s="9">
        <f t="shared" si="70"/>
        <v>0</v>
      </c>
    </row>
    <row r="255" spans="1:27">
      <c r="C255" s="281"/>
      <c r="F255" s="15"/>
      <c r="H255" s="10"/>
      <c r="I255" s="10"/>
      <c r="J255" s="10"/>
      <c r="K255" s="10"/>
      <c r="L255" s="10"/>
      <c r="M255" s="10"/>
      <c r="N255" s="10"/>
      <c r="O255" s="278"/>
      <c r="P255" s="10"/>
      <c r="Q255" s="10"/>
      <c r="R255" s="10"/>
      <c r="S255" s="10"/>
      <c r="T255" s="10"/>
      <c r="U255" s="10"/>
      <c r="V255" s="10"/>
      <c r="W255" s="10"/>
      <c r="X255" s="10"/>
      <c r="Y255" s="10"/>
      <c r="Z255" s="10"/>
      <c r="AA255" s="10"/>
    </row>
    <row r="256" spans="1:27">
      <c r="A256" s="8" t="str">
        <f>'Input 4 - Forecast'!A80</f>
        <v>Type 14</v>
      </c>
      <c r="B256" s="7">
        <f>B121</f>
        <v>2018</v>
      </c>
      <c r="C256" s="7" t="str">
        <f>$I101</f>
        <v>Annual</v>
      </c>
      <c r="D256" s="7">
        <f>$J101</f>
        <v>0</v>
      </c>
      <c r="E256" s="7">
        <f>$K101</f>
        <v>0</v>
      </c>
      <c r="F256" s="14">
        <f>$L$101</f>
        <v>0</v>
      </c>
      <c r="H256" s="9">
        <f>$B$101</f>
        <v>0</v>
      </c>
      <c r="I256" s="9">
        <f>H256-P256</f>
        <v>0</v>
      </c>
      <c r="J256" s="9">
        <f>I256-Q256</f>
        <v>0</v>
      </c>
      <c r="K256" s="9">
        <f>J256-R256</f>
        <v>0</v>
      </c>
      <c r="L256" s="9">
        <f>K256-S256</f>
        <v>0</v>
      </c>
      <c r="M256" s="9">
        <f>L256-T256</f>
        <v>0</v>
      </c>
      <c r="N256" s="9"/>
      <c r="O256" s="9">
        <f t="shared" ref="O256:T256" si="72">IF(OR($C256="Annual",$D256=$E256),IF(AND($D256=$E256,O$113=$B256+$D256),$H256,IF(AND(O$113&gt;$B256+$D256,O$113&lt;=$B256+$E256), $H256/($E256-$D256),0)), IF(OR(O$113=$B256+$D256,O$113=$B256+$E256),$H256/(($E256-$D256)*2),IF(AND(O$113&gt;$B256+$D256,O$113&lt;$B256+$E256),$H256/($E256-$D256),0)))</f>
        <v>0</v>
      </c>
      <c r="P256" s="9">
        <f t="shared" si="72"/>
        <v>0</v>
      </c>
      <c r="Q256" s="9">
        <f t="shared" si="72"/>
        <v>0</v>
      </c>
      <c r="R256" s="9">
        <f t="shared" si="72"/>
        <v>0</v>
      </c>
      <c r="S256" s="9">
        <f t="shared" si="72"/>
        <v>0</v>
      </c>
      <c r="T256" s="9">
        <f t="shared" si="72"/>
        <v>0</v>
      </c>
      <c r="U256" s="9"/>
      <c r="V256" s="9">
        <f>IF($C256="annual",IF(V$113=$B256,0,G256*$F256),IF(V$113-$B256=0,0,IF((V$113-$B256)&lt;$E256,AVERAGE(G256,H256)*$F256,IF((V$113-$B256)=$E256,G256*$F256/2,0))))</f>
        <v>0</v>
      </c>
      <c r="W256" s="9">
        <f t="shared" ref="W256:AA261" si="73">IF($C256="annual",IF(W$113=$B256,0,H256*$F256),IF(W$113-$B256=0,0,IF((W$113-$B256)&lt;$E256,AVERAGE(H256,I256)*$F256,IF((W$113-$B256)=$E256,H256*$F256/2,0))))</f>
        <v>0</v>
      </c>
      <c r="X256" s="9">
        <f t="shared" si="73"/>
        <v>0</v>
      </c>
      <c r="Y256" s="9">
        <f t="shared" si="73"/>
        <v>0</v>
      </c>
      <c r="Z256" s="9">
        <f t="shared" si="73"/>
        <v>0</v>
      </c>
      <c r="AA256" s="9">
        <f t="shared" si="73"/>
        <v>0</v>
      </c>
    </row>
    <row r="257" spans="1:27">
      <c r="A257" s="8" t="str">
        <f>A256</f>
        <v>Type 14</v>
      </c>
      <c r="B257" s="7">
        <f>B256+1</f>
        <v>2019</v>
      </c>
      <c r="C257" s="7" t="str">
        <f>C256</f>
        <v>Annual</v>
      </c>
      <c r="D257" s="7">
        <f t="shared" ref="D257:E261" si="74">D256</f>
        <v>0</v>
      </c>
      <c r="E257" s="7">
        <f t="shared" si="74"/>
        <v>0</v>
      </c>
      <c r="F257" s="14">
        <f>$M$101</f>
        <v>0</v>
      </c>
      <c r="H257" s="9"/>
      <c r="I257" s="9">
        <f ca="1">$C$101</f>
        <v>0</v>
      </c>
      <c r="J257" s="9">
        <f ca="1">I257-Q257</f>
        <v>0</v>
      </c>
      <c r="K257" s="9">
        <f ca="1">J257-R257</f>
        <v>0</v>
      </c>
      <c r="L257" s="9">
        <f ca="1">K257-S257</f>
        <v>0</v>
      </c>
      <c r="M257" s="9">
        <f ca="1">L257-T257</f>
        <v>0</v>
      </c>
      <c r="N257" s="9"/>
      <c r="O257" s="9"/>
      <c r="P257" s="9">
        <f ca="1">IF(OR($C257="Annual",$D257=$E257),IF(AND($D257=$E257,P$113=$B257+$D257),$I257,IF(AND(P$113&gt;$B257+$D257,P$113&lt;=$B257+$E257), $I257/($E257-$D257),0)), IF(OR(P$113=$B257+$D257,P$113=$B257+$E257),$I257/(($E257-$D257)*2),IF(AND(P$113&gt;$B257+$D257,P$113&lt;$B257+$E257),$I257/($E257-$D257),0)))</f>
        <v>0</v>
      </c>
      <c r="Q257" s="9">
        <f>IF(OR($C257="Annual",$D257=$E257),IF(AND($D257=$E257,Q$113=$B257+$D257),$I257,IF(AND(Q$113&gt;$B257+$D257,Q$113&lt;=$B257+$E257), $I257/($E257-$D257),0)), IF(OR(Q$113=$B257+$D257,Q$113=$B257+$E257),$I257/(($E257-$D257)*2),IF(AND(Q$113&gt;$B257+$D257,Q$113&lt;$B257+$E257),$I257/($E257-$D257),0)))</f>
        <v>0</v>
      </c>
      <c r="R257" s="9">
        <f>IF(OR($C257="Annual",$D257=$E257),IF(AND($D257=$E257,R$113=$B257+$D257),$I257,IF(AND(R$113&gt;$B257+$D257,R$113&lt;=$B257+$E257), $I257/($E257-$D257),0)), IF(OR(R$113=$B257+$D257,R$113=$B257+$E257),$I257/(($E257-$D257)*2),IF(AND(R$113&gt;$B257+$D257,R$113&lt;$B257+$E257),$I257/($E257-$D257),0)))</f>
        <v>0</v>
      </c>
      <c r="S257" s="9">
        <f>IF(OR($C257="Annual",$D257=$E257),IF(AND($D257=$E257,S$113=$B257+$D257),$I257,IF(AND(S$113&gt;$B257+$D257,S$113&lt;=$B257+$E257), $I257/($E257-$D257),0)), IF(OR(S$113=$B257+$D257,S$113=$B257+$E257),$I257/(($E257-$D257)*2),IF(AND(S$113&gt;$B257+$D257,S$113&lt;$B257+$E257),$I257/($E257-$D257),0)))</f>
        <v>0</v>
      </c>
      <c r="T257" s="9">
        <f>IF(OR($C257="Annual",$D257=$E257),IF(AND($D257=$E257,T$113=$B257+$D257),$I257,IF(AND(T$113&gt;$B257+$D257,T$113&lt;=$B257+$E257), $I257/($E257-$D257),0)), IF(OR(T$113=$B257+$D257,T$113=$B257+$E257),$I257/(($E257-$D257)*2),IF(AND(T$113&gt;$B257+$D257,T$113&lt;$B257+$E257),$I257/($E257-$D257),0)))</f>
        <v>0</v>
      </c>
      <c r="U257" s="9"/>
      <c r="V257" s="9"/>
      <c r="W257" s="9">
        <f t="shared" si="73"/>
        <v>0</v>
      </c>
      <c r="X257" s="9">
        <f t="shared" ca="1" si="73"/>
        <v>0</v>
      </c>
      <c r="Y257" s="9">
        <f t="shared" ca="1" si="73"/>
        <v>0</v>
      </c>
      <c r="Z257" s="9">
        <f t="shared" ca="1" si="73"/>
        <v>0</v>
      </c>
      <c r="AA257" s="9">
        <f t="shared" ca="1" si="73"/>
        <v>0</v>
      </c>
    </row>
    <row r="258" spans="1:27">
      <c r="A258" s="8" t="str">
        <f>A257</f>
        <v>Type 14</v>
      </c>
      <c r="B258" s="7">
        <f>B257+1</f>
        <v>2020</v>
      </c>
      <c r="C258" s="7" t="str">
        <f>C257</f>
        <v>Annual</v>
      </c>
      <c r="D258" s="7">
        <f t="shared" si="74"/>
        <v>0</v>
      </c>
      <c r="E258" s="7">
        <f t="shared" si="74"/>
        <v>0</v>
      </c>
      <c r="F258" s="14">
        <f>$N$101</f>
        <v>0</v>
      </c>
      <c r="H258" s="9"/>
      <c r="I258" s="9"/>
      <c r="J258" s="9">
        <f ca="1">$D$101</f>
        <v>0</v>
      </c>
      <c r="K258" s="9">
        <f ca="1">J258-R258</f>
        <v>0</v>
      </c>
      <c r="L258" s="9">
        <f ca="1">K258-S258</f>
        <v>0</v>
      </c>
      <c r="M258" s="9">
        <f ca="1">L258-T258</f>
        <v>0</v>
      </c>
      <c r="N258" s="9"/>
      <c r="O258" s="9"/>
      <c r="P258" s="9"/>
      <c r="Q258" s="9">
        <f ca="1">IF(OR($C258="Annual",$D258=$E258),IF(AND($D258=$E258,Q$113=$B258+$D258),$J258,IF(AND(Q$113&gt;$B258+$D258,Q$113&lt;=$B258+$E258), $J258/($E258-$D258),0)), IF(OR(Q$113=$B258+$D258,Q$113=$B258+$E258),$J258/(($E258-$D258)*2),IF(AND(Q$113&gt;$B258+$D258,Q$113&lt;$B258+$E258),$J258/($E258-$D258),0)))</f>
        <v>0</v>
      </c>
      <c r="R258" s="9">
        <f>IF(OR($C258="Annual",$D258=$E258),IF(AND($D258=$E258,R$113=$B258+$D258),$J258,IF(AND(R$113&gt;$B258+$D258,R$113&lt;=$B258+$E258), $J258/($E258-$D258),0)), IF(OR(R$113=$B258+$D258,R$113=$B258+$E258),$J258/(($E258-$D258)*2),IF(AND(R$113&gt;$B258+$D258,R$113&lt;$B258+$E258),$J258/($E258-$D258),0)))</f>
        <v>0</v>
      </c>
      <c r="S258" s="9">
        <f>IF(OR($C258="Annual",$D258=$E258),IF(AND($D258=$E258,S$113=$B258+$D258),$J258,IF(AND(S$113&gt;$B258+$D258,S$113&lt;=$B258+$E258), $J258/($E258-$D258),0)), IF(OR(S$113=$B258+$D258,S$113=$B258+$E258),$J258/(($E258-$D258)*2),IF(AND(S$113&gt;$B258+$D258,S$113&lt;$B258+$E258),$J258/($E258-$D258),0)))</f>
        <v>0</v>
      </c>
      <c r="T258" s="9">
        <f>IF(OR($C258="Annual",$D258=$E258),IF(AND($D258=$E258,T$113=$B258+$D258),$J258,IF(AND(T$113&gt;$B258+$D258,T$113&lt;=$B258+$E258), $J258/($E258-$D258),0)), IF(OR(T$113=$B258+$D258,T$113=$B258+$E258),$J258/(($E258-$D258)*2),IF(AND(T$113&gt;$B258+$D258,T$113&lt;$B258+$E258),$J258/($E258-$D258),0)))</f>
        <v>0</v>
      </c>
      <c r="U258" s="9"/>
      <c r="V258" s="9"/>
      <c r="W258" s="9"/>
      <c r="X258" s="9">
        <f t="shared" si="73"/>
        <v>0</v>
      </c>
      <c r="Y258" s="9">
        <f t="shared" ca="1" si="73"/>
        <v>0</v>
      </c>
      <c r="Z258" s="9">
        <f t="shared" ca="1" si="73"/>
        <v>0</v>
      </c>
      <c r="AA258" s="9">
        <f t="shared" ca="1" si="73"/>
        <v>0</v>
      </c>
    </row>
    <row r="259" spans="1:27">
      <c r="A259" s="8" t="str">
        <f>A258</f>
        <v>Type 14</v>
      </c>
      <c r="B259" s="7">
        <f>B258+1</f>
        <v>2021</v>
      </c>
      <c r="C259" s="7" t="str">
        <f>C258</f>
        <v>Annual</v>
      </c>
      <c r="D259" s="7">
        <f t="shared" si="74"/>
        <v>0</v>
      </c>
      <c r="E259" s="7">
        <f t="shared" si="74"/>
        <v>0</v>
      </c>
      <c r="F259" s="14">
        <f>$O$101</f>
        <v>0</v>
      </c>
      <c r="H259" s="9"/>
      <c r="I259" s="9"/>
      <c r="J259" s="9"/>
      <c r="K259" s="9">
        <f ca="1">$E$101</f>
        <v>0</v>
      </c>
      <c r="L259" s="9">
        <f ca="1">K259-S259</f>
        <v>0</v>
      </c>
      <c r="M259" s="9">
        <f ca="1">L259-T259</f>
        <v>0</v>
      </c>
      <c r="N259" s="9"/>
      <c r="O259" s="9"/>
      <c r="P259" s="9"/>
      <c r="Q259" s="9"/>
      <c r="R259" s="9">
        <f ca="1">IF(OR($C259="Annual",$D259=$E259),IF(AND($D259=$E259,R$113=$B259+$D259),$K259,IF(AND(R$113&gt;$B259+$D259,R$113&lt;=$B259+$E259), $K259/($E259-$D259),0)), IF(OR(R$113=$B259+$D259,R$113=$B259+$E259),$K259/(($E259-$D259)*2),IF(AND(R$113&gt;$B259+$D259,R$113&lt;$B259+$E259),$K259/($E259-$D259),0)))</f>
        <v>0</v>
      </c>
      <c r="S259" s="9">
        <f>IF(OR($C259="Annual",$D259=$E259),IF(AND($D259=$E259,S$113=$B259+$D259),$K259,IF(AND(S$113&gt;$B259+$D259,S$113&lt;=$B259+$E259), $K259/($E259-$D259),0)), IF(OR(S$113=$B259+$D259,S$113=$B259+$E259),$K259/(($E259-$D259)*2),IF(AND(S$113&gt;$B259+$D259,S$113&lt;$B259+$E259),$K259/($E259-$D259),0)))</f>
        <v>0</v>
      </c>
      <c r="T259" s="9">
        <f>IF(OR($C259="Annual",$D259=$E259),IF(AND($D259=$E259,T$113=$B259+$D259),$K259,IF(AND(T$113&gt;$B259+$D259,T$113&lt;=$B259+$E259), $K259/($E259-$D259),0)), IF(OR(T$113=$B259+$D259,T$113=$B259+$E259),$K259/(($E259-$D259)*2),IF(AND(T$113&gt;$B259+$D259,T$113&lt;$B259+$E259),$K259/($E259-$D259),0)))</f>
        <v>0</v>
      </c>
      <c r="U259" s="9"/>
      <c r="V259" s="9"/>
      <c r="W259" s="9"/>
      <c r="X259" s="9"/>
      <c r="Y259" s="9">
        <f t="shared" si="73"/>
        <v>0</v>
      </c>
      <c r="Z259" s="9">
        <f t="shared" ca="1" si="73"/>
        <v>0</v>
      </c>
      <c r="AA259" s="9">
        <f t="shared" ca="1" si="73"/>
        <v>0</v>
      </c>
    </row>
    <row r="260" spans="1:27">
      <c r="A260" s="8" t="str">
        <f>A259</f>
        <v>Type 14</v>
      </c>
      <c r="B260" s="7">
        <f>B259+1</f>
        <v>2022</v>
      </c>
      <c r="C260" s="7" t="str">
        <f>C259</f>
        <v>Annual</v>
      </c>
      <c r="D260" s="7">
        <f t="shared" si="74"/>
        <v>0</v>
      </c>
      <c r="E260" s="7">
        <f t="shared" si="74"/>
        <v>0</v>
      </c>
      <c r="F260" s="14">
        <f>$P$101</f>
        <v>0</v>
      </c>
      <c r="H260" s="9"/>
      <c r="I260" s="9"/>
      <c r="J260" s="9"/>
      <c r="K260" s="9"/>
      <c r="L260" s="9">
        <f ca="1">$F$101</f>
        <v>0</v>
      </c>
      <c r="M260" s="9">
        <f ca="1">L260-T260</f>
        <v>0</v>
      </c>
      <c r="N260" s="9"/>
      <c r="O260" s="9"/>
      <c r="P260" s="9"/>
      <c r="Q260" s="9"/>
      <c r="R260" s="9"/>
      <c r="S260" s="9">
        <f ca="1">IF(OR($C260="Annual",$D260=$E260),IF(AND($D260=$E260,S$113=$B260+$D260),$L260,IF(AND(S$113&gt;$B260+$D260,S$113&lt;=$B260+$E260), $L260/($E260-$D260),0)), IF(OR(S$113=$B260+$D260,S$113=$B260+$E260),$L260/(($E260-$D260)*2),IF(AND(S$113&gt;$B260+$D260,S$113&lt;$B260+$E260),$L260/($E260-$D260),0)))</f>
        <v>0</v>
      </c>
      <c r="T260" s="9">
        <f>IF(OR($C260="Annual",$D260=$E260),IF(AND($D260=$E260,T$113=$B260+$D260),$L260,IF(AND(T$113&gt;$B260+$D260,T$113&lt;=$B260+$E260), $L260/($E260-$D260),0)), IF(OR(T$113=$B260+$D260,T$113=$B260+$E260),$L260/(($E260-$D260)*2),IF(AND(T$113&gt;$B260+$D260,T$113&lt;$B260+$E260),$L260/($E260-$D260),0)))</f>
        <v>0</v>
      </c>
      <c r="U260" s="9"/>
      <c r="V260" s="9"/>
      <c r="W260" s="9"/>
      <c r="X260" s="9"/>
      <c r="Y260" s="9"/>
      <c r="Z260" s="9">
        <f t="shared" si="73"/>
        <v>0</v>
      </c>
      <c r="AA260" s="9">
        <f t="shared" ca="1" si="73"/>
        <v>0</v>
      </c>
    </row>
    <row r="261" spans="1:27">
      <c r="A261" s="8" t="str">
        <f>A260</f>
        <v>Type 14</v>
      </c>
      <c r="B261" s="7">
        <f>B260+1</f>
        <v>2023</v>
      </c>
      <c r="C261" s="7" t="str">
        <f>C260</f>
        <v>Annual</v>
      </c>
      <c r="D261" s="7">
        <f t="shared" si="74"/>
        <v>0</v>
      </c>
      <c r="E261" s="7">
        <f t="shared" si="74"/>
        <v>0</v>
      </c>
      <c r="F261" s="14">
        <f>$Q$101</f>
        <v>0</v>
      </c>
      <c r="H261" s="9"/>
      <c r="I261" s="9"/>
      <c r="J261" s="9"/>
      <c r="K261" s="9"/>
      <c r="L261" s="9"/>
      <c r="M261" s="9">
        <f ca="1">$G$101</f>
        <v>0</v>
      </c>
      <c r="N261" s="9"/>
      <c r="O261" s="9"/>
      <c r="P261" s="9"/>
      <c r="Q261" s="9"/>
      <c r="R261" s="9"/>
      <c r="S261" s="9"/>
      <c r="T261" s="9">
        <f ca="1">IF(OR($C261="Annual",$D261=$E261),IF(AND($D261=$E261,T$113=$B261+$D261),$M261,IF(AND(T$113&gt;$B261+$D261,T$113&lt;=$B261+$E261), $M261/($E261-$D261),0)), IF(OR(T$113=$B261+$D261,T$113=$B261+$E261),$M261/(($E261-$D261)*2),IF(AND(T$113&gt;$B261+$D261,T$113&lt;$B261+$E261),$M261/($E261-$D261),0)))</f>
        <v>0</v>
      </c>
      <c r="U261" s="9"/>
      <c r="V261" s="9"/>
      <c r="W261" s="9"/>
      <c r="X261" s="9"/>
      <c r="Y261" s="9"/>
      <c r="Z261" s="9"/>
      <c r="AA261" s="9">
        <f t="shared" si="73"/>
        <v>0</v>
      </c>
    </row>
    <row r="262" spans="1:27">
      <c r="C262" s="281"/>
      <c r="F262" s="15"/>
      <c r="H262" s="10"/>
      <c r="I262" s="10"/>
      <c r="J262" s="10"/>
      <c r="K262" s="10"/>
      <c r="L262" s="10"/>
      <c r="M262" s="10"/>
      <c r="N262" s="10"/>
      <c r="O262" s="278"/>
      <c r="P262" s="10"/>
      <c r="Q262" s="10"/>
      <c r="R262" s="10"/>
      <c r="S262" s="10"/>
      <c r="T262" s="10"/>
      <c r="U262" s="10"/>
      <c r="V262" s="10"/>
      <c r="W262" s="10"/>
      <c r="X262" s="10"/>
      <c r="Y262" s="10"/>
      <c r="Z262" s="10"/>
      <c r="AA262" s="10"/>
    </row>
    <row r="263" spans="1:27" s="1150" customFormat="1">
      <c r="A263" s="1347" t="str">
        <f>'Input 4 - Forecast'!A81</f>
        <v>ZERO-COUPON BOND</v>
      </c>
      <c r="B263" s="1348">
        <f>B121</f>
        <v>2018</v>
      </c>
      <c r="C263" s="1348"/>
      <c r="D263" s="1348">
        <f>$J102</f>
        <v>0</v>
      </c>
      <c r="E263" s="1348">
        <f>$K102</f>
        <v>0</v>
      </c>
      <c r="F263" s="1349">
        <f>$L$102</f>
        <v>0</v>
      </c>
      <c r="H263" s="1350">
        <f>$B$102</f>
        <v>0</v>
      </c>
      <c r="I263" s="1350">
        <f>H263-P263</f>
        <v>0</v>
      </c>
      <c r="J263" s="1350">
        <f>I263-Q263</f>
        <v>0</v>
      </c>
      <c r="K263" s="1350">
        <f>J263-R263</f>
        <v>0</v>
      </c>
      <c r="L263" s="1350">
        <f>K263-S263</f>
        <v>0</v>
      </c>
      <c r="M263" s="1350">
        <f>L263-T263</f>
        <v>0</v>
      </c>
      <c r="N263" s="1350"/>
      <c r="O263" s="1350">
        <f t="shared" ref="O263:T263" si="75">IF($D263=$E263,IF(O$113=$B263+$E263,$H263,0),0)</f>
        <v>0</v>
      </c>
      <c r="P263" s="1350">
        <f t="shared" si="75"/>
        <v>0</v>
      </c>
      <c r="Q263" s="1350">
        <f t="shared" si="75"/>
        <v>0</v>
      </c>
      <c r="R263" s="1350">
        <f t="shared" si="75"/>
        <v>0</v>
      </c>
      <c r="S263" s="1350">
        <f t="shared" si="75"/>
        <v>0</v>
      </c>
      <c r="T263" s="1350">
        <f t="shared" si="75"/>
        <v>0</v>
      </c>
      <c r="U263" s="1350"/>
      <c r="V263" s="1350">
        <f t="shared" ref="V263:AA263" si="76">IF(V$113-$B263=$D263,$H263*(((1+$F263)^$D263)-1),0)</f>
        <v>0</v>
      </c>
      <c r="W263" s="1350">
        <f t="shared" si="76"/>
        <v>0</v>
      </c>
      <c r="X263" s="1350">
        <f t="shared" si="76"/>
        <v>0</v>
      </c>
      <c r="Y263" s="1350">
        <f t="shared" si="76"/>
        <v>0</v>
      </c>
      <c r="Z263" s="1350">
        <f t="shared" si="76"/>
        <v>0</v>
      </c>
      <c r="AA263" s="1350">
        <f t="shared" si="76"/>
        <v>0</v>
      </c>
    </row>
    <row r="264" spans="1:27" s="1150" customFormat="1">
      <c r="A264" s="1347" t="str">
        <f>A263</f>
        <v>ZERO-COUPON BOND</v>
      </c>
      <c r="B264" s="1348">
        <f>B263+1</f>
        <v>2019</v>
      </c>
      <c r="C264" s="1348"/>
      <c r="D264" s="1348">
        <f t="shared" ref="D264:E268" si="77">D263</f>
        <v>0</v>
      </c>
      <c r="E264" s="1348">
        <f t="shared" si="77"/>
        <v>0</v>
      </c>
      <c r="F264" s="1349">
        <f>$M$102</f>
        <v>0</v>
      </c>
      <c r="H264" s="1350"/>
      <c r="I264" s="1350">
        <f ca="1">$C$102</f>
        <v>0</v>
      </c>
      <c r="J264" s="1350">
        <f ca="1">I264-Q264</f>
        <v>0</v>
      </c>
      <c r="K264" s="1350">
        <f ca="1">J264-R264</f>
        <v>0</v>
      </c>
      <c r="L264" s="1350">
        <f ca="1">K264-S264</f>
        <v>0</v>
      </c>
      <c r="M264" s="1350">
        <f ca="1">L264-T264</f>
        <v>0</v>
      </c>
      <c r="N264" s="1350"/>
      <c r="O264" s="1351"/>
      <c r="P264" s="1350">
        <f ca="1">IF($D264=$E264,IF(P$113=$B264+$E264,$I264,0),0)</f>
        <v>0</v>
      </c>
      <c r="Q264" s="1350">
        <f>IF($D264=$E264,IF(Q$113=$B264+$E264,$I264,0),0)</f>
        <v>0</v>
      </c>
      <c r="R264" s="1350">
        <f>IF($D264=$E264,IF(R$113=$B264+$E264,$I264,0),0)</f>
        <v>0</v>
      </c>
      <c r="S264" s="1350">
        <f>IF($D264=$E264,IF(S$113=$B264+$E264,$I264,0),0)</f>
        <v>0</v>
      </c>
      <c r="T264" s="1350">
        <f>IF($D264=$E264,IF(T$113=$B264+$E264,$I264,0),0)</f>
        <v>0</v>
      </c>
      <c r="U264" s="1350"/>
      <c r="V264" s="1350"/>
      <c r="W264" s="1350">
        <f ca="1">IF(W$113-$B264=$D264,$I264*(((1+$F264)^$D264)-1),0)</f>
        <v>0</v>
      </c>
      <c r="X264" s="1350">
        <f>IF(X$113-$B264=$D264,$I264*(((1+$F264)^$D264)-1),0)</f>
        <v>0</v>
      </c>
      <c r="Y264" s="1350">
        <f>IF(Y$113-$B264=$D264,$I264*(((1+$F264)^$D264)-1),0)</f>
        <v>0</v>
      </c>
      <c r="Z264" s="1350">
        <f>IF(Z$113-$B264=$D264,$I264*(((1+$F264)^$D264)-1),0)</f>
        <v>0</v>
      </c>
      <c r="AA264" s="1350">
        <f>IF(AA$113-$B264=$D264,$I264*(((1+$F264)^$D264)-1),0)</f>
        <v>0</v>
      </c>
    </row>
    <row r="265" spans="1:27" s="1150" customFormat="1">
      <c r="A265" s="1347" t="str">
        <f>A264</f>
        <v>ZERO-COUPON BOND</v>
      </c>
      <c r="B265" s="1348">
        <f>B264+1</f>
        <v>2020</v>
      </c>
      <c r="C265" s="1348"/>
      <c r="D265" s="1348">
        <f t="shared" si="77"/>
        <v>0</v>
      </c>
      <c r="E265" s="1348">
        <f t="shared" si="77"/>
        <v>0</v>
      </c>
      <c r="F265" s="1349">
        <f>$N$102</f>
        <v>0</v>
      </c>
      <c r="H265" s="1350"/>
      <c r="I265" s="1350"/>
      <c r="J265" s="1350">
        <f ca="1">$D$102</f>
        <v>0</v>
      </c>
      <c r="K265" s="1350">
        <f ca="1">J265-R265</f>
        <v>0</v>
      </c>
      <c r="L265" s="1350">
        <f ca="1">K265-S265</f>
        <v>0</v>
      </c>
      <c r="M265" s="1350">
        <f ca="1">L265-T265</f>
        <v>0</v>
      </c>
      <c r="N265" s="1350"/>
      <c r="O265" s="1351"/>
      <c r="P265" s="1350"/>
      <c r="Q265" s="1350">
        <f ca="1">IF($D265=$E265,IF(Q$113=$B265+$E265,$J265,0),0)</f>
        <v>0</v>
      </c>
      <c r="R265" s="1350">
        <f>IF($D265=$E265,IF(R$113=$B265+$E265,$J265,0),0)</f>
        <v>0</v>
      </c>
      <c r="S265" s="1350">
        <f>IF($D265=$E265,IF(S$113=$B265+$E265,$J265,0),0)</f>
        <v>0</v>
      </c>
      <c r="T265" s="1350">
        <f>IF($D265=$E265,IF(T$113=$B265+$E265,$J265,0),0)</f>
        <v>0</v>
      </c>
      <c r="U265" s="1350"/>
      <c r="V265" s="1350"/>
      <c r="W265" s="1350"/>
      <c r="X265" s="1350">
        <f ca="1">IF(X$113-$B265=$D265,$J265*(((1+$F265)^$D265)-1),0)</f>
        <v>0</v>
      </c>
      <c r="Y265" s="1350">
        <f>IF(Y$113-$B265=$D265,$J265*(((1+$F265)^$D265)-1),0)</f>
        <v>0</v>
      </c>
      <c r="Z265" s="1350">
        <f>IF(Z$113-$B265=$D265,$J265*(((1+$F265)^$D265)-1),0)</f>
        <v>0</v>
      </c>
      <c r="AA265" s="1350">
        <f>IF(AA$113-$B265=$D265,$J265*(((1+$F265)^$D265)-1),0)</f>
        <v>0</v>
      </c>
    </row>
    <row r="266" spans="1:27" s="1150" customFormat="1">
      <c r="A266" s="1347" t="str">
        <f>A265</f>
        <v>ZERO-COUPON BOND</v>
      </c>
      <c r="B266" s="1348">
        <f>B265+1</f>
        <v>2021</v>
      </c>
      <c r="C266" s="1348"/>
      <c r="D266" s="1348">
        <f t="shared" si="77"/>
        <v>0</v>
      </c>
      <c r="E266" s="1348">
        <f t="shared" si="77"/>
        <v>0</v>
      </c>
      <c r="F266" s="1349">
        <f>$O$102</f>
        <v>0</v>
      </c>
      <c r="H266" s="1350"/>
      <c r="I266" s="1350"/>
      <c r="J266" s="1350"/>
      <c r="K266" s="1350">
        <f ca="1">$E$102</f>
        <v>0</v>
      </c>
      <c r="L266" s="1350">
        <f ca="1">K266-S266</f>
        <v>0</v>
      </c>
      <c r="M266" s="1350">
        <f ca="1">L266-T266</f>
        <v>0</v>
      </c>
      <c r="N266" s="1350"/>
      <c r="O266" s="1351"/>
      <c r="P266" s="1350"/>
      <c r="Q266" s="1350"/>
      <c r="R266" s="1350">
        <f ca="1">IF($D266=$E266,IF(R$113=$B266+$E266,$K266,0),0)</f>
        <v>0</v>
      </c>
      <c r="S266" s="1350">
        <f>IF($D266=$E266,IF(S$113=$B266+$E266,$K266,0),0)</f>
        <v>0</v>
      </c>
      <c r="T266" s="1350">
        <f>IF($D266=$E266,IF(T$113=$B266+$E266,$K266,0),0)</f>
        <v>0</v>
      </c>
      <c r="U266" s="1350"/>
      <c r="V266" s="1350"/>
      <c r="W266" s="1350"/>
      <c r="X266" s="1350"/>
      <c r="Y266" s="1350">
        <f ca="1">IF(Y$113-$B266=$D266,$K266*(((1+$F266)^$D266)-1),0)</f>
        <v>0</v>
      </c>
      <c r="Z266" s="1350">
        <f>IF(Z$113-$B266=$D266,$K266*(((1+$F266)^$D266)-1),0)</f>
        <v>0</v>
      </c>
      <c r="AA266" s="1350">
        <f>IF(AA$113-$B266=$D266,$K266*(((1+$F266)^$D266)-1),0)</f>
        <v>0</v>
      </c>
    </row>
    <row r="267" spans="1:27" s="1150" customFormat="1">
      <c r="A267" s="1347" t="str">
        <f>A266</f>
        <v>ZERO-COUPON BOND</v>
      </c>
      <c r="B267" s="1348">
        <f>B266+1</f>
        <v>2022</v>
      </c>
      <c r="C267" s="1348"/>
      <c r="D267" s="1348">
        <f t="shared" si="77"/>
        <v>0</v>
      </c>
      <c r="E267" s="1348">
        <f t="shared" si="77"/>
        <v>0</v>
      </c>
      <c r="F267" s="1349">
        <f>$P$102</f>
        <v>0</v>
      </c>
      <c r="H267" s="1350"/>
      <c r="I267" s="1350"/>
      <c r="J267" s="1350"/>
      <c r="K267" s="1350"/>
      <c r="L267" s="1350">
        <f ca="1">$F$102</f>
        <v>0</v>
      </c>
      <c r="M267" s="1350">
        <f ca="1">L267-T267</f>
        <v>0</v>
      </c>
      <c r="N267" s="1350"/>
      <c r="O267" s="1351"/>
      <c r="P267" s="1350"/>
      <c r="Q267" s="1350"/>
      <c r="R267" s="1350"/>
      <c r="S267" s="1350">
        <f ca="1">IF($D267=$E267,IF(S$113=$B267+$E267,$L267,0),0)</f>
        <v>0</v>
      </c>
      <c r="T267" s="1350">
        <f>IF($D267=$E267,IF(T$113=$B267+$E267,$L267,0),0)</f>
        <v>0</v>
      </c>
      <c r="U267" s="1350"/>
      <c r="V267" s="1350"/>
      <c r="W267" s="1350"/>
      <c r="X267" s="1350"/>
      <c r="Y267" s="1350"/>
      <c r="Z267" s="1350">
        <f ca="1">IF(Z$113-$B267=$D267,$L267*(((1+$F267)^$D267)-1),0)</f>
        <v>0</v>
      </c>
      <c r="AA267" s="1350">
        <f>IF(AA$113-$B267=$D267,$L267*(((1+$F267)^$D267)-1),0)</f>
        <v>0</v>
      </c>
    </row>
    <row r="268" spans="1:27" s="1150" customFormat="1">
      <c r="A268" s="1347" t="str">
        <f>A267</f>
        <v>ZERO-COUPON BOND</v>
      </c>
      <c r="B268" s="1348">
        <f>B267+1</f>
        <v>2023</v>
      </c>
      <c r="C268" s="1348"/>
      <c r="D268" s="1348">
        <f t="shared" si="77"/>
        <v>0</v>
      </c>
      <c r="E268" s="1348">
        <f t="shared" si="77"/>
        <v>0</v>
      </c>
      <c r="F268" s="1349">
        <f>$Q$102</f>
        <v>0</v>
      </c>
      <c r="H268" s="1350"/>
      <c r="I268" s="1350"/>
      <c r="J268" s="1350"/>
      <c r="K268" s="1350"/>
      <c r="L268" s="1350"/>
      <c r="M268" s="1350">
        <f ca="1">$G$102</f>
        <v>0</v>
      </c>
      <c r="N268" s="1350"/>
      <c r="O268" s="1351"/>
      <c r="P268" s="1350"/>
      <c r="Q268" s="1350"/>
      <c r="R268" s="1350"/>
      <c r="S268" s="1350"/>
      <c r="T268" s="1350">
        <f ca="1">IF($D268=$E268,IF(T$113=$B268+$E268,$M268,0),0)</f>
        <v>0</v>
      </c>
      <c r="U268" s="1350"/>
      <c r="V268" s="1350"/>
      <c r="W268" s="1350"/>
      <c r="X268" s="1350"/>
      <c r="Y268" s="1350"/>
      <c r="Z268" s="1350"/>
      <c r="AA268" s="1350">
        <f ca="1">IF(AA$113-$B268=$D268,$M268*(((1+$F268)^$D268)-1),0)</f>
        <v>0</v>
      </c>
    </row>
    <row r="269" spans="1:27" ht="15.75" thickBot="1">
      <c r="H269" s="10"/>
      <c r="I269" s="10"/>
      <c r="J269" s="10"/>
      <c r="K269" s="10"/>
      <c r="L269" s="10"/>
      <c r="M269" s="10"/>
      <c r="N269" s="10"/>
      <c r="O269" s="10"/>
      <c r="P269" s="10"/>
      <c r="Q269" s="10"/>
      <c r="R269" s="10"/>
      <c r="S269" s="10"/>
      <c r="T269" s="10"/>
      <c r="U269" s="10"/>
      <c r="V269" s="10"/>
      <c r="W269" s="10"/>
      <c r="X269" s="10"/>
      <c r="Y269" s="10"/>
      <c r="Z269" s="10"/>
      <c r="AA269" s="10"/>
    </row>
    <row r="270" spans="1:27" ht="15.75" thickBot="1">
      <c r="A270" s="12" t="str">
        <f>'Input 4 - Forecast'!A82</f>
        <v>Denominated in foreign currency</v>
      </c>
      <c r="B270" s="1999" t="s">
        <v>52</v>
      </c>
      <c r="C270" s="2000"/>
      <c r="D270" s="2000"/>
      <c r="E270" s="2000"/>
      <c r="F270" s="2000"/>
      <c r="G270" s="2000"/>
      <c r="H270" s="2000"/>
      <c r="I270" s="2000"/>
      <c r="J270" s="2000"/>
      <c r="K270" s="2000"/>
      <c r="L270" s="2000"/>
      <c r="M270" s="2000"/>
      <c r="N270" s="2000"/>
      <c r="O270" s="2000"/>
      <c r="P270" s="2000"/>
      <c r="Q270" s="2000"/>
      <c r="R270" s="2000"/>
      <c r="S270" s="2000"/>
      <c r="T270" s="2000"/>
      <c r="U270" s="2000"/>
      <c r="V270" s="2000"/>
      <c r="W270" s="2000"/>
      <c r="X270" s="2000"/>
      <c r="Y270" s="2000"/>
      <c r="Z270" s="2000"/>
      <c r="AA270" s="2001"/>
    </row>
    <row r="271" spans="1:27">
      <c r="H271" s="10"/>
      <c r="I271" s="10"/>
      <c r="J271" s="10"/>
      <c r="K271" s="10"/>
      <c r="L271" s="10"/>
      <c r="M271" s="10"/>
      <c r="N271" s="10"/>
      <c r="O271" s="10"/>
      <c r="P271" s="10"/>
      <c r="Q271" s="10"/>
      <c r="R271" s="10"/>
      <c r="S271" s="10"/>
      <c r="T271" s="10"/>
      <c r="U271" s="10"/>
      <c r="V271" s="10"/>
      <c r="W271" s="10"/>
      <c r="X271" s="10"/>
      <c r="Y271" s="10"/>
      <c r="Z271" s="10"/>
      <c r="AA271" s="10"/>
    </row>
    <row r="272" spans="1:27">
      <c r="A272" s="8" t="str">
        <f>'Input 4 - Forecast'!A83</f>
        <v>Type 16</v>
      </c>
      <c r="B272" s="7">
        <f>B121</f>
        <v>2018</v>
      </c>
      <c r="C272" s="7" t="str">
        <f>$I104</f>
        <v>Annual</v>
      </c>
      <c r="D272" s="7">
        <f>$J104</f>
        <v>0</v>
      </c>
      <c r="E272" s="7">
        <f>$K104</f>
        <v>0</v>
      </c>
      <c r="F272" s="14">
        <f>$L$104</f>
        <v>0</v>
      </c>
      <c r="H272" s="9">
        <f>$B$104/$B$33</f>
        <v>0</v>
      </c>
      <c r="I272" s="9">
        <f>H272-P272</f>
        <v>0</v>
      </c>
      <c r="J272" s="9">
        <f>I272-Q272</f>
        <v>0</v>
      </c>
      <c r="K272" s="9">
        <f>J272-R272</f>
        <v>0</v>
      </c>
      <c r="L272" s="9">
        <f>K272-S272</f>
        <v>0</v>
      </c>
      <c r="M272" s="9">
        <f>L272-T272</f>
        <v>0</v>
      </c>
      <c r="N272" s="9"/>
      <c r="O272" s="9">
        <f t="shared" ref="O272:T272" si="78">IF(OR($C272="Annual",$D272=$E272),IF(AND($D272=$E272,O$113=$B272+$D272),$H272,IF(AND(O$113&gt;$B272+$D272,O$113&lt;=$B272+$E272), $H272/($E272-$D272),0)), IF(OR(O$113=$B272+$D272,O$113=$B272+$E272),$H272/(($E272-$D272)*2),IF(AND(O$113&gt;$B272+$D272,O$113&lt;$B272+$E272),$H272/($E272-$D272),0)))</f>
        <v>0</v>
      </c>
      <c r="P272" s="9">
        <f t="shared" si="78"/>
        <v>0</v>
      </c>
      <c r="Q272" s="9">
        <f t="shared" si="78"/>
        <v>0</v>
      </c>
      <c r="R272" s="9">
        <f t="shared" si="78"/>
        <v>0</v>
      </c>
      <c r="S272" s="9">
        <f t="shared" si="78"/>
        <v>0</v>
      </c>
      <c r="T272" s="9">
        <f t="shared" si="78"/>
        <v>0</v>
      </c>
      <c r="U272" s="9"/>
      <c r="V272" s="9">
        <f>IF($C272="annual",IF(V$113=$B272,0,G272*$F272),IF(V$113-$B272=0,0,IF((V$113-$B272)&lt;$E272,AVERAGE(G272,H272)*$F272,IF((V$113-$B272)=$E272,G272*$F272/2,0))))</f>
        <v>0</v>
      </c>
      <c r="W272" s="9">
        <f t="shared" ref="W272:AA277" si="79">IF($C272="annual",IF(W$113=$B272,0,H272*$F272),IF(W$113-$B272=0,0,IF((W$113-$B272)&lt;$E272,AVERAGE(H272,I272)*$F272,IF((W$113-$B272)=$E272,H272*$F272/2,0))))</f>
        <v>0</v>
      </c>
      <c r="X272" s="9">
        <f t="shared" si="79"/>
        <v>0</v>
      </c>
      <c r="Y272" s="9">
        <f t="shared" si="79"/>
        <v>0</v>
      </c>
      <c r="Z272" s="9">
        <f t="shared" si="79"/>
        <v>0</v>
      </c>
      <c r="AA272" s="9">
        <f t="shared" si="79"/>
        <v>0</v>
      </c>
    </row>
    <row r="273" spans="1:27">
      <c r="A273" s="8" t="str">
        <f>A272</f>
        <v>Type 16</v>
      </c>
      <c r="B273" s="7">
        <f>B272+1</f>
        <v>2019</v>
      </c>
      <c r="C273" s="7" t="str">
        <f>C272</f>
        <v>Annual</v>
      </c>
      <c r="D273" s="7">
        <f t="shared" ref="D273:E277" si="80">D272</f>
        <v>0</v>
      </c>
      <c r="E273" s="7">
        <f t="shared" si="80"/>
        <v>0</v>
      </c>
      <c r="F273" s="14">
        <f>$M$104</f>
        <v>0</v>
      </c>
      <c r="H273" s="9"/>
      <c r="I273" s="9">
        <f ca="1">$C$104/$C$33</f>
        <v>0</v>
      </c>
      <c r="J273" s="9">
        <f ca="1">I273-Q273</f>
        <v>0</v>
      </c>
      <c r="K273" s="9">
        <f ca="1">J273-R273</f>
        <v>0</v>
      </c>
      <c r="L273" s="9">
        <f ca="1">K273-S273</f>
        <v>0</v>
      </c>
      <c r="M273" s="9">
        <f ca="1">L273-T273</f>
        <v>0</v>
      </c>
      <c r="N273" s="9"/>
      <c r="O273" s="9"/>
      <c r="P273" s="9">
        <f ca="1">IF(OR($C273="Annual",$D273=$E273),IF(AND($D273=$E273,P$113=$B273+$D273),$I273,IF(AND(P$113&gt;$B273+$D273,P$113&lt;=$B273+$E273), $I273/($E273-$D273),0)), IF(OR(P$113=$B273+$D273,P$113=$B273+$E273),$I273/(($E273-$D273)*2),IF(AND(P$113&gt;$B273+$D273,P$113&lt;$B273+$E273),$I273/($E273-$D273),0)))</f>
        <v>0</v>
      </c>
      <c r="Q273" s="9">
        <f>IF(OR($C273="Annual",$D273=$E273),IF(AND($D273=$E273,Q$113=$B273+$D273),$I273,IF(AND(Q$113&gt;$B273+$D273,Q$113&lt;=$B273+$E273), $I273/($E273-$D273),0)), IF(OR(Q$113=$B273+$D273,Q$113=$B273+$E273),$I273/(($E273-$D273)*2),IF(AND(Q$113&gt;$B273+$D273,Q$113&lt;$B273+$E273),$I273/($E273-$D273),0)))</f>
        <v>0</v>
      </c>
      <c r="R273" s="9">
        <f>IF(OR($C273="Annual",$D273=$E273),IF(AND($D273=$E273,R$113=$B273+$D273),$I273,IF(AND(R$113&gt;$B273+$D273,R$113&lt;=$B273+$E273), $I273/($E273-$D273),0)), IF(OR(R$113=$B273+$D273,R$113=$B273+$E273),$I273/(($E273-$D273)*2),IF(AND(R$113&gt;$B273+$D273,R$113&lt;$B273+$E273),$I273/($E273-$D273),0)))</f>
        <v>0</v>
      </c>
      <c r="S273" s="9">
        <f>IF(OR($C273="Annual",$D273=$E273),IF(AND($D273=$E273,S$113=$B273+$D273),$I273,IF(AND(S$113&gt;$B273+$D273,S$113&lt;=$B273+$E273), $I273/($E273-$D273),0)), IF(OR(S$113=$B273+$D273,S$113=$B273+$E273),$I273/(($E273-$D273)*2),IF(AND(S$113&gt;$B273+$D273,S$113&lt;$B273+$E273),$I273/($E273-$D273),0)))</f>
        <v>0</v>
      </c>
      <c r="T273" s="9">
        <f>IF(OR($C273="Annual",$D273=$E273),IF(AND($D273=$E273,T$113=$B273+$D273),$I273,IF(AND(T$113&gt;$B273+$D273,T$113&lt;=$B273+$E273), $I273/($E273-$D273),0)), IF(OR(T$113=$B273+$D273,T$113=$B273+$E273),$I273/(($E273-$D273)*2),IF(AND(T$113&gt;$B273+$D273,T$113&lt;$B273+$E273),$I273/($E273-$D273),0)))</f>
        <v>0</v>
      </c>
      <c r="U273" s="9"/>
      <c r="V273" s="9"/>
      <c r="W273" s="9">
        <f t="shared" si="79"/>
        <v>0</v>
      </c>
      <c r="X273" s="9">
        <f t="shared" ca="1" si="79"/>
        <v>0</v>
      </c>
      <c r="Y273" s="9">
        <f t="shared" ca="1" si="79"/>
        <v>0</v>
      </c>
      <c r="Z273" s="9">
        <f t="shared" ca="1" si="79"/>
        <v>0</v>
      </c>
      <c r="AA273" s="9">
        <f t="shared" ca="1" si="79"/>
        <v>0</v>
      </c>
    </row>
    <row r="274" spans="1:27">
      <c r="A274" s="8" t="str">
        <f>A273</f>
        <v>Type 16</v>
      </c>
      <c r="B274" s="7">
        <f>B273+1</f>
        <v>2020</v>
      </c>
      <c r="C274" s="7" t="str">
        <f>C273</f>
        <v>Annual</v>
      </c>
      <c r="D274" s="7">
        <f t="shared" si="80"/>
        <v>0</v>
      </c>
      <c r="E274" s="7">
        <f t="shared" si="80"/>
        <v>0</v>
      </c>
      <c r="F274" s="14">
        <f>$N$104</f>
        <v>0</v>
      </c>
      <c r="H274" s="9"/>
      <c r="I274" s="9"/>
      <c r="J274" s="9">
        <f ca="1">$D$104/$D$33</f>
        <v>0</v>
      </c>
      <c r="K274" s="9">
        <f ca="1">J274-R274</f>
        <v>0</v>
      </c>
      <c r="L274" s="9">
        <f ca="1">K274-S274</f>
        <v>0</v>
      </c>
      <c r="M274" s="9">
        <f ca="1">L274-T274</f>
        <v>0</v>
      </c>
      <c r="N274" s="9"/>
      <c r="O274" s="9"/>
      <c r="P274" s="9"/>
      <c r="Q274" s="9">
        <f ca="1">IF(OR($C274="Annual",$D274=$E274),IF(AND($D274=$E274,Q$113=$B274+$D274),$J274,IF(AND(Q$113&gt;$B274+$D274,Q$113&lt;=$B274+$E274), $J274/($E274-$D274),0)), IF(OR(Q$113=$B274+$D274,Q$113=$B274+$E274),$J274/(($E274-$D274)*2),IF(AND(Q$113&gt;$B274+$D274,Q$113&lt;$B274+$E274),$J274/($E274-$D274),0)))</f>
        <v>0</v>
      </c>
      <c r="R274" s="9">
        <f>IF(OR($C274="Annual",$D274=$E274),IF(AND($D274=$E274,R$113=$B274+$D274),$J274,IF(AND(R$113&gt;$B274+$D274,R$113&lt;=$B274+$E274), $J274/($E274-$D274),0)), IF(OR(R$113=$B274+$D274,R$113=$B274+$E274),$J274/(($E274-$D274)*2),IF(AND(R$113&gt;$B274+$D274,R$113&lt;$B274+$E274),$J274/($E274-$D274),0)))</f>
        <v>0</v>
      </c>
      <c r="S274" s="9">
        <f>IF(OR($C274="Annual",$D274=$E274),IF(AND($D274=$E274,S$113=$B274+$D274),$J274,IF(AND(S$113&gt;$B274+$D274,S$113&lt;=$B274+$E274), $J274/($E274-$D274),0)), IF(OR(S$113=$B274+$D274,S$113=$B274+$E274),$J274/(($E274-$D274)*2),IF(AND(S$113&gt;$B274+$D274,S$113&lt;$B274+$E274),$J274/($E274-$D274),0)))</f>
        <v>0</v>
      </c>
      <c r="T274" s="9">
        <f>IF(OR($C274="Annual",$D274=$E274),IF(AND($D274=$E274,T$113=$B274+$D274),$J274,IF(AND(T$113&gt;$B274+$D274,T$113&lt;=$B274+$E274), $J274/($E274-$D274),0)), IF(OR(T$113=$B274+$D274,T$113=$B274+$E274),$J274/(($E274-$D274)*2),IF(AND(T$113&gt;$B274+$D274,T$113&lt;$B274+$E274),$J274/($E274-$D274),0)))</f>
        <v>0</v>
      </c>
      <c r="U274" s="9"/>
      <c r="V274" s="9"/>
      <c r="W274" s="9"/>
      <c r="X274" s="9">
        <f t="shared" si="79"/>
        <v>0</v>
      </c>
      <c r="Y274" s="9">
        <f t="shared" ca="1" si="79"/>
        <v>0</v>
      </c>
      <c r="Z274" s="9">
        <f t="shared" ca="1" si="79"/>
        <v>0</v>
      </c>
      <c r="AA274" s="9">
        <f t="shared" ca="1" si="79"/>
        <v>0</v>
      </c>
    </row>
    <row r="275" spans="1:27">
      <c r="A275" s="8" t="str">
        <f>A274</f>
        <v>Type 16</v>
      </c>
      <c r="B275" s="7">
        <f>B274+1</f>
        <v>2021</v>
      </c>
      <c r="C275" s="7" t="str">
        <f>C274</f>
        <v>Annual</v>
      </c>
      <c r="D275" s="7">
        <f t="shared" si="80"/>
        <v>0</v>
      </c>
      <c r="E275" s="7">
        <f t="shared" si="80"/>
        <v>0</v>
      </c>
      <c r="F275" s="14">
        <f>$O$104</f>
        <v>0</v>
      </c>
      <c r="H275" s="9"/>
      <c r="I275" s="9"/>
      <c r="J275" s="9"/>
      <c r="K275" s="9">
        <f ca="1">$E$104/$E$33</f>
        <v>0</v>
      </c>
      <c r="L275" s="9">
        <f ca="1">K275-S275</f>
        <v>0</v>
      </c>
      <c r="M275" s="9">
        <f ca="1">L275-T275</f>
        <v>0</v>
      </c>
      <c r="N275" s="9"/>
      <c r="O275" s="9"/>
      <c r="P275" s="9"/>
      <c r="Q275" s="9"/>
      <c r="R275" s="9">
        <f ca="1">IF(OR($C275="Annual",$D275=$E275),IF(AND($D275=$E275,R$113=$B275+$D275),$K275,IF(AND(R$113&gt;$B275+$D275,R$113&lt;=$B275+$E275), $K275/($E275-$D275),0)), IF(OR(R$113=$B275+$D275,R$113=$B275+$E275),$K275/(($E275-$D275)*2),IF(AND(R$113&gt;$B275+$D275,R$113&lt;$B275+$E275),$K275/($E275-$D275),0)))</f>
        <v>0</v>
      </c>
      <c r="S275" s="9">
        <f>IF(OR($C275="Annual",$D275=$E275),IF(AND($D275=$E275,S$113=$B275+$D275),$K275,IF(AND(S$113&gt;$B275+$D275,S$113&lt;=$B275+$E275), $K275/($E275-$D275),0)), IF(OR(S$113=$B275+$D275,S$113=$B275+$E275),$K275/(($E275-$D275)*2),IF(AND(S$113&gt;$B275+$D275,S$113&lt;$B275+$E275),$K275/($E275-$D275),0)))</f>
        <v>0</v>
      </c>
      <c r="T275" s="9">
        <f>IF(OR($C275="Annual",$D275=$E275),IF(AND($D275=$E275,T$113=$B275+$D275),$K275,IF(AND(T$113&gt;$B275+$D275,T$113&lt;=$B275+$E275), $K275/($E275-$D275),0)), IF(OR(T$113=$B275+$D275,T$113=$B275+$E275),$K275/(($E275-$D275)*2),IF(AND(T$113&gt;$B275+$D275,T$113&lt;$B275+$E275),$K275/($E275-$D275),0)))</f>
        <v>0</v>
      </c>
      <c r="U275" s="9"/>
      <c r="V275" s="9"/>
      <c r="W275" s="9"/>
      <c r="X275" s="9"/>
      <c r="Y275" s="9">
        <f t="shared" si="79"/>
        <v>0</v>
      </c>
      <c r="Z275" s="9">
        <f t="shared" ca="1" si="79"/>
        <v>0</v>
      </c>
      <c r="AA275" s="9">
        <f t="shared" ca="1" si="79"/>
        <v>0</v>
      </c>
    </row>
    <row r="276" spans="1:27">
      <c r="A276" s="8" t="str">
        <f>A275</f>
        <v>Type 16</v>
      </c>
      <c r="B276" s="7">
        <f>B275+1</f>
        <v>2022</v>
      </c>
      <c r="C276" s="7" t="str">
        <f>C275</f>
        <v>Annual</v>
      </c>
      <c r="D276" s="7">
        <f t="shared" si="80"/>
        <v>0</v>
      </c>
      <c r="E276" s="7">
        <f t="shared" si="80"/>
        <v>0</v>
      </c>
      <c r="F276" s="14">
        <f>$P$104</f>
        <v>0</v>
      </c>
      <c r="H276" s="9"/>
      <c r="I276" s="9"/>
      <c r="J276" s="9"/>
      <c r="K276" s="9"/>
      <c r="L276" s="9">
        <f ca="1">$F$104/$F$33</f>
        <v>0</v>
      </c>
      <c r="M276" s="9">
        <f ca="1">L276-T276</f>
        <v>0</v>
      </c>
      <c r="N276" s="9"/>
      <c r="O276" s="9"/>
      <c r="P276" s="9"/>
      <c r="Q276" s="9"/>
      <c r="R276" s="9"/>
      <c r="S276" s="9">
        <f ca="1">IF(OR($C276="Annual",$D276=$E276),IF(AND($D276=$E276,S$113=$B276+$D276),$L276,IF(AND(S$113&gt;$B276+$D276,S$113&lt;=$B276+$E276), $L276/($E276-$D276),0)), IF(OR(S$113=$B276+$D276,S$113=$B276+$E276),$L276/(($E276-$D276)*2),IF(AND(S$113&gt;$B276+$D276,S$113&lt;$B276+$E276),$L276/($E276-$D276),0)))</f>
        <v>0</v>
      </c>
      <c r="T276" s="9">
        <f>IF(OR($C276="Annual",$D276=$E276),IF(AND($D276=$E276,T$113=$B276+$D276),$L276,IF(AND(T$113&gt;$B276+$D276,T$113&lt;=$B276+$E276), $L276/($E276-$D276),0)), IF(OR(T$113=$B276+$D276,T$113=$B276+$E276),$L276/(($E276-$D276)*2),IF(AND(T$113&gt;$B276+$D276,T$113&lt;$B276+$E276),$L276/($E276-$D276),0)))</f>
        <v>0</v>
      </c>
      <c r="U276" s="9"/>
      <c r="V276" s="9"/>
      <c r="W276" s="9"/>
      <c r="X276" s="9"/>
      <c r="Y276" s="9"/>
      <c r="Z276" s="9">
        <f t="shared" si="79"/>
        <v>0</v>
      </c>
      <c r="AA276" s="9">
        <f t="shared" ca="1" si="79"/>
        <v>0</v>
      </c>
    </row>
    <row r="277" spans="1:27">
      <c r="A277" s="8" t="str">
        <f>A276</f>
        <v>Type 16</v>
      </c>
      <c r="B277" s="7">
        <f>B276+1</f>
        <v>2023</v>
      </c>
      <c r="C277" s="7" t="str">
        <f>C276</f>
        <v>Annual</v>
      </c>
      <c r="D277" s="7">
        <f t="shared" si="80"/>
        <v>0</v>
      </c>
      <c r="E277" s="7">
        <f t="shared" si="80"/>
        <v>0</v>
      </c>
      <c r="F277" s="14">
        <f>$Q$104</f>
        <v>0</v>
      </c>
      <c r="H277" s="9"/>
      <c r="I277" s="9"/>
      <c r="J277" s="9"/>
      <c r="K277" s="9"/>
      <c r="L277" s="9"/>
      <c r="M277" s="9">
        <f ca="1">$G$104/$G$33</f>
        <v>0</v>
      </c>
      <c r="N277" s="9"/>
      <c r="O277" s="9"/>
      <c r="P277" s="9"/>
      <c r="Q277" s="9"/>
      <c r="R277" s="9"/>
      <c r="S277" s="9"/>
      <c r="T277" s="9">
        <f ca="1">IF(OR($C277="Annual",$D277=$E277),IF(AND($D277=$E277,T$113=$B277+$D277),$M277,IF(AND(T$113&gt;$B277+$D277,T$113&lt;=$B277+$E277), $M277/($E277-$D277),0)), IF(OR(T$113=$B277+$D277,T$113=$B277+$E277),$M277/(($E277-$D277)*2),IF(AND(T$113&gt;$B277+$D277,T$113&lt;$B277+$E277),$M277/($E277-$D277),0)))</f>
        <v>0</v>
      </c>
      <c r="U277" s="9"/>
      <c r="V277" s="9"/>
      <c r="W277" s="9"/>
      <c r="X277" s="9"/>
      <c r="Y277" s="9"/>
      <c r="Z277" s="9"/>
      <c r="AA277" s="9">
        <f t="shared" si="79"/>
        <v>0</v>
      </c>
    </row>
    <row r="278" spans="1:27">
      <c r="A278" s="8"/>
      <c r="B278" s="7"/>
      <c r="C278" s="7"/>
      <c r="D278" s="7"/>
      <c r="E278" s="7"/>
      <c r="F278" s="15"/>
      <c r="H278" s="9"/>
      <c r="I278" s="9"/>
      <c r="J278" s="9"/>
      <c r="K278" s="9"/>
      <c r="L278" s="9"/>
      <c r="M278" s="9"/>
      <c r="N278" s="9"/>
      <c r="O278" s="278"/>
      <c r="P278" s="10"/>
      <c r="Q278" s="10"/>
      <c r="R278" s="10"/>
      <c r="S278" s="10"/>
      <c r="T278" s="10"/>
      <c r="U278" s="9"/>
      <c r="V278" s="10"/>
      <c r="W278" s="10"/>
      <c r="X278" s="10"/>
      <c r="Y278" s="10"/>
      <c r="Z278" s="10"/>
      <c r="AA278" s="10"/>
    </row>
    <row r="279" spans="1:27">
      <c r="A279" s="8" t="str">
        <f>'Input 4 - Forecast'!A84</f>
        <v>Type 17</v>
      </c>
      <c r="B279" s="7">
        <f>B121</f>
        <v>2018</v>
      </c>
      <c r="C279" s="7" t="str">
        <f>$I105</f>
        <v>Annual</v>
      </c>
      <c r="D279" s="7">
        <f>$J105</f>
        <v>0</v>
      </c>
      <c r="E279" s="7">
        <f>$K105</f>
        <v>0</v>
      </c>
      <c r="F279" s="14">
        <f>$L$105</f>
        <v>0</v>
      </c>
      <c r="H279" s="9">
        <f>$B$105/$B$33</f>
        <v>0</v>
      </c>
      <c r="I279" s="9">
        <f>H279-P279</f>
        <v>0</v>
      </c>
      <c r="J279" s="9">
        <f>I279-Q279</f>
        <v>0</v>
      </c>
      <c r="K279" s="9">
        <f>J279-R279</f>
        <v>0</v>
      </c>
      <c r="L279" s="9">
        <f>K279-S279</f>
        <v>0</v>
      </c>
      <c r="M279" s="9">
        <f>L279-T279</f>
        <v>0</v>
      </c>
      <c r="N279" s="9"/>
      <c r="O279" s="9">
        <f t="shared" ref="O279:T279" si="81">IF(OR($C279="Annual",$D279=$E279),IF(AND($D279=$E279,O$113=$B279+$D279),$H279,IF(AND(O$113&gt;$B279+$D279,O$113&lt;=$B279+$E279), $H279/($E279-$D279),0)), IF(OR(O$113=$B279+$D279,O$113=$B279+$E279),$H279/(($E279-$D279)*2),IF(AND(O$113&gt;$B279+$D279,O$113&lt;$B279+$E279),$H279/($E279-$D279),0)))</f>
        <v>0</v>
      </c>
      <c r="P279" s="9">
        <f t="shared" si="81"/>
        <v>0</v>
      </c>
      <c r="Q279" s="9">
        <f t="shared" si="81"/>
        <v>0</v>
      </c>
      <c r="R279" s="9">
        <f t="shared" si="81"/>
        <v>0</v>
      </c>
      <c r="S279" s="9">
        <f t="shared" si="81"/>
        <v>0</v>
      </c>
      <c r="T279" s="9">
        <f t="shared" si="81"/>
        <v>0</v>
      </c>
      <c r="U279" s="9"/>
      <c r="V279" s="9">
        <f>IF($C279="annual",IF(V$113=$B279,0,G279*$F279),IF(V$113-$B279=0,0,IF((V$113-$B279)&lt;$E279,AVERAGE(G279,H279)*$F279,IF((V$113-$B279)=$E279,G279*$F279/2,0))))</f>
        <v>0</v>
      </c>
      <c r="W279" s="9">
        <f t="shared" ref="W279:AA284" si="82">IF($C279="annual",IF(W$113=$B279,0,H279*$F279),IF(W$113-$B279=0,0,IF((W$113-$B279)&lt;$E279,AVERAGE(H279,I279)*$F279,IF((W$113-$B279)=$E279,H279*$F279/2,0))))</f>
        <v>0</v>
      </c>
      <c r="X279" s="9">
        <f t="shared" si="82"/>
        <v>0</v>
      </c>
      <c r="Y279" s="9">
        <f t="shared" si="82"/>
        <v>0</v>
      </c>
      <c r="Z279" s="9">
        <f t="shared" si="82"/>
        <v>0</v>
      </c>
      <c r="AA279" s="9">
        <f t="shared" si="82"/>
        <v>0</v>
      </c>
    </row>
    <row r="280" spans="1:27">
      <c r="A280" s="8" t="str">
        <f>A279</f>
        <v>Type 17</v>
      </c>
      <c r="B280" s="7">
        <f>B279+1</f>
        <v>2019</v>
      </c>
      <c r="C280" s="7" t="str">
        <f>C279</f>
        <v>Annual</v>
      </c>
      <c r="D280" s="7">
        <f t="shared" ref="D280:E284" si="83">D279</f>
        <v>0</v>
      </c>
      <c r="E280" s="7">
        <f t="shared" si="83"/>
        <v>0</v>
      </c>
      <c r="F280" s="14">
        <f>$M$105</f>
        <v>0</v>
      </c>
      <c r="H280" s="9"/>
      <c r="I280" s="9">
        <f ca="1">$C$105/$C$33</f>
        <v>0</v>
      </c>
      <c r="J280" s="9">
        <f ca="1">I280-Q280</f>
        <v>0</v>
      </c>
      <c r="K280" s="9">
        <f ca="1">J280-R280</f>
        <v>0</v>
      </c>
      <c r="L280" s="9">
        <f ca="1">K280-S280</f>
        <v>0</v>
      </c>
      <c r="M280" s="9">
        <f ca="1">L280-T280</f>
        <v>0</v>
      </c>
      <c r="N280" s="9"/>
      <c r="O280" s="9"/>
      <c r="P280" s="9">
        <f ca="1">IF(OR($C280="Annual",$D280=$E280),IF(AND($D280=$E280,P$113=$B280+$D280),$I280,IF(AND(P$113&gt;$B280+$D280,P$113&lt;=$B280+$E280), $I280/($E280-$D280),0)), IF(OR(P$113=$B280+$D280,P$113=$B280+$E280),$I280/(($E280-$D280)*2),IF(AND(P$113&gt;$B280+$D280,P$113&lt;$B280+$E280),$I280/($E280-$D280),0)))</f>
        <v>0</v>
      </c>
      <c r="Q280" s="9">
        <f>IF(OR($C280="Annual",$D280=$E280),IF(AND($D280=$E280,Q$113=$B280+$D280),$I280,IF(AND(Q$113&gt;$B280+$D280,Q$113&lt;=$B280+$E280), $I280/($E280-$D280),0)), IF(OR(Q$113=$B280+$D280,Q$113=$B280+$E280),$I280/(($E280-$D280)*2),IF(AND(Q$113&gt;$B280+$D280,Q$113&lt;$B280+$E280),$I280/($E280-$D280),0)))</f>
        <v>0</v>
      </c>
      <c r="R280" s="9">
        <f>IF(OR($C280="Annual",$D280=$E280),IF(AND($D280=$E280,R$113=$B280+$D280),$I280,IF(AND(R$113&gt;$B280+$D280,R$113&lt;=$B280+$E280), $I280/($E280-$D280),0)), IF(OR(R$113=$B280+$D280,R$113=$B280+$E280),$I280/(($E280-$D280)*2),IF(AND(R$113&gt;$B280+$D280,R$113&lt;$B280+$E280),$I280/($E280-$D280),0)))</f>
        <v>0</v>
      </c>
      <c r="S280" s="9">
        <f>IF(OR($C280="Annual",$D280=$E280),IF(AND($D280=$E280,S$113=$B280+$D280),$I280,IF(AND(S$113&gt;$B280+$D280,S$113&lt;=$B280+$E280), $I280/($E280-$D280),0)), IF(OR(S$113=$B280+$D280,S$113=$B280+$E280),$I280/(($E280-$D280)*2),IF(AND(S$113&gt;$B280+$D280,S$113&lt;$B280+$E280),$I280/($E280-$D280),0)))</f>
        <v>0</v>
      </c>
      <c r="T280" s="9">
        <f>IF(OR($C280="Annual",$D280=$E280),IF(AND($D280=$E280,T$113=$B280+$D280),$I280,IF(AND(T$113&gt;$B280+$D280,T$113&lt;=$B280+$E280), $I280/($E280-$D280),0)), IF(OR(T$113=$B280+$D280,T$113=$B280+$E280),$I280/(($E280-$D280)*2),IF(AND(T$113&gt;$B280+$D280,T$113&lt;$B280+$E280),$I280/($E280-$D280),0)))</f>
        <v>0</v>
      </c>
      <c r="U280" s="9"/>
      <c r="V280" s="9"/>
      <c r="W280" s="9">
        <f t="shared" si="82"/>
        <v>0</v>
      </c>
      <c r="X280" s="9">
        <f t="shared" ca="1" si="82"/>
        <v>0</v>
      </c>
      <c r="Y280" s="9">
        <f t="shared" ca="1" si="82"/>
        <v>0</v>
      </c>
      <c r="Z280" s="9">
        <f t="shared" ca="1" si="82"/>
        <v>0</v>
      </c>
      <c r="AA280" s="9">
        <f t="shared" ca="1" si="82"/>
        <v>0</v>
      </c>
    </row>
    <row r="281" spans="1:27">
      <c r="A281" s="8" t="str">
        <f>A280</f>
        <v>Type 17</v>
      </c>
      <c r="B281" s="7">
        <f>B280+1</f>
        <v>2020</v>
      </c>
      <c r="C281" s="7" t="str">
        <f>C280</f>
        <v>Annual</v>
      </c>
      <c r="D281" s="7">
        <f t="shared" si="83"/>
        <v>0</v>
      </c>
      <c r="E281" s="7">
        <f t="shared" si="83"/>
        <v>0</v>
      </c>
      <c r="F281" s="14">
        <f>$N$105</f>
        <v>0</v>
      </c>
      <c r="H281" s="9"/>
      <c r="I281" s="9"/>
      <c r="J281" s="9">
        <f ca="1">$D$105/$D$33</f>
        <v>0</v>
      </c>
      <c r="K281" s="9">
        <f ca="1">J281-R281</f>
        <v>0</v>
      </c>
      <c r="L281" s="9">
        <f ca="1">K281-S281</f>
        <v>0</v>
      </c>
      <c r="M281" s="9">
        <f ca="1">L281-T281</f>
        <v>0</v>
      </c>
      <c r="N281" s="9"/>
      <c r="O281" s="9"/>
      <c r="P281" s="9"/>
      <c r="Q281" s="9">
        <f ca="1">IF(OR($C281="Annual",$D281=$E281),IF(AND($D281=$E281,Q$113=$B281+$D281),$J281,IF(AND(Q$113&gt;$B281+$D281,Q$113&lt;=$B281+$E281), $J281/($E281-$D281),0)), IF(OR(Q$113=$B281+$D281,Q$113=$B281+$E281),$J281/(($E281-$D281)*2),IF(AND(Q$113&gt;$B281+$D281,Q$113&lt;$B281+$E281),$J281/($E281-$D281),0)))</f>
        <v>0</v>
      </c>
      <c r="R281" s="9">
        <f>IF(OR($C281="Annual",$D281=$E281),IF(AND($D281=$E281,R$113=$B281+$D281),$J281,IF(AND(R$113&gt;$B281+$D281,R$113&lt;=$B281+$E281), $J281/($E281-$D281),0)), IF(OR(R$113=$B281+$D281,R$113=$B281+$E281),$J281/(($E281-$D281)*2),IF(AND(R$113&gt;$B281+$D281,R$113&lt;$B281+$E281),$J281/($E281-$D281),0)))</f>
        <v>0</v>
      </c>
      <c r="S281" s="9">
        <f>IF(OR($C281="Annual",$D281=$E281),IF(AND($D281=$E281,S$113=$B281+$D281),$J281,IF(AND(S$113&gt;$B281+$D281,S$113&lt;=$B281+$E281), $J281/($E281-$D281),0)), IF(OR(S$113=$B281+$D281,S$113=$B281+$E281),$J281/(($E281-$D281)*2),IF(AND(S$113&gt;$B281+$D281,S$113&lt;$B281+$E281),$J281/($E281-$D281),0)))</f>
        <v>0</v>
      </c>
      <c r="T281" s="9">
        <f>IF(OR($C281="Annual",$D281=$E281),IF(AND($D281=$E281,T$113=$B281+$D281),$J281,IF(AND(T$113&gt;$B281+$D281,T$113&lt;=$B281+$E281), $J281/($E281-$D281),0)), IF(OR(T$113=$B281+$D281,T$113=$B281+$E281),$J281/(($E281-$D281)*2),IF(AND(T$113&gt;$B281+$D281,T$113&lt;$B281+$E281),$J281/($E281-$D281),0)))</f>
        <v>0</v>
      </c>
      <c r="U281" s="9"/>
      <c r="V281" s="9"/>
      <c r="W281" s="9"/>
      <c r="X281" s="9">
        <f t="shared" si="82"/>
        <v>0</v>
      </c>
      <c r="Y281" s="9">
        <f t="shared" ca="1" si="82"/>
        <v>0</v>
      </c>
      <c r="Z281" s="9">
        <f t="shared" ca="1" si="82"/>
        <v>0</v>
      </c>
      <c r="AA281" s="9">
        <f t="shared" ca="1" si="82"/>
        <v>0</v>
      </c>
    </row>
    <row r="282" spans="1:27">
      <c r="A282" s="8" t="str">
        <f>A281</f>
        <v>Type 17</v>
      </c>
      <c r="B282" s="7">
        <f>B281+1</f>
        <v>2021</v>
      </c>
      <c r="C282" s="7" t="str">
        <f>C281</f>
        <v>Annual</v>
      </c>
      <c r="D282" s="7">
        <f t="shared" si="83"/>
        <v>0</v>
      </c>
      <c r="E282" s="7">
        <f t="shared" si="83"/>
        <v>0</v>
      </c>
      <c r="F282" s="14">
        <f>$O$105</f>
        <v>0</v>
      </c>
      <c r="H282" s="9"/>
      <c r="I282" s="9"/>
      <c r="J282" s="9"/>
      <c r="K282" s="9">
        <f ca="1">$E$105/$E$33</f>
        <v>0</v>
      </c>
      <c r="L282" s="9">
        <f ca="1">K282-S282</f>
        <v>0</v>
      </c>
      <c r="M282" s="9">
        <f ca="1">L282-T282</f>
        <v>0</v>
      </c>
      <c r="N282" s="9"/>
      <c r="O282" s="9"/>
      <c r="P282" s="9"/>
      <c r="Q282" s="9"/>
      <c r="R282" s="9">
        <f ca="1">IF(OR($C282="Annual",$D282=$E282),IF(AND($D282=$E282,R$113=$B282+$D282),$K282,IF(AND(R$113&gt;$B282+$D282,R$113&lt;=$B282+$E282), $K282/($E282-$D282),0)), IF(OR(R$113=$B282+$D282,R$113=$B282+$E282),$K282/(($E282-$D282)*2),IF(AND(R$113&gt;$B282+$D282,R$113&lt;$B282+$E282),$K282/($E282-$D282),0)))</f>
        <v>0</v>
      </c>
      <c r="S282" s="9">
        <f>IF(OR($C282="Annual",$D282=$E282),IF(AND($D282=$E282,S$113=$B282+$D282),$K282,IF(AND(S$113&gt;$B282+$D282,S$113&lt;=$B282+$E282), $K282/($E282-$D282),0)), IF(OR(S$113=$B282+$D282,S$113=$B282+$E282),$K282/(($E282-$D282)*2),IF(AND(S$113&gt;$B282+$D282,S$113&lt;$B282+$E282),$K282/($E282-$D282),0)))</f>
        <v>0</v>
      </c>
      <c r="T282" s="9">
        <f>IF(OR($C282="Annual",$D282=$E282),IF(AND($D282=$E282,T$113=$B282+$D282),$K282,IF(AND(T$113&gt;$B282+$D282,T$113&lt;=$B282+$E282), $K282/($E282-$D282),0)), IF(OR(T$113=$B282+$D282,T$113=$B282+$E282),$K282/(($E282-$D282)*2),IF(AND(T$113&gt;$B282+$D282,T$113&lt;$B282+$E282),$K282/($E282-$D282),0)))</f>
        <v>0</v>
      </c>
      <c r="U282" s="9"/>
      <c r="V282" s="9"/>
      <c r="W282" s="9"/>
      <c r="X282" s="9"/>
      <c r="Y282" s="9">
        <f t="shared" si="82"/>
        <v>0</v>
      </c>
      <c r="Z282" s="9">
        <f t="shared" ca="1" si="82"/>
        <v>0</v>
      </c>
      <c r="AA282" s="9">
        <f t="shared" ca="1" si="82"/>
        <v>0</v>
      </c>
    </row>
    <row r="283" spans="1:27">
      <c r="A283" s="8" t="str">
        <f>A282</f>
        <v>Type 17</v>
      </c>
      <c r="B283" s="7">
        <f>B282+1</f>
        <v>2022</v>
      </c>
      <c r="C283" s="7" t="str">
        <f>C282</f>
        <v>Annual</v>
      </c>
      <c r="D283" s="7">
        <f t="shared" si="83"/>
        <v>0</v>
      </c>
      <c r="E283" s="7">
        <f t="shared" si="83"/>
        <v>0</v>
      </c>
      <c r="F283" s="14">
        <f>$P$105</f>
        <v>0</v>
      </c>
      <c r="H283" s="9"/>
      <c r="I283" s="9"/>
      <c r="J283" s="9"/>
      <c r="K283" s="9"/>
      <c r="L283" s="9">
        <f ca="1">$F$105/$F$33</f>
        <v>0</v>
      </c>
      <c r="M283" s="9">
        <f ca="1">L283-T283</f>
        <v>0</v>
      </c>
      <c r="N283" s="9"/>
      <c r="O283" s="9"/>
      <c r="P283" s="9"/>
      <c r="Q283" s="9"/>
      <c r="R283" s="9"/>
      <c r="S283" s="9">
        <f ca="1">IF(OR($C283="Annual",$D283=$E283),IF(AND($D283=$E283,S$113=$B283+$D283),$L283,IF(AND(S$113&gt;$B283+$D283,S$113&lt;=$B283+$E283), $L283/($E283-$D283),0)), IF(OR(S$113=$B283+$D283,S$113=$B283+$E283),$L283/(($E283-$D283)*2),IF(AND(S$113&gt;$B283+$D283,S$113&lt;$B283+$E283),$L283/($E283-$D283),0)))</f>
        <v>0</v>
      </c>
      <c r="T283" s="9">
        <f>IF(OR($C283="Annual",$D283=$E283),IF(AND($D283=$E283,T$113=$B283+$D283),$L283,IF(AND(T$113&gt;$B283+$D283,T$113&lt;=$B283+$E283), $L283/($E283-$D283),0)), IF(OR(T$113=$B283+$D283,T$113=$B283+$E283),$L283/(($E283-$D283)*2),IF(AND(T$113&gt;$B283+$D283,T$113&lt;$B283+$E283),$L283/($E283-$D283),0)))</f>
        <v>0</v>
      </c>
      <c r="U283" s="9"/>
      <c r="V283" s="9"/>
      <c r="W283" s="9"/>
      <c r="X283" s="9"/>
      <c r="Y283" s="9"/>
      <c r="Z283" s="9">
        <f t="shared" si="82"/>
        <v>0</v>
      </c>
      <c r="AA283" s="9">
        <f t="shared" ca="1" si="82"/>
        <v>0</v>
      </c>
    </row>
    <row r="284" spans="1:27">
      <c r="A284" s="8" t="str">
        <f>A283</f>
        <v>Type 17</v>
      </c>
      <c r="B284" s="7">
        <f>B283+1</f>
        <v>2023</v>
      </c>
      <c r="C284" s="7" t="str">
        <f>C283</f>
        <v>Annual</v>
      </c>
      <c r="D284" s="7">
        <f t="shared" si="83"/>
        <v>0</v>
      </c>
      <c r="E284" s="7">
        <f t="shared" si="83"/>
        <v>0</v>
      </c>
      <c r="F284" s="14">
        <f>$Q$105</f>
        <v>0</v>
      </c>
      <c r="H284" s="9"/>
      <c r="I284" s="9"/>
      <c r="J284" s="9"/>
      <c r="K284" s="9"/>
      <c r="L284" s="9"/>
      <c r="M284" s="9">
        <f ca="1">$G$105/$G$33</f>
        <v>0</v>
      </c>
      <c r="N284" s="9"/>
      <c r="O284" s="9"/>
      <c r="P284" s="9"/>
      <c r="Q284" s="9"/>
      <c r="R284" s="9"/>
      <c r="S284" s="9"/>
      <c r="T284" s="9">
        <f ca="1">IF(OR($C284="Annual",$D284=$E284),IF(AND($D284=$E284,T$113=$B284+$D284),$M284,IF(AND(T$113&gt;$B284+$D284,T$113&lt;=$B284+$E284), $M284/($E284-$D284),0)), IF(OR(T$113=$B284+$D284,T$113=$B284+$E284),$M284/(($E284-$D284)*2),IF(AND(T$113&gt;$B284+$D284,T$113&lt;$B284+$E284),$M284/($E284-$D284),0)))</f>
        <v>0</v>
      </c>
      <c r="U284" s="9"/>
      <c r="V284" s="9"/>
      <c r="W284" s="9"/>
      <c r="X284" s="9"/>
      <c r="Y284" s="9"/>
      <c r="Z284" s="9"/>
      <c r="AA284" s="9">
        <f t="shared" si="82"/>
        <v>0</v>
      </c>
    </row>
    <row r="285" spans="1:27">
      <c r="A285" s="8"/>
      <c r="B285" s="7"/>
      <c r="C285" s="7"/>
      <c r="D285" s="7"/>
      <c r="E285" s="7"/>
      <c r="F285" s="15"/>
      <c r="H285" s="9"/>
      <c r="I285" s="9"/>
      <c r="J285" s="9"/>
      <c r="K285" s="9"/>
      <c r="L285" s="9"/>
      <c r="M285" s="9"/>
      <c r="N285" s="9"/>
      <c r="O285" s="278"/>
      <c r="P285" s="10"/>
      <c r="Q285" s="10"/>
      <c r="R285" s="10"/>
      <c r="S285" s="10"/>
      <c r="T285" s="10"/>
      <c r="U285" s="9"/>
      <c r="V285" s="10"/>
      <c r="W285" s="10"/>
      <c r="X285" s="10"/>
      <c r="Y285" s="10"/>
      <c r="Z285" s="10"/>
      <c r="AA285" s="10"/>
    </row>
    <row r="286" spans="1:27">
      <c r="A286" s="8" t="str">
        <f>'Input 4 - Forecast'!A85</f>
        <v>Type 18</v>
      </c>
      <c r="B286" s="7">
        <f>B121</f>
        <v>2018</v>
      </c>
      <c r="C286" s="7" t="str">
        <f>$I106</f>
        <v>Annual</v>
      </c>
      <c r="D286" s="7">
        <f>$J106</f>
        <v>0</v>
      </c>
      <c r="E286" s="7">
        <f>$K106</f>
        <v>0</v>
      </c>
      <c r="F286" s="14">
        <f>$L$106</f>
        <v>0</v>
      </c>
      <c r="H286" s="9">
        <f>$B$106/$B$33</f>
        <v>0</v>
      </c>
      <c r="I286" s="9">
        <f>H286-P286</f>
        <v>0</v>
      </c>
      <c r="J286" s="9">
        <f>I286-Q286</f>
        <v>0</v>
      </c>
      <c r="K286" s="9">
        <f>J286-R286</f>
        <v>0</v>
      </c>
      <c r="L286" s="9">
        <f>K286-S286</f>
        <v>0</v>
      </c>
      <c r="M286" s="9">
        <f>L286-T286</f>
        <v>0</v>
      </c>
      <c r="N286" s="9"/>
      <c r="O286" s="9">
        <f t="shared" ref="O286:T286" si="84">IF(OR($C286="Annual",$D286=$E286),IF(AND($D286=$E286,O$113=$B286+$D286),$H286,IF(AND(O$113&gt;$B286+$D286,O$113&lt;=$B286+$E286), $H286/($E286-$D286),0)), IF(OR(O$113=$B286+$D286,O$113=$B286+$E286),$H286/(($E286-$D286)*2),IF(AND(O$113&gt;$B286+$D286,O$113&lt;$B286+$E286),$H286/($E286-$D286),0)))</f>
        <v>0</v>
      </c>
      <c r="P286" s="9">
        <f t="shared" si="84"/>
        <v>0</v>
      </c>
      <c r="Q286" s="9">
        <f t="shared" si="84"/>
        <v>0</v>
      </c>
      <c r="R286" s="9">
        <f t="shared" si="84"/>
        <v>0</v>
      </c>
      <c r="S286" s="9">
        <f t="shared" si="84"/>
        <v>0</v>
      </c>
      <c r="T286" s="9">
        <f t="shared" si="84"/>
        <v>0</v>
      </c>
      <c r="U286" s="9"/>
      <c r="V286" s="9">
        <f>IF($C286="annual",IF(V$113=$B286,0,G286*$F286),IF(V$113-$B286=0,0,IF((V$113-$B286)&lt;$E286,AVERAGE(G286,H286)*$F286,IF((V$113-$B286)=$E286,G286*$F286/2,0))))</f>
        <v>0</v>
      </c>
      <c r="W286" s="9">
        <f t="shared" ref="W286:AA291" si="85">IF($C286="annual",IF(W$113=$B286,0,H286*$F286),IF(W$113-$B286=0,0,IF((W$113-$B286)&lt;$E286,AVERAGE(H286,I286)*$F286,IF((W$113-$B286)=$E286,H286*$F286/2,0))))</f>
        <v>0</v>
      </c>
      <c r="X286" s="9">
        <f t="shared" si="85"/>
        <v>0</v>
      </c>
      <c r="Y286" s="9">
        <f t="shared" si="85"/>
        <v>0</v>
      </c>
      <c r="Z286" s="9">
        <f t="shared" si="85"/>
        <v>0</v>
      </c>
      <c r="AA286" s="9">
        <f t="shared" si="85"/>
        <v>0</v>
      </c>
    </row>
    <row r="287" spans="1:27">
      <c r="A287" s="8" t="str">
        <f>A286</f>
        <v>Type 18</v>
      </c>
      <c r="B287" s="7">
        <f>B286+1</f>
        <v>2019</v>
      </c>
      <c r="C287" s="7" t="str">
        <f>C286</f>
        <v>Annual</v>
      </c>
      <c r="D287" s="7">
        <f t="shared" ref="D287:E291" si="86">D286</f>
        <v>0</v>
      </c>
      <c r="E287" s="7">
        <f t="shared" si="86"/>
        <v>0</v>
      </c>
      <c r="F287" s="14">
        <f>$M$106</f>
        <v>0</v>
      </c>
      <c r="H287" s="9"/>
      <c r="I287" s="9">
        <f ca="1">$C$106/$C$33</f>
        <v>0</v>
      </c>
      <c r="J287" s="9">
        <f ca="1">I287-Q287</f>
        <v>0</v>
      </c>
      <c r="K287" s="9">
        <f ca="1">J287-R287</f>
        <v>0</v>
      </c>
      <c r="L287" s="9">
        <f ca="1">K287-S287</f>
        <v>0</v>
      </c>
      <c r="M287" s="9">
        <f ca="1">L287-T287</f>
        <v>0</v>
      </c>
      <c r="N287" s="9"/>
      <c r="O287" s="9"/>
      <c r="P287" s="9">
        <f ca="1">IF(OR($C287="Annual",$D287=$E287),IF(AND($D287=$E287,P$113=$B287+$D287),$I287,IF(AND(P$113&gt;$B287+$D287,P$113&lt;=$B287+$E287), $I287/($E287-$D287),0)), IF(OR(P$113=$B287+$D287,P$113=$B287+$E287),$I287/(($E287-$D287)*2),IF(AND(P$113&gt;$B287+$D287,P$113&lt;$B287+$E287),$I287/($E287-$D287),0)))</f>
        <v>0</v>
      </c>
      <c r="Q287" s="9">
        <f>IF(OR($C287="Annual",$D287=$E287),IF(AND($D287=$E287,Q$113=$B287+$D287),$I287,IF(AND(Q$113&gt;$B287+$D287,Q$113&lt;=$B287+$E287), $I287/($E287-$D287),0)), IF(OR(Q$113=$B287+$D287,Q$113=$B287+$E287),$I287/(($E287-$D287)*2),IF(AND(Q$113&gt;$B287+$D287,Q$113&lt;$B287+$E287),$I287/($E287-$D287),0)))</f>
        <v>0</v>
      </c>
      <c r="R287" s="9">
        <f>IF(OR($C287="Annual",$D287=$E287),IF(AND($D287=$E287,R$113=$B287+$D287),$I287,IF(AND(R$113&gt;$B287+$D287,R$113&lt;=$B287+$E287), $I287/($E287-$D287),0)), IF(OR(R$113=$B287+$D287,R$113=$B287+$E287),$I287/(($E287-$D287)*2),IF(AND(R$113&gt;$B287+$D287,R$113&lt;$B287+$E287),$I287/($E287-$D287),0)))</f>
        <v>0</v>
      </c>
      <c r="S287" s="9">
        <f>IF(OR($C287="Annual",$D287=$E287),IF(AND($D287=$E287,S$113=$B287+$D287),$I287,IF(AND(S$113&gt;$B287+$D287,S$113&lt;=$B287+$E287), $I287/($E287-$D287),0)), IF(OR(S$113=$B287+$D287,S$113=$B287+$E287),$I287/(($E287-$D287)*2),IF(AND(S$113&gt;$B287+$D287,S$113&lt;$B287+$E287),$I287/($E287-$D287),0)))</f>
        <v>0</v>
      </c>
      <c r="T287" s="9">
        <f>IF(OR($C287="Annual",$D287=$E287),IF(AND($D287=$E287,T$113=$B287+$D287),$I287,IF(AND(T$113&gt;$B287+$D287,T$113&lt;=$B287+$E287), $I287/($E287-$D287),0)), IF(OR(T$113=$B287+$D287,T$113=$B287+$E287),$I287/(($E287-$D287)*2),IF(AND(T$113&gt;$B287+$D287,T$113&lt;$B287+$E287),$I287/($E287-$D287),0)))</f>
        <v>0</v>
      </c>
      <c r="U287" s="9"/>
      <c r="V287" s="9"/>
      <c r="W287" s="9">
        <f t="shared" si="85"/>
        <v>0</v>
      </c>
      <c r="X287" s="9">
        <f t="shared" ca="1" si="85"/>
        <v>0</v>
      </c>
      <c r="Y287" s="9">
        <f t="shared" ca="1" si="85"/>
        <v>0</v>
      </c>
      <c r="Z287" s="9">
        <f t="shared" ca="1" si="85"/>
        <v>0</v>
      </c>
      <c r="AA287" s="9">
        <f t="shared" ca="1" si="85"/>
        <v>0</v>
      </c>
    </row>
    <row r="288" spans="1:27">
      <c r="A288" s="8" t="str">
        <f>A287</f>
        <v>Type 18</v>
      </c>
      <c r="B288" s="7">
        <f>B287+1</f>
        <v>2020</v>
      </c>
      <c r="C288" s="7" t="str">
        <f>C287</f>
        <v>Annual</v>
      </c>
      <c r="D288" s="7">
        <f t="shared" si="86"/>
        <v>0</v>
      </c>
      <c r="E288" s="7">
        <f t="shared" si="86"/>
        <v>0</v>
      </c>
      <c r="F288" s="14">
        <f>$N$106</f>
        <v>0</v>
      </c>
      <c r="H288" s="9"/>
      <c r="I288" s="9"/>
      <c r="J288" s="9">
        <f ca="1">$D$106/$D$33</f>
        <v>0</v>
      </c>
      <c r="K288" s="9">
        <f ca="1">J288-R288</f>
        <v>0</v>
      </c>
      <c r="L288" s="9">
        <f ca="1">K288-S288</f>
        <v>0</v>
      </c>
      <c r="M288" s="9">
        <f ca="1">L288-T288</f>
        <v>0</v>
      </c>
      <c r="N288" s="9"/>
      <c r="O288" s="9"/>
      <c r="P288" s="9"/>
      <c r="Q288" s="9">
        <f ca="1">IF(OR($C288="Annual",$D288=$E288),IF(AND($D288=$E288,Q$113=$B288+$D288),$J288,IF(AND(Q$113&gt;$B288+$D288,Q$113&lt;=$B288+$E288), $J288/($E288-$D288),0)), IF(OR(Q$113=$B288+$D288,Q$113=$B288+$E288),$J288/(($E288-$D288)*2),IF(AND(Q$113&gt;$B288+$D288,Q$113&lt;$B288+$E288),$J288/($E288-$D288),0)))</f>
        <v>0</v>
      </c>
      <c r="R288" s="9">
        <f>IF(OR($C288="Annual",$D288=$E288),IF(AND($D288=$E288,R$113=$B288+$D288),$J288,IF(AND(R$113&gt;$B288+$D288,R$113&lt;=$B288+$E288), $J288/($E288-$D288),0)), IF(OR(R$113=$B288+$D288,R$113=$B288+$E288),$J288/(($E288-$D288)*2),IF(AND(R$113&gt;$B288+$D288,R$113&lt;$B288+$E288),$J288/($E288-$D288),0)))</f>
        <v>0</v>
      </c>
      <c r="S288" s="9">
        <f>IF(OR($C288="Annual",$D288=$E288),IF(AND($D288=$E288,S$113=$B288+$D288),$J288,IF(AND(S$113&gt;$B288+$D288,S$113&lt;=$B288+$E288), $J288/($E288-$D288),0)), IF(OR(S$113=$B288+$D288,S$113=$B288+$E288),$J288/(($E288-$D288)*2),IF(AND(S$113&gt;$B288+$D288,S$113&lt;$B288+$E288),$J288/($E288-$D288),0)))</f>
        <v>0</v>
      </c>
      <c r="T288" s="9">
        <f>IF(OR($C288="Annual",$D288=$E288),IF(AND($D288=$E288,T$113=$B288+$D288),$J288,IF(AND(T$113&gt;$B288+$D288,T$113&lt;=$B288+$E288), $J288/($E288-$D288),0)), IF(OR(T$113=$B288+$D288,T$113=$B288+$E288),$J288/(($E288-$D288)*2),IF(AND(T$113&gt;$B288+$D288,T$113&lt;$B288+$E288),$J288/($E288-$D288),0)))</f>
        <v>0</v>
      </c>
      <c r="U288" s="9"/>
      <c r="V288" s="9"/>
      <c r="W288" s="9"/>
      <c r="X288" s="9">
        <f t="shared" si="85"/>
        <v>0</v>
      </c>
      <c r="Y288" s="9">
        <f t="shared" ca="1" si="85"/>
        <v>0</v>
      </c>
      <c r="Z288" s="9">
        <f t="shared" ca="1" si="85"/>
        <v>0</v>
      </c>
      <c r="AA288" s="9">
        <f t="shared" ca="1" si="85"/>
        <v>0</v>
      </c>
    </row>
    <row r="289" spans="1:27">
      <c r="A289" s="8" t="str">
        <f>A288</f>
        <v>Type 18</v>
      </c>
      <c r="B289" s="7">
        <f>B288+1</f>
        <v>2021</v>
      </c>
      <c r="C289" s="7" t="str">
        <f>C288</f>
        <v>Annual</v>
      </c>
      <c r="D289" s="7">
        <f t="shared" si="86"/>
        <v>0</v>
      </c>
      <c r="E289" s="7">
        <f t="shared" si="86"/>
        <v>0</v>
      </c>
      <c r="F289" s="14">
        <f>$O$106</f>
        <v>0</v>
      </c>
      <c r="H289" s="9"/>
      <c r="I289" s="9"/>
      <c r="J289" s="9"/>
      <c r="K289" s="9">
        <f ca="1">$E$106/$E$33</f>
        <v>0</v>
      </c>
      <c r="L289" s="9">
        <f ca="1">K289-S289</f>
        <v>0</v>
      </c>
      <c r="M289" s="9">
        <f ca="1">L289-T289</f>
        <v>0</v>
      </c>
      <c r="N289" s="9"/>
      <c r="O289" s="9"/>
      <c r="P289" s="9"/>
      <c r="Q289" s="9"/>
      <c r="R289" s="9">
        <f ca="1">IF(OR($C289="Annual",$D289=$E289),IF(AND($D289=$E289,R$113=$B289+$D289),$K289,IF(AND(R$113&gt;$B289+$D289,R$113&lt;=$B289+$E289), $K289/($E289-$D289),0)), IF(OR(R$113=$B289+$D289,R$113=$B289+$E289),$K289/(($E289-$D289)*2),IF(AND(R$113&gt;$B289+$D289,R$113&lt;$B289+$E289),$K289/($E289-$D289),0)))</f>
        <v>0</v>
      </c>
      <c r="S289" s="9">
        <f>IF(OR($C289="Annual",$D289=$E289),IF(AND($D289=$E289,S$113=$B289+$D289),$K289,IF(AND(S$113&gt;$B289+$D289,S$113&lt;=$B289+$E289), $K289/($E289-$D289),0)), IF(OR(S$113=$B289+$D289,S$113=$B289+$E289),$K289/(($E289-$D289)*2),IF(AND(S$113&gt;$B289+$D289,S$113&lt;$B289+$E289),$K289/($E289-$D289),0)))</f>
        <v>0</v>
      </c>
      <c r="T289" s="9">
        <f>IF(OR($C289="Annual",$D289=$E289),IF(AND($D289=$E289,T$113=$B289+$D289),$K289,IF(AND(T$113&gt;$B289+$D289,T$113&lt;=$B289+$E289), $K289/($E289-$D289),0)), IF(OR(T$113=$B289+$D289,T$113=$B289+$E289),$K289/(($E289-$D289)*2),IF(AND(T$113&gt;$B289+$D289,T$113&lt;$B289+$E289),$K289/($E289-$D289),0)))</f>
        <v>0</v>
      </c>
      <c r="U289" s="9"/>
      <c r="V289" s="9"/>
      <c r="W289" s="9"/>
      <c r="X289" s="9"/>
      <c r="Y289" s="9">
        <f t="shared" si="85"/>
        <v>0</v>
      </c>
      <c r="Z289" s="9">
        <f t="shared" ca="1" si="85"/>
        <v>0</v>
      </c>
      <c r="AA289" s="9">
        <f t="shared" ca="1" si="85"/>
        <v>0</v>
      </c>
    </row>
    <row r="290" spans="1:27">
      <c r="A290" s="8" t="str">
        <f>A289</f>
        <v>Type 18</v>
      </c>
      <c r="B290" s="7">
        <f>B289+1</f>
        <v>2022</v>
      </c>
      <c r="C290" s="7" t="str">
        <f>C289</f>
        <v>Annual</v>
      </c>
      <c r="D290" s="7">
        <f t="shared" si="86"/>
        <v>0</v>
      </c>
      <c r="E290" s="7">
        <f t="shared" si="86"/>
        <v>0</v>
      </c>
      <c r="F290" s="14">
        <f>$P$106</f>
        <v>0</v>
      </c>
      <c r="H290" s="9"/>
      <c r="I290" s="9"/>
      <c r="J290" s="9"/>
      <c r="K290" s="9"/>
      <c r="L290" s="9">
        <f ca="1">$F$106/$F$33</f>
        <v>0</v>
      </c>
      <c r="M290" s="9">
        <f ca="1">L290-T290</f>
        <v>0</v>
      </c>
      <c r="N290" s="9"/>
      <c r="O290" s="9"/>
      <c r="P290" s="9"/>
      <c r="Q290" s="9"/>
      <c r="R290" s="9"/>
      <c r="S290" s="9">
        <f ca="1">IF(OR($C290="Annual",$D290=$E290),IF(AND($D290=$E290,S$113=$B290+$D290),$L290,IF(AND(S$113&gt;$B290+$D290,S$113&lt;=$B290+$E290), $L290/($E290-$D290),0)), IF(OR(S$113=$B290+$D290,S$113=$B290+$E290),$L290/(($E290-$D290)*2),IF(AND(S$113&gt;$B290+$D290,S$113&lt;$B290+$E290),$L290/($E290-$D290),0)))</f>
        <v>0</v>
      </c>
      <c r="T290" s="9">
        <f>IF(OR($C290="Annual",$D290=$E290),IF(AND($D290=$E290,T$113=$B290+$D290),$L290,IF(AND(T$113&gt;$B290+$D290,T$113&lt;=$B290+$E290), $L290/($E290-$D290),0)), IF(OR(T$113=$B290+$D290,T$113=$B290+$E290),$L290/(($E290-$D290)*2),IF(AND(T$113&gt;$B290+$D290,T$113&lt;$B290+$E290),$L290/($E290-$D290),0)))</f>
        <v>0</v>
      </c>
      <c r="U290" s="9"/>
      <c r="V290" s="9"/>
      <c r="W290" s="9"/>
      <c r="X290" s="9"/>
      <c r="Y290" s="9"/>
      <c r="Z290" s="9">
        <f t="shared" si="85"/>
        <v>0</v>
      </c>
      <c r="AA290" s="9">
        <f t="shared" ca="1" si="85"/>
        <v>0</v>
      </c>
    </row>
    <row r="291" spans="1:27">
      <c r="A291" s="8" t="str">
        <f>A290</f>
        <v>Type 18</v>
      </c>
      <c r="B291" s="7">
        <f>B290+1</f>
        <v>2023</v>
      </c>
      <c r="C291" s="7" t="str">
        <f>C290</f>
        <v>Annual</v>
      </c>
      <c r="D291" s="7">
        <f t="shared" si="86"/>
        <v>0</v>
      </c>
      <c r="E291" s="7">
        <f t="shared" si="86"/>
        <v>0</v>
      </c>
      <c r="F291" s="14">
        <f>$Q$106</f>
        <v>0</v>
      </c>
      <c r="H291" s="9"/>
      <c r="I291" s="9"/>
      <c r="J291" s="9"/>
      <c r="K291" s="9"/>
      <c r="L291" s="9"/>
      <c r="M291" s="9">
        <f ca="1">$G$106/$G$33</f>
        <v>0</v>
      </c>
      <c r="N291" s="9"/>
      <c r="O291" s="9"/>
      <c r="P291" s="9"/>
      <c r="Q291" s="9"/>
      <c r="R291" s="9"/>
      <c r="S291" s="9"/>
      <c r="T291" s="9">
        <f ca="1">IF(OR($C291="Annual",$D291=$E291),IF(AND($D291=$E291,T$113=$B291+$D291),$M291,IF(AND(T$113&gt;$B291+$D291,T$113&lt;=$B291+$E291), $M291/($E291-$D291),0)), IF(OR(T$113=$B291+$D291,T$113=$B291+$E291),$M291/(($E291-$D291)*2),IF(AND(T$113&gt;$B291+$D291,T$113&lt;$B291+$E291),$M291/($E291-$D291),0)))</f>
        <v>0</v>
      </c>
      <c r="U291" s="9"/>
      <c r="V291" s="9"/>
      <c r="W291" s="9"/>
      <c r="X291" s="9"/>
      <c r="Y291" s="9"/>
      <c r="Z291" s="9"/>
      <c r="AA291" s="9">
        <f t="shared" si="85"/>
        <v>0</v>
      </c>
    </row>
    <row r="292" spans="1:27">
      <c r="A292" s="8"/>
      <c r="B292" s="7"/>
      <c r="C292" s="7"/>
      <c r="D292" s="7"/>
      <c r="E292" s="7"/>
      <c r="F292" s="15"/>
      <c r="H292" s="9"/>
      <c r="I292" s="9"/>
      <c r="J292" s="9"/>
      <c r="K292" s="9"/>
      <c r="L292" s="9"/>
      <c r="M292" s="9"/>
      <c r="N292" s="9"/>
      <c r="O292" s="278"/>
      <c r="P292" s="10"/>
      <c r="Q292" s="10"/>
      <c r="R292" s="10"/>
      <c r="S292" s="10"/>
      <c r="T292" s="10"/>
      <c r="U292" s="9"/>
      <c r="V292" s="10"/>
      <c r="W292" s="10"/>
      <c r="X292" s="10"/>
      <c r="Y292" s="10"/>
      <c r="Z292" s="10"/>
      <c r="AA292" s="10"/>
    </row>
    <row r="293" spans="1:27">
      <c r="A293" s="8" t="str">
        <f>'Input 4 - Forecast'!A86</f>
        <v>Type 19</v>
      </c>
      <c r="B293" s="7">
        <f>B121</f>
        <v>2018</v>
      </c>
      <c r="C293" s="7" t="str">
        <f>$I107</f>
        <v>Annual</v>
      </c>
      <c r="D293" s="7">
        <f>$J107</f>
        <v>0</v>
      </c>
      <c r="E293" s="7">
        <f>$K107</f>
        <v>0</v>
      </c>
      <c r="F293" s="14">
        <f>$L$107</f>
        <v>0</v>
      </c>
      <c r="H293" s="9">
        <f>$B$107/$B$33</f>
        <v>0</v>
      </c>
      <c r="I293" s="9">
        <f>H293-P293</f>
        <v>0</v>
      </c>
      <c r="J293" s="9">
        <f>I293-Q293</f>
        <v>0</v>
      </c>
      <c r="K293" s="9">
        <f>J293-R293</f>
        <v>0</v>
      </c>
      <c r="L293" s="9">
        <f>K293-S293</f>
        <v>0</v>
      </c>
      <c r="M293" s="9">
        <f>L293-T293</f>
        <v>0</v>
      </c>
      <c r="N293" s="9"/>
      <c r="O293" s="9">
        <f t="shared" ref="O293:T293" si="87">IF(OR($C293="Annual",$D293=$E293),IF(AND($D293=$E293,O$113=$B293+$D293),$H293,IF(AND(O$113&gt;$B293+$D293,O$113&lt;=$B293+$E293), $H293/($E293-$D293),0)), IF(OR(O$113=$B293+$D293,O$113=$B293+$E293),$H293/(($E293-$D293)*2),IF(AND(O$113&gt;$B293+$D293,O$113&lt;$B293+$E293),$H293/($E293-$D293),0)))</f>
        <v>0</v>
      </c>
      <c r="P293" s="9">
        <f t="shared" si="87"/>
        <v>0</v>
      </c>
      <c r="Q293" s="9">
        <f t="shared" si="87"/>
        <v>0</v>
      </c>
      <c r="R293" s="9">
        <f t="shared" si="87"/>
        <v>0</v>
      </c>
      <c r="S293" s="9">
        <f t="shared" si="87"/>
        <v>0</v>
      </c>
      <c r="T293" s="9">
        <f t="shared" si="87"/>
        <v>0</v>
      </c>
      <c r="U293" s="9"/>
      <c r="V293" s="9">
        <f>IF($C293="annual",IF(V$113=$B293,0,G293*$F293),IF(V$113-$B293=0,0,IF((V$113-$B293)&lt;$E293,AVERAGE(G293,H293)*$F293,IF((V$113-$B293)=$E293,G293*$F293/2,0))))</f>
        <v>0</v>
      </c>
      <c r="W293" s="9">
        <f t="shared" ref="W293:AA298" si="88">IF($C293="annual",IF(W$113=$B293,0,H293*$F293),IF(W$113-$B293=0,0,IF((W$113-$B293)&lt;$E293,AVERAGE(H293,I293)*$F293,IF((W$113-$B293)=$E293,H293*$F293/2,0))))</f>
        <v>0</v>
      </c>
      <c r="X293" s="9">
        <f t="shared" si="88"/>
        <v>0</v>
      </c>
      <c r="Y293" s="9">
        <f t="shared" si="88"/>
        <v>0</v>
      </c>
      <c r="Z293" s="9">
        <f t="shared" si="88"/>
        <v>0</v>
      </c>
      <c r="AA293" s="9">
        <f t="shared" si="88"/>
        <v>0</v>
      </c>
    </row>
    <row r="294" spans="1:27">
      <c r="A294" s="8" t="str">
        <f>A293</f>
        <v>Type 19</v>
      </c>
      <c r="B294" s="7">
        <f>B293+1</f>
        <v>2019</v>
      </c>
      <c r="C294" s="7" t="str">
        <f>C293</f>
        <v>Annual</v>
      </c>
      <c r="D294" s="7">
        <f t="shared" ref="D294:E298" si="89">D293</f>
        <v>0</v>
      </c>
      <c r="E294" s="7">
        <f t="shared" si="89"/>
        <v>0</v>
      </c>
      <c r="F294" s="14">
        <f>$M$107</f>
        <v>0</v>
      </c>
      <c r="H294" s="9"/>
      <c r="I294" s="9">
        <f ca="1">$C$107/$C$33</f>
        <v>0</v>
      </c>
      <c r="J294" s="9">
        <f ca="1">I294-Q294</f>
        <v>0</v>
      </c>
      <c r="K294" s="9">
        <f ca="1">J294-R294</f>
        <v>0</v>
      </c>
      <c r="L294" s="9">
        <f ca="1">K294-S294</f>
        <v>0</v>
      </c>
      <c r="M294" s="9">
        <f ca="1">L294-T294</f>
        <v>0</v>
      </c>
      <c r="N294" s="9"/>
      <c r="O294" s="9"/>
      <c r="P294" s="9">
        <f ca="1">IF(OR($C294="Annual",$D294=$E294),IF(AND($D294=$E294,P$113=$B294+$D294),$I294,IF(AND(P$113&gt;$B294+$D294,P$113&lt;=$B294+$E294), $I294/($E294-$D294),0)), IF(OR(P$113=$B294+$D294,P$113=$B294+$E294),$I294/(($E294-$D294)*2),IF(AND(P$113&gt;$B294+$D294,P$113&lt;$B294+$E294),$I294/($E294-$D294),0)))</f>
        <v>0</v>
      </c>
      <c r="Q294" s="9">
        <f>IF(OR($C294="Annual",$D294=$E294),IF(AND($D294=$E294,Q$113=$B294+$D294),$I294,IF(AND(Q$113&gt;$B294+$D294,Q$113&lt;=$B294+$E294), $I294/($E294-$D294),0)), IF(OR(Q$113=$B294+$D294,Q$113=$B294+$E294),$I294/(($E294-$D294)*2),IF(AND(Q$113&gt;$B294+$D294,Q$113&lt;$B294+$E294),$I294/($E294-$D294),0)))</f>
        <v>0</v>
      </c>
      <c r="R294" s="9">
        <f>IF(OR($C294="Annual",$D294=$E294),IF(AND($D294=$E294,R$113=$B294+$D294),$I294,IF(AND(R$113&gt;$B294+$D294,R$113&lt;=$B294+$E294), $I294/($E294-$D294),0)), IF(OR(R$113=$B294+$D294,R$113=$B294+$E294),$I294/(($E294-$D294)*2),IF(AND(R$113&gt;$B294+$D294,R$113&lt;$B294+$E294),$I294/($E294-$D294),0)))</f>
        <v>0</v>
      </c>
      <c r="S294" s="9">
        <f>IF(OR($C294="Annual",$D294=$E294),IF(AND($D294=$E294,S$113=$B294+$D294),$I294,IF(AND(S$113&gt;$B294+$D294,S$113&lt;=$B294+$E294), $I294/($E294-$D294),0)), IF(OR(S$113=$B294+$D294,S$113=$B294+$E294),$I294/(($E294-$D294)*2),IF(AND(S$113&gt;$B294+$D294,S$113&lt;$B294+$E294),$I294/($E294-$D294),0)))</f>
        <v>0</v>
      </c>
      <c r="T294" s="9">
        <f>IF(OR($C294="Annual",$D294=$E294),IF(AND($D294=$E294,T$113=$B294+$D294),$I294,IF(AND(T$113&gt;$B294+$D294,T$113&lt;=$B294+$E294), $I294/($E294-$D294),0)), IF(OR(T$113=$B294+$D294,T$113=$B294+$E294),$I294/(($E294-$D294)*2),IF(AND(T$113&gt;$B294+$D294,T$113&lt;$B294+$E294),$I294/($E294-$D294),0)))</f>
        <v>0</v>
      </c>
      <c r="U294" s="9"/>
      <c r="V294" s="9"/>
      <c r="W294" s="9">
        <f t="shared" si="88"/>
        <v>0</v>
      </c>
      <c r="X294" s="9">
        <f t="shared" ca="1" si="88"/>
        <v>0</v>
      </c>
      <c r="Y294" s="9">
        <f t="shared" ca="1" si="88"/>
        <v>0</v>
      </c>
      <c r="Z294" s="9">
        <f t="shared" ca="1" si="88"/>
        <v>0</v>
      </c>
      <c r="AA294" s="9">
        <f t="shared" ca="1" si="88"/>
        <v>0</v>
      </c>
    </row>
    <row r="295" spans="1:27">
      <c r="A295" s="8" t="str">
        <f>A294</f>
        <v>Type 19</v>
      </c>
      <c r="B295" s="7">
        <f>B294+1</f>
        <v>2020</v>
      </c>
      <c r="C295" s="7" t="str">
        <f>C294</f>
        <v>Annual</v>
      </c>
      <c r="D295" s="7">
        <f t="shared" si="89"/>
        <v>0</v>
      </c>
      <c r="E295" s="7">
        <f t="shared" si="89"/>
        <v>0</v>
      </c>
      <c r="F295" s="14">
        <f>$N$107</f>
        <v>0</v>
      </c>
      <c r="H295" s="9"/>
      <c r="I295" s="9"/>
      <c r="J295" s="9">
        <f ca="1">$D$107/$D$33</f>
        <v>0</v>
      </c>
      <c r="K295" s="9">
        <f ca="1">J295-R295</f>
        <v>0</v>
      </c>
      <c r="L295" s="9">
        <f ca="1">K295-S295</f>
        <v>0</v>
      </c>
      <c r="M295" s="9">
        <f ca="1">L295-T295</f>
        <v>0</v>
      </c>
      <c r="N295" s="9"/>
      <c r="O295" s="9"/>
      <c r="P295" s="9"/>
      <c r="Q295" s="9">
        <f ca="1">IF(OR($C295="Annual",$D295=$E295),IF(AND($D295=$E295,Q$113=$B295+$D295),$J295,IF(AND(Q$113&gt;$B295+$D295,Q$113&lt;=$B295+$E295), $J295/($E295-$D295),0)), IF(OR(Q$113=$B295+$D295,Q$113=$B295+$E295),$J295/(($E295-$D295)*2),IF(AND(Q$113&gt;$B295+$D295,Q$113&lt;$B295+$E295),$J295/($E295-$D295),0)))</f>
        <v>0</v>
      </c>
      <c r="R295" s="9">
        <f>IF(OR($C295="Annual",$D295=$E295),IF(AND($D295=$E295,R$113=$B295+$D295),$J295,IF(AND(R$113&gt;$B295+$D295,R$113&lt;=$B295+$E295), $J295/($E295-$D295),0)), IF(OR(R$113=$B295+$D295,R$113=$B295+$E295),$J295/(($E295-$D295)*2),IF(AND(R$113&gt;$B295+$D295,R$113&lt;$B295+$E295),$J295/($E295-$D295),0)))</f>
        <v>0</v>
      </c>
      <c r="S295" s="9">
        <f>IF(OR($C295="Annual",$D295=$E295),IF(AND($D295=$E295,S$113=$B295+$D295),$J295,IF(AND(S$113&gt;$B295+$D295,S$113&lt;=$B295+$E295), $J295/($E295-$D295),0)), IF(OR(S$113=$B295+$D295,S$113=$B295+$E295),$J295/(($E295-$D295)*2),IF(AND(S$113&gt;$B295+$D295,S$113&lt;$B295+$E295),$J295/($E295-$D295),0)))</f>
        <v>0</v>
      </c>
      <c r="T295" s="9">
        <f>IF(OR($C295="Annual",$D295=$E295),IF(AND($D295=$E295,T$113=$B295+$D295),$J295,IF(AND(T$113&gt;$B295+$D295,T$113&lt;=$B295+$E295), $J295/($E295-$D295),0)), IF(OR(T$113=$B295+$D295,T$113=$B295+$E295),$J295/(($E295-$D295)*2),IF(AND(T$113&gt;$B295+$D295,T$113&lt;$B295+$E295),$J295/($E295-$D295),0)))</f>
        <v>0</v>
      </c>
      <c r="U295" s="9"/>
      <c r="V295" s="9"/>
      <c r="W295" s="9"/>
      <c r="X295" s="9">
        <f t="shared" si="88"/>
        <v>0</v>
      </c>
      <c r="Y295" s="9">
        <f t="shared" ca="1" si="88"/>
        <v>0</v>
      </c>
      <c r="Z295" s="9">
        <f t="shared" ca="1" si="88"/>
        <v>0</v>
      </c>
      <c r="AA295" s="9">
        <f t="shared" ca="1" si="88"/>
        <v>0</v>
      </c>
    </row>
    <row r="296" spans="1:27">
      <c r="A296" s="8" t="str">
        <f>A295</f>
        <v>Type 19</v>
      </c>
      <c r="B296" s="7">
        <f>B295+1</f>
        <v>2021</v>
      </c>
      <c r="C296" s="7" t="str">
        <f>C295</f>
        <v>Annual</v>
      </c>
      <c r="D296" s="7">
        <f t="shared" si="89"/>
        <v>0</v>
      </c>
      <c r="E296" s="7">
        <f t="shared" si="89"/>
        <v>0</v>
      </c>
      <c r="F296" s="14">
        <f>$O$107</f>
        <v>0</v>
      </c>
      <c r="H296" s="9"/>
      <c r="I296" s="9"/>
      <c r="J296" s="9"/>
      <c r="K296" s="9">
        <f ca="1">$E$107/$E$33</f>
        <v>0</v>
      </c>
      <c r="L296" s="9">
        <f ca="1">K296-S296</f>
        <v>0</v>
      </c>
      <c r="M296" s="9">
        <f ca="1">L296-T296</f>
        <v>0</v>
      </c>
      <c r="N296" s="9"/>
      <c r="O296" s="9"/>
      <c r="P296" s="9"/>
      <c r="Q296" s="9"/>
      <c r="R296" s="9">
        <f ca="1">IF(OR($C296="Annual",$D296=$E296),IF(AND($D296=$E296,R$113=$B296+$D296),$K296,IF(AND(R$113&gt;$B296+$D296,R$113&lt;=$B296+$E296), $K296/($E296-$D296),0)), IF(OR(R$113=$B296+$D296,R$113=$B296+$E296),$K296/(($E296-$D296)*2),IF(AND(R$113&gt;$B296+$D296,R$113&lt;$B296+$E296),$K296/($E296-$D296),0)))</f>
        <v>0</v>
      </c>
      <c r="S296" s="9">
        <f>IF(OR($C296="Annual",$D296=$E296),IF(AND($D296=$E296,S$113=$B296+$D296),$K296,IF(AND(S$113&gt;$B296+$D296,S$113&lt;=$B296+$E296), $K296/($E296-$D296),0)), IF(OR(S$113=$B296+$D296,S$113=$B296+$E296),$K296/(($E296-$D296)*2),IF(AND(S$113&gt;$B296+$D296,S$113&lt;$B296+$E296),$K296/($E296-$D296),0)))</f>
        <v>0</v>
      </c>
      <c r="T296" s="9">
        <f>IF(OR($C296="Annual",$D296=$E296),IF(AND($D296=$E296,T$113=$B296+$D296),$K296,IF(AND(T$113&gt;$B296+$D296,T$113&lt;=$B296+$E296), $K296/($E296-$D296),0)), IF(OR(T$113=$B296+$D296,T$113=$B296+$E296),$K296/(($E296-$D296)*2),IF(AND(T$113&gt;$B296+$D296,T$113&lt;$B296+$E296),$K296/($E296-$D296),0)))</f>
        <v>0</v>
      </c>
      <c r="U296" s="9"/>
      <c r="V296" s="9"/>
      <c r="W296" s="9"/>
      <c r="X296" s="9"/>
      <c r="Y296" s="9">
        <f t="shared" si="88"/>
        <v>0</v>
      </c>
      <c r="Z296" s="9">
        <f t="shared" ca="1" si="88"/>
        <v>0</v>
      </c>
      <c r="AA296" s="9">
        <f t="shared" ca="1" si="88"/>
        <v>0</v>
      </c>
    </row>
    <row r="297" spans="1:27">
      <c r="A297" s="8" t="str">
        <f>A296</f>
        <v>Type 19</v>
      </c>
      <c r="B297" s="7">
        <f>B296+1</f>
        <v>2022</v>
      </c>
      <c r="C297" s="7" t="str">
        <f>C296</f>
        <v>Annual</v>
      </c>
      <c r="D297" s="7">
        <f t="shared" si="89"/>
        <v>0</v>
      </c>
      <c r="E297" s="7">
        <f t="shared" si="89"/>
        <v>0</v>
      </c>
      <c r="F297" s="14">
        <f>$P$107</f>
        <v>0</v>
      </c>
      <c r="H297" s="9"/>
      <c r="I297" s="9"/>
      <c r="J297" s="9"/>
      <c r="K297" s="9"/>
      <c r="L297" s="9">
        <f ca="1">$F$107/$F$33</f>
        <v>0</v>
      </c>
      <c r="M297" s="9">
        <f ca="1">L297-T297</f>
        <v>0</v>
      </c>
      <c r="N297" s="9"/>
      <c r="O297" s="9"/>
      <c r="P297" s="9"/>
      <c r="Q297" s="9"/>
      <c r="R297" s="9"/>
      <c r="S297" s="9">
        <f ca="1">IF(OR($C297="Annual",$D297=$E297),IF(AND($D297=$E297,S$113=$B297+$D297),$L297,IF(AND(S$113&gt;$B297+$D297,S$113&lt;=$B297+$E297), $L297/($E297-$D297),0)), IF(OR(S$113=$B297+$D297,S$113=$B297+$E297),$L297/(($E297-$D297)*2),IF(AND(S$113&gt;$B297+$D297,S$113&lt;$B297+$E297),$L297/($E297-$D297),0)))</f>
        <v>0</v>
      </c>
      <c r="T297" s="9">
        <f>IF(OR($C297="Annual",$D297=$E297),IF(AND($D297=$E297,T$113=$B297+$D297),$L297,IF(AND(T$113&gt;$B297+$D297,T$113&lt;=$B297+$E297), $L297/($E297-$D297),0)), IF(OR(T$113=$B297+$D297,T$113=$B297+$E297),$L297/(($E297-$D297)*2),IF(AND(T$113&gt;$B297+$D297,T$113&lt;$B297+$E297),$L297/($E297-$D297),0)))</f>
        <v>0</v>
      </c>
      <c r="U297" s="9"/>
      <c r="V297" s="9"/>
      <c r="W297" s="9"/>
      <c r="X297" s="9"/>
      <c r="Y297" s="9"/>
      <c r="Z297" s="9">
        <f t="shared" si="88"/>
        <v>0</v>
      </c>
      <c r="AA297" s="9">
        <f t="shared" ca="1" si="88"/>
        <v>0</v>
      </c>
    </row>
    <row r="298" spans="1:27">
      <c r="A298" s="8" t="str">
        <f>A297</f>
        <v>Type 19</v>
      </c>
      <c r="B298" s="7">
        <f>B297+1</f>
        <v>2023</v>
      </c>
      <c r="C298" s="7" t="str">
        <f>C297</f>
        <v>Annual</v>
      </c>
      <c r="D298" s="7">
        <f t="shared" si="89"/>
        <v>0</v>
      </c>
      <c r="E298" s="7">
        <f t="shared" si="89"/>
        <v>0</v>
      </c>
      <c r="F298" s="14">
        <f>$Q$107</f>
        <v>0</v>
      </c>
      <c r="H298" s="9"/>
      <c r="I298" s="9"/>
      <c r="J298" s="9"/>
      <c r="K298" s="9"/>
      <c r="L298" s="9"/>
      <c r="M298" s="9">
        <f ca="1">$G$107/$G$33</f>
        <v>0</v>
      </c>
      <c r="N298" s="9"/>
      <c r="O298" s="9"/>
      <c r="P298" s="9"/>
      <c r="Q298" s="9"/>
      <c r="R298" s="9"/>
      <c r="S298" s="9"/>
      <c r="T298" s="9">
        <f ca="1">IF(OR($C298="Annual",$D298=$E298),IF(AND($D298=$E298,T$113=$B298+$D298),$M298,IF(AND(T$113&gt;$B298+$D298,T$113&lt;=$B298+$E298), $M298/($E298-$D298),0)), IF(OR(T$113=$B298+$D298,T$113=$B298+$E298),$M298/(($E298-$D298)*2),IF(AND(T$113&gt;$B298+$D298,T$113&lt;$B298+$E298),$M298/($E298-$D298),0)))</f>
        <v>0</v>
      </c>
      <c r="U298" s="9"/>
      <c r="V298" s="9"/>
      <c r="W298" s="9"/>
      <c r="X298" s="9"/>
      <c r="Y298" s="9"/>
      <c r="Z298" s="9"/>
      <c r="AA298" s="9">
        <f t="shared" si="88"/>
        <v>0</v>
      </c>
    </row>
    <row r="299" spans="1:27">
      <c r="A299" s="8"/>
      <c r="B299" s="7"/>
      <c r="C299" s="7"/>
      <c r="D299" s="7"/>
      <c r="E299" s="7"/>
      <c r="F299" s="15"/>
      <c r="H299" s="9"/>
      <c r="I299" s="9"/>
      <c r="J299" s="9"/>
      <c r="K299" s="9"/>
      <c r="L299" s="9"/>
      <c r="M299" s="9"/>
      <c r="N299" s="9"/>
      <c r="O299" s="278"/>
      <c r="P299" s="10"/>
      <c r="Q299" s="10"/>
      <c r="R299" s="10"/>
      <c r="S299" s="10"/>
      <c r="T299" s="10"/>
      <c r="U299" s="9"/>
      <c r="V299" s="10"/>
      <c r="W299" s="10"/>
      <c r="X299" s="10"/>
      <c r="Y299" s="10"/>
      <c r="Z299" s="10"/>
      <c r="AA299" s="10"/>
    </row>
    <row r="300" spans="1:27" s="1150" customFormat="1">
      <c r="A300" s="1347" t="str">
        <f>'Input 4 - Forecast'!A87</f>
        <v>ZERO-COUPON BOND</v>
      </c>
      <c r="B300" s="1348">
        <f>B121</f>
        <v>2018</v>
      </c>
      <c r="C300" s="1348"/>
      <c r="D300" s="1348">
        <f>$J108</f>
        <v>0</v>
      </c>
      <c r="E300" s="1348">
        <f>$K108</f>
        <v>0</v>
      </c>
      <c r="F300" s="1349">
        <f>$L$108</f>
        <v>0</v>
      </c>
      <c r="H300" s="1350">
        <f>$B$108/$B$33</f>
        <v>0</v>
      </c>
      <c r="I300" s="1350">
        <f>H300-P300</f>
        <v>0</v>
      </c>
      <c r="J300" s="1350">
        <f>I300-Q300</f>
        <v>0</v>
      </c>
      <c r="K300" s="1350">
        <f>J300-R300</f>
        <v>0</v>
      </c>
      <c r="L300" s="1350">
        <f>K300-S300</f>
        <v>0</v>
      </c>
      <c r="M300" s="1350">
        <f>L300-T300</f>
        <v>0</v>
      </c>
      <c r="N300" s="1350"/>
      <c r="O300" s="1350">
        <f t="shared" ref="O300:T300" si="90">IF($D300=$E300,IF(O$113=$B300+$E300,$H300,0),0)</f>
        <v>0</v>
      </c>
      <c r="P300" s="1350">
        <f t="shared" si="90"/>
        <v>0</v>
      </c>
      <c r="Q300" s="1350">
        <f t="shared" si="90"/>
        <v>0</v>
      </c>
      <c r="R300" s="1350">
        <f t="shared" si="90"/>
        <v>0</v>
      </c>
      <c r="S300" s="1350">
        <f t="shared" si="90"/>
        <v>0</v>
      </c>
      <c r="T300" s="1350">
        <f t="shared" si="90"/>
        <v>0</v>
      </c>
      <c r="U300" s="1350"/>
      <c r="V300" s="1350">
        <f t="shared" ref="V300:AA300" si="91">IF(V$113-$B300=$D300,$H300*(((1+$F300)^$D300)-1),0)</f>
        <v>0</v>
      </c>
      <c r="W300" s="1350">
        <f t="shared" si="91"/>
        <v>0</v>
      </c>
      <c r="X300" s="1350">
        <f t="shared" si="91"/>
        <v>0</v>
      </c>
      <c r="Y300" s="1350">
        <f t="shared" si="91"/>
        <v>0</v>
      </c>
      <c r="Z300" s="1350">
        <f t="shared" si="91"/>
        <v>0</v>
      </c>
      <c r="AA300" s="1350">
        <f t="shared" si="91"/>
        <v>0</v>
      </c>
    </row>
    <row r="301" spans="1:27" s="1150" customFormat="1">
      <c r="A301" s="1347" t="str">
        <f>A300</f>
        <v>ZERO-COUPON BOND</v>
      </c>
      <c r="B301" s="1348">
        <f>B300+1</f>
        <v>2019</v>
      </c>
      <c r="C301" s="1348"/>
      <c r="D301" s="1348">
        <f t="shared" ref="D301:E305" si="92">D300</f>
        <v>0</v>
      </c>
      <c r="E301" s="1348">
        <f t="shared" si="92"/>
        <v>0</v>
      </c>
      <c r="F301" s="1349">
        <f>$M$108</f>
        <v>0</v>
      </c>
      <c r="H301" s="1350"/>
      <c r="I301" s="1350">
        <f ca="1">$C$108/$C$33</f>
        <v>0</v>
      </c>
      <c r="J301" s="1350">
        <f ca="1">I301-Q301</f>
        <v>0</v>
      </c>
      <c r="K301" s="1350">
        <f ca="1">J301-R301</f>
        <v>0</v>
      </c>
      <c r="L301" s="1350">
        <f ca="1">K301-S301</f>
        <v>0</v>
      </c>
      <c r="M301" s="1350">
        <f ca="1">L301-T301</f>
        <v>0</v>
      </c>
      <c r="N301" s="1350"/>
      <c r="O301" s="1351"/>
      <c r="P301" s="1350">
        <f ca="1">IF($D301=$E301,IF(P$113=$B301+$E301,$I301,0),0)</f>
        <v>0</v>
      </c>
      <c r="Q301" s="1350">
        <f>IF($D301=$E301,IF(Q$113=$B301+$E301,$I301,0),0)</f>
        <v>0</v>
      </c>
      <c r="R301" s="1350">
        <f>IF($D301=$E301,IF(R$113=$B301+$E301,$I301,0),0)</f>
        <v>0</v>
      </c>
      <c r="S301" s="1350">
        <f>IF($D301=$E301,IF(S$113=$B301+$E301,$I301,0),0)</f>
        <v>0</v>
      </c>
      <c r="T301" s="1350">
        <f>IF($D301=$E301,IF(T$113=$B301+$E301,$I301,0),0)</f>
        <v>0</v>
      </c>
      <c r="U301" s="1350"/>
      <c r="V301" s="1350"/>
      <c r="W301" s="1350">
        <f ca="1">IF(W$113-$B301=$D301,$I301*(((1+$F301)^$D301)-1),0)</f>
        <v>0</v>
      </c>
      <c r="X301" s="1350">
        <f>IF(X$113-$B301=$D301,$I301*(((1+$F301)^$D301)-1),0)</f>
        <v>0</v>
      </c>
      <c r="Y301" s="1350">
        <f>IF(Y$113-$B301=$D301,$I301*(((1+$F301)^$D301)-1),0)</f>
        <v>0</v>
      </c>
      <c r="Z301" s="1350">
        <f>IF(Z$113-$B301=$D301,$I301*(((1+$F301)^$D301)-1),0)</f>
        <v>0</v>
      </c>
      <c r="AA301" s="1350">
        <f>IF(AA$113-$B301=$D301,$I301*(((1+$F301)^$D301)-1),0)</f>
        <v>0</v>
      </c>
    </row>
    <row r="302" spans="1:27" s="1150" customFormat="1">
      <c r="A302" s="1347" t="str">
        <f>A301</f>
        <v>ZERO-COUPON BOND</v>
      </c>
      <c r="B302" s="1348">
        <f>B301+1</f>
        <v>2020</v>
      </c>
      <c r="C302" s="1348"/>
      <c r="D302" s="1348">
        <f t="shared" si="92"/>
        <v>0</v>
      </c>
      <c r="E302" s="1348">
        <f t="shared" si="92"/>
        <v>0</v>
      </c>
      <c r="F302" s="1349">
        <f>$N$108</f>
        <v>0</v>
      </c>
      <c r="H302" s="1350"/>
      <c r="I302" s="1350"/>
      <c r="J302" s="1350">
        <f ca="1">$D$108/$D$33</f>
        <v>0</v>
      </c>
      <c r="K302" s="1350">
        <f ca="1">J302-R302</f>
        <v>0</v>
      </c>
      <c r="L302" s="1350">
        <f ca="1">K302-S302</f>
        <v>0</v>
      </c>
      <c r="M302" s="1350">
        <f ca="1">L302-T302</f>
        <v>0</v>
      </c>
      <c r="N302" s="1350"/>
      <c r="O302" s="1351"/>
      <c r="P302" s="1350"/>
      <c r="Q302" s="1350">
        <f ca="1">IF($D302=$E302,IF(Q$113=$B302+$E302,$J302,0),0)</f>
        <v>0</v>
      </c>
      <c r="R302" s="1350">
        <f>IF($D302=$E302,IF(R$113=$B302+$E302,$J302,0),0)</f>
        <v>0</v>
      </c>
      <c r="S302" s="1350">
        <f>IF($D302=$E302,IF(S$113=$B302+$E302,$J302,0),0)</f>
        <v>0</v>
      </c>
      <c r="T302" s="1350">
        <f>IF($D302=$E302,IF(T$113=$B302+$E302,$J302,0),0)</f>
        <v>0</v>
      </c>
      <c r="U302" s="1350"/>
      <c r="V302" s="1350"/>
      <c r="W302" s="1350"/>
      <c r="X302" s="1350">
        <f ca="1">IF(X$113-$B302=$D302,$J302*(((1+$F302)^$D302)-1),0)</f>
        <v>0</v>
      </c>
      <c r="Y302" s="1350">
        <f>IF(Y$113-$B302=$D302,$J302*(((1+$F302)^$D302)-1),0)</f>
        <v>0</v>
      </c>
      <c r="Z302" s="1350">
        <f>IF(Z$113-$B302=$D302,$J302*(((1+$F302)^$D302)-1),0)</f>
        <v>0</v>
      </c>
      <c r="AA302" s="1350">
        <f>IF(AA$113-$B302=$D302,$J302*(((1+$F302)^$D302)-1),0)</f>
        <v>0</v>
      </c>
    </row>
    <row r="303" spans="1:27" s="1150" customFormat="1">
      <c r="A303" s="1347" t="str">
        <f>A302</f>
        <v>ZERO-COUPON BOND</v>
      </c>
      <c r="B303" s="1348">
        <f>B302+1</f>
        <v>2021</v>
      </c>
      <c r="C303" s="1348"/>
      <c r="D303" s="1348">
        <f t="shared" si="92"/>
        <v>0</v>
      </c>
      <c r="E303" s="1348">
        <f t="shared" si="92"/>
        <v>0</v>
      </c>
      <c r="F303" s="1349">
        <f>$O$108</f>
        <v>0</v>
      </c>
      <c r="H303" s="1350"/>
      <c r="I303" s="1350"/>
      <c r="J303" s="1350"/>
      <c r="K303" s="1350">
        <f ca="1">$E$108/$E$33</f>
        <v>0</v>
      </c>
      <c r="L303" s="1350">
        <f ca="1">K303-S303</f>
        <v>0</v>
      </c>
      <c r="M303" s="1350">
        <f ca="1">L303-T303</f>
        <v>0</v>
      </c>
      <c r="N303" s="1350"/>
      <c r="O303" s="1351"/>
      <c r="P303" s="1350"/>
      <c r="Q303" s="1350"/>
      <c r="R303" s="1350">
        <f ca="1">IF($D303=$E303,IF(R$113=$B303+$E303,$K303,0),0)</f>
        <v>0</v>
      </c>
      <c r="S303" s="1350">
        <f>IF($D303=$E303,IF(S$113=$B303+$E303,$K303,0),0)</f>
        <v>0</v>
      </c>
      <c r="T303" s="1350">
        <f>IF($D303=$E303,IF(T$113=$B303+$E303,$K303,0),0)</f>
        <v>0</v>
      </c>
      <c r="U303" s="1350"/>
      <c r="V303" s="1350"/>
      <c r="W303" s="1350"/>
      <c r="X303" s="1350"/>
      <c r="Y303" s="1350">
        <f ca="1">IF(Y$113-$B303=$D303,$K303*(((1+$F303)^$D303)-1),0)</f>
        <v>0</v>
      </c>
      <c r="Z303" s="1350">
        <f>IF(Z$113-$B303=$D303,$K303*(((1+$F303)^$D303)-1),0)</f>
        <v>0</v>
      </c>
      <c r="AA303" s="1350">
        <f>IF(AA$113-$B303=$D303,$K303*(((1+$F303)^$D303)-1),0)</f>
        <v>0</v>
      </c>
    </row>
    <row r="304" spans="1:27" s="1150" customFormat="1">
      <c r="A304" s="1347" t="str">
        <f>A303</f>
        <v>ZERO-COUPON BOND</v>
      </c>
      <c r="B304" s="1348">
        <f>B303+1</f>
        <v>2022</v>
      </c>
      <c r="C304" s="1348"/>
      <c r="D304" s="1348">
        <f t="shared" si="92"/>
        <v>0</v>
      </c>
      <c r="E304" s="1348">
        <f t="shared" si="92"/>
        <v>0</v>
      </c>
      <c r="F304" s="1349">
        <f>$P$108</f>
        <v>0</v>
      </c>
      <c r="H304" s="1350"/>
      <c r="I304" s="1350"/>
      <c r="J304" s="1350"/>
      <c r="K304" s="1350"/>
      <c r="L304" s="1350">
        <f ca="1">$F$108/$F$33</f>
        <v>0</v>
      </c>
      <c r="M304" s="1350">
        <f ca="1">L304-T304</f>
        <v>0</v>
      </c>
      <c r="N304" s="1350"/>
      <c r="O304" s="1351"/>
      <c r="P304" s="1350"/>
      <c r="Q304" s="1350"/>
      <c r="R304" s="1350"/>
      <c r="S304" s="1350">
        <f ca="1">IF($D304=$E304,IF(S$113=$B304+$E304,$L304,0),0)</f>
        <v>0</v>
      </c>
      <c r="T304" s="1350">
        <f>IF($D304=$E304,IF(T$113=$B304+$E304,$L304,0),0)</f>
        <v>0</v>
      </c>
      <c r="U304" s="1350"/>
      <c r="V304" s="1350"/>
      <c r="W304" s="1350"/>
      <c r="X304" s="1350"/>
      <c r="Y304" s="1350"/>
      <c r="Z304" s="1350">
        <f ca="1">IF(Z$113-$B304=$D304,$L304*(((1+$F304)^$D304)-1),0)</f>
        <v>0</v>
      </c>
      <c r="AA304" s="1350">
        <f>IF(AA$113-$B304=$D304,$L304*(((1+$F304)^$D304)-1),0)</f>
        <v>0</v>
      </c>
    </row>
    <row r="305" spans="1:27" s="1150" customFormat="1">
      <c r="A305" s="1347" t="str">
        <f>A304</f>
        <v>ZERO-COUPON BOND</v>
      </c>
      <c r="B305" s="1348">
        <f>B304+1</f>
        <v>2023</v>
      </c>
      <c r="C305" s="1348"/>
      <c r="D305" s="1348">
        <f t="shared" si="92"/>
        <v>0</v>
      </c>
      <c r="E305" s="1348">
        <f t="shared" si="92"/>
        <v>0</v>
      </c>
      <c r="F305" s="1349">
        <f>$Q$108</f>
        <v>0</v>
      </c>
      <c r="H305" s="1350"/>
      <c r="I305" s="1350"/>
      <c r="J305" s="1350"/>
      <c r="K305" s="1350"/>
      <c r="L305" s="1350"/>
      <c r="M305" s="1350">
        <f ca="1">$G$108/$G$33</f>
        <v>0</v>
      </c>
      <c r="N305" s="1350"/>
      <c r="O305" s="1351"/>
      <c r="P305" s="1350"/>
      <c r="Q305" s="1350"/>
      <c r="R305" s="1350"/>
      <c r="S305" s="1350"/>
      <c r="T305" s="1350">
        <f ca="1">IF($D305=$E305,IF(T$113=$B305+$E305,$M305,0),0)</f>
        <v>0</v>
      </c>
      <c r="U305" s="1350"/>
      <c r="V305" s="1350"/>
      <c r="W305" s="1350"/>
      <c r="X305" s="1350"/>
      <c r="Y305" s="1350"/>
      <c r="Z305" s="1350"/>
      <c r="AA305" s="1350">
        <f ca="1">IF(AA$113-$B305=$D305,$M305*(((1+$F305)^$D305)-1),0)</f>
        <v>0</v>
      </c>
    </row>
    <row r="306" spans="1:27" ht="15.75" thickBot="1">
      <c r="H306" s="10"/>
      <c r="I306" s="10"/>
      <c r="J306" s="10"/>
      <c r="K306" s="10"/>
      <c r="L306" s="10"/>
      <c r="M306" s="10"/>
      <c r="N306" s="10"/>
      <c r="O306" s="10"/>
      <c r="P306" s="10"/>
      <c r="Q306" s="10"/>
      <c r="R306" s="10"/>
      <c r="S306" s="10"/>
      <c r="T306" s="10"/>
      <c r="U306" s="10"/>
      <c r="V306" s="10"/>
      <c r="W306" s="10"/>
      <c r="X306" s="10"/>
      <c r="Y306" s="10"/>
      <c r="Z306" s="10"/>
      <c r="AA306" s="10"/>
    </row>
    <row r="307" spans="1:27" ht="15.75" thickBot="1">
      <c r="B307" s="1999" t="s">
        <v>51</v>
      </c>
      <c r="C307" s="2000"/>
      <c r="D307" s="2000"/>
      <c r="E307" s="2000"/>
      <c r="F307" s="2000"/>
      <c r="G307" s="2000"/>
      <c r="H307" s="2000"/>
      <c r="I307" s="2000"/>
      <c r="J307" s="2000"/>
      <c r="K307" s="2000"/>
      <c r="L307" s="2000"/>
      <c r="M307" s="2000"/>
      <c r="N307" s="2000"/>
      <c r="O307" s="2000"/>
      <c r="P307" s="2000"/>
      <c r="Q307" s="2000"/>
      <c r="R307" s="2000"/>
      <c r="S307" s="2000"/>
      <c r="T307" s="2000"/>
      <c r="U307" s="2000"/>
      <c r="V307" s="2000"/>
      <c r="W307" s="2000"/>
      <c r="X307" s="2000"/>
      <c r="Y307" s="2000"/>
      <c r="Z307" s="2000"/>
      <c r="AA307" s="2001"/>
    </row>
    <row r="308" spans="1:27">
      <c r="H308" s="10"/>
      <c r="I308" s="10"/>
      <c r="J308" s="10"/>
      <c r="K308" s="10"/>
      <c r="L308" s="10"/>
      <c r="M308" s="10"/>
      <c r="N308" s="10"/>
      <c r="O308" s="10"/>
      <c r="P308" s="10"/>
      <c r="Q308" s="10"/>
      <c r="R308" s="10"/>
      <c r="S308" s="10"/>
      <c r="T308" s="10"/>
      <c r="U308" s="10"/>
      <c r="V308" s="10"/>
      <c r="W308" s="10"/>
      <c r="X308" s="10"/>
      <c r="Y308" s="10"/>
      <c r="Z308" s="10"/>
      <c r="AA308" s="10"/>
    </row>
    <row r="309" spans="1:27">
      <c r="A309" s="16" t="str">
        <f>'Input 4 - Forecast'!A89</f>
        <v>Domestic Residual Financing (annual payments, no interest or amortization in current year)</v>
      </c>
      <c r="B309" s="7">
        <f>B121</f>
        <v>2018</v>
      </c>
      <c r="C309" s="7"/>
      <c r="D309" s="7">
        <f>$J110</f>
        <v>1</v>
      </c>
      <c r="E309" s="7">
        <f>$K110</f>
        <v>1</v>
      </c>
      <c r="F309" s="14">
        <f>$L$110</f>
        <v>0</v>
      </c>
      <c r="H309" s="9">
        <f>$B$110</f>
        <v>-267.59452840452661</v>
      </c>
      <c r="I309" s="9">
        <f>H309-P309</f>
        <v>0</v>
      </c>
      <c r="J309" s="9">
        <f>I309-Q309</f>
        <v>0</v>
      </c>
      <c r="K309" s="9">
        <f>J309-R309</f>
        <v>0</v>
      </c>
      <c r="L309" s="9">
        <f>K309-S309</f>
        <v>0</v>
      </c>
      <c r="M309" s="9">
        <f>L309-T309</f>
        <v>0</v>
      </c>
      <c r="N309" s="9"/>
      <c r="O309" s="9">
        <v>0</v>
      </c>
      <c r="P309" s="9">
        <f>H309</f>
        <v>-267.59452840452661</v>
      </c>
      <c r="Q309" s="9">
        <v>0</v>
      </c>
      <c r="R309" s="9">
        <v>0</v>
      </c>
      <c r="S309" s="9">
        <v>0</v>
      </c>
      <c r="T309" s="9">
        <v>0</v>
      </c>
      <c r="U309" s="9"/>
      <c r="V309" s="9">
        <v>0</v>
      </c>
      <c r="W309" s="9">
        <f>H309*$F309</f>
        <v>0</v>
      </c>
      <c r="X309" s="9">
        <f t="shared" ref="X309:AA311" si="93">I309*$F309</f>
        <v>0</v>
      </c>
      <c r="Y309" s="9">
        <f t="shared" si="93"/>
        <v>0</v>
      </c>
      <c r="Z309" s="9">
        <f t="shared" si="93"/>
        <v>0</v>
      </c>
      <c r="AA309" s="9">
        <f t="shared" si="93"/>
        <v>0</v>
      </c>
    </row>
    <row r="310" spans="1:27">
      <c r="B310" s="7">
        <f>B309+1</f>
        <v>2019</v>
      </c>
      <c r="C310" s="7"/>
      <c r="D310" s="7">
        <f t="shared" ref="D310:E314" si="94">D309</f>
        <v>1</v>
      </c>
      <c r="E310" s="7">
        <f t="shared" si="94"/>
        <v>1</v>
      </c>
      <c r="F310" s="14">
        <f>$M$110</f>
        <v>0</v>
      </c>
      <c r="H310" s="9"/>
      <c r="I310" s="9">
        <f ca="1">$C$110</f>
        <v>1808.3804037295163</v>
      </c>
      <c r="J310" s="9">
        <f ca="1">I310-Q310</f>
        <v>0</v>
      </c>
      <c r="K310" s="9">
        <f ca="1">J310-R310</f>
        <v>0</v>
      </c>
      <c r="L310" s="9">
        <f ca="1">K310-S310</f>
        <v>0</v>
      </c>
      <c r="M310" s="9">
        <f ca="1">L310-T310</f>
        <v>0</v>
      </c>
      <c r="O310" s="9"/>
      <c r="P310" s="9">
        <v>0</v>
      </c>
      <c r="Q310" s="9">
        <f ca="1">I310</f>
        <v>1808.3804037295163</v>
      </c>
      <c r="R310" s="9">
        <v>0</v>
      </c>
      <c r="S310" s="9">
        <v>0</v>
      </c>
      <c r="T310" s="9">
        <v>0</v>
      </c>
      <c r="V310" s="9"/>
      <c r="W310" s="9">
        <v>0</v>
      </c>
      <c r="X310" s="9">
        <f ca="1">I310*$F310</f>
        <v>58.772363121209281</v>
      </c>
      <c r="Y310" s="9">
        <f t="shared" ca="1" si="93"/>
        <v>0</v>
      </c>
      <c r="Z310" s="9">
        <f t="shared" ca="1" si="93"/>
        <v>0</v>
      </c>
      <c r="AA310" s="9">
        <f t="shared" ca="1" si="93"/>
        <v>0</v>
      </c>
    </row>
    <row r="311" spans="1:27">
      <c r="B311" s="7">
        <f>B310+1</f>
        <v>2020</v>
      </c>
      <c r="C311" s="7"/>
      <c r="D311" s="7">
        <f t="shared" si="94"/>
        <v>1</v>
      </c>
      <c r="E311" s="7">
        <f t="shared" si="94"/>
        <v>1</v>
      </c>
      <c r="F311" s="14">
        <f>$N$110</f>
        <v>0</v>
      </c>
      <c r="H311" s="9"/>
      <c r="I311" s="9"/>
      <c r="J311" s="9">
        <f ca="1">$D$110</f>
        <v>3302.4748880028706</v>
      </c>
      <c r="K311" s="9">
        <f ca="1">J311-R311</f>
        <v>0</v>
      </c>
      <c r="L311" s="9">
        <f ca="1">K311-S311</f>
        <v>0</v>
      </c>
      <c r="M311" s="9">
        <f ca="1">L311-T311</f>
        <v>0</v>
      </c>
      <c r="O311" s="9"/>
      <c r="P311" s="9"/>
      <c r="Q311" s="9">
        <v>0</v>
      </c>
      <c r="R311" s="9">
        <f ca="1">J311</f>
        <v>3302.4748880028706</v>
      </c>
      <c r="S311" s="9">
        <v>0</v>
      </c>
      <c r="T311" s="9">
        <v>0</v>
      </c>
      <c r="V311" s="9"/>
      <c r="W311" s="9"/>
      <c r="X311" s="9">
        <v>0</v>
      </c>
      <c r="Y311" s="9">
        <f ca="1">J311*$F311</f>
        <v>107.33043386009329</v>
      </c>
      <c r="Z311" s="9">
        <f t="shared" ca="1" si="93"/>
        <v>0</v>
      </c>
      <c r="AA311" s="9">
        <f t="shared" ca="1" si="93"/>
        <v>0</v>
      </c>
    </row>
    <row r="312" spans="1:27">
      <c r="B312" s="7">
        <f>B311+1</f>
        <v>2021</v>
      </c>
      <c r="C312" s="7"/>
      <c r="D312" s="7">
        <f t="shared" si="94"/>
        <v>1</v>
      </c>
      <c r="E312" s="7">
        <f t="shared" si="94"/>
        <v>1</v>
      </c>
      <c r="F312" s="14">
        <f>$O$110</f>
        <v>0</v>
      </c>
      <c r="H312" s="9"/>
      <c r="I312" s="9"/>
      <c r="J312" s="9"/>
      <c r="K312" s="9">
        <f ca="1">$E$110</f>
        <v>4866.733670636645</v>
      </c>
      <c r="L312" s="9">
        <f ca="1">K312-S312</f>
        <v>0</v>
      </c>
      <c r="M312" s="9">
        <f ca="1">L312-T312</f>
        <v>0</v>
      </c>
      <c r="O312" s="9"/>
      <c r="P312" s="9"/>
      <c r="Q312" s="9"/>
      <c r="R312" s="9">
        <v>0</v>
      </c>
      <c r="S312" s="9">
        <f ca="1">K312</f>
        <v>4866.733670636645</v>
      </c>
      <c r="T312" s="9">
        <v>0</v>
      </c>
      <c r="V312" s="9"/>
      <c r="W312" s="9"/>
      <c r="X312" s="9"/>
      <c r="Y312" s="9">
        <v>0</v>
      </c>
      <c r="Z312" s="9">
        <f ca="1">K312*$F312</f>
        <v>170.33567847228258</v>
      </c>
      <c r="AA312" s="9">
        <f ca="1">L312*$F312</f>
        <v>0</v>
      </c>
    </row>
    <row r="313" spans="1:27">
      <c r="B313" s="7">
        <f>B312+1</f>
        <v>2022</v>
      </c>
      <c r="C313" s="7"/>
      <c r="D313" s="7">
        <f t="shared" si="94"/>
        <v>1</v>
      </c>
      <c r="E313" s="7">
        <f t="shared" si="94"/>
        <v>1</v>
      </c>
      <c r="F313" s="14">
        <f>$P$110</f>
        <v>0</v>
      </c>
      <c r="H313" s="9"/>
      <c r="I313" s="9"/>
      <c r="J313" s="9"/>
      <c r="K313" s="9"/>
      <c r="L313" s="9">
        <f ca="1">$F$110</f>
        <v>5367.6621946222604</v>
      </c>
      <c r="M313" s="9">
        <f ca="1">L313-T313</f>
        <v>0</v>
      </c>
      <c r="O313" s="9"/>
      <c r="P313" s="9"/>
      <c r="Q313" s="9"/>
      <c r="R313" s="9"/>
      <c r="S313" s="9">
        <v>0</v>
      </c>
      <c r="T313" s="9">
        <f ca="1">L313</f>
        <v>5367.6621946222604</v>
      </c>
      <c r="V313" s="9"/>
      <c r="W313" s="9"/>
      <c r="X313" s="9"/>
      <c r="Y313" s="9"/>
      <c r="Z313" s="9">
        <v>0</v>
      </c>
      <c r="AA313" s="9">
        <f ca="1">L313*$F313</f>
        <v>187.86817681177914</v>
      </c>
    </row>
    <row r="314" spans="1:27">
      <c r="B314" s="7">
        <f>B313+1</f>
        <v>2023</v>
      </c>
      <c r="C314" s="7"/>
      <c r="D314" s="7">
        <f t="shared" si="94"/>
        <v>1</v>
      </c>
      <c r="E314" s="7">
        <f t="shared" si="94"/>
        <v>1</v>
      </c>
      <c r="F314" s="14">
        <f>$Q$110</f>
        <v>0</v>
      </c>
      <c r="H314" s="9"/>
      <c r="I314" s="9"/>
      <c r="J314" s="9"/>
      <c r="K314" s="9"/>
      <c r="L314" s="9"/>
      <c r="M314" s="9">
        <f ca="1">$G$110</f>
        <v>5623.1440019285474</v>
      </c>
      <c r="O314" s="9"/>
      <c r="P314" s="9"/>
      <c r="Q314" s="9"/>
      <c r="R314" s="9"/>
      <c r="S314" s="9"/>
      <c r="T314" s="9">
        <v>0</v>
      </c>
      <c r="V314" s="9"/>
      <c r="W314" s="9"/>
      <c r="X314" s="9"/>
      <c r="Y314" s="9"/>
      <c r="Z314" s="9"/>
      <c r="AA314" s="9">
        <v>0</v>
      </c>
    </row>
    <row r="315" spans="1:27">
      <c r="B315" s="7"/>
      <c r="D315" s="7"/>
      <c r="E315" s="14"/>
      <c r="G315" s="9"/>
      <c r="H315" s="9"/>
      <c r="I315" s="9"/>
      <c r="J315" s="9"/>
      <c r="K315" s="9"/>
      <c r="L315" s="9"/>
      <c r="N315" s="89"/>
      <c r="O315" s="9"/>
      <c r="P315" s="9"/>
      <c r="Q315" s="9"/>
      <c r="R315" s="9"/>
      <c r="S315" s="9"/>
      <c r="U315" s="9"/>
      <c r="V315" s="9"/>
      <c r="W315" s="9"/>
      <c r="X315" s="9"/>
      <c r="Y315" s="9"/>
      <c r="Z315" s="9"/>
    </row>
    <row r="316" spans="1:27">
      <c r="B316" s="7"/>
      <c r="C316" s="7"/>
      <c r="D316" s="7"/>
      <c r="E316" s="14"/>
      <c r="G316" s="9"/>
      <c r="H316" s="9"/>
      <c r="I316" s="9"/>
      <c r="J316" s="9"/>
      <c r="K316" s="9"/>
      <c r="L316" s="9"/>
      <c r="N316" s="89"/>
      <c r="O316" s="9"/>
      <c r="P316" s="9"/>
      <c r="Q316" s="9"/>
      <c r="R316" s="9"/>
      <c r="S316" s="9"/>
      <c r="U316" s="9"/>
      <c r="V316" s="9"/>
      <c r="W316" s="9"/>
      <c r="X316" s="9"/>
      <c r="Y316" s="9"/>
      <c r="Z316" s="9"/>
    </row>
    <row r="317" spans="1:27">
      <c r="A317" s="8"/>
      <c r="B317" s="7"/>
    </row>
  </sheetData>
  <mergeCells count="14">
    <mergeCell ref="B233:AA233"/>
    <mergeCell ref="B270:AA270"/>
    <mergeCell ref="B307:AA307"/>
    <mergeCell ref="B128:AA128"/>
    <mergeCell ref="B138:AA138"/>
    <mergeCell ref="B175:AA175"/>
    <mergeCell ref="B214:AA214"/>
    <mergeCell ref="B223:AA223"/>
    <mergeCell ref="B119:AA119"/>
    <mergeCell ref="B75:G75"/>
    <mergeCell ref="H114:M114"/>
    <mergeCell ref="O114:T114"/>
    <mergeCell ref="V114:AA114"/>
    <mergeCell ref="B114:F114"/>
  </mergeCells>
  <pageMargins left="0.7" right="0.7" top="0.75" bottom="0.75" header="0.3" footer="0.3"/>
  <legacy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2">
    <tabColor theme="0" tint="-0.34998626667073579"/>
  </sheetPr>
  <dimension ref="A1:AA315"/>
  <sheetViews>
    <sheetView zoomScale="80" zoomScaleNormal="80" workbookViewId="0"/>
  </sheetViews>
  <sheetFormatPr defaultColWidth="9.140625" defaultRowHeight="15"/>
  <cols>
    <col min="1" max="1" width="79.28515625" style="6" customWidth="1"/>
    <col min="2" max="3" width="15.42578125" style="6" customWidth="1"/>
    <col min="4" max="19" width="10.7109375" style="6" customWidth="1"/>
    <col min="20" max="20" width="10.5703125" style="6" customWidth="1"/>
    <col min="21" max="21" width="5.7109375" style="6" customWidth="1"/>
    <col min="22" max="26" width="13.5703125" style="6" customWidth="1"/>
    <col min="27" max="16384" width="9.140625" style="6"/>
  </cols>
  <sheetData>
    <row r="1" spans="1:19" customFormat="1" ht="15.75" thickBot="1">
      <c r="B1" s="1"/>
      <c r="C1" s="1"/>
      <c r="D1" s="1"/>
      <c r="E1" s="60"/>
      <c r="F1" s="60"/>
      <c r="G1" s="60"/>
      <c r="H1" s="60"/>
      <c r="I1" s="60"/>
      <c r="J1" s="60"/>
      <c r="K1" s="60"/>
      <c r="L1" s="1"/>
      <c r="M1" s="1"/>
      <c r="N1" s="1"/>
      <c r="O1" s="1"/>
      <c r="P1" s="1"/>
      <c r="Q1" s="1"/>
      <c r="R1" s="1"/>
      <c r="S1" s="1"/>
    </row>
    <row r="2" spans="1:19" customFormat="1" ht="30.75" thickBot="1">
      <c r="A2" s="1306" t="s">
        <v>149</v>
      </c>
      <c r="B2" s="118" t="s">
        <v>16</v>
      </c>
      <c r="C2" s="1"/>
      <c r="D2" s="1"/>
      <c r="E2" s="1"/>
      <c r="F2" s="1"/>
      <c r="G2" s="1"/>
    </row>
    <row r="3" spans="1:19" customFormat="1">
      <c r="A3" s="17"/>
      <c r="B3" s="225">
        <f>FirstYear</f>
        <v>2018</v>
      </c>
      <c r="C3" s="226">
        <f>B3+1</f>
        <v>2019</v>
      </c>
      <c r="D3" s="226">
        <f>C3+1</f>
        <v>2020</v>
      </c>
      <c r="E3" s="226">
        <f>D3+1</f>
        <v>2021</v>
      </c>
      <c r="F3" s="226">
        <f>E3+1</f>
        <v>2022</v>
      </c>
      <c r="G3" s="227">
        <f>F3+1</f>
        <v>2023</v>
      </c>
    </row>
    <row r="4" spans="1:19" customFormat="1">
      <c r="A4" s="17"/>
      <c r="B4" s="168"/>
      <c r="C4" s="62"/>
      <c r="D4" s="62"/>
      <c r="E4" s="62"/>
      <c r="F4" s="62"/>
      <c r="G4" s="169"/>
    </row>
    <row r="5" spans="1:19" customFormat="1">
      <c r="A5" s="63" t="s">
        <v>62</v>
      </c>
      <c r="B5" s="170">
        <f t="shared" ref="B5:G5" si="0">B7+B13</f>
        <v>10948.652288728241</v>
      </c>
      <c r="C5" s="171">
        <f t="shared" ca="1" si="0"/>
        <v>11752.134844626129</v>
      </c>
      <c r="D5" s="171">
        <f t="shared" ca="1" si="0"/>
        <v>13046.14064038891</v>
      </c>
      <c r="E5" s="171">
        <f t="shared" ca="1" si="0"/>
        <v>14223.721210796673</v>
      </c>
      <c r="F5" s="171">
        <f t="shared" ca="1" si="0"/>
        <v>15980.28464170908</v>
      </c>
      <c r="G5" s="172">
        <f t="shared" ca="1" si="0"/>
        <v>18181.232154414887</v>
      </c>
    </row>
    <row r="6" spans="1:19" s="284" customFormat="1">
      <c r="A6" s="18" t="s">
        <v>1026</v>
      </c>
      <c r="B6" s="170" t="str">
        <f>'Baseline debt'!P8</f>
        <v/>
      </c>
      <c r="C6" s="171" t="str">
        <f>'Baseline debt'!Q8</f>
        <v/>
      </c>
      <c r="D6" s="171" t="str">
        <f>'Baseline debt'!R8</f>
        <v/>
      </c>
      <c r="E6" s="171" t="str">
        <f>'Baseline debt'!S8</f>
        <v/>
      </c>
      <c r="F6" s="171" t="str">
        <f>'Baseline debt'!T8</f>
        <v/>
      </c>
      <c r="G6" s="172" t="str">
        <f>'Baseline debt'!U8</f>
        <v/>
      </c>
    </row>
    <row r="7" spans="1:19" customFormat="1">
      <c r="A7" s="21" t="s">
        <v>70</v>
      </c>
      <c r="B7" s="170">
        <f t="shared" ref="B7:G7" si="1">B8+B9</f>
        <v>9886.2521736994167</v>
      </c>
      <c r="C7" s="171">
        <f t="shared" si="1"/>
        <v>8911.8893426146806</v>
      </c>
      <c r="D7" s="171">
        <f t="shared" si="1"/>
        <v>7492.189097399264</v>
      </c>
      <c r="E7" s="171">
        <f t="shared" si="1"/>
        <v>5974.3469208111837</v>
      </c>
      <c r="F7" s="171">
        <f t="shared" si="1"/>
        <v>5668.2685925698843</v>
      </c>
      <c r="G7" s="172">
        <f t="shared" si="1"/>
        <v>5408.9817963298847</v>
      </c>
    </row>
    <row r="8" spans="1:19" customFormat="1">
      <c r="A8" s="18" t="s">
        <v>72</v>
      </c>
      <c r="B8" s="170">
        <f>'Baseline debt'!P11</f>
        <v>9879.101789236136</v>
      </c>
      <c r="C8" s="171">
        <f>'Baseline debt'!Q11</f>
        <v>8904.2169986260087</v>
      </c>
      <c r="D8" s="171">
        <f>'Baseline debt'!R11</f>
        <v>8210.6547722760079</v>
      </c>
      <c r="E8" s="171">
        <f>'Baseline debt'!S11</f>
        <v>7110.6102222407098</v>
      </c>
      <c r="F8" s="171">
        <f>'Baseline debt'!T11</f>
        <v>6804.9355125304046</v>
      </c>
      <c r="G8" s="172">
        <f>'Baseline debt'!U11</f>
        <v>6545.648716290405</v>
      </c>
    </row>
    <row r="9" spans="1:19" customFormat="1">
      <c r="A9" s="18" t="s">
        <v>63</v>
      </c>
      <c r="B9" s="170">
        <f>'Baseline debt'!P13/'Baseline debt'!P$73*B32</f>
        <v>7.1503844632814992</v>
      </c>
      <c r="C9" s="171">
        <f>'Baseline debt'!Q13/'Baseline debt'!Q$73*C32</f>
        <v>7.6723439886721989</v>
      </c>
      <c r="D9" s="171">
        <f>'Baseline debt'!R13/'Baseline debt'!R$73*D32</f>
        <v>-718.46567487674349</v>
      </c>
      <c r="E9" s="171">
        <f>'Baseline debt'!S13/'Baseline debt'!S$73*E32</f>
        <v>-1136.2633014295257</v>
      </c>
      <c r="F9" s="171">
        <f>'Baseline debt'!T13/'Baseline debt'!T$73*F32</f>
        <v>-1136.6669199605203</v>
      </c>
      <c r="G9" s="172">
        <f>'Baseline debt'!U13/'Baseline debt'!U$73*G32</f>
        <v>-1136.6669199605203</v>
      </c>
    </row>
    <row r="10" spans="1:19" customFormat="1">
      <c r="A10" s="18" t="s">
        <v>60</v>
      </c>
      <c r="B10" s="170">
        <v>0</v>
      </c>
      <c r="C10" s="171">
        <v>0</v>
      </c>
      <c r="D10" s="171">
        <v>0</v>
      </c>
      <c r="E10" s="171">
        <v>0</v>
      </c>
      <c r="F10" s="171">
        <v>0</v>
      </c>
      <c r="G10" s="172">
        <v>0</v>
      </c>
    </row>
    <row r="11" spans="1:19" customFormat="1">
      <c r="A11" s="18" t="s">
        <v>73</v>
      </c>
      <c r="B11" s="170">
        <f t="shared" ref="B11:G11" si="2">B8+B9</f>
        <v>9886.2521736994167</v>
      </c>
      <c r="C11" s="171">
        <f t="shared" si="2"/>
        <v>8911.8893426146806</v>
      </c>
      <c r="D11" s="171">
        <f t="shared" si="2"/>
        <v>7492.189097399264</v>
      </c>
      <c r="E11" s="171">
        <f t="shared" si="2"/>
        <v>5974.3469208111837</v>
      </c>
      <c r="F11" s="171">
        <f t="shared" si="2"/>
        <v>5668.2685925698843</v>
      </c>
      <c r="G11" s="172">
        <f t="shared" si="2"/>
        <v>5408.9817963298847</v>
      </c>
    </row>
    <row r="12" spans="1:19" customFormat="1">
      <c r="A12" s="17"/>
      <c r="B12" s="170"/>
      <c r="C12" s="171"/>
      <c r="D12" s="171"/>
      <c r="E12" s="171"/>
      <c r="F12" s="171"/>
      <c r="G12" s="172"/>
    </row>
    <row r="13" spans="1:19" customFormat="1">
      <c r="A13" s="21" t="s">
        <v>71</v>
      </c>
      <c r="B13" s="170">
        <f t="shared" ref="B13:G13" si="3">B14+B15</f>
        <v>1062.4001150288241</v>
      </c>
      <c r="C13" s="171">
        <f t="shared" ca="1" si="3"/>
        <v>2838.4820270469454</v>
      </c>
      <c r="D13" s="171">
        <f t="shared" ca="1" si="3"/>
        <v>5408.487822809725</v>
      </c>
      <c r="E13" s="171">
        <f t="shared" ca="1" si="3"/>
        <v>8021.068393217487</v>
      </c>
      <c r="F13" s="171">
        <f t="shared" ca="1" si="3"/>
        <v>10083.631824129896</v>
      </c>
      <c r="G13" s="172">
        <f t="shared" ca="1" si="3"/>
        <v>12293.579336835703</v>
      </c>
    </row>
    <row r="14" spans="1:19" customFormat="1">
      <c r="A14" s="18" t="s">
        <v>72</v>
      </c>
      <c r="B14" s="170">
        <f t="shared" ref="B14:G14" si="4">SUM(H119:H124,H138:H171,H214:H219,H233:H266,H307:H312)</f>
        <v>1062.4001150288241</v>
      </c>
      <c r="C14" s="171">
        <f t="shared" ca="1" si="4"/>
        <v>2838.4820270469454</v>
      </c>
      <c r="D14" s="171">
        <f t="shared" ca="1" si="4"/>
        <v>5408.487822809725</v>
      </c>
      <c r="E14" s="171">
        <f t="shared" ca="1" si="4"/>
        <v>8021.068393217487</v>
      </c>
      <c r="F14" s="171">
        <f t="shared" ca="1" si="4"/>
        <v>10083.631824129896</v>
      </c>
      <c r="G14" s="172">
        <f t="shared" ca="1" si="4"/>
        <v>12293.579336835703</v>
      </c>
    </row>
    <row r="15" spans="1:19" customFormat="1">
      <c r="A15" s="18" t="s">
        <v>63</v>
      </c>
      <c r="B15" s="170">
        <f t="shared" ref="B15:G15" si="5">SUM(H128:H133,H175:H208,H223:H228,H270:H303)*B32</f>
        <v>0</v>
      </c>
      <c r="C15" s="171">
        <f t="shared" ca="1" si="5"/>
        <v>0</v>
      </c>
      <c r="D15" s="171">
        <f t="shared" ca="1" si="5"/>
        <v>0</v>
      </c>
      <c r="E15" s="171">
        <f t="shared" ca="1" si="5"/>
        <v>0</v>
      </c>
      <c r="F15" s="171">
        <f t="shared" ca="1" si="5"/>
        <v>0</v>
      </c>
      <c r="G15" s="172">
        <f t="shared" ca="1" si="5"/>
        <v>0</v>
      </c>
    </row>
    <row r="16" spans="1:19" customFormat="1">
      <c r="A16" s="18" t="s">
        <v>60</v>
      </c>
      <c r="B16" s="170">
        <f t="shared" ref="B16:G16" si="6">SUM(H119:H124,H214:H219,H307:H312)+SUM(H128:H133,H223:H228)*B32</f>
        <v>-267.59452840452661</v>
      </c>
      <c r="C16" s="171">
        <f t="shared" ca="1" si="6"/>
        <v>2381.1436743469126</v>
      </c>
      <c r="D16" s="171">
        <f t="shared" ca="1" si="6"/>
        <v>4739.7397728422948</v>
      </c>
      <c r="E16" s="171">
        <f t="shared" ca="1" si="6"/>
        <v>7224.7492859247714</v>
      </c>
      <c r="F16" s="171">
        <f t="shared" ca="1" si="6"/>
        <v>9124.5138070824687</v>
      </c>
      <c r="G16" s="172">
        <f t="shared" ca="1" si="6"/>
        <v>11179.469891871682</v>
      </c>
    </row>
    <row r="17" spans="1:17" customFormat="1">
      <c r="A17" s="18" t="s">
        <v>73</v>
      </c>
      <c r="B17" s="170">
        <f t="shared" ref="B17:G17" si="7">B14+B15-B16</f>
        <v>1329.9946434333506</v>
      </c>
      <c r="C17" s="171">
        <f t="shared" ca="1" si="7"/>
        <v>457.33835270003283</v>
      </c>
      <c r="D17" s="171">
        <f t="shared" ca="1" si="7"/>
        <v>668.74804996743023</v>
      </c>
      <c r="E17" s="171">
        <f t="shared" ca="1" si="7"/>
        <v>796.31910729271567</v>
      </c>
      <c r="F17" s="171">
        <f t="shared" ca="1" si="7"/>
        <v>959.1180170474272</v>
      </c>
      <c r="G17" s="172">
        <f t="shared" ca="1" si="7"/>
        <v>1114.1094449640204</v>
      </c>
    </row>
    <row r="18" spans="1:17" customFormat="1" ht="6.75" customHeight="1">
      <c r="A18" s="17"/>
      <c r="B18" s="170"/>
      <c r="C18" s="171"/>
      <c r="D18" s="171"/>
      <c r="E18" s="171"/>
      <c r="F18" s="171"/>
      <c r="G18" s="172"/>
    </row>
    <row r="19" spans="1:17" customFormat="1">
      <c r="A19" s="20" t="s">
        <v>74</v>
      </c>
      <c r="B19" s="170">
        <f t="shared" ref="B19:G19" si="8">B63</f>
        <v>1062.4001150288241</v>
      </c>
      <c r="C19" s="171">
        <f t="shared" ca="1" si="8"/>
        <v>2662.474833708352</v>
      </c>
      <c r="D19" s="171">
        <f t="shared" ca="1" si="8"/>
        <v>5067.2075977072864</v>
      </c>
      <c r="E19" s="171">
        <f t="shared" ca="1" si="8"/>
        <v>7531.435869731984</v>
      </c>
      <c r="F19" s="171">
        <f t="shared" ca="1" si="8"/>
        <v>9502.3139570807871</v>
      </c>
      <c r="G19" s="172">
        <f t="shared" ca="1" si="8"/>
        <v>11594.22521509547</v>
      </c>
    </row>
    <row r="20" spans="1:17" customFormat="1">
      <c r="A20" s="18" t="s">
        <v>55</v>
      </c>
      <c r="B20" s="170">
        <f t="shared" ref="B20:G20" si="9">B49-B47</f>
        <v>15.437150622194167</v>
      </c>
      <c r="C20" s="171">
        <f t="shared" si="9"/>
        <v>1062.6457042111469</v>
      </c>
      <c r="D20" s="171">
        <f t="shared" si="9"/>
        <v>1817.7786271579953</v>
      </c>
      <c r="E20" s="171">
        <f t="shared" si="9"/>
        <v>-66.693218535056076</v>
      </c>
      <c r="F20" s="171">
        <f t="shared" si="9"/>
        <v>-277.26911185456265</v>
      </c>
      <c r="G20" s="172">
        <f t="shared" si="9"/>
        <v>-292.15846316115494</v>
      </c>
    </row>
    <row r="21" spans="1:17" s="284" customFormat="1">
      <c r="A21" s="18" t="s">
        <v>1172</v>
      </c>
      <c r="B21" s="170">
        <f>B48</f>
        <v>48.271190640000007</v>
      </c>
      <c r="C21" s="171">
        <v>0</v>
      </c>
      <c r="D21" s="171">
        <v>0</v>
      </c>
      <c r="E21" s="171">
        <v>0</v>
      </c>
      <c r="F21" s="171">
        <v>0</v>
      </c>
      <c r="G21" s="172">
        <v>0</v>
      </c>
    </row>
    <row r="22" spans="1:17" customFormat="1">
      <c r="A22" s="23" t="s">
        <v>102</v>
      </c>
      <c r="B22" s="170">
        <f t="shared" ref="B22:G22" si="10">B23+B24</f>
        <v>1095.234155046629</v>
      </c>
      <c r="C22" s="171">
        <f t="shared" ca="1" si="10"/>
        <v>2190.8804037295163</v>
      </c>
      <c r="D22" s="171">
        <f t="shared" ca="1" si="10"/>
        <v>4604.6891169979717</v>
      </c>
      <c r="E22" s="171">
        <f t="shared" ca="1" si="10"/>
        <v>7531.435869731984</v>
      </c>
      <c r="F22" s="171">
        <f t="shared" ca="1" si="10"/>
        <v>9502.3139570807871</v>
      </c>
      <c r="G22" s="172">
        <f t="shared" ca="1" si="10"/>
        <v>11594.22521509547</v>
      </c>
    </row>
    <row r="23" spans="1:17" customFormat="1">
      <c r="A23" s="228" t="s">
        <v>1173</v>
      </c>
      <c r="B23" s="170">
        <f t="shared" ref="B23:G23" si="11">SUM(B50:B51,B58:B59)</f>
        <v>210.95965861346764</v>
      </c>
      <c r="C23" s="171">
        <f t="shared" ca="1" si="11"/>
        <v>272.737797096664</v>
      </c>
      <c r="D23" s="171">
        <f t="shared" ca="1" si="11"/>
        <v>831.48731505346484</v>
      </c>
      <c r="E23" s="171">
        <f t="shared" ca="1" si="11"/>
        <v>1177.5805704077625</v>
      </c>
      <c r="F23" s="171">
        <f t="shared" ca="1" si="11"/>
        <v>1756.5634309124089</v>
      </c>
      <c r="G23" s="172">
        <f t="shared" ca="1" si="11"/>
        <v>2200.9475127058076</v>
      </c>
    </row>
    <row r="24" spans="1:17" customFormat="1">
      <c r="A24" s="228" t="s">
        <v>1174</v>
      </c>
      <c r="B24" s="170">
        <f t="shared" ref="B24:G24" si="12">SUM(B53:B54,B60:B61)</f>
        <v>884.2744964331614</v>
      </c>
      <c r="C24" s="171">
        <f t="shared" ca="1" si="12"/>
        <v>1918.1426066328522</v>
      </c>
      <c r="D24" s="171">
        <f t="shared" ca="1" si="12"/>
        <v>3773.2018019445068</v>
      </c>
      <c r="E24" s="171">
        <f t="shared" ca="1" si="12"/>
        <v>6353.855299324222</v>
      </c>
      <c r="F24" s="171">
        <f t="shared" ca="1" si="12"/>
        <v>7745.7505261683791</v>
      </c>
      <c r="G24" s="172">
        <f t="shared" ca="1" si="12"/>
        <v>9393.2777023896633</v>
      </c>
    </row>
    <row r="25" spans="1:17" customFormat="1" ht="15" customHeight="1">
      <c r="A25" s="63" t="s">
        <v>304</v>
      </c>
      <c r="B25" s="271">
        <f>'Baseline debt'!P64</f>
        <v>1.9586439007071743E-2</v>
      </c>
      <c r="C25" s="176">
        <f ca="1">IF(Guarantees="Yes",IF(ISNUMBER(C23/(B5-B6)),C23/(B5-B6),""),IF(ISNUMBER(C23/B5),C23/B5,""))</f>
        <v>2.4781166566290192E-2</v>
      </c>
      <c r="D25" s="176">
        <f ca="1">IF(Guarantees="Yes",IF(ISNUMBER(D23/(C5-C6)),D23/(C5-C6),""),IF(ISNUMBER(D23/C5),D23/C5,""))</f>
        <v>7.075202301934759E-2</v>
      </c>
      <c r="E25" s="176">
        <f ca="1">IF(Guarantees="Yes",IF(ISNUMBER(E23/(D5-D6)),E23/(D5-D6),""),IF(ISNUMBER(E23/D5),E23/D5,""))</f>
        <v>9.026275301387969E-2</v>
      </c>
      <c r="F25" s="176">
        <f ca="1">IF(Guarantees="Yes",IF(ISNUMBER(F23/(E5-E6)),F23/(E5-E6),""),IF(ISNUMBER(F23/E5),F23/E5,""))</f>
        <v>0.12349535011829886</v>
      </c>
      <c r="G25" s="177">
        <f ca="1">IF(Guarantees="Yes",IF(ISNUMBER(G23/(F5-F6)),G23/(F5-F6),""),IF(ISNUMBER(G23/F5),G23/F5,""))</f>
        <v>0.13772893049484616</v>
      </c>
    </row>
    <row r="26" spans="1:17" customFormat="1">
      <c r="A26" s="20" t="s">
        <v>77</v>
      </c>
      <c r="B26" s="173">
        <f>'Input 5 - Scenario Design'!E93</f>
        <v>4.7697166816344838E-2</v>
      </c>
      <c r="C26" s="174">
        <f>'Input 5 - Scenario Design'!F93</f>
        <v>-2.9400730822444127E-2</v>
      </c>
      <c r="D26" s="174">
        <f>'Input 5 - Scenario Design'!G93</f>
        <v>-3.1140062952496855E-2</v>
      </c>
      <c r="E26" s="174">
        <f>'Input 5 - Scenario Design'!H93</f>
        <v>2.8871442593204177E-2</v>
      </c>
      <c r="F26" s="174">
        <f>'Input 5 - Scenario Design'!I93</f>
        <v>2.933023694707515E-2</v>
      </c>
      <c r="G26" s="175">
        <f>'Input 5 - Scenario Design'!J93</f>
        <v>2.8000000000000025E-2</v>
      </c>
    </row>
    <row r="27" spans="1:17" customFormat="1">
      <c r="A27" s="20" t="s">
        <v>78</v>
      </c>
      <c r="B27" s="173">
        <f>'Input 5 - Scenario Design'!E94</f>
        <v>4.2122999157540031E-2</v>
      </c>
      <c r="C27" s="174">
        <f>'Input 5 - Scenario Design'!F94</f>
        <v>1.558575369468098E-2</v>
      </c>
      <c r="D27" s="174">
        <f>'Input 5 - Scenario Design'!G94</f>
        <v>1.2666567667486327E-2</v>
      </c>
      <c r="E27" s="174">
        <f>'Input 5 - Scenario Design'!H94</f>
        <v>2.5315565708619037E-2</v>
      </c>
      <c r="F27" s="174">
        <f>'Input 5 - Scenario Design'!I94</f>
        <v>2.4647711698661201E-2</v>
      </c>
      <c r="G27" s="175">
        <f>'Input 5 - Scenario Design'!J94</f>
        <v>2.5000000000000133E-2</v>
      </c>
    </row>
    <row r="28" spans="1:17" customFormat="1">
      <c r="A28" s="20" t="s">
        <v>828</v>
      </c>
      <c r="B28" s="173">
        <f>'Input 5 - Scenario Design'!E95</f>
        <v>0.36781832970756889</v>
      </c>
      <c r="C28" s="174">
        <f>'Input 5 - Scenario Design'!F95</f>
        <v>0.35040979875430966</v>
      </c>
      <c r="D28" s="174">
        <f>'Input 5 - Scenario Design'!G95</f>
        <v>0.34804490274526728</v>
      </c>
      <c r="E28" s="174">
        <f>'Input 5 - Scenario Design'!H95</f>
        <v>0.35111135216456818</v>
      </c>
      <c r="F28" s="174">
        <f>'Input 5 - Scenario Design'!I95</f>
        <v>0.34585635256377734</v>
      </c>
      <c r="G28" s="175">
        <f>'Input 5 - Scenario Design'!J95</f>
        <v>0.34585635256377734</v>
      </c>
    </row>
    <row r="29" spans="1:17" customFormat="1">
      <c r="A29" s="20" t="s">
        <v>80</v>
      </c>
      <c r="B29" s="173">
        <f>'Input 5 - Scenario Design'!E96</f>
        <v>0.36834134844430905</v>
      </c>
      <c r="C29" s="174">
        <f>'Input 5 - Scenario Design'!F96</f>
        <v>0.38693411013339518</v>
      </c>
      <c r="D29" s="174">
        <f>'Input 5 - Scenario Design'!G96</f>
        <v>0.41172549124200486</v>
      </c>
      <c r="E29" s="174">
        <f>'Input 5 - Scenario Design'!H96</f>
        <v>0.34889657983921007</v>
      </c>
      <c r="F29" s="174">
        <f>'Input 5 - Scenario Design'!I96</f>
        <v>0.33712624493397764</v>
      </c>
      <c r="G29" s="175">
        <f>'Input 5 - Scenario Design'!J96</f>
        <v>0.33712624493397758</v>
      </c>
    </row>
    <row r="30" spans="1:17" customFormat="1">
      <c r="A30" s="20" t="s">
        <v>147</v>
      </c>
      <c r="B30" s="173">
        <f>'Input 5 - Scenario Design'!E97</f>
        <v>-5.2301873674015509E-4</v>
      </c>
      <c r="C30" s="176">
        <f>'Input 5 - Scenario Design'!F97</f>
        <v>-3.6524311379085517E-2</v>
      </c>
      <c r="D30" s="176">
        <f>'Input 5 - Scenario Design'!G97</f>
        <v>-6.3680588496737578E-2</v>
      </c>
      <c r="E30" s="176">
        <f>'Input 5 - Scenario Design'!H97</f>
        <v>2.2147723253581053E-3</v>
      </c>
      <c r="F30" s="176">
        <f>'Input 5 - Scenario Design'!I97</f>
        <v>8.7301076297996993E-3</v>
      </c>
      <c r="G30" s="177">
        <f>'Input 5 - Scenario Design'!J97</f>
        <v>8.7301076297997549E-3</v>
      </c>
    </row>
    <row r="31" spans="1:17" ht="15" customHeight="1">
      <c r="A31" s="20" t="s">
        <v>1129</v>
      </c>
      <c r="B31" s="229">
        <f>'Input 5 - Scenario Design'!E98</f>
        <v>1.18</v>
      </c>
      <c r="C31" s="230">
        <f>'Input 5 - Scenario Design'!F98</f>
        <v>1.3493767194763304</v>
      </c>
      <c r="D31" s="230">
        <f>'Input 5 - Scenario Design'!G98</f>
        <v>1.3493767194763304</v>
      </c>
      <c r="E31" s="230">
        <f>'Input 5 - Scenario Design'!H98</f>
        <v>1.3493767194763304</v>
      </c>
      <c r="F31" s="230">
        <f>'Input 5 - Scenario Design'!I98</f>
        <v>1.3493767194763304</v>
      </c>
      <c r="G31" s="231">
        <f>'Input 5 - Scenario Design'!J98</f>
        <v>1.3493767194763304</v>
      </c>
      <c r="I31" s="188"/>
      <c r="J31" s="188"/>
      <c r="K31" s="188"/>
      <c r="L31" s="188"/>
      <c r="M31" s="188"/>
      <c r="N31" s="188"/>
      <c r="O31" s="188"/>
      <c r="P31" s="188"/>
      <c r="Q31" s="189"/>
    </row>
    <row r="32" spans="1:17" customFormat="1">
      <c r="A32" s="20" t="s">
        <v>1130</v>
      </c>
      <c r="B32" s="229">
        <f>'Input 5 - Scenario Design'!E99</f>
        <v>1.18</v>
      </c>
      <c r="C32" s="230">
        <f>'Input 5 - Scenario Design'!F99</f>
        <v>1.3493767194763304</v>
      </c>
      <c r="D32" s="230">
        <f>'Input 5 - Scenario Design'!G99</f>
        <v>1.3493767194763304</v>
      </c>
      <c r="E32" s="230">
        <f>'Input 5 - Scenario Design'!H99</f>
        <v>1.3493767194763304</v>
      </c>
      <c r="F32" s="230">
        <f>'Input 5 - Scenario Design'!I99</f>
        <v>1.3493767194763304</v>
      </c>
      <c r="G32" s="231">
        <f>'Input 5 - Scenario Design'!J99</f>
        <v>1.3493767194763304</v>
      </c>
    </row>
    <row r="33" spans="1:17" customFormat="1">
      <c r="A33" s="20" t="s">
        <v>89</v>
      </c>
      <c r="B33" s="233">
        <f>'Input 5 - Scenario Design'!E100</f>
        <v>0</v>
      </c>
      <c r="C33" s="232">
        <f>'Input 5 - Scenario Design'!F100</f>
        <v>1860.6977230199898</v>
      </c>
      <c r="D33" s="232">
        <f>'Input 5 - Scenario Design'!G100</f>
        <v>1860.6977230199898</v>
      </c>
      <c r="E33" s="232">
        <f>'Input 5 - Scenario Design'!H100</f>
        <v>1860.6977230199898</v>
      </c>
      <c r="F33" s="232">
        <f>'Input 5 - Scenario Design'!I100</f>
        <v>1860.6977230199898</v>
      </c>
      <c r="G33" s="234">
        <f>'Input 5 - Scenario Design'!J100</f>
        <v>1860.6977230199898</v>
      </c>
    </row>
    <row r="34" spans="1:17" customFormat="1">
      <c r="A34" s="20" t="s">
        <v>92</v>
      </c>
      <c r="B34" s="173">
        <f t="shared" ref="B34:G34" si="13">(1+B26)*(1+B27)-1</f>
        <v>9.1829313691506709E-2</v>
      </c>
      <c r="C34" s="174">
        <f t="shared" si="13"/>
        <v>-1.4273209676805232E-2</v>
      </c>
      <c r="D34" s="174">
        <f t="shared" si="13"/>
        <v>-1.8867932999568016E-2</v>
      </c>
      <c r="E34" s="174">
        <f t="shared" si="13"/>
        <v>5.4917905203894168E-2</v>
      </c>
      <c r="F34" s="174">
        <f t="shared" si="13"/>
        <v>5.470087187006123E-2</v>
      </c>
      <c r="G34" s="175">
        <f t="shared" si="13"/>
        <v>5.3700000000000081E-2</v>
      </c>
    </row>
    <row r="35" spans="1:17" ht="15" customHeight="1">
      <c r="A35" s="20" t="s">
        <v>10</v>
      </c>
      <c r="B35" s="190">
        <f>'Input 2 - Data'!P7*(1+B34)</f>
        <v>29515.482979464068</v>
      </c>
      <c r="C35" s="13">
        <f>B35*(1+C34)</f>
        <v>29094.202302186</v>
      </c>
      <c r="D35" s="13">
        <f>C35*(1+D34)</f>
        <v>28545.254842472477</v>
      </c>
      <c r="E35" s="13">
        <f>D35*(1+E34)</f>
        <v>30112.900441932383</v>
      </c>
      <c r="F35" s="13">
        <f>E35*(1+F34)</f>
        <v>31760.102350642435</v>
      </c>
      <c r="G35" s="191">
        <f>F35*(1+G34)</f>
        <v>33465.619846871938</v>
      </c>
      <c r="I35" s="188"/>
      <c r="J35" s="188"/>
      <c r="K35" s="188"/>
      <c r="L35" s="188"/>
      <c r="M35" s="188"/>
      <c r="N35" s="188"/>
      <c r="O35" s="188"/>
      <c r="P35" s="188"/>
      <c r="Q35" s="189"/>
    </row>
    <row r="36" spans="1:17" customFormat="1" ht="6" customHeight="1">
      <c r="A36" s="20"/>
      <c r="B36" s="170"/>
      <c r="C36" s="171"/>
      <c r="D36" s="171"/>
      <c r="E36" s="171"/>
      <c r="F36" s="171"/>
      <c r="G36" s="172"/>
    </row>
    <row r="37" spans="1:17" customFormat="1">
      <c r="A37" s="20" t="s">
        <v>96</v>
      </c>
      <c r="B37" s="178">
        <f t="shared" ref="B37:G37" si="14">B5/B35</f>
        <v>0.37094606570883371</v>
      </c>
      <c r="C37" s="179">
        <f t="shared" ca="1" si="14"/>
        <v>0.41110895240749434</v>
      </c>
      <c r="D37" s="179">
        <f t="shared" ca="1" si="14"/>
        <v>0.46533080176173425</v>
      </c>
      <c r="E37" s="179">
        <f t="shared" ca="1" si="14"/>
        <v>0.48078727577846497</v>
      </c>
      <c r="F37" s="179">
        <f t="shared" ca="1" si="14"/>
        <v>0.51189894470002628</v>
      </c>
      <c r="G37" s="180">
        <f t="shared" ca="1" si="14"/>
        <v>0.55192876053756412</v>
      </c>
    </row>
    <row r="38" spans="1:17" customFormat="1">
      <c r="A38" s="20" t="s">
        <v>100</v>
      </c>
      <c r="B38" s="178">
        <f t="shared" ref="B38:G38" si="15">B22/B35</f>
        <v>3.7107105982600995E-2</v>
      </c>
      <c r="C38" s="179">
        <f t="shared" ca="1" si="15"/>
        <v>7.6640589946873047E-2</v>
      </c>
      <c r="D38" s="179">
        <f t="shared" ca="1" si="15"/>
        <v>0.16424042463889332</v>
      </c>
      <c r="E38" s="179">
        <f t="shared" ca="1" si="15"/>
        <v>0.25457603399594758</v>
      </c>
      <c r="F38" s="179">
        <f t="shared" ca="1" si="15"/>
        <v>0.30438910168985328</v>
      </c>
      <c r="G38" s="180">
        <f t="shared" ca="1" si="15"/>
        <v>0.35196659379365125</v>
      </c>
    </row>
    <row r="39" spans="1:17" customFormat="1">
      <c r="A39" s="20" t="s">
        <v>98</v>
      </c>
      <c r="B39" s="178">
        <f t="shared" ref="B39:G39" si="16">B19/B35</f>
        <v>3.5994671534530134E-2</v>
      </c>
      <c r="C39" s="179">
        <f t="shared" ca="1" si="16"/>
        <v>9.3137736604313084E-2</v>
      </c>
      <c r="D39" s="179">
        <f t="shared" ca="1" si="16"/>
        <v>0.18073757129633336</v>
      </c>
      <c r="E39" s="179">
        <f t="shared" ca="1" si="16"/>
        <v>0.25457603399594758</v>
      </c>
      <c r="F39" s="179">
        <f t="shared" ca="1" si="16"/>
        <v>0.30438910168985328</v>
      </c>
      <c r="G39" s="180">
        <f t="shared" ca="1" si="16"/>
        <v>0.35196659379365125</v>
      </c>
    </row>
    <row r="40" spans="1:17" customFormat="1">
      <c r="A40" s="20" t="s">
        <v>1175</v>
      </c>
      <c r="B40" s="178">
        <f>B5/(B47+B48)</f>
        <v>1.0040391596609757</v>
      </c>
      <c r="C40" s="179" t="e">
        <f ca="1">C5/C47</f>
        <v>#DIV/0!</v>
      </c>
      <c r="D40" s="179" t="e">
        <f ca="1">D5/D47</f>
        <v>#DIV/0!</v>
      </c>
      <c r="E40" s="179" t="e">
        <f ca="1">E5/E47</f>
        <v>#DIV/0!</v>
      </c>
      <c r="F40" s="179" t="e">
        <f ca="1">F5/F47</f>
        <v>#DIV/0!</v>
      </c>
      <c r="G40" s="180" t="e">
        <f ca="1">G5/G47</f>
        <v>#DIV/0!</v>
      </c>
    </row>
    <row r="41" spans="1:17" customFormat="1">
      <c r="A41" s="20" t="s">
        <v>1176</v>
      </c>
      <c r="B41" s="178">
        <f>B22/(B47+B48)</f>
        <v>0.10043774810504542</v>
      </c>
      <c r="C41" s="179" t="e">
        <f ca="1">C22/C47</f>
        <v>#DIV/0!</v>
      </c>
      <c r="D41" s="179" t="e">
        <f ca="1">D22/D47</f>
        <v>#DIV/0!</v>
      </c>
      <c r="E41" s="179" t="e">
        <f ca="1">E22/E47</f>
        <v>#DIV/0!</v>
      </c>
      <c r="F41" s="179" t="e">
        <f ca="1">F22/F47</f>
        <v>#DIV/0!</v>
      </c>
      <c r="G41" s="180" t="e">
        <f ca="1">G22/G47</f>
        <v>#DIV/0!</v>
      </c>
    </row>
    <row r="42" spans="1:17" customFormat="1">
      <c r="A42" s="20" t="s">
        <v>99</v>
      </c>
      <c r="B42" s="178">
        <f>B19/(B47+B48)</f>
        <v>9.7426723453025818E-2</v>
      </c>
      <c r="C42" s="179" t="e">
        <f ca="1">C19/C47</f>
        <v>#DIV/0!</v>
      </c>
      <c r="D42" s="179" t="e">
        <f ca="1">D19/D47</f>
        <v>#DIV/0!</v>
      </c>
      <c r="E42" s="179" t="e">
        <f ca="1">E19/E47</f>
        <v>#DIV/0!</v>
      </c>
      <c r="F42" s="179" t="e">
        <f ca="1">F19/F47</f>
        <v>#DIV/0!</v>
      </c>
      <c r="G42" s="180" t="e">
        <f ca="1">G19/G47</f>
        <v>#DIV/0!</v>
      </c>
    </row>
    <row r="43" spans="1:17" ht="6" customHeight="1" thickBot="1">
      <c r="A43" s="17"/>
      <c r="B43" s="181"/>
      <c r="C43" s="182"/>
      <c r="D43" s="182"/>
      <c r="E43" s="182"/>
      <c r="F43" s="182"/>
      <c r="G43" s="183"/>
    </row>
    <row r="44" spans="1:17" ht="6" customHeight="1" thickBot="1">
      <c r="B44" s="7"/>
      <c r="C44" s="7"/>
      <c r="D44" s="7"/>
      <c r="E44" s="7"/>
      <c r="F44" s="7"/>
      <c r="G44" s="7"/>
      <c r="I44" s="184"/>
      <c r="J44" s="184"/>
      <c r="K44" s="184"/>
      <c r="L44" s="184"/>
      <c r="M44" s="184"/>
      <c r="N44" s="184"/>
      <c r="O44" s="184"/>
      <c r="P44" s="184"/>
    </row>
    <row r="45" spans="1:17" ht="15.75" thickBot="1">
      <c r="B45" s="165">
        <f>FirstYear</f>
        <v>2018</v>
      </c>
      <c r="C45" s="166">
        <f>B45+1</f>
        <v>2019</v>
      </c>
      <c r="D45" s="166">
        <f>C45+1</f>
        <v>2020</v>
      </c>
      <c r="E45" s="166">
        <f>D45+1</f>
        <v>2021</v>
      </c>
      <c r="F45" s="166">
        <f>E45+1</f>
        <v>2022</v>
      </c>
      <c r="G45" s="167">
        <f>F45+1</f>
        <v>2023</v>
      </c>
      <c r="I45" s="184"/>
      <c r="J45" s="184"/>
      <c r="K45" s="184"/>
      <c r="L45" s="184"/>
      <c r="M45" s="184"/>
      <c r="N45" s="184"/>
      <c r="O45" s="184"/>
      <c r="P45" s="184"/>
    </row>
    <row r="46" spans="1:17" ht="6" customHeight="1" thickBot="1">
      <c r="B46" s="195"/>
      <c r="C46" s="195"/>
      <c r="D46" s="195"/>
      <c r="E46" s="195"/>
      <c r="F46" s="195"/>
      <c r="G46" s="195"/>
      <c r="I46" s="188"/>
      <c r="J46" s="188"/>
      <c r="K46" s="188"/>
      <c r="L46" s="188"/>
      <c r="M46" s="188"/>
      <c r="N46" s="188"/>
      <c r="O46" s="188"/>
      <c r="P46" s="188"/>
      <c r="Q46" s="189"/>
    </row>
    <row r="47" spans="1:17" ht="15" customHeight="1">
      <c r="A47" s="1384" t="s">
        <v>830</v>
      </c>
      <c r="B47" s="185">
        <f t="shared" ref="B47:G47" si="17">B28*B$35</f>
        <v>10856.335650018653</v>
      </c>
      <c r="C47" s="186">
        <f t="shared" si="17"/>
        <v>10194.89357362617</v>
      </c>
      <c r="D47" s="186">
        <f t="shared" si="17"/>
        <v>9935.0304454872039</v>
      </c>
      <c r="E47" s="186">
        <f t="shared" si="17"/>
        <v>10572.981191763902</v>
      </c>
      <c r="F47" s="186">
        <f t="shared" si="17"/>
        <v>10984.433156045443</v>
      </c>
      <c r="G47" s="187">
        <f t="shared" si="17"/>
        <v>11574.297216525085</v>
      </c>
      <c r="I47" s="188"/>
      <c r="J47" s="188"/>
      <c r="K47" s="188"/>
      <c r="L47" s="188"/>
      <c r="M47" s="188"/>
      <c r="N47" s="188"/>
      <c r="O47" s="188"/>
      <c r="P47" s="188"/>
      <c r="Q47" s="189"/>
    </row>
    <row r="48" spans="1:17" s="281" customFormat="1" ht="15" customHeight="1">
      <c r="A48" s="1383" t="s">
        <v>824</v>
      </c>
      <c r="B48" s="190">
        <f>'Input 4 - Forecast'!C21</f>
        <v>48.271190640000007</v>
      </c>
      <c r="C48" s="13">
        <f>'Input 4 - Forecast'!D21</f>
        <v>51.337460912386192</v>
      </c>
      <c r="D48" s="13">
        <f>'Input 4 - Forecast'!E21</f>
        <v>54.35210618984911</v>
      </c>
      <c r="E48" s="13">
        <f>'Input 4 - Forecast'!F21</f>
        <v>57.337010005215234</v>
      </c>
      <c r="F48" s="13">
        <f>'Input 4 - Forecast'!G21</f>
        <v>60.473394442922938</v>
      </c>
      <c r="G48" s="191">
        <f>'Input 4 - Forecast'!H21</f>
        <v>63.71294897394791</v>
      </c>
      <c r="I48" s="188"/>
      <c r="J48" s="188"/>
      <c r="K48" s="188"/>
      <c r="L48" s="188"/>
      <c r="M48" s="188"/>
      <c r="N48" s="188"/>
      <c r="O48" s="188"/>
      <c r="P48" s="188"/>
      <c r="Q48" s="189"/>
    </row>
    <row r="49" spans="1:17" ht="15" customHeight="1">
      <c r="A49" s="5" t="s">
        <v>69</v>
      </c>
      <c r="B49" s="190">
        <f t="shared" ref="B49:G49" si="18">B29*B$35</f>
        <v>10871.772800640847</v>
      </c>
      <c r="C49" s="13">
        <f t="shared" si="18"/>
        <v>11257.539277837317</v>
      </c>
      <c r="D49" s="13">
        <f t="shared" si="18"/>
        <v>11752.809072645199</v>
      </c>
      <c r="E49" s="13">
        <f t="shared" si="18"/>
        <v>10506.287973228846</v>
      </c>
      <c r="F49" s="13">
        <f t="shared" si="18"/>
        <v>10707.16404419088</v>
      </c>
      <c r="G49" s="191">
        <f t="shared" si="18"/>
        <v>11282.13875336393</v>
      </c>
      <c r="I49" s="188"/>
      <c r="J49" s="188"/>
      <c r="K49" s="188"/>
      <c r="L49" s="188"/>
      <c r="M49" s="188"/>
      <c r="N49" s="188"/>
      <c r="O49" s="188"/>
      <c r="P49" s="188"/>
      <c r="Q49" s="189"/>
    </row>
    <row r="50" spans="1:17" ht="15" customHeight="1">
      <c r="A50" s="3" t="s">
        <v>66</v>
      </c>
      <c r="B50" s="190">
        <f>'Input 4 - Forecast'!C24</f>
        <v>174.85657659911266</v>
      </c>
      <c r="C50" s="13">
        <f>'Input 4 - Forecast'!D24</f>
        <v>162.29082986591305</v>
      </c>
      <c r="D50" s="13">
        <f>'Input 4 - Forecast'!E24</f>
        <v>139.59781983027952</v>
      </c>
      <c r="E50" s="13">
        <f>'Input 4 - Forecast'!F24</f>
        <v>135.40250794027952</v>
      </c>
      <c r="F50" s="13">
        <f>'Input 4 - Forecast'!G24</f>
        <v>103.26669278984103</v>
      </c>
      <c r="G50" s="191">
        <f>'Input 4 - Forecast'!H24</f>
        <v>95.657544050000013</v>
      </c>
      <c r="I50" s="197" t="s">
        <v>87</v>
      </c>
      <c r="J50" s="188"/>
      <c r="K50" s="188"/>
      <c r="L50" s="188"/>
      <c r="M50" s="188"/>
      <c r="N50" s="188"/>
      <c r="O50" s="188"/>
      <c r="P50" s="188"/>
      <c r="Q50" s="189"/>
    </row>
    <row r="51" spans="1:17" ht="15" customHeight="1" thickBot="1">
      <c r="A51" s="198" t="s">
        <v>65</v>
      </c>
      <c r="B51" s="192">
        <f>('Input 4 - Forecast'!C25/'Input 4 - Forecast'!C$17)*B31</f>
        <v>36.103082014354982</v>
      </c>
      <c r="C51" s="193">
        <f>('Input 4 - Forecast'!D25/'Input 4 - Forecast'!D$17)*C31</f>
        <v>43.551085179506501</v>
      </c>
      <c r="D51" s="193">
        <f>('Input 4 - Forecast'!E25/'Input 4 - Forecast'!E$17)*D31</f>
        <v>33.559669126203218</v>
      </c>
      <c r="E51" s="193">
        <f>('Input 4 - Forecast'!F25/'Input 4 - Forecast'!F$17)*E31</f>
        <v>12.652295548933893</v>
      </c>
      <c r="F51" s="193">
        <f>('Input 4 - Forecast'!G25/'Input 4 - Forecast'!G$17)*F31</f>
        <v>0.27580765208327951</v>
      </c>
      <c r="G51" s="194">
        <f>('Input 4 - Forecast'!H25/'Input 4 - Forecast'!H$17)*G31</f>
        <v>0.26369909480211878</v>
      </c>
      <c r="I51" s="197" t="s">
        <v>85</v>
      </c>
      <c r="J51" s="188"/>
      <c r="K51" s="188"/>
      <c r="L51" s="188"/>
      <c r="M51" s="188"/>
      <c r="N51" s="188"/>
      <c r="O51" s="188"/>
      <c r="P51" s="188"/>
      <c r="Q51" s="189"/>
    </row>
    <row r="52" spans="1:17" ht="6" customHeight="1" thickBot="1">
      <c r="B52" s="195"/>
      <c r="C52" s="195"/>
      <c r="D52" s="195"/>
      <c r="E52" s="195"/>
      <c r="F52" s="195"/>
      <c r="G52" s="195"/>
      <c r="I52" s="199"/>
      <c r="J52" s="199"/>
      <c r="K52" s="199"/>
      <c r="L52" s="199"/>
      <c r="M52" s="199"/>
      <c r="N52" s="199"/>
      <c r="O52" s="199"/>
      <c r="P52" s="199"/>
    </row>
    <row r="53" spans="1:17">
      <c r="A53" s="196" t="s">
        <v>67</v>
      </c>
      <c r="B53" s="185">
        <f>'Input 4 - Forecast'!C27</f>
        <v>880.82751076386637</v>
      </c>
      <c r="C53" s="186">
        <f>'Input 4 - Forecast'!D27</f>
        <v>974.88479061012663</v>
      </c>
      <c r="D53" s="186">
        <f>'Input 4 - Forecast'!E27</f>
        <v>693.56222634999995</v>
      </c>
      <c r="E53" s="186">
        <f>'Input 4 - Forecast'!F27</f>
        <v>1100.0445500352976</v>
      </c>
      <c r="F53" s="186">
        <f>'Input 4 - Forecast'!G27</f>
        <v>305.67470971030548</v>
      </c>
      <c r="G53" s="187">
        <f>'Input 4 - Forecast'!H27</f>
        <v>259.28679624</v>
      </c>
      <c r="I53" s="197" t="s">
        <v>88</v>
      </c>
      <c r="J53" s="199"/>
      <c r="K53" s="199"/>
      <c r="L53" s="199"/>
      <c r="M53" s="199"/>
      <c r="N53" s="199"/>
      <c r="O53" s="199"/>
      <c r="P53" s="199"/>
    </row>
    <row r="54" spans="1:17" ht="15.75" thickBot="1">
      <c r="A54" s="198" t="s">
        <v>68</v>
      </c>
      <c r="B54" s="192">
        <f>('Input 4 - Forecast'!C28/'Input 4 - Forecast'!C$17)*B31</f>
        <v>3.4469856692949747</v>
      </c>
      <c r="C54" s="193">
        <f>('Input 4 - Forecast'!D28/'Input 4 - Forecast'!D$17)*C31</f>
        <v>0.50440374866450499</v>
      </c>
      <c r="D54" s="193">
        <f>('Input 4 - Forecast'!E28/'Input 4 - Forecast'!E$17)*D31</f>
        <v>726.13801886541569</v>
      </c>
      <c r="E54" s="193">
        <f>('Input 4 - Forecast'!F28/'Input 4 - Forecast'!F$17)*E31</f>
        <v>417.79762655278228</v>
      </c>
      <c r="F54" s="193">
        <f>('Input 4 - Forecast'!G28/'Input 4 - Forecast'!G$17)*F31</f>
        <v>0.40361853099477962</v>
      </c>
      <c r="G54" s="194">
        <f>('Input 4 - Forecast'!H28/'Input 4 - Forecast'!H$17)*G31</f>
        <v>0</v>
      </c>
      <c r="I54" s="197" t="s">
        <v>86</v>
      </c>
      <c r="J54" s="199"/>
      <c r="K54" s="199"/>
      <c r="L54" s="199"/>
      <c r="M54" s="199"/>
      <c r="N54" s="199"/>
      <c r="O54" s="199"/>
      <c r="P54" s="199"/>
    </row>
    <row r="55" spans="1:17" ht="15.75" thickBot="1">
      <c r="B55" s="195"/>
      <c r="C55" s="195"/>
      <c r="D55" s="195"/>
      <c r="E55" s="195"/>
      <c r="F55" s="195"/>
      <c r="G55" s="195"/>
      <c r="I55" s="199"/>
      <c r="J55" s="199"/>
      <c r="K55" s="199"/>
      <c r="L55" s="199"/>
      <c r="M55" s="199"/>
      <c r="N55" s="199"/>
      <c r="O55" s="199"/>
      <c r="P55" s="199"/>
    </row>
    <row r="56" spans="1:17" ht="15.75" thickBot="1">
      <c r="A56" s="200" t="s">
        <v>5</v>
      </c>
      <c r="B56" s="201">
        <f>'Input 4 - Forecast'!C30</f>
        <v>0</v>
      </c>
      <c r="C56" s="202">
        <f>'Input 4 - Forecast'!D30</f>
        <v>0</v>
      </c>
      <c r="D56" s="202">
        <f>'Input 4 - Forecast'!E30</f>
        <v>0</v>
      </c>
      <c r="E56" s="202">
        <f>'Input 4 - Forecast'!F30</f>
        <v>0</v>
      </c>
      <c r="F56" s="202">
        <f>'Input 4 - Forecast'!G30</f>
        <v>0</v>
      </c>
      <c r="G56" s="203">
        <f>'Input 4 - Forecast'!H30</f>
        <v>0</v>
      </c>
      <c r="I56" s="199"/>
      <c r="J56" s="199"/>
      <c r="K56" s="199"/>
      <c r="L56" s="199"/>
      <c r="M56" s="199"/>
      <c r="N56" s="199"/>
      <c r="O56" s="199"/>
      <c r="P56" s="199"/>
    </row>
    <row r="57" spans="1:17" ht="15.75" thickBot="1">
      <c r="B57" s="195"/>
      <c r="C57" s="195"/>
      <c r="D57" s="195"/>
      <c r="E57" s="195"/>
      <c r="F57" s="195"/>
      <c r="G57" s="195"/>
      <c r="I57" s="199"/>
      <c r="J57" s="199"/>
      <c r="K57" s="199"/>
      <c r="L57" s="199"/>
      <c r="M57" s="199"/>
      <c r="N57" s="199"/>
      <c r="O57" s="199"/>
      <c r="P57" s="199"/>
    </row>
    <row r="58" spans="1:17">
      <c r="A58" s="196" t="s">
        <v>47</v>
      </c>
      <c r="B58" s="185">
        <f>'Input 4 - Forecast'!C32</f>
        <v>0</v>
      </c>
      <c r="C58" s="186">
        <f ca="1">SUM(W119:W124,W138:W171,W214:W219,W233:W266,W307:W312)+Baseline!W282</f>
        <v>34.440056379275418</v>
      </c>
      <c r="D58" s="186">
        <f ca="1">SUM(X119:X124,X138:X171,X214:X219,X233:X266,X307:X312)+Baseline!X282</f>
        <v>556.48731505346484</v>
      </c>
      <c r="E58" s="186">
        <f ca="1">SUM(Y119:Y124,Y138:Y171,Y214:Y219,Y233:Y266,Y307:Y312)+Baseline!Y282</f>
        <v>1114.2709185677625</v>
      </c>
      <c r="F58" s="186">
        <f ca="1">SUM(Z119:Z124,Z138:Z171,Z214:Z219,Z233:Z266,Z307:Z312)+Baseline!Z282</f>
        <v>1697.6387412324088</v>
      </c>
      <c r="G58" s="187">
        <f ca="1">SUM(AA119:AA124,AA138:AA171,AA214:AA219,AA233:AA266,AA307:AA312)+Baseline!AA282</f>
        <v>2146.3794671858077</v>
      </c>
      <c r="I58" s="199"/>
      <c r="J58" s="199"/>
      <c r="K58" s="199"/>
      <c r="L58" s="199"/>
      <c r="M58" s="199"/>
      <c r="N58" s="199"/>
      <c r="O58" s="199"/>
      <c r="P58" s="199"/>
    </row>
    <row r="59" spans="1:17">
      <c r="A59" s="5" t="s">
        <v>48</v>
      </c>
      <c r="B59" s="190">
        <f>'Input 4 - Forecast'!C33</f>
        <v>0</v>
      </c>
      <c r="C59" s="13">
        <f ca="1">SUM(W128:W133,W175:W210,W223:W229,W270:W303,Baseline!W283)*C31</f>
        <v>0</v>
      </c>
      <c r="D59" s="13">
        <f ca="1">SUM(X128:X133,X175:X210,X223:X229,X270:X303,Baseline!X283)*D31</f>
        <v>0</v>
      </c>
      <c r="E59" s="13">
        <f ca="1">SUM(Y128:Y133,Y175:Y210,Y223:Y229,Y270:Y303,Baseline!Y283)*E31</f>
        <v>0</v>
      </c>
      <c r="F59" s="13">
        <f ca="1">SUM(Z128:Z133,Z175:Z210,Z223:Z229,Z270:Z303,Baseline!Z283)*F31</f>
        <v>0</v>
      </c>
      <c r="G59" s="191">
        <f ca="1">SUM(AA128:AA133,AA175:AA210,AA223:AA229,AA270:AA303,Baseline!AA283)*G31</f>
        <v>0</v>
      </c>
      <c r="I59" s="199"/>
      <c r="J59" s="199"/>
      <c r="K59" s="199"/>
      <c r="L59" s="199"/>
      <c r="M59" s="199"/>
      <c r="N59" s="199"/>
      <c r="O59" s="199"/>
      <c r="P59" s="199"/>
    </row>
    <row r="60" spans="1:17">
      <c r="A60" s="5" t="s">
        <v>49</v>
      </c>
      <c r="B60" s="190">
        <f>'Input 4 - Forecast'!C34</f>
        <v>0</v>
      </c>
      <c r="C60" s="13">
        <f ca="1">SUM(P119:P124,P138:P171,P214:P219,P233:P266,P307:P312)</f>
        <v>934.00594810140706</v>
      </c>
      <c r="D60" s="13">
        <f ca="1">SUM(Q119:Q124,Q138:Q171,Q214:Q219,Q233:Q266,Q307:Q312)</f>
        <v>2497.2018019445068</v>
      </c>
      <c r="E60" s="13">
        <f ca="1">SUM(R119:R124,R138:R171,R214:R219,R233:R266,R307:R312)</f>
        <v>4918.855299324222</v>
      </c>
      <c r="F60" s="13">
        <f ca="1">SUM(S119:S124,S138:S171,S214:S219,S233:S266,S307:S312)</f>
        <v>7439.7505261683791</v>
      </c>
      <c r="G60" s="191">
        <f ca="1">SUM(T119:T124,T138:T171,T214:T219,T233:T266,T307:T312)</f>
        <v>9384.2777023896633</v>
      </c>
      <c r="I60" s="199"/>
      <c r="J60" s="199"/>
      <c r="K60" s="199"/>
      <c r="L60" s="199"/>
      <c r="M60" s="199"/>
      <c r="N60" s="199"/>
      <c r="O60" s="199"/>
      <c r="P60" s="199"/>
    </row>
    <row r="61" spans="1:17" ht="15.75" thickBot="1">
      <c r="A61" s="198" t="s">
        <v>50</v>
      </c>
      <c r="B61" s="192">
        <f>'Input 4 - Forecast'!C35</f>
        <v>0</v>
      </c>
      <c r="C61" s="193">
        <f ca="1">SUM(P128:P134,P175:P210,P223:P229,P270:P303)*C31</f>
        <v>0</v>
      </c>
      <c r="D61" s="193">
        <f ca="1">SUM(Q128:Q134,Q175:Q210,Q223:Q229,Q270:Q303)*D31</f>
        <v>0</v>
      </c>
      <c r="E61" s="193">
        <f ca="1">SUM(R128:R134,R175:R210,R223:R229,R270:R303)*E31</f>
        <v>0</v>
      </c>
      <c r="F61" s="193">
        <f ca="1">SUM(S128:S134,S175:S210,S223:S229,S270:S303)*F31</f>
        <v>0</v>
      </c>
      <c r="G61" s="194">
        <f ca="1">SUM(T128:T134,T175:T210,T223:T229,T270:T303)*G31</f>
        <v>0</v>
      </c>
      <c r="I61" s="199"/>
      <c r="J61" s="199"/>
      <c r="K61" s="199"/>
      <c r="L61" s="199"/>
      <c r="M61" s="199"/>
      <c r="N61" s="199"/>
      <c r="O61" s="199"/>
      <c r="P61" s="199"/>
    </row>
    <row r="62" spans="1:17" ht="15.75" thickBot="1">
      <c r="B62" s="195"/>
      <c r="C62" s="195"/>
      <c r="D62" s="195"/>
      <c r="E62" s="195"/>
      <c r="F62" s="195"/>
      <c r="G62" s="195"/>
      <c r="I62" s="199"/>
      <c r="J62" s="199"/>
      <c r="K62" s="199"/>
      <c r="L62" s="199"/>
      <c r="M62" s="199"/>
      <c r="N62" s="199"/>
      <c r="O62" s="199"/>
      <c r="P62" s="199"/>
    </row>
    <row r="63" spans="1:17" ht="15.75" thickBot="1">
      <c r="A63" s="200" t="s">
        <v>4</v>
      </c>
      <c r="B63" s="1386">
        <f t="shared" ref="B63:G63" si="19">SUM(B49:B51,B53:B54,B56,B58:B61)-SUM(B47:B48)</f>
        <v>1062.4001150288241</v>
      </c>
      <c r="C63" s="1386">
        <f t="shared" ca="1" si="19"/>
        <v>2662.474833708352</v>
      </c>
      <c r="D63" s="1386">
        <f t="shared" ca="1" si="19"/>
        <v>5067.2075977072864</v>
      </c>
      <c r="E63" s="1386">
        <f t="shared" ca="1" si="19"/>
        <v>7531.435869731984</v>
      </c>
      <c r="F63" s="1386">
        <f t="shared" ca="1" si="19"/>
        <v>9502.3139570807871</v>
      </c>
      <c r="G63" s="1387">
        <f t="shared" ca="1" si="19"/>
        <v>11594.22521509547</v>
      </c>
      <c r="I63" s="199"/>
      <c r="J63" s="199"/>
      <c r="L63" s="199"/>
      <c r="M63" s="199"/>
      <c r="N63" s="199"/>
      <c r="O63" s="199"/>
      <c r="P63" s="199"/>
    </row>
    <row r="64" spans="1:17" ht="15.75" thickBot="1">
      <c r="B64" s="195"/>
      <c r="C64" s="195"/>
      <c r="D64" s="195"/>
      <c r="E64" s="195"/>
      <c r="F64" s="195"/>
      <c r="G64" s="195"/>
      <c r="I64" s="199"/>
      <c r="J64" s="199"/>
      <c r="K64" s="199"/>
      <c r="L64" s="199"/>
      <c r="M64" s="199"/>
      <c r="N64" s="199"/>
      <c r="O64" s="199"/>
      <c r="P64" s="199"/>
    </row>
    <row r="65" spans="1:17">
      <c r="A65" s="1816" t="s">
        <v>1137</v>
      </c>
      <c r="B65" s="186">
        <f>'Input 4 - Forecast'!C39</f>
        <v>0</v>
      </c>
      <c r="C65" s="186">
        <f>'Input 4 - Forecast'!D39</f>
        <v>0</v>
      </c>
      <c r="D65" s="186">
        <f>'Input 4 - Forecast'!E39</f>
        <v>0</v>
      </c>
      <c r="E65" s="186">
        <f>'Input 4 - Forecast'!F39</f>
        <v>0</v>
      </c>
      <c r="F65" s="186">
        <f>'Input 4 - Forecast'!G39</f>
        <v>0</v>
      </c>
      <c r="G65" s="187">
        <f>'Input 4 - Forecast'!H39</f>
        <v>0</v>
      </c>
      <c r="I65" s="199"/>
      <c r="J65" s="199"/>
      <c r="K65" s="199"/>
      <c r="L65" s="199"/>
      <c r="M65" s="199"/>
      <c r="N65" s="199"/>
      <c r="O65" s="199"/>
      <c r="P65" s="199"/>
    </row>
    <row r="66" spans="1:17">
      <c r="A66" s="1817" t="s">
        <v>1138</v>
      </c>
      <c r="B66" s="13">
        <f>('Input 4 - Forecast'!C40/'Input 4 - Forecast'!C$17)*'Input 5 - Scenario Design'!E$48</f>
        <v>0</v>
      </c>
      <c r="C66" s="13">
        <f>('Input 4 - Forecast'!D40/'Input 4 - Forecast'!D$17)*'Input 5 - Scenario Design'!F$48</f>
        <v>0</v>
      </c>
      <c r="D66" s="13">
        <f>('Input 4 - Forecast'!E40/'Input 4 - Forecast'!E$17)*'Input 5 - Scenario Design'!G$48</f>
        <v>0</v>
      </c>
      <c r="E66" s="13">
        <f>('Input 4 - Forecast'!F40/'Input 4 - Forecast'!F$17)*'Input 5 - Scenario Design'!H$48</f>
        <v>0</v>
      </c>
      <c r="F66" s="13">
        <f>('Input 4 - Forecast'!G40/'Input 4 - Forecast'!G$17)*'Input 5 - Scenario Design'!I$48</f>
        <v>0</v>
      </c>
      <c r="G66" s="191">
        <f>('Input 4 - Forecast'!H40/'Input 4 - Forecast'!H$17)*'Input 5 - Scenario Design'!J$48</f>
        <v>0</v>
      </c>
      <c r="I66" s="197" t="s">
        <v>90</v>
      </c>
      <c r="J66" s="199"/>
      <c r="K66" s="199"/>
      <c r="L66" s="199"/>
      <c r="M66" s="199"/>
      <c r="N66" s="199"/>
      <c r="O66" s="199"/>
      <c r="P66" s="199"/>
    </row>
    <row r="67" spans="1:17">
      <c r="A67" s="1817" t="s">
        <v>8</v>
      </c>
      <c r="B67" s="13">
        <f>('Input 4 - Forecast'!C41/'Input 4 - Forecast'!C$17)*'Input 5 - Scenario Design'!E$48</f>
        <v>0</v>
      </c>
      <c r="C67" s="13">
        <f>('Input 4 - Forecast'!D41/'Input 4 - Forecast'!D$17)*'Input 5 - Scenario Design'!F$48</f>
        <v>0</v>
      </c>
      <c r="D67" s="13">
        <f>('Input 4 - Forecast'!E41/'Input 4 - Forecast'!E$17)*'Input 5 - Scenario Design'!G$48</f>
        <v>0</v>
      </c>
      <c r="E67" s="13">
        <f>('Input 4 - Forecast'!F41/'Input 4 - Forecast'!F$17)*'Input 5 - Scenario Design'!H$48</f>
        <v>0</v>
      </c>
      <c r="F67" s="13">
        <f>('Input 4 - Forecast'!G41/'Input 4 - Forecast'!G$17)*'Input 5 - Scenario Design'!I$48</f>
        <v>0</v>
      </c>
      <c r="G67" s="191">
        <f>('Input 4 - Forecast'!H41/'Input 4 - Forecast'!H$17)*'Input 5 - Scenario Design'!J$48</f>
        <v>0</v>
      </c>
      <c r="I67" s="197" t="s">
        <v>91</v>
      </c>
      <c r="J67" s="199"/>
      <c r="K67" s="199"/>
      <c r="L67" s="199"/>
      <c r="M67" s="199"/>
      <c r="N67" s="199"/>
      <c r="O67" s="199"/>
      <c r="P67" s="199"/>
    </row>
    <row r="68" spans="1:17">
      <c r="A68" s="1817" t="str">
        <f>'Input 2 - Data'!D31</f>
        <v>Please specify (1) (e.g., privatization receipts) (+ reduces financing needs)</v>
      </c>
      <c r="B68" s="13">
        <f>'Input 4 - Forecast'!C42</f>
        <v>0</v>
      </c>
      <c r="C68" s="13">
        <f>'Input 4 - Forecast'!D42</f>
        <v>0</v>
      </c>
      <c r="D68" s="13">
        <f>'Input 4 - Forecast'!E42</f>
        <v>0</v>
      </c>
      <c r="E68" s="13">
        <f>'Input 4 - Forecast'!F42</f>
        <v>0</v>
      </c>
      <c r="F68" s="13">
        <f>'Input 4 - Forecast'!G42</f>
        <v>0</v>
      </c>
      <c r="G68" s="191">
        <f>'Input 4 - Forecast'!H42</f>
        <v>0</v>
      </c>
      <c r="I68" s="199"/>
      <c r="J68" s="199"/>
      <c r="K68" s="199"/>
      <c r="L68" s="199"/>
      <c r="M68" s="199"/>
      <c r="N68" s="199"/>
      <c r="O68" s="199"/>
      <c r="P68" s="199"/>
    </row>
    <row r="69" spans="1:17" s="281" customFormat="1" ht="15.75" thickBot="1">
      <c r="A69" s="1818" t="str">
        <f>'Input 2 - Data'!D32</f>
        <v>Please specify (2) (e.g., other debt flows) (+ increases financing needs)</v>
      </c>
      <c r="B69" s="193">
        <f>'Input 4 - Forecast'!C43</f>
        <v>0</v>
      </c>
      <c r="C69" s="193">
        <f>'Input 4 - Forecast'!D43</f>
        <v>0</v>
      </c>
      <c r="D69" s="193">
        <f>'Input 4 - Forecast'!E43</f>
        <v>0</v>
      </c>
      <c r="E69" s="193">
        <f>'Input 4 - Forecast'!F43</f>
        <v>0</v>
      </c>
      <c r="F69" s="193">
        <f>'Input 4 - Forecast'!G43</f>
        <v>0</v>
      </c>
      <c r="G69" s="194">
        <f>'Input 4 - Forecast'!H43</f>
        <v>0</v>
      </c>
      <c r="I69" s="199"/>
      <c r="J69" s="199"/>
      <c r="K69" s="199"/>
      <c r="L69" s="199"/>
      <c r="M69" s="199"/>
      <c r="N69" s="199"/>
      <c r="O69" s="199"/>
      <c r="P69" s="199"/>
    </row>
    <row r="70" spans="1:17" ht="15.75" thickBot="1">
      <c r="B70" s="195"/>
      <c r="C70" s="195"/>
      <c r="D70" s="195"/>
      <c r="E70" s="195"/>
      <c r="F70" s="195"/>
      <c r="G70" s="195"/>
      <c r="I70" s="235"/>
      <c r="J70" s="235"/>
      <c r="K70" s="199"/>
      <c r="L70" s="199"/>
      <c r="M70" s="199"/>
      <c r="N70" s="199"/>
      <c r="O70" s="199"/>
      <c r="P70" s="199"/>
    </row>
    <row r="71" spans="1:17" ht="16.5" customHeight="1" thickBot="1">
      <c r="A71" s="200" t="s">
        <v>1141</v>
      </c>
      <c r="B71" s="202">
        <f t="shared" ref="B71:G71" si="20">B63-B65-B66-B67-B68+B69</f>
        <v>1062.4001150288241</v>
      </c>
      <c r="C71" s="202">
        <f t="shared" ca="1" si="20"/>
        <v>2662.474833708352</v>
      </c>
      <c r="D71" s="202">
        <f t="shared" ca="1" si="20"/>
        <v>5067.2075977072864</v>
      </c>
      <c r="E71" s="202">
        <f t="shared" ca="1" si="20"/>
        <v>7531.435869731984</v>
      </c>
      <c r="F71" s="202">
        <f t="shared" ca="1" si="20"/>
        <v>9502.3139570807871</v>
      </c>
      <c r="G71" s="203">
        <f t="shared" ca="1" si="20"/>
        <v>11594.22521509547</v>
      </c>
      <c r="I71" s="236"/>
      <c r="J71" s="236"/>
    </row>
    <row r="72" spans="1:17" ht="15.75" thickBot="1">
      <c r="A72" s="4"/>
      <c r="B72" s="13"/>
      <c r="C72" s="13"/>
      <c r="D72" s="13"/>
      <c r="E72" s="13"/>
      <c r="F72" s="13"/>
      <c r="G72" s="13"/>
      <c r="I72" s="184"/>
      <c r="J72" s="184"/>
      <c r="K72" s="184"/>
      <c r="L72" s="184"/>
      <c r="M72" s="184"/>
      <c r="N72" s="184"/>
      <c r="O72" s="184"/>
      <c r="P72" s="184"/>
    </row>
    <row r="73" spans="1:17" ht="82.5" customHeight="1" thickBot="1">
      <c r="A73" s="2" t="s">
        <v>1177</v>
      </c>
      <c r="B73" s="2041" t="s">
        <v>1181</v>
      </c>
      <c r="C73" s="2042"/>
      <c r="D73" s="2042"/>
      <c r="E73" s="2042"/>
      <c r="F73" s="2042"/>
      <c r="G73" s="2043"/>
      <c r="I73" s="204" t="s">
        <v>459</v>
      </c>
      <c r="J73" s="204" t="s">
        <v>38</v>
      </c>
      <c r="K73" s="205" t="s">
        <v>39</v>
      </c>
      <c r="L73" s="204" t="str">
        <f t="shared" ref="L73:Q73" si="21">CONCATENATE("Interest Rate on debt issued in ",B45)</f>
        <v>Interest Rate on debt issued in 2018</v>
      </c>
      <c r="M73" s="204" t="str">
        <f t="shared" si="21"/>
        <v>Interest Rate on debt issued in 2019</v>
      </c>
      <c r="N73" s="204" t="str">
        <f t="shared" si="21"/>
        <v>Interest Rate on debt issued in 2020</v>
      </c>
      <c r="O73" s="204" t="str">
        <f t="shared" si="21"/>
        <v>Interest Rate on debt issued in 2021</v>
      </c>
      <c r="P73" s="204" t="str">
        <f t="shared" si="21"/>
        <v>Interest Rate on debt issued in 2022</v>
      </c>
      <c r="Q73" s="204" t="str">
        <f t="shared" si="21"/>
        <v>Interest Rate on debt issued in 2023</v>
      </c>
    </row>
    <row r="74" spans="1:17">
      <c r="A74" s="206" t="s">
        <v>13</v>
      </c>
      <c r="B74" s="185"/>
      <c r="C74" s="186"/>
      <c r="D74" s="186"/>
      <c r="E74" s="186"/>
      <c r="F74" s="186"/>
      <c r="G74" s="187"/>
      <c r="I74" s="207"/>
      <c r="J74" s="207"/>
      <c r="K74" s="208"/>
      <c r="L74" s="208"/>
      <c r="M74" s="208"/>
      <c r="N74" s="208"/>
      <c r="O74" s="208"/>
      <c r="P74" s="208"/>
      <c r="Q74" s="209"/>
    </row>
    <row r="75" spans="1:17" ht="30">
      <c r="A75" s="210" t="s">
        <v>0</v>
      </c>
      <c r="B75" s="190">
        <f>('Input 4 - Forecast'!C56/'Input 4 - Forecast'!C$45)*MAX(B$71,0)</f>
        <v>0</v>
      </c>
      <c r="C75" s="13">
        <f ca="1">('Input 4 - Forecast'!D56/'Input 4 - Forecast'!D$45)*MAX(C$71,0)</f>
        <v>183.50326161372513</v>
      </c>
      <c r="D75" s="13">
        <f ca="1">('Input 4 - Forecast'!E56/'Input 4 - Forecast'!E$45)*MAX(D$71,0)</f>
        <v>207.24074415177611</v>
      </c>
      <c r="E75" s="13">
        <f ca="1">('Input 4 - Forecast'!F56/'Input 4 - Forecast'!F$45)*MAX(E$71,0)</f>
        <v>217.41631058633359</v>
      </c>
      <c r="F75" s="13">
        <f ca="1">('Input 4 - Forecast'!G56/'Input 4 - Forecast'!G$45)*MAX(F$71,0)</f>
        <v>249.66224354374711</v>
      </c>
      <c r="G75" s="191">
        <f ca="1">('Input 4 - Forecast'!H56/'Input 4 - Forecast'!H$45)*MAX(G$71,0)</f>
        <v>292.35501454567185</v>
      </c>
      <c r="I75" s="211" t="str">
        <f>'Input 4 - Forecast'!J56</f>
        <v>Semi-annual</v>
      </c>
      <c r="J75" s="211">
        <f>'Input 4 - Forecast'!K56</f>
        <v>0</v>
      </c>
      <c r="K75" s="19">
        <f>'Input 4 - Forecast'!L56</f>
        <v>0</v>
      </c>
      <c r="L75" s="212">
        <f>'Input 4 - Forecast'!M56+B$33/10000</f>
        <v>0</v>
      </c>
      <c r="M75" s="212">
        <f>'Input 4 - Forecast'!N56+C$33/10000</f>
        <v>0.18606977230199898</v>
      </c>
      <c r="N75" s="212">
        <f>'Input 4 - Forecast'!O56+D$33/10000</f>
        <v>0.18606977230199898</v>
      </c>
      <c r="O75" s="212">
        <f>'Input 4 - Forecast'!P56+E$33/10000</f>
        <v>0.18606977230199898</v>
      </c>
      <c r="P75" s="212">
        <f>'Input 4 - Forecast'!Q56+F$33/10000</f>
        <v>0.18606977230199898</v>
      </c>
      <c r="Q75" s="213">
        <f>'Input 4 - Forecast'!R56+G$33/10000</f>
        <v>0.18606977230199898</v>
      </c>
    </row>
    <row r="76" spans="1:17" ht="30">
      <c r="A76" s="210" t="s">
        <v>1</v>
      </c>
      <c r="B76" s="190">
        <f>('Input 4 - Forecast'!C57/'Input 4 - Forecast'!C$45)*MAX(B$71,0)</f>
        <v>0</v>
      </c>
      <c r="C76" s="13">
        <f ca="1">('Input 4 - Forecast'!D57/'Input 4 - Forecast'!D$45)*MAX(C$71,0)</f>
        <v>0</v>
      </c>
      <c r="D76" s="13">
        <f ca="1">('Input 4 - Forecast'!E57/'Input 4 - Forecast'!E$45)*MAX(D$71,0)</f>
        <v>0</v>
      </c>
      <c r="E76" s="13">
        <f ca="1">('Input 4 - Forecast'!F57/'Input 4 - Forecast'!F$45)*MAX(E$71,0)</f>
        <v>0</v>
      </c>
      <c r="F76" s="13">
        <f ca="1">('Input 4 - Forecast'!G57/'Input 4 - Forecast'!G$45)*MAX(F$71,0)</f>
        <v>0</v>
      </c>
      <c r="G76" s="191">
        <f ca="1">('Input 4 - Forecast'!H57/'Input 4 - Forecast'!H$45)*MAX(G$71,0)</f>
        <v>0</v>
      </c>
      <c r="I76" s="211" t="str">
        <f>'Input 4 - Forecast'!J57</f>
        <v>Semi-annual</v>
      </c>
      <c r="J76" s="211">
        <f>'Input 4 - Forecast'!K57</f>
        <v>0</v>
      </c>
      <c r="K76" s="19">
        <f>'Input 4 - Forecast'!L57</f>
        <v>0</v>
      </c>
      <c r="L76" s="212">
        <f>'Input 4 - Forecast'!M57+B$33/10000</f>
        <v>0</v>
      </c>
      <c r="M76" s="212">
        <f>'Input 4 - Forecast'!N57+C$33/10000</f>
        <v>0.18606977230199898</v>
      </c>
      <c r="N76" s="212">
        <f>'Input 4 - Forecast'!O57+D$33/10000</f>
        <v>0.18606977230199898</v>
      </c>
      <c r="O76" s="212">
        <f>'Input 4 - Forecast'!P57+E$33/10000</f>
        <v>0.18606977230199898</v>
      </c>
      <c r="P76" s="212">
        <f>'Input 4 - Forecast'!Q57+F$33/10000</f>
        <v>0.18606977230199898</v>
      </c>
      <c r="Q76" s="213">
        <f>'Input 4 - Forecast'!R57+G$33/10000</f>
        <v>0.18606977230199898</v>
      </c>
    </row>
    <row r="77" spans="1:17">
      <c r="A77" s="206" t="s">
        <v>14</v>
      </c>
      <c r="B77" s="190"/>
      <c r="C77" s="13"/>
      <c r="D77" s="13"/>
      <c r="E77" s="13"/>
      <c r="F77" s="13"/>
      <c r="G77" s="191"/>
      <c r="I77" s="211"/>
      <c r="J77" s="211"/>
      <c r="K77" s="19"/>
      <c r="L77" s="19"/>
      <c r="M77" s="19"/>
      <c r="N77" s="19"/>
      <c r="O77" s="19"/>
      <c r="P77" s="19"/>
      <c r="Q77" s="214"/>
    </row>
    <row r="78" spans="1:17">
      <c r="A78" s="210" t="s">
        <v>0</v>
      </c>
      <c r="B78" s="190"/>
      <c r="C78" s="13"/>
      <c r="D78" s="13"/>
      <c r="E78" s="13"/>
      <c r="F78" s="13"/>
      <c r="G78" s="191"/>
      <c r="I78" s="211"/>
      <c r="J78" s="211"/>
      <c r="K78" s="19"/>
      <c r="L78" s="19"/>
      <c r="M78" s="19"/>
      <c r="N78" s="19"/>
      <c r="O78" s="19"/>
      <c r="P78" s="19"/>
      <c r="Q78" s="214"/>
    </row>
    <row r="79" spans="1:17">
      <c r="A79" s="215" t="s">
        <v>18</v>
      </c>
      <c r="B79" s="190">
        <f>('Input 4 - Forecast'!C60/'Input 4 - Forecast'!C$45)*MAX(B$71,0)</f>
        <v>329.998670927072</v>
      </c>
      <c r="C79" s="13">
        <f ca="1">('Input 4 - Forecast'!D60/'Input 4 - Forecast'!D$45)*MAX(C$71,0)</f>
        <v>42.533868585962779</v>
      </c>
      <c r="D79" s="13">
        <f ca="1">('Input 4 - Forecast'!E60/'Input 4 - Forecast'!E$45)*MAX(D$71,0)</f>
        <v>54.898210371331409</v>
      </c>
      <c r="E79" s="13">
        <f ca="1">('Input 4 - Forecast'!F60/'Input 4 - Forecast'!F$45)*MAX(E$71,0)</f>
        <v>50.394509076302491</v>
      </c>
      <c r="F79" s="13">
        <f ca="1">('Input 4 - Forecast'!G60/'Input 4 - Forecast'!G$45)*MAX(F$71,0)</f>
        <v>66.135693653972751</v>
      </c>
      <c r="G79" s="191">
        <f ca="1">('Input 4 - Forecast'!H60/'Input 4 - Forecast'!H$45)*MAX(G$71,0)</f>
        <v>59.051840686377417</v>
      </c>
      <c r="I79" s="211" t="str">
        <f>'Input 4 - Forecast'!J60</f>
        <v>Annual</v>
      </c>
      <c r="J79" s="211">
        <f>'Input 4 - Forecast'!K60</f>
        <v>5</v>
      </c>
      <c r="K79" s="19">
        <f>'Input 4 - Forecast'!L60</f>
        <v>5</v>
      </c>
      <c r="L79" s="212">
        <f>'Input 4 - Forecast'!M60+B$33/10000</f>
        <v>5.0000000000000001E-3</v>
      </c>
      <c r="M79" s="212">
        <f>'Input 4 - Forecast'!N60+C$33/10000</f>
        <v>0.19106977230199898</v>
      </c>
      <c r="N79" s="212">
        <f>'Input 4 - Forecast'!O60+D$33/10000</f>
        <v>0.19606977230199898</v>
      </c>
      <c r="O79" s="212">
        <f>'Input 4 - Forecast'!P60+E$33/10000</f>
        <v>0.19606977230199898</v>
      </c>
      <c r="P79" s="212">
        <f>'Input 4 - Forecast'!Q60+F$33/10000</f>
        <v>0.19606977230199898</v>
      </c>
      <c r="Q79" s="213">
        <f>'Input 4 - Forecast'!R60+G$33/10000</f>
        <v>0.19606977230199898</v>
      </c>
    </row>
    <row r="80" spans="1:17">
      <c r="A80" s="215" t="s">
        <v>19</v>
      </c>
      <c r="B80" s="190">
        <f>('Input 4 - Forecast'!C61/'Input 4 - Forecast'!C$45)*MAX(B$71,0)</f>
        <v>0</v>
      </c>
      <c r="C80" s="13">
        <f ca="1">('Input 4 - Forecast'!D61/'Input 4 - Forecast'!D$45)*MAX(C$71,0)</f>
        <v>54.686402467666433</v>
      </c>
      <c r="D80" s="13">
        <f ca="1">('Input 4 - Forecast'!E61/'Input 4 - Forecast'!E$45)*MAX(D$71,0)</f>
        <v>65.877852445597696</v>
      </c>
      <c r="E80" s="13">
        <f ca="1">('Input 4 - Forecast'!F61/'Input 4 - Forecast'!F$45)*MAX(E$71,0)</f>
        <v>57.593724658631416</v>
      </c>
      <c r="F80" s="13">
        <f ca="1">('Input 4 - Forecast'!G61/'Input 4 - Forecast'!G$45)*MAX(F$71,0)</f>
        <v>74.402655360719336</v>
      </c>
      <c r="G80" s="191">
        <f ca="1">('Input 4 - Forecast'!H61/'Input 4 - Forecast'!H$45)*MAX(G$71,0)</f>
        <v>74.190773166941568</v>
      </c>
      <c r="I80" s="211" t="str">
        <f>'Input 4 - Forecast'!J61</f>
        <v>Annual</v>
      </c>
      <c r="J80" s="211">
        <f>'Input 4 - Forecast'!K61</f>
        <v>0</v>
      </c>
      <c r="K80" s="19">
        <f>'Input 4 - Forecast'!L61</f>
        <v>0</v>
      </c>
      <c r="L80" s="212">
        <f>'Input 4 - Forecast'!M61+B$33/10000</f>
        <v>0</v>
      </c>
      <c r="M80" s="212">
        <f>'Input 4 - Forecast'!N61+C$33/10000</f>
        <v>0.18606977230199898</v>
      </c>
      <c r="N80" s="212">
        <f>'Input 4 - Forecast'!O61+D$33/10000</f>
        <v>0.18606977230199898</v>
      </c>
      <c r="O80" s="212">
        <f>'Input 4 - Forecast'!P61+E$33/10000</f>
        <v>0.18606977230199898</v>
      </c>
      <c r="P80" s="212">
        <f>'Input 4 - Forecast'!Q61+F$33/10000</f>
        <v>0.18606977230199898</v>
      </c>
      <c r="Q80" s="213">
        <f>'Input 4 - Forecast'!R61+G$33/10000</f>
        <v>0.18606977230199898</v>
      </c>
    </row>
    <row r="81" spans="1:17">
      <c r="A81" s="215" t="s">
        <v>20</v>
      </c>
      <c r="B81" s="190">
        <f>('Input 4 - Forecast'!C62/'Input 4 - Forecast'!C$45)*MAX(B$71,0)</f>
        <v>0</v>
      </c>
      <c r="C81" s="13">
        <f ca="1">('Input 4 - Forecast'!D62/'Input 4 - Forecast'!D$45)*MAX(C$71,0)</f>
        <v>69.877069819795992</v>
      </c>
      <c r="D81" s="13">
        <f ca="1">('Input 4 - Forecast'!E62/'Input 4 - Forecast'!E$45)*MAX(D$71,0)</f>
        <v>81.798333453283803</v>
      </c>
      <c r="E81" s="13">
        <f ca="1">('Input 4 - Forecast'!F62/'Input 4 - Forecast'!F$45)*MAX(E$71,0)</f>
        <v>69.112469590357705</v>
      </c>
      <c r="F81" s="13">
        <f ca="1">('Input 4 - Forecast'!G62/'Input 4 - Forecast'!G$45)*MAX(F$71,0)</f>
        <v>88.456490262188552</v>
      </c>
      <c r="G81" s="191">
        <f ca="1">('Input 4 - Forecast'!H62/'Input 4 - Forecast'!H$45)*MAX(G$71,0)</f>
        <v>107.26137619755112</v>
      </c>
      <c r="I81" s="211" t="str">
        <f>'Input 4 - Forecast'!J62</f>
        <v>Annual</v>
      </c>
      <c r="J81" s="211">
        <f>'Input 4 - Forecast'!K62</f>
        <v>0</v>
      </c>
      <c r="K81" s="19">
        <f>'Input 4 - Forecast'!L62</f>
        <v>0</v>
      </c>
      <c r="L81" s="212">
        <f>'Input 4 - Forecast'!M62+B$33/10000</f>
        <v>0</v>
      </c>
      <c r="M81" s="212">
        <f>'Input 4 - Forecast'!N62+C$33/10000</f>
        <v>0.18606977230199898</v>
      </c>
      <c r="N81" s="212">
        <f>'Input 4 - Forecast'!O62+D$33/10000</f>
        <v>0.18606977230199898</v>
      </c>
      <c r="O81" s="212">
        <f>'Input 4 - Forecast'!P62+E$33/10000</f>
        <v>0.18606977230199898</v>
      </c>
      <c r="P81" s="212">
        <f>'Input 4 - Forecast'!Q62+F$33/10000</f>
        <v>0.18606977230199898</v>
      </c>
      <c r="Q81" s="213">
        <f>'Input 4 - Forecast'!R62+G$33/10000</f>
        <v>0.18606977230199898</v>
      </c>
    </row>
    <row r="82" spans="1:17">
      <c r="A82" s="215" t="s">
        <v>21</v>
      </c>
      <c r="B82" s="190">
        <f>('Input 4 - Forecast'!C63/'Input 4 - Forecast'!C$45)*MAX(B$71,0)</f>
        <v>0</v>
      </c>
      <c r="C82" s="13">
        <f ca="1">('Input 4 - Forecast'!D63/'Input 4 - Forecast'!D$45)*MAX(C$71,0)</f>
        <v>114.23381848801431</v>
      </c>
      <c r="D82" s="13">
        <f ca="1">('Input 4 - Forecast'!E63/'Input 4 - Forecast'!E$45)*MAX(D$71,0)</f>
        <v>124.89342859477897</v>
      </c>
      <c r="E82" s="13">
        <f ca="1">('Input 4 - Forecast'!F63/'Input 4 - Forecast'!F$45)*MAX(E$71,0)</f>
        <v>129.5858804819207</v>
      </c>
      <c r="F82" s="13">
        <f ca="1">('Input 4 - Forecast'!G63/'Input 4 - Forecast'!G$45)*MAX(F$71,0)</f>
        <v>148.80531072143867</v>
      </c>
      <c r="G82" s="191">
        <f ca="1">('Input 4 - Forecast'!H63/'Input 4 - Forecast'!H$45)*MAX(G$71,0)</f>
        <v>174.25133317291696</v>
      </c>
      <c r="I82" s="211" t="str">
        <f>'Input 4 - Forecast'!J63</f>
        <v>Annual</v>
      </c>
      <c r="J82" s="211">
        <f>'Input 4 - Forecast'!K63</f>
        <v>0</v>
      </c>
      <c r="K82" s="19">
        <f>'Input 4 - Forecast'!L63</f>
        <v>0</v>
      </c>
      <c r="L82" s="212">
        <f>'Input 4 - Forecast'!M63+B$33/10000</f>
        <v>0</v>
      </c>
      <c r="M82" s="212">
        <f>'Input 4 - Forecast'!N63+C$33/10000</f>
        <v>0.18606977230199898</v>
      </c>
      <c r="N82" s="212">
        <f>'Input 4 - Forecast'!O63+D$33/10000</f>
        <v>0.18606977230199898</v>
      </c>
      <c r="O82" s="212">
        <f>'Input 4 - Forecast'!P63+E$33/10000</f>
        <v>0.18606977230199898</v>
      </c>
      <c r="P82" s="212">
        <f>'Input 4 - Forecast'!Q63+F$33/10000</f>
        <v>0.18606977230199898</v>
      </c>
      <c r="Q82" s="213">
        <f>'Input 4 - Forecast'!R63+G$33/10000</f>
        <v>0.18606977230199898</v>
      </c>
    </row>
    <row r="83" spans="1:17">
      <c r="A83" s="215" t="s">
        <v>22</v>
      </c>
      <c r="B83" s="190">
        <f>('Input 4 - Forecast'!C64/'Input 4 - Forecast'!C$45)*MAX(B$71,0)</f>
        <v>0</v>
      </c>
      <c r="C83" s="13">
        <f ca="1">('Input 4 - Forecast'!D64/'Input 4 - Forecast'!D$45)*MAX(C$71,0)</f>
        <v>0</v>
      </c>
      <c r="D83" s="13">
        <f ca="1">('Input 4 - Forecast'!E64/'Input 4 - Forecast'!E$45)*MAX(D$71,0)</f>
        <v>0</v>
      </c>
      <c r="E83" s="13">
        <f ca="1">('Input 4 - Forecast'!F64/'Input 4 - Forecast'!F$45)*MAX(E$71,0)</f>
        <v>0</v>
      </c>
      <c r="F83" s="13">
        <f ca="1">('Input 4 - Forecast'!G64/'Input 4 - Forecast'!G$45)*MAX(F$71,0)</f>
        <v>0</v>
      </c>
      <c r="G83" s="191">
        <f ca="1">('Input 4 - Forecast'!H64/'Input 4 - Forecast'!H$45)*MAX(G$71,0)</f>
        <v>0</v>
      </c>
      <c r="I83" s="211"/>
      <c r="J83" s="211">
        <f>'Input 4 - Forecast'!K64</f>
        <v>0</v>
      </c>
      <c r="K83" s="19">
        <f>'Input 4 - Forecast'!L64</f>
        <v>0</v>
      </c>
      <c r="L83" s="212">
        <f>'Input 4 - Forecast'!M64+B$33/10000</f>
        <v>0</v>
      </c>
      <c r="M83" s="212">
        <f>'Input 4 - Forecast'!N64+C$33/10000</f>
        <v>0.18606977230199898</v>
      </c>
      <c r="N83" s="212">
        <f>'Input 4 - Forecast'!O64+D$33/10000</f>
        <v>0.18606977230199898</v>
      </c>
      <c r="O83" s="212">
        <f>'Input 4 - Forecast'!P64+E$33/10000</f>
        <v>0.18606977230199898</v>
      </c>
      <c r="P83" s="212">
        <f>'Input 4 - Forecast'!Q64+F$33/10000</f>
        <v>0.18606977230199898</v>
      </c>
      <c r="Q83" s="213">
        <f>'Input 4 - Forecast'!R64+G$33/10000</f>
        <v>0.18606977230199898</v>
      </c>
    </row>
    <row r="84" spans="1:17">
      <c r="A84" s="210" t="s">
        <v>1</v>
      </c>
      <c r="B84" s="190"/>
      <c r="C84" s="13"/>
      <c r="D84" s="13"/>
      <c r="E84" s="13"/>
      <c r="F84" s="13"/>
      <c r="G84" s="191"/>
      <c r="I84" s="211"/>
      <c r="J84" s="211"/>
      <c r="K84" s="19"/>
      <c r="L84" s="19"/>
      <c r="M84" s="19"/>
      <c r="N84" s="19"/>
      <c r="O84" s="19"/>
      <c r="P84" s="19"/>
      <c r="Q84" s="214"/>
    </row>
    <row r="85" spans="1:17">
      <c r="A85" s="215" t="s">
        <v>23</v>
      </c>
      <c r="B85" s="190">
        <f>('Input 4 - Forecast'!C66/'Input 4 - Forecast'!C$45)*MAX(B$71,0)</f>
        <v>0</v>
      </c>
      <c r="C85" s="13">
        <f ca="1">('Input 4 - Forecast'!D66/'Input 4 - Forecast'!D$45)*MAX(C$71,0)</f>
        <v>0</v>
      </c>
      <c r="D85" s="13">
        <f ca="1">('Input 4 - Forecast'!E66/'Input 4 - Forecast'!E$45)*MAX(D$71,0)</f>
        <v>0</v>
      </c>
      <c r="E85" s="13">
        <f ca="1">('Input 4 - Forecast'!F66/'Input 4 - Forecast'!F$45)*MAX(E$71,0)</f>
        <v>0</v>
      </c>
      <c r="F85" s="13">
        <f ca="1">('Input 4 - Forecast'!G66/'Input 4 - Forecast'!G$45)*MAX(F$71,0)</f>
        <v>0</v>
      </c>
      <c r="G85" s="191">
        <f ca="1">('Input 4 - Forecast'!H66/'Input 4 - Forecast'!H$45)*MAX(G$71,0)</f>
        <v>0</v>
      </c>
      <c r="I85" s="211" t="str">
        <f>'Input 4 - Forecast'!J66</f>
        <v>Annual</v>
      </c>
      <c r="J85" s="211">
        <f>'Input 4 - Forecast'!K66</f>
        <v>0</v>
      </c>
      <c r="K85" s="19">
        <f>'Input 4 - Forecast'!L66</f>
        <v>0</v>
      </c>
      <c r="L85" s="212">
        <f>'Input 4 - Forecast'!M66+B$33/10000</f>
        <v>0</v>
      </c>
      <c r="M85" s="212">
        <f>'Input 4 - Forecast'!N66+C$33/10000</f>
        <v>0.18606977230199898</v>
      </c>
      <c r="N85" s="212">
        <f>'Input 4 - Forecast'!O66+D$33/10000</f>
        <v>0.18606977230199898</v>
      </c>
      <c r="O85" s="212">
        <f>'Input 4 - Forecast'!P66+E$33/10000</f>
        <v>0.18606977230199898</v>
      </c>
      <c r="P85" s="212">
        <f>'Input 4 - Forecast'!Q66+F$33/10000</f>
        <v>0.18606977230199898</v>
      </c>
      <c r="Q85" s="213">
        <f>'Input 4 - Forecast'!R66+G$33/10000</f>
        <v>0.18606977230199898</v>
      </c>
    </row>
    <row r="86" spans="1:17">
      <c r="A86" s="215" t="s">
        <v>24</v>
      </c>
      <c r="B86" s="190">
        <f>('Input 4 - Forecast'!C67/'Input 4 - Forecast'!C$45)*MAX(B$71,0)</f>
        <v>0</v>
      </c>
      <c r="C86" s="13">
        <f ca="1">('Input 4 - Forecast'!D67/'Input 4 - Forecast'!D$45)*MAX(C$71,0)</f>
        <v>0</v>
      </c>
      <c r="D86" s="13">
        <f ca="1">('Input 4 - Forecast'!E67/'Input 4 - Forecast'!E$45)*MAX(D$71,0)</f>
        <v>0</v>
      </c>
      <c r="E86" s="13">
        <f ca="1">('Input 4 - Forecast'!F67/'Input 4 - Forecast'!F$45)*MAX(E$71,0)</f>
        <v>0</v>
      </c>
      <c r="F86" s="13">
        <f ca="1">('Input 4 - Forecast'!G67/'Input 4 - Forecast'!G$45)*MAX(F$71,0)</f>
        <v>0</v>
      </c>
      <c r="G86" s="191">
        <f ca="1">('Input 4 - Forecast'!H67/'Input 4 - Forecast'!H$45)*MAX(G$71,0)</f>
        <v>0</v>
      </c>
      <c r="I86" s="211" t="str">
        <f>'Input 4 - Forecast'!J67</f>
        <v>Annual</v>
      </c>
      <c r="J86" s="211">
        <f>'Input 4 - Forecast'!K67</f>
        <v>0</v>
      </c>
      <c r="K86" s="19">
        <f>'Input 4 - Forecast'!L67</f>
        <v>0</v>
      </c>
      <c r="L86" s="212">
        <f>'Input 4 - Forecast'!M67+B$33/10000</f>
        <v>0</v>
      </c>
      <c r="M86" s="212">
        <f>'Input 4 - Forecast'!N67+C$33/10000</f>
        <v>0.18606977230199898</v>
      </c>
      <c r="N86" s="212">
        <f>'Input 4 - Forecast'!O67+D$33/10000</f>
        <v>0.18606977230199898</v>
      </c>
      <c r="O86" s="212">
        <f>'Input 4 - Forecast'!P67+E$33/10000</f>
        <v>0.18606977230199898</v>
      </c>
      <c r="P86" s="212">
        <f>'Input 4 - Forecast'!Q67+F$33/10000</f>
        <v>0.18606977230199898</v>
      </c>
      <c r="Q86" s="213">
        <f>'Input 4 - Forecast'!R67+G$33/10000</f>
        <v>0.18606977230199898</v>
      </c>
    </row>
    <row r="87" spans="1:17">
      <c r="A87" s="215" t="s">
        <v>25</v>
      </c>
      <c r="B87" s="190">
        <f>('Input 4 - Forecast'!C68/'Input 4 - Forecast'!C$45)*MAX(B$71,0)</f>
        <v>0</v>
      </c>
      <c r="C87" s="13">
        <f ca="1">('Input 4 - Forecast'!D68/'Input 4 - Forecast'!D$45)*MAX(C$71,0)</f>
        <v>0</v>
      </c>
      <c r="D87" s="13">
        <f ca="1">('Input 4 - Forecast'!E68/'Input 4 - Forecast'!E$45)*MAX(D$71,0)</f>
        <v>0</v>
      </c>
      <c r="E87" s="13">
        <f ca="1">('Input 4 - Forecast'!F68/'Input 4 - Forecast'!F$45)*MAX(E$71,0)</f>
        <v>0</v>
      </c>
      <c r="F87" s="13">
        <f ca="1">('Input 4 - Forecast'!G68/'Input 4 - Forecast'!G$45)*MAX(F$71,0)</f>
        <v>0</v>
      </c>
      <c r="G87" s="191">
        <f ca="1">('Input 4 - Forecast'!H68/'Input 4 - Forecast'!H$45)*MAX(G$71,0)</f>
        <v>0</v>
      </c>
      <c r="I87" s="211" t="str">
        <f>'Input 4 - Forecast'!J68</f>
        <v>Annual</v>
      </c>
      <c r="J87" s="211">
        <f>'Input 4 - Forecast'!K68</f>
        <v>0</v>
      </c>
      <c r="K87" s="19">
        <f>'Input 4 - Forecast'!L68</f>
        <v>0</v>
      </c>
      <c r="L87" s="212">
        <f>'Input 4 - Forecast'!M68+B$33/10000</f>
        <v>0</v>
      </c>
      <c r="M87" s="212">
        <f>'Input 4 - Forecast'!N68+C$33/10000</f>
        <v>0.18606977230199898</v>
      </c>
      <c r="N87" s="212">
        <f>'Input 4 - Forecast'!O68+D$33/10000</f>
        <v>0.18606977230199898</v>
      </c>
      <c r="O87" s="212">
        <f>'Input 4 - Forecast'!P68+E$33/10000</f>
        <v>0.18606977230199898</v>
      </c>
      <c r="P87" s="212">
        <f>'Input 4 - Forecast'!Q68+F$33/10000</f>
        <v>0.18606977230199898</v>
      </c>
      <c r="Q87" s="213">
        <f>'Input 4 - Forecast'!R68+G$33/10000</f>
        <v>0.18606977230199898</v>
      </c>
    </row>
    <row r="88" spans="1:17">
      <c r="A88" s="215" t="s">
        <v>26</v>
      </c>
      <c r="B88" s="190">
        <f>('Input 4 - Forecast'!C69/'Input 4 - Forecast'!C$45)*MAX(B$71,0)</f>
        <v>0</v>
      </c>
      <c r="C88" s="13">
        <f ca="1">('Input 4 - Forecast'!D69/'Input 4 - Forecast'!D$45)*MAX(C$71,0)</f>
        <v>0</v>
      </c>
      <c r="D88" s="13">
        <f ca="1">('Input 4 - Forecast'!E69/'Input 4 - Forecast'!E$45)*MAX(D$71,0)</f>
        <v>0</v>
      </c>
      <c r="E88" s="13">
        <f ca="1">('Input 4 - Forecast'!F69/'Input 4 - Forecast'!F$45)*MAX(E$71,0)</f>
        <v>0</v>
      </c>
      <c r="F88" s="13">
        <f ca="1">('Input 4 - Forecast'!G69/'Input 4 - Forecast'!G$45)*MAX(F$71,0)</f>
        <v>0</v>
      </c>
      <c r="G88" s="191">
        <f ca="1">('Input 4 - Forecast'!H69/'Input 4 - Forecast'!H$45)*MAX(G$71,0)</f>
        <v>0</v>
      </c>
      <c r="I88" s="211" t="str">
        <f>'Input 4 - Forecast'!J69</f>
        <v>Annual</v>
      </c>
      <c r="J88" s="211">
        <f>'Input 4 - Forecast'!K69</f>
        <v>0</v>
      </c>
      <c r="K88" s="19">
        <f>'Input 4 - Forecast'!L69</f>
        <v>0</v>
      </c>
      <c r="L88" s="212">
        <f>'Input 4 - Forecast'!M69+B$33/10000</f>
        <v>0</v>
      </c>
      <c r="M88" s="212">
        <f>'Input 4 - Forecast'!N69+C$33/10000</f>
        <v>0.18606977230199898</v>
      </c>
      <c r="N88" s="212">
        <f>'Input 4 - Forecast'!O69+D$33/10000</f>
        <v>0.18606977230199898</v>
      </c>
      <c r="O88" s="212">
        <f>'Input 4 - Forecast'!P69+E$33/10000</f>
        <v>0.18606977230199898</v>
      </c>
      <c r="P88" s="212">
        <f>'Input 4 - Forecast'!Q69+F$33/10000</f>
        <v>0.18606977230199898</v>
      </c>
      <c r="Q88" s="213">
        <f>'Input 4 - Forecast'!R69+G$33/10000</f>
        <v>0.18606977230199898</v>
      </c>
    </row>
    <row r="89" spans="1:17">
      <c r="A89" s="215" t="s">
        <v>27</v>
      </c>
      <c r="B89" s="190">
        <f>('Input 4 - Forecast'!C70/'Input 4 - Forecast'!C$45)*MAX(B$71,0)</f>
        <v>0</v>
      </c>
      <c r="C89" s="13">
        <f ca="1">('Input 4 - Forecast'!D70/'Input 4 - Forecast'!D$45)*MAX(C$71,0)</f>
        <v>0</v>
      </c>
      <c r="D89" s="13">
        <f ca="1">('Input 4 - Forecast'!E70/'Input 4 - Forecast'!E$45)*MAX(D$71,0)</f>
        <v>0</v>
      </c>
      <c r="E89" s="13">
        <f ca="1">('Input 4 - Forecast'!F70/'Input 4 - Forecast'!F$45)*MAX(E$71,0)</f>
        <v>0</v>
      </c>
      <c r="F89" s="13">
        <f ca="1">('Input 4 - Forecast'!G70/'Input 4 - Forecast'!G$45)*MAX(F$71,0)</f>
        <v>0</v>
      </c>
      <c r="G89" s="191">
        <f ca="1">('Input 4 - Forecast'!H70/'Input 4 - Forecast'!H$45)*MAX(G$71,0)</f>
        <v>0</v>
      </c>
      <c r="I89" s="211"/>
      <c r="J89" s="211">
        <f>'Input 4 - Forecast'!K70</f>
        <v>0</v>
      </c>
      <c r="K89" s="19">
        <f>'Input 4 - Forecast'!L70</f>
        <v>0</v>
      </c>
      <c r="L89" s="212">
        <f>'Input 4 - Forecast'!M70+B$33/10000</f>
        <v>0</v>
      </c>
      <c r="M89" s="212">
        <f>'Input 4 - Forecast'!N70+C$33/10000</f>
        <v>0.18606977230199898</v>
      </c>
      <c r="N89" s="212">
        <f>'Input 4 - Forecast'!O70+D$33/10000</f>
        <v>0.18606977230199898</v>
      </c>
      <c r="O89" s="212">
        <f>'Input 4 - Forecast'!P70+E$33/10000</f>
        <v>0.18606977230199898</v>
      </c>
      <c r="P89" s="212">
        <f>'Input 4 - Forecast'!Q70+F$33/10000</f>
        <v>0.18606977230199898</v>
      </c>
      <c r="Q89" s="213">
        <f>'Input 4 - Forecast'!R70+G$33/10000</f>
        <v>0.18606977230199898</v>
      </c>
    </row>
    <row r="90" spans="1:17">
      <c r="A90" s="3" t="s">
        <v>1178</v>
      </c>
      <c r="B90" s="190"/>
      <c r="C90" s="13"/>
      <c r="D90" s="13"/>
      <c r="E90" s="13"/>
      <c r="F90" s="13"/>
      <c r="G90" s="191"/>
      <c r="I90" s="211"/>
      <c r="J90" s="211"/>
      <c r="K90" s="19"/>
      <c r="L90" s="19"/>
      <c r="M90" s="19"/>
      <c r="N90" s="19"/>
      <c r="O90" s="19"/>
      <c r="P90" s="19"/>
      <c r="Q90" s="214"/>
    </row>
    <row r="91" spans="1:17">
      <c r="A91" s="206" t="s">
        <v>13</v>
      </c>
      <c r="B91" s="190"/>
      <c r="C91" s="13"/>
      <c r="D91" s="13"/>
      <c r="E91" s="13"/>
      <c r="F91" s="13"/>
      <c r="G91" s="191"/>
      <c r="I91" s="211"/>
      <c r="J91" s="211"/>
      <c r="K91" s="19"/>
      <c r="L91" s="19"/>
      <c r="M91" s="19"/>
      <c r="N91" s="19"/>
      <c r="O91" s="19"/>
      <c r="P91" s="19"/>
      <c r="Q91" s="214"/>
    </row>
    <row r="92" spans="1:17" ht="30">
      <c r="A92" s="210" t="s">
        <v>0</v>
      </c>
      <c r="B92" s="190">
        <f>('Input 4 - Forecast'!C73/'Input 4 - Forecast'!C$45)*MAX(B$71,0)</f>
        <v>0</v>
      </c>
      <c r="C92" s="13">
        <f ca="1">('Input 4 - Forecast'!D73/'Input 4 - Forecast'!D$45)*MAX(C$71,0)</f>
        <v>0</v>
      </c>
      <c r="D92" s="13">
        <f ca="1">('Input 4 - Forecast'!E73/'Input 4 - Forecast'!E$45)*MAX(D$71,0)</f>
        <v>0</v>
      </c>
      <c r="E92" s="13">
        <f ca="1">('Input 4 - Forecast'!F73/'Input 4 - Forecast'!F$45)*MAX(E$71,0)</f>
        <v>0</v>
      </c>
      <c r="F92" s="13">
        <f ca="1">('Input 4 - Forecast'!G73/'Input 4 - Forecast'!G$45)*MAX(F$71,0)</f>
        <v>0</v>
      </c>
      <c r="G92" s="191">
        <f ca="1">('Input 4 - Forecast'!H73/'Input 4 - Forecast'!H$45)*MAX(G$71,0)</f>
        <v>0</v>
      </c>
      <c r="I92" s="211" t="str">
        <f>'Input 4 - Forecast'!J73</f>
        <v>Semi-annual</v>
      </c>
      <c r="J92" s="211">
        <f>'Input 4 - Forecast'!K73</f>
        <v>0</v>
      </c>
      <c r="K92" s="19">
        <f>'Input 4 - Forecast'!L73</f>
        <v>0</v>
      </c>
      <c r="L92" s="212">
        <f>'Input 4 - Forecast'!M73+B$33/10000</f>
        <v>0</v>
      </c>
      <c r="M92" s="212">
        <f>'Input 4 - Forecast'!N73+C$33/10000</f>
        <v>0.18606977230199898</v>
      </c>
      <c r="N92" s="212">
        <f>'Input 4 - Forecast'!O73+D$33/10000</f>
        <v>0.18606977230199898</v>
      </c>
      <c r="O92" s="212">
        <f>'Input 4 - Forecast'!P73+E$33/10000</f>
        <v>0.18606977230199898</v>
      </c>
      <c r="P92" s="212">
        <f>'Input 4 - Forecast'!Q73+F$33/10000</f>
        <v>0.18606977230199898</v>
      </c>
      <c r="Q92" s="213">
        <f>'Input 4 - Forecast'!R73+G$33/10000</f>
        <v>0.18606977230199898</v>
      </c>
    </row>
    <row r="93" spans="1:17" ht="30">
      <c r="A93" s="210" t="s">
        <v>1</v>
      </c>
      <c r="B93" s="190">
        <f>('Input 4 - Forecast'!C74/'Input 4 - Forecast'!C$45)*MAX(B$71,0)</f>
        <v>0</v>
      </c>
      <c r="C93" s="13">
        <f ca="1">('Input 4 - Forecast'!D74/'Input 4 - Forecast'!D$45)*MAX(C$71,0)</f>
        <v>0</v>
      </c>
      <c r="D93" s="13">
        <f ca="1">('Input 4 - Forecast'!E74/'Input 4 - Forecast'!E$45)*MAX(D$71,0)</f>
        <v>0</v>
      </c>
      <c r="E93" s="13">
        <f ca="1">('Input 4 - Forecast'!F74/'Input 4 - Forecast'!F$45)*MAX(E$71,0)</f>
        <v>0</v>
      </c>
      <c r="F93" s="13">
        <f ca="1">('Input 4 - Forecast'!G74/'Input 4 - Forecast'!G$45)*MAX(F$71,0)</f>
        <v>0</v>
      </c>
      <c r="G93" s="191">
        <f ca="1">('Input 4 - Forecast'!H74/'Input 4 - Forecast'!H$45)*MAX(G$71,0)</f>
        <v>0</v>
      </c>
      <c r="I93" s="211" t="str">
        <f>'Input 4 - Forecast'!J74</f>
        <v>Semi-annual</v>
      </c>
      <c r="J93" s="211">
        <f>'Input 4 - Forecast'!K74</f>
        <v>0</v>
      </c>
      <c r="K93" s="19">
        <f>'Input 4 - Forecast'!L74</f>
        <v>0</v>
      </c>
      <c r="L93" s="212">
        <f>'Input 4 - Forecast'!M74+B$33/10000</f>
        <v>0</v>
      </c>
      <c r="M93" s="212">
        <f>'Input 4 - Forecast'!N74+C$33/10000</f>
        <v>0.18606977230199898</v>
      </c>
      <c r="N93" s="212">
        <f>'Input 4 - Forecast'!O74+D$33/10000</f>
        <v>0.18606977230199898</v>
      </c>
      <c r="O93" s="212">
        <f>'Input 4 - Forecast'!P74+E$33/10000</f>
        <v>0.18606977230199898</v>
      </c>
      <c r="P93" s="212">
        <f>'Input 4 - Forecast'!Q74+F$33/10000</f>
        <v>0.18606977230199898</v>
      </c>
      <c r="Q93" s="213">
        <f>'Input 4 - Forecast'!R74+G$33/10000</f>
        <v>0.18606977230199898</v>
      </c>
    </row>
    <row r="94" spans="1:17">
      <c r="A94" s="206" t="s">
        <v>14</v>
      </c>
      <c r="B94" s="190"/>
      <c r="C94" s="13"/>
      <c r="D94" s="13"/>
      <c r="E94" s="13"/>
      <c r="F94" s="13"/>
      <c r="G94" s="191"/>
      <c r="I94" s="211"/>
      <c r="J94" s="211"/>
      <c r="K94" s="19"/>
      <c r="L94" s="19"/>
      <c r="M94" s="19"/>
      <c r="N94" s="19"/>
      <c r="O94" s="19"/>
      <c r="P94" s="19"/>
      <c r="Q94" s="214"/>
    </row>
    <row r="95" spans="1:17">
      <c r="A95" s="210" t="s">
        <v>0</v>
      </c>
      <c r="B95" s="190"/>
      <c r="C95" s="13"/>
      <c r="D95" s="13"/>
      <c r="E95" s="13"/>
      <c r="F95" s="13"/>
      <c r="G95" s="191"/>
      <c r="I95" s="211"/>
      <c r="J95" s="211"/>
      <c r="K95" s="19"/>
      <c r="L95" s="19"/>
      <c r="M95" s="19"/>
      <c r="N95" s="19"/>
      <c r="O95" s="19"/>
      <c r="P95" s="19"/>
      <c r="Q95" s="214"/>
    </row>
    <row r="96" spans="1:17">
      <c r="A96" s="215" t="s">
        <v>28</v>
      </c>
      <c r="B96" s="190">
        <f>('Input 4 - Forecast'!C77/'Input 4 - Forecast'!C$45)*MAX(B$71,0)</f>
        <v>499.99798625313935</v>
      </c>
      <c r="C96" s="13">
        <f ca="1">('Input 4 - Forecast'!D77/'Input 4 - Forecast'!D$45)*MAX(C$71,0)</f>
        <v>0</v>
      </c>
      <c r="D96" s="13">
        <f ca="1">('Input 4 - Forecast'!E77/'Input 4 - Forecast'!E$45)*MAX(D$71,0)</f>
        <v>0</v>
      </c>
      <c r="E96" s="13">
        <f ca="1">('Input 4 - Forecast'!F77/'Input 4 - Forecast'!F$45)*MAX(E$71,0)</f>
        <v>0</v>
      </c>
      <c r="F96" s="13">
        <f ca="1">('Input 4 - Forecast'!G77/'Input 4 - Forecast'!G$45)*MAX(F$71,0)</f>
        <v>0</v>
      </c>
      <c r="G96" s="191">
        <f ca="1">('Input 4 - Forecast'!H77/'Input 4 - Forecast'!H$45)*MAX(G$71,0)</f>
        <v>0</v>
      </c>
      <c r="I96" s="211" t="str">
        <f>'Input 4 - Forecast'!J77</f>
        <v>Annual</v>
      </c>
      <c r="J96" s="211">
        <f>'Input 4 - Forecast'!K77</f>
        <v>10</v>
      </c>
      <c r="K96" s="19">
        <f>'Input 4 - Forecast'!L77</f>
        <v>10</v>
      </c>
      <c r="L96" s="212">
        <f>'Input 4 - Forecast'!M77+B$33/10000</f>
        <v>1.125E-2</v>
      </c>
      <c r="M96" s="212">
        <f>'Input 4 - Forecast'!N77+C$33/10000</f>
        <v>0.20481977230199896</v>
      </c>
      <c r="N96" s="212">
        <f>'Input 4 - Forecast'!O77+D$33/10000</f>
        <v>0.20806977230199897</v>
      </c>
      <c r="O96" s="212">
        <f>'Input 4 - Forecast'!P77+E$33/10000</f>
        <v>0.20806977230199897</v>
      </c>
      <c r="P96" s="212">
        <f>'Input 4 - Forecast'!Q77+F$33/10000</f>
        <v>0.20806977230199897</v>
      </c>
      <c r="Q96" s="213">
        <f>'Input 4 - Forecast'!R77+G$33/10000</f>
        <v>0.20806977230199897</v>
      </c>
    </row>
    <row r="97" spans="1:27">
      <c r="A97" s="215" t="s">
        <v>29</v>
      </c>
      <c r="B97" s="190">
        <f>('Input 4 - Forecast'!C78/'Input 4 - Forecast'!C$45)*MAX(B$71,0)</f>
        <v>499.99798625313935</v>
      </c>
      <c r="C97" s="13">
        <f ca="1">('Input 4 - Forecast'!D78/'Input 4 - Forecast'!D$45)*MAX(C$71,0)</f>
        <v>0</v>
      </c>
      <c r="D97" s="13">
        <f ca="1">('Input 4 - Forecast'!E78/'Input 4 - Forecast'!E$45)*MAX(D$71,0)</f>
        <v>0</v>
      </c>
      <c r="E97" s="13">
        <f ca="1">('Input 4 - Forecast'!F78/'Input 4 - Forecast'!F$45)*MAX(E$71,0)</f>
        <v>0</v>
      </c>
      <c r="F97" s="13">
        <f ca="1">('Input 4 - Forecast'!G78/'Input 4 - Forecast'!G$45)*MAX(F$71,0)</f>
        <v>0</v>
      </c>
      <c r="G97" s="191">
        <f ca="1">('Input 4 - Forecast'!H78/'Input 4 - Forecast'!H$45)*MAX(G$71,0)</f>
        <v>0</v>
      </c>
      <c r="I97" s="211" t="str">
        <f>'Input 4 - Forecast'!J78</f>
        <v>Annual</v>
      </c>
      <c r="J97" s="211">
        <f>'Input 4 - Forecast'!K78</f>
        <v>30</v>
      </c>
      <c r="K97" s="19">
        <f>'Input 4 - Forecast'!L78</f>
        <v>30</v>
      </c>
      <c r="L97" s="212">
        <f>'Input 4 - Forecast'!M78+B$33/10000</f>
        <v>2.2499999999999999E-2</v>
      </c>
      <c r="M97" s="212">
        <f>'Input 4 - Forecast'!N78+C$33/10000</f>
        <v>0.18606977230199898</v>
      </c>
      <c r="N97" s="212">
        <f>'Input 4 - Forecast'!O78+D$33/10000</f>
        <v>0.18606977230199898</v>
      </c>
      <c r="O97" s="212">
        <f>'Input 4 - Forecast'!P78+E$33/10000</f>
        <v>0.18606977230199898</v>
      </c>
      <c r="P97" s="212">
        <f>'Input 4 - Forecast'!Q78+F$33/10000</f>
        <v>0.18606977230199898</v>
      </c>
      <c r="Q97" s="213">
        <f>'Input 4 - Forecast'!R78+G$33/10000</f>
        <v>0.18606977230199898</v>
      </c>
    </row>
    <row r="98" spans="1:27">
      <c r="A98" s="215" t="s">
        <v>30</v>
      </c>
      <c r="B98" s="190">
        <f>('Input 4 - Forecast'!C79/'Input 4 - Forecast'!C$45)*MAX(B$71,0)</f>
        <v>0</v>
      </c>
      <c r="C98" s="13">
        <f ca="1">('Input 4 - Forecast'!D79/'Input 4 - Forecast'!D$45)*MAX(C$71,0)</f>
        <v>0</v>
      </c>
      <c r="D98" s="13">
        <f ca="1">('Input 4 - Forecast'!E79/'Input 4 - Forecast'!E$45)*MAX(D$71,0)</f>
        <v>0</v>
      </c>
      <c r="E98" s="13">
        <f ca="1">('Input 4 - Forecast'!F79/'Input 4 - Forecast'!F$45)*MAX(E$71,0)</f>
        <v>0</v>
      </c>
      <c r="F98" s="13">
        <f ca="1">('Input 4 - Forecast'!G79/'Input 4 - Forecast'!G$45)*MAX(F$71,0)</f>
        <v>0</v>
      </c>
      <c r="G98" s="191">
        <f ca="1">('Input 4 - Forecast'!H79/'Input 4 - Forecast'!H$45)*MAX(G$71,0)</f>
        <v>0</v>
      </c>
      <c r="I98" s="211" t="str">
        <f>'Input 4 - Forecast'!J79</f>
        <v>Annual</v>
      </c>
      <c r="J98" s="211">
        <f>'Input 4 - Forecast'!K79</f>
        <v>0</v>
      </c>
      <c r="K98" s="19">
        <f>'Input 4 - Forecast'!L79</f>
        <v>0</v>
      </c>
      <c r="L98" s="212">
        <f>'Input 4 - Forecast'!M79+B$33/10000</f>
        <v>0</v>
      </c>
      <c r="M98" s="212">
        <f>'Input 4 - Forecast'!N79+C$33/10000</f>
        <v>0.18606977230199898</v>
      </c>
      <c r="N98" s="212">
        <f>'Input 4 - Forecast'!O79+D$33/10000</f>
        <v>0.18606977230199898</v>
      </c>
      <c r="O98" s="212">
        <f>'Input 4 - Forecast'!P79+E$33/10000</f>
        <v>0.18606977230199898</v>
      </c>
      <c r="P98" s="212">
        <f>'Input 4 - Forecast'!Q79+F$33/10000</f>
        <v>0.18606977230199898</v>
      </c>
      <c r="Q98" s="213">
        <f>'Input 4 - Forecast'!R79+G$33/10000</f>
        <v>0.18606977230199898</v>
      </c>
    </row>
    <row r="99" spans="1:27">
      <c r="A99" s="215" t="s">
        <v>31</v>
      </c>
      <c r="B99" s="190">
        <f>('Input 4 - Forecast'!C80/'Input 4 - Forecast'!C$45)*MAX(B$71,0)</f>
        <v>0</v>
      </c>
      <c r="C99" s="13">
        <f ca="1">('Input 4 - Forecast'!D80/'Input 4 - Forecast'!D$45)*MAX(C$71,0)</f>
        <v>0</v>
      </c>
      <c r="D99" s="13">
        <f ca="1">('Input 4 - Forecast'!E80/'Input 4 - Forecast'!E$45)*MAX(D$71,0)</f>
        <v>0</v>
      </c>
      <c r="E99" s="13">
        <f ca="1">('Input 4 - Forecast'!F80/'Input 4 - Forecast'!F$45)*MAX(E$71,0)</f>
        <v>0</v>
      </c>
      <c r="F99" s="13">
        <f ca="1">('Input 4 - Forecast'!G80/'Input 4 - Forecast'!G$45)*MAX(F$71,0)</f>
        <v>0</v>
      </c>
      <c r="G99" s="191">
        <f ca="1">('Input 4 - Forecast'!H80/'Input 4 - Forecast'!H$45)*MAX(G$71,0)</f>
        <v>0</v>
      </c>
      <c r="I99" s="211" t="str">
        <f>'Input 4 - Forecast'!J80</f>
        <v>Annual</v>
      </c>
      <c r="J99" s="211">
        <f>'Input 4 - Forecast'!K80</f>
        <v>0</v>
      </c>
      <c r="K99" s="19">
        <f>'Input 4 - Forecast'!L80</f>
        <v>0</v>
      </c>
      <c r="L99" s="212">
        <f>'Input 4 - Forecast'!M80+B$33/10000</f>
        <v>0</v>
      </c>
      <c r="M99" s="212">
        <f>'Input 4 - Forecast'!N80+C$33/10000</f>
        <v>0.18606977230199898</v>
      </c>
      <c r="N99" s="212">
        <f>'Input 4 - Forecast'!O80+D$33/10000</f>
        <v>0.18606977230199898</v>
      </c>
      <c r="O99" s="212">
        <f>'Input 4 - Forecast'!P80+E$33/10000</f>
        <v>0.18606977230199898</v>
      </c>
      <c r="P99" s="212">
        <f>'Input 4 - Forecast'!Q80+F$33/10000</f>
        <v>0.18606977230199898</v>
      </c>
      <c r="Q99" s="213">
        <f>'Input 4 - Forecast'!R80+G$33/10000</f>
        <v>0.18606977230199898</v>
      </c>
    </row>
    <row r="100" spans="1:27">
      <c r="A100" s="215" t="s">
        <v>32</v>
      </c>
      <c r="B100" s="190">
        <f>('Input 4 - Forecast'!C81/'Input 4 - Forecast'!C$45)*MAX(B$71,0)</f>
        <v>0</v>
      </c>
      <c r="C100" s="13">
        <f ca="1">('Input 4 - Forecast'!D81/'Input 4 - Forecast'!D$45)*MAX(C$71,0)</f>
        <v>0</v>
      </c>
      <c r="D100" s="13">
        <f ca="1">('Input 4 - Forecast'!E81/'Input 4 - Forecast'!E$45)*MAX(D$71,0)</f>
        <v>0</v>
      </c>
      <c r="E100" s="13">
        <f ca="1">('Input 4 - Forecast'!F81/'Input 4 - Forecast'!F$45)*MAX(E$71,0)</f>
        <v>0</v>
      </c>
      <c r="F100" s="13">
        <f ca="1">('Input 4 - Forecast'!G81/'Input 4 - Forecast'!G$45)*MAX(F$71,0)</f>
        <v>0</v>
      </c>
      <c r="G100" s="191">
        <f ca="1">('Input 4 - Forecast'!H81/'Input 4 - Forecast'!H$45)*MAX(G$71,0)</f>
        <v>0</v>
      </c>
      <c r="I100" s="211"/>
      <c r="J100" s="211">
        <f>'Input 4 - Forecast'!K81</f>
        <v>0</v>
      </c>
      <c r="K100" s="19">
        <f>'Input 4 - Forecast'!L81</f>
        <v>0</v>
      </c>
      <c r="L100" s="212">
        <f>'Input 4 - Forecast'!M81+B$33/10000</f>
        <v>0</v>
      </c>
      <c r="M100" s="212">
        <f>'Input 4 - Forecast'!N81+C$33/10000</f>
        <v>0.18606977230199898</v>
      </c>
      <c r="N100" s="212">
        <f>'Input 4 - Forecast'!O81+D$33/10000</f>
        <v>0.18606977230199898</v>
      </c>
      <c r="O100" s="212">
        <f>'Input 4 - Forecast'!P81+E$33/10000</f>
        <v>0.18606977230199898</v>
      </c>
      <c r="P100" s="212">
        <f>'Input 4 - Forecast'!Q81+F$33/10000</f>
        <v>0.18606977230199898</v>
      </c>
      <c r="Q100" s="213">
        <f>'Input 4 - Forecast'!R81+G$33/10000</f>
        <v>0.18606977230199898</v>
      </c>
    </row>
    <row r="101" spans="1:27">
      <c r="A101" s="210" t="s">
        <v>1</v>
      </c>
      <c r="B101" s="190"/>
      <c r="C101" s="13"/>
      <c r="D101" s="13"/>
      <c r="E101" s="13"/>
      <c r="F101" s="13"/>
      <c r="G101" s="191"/>
      <c r="I101" s="211"/>
      <c r="J101" s="211"/>
      <c r="K101" s="19"/>
      <c r="L101" s="19"/>
      <c r="M101" s="19"/>
      <c r="N101" s="19"/>
      <c r="O101" s="19"/>
      <c r="P101" s="19"/>
      <c r="Q101" s="214"/>
    </row>
    <row r="102" spans="1:27">
      <c r="A102" s="215" t="s">
        <v>33</v>
      </c>
      <c r="B102" s="190">
        <f>('Input 4 - Forecast'!C83/'Input 4 - Forecast'!C$45)*MAX(B$71,0)</f>
        <v>0</v>
      </c>
      <c r="C102" s="13">
        <f ca="1">('Input 4 - Forecast'!D83/'Input 4 - Forecast'!D$45)*MAX(C$71,0)</f>
        <v>0</v>
      </c>
      <c r="D102" s="13">
        <f ca="1">('Input 4 - Forecast'!E83/'Input 4 - Forecast'!E$45)*MAX(D$71,0)</f>
        <v>0</v>
      </c>
      <c r="E102" s="13">
        <f ca="1">('Input 4 - Forecast'!F83/'Input 4 - Forecast'!F$45)*MAX(E$71,0)</f>
        <v>0</v>
      </c>
      <c r="F102" s="13">
        <f ca="1">('Input 4 - Forecast'!G83/'Input 4 - Forecast'!G$45)*MAX(F$71,0)</f>
        <v>0</v>
      </c>
      <c r="G102" s="191">
        <f ca="1">('Input 4 - Forecast'!H83/'Input 4 - Forecast'!H$45)*MAX(G$71,0)</f>
        <v>0</v>
      </c>
      <c r="I102" s="211" t="str">
        <f>'Input 4 - Forecast'!J83</f>
        <v>Annual</v>
      </c>
      <c r="J102" s="211">
        <f>'Input 4 - Forecast'!K83</f>
        <v>0</v>
      </c>
      <c r="K102" s="19">
        <f>'Input 4 - Forecast'!L83</f>
        <v>0</v>
      </c>
      <c r="L102" s="212">
        <f>'Input 4 - Forecast'!M83+B$33/10000</f>
        <v>0</v>
      </c>
      <c r="M102" s="212">
        <f>'Input 4 - Forecast'!N83+C$33/10000</f>
        <v>0.18606977230199898</v>
      </c>
      <c r="N102" s="212">
        <f>'Input 4 - Forecast'!O83+D$33/10000</f>
        <v>0.18606977230199898</v>
      </c>
      <c r="O102" s="212">
        <f>'Input 4 - Forecast'!P83+E$33/10000</f>
        <v>0.18606977230199898</v>
      </c>
      <c r="P102" s="212">
        <f>'Input 4 - Forecast'!Q83+F$33/10000</f>
        <v>0.18606977230199898</v>
      </c>
      <c r="Q102" s="213">
        <f>'Input 4 - Forecast'!R83+G$33/10000</f>
        <v>0.18606977230199898</v>
      </c>
    </row>
    <row r="103" spans="1:27">
      <c r="A103" s="215" t="s">
        <v>34</v>
      </c>
      <c r="B103" s="190">
        <f>('Input 4 - Forecast'!C84/'Input 4 - Forecast'!C$45)*MAX(B$71,0)</f>
        <v>0</v>
      </c>
      <c r="C103" s="13">
        <f ca="1">('Input 4 - Forecast'!D84/'Input 4 - Forecast'!D$45)*MAX(C$71,0)</f>
        <v>0</v>
      </c>
      <c r="D103" s="13">
        <f ca="1">('Input 4 - Forecast'!E84/'Input 4 - Forecast'!E$45)*MAX(D$71,0)</f>
        <v>0</v>
      </c>
      <c r="E103" s="13">
        <f ca="1">('Input 4 - Forecast'!F84/'Input 4 - Forecast'!F$45)*MAX(E$71,0)</f>
        <v>0</v>
      </c>
      <c r="F103" s="13">
        <f ca="1">('Input 4 - Forecast'!G84/'Input 4 - Forecast'!G$45)*MAX(F$71,0)</f>
        <v>0</v>
      </c>
      <c r="G103" s="191">
        <f ca="1">('Input 4 - Forecast'!H84/'Input 4 - Forecast'!H$45)*MAX(G$71,0)</f>
        <v>0</v>
      </c>
      <c r="I103" s="211" t="str">
        <f>'Input 4 - Forecast'!J84</f>
        <v>Annual</v>
      </c>
      <c r="J103" s="211">
        <f>'Input 4 - Forecast'!K84</f>
        <v>0</v>
      </c>
      <c r="K103" s="19">
        <f>'Input 4 - Forecast'!L84</f>
        <v>0</v>
      </c>
      <c r="L103" s="212">
        <f>'Input 4 - Forecast'!M84+B$33/10000</f>
        <v>0</v>
      </c>
      <c r="M103" s="212">
        <f>'Input 4 - Forecast'!N84+C$33/10000</f>
        <v>0.18606977230199898</v>
      </c>
      <c r="N103" s="212">
        <f>'Input 4 - Forecast'!O84+D$33/10000</f>
        <v>0.18606977230199898</v>
      </c>
      <c r="O103" s="212">
        <f>'Input 4 - Forecast'!P84+E$33/10000</f>
        <v>0.18606977230199898</v>
      </c>
      <c r="P103" s="212">
        <f>'Input 4 - Forecast'!Q84+F$33/10000</f>
        <v>0.18606977230199898</v>
      </c>
      <c r="Q103" s="213">
        <f>'Input 4 - Forecast'!R84+G$33/10000</f>
        <v>0.18606977230199898</v>
      </c>
    </row>
    <row r="104" spans="1:27">
      <c r="A104" s="215" t="s">
        <v>35</v>
      </c>
      <c r="B104" s="190">
        <f>('Input 4 - Forecast'!C85/'Input 4 - Forecast'!C$45)*MAX(B$71,0)</f>
        <v>0</v>
      </c>
      <c r="C104" s="13">
        <f ca="1">('Input 4 - Forecast'!D85/'Input 4 - Forecast'!D$45)*MAX(C$71,0)</f>
        <v>0</v>
      </c>
      <c r="D104" s="13">
        <f ca="1">('Input 4 - Forecast'!E85/'Input 4 - Forecast'!E$45)*MAX(D$71,0)</f>
        <v>0</v>
      </c>
      <c r="E104" s="13">
        <f ca="1">('Input 4 - Forecast'!F85/'Input 4 - Forecast'!F$45)*MAX(E$71,0)</f>
        <v>0</v>
      </c>
      <c r="F104" s="13">
        <f ca="1">('Input 4 - Forecast'!G85/'Input 4 - Forecast'!G$45)*MAX(F$71,0)</f>
        <v>0</v>
      </c>
      <c r="G104" s="191">
        <f ca="1">('Input 4 - Forecast'!H85/'Input 4 - Forecast'!H$45)*MAX(G$71,0)</f>
        <v>0</v>
      </c>
      <c r="I104" s="211" t="str">
        <f>'Input 4 - Forecast'!J85</f>
        <v>Annual</v>
      </c>
      <c r="J104" s="211">
        <f>'Input 4 - Forecast'!K85</f>
        <v>0</v>
      </c>
      <c r="K104" s="19">
        <f>'Input 4 - Forecast'!L85</f>
        <v>0</v>
      </c>
      <c r="L104" s="212">
        <f>'Input 4 - Forecast'!M85+B$33/10000</f>
        <v>0</v>
      </c>
      <c r="M104" s="212">
        <f>'Input 4 - Forecast'!N85+C$33/10000</f>
        <v>0.18606977230199898</v>
      </c>
      <c r="N104" s="212">
        <f>'Input 4 - Forecast'!O85+D$33/10000</f>
        <v>0.18606977230199898</v>
      </c>
      <c r="O104" s="212">
        <f>'Input 4 - Forecast'!P85+E$33/10000</f>
        <v>0.18606977230199898</v>
      </c>
      <c r="P104" s="212">
        <f>'Input 4 - Forecast'!Q85+F$33/10000</f>
        <v>0.18606977230199898</v>
      </c>
      <c r="Q104" s="213">
        <f>'Input 4 - Forecast'!R85+G$33/10000</f>
        <v>0.18606977230199898</v>
      </c>
    </row>
    <row r="105" spans="1:27">
      <c r="A105" s="215" t="s">
        <v>36</v>
      </c>
      <c r="B105" s="190">
        <f>('Input 4 - Forecast'!C86/'Input 4 - Forecast'!C$45)*MAX(B$71,0)</f>
        <v>0</v>
      </c>
      <c r="C105" s="13">
        <f ca="1">('Input 4 - Forecast'!D86/'Input 4 - Forecast'!D$45)*MAX(C$71,0)</f>
        <v>0</v>
      </c>
      <c r="D105" s="13">
        <f ca="1">('Input 4 - Forecast'!E86/'Input 4 - Forecast'!E$45)*MAX(D$71,0)</f>
        <v>0</v>
      </c>
      <c r="E105" s="13">
        <f ca="1">('Input 4 - Forecast'!F86/'Input 4 - Forecast'!F$45)*MAX(E$71,0)</f>
        <v>0</v>
      </c>
      <c r="F105" s="13">
        <f ca="1">('Input 4 - Forecast'!G86/'Input 4 - Forecast'!G$45)*MAX(F$71,0)</f>
        <v>0</v>
      </c>
      <c r="G105" s="191">
        <f ca="1">('Input 4 - Forecast'!H86/'Input 4 - Forecast'!H$45)*MAX(G$71,0)</f>
        <v>0</v>
      </c>
      <c r="I105" s="211" t="str">
        <f>'Input 4 - Forecast'!J86</f>
        <v>Annual</v>
      </c>
      <c r="J105" s="211">
        <f>'Input 4 - Forecast'!K86</f>
        <v>0</v>
      </c>
      <c r="K105" s="19">
        <f>'Input 4 - Forecast'!L86</f>
        <v>0</v>
      </c>
      <c r="L105" s="212">
        <f>'Input 4 - Forecast'!M86+B$33/10000</f>
        <v>0</v>
      </c>
      <c r="M105" s="212">
        <f>'Input 4 - Forecast'!N86+C$33/10000</f>
        <v>0.18606977230199898</v>
      </c>
      <c r="N105" s="212">
        <f>'Input 4 - Forecast'!O86+D$33/10000</f>
        <v>0.18606977230199898</v>
      </c>
      <c r="O105" s="212">
        <f>'Input 4 - Forecast'!P86+E$33/10000</f>
        <v>0.18606977230199898</v>
      </c>
      <c r="P105" s="212">
        <f>'Input 4 - Forecast'!Q86+F$33/10000</f>
        <v>0.18606977230199898</v>
      </c>
      <c r="Q105" s="213">
        <f>'Input 4 - Forecast'!R86+G$33/10000</f>
        <v>0.18606977230199898</v>
      </c>
    </row>
    <row r="106" spans="1:27" ht="15.75" thickBot="1">
      <c r="A106" s="216" t="s">
        <v>37</v>
      </c>
      <c r="B106" s="192">
        <f>('Input 4 - Forecast'!C87/'Input 4 - Forecast'!C$45)*MAX(B$71,0)</f>
        <v>0</v>
      </c>
      <c r="C106" s="193">
        <f ca="1">('Input 4 - Forecast'!D87/'Input 4 - Forecast'!D$45)*MAX(C$71,0)</f>
        <v>0</v>
      </c>
      <c r="D106" s="193">
        <f ca="1">('Input 4 - Forecast'!E87/'Input 4 - Forecast'!E$45)*MAX(D$71,0)</f>
        <v>0</v>
      </c>
      <c r="E106" s="193">
        <f ca="1">('Input 4 - Forecast'!F87/'Input 4 - Forecast'!F$45)*MAX(E$71,0)</f>
        <v>0</v>
      </c>
      <c r="F106" s="193">
        <f ca="1">('Input 4 - Forecast'!G87/'Input 4 - Forecast'!G$45)*MAX(F$71,0)</f>
        <v>0</v>
      </c>
      <c r="G106" s="194">
        <f ca="1">('Input 4 - Forecast'!H87/'Input 4 - Forecast'!H$45)*MAX(G$71,0)</f>
        <v>0</v>
      </c>
      <c r="I106" s="217"/>
      <c r="J106" s="217">
        <f>'Input 4 - Forecast'!K87</f>
        <v>0</v>
      </c>
      <c r="K106" s="218">
        <f>'Input 4 - Forecast'!L87</f>
        <v>0</v>
      </c>
      <c r="L106" s="219">
        <f>'Input 4 - Forecast'!M87+B$33/10000</f>
        <v>0</v>
      </c>
      <c r="M106" s="219">
        <f>'Input 4 - Forecast'!N87+C$33/10000</f>
        <v>0.18606977230199898</v>
      </c>
      <c r="N106" s="219">
        <f>'Input 4 - Forecast'!O87+D$33/10000</f>
        <v>0.18606977230199898</v>
      </c>
      <c r="O106" s="219">
        <f>'Input 4 - Forecast'!P87+E$33/10000</f>
        <v>0.18606977230199898</v>
      </c>
      <c r="P106" s="219">
        <f>'Input 4 - Forecast'!Q87+F$33/10000</f>
        <v>0.18606977230199898</v>
      </c>
      <c r="Q106" s="220">
        <f>'Input 4 - Forecast'!R87+G$33/10000</f>
        <v>0.18606977230199898</v>
      </c>
    </row>
    <row r="107" spans="1:27" ht="15.75" thickBot="1">
      <c r="B107" s="195"/>
      <c r="C107" s="195"/>
      <c r="D107" s="195"/>
      <c r="E107" s="195"/>
      <c r="F107" s="195"/>
      <c r="G107" s="195"/>
      <c r="I107" s="184"/>
      <c r="J107" s="184"/>
      <c r="K107" s="184"/>
      <c r="L107" s="184"/>
      <c r="M107" s="184"/>
      <c r="N107" s="184"/>
      <c r="O107" s="184"/>
      <c r="P107" s="184"/>
      <c r="Q107" s="184"/>
    </row>
    <row r="108" spans="1:27" ht="15.75" thickBot="1">
      <c r="A108" s="200" t="s">
        <v>1179</v>
      </c>
      <c r="B108" s="201">
        <f>('Input 4 - Forecast'!C89/'Input 4 - Forecast'!C$45)*MAX(B$71,0)</f>
        <v>-267.59452840452661</v>
      </c>
      <c r="C108" s="202">
        <f ca="1">('Input 4 - Forecast'!D89/'Input 4 - Forecast'!D$45)*MAX(C$71,0)</f>
        <v>2197.6404127331875</v>
      </c>
      <c r="D108" s="202">
        <f ca="1">('Input 4 - Forecast'!E89/'Input 4 - Forecast'!E$45)*MAX(D$71,0)</f>
        <v>4532.4990286905186</v>
      </c>
      <c r="E108" s="202">
        <f ca="1">('Input 4 - Forecast'!F89/'Input 4 - Forecast'!F$45)*MAX(E$71,0)</f>
        <v>7007.3329753384378</v>
      </c>
      <c r="F108" s="202">
        <f ca="1">('Input 4 - Forecast'!G89/'Input 4 - Forecast'!G$45)*MAX(F$71,0)</f>
        <v>8874.8515635387212</v>
      </c>
      <c r="G108" s="203">
        <f ca="1">('Input 4 - Forecast'!H89/'Input 4 - Forecast'!H$45)*MAX(G$71,0)</f>
        <v>10887.11487732601</v>
      </c>
      <c r="I108" s="221"/>
      <c r="J108" s="221">
        <f>'Input 4 - Forecast'!K89</f>
        <v>1</v>
      </c>
      <c r="K108" s="222">
        <f>'Input 4 - Forecast'!L89</f>
        <v>1</v>
      </c>
      <c r="L108" s="223">
        <f>'Input 4 - Forecast'!M89+B$33/10000</f>
        <v>0</v>
      </c>
      <c r="M108" s="223">
        <f>'Input 4 - Forecast'!N89+C$33/10000</f>
        <v>0.18606977230199898</v>
      </c>
      <c r="N108" s="223">
        <f>'Input 4 - Forecast'!O89+D$33/10000</f>
        <v>0.18606977230199898</v>
      </c>
      <c r="O108" s="223">
        <f>'Input 4 - Forecast'!P89+E$33/10000</f>
        <v>0.18606977230199898</v>
      </c>
      <c r="P108" s="223">
        <f>'Input 4 - Forecast'!Q89+F$33/10000</f>
        <v>0.18606977230199898</v>
      </c>
      <c r="Q108" s="224">
        <f>'Input 4 - Forecast'!R89+G$33/10000</f>
        <v>0.18606977230199898</v>
      </c>
    </row>
    <row r="109" spans="1:27">
      <c r="B109" s="7"/>
      <c r="C109" s="7"/>
      <c r="D109" s="7"/>
      <c r="E109" s="7"/>
      <c r="F109" s="7"/>
      <c r="G109" s="7"/>
      <c r="I109" s="184"/>
      <c r="J109" s="184"/>
      <c r="K109" s="184"/>
      <c r="L109" s="184"/>
      <c r="M109" s="184"/>
      <c r="N109" s="184"/>
      <c r="O109" s="184"/>
      <c r="P109" s="184"/>
    </row>
    <row r="111" spans="1:27" ht="15.75" thickBot="1">
      <c r="H111" s="7">
        <f>'Input 4 - Forecast'!C9</f>
        <v>2018</v>
      </c>
      <c r="I111" s="7">
        <f>H111+1</f>
        <v>2019</v>
      </c>
      <c r="J111" s="7">
        <f>I111+1</f>
        <v>2020</v>
      </c>
      <c r="K111" s="7">
        <f>J111+1</f>
        <v>2021</v>
      </c>
      <c r="L111" s="7">
        <f>K111+1</f>
        <v>2022</v>
      </c>
      <c r="M111" s="7">
        <f>L111+1</f>
        <v>2023</v>
      </c>
      <c r="O111" s="7">
        <f t="shared" ref="O111:T111" si="22">H111</f>
        <v>2018</v>
      </c>
      <c r="P111" s="7">
        <f t="shared" si="22"/>
        <v>2019</v>
      </c>
      <c r="Q111" s="7">
        <f t="shared" si="22"/>
        <v>2020</v>
      </c>
      <c r="R111" s="7">
        <f t="shared" si="22"/>
        <v>2021</v>
      </c>
      <c r="S111" s="7">
        <f t="shared" si="22"/>
        <v>2022</v>
      </c>
      <c r="T111" s="7">
        <f t="shared" si="22"/>
        <v>2023</v>
      </c>
      <c r="V111" s="7">
        <f t="shared" ref="V111:AA111" si="23">O111</f>
        <v>2018</v>
      </c>
      <c r="W111" s="7">
        <f t="shared" si="23"/>
        <v>2019</v>
      </c>
      <c r="X111" s="7">
        <f t="shared" si="23"/>
        <v>2020</v>
      </c>
      <c r="Y111" s="7">
        <f t="shared" si="23"/>
        <v>2021</v>
      </c>
      <c r="Z111" s="7">
        <f t="shared" si="23"/>
        <v>2022</v>
      </c>
      <c r="AA111" s="7">
        <f t="shared" si="23"/>
        <v>2023</v>
      </c>
    </row>
    <row r="112" spans="1:27" ht="15.75" thickBot="1">
      <c r="A112" s="281"/>
      <c r="B112" s="2009" t="s">
        <v>44</v>
      </c>
      <c r="C112" s="2010"/>
      <c r="D112" s="2010"/>
      <c r="E112" s="2010"/>
      <c r="F112" s="2011"/>
      <c r="H112" s="2012" t="s">
        <v>40</v>
      </c>
      <c r="I112" s="2013"/>
      <c r="J112" s="2013"/>
      <c r="K112" s="2013"/>
      <c r="L112" s="2013"/>
      <c r="M112" s="2014"/>
      <c r="O112" s="2015" t="s">
        <v>46</v>
      </c>
      <c r="P112" s="2016"/>
      <c r="Q112" s="2016"/>
      <c r="R112" s="2016"/>
      <c r="S112" s="2016"/>
      <c r="T112" s="2017"/>
      <c r="V112" s="1996" t="s">
        <v>42</v>
      </c>
      <c r="W112" s="1997"/>
      <c r="X112" s="1997"/>
      <c r="Y112" s="1997"/>
      <c r="Z112" s="1997"/>
      <c r="AA112" s="1998"/>
    </row>
    <row r="113" spans="1:27">
      <c r="A113" s="281"/>
      <c r="B113" s="7" t="s">
        <v>45</v>
      </c>
      <c r="C113" s="281" t="s">
        <v>462</v>
      </c>
      <c r="D113" s="7" t="s">
        <v>43</v>
      </c>
      <c r="E113" s="7" t="s">
        <v>39</v>
      </c>
      <c r="F113" s="7" t="s">
        <v>41</v>
      </c>
    </row>
    <row r="114" spans="1:27">
      <c r="A114" s="17"/>
      <c r="B114" s="7"/>
      <c r="C114" s="7"/>
      <c r="D114" s="7"/>
      <c r="E114" s="7"/>
    </row>
    <row r="115" spans="1:27">
      <c r="A115" s="20" t="str">
        <f>'Input 4 - Forecast'!A50</f>
        <v>Issuance of New Debt to Fill Fiscal Needs</v>
      </c>
    </row>
    <row r="116" spans="1:27" customFormat="1" ht="15.75" thickBot="1">
      <c r="A116" s="21" t="str">
        <f>'Input 4 - Forecast'!A55</f>
        <v>Short-term debt 2/</v>
      </c>
      <c r="B116" s="18"/>
      <c r="C116" s="13"/>
      <c r="D116" s="13"/>
      <c r="E116" s="13"/>
      <c r="F116" s="13"/>
      <c r="G116" s="13"/>
      <c r="H116" s="13"/>
      <c r="I116" s="17"/>
      <c r="J116" s="19"/>
      <c r="K116" s="19"/>
      <c r="L116" s="19"/>
      <c r="M116" s="19"/>
      <c r="N116" s="19"/>
      <c r="O116" s="19"/>
      <c r="P116" s="19"/>
      <c r="Q116" s="19"/>
    </row>
    <row r="117" spans="1:27" customFormat="1" ht="15.75" thickBot="1">
      <c r="A117" s="22" t="str">
        <f>'Input 4 - Forecast'!A56</f>
        <v>Denominated in local currency</v>
      </c>
      <c r="B117" s="1999" t="s">
        <v>51</v>
      </c>
      <c r="C117" s="2000"/>
      <c r="D117" s="2000"/>
      <c r="E117" s="2000"/>
      <c r="F117" s="2000"/>
      <c r="G117" s="2000"/>
      <c r="H117" s="2000"/>
      <c r="I117" s="2000"/>
      <c r="J117" s="2000"/>
      <c r="K117" s="2000"/>
      <c r="L117" s="2000"/>
      <c r="M117" s="2000"/>
      <c r="N117" s="2000"/>
      <c r="O117" s="2000"/>
      <c r="P117" s="2000"/>
      <c r="Q117" s="2000"/>
      <c r="R117" s="2000"/>
      <c r="S117" s="2000"/>
      <c r="T117" s="2000"/>
      <c r="U117" s="2000"/>
      <c r="V117" s="2000"/>
      <c r="W117" s="2000"/>
      <c r="X117" s="2000"/>
      <c r="Y117" s="2000"/>
      <c r="Z117" s="2000"/>
      <c r="AA117" s="2001"/>
    </row>
    <row r="118" spans="1:27">
      <c r="B118" s="281"/>
      <c r="F118" s="15"/>
      <c r="H118" s="10"/>
      <c r="I118" s="10"/>
      <c r="J118" s="10"/>
      <c r="K118" s="10"/>
      <c r="L118" s="10"/>
      <c r="M118" s="10"/>
      <c r="N118" s="10"/>
      <c r="O118" s="10"/>
      <c r="P118" s="10"/>
      <c r="Q118" s="10"/>
      <c r="R118" s="10"/>
      <c r="S118" s="10"/>
      <c r="T118" s="10"/>
      <c r="U118" s="10"/>
      <c r="V118" s="10"/>
      <c r="W118" s="10"/>
      <c r="X118" s="10"/>
      <c r="Y118" s="10"/>
      <c r="Z118" s="10"/>
      <c r="AA118" s="10"/>
    </row>
    <row r="119" spans="1:27" customFormat="1">
      <c r="A119" s="23"/>
      <c r="B119" s="7">
        <f>'Input 4 - Forecast'!C9</f>
        <v>2018</v>
      </c>
      <c r="C119" s="13" t="str">
        <f>$I75</f>
        <v>Semi-annual</v>
      </c>
      <c r="D119" s="13">
        <f>$J75</f>
        <v>0</v>
      </c>
      <c r="E119" s="13">
        <f>$K75</f>
        <v>0</v>
      </c>
      <c r="F119" s="14">
        <f>$L$75</f>
        <v>0</v>
      </c>
      <c r="G119" s="13"/>
      <c r="H119" s="9">
        <f>$B$75</f>
        <v>0</v>
      </c>
      <c r="I119" s="9">
        <f>H119-P119</f>
        <v>0</v>
      </c>
      <c r="J119" s="9">
        <f>I119-Q119</f>
        <v>0</v>
      </c>
      <c r="K119" s="9">
        <f>J119-R119</f>
        <v>0</v>
      </c>
      <c r="L119" s="9">
        <f>K119-S119</f>
        <v>0</v>
      </c>
      <c r="M119" s="9">
        <f>L119-T119</f>
        <v>0</v>
      </c>
      <c r="N119" s="9"/>
      <c r="O119" s="9">
        <v>0</v>
      </c>
      <c r="P119" s="9">
        <f>H119</f>
        <v>0</v>
      </c>
      <c r="Q119" s="9">
        <v>0</v>
      </c>
      <c r="R119" s="9">
        <v>0</v>
      </c>
      <c r="S119" s="9">
        <v>0</v>
      </c>
      <c r="T119" s="9">
        <v>0</v>
      </c>
      <c r="U119" s="9"/>
      <c r="V119" s="9">
        <f>IF($C119="annual",IF(V$111=$B119,0,G119*$F119),IF(V$111-$B119=0,0,IF((V$111-$B119)&lt;$E119,AVERAGE(G119,H119)*$F119,IF((V$111-$B119)=$E119,G119*$F119/2,0))))</f>
        <v>0</v>
      </c>
      <c r="W119" s="9">
        <f t="shared" ref="W119:AA124" si="24">IF($C119="annual",IF(W$111=$B119,0,H119*$F119),IF(W$111-$B119=0,0,IF((W$111-$B119)&lt;$E119,AVERAGE(H119,I119)*$F119,IF((W$111-$B119)=$E119,H119*$F119/2,0))))</f>
        <v>0</v>
      </c>
      <c r="X119" s="9">
        <f t="shared" si="24"/>
        <v>0</v>
      </c>
      <c r="Y119" s="9">
        <f t="shared" si="24"/>
        <v>0</v>
      </c>
      <c r="Z119" s="9">
        <f t="shared" si="24"/>
        <v>0</v>
      </c>
      <c r="AA119" s="9">
        <f t="shared" si="24"/>
        <v>0</v>
      </c>
    </row>
    <row r="120" spans="1:27" customFormat="1">
      <c r="A120" s="23"/>
      <c r="B120" s="7">
        <f>B119+1</f>
        <v>2019</v>
      </c>
      <c r="C120" s="13" t="str">
        <f>C119</f>
        <v>Semi-annual</v>
      </c>
      <c r="D120" s="13">
        <f>D119</f>
        <v>0</v>
      </c>
      <c r="E120" s="13">
        <f>E119</f>
        <v>0</v>
      </c>
      <c r="F120" s="14">
        <f>$M$75</f>
        <v>0.18606977230199898</v>
      </c>
      <c r="G120" s="13"/>
      <c r="H120" s="9"/>
      <c r="I120" s="9">
        <f ca="1">$C$75</f>
        <v>183.50326161372513</v>
      </c>
      <c r="J120" s="9">
        <f ca="1">I120-Q120</f>
        <v>0</v>
      </c>
      <c r="K120" s="9">
        <f ca="1">J120-R120</f>
        <v>0</v>
      </c>
      <c r="L120" s="9">
        <f ca="1">K120-S120</f>
        <v>0</v>
      </c>
      <c r="M120" s="9">
        <f ca="1">L120-T120</f>
        <v>0</v>
      </c>
      <c r="N120" s="9"/>
      <c r="O120" s="9"/>
      <c r="P120" s="9">
        <v>0</v>
      </c>
      <c r="Q120" s="9">
        <f ca="1">I120</f>
        <v>183.50326161372513</v>
      </c>
      <c r="R120" s="9">
        <v>0</v>
      </c>
      <c r="S120" s="9">
        <v>0</v>
      </c>
      <c r="T120" s="9">
        <v>0</v>
      </c>
      <c r="U120" s="9"/>
      <c r="V120" s="9"/>
      <c r="W120" s="9">
        <f t="shared" si="24"/>
        <v>0</v>
      </c>
      <c r="X120" s="9">
        <f t="shared" si="24"/>
        <v>0</v>
      </c>
      <c r="Y120" s="9">
        <f t="shared" si="24"/>
        <v>0</v>
      </c>
      <c r="Z120" s="9">
        <f t="shared" si="24"/>
        <v>0</v>
      </c>
      <c r="AA120" s="9">
        <f t="shared" si="24"/>
        <v>0</v>
      </c>
    </row>
    <row r="121" spans="1:27" customFormat="1">
      <c r="A121" s="23"/>
      <c r="B121" s="7">
        <f>B120+1</f>
        <v>2020</v>
      </c>
      <c r="C121" s="13" t="str">
        <f>C120</f>
        <v>Semi-annual</v>
      </c>
      <c r="D121" s="13">
        <f t="shared" ref="D121:E124" si="25">D120</f>
        <v>0</v>
      </c>
      <c r="E121" s="13">
        <f t="shared" si="25"/>
        <v>0</v>
      </c>
      <c r="F121" s="14">
        <f>$N$75</f>
        <v>0.18606977230199898</v>
      </c>
      <c r="G121" s="13"/>
      <c r="H121" s="9"/>
      <c r="I121" s="9"/>
      <c r="J121" s="9">
        <f ca="1">$D$75</f>
        <v>207.24074415177611</v>
      </c>
      <c r="K121" s="9">
        <f ca="1">J121-R121</f>
        <v>0</v>
      </c>
      <c r="L121" s="9">
        <f ca="1">K121-S121</f>
        <v>0</v>
      </c>
      <c r="M121" s="9">
        <f ca="1">L121-T121</f>
        <v>0</v>
      </c>
      <c r="N121" s="9"/>
      <c r="O121" s="9"/>
      <c r="P121" s="9"/>
      <c r="Q121" s="9">
        <v>0</v>
      </c>
      <c r="R121" s="9">
        <f ca="1">J121</f>
        <v>207.24074415177611</v>
      </c>
      <c r="S121" s="9">
        <v>0</v>
      </c>
      <c r="T121" s="9">
        <v>0</v>
      </c>
      <c r="U121" s="9"/>
      <c r="V121" s="9"/>
      <c r="W121" s="9"/>
      <c r="X121" s="9">
        <f t="shared" si="24"/>
        <v>0</v>
      </c>
      <c r="Y121" s="9">
        <f t="shared" si="24"/>
        <v>0</v>
      </c>
      <c r="Z121" s="9">
        <f t="shared" si="24"/>
        <v>0</v>
      </c>
      <c r="AA121" s="9">
        <f t="shared" si="24"/>
        <v>0</v>
      </c>
    </row>
    <row r="122" spans="1:27" customFormat="1">
      <c r="A122" s="23"/>
      <c r="B122" s="7">
        <f>B121+1</f>
        <v>2021</v>
      </c>
      <c r="C122" s="13" t="str">
        <f>C121</f>
        <v>Semi-annual</v>
      </c>
      <c r="D122" s="13">
        <f t="shared" si="25"/>
        <v>0</v>
      </c>
      <c r="E122" s="13">
        <f t="shared" si="25"/>
        <v>0</v>
      </c>
      <c r="F122" s="14">
        <f>$O$75</f>
        <v>0.18606977230199898</v>
      </c>
      <c r="G122" s="13"/>
      <c r="H122" s="9"/>
      <c r="I122" s="9"/>
      <c r="J122" s="9"/>
      <c r="K122" s="9">
        <f ca="1">$E$75</f>
        <v>217.41631058633359</v>
      </c>
      <c r="L122" s="9">
        <f ca="1">K122-S122</f>
        <v>0</v>
      </c>
      <c r="M122" s="9">
        <f ca="1">L122-T122</f>
        <v>0</v>
      </c>
      <c r="N122" s="9"/>
      <c r="O122" s="9"/>
      <c r="P122" s="9"/>
      <c r="Q122" s="9"/>
      <c r="R122" s="9">
        <v>0</v>
      </c>
      <c r="S122" s="9">
        <f ca="1">K122</f>
        <v>217.41631058633359</v>
      </c>
      <c r="T122" s="9">
        <v>0</v>
      </c>
      <c r="U122" s="9"/>
      <c r="V122" s="9"/>
      <c r="W122" s="9"/>
      <c r="X122" s="9"/>
      <c r="Y122" s="9">
        <f t="shared" si="24"/>
        <v>0</v>
      </c>
      <c r="Z122" s="9">
        <f t="shared" si="24"/>
        <v>0</v>
      </c>
      <c r="AA122" s="9">
        <f t="shared" si="24"/>
        <v>0</v>
      </c>
    </row>
    <row r="123" spans="1:27" customFormat="1">
      <c r="A123" s="23"/>
      <c r="B123" s="7">
        <f>B122+1</f>
        <v>2022</v>
      </c>
      <c r="C123" s="13" t="str">
        <f>C122</f>
        <v>Semi-annual</v>
      </c>
      <c r="D123" s="13">
        <f t="shared" si="25"/>
        <v>0</v>
      </c>
      <c r="E123" s="13">
        <f t="shared" si="25"/>
        <v>0</v>
      </c>
      <c r="F123" s="14">
        <f>$P$75</f>
        <v>0.18606977230199898</v>
      </c>
      <c r="G123" s="13"/>
      <c r="H123" s="9"/>
      <c r="I123" s="9"/>
      <c r="J123" s="9"/>
      <c r="K123" s="9"/>
      <c r="L123" s="9">
        <f ca="1">$F$75</f>
        <v>249.66224354374711</v>
      </c>
      <c r="M123" s="9">
        <f ca="1">L123-T123</f>
        <v>0</v>
      </c>
      <c r="N123" s="9"/>
      <c r="O123" s="9"/>
      <c r="P123" s="9"/>
      <c r="Q123" s="9"/>
      <c r="R123" s="9"/>
      <c r="S123" s="9">
        <v>0</v>
      </c>
      <c r="T123" s="9">
        <f ca="1">L123</f>
        <v>249.66224354374711</v>
      </c>
      <c r="U123" s="9"/>
      <c r="V123" s="9"/>
      <c r="W123" s="9"/>
      <c r="X123" s="9"/>
      <c r="Y123" s="9"/>
      <c r="Z123" s="9">
        <f t="shared" si="24"/>
        <v>0</v>
      </c>
      <c r="AA123" s="9">
        <f t="shared" si="24"/>
        <v>0</v>
      </c>
    </row>
    <row r="124" spans="1:27" customFormat="1">
      <c r="A124" s="23"/>
      <c r="B124" s="7">
        <f>B123+1</f>
        <v>2023</v>
      </c>
      <c r="C124" s="13" t="str">
        <f>C123</f>
        <v>Semi-annual</v>
      </c>
      <c r="D124" s="13">
        <f t="shared" si="25"/>
        <v>0</v>
      </c>
      <c r="E124" s="13">
        <f t="shared" si="25"/>
        <v>0</v>
      </c>
      <c r="F124" s="14">
        <f>$Q$75</f>
        <v>0.18606977230199898</v>
      </c>
      <c r="G124" s="13"/>
      <c r="H124" s="9"/>
      <c r="I124" s="9"/>
      <c r="J124" s="9"/>
      <c r="K124" s="9"/>
      <c r="L124" s="9"/>
      <c r="M124" s="9">
        <f ca="1">$G$75</f>
        <v>292.35501454567185</v>
      </c>
      <c r="N124" s="9"/>
      <c r="O124" s="9"/>
      <c r="P124" s="9"/>
      <c r="Q124" s="9"/>
      <c r="R124" s="9"/>
      <c r="S124" s="9"/>
      <c r="T124" s="9">
        <v>0</v>
      </c>
      <c r="U124" s="9"/>
      <c r="V124" s="9"/>
      <c r="W124" s="9"/>
      <c r="X124" s="9"/>
      <c r="Y124" s="9"/>
      <c r="Z124" s="9"/>
      <c r="AA124" s="9">
        <f t="shared" si="24"/>
        <v>0</v>
      </c>
    </row>
    <row r="125" spans="1:27" ht="15.75" thickBot="1">
      <c r="F125" s="15"/>
      <c r="H125" s="10"/>
      <c r="I125" s="10"/>
      <c r="J125" s="10"/>
      <c r="K125" s="10"/>
      <c r="L125" s="10"/>
      <c r="M125" s="10"/>
      <c r="N125" s="10"/>
      <c r="O125" s="10"/>
      <c r="P125" s="10"/>
      <c r="Q125" s="10"/>
      <c r="R125" s="10"/>
      <c r="S125" s="10"/>
      <c r="T125" s="10"/>
      <c r="U125" s="10"/>
      <c r="V125" s="10"/>
      <c r="W125" s="10"/>
      <c r="X125" s="10"/>
      <c r="Y125" s="10"/>
      <c r="Z125" s="10"/>
      <c r="AA125" s="10"/>
    </row>
    <row r="126" spans="1:27" customFormat="1" ht="15.75" thickBot="1">
      <c r="A126" s="22" t="str">
        <f>'Input 4 - Forecast'!A65</f>
        <v>Denominated in foreign currency</v>
      </c>
      <c r="B126" s="1999" t="s">
        <v>52</v>
      </c>
      <c r="C126" s="2000"/>
      <c r="D126" s="2000"/>
      <c r="E126" s="2000"/>
      <c r="F126" s="2000"/>
      <c r="G126" s="2000"/>
      <c r="H126" s="2000"/>
      <c r="I126" s="2000"/>
      <c r="J126" s="2000"/>
      <c r="K126" s="2000"/>
      <c r="L126" s="2000"/>
      <c r="M126" s="2000"/>
      <c r="N126" s="2000"/>
      <c r="O126" s="2000"/>
      <c r="P126" s="2000"/>
      <c r="Q126" s="2000"/>
      <c r="R126" s="2000"/>
      <c r="S126" s="2000"/>
      <c r="T126" s="2000"/>
      <c r="U126" s="2000"/>
      <c r="V126" s="2000"/>
      <c r="W126" s="2000"/>
      <c r="X126" s="2000"/>
      <c r="Y126" s="2000"/>
      <c r="Z126" s="2000"/>
      <c r="AA126" s="2001"/>
    </row>
    <row r="127" spans="1:27">
      <c r="F127" s="15"/>
      <c r="H127" s="10"/>
      <c r="I127" s="10"/>
      <c r="J127" s="10"/>
      <c r="K127" s="10"/>
      <c r="L127" s="10"/>
      <c r="M127" s="10"/>
      <c r="N127" s="10"/>
      <c r="O127" s="10"/>
      <c r="P127" s="10"/>
      <c r="Q127" s="10"/>
      <c r="R127" s="10"/>
      <c r="S127" s="10"/>
      <c r="T127" s="10"/>
      <c r="U127" s="10"/>
      <c r="V127" s="10"/>
      <c r="W127" s="10"/>
      <c r="X127" s="10"/>
      <c r="Y127" s="10"/>
      <c r="Z127" s="10"/>
      <c r="AA127" s="10"/>
    </row>
    <row r="128" spans="1:27" customFormat="1">
      <c r="A128" s="23"/>
      <c r="B128" s="7">
        <f>B119</f>
        <v>2018</v>
      </c>
      <c r="C128" s="13" t="str">
        <f>$I76</f>
        <v>Semi-annual</v>
      </c>
      <c r="D128" s="13">
        <f>$J76</f>
        <v>0</v>
      </c>
      <c r="E128" s="13">
        <f>$K76</f>
        <v>0</v>
      </c>
      <c r="F128" s="14">
        <f>$L$76</f>
        <v>0</v>
      </c>
      <c r="G128" s="13"/>
      <c r="H128" s="9">
        <f>$B$76/$B$31</f>
        <v>0</v>
      </c>
      <c r="I128" s="9">
        <f>H128-P128</f>
        <v>0</v>
      </c>
      <c r="J128" s="9">
        <f>I128-Q128</f>
        <v>0</v>
      </c>
      <c r="K128" s="9">
        <f>J128-R128</f>
        <v>0</v>
      </c>
      <c r="L128" s="9">
        <f>K128-S128</f>
        <v>0</v>
      </c>
      <c r="M128" s="9">
        <f>L128-T128</f>
        <v>0</v>
      </c>
      <c r="N128" s="9"/>
      <c r="O128" s="9">
        <v>0</v>
      </c>
      <c r="P128" s="9">
        <f>H128</f>
        <v>0</v>
      </c>
      <c r="Q128" s="9">
        <v>0</v>
      </c>
      <c r="R128" s="9">
        <v>0</v>
      </c>
      <c r="S128" s="9">
        <v>0</v>
      </c>
      <c r="T128" s="9">
        <v>0</v>
      </c>
      <c r="U128" s="9"/>
      <c r="V128" s="9">
        <f>IF($C128="annual",IF(V$111=$B128,0,G128*$F128),IF(V$111-$B128=0,0,IF((V$111-$B128)&lt;$E128,AVERAGE(G128,H128)*$F128,IF((V$111-$B128)=$E128,G128*$F128/2,0))))</f>
        <v>0</v>
      </c>
      <c r="W128" s="9">
        <f t="shared" ref="W128:AA133" si="26">IF($C128="annual",IF(W$111=$B128,0,H128*$F128),IF(W$111-$B128=0,0,IF((W$111-$B128)&lt;$E128,AVERAGE(H128,I128)*$F128,IF((W$111-$B128)=$E128,H128*$F128/2,0))))</f>
        <v>0</v>
      </c>
      <c r="X128" s="9">
        <f t="shared" si="26"/>
        <v>0</v>
      </c>
      <c r="Y128" s="9">
        <f t="shared" si="26"/>
        <v>0</v>
      </c>
      <c r="Z128" s="9">
        <f t="shared" si="26"/>
        <v>0</v>
      </c>
      <c r="AA128" s="9">
        <f t="shared" si="26"/>
        <v>0</v>
      </c>
    </row>
    <row r="129" spans="1:27" customFormat="1">
      <c r="A129" s="23"/>
      <c r="B129" s="7">
        <f>B128+1</f>
        <v>2019</v>
      </c>
      <c r="C129" s="13" t="str">
        <f>C128</f>
        <v>Semi-annual</v>
      </c>
      <c r="D129" s="13">
        <f>D128</f>
        <v>0</v>
      </c>
      <c r="E129" s="13">
        <f>E128</f>
        <v>0</v>
      </c>
      <c r="F129" s="14">
        <f>$M$76</f>
        <v>0.18606977230199898</v>
      </c>
      <c r="G129" s="13"/>
      <c r="H129" s="9"/>
      <c r="I129" s="9">
        <f ca="1">$C$76/$C$31</f>
        <v>0</v>
      </c>
      <c r="J129" s="9">
        <f ca="1">I129-Q129</f>
        <v>0</v>
      </c>
      <c r="K129" s="9">
        <f ca="1">J129-R129</f>
        <v>0</v>
      </c>
      <c r="L129" s="9">
        <f ca="1">K129-S129</f>
        <v>0</v>
      </c>
      <c r="M129" s="9">
        <f ca="1">L129-T129</f>
        <v>0</v>
      </c>
      <c r="N129" s="9"/>
      <c r="O129" s="9"/>
      <c r="P129" s="9">
        <v>0</v>
      </c>
      <c r="Q129" s="9">
        <f ca="1">I129</f>
        <v>0</v>
      </c>
      <c r="R129" s="9">
        <v>0</v>
      </c>
      <c r="S129" s="9">
        <v>0</v>
      </c>
      <c r="T129" s="9">
        <v>0</v>
      </c>
      <c r="U129" s="9"/>
      <c r="V129" s="9"/>
      <c r="W129" s="9">
        <f t="shared" si="26"/>
        <v>0</v>
      </c>
      <c r="X129" s="9">
        <f t="shared" si="26"/>
        <v>0</v>
      </c>
      <c r="Y129" s="9">
        <f t="shared" si="26"/>
        <v>0</v>
      </c>
      <c r="Z129" s="9">
        <f t="shared" si="26"/>
        <v>0</v>
      </c>
      <c r="AA129" s="9">
        <f t="shared" si="26"/>
        <v>0</v>
      </c>
    </row>
    <row r="130" spans="1:27" customFormat="1">
      <c r="A130" s="23"/>
      <c r="B130" s="7">
        <f>B129+1</f>
        <v>2020</v>
      </c>
      <c r="C130" s="13" t="str">
        <f>C129</f>
        <v>Semi-annual</v>
      </c>
      <c r="D130" s="13">
        <f t="shared" ref="D130:E133" si="27">D129</f>
        <v>0</v>
      </c>
      <c r="E130" s="13">
        <f t="shared" si="27"/>
        <v>0</v>
      </c>
      <c r="F130" s="14">
        <f>$N$76</f>
        <v>0.18606977230199898</v>
      </c>
      <c r="G130" s="13"/>
      <c r="H130" s="9"/>
      <c r="I130" s="9"/>
      <c r="J130" s="9">
        <f ca="1">$D$76/$D$31</f>
        <v>0</v>
      </c>
      <c r="K130" s="9">
        <f ca="1">J130-R130</f>
        <v>0</v>
      </c>
      <c r="L130" s="9">
        <f ca="1">K130-S130</f>
        <v>0</v>
      </c>
      <c r="M130" s="9">
        <f ca="1">L130-T130</f>
        <v>0</v>
      </c>
      <c r="N130" s="9"/>
      <c r="O130" s="9"/>
      <c r="P130" s="9"/>
      <c r="Q130" s="9">
        <v>0</v>
      </c>
      <c r="R130" s="9">
        <f ca="1">J130</f>
        <v>0</v>
      </c>
      <c r="S130" s="9">
        <v>0</v>
      </c>
      <c r="T130" s="9">
        <v>0</v>
      </c>
      <c r="U130" s="9"/>
      <c r="V130" s="9"/>
      <c r="W130" s="9"/>
      <c r="X130" s="9">
        <f t="shared" si="26"/>
        <v>0</v>
      </c>
      <c r="Y130" s="9">
        <f t="shared" si="26"/>
        <v>0</v>
      </c>
      <c r="Z130" s="9">
        <f t="shared" si="26"/>
        <v>0</v>
      </c>
      <c r="AA130" s="9">
        <f t="shared" si="26"/>
        <v>0</v>
      </c>
    </row>
    <row r="131" spans="1:27" customFormat="1">
      <c r="A131" s="23"/>
      <c r="B131" s="7">
        <f>B130+1</f>
        <v>2021</v>
      </c>
      <c r="C131" s="13" t="str">
        <f>C130</f>
        <v>Semi-annual</v>
      </c>
      <c r="D131" s="13">
        <f t="shared" si="27"/>
        <v>0</v>
      </c>
      <c r="E131" s="13">
        <f t="shared" si="27"/>
        <v>0</v>
      </c>
      <c r="F131" s="14">
        <f>$O$76</f>
        <v>0.18606977230199898</v>
      </c>
      <c r="G131" s="13"/>
      <c r="H131" s="9"/>
      <c r="I131" s="9"/>
      <c r="J131" s="9"/>
      <c r="K131" s="9">
        <f ca="1">$E$76/$E$31</f>
        <v>0</v>
      </c>
      <c r="L131" s="9">
        <f ca="1">K131-S131</f>
        <v>0</v>
      </c>
      <c r="M131" s="9">
        <f ca="1">L131-T131</f>
        <v>0</v>
      </c>
      <c r="N131" s="9"/>
      <c r="O131" s="9"/>
      <c r="P131" s="9"/>
      <c r="Q131" s="9"/>
      <c r="R131" s="9">
        <v>0</v>
      </c>
      <c r="S131" s="9">
        <f ca="1">K131</f>
        <v>0</v>
      </c>
      <c r="T131" s="9">
        <v>0</v>
      </c>
      <c r="U131" s="9"/>
      <c r="V131" s="9"/>
      <c r="W131" s="9"/>
      <c r="X131" s="9"/>
      <c r="Y131" s="9">
        <f t="shared" si="26"/>
        <v>0</v>
      </c>
      <c r="Z131" s="9">
        <f t="shared" si="26"/>
        <v>0</v>
      </c>
      <c r="AA131" s="9">
        <f t="shared" si="26"/>
        <v>0</v>
      </c>
    </row>
    <row r="132" spans="1:27" customFormat="1">
      <c r="A132" s="23"/>
      <c r="B132" s="7">
        <f>B131+1</f>
        <v>2022</v>
      </c>
      <c r="C132" s="13" t="str">
        <f>C131</f>
        <v>Semi-annual</v>
      </c>
      <c r="D132" s="13">
        <f t="shared" si="27"/>
        <v>0</v>
      </c>
      <c r="E132" s="13">
        <f t="shared" si="27"/>
        <v>0</v>
      </c>
      <c r="F132" s="14">
        <f>$P$76</f>
        <v>0.18606977230199898</v>
      </c>
      <c r="G132" s="13"/>
      <c r="H132" s="9"/>
      <c r="I132" s="9"/>
      <c r="J132" s="9"/>
      <c r="K132" s="9"/>
      <c r="L132" s="9">
        <f ca="1">$F$76/$F$31</f>
        <v>0</v>
      </c>
      <c r="M132" s="9">
        <f ca="1">L132-T132</f>
        <v>0</v>
      </c>
      <c r="N132" s="9"/>
      <c r="O132" s="9"/>
      <c r="P132" s="9"/>
      <c r="Q132" s="9"/>
      <c r="R132" s="9"/>
      <c r="S132" s="9">
        <v>0</v>
      </c>
      <c r="T132" s="9">
        <f ca="1">L132</f>
        <v>0</v>
      </c>
      <c r="U132" s="9"/>
      <c r="V132" s="9"/>
      <c r="W132" s="9"/>
      <c r="X132" s="9"/>
      <c r="Y132" s="9"/>
      <c r="Z132" s="9">
        <f t="shared" si="26"/>
        <v>0</v>
      </c>
      <c r="AA132" s="9">
        <f t="shared" si="26"/>
        <v>0</v>
      </c>
    </row>
    <row r="133" spans="1:27" customFormat="1">
      <c r="A133" s="23"/>
      <c r="B133" s="7">
        <f>B132+1</f>
        <v>2023</v>
      </c>
      <c r="C133" s="13" t="str">
        <f>C132</f>
        <v>Semi-annual</v>
      </c>
      <c r="D133" s="13">
        <f t="shared" si="27"/>
        <v>0</v>
      </c>
      <c r="E133" s="13">
        <f t="shared" si="27"/>
        <v>0</v>
      </c>
      <c r="F133" s="14">
        <f>$Q$76</f>
        <v>0.18606977230199898</v>
      </c>
      <c r="G133" s="13"/>
      <c r="H133" s="9"/>
      <c r="I133" s="9"/>
      <c r="J133" s="9"/>
      <c r="K133" s="9"/>
      <c r="L133" s="9"/>
      <c r="M133" s="9">
        <f ca="1">$G$76/$G$31</f>
        <v>0</v>
      </c>
      <c r="N133" s="9"/>
      <c r="O133" s="9"/>
      <c r="P133" s="9"/>
      <c r="Q133" s="9"/>
      <c r="R133" s="9"/>
      <c r="S133" s="9"/>
      <c r="T133" s="9">
        <v>0</v>
      </c>
      <c r="U133" s="9"/>
      <c r="V133" s="9"/>
      <c r="W133" s="9"/>
      <c r="X133" s="9"/>
      <c r="Y133" s="9"/>
      <c r="Z133" s="9"/>
      <c r="AA133" s="9">
        <f t="shared" si="26"/>
        <v>0</v>
      </c>
    </row>
    <row r="135" spans="1:27" ht="15.75" thickBot="1">
      <c r="A135" s="11" t="str">
        <f>'Input 4 - Forecast'!A58</f>
        <v>Long-term debt 3/</v>
      </c>
    </row>
    <row r="136" spans="1:27" ht="15.75" thickBot="1">
      <c r="A136" s="12" t="str">
        <f>'Input 4 - Forecast'!A59</f>
        <v>Denominated in local currency</v>
      </c>
      <c r="B136" s="1999" t="s">
        <v>51</v>
      </c>
      <c r="C136" s="2000"/>
      <c r="D136" s="2000"/>
      <c r="E136" s="2000"/>
      <c r="F136" s="2000"/>
      <c r="G136" s="2000"/>
      <c r="H136" s="2000"/>
      <c r="I136" s="2000"/>
      <c r="J136" s="2000"/>
      <c r="K136" s="2000"/>
      <c r="L136" s="2000"/>
      <c r="M136" s="2000"/>
      <c r="N136" s="2000"/>
      <c r="O136" s="2000"/>
      <c r="P136" s="2000"/>
      <c r="Q136" s="2000"/>
      <c r="R136" s="2000"/>
      <c r="S136" s="2000"/>
      <c r="T136" s="2000"/>
      <c r="U136" s="2000"/>
      <c r="V136" s="2000"/>
      <c r="W136" s="2000"/>
      <c r="X136" s="2000"/>
      <c r="Y136" s="2000"/>
      <c r="Z136" s="2000"/>
      <c r="AA136" s="2001"/>
    </row>
    <row r="138" spans="1:27">
      <c r="A138" s="8" t="str">
        <f>'Input 4 - Forecast'!A60</f>
        <v>Type 1</v>
      </c>
      <c r="B138" s="7">
        <f>B119</f>
        <v>2018</v>
      </c>
      <c r="C138" s="7" t="str">
        <f>$I79</f>
        <v>Annual</v>
      </c>
      <c r="D138" s="7">
        <f>$J79</f>
        <v>5</v>
      </c>
      <c r="E138" s="7">
        <f>$K79</f>
        <v>5</v>
      </c>
      <c r="F138" s="14">
        <f>$L$79</f>
        <v>5.0000000000000001E-3</v>
      </c>
      <c r="H138" s="9">
        <f>$B$79</f>
        <v>329.998670927072</v>
      </c>
      <c r="I138" s="9">
        <f>H138-P138</f>
        <v>329.998670927072</v>
      </c>
      <c r="J138" s="9">
        <f>I138-Q138</f>
        <v>329.998670927072</v>
      </c>
      <c r="K138" s="9">
        <f>J138-R138</f>
        <v>329.998670927072</v>
      </c>
      <c r="L138" s="9">
        <f>K138-S138</f>
        <v>329.998670927072</v>
      </c>
      <c r="M138" s="9">
        <f>L138-T138</f>
        <v>0</v>
      </c>
      <c r="N138" s="9"/>
      <c r="O138" s="9">
        <f t="shared" ref="O138:T138" si="28">IF(OR($C138="Annual",$D138=$E138),IF(AND($D138=$E138,O$111=$B138+$D138),$H138,IF(AND(O$111&gt;$B138+$D138,O$111&lt;=$B138+$E138), $H138/($E138-$D138),0)), IF(OR(O$111=$B138+$D138,O$111=$B138+$E138),$H138/(($E138-$D138)*2),IF(AND(O$111&gt;$B138+$D138,O$111&lt;$B138+$E138),$H138/($E138-$D138),0)))</f>
        <v>0</v>
      </c>
      <c r="P138" s="9">
        <f t="shared" si="28"/>
        <v>0</v>
      </c>
      <c r="Q138" s="9">
        <f t="shared" si="28"/>
        <v>0</v>
      </c>
      <c r="R138" s="9">
        <f t="shared" si="28"/>
        <v>0</v>
      </c>
      <c r="S138" s="9">
        <f t="shared" si="28"/>
        <v>0</v>
      </c>
      <c r="T138" s="9">
        <f t="shared" si="28"/>
        <v>329.998670927072</v>
      </c>
      <c r="U138" s="9"/>
      <c r="V138" s="9">
        <f>IF($C138="annual",IF(V$111=$B138,0,G138*$F138),IF(V$111-$B138=0,0,IF((V$111-$B138)&lt;$E138,AVERAGE(G138,H138)*$F138,IF((V$111-$B138)=$E138,G138*$F138/2,0))))</f>
        <v>0</v>
      </c>
      <c r="W138" s="9">
        <f t="shared" ref="W138:AA143" si="29">IF($C138="annual",IF(W$111=$B138,0,H138*$F138),IF(W$111-$B138=0,0,IF((W$111-$B138)&lt;$E138,AVERAGE(H138,I138)*$F138,IF((W$111-$B138)=$E138,H138*$F138/2,0))))</f>
        <v>1.64999335463536</v>
      </c>
      <c r="X138" s="9">
        <f t="shared" si="29"/>
        <v>1.64999335463536</v>
      </c>
      <c r="Y138" s="9">
        <f t="shared" si="29"/>
        <v>1.64999335463536</v>
      </c>
      <c r="Z138" s="9">
        <f t="shared" si="29"/>
        <v>1.64999335463536</v>
      </c>
      <c r="AA138" s="9">
        <f t="shared" si="29"/>
        <v>1.64999335463536</v>
      </c>
    </row>
    <row r="139" spans="1:27">
      <c r="A139" s="8" t="str">
        <f>A138</f>
        <v>Type 1</v>
      </c>
      <c r="B139" s="7">
        <f>B138+1</f>
        <v>2019</v>
      </c>
      <c r="C139" s="7" t="str">
        <f>C138</f>
        <v>Annual</v>
      </c>
      <c r="D139" s="7">
        <f>D138</f>
        <v>5</v>
      </c>
      <c r="E139" s="7">
        <f>E138</f>
        <v>5</v>
      </c>
      <c r="F139" s="14">
        <f>$M$79</f>
        <v>0.19106977230199898</v>
      </c>
      <c r="H139" s="9"/>
      <c r="I139" s="9">
        <f ca="1">$C$79</f>
        <v>42.533868585962779</v>
      </c>
      <c r="J139" s="9">
        <f ca="1">I139-Q139</f>
        <v>21.266934292981389</v>
      </c>
      <c r="K139" s="9">
        <f ca="1">J139-R139</f>
        <v>0</v>
      </c>
      <c r="L139" s="9">
        <f ca="1">K139-S139</f>
        <v>0</v>
      </c>
      <c r="M139" s="9">
        <f ca="1">L139-T139</f>
        <v>0</v>
      </c>
      <c r="N139" s="9"/>
      <c r="O139" s="9"/>
      <c r="P139" s="9">
        <f>IF(OR($C139="Annual",$D139=$E139),IF(AND($D139=$E139,P$111=$B139+$D139),$I139,IF(AND(P$111&gt;$B139+$D139,P$111&lt;=$B139+$E139), $I139/($E139-$D139),0)), IF(OR(P$111=$B139+$D139,P$111=$B139+$E139),$I139/(($E139-$D139)*2),IF(AND(P$111&gt;$B139+$D139,P$111&lt;$B139+$E139),$I139/($E139-$D139),0)))</f>
        <v>0</v>
      </c>
      <c r="Q139" s="9">
        <f>IF(OR($C139="Annual",$D139=$E139),IF(AND($D139=$E139,Q$111=$B139+$D139),$I139,IF(AND(Q$111&gt;$B139+$D139,Q$111&lt;=$B139+$E139), $I139/($E139-$D139),0)), IF(OR(Q$111=$B139+$D139,Q$111=$B139+$E139),$I139/(($E139-$D139)*2),IF(AND(Q$111&gt;$B139+$D139,Q$111&lt;$B139+$E139),$I139/($E139-$D139),0)))</f>
        <v>0</v>
      </c>
      <c r="R139" s="9">
        <f>IF(OR($C139="Annual",$D139=$E139),IF(AND($D139=$E139,R$111=$B139+$D139),$I139,IF(AND(R$111&gt;$B139+$D139,R$111&lt;=$B139+$E139), $I139/($E139-$D139),0)), IF(OR(R$111=$B139+$D139,R$111=$B139+$E139),$I139/(($E139-$D139)*2),IF(AND(R$111&gt;$B139+$D139,R$111&lt;$B139+$E139),$I139/($E139-$D139),0)))</f>
        <v>0</v>
      </c>
      <c r="S139" s="9">
        <f>IF(OR($C139="Annual",$D139=$E139),IF(AND($D139=$E139,S$111=$B139+$D139),$I139,IF(AND(S$111&gt;$B139+$D139,S$111&lt;=$B139+$E139), $I139/($E139-$D139),0)), IF(OR(S$111=$B139+$D139,S$111=$B139+$E139),$I139/(($E139-$D139)*2),IF(AND(S$111&gt;$B139+$D139,S$111&lt;$B139+$E139),$I139/($E139-$D139),0)))</f>
        <v>0</v>
      </c>
      <c r="T139" s="9">
        <f>IF(OR($C139="Annual",$D139=$E139),IF(AND($D139=$E139,T$111=$B139+$D139),$I139,IF(AND(T$111&gt;$B139+$D139,T$111&lt;=$B139+$E139), $I139/($E139-$D139),0)), IF(OR(T$111=$B139+$D139,T$111=$B139+$E139),$I139/(($E139-$D139)*2),IF(AND(T$111&gt;$B139+$D139,T$111&lt;$B139+$E139),$I139/($E139-$D139),0)))</f>
        <v>0</v>
      </c>
      <c r="U139" s="9"/>
      <c r="V139" s="9"/>
      <c r="W139" s="9">
        <f t="shared" si="29"/>
        <v>0</v>
      </c>
      <c r="X139" s="9">
        <f t="shared" ca="1" si="29"/>
        <v>8.8524258075139119</v>
      </c>
      <c r="Y139" s="9">
        <f t="shared" ca="1" si="29"/>
        <v>4.426212903756956</v>
      </c>
      <c r="Z139" s="9">
        <f t="shared" ca="1" si="29"/>
        <v>0</v>
      </c>
      <c r="AA139" s="9">
        <f t="shared" ca="1" si="29"/>
        <v>0</v>
      </c>
    </row>
    <row r="140" spans="1:27">
      <c r="A140" s="8" t="str">
        <f>A139</f>
        <v>Type 1</v>
      </c>
      <c r="B140" s="7">
        <f>B139+1</f>
        <v>2020</v>
      </c>
      <c r="C140" s="7" t="str">
        <f>C139</f>
        <v>Annual</v>
      </c>
      <c r="D140" s="7">
        <f t="shared" ref="D140:E143" si="30">D139</f>
        <v>5</v>
      </c>
      <c r="E140" s="7">
        <f t="shared" si="30"/>
        <v>5</v>
      </c>
      <c r="F140" s="14">
        <f>$N$79</f>
        <v>0.19606977230199898</v>
      </c>
      <c r="H140" s="9"/>
      <c r="I140" s="9"/>
      <c r="J140" s="9">
        <f ca="1">$D$79</f>
        <v>54.898210371331409</v>
      </c>
      <c r="K140" s="9">
        <f ca="1">J140-R140</f>
        <v>27.449105185665704</v>
      </c>
      <c r="L140" s="9">
        <f ca="1">K140-S140</f>
        <v>0</v>
      </c>
      <c r="M140" s="9">
        <f ca="1">L140-T140</f>
        <v>0</v>
      </c>
      <c r="N140" s="9"/>
      <c r="O140" s="9"/>
      <c r="P140" s="9"/>
      <c r="Q140" s="9">
        <f>IF(OR($C140="Annual",$D140=$E140),IF(AND($D140=$E140,Q$111=$B140+$D140),$J140,IF(AND(Q$111&gt;$B140+$D140,Q$111&lt;=$B140+$E140), $J140/($E140-$D140),0)), IF(OR(Q$111=$B140+$D140,Q$111=$B140+$E140),$J140/(($E140-$D140)*2),IF(AND(Q$111&gt;$B140+$D140,Q$111&lt;$B140+$E140),$J140/($E140-$D140),0)))</f>
        <v>0</v>
      </c>
      <c r="R140" s="9">
        <f>IF(OR($C140="Annual",$D140=$E140),IF(AND($D140=$E140,R$111=$B140+$D140),$J140,IF(AND(R$111&gt;$B140+$D140,R$111&lt;=$B140+$E140), $J140/($E140-$D140),0)), IF(OR(R$111=$B140+$D140,R$111=$B140+$E140),$J140/(($E140-$D140)*2),IF(AND(R$111&gt;$B140+$D140,R$111&lt;$B140+$E140),$J140/($E140-$D140),0)))</f>
        <v>0</v>
      </c>
      <c r="S140" s="9">
        <f>IF(OR($C140="Annual",$D140=$E140),IF(AND($D140=$E140,S$111=$B140+$D140),$J140,IF(AND(S$111&gt;$B140+$D140,S$111&lt;=$B140+$E140), $J140/($E140-$D140),0)), IF(OR(S$111=$B140+$D140,S$111=$B140+$E140),$J140/(($E140-$D140)*2),IF(AND(S$111&gt;$B140+$D140,S$111&lt;$B140+$E140),$J140/($E140-$D140),0)))</f>
        <v>0</v>
      </c>
      <c r="T140" s="9">
        <f>IF(OR($C140="Annual",$D140=$E140),IF(AND($D140=$E140,T$111=$B140+$D140),$J140,IF(AND(T$111&gt;$B140+$D140,T$111&lt;=$B140+$E140), $J140/($E140-$D140),0)), IF(OR(T$111=$B140+$D140,T$111=$B140+$E140),$J140/(($E140-$D140)*2),IF(AND(T$111&gt;$B140+$D140,T$111&lt;$B140+$E140),$J140/($E140-$D140),0)))</f>
        <v>0</v>
      </c>
      <c r="U140" s="9"/>
      <c r="V140" s="9"/>
      <c r="W140" s="9"/>
      <c r="X140" s="9">
        <f t="shared" si="29"/>
        <v>0</v>
      </c>
      <c r="Y140" s="9">
        <f t="shared" ca="1" si="29"/>
        <v>11.589438454302105</v>
      </c>
      <c r="Z140" s="9">
        <f t="shared" ca="1" si="29"/>
        <v>5.7947192271510524</v>
      </c>
      <c r="AA140" s="9">
        <f t="shared" ca="1" si="29"/>
        <v>0</v>
      </c>
    </row>
    <row r="141" spans="1:27">
      <c r="A141" s="8" t="str">
        <f>A140</f>
        <v>Type 1</v>
      </c>
      <c r="B141" s="7">
        <f>B140+1</f>
        <v>2021</v>
      </c>
      <c r="C141" s="7" t="str">
        <f>C140</f>
        <v>Annual</v>
      </c>
      <c r="D141" s="7">
        <f t="shared" si="30"/>
        <v>5</v>
      </c>
      <c r="E141" s="7">
        <f t="shared" si="30"/>
        <v>5</v>
      </c>
      <c r="F141" s="14">
        <f>$O$79</f>
        <v>0.19606977230199898</v>
      </c>
      <c r="H141" s="9"/>
      <c r="I141" s="9"/>
      <c r="J141" s="9"/>
      <c r="K141" s="9">
        <f ca="1">$E$79</f>
        <v>50.394509076302491</v>
      </c>
      <c r="L141" s="9">
        <f ca="1">K141-S141</f>
        <v>25.197254538151245</v>
      </c>
      <c r="M141" s="9">
        <f ca="1">L141-T141</f>
        <v>0</v>
      </c>
      <c r="N141" s="9"/>
      <c r="O141" s="9"/>
      <c r="P141" s="9"/>
      <c r="Q141" s="9"/>
      <c r="R141" s="9">
        <f>IF(OR($C141="Annual",$D141=$E141),IF(AND($D141=$E141,R$111=$B141+$D141),$K141,IF(AND(R$111&gt;$B141+$D141,R$111&lt;=$B141+$E141), $K141/($E141-$D141),0)), IF(OR(R$111=$B141+$D141,R$111=$B141+$E141),$K141/(($E141-$D141)*2),IF(AND(R$111&gt;$B141+$D141,R$111&lt;$B141+$E141),$K141/($E141-$D141),0)))</f>
        <v>0</v>
      </c>
      <c r="S141" s="9">
        <f>IF(OR($C141="Annual",$D141=$E141),IF(AND($D141=$E141,S$111=$B141+$D141),$K141,IF(AND(S$111&gt;$B141+$D141,S$111&lt;=$B141+$E141), $K141/($E141-$D141),0)), IF(OR(S$111=$B141+$D141,S$111=$B141+$E141),$K141/(($E141-$D141)*2),IF(AND(S$111&gt;$B141+$D141,S$111&lt;$B141+$E141),$K141/($E141-$D141),0)))</f>
        <v>0</v>
      </c>
      <c r="T141" s="9">
        <f>IF(OR($C141="Annual",$D141=$E141),IF(AND($D141=$E141,T$111=$B141+$D141),$K141,IF(AND(T$111&gt;$B141+$D141,T$111&lt;=$B141+$E141), $K141/($E141-$D141),0)), IF(OR(T$111=$B141+$D141,T$111=$B141+$E141),$K141/(($E141-$D141)*2),IF(AND(T$111&gt;$B141+$D141,T$111&lt;$B141+$E141),$K141/($E141-$D141),0)))</f>
        <v>0</v>
      </c>
      <c r="U141" s="9"/>
      <c r="V141" s="9"/>
      <c r="W141" s="9"/>
      <c r="X141" s="9"/>
      <c r="Y141" s="9">
        <f t="shared" si="29"/>
        <v>0</v>
      </c>
      <c r="Z141" s="9">
        <f t="shared" ca="1" si="29"/>
        <v>10.764028484264266</v>
      </c>
      <c r="AA141" s="9">
        <f t="shared" ca="1" si="29"/>
        <v>5.3820142421321329</v>
      </c>
    </row>
    <row r="142" spans="1:27">
      <c r="A142" s="8" t="str">
        <f>A141</f>
        <v>Type 1</v>
      </c>
      <c r="B142" s="7">
        <f>B141+1</f>
        <v>2022</v>
      </c>
      <c r="C142" s="7" t="str">
        <f>C141</f>
        <v>Annual</v>
      </c>
      <c r="D142" s="7">
        <f t="shared" si="30"/>
        <v>5</v>
      </c>
      <c r="E142" s="7">
        <f t="shared" si="30"/>
        <v>5</v>
      </c>
      <c r="F142" s="14">
        <f>$P$79</f>
        <v>0.19606977230199898</v>
      </c>
      <c r="H142" s="9"/>
      <c r="I142" s="9"/>
      <c r="J142" s="9"/>
      <c r="K142" s="9"/>
      <c r="L142" s="9">
        <f ca="1">$F$79</f>
        <v>66.135693653972751</v>
      </c>
      <c r="M142" s="9">
        <f ca="1">L142-T142</f>
        <v>33.067846826986376</v>
      </c>
      <c r="N142" s="9"/>
      <c r="O142" s="9"/>
      <c r="P142" s="9"/>
      <c r="Q142" s="9"/>
      <c r="R142" s="9"/>
      <c r="S142" s="9">
        <f>IF(OR($C142="Annual",$D142=$E142),IF(AND($D142=$E142,S$111=$B142+$D142),$L142,IF(AND(S$111&gt;$B142+$D142,S$111&lt;=$B142+$E142), $L142/($E142-$D142),0)), IF(OR(S$111=$B142+$D142,S$111=$B142+$E142),$L142/(($E142-$D142)*2),IF(AND(S$111&gt;$B142+$D142,S$111&lt;$B142+$E142),$L142/($E142-$D142),0)))</f>
        <v>0</v>
      </c>
      <c r="T142" s="9">
        <f>IF(OR($C142="Annual",$D142=$E142),IF(AND($D142=$E142,T$111=$B142+$D142),$L142,IF(AND(T$111&gt;$B142+$D142,T$111&lt;=$B142+$E142), $L142/($E142-$D142),0)), IF(OR(T$111=$B142+$D142,T$111=$B142+$E142),$L142/(($E142-$D142)*2),IF(AND(T$111&gt;$B142+$D142,T$111&lt;$B142+$E142),$L142/($E142-$D142),0)))</f>
        <v>0</v>
      </c>
      <c r="U142" s="9"/>
      <c r="V142" s="9"/>
      <c r="W142" s="9"/>
      <c r="X142" s="9"/>
      <c r="Y142" s="9"/>
      <c r="Z142" s="9">
        <f t="shared" si="29"/>
        <v>0</v>
      </c>
      <c r="AA142" s="9">
        <f t="shared" ca="1" si="29"/>
        <v>14.265569268924015</v>
      </c>
    </row>
    <row r="143" spans="1:27">
      <c r="A143" s="8" t="str">
        <f>A142</f>
        <v>Type 1</v>
      </c>
      <c r="B143" s="7">
        <f>B142+1</f>
        <v>2023</v>
      </c>
      <c r="C143" s="7" t="str">
        <f>C142</f>
        <v>Annual</v>
      </c>
      <c r="D143" s="7">
        <f t="shared" si="30"/>
        <v>5</v>
      </c>
      <c r="E143" s="7">
        <f t="shared" si="30"/>
        <v>5</v>
      </c>
      <c r="F143" s="14">
        <f>$Q$79</f>
        <v>0.19606977230199898</v>
      </c>
      <c r="H143" s="9"/>
      <c r="I143" s="9"/>
      <c r="J143" s="9"/>
      <c r="K143" s="9"/>
      <c r="L143" s="9"/>
      <c r="M143" s="9">
        <f ca="1">$G$79</f>
        <v>59.051840686377417</v>
      </c>
      <c r="N143" s="9"/>
      <c r="O143" s="9"/>
      <c r="P143" s="9"/>
      <c r="Q143" s="9"/>
      <c r="R143" s="9"/>
      <c r="S143" s="9"/>
      <c r="T143" s="9">
        <f>IF(OR($C143="Annual",$D143=$E143),IF(AND($D143=$E143,T$111=$B143+$D143),$M143,IF(AND(T$111&gt;$B143+$D143,T$111&lt;=$B143+$E143), $M143/($E143-$D143),0)), IF(OR(T$111=$B143+$D143,T$111=$B143+$E143),$M143/(($E143-$D143)*2),IF(AND(T$111&gt;$B143+$D143,T$111&lt;$B143+$E143),$M143/($E143-$D143),0)))</f>
        <v>0</v>
      </c>
      <c r="U143" s="9"/>
      <c r="V143" s="9"/>
      <c r="W143" s="9"/>
      <c r="X143" s="9"/>
      <c r="Y143" s="9"/>
      <c r="Z143" s="9"/>
      <c r="AA143" s="9">
        <f t="shared" si="29"/>
        <v>0</v>
      </c>
    </row>
    <row r="144" spans="1:27">
      <c r="C144" s="281"/>
      <c r="F144" s="15"/>
      <c r="H144" s="10"/>
      <c r="I144" s="10"/>
      <c r="J144" s="10"/>
      <c r="K144" s="10"/>
      <c r="L144" s="10"/>
      <c r="M144" s="10"/>
      <c r="N144" s="10"/>
      <c r="O144" s="278"/>
      <c r="P144" s="10"/>
      <c r="Q144" s="10"/>
      <c r="R144" s="10"/>
      <c r="S144" s="10"/>
      <c r="T144" s="10"/>
      <c r="U144" s="10"/>
      <c r="V144" s="10"/>
      <c r="W144" s="10"/>
      <c r="X144" s="10"/>
      <c r="Y144" s="10"/>
      <c r="Z144" s="10"/>
      <c r="AA144" s="10"/>
    </row>
    <row r="145" spans="1:27">
      <c r="A145" s="8" t="str">
        <f>'Input 4 - Forecast'!A61</f>
        <v>Type 2</v>
      </c>
      <c r="B145" s="7">
        <f>B119</f>
        <v>2018</v>
      </c>
      <c r="C145" s="7" t="str">
        <f>$I80</f>
        <v>Annual</v>
      </c>
      <c r="D145" s="7">
        <f>$J80</f>
        <v>0</v>
      </c>
      <c r="E145" s="7">
        <f>$K80</f>
        <v>0</v>
      </c>
      <c r="F145" s="14">
        <f>$L$80</f>
        <v>0</v>
      </c>
      <c r="H145" s="9">
        <f>$B$80</f>
        <v>0</v>
      </c>
      <c r="I145" s="9">
        <f>H145-P145</f>
        <v>0</v>
      </c>
      <c r="J145" s="9">
        <f>I145-Q145</f>
        <v>0</v>
      </c>
      <c r="K145" s="9">
        <f>J145-R145</f>
        <v>0</v>
      </c>
      <c r="L145" s="9">
        <f>K145-S145</f>
        <v>0</v>
      </c>
      <c r="M145" s="9">
        <f>L145-T145</f>
        <v>0</v>
      </c>
      <c r="N145" s="9"/>
      <c r="O145" s="9">
        <f t="shared" ref="O145:T145" si="31">IF(OR($C145="Annual",$D145=$E145),IF(AND($D145=$E145,O$111=$B145+$D145),$H145,IF(AND(O$111&gt;$B145+$D145,O$111&lt;=$B145+$E145), $H145/($E145-$D145),0)), IF(OR(O$111=$B145+$D145,O$111=$B145+$E145),$H145/(($E145-$D145)*2),IF(AND(O$111&gt;$B145+$D145,O$111&lt;$B145+$E145),$H145/($E145-$D145),0)))</f>
        <v>0</v>
      </c>
      <c r="P145" s="9">
        <f t="shared" si="31"/>
        <v>0</v>
      </c>
      <c r="Q145" s="9">
        <f t="shared" si="31"/>
        <v>0</v>
      </c>
      <c r="R145" s="9">
        <f t="shared" si="31"/>
        <v>0</v>
      </c>
      <c r="S145" s="9">
        <f t="shared" si="31"/>
        <v>0</v>
      </c>
      <c r="T145" s="9">
        <f t="shared" si="31"/>
        <v>0</v>
      </c>
      <c r="U145" s="9"/>
      <c r="V145" s="9">
        <f>IF($C145="annual",IF(V$111=$B145,0,G145*$F145),IF(V$111-$B145=0,0,IF((V$111-$B145)&lt;$E145,AVERAGE(G145,H145)*$F145,IF((V$111-$B145)=$E145,G145*$F145/2,0))))</f>
        <v>0</v>
      </c>
      <c r="W145" s="9">
        <f t="shared" ref="W145:AA150" si="32">IF($C145="annual",IF(W$111=$B145,0,H145*$F145),IF(W$111-$B145=0,0,IF((W$111-$B145)&lt;$E145,AVERAGE(H145,I145)*$F145,IF((W$111-$B145)=$E145,H145*$F145/2,0))))</f>
        <v>0</v>
      </c>
      <c r="X145" s="9">
        <f t="shared" si="32"/>
        <v>0</v>
      </c>
      <c r="Y145" s="9">
        <f t="shared" si="32"/>
        <v>0</v>
      </c>
      <c r="Z145" s="9">
        <f t="shared" si="32"/>
        <v>0</v>
      </c>
      <c r="AA145" s="9">
        <f t="shared" si="32"/>
        <v>0</v>
      </c>
    </row>
    <row r="146" spans="1:27">
      <c r="A146" s="8" t="str">
        <f>A145</f>
        <v>Type 2</v>
      </c>
      <c r="B146" s="7">
        <f>B145+1</f>
        <v>2019</v>
      </c>
      <c r="C146" s="7" t="str">
        <f>C145</f>
        <v>Annual</v>
      </c>
      <c r="D146" s="7">
        <f t="shared" ref="D146:E150" si="33">D145</f>
        <v>0</v>
      </c>
      <c r="E146" s="7">
        <f t="shared" si="33"/>
        <v>0</v>
      </c>
      <c r="F146" s="14">
        <f>$M$80</f>
        <v>0.18606977230199898</v>
      </c>
      <c r="H146" s="9"/>
      <c r="I146" s="9">
        <f ca="1">$C$80</f>
        <v>54.686402467666433</v>
      </c>
      <c r="J146" s="9">
        <f ca="1">I146-Q146</f>
        <v>36.457601645110955</v>
      </c>
      <c r="K146" s="9">
        <f ca="1">J146-R146</f>
        <v>18.228800822555478</v>
      </c>
      <c r="L146" s="9">
        <f ca="1">K146-S146</f>
        <v>0</v>
      </c>
      <c r="M146" s="9">
        <f ca="1">L146-T146</f>
        <v>0</v>
      </c>
      <c r="N146" s="9"/>
      <c r="O146" s="9"/>
      <c r="P146" s="9">
        <f ca="1">IF(OR($C146="Annual",$D146=$E146),IF(AND($D146=$E146,P$111=$B146+$D146),$I146,IF(AND(P$111&gt;$B146+$D146,P$111&lt;=$B146+$E146), $I146/($E146-$D146),0)), IF(OR(P$111=$B146+$D146,P$111=$B146+$E146),$I146/(($E146-$D146)*2),IF(AND(P$111&gt;$B146+$D146,P$111&lt;$B146+$E146),$I146/($E146-$D146),0)))</f>
        <v>0</v>
      </c>
      <c r="Q146" s="9">
        <f>IF(OR($C146="Annual",$D146=$E146),IF(AND($D146=$E146,Q$111=$B146+$D146),$I146,IF(AND(Q$111&gt;$B146+$D146,Q$111&lt;=$B146+$E146), $I146/($E146-$D146),0)), IF(OR(Q$111=$B146+$D146,Q$111=$B146+$E146),$I146/(($E146-$D146)*2),IF(AND(Q$111&gt;$B146+$D146,Q$111&lt;$B146+$E146),$I146/($E146-$D146),0)))</f>
        <v>0</v>
      </c>
      <c r="R146" s="9">
        <f>IF(OR($C146="Annual",$D146=$E146),IF(AND($D146=$E146,R$111=$B146+$D146),$I146,IF(AND(R$111&gt;$B146+$D146,R$111&lt;=$B146+$E146), $I146/($E146-$D146),0)), IF(OR(R$111=$B146+$D146,R$111=$B146+$E146),$I146/(($E146-$D146)*2),IF(AND(R$111&gt;$B146+$D146,R$111&lt;$B146+$E146),$I146/($E146-$D146),0)))</f>
        <v>0</v>
      </c>
      <c r="S146" s="9">
        <f>IF(OR($C146="Annual",$D146=$E146),IF(AND($D146=$E146,S$111=$B146+$D146),$I146,IF(AND(S$111&gt;$B146+$D146,S$111&lt;=$B146+$E146), $I146/($E146-$D146),0)), IF(OR(S$111=$B146+$D146,S$111=$B146+$E146),$I146/(($E146-$D146)*2),IF(AND(S$111&gt;$B146+$D146,S$111&lt;$B146+$E146),$I146/($E146-$D146),0)))</f>
        <v>0</v>
      </c>
      <c r="T146" s="9">
        <f>IF(OR($C146="Annual",$D146=$E146),IF(AND($D146=$E146,T$111=$B146+$D146),$I146,IF(AND(T$111&gt;$B146+$D146,T$111&lt;=$B146+$E146), $I146/($E146-$D146),0)), IF(OR(T$111=$B146+$D146,T$111=$B146+$E146),$I146/(($E146-$D146)*2),IF(AND(T$111&gt;$B146+$D146,T$111&lt;$B146+$E146),$I146/($E146-$D146),0)))</f>
        <v>0</v>
      </c>
      <c r="U146" s="9"/>
      <c r="V146" s="9"/>
      <c r="W146" s="9">
        <f t="shared" si="32"/>
        <v>0</v>
      </c>
      <c r="X146" s="9">
        <f t="shared" ca="1" si="32"/>
        <v>11.381690323946458</v>
      </c>
      <c r="Y146" s="9">
        <f t="shared" ca="1" si="32"/>
        <v>7.5877935492976389</v>
      </c>
      <c r="Z146" s="9">
        <f t="shared" ca="1" si="32"/>
        <v>3.7938967746488195</v>
      </c>
      <c r="AA146" s="9">
        <f t="shared" ca="1" si="32"/>
        <v>0</v>
      </c>
    </row>
    <row r="147" spans="1:27">
      <c r="A147" s="8" t="str">
        <f>A146</f>
        <v>Type 2</v>
      </c>
      <c r="B147" s="7">
        <f>B146+1</f>
        <v>2020</v>
      </c>
      <c r="C147" s="7" t="str">
        <f>C146</f>
        <v>Annual</v>
      </c>
      <c r="D147" s="7">
        <f t="shared" si="33"/>
        <v>0</v>
      </c>
      <c r="E147" s="7">
        <f t="shared" si="33"/>
        <v>0</v>
      </c>
      <c r="F147" s="14">
        <f>$N$80</f>
        <v>0.18606977230199898</v>
      </c>
      <c r="H147" s="9"/>
      <c r="I147" s="9"/>
      <c r="J147" s="9">
        <f ca="1">$D$80</f>
        <v>65.877852445597696</v>
      </c>
      <c r="K147" s="9">
        <f ca="1">J147-R147</f>
        <v>43.918568297065136</v>
      </c>
      <c r="L147" s="9">
        <f ca="1">K147-S147</f>
        <v>21.959284148532571</v>
      </c>
      <c r="M147" s="9">
        <f ca="1">L147-T147</f>
        <v>0</v>
      </c>
      <c r="N147" s="9"/>
      <c r="O147" s="9"/>
      <c r="P147" s="9"/>
      <c r="Q147" s="9">
        <f ca="1">IF(OR($C147="Annual",$D147=$E147),IF(AND($D147=$E147,Q$111=$B147+$D147),$J147,IF(AND(Q$111&gt;$B147+$D147,Q$111&lt;=$B147+$E147), $J147/($E147-$D147),0)), IF(OR(Q$111=$B147+$D147,Q$111=$B147+$E147),$J147/(($E147-$D147)*2),IF(AND(Q$111&gt;$B147+$D147,Q$111&lt;$B147+$E147),$J147/($E147-$D147),0)))</f>
        <v>0</v>
      </c>
      <c r="R147" s="9">
        <f>IF(OR($C147="Annual",$D147=$E147),IF(AND($D147=$E147,R$111=$B147+$D147),$J147,IF(AND(R$111&gt;$B147+$D147,R$111&lt;=$B147+$E147), $J147/($E147-$D147),0)), IF(OR(R$111=$B147+$D147,R$111=$B147+$E147),$J147/(($E147-$D147)*2),IF(AND(R$111&gt;$B147+$D147,R$111&lt;$B147+$E147),$J147/($E147-$D147),0)))</f>
        <v>0</v>
      </c>
      <c r="S147" s="9">
        <f>IF(OR($C147="Annual",$D147=$E147),IF(AND($D147=$E147,S$111=$B147+$D147),$J147,IF(AND(S$111&gt;$B147+$D147,S$111&lt;=$B147+$E147), $J147/($E147-$D147),0)), IF(OR(S$111=$B147+$D147,S$111=$B147+$E147),$J147/(($E147-$D147)*2),IF(AND(S$111&gt;$B147+$D147,S$111&lt;$B147+$E147),$J147/($E147-$D147),0)))</f>
        <v>0</v>
      </c>
      <c r="T147" s="9">
        <f>IF(OR($C147="Annual",$D147=$E147),IF(AND($D147=$E147,T$111=$B147+$D147),$J147,IF(AND(T$111&gt;$B147+$D147,T$111&lt;=$B147+$E147), $J147/($E147-$D147),0)), IF(OR(T$111=$B147+$D147,T$111=$B147+$E147),$J147/(($E147-$D147)*2),IF(AND(T$111&gt;$B147+$D147,T$111&lt;$B147+$E147),$J147/($E147-$D147),0)))</f>
        <v>0</v>
      </c>
      <c r="U147" s="9"/>
      <c r="V147" s="9"/>
      <c r="W147" s="9"/>
      <c r="X147" s="9">
        <f t="shared" si="32"/>
        <v>0</v>
      </c>
      <c r="Y147" s="9">
        <f t="shared" ca="1" si="32"/>
        <v>13.907326145162527</v>
      </c>
      <c r="Z147" s="9">
        <f t="shared" ca="1" si="32"/>
        <v>9.2715507634416863</v>
      </c>
      <c r="AA147" s="9">
        <f t="shared" ca="1" si="32"/>
        <v>4.635775381720844</v>
      </c>
    </row>
    <row r="148" spans="1:27">
      <c r="A148" s="8" t="str">
        <f>A147</f>
        <v>Type 2</v>
      </c>
      <c r="B148" s="7">
        <f>B147+1</f>
        <v>2021</v>
      </c>
      <c r="C148" s="7" t="str">
        <f>C147</f>
        <v>Annual</v>
      </c>
      <c r="D148" s="7">
        <f t="shared" si="33"/>
        <v>0</v>
      </c>
      <c r="E148" s="7">
        <f t="shared" si="33"/>
        <v>0</v>
      </c>
      <c r="F148" s="14">
        <f>$O$80</f>
        <v>0.18606977230199898</v>
      </c>
      <c r="H148" s="9"/>
      <c r="I148" s="9"/>
      <c r="J148" s="9"/>
      <c r="K148" s="9">
        <f ca="1">$E$80</f>
        <v>57.593724658631416</v>
      </c>
      <c r="L148" s="9">
        <f ca="1">K148-S148</f>
        <v>38.395816439087611</v>
      </c>
      <c r="M148" s="9">
        <f ca="1">L148-T148</f>
        <v>19.197908219543805</v>
      </c>
      <c r="N148" s="9"/>
      <c r="O148" s="9"/>
      <c r="P148" s="9"/>
      <c r="Q148" s="9"/>
      <c r="R148" s="9">
        <f ca="1">IF(OR($C148="Annual",$D148=$E148),IF(AND($D148=$E148,R$111=$B148+$D148),$K148,IF(AND(R$111&gt;$B148+$D148,R$111&lt;=$B148+$E148), $K148/($E148-$D148),0)), IF(OR(R$111=$B148+$D148,R$111=$B148+$E148),$K148/(($E148-$D148)*2),IF(AND(R$111&gt;$B148+$D148,R$111&lt;$B148+$E148),$K148/($E148-$D148),0)))</f>
        <v>0</v>
      </c>
      <c r="S148" s="9">
        <f>IF(OR($C148="Annual",$D148=$E148),IF(AND($D148=$E148,S$111=$B148+$D148),$K148,IF(AND(S$111&gt;$B148+$D148,S$111&lt;=$B148+$E148), $K148/($E148-$D148),0)), IF(OR(S$111=$B148+$D148,S$111=$B148+$E148),$K148/(($E148-$D148)*2),IF(AND(S$111&gt;$B148+$D148,S$111&lt;$B148+$E148),$K148/($E148-$D148),0)))</f>
        <v>0</v>
      </c>
      <c r="T148" s="9">
        <f>IF(OR($C148="Annual",$D148=$E148),IF(AND($D148=$E148,T$111=$B148+$D148),$K148,IF(AND(T$111&gt;$B148+$D148,T$111&lt;=$B148+$E148), $K148/($E148-$D148),0)), IF(OR(T$111=$B148+$D148,T$111=$B148+$E148),$K148/(($E148-$D148)*2),IF(AND(T$111&gt;$B148+$D148,T$111&lt;$B148+$E148),$K148/($E148-$D148),0)))</f>
        <v>0</v>
      </c>
      <c r="U148" s="9"/>
      <c r="V148" s="9"/>
      <c r="W148" s="9"/>
      <c r="X148" s="9"/>
      <c r="Y148" s="9">
        <f t="shared" si="32"/>
        <v>0</v>
      </c>
      <c r="Z148" s="9">
        <f t="shared" ca="1" si="32"/>
        <v>12.301746839159161</v>
      </c>
      <c r="AA148" s="9">
        <f t="shared" ca="1" si="32"/>
        <v>8.2011645594394409</v>
      </c>
    </row>
    <row r="149" spans="1:27">
      <c r="A149" s="8" t="str">
        <f>A148</f>
        <v>Type 2</v>
      </c>
      <c r="B149" s="7">
        <f>B148+1</f>
        <v>2022</v>
      </c>
      <c r="C149" s="7" t="str">
        <f>C148</f>
        <v>Annual</v>
      </c>
      <c r="D149" s="7">
        <f t="shared" si="33"/>
        <v>0</v>
      </c>
      <c r="E149" s="7">
        <f t="shared" si="33"/>
        <v>0</v>
      </c>
      <c r="F149" s="14">
        <f>$P$80</f>
        <v>0.18606977230199898</v>
      </c>
      <c r="H149" s="9"/>
      <c r="I149" s="9"/>
      <c r="J149" s="9"/>
      <c r="K149" s="9"/>
      <c r="L149" s="9">
        <f ca="1">$F$80</f>
        <v>74.402655360719336</v>
      </c>
      <c r="M149" s="9">
        <f ca="1">L149-T149</f>
        <v>49.601770240479553</v>
      </c>
      <c r="N149" s="9"/>
      <c r="O149" s="9"/>
      <c r="P149" s="9"/>
      <c r="Q149" s="9"/>
      <c r="R149" s="9"/>
      <c r="S149" s="9">
        <f ca="1">IF(OR($C149="Annual",$D149=$E149),IF(AND($D149=$E149,S$111=$B149+$D149),$L149,IF(AND(S$111&gt;$B149+$D149,S$111&lt;=$B149+$E149), $L149/($E149-$D149),0)), IF(OR(S$111=$B149+$D149,S$111=$B149+$E149),$L149/(($E149-$D149)*2),IF(AND(S$111&gt;$B149+$D149,S$111&lt;$B149+$E149),$L149/($E149-$D149),0)))</f>
        <v>0</v>
      </c>
      <c r="T149" s="9">
        <f>IF(OR($C149="Annual",$D149=$E149),IF(AND($D149=$E149,T$111=$B149+$D149),$L149,IF(AND(T$111&gt;$B149+$D149,T$111&lt;=$B149+$E149), $L149/($E149-$D149),0)), IF(OR(T$111=$B149+$D149,T$111=$B149+$E149),$L149/(($E149-$D149)*2),IF(AND(T$111&gt;$B149+$D149,T$111&lt;$B149+$E149),$L149/($E149-$D149),0)))</f>
        <v>0</v>
      </c>
      <c r="U149" s="9"/>
      <c r="V149" s="9"/>
      <c r="W149" s="9"/>
      <c r="X149" s="9"/>
      <c r="Y149" s="9"/>
      <c r="Z149" s="9">
        <f t="shared" si="32"/>
        <v>0</v>
      </c>
      <c r="AA149" s="9">
        <f t="shared" ca="1" si="32"/>
        <v>16.048765427539514</v>
      </c>
    </row>
    <row r="150" spans="1:27">
      <c r="A150" s="8" t="str">
        <f>A149</f>
        <v>Type 2</v>
      </c>
      <c r="B150" s="7">
        <f>B149+1</f>
        <v>2023</v>
      </c>
      <c r="C150" s="7" t="str">
        <f>C149</f>
        <v>Annual</v>
      </c>
      <c r="D150" s="7">
        <f t="shared" si="33"/>
        <v>0</v>
      </c>
      <c r="E150" s="7">
        <f t="shared" si="33"/>
        <v>0</v>
      </c>
      <c r="F150" s="14">
        <f>$Q$80</f>
        <v>0.18606977230199898</v>
      </c>
      <c r="H150" s="9"/>
      <c r="I150" s="9"/>
      <c r="J150" s="9"/>
      <c r="K150" s="9"/>
      <c r="L150" s="9"/>
      <c r="M150" s="9">
        <f ca="1">$G$80</f>
        <v>74.190773166941568</v>
      </c>
      <c r="N150" s="9"/>
      <c r="O150" s="9"/>
      <c r="P150" s="9"/>
      <c r="Q150" s="9"/>
      <c r="R150" s="9"/>
      <c r="S150" s="9"/>
      <c r="T150" s="9">
        <f ca="1">IF(OR($C150="Annual",$D150=$E150),IF(AND($D150=$E150,T$111=$B150+$D150),$M150,IF(AND(T$111&gt;$B150+$D150,T$111&lt;=$B150+$E150), $M150/($E150-$D150),0)), IF(OR(T$111=$B150+$D150,T$111=$B150+$E150),$M150/(($E150-$D150)*2),IF(AND(T$111&gt;$B150+$D150,T$111&lt;$B150+$E150),$M150/($E150-$D150),0)))</f>
        <v>0</v>
      </c>
      <c r="U150" s="9"/>
      <c r="V150" s="9"/>
      <c r="W150" s="9"/>
      <c r="X150" s="9"/>
      <c r="Y150" s="9"/>
      <c r="Z150" s="9"/>
      <c r="AA150" s="9">
        <f t="shared" si="32"/>
        <v>0</v>
      </c>
    </row>
    <row r="151" spans="1:27">
      <c r="C151" s="281"/>
      <c r="F151" s="15"/>
      <c r="H151" s="10"/>
      <c r="I151" s="10"/>
      <c r="J151" s="10"/>
      <c r="K151" s="10"/>
      <c r="L151" s="10"/>
      <c r="M151" s="10"/>
      <c r="N151" s="10"/>
      <c r="O151" s="278"/>
      <c r="P151" s="10"/>
      <c r="Q151" s="10"/>
      <c r="R151" s="10"/>
      <c r="S151" s="10"/>
      <c r="T151" s="10"/>
      <c r="U151" s="10"/>
      <c r="V151" s="10"/>
      <c r="W151" s="10"/>
      <c r="X151" s="10"/>
      <c r="Y151" s="10"/>
      <c r="Z151" s="10"/>
      <c r="AA151" s="10"/>
    </row>
    <row r="152" spans="1:27">
      <c r="A152" s="8" t="str">
        <f>'Input 4 - Forecast'!A62</f>
        <v>Type 3</v>
      </c>
      <c r="B152" s="7">
        <f>B119</f>
        <v>2018</v>
      </c>
      <c r="C152" s="7" t="str">
        <f>$I81</f>
        <v>Annual</v>
      </c>
      <c r="D152" s="7">
        <f>$J81</f>
        <v>0</v>
      </c>
      <c r="E152" s="7">
        <f>$K81</f>
        <v>0</v>
      </c>
      <c r="F152" s="14">
        <f>$L$81</f>
        <v>0</v>
      </c>
      <c r="H152" s="9">
        <f>$B$81</f>
        <v>0</v>
      </c>
      <c r="I152" s="9">
        <f>H152-P152</f>
        <v>0</v>
      </c>
      <c r="J152" s="9">
        <f>I152-Q152</f>
        <v>0</v>
      </c>
      <c r="K152" s="9">
        <f>J152-R152</f>
        <v>0</v>
      </c>
      <c r="L152" s="9">
        <f>K152-S152</f>
        <v>0</v>
      </c>
      <c r="M152" s="9">
        <f>L152-T152</f>
        <v>0</v>
      </c>
      <c r="N152" s="9"/>
      <c r="O152" s="9">
        <f t="shared" ref="O152:T152" si="34">IF(OR($C152="Annual",$D152=$E152),IF(AND($D152=$E152,O$111=$B152+$D152),$H152,IF(AND(O$111&gt;$B152+$D152,O$111&lt;=$B152+$E152), $H152/($E152-$D152),0)), IF(OR(O$111=$B152+$D152,O$111=$B152+$E152),$H152/(($E152-$D152)*2),IF(AND(O$111&gt;$B152+$D152,O$111&lt;$B152+$E152),$H152/($E152-$D152),0)))</f>
        <v>0</v>
      </c>
      <c r="P152" s="9">
        <f t="shared" si="34"/>
        <v>0</v>
      </c>
      <c r="Q152" s="9">
        <f t="shared" si="34"/>
        <v>0</v>
      </c>
      <c r="R152" s="9">
        <f t="shared" si="34"/>
        <v>0</v>
      </c>
      <c r="S152" s="9">
        <f t="shared" si="34"/>
        <v>0</v>
      </c>
      <c r="T152" s="9">
        <f t="shared" si="34"/>
        <v>0</v>
      </c>
      <c r="U152" s="9"/>
      <c r="V152" s="9">
        <f>IF($C152="annual",IF(V$111=$B152,0,G152*$F152),IF(V$111-$B152=0,0,IF((V$111-$B152)&lt;$E152,AVERAGE(G152,H152)*$F152,IF((V$111-$B152)=$E152,G152*$F152/2,0))))</f>
        <v>0</v>
      </c>
      <c r="W152" s="9">
        <f t="shared" ref="W152:AA157" si="35">IF($C152="annual",IF(W$111=$B152,0,H152*$F152),IF(W$111-$B152=0,0,IF((W$111-$B152)&lt;$E152,AVERAGE(H152,I152)*$F152,IF((W$111-$B152)=$E152,H152*$F152/2,0))))</f>
        <v>0</v>
      </c>
      <c r="X152" s="9">
        <f t="shared" si="35"/>
        <v>0</v>
      </c>
      <c r="Y152" s="9">
        <f t="shared" si="35"/>
        <v>0</v>
      </c>
      <c r="Z152" s="9">
        <f t="shared" si="35"/>
        <v>0</v>
      </c>
      <c r="AA152" s="9">
        <f t="shared" si="35"/>
        <v>0</v>
      </c>
    </row>
    <row r="153" spans="1:27">
      <c r="A153" s="8" t="str">
        <f>A152</f>
        <v>Type 3</v>
      </c>
      <c r="B153" s="7">
        <f>B152+1</f>
        <v>2019</v>
      </c>
      <c r="C153" s="7" t="str">
        <f>C152</f>
        <v>Annual</v>
      </c>
      <c r="D153" s="7">
        <f t="shared" ref="D153:E157" si="36">D152</f>
        <v>0</v>
      </c>
      <c r="E153" s="7">
        <f t="shared" si="36"/>
        <v>0</v>
      </c>
      <c r="F153" s="14">
        <f>$M$81</f>
        <v>0.18606977230199898</v>
      </c>
      <c r="H153" s="9"/>
      <c r="I153" s="9">
        <f ca="1">$C$81</f>
        <v>69.877069819795992</v>
      </c>
      <c r="J153" s="9">
        <f ca="1">I153-Q153</f>
        <v>55.901655855836793</v>
      </c>
      <c r="K153" s="9">
        <f ca="1">J153-R153</f>
        <v>41.926241891877595</v>
      </c>
      <c r="L153" s="9">
        <f ca="1">K153-S153</f>
        <v>27.950827927918397</v>
      </c>
      <c r="M153" s="9">
        <f ca="1">L153-T153</f>
        <v>13.975413963959198</v>
      </c>
      <c r="N153" s="9"/>
      <c r="O153" s="9"/>
      <c r="P153" s="9">
        <f ca="1">IF(OR($C153="Annual",$D153=$E153),IF(AND($D153=$E153,P$111=$B153+$D153),$I153,IF(AND(P$111&gt;$B153+$D153,P$111&lt;=$B153+$E153), $I153/($E153-$D153),0)), IF(OR(P$111=$B153+$D153,P$111=$B153+$E153),$I153/(($E153-$D153)*2),IF(AND(P$111&gt;$B153+$D153,P$111&lt;$B153+$E153),$I153/($E153-$D153),0)))</f>
        <v>0</v>
      </c>
      <c r="Q153" s="9">
        <f>IF(OR($C153="Annual",$D153=$E153),IF(AND($D153=$E153,Q$111=$B153+$D153),$I153,IF(AND(Q$111&gt;$B153+$D153,Q$111&lt;=$B153+$E153), $I153/($E153-$D153),0)), IF(OR(Q$111=$B153+$D153,Q$111=$B153+$E153),$I153/(($E153-$D153)*2),IF(AND(Q$111&gt;$B153+$D153,Q$111&lt;$B153+$E153),$I153/($E153-$D153),0)))</f>
        <v>0</v>
      </c>
      <c r="R153" s="9">
        <f>IF(OR($C153="Annual",$D153=$E153),IF(AND($D153=$E153,R$111=$B153+$D153),$I153,IF(AND(R$111&gt;$B153+$D153,R$111&lt;=$B153+$E153), $I153/($E153-$D153),0)), IF(OR(R$111=$B153+$D153,R$111=$B153+$E153),$I153/(($E153-$D153)*2),IF(AND(R$111&gt;$B153+$D153,R$111&lt;$B153+$E153),$I153/($E153-$D153),0)))</f>
        <v>0</v>
      </c>
      <c r="S153" s="9">
        <f>IF(OR($C153="Annual",$D153=$E153),IF(AND($D153=$E153,S$111=$B153+$D153),$I153,IF(AND(S$111&gt;$B153+$D153,S$111&lt;=$B153+$E153), $I153/($E153-$D153),0)), IF(OR(S$111=$B153+$D153,S$111=$B153+$E153),$I153/(($E153-$D153)*2),IF(AND(S$111&gt;$B153+$D153,S$111&lt;$B153+$E153),$I153/($E153-$D153),0)))</f>
        <v>0</v>
      </c>
      <c r="T153" s="9">
        <f>IF(OR($C153="Annual",$D153=$E153),IF(AND($D153=$E153,T$111=$B153+$D153),$I153,IF(AND(T$111&gt;$B153+$D153,T$111&lt;=$B153+$E153), $I153/($E153-$D153),0)), IF(OR(T$111=$B153+$D153,T$111=$B153+$E153),$I153/(($E153-$D153)*2),IF(AND(T$111&gt;$B153+$D153,T$111&lt;$B153+$E153),$I153/($E153-$D153),0)))</f>
        <v>0</v>
      </c>
      <c r="U153" s="9"/>
      <c r="V153" s="9"/>
      <c r="W153" s="9">
        <f t="shared" si="35"/>
        <v>0</v>
      </c>
      <c r="X153" s="9">
        <f t="shared" ca="1" si="35"/>
        <v>15.28178425114511</v>
      </c>
      <c r="Y153" s="9">
        <f t="shared" ca="1" si="35"/>
        <v>12.225427400916088</v>
      </c>
      <c r="Z153" s="9">
        <f t="shared" ca="1" si="35"/>
        <v>9.1690705506870653</v>
      </c>
      <c r="AA153" s="9">
        <f t="shared" ca="1" si="35"/>
        <v>6.1127137004580439</v>
      </c>
    </row>
    <row r="154" spans="1:27">
      <c r="A154" s="8" t="str">
        <f>A153</f>
        <v>Type 3</v>
      </c>
      <c r="B154" s="7">
        <f>B153+1</f>
        <v>2020</v>
      </c>
      <c r="C154" s="7" t="str">
        <f>C153</f>
        <v>Annual</v>
      </c>
      <c r="D154" s="7">
        <f t="shared" si="36"/>
        <v>0</v>
      </c>
      <c r="E154" s="7">
        <f t="shared" si="36"/>
        <v>0</v>
      </c>
      <c r="F154" s="14">
        <f>$N$81</f>
        <v>0.18606977230199898</v>
      </c>
      <c r="H154" s="9"/>
      <c r="I154" s="9"/>
      <c r="J154" s="9">
        <f ca="1">$D$81</f>
        <v>81.798333453283803</v>
      </c>
      <c r="K154" s="9">
        <f ca="1">J154-R154</f>
        <v>65.438666762627037</v>
      </c>
      <c r="L154" s="9">
        <f ca="1">K154-S154</f>
        <v>49.079000071970277</v>
      </c>
      <c r="M154" s="9">
        <f ca="1">L154-T154</f>
        <v>32.719333381313518</v>
      </c>
      <c r="N154" s="9"/>
      <c r="O154" s="9"/>
      <c r="P154" s="9"/>
      <c r="Q154" s="9">
        <f ca="1">IF(OR($C154="Annual",$D154=$E154),IF(AND($D154=$E154,Q$111=$B154+$D154),$J154,IF(AND(Q$111&gt;$B154+$D154,Q$111&lt;=$B154+$E154), $J154/($E154-$D154),0)), IF(OR(Q$111=$B154+$D154,Q$111=$B154+$E154),$J154/(($E154-$D154)*2),IF(AND(Q$111&gt;$B154+$D154,Q$111&lt;$B154+$E154),$J154/($E154-$D154),0)))</f>
        <v>0</v>
      </c>
      <c r="R154" s="9">
        <f>IF(OR($C154="Annual",$D154=$E154),IF(AND($D154=$E154,R$111=$B154+$D154),$J154,IF(AND(R$111&gt;$B154+$D154,R$111&lt;=$B154+$E154), $J154/($E154-$D154),0)), IF(OR(R$111=$B154+$D154,R$111=$B154+$E154),$J154/(($E154-$D154)*2),IF(AND(R$111&gt;$B154+$D154,R$111&lt;$B154+$E154),$J154/($E154-$D154),0)))</f>
        <v>0</v>
      </c>
      <c r="S154" s="9">
        <f>IF(OR($C154="Annual",$D154=$E154),IF(AND($D154=$E154,S$111=$B154+$D154),$J154,IF(AND(S$111&gt;$B154+$D154,S$111&lt;=$B154+$E154), $J154/($E154-$D154),0)), IF(OR(S$111=$B154+$D154,S$111=$B154+$E154),$J154/(($E154-$D154)*2),IF(AND(S$111&gt;$B154+$D154,S$111&lt;$B154+$E154),$J154/($E154-$D154),0)))</f>
        <v>0</v>
      </c>
      <c r="T154" s="9">
        <f>IF(OR($C154="Annual",$D154=$E154),IF(AND($D154=$E154,T$111=$B154+$D154),$J154,IF(AND(T$111&gt;$B154+$D154,T$111&lt;=$B154+$E154), $J154/($E154-$D154),0)), IF(OR(T$111=$B154+$D154,T$111=$B154+$E154),$J154/(($E154-$D154)*2),IF(AND(T$111&gt;$B154+$D154,T$111&lt;$B154+$E154),$J154/($E154-$D154),0)))</f>
        <v>0</v>
      </c>
      <c r="U154" s="9"/>
      <c r="V154" s="9"/>
      <c r="W154" s="9"/>
      <c r="X154" s="9">
        <f t="shared" si="35"/>
        <v>0</v>
      </c>
      <c r="Y154" s="9">
        <f t="shared" ca="1" si="35"/>
        <v>18.134303152346781</v>
      </c>
      <c r="Z154" s="9">
        <f t="shared" ca="1" si="35"/>
        <v>14.507442521877424</v>
      </c>
      <c r="AA154" s="9">
        <f t="shared" ca="1" si="35"/>
        <v>10.880581891408069</v>
      </c>
    </row>
    <row r="155" spans="1:27">
      <c r="A155" s="8" t="str">
        <f>A154</f>
        <v>Type 3</v>
      </c>
      <c r="B155" s="7">
        <f>B154+1</f>
        <v>2021</v>
      </c>
      <c r="C155" s="7" t="str">
        <f>C154</f>
        <v>Annual</v>
      </c>
      <c r="D155" s="7">
        <f t="shared" si="36"/>
        <v>0</v>
      </c>
      <c r="E155" s="7">
        <f t="shared" si="36"/>
        <v>0</v>
      </c>
      <c r="F155" s="14">
        <f>$O$81</f>
        <v>0.18606977230199898</v>
      </c>
      <c r="H155" s="9"/>
      <c r="I155" s="9"/>
      <c r="J155" s="9"/>
      <c r="K155" s="9">
        <f ca="1">$E$81</f>
        <v>69.112469590357705</v>
      </c>
      <c r="L155" s="9">
        <f ca="1">K155-S155</f>
        <v>55.289975672286161</v>
      </c>
      <c r="M155" s="9">
        <f ca="1">L155-T155</f>
        <v>41.467481754214617</v>
      </c>
      <c r="N155" s="9"/>
      <c r="O155" s="9"/>
      <c r="P155" s="9"/>
      <c r="Q155" s="9"/>
      <c r="R155" s="9">
        <f ca="1">IF(OR($C155="Annual",$D155=$E155),IF(AND($D155=$E155,R$111=$B155+$D155),$K155,IF(AND(R$111&gt;$B155+$D155,R$111&lt;=$B155+$E155), $K155/($E155-$D155),0)), IF(OR(R$111=$B155+$D155,R$111=$B155+$E155),$K155/(($E155-$D155)*2),IF(AND(R$111&gt;$B155+$D155,R$111&lt;$B155+$E155),$K155/($E155-$D155),0)))</f>
        <v>0</v>
      </c>
      <c r="S155" s="9">
        <f>IF(OR($C155="Annual",$D155=$E155),IF(AND($D155=$E155,S$111=$B155+$D155),$K155,IF(AND(S$111&gt;$B155+$D155,S$111&lt;=$B155+$E155), $K155/($E155-$D155),0)), IF(OR(S$111=$B155+$D155,S$111=$B155+$E155),$K155/(($E155-$D155)*2),IF(AND(S$111&gt;$B155+$D155,S$111&lt;$B155+$E155),$K155/($E155-$D155),0)))</f>
        <v>0</v>
      </c>
      <c r="T155" s="9">
        <f>IF(OR($C155="Annual",$D155=$E155),IF(AND($D155=$E155,T$111=$B155+$D155),$K155,IF(AND(T$111&gt;$B155+$D155,T$111&lt;=$B155+$E155), $K155/($E155-$D155),0)), IF(OR(T$111=$B155+$D155,T$111=$B155+$E155),$K155/(($E155-$D155)*2),IF(AND(T$111&gt;$B155+$D155,T$111&lt;$B155+$E155),$K155/($E155-$D155),0)))</f>
        <v>0</v>
      </c>
      <c r="U155" s="9"/>
      <c r="V155" s="9"/>
      <c r="W155" s="9"/>
      <c r="X155" s="9"/>
      <c r="Y155" s="9">
        <f t="shared" si="35"/>
        <v>0</v>
      </c>
      <c r="Z155" s="9">
        <f t="shared" ca="1" si="35"/>
        <v>15.391019680263252</v>
      </c>
      <c r="AA155" s="9">
        <f t="shared" ca="1" si="35"/>
        <v>12.312815744210601</v>
      </c>
    </row>
    <row r="156" spans="1:27">
      <c r="A156" s="8" t="str">
        <f>A155</f>
        <v>Type 3</v>
      </c>
      <c r="B156" s="7">
        <f>B155+1</f>
        <v>2022</v>
      </c>
      <c r="C156" s="7" t="str">
        <f>C155</f>
        <v>Annual</v>
      </c>
      <c r="D156" s="7">
        <f t="shared" si="36"/>
        <v>0</v>
      </c>
      <c r="E156" s="7">
        <f t="shared" si="36"/>
        <v>0</v>
      </c>
      <c r="F156" s="14">
        <f>$P$81</f>
        <v>0.18606977230199898</v>
      </c>
      <c r="H156" s="9"/>
      <c r="I156" s="9"/>
      <c r="J156" s="9"/>
      <c r="K156" s="9"/>
      <c r="L156" s="9">
        <f ca="1">$F$81</f>
        <v>88.456490262188552</v>
      </c>
      <c r="M156" s="9">
        <f ca="1">L156-T156</f>
        <v>70.765192209750836</v>
      </c>
      <c r="N156" s="9"/>
      <c r="O156" s="9"/>
      <c r="P156" s="9"/>
      <c r="Q156" s="9"/>
      <c r="R156" s="9"/>
      <c r="S156" s="9">
        <f ca="1">IF(OR($C156="Annual",$D156=$E156),IF(AND($D156=$E156,S$111=$B156+$D156),$L156,IF(AND(S$111&gt;$B156+$D156,S$111&lt;=$B156+$E156), $L156/($E156-$D156),0)), IF(OR(S$111=$B156+$D156,S$111=$B156+$E156),$L156/(($E156-$D156)*2),IF(AND(S$111&gt;$B156+$D156,S$111&lt;$B156+$E156),$L156/($E156-$D156),0)))</f>
        <v>0</v>
      </c>
      <c r="T156" s="9">
        <f>IF(OR($C156="Annual",$D156=$E156),IF(AND($D156=$E156,T$111=$B156+$D156),$L156,IF(AND(T$111&gt;$B156+$D156,T$111&lt;=$B156+$E156), $L156/($E156-$D156),0)), IF(OR(T$111=$B156+$D156,T$111=$B156+$E156),$L156/(($E156-$D156)*2),IF(AND(T$111&gt;$B156+$D156,T$111&lt;$B156+$E156),$L156/($E156-$D156),0)))</f>
        <v>0</v>
      </c>
      <c r="U156" s="9"/>
      <c r="V156" s="9"/>
      <c r="W156" s="9"/>
      <c r="X156" s="9"/>
      <c r="Y156" s="9"/>
      <c r="Z156" s="9">
        <f t="shared" si="35"/>
        <v>0</v>
      </c>
      <c r="AA156" s="9">
        <f t="shared" ca="1" si="35"/>
        <v>19.787297966219239</v>
      </c>
    </row>
    <row r="157" spans="1:27">
      <c r="A157" s="8" t="str">
        <f>A156</f>
        <v>Type 3</v>
      </c>
      <c r="B157" s="7">
        <f>B156+1</f>
        <v>2023</v>
      </c>
      <c r="C157" s="7" t="str">
        <f>C156</f>
        <v>Annual</v>
      </c>
      <c r="D157" s="7">
        <f t="shared" si="36"/>
        <v>0</v>
      </c>
      <c r="E157" s="7">
        <f t="shared" si="36"/>
        <v>0</v>
      </c>
      <c r="F157" s="14">
        <f>$Q$81</f>
        <v>0.18606977230199898</v>
      </c>
      <c r="H157" s="9"/>
      <c r="I157" s="9"/>
      <c r="J157" s="9"/>
      <c r="K157" s="9"/>
      <c r="L157" s="9"/>
      <c r="M157" s="9">
        <f ca="1">$G$81</f>
        <v>107.26137619755112</v>
      </c>
      <c r="N157" s="9"/>
      <c r="O157" s="9"/>
      <c r="P157" s="9"/>
      <c r="Q157" s="9"/>
      <c r="R157" s="9"/>
      <c r="S157" s="9"/>
      <c r="T157" s="9">
        <f ca="1">IF(OR($C157="Annual",$D157=$E157),IF(AND($D157=$E157,T$111=$B157+$D157),$M157,IF(AND(T$111&gt;$B157+$D157,T$111&lt;=$B157+$E157), $M157/($E157-$D157),0)), IF(OR(T$111=$B157+$D157,T$111=$B157+$E157),$M157/(($E157-$D157)*2),IF(AND(T$111&gt;$B157+$D157,T$111&lt;$B157+$E157),$M157/($E157-$D157),0)))</f>
        <v>0</v>
      </c>
      <c r="U157" s="9"/>
      <c r="V157" s="9"/>
      <c r="W157" s="9"/>
      <c r="X157" s="9"/>
      <c r="Y157" s="9"/>
      <c r="Z157" s="9"/>
      <c r="AA157" s="9">
        <f t="shared" si="35"/>
        <v>0</v>
      </c>
    </row>
    <row r="158" spans="1:27">
      <c r="C158" s="281"/>
      <c r="F158" s="15"/>
      <c r="H158" s="10"/>
      <c r="I158" s="10"/>
      <c r="J158" s="10"/>
      <c r="K158" s="10"/>
      <c r="L158" s="10"/>
      <c r="M158" s="10"/>
      <c r="N158" s="10"/>
      <c r="O158" s="278"/>
      <c r="P158" s="10"/>
      <c r="Q158" s="10"/>
      <c r="R158" s="10"/>
      <c r="S158" s="10"/>
      <c r="T158" s="10"/>
      <c r="U158" s="10"/>
      <c r="V158" s="10"/>
      <c r="W158" s="10"/>
      <c r="X158" s="10"/>
      <c r="Y158" s="10"/>
      <c r="Z158" s="10"/>
      <c r="AA158" s="10"/>
    </row>
    <row r="159" spans="1:27">
      <c r="A159" s="8" t="str">
        <f>'Input 4 - Forecast'!A63</f>
        <v>Type 4</v>
      </c>
      <c r="B159" s="7">
        <f>B119</f>
        <v>2018</v>
      </c>
      <c r="C159" s="7" t="str">
        <f>$I82</f>
        <v>Annual</v>
      </c>
      <c r="D159" s="7">
        <f>$J82</f>
        <v>0</v>
      </c>
      <c r="E159" s="7">
        <f>$K82</f>
        <v>0</v>
      </c>
      <c r="F159" s="14">
        <f>$L$82</f>
        <v>0</v>
      </c>
      <c r="H159" s="9">
        <f>$B$82</f>
        <v>0</v>
      </c>
      <c r="I159" s="9">
        <f>H159-P159</f>
        <v>0</v>
      </c>
      <c r="J159" s="9">
        <f>I159-Q159</f>
        <v>0</v>
      </c>
      <c r="K159" s="9">
        <f>J159-R159</f>
        <v>0</v>
      </c>
      <c r="L159" s="9">
        <f>K159-S159</f>
        <v>0</v>
      </c>
      <c r="M159" s="9">
        <f>L159-T159</f>
        <v>0</v>
      </c>
      <c r="N159" s="9"/>
      <c r="O159" s="9">
        <f t="shared" ref="O159:T159" si="37">IF(OR($C159="Annual",$D159=$E159),IF(AND($D159=$E159,O$111=$B159+$D159),$H159,IF(AND(O$111&gt;$B159+$D159,O$111&lt;=$B159+$E159), $H159/($E159-$D159),0)), IF(OR(O$111=$B159+$D159,O$111=$B159+$E159),$H159/(($E159-$D159)*2),IF(AND(O$111&gt;$B159+$D159,O$111&lt;$B159+$E159),$H159/($E159-$D159),0)))</f>
        <v>0</v>
      </c>
      <c r="P159" s="9">
        <f t="shared" si="37"/>
        <v>0</v>
      </c>
      <c r="Q159" s="9">
        <f t="shared" si="37"/>
        <v>0</v>
      </c>
      <c r="R159" s="9">
        <f t="shared" si="37"/>
        <v>0</v>
      </c>
      <c r="S159" s="9">
        <f t="shared" si="37"/>
        <v>0</v>
      </c>
      <c r="T159" s="9">
        <f t="shared" si="37"/>
        <v>0</v>
      </c>
      <c r="U159" s="9"/>
      <c r="V159" s="9">
        <f>IF($C159="annual",IF(V$111=$B159,0,G159*$F159),IF(V$111-$B159=0,0,IF((V$111-$B159)&lt;$E159,AVERAGE(G159,H159)*$F159,IF((V$111-$B159)=$E159,G159*$F159/2,0))))</f>
        <v>0</v>
      </c>
      <c r="W159" s="9">
        <f t="shared" ref="W159:AA164" si="38">IF($C159="annual",IF(W$111=$B159,0,H159*$F159),IF(W$111-$B159=0,0,IF((W$111-$B159)&lt;$E159,AVERAGE(H159,I159)*$F159,IF((W$111-$B159)=$E159,H159*$F159/2,0))))</f>
        <v>0</v>
      </c>
      <c r="X159" s="9">
        <f t="shared" si="38"/>
        <v>0</v>
      </c>
      <c r="Y159" s="9">
        <f t="shared" si="38"/>
        <v>0</v>
      </c>
      <c r="Z159" s="9">
        <f t="shared" si="38"/>
        <v>0</v>
      </c>
      <c r="AA159" s="9">
        <f t="shared" si="38"/>
        <v>0</v>
      </c>
    </row>
    <row r="160" spans="1:27">
      <c r="A160" s="8" t="str">
        <f>A159</f>
        <v>Type 4</v>
      </c>
      <c r="B160" s="7">
        <f>B159+1</f>
        <v>2019</v>
      </c>
      <c r="C160" s="7" t="str">
        <f>C159</f>
        <v>Annual</v>
      </c>
      <c r="D160" s="7">
        <f t="shared" ref="D160:E164" si="39">D159</f>
        <v>0</v>
      </c>
      <c r="E160" s="7">
        <f t="shared" si="39"/>
        <v>0</v>
      </c>
      <c r="F160" s="14">
        <f>$M$82</f>
        <v>0.18606977230199898</v>
      </c>
      <c r="H160" s="9"/>
      <c r="I160" s="9">
        <f ca="1">$C$82</f>
        <v>114.23381848801431</v>
      </c>
      <c r="J160" s="9">
        <f ca="1">I160-Q160</f>
        <v>102.81043663921288</v>
      </c>
      <c r="K160" s="9">
        <f ca="1">J160-R160</f>
        <v>91.387054790411455</v>
      </c>
      <c r="L160" s="9">
        <f ca="1">K160-S160</f>
        <v>79.963672941610028</v>
      </c>
      <c r="M160" s="9">
        <f ca="1">L160-T160</f>
        <v>68.540291092808602</v>
      </c>
      <c r="N160" s="9"/>
      <c r="O160" s="9"/>
      <c r="P160" s="9">
        <f ca="1">IF(OR($C160="Annual",$D160=$E160),IF(AND($D160=$E160,P$111=$B160+$D160),$I160,IF(AND(P$111&gt;$B160+$D160,P$111&lt;=$B160+$E160), $I160/($E160-$D160),0)), IF(OR(P$111=$B160+$D160,P$111=$B160+$E160),$I160/(($E160-$D160)*2),IF(AND(P$111&gt;$B160+$D160,P$111&lt;$B160+$E160),$I160/($E160-$D160),0)))</f>
        <v>0</v>
      </c>
      <c r="Q160" s="9">
        <f>IF(OR($C160="Annual",$D160=$E160),IF(AND($D160=$E160,Q$111=$B160+$D160),$I160,IF(AND(Q$111&gt;$B160+$D160,Q$111&lt;=$B160+$E160), $I160/($E160-$D160),0)), IF(OR(Q$111=$B160+$D160,Q$111=$B160+$E160),$I160/(($E160-$D160)*2),IF(AND(Q$111&gt;$B160+$D160,Q$111&lt;$B160+$E160),$I160/($E160-$D160),0)))</f>
        <v>0</v>
      </c>
      <c r="R160" s="9">
        <f>IF(OR($C160="Annual",$D160=$E160),IF(AND($D160=$E160,R$111=$B160+$D160),$I160,IF(AND(R$111&gt;$B160+$D160,R$111&lt;=$B160+$E160), $I160/($E160-$D160),0)), IF(OR(R$111=$B160+$D160,R$111=$B160+$E160),$I160/(($E160-$D160)*2),IF(AND(R$111&gt;$B160+$D160,R$111&lt;$B160+$E160),$I160/($E160-$D160),0)))</f>
        <v>0</v>
      </c>
      <c r="S160" s="9">
        <f>IF(OR($C160="Annual",$D160=$E160),IF(AND($D160=$E160,S$111=$B160+$D160),$I160,IF(AND(S$111&gt;$B160+$D160,S$111&lt;=$B160+$E160), $I160/($E160-$D160),0)), IF(OR(S$111=$B160+$D160,S$111=$B160+$E160),$I160/(($E160-$D160)*2),IF(AND(S$111&gt;$B160+$D160,S$111&lt;$B160+$E160),$I160/($E160-$D160),0)))</f>
        <v>0</v>
      </c>
      <c r="T160" s="9">
        <f>IF(OR($C160="Annual",$D160=$E160),IF(AND($D160=$E160,T$111=$B160+$D160),$I160,IF(AND(T$111&gt;$B160+$D160,T$111&lt;=$B160+$E160), $I160/($E160-$D160),0)), IF(OR(T$111=$B160+$D160,T$111=$B160+$E160),$I160/(($E160-$D160)*2),IF(AND(T$111&gt;$B160+$D160,T$111&lt;$B160+$E160),$I160/($E160-$D160),0)))</f>
        <v>0</v>
      </c>
      <c r="U160" s="9"/>
      <c r="V160" s="9"/>
      <c r="W160" s="9">
        <f t="shared" si="38"/>
        <v>0</v>
      </c>
      <c r="X160" s="9">
        <f t="shared" ca="1" si="38"/>
        <v>26.124733308491273</v>
      </c>
      <c r="Y160" s="9">
        <f t="shared" ca="1" si="38"/>
        <v>23.512259977642149</v>
      </c>
      <c r="Z160" s="9">
        <f t="shared" ca="1" si="38"/>
        <v>20.899786646793022</v>
      </c>
      <c r="AA160" s="9">
        <f t="shared" ca="1" si="38"/>
        <v>18.287313315943894</v>
      </c>
    </row>
    <row r="161" spans="1:27">
      <c r="A161" s="8" t="str">
        <f>A160</f>
        <v>Type 4</v>
      </c>
      <c r="B161" s="7">
        <f>B160+1</f>
        <v>2020</v>
      </c>
      <c r="C161" s="7" t="str">
        <f>C160</f>
        <v>Annual</v>
      </c>
      <c r="D161" s="7">
        <f t="shared" si="39"/>
        <v>0</v>
      </c>
      <c r="E161" s="7">
        <f t="shared" si="39"/>
        <v>0</v>
      </c>
      <c r="F161" s="14">
        <f>$N$82</f>
        <v>0.18606977230199898</v>
      </c>
      <c r="H161" s="9"/>
      <c r="I161" s="9"/>
      <c r="J161" s="9">
        <f ca="1">$D$82</f>
        <v>124.89342859477897</v>
      </c>
      <c r="K161" s="9">
        <f ca="1">J161-R161</f>
        <v>112.40408573530107</v>
      </c>
      <c r="L161" s="9">
        <f ca="1">K161-S161</f>
        <v>99.914742875823165</v>
      </c>
      <c r="M161" s="9">
        <f ca="1">L161-T161</f>
        <v>87.425400016345264</v>
      </c>
      <c r="N161" s="9"/>
      <c r="O161" s="9"/>
      <c r="P161" s="9"/>
      <c r="Q161" s="9">
        <f ca="1">IF(OR($C161="Annual",$D161=$E161),IF(AND($D161=$E161,Q$111=$B161+$D161),$J161,IF(AND(Q$111&gt;$B161+$D161,Q$111&lt;=$B161+$E161), $J161/($E161-$D161),0)), IF(OR(Q$111=$B161+$D161,Q$111=$B161+$E161),$J161/(($E161-$D161)*2),IF(AND(Q$111&gt;$B161+$D161,Q$111&lt;$B161+$E161),$J161/($E161-$D161),0)))</f>
        <v>0</v>
      </c>
      <c r="R161" s="9">
        <f>IF(OR($C161="Annual",$D161=$E161),IF(AND($D161=$E161,R$111=$B161+$D161),$J161,IF(AND(R$111&gt;$B161+$D161,R$111&lt;=$B161+$E161), $J161/($E161-$D161),0)), IF(OR(R$111=$B161+$D161,R$111=$B161+$E161),$J161/(($E161-$D161)*2),IF(AND(R$111&gt;$B161+$D161,R$111&lt;$B161+$E161),$J161/($E161-$D161),0)))</f>
        <v>0</v>
      </c>
      <c r="S161" s="9">
        <f>IF(OR($C161="Annual",$D161=$E161),IF(AND($D161=$E161,S$111=$B161+$D161),$J161,IF(AND(S$111&gt;$B161+$D161,S$111&lt;=$B161+$E161), $J161/($E161-$D161),0)), IF(OR(S$111=$B161+$D161,S$111=$B161+$E161),$J161/(($E161-$D161)*2),IF(AND(S$111&gt;$B161+$D161,S$111&lt;$B161+$E161),$J161/($E161-$D161),0)))</f>
        <v>0</v>
      </c>
      <c r="T161" s="9">
        <f>IF(OR($C161="Annual",$D161=$E161),IF(AND($D161=$E161,T$111=$B161+$D161),$J161,IF(AND(T$111&gt;$B161+$D161,T$111&lt;=$B161+$E161), $J161/($E161-$D161),0)), IF(OR(T$111=$B161+$D161,T$111=$B161+$E161),$J161/(($E161-$D161)*2),IF(AND(T$111&gt;$B161+$D161,T$111&lt;$B161+$E161),$J161/($E161-$D161),0)))</f>
        <v>0</v>
      </c>
      <c r="U161" s="9"/>
      <c r="V161" s="9"/>
      <c r="W161" s="9"/>
      <c r="X161" s="9">
        <f t="shared" si="38"/>
        <v>0</v>
      </c>
      <c r="Y161" s="9">
        <f t="shared" ca="1" si="38"/>
        <v>28.937215944732309</v>
      </c>
      <c r="Z161" s="9">
        <f t="shared" ca="1" si="38"/>
        <v>26.043494350259078</v>
      </c>
      <c r="AA161" s="9">
        <f t="shared" ca="1" si="38"/>
        <v>23.149772755785843</v>
      </c>
    </row>
    <row r="162" spans="1:27">
      <c r="A162" s="8" t="str">
        <f>A161</f>
        <v>Type 4</v>
      </c>
      <c r="B162" s="7">
        <f>B161+1</f>
        <v>2021</v>
      </c>
      <c r="C162" s="7" t="str">
        <f>C161</f>
        <v>Annual</v>
      </c>
      <c r="D162" s="7">
        <f t="shared" si="39"/>
        <v>0</v>
      </c>
      <c r="E162" s="7">
        <f t="shared" si="39"/>
        <v>0</v>
      </c>
      <c r="F162" s="14">
        <f>$O$82</f>
        <v>0.18606977230199898</v>
      </c>
      <c r="H162" s="9"/>
      <c r="I162" s="9"/>
      <c r="J162" s="9"/>
      <c r="K162" s="9">
        <f ca="1">$E$82</f>
        <v>129.5858804819207</v>
      </c>
      <c r="L162" s="9">
        <f ca="1">K162-S162</f>
        <v>116.62729243372863</v>
      </c>
      <c r="M162" s="9">
        <f ca="1">L162-T162</f>
        <v>103.66870438553656</v>
      </c>
      <c r="N162" s="9"/>
      <c r="O162" s="9"/>
      <c r="P162" s="9"/>
      <c r="Q162" s="9"/>
      <c r="R162" s="9">
        <f ca="1">IF(OR($C162="Annual",$D162=$E162),IF(AND($D162=$E162,R$111=$B162+$D162),$K162,IF(AND(R$111&gt;$B162+$D162,R$111&lt;=$B162+$E162), $K162/($E162-$D162),0)), IF(OR(R$111=$B162+$D162,R$111=$B162+$E162),$K162/(($E162-$D162)*2),IF(AND(R$111&gt;$B162+$D162,R$111&lt;$B162+$E162),$K162/($E162-$D162),0)))</f>
        <v>0</v>
      </c>
      <c r="S162" s="9">
        <f>IF(OR($C162="Annual",$D162=$E162),IF(AND($D162=$E162,S$111=$B162+$D162),$K162,IF(AND(S$111&gt;$B162+$D162,S$111&lt;=$B162+$E162), $K162/($E162-$D162),0)), IF(OR(S$111=$B162+$D162,S$111=$B162+$E162),$K162/(($E162-$D162)*2),IF(AND(S$111&gt;$B162+$D162,S$111&lt;$B162+$E162),$K162/($E162-$D162),0)))</f>
        <v>0</v>
      </c>
      <c r="T162" s="9">
        <f>IF(OR($C162="Annual",$D162=$E162),IF(AND($D162=$E162,T$111=$B162+$D162),$K162,IF(AND(T$111&gt;$B162+$D162,T$111&lt;=$B162+$E162), $K162/($E162-$D162),0)), IF(OR(T$111=$B162+$D162,T$111=$B162+$E162),$K162/(($E162-$D162)*2),IF(AND(T$111&gt;$B162+$D162,T$111&lt;$B162+$E162),$K162/($E162-$D162),0)))</f>
        <v>0</v>
      </c>
      <c r="U162" s="9"/>
      <c r="V162" s="9"/>
      <c r="W162" s="9"/>
      <c r="X162" s="9"/>
      <c r="Y162" s="9">
        <f t="shared" si="38"/>
        <v>0</v>
      </c>
      <c r="Z162" s="9">
        <f t="shared" ca="1" si="38"/>
        <v>30.154020705312803</v>
      </c>
      <c r="AA162" s="9">
        <f t="shared" ca="1" si="38"/>
        <v>27.138618634781523</v>
      </c>
    </row>
    <row r="163" spans="1:27">
      <c r="A163" s="8" t="str">
        <f>A162</f>
        <v>Type 4</v>
      </c>
      <c r="B163" s="7">
        <f>B162+1</f>
        <v>2022</v>
      </c>
      <c r="C163" s="7" t="str">
        <f>C162</f>
        <v>Annual</v>
      </c>
      <c r="D163" s="7">
        <f t="shared" si="39"/>
        <v>0</v>
      </c>
      <c r="E163" s="7">
        <f t="shared" si="39"/>
        <v>0</v>
      </c>
      <c r="F163" s="14">
        <f>$P$82</f>
        <v>0.18606977230199898</v>
      </c>
      <c r="H163" s="9"/>
      <c r="I163" s="9"/>
      <c r="J163" s="9"/>
      <c r="K163" s="9"/>
      <c r="L163" s="9">
        <f ca="1">$F$82</f>
        <v>148.80531072143867</v>
      </c>
      <c r="M163" s="9">
        <f ca="1">L163-T163</f>
        <v>133.92477964929481</v>
      </c>
      <c r="N163" s="9"/>
      <c r="O163" s="9"/>
      <c r="P163" s="9"/>
      <c r="Q163" s="9"/>
      <c r="R163" s="9"/>
      <c r="S163" s="9">
        <f ca="1">IF(OR($C163="Annual",$D163=$E163),IF(AND($D163=$E163,S$111=$B163+$D163),$L163,IF(AND(S$111&gt;$B163+$D163,S$111&lt;=$B163+$E163), $L163/($E163-$D163),0)), IF(OR(S$111=$B163+$D163,S$111=$B163+$E163),$L163/(($E163-$D163)*2),IF(AND(S$111&gt;$B163+$D163,S$111&lt;$B163+$E163),$L163/($E163-$D163),0)))</f>
        <v>0</v>
      </c>
      <c r="T163" s="9">
        <f>IF(OR($C163="Annual",$D163=$E163),IF(AND($D163=$E163,T$111=$B163+$D163),$L163,IF(AND(T$111&gt;$B163+$D163,T$111&lt;=$B163+$E163), $L163/($E163-$D163),0)), IF(OR(T$111=$B163+$D163,T$111=$B163+$E163),$L163/(($E163-$D163)*2),IF(AND(T$111&gt;$B163+$D163,T$111&lt;$B163+$E163),$L163/($E163-$D163),0)))</f>
        <v>0</v>
      </c>
      <c r="U163" s="9"/>
      <c r="V163" s="9"/>
      <c r="W163" s="9"/>
      <c r="X163" s="9"/>
      <c r="Y163" s="9"/>
      <c r="Z163" s="9">
        <f t="shared" si="38"/>
        <v>0</v>
      </c>
      <c r="AA163" s="9">
        <f t="shared" ca="1" si="38"/>
        <v>34.775096414872912</v>
      </c>
    </row>
    <row r="164" spans="1:27">
      <c r="A164" s="8" t="str">
        <f>A163</f>
        <v>Type 4</v>
      </c>
      <c r="B164" s="7">
        <f>B163+1</f>
        <v>2023</v>
      </c>
      <c r="C164" s="7" t="str">
        <f>C163</f>
        <v>Annual</v>
      </c>
      <c r="D164" s="7">
        <f t="shared" si="39"/>
        <v>0</v>
      </c>
      <c r="E164" s="7">
        <f t="shared" si="39"/>
        <v>0</v>
      </c>
      <c r="F164" s="14">
        <f>$Q$82</f>
        <v>0.18606977230199898</v>
      </c>
      <c r="H164" s="9"/>
      <c r="I164" s="9"/>
      <c r="J164" s="9"/>
      <c r="K164" s="9"/>
      <c r="L164" s="9"/>
      <c r="M164" s="9">
        <f ca="1">$G$82</f>
        <v>174.25133317291696</v>
      </c>
      <c r="N164" s="9"/>
      <c r="O164" s="9"/>
      <c r="P164" s="9"/>
      <c r="Q164" s="9"/>
      <c r="R164" s="9"/>
      <c r="S164" s="9"/>
      <c r="T164" s="9">
        <f ca="1">IF(OR($C164="Annual",$D164=$E164),IF(AND($D164=$E164,T$111=$B164+$D164),$M164,IF(AND(T$111&gt;$B164+$D164,T$111&lt;=$B164+$E164), $M164/($E164-$D164),0)), IF(OR(T$111=$B164+$D164,T$111=$B164+$E164),$M164/(($E164-$D164)*2),IF(AND(T$111&gt;$B164+$D164,T$111&lt;$B164+$E164),$M164/($E164-$D164),0)))</f>
        <v>0</v>
      </c>
      <c r="U164" s="9"/>
      <c r="V164" s="9"/>
      <c r="W164" s="9"/>
      <c r="X164" s="9"/>
      <c r="Y164" s="9"/>
      <c r="Z164" s="9"/>
      <c r="AA164" s="9">
        <f t="shared" si="38"/>
        <v>0</v>
      </c>
    </row>
    <row r="165" spans="1:27">
      <c r="C165" s="281"/>
      <c r="F165" s="15"/>
      <c r="H165" s="10"/>
      <c r="I165" s="10"/>
      <c r="J165" s="10"/>
      <c r="K165" s="10"/>
      <c r="L165" s="10"/>
      <c r="M165" s="10"/>
      <c r="N165" s="10"/>
      <c r="O165" s="278"/>
      <c r="P165" s="10"/>
      <c r="Q165" s="10"/>
      <c r="R165" s="10"/>
      <c r="S165" s="10"/>
      <c r="T165" s="10"/>
      <c r="U165" s="10"/>
      <c r="V165" s="10"/>
      <c r="W165" s="10"/>
      <c r="X165" s="10"/>
      <c r="Y165" s="10"/>
      <c r="Z165" s="10"/>
      <c r="AA165" s="10"/>
    </row>
    <row r="166" spans="1:27" s="1150" customFormat="1">
      <c r="A166" s="1347" t="str">
        <f>'Input 4 - Forecast'!A64</f>
        <v>ZERO-COUPON BOND</v>
      </c>
      <c r="B166" s="1348">
        <f>B119</f>
        <v>2018</v>
      </c>
      <c r="C166" s="1348"/>
      <c r="D166" s="1348">
        <f>$J83</f>
        <v>0</v>
      </c>
      <c r="E166" s="1348">
        <f>$K83</f>
        <v>0</v>
      </c>
      <c r="F166" s="1349">
        <f>$L$83</f>
        <v>0</v>
      </c>
      <c r="H166" s="1350">
        <f>$B$83</f>
        <v>0</v>
      </c>
      <c r="I166" s="1350">
        <f>H166-P166</f>
        <v>0</v>
      </c>
      <c r="J166" s="1350">
        <f>I166-Q166</f>
        <v>0</v>
      </c>
      <c r="K166" s="1350">
        <f>J166-R166</f>
        <v>0</v>
      </c>
      <c r="L166" s="1350">
        <f>K166-S166</f>
        <v>0</v>
      </c>
      <c r="M166" s="1350">
        <f>L166-T166</f>
        <v>0</v>
      </c>
      <c r="N166" s="1350"/>
      <c r="O166" s="1350">
        <f t="shared" ref="O166:T166" si="40">IF($D166=$E166,IF(O$111=$B166+$E166,$H166,0),0)</f>
        <v>0</v>
      </c>
      <c r="P166" s="1350">
        <f t="shared" si="40"/>
        <v>0</v>
      </c>
      <c r="Q166" s="1350">
        <f t="shared" si="40"/>
        <v>0</v>
      </c>
      <c r="R166" s="1350">
        <f t="shared" si="40"/>
        <v>0</v>
      </c>
      <c r="S166" s="1350">
        <f t="shared" si="40"/>
        <v>0</v>
      </c>
      <c r="T166" s="1350">
        <f t="shared" si="40"/>
        <v>0</v>
      </c>
      <c r="U166" s="1350"/>
      <c r="V166" s="1350">
        <f t="shared" ref="V166:AA166" si="41">IF(V$111-$B166=$D166,$H166*(((1+$F166)^$D166)-1),0)</f>
        <v>0</v>
      </c>
      <c r="W166" s="1350">
        <f t="shared" si="41"/>
        <v>0</v>
      </c>
      <c r="X166" s="1350">
        <f t="shared" si="41"/>
        <v>0</v>
      </c>
      <c r="Y166" s="1350">
        <f t="shared" si="41"/>
        <v>0</v>
      </c>
      <c r="Z166" s="1350">
        <f t="shared" si="41"/>
        <v>0</v>
      </c>
      <c r="AA166" s="1350">
        <f t="shared" si="41"/>
        <v>0</v>
      </c>
    </row>
    <row r="167" spans="1:27" s="1150" customFormat="1">
      <c r="A167" s="1347" t="str">
        <f>A166</f>
        <v>ZERO-COUPON BOND</v>
      </c>
      <c r="B167" s="1348">
        <f>B166+1</f>
        <v>2019</v>
      </c>
      <c r="C167" s="1348"/>
      <c r="D167" s="1348">
        <f t="shared" ref="D167:E171" si="42">D166</f>
        <v>0</v>
      </c>
      <c r="E167" s="1348">
        <f t="shared" si="42"/>
        <v>0</v>
      </c>
      <c r="F167" s="1349">
        <f>$M$83</f>
        <v>0.18606977230199898</v>
      </c>
      <c r="H167" s="1350"/>
      <c r="I167" s="1350">
        <f ca="1">$C$83</f>
        <v>0</v>
      </c>
      <c r="J167" s="1350">
        <f ca="1">I167-Q167</f>
        <v>0</v>
      </c>
      <c r="K167" s="1350">
        <f ca="1">J167-R167</f>
        <v>0</v>
      </c>
      <c r="L167" s="1350">
        <f ca="1">K167-S167</f>
        <v>0</v>
      </c>
      <c r="M167" s="1350">
        <f ca="1">L167-T167</f>
        <v>0</v>
      </c>
      <c r="N167" s="1350"/>
      <c r="O167" s="1351"/>
      <c r="P167" s="1350">
        <f ca="1">IF($D167=$E167,IF(P$111=$B167+$E167,$I167,0),0)</f>
        <v>0</v>
      </c>
      <c r="Q167" s="1350">
        <f>IF($D167=$E167,IF(Q$111=$B167+$E167,$I167,0),0)</f>
        <v>0</v>
      </c>
      <c r="R167" s="1350">
        <f>IF($D167=$E167,IF(R$111=$B167+$E167,$I167,0),0)</f>
        <v>0</v>
      </c>
      <c r="S167" s="1350">
        <f>IF($D167=$E167,IF(S$111=$B167+$E167,$I167,0),0)</f>
        <v>0</v>
      </c>
      <c r="T167" s="1350">
        <f>IF($D167=$E167,IF(T$111=$B167+$E167,$I167,0),0)</f>
        <v>0</v>
      </c>
      <c r="U167" s="1350"/>
      <c r="V167" s="1350"/>
      <c r="W167" s="1350">
        <f ca="1">IF(W$111-$B167=$D167,$I167*(((1+$F167)^$D167)-1),0)</f>
        <v>0</v>
      </c>
      <c r="X167" s="1350">
        <f>IF(X$111-$B167=$D167,$I167*(((1+$F167)^$D167)-1),0)</f>
        <v>0</v>
      </c>
      <c r="Y167" s="1350">
        <f>IF(Y$111-$B167=$D167,$I167*(((1+$F167)^$D167)-1),0)</f>
        <v>0</v>
      </c>
      <c r="Z167" s="1350">
        <f>IF(Z$111-$B167=$D167,$I167*(((1+$F167)^$D167)-1),0)</f>
        <v>0</v>
      </c>
      <c r="AA167" s="1350">
        <f>IF(AA$111-$B167=$D167,$I167*(((1+$F167)^$D167)-1),0)</f>
        <v>0</v>
      </c>
    </row>
    <row r="168" spans="1:27" s="1150" customFormat="1">
      <c r="A168" s="1347" t="str">
        <f>A167</f>
        <v>ZERO-COUPON BOND</v>
      </c>
      <c r="B168" s="1348">
        <f>B167+1</f>
        <v>2020</v>
      </c>
      <c r="C168" s="1348"/>
      <c r="D168" s="1348">
        <f t="shared" si="42"/>
        <v>0</v>
      </c>
      <c r="E168" s="1348">
        <f t="shared" si="42"/>
        <v>0</v>
      </c>
      <c r="F168" s="1349">
        <f>$N$83</f>
        <v>0.18606977230199898</v>
      </c>
      <c r="H168" s="1350"/>
      <c r="I168" s="1350"/>
      <c r="J168" s="1350">
        <f ca="1">$D$83</f>
        <v>0</v>
      </c>
      <c r="K168" s="1350">
        <f ca="1">J168-R168</f>
        <v>0</v>
      </c>
      <c r="L168" s="1350">
        <f ca="1">K168-S168</f>
        <v>0</v>
      </c>
      <c r="M168" s="1350">
        <f ca="1">L168-T168</f>
        <v>0</v>
      </c>
      <c r="N168" s="1350"/>
      <c r="O168" s="1351"/>
      <c r="P168" s="1350"/>
      <c r="Q168" s="1350">
        <f ca="1">IF($D168=$E168,IF(Q$111=$B168+$E168,$J168,0),0)</f>
        <v>0</v>
      </c>
      <c r="R168" s="1350">
        <f>IF($D168=$E168,IF(R$111=$B168+$E168,$J168,0),0)</f>
        <v>0</v>
      </c>
      <c r="S168" s="1350">
        <f>IF($D168=$E168,IF(S$111=$B168+$E168,$J168,0),0)</f>
        <v>0</v>
      </c>
      <c r="T168" s="1350">
        <f>IF($D168=$E168,IF(T$111=$B168+$E168,$J168,0),0)</f>
        <v>0</v>
      </c>
      <c r="U168" s="1350"/>
      <c r="V168" s="1350"/>
      <c r="W168" s="1350"/>
      <c r="X168" s="1350">
        <f ca="1">IF(X$111-$B168=$D168,$J168*(((1+$F168)^$D168)-1),0)</f>
        <v>0</v>
      </c>
      <c r="Y168" s="1350">
        <f>IF(Y$111-$B168=$D168,$J168*(((1+$F168)^$D168)-1),0)</f>
        <v>0</v>
      </c>
      <c r="Z168" s="1350">
        <f>IF(Z$111-$B168=$D168,$J168*(((1+$F168)^$D168)-1),0)</f>
        <v>0</v>
      </c>
      <c r="AA168" s="1350">
        <f>IF(AA$111-$B168=$D168,$J168*(((1+$F168)^$D168)-1),0)</f>
        <v>0</v>
      </c>
    </row>
    <row r="169" spans="1:27" s="1150" customFormat="1">
      <c r="A169" s="1347" t="str">
        <f>A168</f>
        <v>ZERO-COUPON BOND</v>
      </c>
      <c r="B169" s="1348">
        <f>B168+1</f>
        <v>2021</v>
      </c>
      <c r="C169" s="1348"/>
      <c r="D169" s="1348">
        <f t="shared" si="42"/>
        <v>0</v>
      </c>
      <c r="E169" s="1348">
        <f t="shared" si="42"/>
        <v>0</v>
      </c>
      <c r="F169" s="1349">
        <f>$O$83</f>
        <v>0.18606977230199898</v>
      </c>
      <c r="H169" s="1350"/>
      <c r="I169" s="1350"/>
      <c r="J169" s="1350"/>
      <c r="K169" s="1350">
        <f ca="1">$E$83</f>
        <v>0</v>
      </c>
      <c r="L169" s="1350">
        <f ca="1">K169-S169</f>
        <v>0</v>
      </c>
      <c r="M169" s="1350">
        <f ca="1">L169-T169</f>
        <v>0</v>
      </c>
      <c r="N169" s="1350"/>
      <c r="O169" s="1351"/>
      <c r="P169" s="1350"/>
      <c r="Q169" s="1350"/>
      <c r="R169" s="1350">
        <f ca="1">IF($D169=$E169,IF(R$111=$B169+$E169,$K169,0),0)</f>
        <v>0</v>
      </c>
      <c r="S169" s="1350">
        <f>IF($D169=$E169,IF(S$111=$B169+$E169,$K169,0),0)</f>
        <v>0</v>
      </c>
      <c r="T169" s="1350">
        <f>IF($D169=$E169,IF(T$111=$B169+$E169,$K169,0),0)</f>
        <v>0</v>
      </c>
      <c r="U169" s="1350"/>
      <c r="V169" s="1350"/>
      <c r="W169" s="1350"/>
      <c r="X169" s="1350"/>
      <c r="Y169" s="1350">
        <f ca="1">IF(Y$111-$B169=$D169,$K169*(((1+$F169)^$D169)-1),0)</f>
        <v>0</v>
      </c>
      <c r="Z169" s="1350">
        <f>IF(Z$111-$B169=$D169,$K169*(((1+$F169)^$D169)-1),0)</f>
        <v>0</v>
      </c>
      <c r="AA169" s="1350">
        <f>IF(AA$111-$B169=$D169,$K169*(((1+$F169)^$D169)-1),0)</f>
        <v>0</v>
      </c>
    </row>
    <row r="170" spans="1:27" s="1150" customFormat="1">
      <c r="A170" s="1347" t="str">
        <f>A169</f>
        <v>ZERO-COUPON BOND</v>
      </c>
      <c r="B170" s="1348">
        <f>B169+1</f>
        <v>2022</v>
      </c>
      <c r="C170" s="1348"/>
      <c r="D170" s="1348">
        <f t="shared" si="42"/>
        <v>0</v>
      </c>
      <c r="E170" s="1348">
        <f t="shared" si="42"/>
        <v>0</v>
      </c>
      <c r="F170" s="1349">
        <f>$P$83</f>
        <v>0.18606977230199898</v>
      </c>
      <c r="H170" s="1350"/>
      <c r="I170" s="1350"/>
      <c r="J170" s="1350"/>
      <c r="K170" s="1350"/>
      <c r="L170" s="1350">
        <f ca="1">$F$83</f>
        <v>0</v>
      </c>
      <c r="M170" s="1350">
        <f ca="1">L170-T170</f>
        <v>0</v>
      </c>
      <c r="N170" s="1350"/>
      <c r="O170" s="1351"/>
      <c r="P170" s="1350"/>
      <c r="Q170" s="1350"/>
      <c r="R170" s="1350"/>
      <c r="S170" s="1350">
        <f ca="1">IF($D170=$E170,IF(S$111=$B170+$E170,$L170,0),0)</f>
        <v>0</v>
      </c>
      <c r="T170" s="1350">
        <f>IF($D170=$E170,IF(T$111=$B170+$E170,$L170,0),0)</f>
        <v>0</v>
      </c>
      <c r="U170" s="1350"/>
      <c r="V170" s="1350"/>
      <c r="W170" s="1350"/>
      <c r="X170" s="1350"/>
      <c r="Y170" s="1350"/>
      <c r="Z170" s="1350">
        <f ca="1">IF(Z$111-$B170=$D170,$L170*(((1+$F170)^$D170)-1),0)</f>
        <v>0</v>
      </c>
      <c r="AA170" s="1350">
        <f>IF(AA$111-$B170=$D170,$L170*(((1+$F170)^$D170)-1),0)</f>
        <v>0</v>
      </c>
    </row>
    <row r="171" spans="1:27" s="1150" customFormat="1">
      <c r="A171" s="1347" t="str">
        <f>A170</f>
        <v>ZERO-COUPON BOND</v>
      </c>
      <c r="B171" s="1348">
        <f>B170+1</f>
        <v>2023</v>
      </c>
      <c r="C171" s="1348"/>
      <c r="D171" s="1348">
        <f t="shared" si="42"/>
        <v>0</v>
      </c>
      <c r="E171" s="1348">
        <f t="shared" si="42"/>
        <v>0</v>
      </c>
      <c r="F171" s="1349">
        <f>$Q$83</f>
        <v>0.18606977230199898</v>
      </c>
      <c r="H171" s="1350"/>
      <c r="I171" s="1350"/>
      <c r="J171" s="1350"/>
      <c r="K171" s="1350"/>
      <c r="L171" s="1350"/>
      <c r="M171" s="1350">
        <f ca="1">$G$83</f>
        <v>0</v>
      </c>
      <c r="N171" s="1350"/>
      <c r="O171" s="1351"/>
      <c r="P171" s="1350"/>
      <c r="Q171" s="1350"/>
      <c r="R171" s="1350"/>
      <c r="S171" s="1350"/>
      <c r="T171" s="1350">
        <f ca="1">IF($D171=$E171,IF(T$111=$B171+$E171,$M171,0),0)</f>
        <v>0</v>
      </c>
      <c r="U171" s="1350"/>
      <c r="V171" s="1350"/>
      <c r="W171" s="1350"/>
      <c r="X171" s="1350"/>
      <c r="Y171" s="1350"/>
      <c r="Z171" s="1350"/>
      <c r="AA171" s="1350">
        <f ca="1">IF(AA$111-$B171=$D171,$M171*(((1+$F171)^$D171)-1),0)</f>
        <v>0</v>
      </c>
    </row>
    <row r="172" spans="1:27" ht="15.75" thickBot="1">
      <c r="H172" s="10"/>
      <c r="I172" s="10"/>
      <c r="J172" s="10"/>
      <c r="K172" s="10"/>
      <c r="L172" s="10"/>
      <c r="M172" s="10"/>
      <c r="N172" s="10"/>
      <c r="O172" s="10"/>
      <c r="P172" s="10"/>
      <c r="Q172" s="10"/>
      <c r="R172" s="10"/>
      <c r="S172" s="10"/>
      <c r="T172" s="10"/>
      <c r="U172" s="10"/>
      <c r="V172" s="10"/>
      <c r="W172" s="10"/>
      <c r="X172" s="10"/>
      <c r="Y172" s="10"/>
      <c r="Z172" s="10"/>
      <c r="AA172" s="10"/>
    </row>
    <row r="173" spans="1:27" ht="15.75" thickBot="1">
      <c r="A173" s="12" t="str">
        <f>'Input 4 - Forecast'!A65</f>
        <v>Denominated in foreign currency</v>
      </c>
      <c r="B173" s="1999" t="s">
        <v>52</v>
      </c>
      <c r="C173" s="2000"/>
      <c r="D173" s="2000"/>
      <c r="E173" s="2000"/>
      <c r="F173" s="2000"/>
      <c r="G173" s="2000"/>
      <c r="H173" s="2000"/>
      <c r="I173" s="2000"/>
      <c r="J173" s="2000"/>
      <c r="K173" s="2000"/>
      <c r="L173" s="2000"/>
      <c r="M173" s="2000"/>
      <c r="N173" s="2000"/>
      <c r="O173" s="2000"/>
      <c r="P173" s="2000"/>
      <c r="Q173" s="2000"/>
      <c r="R173" s="2000"/>
      <c r="S173" s="2000"/>
      <c r="T173" s="2000"/>
      <c r="U173" s="2000"/>
      <c r="V173" s="2000"/>
      <c r="W173" s="2000"/>
      <c r="X173" s="2000"/>
      <c r="Y173" s="2000"/>
      <c r="Z173" s="2000"/>
      <c r="AA173" s="2001"/>
    </row>
    <row r="174" spans="1:27">
      <c r="H174" s="10"/>
      <c r="I174" s="10"/>
      <c r="J174" s="10"/>
      <c r="K174" s="10"/>
      <c r="L174" s="10"/>
      <c r="M174" s="10"/>
      <c r="N174" s="10"/>
      <c r="O174" s="10"/>
      <c r="P174" s="10"/>
      <c r="Q174" s="10"/>
      <c r="R174" s="10"/>
      <c r="S174" s="10"/>
      <c r="T174" s="10"/>
      <c r="U174" s="10"/>
      <c r="V174" s="10"/>
      <c r="W174" s="10"/>
      <c r="X174" s="10"/>
      <c r="Y174" s="10"/>
      <c r="Z174" s="10"/>
      <c r="AA174" s="10"/>
    </row>
    <row r="175" spans="1:27">
      <c r="A175" s="8" t="str">
        <f>'Input 4 - Forecast'!A66</f>
        <v>Type 6</v>
      </c>
      <c r="B175" s="7">
        <f>B119</f>
        <v>2018</v>
      </c>
      <c r="C175" s="7" t="str">
        <f>$I85</f>
        <v>Annual</v>
      </c>
      <c r="D175" s="7">
        <f>$J85</f>
        <v>0</v>
      </c>
      <c r="E175" s="7">
        <f>$K85</f>
        <v>0</v>
      </c>
      <c r="F175" s="14">
        <f>$L$85</f>
        <v>0</v>
      </c>
      <c r="H175" s="9">
        <f>$B$85/$B$31</f>
        <v>0</v>
      </c>
      <c r="I175" s="9">
        <f>H175-P175</f>
        <v>0</v>
      </c>
      <c r="J175" s="9">
        <f>I175-Q175</f>
        <v>0</v>
      </c>
      <c r="K175" s="9">
        <f>J175-R175</f>
        <v>0</v>
      </c>
      <c r="L175" s="9">
        <f>K175-S175</f>
        <v>0</v>
      </c>
      <c r="M175" s="9">
        <f>L175-T175</f>
        <v>0</v>
      </c>
      <c r="N175" s="9"/>
      <c r="O175" s="9">
        <f t="shared" ref="O175:T175" si="43">IF(OR($C175="Annual",$D175=$E175),IF(AND($D175=$E175,O$111=$B175+$D175),$H175,IF(AND(O$111&gt;$B175+$D175,O$111&lt;=$B175+$E175), $H175/($E175-$D175),0)), IF(OR(O$111=$B175+$D175,O$111=$B175+$E175),$H175/(($E175-$D175)*2),IF(AND(O$111&gt;$B175+$D175,O$111&lt;$B175+$E175),$H175/($E175-$D175),0)))</f>
        <v>0</v>
      </c>
      <c r="P175" s="9">
        <f t="shared" si="43"/>
        <v>0</v>
      </c>
      <c r="Q175" s="9">
        <f t="shared" si="43"/>
        <v>0</v>
      </c>
      <c r="R175" s="9">
        <f t="shared" si="43"/>
        <v>0</v>
      </c>
      <c r="S175" s="9">
        <f t="shared" si="43"/>
        <v>0</v>
      </c>
      <c r="T175" s="9">
        <f t="shared" si="43"/>
        <v>0</v>
      </c>
      <c r="U175" s="9"/>
      <c r="V175" s="9">
        <f>IF($C175="annual",IF(V$111=$B175,0,G175*$F175),IF(V$111-$B175=0,0,IF((V$111-$B175)&lt;$E175,AVERAGE(G175,H175)*$F175,IF((V$111-$B175)=$E175,G175*$F175/2,0))))</f>
        <v>0</v>
      </c>
      <c r="W175" s="9">
        <f t="shared" ref="W175:AA180" si="44">IF($C175="annual",IF(W$111=$B175,0,H175*$F175),IF(W$111-$B175=0,0,IF((W$111-$B175)&lt;$E175,AVERAGE(H175,I175)*$F175,IF((W$111-$B175)=$E175,H175*$F175/2,0))))</f>
        <v>0</v>
      </c>
      <c r="X175" s="9">
        <f t="shared" si="44"/>
        <v>0</v>
      </c>
      <c r="Y175" s="9">
        <f t="shared" si="44"/>
        <v>0</v>
      </c>
      <c r="Z175" s="9">
        <f t="shared" si="44"/>
        <v>0</v>
      </c>
      <c r="AA175" s="9">
        <f t="shared" si="44"/>
        <v>0</v>
      </c>
    </row>
    <row r="176" spans="1:27">
      <c r="A176" s="8" t="str">
        <f>A175</f>
        <v>Type 6</v>
      </c>
      <c r="B176" s="7">
        <f>B175+1</f>
        <v>2019</v>
      </c>
      <c r="C176" s="7" t="str">
        <f t="shared" ref="C176:D180" si="45">C175</f>
        <v>Annual</v>
      </c>
      <c r="D176" s="7">
        <f t="shared" si="45"/>
        <v>0</v>
      </c>
      <c r="E176" s="7">
        <f>E175</f>
        <v>0</v>
      </c>
      <c r="F176" s="14">
        <f>$M$85</f>
        <v>0.18606977230199898</v>
      </c>
      <c r="H176" s="9"/>
      <c r="I176" s="9">
        <f ca="1">$C$85/$C$31</f>
        <v>0</v>
      </c>
      <c r="J176" s="9">
        <f ca="1">I176-Q176</f>
        <v>0</v>
      </c>
      <c r="K176" s="9">
        <f ca="1">J176-R176</f>
        <v>0</v>
      </c>
      <c r="L176" s="9">
        <f ca="1">K176-S176</f>
        <v>0</v>
      </c>
      <c r="M176" s="9">
        <f ca="1">L176-T176</f>
        <v>0</v>
      </c>
      <c r="N176" s="9"/>
      <c r="O176" s="9"/>
      <c r="P176" s="9">
        <f ca="1">IF(OR($C176="Annual",$D176=$E176),IF(AND($D176=$E176,P$111=$B176+$D176),$I176,IF(AND(P$111&gt;$B176+$D176,P$111&lt;=$B176+$E176), $I176/($E176-$D176),0)), IF(OR(P$111=$B176+$D176,P$111=$B176+$E176),$I176/(($E176-$D176)*2),IF(AND(P$111&gt;$B176+$D176,P$111&lt;$B176+$E176),$I176/($E176-$D176),0)))</f>
        <v>0</v>
      </c>
      <c r="Q176" s="9">
        <f>IF(OR($C176="Annual",$D176=$E176),IF(AND($D176=$E176,Q$111=$B176+$D176),$I176,IF(AND(Q$111&gt;$B176+$D176,Q$111&lt;=$B176+$E176), $I176/($E176-$D176),0)), IF(OR(Q$111=$B176+$D176,Q$111=$B176+$E176),$I176/(($E176-$D176)*2),IF(AND(Q$111&gt;$B176+$D176,Q$111&lt;$B176+$E176),$I176/($E176-$D176),0)))</f>
        <v>0</v>
      </c>
      <c r="R176" s="9">
        <f>IF(OR($C176="Annual",$D176=$E176),IF(AND($D176=$E176,R$111=$B176+$D176),$I176,IF(AND(R$111&gt;$B176+$D176,R$111&lt;=$B176+$E176), $I176/($E176-$D176),0)), IF(OR(R$111=$B176+$D176,R$111=$B176+$E176),$I176/(($E176-$D176)*2),IF(AND(R$111&gt;$B176+$D176,R$111&lt;$B176+$E176),$I176/($E176-$D176),0)))</f>
        <v>0</v>
      </c>
      <c r="S176" s="9">
        <f>IF(OR($C176="Annual",$D176=$E176),IF(AND($D176=$E176,S$111=$B176+$D176),$I176,IF(AND(S$111&gt;$B176+$D176,S$111&lt;=$B176+$E176), $I176/($E176-$D176),0)), IF(OR(S$111=$B176+$D176,S$111=$B176+$E176),$I176/(($E176-$D176)*2),IF(AND(S$111&gt;$B176+$D176,S$111&lt;$B176+$E176),$I176/($E176-$D176),0)))</f>
        <v>0</v>
      </c>
      <c r="T176" s="9">
        <f>IF(OR($C176="Annual",$D176=$E176),IF(AND($D176=$E176,T$111=$B176+$D176),$I176,IF(AND(T$111&gt;$B176+$D176,T$111&lt;=$B176+$E176), $I176/($E176-$D176),0)), IF(OR(T$111=$B176+$D176,T$111=$B176+$E176),$I176/(($E176-$D176)*2),IF(AND(T$111&gt;$B176+$D176,T$111&lt;$B176+$E176),$I176/($E176-$D176),0)))</f>
        <v>0</v>
      </c>
      <c r="U176" s="9"/>
      <c r="V176" s="9"/>
      <c r="W176" s="9">
        <f t="shared" si="44"/>
        <v>0</v>
      </c>
      <c r="X176" s="9">
        <f t="shared" ca="1" si="44"/>
        <v>0</v>
      </c>
      <c r="Y176" s="9">
        <f t="shared" ca="1" si="44"/>
        <v>0</v>
      </c>
      <c r="Z176" s="9">
        <f t="shared" ca="1" si="44"/>
        <v>0</v>
      </c>
      <c r="AA176" s="9">
        <f t="shared" ca="1" si="44"/>
        <v>0</v>
      </c>
    </row>
    <row r="177" spans="1:27">
      <c r="A177" s="8" t="str">
        <f>A176</f>
        <v>Type 6</v>
      </c>
      <c r="B177" s="7">
        <f>B176+1</f>
        <v>2020</v>
      </c>
      <c r="C177" s="7" t="str">
        <f t="shared" si="45"/>
        <v>Annual</v>
      </c>
      <c r="D177" s="7">
        <f t="shared" si="45"/>
        <v>0</v>
      </c>
      <c r="E177" s="7">
        <f>E176</f>
        <v>0</v>
      </c>
      <c r="F177" s="14">
        <f>$N$85</f>
        <v>0.18606977230199898</v>
      </c>
      <c r="H177" s="9"/>
      <c r="I177" s="9"/>
      <c r="J177" s="9">
        <f ca="1">$D$85/$D$31</f>
        <v>0</v>
      </c>
      <c r="K177" s="9">
        <f ca="1">J177-R177</f>
        <v>0</v>
      </c>
      <c r="L177" s="9">
        <f ca="1">K177-S177</f>
        <v>0</v>
      </c>
      <c r="M177" s="9">
        <f ca="1">L177-T177</f>
        <v>0</v>
      </c>
      <c r="N177" s="9"/>
      <c r="O177" s="9"/>
      <c r="P177" s="9"/>
      <c r="Q177" s="9">
        <f ca="1">IF(OR($C177="Annual",$D177=$E177),IF(AND($D177=$E177,Q$111=$B177+$D177),$J177,IF(AND(Q$111&gt;$B177+$D177,Q$111&lt;=$B177+$E177), $J177/($E177-$D177),0)), IF(OR(Q$111=$B177+$D177,Q$111=$B177+$E177),$J177/(($E177-$D177)*2),IF(AND(Q$111&gt;$B177+$D177,Q$111&lt;$B177+$E177),$J177/($E177-$D177),0)))</f>
        <v>0</v>
      </c>
      <c r="R177" s="9">
        <f>IF(OR($C177="Annual",$D177=$E177),IF(AND($D177=$E177,R$111=$B177+$D177),$J177,IF(AND(R$111&gt;$B177+$D177,R$111&lt;=$B177+$E177), $J177/($E177-$D177),0)), IF(OR(R$111=$B177+$D177,R$111=$B177+$E177),$J177/(($E177-$D177)*2),IF(AND(R$111&gt;$B177+$D177,R$111&lt;$B177+$E177),$J177/($E177-$D177),0)))</f>
        <v>0</v>
      </c>
      <c r="S177" s="9">
        <f>IF(OR($C177="Annual",$D177=$E177),IF(AND($D177=$E177,S$111=$B177+$D177),$J177,IF(AND(S$111&gt;$B177+$D177,S$111&lt;=$B177+$E177), $J177/($E177-$D177),0)), IF(OR(S$111=$B177+$D177,S$111=$B177+$E177),$J177/(($E177-$D177)*2),IF(AND(S$111&gt;$B177+$D177,S$111&lt;$B177+$E177),$J177/($E177-$D177),0)))</f>
        <v>0</v>
      </c>
      <c r="T177" s="9">
        <f>IF(OR($C177="Annual",$D177=$E177),IF(AND($D177=$E177,T$111=$B177+$D177),$J177,IF(AND(T$111&gt;$B177+$D177,T$111&lt;=$B177+$E177), $J177/($E177-$D177),0)), IF(OR(T$111=$B177+$D177,T$111=$B177+$E177),$J177/(($E177-$D177)*2),IF(AND(T$111&gt;$B177+$D177,T$111&lt;$B177+$E177),$J177/($E177-$D177),0)))</f>
        <v>0</v>
      </c>
      <c r="U177" s="9"/>
      <c r="V177" s="9"/>
      <c r="W177" s="9"/>
      <c r="X177" s="9">
        <f t="shared" si="44"/>
        <v>0</v>
      </c>
      <c r="Y177" s="9">
        <f t="shared" ca="1" si="44"/>
        <v>0</v>
      </c>
      <c r="Z177" s="9">
        <f t="shared" ca="1" si="44"/>
        <v>0</v>
      </c>
      <c r="AA177" s="9">
        <f t="shared" ca="1" si="44"/>
        <v>0</v>
      </c>
    </row>
    <row r="178" spans="1:27">
      <c r="A178" s="8" t="str">
        <f>A177</f>
        <v>Type 6</v>
      </c>
      <c r="B178" s="7">
        <f>B177+1</f>
        <v>2021</v>
      </c>
      <c r="C178" s="7" t="str">
        <f t="shared" si="45"/>
        <v>Annual</v>
      </c>
      <c r="D178" s="7">
        <f t="shared" si="45"/>
        <v>0</v>
      </c>
      <c r="E178" s="7">
        <f>E177</f>
        <v>0</v>
      </c>
      <c r="F178" s="14">
        <f>$O$85</f>
        <v>0.18606977230199898</v>
      </c>
      <c r="H178" s="9"/>
      <c r="I178" s="9"/>
      <c r="J178" s="9"/>
      <c r="K178" s="9">
        <f ca="1">$E$85/$E$31</f>
        <v>0</v>
      </c>
      <c r="L178" s="9">
        <f ca="1">K178-S178</f>
        <v>0</v>
      </c>
      <c r="M178" s="9">
        <f ca="1">L178-T178</f>
        <v>0</v>
      </c>
      <c r="N178" s="9"/>
      <c r="O178" s="9"/>
      <c r="P178" s="9"/>
      <c r="Q178" s="9"/>
      <c r="R178" s="9">
        <f ca="1">IF(OR($C178="Annual",$D178=$E178),IF(AND($D178=$E178,R$111=$B178+$D178),$K178,IF(AND(R$111&gt;$B178+$D178,R$111&lt;=$B178+$E178), $K178/($E178-$D178),0)), IF(OR(R$111=$B178+$D178,R$111=$B178+$E178),$K178/(($E178-$D178)*2),IF(AND(R$111&gt;$B178+$D178,R$111&lt;$B178+$E178),$K178/($E178-$D178),0)))</f>
        <v>0</v>
      </c>
      <c r="S178" s="9">
        <f>IF(OR($C178="Annual",$D178=$E178),IF(AND($D178=$E178,S$111=$B178+$D178),$K178,IF(AND(S$111&gt;$B178+$D178,S$111&lt;=$B178+$E178), $K178/($E178-$D178),0)), IF(OR(S$111=$B178+$D178,S$111=$B178+$E178),$K178/(($E178-$D178)*2),IF(AND(S$111&gt;$B178+$D178,S$111&lt;$B178+$E178),$K178/($E178-$D178),0)))</f>
        <v>0</v>
      </c>
      <c r="T178" s="9">
        <f>IF(OR($C178="Annual",$D178=$E178),IF(AND($D178=$E178,T$111=$B178+$D178),$K178,IF(AND(T$111&gt;$B178+$D178,T$111&lt;=$B178+$E178), $K178/($E178-$D178),0)), IF(OR(T$111=$B178+$D178,T$111=$B178+$E178),$K178/(($E178-$D178)*2),IF(AND(T$111&gt;$B178+$D178,T$111&lt;$B178+$E178),$K178/($E178-$D178),0)))</f>
        <v>0</v>
      </c>
      <c r="U178" s="9"/>
      <c r="V178" s="9"/>
      <c r="W178" s="9"/>
      <c r="X178" s="9"/>
      <c r="Y178" s="9">
        <f t="shared" si="44"/>
        <v>0</v>
      </c>
      <c r="Z178" s="9">
        <f t="shared" ca="1" si="44"/>
        <v>0</v>
      </c>
      <c r="AA178" s="9">
        <f t="shared" ca="1" si="44"/>
        <v>0</v>
      </c>
    </row>
    <row r="179" spans="1:27">
      <c r="A179" s="8" t="str">
        <f>A178</f>
        <v>Type 6</v>
      </c>
      <c r="B179" s="7">
        <f>B178+1</f>
        <v>2022</v>
      </c>
      <c r="C179" s="7" t="str">
        <f t="shared" si="45"/>
        <v>Annual</v>
      </c>
      <c r="D179" s="7">
        <f t="shared" si="45"/>
        <v>0</v>
      </c>
      <c r="E179" s="7">
        <f>E178</f>
        <v>0</v>
      </c>
      <c r="F179" s="14">
        <f>$P$85</f>
        <v>0.18606977230199898</v>
      </c>
      <c r="H179" s="9"/>
      <c r="I179" s="9"/>
      <c r="J179" s="9"/>
      <c r="K179" s="9"/>
      <c r="L179" s="9">
        <f ca="1">$F$85/$F$31</f>
        <v>0</v>
      </c>
      <c r="M179" s="9">
        <f ca="1">L179-T179</f>
        <v>0</v>
      </c>
      <c r="N179" s="9"/>
      <c r="O179" s="9"/>
      <c r="P179" s="9"/>
      <c r="Q179" s="9"/>
      <c r="R179" s="9"/>
      <c r="S179" s="9">
        <f ca="1">IF(OR($C179="Annual",$D179=$E179),IF(AND($D179=$E179,S$111=$B179+$D179),$L179,IF(AND(S$111&gt;$B179+$D179,S$111&lt;=$B179+$E179), $L179/($E179-$D179),0)), IF(OR(S$111=$B179+$D179,S$111=$B179+$E179),$L179/(($E179-$D179)*2),IF(AND(S$111&gt;$B179+$D179,S$111&lt;$B179+$E179),$L179/($E179-$D179),0)))</f>
        <v>0</v>
      </c>
      <c r="T179" s="9">
        <f>IF(OR($C179="Annual",$D179=$E179),IF(AND($D179=$E179,T$111=$B179+$D179),$L179,IF(AND(T$111&gt;$B179+$D179,T$111&lt;=$B179+$E179), $L179/($E179-$D179),0)), IF(OR(T$111=$B179+$D179,T$111=$B179+$E179),$L179/(($E179-$D179)*2),IF(AND(T$111&gt;$B179+$D179,T$111&lt;$B179+$E179),$L179/($E179-$D179),0)))</f>
        <v>0</v>
      </c>
      <c r="U179" s="9"/>
      <c r="V179" s="9"/>
      <c r="W179" s="9"/>
      <c r="X179" s="9"/>
      <c r="Y179" s="9"/>
      <c r="Z179" s="9">
        <f t="shared" si="44"/>
        <v>0</v>
      </c>
      <c r="AA179" s="9">
        <f t="shared" ca="1" si="44"/>
        <v>0</v>
      </c>
    </row>
    <row r="180" spans="1:27">
      <c r="A180" s="8" t="str">
        <f>A179</f>
        <v>Type 6</v>
      </c>
      <c r="B180" s="7">
        <f>B179+1</f>
        <v>2023</v>
      </c>
      <c r="C180" s="7" t="str">
        <f t="shared" si="45"/>
        <v>Annual</v>
      </c>
      <c r="D180" s="7">
        <f t="shared" si="45"/>
        <v>0</v>
      </c>
      <c r="E180" s="7">
        <f>E179</f>
        <v>0</v>
      </c>
      <c r="F180" s="14">
        <f>$Q$85</f>
        <v>0.18606977230199898</v>
      </c>
      <c r="H180" s="9"/>
      <c r="I180" s="9"/>
      <c r="J180" s="9"/>
      <c r="K180" s="9"/>
      <c r="L180" s="9"/>
      <c r="M180" s="9">
        <f ca="1">$G$85/$G$31</f>
        <v>0</v>
      </c>
      <c r="N180" s="9"/>
      <c r="O180" s="9"/>
      <c r="P180" s="9"/>
      <c r="Q180" s="9"/>
      <c r="R180" s="9"/>
      <c r="S180" s="9"/>
      <c r="T180" s="9">
        <f ca="1">IF(OR($C180="Annual",$D180=$E180),IF(AND($D180=$E180,T$111=$B180+$D180),$M180,IF(AND(T$111&gt;$B180+$D180,T$111&lt;=$B180+$E180), $M180/($E180-$D180),0)), IF(OR(T$111=$B180+$D180,T$111=$B180+$E180),$M180/(($E180-$D180)*2),IF(AND(T$111&gt;$B180+$D180,T$111&lt;$B180+$E180),$M180/($E180-$D180),0)))</f>
        <v>0</v>
      </c>
      <c r="U180" s="9"/>
      <c r="V180" s="9"/>
      <c r="W180" s="9"/>
      <c r="X180" s="9"/>
      <c r="Y180" s="9"/>
      <c r="Z180" s="9"/>
      <c r="AA180" s="9">
        <f t="shared" si="44"/>
        <v>0</v>
      </c>
    </row>
    <row r="181" spans="1:27">
      <c r="A181" s="8"/>
      <c r="B181" s="7"/>
      <c r="C181" s="7"/>
      <c r="D181" s="7"/>
      <c r="E181" s="7"/>
      <c r="F181" s="15"/>
      <c r="H181" s="9"/>
      <c r="I181" s="9"/>
      <c r="J181" s="9"/>
      <c r="K181" s="9"/>
      <c r="L181" s="9"/>
      <c r="M181" s="9"/>
      <c r="N181" s="9"/>
      <c r="O181" s="278"/>
      <c r="P181" s="10"/>
      <c r="Q181" s="10"/>
      <c r="R181" s="10"/>
      <c r="S181" s="10"/>
      <c r="T181" s="10"/>
      <c r="U181" s="9"/>
      <c r="V181" s="10"/>
      <c r="W181" s="10"/>
      <c r="X181" s="10"/>
      <c r="Y181" s="10"/>
      <c r="Z181" s="10"/>
      <c r="AA181" s="10"/>
    </row>
    <row r="182" spans="1:27">
      <c r="A182" s="8" t="str">
        <f>'Input 4 - Forecast'!A67</f>
        <v>Type 7</v>
      </c>
      <c r="B182" s="7">
        <f>B119</f>
        <v>2018</v>
      </c>
      <c r="C182" s="7" t="str">
        <f>$I86</f>
        <v>Annual</v>
      </c>
      <c r="D182" s="7">
        <f>$J86</f>
        <v>0</v>
      </c>
      <c r="E182" s="7">
        <f>$K86</f>
        <v>0</v>
      </c>
      <c r="F182" s="14">
        <f>$L$86</f>
        <v>0</v>
      </c>
      <c r="H182" s="9">
        <f>$B$86/$B$31</f>
        <v>0</v>
      </c>
      <c r="I182" s="9">
        <f>H182-P182</f>
        <v>0</v>
      </c>
      <c r="J182" s="9">
        <f>I182-Q182</f>
        <v>0</v>
      </c>
      <c r="K182" s="9">
        <f>J182-R182</f>
        <v>0</v>
      </c>
      <c r="L182" s="9">
        <f>K182-S182</f>
        <v>0</v>
      </c>
      <c r="M182" s="9">
        <f>L182-T182</f>
        <v>0</v>
      </c>
      <c r="N182" s="9"/>
      <c r="O182" s="9">
        <f t="shared" ref="O182:T182" si="46">IF(OR($C182="Annual",$D182=$E182),IF(AND($D182=$E182,O$111=$B182+$D182),$H182,IF(AND(O$111&gt;$B182+$D182,O$111&lt;=$B182+$E182), $H182/($E182-$D182),0)), IF(OR(O$111=$B182+$D182,O$111=$B182+$E182),$H182/(($E182-$D182)*2),IF(AND(O$111&gt;$B182+$D182,O$111&lt;$B182+$E182),$H182/($E182-$D182),0)))</f>
        <v>0</v>
      </c>
      <c r="P182" s="9">
        <f t="shared" si="46"/>
        <v>0</v>
      </c>
      <c r="Q182" s="9">
        <f t="shared" si="46"/>
        <v>0</v>
      </c>
      <c r="R182" s="9">
        <f t="shared" si="46"/>
        <v>0</v>
      </c>
      <c r="S182" s="9">
        <f t="shared" si="46"/>
        <v>0</v>
      </c>
      <c r="T182" s="9">
        <f t="shared" si="46"/>
        <v>0</v>
      </c>
      <c r="U182" s="9"/>
      <c r="V182" s="9">
        <f>IF($C182="annual",IF(V$111=$B182,0,G182*$F182),IF(V$111-$B182=0,0,IF((V$111-$B182)&lt;$E182,AVERAGE(G182,H182)*$F182,IF((V$111-$B182)=$E182,G182*$F182/2,0))))</f>
        <v>0</v>
      </c>
      <c r="W182" s="9">
        <f t="shared" ref="W182:AA187" si="47">IF($C182="annual",IF(W$111=$B182,0,H182*$F182),IF(W$111-$B182=0,0,IF((W$111-$B182)&lt;$E182,AVERAGE(H182,I182)*$F182,IF((W$111-$B182)=$E182,H182*$F182/2,0))))</f>
        <v>0</v>
      </c>
      <c r="X182" s="9">
        <f t="shared" si="47"/>
        <v>0</v>
      </c>
      <c r="Y182" s="9">
        <f t="shared" si="47"/>
        <v>0</v>
      </c>
      <c r="Z182" s="9">
        <f t="shared" si="47"/>
        <v>0</v>
      </c>
      <c r="AA182" s="9">
        <f t="shared" si="47"/>
        <v>0</v>
      </c>
    </row>
    <row r="183" spans="1:27">
      <c r="A183" s="8" t="str">
        <f>A182</f>
        <v>Type 7</v>
      </c>
      <c r="B183" s="7">
        <f>B182+1</f>
        <v>2019</v>
      </c>
      <c r="C183" s="7" t="str">
        <f>C182</f>
        <v>Annual</v>
      </c>
      <c r="D183" s="7">
        <f>D182</f>
        <v>0</v>
      </c>
      <c r="E183" s="7">
        <f>E182</f>
        <v>0</v>
      </c>
      <c r="F183" s="14">
        <f>$M$86</f>
        <v>0.18606977230199898</v>
      </c>
      <c r="H183" s="9"/>
      <c r="I183" s="9">
        <f ca="1">$C$86/$C$31</f>
        <v>0</v>
      </c>
      <c r="J183" s="9">
        <f ca="1">I183-Q183</f>
        <v>0</v>
      </c>
      <c r="K183" s="9">
        <f ca="1">J183-R183</f>
        <v>0</v>
      </c>
      <c r="L183" s="9">
        <f ca="1">K183-S183</f>
        <v>0</v>
      </c>
      <c r="M183" s="9">
        <f ca="1">L183-T183</f>
        <v>0</v>
      </c>
      <c r="N183" s="9"/>
      <c r="O183" s="9"/>
      <c r="P183" s="9">
        <f ca="1">IF(OR($C183="Annual",$D183=$E183),IF(AND($D183=$E183,P$111=$B183+$D183),$I183,IF(AND(P$111&gt;$B183+$D183,P$111&lt;=$B183+$E183), $I183/($E183-$D183),0)), IF(OR(P$111=$B183+$D183,P$111=$B183+$E183),$I183/(($E183-$D183)*2),IF(AND(P$111&gt;$B183+$D183,P$111&lt;$B183+$E183),$I183/($E183-$D183),0)))</f>
        <v>0</v>
      </c>
      <c r="Q183" s="9">
        <f>IF(OR($C183="Annual",$D183=$E183),IF(AND($D183=$E183,Q$111=$B183+$D183),$I183,IF(AND(Q$111&gt;$B183+$D183,Q$111&lt;=$B183+$E183), $I183/($E183-$D183),0)), IF(OR(Q$111=$B183+$D183,Q$111=$B183+$E183),$I183/(($E183-$D183)*2),IF(AND(Q$111&gt;$B183+$D183,Q$111&lt;$B183+$E183),$I183/($E183-$D183),0)))</f>
        <v>0</v>
      </c>
      <c r="R183" s="9">
        <f>IF(OR($C183="Annual",$D183=$E183),IF(AND($D183=$E183,R$111=$B183+$D183),$I183,IF(AND(R$111&gt;$B183+$D183,R$111&lt;=$B183+$E183), $I183/($E183-$D183),0)), IF(OR(R$111=$B183+$D183,R$111=$B183+$E183),$I183/(($E183-$D183)*2),IF(AND(R$111&gt;$B183+$D183,R$111&lt;$B183+$E183),$I183/($E183-$D183),0)))</f>
        <v>0</v>
      </c>
      <c r="S183" s="9">
        <f>IF(OR($C183="Annual",$D183=$E183),IF(AND($D183=$E183,S$111=$B183+$D183),$I183,IF(AND(S$111&gt;$B183+$D183,S$111&lt;=$B183+$E183), $I183/($E183-$D183),0)), IF(OR(S$111=$B183+$D183,S$111=$B183+$E183),$I183/(($E183-$D183)*2),IF(AND(S$111&gt;$B183+$D183,S$111&lt;$B183+$E183),$I183/($E183-$D183),0)))</f>
        <v>0</v>
      </c>
      <c r="T183" s="9">
        <f>IF(OR($C183="Annual",$D183=$E183),IF(AND($D183=$E183,T$111=$B183+$D183),$I183,IF(AND(T$111&gt;$B183+$D183,T$111&lt;=$B183+$E183), $I183/($E183-$D183),0)), IF(OR(T$111=$B183+$D183,T$111=$B183+$E183),$I183/(($E183-$D183)*2),IF(AND(T$111&gt;$B183+$D183,T$111&lt;$B183+$E183),$I183/($E183-$D183),0)))</f>
        <v>0</v>
      </c>
      <c r="U183" s="9"/>
      <c r="V183" s="9"/>
      <c r="W183" s="9">
        <f t="shared" si="47"/>
        <v>0</v>
      </c>
      <c r="X183" s="9">
        <f t="shared" ca="1" si="47"/>
        <v>0</v>
      </c>
      <c r="Y183" s="9">
        <f t="shared" ca="1" si="47"/>
        <v>0</v>
      </c>
      <c r="Z183" s="9">
        <f t="shared" ca="1" si="47"/>
        <v>0</v>
      </c>
      <c r="AA183" s="9">
        <f t="shared" ca="1" si="47"/>
        <v>0</v>
      </c>
    </row>
    <row r="184" spans="1:27">
      <c r="A184" s="8" t="str">
        <f>A183</f>
        <v>Type 7</v>
      </c>
      <c r="B184" s="7">
        <f>B183+1</f>
        <v>2020</v>
      </c>
      <c r="C184" s="7" t="str">
        <f t="shared" ref="C184:D187" si="48">C183</f>
        <v>Annual</v>
      </c>
      <c r="D184" s="7">
        <f t="shared" si="48"/>
        <v>0</v>
      </c>
      <c r="E184" s="7">
        <f>E183</f>
        <v>0</v>
      </c>
      <c r="F184" s="14">
        <f>$N$86</f>
        <v>0.18606977230199898</v>
      </c>
      <c r="H184" s="9"/>
      <c r="I184" s="9"/>
      <c r="J184" s="9">
        <f ca="1">$D$86/$D$31</f>
        <v>0</v>
      </c>
      <c r="K184" s="9">
        <f ca="1">J184-R184</f>
        <v>0</v>
      </c>
      <c r="L184" s="9">
        <f ca="1">K184-S184</f>
        <v>0</v>
      </c>
      <c r="M184" s="9">
        <f ca="1">L184-T184</f>
        <v>0</v>
      </c>
      <c r="N184" s="9"/>
      <c r="O184" s="9"/>
      <c r="P184" s="9"/>
      <c r="Q184" s="9">
        <f ca="1">IF(OR($C184="Annual",$D184=$E184),IF(AND($D184=$E184,Q$111=$B184+$D184),$J184,IF(AND(Q$111&gt;$B184+$D184,Q$111&lt;=$B184+$E184), $J184/($E184-$D184),0)), IF(OR(Q$111=$B184+$D184,Q$111=$B184+$E184),$J184/(($E184-$D184)*2),IF(AND(Q$111&gt;$B184+$D184,Q$111&lt;$B184+$E184),$J184/($E184-$D184),0)))</f>
        <v>0</v>
      </c>
      <c r="R184" s="9">
        <f>IF(OR($C184="Annual",$D184=$E184),IF(AND($D184=$E184,R$111=$B184+$D184),$J184,IF(AND(R$111&gt;$B184+$D184,R$111&lt;=$B184+$E184), $J184/($E184-$D184),0)), IF(OR(R$111=$B184+$D184,R$111=$B184+$E184),$J184/(($E184-$D184)*2),IF(AND(R$111&gt;$B184+$D184,R$111&lt;$B184+$E184),$J184/($E184-$D184),0)))</f>
        <v>0</v>
      </c>
      <c r="S184" s="9">
        <f>IF(OR($C184="Annual",$D184=$E184),IF(AND($D184=$E184,S$111=$B184+$D184),$J184,IF(AND(S$111&gt;$B184+$D184,S$111&lt;=$B184+$E184), $J184/($E184-$D184),0)), IF(OR(S$111=$B184+$D184,S$111=$B184+$E184),$J184/(($E184-$D184)*2),IF(AND(S$111&gt;$B184+$D184,S$111&lt;$B184+$E184),$J184/($E184-$D184),0)))</f>
        <v>0</v>
      </c>
      <c r="T184" s="9">
        <f>IF(OR($C184="Annual",$D184=$E184),IF(AND($D184=$E184,T$111=$B184+$D184),$J184,IF(AND(T$111&gt;$B184+$D184,T$111&lt;=$B184+$E184), $J184/($E184-$D184),0)), IF(OR(T$111=$B184+$D184,T$111=$B184+$E184),$J184/(($E184-$D184)*2),IF(AND(T$111&gt;$B184+$D184,T$111&lt;$B184+$E184),$J184/($E184-$D184),0)))</f>
        <v>0</v>
      </c>
      <c r="U184" s="9"/>
      <c r="V184" s="9"/>
      <c r="W184" s="9"/>
      <c r="X184" s="9">
        <f t="shared" si="47"/>
        <v>0</v>
      </c>
      <c r="Y184" s="9">
        <f t="shared" ca="1" si="47"/>
        <v>0</v>
      </c>
      <c r="Z184" s="9">
        <f t="shared" ca="1" si="47"/>
        <v>0</v>
      </c>
      <c r="AA184" s="9">
        <f t="shared" ca="1" si="47"/>
        <v>0</v>
      </c>
    </row>
    <row r="185" spans="1:27">
      <c r="A185" s="8" t="str">
        <f>A184</f>
        <v>Type 7</v>
      </c>
      <c r="B185" s="7">
        <f>B184+1</f>
        <v>2021</v>
      </c>
      <c r="C185" s="7" t="str">
        <f t="shared" si="48"/>
        <v>Annual</v>
      </c>
      <c r="D185" s="7">
        <f t="shared" si="48"/>
        <v>0</v>
      </c>
      <c r="E185" s="7">
        <f>E184</f>
        <v>0</v>
      </c>
      <c r="F185" s="14">
        <f>$O$86</f>
        <v>0.18606977230199898</v>
      </c>
      <c r="H185" s="9"/>
      <c r="I185" s="9"/>
      <c r="J185" s="9"/>
      <c r="K185" s="9">
        <f ca="1">$E$86/$E$31</f>
        <v>0</v>
      </c>
      <c r="L185" s="9">
        <f ca="1">K185-S185</f>
        <v>0</v>
      </c>
      <c r="M185" s="9">
        <f ca="1">L185-T185</f>
        <v>0</v>
      </c>
      <c r="N185" s="9"/>
      <c r="O185" s="9"/>
      <c r="P185" s="9"/>
      <c r="Q185" s="9"/>
      <c r="R185" s="9">
        <f ca="1">IF(OR($C185="Annual",$D185=$E185),IF(AND($D185=$E185,R$111=$B185+$D185),$K185,IF(AND(R$111&gt;$B185+$D185,R$111&lt;=$B185+$E185), $K185/($E185-$D185),0)), IF(OR(R$111=$B185+$D185,R$111=$B185+$E185),$K185/(($E185-$D185)*2),IF(AND(R$111&gt;$B185+$D185,R$111&lt;$B185+$E185),$K185/($E185-$D185),0)))</f>
        <v>0</v>
      </c>
      <c r="S185" s="9">
        <f>IF(OR($C185="Annual",$D185=$E185),IF(AND($D185=$E185,S$111=$B185+$D185),$K185,IF(AND(S$111&gt;$B185+$D185,S$111&lt;=$B185+$E185), $K185/($E185-$D185),0)), IF(OR(S$111=$B185+$D185,S$111=$B185+$E185),$K185/(($E185-$D185)*2),IF(AND(S$111&gt;$B185+$D185,S$111&lt;$B185+$E185),$K185/($E185-$D185),0)))</f>
        <v>0</v>
      </c>
      <c r="T185" s="9">
        <f>IF(OR($C185="Annual",$D185=$E185),IF(AND($D185=$E185,T$111=$B185+$D185),$K185,IF(AND(T$111&gt;$B185+$D185,T$111&lt;=$B185+$E185), $K185/($E185-$D185),0)), IF(OR(T$111=$B185+$D185,T$111=$B185+$E185),$K185/(($E185-$D185)*2),IF(AND(T$111&gt;$B185+$D185,T$111&lt;$B185+$E185),$K185/($E185-$D185),0)))</f>
        <v>0</v>
      </c>
      <c r="U185" s="9"/>
      <c r="V185" s="9"/>
      <c r="W185" s="9"/>
      <c r="X185" s="9"/>
      <c r="Y185" s="9">
        <f t="shared" si="47"/>
        <v>0</v>
      </c>
      <c r="Z185" s="9">
        <f t="shared" ca="1" si="47"/>
        <v>0</v>
      </c>
      <c r="AA185" s="9">
        <f t="shared" ca="1" si="47"/>
        <v>0</v>
      </c>
    </row>
    <row r="186" spans="1:27">
      <c r="A186" s="8" t="str">
        <f>A185</f>
        <v>Type 7</v>
      </c>
      <c r="B186" s="7">
        <f>B185+1</f>
        <v>2022</v>
      </c>
      <c r="C186" s="7" t="str">
        <f t="shared" si="48"/>
        <v>Annual</v>
      </c>
      <c r="D186" s="7">
        <f t="shared" si="48"/>
        <v>0</v>
      </c>
      <c r="E186" s="7">
        <f>E185</f>
        <v>0</v>
      </c>
      <c r="F186" s="14">
        <f>$P$86</f>
        <v>0.18606977230199898</v>
      </c>
      <c r="H186" s="9"/>
      <c r="I186" s="9"/>
      <c r="J186" s="9"/>
      <c r="K186" s="9"/>
      <c r="L186" s="9">
        <f ca="1">$F$86/$F$31</f>
        <v>0</v>
      </c>
      <c r="M186" s="9">
        <f ca="1">L186-T186</f>
        <v>0</v>
      </c>
      <c r="N186" s="9"/>
      <c r="O186" s="9"/>
      <c r="P186" s="9"/>
      <c r="Q186" s="9"/>
      <c r="R186" s="9"/>
      <c r="S186" s="9">
        <f ca="1">IF(OR($C186="Annual",$D186=$E186),IF(AND($D186=$E186,S$111=$B186+$D186),$L186,IF(AND(S$111&gt;$B186+$D186,S$111&lt;=$B186+$E186), $L186/($E186-$D186),0)), IF(OR(S$111=$B186+$D186,S$111=$B186+$E186),$L186/(($E186-$D186)*2),IF(AND(S$111&gt;$B186+$D186,S$111&lt;$B186+$E186),$L186/($E186-$D186),0)))</f>
        <v>0</v>
      </c>
      <c r="T186" s="9">
        <f>IF(OR($C186="Annual",$D186=$E186),IF(AND($D186=$E186,T$111=$B186+$D186),$L186,IF(AND(T$111&gt;$B186+$D186,T$111&lt;=$B186+$E186), $L186/($E186-$D186),0)), IF(OR(T$111=$B186+$D186,T$111=$B186+$E186),$L186/(($E186-$D186)*2),IF(AND(T$111&gt;$B186+$D186,T$111&lt;$B186+$E186),$L186/($E186-$D186),0)))</f>
        <v>0</v>
      </c>
      <c r="U186" s="9"/>
      <c r="V186" s="9"/>
      <c r="W186" s="9"/>
      <c r="X186" s="9"/>
      <c r="Y186" s="9"/>
      <c r="Z186" s="9">
        <f t="shared" si="47"/>
        <v>0</v>
      </c>
      <c r="AA186" s="9">
        <f t="shared" ca="1" si="47"/>
        <v>0</v>
      </c>
    </row>
    <row r="187" spans="1:27">
      <c r="A187" s="8" t="str">
        <f>A186</f>
        <v>Type 7</v>
      </c>
      <c r="B187" s="7">
        <f>B186+1</f>
        <v>2023</v>
      </c>
      <c r="C187" s="7" t="str">
        <f t="shared" si="48"/>
        <v>Annual</v>
      </c>
      <c r="D187" s="7">
        <f t="shared" si="48"/>
        <v>0</v>
      </c>
      <c r="E187" s="7">
        <f>E186</f>
        <v>0</v>
      </c>
      <c r="F187" s="14">
        <f>$Q$86</f>
        <v>0.18606977230199898</v>
      </c>
      <c r="H187" s="9"/>
      <c r="I187" s="9"/>
      <c r="J187" s="9"/>
      <c r="K187" s="9"/>
      <c r="L187" s="9"/>
      <c r="M187" s="9">
        <f ca="1">$G$86/$G$31</f>
        <v>0</v>
      </c>
      <c r="N187" s="9"/>
      <c r="O187" s="9"/>
      <c r="P187" s="9"/>
      <c r="Q187" s="9"/>
      <c r="R187" s="9"/>
      <c r="S187" s="9"/>
      <c r="T187" s="9">
        <f ca="1">IF(OR($C187="Annual",$D187=$E187),IF(AND($D187=$E187,T$111=$B187+$D187),$M187,IF(AND(T$111&gt;$B187+$D187,T$111&lt;=$B187+$E187), $M187/($E187-$D187),0)), IF(OR(T$111=$B187+$D187,T$111=$B187+$E187),$M187/(($E187-$D187)*2),IF(AND(T$111&gt;$B187+$D187,T$111&lt;$B187+$E187),$M187/($E187-$D187),0)))</f>
        <v>0</v>
      </c>
      <c r="U187" s="9"/>
      <c r="V187" s="9"/>
      <c r="W187" s="9"/>
      <c r="X187" s="9"/>
      <c r="Y187" s="9"/>
      <c r="Z187" s="9"/>
      <c r="AA187" s="9">
        <f t="shared" si="47"/>
        <v>0</v>
      </c>
    </row>
    <row r="188" spans="1:27">
      <c r="A188" s="8"/>
      <c r="B188" s="7"/>
      <c r="C188" s="7"/>
      <c r="D188" s="7"/>
      <c r="E188" s="7"/>
      <c r="F188" s="15"/>
      <c r="H188" s="9"/>
      <c r="I188" s="9"/>
      <c r="J188" s="9"/>
      <c r="K188" s="9"/>
      <c r="L188" s="9"/>
      <c r="M188" s="9"/>
      <c r="N188" s="9"/>
      <c r="O188" s="278"/>
      <c r="P188" s="10"/>
      <c r="Q188" s="10"/>
      <c r="R188" s="10"/>
      <c r="S188" s="10"/>
      <c r="T188" s="10"/>
      <c r="U188" s="9"/>
      <c r="V188" s="10"/>
      <c r="W188" s="10"/>
      <c r="X188" s="10"/>
      <c r="Y188" s="10"/>
      <c r="Z188" s="10"/>
      <c r="AA188" s="10"/>
    </row>
    <row r="189" spans="1:27">
      <c r="A189" s="8" t="str">
        <f>'Input 4 - Forecast'!A68</f>
        <v>Type 8</v>
      </c>
      <c r="B189" s="7">
        <f>B119</f>
        <v>2018</v>
      </c>
      <c r="C189" s="7" t="str">
        <f>$I87</f>
        <v>Annual</v>
      </c>
      <c r="D189" s="7">
        <f>$J87</f>
        <v>0</v>
      </c>
      <c r="E189" s="7">
        <f>$K87</f>
        <v>0</v>
      </c>
      <c r="F189" s="14">
        <f>$L$87</f>
        <v>0</v>
      </c>
      <c r="H189" s="9">
        <f>$B$87/$B$31</f>
        <v>0</v>
      </c>
      <c r="I189" s="9">
        <f>H189-P189</f>
        <v>0</v>
      </c>
      <c r="J189" s="9">
        <f>I189-Q189</f>
        <v>0</v>
      </c>
      <c r="K189" s="9">
        <f>J189-R189</f>
        <v>0</v>
      </c>
      <c r="L189" s="9">
        <f>K189-S189</f>
        <v>0</v>
      </c>
      <c r="M189" s="9">
        <f>L189-T189</f>
        <v>0</v>
      </c>
      <c r="N189" s="9"/>
      <c r="O189" s="9">
        <f t="shared" ref="O189:T189" si="49">IF(OR($C189="Annual",$D189=$E189),IF(AND($D189=$E189,O$111=$B189+$D189),$H189,IF(AND(O$111&gt;$B189+$D189,O$111&lt;=$B189+$E189), $H189/($E189-$D189),0)), IF(OR(O$111=$B189+$D189,O$111=$B189+$E189),$H189/(($E189-$D189)*2),IF(AND(O$111&gt;$B189+$D189,O$111&lt;$B189+$E189),$H189/($E189-$D189),0)))</f>
        <v>0</v>
      </c>
      <c r="P189" s="9">
        <f t="shared" si="49"/>
        <v>0</v>
      </c>
      <c r="Q189" s="9">
        <f t="shared" si="49"/>
        <v>0</v>
      </c>
      <c r="R189" s="9">
        <f t="shared" si="49"/>
        <v>0</v>
      </c>
      <c r="S189" s="9">
        <f t="shared" si="49"/>
        <v>0</v>
      </c>
      <c r="T189" s="9">
        <f t="shared" si="49"/>
        <v>0</v>
      </c>
      <c r="U189" s="9"/>
      <c r="V189" s="9">
        <f>IF($C189="annual",IF(V$111=$B189,0,G189*$F189),IF(V$111-$B189=0,0,IF((V$111-$B189)&lt;$E189,AVERAGE(G189,H189)*$F189,IF((V$111-$B189)=$E189,G189*$F189/2,0))))</f>
        <v>0</v>
      </c>
      <c r="W189" s="9">
        <f t="shared" ref="W189:AA194" si="50">IF($C189="annual",IF(W$111=$B189,0,H189*$F189),IF(W$111-$B189=0,0,IF((W$111-$B189)&lt;$E189,AVERAGE(H189,I189)*$F189,IF((W$111-$B189)=$E189,H189*$F189/2,0))))</f>
        <v>0</v>
      </c>
      <c r="X189" s="9">
        <f t="shared" si="50"/>
        <v>0</v>
      </c>
      <c r="Y189" s="9">
        <f t="shared" si="50"/>
        <v>0</v>
      </c>
      <c r="Z189" s="9">
        <f t="shared" si="50"/>
        <v>0</v>
      </c>
      <c r="AA189" s="9">
        <f t="shared" si="50"/>
        <v>0</v>
      </c>
    </row>
    <row r="190" spans="1:27">
      <c r="A190" s="8" t="str">
        <f>A189</f>
        <v>Type 8</v>
      </c>
      <c r="B190" s="7">
        <f>B189+1</f>
        <v>2019</v>
      </c>
      <c r="C190" s="7" t="str">
        <f t="shared" ref="C190:D194" si="51">C189</f>
        <v>Annual</v>
      </c>
      <c r="D190" s="7">
        <f t="shared" si="51"/>
        <v>0</v>
      </c>
      <c r="E190" s="7">
        <f>E189</f>
        <v>0</v>
      </c>
      <c r="F190" s="14">
        <f>$M$87</f>
        <v>0.18606977230199898</v>
      </c>
      <c r="H190" s="9"/>
      <c r="I190" s="9">
        <f ca="1">$C$87/$C$31</f>
        <v>0</v>
      </c>
      <c r="J190" s="9">
        <f ca="1">I190-Q190</f>
        <v>0</v>
      </c>
      <c r="K190" s="9">
        <f ca="1">J190-R190</f>
        <v>0</v>
      </c>
      <c r="L190" s="9">
        <f ca="1">K190-S190</f>
        <v>0</v>
      </c>
      <c r="M190" s="9">
        <f ca="1">L190-T190</f>
        <v>0</v>
      </c>
      <c r="N190" s="9"/>
      <c r="O190" s="9"/>
      <c r="P190" s="9">
        <f ca="1">IF(OR($C190="Annual",$D190=$E190),IF(AND($D190=$E190,P$111=$B190+$D190),$I190,IF(AND(P$111&gt;$B190+$D190,P$111&lt;=$B190+$E190), $I190/($E190-$D190),0)), IF(OR(P$111=$B190+$D190,P$111=$B190+$E190),$I190/(($E190-$D190)*2),IF(AND(P$111&gt;$B190+$D190,P$111&lt;$B190+$E190),$I190/($E190-$D190),0)))</f>
        <v>0</v>
      </c>
      <c r="Q190" s="9">
        <f>IF(OR($C190="Annual",$D190=$E190),IF(AND($D190=$E190,Q$111=$B190+$D190),$I190,IF(AND(Q$111&gt;$B190+$D190,Q$111&lt;=$B190+$E190), $I190/($E190-$D190),0)), IF(OR(Q$111=$B190+$D190,Q$111=$B190+$E190),$I190/(($E190-$D190)*2),IF(AND(Q$111&gt;$B190+$D190,Q$111&lt;$B190+$E190),$I190/($E190-$D190),0)))</f>
        <v>0</v>
      </c>
      <c r="R190" s="9">
        <f>IF(OR($C190="Annual",$D190=$E190),IF(AND($D190=$E190,R$111=$B190+$D190),$I190,IF(AND(R$111&gt;$B190+$D190,R$111&lt;=$B190+$E190), $I190/($E190-$D190),0)), IF(OR(R$111=$B190+$D190,R$111=$B190+$E190),$I190/(($E190-$D190)*2),IF(AND(R$111&gt;$B190+$D190,R$111&lt;$B190+$E190),$I190/($E190-$D190),0)))</f>
        <v>0</v>
      </c>
      <c r="S190" s="9">
        <f>IF(OR($C190="Annual",$D190=$E190),IF(AND($D190=$E190,S$111=$B190+$D190),$I190,IF(AND(S$111&gt;$B190+$D190,S$111&lt;=$B190+$E190), $I190/($E190-$D190),0)), IF(OR(S$111=$B190+$D190,S$111=$B190+$E190),$I190/(($E190-$D190)*2),IF(AND(S$111&gt;$B190+$D190,S$111&lt;$B190+$E190),$I190/($E190-$D190),0)))</f>
        <v>0</v>
      </c>
      <c r="T190" s="9">
        <f>IF(OR($C190="Annual",$D190=$E190),IF(AND($D190=$E190,T$111=$B190+$D190),$I190,IF(AND(T$111&gt;$B190+$D190,T$111&lt;=$B190+$E190), $I190/($E190-$D190),0)), IF(OR(T$111=$B190+$D190,T$111=$B190+$E190),$I190/(($E190-$D190)*2),IF(AND(T$111&gt;$B190+$D190,T$111&lt;$B190+$E190),$I190/($E190-$D190),0)))</f>
        <v>0</v>
      </c>
      <c r="U190" s="9"/>
      <c r="V190" s="9"/>
      <c r="W190" s="9">
        <f t="shared" si="50"/>
        <v>0</v>
      </c>
      <c r="X190" s="9">
        <f t="shared" ca="1" si="50"/>
        <v>0</v>
      </c>
      <c r="Y190" s="9">
        <f t="shared" ca="1" si="50"/>
        <v>0</v>
      </c>
      <c r="Z190" s="9">
        <f t="shared" ca="1" si="50"/>
        <v>0</v>
      </c>
      <c r="AA190" s="9">
        <f t="shared" ca="1" si="50"/>
        <v>0</v>
      </c>
    </row>
    <row r="191" spans="1:27">
      <c r="A191" s="8" t="str">
        <f>A190</f>
        <v>Type 8</v>
      </c>
      <c r="B191" s="7">
        <f>B190+1</f>
        <v>2020</v>
      </c>
      <c r="C191" s="7" t="str">
        <f t="shared" si="51"/>
        <v>Annual</v>
      </c>
      <c r="D191" s="7">
        <f t="shared" si="51"/>
        <v>0</v>
      </c>
      <c r="E191" s="7">
        <f>E190</f>
        <v>0</v>
      </c>
      <c r="F191" s="14">
        <f>$N$87</f>
        <v>0.18606977230199898</v>
      </c>
      <c r="H191" s="9"/>
      <c r="I191" s="9"/>
      <c r="J191" s="9">
        <f ca="1">$D$87/$D$31</f>
        <v>0</v>
      </c>
      <c r="K191" s="9">
        <f ca="1">J191-R191</f>
        <v>0</v>
      </c>
      <c r="L191" s="9">
        <f ca="1">K191-S191</f>
        <v>0</v>
      </c>
      <c r="M191" s="9">
        <f ca="1">L191-T191</f>
        <v>0</v>
      </c>
      <c r="N191" s="9"/>
      <c r="O191" s="9"/>
      <c r="P191" s="9"/>
      <c r="Q191" s="9">
        <f ca="1">IF(OR($C191="Annual",$D191=$E191),IF(AND($D191=$E191,Q$111=$B191+$D191),$J191,IF(AND(Q$111&gt;$B191+$D191,Q$111&lt;=$B191+$E191), $J191/($E191-$D191),0)), IF(OR(Q$111=$B191+$D191,Q$111=$B191+$E191),$J191/(($E191-$D191)*2),IF(AND(Q$111&gt;$B191+$D191,Q$111&lt;$B191+$E191),$J191/($E191-$D191),0)))</f>
        <v>0</v>
      </c>
      <c r="R191" s="9">
        <f>IF(OR($C191="Annual",$D191=$E191),IF(AND($D191=$E191,R$111=$B191+$D191),$J191,IF(AND(R$111&gt;$B191+$D191,R$111&lt;=$B191+$E191), $J191/($E191-$D191),0)), IF(OR(R$111=$B191+$D191,R$111=$B191+$E191),$J191/(($E191-$D191)*2),IF(AND(R$111&gt;$B191+$D191,R$111&lt;$B191+$E191),$J191/($E191-$D191),0)))</f>
        <v>0</v>
      </c>
      <c r="S191" s="9">
        <f>IF(OR($C191="Annual",$D191=$E191),IF(AND($D191=$E191,S$111=$B191+$D191),$J191,IF(AND(S$111&gt;$B191+$D191,S$111&lt;=$B191+$E191), $J191/($E191-$D191),0)), IF(OR(S$111=$B191+$D191,S$111=$B191+$E191),$J191/(($E191-$D191)*2),IF(AND(S$111&gt;$B191+$D191,S$111&lt;$B191+$E191),$J191/($E191-$D191),0)))</f>
        <v>0</v>
      </c>
      <c r="T191" s="9">
        <f>IF(OR($C191="Annual",$D191=$E191),IF(AND($D191=$E191,T$111=$B191+$D191),$J191,IF(AND(T$111&gt;$B191+$D191,T$111&lt;=$B191+$E191), $J191/($E191-$D191),0)), IF(OR(T$111=$B191+$D191,T$111=$B191+$E191),$J191/(($E191-$D191)*2),IF(AND(T$111&gt;$B191+$D191,T$111&lt;$B191+$E191),$J191/($E191-$D191),0)))</f>
        <v>0</v>
      </c>
      <c r="U191" s="9"/>
      <c r="V191" s="9"/>
      <c r="W191" s="9"/>
      <c r="X191" s="9">
        <f t="shared" si="50"/>
        <v>0</v>
      </c>
      <c r="Y191" s="9">
        <f t="shared" ca="1" si="50"/>
        <v>0</v>
      </c>
      <c r="Z191" s="9">
        <f t="shared" ca="1" si="50"/>
        <v>0</v>
      </c>
      <c r="AA191" s="9">
        <f t="shared" ca="1" si="50"/>
        <v>0</v>
      </c>
    </row>
    <row r="192" spans="1:27">
      <c r="A192" s="8" t="str">
        <f>A191</f>
        <v>Type 8</v>
      </c>
      <c r="B192" s="7">
        <f>B191+1</f>
        <v>2021</v>
      </c>
      <c r="C192" s="7" t="str">
        <f t="shared" si="51"/>
        <v>Annual</v>
      </c>
      <c r="D192" s="7">
        <f t="shared" si="51"/>
        <v>0</v>
      </c>
      <c r="E192" s="7">
        <f>E191</f>
        <v>0</v>
      </c>
      <c r="F192" s="14">
        <f>$O$87</f>
        <v>0.18606977230199898</v>
      </c>
      <c r="H192" s="9"/>
      <c r="I192" s="9"/>
      <c r="J192" s="9"/>
      <c r="K192" s="9">
        <f ca="1">$E$87/$E$31</f>
        <v>0</v>
      </c>
      <c r="L192" s="9">
        <f ca="1">K192-S192</f>
        <v>0</v>
      </c>
      <c r="M192" s="9">
        <f ca="1">L192-T192</f>
        <v>0</v>
      </c>
      <c r="N192" s="9"/>
      <c r="O192" s="9"/>
      <c r="P192" s="9"/>
      <c r="Q192" s="9"/>
      <c r="R192" s="9">
        <f ca="1">IF(OR($C192="Annual",$D192=$E192),IF(AND($D192=$E192,R$111=$B192+$D192),$K192,IF(AND(R$111&gt;$B192+$D192,R$111&lt;=$B192+$E192), $K192/($E192-$D192),0)), IF(OR(R$111=$B192+$D192,R$111=$B192+$E192),$K192/(($E192-$D192)*2),IF(AND(R$111&gt;$B192+$D192,R$111&lt;$B192+$E192),$K192/($E192-$D192),0)))</f>
        <v>0</v>
      </c>
      <c r="S192" s="9">
        <f>IF(OR($C192="Annual",$D192=$E192),IF(AND($D192=$E192,S$111=$B192+$D192),$K192,IF(AND(S$111&gt;$B192+$D192,S$111&lt;=$B192+$E192), $K192/($E192-$D192),0)), IF(OR(S$111=$B192+$D192,S$111=$B192+$E192),$K192/(($E192-$D192)*2),IF(AND(S$111&gt;$B192+$D192,S$111&lt;$B192+$E192),$K192/($E192-$D192),0)))</f>
        <v>0</v>
      </c>
      <c r="T192" s="9">
        <f>IF(OR($C192="Annual",$D192=$E192),IF(AND($D192=$E192,T$111=$B192+$D192),$K192,IF(AND(T$111&gt;$B192+$D192,T$111&lt;=$B192+$E192), $K192/($E192-$D192),0)), IF(OR(T$111=$B192+$D192,T$111=$B192+$E192),$K192/(($E192-$D192)*2),IF(AND(T$111&gt;$B192+$D192,T$111&lt;$B192+$E192),$K192/($E192-$D192),0)))</f>
        <v>0</v>
      </c>
      <c r="U192" s="9"/>
      <c r="V192" s="9"/>
      <c r="W192" s="9"/>
      <c r="X192" s="9"/>
      <c r="Y192" s="9">
        <f t="shared" si="50"/>
        <v>0</v>
      </c>
      <c r="Z192" s="9">
        <f t="shared" ca="1" si="50"/>
        <v>0</v>
      </c>
      <c r="AA192" s="9">
        <f t="shared" ca="1" si="50"/>
        <v>0</v>
      </c>
    </row>
    <row r="193" spans="1:27">
      <c r="A193" s="8" t="str">
        <f>A192</f>
        <v>Type 8</v>
      </c>
      <c r="B193" s="7">
        <f>B192+1</f>
        <v>2022</v>
      </c>
      <c r="C193" s="7" t="str">
        <f t="shared" si="51"/>
        <v>Annual</v>
      </c>
      <c r="D193" s="7">
        <f t="shared" si="51"/>
        <v>0</v>
      </c>
      <c r="E193" s="7">
        <f>E192</f>
        <v>0</v>
      </c>
      <c r="F193" s="14">
        <f>$P$87</f>
        <v>0.18606977230199898</v>
      </c>
      <c r="H193" s="9"/>
      <c r="I193" s="9"/>
      <c r="J193" s="9"/>
      <c r="K193" s="9"/>
      <c r="L193" s="9">
        <f ca="1">$F$87/$F$31</f>
        <v>0</v>
      </c>
      <c r="M193" s="9">
        <f ca="1">L193-T193</f>
        <v>0</v>
      </c>
      <c r="N193" s="9"/>
      <c r="O193" s="9"/>
      <c r="P193" s="9"/>
      <c r="Q193" s="9"/>
      <c r="R193" s="9"/>
      <c r="S193" s="9">
        <f ca="1">IF(OR($C193="Annual",$D193=$E193),IF(AND($D193=$E193,S$111=$B193+$D193),$L193,IF(AND(S$111&gt;$B193+$D193,S$111&lt;=$B193+$E193), $L193/($E193-$D193),0)), IF(OR(S$111=$B193+$D193,S$111=$B193+$E193),$L193/(($E193-$D193)*2),IF(AND(S$111&gt;$B193+$D193,S$111&lt;$B193+$E193),$L193/($E193-$D193),0)))</f>
        <v>0</v>
      </c>
      <c r="T193" s="9">
        <f>IF(OR($C193="Annual",$D193=$E193),IF(AND($D193=$E193,T$111=$B193+$D193),$L193,IF(AND(T$111&gt;$B193+$D193,T$111&lt;=$B193+$E193), $L193/($E193-$D193),0)), IF(OR(T$111=$B193+$D193,T$111=$B193+$E193),$L193/(($E193-$D193)*2),IF(AND(T$111&gt;$B193+$D193,T$111&lt;$B193+$E193),$L193/($E193-$D193),0)))</f>
        <v>0</v>
      </c>
      <c r="U193" s="9"/>
      <c r="V193" s="9"/>
      <c r="W193" s="9"/>
      <c r="X193" s="9"/>
      <c r="Y193" s="9"/>
      <c r="Z193" s="9">
        <f t="shared" si="50"/>
        <v>0</v>
      </c>
      <c r="AA193" s="9">
        <f t="shared" ca="1" si="50"/>
        <v>0</v>
      </c>
    </row>
    <row r="194" spans="1:27">
      <c r="A194" s="8" t="str">
        <f>A193</f>
        <v>Type 8</v>
      </c>
      <c r="B194" s="7">
        <f>B193+1</f>
        <v>2023</v>
      </c>
      <c r="C194" s="7" t="str">
        <f t="shared" si="51"/>
        <v>Annual</v>
      </c>
      <c r="D194" s="7">
        <f t="shared" si="51"/>
        <v>0</v>
      </c>
      <c r="E194" s="7">
        <f>E193</f>
        <v>0</v>
      </c>
      <c r="F194" s="14">
        <f>$Q$87</f>
        <v>0.18606977230199898</v>
      </c>
      <c r="H194" s="9"/>
      <c r="I194" s="9"/>
      <c r="J194" s="9"/>
      <c r="K194" s="9"/>
      <c r="L194" s="9"/>
      <c r="M194" s="9">
        <f ca="1">$G$87/$G$31</f>
        <v>0</v>
      </c>
      <c r="N194" s="9"/>
      <c r="O194" s="9"/>
      <c r="P194" s="9"/>
      <c r="Q194" s="9"/>
      <c r="R194" s="9"/>
      <c r="S194" s="9"/>
      <c r="T194" s="9">
        <f ca="1">IF(OR($C194="Annual",$D194=$E194),IF(AND($D194=$E194,T$111=$B194+$D194),$M194,IF(AND(T$111&gt;$B194+$D194,T$111&lt;=$B194+$E194), $M194/($E194-$D194),0)), IF(OR(T$111=$B194+$D194,T$111=$B194+$E194),$M194/(($E194-$D194)*2),IF(AND(T$111&gt;$B194+$D194,T$111&lt;$B194+$E194),$M194/($E194-$D194),0)))</f>
        <v>0</v>
      </c>
      <c r="U194" s="9"/>
      <c r="V194" s="9"/>
      <c r="W194" s="9"/>
      <c r="X194" s="9"/>
      <c r="Y194" s="9"/>
      <c r="Z194" s="9"/>
      <c r="AA194" s="9">
        <f t="shared" si="50"/>
        <v>0</v>
      </c>
    </row>
    <row r="195" spans="1:27">
      <c r="A195" s="8"/>
      <c r="B195" s="7"/>
      <c r="C195" s="7"/>
      <c r="D195" s="7"/>
      <c r="E195" s="7"/>
      <c r="F195" s="15"/>
      <c r="H195" s="9"/>
      <c r="I195" s="9"/>
      <c r="J195" s="9"/>
      <c r="K195" s="9"/>
      <c r="L195" s="9"/>
      <c r="M195" s="9"/>
      <c r="N195" s="9"/>
      <c r="O195" s="278"/>
      <c r="P195" s="10"/>
      <c r="Q195" s="10"/>
      <c r="R195" s="10"/>
      <c r="S195" s="10"/>
      <c r="T195" s="10"/>
      <c r="U195" s="9"/>
      <c r="V195" s="10"/>
      <c r="W195" s="10"/>
      <c r="X195" s="10"/>
      <c r="Y195" s="10"/>
      <c r="Z195" s="10"/>
      <c r="AA195" s="10"/>
    </row>
    <row r="196" spans="1:27">
      <c r="A196" s="8" t="str">
        <f>'Input 4 - Forecast'!A69</f>
        <v>Type 9</v>
      </c>
      <c r="B196" s="7">
        <f>B119</f>
        <v>2018</v>
      </c>
      <c r="C196" s="7" t="str">
        <f>$I88</f>
        <v>Annual</v>
      </c>
      <c r="D196" s="7">
        <f>$J88</f>
        <v>0</v>
      </c>
      <c r="E196" s="7">
        <f>$K88</f>
        <v>0</v>
      </c>
      <c r="F196" s="14">
        <f>$L$88</f>
        <v>0</v>
      </c>
      <c r="H196" s="9">
        <f>$B$88/$B$31</f>
        <v>0</v>
      </c>
      <c r="I196" s="9">
        <f>H196-P196</f>
        <v>0</v>
      </c>
      <c r="J196" s="9">
        <f>I196-Q196</f>
        <v>0</v>
      </c>
      <c r="K196" s="9">
        <f>J196-R196</f>
        <v>0</v>
      </c>
      <c r="L196" s="9">
        <f>K196-S196</f>
        <v>0</v>
      </c>
      <c r="M196" s="9">
        <f>L196-T196</f>
        <v>0</v>
      </c>
      <c r="N196" s="9"/>
      <c r="O196" s="9">
        <f t="shared" ref="O196:T196" si="52">IF(OR($C196="Annual",$D196=$E196),IF(AND($D196=$E196,O$111=$B196+$D196),$H196,IF(AND(O$111&gt;$B196+$D196,O$111&lt;=$B196+$E196), $H196/($E196-$D196),0)), IF(OR(O$111=$B196+$D196,O$111=$B196+$E196),$H196/(($E196-$D196)*2),IF(AND(O$111&gt;$B196+$D196,O$111&lt;$B196+$E196),$H196/($E196-$D196),0)))</f>
        <v>0</v>
      </c>
      <c r="P196" s="9">
        <f t="shared" si="52"/>
        <v>0</v>
      </c>
      <c r="Q196" s="9">
        <f t="shared" si="52"/>
        <v>0</v>
      </c>
      <c r="R196" s="9">
        <f t="shared" si="52"/>
        <v>0</v>
      </c>
      <c r="S196" s="9">
        <f t="shared" si="52"/>
        <v>0</v>
      </c>
      <c r="T196" s="9">
        <f t="shared" si="52"/>
        <v>0</v>
      </c>
      <c r="U196" s="9"/>
      <c r="V196" s="9">
        <f>IF($C196="annual",IF(V$111=$B196,0,G196*$F196),IF(V$111-$B196=0,0,IF((V$111-$B196)&lt;$E196,AVERAGE(G196,H196)*$F196,IF((V$111-$B196)=$E196,G196*$F196/2,0))))</f>
        <v>0</v>
      </c>
      <c r="W196" s="9">
        <f t="shared" ref="W196:AA201" si="53">IF($C196="annual",IF(W$111=$B196,0,H196*$F196),IF(W$111-$B196=0,0,IF((W$111-$B196)&lt;$E196,AVERAGE(H196,I196)*$F196,IF((W$111-$B196)=$E196,H196*$F196/2,0))))</f>
        <v>0</v>
      </c>
      <c r="X196" s="9">
        <f t="shared" si="53"/>
        <v>0</v>
      </c>
      <c r="Y196" s="9">
        <f t="shared" si="53"/>
        <v>0</v>
      </c>
      <c r="Z196" s="9">
        <f t="shared" si="53"/>
        <v>0</v>
      </c>
      <c r="AA196" s="9">
        <f t="shared" si="53"/>
        <v>0</v>
      </c>
    </row>
    <row r="197" spans="1:27">
      <c r="A197" s="8" t="str">
        <f>A196</f>
        <v>Type 9</v>
      </c>
      <c r="B197" s="7">
        <f>B196+1</f>
        <v>2019</v>
      </c>
      <c r="C197" s="7" t="str">
        <f t="shared" ref="C197:D201" si="54">C196</f>
        <v>Annual</v>
      </c>
      <c r="D197" s="7">
        <f t="shared" si="54"/>
        <v>0</v>
      </c>
      <c r="E197" s="7">
        <f>E196</f>
        <v>0</v>
      </c>
      <c r="F197" s="14">
        <f>$M$88</f>
        <v>0.18606977230199898</v>
      </c>
      <c r="H197" s="9"/>
      <c r="I197" s="9">
        <f ca="1">$C$88/$C$31</f>
        <v>0</v>
      </c>
      <c r="J197" s="9">
        <f ca="1">I197-Q197</f>
        <v>0</v>
      </c>
      <c r="K197" s="9">
        <f ca="1">J197-R197</f>
        <v>0</v>
      </c>
      <c r="L197" s="9">
        <f ca="1">K197-S197</f>
        <v>0</v>
      </c>
      <c r="M197" s="9">
        <f ca="1">L197-T197</f>
        <v>0</v>
      </c>
      <c r="N197" s="9"/>
      <c r="O197" s="9"/>
      <c r="P197" s="9">
        <f ca="1">IF(OR($C197="Annual",$D197=$E197),IF(AND($D197=$E197,P$111=$B197+$D197),$I197,IF(AND(P$111&gt;$B197+$D197,P$111&lt;=$B197+$E197), $I197/($E197-$D197),0)), IF(OR(P$111=$B197+$D197,P$111=$B197+$E197),$I197/(($E197-$D197)*2),IF(AND(P$111&gt;$B197+$D197,P$111&lt;$B197+$E197),$I197/($E197-$D197),0)))</f>
        <v>0</v>
      </c>
      <c r="Q197" s="9">
        <f>IF(OR($C197="Annual",$D197=$E197),IF(AND($D197=$E197,Q$111=$B197+$D197),$I197,IF(AND(Q$111&gt;$B197+$D197,Q$111&lt;=$B197+$E197), $I197/($E197-$D197),0)), IF(OR(Q$111=$B197+$D197,Q$111=$B197+$E197),$I197/(($E197-$D197)*2),IF(AND(Q$111&gt;$B197+$D197,Q$111&lt;$B197+$E197),$I197/($E197-$D197),0)))</f>
        <v>0</v>
      </c>
      <c r="R197" s="9">
        <f>IF(OR($C197="Annual",$D197=$E197),IF(AND($D197=$E197,R$111=$B197+$D197),$I197,IF(AND(R$111&gt;$B197+$D197,R$111&lt;=$B197+$E197), $I197/($E197-$D197),0)), IF(OR(R$111=$B197+$D197,R$111=$B197+$E197),$I197/(($E197-$D197)*2),IF(AND(R$111&gt;$B197+$D197,R$111&lt;$B197+$E197),$I197/($E197-$D197),0)))</f>
        <v>0</v>
      </c>
      <c r="S197" s="9">
        <f>IF(OR($C197="Annual",$D197=$E197),IF(AND($D197=$E197,S$111=$B197+$D197),$I197,IF(AND(S$111&gt;$B197+$D197,S$111&lt;=$B197+$E197), $I197/($E197-$D197),0)), IF(OR(S$111=$B197+$D197,S$111=$B197+$E197),$I197/(($E197-$D197)*2),IF(AND(S$111&gt;$B197+$D197,S$111&lt;$B197+$E197),$I197/($E197-$D197),0)))</f>
        <v>0</v>
      </c>
      <c r="T197" s="9">
        <f>IF(OR($C197="Annual",$D197=$E197),IF(AND($D197=$E197,T$111=$B197+$D197),$I197,IF(AND(T$111&gt;$B197+$D197,T$111&lt;=$B197+$E197), $I197/($E197-$D197),0)), IF(OR(T$111=$B197+$D197,T$111=$B197+$E197),$I197/(($E197-$D197)*2),IF(AND(T$111&gt;$B197+$D197,T$111&lt;$B197+$E197),$I197/($E197-$D197),0)))</f>
        <v>0</v>
      </c>
      <c r="U197" s="9"/>
      <c r="V197" s="9"/>
      <c r="W197" s="9">
        <f t="shared" si="53"/>
        <v>0</v>
      </c>
      <c r="X197" s="9">
        <f t="shared" ca="1" si="53"/>
        <v>0</v>
      </c>
      <c r="Y197" s="9">
        <f t="shared" ca="1" si="53"/>
        <v>0</v>
      </c>
      <c r="Z197" s="9">
        <f t="shared" ca="1" si="53"/>
        <v>0</v>
      </c>
      <c r="AA197" s="9">
        <f t="shared" ca="1" si="53"/>
        <v>0</v>
      </c>
    </row>
    <row r="198" spans="1:27">
      <c r="A198" s="8" t="str">
        <f>A197</f>
        <v>Type 9</v>
      </c>
      <c r="B198" s="7">
        <f>B197+1</f>
        <v>2020</v>
      </c>
      <c r="C198" s="7" t="str">
        <f t="shared" si="54"/>
        <v>Annual</v>
      </c>
      <c r="D198" s="7">
        <f t="shared" si="54"/>
        <v>0</v>
      </c>
      <c r="E198" s="7">
        <f>E197</f>
        <v>0</v>
      </c>
      <c r="F198" s="14">
        <f>$N$88</f>
        <v>0.18606977230199898</v>
      </c>
      <c r="H198" s="9"/>
      <c r="I198" s="9"/>
      <c r="J198" s="9">
        <f ca="1">$D$88/$D$31</f>
        <v>0</v>
      </c>
      <c r="K198" s="9">
        <f ca="1">J198-R198</f>
        <v>0</v>
      </c>
      <c r="L198" s="9">
        <f ca="1">K198-S198</f>
        <v>0</v>
      </c>
      <c r="M198" s="9">
        <f ca="1">L198-T198</f>
        <v>0</v>
      </c>
      <c r="N198" s="9"/>
      <c r="O198" s="9"/>
      <c r="P198" s="9"/>
      <c r="Q198" s="9">
        <f ca="1">IF(OR($C198="Annual",$D198=$E198),IF(AND($D198=$E198,Q$111=$B198+$D198),$J198,IF(AND(Q$111&gt;$B198+$D198,Q$111&lt;=$B198+$E198), $J198/($E198-$D198),0)), IF(OR(Q$111=$B198+$D198,Q$111=$B198+$E198),$J198/(($E198-$D198)*2),IF(AND(Q$111&gt;$B198+$D198,Q$111&lt;$B198+$E198),$J198/($E198-$D198),0)))</f>
        <v>0</v>
      </c>
      <c r="R198" s="9">
        <f>IF(OR($C198="Annual",$D198=$E198),IF(AND($D198=$E198,R$111=$B198+$D198),$J198,IF(AND(R$111&gt;$B198+$D198,R$111&lt;=$B198+$E198), $J198/($E198-$D198),0)), IF(OR(R$111=$B198+$D198,R$111=$B198+$E198),$J198/(($E198-$D198)*2),IF(AND(R$111&gt;$B198+$D198,R$111&lt;$B198+$E198),$J198/($E198-$D198),0)))</f>
        <v>0</v>
      </c>
      <c r="S198" s="9">
        <f>IF(OR($C198="Annual",$D198=$E198),IF(AND($D198=$E198,S$111=$B198+$D198),$J198,IF(AND(S$111&gt;$B198+$D198,S$111&lt;=$B198+$E198), $J198/($E198-$D198),0)), IF(OR(S$111=$B198+$D198,S$111=$B198+$E198),$J198/(($E198-$D198)*2),IF(AND(S$111&gt;$B198+$D198,S$111&lt;$B198+$E198),$J198/($E198-$D198),0)))</f>
        <v>0</v>
      </c>
      <c r="T198" s="9">
        <f>IF(OR($C198="Annual",$D198=$E198),IF(AND($D198=$E198,T$111=$B198+$D198),$J198,IF(AND(T$111&gt;$B198+$D198,T$111&lt;=$B198+$E198), $J198/($E198-$D198),0)), IF(OR(T$111=$B198+$D198,T$111=$B198+$E198),$J198/(($E198-$D198)*2),IF(AND(T$111&gt;$B198+$D198,T$111&lt;$B198+$E198),$J198/($E198-$D198),0)))</f>
        <v>0</v>
      </c>
      <c r="U198" s="9"/>
      <c r="V198" s="9"/>
      <c r="W198" s="9"/>
      <c r="X198" s="9">
        <f t="shared" si="53"/>
        <v>0</v>
      </c>
      <c r="Y198" s="9">
        <f t="shared" ca="1" si="53"/>
        <v>0</v>
      </c>
      <c r="Z198" s="9">
        <f t="shared" ca="1" si="53"/>
        <v>0</v>
      </c>
      <c r="AA198" s="9">
        <f t="shared" ca="1" si="53"/>
        <v>0</v>
      </c>
    </row>
    <row r="199" spans="1:27">
      <c r="A199" s="8" t="str">
        <f>A198</f>
        <v>Type 9</v>
      </c>
      <c r="B199" s="7">
        <f>B198+1</f>
        <v>2021</v>
      </c>
      <c r="C199" s="7" t="str">
        <f t="shared" si="54"/>
        <v>Annual</v>
      </c>
      <c r="D199" s="7">
        <f t="shared" si="54"/>
        <v>0</v>
      </c>
      <c r="E199" s="7">
        <f>E198</f>
        <v>0</v>
      </c>
      <c r="F199" s="14">
        <f>$O$88</f>
        <v>0.18606977230199898</v>
      </c>
      <c r="H199" s="9"/>
      <c r="I199" s="9"/>
      <c r="J199" s="9"/>
      <c r="K199" s="9">
        <f ca="1">$E$88/$E$31</f>
        <v>0</v>
      </c>
      <c r="L199" s="9">
        <f ca="1">K199-S199</f>
        <v>0</v>
      </c>
      <c r="M199" s="9">
        <f ca="1">L199-T199</f>
        <v>0</v>
      </c>
      <c r="N199" s="9"/>
      <c r="O199" s="9"/>
      <c r="P199" s="9"/>
      <c r="Q199" s="9"/>
      <c r="R199" s="9">
        <f ca="1">IF(OR($C199="Annual",$D199=$E199),IF(AND($D199=$E199,R$111=$B199+$D199),$K199,IF(AND(R$111&gt;$B199+$D199,R$111&lt;=$B199+$E199), $K199/($E199-$D199),0)), IF(OR(R$111=$B199+$D199,R$111=$B199+$E199),$K199/(($E199-$D199)*2),IF(AND(R$111&gt;$B199+$D199,R$111&lt;$B199+$E199),$K199/($E199-$D199),0)))</f>
        <v>0</v>
      </c>
      <c r="S199" s="9">
        <f>IF(OR($C199="Annual",$D199=$E199),IF(AND($D199=$E199,S$111=$B199+$D199),$K199,IF(AND(S$111&gt;$B199+$D199,S$111&lt;=$B199+$E199), $K199/($E199-$D199),0)), IF(OR(S$111=$B199+$D199,S$111=$B199+$E199),$K199/(($E199-$D199)*2),IF(AND(S$111&gt;$B199+$D199,S$111&lt;$B199+$E199),$K199/($E199-$D199),0)))</f>
        <v>0</v>
      </c>
      <c r="T199" s="9">
        <f>IF(OR($C199="Annual",$D199=$E199),IF(AND($D199=$E199,T$111=$B199+$D199),$K199,IF(AND(T$111&gt;$B199+$D199,T$111&lt;=$B199+$E199), $K199/($E199-$D199),0)), IF(OR(T$111=$B199+$D199,T$111=$B199+$E199),$K199/(($E199-$D199)*2),IF(AND(T$111&gt;$B199+$D199,T$111&lt;$B199+$E199),$K199/($E199-$D199),0)))</f>
        <v>0</v>
      </c>
      <c r="U199" s="9"/>
      <c r="V199" s="9"/>
      <c r="W199" s="9"/>
      <c r="X199" s="9"/>
      <c r="Y199" s="9">
        <f t="shared" si="53"/>
        <v>0</v>
      </c>
      <c r="Z199" s="9">
        <f t="shared" ca="1" si="53"/>
        <v>0</v>
      </c>
      <c r="AA199" s="9">
        <f t="shared" ca="1" si="53"/>
        <v>0</v>
      </c>
    </row>
    <row r="200" spans="1:27">
      <c r="A200" s="8" t="str">
        <f>A199</f>
        <v>Type 9</v>
      </c>
      <c r="B200" s="7">
        <f>B199+1</f>
        <v>2022</v>
      </c>
      <c r="C200" s="7" t="str">
        <f t="shared" si="54"/>
        <v>Annual</v>
      </c>
      <c r="D200" s="7">
        <f t="shared" si="54"/>
        <v>0</v>
      </c>
      <c r="E200" s="7">
        <f>E199</f>
        <v>0</v>
      </c>
      <c r="F200" s="14">
        <f>$P$88</f>
        <v>0.18606977230199898</v>
      </c>
      <c r="H200" s="9"/>
      <c r="I200" s="9"/>
      <c r="J200" s="9"/>
      <c r="K200" s="9"/>
      <c r="L200" s="9">
        <f ca="1">$F$88/$F$31</f>
        <v>0</v>
      </c>
      <c r="M200" s="9">
        <f ca="1">L200-T200</f>
        <v>0</v>
      </c>
      <c r="N200" s="9"/>
      <c r="O200" s="9"/>
      <c r="P200" s="9"/>
      <c r="Q200" s="9"/>
      <c r="R200" s="9"/>
      <c r="S200" s="9">
        <f ca="1">IF(OR($C200="Annual",$D200=$E200),IF(AND($D200=$E200,S$111=$B200+$D200),$L200,IF(AND(S$111&gt;$B200+$D200,S$111&lt;=$B200+$E200), $L200/($E200-$D200),0)), IF(OR(S$111=$B200+$D200,S$111=$B200+$E200),$L200/(($E200-$D200)*2),IF(AND(S$111&gt;$B200+$D200,S$111&lt;$B200+$E200),$L200/($E200-$D200),0)))</f>
        <v>0</v>
      </c>
      <c r="T200" s="9">
        <f>IF(OR($C200="Annual",$D200=$E200),IF(AND($D200=$E200,T$111=$B200+$D200),$L200,IF(AND(T$111&gt;$B200+$D200,T$111&lt;=$B200+$E200), $L200/($E200-$D200),0)), IF(OR(T$111=$B200+$D200,T$111=$B200+$E200),$L200/(($E200-$D200)*2),IF(AND(T$111&gt;$B200+$D200,T$111&lt;$B200+$E200),$L200/($E200-$D200),0)))</f>
        <v>0</v>
      </c>
      <c r="U200" s="9"/>
      <c r="V200" s="9"/>
      <c r="W200" s="9"/>
      <c r="X200" s="9"/>
      <c r="Y200" s="9"/>
      <c r="Z200" s="9">
        <f t="shared" si="53"/>
        <v>0</v>
      </c>
      <c r="AA200" s="9">
        <f t="shared" ca="1" si="53"/>
        <v>0</v>
      </c>
    </row>
    <row r="201" spans="1:27">
      <c r="A201" s="8" t="str">
        <f>A200</f>
        <v>Type 9</v>
      </c>
      <c r="B201" s="7">
        <f>B200+1</f>
        <v>2023</v>
      </c>
      <c r="C201" s="7" t="str">
        <f t="shared" si="54"/>
        <v>Annual</v>
      </c>
      <c r="D201" s="7">
        <f t="shared" si="54"/>
        <v>0</v>
      </c>
      <c r="E201" s="7">
        <f>E200</f>
        <v>0</v>
      </c>
      <c r="F201" s="14">
        <f>$Q$88</f>
        <v>0.18606977230199898</v>
      </c>
      <c r="H201" s="9"/>
      <c r="I201" s="9"/>
      <c r="J201" s="9"/>
      <c r="K201" s="9"/>
      <c r="L201" s="9"/>
      <c r="M201" s="9">
        <f ca="1">$G$88/$G$31</f>
        <v>0</v>
      </c>
      <c r="N201" s="9"/>
      <c r="O201" s="9"/>
      <c r="P201" s="9"/>
      <c r="Q201" s="9"/>
      <c r="R201" s="9"/>
      <c r="S201" s="9"/>
      <c r="T201" s="9">
        <f ca="1">IF(OR($C201="Annual",$D201=$E201),IF(AND($D201=$E201,T$111=$B201+$D201),$M201,IF(AND(T$111&gt;$B201+$D201,T$111&lt;=$B201+$E201), $M201/($E201-$D201),0)), IF(OR(T$111=$B201+$D201,T$111=$B201+$E201),$M201/(($E201-$D201)*2),IF(AND(T$111&gt;$B201+$D201,T$111&lt;$B201+$E201),$M201/($E201-$D201),0)))</f>
        <v>0</v>
      </c>
      <c r="U201" s="9"/>
      <c r="V201" s="9"/>
      <c r="W201" s="9"/>
      <c r="X201" s="9"/>
      <c r="Y201" s="9"/>
      <c r="Z201" s="9"/>
      <c r="AA201" s="9">
        <f t="shared" si="53"/>
        <v>0</v>
      </c>
    </row>
    <row r="202" spans="1:27">
      <c r="A202" s="8"/>
      <c r="B202" s="7"/>
      <c r="C202" s="7"/>
      <c r="D202" s="7"/>
      <c r="E202" s="7"/>
      <c r="F202" s="15"/>
      <c r="H202" s="9"/>
      <c r="I202" s="9"/>
      <c r="J202" s="9"/>
      <c r="K202" s="9"/>
      <c r="L202" s="9"/>
      <c r="M202" s="9"/>
      <c r="N202" s="9"/>
      <c r="O202" s="278"/>
      <c r="P202" s="10"/>
      <c r="Q202" s="10"/>
      <c r="R202" s="10"/>
      <c r="S202" s="10"/>
      <c r="T202" s="10"/>
      <c r="U202" s="9"/>
      <c r="V202" s="10"/>
      <c r="W202" s="10"/>
      <c r="X202" s="10"/>
      <c r="Y202" s="10"/>
      <c r="Z202" s="10"/>
      <c r="AA202" s="10"/>
    </row>
    <row r="203" spans="1:27" s="1150" customFormat="1">
      <c r="A203" s="1347" t="str">
        <f>'Input 4 - Forecast'!A70</f>
        <v>ZERO-COUPON BOND</v>
      </c>
      <c r="B203" s="1348">
        <f>B119</f>
        <v>2018</v>
      </c>
      <c r="C203" s="1348"/>
      <c r="D203" s="1348">
        <f>$J89</f>
        <v>0</v>
      </c>
      <c r="E203" s="1348">
        <f>$K89</f>
        <v>0</v>
      </c>
      <c r="F203" s="1349">
        <f>$L$89</f>
        <v>0</v>
      </c>
      <c r="H203" s="1350">
        <f>$B$89/$B$31</f>
        <v>0</v>
      </c>
      <c r="I203" s="1350">
        <f>H203-P203</f>
        <v>0</v>
      </c>
      <c r="J203" s="1350">
        <f>I203-Q203</f>
        <v>0</v>
      </c>
      <c r="K203" s="1350">
        <f>J203-R203</f>
        <v>0</v>
      </c>
      <c r="L203" s="1350">
        <f>K203-S203</f>
        <v>0</v>
      </c>
      <c r="M203" s="1350">
        <f>L203-T203</f>
        <v>0</v>
      </c>
      <c r="N203" s="1350"/>
      <c r="O203" s="1350">
        <f t="shared" ref="O203:T203" si="55">IF($D203=$E203,IF(O$111=$B203+$E203,$H203,0),0)</f>
        <v>0</v>
      </c>
      <c r="P203" s="1350">
        <f t="shared" si="55"/>
        <v>0</v>
      </c>
      <c r="Q203" s="1350">
        <f t="shared" si="55"/>
        <v>0</v>
      </c>
      <c r="R203" s="1350">
        <f t="shared" si="55"/>
        <v>0</v>
      </c>
      <c r="S203" s="1350">
        <f t="shared" si="55"/>
        <v>0</v>
      </c>
      <c r="T203" s="1350">
        <f t="shared" si="55"/>
        <v>0</v>
      </c>
      <c r="U203" s="1350"/>
      <c r="V203" s="1350">
        <f t="shared" ref="V203:AA203" si="56">IF(V$111-$B203=$D203,$H203*(((1+$F203)^$D203)-1),0)</f>
        <v>0</v>
      </c>
      <c r="W203" s="1350">
        <f t="shared" si="56"/>
        <v>0</v>
      </c>
      <c r="X203" s="1350">
        <f t="shared" si="56"/>
        <v>0</v>
      </c>
      <c r="Y203" s="1350">
        <f t="shared" si="56"/>
        <v>0</v>
      </c>
      <c r="Z203" s="1350">
        <f t="shared" si="56"/>
        <v>0</v>
      </c>
      <c r="AA203" s="1350">
        <f t="shared" si="56"/>
        <v>0</v>
      </c>
    </row>
    <row r="204" spans="1:27" s="1150" customFormat="1">
      <c r="A204" s="1347" t="str">
        <f>A203</f>
        <v>ZERO-COUPON BOND</v>
      </c>
      <c r="B204" s="1348">
        <f>B203+1</f>
        <v>2019</v>
      </c>
      <c r="C204" s="1348"/>
      <c r="D204" s="1348">
        <f t="shared" ref="D204:E208" si="57">D203</f>
        <v>0</v>
      </c>
      <c r="E204" s="1348">
        <f t="shared" si="57"/>
        <v>0</v>
      </c>
      <c r="F204" s="1349">
        <f>$M$89</f>
        <v>0.18606977230199898</v>
      </c>
      <c r="H204" s="1350"/>
      <c r="I204" s="1350">
        <f ca="1">$C$89/$C$31</f>
        <v>0</v>
      </c>
      <c r="J204" s="1350">
        <f ca="1">I204-Q204</f>
        <v>0</v>
      </c>
      <c r="K204" s="1350">
        <f ca="1">J204-R204</f>
        <v>0</v>
      </c>
      <c r="L204" s="1350">
        <f ca="1">K204-S204</f>
        <v>0</v>
      </c>
      <c r="M204" s="1350">
        <f ca="1">L204-T204</f>
        <v>0</v>
      </c>
      <c r="N204" s="1350"/>
      <c r="O204" s="1351"/>
      <c r="P204" s="1350">
        <f ca="1">IF($D204=$E204,IF(P$111=$B204+$E204,$I204,0),0)</f>
        <v>0</v>
      </c>
      <c r="Q204" s="1350">
        <f>IF($D204=$E204,IF(Q$111=$B204+$E204,$I204,0),0)</f>
        <v>0</v>
      </c>
      <c r="R204" s="1350">
        <f>IF($D204=$E204,IF(R$111=$B204+$E204,$I204,0),0)</f>
        <v>0</v>
      </c>
      <c r="S204" s="1350">
        <f>IF($D204=$E204,IF(S$111=$B204+$E204,$I204,0),0)</f>
        <v>0</v>
      </c>
      <c r="T204" s="1350">
        <f>IF($D204=$E204,IF(T$111=$B204+$E204,$I204,0),0)</f>
        <v>0</v>
      </c>
      <c r="U204" s="1350"/>
      <c r="V204" s="1350"/>
      <c r="W204" s="1350">
        <f ca="1">IF(W$111-$B204=$D204,$I204*(((1+$F204)^$D204)-1),0)</f>
        <v>0</v>
      </c>
      <c r="X204" s="1350">
        <f>IF(X$111-$B204=$D204,$I204*(((1+$F204)^$D204)-1),0)</f>
        <v>0</v>
      </c>
      <c r="Y204" s="1350">
        <f>IF(Y$111-$B204=$D204,$I204*(((1+$F204)^$D204)-1),0)</f>
        <v>0</v>
      </c>
      <c r="Z204" s="1350">
        <f>IF(Z$111-$B204=$D204,$I204*(((1+$F204)^$D204)-1),0)</f>
        <v>0</v>
      </c>
      <c r="AA204" s="1350">
        <f>IF(AA$111-$B204=$D204,$I204*(((1+$F204)^$D204)-1),0)</f>
        <v>0</v>
      </c>
    </row>
    <row r="205" spans="1:27" s="1150" customFormat="1">
      <c r="A205" s="1347" t="str">
        <f>A204</f>
        <v>ZERO-COUPON BOND</v>
      </c>
      <c r="B205" s="1348">
        <f>B204+1</f>
        <v>2020</v>
      </c>
      <c r="C205" s="1348"/>
      <c r="D205" s="1348">
        <f t="shared" si="57"/>
        <v>0</v>
      </c>
      <c r="E205" s="1348">
        <f t="shared" si="57"/>
        <v>0</v>
      </c>
      <c r="F205" s="1349">
        <f>$N$89</f>
        <v>0.18606977230199898</v>
      </c>
      <c r="H205" s="1350"/>
      <c r="I205" s="1350"/>
      <c r="J205" s="1350">
        <f ca="1">$D$89/$D$31</f>
        <v>0</v>
      </c>
      <c r="K205" s="1350">
        <f ca="1">J205-R205</f>
        <v>0</v>
      </c>
      <c r="L205" s="1350">
        <f ca="1">K205-S205</f>
        <v>0</v>
      </c>
      <c r="M205" s="1350">
        <f ca="1">L205-T205</f>
        <v>0</v>
      </c>
      <c r="N205" s="1350"/>
      <c r="O205" s="1351"/>
      <c r="P205" s="1350"/>
      <c r="Q205" s="1350">
        <f ca="1">IF($D205=$E205,IF(Q$111=$B205+$E205,$J205,0),0)</f>
        <v>0</v>
      </c>
      <c r="R205" s="1350">
        <f>IF($D205=$E205,IF(R$111=$B205+$E205,$J205,0),0)</f>
        <v>0</v>
      </c>
      <c r="S205" s="1350">
        <f>IF($D205=$E205,IF(S$111=$B205+$E205,$J205,0),0)</f>
        <v>0</v>
      </c>
      <c r="T205" s="1350">
        <f>IF($D205=$E205,IF(T$111=$B205+$E205,$J205,0),0)</f>
        <v>0</v>
      </c>
      <c r="U205" s="1350"/>
      <c r="V205" s="1350"/>
      <c r="W205" s="1350"/>
      <c r="X205" s="1350">
        <f ca="1">IF(X$111-$B205=$D205,$J205*(((1+$F205)^$D205)-1),0)</f>
        <v>0</v>
      </c>
      <c r="Y205" s="1350">
        <f>IF(Y$111-$B205=$D205,$J205*(((1+$F205)^$D205)-1),0)</f>
        <v>0</v>
      </c>
      <c r="Z205" s="1350">
        <f>IF(Z$111-$B205=$D205,$J205*(((1+$F205)^$D205)-1),0)</f>
        <v>0</v>
      </c>
      <c r="AA205" s="1350">
        <f>IF(AA$111-$B205=$D205,$J205*(((1+$F205)^$D205)-1),0)</f>
        <v>0</v>
      </c>
    </row>
    <row r="206" spans="1:27" s="1150" customFormat="1">
      <c r="A206" s="1347" t="str">
        <f>A205</f>
        <v>ZERO-COUPON BOND</v>
      </c>
      <c r="B206" s="1348">
        <f>B205+1</f>
        <v>2021</v>
      </c>
      <c r="C206" s="1348"/>
      <c r="D206" s="1348">
        <f t="shared" si="57"/>
        <v>0</v>
      </c>
      <c r="E206" s="1348">
        <f t="shared" si="57"/>
        <v>0</v>
      </c>
      <c r="F206" s="1349">
        <f>$O$89</f>
        <v>0.18606977230199898</v>
      </c>
      <c r="H206" s="1350"/>
      <c r="I206" s="1350"/>
      <c r="J206" s="1350"/>
      <c r="K206" s="1350">
        <f ca="1">$E$89/$E$31</f>
        <v>0</v>
      </c>
      <c r="L206" s="1350">
        <f ca="1">K206-S206</f>
        <v>0</v>
      </c>
      <c r="M206" s="1350">
        <f ca="1">L206-T206</f>
        <v>0</v>
      </c>
      <c r="N206" s="1350"/>
      <c r="O206" s="1351"/>
      <c r="P206" s="1350"/>
      <c r="Q206" s="1350"/>
      <c r="R206" s="1350">
        <f ca="1">IF($D206=$E206,IF(R$111=$B206+$E206,$K206,0),0)</f>
        <v>0</v>
      </c>
      <c r="S206" s="1350">
        <f>IF($D206=$E206,IF(S$111=$B206+$E206,$K206,0),0)</f>
        <v>0</v>
      </c>
      <c r="T206" s="1350">
        <f>IF($D206=$E206,IF(T$111=$B206+$E206,$K206,0),0)</f>
        <v>0</v>
      </c>
      <c r="U206" s="1350"/>
      <c r="V206" s="1350"/>
      <c r="W206" s="1350"/>
      <c r="X206" s="1350"/>
      <c r="Y206" s="1350">
        <f ca="1">IF(Y$111-$B206=$D206,$K206*(((1+$F206)^$D206)-1),0)</f>
        <v>0</v>
      </c>
      <c r="Z206" s="1350">
        <f>IF(Z$111-$B206=$D206,$K206*(((1+$F206)^$D206)-1),0)</f>
        <v>0</v>
      </c>
      <c r="AA206" s="1350">
        <f>IF(AA$111-$B206=$D206,$K206*(((1+$F206)^$D206)-1),0)</f>
        <v>0</v>
      </c>
    </row>
    <row r="207" spans="1:27" s="1150" customFormat="1">
      <c r="A207" s="1347" t="str">
        <f>A206</f>
        <v>ZERO-COUPON BOND</v>
      </c>
      <c r="B207" s="1348">
        <f>B206+1</f>
        <v>2022</v>
      </c>
      <c r="C207" s="1348"/>
      <c r="D207" s="1348">
        <f t="shared" si="57"/>
        <v>0</v>
      </c>
      <c r="E207" s="1348">
        <f t="shared" si="57"/>
        <v>0</v>
      </c>
      <c r="F207" s="1349">
        <f>$P$89</f>
        <v>0.18606977230199898</v>
      </c>
      <c r="H207" s="1350"/>
      <c r="I207" s="1350"/>
      <c r="J207" s="1350"/>
      <c r="K207" s="1350"/>
      <c r="L207" s="1350">
        <f ca="1">$F$89/$F$31</f>
        <v>0</v>
      </c>
      <c r="M207" s="1350">
        <f ca="1">L207-T207</f>
        <v>0</v>
      </c>
      <c r="N207" s="1350"/>
      <c r="O207" s="1351"/>
      <c r="P207" s="1350"/>
      <c r="Q207" s="1350"/>
      <c r="R207" s="1350"/>
      <c r="S207" s="1350">
        <f ca="1">IF($D207=$E207,IF(S$111=$B207+$E207,$L207,0),0)</f>
        <v>0</v>
      </c>
      <c r="T207" s="1350">
        <f>IF($D207=$E207,IF(T$111=$B207+$E207,$L207,0),0)</f>
        <v>0</v>
      </c>
      <c r="U207" s="1350"/>
      <c r="V207" s="1350"/>
      <c r="W207" s="1350"/>
      <c r="X207" s="1350"/>
      <c r="Y207" s="1350"/>
      <c r="Z207" s="1350">
        <f ca="1">IF(Z$111-$B207=$D207,$L207*(((1+$F207)^$D207)-1),0)</f>
        <v>0</v>
      </c>
      <c r="AA207" s="1350">
        <f>IF(AA$111-$B207=$D207,$L207*(((1+$F207)^$D207)-1),0)</f>
        <v>0</v>
      </c>
    </row>
    <row r="208" spans="1:27" s="1150" customFormat="1">
      <c r="A208" s="1347" t="str">
        <f>A207</f>
        <v>ZERO-COUPON BOND</v>
      </c>
      <c r="B208" s="1348">
        <f>B207+1</f>
        <v>2023</v>
      </c>
      <c r="C208" s="1348"/>
      <c r="D208" s="1348">
        <f t="shared" si="57"/>
        <v>0</v>
      </c>
      <c r="E208" s="1348">
        <f t="shared" si="57"/>
        <v>0</v>
      </c>
      <c r="F208" s="1349">
        <f>$Q$89</f>
        <v>0.18606977230199898</v>
      </c>
      <c r="H208" s="1350"/>
      <c r="I208" s="1350"/>
      <c r="J208" s="1350"/>
      <c r="K208" s="1350"/>
      <c r="L208" s="1350"/>
      <c r="M208" s="1350">
        <f ca="1">$G$89/$G$31</f>
        <v>0</v>
      </c>
      <c r="N208" s="1350"/>
      <c r="O208" s="1351"/>
      <c r="P208" s="1350"/>
      <c r="Q208" s="1350"/>
      <c r="R208" s="1350"/>
      <c r="S208" s="1350"/>
      <c r="T208" s="1350">
        <f ca="1">IF($D208=$E208,IF(T$111=$B208+$E208,$M208,0),0)</f>
        <v>0</v>
      </c>
      <c r="U208" s="1350"/>
      <c r="V208" s="1350"/>
      <c r="W208" s="1350"/>
      <c r="X208" s="1350"/>
      <c r="Y208" s="1350"/>
      <c r="Z208" s="1350"/>
      <c r="AA208" s="1350">
        <f ca="1">IF(AA$111-$B208=$D208,$M208*(((1+$F208)^$D208)-1),0)</f>
        <v>0</v>
      </c>
    </row>
    <row r="209" spans="1:27">
      <c r="A209" s="17"/>
      <c r="B209" s="7"/>
      <c r="D209" s="7"/>
      <c r="E209" s="7"/>
      <c r="F209" s="7"/>
    </row>
    <row r="210" spans="1:27">
      <c r="A210" s="20" t="str">
        <f>'Input 4 - Forecast'!A71</f>
        <v>New Issuance of External Debt (new debt) 1/</v>
      </c>
    </row>
    <row r="211" spans="1:27" customFormat="1" ht="15.75" thickBot="1">
      <c r="A211" s="21" t="str">
        <f>'Input 4 - Forecast'!A72</f>
        <v>Short-term debt 2/</v>
      </c>
      <c r="B211" s="18"/>
      <c r="C211" s="6"/>
      <c r="D211" s="13"/>
      <c r="E211" s="13"/>
      <c r="F211" s="13"/>
      <c r="G211" s="13"/>
      <c r="H211" s="13"/>
      <c r="I211" s="13"/>
      <c r="J211" s="17"/>
      <c r="K211" s="19"/>
      <c r="L211" s="19"/>
      <c r="M211" s="19"/>
      <c r="N211" s="19"/>
      <c r="O211" s="19"/>
      <c r="P211" s="19"/>
      <c r="Q211" s="19"/>
      <c r="R211" s="19"/>
    </row>
    <row r="212" spans="1:27" customFormat="1" ht="15.75" thickBot="1">
      <c r="A212" s="22" t="str">
        <f>'Input 4 - Forecast'!A73</f>
        <v>Denominated in local currency</v>
      </c>
      <c r="B212" s="1999" t="s">
        <v>51</v>
      </c>
      <c r="C212" s="2000"/>
      <c r="D212" s="2000"/>
      <c r="E212" s="2000"/>
      <c r="F212" s="2000"/>
      <c r="G212" s="2000"/>
      <c r="H212" s="2000"/>
      <c r="I212" s="2000"/>
      <c r="J212" s="2000"/>
      <c r="K212" s="2000"/>
      <c r="L212" s="2000"/>
      <c r="M212" s="2000"/>
      <c r="N212" s="2000"/>
      <c r="O212" s="2000"/>
      <c r="P212" s="2000"/>
      <c r="Q212" s="2000"/>
      <c r="R212" s="2000"/>
      <c r="S212" s="2000"/>
      <c r="T212" s="2000"/>
      <c r="U212" s="2000"/>
      <c r="V212" s="2000"/>
      <c r="W212" s="2000"/>
      <c r="X212" s="2000"/>
      <c r="Y212" s="2000"/>
      <c r="Z212" s="2000"/>
      <c r="AA212" s="2001"/>
    </row>
    <row r="213" spans="1:27">
      <c r="F213" s="15"/>
      <c r="H213" s="10"/>
      <c r="I213" s="10"/>
      <c r="J213" s="10"/>
      <c r="K213" s="10"/>
      <c r="L213" s="10"/>
      <c r="M213" s="10"/>
      <c r="N213" s="10"/>
      <c r="O213" s="10"/>
      <c r="P213" s="10"/>
      <c r="Q213" s="10"/>
      <c r="R213" s="10"/>
      <c r="S213" s="10"/>
      <c r="T213" s="10"/>
      <c r="U213" s="10"/>
      <c r="V213" s="10"/>
      <c r="W213" s="10"/>
      <c r="X213" s="10"/>
      <c r="Y213" s="10"/>
      <c r="Z213" s="10"/>
      <c r="AA213" s="10"/>
    </row>
    <row r="214" spans="1:27" customFormat="1">
      <c r="A214" s="23"/>
      <c r="B214" s="7">
        <f>B119</f>
        <v>2018</v>
      </c>
      <c r="C214" s="13" t="str">
        <f>$I92</f>
        <v>Semi-annual</v>
      </c>
      <c r="D214" s="13">
        <f>$J92</f>
        <v>0</v>
      </c>
      <c r="E214" s="13">
        <f>$K92</f>
        <v>0</v>
      </c>
      <c r="F214" s="14">
        <f>$L$92</f>
        <v>0</v>
      </c>
      <c r="G214" s="13"/>
      <c r="H214" s="9">
        <f>$B$92</f>
        <v>0</v>
      </c>
      <c r="I214" s="9">
        <f>H214-P214</f>
        <v>0</v>
      </c>
      <c r="J214" s="9">
        <f>I214-Q214</f>
        <v>0</v>
      </c>
      <c r="K214" s="9">
        <f>J214-R214</f>
        <v>0</v>
      </c>
      <c r="L214" s="9">
        <f>K214-S214</f>
        <v>0</v>
      </c>
      <c r="M214" s="9">
        <f>L214-T214</f>
        <v>0</v>
      </c>
      <c r="N214" s="9"/>
      <c r="O214" s="9">
        <v>0</v>
      </c>
      <c r="P214" s="9">
        <f>H214</f>
        <v>0</v>
      </c>
      <c r="Q214" s="9">
        <v>0</v>
      </c>
      <c r="R214" s="9">
        <v>0</v>
      </c>
      <c r="S214" s="9">
        <v>0</v>
      </c>
      <c r="T214" s="9">
        <v>0</v>
      </c>
      <c r="U214" s="9"/>
      <c r="V214" s="9">
        <f>IF($C214="annual",IF(V$111=$B214,0,G214*$F214),IF(V$111-$B214=0,0,IF((V$111-$B214)&lt;$E214,AVERAGE(G214,H214)*$F214,IF((V$111-$B214)=$E214,G214*$F214/2,0))))</f>
        <v>0</v>
      </c>
      <c r="W214" s="9">
        <f t="shared" ref="W214:AA219" si="58">IF($C214="annual",IF(W$111=$B214,0,H214*$F214),IF(W$111-$B214=0,0,IF((W$111-$B214)&lt;$E214,AVERAGE(H214,I214)*$F214,IF((W$111-$B214)=$E214,H214*$F214/2,0))))</f>
        <v>0</v>
      </c>
      <c r="X214" s="9">
        <f t="shared" si="58"/>
        <v>0</v>
      </c>
      <c r="Y214" s="9">
        <f t="shared" si="58"/>
        <v>0</v>
      </c>
      <c r="Z214" s="9">
        <f t="shared" si="58"/>
        <v>0</v>
      </c>
      <c r="AA214" s="9">
        <f t="shared" si="58"/>
        <v>0</v>
      </c>
    </row>
    <row r="215" spans="1:27" customFormat="1">
      <c r="A215" s="23"/>
      <c r="B215" s="7">
        <f>B214+1</f>
        <v>2019</v>
      </c>
      <c r="C215" s="13" t="str">
        <f>C214</f>
        <v>Semi-annual</v>
      </c>
      <c r="D215" s="13">
        <f>D214</f>
        <v>0</v>
      </c>
      <c r="E215" s="13">
        <f>E214</f>
        <v>0</v>
      </c>
      <c r="F215" s="14">
        <f>$M$92</f>
        <v>0.18606977230199898</v>
      </c>
      <c r="G215" s="13"/>
      <c r="H215" s="9"/>
      <c r="I215" s="9">
        <f ca="1">$C$92</f>
        <v>0</v>
      </c>
      <c r="J215" s="9">
        <f ca="1">I215-Q215</f>
        <v>0</v>
      </c>
      <c r="K215" s="9">
        <f ca="1">J215-R215</f>
        <v>0</v>
      </c>
      <c r="L215" s="9">
        <f ca="1">K215-S215</f>
        <v>0</v>
      </c>
      <c r="M215" s="9">
        <f ca="1">L215-T215</f>
        <v>0</v>
      </c>
      <c r="N215" s="9"/>
      <c r="O215" s="9"/>
      <c r="P215" s="9">
        <v>0</v>
      </c>
      <c r="Q215" s="9">
        <f ca="1">I215</f>
        <v>0</v>
      </c>
      <c r="R215" s="9">
        <v>0</v>
      </c>
      <c r="S215" s="9">
        <v>0</v>
      </c>
      <c r="T215" s="9">
        <v>0</v>
      </c>
      <c r="U215" s="9"/>
      <c r="V215" s="9"/>
      <c r="W215" s="9">
        <f t="shared" si="58"/>
        <v>0</v>
      </c>
      <c r="X215" s="9">
        <f t="shared" si="58"/>
        <v>0</v>
      </c>
      <c r="Y215" s="9">
        <f t="shared" si="58"/>
        <v>0</v>
      </c>
      <c r="Z215" s="9">
        <f t="shared" si="58"/>
        <v>0</v>
      </c>
      <c r="AA215" s="9">
        <f t="shared" si="58"/>
        <v>0</v>
      </c>
    </row>
    <row r="216" spans="1:27" customFormat="1">
      <c r="A216" s="23"/>
      <c r="B216" s="7">
        <f>B215+1</f>
        <v>2020</v>
      </c>
      <c r="C216" s="13" t="str">
        <f>C215</f>
        <v>Semi-annual</v>
      </c>
      <c r="D216" s="13">
        <f t="shared" ref="D216:E219" si="59">D215</f>
        <v>0</v>
      </c>
      <c r="E216" s="13">
        <f t="shared" si="59"/>
        <v>0</v>
      </c>
      <c r="F216" s="14">
        <f>$N$92</f>
        <v>0.18606977230199898</v>
      </c>
      <c r="G216" s="13"/>
      <c r="H216" s="9"/>
      <c r="I216" s="9"/>
      <c r="J216" s="9">
        <f ca="1">$D$92</f>
        <v>0</v>
      </c>
      <c r="K216" s="9">
        <f ca="1">J216-R216</f>
        <v>0</v>
      </c>
      <c r="L216" s="9">
        <f ca="1">K216-S216</f>
        <v>0</v>
      </c>
      <c r="M216" s="9">
        <f ca="1">L216-T216</f>
        <v>0</v>
      </c>
      <c r="N216" s="9"/>
      <c r="O216" s="9"/>
      <c r="P216" s="9"/>
      <c r="Q216" s="9">
        <v>0</v>
      </c>
      <c r="R216" s="9">
        <f ca="1">J216</f>
        <v>0</v>
      </c>
      <c r="S216" s="9">
        <v>0</v>
      </c>
      <c r="T216" s="9">
        <v>0</v>
      </c>
      <c r="U216" s="9"/>
      <c r="V216" s="9"/>
      <c r="W216" s="9"/>
      <c r="X216" s="9">
        <f t="shared" si="58"/>
        <v>0</v>
      </c>
      <c r="Y216" s="9">
        <f t="shared" si="58"/>
        <v>0</v>
      </c>
      <c r="Z216" s="9">
        <f t="shared" si="58"/>
        <v>0</v>
      </c>
      <c r="AA216" s="9">
        <f t="shared" si="58"/>
        <v>0</v>
      </c>
    </row>
    <row r="217" spans="1:27" customFormat="1">
      <c r="A217" s="23"/>
      <c r="B217" s="7">
        <f>B216+1</f>
        <v>2021</v>
      </c>
      <c r="C217" s="13" t="str">
        <f>C216</f>
        <v>Semi-annual</v>
      </c>
      <c r="D217" s="13">
        <f t="shared" si="59"/>
        <v>0</v>
      </c>
      <c r="E217" s="13">
        <f t="shared" si="59"/>
        <v>0</v>
      </c>
      <c r="F217" s="14">
        <f>$O$92</f>
        <v>0.18606977230199898</v>
      </c>
      <c r="G217" s="13"/>
      <c r="H217" s="9"/>
      <c r="I217" s="9"/>
      <c r="J217" s="9"/>
      <c r="K217" s="9">
        <f ca="1">$E$92</f>
        <v>0</v>
      </c>
      <c r="L217" s="9">
        <f ca="1">K217-S217</f>
        <v>0</v>
      </c>
      <c r="M217" s="9">
        <f ca="1">L217-T217</f>
        <v>0</v>
      </c>
      <c r="N217" s="9"/>
      <c r="O217" s="9"/>
      <c r="P217" s="9"/>
      <c r="Q217" s="9"/>
      <c r="R217" s="9">
        <v>0</v>
      </c>
      <c r="S217" s="9">
        <f ca="1">K217</f>
        <v>0</v>
      </c>
      <c r="T217" s="9">
        <v>0</v>
      </c>
      <c r="U217" s="9"/>
      <c r="V217" s="9"/>
      <c r="W217" s="9"/>
      <c r="X217" s="9"/>
      <c r="Y217" s="9">
        <f t="shared" si="58"/>
        <v>0</v>
      </c>
      <c r="Z217" s="9">
        <f t="shared" si="58"/>
        <v>0</v>
      </c>
      <c r="AA217" s="9">
        <f t="shared" si="58"/>
        <v>0</v>
      </c>
    </row>
    <row r="218" spans="1:27" customFormat="1">
      <c r="A218" s="23"/>
      <c r="B218" s="7">
        <f>B217+1</f>
        <v>2022</v>
      </c>
      <c r="C218" s="13" t="str">
        <f>C217</f>
        <v>Semi-annual</v>
      </c>
      <c r="D218" s="13">
        <f t="shared" si="59"/>
        <v>0</v>
      </c>
      <c r="E218" s="13">
        <f t="shared" si="59"/>
        <v>0</v>
      </c>
      <c r="F218" s="14">
        <f>$P$92</f>
        <v>0.18606977230199898</v>
      </c>
      <c r="G218" s="13"/>
      <c r="H218" s="9"/>
      <c r="I218" s="9"/>
      <c r="J218" s="9"/>
      <c r="K218" s="9"/>
      <c r="L218" s="9">
        <f ca="1">$F$92</f>
        <v>0</v>
      </c>
      <c r="M218" s="9">
        <f ca="1">L218-T218</f>
        <v>0</v>
      </c>
      <c r="N218" s="9"/>
      <c r="O218" s="9"/>
      <c r="P218" s="9"/>
      <c r="Q218" s="9"/>
      <c r="R218" s="9"/>
      <c r="S218" s="9">
        <v>0</v>
      </c>
      <c r="T218" s="9">
        <f ca="1">L218</f>
        <v>0</v>
      </c>
      <c r="U218" s="9"/>
      <c r="V218" s="9"/>
      <c r="W218" s="9"/>
      <c r="X218" s="9"/>
      <c r="Y218" s="9"/>
      <c r="Z218" s="9">
        <f t="shared" si="58"/>
        <v>0</v>
      </c>
      <c r="AA218" s="9">
        <f t="shared" si="58"/>
        <v>0</v>
      </c>
    </row>
    <row r="219" spans="1:27" customFormat="1">
      <c r="A219" s="23"/>
      <c r="B219" s="7">
        <f>B218+1</f>
        <v>2023</v>
      </c>
      <c r="C219" s="13" t="str">
        <f>C218</f>
        <v>Semi-annual</v>
      </c>
      <c r="D219" s="13">
        <f t="shared" si="59"/>
        <v>0</v>
      </c>
      <c r="E219" s="13">
        <f t="shared" si="59"/>
        <v>0</v>
      </c>
      <c r="F219" s="14">
        <f>$Q$92</f>
        <v>0.18606977230199898</v>
      </c>
      <c r="G219" s="13"/>
      <c r="H219" s="9"/>
      <c r="I219" s="9"/>
      <c r="J219" s="9"/>
      <c r="K219" s="9"/>
      <c r="L219" s="9"/>
      <c r="M219" s="9">
        <f ca="1">$G$92</f>
        <v>0</v>
      </c>
      <c r="N219" s="9"/>
      <c r="O219" s="9"/>
      <c r="P219" s="9"/>
      <c r="Q219" s="9"/>
      <c r="R219" s="9"/>
      <c r="S219" s="9"/>
      <c r="T219" s="9">
        <v>0</v>
      </c>
      <c r="U219" s="9"/>
      <c r="V219" s="9"/>
      <c r="W219" s="9"/>
      <c r="X219" s="9"/>
      <c r="Y219" s="9"/>
      <c r="Z219" s="9"/>
      <c r="AA219" s="9">
        <f t="shared" si="58"/>
        <v>0</v>
      </c>
    </row>
    <row r="220" spans="1:27" ht="15.75" thickBot="1">
      <c r="B220" s="7"/>
      <c r="F220" s="15"/>
      <c r="H220" s="10"/>
      <c r="I220" s="10"/>
      <c r="J220" s="10"/>
      <c r="K220" s="10"/>
      <c r="L220" s="10"/>
      <c r="M220" s="10"/>
      <c r="N220" s="10"/>
      <c r="O220" s="10"/>
      <c r="P220" s="10"/>
      <c r="Q220" s="10"/>
      <c r="R220" s="10"/>
      <c r="S220" s="10"/>
      <c r="T220" s="10"/>
      <c r="U220" s="10"/>
      <c r="V220" s="10"/>
      <c r="W220" s="10"/>
      <c r="X220" s="10"/>
      <c r="Y220" s="10"/>
      <c r="Z220" s="10"/>
      <c r="AA220" s="10"/>
    </row>
    <row r="221" spans="1:27" customFormat="1" ht="15.75" thickBot="1">
      <c r="A221" s="22" t="str">
        <f>'Input 4 - Forecast'!A82</f>
        <v>Denominated in foreign currency</v>
      </c>
      <c r="B221" s="1999" t="s">
        <v>52</v>
      </c>
      <c r="C221" s="2000"/>
      <c r="D221" s="2000"/>
      <c r="E221" s="2000"/>
      <c r="F221" s="2000"/>
      <c r="G221" s="2000"/>
      <c r="H221" s="2000"/>
      <c r="I221" s="2000"/>
      <c r="J221" s="2000"/>
      <c r="K221" s="2000"/>
      <c r="L221" s="2000"/>
      <c r="M221" s="2000"/>
      <c r="N221" s="2000"/>
      <c r="O221" s="2000"/>
      <c r="P221" s="2000"/>
      <c r="Q221" s="2000"/>
      <c r="R221" s="2000"/>
      <c r="S221" s="2000"/>
      <c r="T221" s="2000"/>
      <c r="U221" s="2000"/>
      <c r="V221" s="2000"/>
      <c r="W221" s="2000"/>
      <c r="X221" s="2000"/>
      <c r="Y221" s="2000"/>
      <c r="Z221" s="2000"/>
      <c r="AA221" s="2001"/>
    </row>
    <row r="222" spans="1:27">
      <c r="F222" s="15"/>
      <c r="H222" s="10"/>
      <c r="I222" s="10"/>
      <c r="J222" s="10"/>
      <c r="K222" s="10"/>
      <c r="L222" s="10"/>
      <c r="M222" s="10"/>
      <c r="N222" s="10"/>
      <c r="O222" s="10"/>
      <c r="P222" s="10"/>
      <c r="Q222" s="10"/>
      <c r="R222" s="10"/>
      <c r="S222" s="10"/>
      <c r="T222" s="10"/>
      <c r="U222" s="10"/>
      <c r="V222" s="10"/>
      <c r="W222" s="10"/>
      <c r="X222" s="10"/>
      <c r="Y222" s="10"/>
      <c r="Z222" s="10"/>
      <c r="AA222" s="10"/>
    </row>
    <row r="223" spans="1:27" customFormat="1">
      <c r="A223" s="23"/>
      <c r="B223" s="7">
        <f>B119</f>
        <v>2018</v>
      </c>
      <c r="C223" s="13" t="str">
        <f>$I93</f>
        <v>Semi-annual</v>
      </c>
      <c r="D223" s="13">
        <f>$J93</f>
        <v>0</v>
      </c>
      <c r="E223" s="13">
        <f>$K93</f>
        <v>0</v>
      </c>
      <c r="F223" s="14">
        <f>$L$93</f>
        <v>0</v>
      </c>
      <c r="G223" s="13"/>
      <c r="H223" s="9">
        <f>$B$93/$B$31</f>
        <v>0</v>
      </c>
      <c r="I223" s="9">
        <f>H223-P223</f>
        <v>0</v>
      </c>
      <c r="J223" s="9">
        <f>I223-Q223</f>
        <v>0</v>
      </c>
      <c r="K223" s="9">
        <f>J223-R223</f>
        <v>0</v>
      </c>
      <c r="L223" s="9">
        <f>K223-S223</f>
        <v>0</v>
      </c>
      <c r="M223" s="9">
        <f>L223-T223</f>
        <v>0</v>
      </c>
      <c r="N223" s="9"/>
      <c r="O223" s="9">
        <v>0</v>
      </c>
      <c r="P223" s="9">
        <f>H223</f>
        <v>0</v>
      </c>
      <c r="Q223" s="9">
        <v>0</v>
      </c>
      <c r="R223" s="9">
        <v>0</v>
      </c>
      <c r="S223" s="9">
        <v>0</v>
      </c>
      <c r="T223" s="9">
        <v>0</v>
      </c>
      <c r="U223" s="9"/>
      <c r="V223" s="9">
        <f>IF($C223="annual",IF(V$111=$B223,0,G223*$F223),IF(V$111-$B223=0,0,IF((V$111-$B223)&lt;$E223,AVERAGE(G223,H223)*$F223,IF((V$111-$B223)=$E223,G223*$F223/2,0))))</f>
        <v>0</v>
      </c>
      <c r="W223" s="9">
        <f t="shared" ref="W223:AA228" si="60">IF($C223="annual",IF(W$111=$B223,0,H223*$F223),IF(W$111-$B223=0,0,IF((W$111-$B223)&lt;$E223,AVERAGE(H223,I223)*$F223,IF((W$111-$B223)=$E223,H223*$F223/2,0))))</f>
        <v>0</v>
      </c>
      <c r="X223" s="9">
        <f t="shared" si="60"/>
        <v>0</v>
      </c>
      <c r="Y223" s="9">
        <f t="shared" si="60"/>
        <v>0</v>
      </c>
      <c r="Z223" s="9">
        <f t="shared" si="60"/>
        <v>0</v>
      </c>
      <c r="AA223" s="9">
        <f t="shared" si="60"/>
        <v>0</v>
      </c>
    </row>
    <row r="224" spans="1:27" customFormat="1">
      <c r="A224" s="23"/>
      <c r="B224" s="7">
        <f>B223+1</f>
        <v>2019</v>
      </c>
      <c r="C224" s="13" t="str">
        <f>C223</f>
        <v>Semi-annual</v>
      </c>
      <c r="D224" s="13">
        <f>D223</f>
        <v>0</v>
      </c>
      <c r="E224" s="13">
        <f>E223</f>
        <v>0</v>
      </c>
      <c r="F224" s="14">
        <f>$M$93</f>
        <v>0.18606977230199898</v>
      </c>
      <c r="G224" s="13"/>
      <c r="H224" s="9"/>
      <c r="I224" s="9">
        <f ca="1">$C$93/$C$31</f>
        <v>0</v>
      </c>
      <c r="J224" s="9">
        <f ca="1">I224-Q224</f>
        <v>0</v>
      </c>
      <c r="K224" s="9">
        <f ca="1">J224-R224</f>
        <v>0</v>
      </c>
      <c r="L224" s="9">
        <f ca="1">K224-S224</f>
        <v>0</v>
      </c>
      <c r="M224" s="9">
        <f ca="1">L224-T224</f>
        <v>0</v>
      </c>
      <c r="N224" s="9"/>
      <c r="O224" s="9"/>
      <c r="P224" s="9">
        <v>0</v>
      </c>
      <c r="Q224" s="9">
        <f ca="1">I224</f>
        <v>0</v>
      </c>
      <c r="R224" s="9">
        <v>0</v>
      </c>
      <c r="S224" s="9">
        <v>0</v>
      </c>
      <c r="T224" s="9">
        <v>0</v>
      </c>
      <c r="U224" s="9"/>
      <c r="V224" s="9"/>
      <c r="W224" s="9">
        <f t="shared" si="60"/>
        <v>0</v>
      </c>
      <c r="X224" s="9">
        <f t="shared" si="60"/>
        <v>0</v>
      </c>
      <c r="Y224" s="9">
        <f t="shared" si="60"/>
        <v>0</v>
      </c>
      <c r="Z224" s="9">
        <f t="shared" si="60"/>
        <v>0</v>
      </c>
      <c r="AA224" s="9">
        <f t="shared" si="60"/>
        <v>0</v>
      </c>
    </row>
    <row r="225" spans="1:27" customFormat="1">
      <c r="A225" s="23"/>
      <c r="B225" s="7">
        <f>B224+1</f>
        <v>2020</v>
      </c>
      <c r="C225" s="13" t="str">
        <f>C224</f>
        <v>Semi-annual</v>
      </c>
      <c r="D225" s="13">
        <f t="shared" ref="D225:E228" si="61">D224</f>
        <v>0</v>
      </c>
      <c r="E225" s="13">
        <f t="shared" si="61"/>
        <v>0</v>
      </c>
      <c r="F225" s="14">
        <f>$N$93</f>
        <v>0.18606977230199898</v>
      </c>
      <c r="G225" s="13"/>
      <c r="H225" s="9"/>
      <c r="I225" s="9"/>
      <c r="J225" s="9">
        <f ca="1">$D$93/$D$31</f>
        <v>0</v>
      </c>
      <c r="K225" s="9">
        <f ca="1">J225-R225</f>
        <v>0</v>
      </c>
      <c r="L225" s="9">
        <f ca="1">K225-S225</f>
        <v>0</v>
      </c>
      <c r="M225" s="9">
        <f ca="1">L225-T225</f>
        <v>0</v>
      </c>
      <c r="N225" s="9"/>
      <c r="O225" s="9"/>
      <c r="P225" s="9"/>
      <c r="Q225" s="9">
        <v>0</v>
      </c>
      <c r="R225" s="9">
        <f ca="1">J225</f>
        <v>0</v>
      </c>
      <c r="S225" s="9">
        <v>0</v>
      </c>
      <c r="T225" s="9">
        <v>0</v>
      </c>
      <c r="U225" s="9"/>
      <c r="V225" s="9"/>
      <c r="W225" s="9"/>
      <c r="X225" s="9">
        <f t="shared" si="60"/>
        <v>0</v>
      </c>
      <c r="Y225" s="9">
        <f t="shared" si="60"/>
        <v>0</v>
      </c>
      <c r="Z225" s="9">
        <f t="shared" si="60"/>
        <v>0</v>
      </c>
      <c r="AA225" s="9">
        <f t="shared" si="60"/>
        <v>0</v>
      </c>
    </row>
    <row r="226" spans="1:27" customFormat="1">
      <c r="A226" s="23"/>
      <c r="B226" s="7">
        <f>B225+1</f>
        <v>2021</v>
      </c>
      <c r="C226" s="13" t="str">
        <f>C225</f>
        <v>Semi-annual</v>
      </c>
      <c r="D226" s="13">
        <f t="shared" si="61"/>
        <v>0</v>
      </c>
      <c r="E226" s="13">
        <f t="shared" si="61"/>
        <v>0</v>
      </c>
      <c r="F226" s="14">
        <f>$O$93</f>
        <v>0.18606977230199898</v>
      </c>
      <c r="G226" s="13"/>
      <c r="H226" s="9"/>
      <c r="I226" s="9"/>
      <c r="J226" s="9"/>
      <c r="K226" s="9">
        <f ca="1">$E$93/$E$31</f>
        <v>0</v>
      </c>
      <c r="L226" s="9">
        <f ca="1">K226-S226</f>
        <v>0</v>
      </c>
      <c r="M226" s="9">
        <f ca="1">L226-T226</f>
        <v>0</v>
      </c>
      <c r="N226" s="9"/>
      <c r="O226" s="9"/>
      <c r="P226" s="9"/>
      <c r="Q226" s="9"/>
      <c r="R226" s="9">
        <v>0</v>
      </c>
      <c r="S226" s="9">
        <f ca="1">K226</f>
        <v>0</v>
      </c>
      <c r="T226" s="9">
        <v>0</v>
      </c>
      <c r="U226" s="9"/>
      <c r="V226" s="9"/>
      <c r="W226" s="9"/>
      <c r="X226" s="9"/>
      <c r="Y226" s="9">
        <f t="shared" si="60"/>
        <v>0</v>
      </c>
      <c r="Z226" s="9">
        <f t="shared" si="60"/>
        <v>0</v>
      </c>
      <c r="AA226" s="9">
        <f t="shared" si="60"/>
        <v>0</v>
      </c>
    </row>
    <row r="227" spans="1:27" customFormat="1">
      <c r="A227" s="23"/>
      <c r="B227" s="7">
        <f>B226+1</f>
        <v>2022</v>
      </c>
      <c r="C227" s="13" t="str">
        <f>C226</f>
        <v>Semi-annual</v>
      </c>
      <c r="D227" s="13">
        <f t="shared" si="61"/>
        <v>0</v>
      </c>
      <c r="E227" s="13">
        <f t="shared" si="61"/>
        <v>0</v>
      </c>
      <c r="F227" s="14">
        <f>$P$93</f>
        <v>0.18606977230199898</v>
      </c>
      <c r="G227" s="13"/>
      <c r="H227" s="9"/>
      <c r="I227" s="9"/>
      <c r="J227" s="9"/>
      <c r="K227" s="9"/>
      <c r="L227" s="9">
        <f ca="1">$F$93/$F$31</f>
        <v>0</v>
      </c>
      <c r="M227" s="9">
        <f ca="1">L227-T227</f>
        <v>0</v>
      </c>
      <c r="N227" s="9"/>
      <c r="O227" s="9"/>
      <c r="P227" s="9"/>
      <c r="Q227" s="9"/>
      <c r="R227" s="9"/>
      <c r="S227" s="9">
        <v>0</v>
      </c>
      <c r="T227" s="9">
        <f ca="1">L227</f>
        <v>0</v>
      </c>
      <c r="U227" s="9"/>
      <c r="V227" s="9"/>
      <c r="W227" s="9"/>
      <c r="X227" s="9"/>
      <c r="Y227" s="9"/>
      <c r="Z227" s="9">
        <f t="shared" si="60"/>
        <v>0</v>
      </c>
      <c r="AA227" s="9">
        <f t="shared" si="60"/>
        <v>0</v>
      </c>
    </row>
    <row r="228" spans="1:27" customFormat="1">
      <c r="A228" s="23"/>
      <c r="B228" s="7">
        <f>B227+1</f>
        <v>2023</v>
      </c>
      <c r="C228" s="13" t="str">
        <f>C227</f>
        <v>Semi-annual</v>
      </c>
      <c r="D228" s="13">
        <f t="shared" si="61"/>
        <v>0</v>
      </c>
      <c r="E228" s="13">
        <f t="shared" si="61"/>
        <v>0</v>
      </c>
      <c r="F228" s="14">
        <f>$Q$93</f>
        <v>0.18606977230199898</v>
      </c>
      <c r="G228" s="13"/>
      <c r="H228" s="9"/>
      <c r="I228" s="9"/>
      <c r="J228" s="9"/>
      <c r="K228" s="9"/>
      <c r="L228" s="9"/>
      <c r="M228" s="9">
        <f ca="1">$G$93/$G$31</f>
        <v>0</v>
      </c>
      <c r="N228" s="9"/>
      <c r="O228" s="9"/>
      <c r="P228" s="9"/>
      <c r="Q228" s="9"/>
      <c r="R228" s="9"/>
      <c r="S228" s="9"/>
      <c r="T228" s="9">
        <v>0</v>
      </c>
      <c r="U228" s="9"/>
      <c r="V228" s="9"/>
      <c r="W228" s="9"/>
      <c r="X228" s="9"/>
      <c r="Y228" s="9"/>
      <c r="Z228" s="9"/>
      <c r="AA228" s="9">
        <f t="shared" si="60"/>
        <v>0</v>
      </c>
    </row>
    <row r="230" spans="1:27" ht="15.75" thickBot="1">
      <c r="A230" s="11" t="str">
        <f>'Input 4 - Forecast'!A75</f>
        <v>Long-term debt 3/</v>
      </c>
    </row>
    <row r="231" spans="1:27" ht="15.75" thickBot="1">
      <c r="A231" s="12" t="str">
        <f>'Input 4 - Forecast'!A76</f>
        <v>Denominated in local currency</v>
      </c>
      <c r="B231" s="1999" t="s">
        <v>51</v>
      </c>
      <c r="C231" s="2000"/>
      <c r="D231" s="2000"/>
      <c r="E231" s="2000"/>
      <c r="F231" s="2000"/>
      <c r="G231" s="2000"/>
      <c r="H231" s="2000"/>
      <c r="I231" s="2000"/>
      <c r="J231" s="2000"/>
      <c r="K231" s="2000"/>
      <c r="L231" s="2000"/>
      <c r="M231" s="2000"/>
      <c r="N231" s="2000"/>
      <c r="O231" s="2000"/>
      <c r="P231" s="2000"/>
      <c r="Q231" s="2000"/>
      <c r="R231" s="2000"/>
      <c r="S231" s="2000"/>
      <c r="T231" s="2000"/>
      <c r="U231" s="2000"/>
      <c r="V231" s="2000"/>
      <c r="W231" s="2000"/>
      <c r="X231" s="2000"/>
      <c r="Y231" s="2000"/>
      <c r="Z231" s="2000"/>
      <c r="AA231" s="2001"/>
    </row>
    <row r="233" spans="1:27">
      <c r="A233" s="8" t="str">
        <f>'Input 4 - Forecast'!A77</f>
        <v>Type 11</v>
      </c>
      <c r="B233" s="7">
        <f>B119</f>
        <v>2018</v>
      </c>
      <c r="C233" s="7" t="str">
        <f>$I96</f>
        <v>Annual</v>
      </c>
      <c r="D233" s="7">
        <f>$J96</f>
        <v>10</v>
      </c>
      <c r="E233" s="7">
        <f>$K96</f>
        <v>10</v>
      </c>
      <c r="F233" s="14">
        <f>$L$96</f>
        <v>1.125E-2</v>
      </c>
      <c r="H233" s="9">
        <f>$B$96</f>
        <v>499.99798625313935</v>
      </c>
      <c r="I233" s="9">
        <f>H233-P233</f>
        <v>499.99798625313935</v>
      </c>
      <c r="J233" s="9">
        <f>I233-Q233</f>
        <v>499.99798625313935</v>
      </c>
      <c r="K233" s="9">
        <f>J233-R233</f>
        <v>499.99798625313935</v>
      </c>
      <c r="L233" s="9">
        <f>K233-S233</f>
        <v>499.99798625313935</v>
      </c>
      <c r="M233" s="9">
        <f>L233-T233</f>
        <v>499.99798625313935</v>
      </c>
      <c r="N233" s="9"/>
      <c r="O233" s="9">
        <f t="shared" ref="O233:T233" si="62">IF(OR($C233="Annual",$D233=$E233),IF(AND($D233=$E233,O$111=$B233+$D233),$H233,IF(AND(O$111&gt;$B233+$D233,O$111&lt;=$B233+$E233), $H233/($E233-$D233),0)), IF(OR(O$111=$B233+$D233,O$111=$B233+$E233),$H233/(($E233-$D233)*2),IF(AND(O$111&gt;$B233+$D233,O$111&lt;$B233+$E233),$H233/($E233-$D233),0)))</f>
        <v>0</v>
      </c>
      <c r="P233" s="9">
        <f t="shared" si="62"/>
        <v>0</v>
      </c>
      <c r="Q233" s="9">
        <f t="shared" si="62"/>
        <v>0</v>
      </c>
      <c r="R233" s="9">
        <f t="shared" si="62"/>
        <v>0</v>
      </c>
      <c r="S233" s="9">
        <f t="shared" si="62"/>
        <v>0</v>
      </c>
      <c r="T233" s="9">
        <f t="shared" si="62"/>
        <v>0</v>
      </c>
      <c r="U233" s="9"/>
      <c r="V233" s="9">
        <f>IF($C233="annual",IF(V$111=$B233,0,G233*$F233),IF(V$111-$B233=0,0,IF((V$111-$B233)&lt;$E233,AVERAGE(G233,H233)*$F233,IF((V$111-$B233)=$E233,G233*$F233/2,0))))</f>
        <v>0</v>
      </c>
      <c r="W233" s="9">
        <f t="shared" ref="W233:AA238" si="63">IF($C233="annual",IF(W$111=$B233,0,H233*$F233),IF(W$111-$B233=0,0,IF((W$111-$B233)&lt;$E233,AVERAGE(H233,I233)*$F233,IF((W$111-$B233)=$E233,H233*$F233/2,0))))</f>
        <v>5.6249773453478173</v>
      </c>
      <c r="X233" s="9">
        <f t="shared" si="63"/>
        <v>5.6249773453478173</v>
      </c>
      <c r="Y233" s="9">
        <f t="shared" si="63"/>
        <v>5.6249773453478173</v>
      </c>
      <c r="Z233" s="9">
        <f t="shared" si="63"/>
        <v>5.6249773453478173</v>
      </c>
      <c r="AA233" s="9">
        <f t="shared" si="63"/>
        <v>5.6249773453478173</v>
      </c>
    </row>
    <row r="234" spans="1:27">
      <c r="A234" s="8" t="str">
        <f>A233</f>
        <v>Type 11</v>
      </c>
      <c r="B234" s="7">
        <f>B233+1</f>
        <v>2019</v>
      </c>
      <c r="C234" s="7" t="str">
        <f>C233</f>
        <v>Annual</v>
      </c>
      <c r="D234" s="7">
        <f t="shared" ref="D234:E238" si="64">D233</f>
        <v>10</v>
      </c>
      <c r="E234" s="7">
        <f t="shared" si="64"/>
        <v>10</v>
      </c>
      <c r="F234" s="14">
        <f>$M$96</f>
        <v>0.20481977230199896</v>
      </c>
      <c r="H234" s="9"/>
      <c r="I234" s="9">
        <f ca="1">$C$96</f>
        <v>0</v>
      </c>
      <c r="J234" s="9">
        <f ca="1">I234-Q234</f>
        <v>0</v>
      </c>
      <c r="K234" s="9">
        <f ca="1">J234-R234</f>
        <v>0</v>
      </c>
      <c r="L234" s="9">
        <f ca="1">K234-S234</f>
        <v>0</v>
      </c>
      <c r="M234" s="9">
        <f ca="1">L234-T234</f>
        <v>0</v>
      </c>
      <c r="N234" s="9"/>
      <c r="O234" s="9"/>
      <c r="P234" s="9">
        <f>IF(OR($C234="Annual",$D234=$E234),IF(AND($D234=$E234,P$111=$B234+$D234),$I234,IF(AND(P$111&gt;$B234+$D234,P$111&lt;=$B234+$E234), $I234/($E234-$D234),0)), IF(OR(P$111=$B234+$D234,P$111=$B234+$E234),$I234/(($E234-$D234)*2),IF(AND(P$111&gt;$B234+$D234,P$111&lt;$B234+$E234),$I234/($E234-$D234),0)))</f>
        <v>0</v>
      </c>
      <c r="Q234" s="9">
        <f>IF(OR($C234="Annual",$D234=$E234),IF(AND($D234=$E234,Q$111=$B234+$D234),$I234,IF(AND(Q$111&gt;$B234+$D234,Q$111&lt;=$B234+$E234), $I234/($E234-$D234),0)), IF(OR(Q$111=$B234+$D234,Q$111=$B234+$E234),$I234/(($E234-$D234)*2),IF(AND(Q$111&gt;$B234+$D234,Q$111&lt;$B234+$E234),$I234/($E234-$D234),0)))</f>
        <v>0</v>
      </c>
      <c r="R234" s="9">
        <f>IF(OR($C234="Annual",$D234=$E234),IF(AND($D234=$E234,R$111=$B234+$D234),$I234,IF(AND(R$111&gt;$B234+$D234,R$111&lt;=$B234+$E234), $I234/($E234-$D234),0)), IF(OR(R$111=$B234+$D234,R$111=$B234+$E234),$I234/(($E234-$D234)*2),IF(AND(R$111&gt;$B234+$D234,R$111&lt;$B234+$E234),$I234/($E234-$D234),0)))</f>
        <v>0</v>
      </c>
      <c r="S234" s="9">
        <f>IF(OR($C234="Annual",$D234=$E234),IF(AND($D234=$E234,S$111=$B234+$D234),$I234,IF(AND(S$111&gt;$B234+$D234,S$111&lt;=$B234+$E234), $I234/($E234-$D234),0)), IF(OR(S$111=$B234+$D234,S$111=$B234+$E234),$I234/(($E234-$D234)*2),IF(AND(S$111&gt;$B234+$D234,S$111&lt;$B234+$E234),$I234/($E234-$D234),0)))</f>
        <v>0</v>
      </c>
      <c r="T234" s="9">
        <f>IF(OR($C234="Annual",$D234=$E234),IF(AND($D234=$E234,T$111=$B234+$D234),$I234,IF(AND(T$111&gt;$B234+$D234,T$111&lt;=$B234+$E234), $I234/($E234-$D234),0)), IF(OR(T$111=$B234+$D234,T$111=$B234+$E234),$I234/(($E234-$D234)*2),IF(AND(T$111&gt;$B234+$D234,T$111&lt;$B234+$E234),$I234/($E234-$D234),0)))</f>
        <v>0</v>
      </c>
      <c r="U234" s="9"/>
      <c r="V234" s="9"/>
      <c r="W234" s="9">
        <f t="shared" si="63"/>
        <v>0</v>
      </c>
      <c r="X234" s="9">
        <f t="shared" ca="1" si="63"/>
        <v>0</v>
      </c>
      <c r="Y234" s="9">
        <f t="shared" ca="1" si="63"/>
        <v>0</v>
      </c>
      <c r="Z234" s="9">
        <f t="shared" ca="1" si="63"/>
        <v>0</v>
      </c>
      <c r="AA234" s="9">
        <f t="shared" ca="1" si="63"/>
        <v>0</v>
      </c>
    </row>
    <row r="235" spans="1:27">
      <c r="A235" s="8" t="str">
        <f>A234</f>
        <v>Type 11</v>
      </c>
      <c r="B235" s="7">
        <f>B234+1</f>
        <v>2020</v>
      </c>
      <c r="C235" s="7" t="str">
        <f>C234</f>
        <v>Annual</v>
      </c>
      <c r="D235" s="7">
        <f t="shared" si="64"/>
        <v>10</v>
      </c>
      <c r="E235" s="7">
        <f t="shared" si="64"/>
        <v>10</v>
      </c>
      <c r="F235" s="14">
        <f>$N$96</f>
        <v>0.20806977230199897</v>
      </c>
      <c r="H235" s="9"/>
      <c r="I235" s="9"/>
      <c r="J235" s="9">
        <f ca="1">$D$96</f>
        <v>0</v>
      </c>
      <c r="K235" s="9">
        <f ca="1">J235-R235</f>
        <v>0</v>
      </c>
      <c r="L235" s="9">
        <f ca="1">K235-S235</f>
        <v>0</v>
      </c>
      <c r="M235" s="9">
        <f ca="1">L235-T235</f>
        <v>0</v>
      </c>
      <c r="N235" s="9"/>
      <c r="O235" s="9"/>
      <c r="P235" s="9"/>
      <c r="Q235" s="9">
        <f>IF(OR($C235="Annual",$D235=$E235),IF(AND($D235=$E235,Q$111=$B235+$D235),$J235,IF(AND(Q$111&gt;$B235+$D235,Q$111&lt;=$B235+$E235), $J235/($E235-$D235),0)), IF(OR(Q$111=$B235+$D235,Q$111=$B235+$E235),$J235/(($E235-$D235)*2),IF(AND(Q$111&gt;$B235+$D235,Q$111&lt;$B235+$E235),$J235/($E235-$D235),0)))</f>
        <v>0</v>
      </c>
      <c r="R235" s="9">
        <f>IF(OR($C235="Annual",$D235=$E235),IF(AND($D235=$E235,R$111=$B235+$D235),$J235,IF(AND(R$111&gt;$B235+$D235,R$111&lt;=$B235+$E235), $J235/($E235-$D235),0)), IF(OR(R$111=$B235+$D235,R$111=$B235+$E235),$J235/(($E235-$D235)*2),IF(AND(R$111&gt;$B235+$D235,R$111&lt;$B235+$E235),$J235/($E235-$D235),0)))</f>
        <v>0</v>
      </c>
      <c r="S235" s="9">
        <f>IF(OR($C235="Annual",$D235=$E235),IF(AND($D235=$E235,S$111=$B235+$D235),$J235,IF(AND(S$111&gt;$B235+$D235,S$111&lt;=$B235+$E235), $J235/($E235-$D235),0)), IF(OR(S$111=$B235+$D235,S$111=$B235+$E235),$J235/(($E235-$D235)*2),IF(AND(S$111&gt;$B235+$D235,S$111&lt;$B235+$E235),$J235/($E235-$D235),0)))</f>
        <v>0</v>
      </c>
      <c r="T235" s="9">
        <f>IF(OR($C235="Annual",$D235=$E235),IF(AND($D235=$E235,T$111=$B235+$D235),$J235,IF(AND(T$111&gt;$B235+$D235,T$111&lt;=$B235+$E235), $J235/($E235-$D235),0)), IF(OR(T$111=$B235+$D235,T$111=$B235+$E235),$J235/(($E235-$D235)*2),IF(AND(T$111&gt;$B235+$D235,T$111&lt;$B235+$E235),$J235/($E235-$D235),0)))</f>
        <v>0</v>
      </c>
      <c r="U235" s="9"/>
      <c r="V235" s="9"/>
      <c r="W235" s="9"/>
      <c r="X235" s="9">
        <f t="shared" si="63"/>
        <v>0</v>
      </c>
      <c r="Y235" s="9">
        <f t="shared" ca="1" si="63"/>
        <v>0</v>
      </c>
      <c r="Z235" s="9">
        <f t="shared" ca="1" si="63"/>
        <v>0</v>
      </c>
      <c r="AA235" s="9">
        <f t="shared" ca="1" si="63"/>
        <v>0</v>
      </c>
    </row>
    <row r="236" spans="1:27">
      <c r="A236" s="8" t="str">
        <f>A235</f>
        <v>Type 11</v>
      </c>
      <c r="B236" s="7">
        <f>B235+1</f>
        <v>2021</v>
      </c>
      <c r="C236" s="7" t="str">
        <f>C235</f>
        <v>Annual</v>
      </c>
      <c r="D236" s="7">
        <f t="shared" si="64"/>
        <v>10</v>
      </c>
      <c r="E236" s="7">
        <f t="shared" si="64"/>
        <v>10</v>
      </c>
      <c r="F236" s="14">
        <f>$O$96</f>
        <v>0.20806977230199897</v>
      </c>
      <c r="H236" s="9"/>
      <c r="I236" s="9"/>
      <c r="J236" s="9"/>
      <c r="K236" s="9">
        <f ca="1">$E$96</f>
        <v>0</v>
      </c>
      <c r="L236" s="9">
        <f ca="1">K236-S236</f>
        <v>0</v>
      </c>
      <c r="M236" s="9">
        <f ca="1">L236-T236</f>
        <v>0</v>
      </c>
      <c r="N236" s="9"/>
      <c r="O236" s="9"/>
      <c r="P236" s="9"/>
      <c r="Q236" s="9"/>
      <c r="R236" s="9">
        <f>IF(OR($C236="Annual",$D236=$E236),IF(AND($D236=$E236,R$111=$B236+$D236),$K236,IF(AND(R$111&gt;$B236+$D236,R$111&lt;=$B236+$E236), $K236/($E236-$D236),0)), IF(OR(R$111=$B236+$D236,R$111=$B236+$E236),$K236/(($E236-$D236)*2),IF(AND(R$111&gt;$B236+$D236,R$111&lt;$B236+$E236),$K236/($E236-$D236),0)))</f>
        <v>0</v>
      </c>
      <c r="S236" s="9">
        <f>IF(OR($C236="Annual",$D236=$E236),IF(AND($D236=$E236,S$111=$B236+$D236),$K236,IF(AND(S$111&gt;$B236+$D236,S$111&lt;=$B236+$E236), $K236/($E236-$D236),0)), IF(OR(S$111=$B236+$D236,S$111=$B236+$E236),$K236/(($E236-$D236)*2),IF(AND(S$111&gt;$B236+$D236,S$111&lt;$B236+$E236),$K236/($E236-$D236),0)))</f>
        <v>0</v>
      </c>
      <c r="T236" s="9">
        <f>IF(OR($C236="Annual",$D236=$E236),IF(AND($D236=$E236,T$111=$B236+$D236),$K236,IF(AND(T$111&gt;$B236+$D236,T$111&lt;=$B236+$E236), $K236/($E236-$D236),0)), IF(OR(T$111=$B236+$D236,T$111=$B236+$E236),$K236/(($E236-$D236)*2),IF(AND(T$111&gt;$B236+$D236,T$111&lt;$B236+$E236),$K236/($E236-$D236),0)))</f>
        <v>0</v>
      </c>
      <c r="U236" s="9"/>
      <c r="V236" s="9"/>
      <c r="W236" s="9"/>
      <c r="X236" s="9"/>
      <c r="Y236" s="9">
        <f t="shared" si="63"/>
        <v>0</v>
      </c>
      <c r="Z236" s="9">
        <f t="shared" ca="1" si="63"/>
        <v>0</v>
      </c>
      <c r="AA236" s="9">
        <f t="shared" ca="1" si="63"/>
        <v>0</v>
      </c>
    </row>
    <row r="237" spans="1:27">
      <c r="A237" s="8" t="str">
        <f>A236</f>
        <v>Type 11</v>
      </c>
      <c r="B237" s="7">
        <f>B236+1</f>
        <v>2022</v>
      </c>
      <c r="C237" s="7" t="str">
        <f>C236</f>
        <v>Annual</v>
      </c>
      <c r="D237" s="7">
        <f t="shared" si="64"/>
        <v>10</v>
      </c>
      <c r="E237" s="7">
        <f t="shared" si="64"/>
        <v>10</v>
      </c>
      <c r="F237" s="14">
        <f>$P$96</f>
        <v>0.20806977230199897</v>
      </c>
      <c r="H237" s="9"/>
      <c r="I237" s="9"/>
      <c r="J237" s="9"/>
      <c r="K237" s="9"/>
      <c r="L237" s="9">
        <f ca="1">$F$96</f>
        <v>0</v>
      </c>
      <c r="M237" s="9">
        <f ca="1">L237-T237</f>
        <v>0</v>
      </c>
      <c r="N237" s="9"/>
      <c r="O237" s="9"/>
      <c r="P237" s="9"/>
      <c r="Q237" s="9"/>
      <c r="R237" s="9"/>
      <c r="S237" s="9">
        <f>IF(OR($C237="Annual",$D237=$E237),IF(AND($D237=$E237,S$111=$B237+$D237),$L237,IF(AND(S$111&gt;$B237+$D237,S$111&lt;=$B237+$E237), $L237/($E237-$D237),0)), IF(OR(S$111=$B237+$D237,S$111=$B237+$E237),$L237/(($E237-$D237)*2),IF(AND(S$111&gt;$B237+$D237,S$111&lt;$B237+$E237),$L237/($E237-$D237),0)))</f>
        <v>0</v>
      </c>
      <c r="T237" s="9">
        <f>IF(OR($C237="Annual",$D237=$E237),IF(AND($D237=$E237,T$111=$B237+$D237),$L237,IF(AND(T$111&gt;$B237+$D237,T$111&lt;=$B237+$E237), $L237/($E237-$D237),0)), IF(OR(T$111=$B237+$D237,T$111=$B237+$E237),$L237/(($E237-$D237)*2),IF(AND(T$111&gt;$B237+$D237,T$111&lt;$B237+$E237),$L237/($E237-$D237),0)))</f>
        <v>0</v>
      </c>
      <c r="U237" s="9"/>
      <c r="V237" s="9"/>
      <c r="W237" s="9"/>
      <c r="X237" s="9"/>
      <c r="Y237" s="9"/>
      <c r="Z237" s="9">
        <f t="shared" si="63"/>
        <v>0</v>
      </c>
      <c r="AA237" s="9">
        <f t="shared" ca="1" si="63"/>
        <v>0</v>
      </c>
    </row>
    <row r="238" spans="1:27">
      <c r="A238" s="8" t="str">
        <f>A237</f>
        <v>Type 11</v>
      </c>
      <c r="B238" s="7">
        <f>B237+1</f>
        <v>2023</v>
      </c>
      <c r="C238" s="7" t="str">
        <f>C237</f>
        <v>Annual</v>
      </c>
      <c r="D238" s="7">
        <f t="shared" si="64"/>
        <v>10</v>
      </c>
      <c r="E238" s="7">
        <f t="shared" si="64"/>
        <v>10</v>
      </c>
      <c r="F238" s="14">
        <f>$Q$96</f>
        <v>0.20806977230199897</v>
      </c>
      <c r="H238" s="9"/>
      <c r="I238" s="9"/>
      <c r="J238" s="9"/>
      <c r="K238" s="9"/>
      <c r="L238" s="9"/>
      <c r="M238" s="9">
        <f ca="1">$G$96</f>
        <v>0</v>
      </c>
      <c r="N238" s="9"/>
      <c r="O238" s="9"/>
      <c r="P238" s="9"/>
      <c r="Q238" s="9"/>
      <c r="R238" s="9"/>
      <c r="S238" s="9"/>
      <c r="T238" s="9">
        <f>IF(OR($C238="Annual",$D238=$E238),IF(AND($D238=$E238,T$111=$B238+$D238),$M238,IF(AND(T$111&gt;$B238+$D238,T$111&lt;=$B238+$E238), $M238/($E238-$D238),0)), IF(OR(T$111=$B238+$D238,T$111=$B238+$E238),$M238/(($E238-$D238)*2),IF(AND(T$111&gt;$B238+$D238,T$111&lt;$B238+$E238),$M238/($E238-$D238),0)))</f>
        <v>0</v>
      </c>
      <c r="U238" s="9"/>
      <c r="V238" s="9"/>
      <c r="W238" s="9"/>
      <c r="X238" s="9"/>
      <c r="Y238" s="9"/>
      <c r="Z238" s="9"/>
      <c r="AA238" s="9">
        <f t="shared" si="63"/>
        <v>0</v>
      </c>
    </row>
    <row r="239" spans="1:27">
      <c r="C239" s="281"/>
      <c r="F239" s="15"/>
      <c r="H239" s="10"/>
      <c r="I239" s="10"/>
      <c r="J239" s="10"/>
      <c r="K239" s="10"/>
      <c r="L239" s="10"/>
      <c r="M239" s="10"/>
      <c r="N239" s="10"/>
      <c r="O239" s="278"/>
      <c r="P239" s="10"/>
      <c r="Q239" s="10"/>
      <c r="R239" s="10"/>
      <c r="S239" s="10"/>
      <c r="T239" s="10"/>
      <c r="U239" s="10"/>
      <c r="V239" s="10"/>
      <c r="W239" s="10"/>
      <c r="X239" s="10"/>
      <c r="Y239" s="10"/>
      <c r="Z239" s="10"/>
      <c r="AA239" s="10"/>
    </row>
    <row r="240" spans="1:27">
      <c r="A240" s="8" t="str">
        <f>'Input 4 - Forecast'!A78</f>
        <v>Type 12</v>
      </c>
      <c r="B240" s="7">
        <f>B119</f>
        <v>2018</v>
      </c>
      <c r="C240" s="7" t="str">
        <f>$I97</f>
        <v>Annual</v>
      </c>
      <c r="D240" s="7">
        <f>$J97</f>
        <v>30</v>
      </c>
      <c r="E240" s="7">
        <f>$K97</f>
        <v>30</v>
      </c>
      <c r="F240" s="14">
        <f>$L$97</f>
        <v>2.2499999999999999E-2</v>
      </c>
      <c r="H240" s="9">
        <f>$B$97</f>
        <v>499.99798625313935</v>
      </c>
      <c r="I240" s="9">
        <f>H240-P240</f>
        <v>499.99798625313935</v>
      </c>
      <c r="J240" s="9">
        <f>I240-Q240</f>
        <v>499.99798625313935</v>
      </c>
      <c r="K240" s="9">
        <f>J240-R240</f>
        <v>499.99798625313935</v>
      </c>
      <c r="L240" s="9">
        <f>K240-S240</f>
        <v>499.99798625313935</v>
      </c>
      <c r="M240" s="9">
        <f>L240-T240</f>
        <v>499.99798625313935</v>
      </c>
      <c r="N240" s="9"/>
      <c r="O240" s="9">
        <f t="shared" ref="O240:T240" si="65">IF(OR($C240="Annual",$D240=$E240),IF(AND($D240=$E240,O$111=$B240+$D240),$H240,IF(AND(O$111&gt;$B240+$D240,O$111&lt;=$B240+$E240), $H240/($E240-$D240),0)), IF(OR(O$111=$B240+$D240,O$111=$B240+$E240),$H240/(($E240-$D240)*2),IF(AND(O$111&gt;$B240+$D240,O$111&lt;$B240+$E240),$H240/($E240-$D240),0)))</f>
        <v>0</v>
      </c>
      <c r="P240" s="9">
        <f t="shared" si="65"/>
        <v>0</v>
      </c>
      <c r="Q240" s="9">
        <f t="shared" si="65"/>
        <v>0</v>
      </c>
      <c r="R240" s="9">
        <f t="shared" si="65"/>
        <v>0</v>
      </c>
      <c r="S240" s="9">
        <f t="shared" si="65"/>
        <v>0</v>
      </c>
      <c r="T240" s="9">
        <f t="shared" si="65"/>
        <v>0</v>
      </c>
      <c r="U240" s="9"/>
      <c r="V240" s="9">
        <f>IF($C240="annual",IF(V$111=$B240,0,G240*$F240),IF(V$111-$B240=0,0,IF((V$111-$B240)&lt;$E240,AVERAGE(G240,H240)*$F240,IF((V$111-$B240)=$E240,G240*$F240/2,0))))</f>
        <v>0</v>
      </c>
      <c r="W240" s="9">
        <f t="shared" ref="W240:AA245" si="66">IF($C240="annual",IF(W$111=$B240,0,H240*$F240),IF(W$111-$B240=0,0,IF((W$111-$B240)&lt;$E240,AVERAGE(H240,I240)*$F240,IF((W$111-$B240)=$E240,H240*$F240/2,0))))</f>
        <v>11.249954690695635</v>
      </c>
      <c r="X240" s="9">
        <f t="shared" si="66"/>
        <v>11.249954690695635</v>
      </c>
      <c r="Y240" s="9">
        <f t="shared" si="66"/>
        <v>11.249954690695635</v>
      </c>
      <c r="Z240" s="9">
        <f t="shared" si="66"/>
        <v>11.249954690695635</v>
      </c>
      <c r="AA240" s="9">
        <f t="shared" si="66"/>
        <v>11.249954690695635</v>
      </c>
    </row>
    <row r="241" spans="1:27">
      <c r="A241" s="8" t="str">
        <f>A240</f>
        <v>Type 12</v>
      </c>
      <c r="B241" s="7">
        <f>B240+1</f>
        <v>2019</v>
      </c>
      <c r="C241" s="7" t="str">
        <f>C240</f>
        <v>Annual</v>
      </c>
      <c r="D241" s="7">
        <f>D240</f>
        <v>30</v>
      </c>
      <c r="E241" s="7">
        <f>E240</f>
        <v>30</v>
      </c>
      <c r="F241" s="14">
        <f>$M$97</f>
        <v>0.18606977230199898</v>
      </c>
      <c r="H241" s="9"/>
      <c r="I241" s="9">
        <f ca="1">$C$97</f>
        <v>0</v>
      </c>
      <c r="J241" s="9">
        <f ca="1">I241-Q241</f>
        <v>0</v>
      </c>
      <c r="K241" s="9">
        <f ca="1">J241-R241</f>
        <v>0</v>
      </c>
      <c r="L241" s="9">
        <f ca="1">K241-S241</f>
        <v>0</v>
      </c>
      <c r="M241" s="9">
        <f ca="1">L241-T241</f>
        <v>0</v>
      </c>
      <c r="N241" s="9"/>
      <c r="O241" s="9"/>
      <c r="P241" s="9">
        <f>IF(OR($C241="Annual",$D241=$E241),IF(AND($D241=$E241,P$111=$B241+$D241),$I241,IF(AND(P$111&gt;$B241+$D241,P$111&lt;=$B241+$E241), $I241/($E241-$D241),0)), IF(OR(P$111=$B241+$D241,P$111=$B241+$E241),$I241/(($E241-$D241)*2),IF(AND(P$111&gt;$B241+$D241,P$111&lt;$B241+$E241),$I241/($E241-$D241),0)))</f>
        <v>0</v>
      </c>
      <c r="Q241" s="9">
        <f>IF(OR($C241="Annual",$D241=$E241),IF(AND($D241=$E241,Q$111=$B241+$D241),$I241,IF(AND(Q$111&gt;$B241+$D241,Q$111&lt;=$B241+$E241), $I241/($E241-$D241),0)), IF(OR(Q$111=$B241+$D241,Q$111=$B241+$E241),$I241/(($E241-$D241)*2),IF(AND(Q$111&gt;$B241+$D241,Q$111&lt;$B241+$E241),$I241/($E241-$D241),0)))</f>
        <v>0</v>
      </c>
      <c r="R241" s="9">
        <f>IF(OR($C241="Annual",$D241=$E241),IF(AND($D241=$E241,R$111=$B241+$D241),$I241,IF(AND(R$111&gt;$B241+$D241,R$111&lt;=$B241+$E241), $I241/($E241-$D241),0)), IF(OR(R$111=$B241+$D241,R$111=$B241+$E241),$I241/(($E241-$D241)*2),IF(AND(R$111&gt;$B241+$D241,R$111&lt;$B241+$E241),$I241/($E241-$D241),0)))</f>
        <v>0</v>
      </c>
      <c r="S241" s="9">
        <f>IF(OR($C241="Annual",$D241=$E241),IF(AND($D241=$E241,S$111=$B241+$D241),$I241,IF(AND(S$111&gt;$B241+$D241,S$111&lt;=$B241+$E241), $I241/($E241-$D241),0)), IF(OR(S$111=$B241+$D241,S$111=$B241+$E241),$I241/(($E241-$D241)*2),IF(AND(S$111&gt;$B241+$D241,S$111&lt;$B241+$E241),$I241/($E241-$D241),0)))</f>
        <v>0</v>
      </c>
      <c r="T241" s="9">
        <f>IF(OR($C241="Annual",$D241=$E241),IF(AND($D241=$E241,T$111=$B241+$D241),$I241,IF(AND(T$111&gt;$B241+$D241,T$111&lt;=$B241+$E241), $I241/($E241-$D241),0)), IF(OR(T$111=$B241+$D241,T$111=$B241+$E241),$I241/(($E241-$D241)*2),IF(AND(T$111&gt;$B241+$D241,T$111&lt;$B241+$E241),$I241/($E241-$D241),0)))</f>
        <v>0</v>
      </c>
      <c r="U241" s="9"/>
      <c r="V241" s="9"/>
      <c r="W241" s="9">
        <f t="shared" si="66"/>
        <v>0</v>
      </c>
      <c r="X241" s="9">
        <f t="shared" ca="1" si="66"/>
        <v>0</v>
      </c>
      <c r="Y241" s="9">
        <f t="shared" ca="1" si="66"/>
        <v>0</v>
      </c>
      <c r="Z241" s="9">
        <f t="shared" ca="1" si="66"/>
        <v>0</v>
      </c>
      <c r="AA241" s="9">
        <f t="shared" ca="1" si="66"/>
        <v>0</v>
      </c>
    </row>
    <row r="242" spans="1:27">
      <c r="A242" s="8" t="str">
        <f>A241</f>
        <v>Type 12</v>
      </c>
      <c r="B242" s="7">
        <f>B241+1</f>
        <v>2020</v>
      </c>
      <c r="C242" s="7" t="str">
        <f>C241</f>
        <v>Annual</v>
      </c>
      <c r="D242" s="7">
        <f t="shared" ref="D242:E245" si="67">D241</f>
        <v>30</v>
      </c>
      <c r="E242" s="7">
        <f t="shared" si="67"/>
        <v>30</v>
      </c>
      <c r="F242" s="14">
        <f>$N$97</f>
        <v>0.18606977230199898</v>
      </c>
      <c r="H242" s="9"/>
      <c r="I242" s="9"/>
      <c r="J242" s="9">
        <f ca="1">$D$97</f>
        <v>0</v>
      </c>
      <c r="K242" s="9">
        <f ca="1">J242-R242</f>
        <v>0</v>
      </c>
      <c r="L242" s="9">
        <f ca="1">K242-S242</f>
        <v>0</v>
      </c>
      <c r="M242" s="9">
        <f ca="1">L242-T242</f>
        <v>0</v>
      </c>
      <c r="N242" s="9"/>
      <c r="O242" s="9"/>
      <c r="P242" s="9"/>
      <c r="Q242" s="9">
        <f>IF(OR($C242="Annual",$D242=$E242),IF(AND($D242=$E242,Q$111=$B242+$D242),$J242,IF(AND(Q$111&gt;$B242+$D242,Q$111&lt;=$B242+$E242), $J242/($E242-$D242),0)), IF(OR(Q$111=$B242+$D242,Q$111=$B242+$E242),$J242/(($E242-$D242)*2),IF(AND(Q$111&gt;$B242+$D242,Q$111&lt;$B242+$E242),$J242/($E242-$D242),0)))</f>
        <v>0</v>
      </c>
      <c r="R242" s="9">
        <f>IF(OR($C242="Annual",$D242=$E242),IF(AND($D242=$E242,R$111=$B242+$D242),$J242,IF(AND(R$111&gt;$B242+$D242,R$111&lt;=$B242+$E242), $J242/($E242-$D242),0)), IF(OR(R$111=$B242+$D242,R$111=$B242+$E242),$J242/(($E242-$D242)*2),IF(AND(R$111&gt;$B242+$D242,R$111&lt;$B242+$E242),$J242/($E242-$D242),0)))</f>
        <v>0</v>
      </c>
      <c r="S242" s="9">
        <f>IF(OR($C242="Annual",$D242=$E242),IF(AND($D242=$E242,S$111=$B242+$D242),$J242,IF(AND(S$111&gt;$B242+$D242,S$111&lt;=$B242+$E242), $J242/($E242-$D242),0)), IF(OR(S$111=$B242+$D242,S$111=$B242+$E242),$J242/(($E242-$D242)*2),IF(AND(S$111&gt;$B242+$D242,S$111&lt;$B242+$E242),$J242/($E242-$D242),0)))</f>
        <v>0</v>
      </c>
      <c r="T242" s="9">
        <f>IF(OR($C242="Annual",$D242=$E242),IF(AND($D242=$E242,T$111=$B242+$D242),$J242,IF(AND(T$111&gt;$B242+$D242,T$111&lt;=$B242+$E242), $J242/($E242-$D242),0)), IF(OR(T$111=$B242+$D242,T$111=$B242+$E242),$J242/(($E242-$D242)*2),IF(AND(T$111&gt;$B242+$D242,T$111&lt;$B242+$E242),$J242/($E242-$D242),0)))</f>
        <v>0</v>
      </c>
      <c r="U242" s="9"/>
      <c r="V242" s="9"/>
      <c r="W242" s="9"/>
      <c r="X242" s="9">
        <f t="shared" si="66"/>
        <v>0</v>
      </c>
      <c r="Y242" s="9">
        <f t="shared" ca="1" si="66"/>
        <v>0</v>
      </c>
      <c r="Z242" s="9">
        <f t="shared" ca="1" si="66"/>
        <v>0</v>
      </c>
      <c r="AA242" s="9">
        <f t="shared" ca="1" si="66"/>
        <v>0</v>
      </c>
    </row>
    <row r="243" spans="1:27">
      <c r="A243" s="8" t="str">
        <f>A242</f>
        <v>Type 12</v>
      </c>
      <c r="B243" s="7">
        <f>B242+1</f>
        <v>2021</v>
      </c>
      <c r="C243" s="7" t="str">
        <f>C242</f>
        <v>Annual</v>
      </c>
      <c r="D243" s="7">
        <f t="shared" si="67"/>
        <v>30</v>
      </c>
      <c r="E243" s="7">
        <f t="shared" si="67"/>
        <v>30</v>
      </c>
      <c r="F243" s="14">
        <f>$O$97</f>
        <v>0.18606977230199898</v>
      </c>
      <c r="H243" s="9"/>
      <c r="I243" s="9"/>
      <c r="J243" s="9"/>
      <c r="K243" s="9">
        <f ca="1">$E$97</f>
        <v>0</v>
      </c>
      <c r="L243" s="9">
        <f ca="1">K243-S243</f>
        <v>0</v>
      </c>
      <c r="M243" s="9">
        <f ca="1">L243-T243</f>
        <v>0</v>
      </c>
      <c r="N243" s="9"/>
      <c r="O243" s="9"/>
      <c r="P243" s="9"/>
      <c r="Q243" s="9"/>
      <c r="R243" s="9">
        <f>IF(OR($C243="Annual",$D243=$E243),IF(AND($D243=$E243,R$111=$B243+$D243),$K243,IF(AND(R$111&gt;$B243+$D243,R$111&lt;=$B243+$E243), $K243/($E243-$D243),0)), IF(OR(R$111=$B243+$D243,R$111=$B243+$E243),$K243/(($E243-$D243)*2),IF(AND(R$111&gt;$B243+$D243,R$111&lt;$B243+$E243),$K243/($E243-$D243),0)))</f>
        <v>0</v>
      </c>
      <c r="S243" s="9">
        <f>IF(OR($C243="Annual",$D243=$E243),IF(AND($D243=$E243,S$111=$B243+$D243),$K243,IF(AND(S$111&gt;$B243+$D243,S$111&lt;=$B243+$E243), $K243/($E243-$D243),0)), IF(OR(S$111=$B243+$D243,S$111=$B243+$E243),$K243/(($E243-$D243)*2),IF(AND(S$111&gt;$B243+$D243,S$111&lt;$B243+$E243),$K243/($E243-$D243),0)))</f>
        <v>0</v>
      </c>
      <c r="T243" s="9">
        <f>IF(OR($C243="Annual",$D243=$E243),IF(AND($D243=$E243,T$111=$B243+$D243),$K243,IF(AND(T$111&gt;$B243+$D243,T$111&lt;=$B243+$E243), $K243/($E243-$D243),0)), IF(OR(T$111=$B243+$D243,T$111=$B243+$E243),$K243/(($E243-$D243)*2),IF(AND(T$111&gt;$B243+$D243,T$111&lt;$B243+$E243),$K243/($E243-$D243),0)))</f>
        <v>0</v>
      </c>
      <c r="U243" s="9"/>
      <c r="V243" s="9"/>
      <c r="W243" s="9"/>
      <c r="X243" s="9"/>
      <c r="Y243" s="9">
        <f t="shared" si="66"/>
        <v>0</v>
      </c>
      <c r="Z243" s="9">
        <f t="shared" ca="1" si="66"/>
        <v>0</v>
      </c>
      <c r="AA243" s="9">
        <f t="shared" ca="1" si="66"/>
        <v>0</v>
      </c>
    </row>
    <row r="244" spans="1:27">
      <c r="A244" s="8" t="str">
        <f>A243</f>
        <v>Type 12</v>
      </c>
      <c r="B244" s="7">
        <f>B243+1</f>
        <v>2022</v>
      </c>
      <c r="C244" s="7" t="str">
        <f>C243</f>
        <v>Annual</v>
      </c>
      <c r="D244" s="7">
        <f t="shared" si="67"/>
        <v>30</v>
      </c>
      <c r="E244" s="7">
        <f t="shared" si="67"/>
        <v>30</v>
      </c>
      <c r="F244" s="14">
        <f>$P$97</f>
        <v>0.18606977230199898</v>
      </c>
      <c r="H244" s="9"/>
      <c r="I244" s="9"/>
      <c r="J244" s="9"/>
      <c r="K244" s="9"/>
      <c r="L244" s="9">
        <f ca="1">$F$97</f>
        <v>0</v>
      </c>
      <c r="M244" s="9">
        <f ca="1">L244-T244</f>
        <v>0</v>
      </c>
      <c r="N244" s="9"/>
      <c r="O244" s="9"/>
      <c r="P244" s="9"/>
      <c r="Q244" s="9"/>
      <c r="R244" s="9"/>
      <c r="S244" s="9">
        <f>IF(OR($C244="Annual",$D244=$E244),IF(AND($D244=$E244,S$111=$B244+$D244),$L244,IF(AND(S$111&gt;$B244+$D244,S$111&lt;=$B244+$E244), $L244/($E244-$D244),0)), IF(OR(S$111=$B244+$D244,S$111=$B244+$E244),$L244/(($E244-$D244)*2),IF(AND(S$111&gt;$B244+$D244,S$111&lt;$B244+$E244),$L244/($E244-$D244),0)))</f>
        <v>0</v>
      </c>
      <c r="T244" s="9">
        <f>IF(OR($C244="Annual",$D244=$E244),IF(AND($D244=$E244,T$111=$B244+$D244),$L244,IF(AND(T$111&gt;$B244+$D244,T$111&lt;=$B244+$E244), $L244/($E244-$D244),0)), IF(OR(T$111=$B244+$D244,T$111=$B244+$E244),$L244/(($E244-$D244)*2),IF(AND(T$111&gt;$B244+$D244,T$111&lt;$B244+$E244),$L244/($E244-$D244),0)))</f>
        <v>0</v>
      </c>
      <c r="U244" s="9"/>
      <c r="V244" s="9"/>
      <c r="W244" s="9"/>
      <c r="X244" s="9"/>
      <c r="Y244" s="9"/>
      <c r="Z244" s="9">
        <f t="shared" si="66"/>
        <v>0</v>
      </c>
      <c r="AA244" s="9">
        <f t="shared" ca="1" si="66"/>
        <v>0</v>
      </c>
    </row>
    <row r="245" spans="1:27">
      <c r="A245" s="8" t="str">
        <f>A244</f>
        <v>Type 12</v>
      </c>
      <c r="B245" s="7">
        <f>B244+1</f>
        <v>2023</v>
      </c>
      <c r="C245" s="7" t="str">
        <f>C244</f>
        <v>Annual</v>
      </c>
      <c r="D245" s="7">
        <f t="shared" si="67"/>
        <v>30</v>
      </c>
      <c r="E245" s="7">
        <f t="shared" si="67"/>
        <v>30</v>
      </c>
      <c r="F245" s="14">
        <f>$Q$97</f>
        <v>0.18606977230199898</v>
      </c>
      <c r="H245" s="9"/>
      <c r="I245" s="9"/>
      <c r="J245" s="9"/>
      <c r="K245" s="9"/>
      <c r="L245" s="9"/>
      <c r="M245" s="9">
        <f ca="1">$G$97</f>
        <v>0</v>
      </c>
      <c r="N245" s="9"/>
      <c r="O245" s="9"/>
      <c r="P245" s="9"/>
      <c r="Q245" s="9"/>
      <c r="R245" s="9"/>
      <c r="S245" s="9"/>
      <c r="T245" s="9">
        <f>IF(OR($C245="Annual",$D245=$E245),IF(AND($D245=$E245,T$111=$B245+$D245),$M245,IF(AND(T$111&gt;$B245+$D245,T$111&lt;=$B245+$E245), $M245/($E245-$D245),0)), IF(OR(T$111=$B245+$D245,T$111=$B245+$E245),$M245/(($E245-$D245)*2),IF(AND(T$111&gt;$B245+$D245,T$111&lt;$B245+$E245),$M245/($E245-$D245),0)))</f>
        <v>0</v>
      </c>
      <c r="U245" s="9"/>
      <c r="V245" s="9"/>
      <c r="W245" s="9"/>
      <c r="X245" s="9"/>
      <c r="Y245" s="9"/>
      <c r="Z245" s="9"/>
      <c r="AA245" s="9">
        <f t="shared" si="66"/>
        <v>0</v>
      </c>
    </row>
    <row r="246" spans="1:27">
      <c r="C246" s="281"/>
      <c r="F246" s="15"/>
      <c r="H246" s="10"/>
      <c r="I246" s="10"/>
      <c r="J246" s="10"/>
      <c r="K246" s="10"/>
      <c r="L246" s="10"/>
      <c r="M246" s="10"/>
      <c r="N246" s="10"/>
      <c r="O246" s="278"/>
      <c r="P246" s="10"/>
      <c r="Q246" s="10"/>
      <c r="R246" s="10"/>
      <c r="S246" s="10"/>
      <c r="T246" s="10"/>
      <c r="U246" s="10"/>
      <c r="V246" s="10"/>
      <c r="W246" s="10"/>
      <c r="X246" s="10"/>
      <c r="Y246" s="10"/>
      <c r="Z246" s="10"/>
      <c r="AA246" s="10"/>
    </row>
    <row r="247" spans="1:27">
      <c r="A247" s="8" t="str">
        <f>'Input 4 - Forecast'!A79</f>
        <v>Type 13</v>
      </c>
      <c r="B247" s="7">
        <f>B119</f>
        <v>2018</v>
      </c>
      <c r="C247" s="7" t="str">
        <f>$I98</f>
        <v>Annual</v>
      </c>
      <c r="D247" s="7">
        <f>$J98</f>
        <v>0</v>
      </c>
      <c r="E247" s="7">
        <f>$K98</f>
        <v>0</v>
      </c>
      <c r="F247" s="14">
        <f>$L$98</f>
        <v>0</v>
      </c>
      <c r="H247" s="9">
        <f>$B$98</f>
        <v>0</v>
      </c>
      <c r="I247" s="9">
        <f>H247-P247</f>
        <v>0</v>
      </c>
      <c r="J247" s="9">
        <f>I247-Q247</f>
        <v>0</v>
      </c>
      <c r="K247" s="9">
        <f>J247-R247</f>
        <v>0</v>
      </c>
      <c r="L247" s="9">
        <f>K247-S247</f>
        <v>0</v>
      </c>
      <c r="M247" s="9">
        <f>L247-T247</f>
        <v>0</v>
      </c>
      <c r="N247" s="9"/>
      <c r="O247" s="9">
        <f t="shared" ref="O247:T247" si="68">IF(OR($C247="Annual",$D247=$E247),IF(AND($D247=$E247,O$111=$B247+$D247),$H247,IF(AND(O$111&gt;$B247+$D247,O$111&lt;=$B247+$E247), $H247/($E247-$D247),0)), IF(OR(O$111=$B247+$D247,O$111=$B247+$E247),$H247/(($E247-$D247)*2),IF(AND(O$111&gt;$B247+$D247,O$111&lt;$B247+$E247),$H247/($E247-$D247),0)))</f>
        <v>0</v>
      </c>
      <c r="P247" s="9">
        <f t="shared" si="68"/>
        <v>0</v>
      </c>
      <c r="Q247" s="9">
        <f t="shared" si="68"/>
        <v>0</v>
      </c>
      <c r="R247" s="9">
        <f t="shared" si="68"/>
        <v>0</v>
      </c>
      <c r="S247" s="9">
        <f t="shared" si="68"/>
        <v>0</v>
      </c>
      <c r="T247" s="9">
        <f t="shared" si="68"/>
        <v>0</v>
      </c>
      <c r="U247" s="9"/>
      <c r="V247" s="9">
        <f>IF($C247="annual",IF(V$111=$B247,0,G247*$F247),IF(V$111-$B247=0,0,IF((V$111-$B247)&lt;$E247,AVERAGE(G247,H247)*$F247,IF((V$111-$B247)=$E247,G247*$F247/2,0))))</f>
        <v>0</v>
      </c>
      <c r="W247" s="9">
        <f t="shared" ref="W247:AA252" si="69">IF($C247="annual",IF(W$111=$B247,0,H247*$F247),IF(W$111-$B247=0,0,IF((W$111-$B247)&lt;$E247,AVERAGE(H247,I247)*$F247,IF((W$111-$B247)=$E247,H247*$F247/2,0))))</f>
        <v>0</v>
      </c>
      <c r="X247" s="9">
        <f t="shared" si="69"/>
        <v>0</v>
      </c>
      <c r="Y247" s="9">
        <f t="shared" si="69"/>
        <v>0</v>
      </c>
      <c r="Z247" s="9">
        <f t="shared" si="69"/>
        <v>0</v>
      </c>
      <c r="AA247" s="9">
        <f t="shared" si="69"/>
        <v>0</v>
      </c>
    </row>
    <row r="248" spans="1:27">
      <c r="A248" s="8" t="str">
        <f>A247</f>
        <v>Type 13</v>
      </c>
      <c r="B248" s="7">
        <f>B247+1</f>
        <v>2019</v>
      </c>
      <c r="C248" s="7" t="str">
        <f>C247</f>
        <v>Annual</v>
      </c>
      <c r="D248" s="7">
        <f t="shared" ref="D248:E252" si="70">D247</f>
        <v>0</v>
      </c>
      <c r="E248" s="7">
        <f t="shared" si="70"/>
        <v>0</v>
      </c>
      <c r="F248" s="14">
        <f>$M$98</f>
        <v>0.18606977230199898</v>
      </c>
      <c r="H248" s="9"/>
      <c r="I248" s="9">
        <f ca="1">$C$98</f>
        <v>0</v>
      </c>
      <c r="J248" s="9">
        <f ca="1">I248-Q248</f>
        <v>0</v>
      </c>
      <c r="K248" s="9">
        <f ca="1">J248-R248</f>
        <v>0</v>
      </c>
      <c r="L248" s="9">
        <f ca="1">K248-S248</f>
        <v>0</v>
      </c>
      <c r="M248" s="9">
        <f ca="1">L248-T248</f>
        <v>0</v>
      </c>
      <c r="N248" s="9"/>
      <c r="O248" s="9"/>
      <c r="P248" s="9">
        <f ca="1">IF(OR($C248="Annual",$D248=$E248),IF(AND($D248=$E248,P$111=$B248+$D248),$I248,IF(AND(P$111&gt;$B248+$D248,P$111&lt;=$B248+$E248), $I248/($E248-$D248),0)), IF(OR(P$111=$B248+$D248,P$111=$B248+$E248),$I248/(($E248-$D248)*2),IF(AND(P$111&gt;$B248+$D248,P$111&lt;$B248+$E248),$I248/($E248-$D248),0)))</f>
        <v>0</v>
      </c>
      <c r="Q248" s="9">
        <f>IF(OR($C248="Annual",$D248=$E248),IF(AND($D248=$E248,Q$111=$B248+$D248),$I248,IF(AND(Q$111&gt;$B248+$D248,Q$111&lt;=$B248+$E248), $I248/($E248-$D248),0)), IF(OR(Q$111=$B248+$D248,Q$111=$B248+$E248),$I248/(($E248-$D248)*2),IF(AND(Q$111&gt;$B248+$D248,Q$111&lt;$B248+$E248),$I248/($E248-$D248),0)))</f>
        <v>0</v>
      </c>
      <c r="R248" s="9">
        <f>IF(OR($C248="Annual",$D248=$E248),IF(AND($D248=$E248,R$111=$B248+$D248),$I248,IF(AND(R$111&gt;$B248+$D248,R$111&lt;=$B248+$E248), $I248/($E248-$D248),0)), IF(OR(R$111=$B248+$D248,R$111=$B248+$E248),$I248/(($E248-$D248)*2),IF(AND(R$111&gt;$B248+$D248,R$111&lt;$B248+$E248),$I248/($E248-$D248),0)))</f>
        <v>0</v>
      </c>
      <c r="S248" s="9">
        <f>IF(OR($C248="Annual",$D248=$E248),IF(AND($D248=$E248,S$111=$B248+$D248),$I248,IF(AND(S$111&gt;$B248+$D248,S$111&lt;=$B248+$E248), $I248/($E248-$D248),0)), IF(OR(S$111=$B248+$D248,S$111=$B248+$E248),$I248/(($E248-$D248)*2),IF(AND(S$111&gt;$B248+$D248,S$111&lt;$B248+$E248),$I248/($E248-$D248),0)))</f>
        <v>0</v>
      </c>
      <c r="T248" s="9">
        <f>IF(OR($C248="Annual",$D248=$E248),IF(AND($D248=$E248,T$111=$B248+$D248),$I248,IF(AND(T$111&gt;$B248+$D248,T$111&lt;=$B248+$E248), $I248/($E248-$D248),0)), IF(OR(T$111=$B248+$D248,T$111=$B248+$E248),$I248/(($E248-$D248)*2),IF(AND(T$111&gt;$B248+$D248,T$111&lt;$B248+$E248),$I248/($E248-$D248),0)))</f>
        <v>0</v>
      </c>
      <c r="U248" s="9"/>
      <c r="V248" s="9"/>
      <c r="W248" s="9">
        <f t="shared" si="69"/>
        <v>0</v>
      </c>
      <c r="X248" s="9">
        <f t="shared" ca="1" si="69"/>
        <v>0</v>
      </c>
      <c r="Y248" s="9">
        <f t="shared" ca="1" si="69"/>
        <v>0</v>
      </c>
      <c r="Z248" s="9">
        <f t="shared" ca="1" si="69"/>
        <v>0</v>
      </c>
      <c r="AA248" s="9">
        <f t="shared" ca="1" si="69"/>
        <v>0</v>
      </c>
    </row>
    <row r="249" spans="1:27">
      <c r="A249" s="8" t="str">
        <f>A248</f>
        <v>Type 13</v>
      </c>
      <c r="B249" s="7">
        <f>B248+1</f>
        <v>2020</v>
      </c>
      <c r="C249" s="7" t="str">
        <f>C248</f>
        <v>Annual</v>
      </c>
      <c r="D249" s="7">
        <f t="shared" si="70"/>
        <v>0</v>
      </c>
      <c r="E249" s="7">
        <f t="shared" si="70"/>
        <v>0</v>
      </c>
      <c r="F249" s="14">
        <f>$N$98</f>
        <v>0.18606977230199898</v>
      </c>
      <c r="H249" s="9"/>
      <c r="I249" s="9"/>
      <c r="J249" s="9">
        <f ca="1">$D$98</f>
        <v>0</v>
      </c>
      <c r="K249" s="9">
        <f ca="1">J249-R249</f>
        <v>0</v>
      </c>
      <c r="L249" s="9">
        <f ca="1">K249-S249</f>
        <v>0</v>
      </c>
      <c r="M249" s="9">
        <f ca="1">L249-T249</f>
        <v>0</v>
      </c>
      <c r="N249" s="9"/>
      <c r="O249" s="9"/>
      <c r="P249" s="9"/>
      <c r="Q249" s="9">
        <f ca="1">IF(OR($C249="Annual",$D249=$E249),IF(AND($D249=$E249,Q$111=$B249+$D249),$J249,IF(AND(Q$111&gt;$B249+$D249,Q$111&lt;=$B249+$E249), $J249/($E249-$D249),0)), IF(OR(Q$111=$B249+$D249,Q$111=$B249+$E249),$J249/(($E249-$D249)*2),IF(AND(Q$111&gt;$B249+$D249,Q$111&lt;$B249+$E249),$J249/($E249-$D249),0)))</f>
        <v>0</v>
      </c>
      <c r="R249" s="9">
        <f>IF(OR($C249="Annual",$D249=$E249),IF(AND($D249=$E249,R$111=$B249+$D249),$J249,IF(AND(R$111&gt;$B249+$D249,R$111&lt;=$B249+$E249), $J249/($E249-$D249),0)), IF(OR(R$111=$B249+$D249,R$111=$B249+$E249),$J249/(($E249-$D249)*2),IF(AND(R$111&gt;$B249+$D249,R$111&lt;$B249+$E249),$J249/($E249-$D249),0)))</f>
        <v>0</v>
      </c>
      <c r="S249" s="9">
        <f>IF(OR($C249="Annual",$D249=$E249),IF(AND($D249=$E249,S$111=$B249+$D249),$J249,IF(AND(S$111&gt;$B249+$D249,S$111&lt;=$B249+$E249), $J249/($E249-$D249),0)), IF(OR(S$111=$B249+$D249,S$111=$B249+$E249),$J249/(($E249-$D249)*2),IF(AND(S$111&gt;$B249+$D249,S$111&lt;$B249+$E249),$J249/($E249-$D249),0)))</f>
        <v>0</v>
      </c>
      <c r="T249" s="9">
        <f>IF(OR($C249="Annual",$D249=$E249),IF(AND($D249=$E249,T$111=$B249+$D249),$J249,IF(AND(T$111&gt;$B249+$D249,T$111&lt;=$B249+$E249), $J249/($E249-$D249),0)), IF(OR(T$111=$B249+$D249,T$111=$B249+$E249),$J249/(($E249-$D249)*2),IF(AND(T$111&gt;$B249+$D249,T$111&lt;$B249+$E249),$J249/($E249-$D249),0)))</f>
        <v>0</v>
      </c>
      <c r="U249" s="9"/>
      <c r="V249" s="9"/>
      <c r="W249" s="9"/>
      <c r="X249" s="9">
        <f t="shared" si="69"/>
        <v>0</v>
      </c>
      <c r="Y249" s="9">
        <f t="shared" ca="1" si="69"/>
        <v>0</v>
      </c>
      <c r="Z249" s="9">
        <f t="shared" ca="1" si="69"/>
        <v>0</v>
      </c>
      <c r="AA249" s="9">
        <f t="shared" ca="1" si="69"/>
        <v>0</v>
      </c>
    </row>
    <row r="250" spans="1:27">
      <c r="A250" s="8" t="str">
        <f>A249</f>
        <v>Type 13</v>
      </c>
      <c r="B250" s="7">
        <f>B249+1</f>
        <v>2021</v>
      </c>
      <c r="C250" s="7" t="str">
        <f>C249</f>
        <v>Annual</v>
      </c>
      <c r="D250" s="7">
        <f t="shared" si="70"/>
        <v>0</v>
      </c>
      <c r="E250" s="7">
        <f t="shared" si="70"/>
        <v>0</v>
      </c>
      <c r="F250" s="14">
        <f>$O$98</f>
        <v>0.18606977230199898</v>
      </c>
      <c r="H250" s="9"/>
      <c r="I250" s="9"/>
      <c r="J250" s="9"/>
      <c r="K250" s="9">
        <f ca="1">$E$98</f>
        <v>0</v>
      </c>
      <c r="L250" s="9">
        <f ca="1">K250-S250</f>
        <v>0</v>
      </c>
      <c r="M250" s="9">
        <f ca="1">L250-T250</f>
        <v>0</v>
      </c>
      <c r="N250" s="9"/>
      <c r="O250" s="9"/>
      <c r="P250" s="9"/>
      <c r="Q250" s="9"/>
      <c r="R250" s="9">
        <f ca="1">IF(OR($C250="Annual",$D250=$E250),IF(AND($D250=$E250,R$111=$B250+$D250),$K250,IF(AND(R$111&gt;$B250+$D250,R$111&lt;=$B250+$E250), $K250/($E250-$D250),0)), IF(OR(R$111=$B250+$D250,R$111=$B250+$E250),$K250/(($E250-$D250)*2),IF(AND(R$111&gt;$B250+$D250,R$111&lt;$B250+$E250),$K250/($E250-$D250),0)))</f>
        <v>0</v>
      </c>
      <c r="S250" s="9">
        <f>IF(OR($C250="Annual",$D250=$E250),IF(AND($D250=$E250,S$111=$B250+$D250),$K250,IF(AND(S$111&gt;$B250+$D250,S$111&lt;=$B250+$E250), $K250/($E250-$D250),0)), IF(OR(S$111=$B250+$D250,S$111=$B250+$E250),$K250/(($E250-$D250)*2),IF(AND(S$111&gt;$B250+$D250,S$111&lt;$B250+$E250),$K250/($E250-$D250),0)))</f>
        <v>0</v>
      </c>
      <c r="T250" s="9">
        <f>IF(OR($C250="Annual",$D250=$E250),IF(AND($D250=$E250,T$111=$B250+$D250),$K250,IF(AND(T$111&gt;$B250+$D250,T$111&lt;=$B250+$E250), $K250/($E250-$D250),0)), IF(OR(T$111=$B250+$D250,T$111=$B250+$E250),$K250/(($E250-$D250)*2),IF(AND(T$111&gt;$B250+$D250,T$111&lt;$B250+$E250),$K250/($E250-$D250),0)))</f>
        <v>0</v>
      </c>
      <c r="U250" s="9"/>
      <c r="V250" s="9"/>
      <c r="W250" s="9"/>
      <c r="X250" s="9"/>
      <c r="Y250" s="9">
        <f t="shared" si="69"/>
        <v>0</v>
      </c>
      <c r="Z250" s="9">
        <f t="shared" ca="1" si="69"/>
        <v>0</v>
      </c>
      <c r="AA250" s="9">
        <f t="shared" ca="1" si="69"/>
        <v>0</v>
      </c>
    </row>
    <row r="251" spans="1:27">
      <c r="A251" s="8" t="str">
        <f>A250</f>
        <v>Type 13</v>
      </c>
      <c r="B251" s="7">
        <f>B250+1</f>
        <v>2022</v>
      </c>
      <c r="C251" s="7" t="str">
        <f>C250</f>
        <v>Annual</v>
      </c>
      <c r="D251" s="7">
        <f t="shared" si="70"/>
        <v>0</v>
      </c>
      <c r="E251" s="7">
        <f t="shared" si="70"/>
        <v>0</v>
      </c>
      <c r="F251" s="14">
        <f>$P$98</f>
        <v>0.18606977230199898</v>
      </c>
      <c r="H251" s="9"/>
      <c r="I251" s="9"/>
      <c r="J251" s="9"/>
      <c r="K251" s="9"/>
      <c r="L251" s="9">
        <f ca="1">$F$98</f>
        <v>0</v>
      </c>
      <c r="M251" s="9">
        <f ca="1">L251-T251</f>
        <v>0</v>
      </c>
      <c r="N251" s="9"/>
      <c r="O251" s="9"/>
      <c r="P251" s="9"/>
      <c r="Q251" s="9"/>
      <c r="R251" s="9"/>
      <c r="S251" s="9">
        <f ca="1">IF(OR($C251="Annual",$D251=$E251),IF(AND($D251=$E251,S$111=$B251+$D251),$L251,IF(AND(S$111&gt;$B251+$D251,S$111&lt;=$B251+$E251), $L251/($E251-$D251),0)), IF(OR(S$111=$B251+$D251,S$111=$B251+$E251),$L251/(($E251-$D251)*2),IF(AND(S$111&gt;$B251+$D251,S$111&lt;$B251+$E251),$L251/($E251-$D251),0)))</f>
        <v>0</v>
      </c>
      <c r="T251" s="9">
        <f>IF(OR($C251="Annual",$D251=$E251),IF(AND($D251=$E251,T$111=$B251+$D251),$L251,IF(AND(T$111&gt;$B251+$D251,T$111&lt;=$B251+$E251), $L251/($E251-$D251),0)), IF(OR(T$111=$B251+$D251,T$111=$B251+$E251),$L251/(($E251-$D251)*2),IF(AND(T$111&gt;$B251+$D251,T$111&lt;$B251+$E251),$L251/($E251-$D251),0)))</f>
        <v>0</v>
      </c>
      <c r="U251" s="9"/>
      <c r="V251" s="9"/>
      <c r="W251" s="9"/>
      <c r="X251" s="9"/>
      <c r="Y251" s="9"/>
      <c r="Z251" s="9">
        <f t="shared" si="69"/>
        <v>0</v>
      </c>
      <c r="AA251" s="9">
        <f t="shared" ca="1" si="69"/>
        <v>0</v>
      </c>
    </row>
    <row r="252" spans="1:27">
      <c r="A252" s="8" t="str">
        <f>A251</f>
        <v>Type 13</v>
      </c>
      <c r="B252" s="7">
        <f>B251+1</f>
        <v>2023</v>
      </c>
      <c r="C252" s="7" t="str">
        <f>C251</f>
        <v>Annual</v>
      </c>
      <c r="D252" s="7">
        <f t="shared" si="70"/>
        <v>0</v>
      </c>
      <c r="E252" s="7">
        <f t="shared" si="70"/>
        <v>0</v>
      </c>
      <c r="F252" s="14">
        <f>$Q$98</f>
        <v>0.18606977230199898</v>
      </c>
      <c r="H252" s="9"/>
      <c r="I252" s="9"/>
      <c r="J252" s="9"/>
      <c r="K252" s="9"/>
      <c r="L252" s="9"/>
      <c r="M252" s="9">
        <f ca="1">$G$98</f>
        <v>0</v>
      </c>
      <c r="N252" s="9"/>
      <c r="O252" s="9"/>
      <c r="P252" s="9"/>
      <c r="Q252" s="9"/>
      <c r="R252" s="9"/>
      <c r="S252" s="9"/>
      <c r="T252" s="9">
        <f ca="1">IF(OR($C252="Annual",$D252=$E252),IF(AND($D252=$E252,T$111=$B252+$D252),$M252,IF(AND(T$111&gt;$B252+$D252,T$111&lt;=$B252+$E252), $M252/($E252-$D252),0)), IF(OR(T$111=$B252+$D252,T$111=$B252+$E252),$M252/(($E252-$D252)*2),IF(AND(T$111&gt;$B252+$D252,T$111&lt;$B252+$E252),$M252/($E252-$D252),0)))</f>
        <v>0</v>
      </c>
      <c r="U252" s="9"/>
      <c r="V252" s="9"/>
      <c r="W252" s="9"/>
      <c r="X252" s="9"/>
      <c r="Y252" s="9"/>
      <c r="Z252" s="9"/>
      <c r="AA252" s="9">
        <f t="shared" si="69"/>
        <v>0</v>
      </c>
    </row>
    <row r="253" spans="1:27">
      <c r="C253" s="281"/>
      <c r="F253" s="15"/>
      <c r="H253" s="10"/>
      <c r="I253" s="10"/>
      <c r="J253" s="10"/>
      <c r="K253" s="10"/>
      <c r="L253" s="10"/>
      <c r="M253" s="10"/>
      <c r="N253" s="10"/>
      <c r="O253" s="278"/>
      <c r="P253" s="10"/>
      <c r="Q253" s="10"/>
      <c r="R253" s="10"/>
      <c r="S253" s="10"/>
      <c r="T253" s="10"/>
      <c r="U253" s="10"/>
      <c r="V253" s="10"/>
      <c r="W253" s="10"/>
      <c r="X253" s="10"/>
      <c r="Y253" s="10"/>
      <c r="Z253" s="10"/>
      <c r="AA253" s="10"/>
    </row>
    <row r="254" spans="1:27">
      <c r="A254" s="8" t="str">
        <f>'Input 4 - Forecast'!A80</f>
        <v>Type 14</v>
      </c>
      <c r="B254" s="7">
        <f>B119</f>
        <v>2018</v>
      </c>
      <c r="C254" s="7" t="str">
        <f>$I99</f>
        <v>Annual</v>
      </c>
      <c r="D254" s="7">
        <f>$J99</f>
        <v>0</v>
      </c>
      <c r="E254" s="7">
        <f>$K99</f>
        <v>0</v>
      </c>
      <c r="F254" s="14">
        <f>$L$99</f>
        <v>0</v>
      </c>
      <c r="H254" s="9">
        <f>$B$99</f>
        <v>0</v>
      </c>
      <c r="I254" s="9">
        <f>H254-P254</f>
        <v>0</v>
      </c>
      <c r="J254" s="9">
        <f>I254-Q254</f>
        <v>0</v>
      </c>
      <c r="K254" s="9">
        <f>J254-R254</f>
        <v>0</v>
      </c>
      <c r="L254" s="9">
        <f>K254-S254</f>
        <v>0</v>
      </c>
      <c r="M254" s="9">
        <f>L254-T254</f>
        <v>0</v>
      </c>
      <c r="N254" s="9"/>
      <c r="O254" s="9">
        <f t="shared" ref="O254:T254" si="71">IF(OR($C254="Annual",$D254=$E254),IF(AND($D254=$E254,O$111=$B254+$D254),$H254,IF(AND(O$111&gt;$B254+$D254,O$111&lt;=$B254+$E254), $H254/($E254-$D254),0)), IF(OR(O$111=$B254+$D254,O$111=$B254+$E254),$H254/(($E254-$D254)*2),IF(AND(O$111&gt;$B254+$D254,O$111&lt;$B254+$E254),$H254/($E254-$D254),0)))</f>
        <v>0</v>
      </c>
      <c r="P254" s="9">
        <f t="shared" si="71"/>
        <v>0</v>
      </c>
      <c r="Q254" s="9">
        <f t="shared" si="71"/>
        <v>0</v>
      </c>
      <c r="R254" s="9">
        <f t="shared" si="71"/>
        <v>0</v>
      </c>
      <c r="S254" s="9">
        <f t="shared" si="71"/>
        <v>0</v>
      </c>
      <c r="T254" s="9">
        <f t="shared" si="71"/>
        <v>0</v>
      </c>
      <c r="U254" s="9"/>
      <c r="V254" s="9">
        <f>IF($C254="annual",IF(V$111=$B254,0,G254*$F254),IF(V$111-$B254=0,0,IF((V$111-$B254)&lt;$E254,AVERAGE(G254,H254)*$F254,IF((V$111-$B254)=$E254,G254*$F254/2,0))))</f>
        <v>0</v>
      </c>
      <c r="W254" s="9">
        <f t="shared" ref="W254:AA259" si="72">IF($C254="annual",IF(W$111=$B254,0,H254*$F254),IF(W$111-$B254=0,0,IF((W$111-$B254)&lt;$E254,AVERAGE(H254,I254)*$F254,IF((W$111-$B254)=$E254,H254*$F254/2,0))))</f>
        <v>0</v>
      </c>
      <c r="X254" s="9">
        <f t="shared" si="72"/>
        <v>0</v>
      </c>
      <c r="Y254" s="9">
        <f t="shared" si="72"/>
        <v>0</v>
      </c>
      <c r="Z254" s="9">
        <f t="shared" si="72"/>
        <v>0</v>
      </c>
      <c r="AA254" s="9">
        <f t="shared" si="72"/>
        <v>0</v>
      </c>
    </row>
    <row r="255" spans="1:27">
      <c r="A255" s="8" t="str">
        <f>A254</f>
        <v>Type 14</v>
      </c>
      <c r="B255" s="7">
        <f>B254+1</f>
        <v>2019</v>
      </c>
      <c r="C255" s="7" t="str">
        <f>C254</f>
        <v>Annual</v>
      </c>
      <c r="D255" s="7">
        <f t="shared" ref="D255:E259" si="73">D254</f>
        <v>0</v>
      </c>
      <c r="E255" s="7">
        <f t="shared" si="73"/>
        <v>0</v>
      </c>
      <c r="F255" s="14">
        <f>$M$99</f>
        <v>0.18606977230199898</v>
      </c>
      <c r="H255" s="9"/>
      <c r="I255" s="9">
        <f ca="1">$C$99</f>
        <v>0</v>
      </c>
      <c r="J255" s="9">
        <f ca="1">I255-Q255</f>
        <v>0</v>
      </c>
      <c r="K255" s="9">
        <f ca="1">J255-R255</f>
        <v>0</v>
      </c>
      <c r="L255" s="9">
        <f ca="1">K255-S255</f>
        <v>0</v>
      </c>
      <c r="M255" s="9">
        <f ca="1">L255-T255</f>
        <v>0</v>
      </c>
      <c r="N255" s="9"/>
      <c r="O255" s="9"/>
      <c r="P255" s="9">
        <f ca="1">IF(OR($C255="Annual",$D255=$E255),IF(AND($D255=$E255,P$111=$B255+$D255),$I255,IF(AND(P$111&gt;$B255+$D255,P$111&lt;=$B255+$E255), $I255/($E255-$D255),0)), IF(OR(P$111=$B255+$D255,P$111=$B255+$E255),$I255/(($E255-$D255)*2),IF(AND(P$111&gt;$B255+$D255,P$111&lt;$B255+$E255),$I255/($E255-$D255),0)))</f>
        <v>0</v>
      </c>
      <c r="Q255" s="9">
        <f>IF(OR($C255="Annual",$D255=$E255),IF(AND($D255=$E255,Q$111=$B255+$D255),$I255,IF(AND(Q$111&gt;$B255+$D255,Q$111&lt;=$B255+$E255), $I255/($E255-$D255),0)), IF(OR(Q$111=$B255+$D255,Q$111=$B255+$E255),$I255/(($E255-$D255)*2),IF(AND(Q$111&gt;$B255+$D255,Q$111&lt;$B255+$E255),$I255/($E255-$D255),0)))</f>
        <v>0</v>
      </c>
      <c r="R255" s="9">
        <f>IF(OR($C255="Annual",$D255=$E255),IF(AND($D255=$E255,R$111=$B255+$D255),$I255,IF(AND(R$111&gt;$B255+$D255,R$111&lt;=$B255+$E255), $I255/($E255-$D255),0)), IF(OR(R$111=$B255+$D255,R$111=$B255+$E255),$I255/(($E255-$D255)*2),IF(AND(R$111&gt;$B255+$D255,R$111&lt;$B255+$E255),$I255/($E255-$D255),0)))</f>
        <v>0</v>
      </c>
      <c r="S255" s="9">
        <f>IF(OR($C255="Annual",$D255=$E255),IF(AND($D255=$E255,S$111=$B255+$D255),$I255,IF(AND(S$111&gt;$B255+$D255,S$111&lt;=$B255+$E255), $I255/($E255-$D255),0)), IF(OR(S$111=$B255+$D255,S$111=$B255+$E255),$I255/(($E255-$D255)*2),IF(AND(S$111&gt;$B255+$D255,S$111&lt;$B255+$E255),$I255/($E255-$D255),0)))</f>
        <v>0</v>
      </c>
      <c r="T255" s="9">
        <f>IF(OR($C255="Annual",$D255=$E255),IF(AND($D255=$E255,T$111=$B255+$D255),$I255,IF(AND(T$111&gt;$B255+$D255,T$111&lt;=$B255+$E255), $I255/($E255-$D255),0)), IF(OR(T$111=$B255+$D255,T$111=$B255+$E255),$I255/(($E255-$D255)*2),IF(AND(T$111&gt;$B255+$D255,T$111&lt;$B255+$E255),$I255/($E255-$D255),0)))</f>
        <v>0</v>
      </c>
      <c r="U255" s="9"/>
      <c r="V255" s="9"/>
      <c r="W255" s="9">
        <f t="shared" si="72"/>
        <v>0</v>
      </c>
      <c r="X255" s="9">
        <f t="shared" ca="1" si="72"/>
        <v>0</v>
      </c>
      <c r="Y255" s="9">
        <f t="shared" ca="1" si="72"/>
        <v>0</v>
      </c>
      <c r="Z255" s="9">
        <f t="shared" ca="1" si="72"/>
        <v>0</v>
      </c>
      <c r="AA255" s="9">
        <f t="shared" ca="1" si="72"/>
        <v>0</v>
      </c>
    </row>
    <row r="256" spans="1:27">
      <c r="A256" s="8" t="str">
        <f>A255</f>
        <v>Type 14</v>
      </c>
      <c r="B256" s="7">
        <f>B255+1</f>
        <v>2020</v>
      </c>
      <c r="C256" s="7" t="str">
        <f>C255</f>
        <v>Annual</v>
      </c>
      <c r="D256" s="7">
        <f t="shared" si="73"/>
        <v>0</v>
      </c>
      <c r="E256" s="7">
        <f t="shared" si="73"/>
        <v>0</v>
      </c>
      <c r="F256" s="14">
        <f>$N$99</f>
        <v>0.18606977230199898</v>
      </c>
      <c r="H256" s="9"/>
      <c r="I256" s="9"/>
      <c r="J256" s="9">
        <f ca="1">$D$99</f>
        <v>0</v>
      </c>
      <c r="K256" s="9">
        <f ca="1">J256-R256</f>
        <v>0</v>
      </c>
      <c r="L256" s="9">
        <f ca="1">K256-S256</f>
        <v>0</v>
      </c>
      <c r="M256" s="9">
        <f ca="1">L256-T256</f>
        <v>0</v>
      </c>
      <c r="N256" s="9"/>
      <c r="O256" s="9"/>
      <c r="P256" s="9"/>
      <c r="Q256" s="9">
        <f ca="1">IF(OR($C256="Annual",$D256=$E256),IF(AND($D256=$E256,Q$111=$B256+$D256),$J256,IF(AND(Q$111&gt;$B256+$D256,Q$111&lt;=$B256+$E256), $J256/($E256-$D256),0)), IF(OR(Q$111=$B256+$D256,Q$111=$B256+$E256),$J256/(($E256-$D256)*2),IF(AND(Q$111&gt;$B256+$D256,Q$111&lt;$B256+$E256),$J256/($E256-$D256),0)))</f>
        <v>0</v>
      </c>
      <c r="R256" s="9">
        <f>IF(OR($C256="Annual",$D256=$E256),IF(AND($D256=$E256,R$111=$B256+$D256),$J256,IF(AND(R$111&gt;$B256+$D256,R$111&lt;=$B256+$E256), $J256/($E256-$D256),0)), IF(OR(R$111=$B256+$D256,R$111=$B256+$E256),$J256/(($E256-$D256)*2),IF(AND(R$111&gt;$B256+$D256,R$111&lt;$B256+$E256),$J256/($E256-$D256),0)))</f>
        <v>0</v>
      </c>
      <c r="S256" s="9">
        <f>IF(OR($C256="Annual",$D256=$E256),IF(AND($D256=$E256,S$111=$B256+$D256),$J256,IF(AND(S$111&gt;$B256+$D256,S$111&lt;=$B256+$E256), $J256/($E256-$D256),0)), IF(OR(S$111=$B256+$D256,S$111=$B256+$E256),$J256/(($E256-$D256)*2),IF(AND(S$111&gt;$B256+$D256,S$111&lt;$B256+$E256),$J256/($E256-$D256),0)))</f>
        <v>0</v>
      </c>
      <c r="T256" s="9">
        <f>IF(OR($C256="Annual",$D256=$E256),IF(AND($D256=$E256,T$111=$B256+$D256),$J256,IF(AND(T$111&gt;$B256+$D256,T$111&lt;=$B256+$E256), $J256/($E256-$D256),0)), IF(OR(T$111=$B256+$D256,T$111=$B256+$E256),$J256/(($E256-$D256)*2),IF(AND(T$111&gt;$B256+$D256,T$111&lt;$B256+$E256),$J256/($E256-$D256),0)))</f>
        <v>0</v>
      </c>
      <c r="U256" s="9"/>
      <c r="V256" s="9"/>
      <c r="W256" s="9"/>
      <c r="X256" s="9">
        <f t="shared" si="72"/>
        <v>0</v>
      </c>
      <c r="Y256" s="9">
        <f t="shared" ca="1" si="72"/>
        <v>0</v>
      </c>
      <c r="Z256" s="9">
        <f t="shared" ca="1" si="72"/>
        <v>0</v>
      </c>
      <c r="AA256" s="9">
        <f t="shared" ca="1" si="72"/>
        <v>0</v>
      </c>
    </row>
    <row r="257" spans="1:27">
      <c r="A257" s="8" t="str">
        <f>A256</f>
        <v>Type 14</v>
      </c>
      <c r="B257" s="7">
        <f>B256+1</f>
        <v>2021</v>
      </c>
      <c r="C257" s="7" t="str">
        <f>C256</f>
        <v>Annual</v>
      </c>
      <c r="D257" s="7">
        <f t="shared" si="73"/>
        <v>0</v>
      </c>
      <c r="E257" s="7">
        <f t="shared" si="73"/>
        <v>0</v>
      </c>
      <c r="F257" s="14">
        <f>$O$99</f>
        <v>0.18606977230199898</v>
      </c>
      <c r="H257" s="9"/>
      <c r="I257" s="9"/>
      <c r="J257" s="9"/>
      <c r="K257" s="9">
        <f ca="1">$E$99</f>
        <v>0</v>
      </c>
      <c r="L257" s="9">
        <f ca="1">K257-S257</f>
        <v>0</v>
      </c>
      <c r="M257" s="9">
        <f ca="1">L257-T257</f>
        <v>0</v>
      </c>
      <c r="N257" s="9"/>
      <c r="O257" s="9"/>
      <c r="P257" s="9"/>
      <c r="Q257" s="9"/>
      <c r="R257" s="9">
        <f ca="1">IF(OR($C257="Annual",$D257=$E257),IF(AND($D257=$E257,R$111=$B257+$D257),$K257,IF(AND(R$111&gt;$B257+$D257,R$111&lt;=$B257+$E257), $K257/($E257-$D257),0)), IF(OR(R$111=$B257+$D257,R$111=$B257+$E257),$K257/(($E257-$D257)*2),IF(AND(R$111&gt;$B257+$D257,R$111&lt;$B257+$E257),$K257/($E257-$D257),0)))</f>
        <v>0</v>
      </c>
      <c r="S257" s="9">
        <f>IF(OR($C257="Annual",$D257=$E257),IF(AND($D257=$E257,S$111=$B257+$D257),$K257,IF(AND(S$111&gt;$B257+$D257,S$111&lt;=$B257+$E257), $K257/($E257-$D257),0)), IF(OR(S$111=$B257+$D257,S$111=$B257+$E257),$K257/(($E257-$D257)*2),IF(AND(S$111&gt;$B257+$D257,S$111&lt;$B257+$E257),$K257/($E257-$D257),0)))</f>
        <v>0</v>
      </c>
      <c r="T257" s="9">
        <f>IF(OR($C257="Annual",$D257=$E257),IF(AND($D257=$E257,T$111=$B257+$D257),$K257,IF(AND(T$111&gt;$B257+$D257,T$111&lt;=$B257+$E257), $K257/($E257-$D257),0)), IF(OR(T$111=$B257+$D257,T$111=$B257+$E257),$K257/(($E257-$D257)*2),IF(AND(T$111&gt;$B257+$D257,T$111&lt;$B257+$E257),$K257/($E257-$D257),0)))</f>
        <v>0</v>
      </c>
      <c r="U257" s="9"/>
      <c r="V257" s="9"/>
      <c r="W257" s="9"/>
      <c r="X257" s="9"/>
      <c r="Y257" s="9">
        <f t="shared" si="72"/>
        <v>0</v>
      </c>
      <c r="Z257" s="9">
        <f t="shared" ca="1" si="72"/>
        <v>0</v>
      </c>
      <c r="AA257" s="9">
        <f t="shared" ca="1" si="72"/>
        <v>0</v>
      </c>
    </row>
    <row r="258" spans="1:27">
      <c r="A258" s="8" t="str">
        <f>A257</f>
        <v>Type 14</v>
      </c>
      <c r="B258" s="7">
        <f>B257+1</f>
        <v>2022</v>
      </c>
      <c r="C258" s="7" t="str">
        <f>C257</f>
        <v>Annual</v>
      </c>
      <c r="D258" s="7">
        <f t="shared" si="73"/>
        <v>0</v>
      </c>
      <c r="E258" s="7">
        <f t="shared" si="73"/>
        <v>0</v>
      </c>
      <c r="F258" s="14">
        <f>$P$99</f>
        <v>0.18606977230199898</v>
      </c>
      <c r="H258" s="9"/>
      <c r="I258" s="9"/>
      <c r="J258" s="9"/>
      <c r="K258" s="9"/>
      <c r="L258" s="9">
        <f ca="1">$F$99</f>
        <v>0</v>
      </c>
      <c r="M258" s="9">
        <f ca="1">L258-T258</f>
        <v>0</v>
      </c>
      <c r="N258" s="9"/>
      <c r="O258" s="9"/>
      <c r="P258" s="9"/>
      <c r="Q258" s="9"/>
      <c r="R258" s="9"/>
      <c r="S258" s="9">
        <f ca="1">IF(OR($C258="Annual",$D258=$E258),IF(AND($D258=$E258,S$111=$B258+$D258),$L258,IF(AND(S$111&gt;$B258+$D258,S$111&lt;=$B258+$E258), $L258/($E258-$D258),0)), IF(OR(S$111=$B258+$D258,S$111=$B258+$E258),$L258/(($E258-$D258)*2),IF(AND(S$111&gt;$B258+$D258,S$111&lt;$B258+$E258),$L258/($E258-$D258),0)))</f>
        <v>0</v>
      </c>
      <c r="T258" s="9">
        <f>IF(OR($C258="Annual",$D258=$E258),IF(AND($D258=$E258,T$111=$B258+$D258),$L258,IF(AND(T$111&gt;$B258+$D258,T$111&lt;=$B258+$E258), $L258/($E258-$D258),0)), IF(OR(T$111=$B258+$D258,T$111=$B258+$E258),$L258/(($E258-$D258)*2),IF(AND(T$111&gt;$B258+$D258,T$111&lt;$B258+$E258),$L258/($E258-$D258),0)))</f>
        <v>0</v>
      </c>
      <c r="U258" s="9"/>
      <c r="V258" s="9"/>
      <c r="W258" s="9"/>
      <c r="X258" s="9"/>
      <c r="Y258" s="9"/>
      <c r="Z258" s="9">
        <f t="shared" si="72"/>
        <v>0</v>
      </c>
      <c r="AA258" s="9">
        <f t="shared" ca="1" si="72"/>
        <v>0</v>
      </c>
    </row>
    <row r="259" spans="1:27">
      <c r="A259" s="8" t="str">
        <f>A258</f>
        <v>Type 14</v>
      </c>
      <c r="B259" s="7">
        <f>B258+1</f>
        <v>2023</v>
      </c>
      <c r="C259" s="7" t="str">
        <f>C258</f>
        <v>Annual</v>
      </c>
      <c r="D259" s="7">
        <f t="shared" si="73"/>
        <v>0</v>
      </c>
      <c r="E259" s="7">
        <f t="shared" si="73"/>
        <v>0</v>
      </c>
      <c r="F259" s="14">
        <f>$Q$99</f>
        <v>0.18606977230199898</v>
      </c>
      <c r="H259" s="9"/>
      <c r="I259" s="9"/>
      <c r="J259" s="9"/>
      <c r="K259" s="9"/>
      <c r="L259" s="9"/>
      <c r="M259" s="9">
        <f ca="1">$G$99</f>
        <v>0</v>
      </c>
      <c r="N259" s="9"/>
      <c r="O259" s="9"/>
      <c r="P259" s="9"/>
      <c r="Q259" s="9"/>
      <c r="R259" s="9"/>
      <c r="S259" s="9"/>
      <c r="T259" s="9">
        <f ca="1">IF(OR($C259="Annual",$D259=$E259),IF(AND($D259=$E259,T$111=$B259+$D259),$M259,IF(AND(T$111&gt;$B259+$D259,T$111&lt;=$B259+$E259), $M259/($E259-$D259),0)), IF(OR(T$111=$B259+$D259,T$111=$B259+$E259),$M259/(($E259-$D259)*2),IF(AND(T$111&gt;$B259+$D259,T$111&lt;$B259+$E259),$M259/($E259-$D259),0)))</f>
        <v>0</v>
      </c>
      <c r="U259" s="9"/>
      <c r="V259" s="9"/>
      <c r="W259" s="9"/>
      <c r="X259" s="9"/>
      <c r="Y259" s="9"/>
      <c r="Z259" s="9"/>
      <c r="AA259" s="9">
        <f t="shared" si="72"/>
        <v>0</v>
      </c>
    </row>
    <row r="260" spans="1:27">
      <c r="C260" s="281"/>
      <c r="F260" s="15"/>
      <c r="H260" s="10"/>
      <c r="I260" s="10"/>
      <c r="J260" s="10"/>
      <c r="K260" s="10"/>
      <c r="L260" s="10"/>
      <c r="M260" s="10"/>
      <c r="N260" s="10"/>
      <c r="O260" s="278"/>
      <c r="P260" s="10"/>
      <c r="Q260" s="10"/>
      <c r="R260" s="10"/>
      <c r="S260" s="10"/>
      <c r="T260" s="10"/>
      <c r="U260" s="10"/>
      <c r="V260" s="10"/>
      <c r="W260" s="10"/>
      <c r="X260" s="10"/>
      <c r="Y260" s="10"/>
      <c r="Z260" s="10"/>
      <c r="AA260" s="10"/>
    </row>
    <row r="261" spans="1:27" s="1150" customFormat="1">
      <c r="A261" s="1347" t="str">
        <f>'Input 4 - Forecast'!A81</f>
        <v>ZERO-COUPON BOND</v>
      </c>
      <c r="B261" s="1348">
        <f>B119</f>
        <v>2018</v>
      </c>
      <c r="C261" s="1348"/>
      <c r="D261" s="1348">
        <f>$J100</f>
        <v>0</v>
      </c>
      <c r="E261" s="1348">
        <f>$K100</f>
        <v>0</v>
      </c>
      <c r="F261" s="1349">
        <f>$L$100</f>
        <v>0</v>
      </c>
      <c r="H261" s="1350">
        <f>$B$100</f>
        <v>0</v>
      </c>
      <c r="I261" s="1350">
        <f>H261-P261</f>
        <v>0</v>
      </c>
      <c r="J261" s="1350">
        <f>I261-Q261</f>
        <v>0</v>
      </c>
      <c r="K261" s="1350">
        <f>J261-R261</f>
        <v>0</v>
      </c>
      <c r="L261" s="1350">
        <f>K261-S261</f>
        <v>0</v>
      </c>
      <c r="M261" s="1350">
        <f>L261-T261</f>
        <v>0</v>
      </c>
      <c r="N261" s="1350"/>
      <c r="O261" s="1350">
        <f t="shared" ref="O261:T261" si="74">IF($D261=$E261,IF(O$111=$B261+$E261,$H261,0),0)</f>
        <v>0</v>
      </c>
      <c r="P261" s="1350">
        <f t="shared" si="74"/>
        <v>0</v>
      </c>
      <c r="Q261" s="1350">
        <f t="shared" si="74"/>
        <v>0</v>
      </c>
      <c r="R261" s="1350">
        <f t="shared" si="74"/>
        <v>0</v>
      </c>
      <c r="S261" s="1350">
        <f t="shared" si="74"/>
        <v>0</v>
      </c>
      <c r="T261" s="1350">
        <f t="shared" si="74"/>
        <v>0</v>
      </c>
      <c r="U261" s="1350"/>
      <c r="V261" s="1350">
        <f t="shared" ref="V261:AA261" si="75">IF(V$111-$B261=$D261,$H261*(((1+$F261)^$D261)-1),0)</f>
        <v>0</v>
      </c>
      <c r="W261" s="1350">
        <f t="shared" si="75"/>
        <v>0</v>
      </c>
      <c r="X261" s="1350">
        <f t="shared" si="75"/>
        <v>0</v>
      </c>
      <c r="Y261" s="1350">
        <f t="shared" si="75"/>
        <v>0</v>
      </c>
      <c r="Z261" s="1350">
        <f t="shared" si="75"/>
        <v>0</v>
      </c>
      <c r="AA261" s="1350">
        <f t="shared" si="75"/>
        <v>0</v>
      </c>
    </row>
    <row r="262" spans="1:27" s="1150" customFormat="1">
      <c r="A262" s="1347" t="str">
        <f>A261</f>
        <v>ZERO-COUPON BOND</v>
      </c>
      <c r="B262" s="1348">
        <f>B261+1</f>
        <v>2019</v>
      </c>
      <c r="C262" s="1348"/>
      <c r="D262" s="1348">
        <f t="shared" ref="D262:E266" si="76">D261</f>
        <v>0</v>
      </c>
      <c r="E262" s="1348">
        <f t="shared" si="76"/>
        <v>0</v>
      </c>
      <c r="F262" s="1349">
        <f>$M$100</f>
        <v>0.18606977230199898</v>
      </c>
      <c r="H262" s="1350"/>
      <c r="I262" s="1350">
        <f ca="1">$C$100</f>
        <v>0</v>
      </c>
      <c r="J262" s="1350">
        <f ca="1">I262-Q262</f>
        <v>0</v>
      </c>
      <c r="K262" s="1350">
        <f ca="1">J262-R262</f>
        <v>0</v>
      </c>
      <c r="L262" s="1350">
        <f ca="1">K262-S262</f>
        <v>0</v>
      </c>
      <c r="M262" s="1350">
        <f ca="1">L262-T262</f>
        <v>0</v>
      </c>
      <c r="N262" s="1350"/>
      <c r="O262" s="1351"/>
      <c r="P262" s="1350">
        <f ca="1">IF($D262=$E262,IF(P$111=$B262+$E262,$I262,0),0)</f>
        <v>0</v>
      </c>
      <c r="Q262" s="1350">
        <f>IF($D262=$E262,IF(Q$111=$B262+$E262,$I262,0),0)</f>
        <v>0</v>
      </c>
      <c r="R262" s="1350">
        <f>IF($D262=$E262,IF(R$111=$B262+$E262,$I262,0),0)</f>
        <v>0</v>
      </c>
      <c r="S262" s="1350">
        <f>IF($D262=$E262,IF(S$111=$B262+$E262,$I262,0),0)</f>
        <v>0</v>
      </c>
      <c r="T262" s="1350">
        <f>IF($D262=$E262,IF(T$111=$B262+$E262,$I262,0),0)</f>
        <v>0</v>
      </c>
      <c r="U262" s="1350"/>
      <c r="V262" s="1350"/>
      <c r="W262" s="1350">
        <f ca="1">IF(W$111-$B262=$D262,$I262*(((1+$F262)^$D262)-1),0)</f>
        <v>0</v>
      </c>
      <c r="X262" s="1350">
        <f>IF(X$111-$B262=$D262,$I262*(((1+$F262)^$D262)-1),0)</f>
        <v>0</v>
      </c>
      <c r="Y262" s="1350">
        <f>IF(Y$111-$B262=$D262,$I262*(((1+$F262)^$D262)-1),0)</f>
        <v>0</v>
      </c>
      <c r="Z262" s="1350">
        <f>IF(Z$111-$B262=$D262,$I262*(((1+$F262)^$D262)-1),0)</f>
        <v>0</v>
      </c>
      <c r="AA262" s="1350">
        <f>IF(AA$111-$B262=$D262,$I262*(((1+$F262)^$D262)-1),0)</f>
        <v>0</v>
      </c>
    </row>
    <row r="263" spans="1:27" s="1150" customFormat="1">
      <c r="A263" s="1347" t="str">
        <f>A262</f>
        <v>ZERO-COUPON BOND</v>
      </c>
      <c r="B263" s="1348">
        <f>B262+1</f>
        <v>2020</v>
      </c>
      <c r="C263" s="1348"/>
      <c r="D263" s="1348">
        <f t="shared" si="76"/>
        <v>0</v>
      </c>
      <c r="E263" s="1348">
        <f t="shared" si="76"/>
        <v>0</v>
      </c>
      <c r="F263" s="1349">
        <f>$N$100</f>
        <v>0.18606977230199898</v>
      </c>
      <c r="H263" s="1350"/>
      <c r="I263" s="1350"/>
      <c r="J263" s="1350">
        <f ca="1">$D$100</f>
        <v>0</v>
      </c>
      <c r="K263" s="1350">
        <f ca="1">J263-R263</f>
        <v>0</v>
      </c>
      <c r="L263" s="1350">
        <f ca="1">K263-S263</f>
        <v>0</v>
      </c>
      <c r="M263" s="1350">
        <f ca="1">L263-T263</f>
        <v>0</v>
      </c>
      <c r="N263" s="1350"/>
      <c r="O263" s="1351"/>
      <c r="P263" s="1350"/>
      <c r="Q263" s="1350">
        <f ca="1">IF($D263=$E263,IF(Q$111=$B263+$E263,$J263,0),0)</f>
        <v>0</v>
      </c>
      <c r="R263" s="1350">
        <f>IF($D263=$E263,IF(R$111=$B263+$E263,$J263,0),0)</f>
        <v>0</v>
      </c>
      <c r="S263" s="1350">
        <f>IF($D263=$E263,IF(S$111=$B263+$E263,$J263,0),0)</f>
        <v>0</v>
      </c>
      <c r="T263" s="1350">
        <f>IF($D263=$E263,IF(T$111=$B263+$E263,$J263,0),0)</f>
        <v>0</v>
      </c>
      <c r="U263" s="1350"/>
      <c r="V263" s="1350"/>
      <c r="W263" s="1350"/>
      <c r="X263" s="1350">
        <f ca="1">IF(X$111-$B263=$D263,$J263*(((1+$F263)^$D263)-1),0)</f>
        <v>0</v>
      </c>
      <c r="Y263" s="1350">
        <f>IF(Y$111-$B263=$D263,$J263*(((1+$F263)^$D263)-1),0)</f>
        <v>0</v>
      </c>
      <c r="Z263" s="1350">
        <f>IF(Z$111-$B263=$D263,$J263*(((1+$F263)^$D263)-1),0)</f>
        <v>0</v>
      </c>
      <c r="AA263" s="1350">
        <f>IF(AA$111-$B263=$D263,$J263*(((1+$F263)^$D263)-1),0)</f>
        <v>0</v>
      </c>
    </row>
    <row r="264" spans="1:27" s="1150" customFormat="1">
      <c r="A264" s="1347" t="str">
        <f>A263</f>
        <v>ZERO-COUPON BOND</v>
      </c>
      <c r="B264" s="1348">
        <f>B263+1</f>
        <v>2021</v>
      </c>
      <c r="C264" s="1348"/>
      <c r="D264" s="1348">
        <f t="shared" si="76"/>
        <v>0</v>
      </c>
      <c r="E264" s="1348">
        <f t="shared" si="76"/>
        <v>0</v>
      </c>
      <c r="F264" s="1349">
        <f>$O$100</f>
        <v>0.18606977230199898</v>
      </c>
      <c r="H264" s="1350"/>
      <c r="I264" s="1350"/>
      <c r="J264" s="1350"/>
      <c r="K264" s="1350">
        <f ca="1">$E$100</f>
        <v>0</v>
      </c>
      <c r="L264" s="1350">
        <f ca="1">K264-S264</f>
        <v>0</v>
      </c>
      <c r="M264" s="1350">
        <f ca="1">L264-T264</f>
        <v>0</v>
      </c>
      <c r="N264" s="1350"/>
      <c r="O264" s="1351"/>
      <c r="P264" s="1350"/>
      <c r="Q264" s="1350"/>
      <c r="R264" s="1350">
        <f ca="1">IF($D264=$E264,IF(R$111=$B264+$E264,$K264,0),0)</f>
        <v>0</v>
      </c>
      <c r="S264" s="1350">
        <f>IF($D264=$E264,IF(S$111=$B264+$E264,$K264,0),0)</f>
        <v>0</v>
      </c>
      <c r="T264" s="1350">
        <f>IF($D264=$E264,IF(T$111=$B264+$E264,$K264,0),0)</f>
        <v>0</v>
      </c>
      <c r="U264" s="1350"/>
      <c r="V264" s="1350"/>
      <c r="W264" s="1350"/>
      <c r="X264" s="1350"/>
      <c r="Y264" s="1350">
        <f ca="1">IF(Y$111-$B264=$D264,$K264*(((1+$F264)^$D264)-1),0)</f>
        <v>0</v>
      </c>
      <c r="Z264" s="1350">
        <f>IF(Z$111-$B264=$D264,$K264*(((1+$F264)^$D264)-1),0)</f>
        <v>0</v>
      </c>
      <c r="AA264" s="1350">
        <f>IF(AA$111-$B264=$D264,$K264*(((1+$F264)^$D264)-1),0)</f>
        <v>0</v>
      </c>
    </row>
    <row r="265" spans="1:27" s="1150" customFormat="1">
      <c r="A265" s="1347" t="str">
        <f>A264</f>
        <v>ZERO-COUPON BOND</v>
      </c>
      <c r="B265" s="1348">
        <f>B264+1</f>
        <v>2022</v>
      </c>
      <c r="C265" s="1348"/>
      <c r="D265" s="1348">
        <f t="shared" si="76"/>
        <v>0</v>
      </c>
      <c r="E265" s="1348">
        <f t="shared" si="76"/>
        <v>0</v>
      </c>
      <c r="F265" s="1349">
        <f>$P$100</f>
        <v>0.18606977230199898</v>
      </c>
      <c r="H265" s="1350"/>
      <c r="I265" s="1350"/>
      <c r="J265" s="1350"/>
      <c r="K265" s="1350"/>
      <c r="L265" s="1350">
        <f ca="1">$F$100</f>
        <v>0</v>
      </c>
      <c r="M265" s="1350">
        <f ca="1">L265-T265</f>
        <v>0</v>
      </c>
      <c r="N265" s="1350"/>
      <c r="O265" s="1351"/>
      <c r="P265" s="1350"/>
      <c r="Q265" s="1350"/>
      <c r="R265" s="1350"/>
      <c r="S265" s="1350">
        <f ca="1">IF($D265=$E265,IF(S$111=$B265+$E265,$L265,0),0)</f>
        <v>0</v>
      </c>
      <c r="T265" s="1350">
        <f>IF($D265=$E265,IF(T$111=$B265+$E265,$L265,0),0)</f>
        <v>0</v>
      </c>
      <c r="U265" s="1350"/>
      <c r="V265" s="1350"/>
      <c r="W265" s="1350"/>
      <c r="X265" s="1350"/>
      <c r="Y265" s="1350"/>
      <c r="Z265" s="1350">
        <f ca="1">IF(Z$111-$B265=$D265,$L265*(((1+$F265)^$D265)-1),0)</f>
        <v>0</v>
      </c>
      <c r="AA265" s="1350">
        <f>IF(AA$111-$B265=$D265,$L265*(((1+$F265)^$D265)-1),0)</f>
        <v>0</v>
      </c>
    </row>
    <row r="266" spans="1:27" s="1150" customFormat="1">
      <c r="A266" s="1347" t="str">
        <f>A265</f>
        <v>ZERO-COUPON BOND</v>
      </c>
      <c r="B266" s="1348">
        <f>B265+1</f>
        <v>2023</v>
      </c>
      <c r="C266" s="1348"/>
      <c r="D266" s="1348">
        <f t="shared" si="76"/>
        <v>0</v>
      </c>
      <c r="E266" s="1348">
        <f t="shared" si="76"/>
        <v>0</v>
      </c>
      <c r="F266" s="1349">
        <f>$Q$100</f>
        <v>0.18606977230199898</v>
      </c>
      <c r="H266" s="1350"/>
      <c r="I266" s="1350"/>
      <c r="J266" s="1350"/>
      <c r="K266" s="1350"/>
      <c r="L266" s="1350"/>
      <c r="M266" s="1350">
        <f ca="1">$G$100</f>
        <v>0</v>
      </c>
      <c r="N266" s="1350"/>
      <c r="O266" s="1351"/>
      <c r="P266" s="1350"/>
      <c r="Q266" s="1350"/>
      <c r="R266" s="1350"/>
      <c r="S266" s="1350"/>
      <c r="T266" s="1350">
        <f ca="1">IF($D266=$E266,IF(T$111=$B266+$E266,$M266,0),0)</f>
        <v>0</v>
      </c>
      <c r="U266" s="1350"/>
      <c r="V266" s="1350"/>
      <c r="W266" s="1350"/>
      <c r="X266" s="1350"/>
      <c r="Y266" s="1350"/>
      <c r="Z266" s="1350"/>
      <c r="AA266" s="1350">
        <f ca="1">IF(AA$111-$B266=$D266,$M266*(((1+$F266)^$D266)-1),0)</f>
        <v>0</v>
      </c>
    </row>
    <row r="267" spans="1:27" ht="15.75" thickBot="1">
      <c r="H267" s="10"/>
      <c r="I267" s="10"/>
      <c r="J267" s="10"/>
      <c r="K267" s="10"/>
      <c r="L267" s="10"/>
      <c r="M267" s="10"/>
      <c r="N267" s="10"/>
      <c r="O267" s="10"/>
      <c r="P267" s="10"/>
      <c r="Q267" s="10"/>
      <c r="R267" s="10"/>
      <c r="S267" s="10"/>
      <c r="T267" s="10"/>
      <c r="U267" s="10"/>
      <c r="V267" s="10"/>
      <c r="W267" s="10"/>
      <c r="X267" s="10"/>
      <c r="Y267" s="10"/>
      <c r="Z267" s="10"/>
      <c r="AA267" s="10"/>
    </row>
    <row r="268" spans="1:27" ht="15.75" thickBot="1">
      <c r="A268" s="12" t="str">
        <f>'Input 4 - Forecast'!A82</f>
        <v>Denominated in foreign currency</v>
      </c>
      <c r="B268" s="1999" t="s">
        <v>52</v>
      </c>
      <c r="C268" s="2000"/>
      <c r="D268" s="2000"/>
      <c r="E268" s="2000"/>
      <c r="F268" s="2000"/>
      <c r="G268" s="2000"/>
      <c r="H268" s="2000"/>
      <c r="I268" s="2000"/>
      <c r="J268" s="2000"/>
      <c r="K268" s="2000"/>
      <c r="L268" s="2000"/>
      <c r="M268" s="2000"/>
      <c r="N268" s="2000"/>
      <c r="O268" s="2000"/>
      <c r="P268" s="2000"/>
      <c r="Q268" s="2000"/>
      <c r="R268" s="2000"/>
      <c r="S268" s="2000"/>
      <c r="T268" s="2000"/>
      <c r="U268" s="2000"/>
      <c r="V268" s="2000"/>
      <c r="W268" s="2000"/>
      <c r="X268" s="2000"/>
      <c r="Y268" s="2000"/>
      <c r="Z268" s="2000"/>
      <c r="AA268" s="2001"/>
    </row>
    <row r="269" spans="1:27">
      <c r="H269" s="10"/>
      <c r="I269" s="10"/>
      <c r="J269" s="10"/>
      <c r="K269" s="10"/>
      <c r="L269" s="10"/>
      <c r="M269" s="10"/>
      <c r="N269" s="10"/>
      <c r="O269" s="10"/>
      <c r="P269" s="10"/>
      <c r="Q269" s="10"/>
      <c r="R269" s="10"/>
      <c r="S269" s="10"/>
      <c r="T269" s="10"/>
      <c r="U269" s="10"/>
      <c r="V269" s="10"/>
      <c r="W269" s="10"/>
      <c r="X269" s="10"/>
      <c r="Y269" s="10"/>
      <c r="Z269" s="10"/>
      <c r="AA269" s="10"/>
    </row>
    <row r="270" spans="1:27">
      <c r="A270" s="8" t="str">
        <f>'Input 4 - Forecast'!A83</f>
        <v>Type 16</v>
      </c>
      <c r="B270" s="7">
        <f>B119</f>
        <v>2018</v>
      </c>
      <c r="C270" s="7" t="str">
        <f>$I102</f>
        <v>Annual</v>
      </c>
      <c r="D270" s="7">
        <f>$J102</f>
        <v>0</v>
      </c>
      <c r="E270" s="7">
        <f>$K102</f>
        <v>0</v>
      </c>
      <c r="F270" s="14">
        <f>$L$102</f>
        <v>0</v>
      </c>
      <c r="H270" s="9">
        <f>$B$102/$B$31</f>
        <v>0</v>
      </c>
      <c r="I270" s="9">
        <f>H270-P270</f>
        <v>0</v>
      </c>
      <c r="J270" s="9">
        <f>I270-Q270</f>
        <v>0</v>
      </c>
      <c r="K270" s="9">
        <f>J270-R270</f>
        <v>0</v>
      </c>
      <c r="L270" s="9">
        <f>K270-S270</f>
        <v>0</v>
      </c>
      <c r="M270" s="9">
        <f>L270-T270</f>
        <v>0</v>
      </c>
      <c r="N270" s="9"/>
      <c r="O270" s="9">
        <f t="shared" ref="O270:T270" si="77">IF(OR($C270="Annual",$D270=$E270),IF(AND($D270=$E270,O$111=$B270+$D270),$H270,IF(AND(O$111&gt;$B270+$D270,O$111&lt;=$B270+$E270), $H270/($E270-$D270),0)), IF(OR(O$111=$B270+$D270,O$111=$B270+$E270),$H270/(($E270-$D270)*2),IF(AND(O$111&gt;$B270+$D270,O$111&lt;$B270+$E270),$H270/($E270-$D270),0)))</f>
        <v>0</v>
      </c>
      <c r="P270" s="9">
        <f t="shared" si="77"/>
        <v>0</v>
      </c>
      <c r="Q270" s="9">
        <f t="shared" si="77"/>
        <v>0</v>
      </c>
      <c r="R270" s="9">
        <f t="shared" si="77"/>
        <v>0</v>
      </c>
      <c r="S270" s="9">
        <f t="shared" si="77"/>
        <v>0</v>
      </c>
      <c r="T270" s="9">
        <f t="shared" si="77"/>
        <v>0</v>
      </c>
      <c r="U270" s="9"/>
      <c r="V270" s="9">
        <f>IF($C270="annual",IF(V$111=$B270,0,G270*$F270),IF(V$111-$B270=0,0,IF((V$111-$B270)&lt;$E270,AVERAGE(G270,H270)*$F270,IF((V$111-$B270)=$E270,G270*$F270/2,0))))</f>
        <v>0</v>
      </c>
      <c r="W270" s="9">
        <f t="shared" ref="W270:AA275" si="78">IF($C270="annual",IF(W$111=$B270,0,H270*$F270),IF(W$111-$B270=0,0,IF((W$111-$B270)&lt;$E270,AVERAGE(H270,I270)*$F270,IF((W$111-$B270)=$E270,H270*$F270/2,0))))</f>
        <v>0</v>
      </c>
      <c r="X270" s="9">
        <f t="shared" si="78"/>
        <v>0</v>
      </c>
      <c r="Y270" s="9">
        <f t="shared" si="78"/>
        <v>0</v>
      </c>
      <c r="Z270" s="9">
        <f t="shared" si="78"/>
        <v>0</v>
      </c>
      <c r="AA270" s="9">
        <f t="shared" si="78"/>
        <v>0</v>
      </c>
    </row>
    <row r="271" spans="1:27">
      <c r="A271" s="8" t="str">
        <f>A270</f>
        <v>Type 16</v>
      </c>
      <c r="B271" s="7">
        <f>B270+1</f>
        <v>2019</v>
      </c>
      <c r="C271" s="7" t="str">
        <f>C270</f>
        <v>Annual</v>
      </c>
      <c r="D271" s="7">
        <f t="shared" ref="D271:E275" si="79">D270</f>
        <v>0</v>
      </c>
      <c r="E271" s="7">
        <f t="shared" si="79"/>
        <v>0</v>
      </c>
      <c r="F271" s="14">
        <f>$M$102</f>
        <v>0.18606977230199898</v>
      </c>
      <c r="H271" s="9"/>
      <c r="I271" s="9">
        <f ca="1">$C$102/$C$31</f>
        <v>0</v>
      </c>
      <c r="J271" s="9">
        <f ca="1">I271-Q271</f>
        <v>0</v>
      </c>
      <c r="K271" s="9">
        <f ca="1">J271-R271</f>
        <v>0</v>
      </c>
      <c r="L271" s="9">
        <f ca="1">K271-S271</f>
        <v>0</v>
      </c>
      <c r="M271" s="9">
        <f ca="1">L271-T271</f>
        <v>0</v>
      </c>
      <c r="N271" s="9"/>
      <c r="O271" s="9"/>
      <c r="P271" s="9">
        <f ca="1">IF(OR($C271="Annual",$D271=$E271),IF(AND($D271=$E271,P$111=$B271+$D271),$I271,IF(AND(P$111&gt;$B271+$D271,P$111&lt;=$B271+$E271), $I271/($E271-$D271),0)), IF(OR(P$111=$B271+$D271,P$111=$B271+$E271),$I271/(($E271-$D271)*2),IF(AND(P$111&gt;$B271+$D271,P$111&lt;$B271+$E271),$I271/($E271-$D271),0)))</f>
        <v>0</v>
      </c>
      <c r="Q271" s="9">
        <f>IF(OR($C271="Annual",$D271=$E271),IF(AND($D271=$E271,Q$111=$B271+$D271),$I271,IF(AND(Q$111&gt;$B271+$D271,Q$111&lt;=$B271+$E271), $I271/($E271-$D271),0)), IF(OR(Q$111=$B271+$D271,Q$111=$B271+$E271),$I271/(($E271-$D271)*2),IF(AND(Q$111&gt;$B271+$D271,Q$111&lt;$B271+$E271),$I271/($E271-$D271),0)))</f>
        <v>0</v>
      </c>
      <c r="R271" s="9">
        <f>IF(OR($C271="Annual",$D271=$E271),IF(AND($D271=$E271,R$111=$B271+$D271),$I271,IF(AND(R$111&gt;$B271+$D271,R$111&lt;=$B271+$E271), $I271/($E271-$D271),0)), IF(OR(R$111=$B271+$D271,R$111=$B271+$E271),$I271/(($E271-$D271)*2),IF(AND(R$111&gt;$B271+$D271,R$111&lt;$B271+$E271),$I271/($E271-$D271),0)))</f>
        <v>0</v>
      </c>
      <c r="S271" s="9">
        <f>IF(OR($C271="Annual",$D271=$E271),IF(AND($D271=$E271,S$111=$B271+$D271),$I271,IF(AND(S$111&gt;$B271+$D271,S$111&lt;=$B271+$E271), $I271/($E271-$D271),0)), IF(OR(S$111=$B271+$D271,S$111=$B271+$E271),$I271/(($E271-$D271)*2),IF(AND(S$111&gt;$B271+$D271,S$111&lt;$B271+$E271),$I271/($E271-$D271),0)))</f>
        <v>0</v>
      </c>
      <c r="T271" s="9">
        <f>IF(OR($C271="Annual",$D271=$E271),IF(AND($D271=$E271,T$111=$B271+$D271),$I271,IF(AND(T$111&gt;$B271+$D271,T$111&lt;=$B271+$E271), $I271/($E271-$D271),0)), IF(OR(T$111=$B271+$D271,T$111=$B271+$E271),$I271/(($E271-$D271)*2),IF(AND(T$111&gt;$B271+$D271,T$111&lt;$B271+$E271),$I271/($E271-$D271),0)))</f>
        <v>0</v>
      </c>
      <c r="U271" s="9"/>
      <c r="V271" s="9"/>
      <c r="W271" s="9">
        <f t="shared" si="78"/>
        <v>0</v>
      </c>
      <c r="X271" s="9">
        <f t="shared" ca="1" si="78"/>
        <v>0</v>
      </c>
      <c r="Y271" s="9">
        <f t="shared" ca="1" si="78"/>
        <v>0</v>
      </c>
      <c r="Z271" s="9">
        <f t="shared" ca="1" si="78"/>
        <v>0</v>
      </c>
      <c r="AA271" s="9">
        <f t="shared" ca="1" si="78"/>
        <v>0</v>
      </c>
    </row>
    <row r="272" spans="1:27">
      <c r="A272" s="8" t="str">
        <f>A271</f>
        <v>Type 16</v>
      </c>
      <c r="B272" s="7">
        <f>B271+1</f>
        <v>2020</v>
      </c>
      <c r="C272" s="7" t="str">
        <f>C271</f>
        <v>Annual</v>
      </c>
      <c r="D272" s="7">
        <f t="shared" si="79"/>
        <v>0</v>
      </c>
      <c r="E272" s="7">
        <f t="shared" si="79"/>
        <v>0</v>
      </c>
      <c r="F272" s="14">
        <f>$N$102</f>
        <v>0.18606977230199898</v>
      </c>
      <c r="H272" s="9"/>
      <c r="I272" s="9"/>
      <c r="J272" s="9">
        <f ca="1">$D$102/$D$31</f>
        <v>0</v>
      </c>
      <c r="K272" s="9">
        <f ca="1">J272-R272</f>
        <v>0</v>
      </c>
      <c r="L272" s="9">
        <f ca="1">K272-S272</f>
        <v>0</v>
      </c>
      <c r="M272" s="9">
        <f ca="1">L272-T272</f>
        <v>0</v>
      </c>
      <c r="N272" s="9"/>
      <c r="O272" s="9"/>
      <c r="P272" s="9"/>
      <c r="Q272" s="9">
        <f ca="1">IF(OR($C272="Annual",$D272=$E272),IF(AND($D272=$E272,Q$111=$B272+$D272),$J272,IF(AND(Q$111&gt;$B272+$D272,Q$111&lt;=$B272+$E272), $J272/($E272-$D272),0)), IF(OR(Q$111=$B272+$D272,Q$111=$B272+$E272),$J272/(($E272-$D272)*2),IF(AND(Q$111&gt;$B272+$D272,Q$111&lt;$B272+$E272),$J272/($E272-$D272),0)))</f>
        <v>0</v>
      </c>
      <c r="R272" s="9">
        <f>IF(OR($C272="Annual",$D272=$E272),IF(AND($D272=$E272,R$111=$B272+$D272),$J272,IF(AND(R$111&gt;$B272+$D272,R$111&lt;=$B272+$E272), $J272/($E272-$D272),0)), IF(OR(R$111=$B272+$D272,R$111=$B272+$E272),$J272/(($E272-$D272)*2),IF(AND(R$111&gt;$B272+$D272,R$111&lt;$B272+$E272),$J272/($E272-$D272),0)))</f>
        <v>0</v>
      </c>
      <c r="S272" s="9">
        <f>IF(OR($C272="Annual",$D272=$E272),IF(AND($D272=$E272,S$111=$B272+$D272),$J272,IF(AND(S$111&gt;$B272+$D272,S$111&lt;=$B272+$E272), $J272/($E272-$D272),0)), IF(OR(S$111=$B272+$D272,S$111=$B272+$E272),$J272/(($E272-$D272)*2),IF(AND(S$111&gt;$B272+$D272,S$111&lt;$B272+$E272),$J272/($E272-$D272),0)))</f>
        <v>0</v>
      </c>
      <c r="T272" s="9">
        <f>IF(OR($C272="Annual",$D272=$E272),IF(AND($D272=$E272,T$111=$B272+$D272),$J272,IF(AND(T$111&gt;$B272+$D272,T$111&lt;=$B272+$E272), $J272/($E272-$D272),0)), IF(OR(T$111=$B272+$D272,T$111=$B272+$E272),$J272/(($E272-$D272)*2),IF(AND(T$111&gt;$B272+$D272,T$111&lt;$B272+$E272),$J272/($E272-$D272),0)))</f>
        <v>0</v>
      </c>
      <c r="U272" s="9"/>
      <c r="V272" s="9"/>
      <c r="W272" s="9"/>
      <c r="X272" s="9">
        <f t="shared" si="78"/>
        <v>0</v>
      </c>
      <c r="Y272" s="9">
        <f t="shared" ca="1" si="78"/>
        <v>0</v>
      </c>
      <c r="Z272" s="9">
        <f t="shared" ca="1" si="78"/>
        <v>0</v>
      </c>
      <c r="AA272" s="9">
        <f t="shared" ca="1" si="78"/>
        <v>0</v>
      </c>
    </row>
    <row r="273" spans="1:27">
      <c r="A273" s="8" t="str">
        <f>A272</f>
        <v>Type 16</v>
      </c>
      <c r="B273" s="7">
        <f>B272+1</f>
        <v>2021</v>
      </c>
      <c r="C273" s="7" t="str">
        <f>C272</f>
        <v>Annual</v>
      </c>
      <c r="D273" s="7">
        <f t="shared" si="79"/>
        <v>0</v>
      </c>
      <c r="E273" s="7">
        <f t="shared" si="79"/>
        <v>0</v>
      </c>
      <c r="F273" s="14">
        <f>$O$102</f>
        <v>0.18606977230199898</v>
      </c>
      <c r="H273" s="9"/>
      <c r="I273" s="9"/>
      <c r="J273" s="9"/>
      <c r="K273" s="9">
        <f ca="1">$E$102/$E$31</f>
        <v>0</v>
      </c>
      <c r="L273" s="9">
        <f ca="1">K273-S273</f>
        <v>0</v>
      </c>
      <c r="M273" s="9">
        <f ca="1">L273-T273</f>
        <v>0</v>
      </c>
      <c r="N273" s="9"/>
      <c r="O273" s="9"/>
      <c r="P273" s="9"/>
      <c r="Q273" s="9"/>
      <c r="R273" s="9">
        <f ca="1">IF(OR($C273="Annual",$D273=$E273),IF(AND($D273=$E273,R$111=$B273+$D273),$K273,IF(AND(R$111&gt;$B273+$D273,R$111&lt;=$B273+$E273), $K273/($E273-$D273),0)), IF(OR(R$111=$B273+$D273,R$111=$B273+$E273),$K273/(($E273-$D273)*2),IF(AND(R$111&gt;$B273+$D273,R$111&lt;$B273+$E273),$K273/($E273-$D273),0)))</f>
        <v>0</v>
      </c>
      <c r="S273" s="9">
        <f>IF(OR($C273="Annual",$D273=$E273),IF(AND($D273=$E273,S$111=$B273+$D273),$K273,IF(AND(S$111&gt;$B273+$D273,S$111&lt;=$B273+$E273), $K273/($E273-$D273),0)), IF(OR(S$111=$B273+$D273,S$111=$B273+$E273),$K273/(($E273-$D273)*2),IF(AND(S$111&gt;$B273+$D273,S$111&lt;$B273+$E273),$K273/($E273-$D273),0)))</f>
        <v>0</v>
      </c>
      <c r="T273" s="9">
        <f>IF(OR($C273="Annual",$D273=$E273),IF(AND($D273=$E273,T$111=$B273+$D273),$K273,IF(AND(T$111&gt;$B273+$D273,T$111&lt;=$B273+$E273), $K273/($E273-$D273),0)), IF(OR(T$111=$B273+$D273,T$111=$B273+$E273),$K273/(($E273-$D273)*2),IF(AND(T$111&gt;$B273+$D273,T$111&lt;$B273+$E273),$K273/($E273-$D273),0)))</f>
        <v>0</v>
      </c>
      <c r="U273" s="9"/>
      <c r="V273" s="9"/>
      <c r="W273" s="9"/>
      <c r="X273" s="9"/>
      <c r="Y273" s="9">
        <f t="shared" si="78"/>
        <v>0</v>
      </c>
      <c r="Z273" s="9">
        <f t="shared" ca="1" si="78"/>
        <v>0</v>
      </c>
      <c r="AA273" s="9">
        <f t="shared" ca="1" si="78"/>
        <v>0</v>
      </c>
    </row>
    <row r="274" spans="1:27">
      <c r="A274" s="8" t="str">
        <f>A273</f>
        <v>Type 16</v>
      </c>
      <c r="B274" s="7">
        <f>B273+1</f>
        <v>2022</v>
      </c>
      <c r="C274" s="7" t="str">
        <f>C273</f>
        <v>Annual</v>
      </c>
      <c r="D274" s="7">
        <f t="shared" si="79"/>
        <v>0</v>
      </c>
      <c r="E274" s="7">
        <f t="shared" si="79"/>
        <v>0</v>
      </c>
      <c r="F274" s="14">
        <f>$P$102</f>
        <v>0.18606977230199898</v>
      </c>
      <c r="H274" s="9"/>
      <c r="I274" s="9"/>
      <c r="J274" s="9"/>
      <c r="K274" s="9"/>
      <c r="L274" s="9">
        <f ca="1">$F$102/$F$31</f>
        <v>0</v>
      </c>
      <c r="M274" s="9">
        <f ca="1">L274-T274</f>
        <v>0</v>
      </c>
      <c r="N274" s="9"/>
      <c r="O274" s="9"/>
      <c r="P274" s="9"/>
      <c r="Q274" s="9"/>
      <c r="R274" s="9"/>
      <c r="S274" s="9">
        <f ca="1">IF(OR($C274="Annual",$D274=$E274),IF(AND($D274=$E274,S$111=$B274+$D274),$L274,IF(AND(S$111&gt;$B274+$D274,S$111&lt;=$B274+$E274), $L274/($E274-$D274),0)), IF(OR(S$111=$B274+$D274,S$111=$B274+$E274),$L274/(($E274-$D274)*2),IF(AND(S$111&gt;$B274+$D274,S$111&lt;$B274+$E274),$L274/($E274-$D274),0)))</f>
        <v>0</v>
      </c>
      <c r="T274" s="9">
        <f>IF(OR($C274="Annual",$D274=$E274),IF(AND($D274=$E274,T$111=$B274+$D274),$L274,IF(AND(T$111&gt;$B274+$D274,T$111&lt;=$B274+$E274), $L274/($E274-$D274),0)), IF(OR(T$111=$B274+$D274,T$111=$B274+$E274),$L274/(($E274-$D274)*2),IF(AND(T$111&gt;$B274+$D274,T$111&lt;$B274+$E274),$L274/($E274-$D274),0)))</f>
        <v>0</v>
      </c>
      <c r="U274" s="9"/>
      <c r="V274" s="9"/>
      <c r="W274" s="9"/>
      <c r="X274" s="9"/>
      <c r="Y274" s="9"/>
      <c r="Z274" s="9">
        <f t="shared" si="78"/>
        <v>0</v>
      </c>
      <c r="AA274" s="9">
        <f t="shared" ca="1" si="78"/>
        <v>0</v>
      </c>
    </row>
    <row r="275" spans="1:27">
      <c r="A275" s="8" t="str">
        <f>A274</f>
        <v>Type 16</v>
      </c>
      <c r="B275" s="7">
        <f>B274+1</f>
        <v>2023</v>
      </c>
      <c r="C275" s="7" t="str">
        <f>C274</f>
        <v>Annual</v>
      </c>
      <c r="D275" s="7">
        <f t="shared" si="79"/>
        <v>0</v>
      </c>
      <c r="E275" s="7">
        <f t="shared" si="79"/>
        <v>0</v>
      </c>
      <c r="F275" s="14">
        <f>$Q$102</f>
        <v>0.18606977230199898</v>
      </c>
      <c r="H275" s="9"/>
      <c r="I275" s="9"/>
      <c r="J275" s="9"/>
      <c r="K275" s="9"/>
      <c r="L275" s="9"/>
      <c r="M275" s="9">
        <f ca="1">$G$102/$G$31</f>
        <v>0</v>
      </c>
      <c r="N275" s="9"/>
      <c r="O275" s="9"/>
      <c r="P275" s="9"/>
      <c r="Q275" s="9"/>
      <c r="R275" s="9"/>
      <c r="S275" s="9"/>
      <c r="T275" s="9">
        <f ca="1">IF(OR($C275="Annual",$D275=$E275),IF(AND($D275=$E275,T$111=$B275+$D275),$M275,IF(AND(T$111&gt;$B275+$D275,T$111&lt;=$B275+$E275), $M275/($E275-$D275),0)), IF(OR(T$111=$B275+$D275,T$111=$B275+$E275),$M275/(($E275-$D275)*2),IF(AND(T$111&gt;$B275+$D275,T$111&lt;$B275+$E275),$M275/($E275-$D275),0)))</f>
        <v>0</v>
      </c>
      <c r="U275" s="9"/>
      <c r="V275" s="9"/>
      <c r="W275" s="9"/>
      <c r="X275" s="9"/>
      <c r="Y275" s="9"/>
      <c r="Z275" s="9"/>
      <c r="AA275" s="9">
        <f t="shared" si="78"/>
        <v>0</v>
      </c>
    </row>
    <row r="276" spans="1:27">
      <c r="A276" s="8"/>
      <c r="B276" s="7"/>
      <c r="C276" s="7"/>
      <c r="D276" s="7"/>
      <c r="E276" s="7"/>
      <c r="F276" s="15"/>
      <c r="H276" s="9"/>
      <c r="I276" s="9"/>
      <c r="J276" s="9"/>
      <c r="K276" s="9"/>
      <c r="L276" s="9"/>
      <c r="M276" s="9"/>
      <c r="N276" s="9"/>
      <c r="O276" s="278"/>
      <c r="P276" s="10"/>
      <c r="Q276" s="10"/>
      <c r="R276" s="10"/>
      <c r="S276" s="10"/>
      <c r="T276" s="10"/>
      <c r="U276" s="9"/>
      <c r="V276" s="10"/>
      <c r="W276" s="10"/>
      <c r="X276" s="10"/>
      <c r="Y276" s="10"/>
      <c r="Z276" s="10"/>
      <c r="AA276" s="10"/>
    </row>
    <row r="277" spans="1:27">
      <c r="A277" s="8" t="str">
        <f>'Input 4 - Forecast'!A84</f>
        <v>Type 17</v>
      </c>
      <c r="B277" s="7">
        <f>B119</f>
        <v>2018</v>
      </c>
      <c r="C277" s="7" t="str">
        <f>$I103</f>
        <v>Annual</v>
      </c>
      <c r="D277" s="7">
        <f>$J103</f>
        <v>0</v>
      </c>
      <c r="E277" s="7">
        <f>$K103</f>
        <v>0</v>
      </c>
      <c r="F277" s="14">
        <f>$L$103</f>
        <v>0</v>
      </c>
      <c r="H277" s="9">
        <f>$B$103/$B$31</f>
        <v>0</v>
      </c>
      <c r="I277" s="9">
        <f>H277-P277</f>
        <v>0</v>
      </c>
      <c r="J277" s="9">
        <f>I277-Q277</f>
        <v>0</v>
      </c>
      <c r="K277" s="9">
        <f>J277-R277</f>
        <v>0</v>
      </c>
      <c r="L277" s="9">
        <f>K277-S277</f>
        <v>0</v>
      </c>
      <c r="M277" s="9">
        <f>L277-T277</f>
        <v>0</v>
      </c>
      <c r="N277" s="9"/>
      <c r="O277" s="9">
        <f t="shared" ref="O277:T277" si="80">IF(OR($C277="Annual",$D277=$E277),IF(AND($D277=$E277,O$111=$B277+$D277),$H277,IF(AND(O$111&gt;$B277+$D277,O$111&lt;=$B277+$E277), $H277/($E277-$D277),0)), IF(OR(O$111=$B277+$D277,O$111=$B277+$E277),$H277/(($E277-$D277)*2),IF(AND(O$111&gt;$B277+$D277,O$111&lt;$B277+$E277),$H277/($E277-$D277),0)))</f>
        <v>0</v>
      </c>
      <c r="P277" s="9">
        <f t="shared" si="80"/>
        <v>0</v>
      </c>
      <c r="Q277" s="9">
        <f t="shared" si="80"/>
        <v>0</v>
      </c>
      <c r="R277" s="9">
        <f t="shared" si="80"/>
        <v>0</v>
      </c>
      <c r="S277" s="9">
        <f t="shared" si="80"/>
        <v>0</v>
      </c>
      <c r="T277" s="9">
        <f t="shared" si="80"/>
        <v>0</v>
      </c>
      <c r="U277" s="9"/>
      <c r="V277" s="9">
        <f>IF($C277="annual",IF(V$111=$B277,0,G277*$F277),IF(V$111-$B277=0,0,IF((V$111-$B277)&lt;$E277,AVERAGE(G277,H277)*$F277,IF((V$111-$B277)=$E277,G277*$F277/2,0))))</f>
        <v>0</v>
      </c>
      <c r="W277" s="9">
        <f t="shared" ref="W277:AA282" si="81">IF($C277="annual",IF(W$111=$B277,0,H277*$F277),IF(W$111-$B277=0,0,IF((W$111-$B277)&lt;$E277,AVERAGE(H277,I277)*$F277,IF((W$111-$B277)=$E277,H277*$F277/2,0))))</f>
        <v>0</v>
      </c>
      <c r="X277" s="9">
        <f t="shared" si="81"/>
        <v>0</v>
      </c>
      <c r="Y277" s="9">
        <f t="shared" si="81"/>
        <v>0</v>
      </c>
      <c r="Z277" s="9">
        <f t="shared" si="81"/>
        <v>0</v>
      </c>
      <c r="AA277" s="9">
        <f t="shared" si="81"/>
        <v>0</v>
      </c>
    </row>
    <row r="278" spans="1:27">
      <c r="A278" s="8" t="str">
        <f>A277</f>
        <v>Type 17</v>
      </c>
      <c r="B278" s="7">
        <f>B277+1</f>
        <v>2019</v>
      </c>
      <c r="C278" s="7" t="str">
        <f>C277</f>
        <v>Annual</v>
      </c>
      <c r="D278" s="7">
        <f t="shared" ref="D278:E282" si="82">D277</f>
        <v>0</v>
      </c>
      <c r="E278" s="7">
        <f t="shared" si="82"/>
        <v>0</v>
      </c>
      <c r="F278" s="14">
        <f>$M$103</f>
        <v>0.18606977230199898</v>
      </c>
      <c r="H278" s="9"/>
      <c r="I278" s="9">
        <f ca="1">$C$103/$C$31</f>
        <v>0</v>
      </c>
      <c r="J278" s="9">
        <f ca="1">I278-Q278</f>
        <v>0</v>
      </c>
      <c r="K278" s="9">
        <f ca="1">J278-R278</f>
        <v>0</v>
      </c>
      <c r="L278" s="9">
        <f ca="1">K278-S278</f>
        <v>0</v>
      </c>
      <c r="M278" s="9">
        <f ca="1">L278-T278</f>
        <v>0</v>
      </c>
      <c r="N278" s="9"/>
      <c r="O278" s="9"/>
      <c r="P278" s="9">
        <f ca="1">IF(OR($C278="Annual",$D278=$E278),IF(AND($D278=$E278,P$111=$B278+$D278),$I278,IF(AND(P$111&gt;$B278+$D278,P$111&lt;=$B278+$E278), $I278/($E278-$D278),0)), IF(OR(P$111=$B278+$D278,P$111=$B278+$E278),$I278/(($E278-$D278)*2),IF(AND(P$111&gt;$B278+$D278,P$111&lt;$B278+$E278),$I278/($E278-$D278),0)))</f>
        <v>0</v>
      </c>
      <c r="Q278" s="9">
        <f>IF(OR($C278="Annual",$D278=$E278),IF(AND($D278=$E278,Q$111=$B278+$D278),$I278,IF(AND(Q$111&gt;$B278+$D278,Q$111&lt;=$B278+$E278), $I278/($E278-$D278),0)), IF(OR(Q$111=$B278+$D278,Q$111=$B278+$E278),$I278/(($E278-$D278)*2),IF(AND(Q$111&gt;$B278+$D278,Q$111&lt;$B278+$E278),$I278/($E278-$D278),0)))</f>
        <v>0</v>
      </c>
      <c r="R278" s="9">
        <f>IF(OR($C278="Annual",$D278=$E278),IF(AND($D278=$E278,R$111=$B278+$D278),$I278,IF(AND(R$111&gt;$B278+$D278,R$111&lt;=$B278+$E278), $I278/($E278-$D278),0)), IF(OR(R$111=$B278+$D278,R$111=$B278+$E278),$I278/(($E278-$D278)*2),IF(AND(R$111&gt;$B278+$D278,R$111&lt;$B278+$E278),$I278/($E278-$D278),0)))</f>
        <v>0</v>
      </c>
      <c r="S278" s="9">
        <f>IF(OR($C278="Annual",$D278=$E278),IF(AND($D278=$E278,S$111=$B278+$D278),$I278,IF(AND(S$111&gt;$B278+$D278,S$111&lt;=$B278+$E278), $I278/($E278-$D278),0)), IF(OR(S$111=$B278+$D278,S$111=$B278+$E278),$I278/(($E278-$D278)*2),IF(AND(S$111&gt;$B278+$D278,S$111&lt;$B278+$E278),$I278/($E278-$D278),0)))</f>
        <v>0</v>
      </c>
      <c r="T278" s="9">
        <f>IF(OR($C278="Annual",$D278=$E278),IF(AND($D278=$E278,T$111=$B278+$D278),$I278,IF(AND(T$111&gt;$B278+$D278,T$111&lt;=$B278+$E278), $I278/($E278-$D278),0)), IF(OR(T$111=$B278+$D278,T$111=$B278+$E278),$I278/(($E278-$D278)*2),IF(AND(T$111&gt;$B278+$D278,T$111&lt;$B278+$E278),$I278/($E278-$D278),0)))</f>
        <v>0</v>
      </c>
      <c r="U278" s="9"/>
      <c r="V278" s="9"/>
      <c r="W278" s="9">
        <f t="shared" si="81"/>
        <v>0</v>
      </c>
      <c r="X278" s="9">
        <f t="shared" ca="1" si="81"/>
        <v>0</v>
      </c>
      <c r="Y278" s="9">
        <f t="shared" ca="1" si="81"/>
        <v>0</v>
      </c>
      <c r="Z278" s="9">
        <f t="shared" ca="1" si="81"/>
        <v>0</v>
      </c>
      <c r="AA278" s="9">
        <f t="shared" ca="1" si="81"/>
        <v>0</v>
      </c>
    </row>
    <row r="279" spans="1:27">
      <c r="A279" s="8" t="str">
        <f>A278</f>
        <v>Type 17</v>
      </c>
      <c r="B279" s="7">
        <f>B278+1</f>
        <v>2020</v>
      </c>
      <c r="C279" s="7" t="str">
        <f>C278</f>
        <v>Annual</v>
      </c>
      <c r="D279" s="7">
        <f t="shared" si="82"/>
        <v>0</v>
      </c>
      <c r="E279" s="7">
        <f t="shared" si="82"/>
        <v>0</v>
      </c>
      <c r="F279" s="14">
        <f>$N$103</f>
        <v>0.18606977230199898</v>
      </c>
      <c r="H279" s="9"/>
      <c r="I279" s="9"/>
      <c r="J279" s="9">
        <f ca="1">$D$103/$D$31</f>
        <v>0</v>
      </c>
      <c r="K279" s="9">
        <f ca="1">J279-R279</f>
        <v>0</v>
      </c>
      <c r="L279" s="9">
        <f ca="1">K279-S279</f>
        <v>0</v>
      </c>
      <c r="M279" s="9">
        <f ca="1">L279-T279</f>
        <v>0</v>
      </c>
      <c r="N279" s="9"/>
      <c r="O279" s="9"/>
      <c r="P279" s="9"/>
      <c r="Q279" s="9">
        <f ca="1">IF(OR($C279="Annual",$D279=$E279),IF(AND($D279=$E279,Q$111=$B279+$D279),$J279,IF(AND(Q$111&gt;$B279+$D279,Q$111&lt;=$B279+$E279), $J279/($E279-$D279),0)), IF(OR(Q$111=$B279+$D279,Q$111=$B279+$E279),$J279/(($E279-$D279)*2),IF(AND(Q$111&gt;$B279+$D279,Q$111&lt;$B279+$E279),$J279/($E279-$D279),0)))</f>
        <v>0</v>
      </c>
      <c r="R279" s="9">
        <f>IF(OR($C279="Annual",$D279=$E279),IF(AND($D279=$E279,R$111=$B279+$D279),$J279,IF(AND(R$111&gt;$B279+$D279,R$111&lt;=$B279+$E279), $J279/($E279-$D279),0)), IF(OR(R$111=$B279+$D279,R$111=$B279+$E279),$J279/(($E279-$D279)*2),IF(AND(R$111&gt;$B279+$D279,R$111&lt;$B279+$E279),$J279/($E279-$D279),0)))</f>
        <v>0</v>
      </c>
      <c r="S279" s="9">
        <f>IF(OR($C279="Annual",$D279=$E279),IF(AND($D279=$E279,S$111=$B279+$D279),$J279,IF(AND(S$111&gt;$B279+$D279,S$111&lt;=$B279+$E279), $J279/($E279-$D279),0)), IF(OR(S$111=$B279+$D279,S$111=$B279+$E279),$J279/(($E279-$D279)*2),IF(AND(S$111&gt;$B279+$D279,S$111&lt;$B279+$E279),$J279/($E279-$D279),0)))</f>
        <v>0</v>
      </c>
      <c r="T279" s="9">
        <f>IF(OR($C279="Annual",$D279=$E279),IF(AND($D279=$E279,T$111=$B279+$D279),$J279,IF(AND(T$111&gt;$B279+$D279,T$111&lt;=$B279+$E279), $J279/($E279-$D279),0)), IF(OR(T$111=$B279+$D279,T$111=$B279+$E279),$J279/(($E279-$D279)*2),IF(AND(T$111&gt;$B279+$D279,T$111&lt;$B279+$E279),$J279/($E279-$D279),0)))</f>
        <v>0</v>
      </c>
      <c r="U279" s="9"/>
      <c r="V279" s="9"/>
      <c r="W279" s="9"/>
      <c r="X279" s="9">
        <f t="shared" si="81"/>
        <v>0</v>
      </c>
      <c r="Y279" s="9">
        <f t="shared" ca="1" si="81"/>
        <v>0</v>
      </c>
      <c r="Z279" s="9">
        <f t="shared" ca="1" si="81"/>
        <v>0</v>
      </c>
      <c r="AA279" s="9">
        <f t="shared" ca="1" si="81"/>
        <v>0</v>
      </c>
    </row>
    <row r="280" spans="1:27">
      <c r="A280" s="8" t="str">
        <f>A279</f>
        <v>Type 17</v>
      </c>
      <c r="B280" s="7">
        <f>B279+1</f>
        <v>2021</v>
      </c>
      <c r="C280" s="7" t="str">
        <f>C279</f>
        <v>Annual</v>
      </c>
      <c r="D280" s="7">
        <f t="shared" si="82"/>
        <v>0</v>
      </c>
      <c r="E280" s="7">
        <f t="shared" si="82"/>
        <v>0</v>
      </c>
      <c r="F280" s="14">
        <f>$O$103</f>
        <v>0.18606977230199898</v>
      </c>
      <c r="H280" s="9"/>
      <c r="I280" s="9"/>
      <c r="J280" s="9"/>
      <c r="K280" s="9">
        <f ca="1">$E$103/$E$31</f>
        <v>0</v>
      </c>
      <c r="L280" s="9">
        <f ca="1">K280-S280</f>
        <v>0</v>
      </c>
      <c r="M280" s="9">
        <f ca="1">L280-T280</f>
        <v>0</v>
      </c>
      <c r="N280" s="9"/>
      <c r="O280" s="9"/>
      <c r="P280" s="9"/>
      <c r="Q280" s="9"/>
      <c r="R280" s="9">
        <f ca="1">IF(OR($C280="Annual",$D280=$E280),IF(AND($D280=$E280,R$111=$B280+$D280),$K280,IF(AND(R$111&gt;$B280+$D280,R$111&lt;=$B280+$E280), $K280/($E280-$D280),0)), IF(OR(R$111=$B280+$D280,R$111=$B280+$E280),$K280/(($E280-$D280)*2),IF(AND(R$111&gt;$B280+$D280,R$111&lt;$B280+$E280),$K280/($E280-$D280),0)))</f>
        <v>0</v>
      </c>
      <c r="S280" s="9">
        <f>IF(OR($C280="Annual",$D280=$E280),IF(AND($D280=$E280,S$111=$B280+$D280),$K280,IF(AND(S$111&gt;$B280+$D280,S$111&lt;=$B280+$E280), $K280/($E280-$D280),0)), IF(OR(S$111=$B280+$D280,S$111=$B280+$E280),$K280/(($E280-$D280)*2),IF(AND(S$111&gt;$B280+$D280,S$111&lt;$B280+$E280),$K280/($E280-$D280),0)))</f>
        <v>0</v>
      </c>
      <c r="T280" s="9">
        <f>IF(OR($C280="Annual",$D280=$E280),IF(AND($D280=$E280,T$111=$B280+$D280),$K280,IF(AND(T$111&gt;$B280+$D280,T$111&lt;=$B280+$E280), $K280/($E280-$D280),0)), IF(OR(T$111=$B280+$D280,T$111=$B280+$E280),$K280/(($E280-$D280)*2),IF(AND(T$111&gt;$B280+$D280,T$111&lt;$B280+$E280),$K280/($E280-$D280),0)))</f>
        <v>0</v>
      </c>
      <c r="U280" s="9"/>
      <c r="V280" s="9"/>
      <c r="W280" s="9"/>
      <c r="X280" s="9"/>
      <c r="Y280" s="9">
        <f t="shared" si="81"/>
        <v>0</v>
      </c>
      <c r="Z280" s="9">
        <f t="shared" ca="1" si="81"/>
        <v>0</v>
      </c>
      <c r="AA280" s="9">
        <f t="shared" ca="1" si="81"/>
        <v>0</v>
      </c>
    </row>
    <row r="281" spans="1:27">
      <c r="A281" s="8" t="str">
        <f>A280</f>
        <v>Type 17</v>
      </c>
      <c r="B281" s="7">
        <f>B280+1</f>
        <v>2022</v>
      </c>
      <c r="C281" s="7" t="str">
        <f>C280</f>
        <v>Annual</v>
      </c>
      <c r="D281" s="7">
        <f t="shared" si="82"/>
        <v>0</v>
      </c>
      <c r="E281" s="7">
        <f t="shared" si="82"/>
        <v>0</v>
      </c>
      <c r="F281" s="14">
        <f>$P$103</f>
        <v>0.18606977230199898</v>
      </c>
      <c r="H281" s="9"/>
      <c r="I281" s="9"/>
      <c r="J281" s="9"/>
      <c r="K281" s="9"/>
      <c r="L281" s="9">
        <f ca="1">$F$103/$F$31</f>
        <v>0</v>
      </c>
      <c r="M281" s="9">
        <f ca="1">L281-T281</f>
        <v>0</v>
      </c>
      <c r="N281" s="9"/>
      <c r="O281" s="9"/>
      <c r="P281" s="9"/>
      <c r="Q281" s="9"/>
      <c r="R281" s="9"/>
      <c r="S281" s="9">
        <f ca="1">IF(OR($C281="Annual",$D281=$E281),IF(AND($D281=$E281,S$111=$B281+$D281),$L281,IF(AND(S$111&gt;$B281+$D281,S$111&lt;=$B281+$E281), $L281/($E281-$D281),0)), IF(OR(S$111=$B281+$D281,S$111=$B281+$E281),$L281/(($E281-$D281)*2),IF(AND(S$111&gt;$B281+$D281,S$111&lt;$B281+$E281),$L281/($E281-$D281),0)))</f>
        <v>0</v>
      </c>
      <c r="T281" s="9">
        <f>IF(OR($C281="Annual",$D281=$E281),IF(AND($D281=$E281,T$111=$B281+$D281),$L281,IF(AND(T$111&gt;$B281+$D281,T$111&lt;=$B281+$E281), $L281/($E281-$D281),0)), IF(OR(T$111=$B281+$D281,T$111=$B281+$E281),$L281/(($E281-$D281)*2),IF(AND(T$111&gt;$B281+$D281,T$111&lt;$B281+$E281),$L281/($E281-$D281),0)))</f>
        <v>0</v>
      </c>
      <c r="U281" s="9"/>
      <c r="V281" s="9"/>
      <c r="W281" s="9"/>
      <c r="X281" s="9"/>
      <c r="Y281" s="9"/>
      <c r="Z281" s="9">
        <f t="shared" si="81"/>
        <v>0</v>
      </c>
      <c r="AA281" s="9">
        <f t="shared" ca="1" si="81"/>
        <v>0</v>
      </c>
    </row>
    <row r="282" spans="1:27">
      <c r="A282" s="8" t="str">
        <f>A281</f>
        <v>Type 17</v>
      </c>
      <c r="B282" s="7">
        <f>B281+1</f>
        <v>2023</v>
      </c>
      <c r="C282" s="7" t="str">
        <f>C281</f>
        <v>Annual</v>
      </c>
      <c r="D282" s="7">
        <f t="shared" si="82"/>
        <v>0</v>
      </c>
      <c r="E282" s="7">
        <f t="shared" si="82"/>
        <v>0</v>
      </c>
      <c r="F282" s="14">
        <f>$Q$103</f>
        <v>0.18606977230199898</v>
      </c>
      <c r="H282" s="9"/>
      <c r="I282" s="9"/>
      <c r="J282" s="9"/>
      <c r="K282" s="9"/>
      <c r="L282" s="9"/>
      <c r="M282" s="9">
        <f ca="1">$G$103/$G$31</f>
        <v>0</v>
      </c>
      <c r="N282" s="9"/>
      <c r="O282" s="9"/>
      <c r="P282" s="9"/>
      <c r="Q282" s="9"/>
      <c r="R282" s="9"/>
      <c r="S282" s="9"/>
      <c r="T282" s="9">
        <f ca="1">IF(OR($C282="Annual",$D282=$E282),IF(AND($D282=$E282,T$111=$B282+$D282),$M282,IF(AND(T$111&gt;$B282+$D282,T$111&lt;=$B282+$E282), $M282/($E282-$D282),0)), IF(OR(T$111=$B282+$D282,T$111=$B282+$E282),$M282/(($E282-$D282)*2),IF(AND(T$111&gt;$B282+$D282,T$111&lt;$B282+$E282),$M282/($E282-$D282),0)))</f>
        <v>0</v>
      </c>
      <c r="U282" s="9"/>
      <c r="V282" s="9"/>
      <c r="W282" s="9"/>
      <c r="X282" s="9"/>
      <c r="Y282" s="9"/>
      <c r="Z282" s="9"/>
      <c r="AA282" s="9">
        <f t="shared" si="81"/>
        <v>0</v>
      </c>
    </row>
    <row r="283" spans="1:27">
      <c r="A283" s="8"/>
      <c r="B283" s="7"/>
      <c r="C283" s="7"/>
      <c r="D283" s="7"/>
      <c r="E283" s="7"/>
      <c r="F283" s="15"/>
      <c r="H283" s="9"/>
      <c r="I283" s="9"/>
      <c r="J283" s="9"/>
      <c r="K283" s="9"/>
      <c r="L283" s="9"/>
      <c r="M283" s="9"/>
      <c r="N283" s="9"/>
      <c r="O283" s="278"/>
      <c r="P283" s="10"/>
      <c r="Q283" s="10"/>
      <c r="R283" s="10"/>
      <c r="S283" s="10"/>
      <c r="T283" s="10"/>
      <c r="U283" s="9"/>
      <c r="V283" s="10"/>
      <c r="W283" s="10"/>
      <c r="X283" s="10"/>
      <c r="Y283" s="10"/>
      <c r="Z283" s="10"/>
      <c r="AA283" s="10"/>
    </row>
    <row r="284" spans="1:27">
      <c r="A284" s="8" t="str">
        <f>'Input 4 - Forecast'!A85</f>
        <v>Type 18</v>
      </c>
      <c r="B284" s="7">
        <f>B119</f>
        <v>2018</v>
      </c>
      <c r="C284" s="7" t="str">
        <f>$I104</f>
        <v>Annual</v>
      </c>
      <c r="D284" s="7">
        <f>$J104</f>
        <v>0</v>
      </c>
      <c r="E284" s="7">
        <f>$K104</f>
        <v>0</v>
      </c>
      <c r="F284" s="14">
        <f>$L$104</f>
        <v>0</v>
      </c>
      <c r="H284" s="9">
        <f>$B$104/$B$31</f>
        <v>0</v>
      </c>
      <c r="I284" s="9">
        <f>H284-P284</f>
        <v>0</v>
      </c>
      <c r="J284" s="9">
        <f>I284-Q284</f>
        <v>0</v>
      </c>
      <c r="K284" s="9">
        <f>J284-R284</f>
        <v>0</v>
      </c>
      <c r="L284" s="9">
        <f>K284-S284</f>
        <v>0</v>
      </c>
      <c r="M284" s="9">
        <f>L284-T284</f>
        <v>0</v>
      </c>
      <c r="N284" s="9"/>
      <c r="O284" s="9">
        <f t="shared" ref="O284:T284" si="83">IF(OR($C284="Annual",$D284=$E284),IF(AND($D284=$E284,O$111=$B284+$D284),$H284,IF(AND(O$111&gt;$B284+$D284,O$111&lt;=$B284+$E284), $H284/($E284-$D284),0)), IF(OR(O$111=$B284+$D284,O$111=$B284+$E284),$H284/(($E284-$D284)*2),IF(AND(O$111&gt;$B284+$D284,O$111&lt;$B284+$E284),$H284/($E284-$D284),0)))</f>
        <v>0</v>
      </c>
      <c r="P284" s="9">
        <f t="shared" si="83"/>
        <v>0</v>
      </c>
      <c r="Q284" s="9">
        <f t="shared" si="83"/>
        <v>0</v>
      </c>
      <c r="R284" s="9">
        <f t="shared" si="83"/>
        <v>0</v>
      </c>
      <c r="S284" s="9">
        <f t="shared" si="83"/>
        <v>0</v>
      </c>
      <c r="T284" s="9">
        <f t="shared" si="83"/>
        <v>0</v>
      </c>
      <c r="U284" s="9"/>
      <c r="V284" s="9">
        <f>IF($C284="annual",IF(V$111=$B284,0,G284*$F284),IF(V$111-$B284=0,0,IF((V$111-$B284)&lt;$E284,AVERAGE(G284,H284)*$F284,IF((V$111-$B284)=$E284,G284*$F284/2,0))))</f>
        <v>0</v>
      </c>
      <c r="W284" s="9">
        <f t="shared" ref="W284:AA289" si="84">IF($C284="annual",IF(W$111=$B284,0,H284*$F284),IF(W$111-$B284=0,0,IF((W$111-$B284)&lt;$E284,AVERAGE(H284,I284)*$F284,IF((W$111-$B284)=$E284,H284*$F284/2,0))))</f>
        <v>0</v>
      </c>
      <c r="X284" s="9">
        <f t="shared" si="84"/>
        <v>0</v>
      </c>
      <c r="Y284" s="9">
        <f t="shared" si="84"/>
        <v>0</v>
      </c>
      <c r="Z284" s="9">
        <f t="shared" si="84"/>
        <v>0</v>
      </c>
      <c r="AA284" s="9">
        <f t="shared" si="84"/>
        <v>0</v>
      </c>
    </row>
    <row r="285" spans="1:27">
      <c r="A285" s="8" t="str">
        <f>A284</f>
        <v>Type 18</v>
      </c>
      <c r="B285" s="7">
        <f>B284+1</f>
        <v>2019</v>
      </c>
      <c r="C285" s="7" t="str">
        <f>C284</f>
        <v>Annual</v>
      </c>
      <c r="D285" s="7">
        <f t="shared" ref="D285:E289" si="85">D284</f>
        <v>0</v>
      </c>
      <c r="E285" s="7">
        <f t="shared" si="85"/>
        <v>0</v>
      </c>
      <c r="F285" s="14">
        <f>$M$104</f>
        <v>0.18606977230199898</v>
      </c>
      <c r="H285" s="9"/>
      <c r="I285" s="9">
        <f ca="1">$C$104/$C$31</f>
        <v>0</v>
      </c>
      <c r="J285" s="9">
        <f ca="1">I285-Q285</f>
        <v>0</v>
      </c>
      <c r="K285" s="9">
        <f ca="1">J285-R285</f>
        <v>0</v>
      </c>
      <c r="L285" s="9">
        <f ca="1">K285-S285</f>
        <v>0</v>
      </c>
      <c r="M285" s="9">
        <f ca="1">L285-T285</f>
        <v>0</v>
      </c>
      <c r="N285" s="9"/>
      <c r="O285" s="9"/>
      <c r="P285" s="9">
        <f ca="1">IF(OR($C285="Annual",$D285=$E285),IF(AND($D285=$E285,P$111=$B285+$D285),$I285,IF(AND(P$111&gt;$B285+$D285,P$111&lt;=$B285+$E285), $I285/($E285-$D285),0)), IF(OR(P$111=$B285+$D285,P$111=$B285+$E285),$I285/(($E285-$D285)*2),IF(AND(P$111&gt;$B285+$D285,P$111&lt;$B285+$E285),$I285/($E285-$D285),0)))</f>
        <v>0</v>
      </c>
      <c r="Q285" s="9">
        <f>IF(OR($C285="Annual",$D285=$E285),IF(AND($D285=$E285,Q$111=$B285+$D285),$I285,IF(AND(Q$111&gt;$B285+$D285,Q$111&lt;=$B285+$E285), $I285/($E285-$D285),0)), IF(OR(Q$111=$B285+$D285,Q$111=$B285+$E285),$I285/(($E285-$D285)*2),IF(AND(Q$111&gt;$B285+$D285,Q$111&lt;$B285+$E285),$I285/($E285-$D285),0)))</f>
        <v>0</v>
      </c>
      <c r="R285" s="9">
        <f>IF(OR($C285="Annual",$D285=$E285),IF(AND($D285=$E285,R$111=$B285+$D285),$I285,IF(AND(R$111&gt;$B285+$D285,R$111&lt;=$B285+$E285), $I285/($E285-$D285),0)), IF(OR(R$111=$B285+$D285,R$111=$B285+$E285),$I285/(($E285-$D285)*2),IF(AND(R$111&gt;$B285+$D285,R$111&lt;$B285+$E285),$I285/($E285-$D285),0)))</f>
        <v>0</v>
      </c>
      <c r="S285" s="9">
        <f>IF(OR($C285="Annual",$D285=$E285),IF(AND($D285=$E285,S$111=$B285+$D285),$I285,IF(AND(S$111&gt;$B285+$D285,S$111&lt;=$B285+$E285), $I285/($E285-$D285),0)), IF(OR(S$111=$B285+$D285,S$111=$B285+$E285),$I285/(($E285-$D285)*2),IF(AND(S$111&gt;$B285+$D285,S$111&lt;$B285+$E285),$I285/($E285-$D285),0)))</f>
        <v>0</v>
      </c>
      <c r="T285" s="9">
        <f>IF(OR($C285="Annual",$D285=$E285),IF(AND($D285=$E285,T$111=$B285+$D285),$I285,IF(AND(T$111&gt;$B285+$D285,T$111&lt;=$B285+$E285), $I285/($E285-$D285),0)), IF(OR(T$111=$B285+$D285,T$111=$B285+$E285),$I285/(($E285-$D285)*2),IF(AND(T$111&gt;$B285+$D285,T$111&lt;$B285+$E285),$I285/($E285-$D285),0)))</f>
        <v>0</v>
      </c>
      <c r="U285" s="9"/>
      <c r="V285" s="9"/>
      <c r="W285" s="9">
        <f t="shared" si="84"/>
        <v>0</v>
      </c>
      <c r="X285" s="9">
        <f t="shared" ca="1" si="84"/>
        <v>0</v>
      </c>
      <c r="Y285" s="9">
        <f t="shared" ca="1" si="84"/>
        <v>0</v>
      </c>
      <c r="Z285" s="9">
        <f t="shared" ca="1" si="84"/>
        <v>0</v>
      </c>
      <c r="AA285" s="9">
        <f t="shared" ca="1" si="84"/>
        <v>0</v>
      </c>
    </row>
    <row r="286" spans="1:27">
      <c r="A286" s="8" t="str">
        <f>A285</f>
        <v>Type 18</v>
      </c>
      <c r="B286" s="7">
        <f>B285+1</f>
        <v>2020</v>
      </c>
      <c r="C286" s="7" t="str">
        <f>C285</f>
        <v>Annual</v>
      </c>
      <c r="D286" s="7">
        <f t="shared" si="85"/>
        <v>0</v>
      </c>
      <c r="E286" s="7">
        <f t="shared" si="85"/>
        <v>0</v>
      </c>
      <c r="F286" s="14">
        <f>$N$104</f>
        <v>0.18606977230199898</v>
      </c>
      <c r="H286" s="9"/>
      <c r="I286" s="9"/>
      <c r="J286" s="9">
        <f ca="1">$D$104/$D$31</f>
        <v>0</v>
      </c>
      <c r="K286" s="9">
        <f ca="1">J286-R286</f>
        <v>0</v>
      </c>
      <c r="L286" s="9">
        <f ca="1">K286-S286</f>
        <v>0</v>
      </c>
      <c r="M286" s="9">
        <f ca="1">L286-T286</f>
        <v>0</v>
      </c>
      <c r="N286" s="9"/>
      <c r="O286" s="9"/>
      <c r="P286" s="9"/>
      <c r="Q286" s="9">
        <f ca="1">IF(OR($C286="Annual",$D286=$E286),IF(AND($D286=$E286,Q$111=$B286+$D286),$J286,IF(AND(Q$111&gt;$B286+$D286,Q$111&lt;=$B286+$E286), $J286/($E286-$D286),0)), IF(OR(Q$111=$B286+$D286,Q$111=$B286+$E286),$J286/(($E286-$D286)*2),IF(AND(Q$111&gt;$B286+$D286,Q$111&lt;$B286+$E286),$J286/($E286-$D286),0)))</f>
        <v>0</v>
      </c>
      <c r="R286" s="9">
        <f>IF(OR($C286="Annual",$D286=$E286),IF(AND($D286=$E286,R$111=$B286+$D286),$J286,IF(AND(R$111&gt;$B286+$D286,R$111&lt;=$B286+$E286), $J286/($E286-$D286),0)), IF(OR(R$111=$B286+$D286,R$111=$B286+$E286),$J286/(($E286-$D286)*2),IF(AND(R$111&gt;$B286+$D286,R$111&lt;$B286+$E286),$J286/($E286-$D286),0)))</f>
        <v>0</v>
      </c>
      <c r="S286" s="9">
        <f>IF(OR($C286="Annual",$D286=$E286),IF(AND($D286=$E286,S$111=$B286+$D286),$J286,IF(AND(S$111&gt;$B286+$D286,S$111&lt;=$B286+$E286), $J286/($E286-$D286),0)), IF(OR(S$111=$B286+$D286,S$111=$B286+$E286),$J286/(($E286-$D286)*2),IF(AND(S$111&gt;$B286+$D286,S$111&lt;$B286+$E286),$J286/($E286-$D286),0)))</f>
        <v>0</v>
      </c>
      <c r="T286" s="9">
        <f>IF(OR($C286="Annual",$D286=$E286),IF(AND($D286=$E286,T$111=$B286+$D286),$J286,IF(AND(T$111&gt;$B286+$D286,T$111&lt;=$B286+$E286), $J286/($E286-$D286),0)), IF(OR(T$111=$B286+$D286,T$111=$B286+$E286),$J286/(($E286-$D286)*2),IF(AND(T$111&gt;$B286+$D286,T$111&lt;$B286+$E286),$J286/($E286-$D286),0)))</f>
        <v>0</v>
      </c>
      <c r="U286" s="9"/>
      <c r="V286" s="9"/>
      <c r="W286" s="9"/>
      <c r="X286" s="9">
        <f t="shared" si="84"/>
        <v>0</v>
      </c>
      <c r="Y286" s="9">
        <f t="shared" ca="1" si="84"/>
        <v>0</v>
      </c>
      <c r="Z286" s="9">
        <f t="shared" ca="1" si="84"/>
        <v>0</v>
      </c>
      <c r="AA286" s="9">
        <f t="shared" ca="1" si="84"/>
        <v>0</v>
      </c>
    </row>
    <row r="287" spans="1:27">
      <c r="A287" s="8" t="str">
        <f>A286</f>
        <v>Type 18</v>
      </c>
      <c r="B287" s="7">
        <f>B286+1</f>
        <v>2021</v>
      </c>
      <c r="C287" s="7" t="str">
        <f>C286</f>
        <v>Annual</v>
      </c>
      <c r="D287" s="7">
        <f t="shared" si="85"/>
        <v>0</v>
      </c>
      <c r="E287" s="7">
        <f t="shared" si="85"/>
        <v>0</v>
      </c>
      <c r="F287" s="14">
        <f>$O$104</f>
        <v>0.18606977230199898</v>
      </c>
      <c r="H287" s="9"/>
      <c r="I287" s="9"/>
      <c r="J287" s="9"/>
      <c r="K287" s="9">
        <f ca="1">$E$104/$E$31</f>
        <v>0</v>
      </c>
      <c r="L287" s="9">
        <f ca="1">K287-S287</f>
        <v>0</v>
      </c>
      <c r="M287" s="9">
        <f ca="1">L287-T287</f>
        <v>0</v>
      </c>
      <c r="N287" s="9"/>
      <c r="O287" s="9"/>
      <c r="P287" s="9"/>
      <c r="Q287" s="9"/>
      <c r="R287" s="9">
        <f ca="1">IF(OR($C287="Annual",$D287=$E287),IF(AND($D287=$E287,R$111=$B287+$D287),$K287,IF(AND(R$111&gt;$B287+$D287,R$111&lt;=$B287+$E287), $K287/($E287-$D287),0)), IF(OR(R$111=$B287+$D287,R$111=$B287+$E287),$K287/(($E287-$D287)*2),IF(AND(R$111&gt;$B287+$D287,R$111&lt;$B287+$E287),$K287/($E287-$D287),0)))</f>
        <v>0</v>
      </c>
      <c r="S287" s="9">
        <f>IF(OR($C287="Annual",$D287=$E287),IF(AND($D287=$E287,S$111=$B287+$D287),$K287,IF(AND(S$111&gt;$B287+$D287,S$111&lt;=$B287+$E287), $K287/($E287-$D287),0)), IF(OR(S$111=$B287+$D287,S$111=$B287+$E287),$K287/(($E287-$D287)*2),IF(AND(S$111&gt;$B287+$D287,S$111&lt;$B287+$E287),$K287/($E287-$D287),0)))</f>
        <v>0</v>
      </c>
      <c r="T287" s="9">
        <f>IF(OR($C287="Annual",$D287=$E287),IF(AND($D287=$E287,T$111=$B287+$D287),$K287,IF(AND(T$111&gt;$B287+$D287,T$111&lt;=$B287+$E287), $K287/($E287-$D287),0)), IF(OR(T$111=$B287+$D287,T$111=$B287+$E287),$K287/(($E287-$D287)*2),IF(AND(T$111&gt;$B287+$D287,T$111&lt;$B287+$E287),$K287/($E287-$D287),0)))</f>
        <v>0</v>
      </c>
      <c r="U287" s="9"/>
      <c r="V287" s="9"/>
      <c r="W287" s="9"/>
      <c r="X287" s="9"/>
      <c r="Y287" s="9">
        <f t="shared" si="84"/>
        <v>0</v>
      </c>
      <c r="Z287" s="9">
        <f t="shared" ca="1" si="84"/>
        <v>0</v>
      </c>
      <c r="AA287" s="9">
        <f t="shared" ca="1" si="84"/>
        <v>0</v>
      </c>
    </row>
    <row r="288" spans="1:27">
      <c r="A288" s="8" t="str">
        <f>A287</f>
        <v>Type 18</v>
      </c>
      <c r="B288" s="7">
        <f>B287+1</f>
        <v>2022</v>
      </c>
      <c r="C288" s="7" t="str">
        <f>C287</f>
        <v>Annual</v>
      </c>
      <c r="D288" s="7">
        <f t="shared" si="85"/>
        <v>0</v>
      </c>
      <c r="E288" s="7">
        <f t="shared" si="85"/>
        <v>0</v>
      </c>
      <c r="F288" s="14">
        <f>$P$104</f>
        <v>0.18606977230199898</v>
      </c>
      <c r="H288" s="9"/>
      <c r="I288" s="9"/>
      <c r="J288" s="9"/>
      <c r="K288" s="9"/>
      <c r="L288" s="9">
        <f ca="1">$F$104/$F$31</f>
        <v>0</v>
      </c>
      <c r="M288" s="9">
        <f ca="1">L288-T288</f>
        <v>0</v>
      </c>
      <c r="N288" s="9"/>
      <c r="O288" s="9"/>
      <c r="P288" s="9"/>
      <c r="Q288" s="9"/>
      <c r="R288" s="9"/>
      <c r="S288" s="9">
        <f ca="1">IF(OR($C288="Annual",$D288=$E288),IF(AND($D288=$E288,S$111=$B288+$D288),$L288,IF(AND(S$111&gt;$B288+$D288,S$111&lt;=$B288+$E288), $L288/($E288-$D288),0)), IF(OR(S$111=$B288+$D288,S$111=$B288+$E288),$L288/(($E288-$D288)*2),IF(AND(S$111&gt;$B288+$D288,S$111&lt;$B288+$E288),$L288/($E288-$D288),0)))</f>
        <v>0</v>
      </c>
      <c r="T288" s="9">
        <f>IF(OR($C288="Annual",$D288=$E288),IF(AND($D288=$E288,T$111=$B288+$D288),$L288,IF(AND(T$111&gt;$B288+$D288,T$111&lt;=$B288+$E288), $L288/($E288-$D288),0)), IF(OR(T$111=$B288+$D288,T$111=$B288+$E288),$L288/(($E288-$D288)*2),IF(AND(T$111&gt;$B288+$D288,T$111&lt;$B288+$E288),$L288/($E288-$D288),0)))</f>
        <v>0</v>
      </c>
      <c r="U288" s="9"/>
      <c r="V288" s="9"/>
      <c r="W288" s="9"/>
      <c r="X288" s="9"/>
      <c r="Y288" s="9"/>
      <c r="Z288" s="9">
        <f t="shared" si="84"/>
        <v>0</v>
      </c>
      <c r="AA288" s="9">
        <f t="shared" ca="1" si="84"/>
        <v>0</v>
      </c>
    </row>
    <row r="289" spans="1:27">
      <c r="A289" s="8" t="str">
        <f>A288</f>
        <v>Type 18</v>
      </c>
      <c r="B289" s="7">
        <f>B288+1</f>
        <v>2023</v>
      </c>
      <c r="C289" s="7" t="str">
        <f>C288</f>
        <v>Annual</v>
      </c>
      <c r="D289" s="7">
        <f t="shared" si="85"/>
        <v>0</v>
      </c>
      <c r="E289" s="7">
        <f t="shared" si="85"/>
        <v>0</v>
      </c>
      <c r="F289" s="14">
        <f>$Q$104</f>
        <v>0.18606977230199898</v>
      </c>
      <c r="H289" s="9"/>
      <c r="I289" s="9"/>
      <c r="J289" s="9"/>
      <c r="K289" s="9"/>
      <c r="L289" s="9"/>
      <c r="M289" s="9">
        <f ca="1">$G$104/$G$31</f>
        <v>0</v>
      </c>
      <c r="N289" s="9"/>
      <c r="O289" s="9"/>
      <c r="P289" s="9"/>
      <c r="Q289" s="9"/>
      <c r="R289" s="9"/>
      <c r="S289" s="9"/>
      <c r="T289" s="9">
        <f ca="1">IF(OR($C289="Annual",$D289=$E289),IF(AND($D289=$E289,T$111=$B289+$D289),$M289,IF(AND(T$111&gt;$B289+$D289,T$111&lt;=$B289+$E289), $M289/($E289-$D289),0)), IF(OR(T$111=$B289+$D289,T$111=$B289+$E289),$M289/(($E289-$D289)*2),IF(AND(T$111&gt;$B289+$D289,T$111&lt;$B289+$E289),$M289/($E289-$D289),0)))</f>
        <v>0</v>
      </c>
      <c r="U289" s="9"/>
      <c r="V289" s="9"/>
      <c r="W289" s="9"/>
      <c r="X289" s="9"/>
      <c r="Y289" s="9"/>
      <c r="Z289" s="9"/>
      <c r="AA289" s="9">
        <f t="shared" si="84"/>
        <v>0</v>
      </c>
    </row>
    <row r="290" spans="1:27">
      <c r="A290" s="8"/>
      <c r="B290" s="7"/>
      <c r="C290" s="7"/>
      <c r="D290" s="7"/>
      <c r="E290" s="7"/>
      <c r="F290" s="15"/>
      <c r="H290" s="9"/>
      <c r="I290" s="9"/>
      <c r="J290" s="9"/>
      <c r="K290" s="9"/>
      <c r="L290" s="9"/>
      <c r="M290" s="9"/>
      <c r="N290" s="9"/>
      <c r="O290" s="278"/>
      <c r="P290" s="10"/>
      <c r="Q290" s="10"/>
      <c r="R290" s="10"/>
      <c r="S290" s="10"/>
      <c r="T290" s="10"/>
      <c r="U290" s="9"/>
      <c r="V290" s="10"/>
      <c r="W290" s="10"/>
      <c r="X290" s="10"/>
      <c r="Y290" s="10"/>
      <c r="Z290" s="10"/>
      <c r="AA290" s="10"/>
    </row>
    <row r="291" spans="1:27">
      <c r="A291" s="8" t="str">
        <f>'Input 4 - Forecast'!A86</f>
        <v>Type 19</v>
      </c>
      <c r="B291" s="7">
        <f>B119</f>
        <v>2018</v>
      </c>
      <c r="C291" s="7" t="str">
        <f>$I105</f>
        <v>Annual</v>
      </c>
      <c r="D291" s="7">
        <f>$J105</f>
        <v>0</v>
      </c>
      <c r="E291" s="7">
        <f>$K105</f>
        <v>0</v>
      </c>
      <c r="F291" s="14">
        <f>$L$105</f>
        <v>0</v>
      </c>
      <c r="H291" s="9">
        <f>$B$105/$B$31</f>
        <v>0</v>
      </c>
      <c r="I291" s="9">
        <f>H291-P291</f>
        <v>0</v>
      </c>
      <c r="J291" s="9">
        <f>I291-Q291</f>
        <v>0</v>
      </c>
      <c r="K291" s="9">
        <f>J291-R291</f>
        <v>0</v>
      </c>
      <c r="L291" s="9">
        <f>K291-S291</f>
        <v>0</v>
      </c>
      <c r="M291" s="9">
        <f>L291-T291</f>
        <v>0</v>
      </c>
      <c r="N291" s="9"/>
      <c r="O291" s="9">
        <f t="shared" ref="O291:T291" si="86">IF(OR($C291="Annual",$D291=$E291),IF(AND($D291=$E291,O$111=$B291+$D291),$H291,IF(AND(O$111&gt;$B291+$D291,O$111&lt;=$B291+$E291), $H291/($E291-$D291),0)), IF(OR(O$111=$B291+$D291,O$111=$B291+$E291),$H291/(($E291-$D291)*2),IF(AND(O$111&gt;$B291+$D291,O$111&lt;$B291+$E291),$H291/($E291-$D291),0)))</f>
        <v>0</v>
      </c>
      <c r="P291" s="9">
        <f t="shared" si="86"/>
        <v>0</v>
      </c>
      <c r="Q291" s="9">
        <f t="shared" si="86"/>
        <v>0</v>
      </c>
      <c r="R291" s="9">
        <f t="shared" si="86"/>
        <v>0</v>
      </c>
      <c r="S291" s="9">
        <f t="shared" si="86"/>
        <v>0</v>
      </c>
      <c r="T291" s="9">
        <f t="shared" si="86"/>
        <v>0</v>
      </c>
      <c r="U291" s="9"/>
      <c r="V291" s="9">
        <f>IF($C291="annual",IF(V$111=$B291,0,G291*$F291),IF(V$111-$B291=0,0,IF((V$111-$B291)&lt;$E291,AVERAGE(G291,H291)*$F291,IF((V$111-$B291)=$E291,G291*$F291/2,0))))</f>
        <v>0</v>
      </c>
      <c r="W291" s="9">
        <f t="shared" ref="W291:AA296" si="87">IF($C291="annual",IF(W$111=$B291,0,H291*$F291),IF(W$111-$B291=0,0,IF((W$111-$B291)&lt;$E291,AVERAGE(H291,I291)*$F291,IF((W$111-$B291)=$E291,H291*$F291/2,0))))</f>
        <v>0</v>
      </c>
      <c r="X291" s="9">
        <f t="shared" si="87"/>
        <v>0</v>
      </c>
      <c r="Y291" s="9">
        <f t="shared" si="87"/>
        <v>0</v>
      </c>
      <c r="Z291" s="9">
        <f t="shared" si="87"/>
        <v>0</v>
      </c>
      <c r="AA291" s="9">
        <f t="shared" si="87"/>
        <v>0</v>
      </c>
    </row>
    <row r="292" spans="1:27">
      <c r="A292" s="8" t="str">
        <f>A291</f>
        <v>Type 19</v>
      </c>
      <c r="B292" s="7">
        <f>B291+1</f>
        <v>2019</v>
      </c>
      <c r="C292" s="7" t="str">
        <f>C291</f>
        <v>Annual</v>
      </c>
      <c r="D292" s="7">
        <f t="shared" ref="D292:E296" si="88">D291</f>
        <v>0</v>
      </c>
      <c r="E292" s="7">
        <f t="shared" si="88"/>
        <v>0</v>
      </c>
      <c r="F292" s="14">
        <f>$M$105</f>
        <v>0.18606977230199898</v>
      </c>
      <c r="H292" s="9"/>
      <c r="I292" s="9">
        <f ca="1">$C$105/$C$31</f>
        <v>0</v>
      </c>
      <c r="J292" s="9">
        <f ca="1">I292-Q292</f>
        <v>0</v>
      </c>
      <c r="K292" s="9">
        <f ca="1">J292-R292</f>
        <v>0</v>
      </c>
      <c r="L292" s="9">
        <f ca="1">K292-S292</f>
        <v>0</v>
      </c>
      <c r="M292" s="9">
        <f ca="1">L292-T292</f>
        <v>0</v>
      </c>
      <c r="N292" s="9"/>
      <c r="O292" s="9"/>
      <c r="P292" s="9">
        <f ca="1">IF(OR($C292="Annual",$D292=$E292),IF(AND($D292=$E292,P$111=$B292+$D292),$I292,IF(AND(P$111&gt;$B292+$D292,P$111&lt;=$B292+$E292), $I292/($E292-$D292),0)), IF(OR(P$111=$B292+$D292,P$111=$B292+$E292),$I292/(($E292-$D292)*2),IF(AND(P$111&gt;$B292+$D292,P$111&lt;$B292+$E292),$I292/($E292-$D292),0)))</f>
        <v>0</v>
      </c>
      <c r="Q292" s="9">
        <f>IF(OR($C292="Annual",$D292=$E292),IF(AND($D292=$E292,Q$111=$B292+$D292),$I292,IF(AND(Q$111&gt;$B292+$D292,Q$111&lt;=$B292+$E292), $I292/($E292-$D292),0)), IF(OR(Q$111=$B292+$D292,Q$111=$B292+$E292),$I292/(($E292-$D292)*2),IF(AND(Q$111&gt;$B292+$D292,Q$111&lt;$B292+$E292),$I292/($E292-$D292),0)))</f>
        <v>0</v>
      </c>
      <c r="R292" s="9">
        <f>IF(OR($C292="Annual",$D292=$E292),IF(AND($D292=$E292,R$111=$B292+$D292),$I292,IF(AND(R$111&gt;$B292+$D292,R$111&lt;=$B292+$E292), $I292/($E292-$D292),0)), IF(OR(R$111=$B292+$D292,R$111=$B292+$E292),$I292/(($E292-$D292)*2),IF(AND(R$111&gt;$B292+$D292,R$111&lt;$B292+$E292),$I292/($E292-$D292),0)))</f>
        <v>0</v>
      </c>
      <c r="S292" s="9">
        <f>IF(OR($C292="Annual",$D292=$E292),IF(AND($D292=$E292,S$111=$B292+$D292),$I292,IF(AND(S$111&gt;$B292+$D292,S$111&lt;=$B292+$E292), $I292/($E292-$D292),0)), IF(OR(S$111=$B292+$D292,S$111=$B292+$E292),$I292/(($E292-$D292)*2),IF(AND(S$111&gt;$B292+$D292,S$111&lt;$B292+$E292),$I292/($E292-$D292),0)))</f>
        <v>0</v>
      </c>
      <c r="T292" s="9">
        <f>IF(OR($C292="Annual",$D292=$E292),IF(AND($D292=$E292,T$111=$B292+$D292),$I292,IF(AND(T$111&gt;$B292+$D292,T$111&lt;=$B292+$E292), $I292/($E292-$D292),0)), IF(OR(T$111=$B292+$D292,T$111=$B292+$E292),$I292/(($E292-$D292)*2),IF(AND(T$111&gt;$B292+$D292,T$111&lt;$B292+$E292),$I292/($E292-$D292),0)))</f>
        <v>0</v>
      </c>
      <c r="U292" s="9"/>
      <c r="V292" s="9"/>
      <c r="W292" s="9">
        <f t="shared" si="87"/>
        <v>0</v>
      </c>
      <c r="X292" s="9">
        <f t="shared" ca="1" si="87"/>
        <v>0</v>
      </c>
      <c r="Y292" s="9">
        <f t="shared" ca="1" si="87"/>
        <v>0</v>
      </c>
      <c r="Z292" s="9">
        <f t="shared" ca="1" si="87"/>
        <v>0</v>
      </c>
      <c r="AA292" s="9">
        <f t="shared" ca="1" si="87"/>
        <v>0</v>
      </c>
    </row>
    <row r="293" spans="1:27">
      <c r="A293" s="8" t="str">
        <f>A292</f>
        <v>Type 19</v>
      </c>
      <c r="B293" s="7">
        <f>B292+1</f>
        <v>2020</v>
      </c>
      <c r="C293" s="7" t="str">
        <f>C292</f>
        <v>Annual</v>
      </c>
      <c r="D293" s="7">
        <f t="shared" si="88"/>
        <v>0</v>
      </c>
      <c r="E293" s="7">
        <f t="shared" si="88"/>
        <v>0</v>
      </c>
      <c r="F293" s="14">
        <f>$N$105</f>
        <v>0.18606977230199898</v>
      </c>
      <c r="H293" s="9"/>
      <c r="I293" s="9"/>
      <c r="J293" s="9">
        <f ca="1">$D$105/$D$31</f>
        <v>0</v>
      </c>
      <c r="K293" s="9">
        <f ca="1">J293-R293</f>
        <v>0</v>
      </c>
      <c r="L293" s="9">
        <f ca="1">K293-S293</f>
        <v>0</v>
      </c>
      <c r="M293" s="9">
        <f ca="1">L293-T293</f>
        <v>0</v>
      </c>
      <c r="N293" s="9"/>
      <c r="O293" s="9"/>
      <c r="P293" s="9"/>
      <c r="Q293" s="9">
        <f ca="1">IF(OR($C293="Annual",$D293=$E293),IF(AND($D293=$E293,Q$111=$B293+$D293),$J293,IF(AND(Q$111&gt;$B293+$D293,Q$111&lt;=$B293+$E293), $J293/($E293-$D293),0)), IF(OR(Q$111=$B293+$D293,Q$111=$B293+$E293),$J293/(($E293-$D293)*2),IF(AND(Q$111&gt;$B293+$D293,Q$111&lt;$B293+$E293),$J293/($E293-$D293),0)))</f>
        <v>0</v>
      </c>
      <c r="R293" s="9">
        <f>IF(OR($C293="Annual",$D293=$E293),IF(AND($D293=$E293,R$111=$B293+$D293),$J293,IF(AND(R$111&gt;$B293+$D293,R$111&lt;=$B293+$E293), $J293/($E293-$D293),0)), IF(OR(R$111=$B293+$D293,R$111=$B293+$E293),$J293/(($E293-$D293)*2),IF(AND(R$111&gt;$B293+$D293,R$111&lt;$B293+$E293),$J293/($E293-$D293),0)))</f>
        <v>0</v>
      </c>
      <c r="S293" s="9">
        <f>IF(OR($C293="Annual",$D293=$E293),IF(AND($D293=$E293,S$111=$B293+$D293),$J293,IF(AND(S$111&gt;$B293+$D293,S$111&lt;=$B293+$E293), $J293/($E293-$D293),0)), IF(OR(S$111=$B293+$D293,S$111=$B293+$E293),$J293/(($E293-$D293)*2),IF(AND(S$111&gt;$B293+$D293,S$111&lt;$B293+$E293),$J293/($E293-$D293),0)))</f>
        <v>0</v>
      </c>
      <c r="T293" s="9">
        <f>IF(OR($C293="Annual",$D293=$E293),IF(AND($D293=$E293,T$111=$B293+$D293),$J293,IF(AND(T$111&gt;$B293+$D293,T$111&lt;=$B293+$E293), $J293/($E293-$D293),0)), IF(OR(T$111=$B293+$D293,T$111=$B293+$E293),$J293/(($E293-$D293)*2),IF(AND(T$111&gt;$B293+$D293,T$111&lt;$B293+$E293),$J293/($E293-$D293),0)))</f>
        <v>0</v>
      </c>
      <c r="U293" s="9"/>
      <c r="V293" s="9"/>
      <c r="W293" s="9"/>
      <c r="X293" s="9">
        <f t="shared" si="87"/>
        <v>0</v>
      </c>
      <c r="Y293" s="9">
        <f t="shared" ca="1" si="87"/>
        <v>0</v>
      </c>
      <c r="Z293" s="9">
        <f t="shared" ca="1" si="87"/>
        <v>0</v>
      </c>
      <c r="AA293" s="9">
        <f t="shared" ca="1" si="87"/>
        <v>0</v>
      </c>
    </row>
    <row r="294" spans="1:27">
      <c r="A294" s="8" t="str">
        <f>A293</f>
        <v>Type 19</v>
      </c>
      <c r="B294" s="7">
        <f>B293+1</f>
        <v>2021</v>
      </c>
      <c r="C294" s="7" t="str">
        <f>C293</f>
        <v>Annual</v>
      </c>
      <c r="D294" s="7">
        <f t="shared" si="88"/>
        <v>0</v>
      </c>
      <c r="E294" s="7">
        <f t="shared" si="88"/>
        <v>0</v>
      </c>
      <c r="F294" s="14">
        <f>$O$105</f>
        <v>0.18606977230199898</v>
      </c>
      <c r="H294" s="9"/>
      <c r="I294" s="9"/>
      <c r="J294" s="9"/>
      <c r="K294" s="9">
        <f ca="1">$E$105/$E$31</f>
        <v>0</v>
      </c>
      <c r="L294" s="9">
        <f ca="1">K294-S294</f>
        <v>0</v>
      </c>
      <c r="M294" s="9">
        <f ca="1">L294-T294</f>
        <v>0</v>
      </c>
      <c r="N294" s="9"/>
      <c r="O294" s="9"/>
      <c r="P294" s="9"/>
      <c r="Q294" s="9"/>
      <c r="R294" s="9">
        <f ca="1">IF(OR($C294="Annual",$D294=$E294),IF(AND($D294=$E294,R$111=$B294+$D294),$K294,IF(AND(R$111&gt;$B294+$D294,R$111&lt;=$B294+$E294), $K294/($E294-$D294),0)), IF(OR(R$111=$B294+$D294,R$111=$B294+$E294),$K294/(($E294-$D294)*2),IF(AND(R$111&gt;$B294+$D294,R$111&lt;$B294+$E294),$K294/($E294-$D294),0)))</f>
        <v>0</v>
      </c>
      <c r="S294" s="9">
        <f>IF(OR($C294="Annual",$D294=$E294),IF(AND($D294=$E294,S$111=$B294+$D294),$K294,IF(AND(S$111&gt;$B294+$D294,S$111&lt;=$B294+$E294), $K294/($E294-$D294),0)), IF(OR(S$111=$B294+$D294,S$111=$B294+$E294),$K294/(($E294-$D294)*2),IF(AND(S$111&gt;$B294+$D294,S$111&lt;$B294+$E294),$K294/($E294-$D294),0)))</f>
        <v>0</v>
      </c>
      <c r="T294" s="9">
        <f>IF(OR($C294="Annual",$D294=$E294),IF(AND($D294=$E294,T$111=$B294+$D294),$K294,IF(AND(T$111&gt;$B294+$D294,T$111&lt;=$B294+$E294), $K294/($E294-$D294),0)), IF(OR(T$111=$B294+$D294,T$111=$B294+$E294),$K294/(($E294-$D294)*2),IF(AND(T$111&gt;$B294+$D294,T$111&lt;$B294+$E294),$K294/($E294-$D294),0)))</f>
        <v>0</v>
      </c>
      <c r="U294" s="9"/>
      <c r="V294" s="9"/>
      <c r="W294" s="9"/>
      <c r="X294" s="9"/>
      <c r="Y294" s="9">
        <f t="shared" si="87"/>
        <v>0</v>
      </c>
      <c r="Z294" s="9">
        <f t="shared" ca="1" si="87"/>
        <v>0</v>
      </c>
      <c r="AA294" s="9">
        <f t="shared" ca="1" si="87"/>
        <v>0</v>
      </c>
    </row>
    <row r="295" spans="1:27">
      <c r="A295" s="8" t="str">
        <f>A294</f>
        <v>Type 19</v>
      </c>
      <c r="B295" s="7">
        <f>B294+1</f>
        <v>2022</v>
      </c>
      <c r="C295" s="7" t="str">
        <f>C294</f>
        <v>Annual</v>
      </c>
      <c r="D295" s="7">
        <f t="shared" si="88"/>
        <v>0</v>
      </c>
      <c r="E295" s="7">
        <f t="shared" si="88"/>
        <v>0</v>
      </c>
      <c r="F295" s="14">
        <f>$P$105</f>
        <v>0.18606977230199898</v>
      </c>
      <c r="H295" s="9"/>
      <c r="I295" s="9"/>
      <c r="J295" s="9"/>
      <c r="K295" s="9"/>
      <c r="L295" s="9">
        <f ca="1">$F$105/$F$31</f>
        <v>0</v>
      </c>
      <c r="M295" s="9">
        <f ca="1">L295-T295</f>
        <v>0</v>
      </c>
      <c r="N295" s="9"/>
      <c r="O295" s="9"/>
      <c r="P295" s="9"/>
      <c r="Q295" s="9"/>
      <c r="R295" s="9"/>
      <c r="S295" s="9">
        <f ca="1">IF(OR($C295="Annual",$D295=$E295),IF(AND($D295=$E295,S$111=$B295+$D295),$L295,IF(AND(S$111&gt;$B295+$D295,S$111&lt;=$B295+$E295), $L295/($E295-$D295),0)), IF(OR(S$111=$B295+$D295,S$111=$B295+$E295),$L295/(($E295-$D295)*2),IF(AND(S$111&gt;$B295+$D295,S$111&lt;$B295+$E295),$L295/($E295-$D295),0)))</f>
        <v>0</v>
      </c>
      <c r="T295" s="9">
        <f>IF(OR($C295="Annual",$D295=$E295),IF(AND($D295=$E295,T$111=$B295+$D295),$L295,IF(AND(T$111&gt;$B295+$D295,T$111&lt;=$B295+$E295), $L295/($E295-$D295),0)), IF(OR(T$111=$B295+$D295,T$111=$B295+$E295),$L295/(($E295-$D295)*2),IF(AND(T$111&gt;$B295+$D295,T$111&lt;$B295+$E295),$L295/($E295-$D295),0)))</f>
        <v>0</v>
      </c>
      <c r="U295" s="9"/>
      <c r="V295" s="9"/>
      <c r="W295" s="9"/>
      <c r="X295" s="9"/>
      <c r="Y295" s="9"/>
      <c r="Z295" s="9">
        <f t="shared" si="87"/>
        <v>0</v>
      </c>
      <c r="AA295" s="9">
        <f t="shared" ca="1" si="87"/>
        <v>0</v>
      </c>
    </row>
    <row r="296" spans="1:27">
      <c r="A296" s="8" t="str">
        <f>A295</f>
        <v>Type 19</v>
      </c>
      <c r="B296" s="7">
        <f>B295+1</f>
        <v>2023</v>
      </c>
      <c r="C296" s="7" t="str">
        <f>C295</f>
        <v>Annual</v>
      </c>
      <c r="D296" s="7">
        <f t="shared" si="88"/>
        <v>0</v>
      </c>
      <c r="E296" s="7">
        <f t="shared" si="88"/>
        <v>0</v>
      </c>
      <c r="F296" s="14">
        <f>$Q$105</f>
        <v>0.18606977230199898</v>
      </c>
      <c r="H296" s="9"/>
      <c r="I296" s="9"/>
      <c r="J296" s="9"/>
      <c r="K296" s="9"/>
      <c r="L296" s="9"/>
      <c r="M296" s="9">
        <f ca="1">$G$105/$G$31</f>
        <v>0</v>
      </c>
      <c r="N296" s="9"/>
      <c r="O296" s="9"/>
      <c r="P296" s="9"/>
      <c r="Q296" s="9"/>
      <c r="R296" s="9"/>
      <c r="S296" s="9"/>
      <c r="T296" s="9">
        <f ca="1">IF(OR($C296="Annual",$D296=$E296),IF(AND($D296=$E296,T$111=$B296+$D296),$M296,IF(AND(T$111&gt;$B296+$D296,T$111&lt;=$B296+$E296), $M296/($E296-$D296),0)), IF(OR(T$111=$B296+$D296,T$111=$B296+$E296),$M296/(($E296-$D296)*2),IF(AND(T$111&gt;$B296+$D296,T$111&lt;$B296+$E296),$M296/($E296-$D296),0)))</f>
        <v>0</v>
      </c>
      <c r="U296" s="9"/>
      <c r="V296" s="9"/>
      <c r="W296" s="9"/>
      <c r="X296" s="9"/>
      <c r="Y296" s="9"/>
      <c r="Z296" s="9"/>
      <c r="AA296" s="9">
        <f t="shared" si="87"/>
        <v>0</v>
      </c>
    </row>
    <row r="297" spans="1:27">
      <c r="A297" s="8"/>
      <c r="B297" s="7"/>
      <c r="C297" s="7"/>
      <c r="D297" s="7"/>
      <c r="E297" s="7"/>
      <c r="F297" s="15"/>
      <c r="H297" s="9"/>
      <c r="I297" s="9"/>
      <c r="J297" s="9"/>
      <c r="K297" s="9"/>
      <c r="L297" s="9"/>
      <c r="M297" s="9"/>
      <c r="N297" s="9"/>
      <c r="O297" s="278"/>
      <c r="P297" s="10"/>
      <c r="Q297" s="10"/>
      <c r="R297" s="10"/>
      <c r="S297" s="10"/>
      <c r="T297" s="10"/>
      <c r="U297" s="9"/>
      <c r="V297" s="10"/>
      <c r="W297" s="10"/>
      <c r="X297" s="10"/>
      <c r="Y297" s="10"/>
      <c r="Z297" s="10"/>
      <c r="AA297" s="10"/>
    </row>
    <row r="298" spans="1:27" s="1150" customFormat="1">
      <c r="A298" s="1347" t="str">
        <f>'Input 4 - Forecast'!A87</f>
        <v>ZERO-COUPON BOND</v>
      </c>
      <c r="B298" s="1348">
        <f>B119</f>
        <v>2018</v>
      </c>
      <c r="C298" s="1348"/>
      <c r="D298" s="1348">
        <f>$J106</f>
        <v>0</v>
      </c>
      <c r="E298" s="1348">
        <f>$K106</f>
        <v>0</v>
      </c>
      <c r="F298" s="1349">
        <f>$L$106</f>
        <v>0</v>
      </c>
      <c r="H298" s="1350">
        <f>$B$106/$B$31</f>
        <v>0</v>
      </c>
      <c r="I298" s="1350">
        <f>H298-P298</f>
        <v>0</v>
      </c>
      <c r="J298" s="1350">
        <f>I298-Q298</f>
        <v>0</v>
      </c>
      <c r="K298" s="1350">
        <f>J298-R298</f>
        <v>0</v>
      </c>
      <c r="L298" s="1350">
        <f>K298-S298</f>
        <v>0</v>
      </c>
      <c r="M298" s="1350">
        <f>L298-T298</f>
        <v>0</v>
      </c>
      <c r="N298" s="1350"/>
      <c r="O298" s="1350">
        <f t="shared" ref="O298:T298" si="89">IF($D298=$E298,IF(O$111=$B298+$E298,$H298,0),0)</f>
        <v>0</v>
      </c>
      <c r="P298" s="1350">
        <f t="shared" si="89"/>
        <v>0</v>
      </c>
      <c r="Q298" s="1350">
        <f t="shared" si="89"/>
        <v>0</v>
      </c>
      <c r="R298" s="1350">
        <f t="shared" si="89"/>
        <v>0</v>
      </c>
      <c r="S298" s="1350">
        <f t="shared" si="89"/>
        <v>0</v>
      </c>
      <c r="T298" s="1350">
        <f t="shared" si="89"/>
        <v>0</v>
      </c>
      <c r="U298" s="1350"/>
      <c r="V298" s="1350">
        <f t="shared" ref="V298:AA298" si="90">IF(V$111-$B298=$D298,$H298*(((1+$F298)^$D298)-1),0)</f>
        <v>0</v>
      </c>
      <c r="W298" s="1350">
        <f t="shared" si="90"/>
        <v>0</v>
      </c>
      <c r="X298" s="1350">
        <f t="shared" si="90"/>
        <v>0</v>
      </c>
      <c r="Y298" s="1350">
        <f t="shared" si="90"/>
        <v>0</v>
      </c>
      <c r="Z298" s="1350">
        <f t="shared" si="90"/>
        <v>0</v>
      </c>
      <c r="AA298" s="1350">
        <f t="shared" si="90"/>
        <v>0</v>
      </c>
    </row>
    <row r="299" spans="1:27" s="1150" customFormat="1">
      <c r="A299" s="1347" t="str">
        <f>A298</f>
        <v>ZERO-COUPON BOND</v>
      </c>
      <c r="B299" s="1348">
        <f>B298+1</f>
        <v>2019</v>
      </c>
      <c r="C299" s="1348"/>
      <c r="D299" s="1348">
        <f t="shared" ref="D299:E303" si="91">D298</f>
        <v>0</v>
      </c>
      <c r="E299" s="1348">
        <f t="shared" si="91"/>
        <v>0</v>
      </c>
      <c r="F299" s="1349">
        <f>$M$106</f>
        <v>0.18606977230199898</v>
      </c>
      <c r="H299" s="1350"/>
      <c r="I299" s="1350">
        <f ca="1">$C$106/$C$31</f>
        <v>0</v>
      </c>
      <c r="J299" s="1350">
        <f ca="1">I299-Q299</f>
        <v>0</v>
      </c>
      <c r="K299" s="1350">
        <f ca="1">J299-R299</f>
        <v>0</v>
      </c>
      <c r="L299" s="1350">
        <f ca="1">K299-S299</f>
        <v>0</v>
      </c>
      <c r="M299" s="1350">
        <f ca="1">L299-T299</f>
        <v>0</v>
      </c>
      <c r="N299" s="1350"/>
      <c r="O299" s="1351"/>
      <c r="P299" s="1350">
        <f ca="1">IF($D299=$E299,IF(P$111=$B299+$E299,$I299,0),0)</f>
        <v>0</v>
      </c>
      <c r="Q299" s="1350">
        <f>IF($D299=$E299,IF(Q$111=$B299+$E299,$I299,0),0)</f>
        <v>0</v>
      </c>
      <c r="R299" s="1350">
        <f>IF($D299=$E299,IF(R$111=$B299+$E299,$I299,0),0)</f>
        <v>0</v>
      </c>
      <c r="S299" s="1350">
        <f>IF($D299=$E299,IF(S$111=$B299+$E299,$I299,0),0)</f>
        <v>0</v>
      </c>
      <c r="T299" s="1350">
        <f>IF($D299=$E299,IF(T$111=$B299+$E299,$I299,0),0)</f>
        <v>0</v>
      </c>
      <c r="U299" s="1350"/>
      <c r="V299" s="1350"/>
      <c r="W299" s="1350">
        <f ca="1">IF(W$111-$B299=$D299,$I299*(((1+$F299)^$D299)-1),0)</f>
        <v>0</v>
      </c>
      <c r="X299" s="1350">
        <f>IF(X$111-$B299=$D299,$I299*(((1+$F299)^$D299)-1),0)</f>
        <v>0</v>
      </c>
      <c r="Y299" s="1350">
        <f>IF(Y$111-$B299=$D299,$I299*(((1+$F299)^$D299)-1),0)</f>
        <v>0</v>
      </c>
      <c r="Z299" s="1350">
        <f>IF(Z$111-$B299=$D299,$I299*(((1+$F299)^$D299)-1),0)</f>
        <v>0</v>
      </c>
      <c r="AA299" s="1350">
        <f>IF(AA$111-$B299=$D299,$I299*(((1+$F299)^$D299)-1),0)</f>
        <v>0</v>
      </c>
    </row>
    <row r="300" spans="1:27" s="1150" customFormat="1">
      <c r="A300" s="1347" t="str">
        <f>A299</f>
        <v>ZERO-COUPON BOND</v>
      </c>
      <c r="B300" s="1348">
        <f>B299+1</f>
        <v>2020</v>
      </c>
      <c r="C300" s="1348"/>
      <c r="D300" s="1348">
        <f t="shared" si="91"/>
        <v>0</v>
      </c>
      <c r="E300" s="1348">
        <f t="shared" si="91"/>
        <v>0</v>
      </c>
      <c r="F300" s="1349">
        <f>$N$106</f>
        <v>0.18606977230199898</v>
      </c>
      <c r="H300" s="1350"/>
      <c r="I300" s="1350"/>
      <c r="J300" s="1350">
        <f ca="1">$D$106/$D$31</f>
        <v>0</v>
      </c>
      <c r="K300" s="1350">
        <f ca="1">J300-R300</f>
        <v>0</v>
      </c>
      <c r="L300" s="1350">
        <f ca="1">K300-S300</f>
        <v>0</v>
      </c>
      <c r="M300" s="1350">
        <f ca="1">L300-T300</f>
        <v>0</v>
      </c>
      <c r="N300" s="1350"/>
      <c r="O300" s="1351"/>
      <c r="P300" s="1350"/>
      <c r="Q300" s="1350">
        <f ca="1">IF($D300=$E300,IF(Q$111=$B300+$E300,$J300,0),0)</f>
        <v>0</v>
      </c>
      <c r="R300" s="1350">
        <f>IF($D300=$E300,IF(R$111=$B300+$E300,$J300,0),0)</f>
        <v>0</v>
      </c>
      <c r="S300" s="1350">
        <f>IF($D300=$E300,IF(S$111=$B300+$E300,$J300,0),0)</f>
        <v>0</v>
      </c>
      <c r="T300" s="1350">
        <f>IF($D300=$E300,IF(T$111=$B300+$E300,$J300,0),0)</f>
        <v>0</v>
      </c>
      <c r="U300" s="1350"/>
      <c r="V300" s="1350"/>
      <c r="W300" s="1350"/>
      <c r="X300" s="1350">
        <f ca="1">IF(X$111-$B300=$D300,$J300*(((1+$F300)^$D300)-1),0)</f>
        <v>0</v>
      </c>
      <c r="Y300" s="1350">
        <f>IF(Y$111-$B300=$D300,$J300*(((1+$F300)^$D300)-1),0)</f>
        <v>0</v>
      </c>
      <c r="Z300" s="1350">
        <f>IF(Z$111-$B300=$D300,$J300*(((1+$F300)^$D300)-1),0)</f>
        <v>0</v>
      </c>
      <c r="AA300" s="1350">
        <f>IF(AA$111-$B300=$D300,$J300*(((1+$F300)^$D300)-1),0)</f>
        <v>0</v>
      </c>
    </row>
    <row r="301" spans="1:27" s="1150" customFormat="1">
      <c r="A301" s="1347" t="str">
        <f>A300</f>
        <v>ZERO-COUPON BOND</v>
      </c>
      <c r="B301" s="1348">
        <f>B300+1</f>
        <v>2021</v>
      </c>
      <c r="C301" s="1348"/>
      <c r="D301" s="1348">
        <f t="shared" si="91"/>
        <v>0</v>
      </c>
      <c r="E301" s="1348">
        <f t="shared" si="91"/>
        <v>0</v>
      </c>
      <c r="F301" s="1349">
        <f>$O$106</f>
        <v>0.18606977230199898</v>
      </c>
      <c r="H301" s="1350"/>
      <c r="I301" s="1350"/>
      <c r="J301" s="1350"/>
      <c r="K301" s="1350">
        <f ca="1">$E$106/$E$31</f>
        <v>0</v>
      </c>
      <c r="L301" s="1350">
        <f ca="1">K301-S301</f>
        <v>0</v>
      </c>
      <c r="M301" s="1350">
        <f ca="1">L301-T301</f>
        <v>0</v>
      </c>
      <c r="N301" s="1350"/>
      <c r="O301" s="1351"/>
      <c r="P301" s="1350"/>
      <c r="Q301" s="1350"/>
      <c r="R301" s="1350">
        <f ca="1">IF($D301=$E301,IF(R$111=$B301+$E301,$K301,0),0)</f>
        <v>0</v>
      </c>
      <c r="S301" s="1350">
        <f>IF($D301=$E301,IF(S$111=$B301+$E301,$K301,0),0)</f>
        <v>0</v>
      </c>
      <c r="T301" s="1350">
        <f>IF($D301=$E301,IF(T$111=$B301+$E301,$K301,0),0)</f>
        <v>0</v>
      </c>
      <c r="U301" s="1350"/>
      <c r="V301" s="1350"/>
      <c r="W301" s="1350"/>
      <c r="X301" s="1350"/>
      <c r="Y301" s="1350">
        <f ca="1">IF(Y$111-$B301=$D301,$K301*(((1+$F301)^$D301)-1),0)</f>
        <v>0</v>
      </c>
      <c r="Z301" s="1350">
        <f>IF(Z$111-$B301=$D301,$K301*(((1+$F301)^$D301)-1),0)</f>
        <v>0</v>
      </c>
      <c r="AA301" s="1350">
        <f>IF(AA$111-$B301=$D301,$K301*(((1+$F301)^$D301)-1),0)</f>
        <v>0</v>
      </c>
    </row>
    <row r="302" spans="1:27" s="1150" customFormat="1">
      <c r="A302" s="1347" t="str">
        <f>A301</f>
        <v>ZERO-COUPON BOND</v>
      </c>
      <c r="B302" s="1348">
        <f>B301+1</f>
        <v>2022</v>
      </c>
      <c r="C302" s="1348"/>
      <c r="D302" s="1348">
        <f t="shared" si="91"/>
        <v>0</v>
      </c>
      <c r="E302" s="1348">
        <f t="shared" si="91"/>
        <v>0</v>
      </c>
      <c r="F302" s="1349">
        <f>$P$106</f>
        <v>0.18606977230199898</v>
      </c>
      <c r="H302" s="1350"/>
      <c r="I302" s="1350"/>
      <c r="J302" s="1350"/>
      <c r="K302" s="1350"/>
      <c r="L302" s="1350">
        <f ca="1">$F$106/$F$31</f>
        <v>0</v>
      </c>
      <c r="M302" s="1350">
        <f ca="1">L302-T302</f>
        <v>0</v>
      </c>
      <c r="N302" s="1350"/>
      <c r="O302" s="1351"/>
      <c r="P302" s="1350"/>
      <c r="Q302" s="1350"/>
      <c r="R302" s="1350"/>
      <c r="S302" s="1350">
        <f ca="1">IF($D302=$E302,IF(S$111=$B302+$E302,$L302,0),0)</f>
        <v>0</v>
      </c>
      <c r="T302" s="1350">
        <f>IF($D302=$E302,IF(T$111=$B302+$E302,$L302,0),0)</f>
        <v>0</v>
      </c>
      <c r="U302" s="1350"/>
      <c r="V302" s="1350"/>
      <c r="W302" s="1350"/>
      <c r="X302" s="1350"/>
      <c r="Y302" s="1350"/>
      <c r="Z302" s="1350">
        <f ca="1">IF(Z$111-$B302=$D302,$L302*(((1+$F302)^$D302)-1),0)</f>
        <v>0</v>
      </c>
      <c r="AA302" s="1350">
        <f>IF(AA$111-$B302=$D302,$L302*(((1+$F302)^$D302)-1),0)</f>
        <v>0</v>
      </c>
    </row>
    <row r="303" spans="1:27" s="1150" customFormat="1">
      <c r="A303" s="1347" t="str">
        <f>A302</f>
        <v>ZERO-COUPON BOND</v>
      </c>
      <c r="B303" s="1348">
        <f>B302+1</f>
        <v>2023</v>
      </c>
      <c r="C303" s="1348"/>
      <c r="D303" s="1348">
        <f t="shared" si="91"/>
        <v>0</v>
      </c>
      <c r="E303" s="1348">
        <f t="shared" si="91"/>
        <v>0</v>
      </c>
      <c r="F303" s="1349">
        <f>$Q$106</f>
        <v>0.18606977230199898</v>
      </c>
      <c r="H303" s="1350"/>
      <c r="I303" s="1350"/>
      <c r="J303" s="1350"/>
      <c r="K303" s="1350"/>
      <c r="L303" s="1350"/>
      <c r="M303" s="1350">
        <f ca="1">$G$106/$G$31</f>
        <v>0</v>
      </c>
      <c r="N303" s="1350"/>
      <c r="O303" s="1351"/>
      <c r="P303" s="1350"/>
      <c r="Q303" s="1350"/>
      <c r="R303" s="1350"/>
      <c r="S303" s="1350"/>
      <c r="T303" s="1350">
        <f ca="1">IF($D303=$E303,IF(T$111=$B303+$E303,$M303,0),0)</f>
        <v>0</v>
      </c>
      <c r="U303" s="1350"/>
      <c r="V303" s="1350"/>
      <c r="W303" s="1350"/>
      <c r="X303" s="1350"/>
      <c r="Y303" s="1350"/>
      <c r="Z303" s="1350"/>
      <c r="AA303" s="1350">
        <f ca="1">IF(AA$111-$B303=$D303,$M303*(((1+$F303)^$D303)-1),0)</f>
        <v>0</v>
      </c>
    </row>
    <row r="304" spans="1:27" ht="15.75" thickBot="1">
      <c r="H304" s="10"/>
      <c r="I304" s="10"/>
      <c r="J304" s="10"/>
      <c r="K304" s="10"/>
      <c r="L304" s="10"/>
      <c r="M304" s="10"/>
      <c r="N304" s="10"/>
      <c r="O304" s="10"/>
      <c r="P304" s="10"/>
      <c r="Q304" s="10"/>
      <c r="R304" s="10"/>
      <c r="S304" s="10"/>
      <c r="T304" s="10"/>
      <c r="U304" s="10"/>
      <c r="V304" s="10"/>
      <c r="W304" s="10"/>
      <c r="X304" s="10"/>
      <c r="Y304" s="10"/>
      <c r="Z304" s="10"/>
      <c r="AA304" s="10"/>
    </row>
    <row r="305" spans="1:27" ht="15.75" thickBot="1">
      <c r="B305" s="1999" t="s">
        <v>51</v>
      </c>
      <c r="C305" s="2000"/>
      <c r="D305" s="2000"/>
      <c r="E305" s="2000"/>
      <c r="F305" s="2000"/>
      <c r="G305" s="2000"/>
      <c r="H305" s="2000"/>
      <c r="I305" s="2000"/>
      <c r="J305" s="2000"/>
      <c r="K305" s="2000"/>
      <c r="L305" s="2000"/>
      <c r="M305" s="2000"/>
      <c r="N305" s="2000"/>
      <c r="O305" s="2000"/>
      <c r="P305" s="2000"/>
      <c r="Q305" s="2000"/>
      <c r="R305" s="2000"/>
      <c r="S305" s="2000"/>
      <c r="T305" s="2000"/>
      <c r="U305" s="2000"/>
      <c r="V305" s="2000"/>
      <c r="W305" s="2000"/>
      <c r="X305" s="2000"/>
      <c r="Y305" s="2000"/>
      <c r="Z305" s="2000"/>
      <c r="AA305" s="2001"/>
    </row>
    <row r="306" spans="1:27">
      <c r="H306" s="10"/>
      <c r="I306" s="10"/>
      <c r="J306" s="10"/>
      <c r="K306" s="10"/>
      <c r="L306" s="10"/>
      <c r="M306" s="10"/>
      <c r="N306" s="10"/>
      <c r="O306" s="10"/>
      <c r="P306" s="10"/>
      <c r="Q306" s="10"/>
      <c r="R306" s="10"/>
      <c r="S306" s="10"/>
      <c r="T306" s="10"/>
      <c r="U306" s="10"/>
      <c r="V306" s="10"/>
      <c r="W306" s="10"/>
      <c r="X306" s="10"/>
      <c r="Y306" s="10"/>
      <c r="Z306" s="10"/>
      <c r="AA306" s="10"/>
    </row>
    <row r="307" spans="1:27">
      <c r="A307" s="16" t="str">
        <f>'Input 4 - Forecast'!A89</f>
        <v>Domestic Residual Financing (annual payments, no interest or amortization in current year)</v>
      </c>
      <c r="B307" s="7">
        <f>B119</f>
        <v>2018</v>
      </c>
      <c r="C307" s="7"/>
      <c r="D307" s="7">
        <f>$J108</f>
        <v>1</v>
      </c>
      <c r="E307" s="7">
        <f>$K108</f>
        <v>1</v>
      </c>
      <c r="F307" s="14">
        <f>$L$108</f>
        <v>0</v>
      </c>
      <c r="H307" s="9">
        <f>$B$108</f>
        <v>-267.59452840452661</v>
      </c>
      <c r="I307" s="9">
        <f>H307-P307</f>
        <v>0</v>
      </c>
      <c r="J307" s="9">
        <f>I307-Q307</f>
        <v>0</v>
      </c>
      <c r="K307" s="9">
        <f>J307-R307</f>
        <v>0</v>
      </c>
      <c r="L307" s="9">
        <f>K307-S307</f>
        <v>0</v>
      </c>
      <c r="M307" s="9">
        <f>L307-T307</f>
        <v>0</v>
      </c>
      <c r="N307" s="9"/>
      <c r="O307" s="9">
        <v>0</v>
      </c>
      <c r="P307" s="9">
        <f>H307</f>
        <v>-267.59452840452661</v>
      </c>
      <c r="Q307" s="9">
        <v>0</v>
      </c>
      <c r="R307" s="9">
        <v>0</v>
      </c>
      <c r="S307" s="9">
        <v>0</v>
      </c>
      <c r="T307" s="9">
        <v>0</v>
      </c>
      <c r="U307" s="9"/>
      <c r="V307" s="9">
        <v>0</v>
      </c>
      <c r="W307" s="9">
        <f>H307*$F307</f>
        <v>0</v>
      </c>
      <c r="X307" s="9">
        <f t="shared" ref="X307:AA309" si="92">I307*$F307</f>
        <v>0</v>
      </c>
      <c r="Y307" s="9">
        <f t="shared" si="92"/>
        <v>0</v>
      </c>
      <c r="Z307" s="9">
        <f t="shared" si="92"/>
        <v>0</v>
      </c>
      <c r="AA307" s="9">
        <f t="shared" si="92"/>
        <v>0</v>
      </c>
    </row>
    <row r="308" spans="1:27">
      <c r="B308" s="7">
        <f>B307+1</f>
        <v>2019</v>
      </c>
      <c r="C308" s="7"/>
      <c r="D308" s="7">
        <f t="shared" ref="D308:E312" si="93">D307</f>
        <v>1</v>
      </c>
      <c r="E308" s="7">
        <f t="shared" si="93"/>
        <v>1</v>
      </c>
      <c r="F308" s="14">
        <f>$M$108</f>
        <v>0.18606977230199898</v>
      </c>
      <c r="H308" s="9"/>
      <c r="I308" s="9">
        <f ca="1">$C$108</f>
        <v>2197.6404127331875</v>
      </c>
      <c r="J308" s="9">
        <f ca="1">I308-Q308</f>
        <v>0</v>
      </c>
      <c r="K308" s="9">
        <f ca="1">J308-R308</f>
        <v>0</v>
      </c>
      <c r="L308" s="9">
        <f ca="1">K308-S308</f>
        <v>0</v>
      </c>
      <c r="M308" s="9">
        <f ca="1">L308-T308</f>
        <v>0</v>
      </c>
      <c r="O308" s="9"/>
      <c r="P308" s="9">
        <v>0</v>
      </c>
      <c r="Q308" s="9">
        <f ca="1">I308</f>
        <v>2197.6404127331875</v>
      </c>
      <c r="R308" s="9">
        <v>0</v>
      </c>
      <c r="S308" s="9">
        <v>0</v>
      </c>
      <c r="T308" s="9">
        <v>0</v>
      </c>
      <c r="V308" s="9"/>
      <c r="W308" s="9">
        <v>0</v>
      </c>
      <c r="X308" s="9">
        <f ca="1">I308*$F308</f>
        <v>468.52652857854412</v>
      </c>
      <c r="Y308" s="9">
        <f t="shared" ca="1" si="92"/>
        <v>0</v>
      </c>
      <c r="Z308" s="9">
        <f t="shared" ca="1" si="92"/>
        <v>0</v>
      </c>
      <c r="AA308" s="9">
        <f t="shared" ca="1" si="92"/>
        <v>0</v>
      </c>
    </row>
    <row r="309" spans="1:27">
      <c r="B309" s="7">
        <f>B308+1</f>
        <v>2020</v>
      </c>
      <c r="C309" s="7"/>
      <c r="D309" s="7">
        <f t="shared" si="93"/>
        <v>1</v>
      </c>
      <c r="E309" s="7">
        <f t="shared" si="93"/>
        <v>1</v>
      </c>
      <c r="F309" s="14">
        <f>$N$108</f>
        <v>0.18606977230199898</v>
      </c>
      <c r="H309" s="9"/>
      <c r="I309" s="9"/>
      <c r="J309" s="9">
        <f ca="1">$D$108</f>
        <v>4532.4990286905186</v>
      </c>
      <c r="K309" s="9">
        <f ca="1">J309-R309</f>
        <v>0</v>
      </c>
      <c r="L309" s="9">
        <f ca="1">K309-S309</f>
        <v>0</v>
      </c>
      <c r="M309" s="9">
        <f ca="1">L309-T309</f>
        <v>0</v>
      </c>
      <c r="O309" s="9"/>
      <c r="P309" s="9"/>
      <c r="Q309" s="9">
        <v>0</v>
      </c>
      <c r="R309" s="9">
        <f ca="1">J309</f>
        <v>4532.4990286905186</v>
      </c>
      <c r="S309" s="9">
        <v>0</v>
      </c>
      <c r="T309" s="9">
        <v>0</v>
      </c>
      <c r="V309" s="9"/>
      <c r="W309" s="9"/>
      <c r="X309" s="9">
        <v>0</v>
      </c>
      <c r="Y309" s="9">
        <f ca="1">J309*$F309</f>
        <v>966.30732825707946</v>
      </c>
      <c r="Z309" s="9">
        <f t="shared" ca="1" si="92"/>
        <v>0</v>
      </c>
      <c r="AA309" s="9">
        <f t="shared" ca="1" si="92"/>
        <v>0</v>
      </c>
    </row>
    <row r="310" spans="1:27">
      <c r="B310" s="7">
        <f>B309+1</f>
        <v>2021</v>
      </c>
      <c r="C310" s="7"/>
      <c r="D310" s="7">
        <f t="shared" si="93"/>
        <v>1</v>
      </c>
      <c r="E310" s="7">
        <f t="shared" si="93"/>
        <v>1</v>
      </c>
      <c r="F310" s="14">
        <f>$O$108</f>
        <v>0.18606977230199898</v>
      </c>
      <c r="H310" s="9"/>
      <c r="I310" s="9"/>
      <c r="J310" s="9"/>
      <c r="K310" s="9">
        <f ca="1">$E$108</f>
        <v>7007.3329753384378</v>
      </c>
      <c r="L310" s="9">
        <f ca="1">K310-S310</f>
        <v>0</v>
      </c>
      <c r="M310" s="9">
        <f ca="1">L310-T310</f>
        <v>0</v>
      </c>
      <c r="O310" s="9"/>
      <c r="P310" s="9"/>
      <c r="Q310" s="9"/>
      <c r="R310" s="9">
        <v>0</v>
      </c>
      <c r="S310" s="9">
        <f ca="1">K310</f>
        <v>7007.3329753384378</v>
      </c>
      <c r="T310" s="9">
        <v>0</v>
      </c>
      <c r="V310" s="9"/>
      <c r="W310" s="9"/>
      <c r="X310" s="9"/>
      <c r="Y310" s="9">
        <v>0</v>
      </c>
      <c r="Z310" s="9">
        <f ca="1">K310*$F310</f>
        <v>1511.4485379928062</v>
      </c>
      <c r="AA310" s="9">
        <f ca="1">L310*$F310</f>
        <v>0</v>
      </c>
    </row>
    <row r="311" spans="1:27">
      <c r="B311" s="7">
        <f>B310+1</f>
        <v>2022</v>
      </c>
      <c r="C311" s="7"/>
      <c r="D311" s="7">
        <f t="shared" si="93"/>
        <v>1</v>
      </c>
      <c r="E311" s="7">
        <f t="shared" si="93"/>
        <v>1</v>
      </c>
      <c r="F311" s="14">
        <f>$P$108</f>
        <v>0.18606977230199898</v>
      </c>
      <c r="H311" s="9"/>
      <c r="I311" s="9"/>
      <c r="J311" s="9"/>
      <c r="K311" s="9"/>
      <c r="L311" s="9">
        <f ca="1">$F$108</f>
        <v>8874.8515635387212</v>
      </c>
      <c r="M311" s="9">
        <f ca="1">L311-T311</f>
        <v>0</v>
      </c>
      <c r="O311" s="9"/>
      <c r="P311" s="9"/>
      <c r="Q311" s="9"/>
      <c r="R311" s="9"/>
      <c r="S311" s="9">
        <v>0</v>
      </c>
      <c r="T311" s="9">
        <f ca="1">L311</f>
        <v>8874.8515635387212</v>
      </c>
      <c r="V311" s="9"/>
      <c r="W311" s="9"/>
      <c r="X311" s="9"/>
      <c r="Y311" s="9"/>
      <c r="Z311" s="9">
        <v>0</v>
      </c>
      <c r="AA311" s="9">
        <f ca="1">L311*$F311</f>
        <v>1914.2634534169415</v>
      </c>
    </row>
    <row r="312" spans="1:27">
      <c r="B312" s="7">
        <f>B311+1</f>
        <v>2023</v>
      </c>
      <c r="C312" s="7"/>
      <c r="D312" s="7">
        <f t="shared" si="93"/>
        <v>1</v>
      </c>
      <c r="E312" s="7">
        <f t="shared" si="93"/>
        <v>1</v>
      </c>
      <c r="F312" s="14">
        <f>$Q$108</f>
        <v>0.18606977230199898</v>
      </c>
      <c r="H312" s="9"/>
      <c r="I312" s="9"/>
      <c r="J312" s="9"/>
      <c r="K312" s="9"/>
      <c r="L312" s="9"/>
      <c r="M312" s="9">
        <f ca="1">$G$108</f>
        <v>10887.11487732601</v>
      </c>
      <c r="O312" s="9"/>
      <c r="P312" s="9"/>
      <c r="Q312" s="9"/>
      <c r="R312" s="9"/>
      <c r="S312" s="9"/>
      <c r="T312" s="9">
        <v>0</v>
      </c>
      <c r="V312" s="9"/>
      <c r="W312" s="9"/>
      <c r="X312" s="9"/>
      <c r="Y312" s="9"/>
      <c r="Z312" s="9"/>
      <c r="AA312" s="9">
        <v>0</v>
      </c>
    </row>
    <row r="313" spans="1:27">
      <c r="B313" s="7"/>
      <c r="D313" s="7"/>
      <c r="E313" s="14"/>
      <c r="G313" s="9"/>
      <c r="H313" s="9"/>
      <c r="I313" s="9"/>
      <c r="J313" s="9"/>
      <c r="K313" s="9"/>
      <c r="L313" s="9"/>
      <c r="N313" s="89"/>
      <c r="O313" s="9"/>
      <c r="P313" s="9"/>
      <c r="Q313" s="9"/>
      <c r="R313" s="9"/>
      <c r="S313" s="9"/>
      <c r="U313" s="9"/>
      <c r="V313" s="9"/>
      <c r="W313" s="9"/>
      <c r="X313" s="9"/>
      <c r="Y313" s="9"/>
      <c r="Z313" s="9"/>
    </row>
    <row r="314" spans="1:27">
      <c r="B314" s="7"/>
      <c r="C314" s="7"/>
      <c r="D314" s="7"/>
      <c r="E314" s="14"/>
      <c r="G314" s="9"/>
      <c r="H314" s="9"/>
      <c r="I314" s="9"/>
      <c r="J314" s="9"/>
      <c r="K314" s="9"/>
      <c r="L314" s="9"/>
      <c r="N314" s="89"/>
      <c r="O314" s="9"/>
      <c r="P314" s="9"/>
      <c r="Q314" s="9"/>
      <c r="R314" s="9"/>
      <c r="S314" s="9"/>
      <c r="U314" s="9"/>
      <c r="V314" s="9"/>
      <c r="W314" s="9"/>
      <c r="X314" s="9"/>
      <c r="Y314" s="9"/>
      <c r="Z314" s="9"/>
    </row>
    <row r="315" spans="1:27">
      <c r="A315" s="8"/>
      <c r="B315" s="7"/>
    </row>
  </sheetData>
  <mergeCells count="14">
    <mergeCell ref="B231:AA231"/>
    <mergeCell ref="B268:AA268"/>
    <mergeCell ref="B305:AA305"/>
    <mergeCell ref="B126:AA126"/>
    <mergeCell ref="B136:AA136"/>
    <mergeCell ref="B173:AA173"/>
    <mergeCell ref="B212:AA212"/>
    <mergeCell ref="B221:AA221"/>
    <mergeCell ref="B117:AA117"/>
    <mergeCell ref="B73:G73"/>
    <mergeCell ref="H112:M112"/>
    <mergeCell ref="O112:T112"/>
    <mergeCell ref="V112:AA112"/>
    <mergeCell ref="B112:F112"/>
  </mergeCells>
  <pageMargins left="0.7" right="0.7" top="0.75" bottom="0.75" header="0.3" footer="0.3"/>
  <legacy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3">
    <tabColor rgb="FF00B0F0"/>
  </sheetPr>
  <dimension ref="A1:AA315"/>
  <sheetViews>
    <sheetView zoomScale="80" zoomScaleNormal="80" workbookViewId="0"/>
  </sheetViews>
  <sheetFormatPr defaultColWidth="9.140625" defaultRowHeight="15"/>
  <cols>
    <col min="1" max="1" width="79.28515625" style="6" customWidth="1"/>
    <col min="2" max="3" width="15.42578125" style="6" customWidth="1"/>
    <col min="4" max="19" width="10.7109375" style="6" customWidth="1"/>
    <col min="20" max="20" width="10.5703125" style="6" customWidth="1"/>
    <col min="21" max="21" width="5.7109375" style="6" customWidth="1"/>
    <col min="22" max="26" width="13.5703125" style="6" customWidth="1"/>
    <col min="27" max="16384" width="9.140625" style="6"/>
  </cols>
  <sheetData>
    <row r="1" spans="1:19" customFormat="1" ht="15.75" thickBot="1">
      <c r="B1" s="1"/>
      <c r="C1" s="1"/>
      <c r="D1" s="1"/>
      <c r="E1" s="60"/>
      <c r="F1" s="60"/>
      <c r="G1" s="60"/>
      <c r="H1" s="60"/>
      <c r="I1" s="60"/>
      <c r="J1" s="60"/>
      <c r="K1" s="60"/>
      <c r="L1" s="1"/>
      <c r="M1" s="1"/>
      <c r="N1" s="1"/>
      <c r="O1" s="1"/>
      <c r="P1" s="1"/>
      <c r="Q1" s="1"/>
      <c r="R1" s="1"/>
      <c r="S1" s="1"/>
    </row>
    <row r="2" spans="1:19" customFormat="1" ht="30.75" thickBot="1">
      <c r="A2" s="1307" t="s">
        <v>150</v>
      </c>
      <c r="B2" s="118" t="s">
        <v>16</v>
      </c>
      <c r="C2" s="1"/>
      <c r="D2" s="1"/>
      <c r="E2" s="1"/>
      <c r="F2" s="1"/>
      <c r="G2" s="1"/>
    </row>
    <row r="3" spans="1:19" customFormat="1">
      <c r="A3" s="17"/>
      <c r="B3" s="225">
        <f>FirstYear</f>
        <v>2018</v>
      </c>
      <c r="C3" s="226">
        <f>B3+1</f>
        <v>2019</v>
      </c>
      <c r="D3" s="226">
        <f>C3+1</f>
        <v>2020</v>
      </c>
      <c r="E3" s="226">
        <f>D3+1</f>
        <v>2021</v>
      </c>
      <c r="F3" s="226">
        <f>E3+1</f>
        <v>2022</v>
      </c>
      <c r="G3" s="227">
        <f>F3+1</f>
        <v>2023</v>
      </c>
    </row>
    <row r="4" spans="1:19" customFormat="1">
      <c r="A4" s="17"/>
      <c r="B4" s="168"/>
      <c r="C4" s="62"/>
      <c r="D4" s="62"/>
      <c r="E4" s="62"/>
      <c r="F4" s="62"/>
      <c r="G4" s="169"/>
    </row>
    <row r="5" spans="1:19" customFormat="1">
      <c r="A5" s="63" t="s">
        <v>62</v>
      </c>
      <c r="B5" s="170">
        <f t="shared" ref="B5:G5" si="0">B7+B13</f>
        <v>10948.652288728241</v>
      </c>
      <c r="C5" s="171">
        <f t="shared" ca="1" si="0"/>
        <v>13654.762985349076</v>
      </c>
      <c r="D5" s="171">
        <f t="shared" ca="1" si="0"/>
        <v>14171.930999789522</v>
      </c>
      <c r="E5" s="171">
        <f t="shared" ca="1" si="0"/>
        <v>14458.538037043267</v>
      </c>
      <c r="F5" s="171">
        <f t="shared" ca="1" si="0"/>
        <v>14816.215477831616</v>
      </c>
      <c r="G5" s="172">
        <f t="shared" ca="1" si="0"/>
        <v>15194.303036020912</v>
      </c>
    </row>
    <row r="6" spans="1:19" s="284" customFormat="1">
      <c r="A6" s="18" t="s">
        <v>1026</v>
      </c>
      <c r="B6" s="170" t="str">
        <f>'Baseline debt'!P8</f>
        <v/>
      </c>
      <c r="C6" s="171" t="str">
        <f>'Baseline debt'!Q8</f>
        <v/>
      </c>
      <c r="D6" s="171" t="str">
        <f>'Baseline debt'!R8</f>
        <v/>
      </c>
      <c r="E6" s="171" t="str">
        <f>'Baseline debt'!S8</f>
        <v/>
      </c>
      <c r="F6" s="171" t="str">
        <f>'Baseline debt'!T8</f>
        <v/>
      </c>
      <c r="G6" s="172" t="str">
        <f>'Baseline debt'!U8</f>
        <v/>
      </c>
    </row>
    <row r="7" spans="1:19" customFormat="1">
      <c r="A7" s="21" t="s">
        <v>70</v>
      </c>
      <c r="B7" s="170">
        <f t="shared" ref="B7:G7" si="1">B8+B9</f>
        <v>9886.2521736994167</v>
      </c>
      <c r="C7" s="171">
        <f t="shared" si="1"/>
        <v>8910.6988594887644</v>
      </c>
      <c r="D7" s="171">
        <f t="shared" si="1"/>
        <v>7603.6701863278031</v>
      </c>
      <c r="E7" s="171">
        <f t="shared" si="1"/>
        <v>6150.6557892545252</v>
      </c>
      <c r="F7" s="171">
        <f t="shared" si="1"/>
        <v>5844.6400886862239</v>
      </c>
      <c r="G7" s="172">
        <f t="shared" si="1"/>
        <v>5585.3532924462243</v>
      </c>
    </row>
    <row r="8" spans="1:19" customFormat="1">
      <c r="A8" s="18" t="s">
        <v>72</v>
      </c>
      <c r="B8" s="170">
        <f>'Baseline debt'!P11</f>
        <v>9879.101789236136</v>
      </c>
      <c r="C8" s="171">
        <f>'Baseline debt'!Q11</f>
        <v>8904.2169986260087</v>
      </c>
      <c r="D8" s="171">
        <f>'Baseline debt'!R11</f>
        <v>8210.6547722760079</v>
      </c>
      <c r="E8" s="171">
        <f>'Baseline debt'!S11</f>
        <v>7110.6102222407098</v>
      </c>
      <c r="F8" s="171">
        <f>'Baseline debt'!T11</f>
        <v>6804.9355125304046</v>
      </c>
      <c r="G8" s="172">
        <f>'Baseline debt'!U11</f>
        <v>6545.648716290405</v>
      </c>
    </row>
    <row r="9" spans="1:19" customFormat="1">
      <c r="A9" s="18" t="s">
        <v>63</v>
      </c>
      <c r="B9" s="170">
        <f>'Baseline debt'!P13/'Baseline debt'!P$73*B32</f>
        <v>7.1503844632814992</v>
      </c>
      <c r="C9" s="171">
        <f>'Baseline debt'!Q13/'Baseline debt'!Q$73*C32</f>
        <v>6.481860862754961</v>
      </c>
      <c r="D9" s="171">
        <f>'Baseline debt'!R13/'Baseline debt'!R$73*D32</f>
        <v>-606.98458594820488</v>
      </c>
      <c r="E9" s="171">
        <f>'Baseline debt'!S13/'Baseline debt'!S$73*E32</f>
        <v>-959.954432986185</v>
      </c>
      <c r="F9" s="171">
        <f>'Baseline debt'!T13/'Baseline debt'!T$73*F32</f>
        <v>-960.29542384418096</v>
      </c>
      <c r="G9" s="172">
        <f>'Baseline debt'!U13/'Baseline debt'!U$73*G32</f>
        <v>-960.29542384418096</v>
      </c>
    </row>
    <row r="10" spans="1:19" customFormat="1">
      <c r="A10" s="18" t="s">
        <v>60</v>
      </c>
      <c r="B10" s="170">
        <v>0</v>
      </c>
      <c r="C10" s="171">
        <v>0</v>
      </c>
      <c r="D10" s="171">
        <v>0</v>
      </c>
      <c r="E10" s="171">
        <v>0</v>
      </c>
      <c r="F10" s="171">
        <v>0</v>
      </c>
      <c r="G10" s="172">
        <v>0</v>
      </c>
    </row>
    <row r="11" spans="1:19" customFormat="1">
      <c r="A11" s="18" t="s">
        <v>73</v>
      </c>
      <c r="B11" s="170">
        <f t="shared" ref="B11:G11" si="2">B8+B9</f>
        <v>9886.2521736994167</v>
      </c>
      <c r="C11" s="171">
        <f t="shared" si="2"/>
        <v>8910.6988594887644</v>
      </c>
      <c r="D11" s="171">
        <f t="shared" si="2"/>
        <v>7603.6701863278031</v>
      </c>
      <c r="E11" s="171">
        <f t="shared" si="2"/>
        <v>6150.6557892545252</v>
      </c>
      <c r="F11" s="171">
        <f t="shared" si="2"/>
        <v>5844.6400886862239</v>
      </c>
      <c r="G11" s="172">
        <f t="shared" si="2"/>
        <v>5585.3532924462243</v>
      </c>
    </row>
    <row r="12" spans="1:19" customFormat="1">
      <c r="A12" s="17"/>
      <c r="B12" s="170"/>
      <c r="C12" s="171"/>
      <c r="D12" s="171"/>
      <c r="E12" s="171"/>
      <c r="F12" s="171"/>
      <c r="G12" s="172"/>
    </row>
    <row r="13" spans="1:19" customFormat="1">
      <c r="A13" s="21" t="s">
        <v>71</v>
      </c>
      <c r="B13" s="170">
        <f t="shared" ref="B13:G13" si="3">B14+B15</f>
        <v>1062.4001150288241</v>
      </c>
      <c r="C13" s="171">
        <f t="shared" ca="1" si="3"/>
        <v>4743.0629853490755</v>
      </c>
      <c r="D13" s="171">
        <f t="shared" ca="1" si="3"/>
        <v>6536.23099978952</v>
      </c>
      <c r="E13" s="171">
        <f t="shared" ca="1" si="3"/>
        <v>8257.838037043266</v>
      </c>
      <c r="F13" s="171">
        <f t="shared" ca="1" si="3"/>
        <v>8921.5154778316155</v>
      </c>
      <c r="G13" s="172">
        <f t="shared" ca="1" si="3"/>
        <v>9308.6030360209115</v>
      </c>
    </row>
    <row r="14" spans="1:19" customFormat="1">
      <c r="A14" s="18" t="s">
        <v>72</v>
      </c>
      <c r="B14" s="170">
        <f t="shared" ref="B14:G14" si="4">SUM(H119:H124,H138:H171,H214:H219,H233:H266,H307:H312)</f>
        <v>1062.4001150288241</v>
      </c>
      <c r="C14" s="171">
        <f t="shared" ca="1" si="4"/>
        <v>4743.0629853490755</v>
      </c>
      <c r="D14" s="171">
        <f t="shared" ca="1" si="4"/>
        <v>6536.23099978952</v>
      </c>
      <c r="E14" s="171">
        <f t="shared" ca="1" si="4"/>
        <v>8257.838037043266</v>
      </c>
      <c r="F14" s="171">
        <f t="shared" ca="1" si="4"/>
        <v>8921.5154778316155</v>
      </c>
      <c r="G14" s="172">
        <f t="shared" ca="1" si="4"/>
        <v>9308.6030360209115</v>
      </c>
    </row>
    <row r="15" spans="1:19" customFormat="1">
      <c r="A15" s="18" t="s">
        <v>63</v>
      </c>
      <c r="B15" s="170">
        <f t="shared" ref="B15:G15" si="5">SUM(H128:H133,H175:H208,H223:H228,H270:H303)*B32</f>
        <v>0</v>
      </c>
      <c r="C15" s="171">
        <f t="shared" ca="1" si="5"/>
        <v>0</v>
      </c>
      <c r="D15" s="171">
        <f t="shared" ca="1" si="5"/>
        <v>0</v>
      </c>
      <c r="E15" s="171">
        <f t="shared" ca="1" si="5"/>
        <v>0</v>
      </c>
      <c r="F15" s="171">
        <f t="shared" ca="1" si="5"/>
        <v>0</v>
      </c>
      <c r="G15" s="172">
        <f t="shared" ca="1" si="5"/>
        <v>0</v>
      </c>
    </row>
    <row r="16" spans="1:19" customFormat="1">
      <c r="A16" s="18" t="s">
        <v>60</v>
      </c>
      <c r="B16" s="170">
        <f t="shared" ref="B16:G16" si="6">SUM(H119:H124,H214:H219,H307:H312)+SUM(H128:H133,H223:H228)*B32</f>
        <v>-267.59452840452661</v>
      </c>
      <c r="C16" s="171">
        <f t="shared" ca="1" si="6"/>
        <v>4084.4765448500075</v>
      </c>
      <c r="D16" s="171">
        <f t="shared" ca="1" si="6"/>
        <v>5649.7820023612239</v>
      </c>
      <c r="E16" s="171">
        <f t="shared" ca="1" si="6"/>
        <v>7301.9867231321223</v>
      </c>
      <c r="F16" s="171">
        <f t="shared" ca="1" si="6"/>
        <v>7900.539091745497</v>
      </c>
      <c r="G16" s="172">
        <f t="shared" ca="1" si="6"/>
        <v>8257.5894583171867</v>
      </c>
    </row>
    <row r="17" spans="1:17" customFormat="1">
      <c r="A17" s="18" t="s">
        <v>73</v>
      </c>
      <c r="B17" s="170">
        <f t="shared" ref="B17:G17" si="7">B14+B15-B16</f>
        <v>1329.9946434333506</v>
      </c>
      <c r="C17" s="171">
        <f t="shared" ca="1" si="7"/>
        <v>658.58644049906798</v>
      </c>
      <c r="D17" s="171">
        <f t="shared" ca="1" si="7"/>
        <v>886.44899742829602</v>
      </c>
      <c r="E17" s="171">
        <f t="shared" ca="1" si="7"/>
        <v>955.85131391114373</v>
      </c>
      <c r="F17" s="171">
        <f t="shared" ca="1" si="7"/>
        <v>1020.9763860861185</v>
      </c>
      <c r="G17" s="172">
        <f t="shared" ca="1" si="7"/>
        <v>1051.0135777037249</v>
      </c>
    </row>
    <row r="18" spans="1:17" customFormat="1" ht="6.75" customHeight="1">
      <c r="A18" s="17"/>
      <c r="B18" s="170"/>
      <c r="C18" s="171"/>
      <c r="D18" s="171"/>
      <c r="E18" s="171"/>
      <c r="F18" s="171"/>
      <c r="G18" s="172"/>
    </row>
    <row r="19" spans="1:17" customFormat="1">
      <c r="A19" s="20" t="s">
        <v>74</v>
      </c>
      <c r="B19" s="170">
        <f t="shared" ref="B19:G19" si="8">B63</f>
        <v>1062.4001150288241</v>
      </c>
      <c r="C19" s="171">
        <f t="shared" ca="1" si="8"/>
        <v>4567.055792010482</v>
      </c>
      <c r="D19" s="171">
        <f t="shared" ca="1" si="8"/>
        <v>6040.1244920218196</v>
      </c>
      <c r="E19" s="171">
        <f t="shared" ca="1" si="8"/>
        <v>7611.951993136141</v>
      </c>
      <c r="F19" s="171">
        <f t="shared" ca="1" si="8"/>
        <v>8227.6606148245901</v>
      </c>
      <c r="G19" s="172">
        <f t="shared" ca="1" si="8"/>
        <v>8563.9438040920104</v>
      </c>
    </row>
    <row r="20" spans="1:17" customFormat="1">
      <c r="A20" s="18" t="s">
        <v>55</v>
      </c>
      <c r="B20" s="170">
        <f t="shared" ref="B20:G20" si="9">B49-B47</f>
        <v>15.437150622194167</v>
      </c>
      <c r="C20" s="171">
        <f t="shared" si="9"/>
        <v>2368.7764924519724</v>
      </c>
      <c r="D20" s="171">
        <f t="shared" si="9"/>
        <v>-88.162741541229479</v>
      </c>
      <c r="E20" s="171">
        <f t="shared" si="9"/>
        <v>-66.693218535056076</v>
      </c>
      <c r="F20" s="171">
        <f t="shared" si="9"/>
        <v>-277.26911185456265</v>
      </c>
      <c r="G20" s="172">
        <f t="shared" si="9"/>
        <v>-292.15846316115494</v>
      </c>
    </row>
    <row r="21" spans="1:17" s="284" customFormat="1">
      <c r="A21" s="18" t="s">
        <v>1172</v>
      </c>
      <c r="B21" s="170">
        <f>B48</f>
        <v>48.271190640000007</v>
      </c>
      <c r="C21" s="171">
        <v>0</v>
      </c>
      <c r="D21" s="171">
        <v>0</v>
      </c>
      <c r="E21" s="171">
        <v>0</v>
      </c>
      <c r="F21" s="171">
        <v>0</v>
      </c>
      <c r="G21" s="172">
        <v>0</v>
      </c>
    </row>
    <row r="22" spans="1:17" customFormat="1">
      <c r="A22" s="23" t="s">
        <v>102</v>
      </c>
      <c r="B22" s="170">
        <f t="shared" ref="B22:G22" si="10">B23+B24</f>
        <v>1095.234155046629</v>
      </c>
      <c r="C22" s="171">
        <f t="shared" ca="1" si="10"/>
        <v>2226.3006505264666</v>
      </c>
      <c r="D22" s="171">
        <f t="shared" ca="1" si="10"/>
        <v>6040.1244920218196</v>
      </c>
      <c r="E22" s="171">
        <f t="shared" ca="1" si="10"/>
        <v>7611.951993136141</v>
      </c>
      <c r="F22" s="171">
        <f t="shared" ca="1" si="10"/>
        <v>8227.6606148245901</v>
      </c>
      <c r="G22" s="172">
        <f t="shared" ca="1" si="10"/>
        <v>8563.9438040920104</v>
      </c>
    </row>
    <row r="23" spans="1:17" customFormat="1">
      <c r="A23" s="228" t="s">
        <v>1173</v>
      </c>
      <c r="B23" s="170">
        <f t="shared" ref="B23:G23" si="11">SUM(B50:B51,B58:B59)</f>
        <v>210.95965861346764</v>
      </c>
      <c r="C23" s="171">
        <f t="shared" ca="1" si="11"/>
        <v>308.15804389361432</v>
      </c>
      <c r="D23" s="171">
        <f t="shared" ca="1" si="11"/>
        <v>517.16801444044586</v>
      </c>
      <c r="E23" s="171">
        <f t="shared" ca="1" si="11"/>
        <v>286.60703725374651</v>
      </c>
      <c r="F23" s="171">
        <f t="shared" ca="1" si="11"/>
        <v>357.67744078835028</v>
      </c>
      <c r="G23" s="172">
        <f t="shared" ca="1" si="11"/>
        <v>378.08755818929757</v>
      </c>
    </row>
    <row r="24" spans="1:17" customFormat="1">
      <c r="A24" s="228" t="s">
        <v>1174</v>
      </c>
      <c r="B24" s="170">
        <f t="shared" ref="B24:G24" si="12">SUM(B53:B54,B60:B61)</f>
        <v>884.2744964331614</v>
      </c>
      <c r="C24" s="171">
        <f t="shared" ca="1" si="12"/>
        <v>1918.1426066328522</v>
      </c>
      <c r="D24" s="171">
        <f t="shared" ca="1" si="12"/>
        <v>5522.9564775813742</v>
      </c>
      <c r="E24" s="171">
        <f t="shared" ca="1" si="12"/>
        <v>7325.344955882395</v>
      </c>
      <c r="F24" s="171">
        <f t="shared" ca="1" si="12"/>
        <v>7869.9831740362406</v>
      </c>
      <c r="G24" s="172">
        <f t="shared" ca="1" si="12"/>
        <v>8185.8562459027135</v>
      </c>
    </row>
    <row r="25" spans="1:17" customFormat="1" ht="15" customHeight="1">
      <c r="A25" s="63" t="s">
        <v>304</v>
      </c>
      <c r="B25" s="271">
        <f>'Baseline debt'!P64</f>
        <v>1.9586439007071743E-2</v>
      </c>
      <c r="C25" s="176">
        <f ca="1">IF(Guarantees="Yes",IF(ISNUMBER(C23/(B5-B6)),C23/(B5-B6),""),IF(ISNUMBER(C23/B5),C23/B5,""))</f>
        <v>2.7999477504627932E-2</v>
      </c>
      <c r="D25" s="176">
        <f ca="1">IF(Guarantees="Yes",IF(ISNUMBER(D23/(C5-C6)),D23/(C5-C6),""),IF(ISNUMBER(D23/C5),D23/C5,""))</f>
        <v>3.7874550806582509E-2</v>
      </c>
      <c r="E25" s="176">
        <f ca="1">IF(Guarantees="Yes",IF(ISNUMBER(E23/(D5-D6)),E23/(D5-D6),""),IF(ISNUMBER(E23/D5),E23/D5,""))</f>
        <v>2.0223569904341415E-2</v>
      </c>
      <c r="F25" s="176">
        <f ca="1">IF(Guarantees="Yes",IF(ISNUMBER(F23/(E5-E6)),F23/(E5-E6),""),IF(ISNUMBER(F23/E5),F23/E5,""))</f>
        <v>2.4738147098411229E-2</v>
      </c>
      <c r="G25" s="177">
        <f ca="1">IF(Guarantees="Yes",IF(ISNUMBER(G23/(F5-F6)),G23/(F5-F6),""),IF(ISNUMBER(G23/F5),G23/F5,""))</f>
        <v>2.551849753771477E-2</v>
      </c>
    </row>
    <row r="26" spans="1:17" customFormat="1">
      <c r="A26" s="20" t="s">
        <v>77</v>
      </c>
      <c r="B26" s="173">
        <f>'Input 5 - Scenario Design'!E103</f>
        <v>4.7697166816344838E-2</v>
      </c>
      <c r="C26" s="174">
        <f>'Input 5 - Scenario Design'!F103</f>
        <v>-2.9400730822444127E-2</v>
      </c>
      <c r="D26" s="174">
        <f>'Input 5 - Scenario Design'!G103</f>
        <v>-3.1140062952496855E-2</v>
      </c>
      <c r="E26" s="174">
        <f>'Input 5 - Scenario Design'!H103</f>
        <v>2.8871442593204177E-2</v>
      </c>
      <c r="F26" s="174">
        <f>'Input 5 - Scenario Design'!I103</f>
        <v>2.933023694707515E-2</v>
      </c>
      <c r="G26" s="175">
        <f>'Input 5 - Scenario Design'!J103</f>
        <v>2.8000000000000025E-2</v>
      </c>
    </row>
    <row r="27" spans="1:17" customFormat="1">
      <c r="A27" s="20" t="s">
        <v>78</v>
      </c>
      <c r="B27" s="173">
        <f>'Input 5 - Scenario Design'!E104</f>
        <v>4.2122999157540031E-2</v>
      </c>
      <c r="C27" s="174">
        <f>'Input 5 - Scenario Design'!F104</f>
        <v>1.558575369468098E-2</v>
      </c>
      <c r="D27" s="174">
        <f>'Input 5 - Scenario Design'!G104</f>
        <v>1.2666567667486327E-2</v>
      </c>
      <c r="E27" s="174">
        <f>'Input 5 - Scenario Design'!H104</f>
        <v>2.5315565708619037E-2</v>
      </c>
      <c r="F27" s="174">
        <f>'Input 5 - Scenario Design'!I104</f>
        <v>2.4647711698661201E-2</v>
      </c>
      <c r="G27" s="175">
        <f>'Input 5 - Scenario Design'!J104</f>
        <v>2.5000000000000133E-2</v>
      </c>
    </row>
    <row r="28" spans="1:17" customFormat="1">
      <c r="A28" s="20" t="s">
        <v>828</v>
      </c>
      <c r="B28" s="173">
        <f>'Input 5 - Scenario Design'!E105</f>
        <v>0.36781832970756889</v>
      </c>
      <c r="C28" s="174">
        <f>'Input 5 - Scenario Design'!F105</f>
        <v>0.35899708650221951</v>
      </c>
      <c r="D28" s="174">
        <f>'Input 5 - Scenario Design'!G105</f>
        <v>0.35663219049317713</v>
      </c>
      <c r="E28" s="174">
        <f>'Input 5 - Scenario Design'!H105</f>
        <v>0.35111135216456818</v>
      </c>
      <c r="F28" s="174">
        <f>'Input 5 - Scenario Design'!I105</f>
        <v>0.34585635256377734</v>
      </c>
      <c r="G28" s="175">
        <f>'Input 5 - Scenario Design'!J105</f>
        <v>0.34585635256377734</v>
      </c>
    </row>
    <row r="29" spans="1:17" customFormat="1">
      <c r="A29" s="20" t="s">
        <v>80</v>
      </c>
      <c r="B29" s="173">
        <f>'Input 5 - Scenario Design'!E106</f>
        <v>0.36834134844430905</v>
      </c>
      <c r="C29" s="174">
        <f>'Input 5 - Scenario Design'!F106</f>
        <v>0.44041456163519449</v>
      </c>
      <c r="D29" s="174">
        <f>'Input 5 - Scenario Design'!G106</f>
        <v>0.35354366520139902</v>
      </c>
      <c r="E29" s="174">
        <f>'Input 5 - Scenario Design'!H106</f>
        <v>0.34889657983921007</v>
      </c>
      <c r="F29" s="174">
        <f>'Input 5 - Scenario Design'!I106</f>
        <v>0.33712624493397764</v>
      </c>
      <c r="G29" s="175">
        <f>'Input 5 - Scenario Design'!J106</f>
        <v>0.33712624493397758</v>
      </c>
    </row>
    <row r="30" spans="1:17" customFormat="1">
      <c r="A30" s="20" t="s">
        <v>147</v>
      </c>
      <c r="B30" s="173">
        <f>'Input 5 - Scenario Design'!E107</f>
        <v>-5.2301873674015509E-4</v>
      </c>
      <c r="C30" s="176">
        <f>'Input 5 - Scenario Design'!F107</f>
        <v>-8.1417475132974981E-2</v>
      </c>
      <c r="D30" s="176">
        <f>'Input 5 - Scenario Design'!G107</f>
        <v>3.0885252917781103E-3</v>
      </c>
      <c r="E30" s="176">
        <f>'Input 5 - Scenario Design'!H107</f>
        <v>2.2147723253581053E-3</v>
      </c>
      <c r="F30" s="176">
        <f>'Input 5 - Scenario Design'!I107</f>
        <v>8.7301076297996993E-3</v>
      </c>
      <c r="G30" s="177">
        <f>'Input 5 - Scenario Design'!J107</f>
        <v>8.7301076297997549E-3</v>
      </c>
    </row>
    <row r="31" spans="1:17" ht="15" customHeight="1">
      <c r="A31" s="20" t="s">
        <v>1129</v>
      </c>
      <c r="B31" s="229">
        <f>'Input 5 - Scenario Design'!E108</f>
        <v>1.18</v>
      </c>
      <c r="C31" s="230">
        <f>'Input 5 - Scenario Design'!F108</f>
        <v>1.1399999999999999</v>
      </c>
      <c r="D31" s="230">
        <f>'Input 5 - Scenario Design'!G108</f>
        <v>1.1399999999999999</v>
      </c>
      <c r="E31" s="230">
        <f>'Input 5 - Scenario Design'!H108</f>
        <v>1.1399999999999999</v>
      </c>
      <c r="F31" s="230">
        <f>'Input 5 - Scenario Design'!I108</f>
        <v>1.1399999999999999</v>
      </c>
      <c r="G31" s="231">
        <f>'Input 5 - Scenario Design'!J108</f>
        <v>1.1399999999999999</v>
      </c>
      <c r="I31" s="188"/>
      <c r="J31" s="188"/>
      <c r="K31" s="188"/>
      <c r="L31" s="188"/>
      <c r="M31" s="188"/>
      <c r="N31" s="188"/>
      <c r="O31" s="188"/>
      <c r="P31" s="188"/>
      <c r="Q31" s="189"/>
    </row>
    <row r="32" spans="1:17" customFormat="1">
      <c r="A32" s="20" t="s">
        <v>1130</v>
      </c>
      <c r="B32" s="229">
        <f>'Input 5 - Scenario Design'!E109</f>
        <v>1.18</v>
      </c>
      <c r="C32" s="230">
        <f>'Input 5 - Scenario Design'!F109</f>
        <v>1.1399999999999999</v>
      </c>
      <c r="D32" s="230">
        <f>'Input 5 - Scenario Design'!G109</f>
        <v>1.1399999999999999</v>
      </c>
      <c r="E32" s="230">
        <f>'Input 5 - Scenario Design'!H109</f>
        <v>1.1399999999999999</v>
      </c>
      <c r="F32" s="230">
        <f>'Input 5 - Scenario Design'!I109</f>
        <v>1.1399999999999999</v>
      </c>
      <c r="G32" s="231">
        <f>'Input 5 - Scenario Design'!J109</f>
        <v>1.1399999999999999</v>
      </c>
    </row>
    <row r="33" spans="1:17" customFormat="1">
      <c r="A33" s="20" t="s">
        <v>89</v>
      </c>
      <c r="B33" s="233">
        <f>'Input 5 - Scenario Design'!E110</f>
        <v>0</v>
      </c>
      <c r="C33" s="232">
        <f>'Input 5 - Scenario Design'!F110</f>
        <v>204.70863523532086</v>
      </c>
      <c r="D33" s="232">
        <f>'Input 5 - Scenario Design'!G110</f>
        <v>0</v>
      </c>
      <c r="E33" s="232">
        <f>'Input 5 - Scenario Design'!H110</f>
        <v>0</v>
      </c>
      <c r="F33" s="232">
        <f>'Input 5 - Scenario Design'!I110</f>
        <v>0</v>
      </c>
      <c r="G33" s="234">
        <f>'Input 5 - Scenario Design'!J110</f>
        <v>0</v>
      </c>
    </row>
    <row r="34" spans="1:17" customFormat="1">
      <c r="A34" s="20" t="s">
        <v>92</v>
      </c>
      <c r="B34" s="173">
        <f t="shared" ref="B34:G34" si="13">(1+B26)*(1+B27)-1</f>
        <v>9.1829313691506709E-2</v>
      </c>
      <c r="C34" s="174">
        <f t="shared" si="13"/>
        <v>-1.4273209676805232E-2</v>
      </c>
      <c r="D34" s="174">
        <f t="shared" si="13"/>
        <v>-1.8867932999568016E-2</v>
      </c>
      <c r="E34" s="174">
        <f t="shared" si="13"/>
        <v>5.4917905203894168E-2</v>
      </c>
      <c r="F34" s="174">
        <f t="shared" si="13"/>
        <v>5.470087187006123E-2</v>
      </c>
      <c r="G34" s="175">
        <f t="shared" si="13"/>
        <v>5.3700000000000081E-2</v>
      </c>
    </row>
    <row r="35" spans="1:17" ht="15" customHeight="1">
      <c r="A35" s="20" t="s">
        <v>10</v>
      </c>
      <c r="B35" s="190">
        <f>'Input 2 - Data'!P7*(1+B34)</f>
        <v>29515.482979464068</v>
      </c>
      <c r="C35" s="13">
        <f>B35*(1+C34)</f>
        <v>29094.202302186</v>
      </c>
      <c r="D35" s="13">
        <f>C35*(1+D34)</f>
        <v>28545.254842472477</v>
      </c>
      <c r="E35" s="13">
        <f>D35*(1+E34)</f>
        <v>30112.900441932383</v>
      </c>
      <c r="F35" s="13">
        <f>E35*(1+F34)</f>
        <v>31760.102350642435</v>
      </c>
      <c r="G35" s="191">
        <f>F35*(1+G34)</f>
        <v>33465.619846871938</v>
      </c>
      <c r="I35" s="188"/>
      <c r="J35" s="188"/>
      <c r="K35" s="188"/>
      <c r="L35" s="188"/>
      <c r="M35" s="188"/>
      <c r="N35" s="188"/>
      <c r="O35" s="188"/>
      <c r="P35" s="188"/>
      <c r="Q35" s="189"/>
    </row>
    <row r="36" spans="1:17" customFormat="1" ht="6" customHeight="1">
      <c r="A36" s="20"/>
      <c r="B36" s="170"/>
      <c r="C36" s="171"/>
      <c r="D36" s="171"/>
      <c r="E36" s="171"/>
      <c r="F36" s="171"/>
      <c r="G36" s="172"/>
    </row>
    <row r="37" spans="1:17" customFormat="1">
      <c r="A37" s="20" t="s">
        <v>96</v>
      </c>
      <c r="B37" s="178">
        <f t="shared" ref="B37:G37" si="14">B5/B35</f>
        <v>0.37094606570883371</v>
      </c>
      <c r="C37" s="179">
        <f t="shared" ca="1" si="14"/>
        <v>0.47766600541061732</v>
      </c>
      <c r="D37" s="179">
        <f t="shared" ca="1" si="14"/>
        <v>0.5054855835470623</v>
      </c>
      <c r="E37" s="179">
        <f t="shared" ca="1" si="14"/>
        <v>0.48872450546153479</v>
      </c>
      <c r="F37" s="179">
        <f t="shared" ca="1" si="14"/>
        <v>0.47461013602690455</v>
      </c>
      <c r="G37" s="180">
        <f t="shared" ca="1" si="14"/>
        <v>0.46125437322831736</v>
      </c>
    </row>
    <row r="38" spans="1:17" customFormat="1">
      <c r="A38" s="20" t="s">
        <v>100</v>
      </c>
      <c r="B38" s="178">
        <f t="shared" ref="B38:G38" si="15">B22/B35</f>
        <v>3.7107105982600995E-2</v>
      </c>
      <c r="C38" s="179">
        <f t="shared" ca="1" si="15"/>
        <v>7.7879648275187549E-2</v>
      </c>
      <c r="D38" s="179">
        <f t="shared" ca="1" si="15"/>
        <v>0.21543964993845216</v>
      </c>
      <c r="E38" s="179">
        <f t="shared" ca="1" si="15"/>
        <v>0.25729762330819755</v>
      </c>
      <c r="F38" s="179">
        <f t="shared" ca="1" si="15"/>
        <v>0.2635579328221675</v>
      </c>
      <c r="G38" s="180">
        <f t="shared" ca="1" si="15"/>
        <v>0.25997615832423598</v>
      </c>
    </row>
    <row r="39" spans="1:17" customFormat="1">
      <c r="A39" s="20" t="s">
        <v>98</v>
      </c>
      <c r="B39" s="178">
        <f t="shared" ref="B39:G39" si="16">B19/B35</f>
        <v>3.5994671534530134E-2</v>
      </c>
      <c r="C39" s="179">
        <f t="shared" ca="1" si="16"/>
        <v>0.1597631023693159</v>
      </c>
      <c r="D39" s="179">
        <f t="shared" ca="1" si="16"/>
        <v>0.21543964993845216</v>
      </c>
      <c r="E39" s="179">
        <f t="shared" ca="1" si="16"/>
        <v>0.25729762330819755</v>
      </c>
      <c r="F39" s="179">
        <f t="shared" ca="1" si="16"/>
        <v>0.2635579328221675</v>
      </c>
      <c r="G39" s="180">
        <f t="shared" ca="1" si="16"/>
        <v>0.25997615832423598</v>
      </c>
    </row>
    <row r="40" spans="1:17" customFormat="1">
      <c r="A40" s="20" t="s">
        <v>1175</v>
      </c>
      <c r="B40" s="178">
        <f>B5/(B47+B48)</f>
        <v>1.0040391596609757</v>
      </c>
      <c r="C40" s="179" t="e">
        <f ca="1">C5/C47</f>
        <v>#DIV/0!</v>
      </c>
      <c r="D40" s="179" t="e">
        <f ca="1">D5/D47</f>
        <v>#DIV/0!</v>
      </c>
      <c r="E40" s="179" t="e">
        <f ca="1">E5/E47</f>
        <v>#DIV/0!</v>
      </c>
      <c r="F40" s="179" t="e">
        <f ca="1">F5/F47</f>
        <v>#DIV/0!</v>
      </c>
      <c r="G40" s="180" t="e">
        <f ca="1">G5/G47</f>
        <v>#DIV/0!</v>
      </c>
    </row>
    <row r="41" spans="1:17" customFormat="1">
      <c r="A41" s="20" t="s">
        <v>1176</v>
      </c>
      <c r="B41" s="178">
        <f>B22/(B47+B48)</f>
        <v>0.10043774810504542</v>
      </c>
      <c r="C41" s="179" t="e">
        <f ca="1">C22/C47</f>
        <v>#DIV/0!</v>
      </c>
      <c r="D41" s="179" t="e">
        <f ca="1">D22/D47</f>
        <v>#DIV/0!</v>
      </c>
      <c r="E41" s="179" t="e">
        <f ca="1">E22/E47</f>
        <v>#DIV/0!</v>
      </c>
      <c r="F41" s="179" t="e">
        <f ca="1">F22/F47</f>
        <v>#DIV/0!</v>
      </c>
      <c r="G41" s="180" t="e">
        <f ca="1">G22/G47</f>
        <v>#DIV/0!</v>
      </c>
    </row>
    <row r="42" spans="1:17" customFormat="1">
      <c r="A42" s="20" t="s">
        <v>99</v>
      </c>
      <c r="B42" s="178">
        <f>B19/(B47+B48)</f>
        <v>9.7426723453025818E-2</v>
      </c>
      <c r="C42" s="179" t="e">
        <f ca="1">C19/C47</f>
        <v>#DIV/0!</v>
      </c>
      <c r="D42" s="179" t="e">
        <f ca="1">D19/D47</f>
        <v>#DIV/0!</v>
      </c>
      <c r="E42" s="179" t="e">
        <f ca="1">E19/E47</f>
        <v>#DIV/0!</v>
      </c>
      <c r="F42" s="179" t="e">
        <f ca="1">F19/F47</f>
        <v>#DIV/0!</v>
      </c>
      <c r="G42" s="180" t="e">
        <f ca="1">G19/G47</f>
        <v>#DIV/0!</v>
      </c>
    </row>
    <row r="43" spans="1:17" ht="6" customHeight="1" thickBot="1">
      <c r="A43" s="17"/>
      <c r="B43" s="181"/>
      <c r="C43" s="182"/>
      <c r="D43" s="182"/>
      <c r="E43" s="182"/>
      <c r="F43" s="182"/>
      <c r="G43" s="183"/>
    </row>
    <row r="44" spans="1:17" ht="6" customHeight="1" thickBot="1">
      <c r="B44" s="7"/>
      <c r="C44" s="7"/>
      <c r="D44" s="7"/>
      <c r="E44" s="7"/>
      <c r="F44" s="7"/>
      <c r="G44" s="7"/>
      <c r="I44" s="184"/>
      <c r="J44" s="184"/>
      <c r="K44" s="184"/>
      <c r="L44" s="184"/>
      <c r="M44" s="184"/>
      <c r="N44" s="184"/>
      <c r="O44" s="184"/>
      <c r="P44" s="184"/>
    </row>
    <row r="45" spans="1:17" ht="15.75" thickBot="1">
      <c r="B45" s="165">
        <f>FirstYear</f>
        <v>2018</v>
      </c>
      <c r="C45" s="166">
        <f>B45+1</f>
        <v>2019</v>
      </c>
      <c r="D45" s="166">
        <f>C45+1</f>
        <v>2020</v>
      </c>
      <c r="E45" s="166">
        <f>D45+1</f>
        <v>2021</v>
      </c>
      <c r="F45" s="166">
        <f>E45+1</f>
        <v>2022</v>
      </c>
      <c r="G45" s="167">
        <f>F45+1</f>
        <v>2023</v>
      </c>
      <c r="I45" s="184"/>
      <c r="J45" s="184"/>
      <c r="K45" s="184"/>
      <c r="L45" s="184"/>
      <c r="M45" s="184"/>
      <c r="N45" s="184"/>
      <c r="O45" s="184"/>
      <c r="P45" s="184"/>
    </row>
    <row r="46" spans="1:17" ht="6" customHeight="1" thickBot="1">
      <c r="B46" s="195"/>
      <c r="C46" s="195"/>
      <c r="D46" s="195"/>
      <c r="E46" s="195"/>
      <c r="F46" s="195"/>
      <c r="G46" s="195"/>
      <c r="I46" s="188"/>
      <c r="J46" s="188"/>
      <c r="K46" s="188"/>
      <c r="L46" s="188"/>
      <c r="M46" s="188"/>
      <c r="N46" s="188"/>
      <c r="O46" s="188"/>
      <c r="P46" s="188"/>
      <c r="Q46" s="189"/>
    </row>
    <row r="47" spans="1:17" ht="15" customHeight="1">
      <c r="A47" s="1384" t="s">
        <v>830</v>
      </c>
      <c r="B47" s="185">
        <f t="shared" ref="B47:G47" si="17">B28*B$35</f>
        <v>10856.335650018653</v>
      </c>
      <c r="C47" s="186">
        <f t="shared" si="17"/>
        <v>10444.733860590941</v>
      </c>
      <c r="D47" s="186">
        <f t="shared" si="17"/>
        <v>10180.156762656932</v>
      </c>
      <c r="E47" s="186">
        <f t="shared" si="17"/>
        <v>10572.981191763902</v>
      </c>
      <c r="F47" s="186">
        <f t="shared" si="17"/>
        <v>10984.433156045443</v>
      </c>
      <c r="G47" s="187">
        <f t="shared" si="17"/>
        <v>11574.297216525085</v>
      </c>
      <c r="I47" s="188"/>
      <c r="J47" s="188"/>
      <c r="K47" s="188"/>
      <c r="L47" s="188"/>
      <c r="M47" s="188"/>
      <c r="N47" s="188"/>
      <c r="O47" s="188"/>
      <c r="P47" s="188"/>
      <c r="Q47" s="189"/>
    </row>
    <row r="48" spans="1:17" s="281" customFormat="1" ht="15" customHeight="1">
      <c r="A48" s="1383" t="s">
        <v>824</v>
      </c>
      <c r="B48" s="190">
        <f>'Input 4 - Forecast'!C21</f>
        <v>48.271190640000007</v>
      </c>
      <c r="C48" s="13">
        <f>'Input 4 - Forecast'!D21</f>
        <v>51.337460912386192</v>
      </c>
      <c r="D48" s="13">
        <f>'Input 4 - Forecast'!E21</f>
        <v>54.35210618984911</v>
      </c>
      <c r="E48" s="13">
        <f>'Input 4 - Forecast'!F21</f>
        <v>57.337010005215234</v>
      </c>
      <c r="F48" s="13">
        <f>'Input 4 - Forecast'!G21</f>
        <v>60.473394442922938</v>
      </c>
      <c r="G48" s="191">
        <f>'Input 4 - Forecast'!H21</f>
        <v>63.71294897394791</v>
      </c>
      <c r="I48" s="188"/>
      <c r="J48" s="188"/>
      <c r="K48" s="188"/>
      <c r="L48" s="188"/>
      <c r="M48" s="188"/>
      <c r="N48" s="188"/>
      <c r="O48" s="188"/>
      <c r="P48" s="188"/>
      <c r="Q48" s="189"/>
    </row>
    <row r="49" spans="1:17" ht="15" customHeight="1">
      <c r="A49" s="5" t="s">
        <v>69</v>
      </c>
      <c r="B49" s="190">
        <f t="shared" ref="B49:G49" si="18">B29*B$35</f>
        <v>10871.772800640847</v>
      </c>
      <c r="C49" s="13">
        <f t="shared" si="18"/>
        <v>12813.510353042913</v>
      </c>
      <c r="D49" s="13">
        <f t="shared" si="18"/>
        <v>10091.994021115703</v>
      </c>
      <c r="E49" s="13">
        <f t="shared" si="18"/>
        <v>10506.287973228846</v>
      </c>
      <c r="F49" s="13">
        <f t="shared" si="18"/>
        <v>10707.16404419088</v>
      </c>
      <c r="G49" s="191">
        <f t="shared" si="18"/>
        <v>11282.13875336393</v>
      </c>
      <c r="I49" s="188"/>
      <c r="J49" s="188"/>
      <c r="K49" s="188"/>
      <c r="L49" s="188"/>
      <c r="M49" s="188"/>
      <c r="N49" s="188"/>
      <c r="O49" s="188"/>
      <c r="P49" s="188"/>
      <c r="Q49" s="189"/>
    </row>
    <row r="50" spans="1:17" ht="15" customHeight="1">
      <c r="A50" s="3" t="s">
        <v>66</v>
      </c>
      <c r="B50" s="190">
        <f>'Input 4 - Forecast'!C24</f>
        <v>174.85657659911266</v>
      </c>
      <c r="C50" s="13">
        <f>'Input 4 - Forecast'!D24</f>
        <v>162.29082986591305</v>
      </c>
      <c r="D50" s="13">
        <f>'Input 4 - Forecast'!E24</f>
        <v>139.59781983027952</v>
      </c>
      <c r="E50" s="13">
        <f>'Input 4 - Forecast'!F24</f>
        <v>135.40250794027952</v>
      </c>
      <c r="F50" s="13">
        <f>'Input 4 - Forecast'!G24</f>
        <v>103.26669278984103</v>
      </c>
      <c r="G50" s="191">
        <f>'Input 4 - Forecast'!H24</f>
        <v>95.657544050000013</v>
      </c>
      <c r="I50" s="197" t="s">
        <v>87</v>
      </c>
      <c r="J50" s="188"/>
      <c r="K50" s="188"/>
      <c r="L50" s="188"/>
      <c r="M50" s="188"/>
      <c r="N50" s="188"/>
      <c r="O50" s="188"/>
      <c r="P50" s="188"/>
      <c r="Q50" s="189"/>
    </row>
    <row r="51" spans="1:17" ht="15" customHeight="1" thickBot="1">
      <c r="A51" s="198" t="s">
        <v>65</v>
      </c>
      <c r="B51" s="192">
        <f>('Input 4 - Forecast'!C25/'Input 4 - Forecast'!C$17)*B31</f>
        <v>36.103082014354982</v>
      </c>
      <c r="C51" s="193">
        <f>('Input 4 - Forecast'!D25/'Input 4 - Forecast'!D$17)*C31</f>
        <v>36.793459074872004</v>
      </c>
      <c r="D51" s="193">
        <f>('Input 4 - Forecast'!E25/'Input 4 - Forecast'!E$17)*D31</f>
        <v>28.352366134432003</v>
      </c>
      <c r="E51" s="193">
        <f>('Input 4 - Forecast'!F25/'Input 4 - Forecast'!F$17)*E31</f>
        <v>10.689095726641995</v>
      </c>
      <c r="F51" s="193">
        <f>('Input 4 - Forecast'!G25/'Input 4 - Forecast'!G$17)*F31</f>
        <v>0.23301181859500275</v>
      </c>
      <c r="G51" s="194">
        <f>('Input 4 - Forecast'!H25/'Input 4 - Forecast'!H$17)*G31</f>
        <v>0.22278209171348351</v>
      </c>
      <c r="I51" s="197" t="s">
        <v>85</v>
      </c>
      <c r="J51" s="188"/>
      <c r="K51" s="188"/>
      <c r="L51" s="188"/>
      <c r="M51" s="188"/>
      <c r="N51" s="188"/>
      <c r="O51" s="188"/>
      <c r="P51" s="188"/>
      <c r="Q51" s="189"/>
    </row>
    <row r="52" spans="1:17" ht="6" customHeight="1" thickBot="1">
      <c r="B52" s="195"/>
      <c r="C52" s="195"/>
      <c r="D52" s="195"/>
      <c r="E52" s="195"/>
      <c r="F52" s="195"/>
      <c r="G52" s="195"/>
      <c r="I52" s="199"/>
      <c r="J52" s="199"/>
      <c r="K52" s="199"/>
      <c r="L52" s="199"/>
      <c r="M52" s="199"/>
      <c r="N52" s="199"/>
      <c r="O52" s="199"/>
      <c r="P52" s="199"/>
    </row>
    <row r="53" spans="1:17">
      <c r="A53" s="196" t="s">
        <v>67</v>
      </c>
      <c r="B53" s="185">
        <f>'Input 4 - Forecast'!C27</f>
        <v>880.82751076386637</v>
      </c>
      <c r="C53" s="186">
        <f>'Input 4 - Forecast'!D27</f>
        <v>974.88479061012663</v>
      </c>
      <c r="D53" s="186">
        <f>'Input 4 - Forecast'!E27</f>
        <v>693.56222634999995</v>
      </c>
      <c r="E53" s="186">
        <f>'Input 4 - Forecast'!F27</f>
        <v>1100.0445500352976</v>
      </c>
      <c r="F53" s="186">
        <f>'Input 4 - Forecast'!G27</f>
        <v>305.67470971030548</v>
      </c>
      <c r="G53" s="187">
        <f>'Input 4 - Forecast'!H27</f>
        <v>259.28679624</v>
      </c>
      <c r="I53" s="197" t="s">
        <v>88</v>
      </c>
      <c r="J53" s="199"/>
      <c r="K53" s="199"/>
      <c r="L53" s="199"/>
      <c r="M53" s="199"/>
      <c r="N53" s="199"/>
      <c r="O53" s="199"/>
      <c r="P53" s="199"/>
    </row>
    <row r="54" spans="1:17" ht="15.75" thickBot="1">
      <c r="A54" s="198" t="s">
        <v>68</v>
      </c>
      <c r="B54" s="192">
        <f>('Input 4 - Forecast'!C28/'Input 4 - Forecast'!C$17)*B31</f>
        <v>3.4469856692949747</v>
      </c>
      <c r="C54" s="193">
        <f>('Input 4 - Forecast'!D28/'Input 4 - Forecast'!D$17)*C31</f>
        <v>0.42613768651699502</v>
      </c>
      <c r="D54" s="193">
        <f>('Input 4 - Forecast'!E28/'Input 4 - Forecast'!E$17)*D31</f>
        <v>613.46644681095995</v>
      </c>
      <c r="E54" s="193">
        <f>('Input 4 - Forecast'!F28/'Input 4 - Forecast'!F$17)*E31</f>
        <v>352.96984703798012</v>
      </c>
      <c r="F54" s="193">
        <f>('Input 4 - Forecast'!G28/'Input 4 - Forecast'!G$17)*F31</f>
        <v>0.34099085799599038</v>
      </c>
      <c r="G54" s="194">
        <f>('Input 4 - Forecast'!H28/'Input 4 - Forecast'!H$17)*G31</f>
        <v>0</v>
      </c>
      <c r="I54" s="197" t="s">
        <v>86</v>
      </c>
      <c r="J54" s="199"/>
      <c r="K54" s="199"/>
      <c r="L54" s="199"/>
      <c r="M54" s="199"/>
      <c r="N54" s="199"/>
      <c r="O54" s="199"/>
      <c r="P54" s="199"/>
    </row>
    <row r="55" spans="1:17" ht="15.75" thickBot="1">
      <c r="B55" s="195"/>
      <c r="C55" s="195"/>
      <c r="D55" s="195"/>
      <c r="E55" s="195"/>
      <c r="F55" s="195"/>
      <c r="G55" s="195"/>
      <c r="I55" s="199"/>
      <c r="J55" s="199"/>
      <c r="K55" s="199"/>
      <c r="L55" s="199"/>
      <c r="M55" s="199"/>
      <c r="N55" s="199"/>
      <c r="O55" s="199"/>
      <c r="P55" s="199"/>
    </row>
    <row r="56" spans="1:17" ht="15.75" thickBot="1">
      <c r="A56" s="200" t="s">
        <v>5</v>
      </c>
      <c r="B56" s="201">
        <f>'Input 4 - Forecast'!C30</f>
        <v>0</v>
      </c>
      <c r="C56" s="202">
        <f>'Input 4 - Forecast'!D30</f>
        <v>0</v>
      </c>
      <c r="D56" s="202">
        <f>'Input 4 - Forecast'!E30</f>
        <v>0</v>
      </c>
      <c r="E56" s="202">
        <f>'Input 4 - Forecast'!F30</f>
        <v>0</v>
      </c>
      <c r="F56" s="202">
        <f>'Input 4 - Forecast'!G30</f>
        <v>0</v>
      </c>
      <c r="G56" s="203">
        <f>'Input 4 - Forecast'!H30</f>
        <v>0</v>
      </c>
      <c r="I56" s="199"/>
      <c r="J56" s="199"/>
      <c r="K56" s="199"/>
      <c r="L56" s="199"/>
      <c r="M56" s="199"/>
      <c r="N56" s="199"/>
      <c r="O56" s="199"/>
      <c r="P56" s="199"/>
    </row>
    <row r="57" spans="1:17" ht="15.75" thickBot="1">
      <c r="B57" s="195"/>
      <c r="C57" s="195"/>
      <c r="D57" s="195"/>
      <c r="E57" s="195"/>
      <c r="F57" s="195"/>
      <c r="G57" s="195"/>
      <c r="I57" s="199"/>
      <c r="J57" s="199"/>
      <c r="K57" s="199"/>
      <c r="L57" s="199"/>
      <c r="M57" s="199"/>
      <c r="N57" s="199"/>
      <c r="O57" s="199"/>
      <c r="P57" s="199"/>
    </row>
    <row r="58" spans="1:17">
      <c r="A58" s="196" t="s">
        <v>47</v>
      </c>
      <c r="B58" s="185">
        <f>'Input 4 - Forecast'!C32</f>
        <v>0</v>
      </c>
      <c r="C58" s="245">
        <f ca="1">SUM(W119:W124,W138:W171,W214:W219,W233:W266,W307:W312)+Baseline!W282+'Input 5 - Scenario Design'!B106*C35*'Baseline debt'!Q64/2</f>
        <v>70.08505560536959</v>
      </c>
      <c r="D58" s="186">
        <f ca="1">SUM(X119:X124,X138:X171,X214:X219,X233:X266,X307:X312)+Baseline!X282</f>
        <v>242.16801444044592</v>
      </c>
      <c r="E58" s="186">
        <f ca="1">SUM(Y119:Y124,Y138:Y171,Y214:Y219,Y233:Y266,Y307:Y312)+Baseline!Y282</f>
        <v>223.29738541374655</v>
      </c>
      <c r="F58" s="186">
        <f ca="1">SUM(Z119:Z124,Z138:Z171,Z214:Z219,Z233:Z266,Z307:Z312)+Baseline!Z282</f>
        <v>298.75275110835031</v>
      </c>
      <c r="G58" s="187">
        <f ca="1">SUM(AA119:AA124,AA138:AA171,AA214:AA219,AA233:AA266,AA307:AA312)+Baseline!AA282</f>
        <v>323.51951266929757</v>
      </c>
      <c r="I58" s="199"/>
      <c r="J58" s="199"/>
      <c r="K58" s="199"/>
      <c r="L58" s="199"/>
      <c r="M58" s="199"/>
      <c r="N58" s="199"/>
      <c r="O58" s="199"/>
      <c r="P58" s="199"/>
    </row>
    <row r="59" spans="1:17">
      <c r="A59" s="5" t="s">
        <v>48</v>
      </c>
      <c r="B59" s="190">
        <f>'Input 4 - Forecast'!C33</f>
        <v>0</v>
      </c>
      <c r="C59" s="13">
        <f ca="1">SUM(W128:W133,W175:W210,W223:W229,W270:W303,Baseline!W283)*C31</f>
        <v>0</v>
      </c>
      <c r="D59" s="13">
        <f ca="1">SUM(X128:X133,X175:X210,X223:X229,X270:X303,Baseline!X283)*D31</f>
        <v>0</v>
      </c>
      <c r="E59" s="13">
        <f ca="1">SUM(Y128:Y133,Y175:Y210,Y223:Y229,Y270:Y303,Baseline!Y283)*E31</f>
        <v>0</v>
      </c>
      <c r="F59" s="13">
        <f ca="1">SUM(Z128:Z133,Z175:Z210,Z223:Z229,Z270:Z303,Baseline!Z283)*F31</f>
        <v>0</v>
      </c>
      <c r="G59" s="191">
        <f ca="1">SUM(AA128:AA133,AA175:AA210,AA223:AA229,AA270:AA303,Baseline!AA283)*G31</f>
        <v>0</v>
      </c>
      <c r="I59" s="199"/>
      <c r="J59" s="199"/>
      <c r="K59" s="199"/>
      <c r="L59" s="199"/>
      <c r="M59" s="199"/>
      <c r="N59" s="199"/>
      <c r="O59" s="199"/>
      <c r="P59" s="199"/>
    </row>
    <row r="60" spans="1:17">
      <c r="A60" s="5" t="s">
        <v>49</v>
      </c>
      <c r="B60" s="190">
        <f>'Input 4 - Forecast'!C34</f>
        <v>0</v>
      </c>
      <c r="C60" s="13">
        <f ca="1">SUM(P119:P124,P138:P171,P214:P219,P233:P266,P307:P312)</f>
        <v>934.00594810140706</v>
      </c>
      <c r="D60" s="13">
        <f ca="1">SUM(Q119:Q124,Q138:Q171,Q214:Q219,Q233:Q266,Q307:Q312)</f>
        <v>4246.9564775813742</v>
      </c>
      <c r="E60" s="13">
        <f ca="1">SUM(R119:R124,R138:R171,R214:R219,R233:R266,R307:R312)</f>
        <v>5890.344955882395</v>
      </c>
      <c r="F60" s="13">
        <f ca="1">SUM(S119:S124,S138:S171,S214:S219,S233:S266,S307:S312)</f>
        <v>7563.9831740362406</v>
      </c>
      <c r="G60" s="191">
        <f ca="1">SUM(T119:T124,T138:T171,T214:T219,T233:T266,T307:T312)</f>
        <v>8176.8562459027135</v>
      </c>
      <c r="I60" s="199"/>
      <c r="J60" s="199"/>
      <c r="K60" s="199"/>
      <c r="L60" s="199"/>
      <c r="M60" s="199"/>
      <c r="N60" s="199"/>
      <c r="O60" s="199"/>
      <c r="P60" s="199"/>
    </row>
    <row r="61" spans="1:17" ht="15.75" thickBot="1">
      <c r="A61" s="198" t="s">
        <v>50</v>
      </c>
      <c r="B61" s="192">
        <f>'Input 4 - Forecast'!C35</f>
        <v>0</v>
      </c>
      <c r="C61" s="193">
        <f ca="1">SUM(P128:P134,P175:P210,P223:P229,P270:P303)*C31</f>
        <v>0</v>
      </c>
      <c r="D61" s="193">
        <f ca="1">SUM(Q128:Q134,Q175:Q210,Q223:Q229,Q270:Q303)*D31</f>
        <v>0</v>
      </c>
      <c r="E61" s="193">
        <f ca="1">SUM(R128:R134,R175:R210,R223:R229,R270:R303)*E31</f>
        <v>0</v>
      </c>
      <c r="F61" s="193">
        <f ca="1">SUM(S128:S134,S175:S210,S223:S229,S270:S303)*F31</f>
        <v>0</v>
      </c>
      <c r="G61" s="194">
        <f ca="1">SUM(T128:T134,T175:T210,T223:T229,T270:T303)*G31</f>
        <v>0</v>
      </c>
      <c r="I61" s="199"/>
      <c r="J61" s="199"/>
      <c r="K61" s="199"/>
      <c r="L61" s="199"/>
      <c r="M61" s="199"/>
      <c r="N61" s="199"/>
      <c r="O61" s="199"/>
      <c r="P61" s="199"/>
    </row>
    <row r="62" spans="1:17" ht="15.75" thickBot="1">
      <c r="B62" s="195"/>
      <c r="C62" s="195"/>
      <c r="D62" s="195"/>
      <c r="E62" s="195"/>
      <c r="F62" s="195"/>
      <c r="G62" s="195"/>
      <c r="I62" s="199"/>
      <c r="J62" s="199"/>
      <c r="K62" s="199"/>
      <c r="L62" s="199"/>
      <c r="M62" s="199"/>
      <c r="N62" s="199"/>
      <c r="O62" s="199"/>
      <c r="P62" s="199"/>
    </row>
    <row r="63" spans="1:17" ht="15.75" thickBot="1">
      <c r="A63" s="200" t="s">
        <v>4</v>
      </c>
      <c r="B63" s="1386">
        <f t="shared" ref="B63:G63" si="19">SUM(B49:B51,B53:B54,B56,B58:B61)-SUM(B47:B48)</f>
        <v>1062.4001150288241</v>
      </c>
      <c r="C63" s="1386">
        <f t="shared" ca="1" si="19"/>
        <v>4567.055792010482</v>
      </c>
      <c r="D63" s="1386">
        <f t="shared" ca="1" si="19"/>
        <v>6040.1244920218196</v>
      </c>
      <c r="E63" s="1386">
        <f t="shared" ca="1" si="19"/>
        <v>7611.951993136141</v>
      </c>
      <c r="F63" s="1386">
        <f t="shared" ca="1" si="19"/>
        <v>8227.6606148245901</v>
      </c>
      <c r="G63" s="1387">
        <f t="shared" ca="1" si="19"/>
        <v>8563.9438040920104</v>
      </c>
      <c r="I63" s="199"/>
      <c r="J63" s="199"/>
      <c r="L63" s="199"/>
      <c r="M63" s="199"/>
      <c r="N63" s="199"/>
      <c r="O63" s="199"/>
      <c r="P63" s="199"/>
    </row>
    <row r="64" spans="1:17" ht="15.75" thickBot="1">
      <c r="B64" s="195"/>
      <c r="C64" s="195"/>
      <c r="D64" s="195"/>
      <c r="E64" s="195"/>
      <c r="F64" s="195"/>
      <c r="G64" s="195"/>
      <c r="I64" s="199"/>
      <c r="J64" s="199"/>
      <c r="K64" s="199"/>
      <c r="L64" s="199"/>
      <c r="M64" s="199"/>
      <c r="N64" s="199"/>
      <c r="O64" s="199"/>
      <c r="P64" s="199"/>
    </row>
    <row r="65" spans="1:17">
      <c r="A65" s="1816" t="s">
        <v>1137</v>
      </c>
      <c r="B65" s="186">
        <f>'Input 4 - Forecast'!C39</f>
        <v>0</v>
      </c>
      <c r="C65" s="186">
        <f>'Input 4 - Forecast'!D39</f>
        <v>0</v>
      </c>
      <c r="D65" s="186">
        <f>'Input 4 - Forecast'!E39</f>
        <v>0</v>
      </c>
      <c r="E65" s="186">
        <f>'Input 4 - Forecast'!F39</f>
        <v>0</v>
      </c>
      <c r="F65" s="186">
        <f>'Input 4 - Forecast'!G39</f>
        <v>0</v>
      </c>
      <c r="G65" s="187">
        <f>'Input 4 - Forecast'!H39</f>
        <v>0</v>
      </c>
      <c r="I65" s="199"/>
      <c r="J65" s="199"/>
      <c r="K65" s="199"/>
      <c r="L65" s="199"/>
      <c r="M65" s="199"/>
      <c r="N65" s="199"/>
      <c r="O65" s="199"/>
      <c r="P65" s="199"/>
    </row>
    <row r="66" spans="1:17">
      <c r="A66" s="1817" t="s">
        <v>1138</v>
      </c>
      <c r="B66" s="13">
        <f>('Input 4 - Forecast'!C40/'Input 4 - Forecast'!C$17)*'Input 5 - Scenario Design'!E$48</f>
        <v>0</v>
      </c>
      <c r="C66" s="13">
        <f>('Input 4 - Forecast'!D40/'Input 4 - Forecast'!D$17)*'Input 5 - Scenario Design'!F$48</f>
        <v>0</v>
      </c>
      <c r="D66" s="13">
        <f>('Input 4 - Forecast'!E40/'Input 4 - Forecast'!E$17)*'Input 5 - Scenario Design'!G$48</f>
        <v>0</v>
      </c>
      <c r="E66" s="13">
        <f>('Input 4 - Forecast'!F40/'Input 4 - Forecast'!F$17)*'Input 5 - Scenario Design'!H$48</f>
        <v>0</v>
      </c>
      <c r="F66" s="13">
        <f>('Input 4 - Forecast'!G40/'Input 4 - Forecast'!G$17)*'Input 5 - Scenario Design'!I$48</f>
        <v>0</v>
      </c>
      <c r="G66" s="191">
        <f>('Input 4 - Forecast'!H40/'Input 4 - Forecast'!H$17)*'Input 5 - Scenario Design'!J$48</f>
        <v>0</v>
      </c>
      <c r="I66" s="197" t="s">
        <v>90</v>
      </c>
      <c r="J66" s="199"/>
      <c r="K66" s="199"/>
      <c r="L66" s="199"/>
      <c r="M66" s="199"/>
      <c r="N66" s="199"/>
      <c r="O66" s="199"/>
      <c r="P66" s="199"/>
    </row>
    <row r="67" spans="1:17">
      <c r="A67" s="1817" t="s">
        <v>8</v>
      </c>
      <c r="B67" s="13">
        <f>('Input 4 - Forecast'!C41/'Input 4 - Forecast'!C$17)*'Input 5 - Scenario Design'!E$48</f>
        <v>0</v>
      </c>
      <c r="C67" s="13">
        <f>('Input 4 - Forecast'!D41/'Input 4 - Forecast'!D$17)*'Input 5 - Scenario Design'!F$48</f>
        <v>0</v>
      </c>
      <c r="D67" s="13">
        <f>('Input 4 - Forecast'!E41/'Input 4 - Forecast'!E$17)*'Input 5 - Scenario Design'!G$48</f>
        <v>0</v>
      </c>
      <c r="E67" s="13">
        <f>('Input 4 - Forecast'!F41/'Input 4 - Forecast'!F$17)*'Input 5 - Scenario Design'!H$48</f>
        <v>0</v>
      </c>
      <c r="F67" s="13">
        <f>('Input 4 - Forecast'!G41/'Input 4 - Forecast'!G$17)*'Input 5 - Scenario Design'!I$48</f>
        <v>0</v>
      </c>
      <c r="G67" s="191">
        <f>('Input 4 - Forecast'!H41/'Input 4 - Forecast'!H$17)*'Input 5 - Scenario Design'!J$48</f>
        <v>0</v>
      </c>
      <c r="I67" s="197" t="s">
        <v>91</v>
      </c>
      <c r="J67" s="199"/>
      <c r="K67" s="199"/>
      <c r="L67" s="199"/>
      <c r="M67" s="199"/>
      <c r="N67" s="199"/>
      <c r="O67" s="199"/>
      <c r="P67" s="199"/>
    </row>
    <row r="68" spans="1:17">
      <c r="A68" s="1817" t="str">
        <f>'Input 2 - Data'!D31</f>
        <v>Please specify (1) (e.g., privatization receipts) (+ reduces financing needs)</v>
      </c>
      <c r="B68" s="13">
        <f>'Input 4 - Forecast'!C42</f>
        <v>0</v>
      </c>
      <c r="C68" s="13">
        <f>'Input 4 - Forecast'!D42</f>
        <v>0</v>
      </c>
      <c r="D68" s="13">
        <f>'Input 4 - Forecast'!E42</f>
        <v>0</v>
      </c>
      <c r="E68" s="13">
        <f>'Input 4 - Forecast'!F42</f>
        <v>0</v>
      </c>
      <c r="F68" s="13">
        <f>'Input 4 - Forecast'!G42</f>
        <v>0</v>
      </c>
      <c r="G68" s="191">
        <f>'Input 4 - Forecast'!H42</f>
        <v>0</v>
      </c>
      <c r="I68" s="199"/>
      <c r="J68" s="199"/>
      <c r="K68" s="199"/>
      <c r="L68" s="199"/>
      <c r="M68" s="199"/>
      <c r="N68" s="199"/>
      <c r="O68" s="199"/>
      <c r="P68" s="199"/>
    </row>
    <row r="69" spans="1:17" s="281" customFormat="1" ht="15.75" thickBot="1">
      <c r="A69" s="1818" t="str">
        <f>'Input 2 - Data'!D32</f>
        <v>Please specify (2) (e.g., other debt flows) (+ increases financing needs)</v>
      </c>
      <c r="B69" s="193">
        <f>'Input 4 - Forecast'!C43</f>
        <v>0</v>
      </c>
      <c r="C69" s="193">
        <f>'Input 4 - Forecast'!D43</f>
        <v>0</v>
      </c>
      <c r="D69" s="193">
        <f>'Input 4 - Forecast'!E43</f>
        <v>0</v>
      </c>
      <c r="E69" s="193">
        <f>'Input 4 - Forecast'!F43</f>
        <v>0</v>
      </c>
      <c r="F69" s="193">
        <f>'Input 4 - Forecast'!G43</f>
        <v>0</v>
      </c>
      <c r="G69" s="194">
        <f>'Input 4 - Forecast'!H43</f>
        <v>0</v>
      </c>
      <c r="I69" s="199"/>
      <c r="J69" s="199"/>
      <c r="K69" s="199"/>
      <c r="L69" s="199"/>
      <c r="M69" s="199"/>
      <c r="N69" s="199"/>
      <c r="O69" s="199"/>
      <c r="P69" s="199"/>
    </row>
    <row r="70" spans="1:17" ht="15.75" thickBot="1">
      <c r="B70" s="195"/>
      <c r="C70" s="195"/>
      <c r="D70" s="195"/>
      <c r="E70" s="195"/>
      <c r="F70" s="195"/>
      <c r="G70" s="195"/>
      <c r="I70" s="235"/>
      <c r="J70" s="235"/>
      <c r="K70" s="199"/>
      <c r="L70" s="199"/>
      <c r="M70" s="199"/>
      <c r="N70" s="199"/>
      <c r="O70" s="199"/>
      <c r="P70" s="199"/>
    </row>
    <row r="71" spans="1:17" ht="16.5" customHeight="1" thickBot="1">
      <c r="A71" s="200" t="s">
        <v>1141</v>
      </c>
      <c r="B71" s="202">
        <f t="shared" ref="B71:G71" si="20">B63-B65-B66-B67-B68+B69</f>
        <v>1062.4001150288241</v>
      </c>
      <c r="C71" s="202">
        <f t="shared" ca="1" si="20"/>
        <v>4567.055792010482</v>
      </c>
      <c r="D71" s="202">
        <f t="shared" ca="1" si="20"/>
        <v>6040.1244920218196</v>
      </c>
      <c r="E71" s="202">
        <f t="shared" ca="1" si="20"/>
        <v>7611.951993136141</v>
      </c>
      <c r="F71" s="202">
        <f t="shared" ca="1" si="20"/>
        <v>8227.6606148245901</v>
      </c>
      <c r="G71" s="203">
        <f t="shared" ca="1" si="20"/>
        <v>8563.9438040920104</v>
      </c>
      <c r="I71" s="236"/>
      <c r="J71" s="236"/>
    </row>
    <row r="72" spans="1:17" ht="15.75" thickBot="1">
      <c r="A72" s="4"/>
      <c r="B72" s="13"/>
      <c r="C72" s="13"/>
      <c r="D72" s="13"/>
      <c r="E72" s="13"/>
      <c r="F72" s="13"/>
      <c r="G72" s="13"/>
      <c r="I72" s="184"/>
      <c r="J72" s="184"/>
      <c r="K72" s="184"/>
      <c r="L72" s="184"/>
      <c r="M72" s="184"/>
      <c r="N72" s="184"/>
      <c r="O72" s="184"/>
      <c r="P72" s="184"/>
    </row>
    <row r="73" spans="1:17" ht="82.5" customHeight="1" thickBot="1">
      <c r="A73" s="2" t="s">
        <v>1177</v>
      </c>
      <c r="B73" s="2041" t="s">
        <v>1181</v>
      </c>
      <c r="C73" s="2042"/>
      <c r="D73" s="2042"/>
      <c r="E73" s="2042"/>
      <c r="F73" s="2042"/>
      <c r="G73" s="2043"/>
      <c r="I73" s="204" t="s">
        <v>459</v>
      </c>
      <c r="J73" s="204" t="s">
        <v>38</v>
      </c>
      <c r="K73" s="205" t="s">
        <v>39</v>
      </c>
      <c r="L73" s="204" t="str">
        <f t="shared" ref="L73:Q73" si="21">CONCATENATE("Interest Rate on debt issued in ",B45)</f>
        <v>Interest Rate on debt issued in 2018</v>
      </c>
      <c r="M73" s="204" t="str">
        <f t="shared" si="21"/>
        <v>Interest Rate on debt issued in 2019</v>
      </c>
      <c r="N73" s="204" t="str">
        <f t="shared" si="21"/>
        <v>Interest Rate on debt issued in 2020</v>
      </c>
      <c r="O73" s="204" t="str">
        <f t="shared" si="21"/>
        <v>Interest Rate on debt issued in 2021</v>
      </c>
      <c r="P73" s="204" t="str">
        <f t="shared" si="21"/>
        <v>Interest Rate on debt issued in 2022</v>
      </c>
      <c r="Q73" s="204" t="str">
        <f t="shared" si="21"/>
        <v>Interest Rate on debt issued in 2023</v>
      </c>
    </row>
    <row r="74" spans="1:17">
      <c r="A74" s="206" t="s">
        <v>13</v>
      </c>
      <c r="B74" s="185"/>
      <c r="C74" s="186"/>
      <c r="D74" s="186"/>
      <c r="E74" s="186"/>
      <c r="F74" s="186"/>
      <c r="G74" s="187"/>
      <c r="I74" s="207"/>
      <c r="J74" s="207"/>
      <c r="K74" s="208"/>
      <c r="L74" s="208"/>
      <c r="M74" s="208"/>
      <c r="N74" s="208"/>
      <c r="O74" s="208"/>
      <c r="P74" s="208"/>
      <c r="Q74" s="209"/>
    </row>
    <row r="75" spans="1:17" ht="30">
      <c r="A75" s="210" t="s">
        <v>0</v>
      </c>
      <c r="B75" s="190">
        <f>('Input 4 - Forecast'!C56/'Input 4 - Forecast'!C$45)*MAX(B$71,0)</f>
        <v>0</v>
      </c>
      <c r="C75" s="13">
        <f ca="1">('Input 4 - Forecast'!D56/'Input 4 - Forecast'!D$45)*MAX(C$71,0)</f>
        <v>314.770912834694</v>
      </c>
      <c r="D75" s="13">
        <f ca="1">('Input 4 - Forecast'!E56/'Input 4 - Forecast'!E$45)*MAX(D$71,0)</f>
        <v>247.03150016240562</v>
      </c>
      <c r="E75" s="13">
        <f ca="1">('Input 4 - Forecast'!F56/'Input 4 - Forecast'!F$45)*MAX(E$71,0)</f>
        <v>219.74063742068913</v>
      </c>
      <c r="F75" s="13">
        <f ca="1">('Input 4 - Forecast'!G56/'Input 4 - Forecast'!G$45)*MAX(F$71,0)</f>
        <v>216.172209999751</v>
      </c>
      <c r="G75" s="191">
        <f ca="1">('Input 4 - Forecast'!H56/'Input 4 - Forecast'!H$45)*MAX(G$71,0)</f>
        <v>215.94473705356771</v>
      </c>
      <c r="I75" s="211" t="str">
        <f>'Input 4 - Forecast'!J56</f>
        <v>Semi-annual</v>
      </c>
      <c r="J75" s="211">
        <f>'Input 4 - Forecast'!K56</f>
        <v>0</v>
      </c>
      <c r="K75" s="19">
        <f>'Input 4 - Forecast'!L56</f>
        <v>0</v>
      </c>
      <c r="L75" s="212">
        <f>'Input 4 - Forecast'!M56+B$33/10000</f>
        <v>0</v>
      </c>
      <c r="M75" s="212">
        <f>'Input 4 - Forecast'!N56+C$33/10000</f>
        <v>2.0470863523532085E-2</v>
      </c>
      <c r="N75" s="212">
        <f>'Input 4 - Forecast'!O56+D$33/10000</f>
        <v>0</v>
      </c>
      <c r="O75" s="212">
        <f>'Input 4 - Forecast'!P56+E$33/10000</f>
        <v>0</v>
      </c>
      <c r="P75" s="212">
        <f>'Input 4 - Forecast'!Q56+F$33/10000</f>
        <v>0</v>
      </c>
      <c r="Q75" s="213">
        <f>'Input 4 - Forecast'!R56+G$33/10000</f>
        <v>0</v>
      </c>
    </row>
    <row r="76" spans="1:17" ht="30">
      <c r="A76" s="210" t="s">
        <v>1</v>
      </c>
      <c r="B76" s="190">
        <f>('Input 4 - Forecast'!C57/'Input 4 - Forecast'!C$45)*MAX(B$71,0)</f>
        <v>0</v>
      </c>
      <c r="C76" s="13">
        <f ca="1">('Input 4 - Forecast'!D57/'Input 4 - Forecast'!D$45)*MAX(C$71,0)</f>
        <v>0</v>
      </c>
      <c r="D76" s="13">
        <f ca="1">('Input 4 - Forecast'!E57/'Input 4 - Forecast'!E$45)*MAX(D$71,0)</f>
        <v>0</v>
      </c>
      <c r="E76" s="13">
        <f ca="1">('Input 4 - Forecast'!F57/'Input 4 - Forecast'!F$45)*MAX(E$71,0)</f>
        <v>0</v>
      </c>
      <c r="F76" s="13">
        <f ca="1">('Input 4 - Forecast'!G57/'Input 4 - Forecast'!G$45)*MAX(F$71,0)</f>
        <v>0</v>
      </c>
      <c r="G76" s="191">
        <f ca="1">('Input 4 - Forecast'!H57/'Input 4 - Forecast'!H$45)*MAX(G$71,0)</f>
        <v>0</v>
      </c>
      <c r="I76" s="211" t="str">
        <f>'Input 4 - Forecast'!J57</f>
        <v>Semi-annual</v>
      </c>
      <c r="J76" s="211">
        <f>'Input 4 - Forecast'!K57</f>
        <v>0</v>
      </c>
      <c r="K76" s="19">
        <f>'Input 4 - Forecast'!L57</f>
        <v>0</v>
      </c>
      <c r="L76" s="212">
        <f>'Input 4 - Forecast'!M57+B$33/10000</f>
        <v>0</v>
      </c>
      <c r="M76" s="212">
        <f>'Input 4 - Forecast'!N57+C$33/10000</f>
        <v>2.0470863523532085E-2</v>
      </c>
      <c r="N76" s="212">
        <f>'Input 4 - Forecast'!O57+D$33/10000</f>
        <v>0</v>
      </c>
      <c r="O76" s="212">
        <f>'Input 4 - Forecast'!P57+E$33/10000</f>
        <v>0</v>
      </c>
      <c r="P76" s="212">
        <f>'Input 4 - Forecast'!Q57+F$33/10000</f>
        <v>0</v>
      </c>
      <c r="Q76" s="213">
        <f>'Input 4 - Forecast'!R57+G$33/10000</f>
        <v>0</v>
      </c>
    </row>
    <row r="77" spans="1:17">
      <c r="A77" s="206" t="s">
        <v>14</v>
      </c>
      <c r="B77" s="190"/>
      <c r="C77" s="13"/>
      <c r="D77" s="13"/>
      <c r="E77" s="13"/>
      <c r="F77" s="13"/>
      <c r="G77" s="191"/>
      <c r="I77" s="211"/>
      <c r="J77" s="211"/>
      <c r="K77" s="19"/>
      <c r="L77" s="19"/>
      <c r="M77" s="19"/>
      <c r="N77" s="19"/>
      <c r="O77" s="19"/>
      <c r="P77" s="19"/>
      <c r="Q77" s="214"/>
    </row>
    <row r="78" spans="1:17">
      <c r="A78" s="210" t="s">
        <v>0</v>
      </c>
      <c r="B78" s="190"/>
      <c r="C78" s="13"/>
      <c r="D78" s="13"/>
      <c r="E78" s="13"/>
      <c r="F78" s="13"/>
      <c r="G78" s="191"/>
      <c r="I78" s="211"/>
      <c r="J78" s="211"/>
      <c r="K78" s="19"/>
      <c r="L78" s="19"/>
      <c r="M78" s="19"/>
      <c r="N78" s="19"/>
      <c r="O78" s="19"/>
      <c r="P78" s="19"/>
      <c r="Q78" s="214"/>
    </row>
    <row r="79" spans="1:17">
      <c r="A79" s="215" t="s">
        <v>18</v>
      </c>
      <c r="B79" s="190">
        <f>('Input 4 - Forecast'!C60/'Input 4 - Forecast'!C$45)*MAX(B$71,0)</f>
        <v>329.998670927072</v>
      </c>
      <c r="C79" s="13">
        <f ca="1">('Input 4 - Forecast'!D60/'Input 4 - Forecast'!D$45)*MAX(C$71,0)</f>
        <v>72.960145359035039</v>
      </c>
      <c r="D79" s="13">
        <f ca="1">('Input 4 - Forecast'!E60/'Input 4 - Forecast'!E$45)*MAX(D$71,0)</f>
        <v>65.438807990041212</v>
      </c>
      <c r="E79" s="13">
        <f ca="1">('Input 4 - Forecast'!F60/'Input 4 - Forecast'!F$45)*MAX(E$71,0)</f>
        <v>50.933260329298804</v>
      </c>
      <c r="F79" s="13">
        <f ca="1">('Input 4 - Forecast'!G60/'Input 4 - Forecast'!G$45)*MAX(F$71,0)</f>
        <v>57.264161589338016</v>
      </c>
      <c r="G79" s="191">
        <f ca="1">('Input 4 - Forecast'!H60/'Input 4 - Forecast'!H$45)*MAX(G$71,0)</f>
        <v>43.617976689627909</v>
      </c>
      <c r="I79" s="211" t="str">
        <f>'Input 4 - Forecast'!J60</f>
        <v>Annual</v>
      </c>
      <c r="J79" s="211">
        <f>'Input 4 - Forecast'!K60</f>
        <v>5</v>
      </c>
      <c r="K79" s="19">
        <f>'Input 4 - Forecast'!L60</f>
        <v>5</v>
      </c>
      <c r="L79" s="212">
        <f>'Input 4 - Forecast'!M60+B$33/10000</f>
        <v>5.0000000000000001E-3</v>
      </c>
      <c r="M79" s="212">
        <f>'Input 4 - Forecast'!N60+C$33/10000</f>
        <v>2.5470863523532086E-2</v>
      </c>
      <c r="N79" s="212">
        <f>'Input 4 - Forecast'!O60+D$33/10000</f>
        <v>0.01</v>
      </c>
      <c r="O79" s="212">
        <f>'Input 4 - Forecast'!P60+E$33/10000</f>
        <v>0.01</v>
      </c>
      <c r="P79" s="212">
        <f>'Input 4 - Forecast'!Q60+F$33/10000</f>
        <v>0.01</v>
      </c>
      <c r="Q79" s="213">
        <f>'Input 4 - Forecast'!R60+G$33/10000</f>
        <v>0.01</v>
      </c>
    </row>
    <row r="80" spans="1:17">
      <c r="A80" s="215" t="s">
        <v>19</v>
      </c>
      <c r="B80" s="190">
        <f>('Input 4 - Forecast'!C61/'Input 4 - Forecast'!C$45)*MAX(B$71,0)</f>
        <v>0</v>
      </c>
      <c r="C80" s="13">
        <f ca="1">('Input 4 - Forecast'!D61/'Input 4 - Forecast'!D$45)*MAX(C$71,0)</f>
        <v>93.805901175902193</v>
      </c>
      <c r="D80" s="13">
        <f ca="1">('Input 4 - Forecast'!E61/'Input 4 - Forecast'!E$45)*MAX(D$71,0)</f>
        <v>78.526569588049469</v>
      </c>
      <c r="E80" s="13">
        <f ca="1">('Input 4 - Forecast'!F61/'Input 4 - Forecast'!F$45)*MAX(E$71,0)</f>
        <v>58.209440376341483</v>
      </c>
      <c r="F80" s="13">
        <f ca="1">('Input 4 - Forecast'!G61/'Input 4 - Forecast'!G$45)*MAX(F$71,0)</f>
        <v>64.422181788005261</v>
      </c>
      <c r="G80" s="191">
        <f ca="1">('Input 4 - Forecast'!H61/'Input 4 - Forecast'!H$45)*MAX(G$71,0)</f>
        <v>54.800178571362451</v>
      </c>
      <c r="I80" s="211" t="str">
        <f>'Input 4 - Forecast'!J61</f>
        <v>Annual</v>
      </c>
      <c r="J80" s="211">
        <f>'Input 4 - Forecast'!K61</f>
        <v>0</v>
      </c>
      <c r="K80" s="19">
        <f>'Input 4 - Forecast'!L61</f>
        <v>0</v>
      </c>
      <c r="L80" s="212">
        <f>'Input 4 - Forecast'!M61+B$33/10000</f>
        <v>0</v>
      </c>
      <c r="M80" s="212">
        <f>'Input 4 - Forecast'!N61+C$33/10000</f>
        <v>2.0470863523532085E-2</v>
      </c>
      <c r="N80" s="212">
        <f>'Input 4 - Forecast'!O61+D$33/10000</f>
        <v>0</v>
      </c>
      <c r="O80" s="212">
        <f>'Input 4 - Forecast'!P61+E$33/10000</f>
        <v>0</v>
      </c>
      <c r="P80" s="212">
        <f>'Input 4 - Forecast'!Q61+F$33/10000</f>
        <v>0</v>
      </c>
      <c r="Q80" s="213">
        <f>'Input 4 - Forecast'!R61+G$33/10000</f>
        <v>0</v>
      </c>
    </row>
    <row r="81" spans="1:17">
      <c r="A81" s="215" t="s">
        <v>20</v>
      </c>
      <c r="B81" s="190">
        <f>('Input 4 - Forecast'!C62/'Input 4 - Forecast'!C$45)*MAX(B$71,0)</f>
        <v>0</v>
      </c>
      <c r="C81" s="13">
        <f ca="1">('Input 4 - Forecast'!D62/'Input 4 - Forecast'!D$45)*MAX(C$71,0)</f>
        <v>119.86309594698614</v>
      </c>
      <c r="D81" s="13">
        <f ca="1">('Input 4 - Forecast'!E62/'Input 4 - Forecast'!E$45)*MAX(D$71,0)</f>
        <v>97.503823905161411</v>
      </c>
      <c r="E81" s="13">
        <f ca="1">('Input 4 - Forecast'!F62/'Input 4 - Forecast'!F$45)*MAX(E$71,0)</f>
        <v>69.851328451609788</v>
      </c>
      <c r="F81" s="13">
        <f ca="1">('Input 4 - Forecast'!G62/'Input 4 - Forecast'!G$45)*MAX(F$71,0)</f>
        <v>76.590816125739593</v>
      </c>
      <c r="G81" s="191">
        <f ca="1">('Input 4 - Forecast'!H62/'Input 4 - Forecast'!H$45)*MAX(G$71,0)</f>
        <v>79.227406839520867</v>
      </c>
      <c r="I81" s="211" t="str">
        <f>'Input 4 - Forecast'!J62</f>
        <v>Annual</v>
      </c>
      <c r="J81" s="211">
        <f>'Input 4 - Forecast'!K62</f>
        <v>0</v>
      </c>
      <c r="K81" s="19">
        <f>'Input 4 - Forecast'!L62</f>
        <v>0</v>
      </c>
      <c r="L81" s="212">
        <f>'Input 4 - Forecast'!M62+B$33/10000</f>
        <v>0</v>
      </c>
      <c r="M81" s="212">
        <f>'Input 4 - Forecast'!N62+C$33/10000</f>
        <v>2.0470863523532085E-2</v>
      </c>
      <c r="N81" s="212">
        <f>'Input 4 - Forecast'!O62+D$33/10000</f>
        <v>0</v>
      </c>
      <c r="O81" s="212">
        <f>'Input 4 - Forecast'!P62+E$33/10000</f>
        <v>0</v>
      </c>
      <c r="P81" s="212">
        <f>'Input 4 - Forecast'!Q62+F$33/10000</f>
        <v>0</v>
      </c>
      <c r="Q81" s="213">
        <f>'Input 4 - Forecast'!R62+G$33/10000</f>
        <v>0</v>
      </c>
    </row>
    <row r="82" spans="1:17">
      <c r="A82" s="215" t="s">
        <v>21</v>
      </c>
      <c r="B82" s="190">
        <f>('Input 4 - Forecast'!C63/'Input 4 - Forecast'!C$45)*MAX(B$71,0)</f>
        <v>0</v>
      </c>
      <c r="C82" s="13">
        <f ca="1">('Input 4 - Forecast'!D63/'Input 4 - Forecast'!D$45)*MAX(C$71,0)</f>
        <v>195.95010467855121</v>
      </c>
      <c r="D82" s="13">
        <f ca="1">('Input 4 - Forecast'!E63/'Input 4 - Forecast'!E$45)*MAX(D$71,0)</f>
        <v>148.87328817734377</v>
      </c>
      <c r="E82" s="13">
        <f ca="1">('Input 4 - Forecast'!F63/'Input 4 - Forecast'!F$45)*MAX(E$71,0)</f>
        <v>130.97124084676835</v>
      </c>
      <c r="F82" s="13">
        <f ca="1">('Input 4 - Forecast'!G63/'Input 4 - Forecast'!G$45)*MAX(F$71,0)</f>
        <v>128.84436357601052</v>
      </c>
      <c r="G82" s="191">
        <f ca="1">('Input 4 - Forecast'!H63/'Input 4 - Forecast'!H$45)*MAX(G$71,0)</f>
        <v>128.70878367431186</v>
      </c>
      <c r="I82" s="211" t="str">
        <f>'Input 4 - Forecast'!J63</f>
        <v>Annual</v>
      </c>
      <c r="J82" s="211">
        <f>'Input 4 - Forecast'!K63</f>
        <v>0</v>
      </c>
      <c r="K82" s="19">
        <f>'Input 4 - Forecast'!L63</f>
        <v>0</v>
      </c>
      <c r="L82" s="212">
        <f>'Input 4 - Forecast'!M63+B$33/10000</f>
        <v>0</v>
      </c>
      <c r="M82" s="212">
        <f>'Input 4 - Forecast'!N63+C$33/10000</f>
        <v>2.0470863523532085E-2</v>
      </c>
      <c r="N82" s="212">
        <f>'Input 4 - Forecast'!O63+D$33/10000</f>
        <v>0</v>
      </c>
      <c r="O82" s="212">
        <f>'Input 4 - Forecast'!P63+E$33/10000</f>
        <v>0</v>
      </c>
      <c r="P82" s="212">
        <f>'Input 4 - Forecast'!Q63+F$33/10000</f>
        <v>0</v>
      </c>
      <c r="Q82" s="213">
        <f>'Input 4 - Forecast'!R63+G$33/10000</f>
        <v>0</v>
      </c>
    </row>
    <row r="83" spans="1:17">
      <c r="A83" s="215" t="s">
        <v>22</v>
      </c>
      <c r="B83" s="190">
        <f>('Input 4 - Forecast'!C64/'Input 4 - Forecast'!C$45)*MAX(B$71,0)</f>
        <v>0</v>
      </c>
      <c r="C83" s="13">
        <f ca="1">('Input 4 - Forecast'!D64/'Input 4 - Forecast'!D$45)*MAX(C$71,0)</f>
        <v>0</v>
      </c>
      <c r="D83" s="13">
        <f ca="1">('Input 4 - Forecast'!E64/'Input 4 - Forecast'!E$45)*MAX(D$71,0)</f>
        <v>0</v>
      </c>
      <c r="E83" s="13">
        <f ca="1">('Input 4 - Forecast'!F64/'Input 4 - Forecast'!F$45)*MAX(E$71,0)</f>
        <v>0</v>
      </c>
      <c r="F83" s="13">
        <f ca="1">('Input 4 - Forecast'!G64/'Input 4 - Forecast'!G$45)*MAX(F$71,0)</f>
        <v>0</v>
      </c>
      <c r="G83" s="191">
        <f ca="1">('Input 4 - Forecast'!H64/'Input 4 - Forecast'!H$45)*MAX(G$71,0)</f>
        <v>0</v>
      </c>
      <c r="I83" s="211"/>
      <c r="J83" s="211">
        <f>'Input 4 - Forecast'!K64</f>
        <v>0</v>
      </c>
      <c r="K83" s="19">
        <f>'Input 4 - Forecast'!L64</f>
        <v>0</v>
      </c>
      <c r="L83" s="212">
        <f>'Input 4 - Forecast'!M64+B$33/10000</f>
        <v>0</v>
      </c>
      <c r="M83" s="212">
        <f>'Input 4 - Forecast'!N64+C$33/10000</f>
        <v>2.0470863523532085E-2</v>
      </c>
      <c r="N83" s="212">
        <f>'Input 4 - Forecast'!O64+D$33/10000</f>
        <v>0</v>
      </c>
      <c r="O83" s="212">
        <f>'Input 4 - Forecast'!P64+E$33/10000</f>
        <v>0</v>
      </c>
      <c r="P83" s="212">
        <f>'Input 4 - Forecast'!Q64+F$33/10000</f>
        <v>0</v>
      </c>
      <c r="Q83" s="213">
        <f>'Input 4 - Forecast'!R64+G$33/10000</f>
        <v>0</v>
      </c>
    </row>
    <row r="84" spans="1:17">
      <c r="A84" s="210" t="s">
        <v>1</v>
      </c>
      <c r="B84" s="190"/>
      <c r="C84" s="13"/>
      <c r="D84" s="13"/>
      <c r="E84" s="13"/>
      <c r="F84" s="13"/>
      <c r="G84" s="191"/>
      <c r="I84" s="211"/>
      <c r="J84" s="211"/>
      <c r="K84" s="19"/>
      <c r="L84" s="19"/>
      <c r="M84" s="19"/>
      <c r="N84" s="19"/>
      <c r="O84" s="19"/>
      <c r="P84" s="19"/>
      <c r="Q84" s="214"/>
    </row>
    <row r="85" spans="1:17">
      <c r="A85" s="215" t="s">
        <v>23</v>
      </c>
      <c r="B85" s="190">
        <f>('Input 4 - Forecast'!C66/'Input 4 - Forecast'!C$45)*MAX(B$71,0)</f>
        <v>0</v>
      </c>
      <c r="C85" s="13">
        <f ca="1">('Input 4 - Forecast'!D66/'Input 4 - Forecast'!D$45)*MAX(C$71,0)</f>
        <v>0</v>
      </c>
      <c r="D85" s="13">
        <f ca="1">('Input 4 - Forecast'!E66/'Input 4 - Forecast'!E$45)*MAX(D$71,0)</f>
        <v>0</v>
      </c>
      <c r="E85" s="13">
        <f ca="1">('Input 4 - Forecast'!F66/'Input 4 - Forecast'!F$45)*MAX(E$71,0)</f>
        <v>0</v>
      </c>
      <c r="F85" s="13">
        <f ca="1">('Input 4 - Forecast'!G66/'Input 4 - Forecast'!G$45)*MAX(F$71,0)</f>
        <v>0</v>
      </c>
      <c r="G85" s="191">
        <f ca="1">('Input 4 - Forecast'!H66/'Input 4 - Forecast'!H$45)*MAX(G$71,0)</f>
        <v>0</v>
      </c>
      <c r="I85" s="211" t="str">
        <f>'Input 4 - Forecast'!J66</f>
        <v>Annual</v>
      </c>
      <c r="J85" s="211">
        <f>'Input 4 - Forecast'!K66</f>
        <v>0</v>
      </c>
      <c r="K85" s="19">
        <f>'Input 4 - Forecast'!L66</f>
        <v>0</v>
      </c>
      <c r="L85" s="212">
        <f>'Input 4 - Forecast'!M66+B$33/10000</f>
        <v>0</v>
      </c>
      <c r="M85" s="212">
        <f>'Input 4 - Forecast'!N66+C$33/10000</f>
        <v>2.0470863523532085E-2</v>
      </c>
      <c r="N85" s="212">
        <f>'Input 4 - Forecast'!O66+D$33/10000</f>
        <v>0</v>
      </c>
      <c r="O85" s="212">
        <f>'Input 4 - Forecast'!P66+E$33/10000</f>
        <v>0</v>
      </c>
      <c r="P85" s="212">
        <f>'Input 4 - Forecast'!Q66+F$33/10000</f>
        <v>0</v>
      </c>
      <c r="Q85" s="213">
        <f>'Input 4 - Forecast'!R66+G$33/10000</f>
        <v>0</v>
      </c>
    </row>
    <row r="86" spans="1:17">
      <c r="A86" s="215" t="s">
        <v>24</v>
      </c>
      <c r="B86" s="190">
        <f>('Input 4 - Forecast'!C67/'Input 4 - Forecast'!C$45)*MAX(B$71,0)</f>
        <v>0</v>
      </c>
      <c r="C86" s="13">
        <f ca="1">('Input 4 - Forecast'!D67/'Input 4 - Forecast'!D$45)*MAX(C$71,0)</f>
        <v>0</v>
      </c>
      <c r="D86" s="13">
        <f ca="1">('Input 4 - Forecast'!E67/'Input 4 - Forecast'!E$45)*MAX(D$71,0)</f>
        <v>0</v>
      </c>
      <c r="E86" s="13">
        <f ca="1">('Input 4 - Forecast'!F67/'Input 4 - Forecast'!F$45)*MAX(E$71,0)</f>
        <v>0</v>
      </c>
      <c r="F86" s="13">
        <f ca="1">('Input 4 - Forecast'!G67/'Input 4 - Forecast'!G$45)*MAX(F$71,0)</f>
        <v>0</v>
      </c>
      <c r="G86" s="191">
        <f ca="1">('Input 4 - Forecast'!H67/'Input 4 - Forecast'!H$45)*MAX(G$71,0)</f>
        <v>0</v>
      </c>
      <c r="I86" s="211" t="str">
        <f>'Input 4 - Forecast'!J67</f>
        <v>Annual</v>
      </c>
      <c r="J86" s="211">
        <f>'Input 4 - Forecast'!K67</f>
        <v>0</v>
      </c>
      <c r="K86" s="19">
        <f>'Input 4 - Forecast'!L67</f>
        <v>0</v>
      </c>
      <c r="L86" s="212">
        <f>'Input 4 - Forecast'!M67+B$33/10000</f>
        <v>0</v>
      </c>
      <c r="M86" s="212">
        <f>'Input 4 - Forecast'!N67+C$33/10000</f>
        <v>2.0470863523532085E-2</v>
      </c>
      <c r="N86" s="212">
        <f>'Input 4 - Forecast'!O67+D$33/10000</f>
        <v>0</v>
      </c>
      <c r="O86" s="212">
        <f>'Input 4 - Forecast'!P67+E$33/10000</f>
        <v>0</v>
      </c>
      <c r="P86" s="212">
        <f>'Input 4 - Forecast'!Q67+F$33/10000</f>
        <v>0</v>
      </c>
      <c r="Q86" s="213">
        <f>'Input 4 - Forecast'!R67+G$33/10000</f>
        <v>0</v>
      </c>
    </row>
    <row r="87" spans="1:17">
      <c r="A87" s="215" t="s">
        <v>25</v>
      </c>
      <c r="B87" s="190">
        <f>('Input 4 - Forecast'!C68/'Input 4 - Forecast'!C$45)*MAX(B$71,0)</f>
        <v>0</v>
      </c>
      <c r="C87" s="13">
        <f ca="1">('Input 4 - Forecast'!D68/'Input 4 - Forecast'!D$45)*MAX(C$71,0)</f>
        <v>0</v>
      </c>
      <c r="D87" s="13">
        <f ca="1">('Input 4 - Forecast'!E68/'Input 4 - Forecast'!E$45)*MAX(D$71,0)</f>
        <v>0</v>
      </c>
      <c r="E87" s="13">
        <f ca="1">('Input 4 - Forecast'!F68/'Input 4 - Forecast'!F$45)*MAX(E$71,0)</f>
        <v>0</v>
      </c>
      <c r="F87" s="13">
        <f ca="1">('Input 4 - Forecast'!G68/'Input 4 - Forecast'!G$45)*MAX(F$71,0)</f>
        <v>0</v>
      </c>
      <c r="G87" s="191">
        <f ca="1">('Input 4 - Forecast'!H68/'Input 4 - Forecast'!H$45)*MAX(G$71,0)</f>
        <v>0</v>
      </c>
      <c r="I87" s="211" t="str">
        <f>'Input 4 - Forecast'!J68</f>
        <v>Annual</v>
      </c>
      <c r="J87" s="211">
        <f>'Input 4 - Forecast'!K68</f>
        <v>0</v>
      </c>
      <c r="K87" s="19">
        <f>'Input 4 - Forecast'!L68</f>
        <v>0</v>
      </c>
      <c r="L87" s="212">
        <f>'Input 4 - Forecast'!M68+B$33/10000</f>
        <v>0</v>
      </c>
      <c r="M87" s="212">
        <f>'Input 4 - Forecast'!N68+C$33/10000</f>
        <v>2.0470863523532085E-2</v>
      </c>
      <c r="N87" s="212">
        <f>'Input 4 - Forecast'!O68+D$33/10000</f>
        <v>0</v>
      </c>
      <c r="O87" s="212">
        <f>'Input 4 - Forecast'!P68+E$33/10000</f>
        <v>0</v>
      </c>
      <c r="P87" s="212">
        <f>'Input 4 - Forecast'!Q68+F$33/10000</f>
        <v>0</v>
      </c>
      <c r="Q87" s="213">
        <f>'Input 4 - Forecast'!R68+G$33/10000</f>
        <v>0</v>
      </c>
    </row>
    <row r="88" spans="1:17">
      <c r="A88" s="215" t="s">
        <v>26</v>
      </c>
      <c r="B88" s="190">
        <f>('Input 4 - Forecast'!C69/'Input 4 - Forecast'!C$45)*MAX(B$71,0)</f>
        <v>0</v>
      </c>
      <c r="C88" s="13">
        <f ca="1">('Input 4 - Forecast'!D69/'Input 4 - Forecast'!D$45)*MAX(C$71,0)</f>
        <v>0</v>
      </c>
      <c r="D88" s="13">
        <f ca="1">('Input 4 - Forecast'!E69/'Input 4 - Forecast'!E$45)*MAX(D$71,0)</f>
        <v>0</v>
      </c>
      <c r="E88" s="13">
        <f ca="1">('Input 4 - Forecast'!F69/'Input 4 - Forecast'!F$45)*MAX(E$71,0)</f>
        <v>0</v>
      </c>
      <c r="F88" s="13">
        <f ca="1">('Input 4 - Forecast'!G69/'Input 4 - Forecast'!G$45)*MAX(F$71,0)</f>
        <v>0</v>
      </c>
      <c r="G88" s="191">
        <f ca="1">('Input 4 - Forecast'!H69/'Input 4 - Forecast'!H$45)*MAX(G$71,0)</f>
        <v>0</v>
      </c>
      <c r="I88" s="211" t="str">
        <f>'Input 4 - Forecast'!J69</f>
        <v>Annual</v>
      </c>
      <c r="J88" s="211">
        <f>'Input 4 - Forecast'!K69</f>
        <v>0</v>
      </c>
      <c r="K88" s="19">
        <f>'Input 4 - Forecast'!L69</f>
        <v>0</v>
      </c>
      <c r="L88" s="212">
        <f>'Input 4 - Forecast'!M69+B$33/10000</f>
        <v>0</v>
      </c>
      <c r="M88" s="212">
        <f>'Input 4 - Forecast'!N69+C$33/10000</f>
        <v>2.0470863523532085E-2</v>
      </c>
      <c r="N88" s="212">
        <f>'Input 4 - Forecast'!O69+D$33/10000</f>
        <v>0</v>
      </c>
      <c r="O88" s="212">
        <f>'Input 4 - Forecast'!P69+E$33/10000</f>
        <v>0</v>
      </c>
      <c r="P88" s="212">
        <f>'Input 4 - Forecast'!Q69+F$33/10000</f>
        <v>0</v>
      </c>
      <c r="Q88" s="213">
        <f>'Input 4 - Forecast'!R69+G$33/10000</f>
        <v>0</v>
      </c>
    </row>
    <row r="89" spans="1:17">
      <c r="A89" s="215" t="s">
        <v>27</v>
      </c>
      <c r="B89" s="190">
        <f>('Input 4 - Forecast'!C70/'Input 4 - Forecast'!C$45)*MAX(B$71,0)</f>
        <v>0</v>
      </c>
      <c r="C89" s="13">
        <f ca="1">('Input 4 - Forecast'!D70/'Input 4 - Forecast'!D$45)*MAX(C$71,0)</f>
        <v>0</v>
      </c>
      <c r="D89" s="13">
        <f ca="1">('Input 4 - Forecast'!E70/'Input 4 - Forecast'!E$45)*MAX(D$71,0)</f>
        <v>0</v>
      </c>
      <c r="E89" s="13">
        <f ca="1">('Input 4 - Forecast'!F70/'Input 4 - Forecast'!F$45)*MAX(E$71,0)</f>
        <v>0</v>
      </c>
      <c r="F89" s="13">
        <f ca="1">('Input 4 - Forecast'!G70/'Input 4 - Forecast'!G$45)*MAX(F$71,0)</f>
        <v>0</v>
      </c>
      <c r="G89" s="191">
        <f ca="1">('Input 4 - Forecast'!H70/'Input 4 - Forecast'!H$45)*MAX(G$71,0)</f>
        <v>0</v>
      </c>
      <c r="I89" s="211"/>
      <c r="J89" s="211">
        <f>'Input 4 - Forecast'!K70</f>
        <v>0</v>
      </c>
      <c r="K89" s="19">
        <f>'Input 4 - Forecast'!L70</f>
        <v>0</v>
      </c>
      <c r="L89" s="212">
        <f>'Input 4 - Forecast'!M70+B$33/10000</f>
        <v>0</v>
      </c>
      <c r="M89" s="212">
        <f>'Input 4 - Forecast'!N70+C$33/10000</f>
        <v>2.0470863523532085E-2</v>
      </c>
      <c r="N89" s="212">
        <f>'Input 4 - Forecast'!O70+D$33/10000</f>
        <v>0</v>
      </c>
      <c r="O89" s="212">
        <f>'Input 4 - Forecast'!P70+E$33/10000</f>
        <v>0</v>
      </c>
      <c r="P89" s="212">
        <f>'Input 4 - Forecast'!Q70+F$33/10000</f>
        <v>0</v>
      </c>
      <c r="Q89" s="213">
        <f>'Input 4 - Forecast'!R70+G$33/10000</f>
        <v>0</v>
      </c>
    </row>
    <row r="90" spans="1:17">
      <c r="A90" s="3" t="s">
        <v>1178</v>
      </c>
      <c r="B90" s="190"/>
      <c r="C90" s="13"/>
      <c r="D90" s="13"/>
      <c r="E90" s="13"/>
      <c r="F90" s="13"/>
      <c r="G90" s="191"/>
      <c r="I90" s="211"/>
      <c r="J90" s="211"/>
      <c r="K90" s="19"/>
      <c r="L90" s="19"/>
      <c r="M90" s="19"/>
      <c r="N90" s="19"/>
      <c r="O90" s="19"/>
      <c r="P90" s="19"/>
      <c r="Q90" s="214"/>
    </row>
    <row r="91" spans="1:17">
      <c r="A91" s="206" t="s">
        <v>13</v>
      </c>
      <c r="B91" s="190"/>
      <c r="C91" s="13"/>
      <c r="D91" s="13"/>
      <c r="E91" s="13"/>
      <c r="F91" s="13"/>
      <c r="G91" s="191"/>
      <c r="I91" s="211"/>
      <c r="J91" s="211"/>
      <c r="K91" s="19"/>
      <c r="L91" s="19"/>
      <c r="M91" s="19"/>
      <c r="N91" s="19"/>
      <c r="O91" s="19"/>
      <c r="P91" s="19"/>
      <c r="Q91" s="214"/>
    </row>
    <row r="92" spans="1:17" ht="30">
      <c r="A92" s="210" t="s">
        <v>0</v>
      </c>
      <c r="B92" s="190">
        <f>('Input 4 - Forecast'!C73/'Input 4 - Forecast'!C$45)*MAX(B$71,0)</f>
        <v>0</v>
      </c>
      <c r="C92" s="13">
        <f ca="1">('Input 4 - Forecast'!D73/'Input 4 - Forecast'!D$45)*MAX(C$71,0)</f>
        <v>0</v>
      </c>
      <c r="D92" s="13">
        <f ca="1">('Input 4 - Forecast'!E73/'Input 4 - Forecast'!E$45)*MAX(D$71,0)</f>
        <v>0</v>
      </c>
      <c r="E92" s="13">
        <f ca="1">('Input 4 - Forecast'!F73/'Input 4 - Forecast'!F$45)*MAX(E$71,0)</f>
        <v>0</v>
      </c>
      <c r="F92" s="13">
        <f ca="1">('Input 4 - Forecast'!G73/'Input 4 - Forecast'!G$45)*MAX(F$71,0)</f>
        <v>0</v>
      </c>
      <c r="G92" s="191">
        <f ca="1">('Input 4 - Forecast'!H73/'Input 4 - Forecast'!H$45)*MAX(G$71,0)</f>
        <v>0</v>
      </c>
      <c r="I92" s="211" t="str">
        <f>'Input 4 - Forecast'!J73</f>
        <v>Semi-annual</v>
      </c>
      <c r="J92" s="211">
        <f>'Input 4 - Forecast'!K73</f>
        <v>0</v>
      </c>
      <c r="K92" s="19">
        <f>'Input 4 - Forecast'!L73</f>
        <v>0</v>
      </c>
      <c r="L92" s="212">
        <f>'Input 4 - Forecast'!M73+B$33/10000</f>
        <v>0</v>
      </c>
      <c r="M92" s="212">
        <f>'Input 4 - Forecast'!N73+C$33/10000</f>
        <v>2.0470863523532085E-2</v>
      </c>
      <c r="N92" s="212">
        <f>'Input 4 - Forecast'!O73+D$33/10000</f>
        <v>0</v>
      </c>
      <c r="O92" s="212">
        <f>'Input 4 - Forecast'!P73+E$33/10000</f>
        <v>0</v>
      </c>
      <c r="P92" s="212">
        <f>'Input 4 - Forecast'!Q73+F$33/10000</f>
        <v>0</v>
      </c>
      <c r="Q92" s="213">
        <f>'Input 4 - Forecast'!R73+G$33/10000</f>
        <v>0</v>
      </c>
    </row>
    <row r="93" spans="1:17" ht="30">
      <c r="A93" s="210" t="s">
        <v>1</v>
      </c>
      <c r="B93" s="190">
        <f>('Input 4 - Forecast'!C74/'Input 4 - Forecast'!C$45)*MAX(B$71,0)</f>
        <v>0</v>
      </c>
      <c r="C93" s="13">
        <f ca="1">('Input 4 - Forecast'!D74/'Input 4 - Forecast'!D$45)*MAX(C$71,0)</f>
        <v>0</v>
      </c>
      <c r="D93" s="13">
        <f ca="1">('Input 4 - Forecast'!E74/'Input 4 - Forecast'!E$45)*MAX(D$71,0)</f>
        <v>0</v>
      </c>
      <c r="E93" s="13">
        <f ca="1">('Input 4 - Forecast'!F74/'Input 4 - Forecast'!F$45)*MAX(E$71,0)</f>
        <v>0</v>
      </c>
      <c r="F93" s="13">
        <f ca="1">('Input 4 - Forecast'!G74/'Input 4 - Forecast'!G$45)*MAX(F$71,0)</f>
        <v>0</v>
      </c>
      <c r="G93" s="191">
        <f ca="1">('Input 4 - Forecast'!H74/'Input 4 - Forecast'!H$45)*MAX(G$71,0)</f>
        <v>0</v>
      </c>
      <c r="I93" s="211" t="str">
        <f>'Input 4 - Forecast'!J74</f>
        <v>Semi-annual</v>
      </c>
      <c r="J93" s="211">
        <f>'Input 4 - Forecast'!K74</f>
        <v>0</v>
      </c>
      <c r="K93" s="19">
        <f>'Input 4 - Forecast'!L74</f>
        <v>0</v>
      </c>
      <c r="L93" s="212">
        <f>'Input 4 - Forecast'!M74+B$33/10000</f>
        <v>0</v>
      </c>
      <c r="M93" s="212">
        <f>'Input 4 - Forecast'!N74+C$33/10000</f>
        <v>2.0470863523532085E-2</v>
      </c>
      <c r="N93" s="212">
        <f>'Input 4 - Forecast'!O74+D$33/10000</f>
        <v>0</v>
      </c>
      <c r="O93" s="212">
        <f>'Input 4 - Forecast'!P74+E$33/10000</f>
        <v>0</v>
      </c>
      <c r="P93" s="212">
        <f>'Input 4 - Forecast'!Q74+F$33/10000</f>
        <v>0</v>
      </c>
      <c r="Q93" s="213">
        <f>'Input 4 - Forecast'!R74+G$33/10000</f>
        <v>0</v>
      </c>
    </row>
    <row r="94" spans="1:17">
      <c r="A94" s="206" t="s">
        <v>14</v>
      </c>
      <c r="B94" s="190"/>
      <c r="C94" s="13"/>
      <c r="D94" s="13"/>
      <c r="E94" s="13"/>
      <c r="F94" s="13"/>
      <c r="G94" s="191"/>
      <c r="I94" s="211"/>
      <c r="J94" s="211"/>
      <c r="K94" s="19"/>
      <c r="L94" s="19"/>
      <c r="M94" s="19"/>
      <c r="N94" s="19"/>
      <c r="O94" s="19"/>
      <c r="P94" s="19"/>
      <c r="Q94" s="214"/>
    </row>
    <row r="95" spans="1:17">
      <c r="A95" s="210" t="s">
        <v>0</v>
      </c>
      <c r="B95" s="190"/>
      <c r="C95" s="13"/>
      <c r="D95" s="13"/>
      <c r="E95" s="13"/>
      <c r="F95" s="13"/>
      <c r="G95" s="191"/>
      <c r="I95" s="211"/>
      <c r="J95" s="211"/>
      <c r="K95" s="19"/>
      <c r="L95" s="19"/>
      <c r="M95" s="19"/>
      <c r="N95" s="19"/>
      <c r="O95" s="19"/>
      <c r="P95" s="19"/>
      <c r="Q95" s="214"/>
    </row>
    <row r="96" spans="1:17">
      <c r="A96" s="215" t="s">
        <v>28</v>
      </c>
      <c r="B96" s="190">
        <f>('Input 4 - Forecast'!C77/'Input 4 - Forecast'!C$45)*MAX(B$71,0)</f>
        <v>499.99798625313935</v>
      </c>
      <c r="C96" s="13">
        <f ca="1">('Input 4 - Forecast'!D77/'Input 4 - Forecast'!D$45)*MAX(C$71,0)</f>
        <v>0</v>
      </c>
      <c r="D96" s="13">
        <f ca="1">('Input 4 - Forecast'!E77/'Input 4 - Forecast'!E$45)*MAX(D$71,0)</f>
        <v>0</v>
      </c>
      <c r="E96" s="13">
        <f ca="1">('Input 4 - Forecast'!F77/'Input 4 - Forecast'!F$45)*MAX(E$71,0)</f>
        <v>0</v>
      </c>
      <c r="F96" s="13">
        <f ca="1">('Input 4 - Forecast'!G77/'Input 4 - Forecast'!G$45)*MAX(F$71,0)</f>
        <v>0</v>
      </c>
      <c r="G96" s="191">
        <f ca="1">('Input 4 - Forecast'!H77/'Input 4 - Forecast'!H$45)*MAX(G$71,0)</f>
        <v>0</v>
      </c>
      <c r="I96" s="211" t="str">
        <f>'Input 4 - Forecast'!J77</f>
        <v>Annual</v>
      </c>
      <c r="J96" s="211">
        <f>'Input 4 - Forecast'!K77</f>
        <v>10</v>
      </c>
      <c r="K96" s="19">
        <f>'Input 4 - Forecast'!L77</f>
        <v>10</v>
      </c>
      <c r="L96" s="212">
        <f>'Input 4 - Forecast'!M77+B$33/10000</f>
        <v>1.125E-2</v>
      </c>
      <c r="M96" s="212">
        <f>'Input 4 - Forecast'!N77+C$33/10000</f>
        <v>3.9220863523532087E-2</v>
      </c>
      <c r="N96" s="212">
        <f>'Input 4 - Forecast'!O77+D$33/10000</f>
        <v>2.1999999999999999E-2</v>
      </c>
      <c r="O96" s="212">
        <f>'Input 4 - Forecast'!P77+E$33/10000</f>
        <v>2.1999999999999999E-2</v>
      </c>
      <c r="P96" s="212">
        <f>'Input 4 - Forecast'!Q77+F$33/10000</f>
        <v>2.1999999999999999E-2</v>
      </c>
      <c r="Q96" s="213">
        <f>'Input 4 - Forecast'!R77+G$33/10000</f>
        <v>2.1999999999999999E-2</v>
      </c>
    </row>
    <row r="97" spans="1:27">
      <c r="A97" s="215" t="s">
        <v>29</v>
      </c>
      <c r="B97" s="190">
        <f>('Input 4 - Forecast'!C78/'Input 4 - Forecast'!C$45)*MAX(B$71,0)</f>
        <v>499.99798625313935</v>
      </c>
      <c r="C97" s="13">
        <f ca="1">('Input 4 - Forecast'!D78/'Input 4 - Forecast'!D$45)*MAX(C$71,0)</f>
        <v>0</v>
      </c>
      <c r="D97" s="13">
        <f ca="1">('Input 4 - Forecast'!E78/'Input 4 - Forecast'!E$45)*MAX(D$71,0)</f>
        <v>0</v>
      </c>
      <c r="E97" s="13">
        <f ca="1">('Input 4 - Forecast'!F78/'Input 4 - Forecast'!F$45)*MAX(E$71,0)</f>
        <v>0</v>
      </c>
      <c r="F97" s="13">
        <f ca="1">('Input 4 - Forecast'!G78/'Input 4 - Forecast'!G$45)*MAX(F$71,0)</f>
        <v>0</v>
      </c>
      <c r="G97" s="191">
        <f ca="1">('Input 4 - Forecast'!H78/'Input 4 - Forecast'!H$45)*MAX(G$71,0)</f>
        <v>0</v>
      </c>
      <c r="I97" s="211" t="str">
        <f>'Input 4 - Forecast'!J78</f>
        <v>Annual</v>
      </c>
      <c r="J97" s="211">
        <f>'Input 4 - Forecast'!K78</f>
        <v>30</v>
      </c>
      <c r="K97" s="19">
        <f>'Input 4 - Forecast'!L78</f>
        <v>30</v>
      </c>
      <c r="L97" s="212">
        <f>'Input 4 - Forecast'!M78+B$33/10000</f>
        <v>2.2499999999999999E-2</v>
      </c>
      <c r="M97" s="212">
        <f>'Input 4 - Forecast'!N78+C$33/10000</f>
        <v>2.0470863523532085E-2</v>
      </c>
      <c r="N97" s="212">
        <f>'Input 4 - Forecast'!O78+D$33/10000</f>
        <v>0</v>
      </c>
      <c r="O97" s="212">
        <f>'Input 4 - Forecast'!P78+E$33/10000</f>
        <v>0</v>
      </c>
      <c r="P97" s="212">
        <f>'Input 4 - Forecast'!Q78+F$33/10000</f>
        <v>0</v>
      </c>
      <c r="Q97" s="213">
        <f>'Input 4 - Forecast'!R78+G$33/10000</f>
        <v>0</v>
      </c>
    </row>
    <row r="98" spans="1:27">
      <c r="A98" s="215" t="s">
        <v>30</v>
      </c>
      <c r="B98" s="190">
        <f>('Input 4 - Forecast'!C79/'Input 4 - Forecast'!C$45)*MAX(B$71,0)</f>
        <v>0</v>
      </c>
      <c r="C98" s="13">
        <f ca="1">('Input 4 - Forecast'!D79/'Input 4 - Forecast'!D$45)*MAX(C$71,0)</f>
        <v>0</v>
      </c>
      <c r="D98" s="13">
        <f ca="1">('Input 4 - Forecast'!E79/'Input 4 - Forecast'!E$45)*MAX(D$71,0)</f>
        <v>0</v>
      </c>
      <c r="E98" s="13">
        <f ca="1">('Input 4 - Forecast'!F79/'Input 4 - Forecast'!F$45)*MAX(E$71,0)</f>
        <v>0</v>
      </c>
      <c r="F98" s="13">
        <f ca="1">('Input 4 - Forecast'!G79/'Input 4 - Forecast'!G$45)*MAX(F$71,0)</f>
        <v>0</v>
      </c>
      <c r="G98" s="191">
        <f ca="1">('Input 4 - Forecast'!H79/'Input 4 - Forecast'!H$45)*MAX(G$71,0)</f>
        <v>0</v>
      </c>
      <c r="I98" s="211" t="str">
        <f>'Input 4 - Forecast'!J79</f>
        <v>Annual</v>
      </c>
      <c r="J98" s="211">
        <f>'Input 4 - Forecast'!K79</f>
        <v>0</v>
      </c>
      <c r="K98" s="19">
        <f>'Input 4 - Forecast'!L79</f>
        <v>0</v>
      </c>
      <c r="L98" s="212">
        <f>'Input 4 - Forecast'!M79+B$33/10000</f>
        <v>0</v>
      </c>
      <c r="M98" s="212">
        <f>'Input 4 - Forecast'!N79+C$33/10000</f>
        <v>2.0470863523532085E-2</v>
      </c>
      <c r="N98" s="212">
        <f>'Input 4 - Forecast'!O79+D$33/10000</f>
        <v>0</v>
      </c>
      <c r="O98" s="212">
        <f>'Input 4 - Forecast'!P79+E$33/10000</f>
        <v>0</v>
      </c>
      <c r="P98" s="212">
        <f>'Input 4 - Forecast'!Q79+F$33/10000</f>
        <v>0</v>
      </c>
      <c r="Q98" s="213">
        <f>'Input 4 - Forecast'!R79+G$33/10000</f>
        <v>0</v>
      </c>
    </row>
    <row r="99" spans="1:27">
      <c r="A99" s="215" t="s">
        <v>31</v>
      </c>
      <c r="B99" s="190">
        <f>('Input 4 - Forecast'!C80/'Input 4 - Forecast'!C$45)*MAX(B$71,0)</f>
        <v>0</v>
      </c>
      <c r="C99" s="13">
        <f ca="1">('Input 4 - Forecast'!D80/'Input 4 - Forecast'!D$45)*MAX(C$71,0)</f>
        <v>0</v>
      </c>
      <c r="D99" s="13">
        <f ca="1">('Input 4 - Forecast'!E80/'Input 4 - Forecast'!E$45)*MAX(D$71,0)</f>
        <v>0</v>
      </c>
      <c r="E99" s="13">
        <f ca="1">('Input 4 - Forecast'!F80/'Input 4 - Forecast'!F$45)*MAX(E$71,0)</f>
        <v>0</v>
      </c>
      <c r="F99" s="13">
        <f ca="1">('Input 4 - Forecast'!G80/'Input 4 - Forecast'!G$45)*MAX(F$71,0)</f>
        <v>0</v>
      </c>
      <c r="G99" s="191">
        <f ca="1">('Input 4 - Forecast'!H80/'Input 4 - Forecast'!H$45)*MAX(G$71,0)</f>
        <v>0</v>
      </c>
      <c r="I99" s="211" t="str">
        <f>'Input 4 - Forecast'!J80</f>
        <v>Annual</v>
      </c>
      <c r="J99" s="211">
        <f>'Input 4 - Forecast'!K80</f>
        <v>0</v>
      </c>
      <c r="K99" s="19">
        <f>'Input 4 - Forecast'!L80</f>
        <v>0</v>
      </c>
      <c r="L99" s="212">
        <f>'Input 4 - Forecast'!M80+B$33/10000</f>
        <v>0</v>
      </c>
      <c r="M99" s="212">
        <f>'Input 4 - Forecast'!N80+C$33/10000</f>
        <v>2.0470863523532085E-2</v>
      </c>
      <c r="N99" s="212">
        <f>'Input 4 - Forecast'!O80+D$33/10000</f>
        <v>0</v>
      </c>
      <c r="O99" s="212">
        <f>'Input 4 - Forecast'!P80+E$33/10000</f>
        <v>0</v>
      </c>
      <c r="P99" s="212">
        <f>'Input 4 - Forecast'!Q80+F$33/10000</f>
        <v>0</v>
      </c>
      <c r="Q99" s="213">
        <f>'Input 4 - Forecast'!R80+G$33/10000</f>
        <v>0</v>
      </c>
    </row>
    <row r="100" spans="1:27">
      <c r="A100" s="215" t="s">
        <v>32</v>
      </c>
      <c r="B100" s="190">
        <f>('Input 4 - Forecast'!C81/'Input 4 - Forecast'!C$45)*MAX(B$71,0)</f>
        <v>0</v>
      </c>
      <c r="C100" s="13">
        <f ca="1">('Input 4 - Forecast'!D81/'Input 4 - Forecast'!D$45)*MAX(C$71,0)</f>
        <v>0</v>
      </c>
      <c r="D100" s="13">
        <f ca="1">('Input 4 - Forecast'!E81/'Input 4 - Forecast'!E$45)*MAX(D$71,0)</f>
        <v>0</v>
      </c>
      <c r="E100" s="13">
        <f ca="1">('Input 4 - Forecast'!F81/'Input 4 - Forecast'!F$45)*MAX(E$71,0)</f>
        <v>0</v>
      </c>
      <c r="F100" s="13">
        <f ca="1">('Input 4 - Forecast'!G81/'Input 4 - Forecast'!G$45)*MAX(F$71,0)</f>
        <v>0</v>
      </c>
      <c r="G100" s="191">
        <f ca="1">('Input 4 - Forecast'!H81/'Input 4 - Forecast'!H$45)*MAX(G$71,0)</f>
        <v>0</v>
      </c>
      <c r="I100" s="211"/>
      <c r="J100" s="211">
        <f>'Input 4 - Forecast'!K81</f>
        <v>0</v>
      </c>
      <c r="K100" s="19">
        <f>'Input 4 - Forecast'!L81</f>
        <v>0</v>
      </c>
      <c r="L100" s="212">
        <f>'Input 4 - Forecast'!M81+B$33/10000</f>
        <v>0</v>
      </c>
      <c r="M100" s="212">
        <f>'Input 4 - Forecast'!N81+C$33/10000</f>
        <v>2.0470863523532085E-2</v>
      </c>
      <c r="N100" s="212">
        <f>'Input 4 - Forecast'!O81+D$33/10000</f>
        <v>0</v>
      </c>
      <c r="O100" s="212">
        <f>'Input 4 - Forecast'!P81+E$33/10000</f>
        <v>0</v>
      </c>
      <c r="P100" s="212">
        <f>'Input 4 - Forecast'!Q81+F$33/10000</f>
        <v>0</v>
      </c>
      <c r="Q100" s="213">
        <f>'Input 4 - Forecast'!R81+G$33/10000</f>
        <v>0</v>
      </c>
    </row>
    <row r="101" spans="1:27">
      <c r="A101" s="210" t="s">
        <v>1</v>
      </c>
      <c r="B101" s="190"/>
      <c r="C101" s="13"/>
      <c r="D101" s="13"/>
      <c r="E101" s="13"/>
      <c r="F101" s="13"/>
      <c r="G101" s="191"/>
      <c r="I101" s="211"/>
      <c r="J101" s="211"/>
      <c r="K101" s="19"/>
      <c r="L101" s="19"/>
      <c r="M101" s="19"/>
      <c r="N101" s="19"/>
      <c r="O101" s="19"/>
      <c r="P101" s="19"/>
      <c r="Q101" s="214"/>
    </row>
    <row r="102" spans="1:27">
      <c r="A102" s="215" t="s">
        <v>33</v>
      </c>
      <c r="B102" s="190">
        <f>('Input 4 - Forecast'!C83/'Input 4 - Forecast'!C$45)*MAX(B$71,0)</f>
        <v>0</v>
      </c>
      <c r="C102" s="13">
        <f ca="1">('Input 4 - Forecast'!D83/'Input 4 - Forecast'!D$45)*MAX(C$71,0)</f>
        <v>0</v>
      </c>
      <c r="D102" s="13">
        <f ca="1">('Input 4 - Forecast'!E83/'Input 4 - Forecast'!E$45)*MAX(D$71,0)</f>
        <v>0</v>
      </c>
      <c r="E102" s="13">
        <f ca="1">('Input 4 - Forecast'!F83/'Input 4 - Forecast'!F$45)*MAX(E$71,0)</f>
        <v>0</v>
      </c>
      <c r="F102" s="13">
        <f ca="1">('Input 4 - Forecast'!G83/'Input 4 - Forecast'!G$45)*MAX(F$71,0)</f>
        <v>0</v>
      </c>
      <c r="G102" s="191">
        <f ca="1">('Input 4 - Forecast'!H83/'Input 4 - Forecast'!H$45)*MAX(G$71,0)</f>
        <v>0</v>
      </c>
      <c r="I102" s="211" t="str">
        <f>'Input 4 - Forecast'!J83</f>
        <v>Annual</v>
      </c>
      <c r="J102" s="211">
        <f>'Input 4 - Forecast'!K83</f>
        <v>0</v>
      </c>
      <c r="K102" s="19">
        <f>'Input 4 - Forecast'!L83</f>
        <v>0</v>
      </c>
      <c r="L102" s="212">
        <f>'Input 4 - Forecast'!M83+B$33/10000</f>
        <v>0</v>
      </c>
      <c r="M102" s="212">
        <f>'Input 4 - Forecast'!N83+C$33/10000</f>
        <v>2.0470863523532085E-2</v>
      </c>
      <c r="N102" s="212">
        <f>'Input 4 - Forecast'!O83+D$33/10000</f>
        <v>0</v>
      </c>
      <c r="O102" s="212">
        <f>'Input 4 - Forecast'!P83+E$33/10000</f>
        <v>0</v>
      </c>
      <c r="P102" s="212">
        <f>'Input 4 - Forecast'!Q83+F$33/10000</f>
        <v>0</v>
      </c>
      <c r="Q102" s="213">
        <f>'Input 4 - Forecast'!R83+G$33/10000</f>
        <v>0</v>
      </c>
    </row>
    <row r="103" spans="1:27">
      <c r="A103" s="215" t="s">
        <v>34</v>
      </c>
      <c r="B103" s="190">
        <f>('Input 4 - Forecast'!C84/'Input 4 - Forecast'!C$45)*MAX(B$71,0)</f>
        <v>0</v>
      </c>
      <c r="C103" s="13">
        <f ca="1">('Input 4 - Forecast'!D84/'Input 4 - Forecast'!D$45)*MAX(C$71,0)</f>
        <v>0</v>
      </c>
      <c r="D103" s="13">
        <f ca="1">('Input 4 - Forecast'!E84/'Input 4 - Forecast'!E$45)*MAX(D$71,0)</f>
        <v>0</v>
      </c>
      <c r="E103" s="13">
        <f ca="1">('Input 4 - Forecast'!F84/'Input 4 - Forecast'!F$45)*MAX(E$71,0)</f>
        <v>0</v>
      </c>
      <c r="F103" s="13">
        <f ca="1">('Input 4 - Forecast'!G84/'Input 4 - Forecast'!G$45)*MAX(F$71,0)</f>
        <v>0</v>
      </c>
      <c r="G103" s="191">
        <f ca="1">('Input 4 - Forecast'!H84/'Input 4 - Forecast'!H$45)*MAX(G$71,0)</f>
        <v>0</v>
      </c>
      <c r="I103" s="211" t="str">
        <f>'Input 4 - Forecast'!J84</f>
        <v>Annual</v>
      </c>
      <c r="J103" s="211">
        <f>'Input 4 - Forecast'!K84</f>
        <v>0</v>
      </c>
      <c r="K103" s="19">
        <f>'Input 4 - Forecast'!L84</f>
        <v>0</v>
      </c>
      <c r="L103" s="212">
        <f>'Input 4 - Forecast'!M84+B$33/10000</f>
        <v>0</v>
      </c>
      <c r="M103" s="212">
        <f>'Input 4 - Forecast'!N84+C$33/10000</f>
        <v>2.0470863523532085E-2</v>
      </c>
      <c r="N103" s="212">
        <f>'Input 4 - Forecast'!O84+D$33/10000</f>
        <v>0</v>
      </c>
      <c r="O103" s="212">
        <f>'Input 4 - Forecast'!P84+E$33/10000</f>
        <v>0</v>
      </c>
      <c r="P103" s="212">
        <f>'Input 4 - Forecast'!Q84+F$33/10000</f>
        <v>0</v>
      </c>
      <c r="Q103" s="213">
        <f>'Input 4 - Forecast'!R84+G$33/10000</f>
        <v>0</v>
      </c>
    </row>
    <row r="104" spans="1:27">
      <c r="A104" s="215" t="s">
        <v>35</v>
      </c>
      <c r="B104" s="190">
        <f>('Input 4 - Forecast'!C85/'Input 4 - Forecast'!C$45)*MAX(B$71,0)</f>
        <v>0</v>
      </c>
      <c r="C104" s="13">
        <f ca="1">('Input 4 - Forecast'!D85/'Input 4 - Forecast'!D$45)*MAX(C$71,0)</f>
        <v>0</v>
      </c>
      <c r="D104" s="13">
        <f ca="1">('Input 4 - Forecast'!E85/'Input 4 - Forecast'!E$45)*MAX(D$71,0)</f>
        <v>0</v>
      </c>
      <c r="E104" s="13">
        <f ca="1">('Input 4 - Forecast'!F85/'Input 4 - Forecast'!F$45)*MAX(E$71,0)</f>
        <v>0</v>
      </c>
      <c r="F104" s="13">
        <f ca="1">('Input 4 - Forecast'!G85/'Input 4 - Forecast'!G$45)*MAX(F$71,0)</f>
        <v>0</v>
      </c>
      <c r="G104" s="191">
        <f ca="1">('Input 4 - Forecast'!H85/'Input 4 - Forecast'!H$45)*MAX(G$71,0)</f>
        <v>0</v>
      </c>
      <c r="I104" s="211" t="str">
        <f>'Input 4 - Forecast'!J85</f>
        <v>Annual</v>
      </c>
      <c r="J104" s="211">
        <f>'Input 4 - Forecast'!K85</f>
        <v>0</v>
      </c>
      <c r="K104" s="19">
        <f>'Input 4 - Forecast'!L85</f>
        <v>0</v>
      </c>
      <c r="L104" s="212">
        <f>'Input 4 - Forecast'!M85+B$33/10000</f>
        <v>0</v>
      </c>
      <c r="M104" s="212">
        <f>'Input 4 - Forecast'!N85+C$33/10000</f>
        <v>2.0470863523532085E-2</v>
      </c>
      <c r="N104" s="212">
        <f>'Input 4 - Forecast'!O85+D$33/10000</f>
        <v>0</v>
      </c>
      <c r="O104" s="212">
        <f>'Input 4 - Forecast'!P85+E$33/10000</f>
        <v>0</v>
      </c>
      <c r="P104" s="212">
        <f>'Input 4 - Forecast'!Q85+F$33/10000</f>
        <v>0</v>
      </c>
      <c r="Q104" s="213">
        <f>'Input 4 - Forecast'!R85+G$33/10000</f>
        <v>0</v>
      </c>
    </row>
    <row r="105" spans="1:27">
      <c r="A105" s="215" t="s">
        <v>36</v>
      </c>
      <c r="B105" s="190">
        <f>('Input 4 - Forecast'!C86/'Input 4 - Forecast'!C$45)*MAX(B$71,0)</f>
        <v>0</v>
      </c>
      <c r="C105" s="13">
        <f ca="1">('Input 4 - Forecast'!D86/'Input 4 - Forecast'!D$45)*MAX(C$71,0)</f>
        <v>0</v>
      </c>
      <c r="D105" s="13">
        <f ca="1">('Input 4 - Forecast'!E86/'Input 4 - Forecast'!E$45)*MAX(D$71,0)</f>
        <v>0</v>
      </c>
      <c r="E105" s="13">
        <f ca="1">('Input 4 - Forecast'!F86/'Input 4 - Forecast'!F$45)*MAX(E$71,0)</f>
        <v>0</v>
      </c>
      <c r="F105" s="13">
        <f ca="1">('Input 4 - Forecast'!G86/'Input 4 - Forecast'!G$45)*MAX(F$71,0)</f>
        <v>0</v>
      </c>
      <c r="G105" s="191">
        <f ca="1">('Input 4 - Forecast'!H86/'Input 4 - Forecast'!H$45)*MAX(G$71,0)</f>
        <v>0</v>
      </c>
      <c r="I105" s="211" t="str">
        <f>'Input 4 - Forecast'!J86</f>
        <v>Annual</v>
      </c>
      <c r="J105" s="211">
        <f>'Input 4 - Forecast'!K86</f>
        <v>0</v>
      </c>
      <c r="K105" s="19">
        <f>'Input 4 - Forecast'!L86</f>
        <v>0</v>
      </c>
      <c r="L105" s="212">
        <f>'Input 4 - Forecast'!M86+B$33/10000</f>
        <v>0</v>
      </c>
      <c r="M105" s="212">
        <f>'Input 4 - Forecast'!N86+C$33/10000</f>
        <v>2.0470863523532085E-2</v>
      </c>
      <c r="N105" s="212">
        <f>'Input 4 - Forecast'!O86+D$33/10000</f>
        <v>0</v>
      </c>
      <c r="O105" s="212">
        <f>'Input 4 - Forecast'!P86+E$33/10000</f>
        <v>0</v>
      </c>
      <c r="P105" s="212">
        <f>'Input 4 - Forecast'!Q86+F$33/10000</f>
        <v>0</v>
      </c>
      <c r="Q105" s="213">
        <f>'Input 4 - Forecast'!R86+G$33/10000</f>
        <v>0</v>
      </c>
    </row>
    <row r="106" spans="1:27" ht="15.75" thickBot="1">
      <c r="A106" s="216" t="s">
        <v>37</v>
      </c>
      <c r="B106" s="192">
        <f>('Input 4 - Forecast'!C87/'Input 4 - Forecast'!C$45)*MAX(B$71,0)</f>
        <v>0</v>
      </c>
      <c r="C106" s="193">
        <f ca="1">('Input 4 - Forecast'!D87/'Input 4 - Forecast'!D$45)*MAX(C$71,0)</f>
        <v>0</v>
      </c>
      <c r="D106" s="193">
        <f ca="1">('Input 4 - Forecast'!E87/'Input 4 - Forecast'!E$45)*MAX(D$71,0)</f>
        <v>0</v>
      </c>
      <c r="E106" s="193">
        <f ca="1">('Input 4 - Forecast'!F87/'Input 4 - Forecast'!F$45)*MAX(E$71,0)</f>
        <v>0</v>
      </c>
      <c r="F106" s="193">
        <f ca="1">('Input 4 - Forecast'!G87/'Input 4 - Forecast'!G$45)*MAX(F$71,0)</f>
        <v>0</v>
      </c>
      <c r="G106" s="194">
        <f ca="1">('Input 4 - Forecast'!H87/'Input 4 - Forecast'!H$45)*MAX(G$71,0)</f>
        <v>0</v>
      </c>
      <c r="I106" s="217"/>
      <c r="J106" s="217">
        <f>'Input 4 - Forecast'!K87</f>
        <v>0</v>
      </c>
      <c r="K106" s="218">
        <f>'Input 4 - Forecast'!L87</f>
        <v>0</v>
      </c>
      <c r="L106" s="219">
        <f>'Input 4 - Forecast'!M87+B$33/10000</f>
        <v>0</v>
      </c>
      <c r="M106" s="219">
        <f>'Input 4 - Forecast'!N87+C$33/10000</f>
        <v>2.0470863523532085E-2</v>
      </c>
      <c r="N106" s="219">
        <f>'Input 4 - Forecast'!O87+D$33/10000</f>
        <v>0</v>
      </c>
      <c r="O106" s="219">
        <f>'Input 4 - Forecast'!P87+E$33/10000</f>
        <v>0</v>
      </c>
      <c r="P106" s="219">
        <f>'Input 4 - Forecast'!Q87+F$33/10000</f>
        <v>0</v>
      </c>
      <c r="Q106" s="220">
        <f>'Input 4 - Forecast'!R87+G$33/10000</f>
        <v>0</v>
      </c>
    </row>
    <row r="107" spans="1:27" ht="15.75" thickBot="1">
      <c r="B107" s="195"/>
      <c r="C107" s="195"/>
      <c r="D107" s="195"/>
      <c r="E107" s="195"/>
      <c r="F107" s="195"/>
      <c r="G107" s="195"/>
      <c r="I107" s="184"/>
      <c r="J107" s="184"/>
      <c r="K107" s="184"/>
      <c r="L107" s="184"/>
      <c r="M107" s="184"/>
      <c r="N107" s="184"/>
      <c r="O107" s="184"/>
      <c r="P107" s="184"/>
      <c r="Q107" s="184"/>
    </row>
    <row r="108" spans="1:27" ht="15.75" thickBot="1">
      <c r="A108" s="200" t="s">
        <v>1179</v>
      </c>
      <c r="B108" s="201">
        <f>('Input 4 - Forecast'!C89/'Input 4 - Forecast'!C$45)*MAX(B$71,0)</f>
        <v>-267.59452840452661</v>
      </c>
      <c r="C108" s="202">
        <f ca="1">('Input 4 - Forecast'!D89/'Input 4 - Forecast'!D$45)*MAX(C$71,0)</f>
        <v>3769.7056320153133</v>
      </c>
      <c r="D108" s="202">
        <f ca="1">('Input 4 - Forecast'!E89/'Input 4 - Forecast'!E$45)*MAX(D$71,0)</f>
        <v>5402.7505021988181</v>
      </c>
      <c r="E108" s="202">
        <f ca="1">('Input 4 - Forecast'!F89/'Input 4 - Forecast'!F$45)*MAX(E$71,0)</f>
        <v>7082.2460857114329</v>
      </c>
      <c r="F108" s="202">
        <f ca="1">('Input 4 - Forecast'!G89/'Input 4 - Forecast'!G$45)*MAX(F$71,0)</f>
        <v>7684.3668817457456</v>
      </c>
      <c r="G108" s="203">
        <f ca="1">('Input 4 - Forecast'!H89/'Input 4 - Forecast'!H$45)*MAX(G$71,0)</f>
        <v>8041.6447212636194</v>
      </c>
      <c r="I108" s="221"/>
      <c r="J108" s="221">
        <f>'Input 4 - Forecast'!K89</f>
        <v>1</v>
      </c>
      <c r="K108" s="222">
        <f>'Input 4 - Forecast'!L89</f>
        <v>1</v>
      </c>
      <c r="L108" s="223">
        <f>'Input 4 - Forecast'!M89+B$33/10000</f>
        <v>0</v>
      </c>
      <c r="M108" s="223">
        <f>'Input 4 - Forecast'!N89+C$33/10000</f>
        <v>2.0470863523532085E-2</v>
      </c>
      <c r="N108" s="223">
        <f>'Input 4 - Forecast'!O89+D$33/10000</f>
        <v>0</v>
      </c>
      <c r="O108" s="223">
        <f>'Input 4 - Forecast'!P89+E$33/10000</f>
        <v>0</v>
      </c>
      <c r="P108" s="223">
        <f>'Input 4 - Forecast'!Q89+F$33/10000</f>
        <v>0</v>
      </c>
      <c r="Q108" s="224">
        <f>'Input 4 - Forecast'!R89+G$33/10000</f>
        <v>0</v>
      </c>
    </row>
    <row r="109" spans="1:27">
      <c r="B109" s="7"/>
      <c r="C109" s="7"/>
      <c r="D109" s="7"/>
      <c r="E109" s="7"/>
      <c r="F109" s="7"/>
      <c r="G109" s="7"/>
      <c r="I109" s="184"/>
      <c r="J109" s="184"/>
      <c r="K109" s="184"/>
      <c r="L109" s="184"/>
      <c r="M109" s="184"/>
      <c r="N109" s="184"/>
      <c r="O109" s="184"/>
      <c r="P109" s="184"/>
    </row>
    <row r="111" spans="1:27" ht="15.75" thickBot="1">
      <c r="H111" s="7">
        <f>'Input 4 - Forecast'!C9</f>
        <v>2018</v>
      </c>
      <c r="I111" s="7">
        <f>H111+1</f>
        <v>2019</v>
      </c>
      <c r="J111" s="7">
        <f>I111+1</f>
        <v>2020</v>
      </c>
      <c r="K111" s="7">
        <f>J111+1</f>
        <v>2021</v>
      </c>
      <c r="L111" s="7">
        <f>K111+1</f>
        <v>2022</v>
      </c>
      <c r="M111" s="7">
        <f>L111+1</f>
        <v>2023</v>
      </c>
      <c r="O111" s="7">
        <f t="shared" ref="O111:T111" si="22">H111</f>
        <v>2018</v>
      </c>
      <c r="P111" s="7">
        <f t="shared" si="22"/>
        <v>2019</v>
      </c>
      <c r="Q111" s="7">
        <f t="shared" si="22"/>
        <v>2020</v>
      </c>
      <c r="R111" s="7">
        <f t="shared" si="22"/>
        <v>2021</v>
      </c>
      <c r="S111" s="7">
        <f t="shared" si="22"/>
        <v>2022</v>
      </c>
      <c r="T111" s="7">
        <f t="shared" si="22"/>
        <v>2023</v>
      </c>
      <c r="V111" s="7">
        <f t="shared" ref="V111:AA111" si="23">O111</f>
        <v>2018</v>
      </c>
      <c r="W111" s="7">
        <f t="shared" si="23"/>
        <v>2019</v>
      </c>
      <c r="X111" s="7">
        <f t="shared" si="23"/>
        <v>2020</v>
      </c>
      <c r="Y111" s="7">
        <f t="shared" si="23"/>
        <v>2021</v>
      </c>
      <c r="Z111" s="7">
        <f t="shared" si="23"/>
        <v>2022</v>
      </c>
      <c r="AA111" s="7">
        <f t="shared" si="23"/>
        <v>2023</v>
      </c>
    </row>
    <row r="112" spans="1:27" ht="15.75" thickBot="1">
      <c r="A112" s="281"/>
      <c r="B112" s="2009" t="s">
        <v>44</v>
      </c>
      <c r="C112" s="2010"/>
      <c r="D112" s="2010"/>
      <c r="E112" s="2010"/>
      <c r="F112" s="2011"/>
      <c r="H112" s="2012" t="s">
        <v>40</v>
      </c>
      <c r="I112" s="2013"/>
      <c r="J112" s="2013"/>
      <c r="K112" s="2013"/>
      <c r="L112" s="2013"/>
      <c r="M112" s="2014"/>
      <c r="O112" s="2015" t="s">
        <v>46</v>
      </c>
      <c r="P112" s="2016"/>
      <c r="Q112" s="2016"/>
      <c r="R112" s="2016"/>
      <c r="S112" s="2016"/>
      <c r="T112" s="2017"/>
      <c r="V112" s="1996" t="s">
        <v>42</v>
      </c>
      <c r="W112" s="1997"/>
      <c r="X112" s="1997"/>
      <c r="Y112" s="1997"/>
      <c r="Z112" s="1997"/>
      <c r="AA112" s="1998"/>
    </row>
    <row r="113" spans="1:27">
      <c r="A113" s="281"/>
      <c r="B113" s="7" t="s">
        <v>45</v>
      </c>
      <c r="C113" s="281" t="s">
        <v>462</v>
      </c>
      <c r="D113" s="7" t="s">
        <v>43</v>
      </c>
      <c r="E113" s="7" t="s">
        <v>39</v>
      </c>
      <c r="F113" s="7" t="s">
        <v>41</v>
      </c>
    </row>
    <row r="114" spans="1:27">
      <c r="A114" s="17"/>
      <c r="B114" s="7"/>
      <c r="C114" s="7"/>
      <c r="D114" s="7"/>
      <c r="E114" s="7"/>
    </row>
    <row r="115" spans="1:27">
      <c r="A115" s="20" t="str">
        <f>'Input 4 - Forecast'!A50</f>
        <v>Issuance of New Debt to Fill Fiscal Needs</v>
      </c>
    </row>
    <row r="116" spans="1:27" customFormat="1" ht="15.75" thickBot="1">
      <c r="A116" s="21" t="str">
        <f>'Input 4 - Forecast'!A55</f>
        <v>Short-term debt 2/</v>
      </c>
      <c r="B116" s="18"/>
      <c r="C116" s="13"/>
      <c r="D116" s="13"/>
      <c r="E116" s="13"/>
      <c r="F116" s="13"/>
      <c r="G116" s="13"/>
      <c r="H116" s="13"/>
      <c r="I116" s="17"/>
      <c r="J116" s="19"/>
      <c r="K116" s="19"/>
      <c r="L116" s="19"/>
      <c r="M116" s="19"/>
      <c r="N116" s="19"/>
      <c r="O116" s="19"/>
      <c r="P116" s="19"/>
      <c r="Q116" s="19"/>
    </row>
    <row r="117" spans="1:27" customFormat="1" ht="15.75" thickBot="1">
      <c r="A117" s="22" t="str">
        <f>'Input 4 - Forecast'!A56</f>
        <v>Denominated in local currency</v>
      </c>
      <c r="B117" s="1999" t="s">
        <v>51</v>
      </c>
      <c r="C117" s="2000"/>
      <c r="D117" s="2000"/>
      <c r="E117" s="2000"/>
      <c r="F117" s="2000"/>
      <c r="G117" s="2000"/>
      <c r="H117" s="2000"/>
      <c r="I117" s="2000"/>
      <c r="J117" s="2000"/>
      <c r="K117" s="2000"/>
      <c r="L117" s="2000"/>
      <c r="M117" s="2000"/>
      <c r="N117" s="2000"/>
      <c r="O117" s="2000"/>
      <c r="P117" s="2000"/>
      <c r="Q117" s="2000"/>
      <c r="R117" s="2000"/>
      <c r="S117" s="2000"/>
      <c r="T117" s="2000"/>
      <c r="U117" s="2000"/>
      <c r="V117" s="2000"/>
      <c r="W117" s="2000"/>
      <c r="X117" s="2000"/>
      <c r="Y117" s="2000"/>
      <c r="Z117" s="2000"/>
      <c r="AA117" s="2001"/>
    </row>
    <row r="118" spans="1:27">
      <c r="B118" s="281"/>
      <c r="F118" s="15"/>
      <c r="H118" s="10"/>
      <c r="I118" s="10"/>
      <c r="J118" s="10"/>
      <c r="K118" s="10"/>
      <c r="L118" s="10"/>
      <c r="M118" s="10"/>
      <c r="N118" s="10"/>
      <c r="O118" s="10"/>
      <c r="P118" s="10"/>
      <c r="Q118" s="10"/>
      <c r="R118" s="10"/>
      <c r="S118" s="10"/>
      <c r="T118" s="10"/>
      <c r="U118" s="10"/>
      <c r="V118" s="10"/>
      <c r="W118" s="10"/>
      <c r="X118" s="10"/>
      <c r="Y118" s="10"/>
      <c r="Z118" s="10"/>
      <c r="AA118" s="10"/>
    </row>
    <row r="119" spans="1:27" customFormat="1">
      <c r="A119" s="23"/>
      <c r="B119" s="7">
        <f>'Input 4 - Forecast'!C9</f>
        <v>2018</v>
      </c>
      <c r="C119" s="13" t="str">
        <f>$I75</f>
        <v>Semi-annual</v>
      </c>
      <c r="D119" s="13">
        <f>$J75</f>
        <v>0</v>
      </c>
      <c r="E119" s="13">
        <f>$K75</f>
        <v>0</v>
      </c>
      <c r="F119" s="14">
        <f>$L$75</f>
        <v>0</v>
      </c>
      <c r="G119" s="13"/>
      <c r="H119" s="9">
        <f>$B$75</f>
        <v>0</v>
      </c>
      <c r="I119" s="9">
        <f>H119-P119</f>
        <v>0</v>
      </c>
      <c r="J119" s="9">
        <f>I119-Q119</f>
        <v>0</v>
      </c>
      <c r="K119" s="9">
        <f>J119-R119</f>
        <v>0</v>
      </c>
      <c r="L119" s="9">
        <f>K119-S119</f>
        <v>0</v>
      </c>
      <c r="M119" s="9">
        <f>L119-T119</f>
        <v>0</v>
      </c>
      <c r="N119" s="9"/>
      <c r="O119" s="9">
        <v>0</v>
      </c>
      <c r="P119" s="9">
        <f>H119</f>
        <v>0</v>
      </c>
      <c r="Q119" s="9">
        <v>0</v>
      </c>
      <c r="R119" s="9">
        <v>0</v>
      </c>
      <c r="S119" s="9">
        <v>0</v>
      </c>
      <c r="T119" s="9">
        <v>0</v>
      </c>
      <c r="U119" s="9"/>
      <c r="V119" s="9">
        <f>IF($C119="annual",IF(V$111=$B119,0,G119*$F119),IF(V$111-$B119=0,0,IF((V$111-$B119)&lt;$E119,AVERAGE(G119,H119)*$F119,IF((V$111-$B119)=$E119,G119*$F119/2,0))))</f>
        <v>0</v>
      </c>
      <c r="W119" s="9">
        <f t="shared" ref="W119:AA124" si="24">IF($C119="annual",IF(W$111=$B119,0,H119*$F119),IF(W$111-$B119=0,0,IF((W$111-$B119)&lt;$E119,AVERAGE(H119,I119)*$F119,IF((W$111-$B119)=$E119,H119*$F119/2,0))))</f>
        <v>0</v>
      </c>
      <c r="X119" s="9">
        <f t="shared" si="24"/>
        <v>0</v>
      </c>
      <c r="Y119" s="9">
        <f t="shared" si="24"/>
        <v>0</v>
      </c>
      <c r="Z119" s="9">
        <f t="shared" si="24"/>
        <v>0</v>
      </c>
      <c r="AA119" s="9">
        <f t="shared" si="24"/>
        <v>0</v>
      </c>
    </row>
    <row r="120" spans="1:27" customFormat="1">
      <c r="A120" s="23"/>
      <c r="B120" s="7">
        <f>B119+1</f>
        <v>2019</v>
      </c>
      <c r="C120" s="13" t="str">
        <f>C119</f>
        <v>Semi-annual</v>
      </c>
      <c r="D120" s="13">
        <f>D119</f>
        <v>0</v>
      </c>
      <c r="E120" s="13">
        <f>E119</f>
        <v>0</v>
      </c>
      <c r="F120" s="14">
        <f>$M$75</f>
        <v>2.0470863523532085E-2</v>
      </c>
      <c r="G120" s="13"/>
      <c r="H120" s="9"/>
      <c r="I120" s="9">
        <f ca="1">$C$75</f>
        <v>314.770912834694</v>
      </c>
      <c r="J120" s="9">
        <f ca="1">I120-Q120</f>
        <v>0</v>
      </c>
      <c r="K120" s="9">
        <f ca="1">J120-R120</f>
        <v>0</v>
      </c>
      <c r="L120" s="9">
        <f ca="1">K120-S120</f>
        <v>0</v>
      </c>
      <c r="M120" s="9">
        <f ca="1">L120-T120</f>
        <v>0</v>
      </c>
      <c r="N120" s="9"/>
      <c r="O120" s="9"/>
      <c r="P120" s="9">
        <v>0</v>
      </c>
      <c r="Q120" s="9">
        <f ca="1">I120</f>
        <v>314.770912834694</v>
      </c>
      <c r="R120" s="9">
        <v>0</v>
      </c>
      <c r="S120" s="9">
        <v>0</v>
      </c>
      <c r="T120" s="9">
        <v>0</v>
      </c>
      <c r="U120" s="9"/>
      <c r="V120" s="9"/>
      <c r="W120" s="9">
        <f t="shared" si="24"/>
        <v>0</v>
      </c>
      <c r="X120" s="9">
        <f t="shared" si="24"/>
        <v>0</v>
      </c>
      <c r="Y120" s="9">
        <f t="shared" si="24"/>
        <v>0</v>
      </c>
      <c r="Z120" s="9">
        <f t="shared" si="24"/>
        <v>0</v>
      </c>
      <c r="AA120" s="9">
        <f t="shared" si="24"/>
        <v>0</v>
      </c>
    </row>
    <row r="121" spans="1:27" customFormat="1">
      <c r="A121" s="23"/>
      <c r="B121" s="7">
        <f>B120+1</f>
        <v>2020</v>
      </c>
      <c r="C121" s="13" t="str">
        <f>C120</f>
        <v>Semi-annual</v>
      </c>
      <c r="D121" s="13">
        <f t="shared" ref="D121:E124" si="25">D120</f>
        <v>0</v>
      </c>
      <c r="E121" s="13">
        <f t="shared" si="25"/>
        <v>0</v>
      </c>
      <c r="F121" s="14">
        <f>$N$75</f>
        <v>0</v>
      </c>
      <c r="G121" s="13"/>
      <c r="H121" s="9"/>
      <c r="I121" s="9"/>
      <c r="J121" s="9">
        <f ca="1">$D$75</f>
        <v>247.03150016240562</v>
      </c>
      <c r="K121" s="9">
        <f ca="1">J121-R121</f>
        <v>0</v>
      </c>
      <c r="L121" s="9">
        <f ca="1">K121-S121</f>
        <v>0</v>
      </c>
      <c r="M121" s="9">
        <f ca="1">L121-T121</f>
        <v>0</v>
      </c>
      <c r="N121" s="9"/>
      <c r="O121" s="9"/>
      <c r="P121" s="9"/>
      <c r="Q121" s="9">
        <v>0</v>
      </c>
      <c r="R121" s="9">
        <f ca="1">J121</f>
        <v>247.03150016240562</v>
      </c>
      <c r="S121" s="9">
        <v>0</v>
      </c>
      <c r="T121" s="9">
        <v>0</v>
      </c>
      <c r="U121" s="9"/>
      <c r="V121" s="9"/>
      <c r="W121" s="9"/>
      <c r="X121" s="9">
        <f t="shared" si="24"/>
        <v>0</v>
      </c>
      <c r="Y121" s="9">
        <f t="shared" si="24"/>
        <v>0</v>
      </c>
      <c r="Z121" s="9">
        <f t="shared" si="24"/>
        <v>0</v>
      </c>
      <c r="AA121" s="9">
        <f t="shared" si="24"/>
        <v>0</v>
      </c>
    </row>
    <row r="122" spans="1:27" customFormat="1">
      <c r="A122" s="23"/>
      <c r="B122" s="7">
        <f>B121+1</f>
        <v>2021</v>
      </c>
      <c r="C122" s="13" t="str">
        <f>C121</f>
        <v>Semi-annual</v>
      </c>
      <c r="D122" s="13">
        <f t="shared" si="25"/>
        <v>0</v>
      </c>
      <c r="E122" s="13">
        <f t="shared" si="25"/>
        <v>0</v>
      </c>
      <c r="F122" s="14">
        <f>$O$75</f>
        <v>0</v>
      </c>
      <c r="G122" s="13"/>
      <c r="H122" s="9"/>
      <c r="I122" s="9"/>
      <c r="J122" s="9"/>
      <c r="K122" s="9">
        <f ca="1">$E$75</f>
        <v>219.74063742068913</v>
      </c>
      <c r="L122" s="9">
        <f ca="1">K122-S122</f>
        <v>0</v>
      </c>
      <c r="M122" s="9">
        <f ca="1">L122-T122</f>
        <v>0</v>
      </c>
      <c r="N122" s="9"/>
      <c r="O122" s="9"/>
      <c r="P122" s="9"/>
      <c r="Q122" s="9"/>
      <c r="R122" s="9">
        <v>0</v>
      </c>
      <c r="S122" s="9">
        <f ca="1">K122</f>
        <v>219.74063742068913</v>
      </c>
      <c r="T122" s="9">
        <v>0</v>
      </c>
      <c r="U122" s="9"/>
      <c r="V122" s="9"/>
      <c r="W122" s="9"/>
      <c r="X122" s="9"/>
      <c r="Y122" s="9">
        <f t="shared" si="24"/>
        <v>0</v>
      </c>
      <c r="Z122" s="9">
        <f t="shared" si="24"/>
        <v>0</v>
      </c>
      <c r="AA122" s="9">
        <f t="shared" si="24"/>
        <v>0</v>
      </c>
    </row>
    <row r="123" spans="1:27" customFormat="1">
      <c r="A123" s="23"/>
      <c r="B123" s="7">
        <f>B122+1</f>
        <v>2022</v>
      </c>
      <c r="C123" s="13" t="str">
        <f>C122</f>
        <v>Semi-annual</v>
      </c>
      <c r="D123" s="13">
        <f t="shared" si="25"/>
        <v>0</v>
      </c>
      <c r="E123" s="13">
        <f t="shared" si="25"/>
        <v>0</v>
      </c>
      <c r="F123" s="14">
        <f>$P$75</f>
        <v>0</v>
      </c>
      <c r="G123" s="13"/>
      <c r="H123" s="9"/>
      <c r="I123" s="9"/>
      <c r="J123" s="9"/>
      <c r="K123" s="9"/>
      <c r="L123" s="9">
        <f ca="1">$F$75</f>
        <v>216.172209999751</v>
      </c>
      <c r="M123" s="9">
        <f ca="1">L123-T123</f>
        <v>0</v>
      </c>
      <c r="N123" s="9"/>
      <c r="O123" s="9"/>
      <c r="P123" s="9"/>
      <c r="Q123" s="9"/>
      <c r="R123" s="9"/>
      <c r="S123" s="9">
        <v>0</v>
      </c>
      <c r="T123" s="9">
        <f ca="1">L123</f>
        <v>216.172209999751</v>
      </c>
      <c r="U123" s="9"/>
      <c r="V123" s="9"/>
      <c r="W123" s="9"/>
      <c r="X123" s="9"/>
      <c r="Y123" s="9"/>
      <c r="Z123" s="9">
        <f t="shared" si="24"/>
        <v>0</v>
      </c>
      <c r="AA123" s="9">
        <f t="shared" si="24"/>
        <v>0</v>
      </c>
    </row>
    <row r="124" spans="1:27" customFormat="1">
      <c r="A124" s="23"/>
      <c r="B124" s="7">
        <f>B123+1</f>
        <v>2023</v>
      </c>
      <c r="C124" s="13" t="str">
        <f>C123</f>
        <v>Semi-annual</v>
      </c>
      <c r="D124" s="13">
        <f t="shared" si="25"/>
        <v>0</v>
      </c>
      <c r="E124" s="13">
        <f t="shared" si="25"/>
        <v>0</v>
      </c>
      <c r="F124" s="14">
        <f>$Q$75</f>
        <v>0</v>
      </c>
      <c r="G124" s="13"/>
      <c r="H124" s="9"/>
      <c r="I124" s="9"/>
      <c r="J124" s="9"/>
      <c r="K124" s="9"/>
      <c r="L124" s="9"/>
      <c r="M124" s="9">
        <f ca="1">$G$75</f>
        <v>215.94473705356771</v>
      </c>
      <c r="N124" s="9"/>
      <c r="O124" s="9"/>
      <c r="P124" s="9"/>
      <c r="Q124" s="9"/>
      <c r="R124" s="9"/>
      <c r="S124" s="9"/>
      <c r="T124" s="9">
        <v>0</v>
      </c>
      <c r="U124" s="9"/>
      <c r="V124" s="9"/>
      <c r="W124" s="9"/>
      <c r="X124" s="9"/>
      <c r="Y124" s="9"/>
      <c r="Z124" s="9"/>
      <c r="AA124" s="9">
        <f t="shared" si="24"/>
        <v>0</v>
      </c>
    </row>
    <row r="125" spans="1:27" ht="15.75" thickBot="1">
      <c r="F125" s="15"/>
      <c r="H125" s="10"/>
      <c r="I125" s="10"/>
      <c r="J125" s="10"/>
      <c r="K125" s="10"/>
      <c r="L125" s="10"/>
      <c r="M125" s="10"/>
      <c r="N125" s="10"/>
      <c r="O125" s="10"/>
      <c r="P125" s="10"/>
      <c r="Q125" s="10"/>
      <c r="R125" s="10"/>
      <c r="S125" s="10"/>
      <c r="T125" s="10"/>
      <c r="U125" s="10"/>
      <c r="V125" s="10"/>
      <c r="W125" s="10"/>
      <c r="X125" s="10"/>
      <c r="Y125" s="10"/>
      <c r="Z125" s="10"/>
      <c r="AA125" s="10"/>
    </row>
    <row r="126" spans="1:27" customFormat="1" ht="15.75" thickBot="1">
      <c r="A126" s="22" t="str">
        <f>'Input 4 - Forecast'!A65</f>
        <v>Denominated in foreign currency</v>
      </c>
      <c r="B126" s="1999" t="s">
        <v>52</v>
      </c>
      <c r="C126" s="2000"/>
      <c r="D126" s="2000"/>
      <c r="E126" s="2000"/>
      <c r="F126" s="2000"/>
      <c r="G126" s="2000"/>
      <c r="H126" s="2000"/>
      <c r="I126" s="2000"/>
      <c r="J126" s="2000"/>
      <c r="K126" s="2000"/>
      <c r="L126" s="2000"/>
      <c r="M126" s="2000"/>
      <c r="N126" s="2000"/>
      <c r="O126" s="2000"/>
      <c r="P126" s="2000"/>
      <c r="Q126" s="2000"/>
      <c r="R126" s="2000"/>
      <c r="S126" s="2000"/>
      <c r="T126" s="2000"/>
      <c r="U126" s="2000"/>
      <c r="V126" s="2000"/>
      <c r="W126" s="2000"/>
      <c r="X126" s="2000"/>
      <c r="Y126" s="2000"/>
      <c r="Z126" s="2000"/>
      <c r="AA126" s="2001"/>
    </row>
    <row r="127" spans="1:27">
      <c r="F127" s="15"/>
      <c r="H127" s="10"/>
      <c r="I127" s="10"/>
      <c r="J127" s="10"/>
      <c r="K127" s="10"/>
      <c r="L127" s="10"/>
      <c r="M127" s="10"/>
      <c r="N127" s="10"/>
      <c r="O127" s="10"/>
      <c r="P127" s="10"/>
      <c r="Q127" s="10"/>
      <c r="R127" s="10"/>
      <c r="S127" s="10"/>
      <c r="T127" s="10"/>
      <c r="U127" s="10"/>
      <c r="V127" s="10"/>
      <c r="W127" s="10"/>
      <c r="X127" s="10"/>
      <c r="Y127" s="10"/>
      <c r="Z127" s="10"/>
      <c r="AA127" s="10"/>
    </row>
    <row r="128" spans="1:27" customFormat="1">
      <c r="A128" s="23"/>
      <c r="B128" s="7">
        <f>B119</f>
        <v>2018</v>
      </c>
      <c r="C128" s="13" t="str">
        <f>$I76</f>
        <v>Semi-annual</v>
      </c>
      <c r="D128" s="13">
        <f>$J76</f>
        <v>0</v>
      </c>
      <c r="E128" s="13">
        <f>$K76</f>
        <v>0</v>
      </c>
      <c r="F128" s="14">
        <f>$L$76</f>
        <v>0</v>
      </c>
      <c r="G128" s="13"/>
      <c r="H128" s="9">
        <f>$B$76/$B$31</f>
        <v>0</v>
      </c>
      <c r="I128" s="9">
        <f>H128-P128</f>
        <v>0</v>
      </c>
      <c r="J128" s="9">
        <f>I128-Q128</f>
        <v>0</v>
      </c>
      <c r="K128" s="9">
        <f>J128-R128</f>
        <v>0</v>
      </c>
      <c r="L128" s="9">
        <f>K128-S128</f>
        <v>0</v>
      </c>
      <c r="M128" s="9">
        <f>L128-T128</f>
        <v>0</v>
      </c>
      <c r="N128" s="9"/>
      <c r="O128" s="9">
        <v>0</v>
      </c>
      <c r="P128" s="9">
        <f>H128</f>
        <v>0</v>
      </c>
      <c r="Q128" s="9">
        <v>0</v>
      </c>
      <c r="R128" s="9">
        <v>0</v>
      </c>
      <c r="S128" s="9">
        <v>0</v>
      </c>
      <c r="T128" s="9">
        <v>0</v>
      </c>
      <c r="U128" s="9"/>
      <c r="V128" s="9">
        <f>IF($C128="annual",IF(V$111=$B128,0,G128*$F128),IF(V$111-$B128=0,0,IF((V$111-$B128)&lt;$E128,AVERAGE(G128,H128)*$F128,IF((V$111-$B128)=$E128,G128*$F128/2,0))))</f>
        <v>0</v>
      </c>
      <c r="W128" s="9">
        <f t="shared" ref="W128:AA133" si="26">IF($C128="annual",IF(W$111=$B128,0,H128*$F128),IF(W$111-$B128=0,0,IF((W$111-$B128)&lt;$E128,AVERAGE(H128,I128)*$F128,IF((W$111-$B128)=$E128,H128*$F128/2,0))))</f>
        <v>0</v>
      </c>
      <c r="X128" s="9">
        <f t="shared" si="26"/>
        <v>0</v>
      </c>
      <c r="Y128" s="9">
        <f t="shared" si="26"/>
        <v>0</v>
      </c>
      <c r="Z128" s="9">
        <f t="shared" si="26"/>
        <v>0</v>
      </c>
      <c r="AA128" s="9">
        <f t="shared" si="26"/>
        <v>0</v>
      </c>
    </row>
    <row r="129" spans="1:27" customFormat="1">
      <c r="A129" s="23"/>
      <c r="B129" s="7">
        <f>B128+1</f>
        <v>2019</v>
      </c>
      <c r="C129" s="13" t="str">
        <f>C128</f>
        <v>Semi-annual</v>
      </c>
      <c r="D129" s="13">
        <f>D128</f>
        <v>0</v>
      </c>
      <c r="E129" s="13">
        <f>E128</f>
        <v>0</v>
      </c>
      <c r="F129" s="14">
        <f>$M$76</f>
        <v>2.0470863523532085E-2</v>
      </c>
      <c r="G129" s="13"/>
      <c r="H129" s="9"/>
      <c r="I129" s="9">
        <f ca="1">$C$76/$C$31</f>
        <v>0</v>
      </c>
      <c r="J129" s="9">
        <f ca="1">I129-Q129</f>
        <v>0</v>
      </c>
      <c r="K129" s="9">
        <f ca="1">J129-R129</f>
        <v>0</v>
      </c>
      <c r="L129" s="9">
        <f ca="1">K129-S129</f>
        <v>0</v>
      </c>
      <c r="M129" s="9">
        <f ca="1">L129-T129</f>
        <v>0</v>
      </c>
      <c r="N129" s="9"/>
      <c r="O129" s="9"/>
      <c r="P129" s="9">
        <v>0</v>
      </c>
      <c r="Q129" s="9">
        <f ca="1">I129</f>
        <v>0</v>
      </c>
      <c r="R129" s="9">
        <v>0</v>
      </c>
      <c r="S129" s="9">
        <v>0</v>
      </c>
      <c r="T129" s="9">
        <v>0</v>
      </c>
      <c r="U129" s="9"/>
      <c r="V129" s="9"/>
      <c r="W129" s="9">
        <f t="shared" si="26"/>
        <v>0</v>
      </c>
      <c r="X129" s="9">
        <f t="shared" si="26"/>
        <v>0</v>
      </c>
      <c r="Y129" s="9">
        <f t="shared" si="26"/>
        <v>0</v>
      </c>
      <c r="Z129" s="9">
        <f t="shared" si="26"/>
        <v>0</v>
      </c>
      <c r="AA129" s="9">
        <f t="shared" si="26"/>
        <v>0</v>
      </c>
    </row>
    <row r="130" spans="1:27" customFormat="1">
      <c r="A130" s="23"/>
      <c r="B130" s="7">
        <f>B129+1</f>
        <v>2020</v>
      </c>
      <c r="C130" s="13" t="str">
        <f>C129</f>
        <v>Semi-annual</v>
      </c>
      <c r="D130" s="13">
        <f t="shared" ref="D130:E133" si="27">D129</f>
        <v>0</v>
      </c>
      <c r="E130" s="13">
        <f t="shared" si="27"/>
        <v>0</v>
      </c>
      <c r="F130" s="14">
        <f>$N$76</f>
        <v>0</v>
      </c>
      <c r="G130" s="13"/>
      <c r="H130" s="9"/>
      <c r="I130" s="9"/>
      <c r="J130" s="9">
        <f ca="1">$D$76/$D$31</f>
        <v>0</v>
      </c>
      <c r="K130" s="9">
        <f ca="1">J130-R130</f>
        <v>0</v>
      </c>
      <c r="L130" s="9">
        <f ca="1">K130-S130</f>
        <v>0</v>
      </c>
      <c r="M130" s="9">
        <f ca="1">L130-T130</f>
        <v>0</v>
      </c>
      <c r="N130" s="9"/>
      <c r="O130" s="9"/>
      <c r="P130" s="9"/>
      <c r="Q130" s="9">
        <v>0</v>
      </c>
      <c r="R130" s="9">
        <f ca="1">J130</f>
        <v>0</v>
      </c>
      <c r="S130" s="9">
        <v>0</v>
      </c>
      <c r="T130" s="9">
        <v>0</v>
      </c>
      <c r="U130" s="9"/>
      <c r="V130" s="9"/>
      <c r="W130" s="9"/>
      <c r="X130" s="9">
        <f t="shared" si="26"/>
        <v>0</v>
      </c>
      <c r="Y130" s="9">
        <f t="shared" si="26"/>
        <v>0</v>
      </c>
      <c r="Z130" s="9">
        <f t="shared" si="26"/>
        <v>0</v>
      </c>
      <c r="AA130" s="9">
        <f t="shared" si="26"/>
        <v>0</v>
      </c>
    </row>
    <row r="131" spans="1:27" customFormat="1">
      <c r="A131" s="23"/>
      <c r="B131" s="7">
        <f>B130+1</f>
        <v>2021</v>
      </c>
      <c r="C131" s="13" t="str">
        <f>C130</f>
        <v>Semi-annual</v>
      </c>
      <c r="D131" s="13">
        <f t="shared" si="27"/>
        <v>0</v>
      </c>
      <c r="E131" s="13">
        <f t="shared" si="27"/>
        <v>0</v>
      </c>
      <c r="F131" s="14">
        <f>$O$76</f>
        <v>0</v>
      </c>
      <c r="G131" s="13"/>
      <c r="H131" s="9"/>
      <c r="I131" s="9"/>
      <c r="J131" s="9"/>
      <c r="K131" s="9">
        <f ca="1">$E$76/$E$31</f>
        <v>0</v>
      </c>
      <c r="L131" s="9">
        <f ca="1">K131-S131</f>
        <v>0</v>
      </c>
      <c r="M131" s="9">
        <f ca="1">L131-T131</f>
        <v>0</v>
      </c>
      <c r="N131" s="9"/>
      <c r="O131" s="9"/>
      <c r="P131" s="9"/>
      <c r="Q131" s="9"/>
      <c r="R131" s="9">
        <v>0</v>
      </c>
      <c r="S131" s="9">
        <f ca="1">K131</f>
        <v>0</v>
      </c>
      <c r="T131" s="9">
        <v>0</v>
      </c>
      <c r="U131" s="9"/>
      <c r="V131" s="9"/>
      <c r="W131" s="9"/>
      <c r="X131" s="9"/>
      <c r="Y131" s="9">
        <f t="shared" si="26"/>
        <v>0</v>
      </c>
      <c r="Z131" s="9">
        <f t="shared" si="26"/>
        <v>0</v>
      </c>
      <c r="AA131" s="9">
        <f t="shared" si="26"/>
        <v>0</v>
      </c>
    </row>
    <row r="132" spans="1:27" customFormat="1">
      <c r="A132" s="23"/>
      <c r="B132" s="7">
        <f>B131+1</f>
        <v>2022</v>
      </c>
      <c r="C132" s="13" t="str">
        <f>C131</f>
        <v>Semi-annual</v>
      </c>
      <c r="D132" s="13">
        <f t="shared" si="27"/>
        <v>0</v>
      </c>
      <c r="E132" s="13">
        <f t="shared" si="27"/>
        <v>0</v>
      </c>
      <c r="F132" s="14">
        <f>$P$76</f>
        <v>0</v>
      </c>
      <c r="G132" s="13"/>
      <c r="H132" s="9"/>
      <c r="I132" s="9"/>
      <c r="J132" s="9"/>
      <c r="K132" s="9"/>
      <c r="L132" s="9">
        <f ca="1">$F$76/$F$31</f>
        <v>0</v>
      </c>
      <c r="M132" s="9">
        <f ca="1">L132-T132</f>
        <v>0</v>
      </c>
      <c r="N132" s="9"/>
      <c r="O132" s="9"/>
      <c r="P132" s="9"/>
      <c r="Q132" s="9"/>
      <c r="R132" s="9"/>
      <c r="S132" s="9">
        <v>0</v>
      </c>
      <c r="T132" s="9">
        <f ca="1">L132</f>
        <v>0</v>
      </c>
      <c r="U132" s="9"/>
      <c r="V132" s="9"/>
      <c r="W132" s="9"/>
      <c r="X132" s="9"/>
      <c r="Y132" s="9"/>
      <c r="Z132" s="9">
        <f t="shared" si="26"/>
        <v>0</v>
      </c>
      <c r="AA132" s="9">
        <f t="shared" si="26"/>
        <v>0</v>
      </c>
    </row>
    <row r="133" spans="1:27" customFormat="1">
      <c r="A133" s="23"/>
      <c r="B133" s="7">
        <f>B132+1</f>
        <v>2023</v>
      </c>
      <c r="C133" s="13" t="str">
        <f>C132</f>
        <v>Semi-annual</v>
      </c>
      <c r="D133" s="13">
        <f t="shared" si="27"/>
        <v>0</v>
      </c>
      <c r="E133" s="13">
        <f t="shared" si="27"/>
        <v>0</v>
      </c>
      <c r="F133" s="14">
        <f>$Q$76</f>
        <v>0</v>
      </c>
      <c r="G133" s="13"/>
      <c r="H133" s="9"/>
      <c r="I133" s="9"/>
      <c r="J133" s="9"/>
      <c r="K133" s="9"/>
      <c r="L133" s="9"/>
      <c r="M133" s="9">
        <f ca="1">$G$76/$G$31</f>
        <v>0</v>
      </c>
      <c r="N133" s="9"/>
      <c r="O133" s="9"/>
      <c r="P133" s="9"/>
      <c r="Q133" s="9"/>
      <c r="R133" s="9"/>
      <c r="S133" s="9"/>
      <c r="T133" s="9">
        <v>0</v>
      </c>
      <c r="U133" s="9"/>
      <c r="V133" s="9"/>
      <c r="W133" s="9"/>
      <c r="X133" s="9"/>
      <c r="Y133" s="9"/>
      <c r="Z133" s="9"/>
      <c r="AA133" s="9">
        <f t="shared" si="26"/>
        <v>0</v>
      </c>
    </row>
    <row r="135" spans="1:27" ht="15.75" thickBot="1">
      <c r="A135" s="11" t="str">
        <f>'Input 4 - Forecast'!A58</f>
        <v>Long-term debt 3/</v>
      </c>
    </row>
    <row r="136" spans="1:27" ht="15.75" thickBot="1">
      <c r="A136" s="12" t="str">
        <f>'Input 4 - Forecast'!A59</f>
        <v>Denominated in local currency</v>
      </c>
      <c r="B136" s="1999" t="s">
        <v>51</v>
      </c>
      <c r="C136" s="2000"/>
      <c r="D136" s="2000"/>
      <c r="E136" s="2000"/>
      <c r="F136" s="2000"/>
      <c r="G136" s="2000"/>
      <c r="H136" s="2000"/>
      <c r="I136" s="2000"/>
      <c r="J136" s="2000"/>
      <c r="K136" s="2000"/>
      <c r="L136" s="2000"/>
      <c r="M136" s="2000"/>
      <c r="N136" s="2000"/>
      <c r="O136" s="2000"/>
      <c r="P136" s="2000"/>
      <c r="Q136" s="2000"/>
      <c r="R136" s="2000"/>
      <c r="S136" s="2000"/>
      <c r="T136" s="2000"/>
      <c r="U136" s="2000"/>
      <c r="V136" s="2000"/>
      <c r="W136" s="2000"/>
      <c r="X136" s="2000"/>
      <c r="Y136" s="2000"/>
      <c r="Z136" s="2000"/>
      <c r="AA136" s="2001"/>
    </row>
    <row r="138" spans="1:27">
      <c r="A138" s="8" t="str">
        <f>'Input 4 - Forecast'!A60</f>
        <v>Type 1</v>
      </c>
      <c r="B138" s="7">
        <f>B119</f>
        <v>2018</v>
      </c>
      <c r="C138" s="7" t="str">
        <f>$I79</f>
        <v>Annual</v>
      </c>
      <c r="D138" s="7">
        <f>$J79</f>
        <v>5</v>
      </c>
      <c r="E138" s="7">
        <f>$K79</f>
        <v>5</v>
      </c>
      <c r="F138" s="14">
        <f>$L$79</f>
        <v>5.0000000000000001E-3</v>
      </c>
      <c r="H138" s="9">
        <f>$B$79</f>
        <v>329.998670927072</v>
      </c>
      <c r="I138" s="9">
        <f>H138-P138</f>
        <v>329.998670927072</v>
      </c>
      <c r="J138" s="9">
        <f>I138-Q138</f>
        <v>329.998670927072</v>
      </c>
      <c r="K138" s="9">
        <f>J138-R138</f>
        <v>329.998670927072</v>
      </c>
      <c r="L138" s="9">
        <f>K138-S138</f>
        <v>329.998670927072</v>
      </c>
      <c r="M138" s="9">
        <f>L138-T138</f>
        <v>0</v>
      </c>
      <c r="N138" s="9"/>
      <c r="O138" s="9">
        <f t="shared" ref="O138:T138" si="28">IF(OR($C138="Annual",$D138=$E138),IF(AND($D138=$E138,O$111=$B138+$D138),$H138,IF(AND(O$111&gt;$B138+$D138,O$111&lt;=$B138+$E138), $H138/($E138-$D138),0)), IF(OR(O$111=$B138+$D138,O$111=$B138+$E138),$H138/(($E138-$D138)*2),IF(AND(O$111&gt;$B138+$D138,O$111&lt;$B138+$E138),$H138/($E138-$D138),0)))</f>
        <v>0</v>
      </c>
      <c r="P138" s="9">
        <f t="shared" si="28"/>
        <v>0</v>
      </c>
      <c r="Q138" s="9">
        <f t="shared" si="28"/>
        <v>0</v>
      </c>
      <c r="R138" s="9">
        <f t="shared" si="28"/>
        <v>0</v>
      </c>
      <c r="S138" s="9">
        <f t="shared" si="28"/>
        <v>0</v>
      </c>
      <c r="T138" s="9">
        <f t="shared" si="28"/>
        <v>329.998670927072</v>
      </c>
      <c r="U138" s="9"/>
      <c r="V138" s="9">
        <f>IF($C138="annual",IF(V$111=$B138,0,G138*$F138),IF(V$111-$B138=0,0,IF((V$111-$B138)&lt;$E138,AVERAGE(G138,H138)*$F138,IF((V$111-$B138)=$E138,G138*$F138/2,0))))</f>
        <v>0</v>
      </c>
      <c r="W138" s="9">
        <f t="shared" ref="W138:AA143" si="29">IF($C138="annual",IF(W$111=$B138,0,H138*$F138),IF(W$111-$B138=0,0,IF((W$111-$B138)&lt;$E138,AVERAGE(H138,I138)*$F138,IF((W$111-$B138)=$E138,H138*$F138/2,0))))</f>
        <v>1.64999335463536</v>
      </c>
      <c r="X138" s="9">
        <f t="shared" si="29"/>
        <v>1.64999335463536</v>
      </c>
      <c r="Y138" s="9">
        <f t="shared" si="29"/>
        <v>1.64999335463536</v>
      </c>
      <c r="Z138" s="9">
        <f t="shared" si="29"/>
        <v>1.64999335463536</v>
      </c>
      <c r="AA138" s="9">
        <f t="shared" si="29"/>
        <v>1.64999335463536</v>
      </c>
    </row>
    <row r="139" spans="1:27">
      <c r="A139" s="8" t="str">
        <f>A138</f>
        <v>Type 1</v>
      </c>
      <c r="B139" s="7">
        <f>B138+1</f>
        <v>2019</v>
      </c>
      <c r="C139" s="7" t="str">
        <f>C138</f>
        <v>Annual</v>
      </c>
      <c r="D139" s="7">
        <f>D138</f>
        <v>5</v>
      </c>
      <c r="E139" s="7">
        <f>E138</f>
        <v>5</v>
      </c>
      <c r="F139" s="14">
        <f>$M$79</f>
        <v>2.5470863523532086E-2</v>
      </c>
      <c r="H139" s="9"/>
      <c r="I139" s="9">
        <f ca="1">$C$79</f>
        <v>72.960145359035039</v>
      </c>
      <c r="J139" s="9">
        <f ca="1">I139-Q139</f>
        <v>36.480072679517519</v>
      </c>
      <c r="K139" s="9">
        <f ca="1">J139-R139</f>
        <v>0</v>
      </c>
      <c r="L139" s="9">
        <f ca="1">K139-S139</f>
        <v>0</v>
      </c>
      <c r="M139" s="9">
        <f ca="1">L139-T139</f>
        <v>0</v>
      </c>
      <c r="N139" s="9"/>
      <c r="O139" s="9"/>
      <c r="P139" s="9">
        <f>IF(OR($C139="Annual",$D139=$E139),IF(AND($D139=$E139,P$111=$B139+$D139),$I139,IF(AND(P$111&gt;$B139+$D139,P$111&lt;=$B139+$E139), $I139/($E139-$D139),0)), IF(OR(P$111=$B139+$D139,P$111=$B139+$E139),$I139/(($E139-$D139)*2),IF(AND(P$111&gt;$B139+$D139,P$111&lt;$B139+$E139),$I139/($E139-$D139),0)))</f>
        <v>0</v>
      </c>
      <c r="Q139" s="9">
        <f>IF(OR($C139="Annual",$D139=$E139),IF(AND($D139=$E139,Q$111=$B139+$D139),$I139,IF(AND(Q$111&gt;$B139+$D139,Q$111&lt;=$B139+$E139), $I139/($E139-$D139),0)), IF(OR(Q$111=$B139+$D139,Q$111=$B139+$E139),$I139/(($E139-$D139)*2),IF(AND(Q$111&gt;$B139+$D139,Q$111&lt;$B139+$E139),$I139/($E139-$D139),0)))</f>
        <v>0</v>
      </c>
      <c r="R139" s="9">
        <f>IF(OR($C139="Annual",$D139=$E139),IF(AND($D139=$E139,R$111=$B139+$D139),$I139,IF(AND(R$111&gt;$B139+$D139,R$111&lt;=$B139+$E139), $I139/($E139-$D139),0)), IF(OR(R$111=$B139+$D139,R$111=$B139+$E139),$I139/(($E139-$D139)*2),IF(AND(R$111&gt;$B139+$D139,R$111&lt;$B139+$E139),$I139/($E139-$D139),0)))</f>
        <v>0</v>
      </c>
      <c r="S139" s="9">
        <f>IF(OR($C139="Annual",$D139=$E139),IF(AND($D139=$E139,S$111=$B139+$D139),$I139,IF(AND(S$111&gt;$B139+$D139,S$111&lt;=$B139+$E139), $I139/($E139-$D139),0)), IF(OR(S$111=$B139+$D139,S$111=$B139+$E139),$I139/(($E139-$D139)*2),IF(AND(S$111&gt;$B139+$D139,S$111&lt;$B139+$E139),$I139/($E139-$D139),0)))</f>
        <v>0</v>
      </c>
      <c r="T139" s="9">
        <f>IF(OR($C139="Annual",$D139=$E139),IF(AND($D139=$E139,T$111=$B139+$D139),$I139,IF(AND(T$111&gt;$B139+$D139,T$111&lt;=$B139+$E139), $I139/($E139-$D139),0)), IF(OR(T$111=$B139+$D139,T$111=$B139+$E139),$I139/(($E139-$D139)*2),IF(AND(T$111&gt;$B139+$D139,T$111&lt;$B139+$E139),$I139/($E139-$D139),0)))</f>
        <v>0</v>
      </c>
      <c r="U139" s="9"/>
      <c r="V139" s="9"/>
      <c r="W139" s="9">
        <f t="shared" si="29"/>
        <v>0</v>
      </c>
      <c r="X139" s="9">
        <f t="shared" ca="1" si="29"/>
        <v>3.4949451656818988</v>
      </c>
      <c r="Y139" s="9">
        <f t="shared" ca="1" si="29"/>
        <v>1.7474725828409494</v>
      </c>
      <c r="Z139" s="9">
        <f t="shared" ca="1" si="29"/>
        <v>0</v>
      </c>
      <c r="AA139" s="9">
        <f t="shared" ca="1" si="29"/>
        <v>0</v>
      </c>
    </row>
    <row r="140" spans="1:27">
      <c r="A140" s="8" t="str">
        <f>A139</f>
        <v>Type 1</v>
      </c>
      <c r="B140" s="7">
        <f>B139+1</f>
        <v>2020</v>
      </c>
      <c r="C140" s="7" t="str">
        <f>C139</f>
        <v>Annual</v>
      </c>
      <c r="D140" s="7">
        <f t="shared" ref="D140:E143" si="30">D139</f>
        <v>5</v>
      </c>
      <c r="E140" s="7">
        <f t="shared" si="30"/>
        <v>5</v>
      </c>
      <c r="F140" s="14">
        <f>$N$79</f>
        <v>0.01</v>
      </c>
      <c r="H140" s="9"/>
      <c r="I140" s="9"/>
      <c r="J140" s="9">
        <f ca="1">$D$79</f>
        <v>65.438807990041212</v>
      </c>
      <c r="K140" s="9">
        <f ca="1">J140-R140</f>
        <v>32.719403995020606</v>
      </c>
      <c r="L140" s="9">
        <f ca="1">K140-S140</f>
        <v>0</v>
      </c>
      <c r="M140" s="9">
        <f ca="1">L140-T140</f>
        <v>0</v>
      </c>
      <c r="N140" s="9"/>
      <c r="O140" s="9"/>
      <c r="P140" s="9"/>
      <c r="Q140" s="9">
        <f>IF(OR($C140="Annual",$D140=$E140),IF(AND($D140=$E140,Q$111=$B140+$D140),$J140,IF(AND(Q$111&gt;$B140+$D140,Q$111&lt;=$B140+$E140), $J140/($E140-$D140),0)), IF(OR(Q$111=$B140+$D140,Q$111=$B140+$E140),$J140/(($E140-$D140)*2),IF(AND(Q$111&gt;$B140+$D140,Q$111&lt;$B140+$E140),$J140/($E140-$D140),0)))</f>
        <v>0</v>
      </c>
      <c r="R140" s="9">
        <f>IF(OR($C140="Annual",$D140=$E140),IF(AND($D140=$E140,R$111=$B140+$D140),$J140,IF(AND(R$111&gt;$B140+$D140,R$111&lt;=$B140+$E140), $J140/($E140-$D140),0)), IF(OR(R$111=$B140+$D140,R$111=$B140+$E140),$J140/(($E140-$D140)*2),IF(AND(R$111&gt;$B140+$D140,R$111&lt;$B140+$E140),$J140/($E140-$D140),0)))</f>
        <v>0</v>
      </c>
      <c r="S140" s="9">
        <f>IF(OR($C140="Annual",$D140=$E140),IF(AND($D140=$E140,S$111=$B140+$D140),$J140,IF(AND(S$111&gt;$B140+$D140,S$111&lt;=$B140+$E140), $J140/($E140-$D140),0)), IF(OR(S$111=$B140+$D140,S$111=$B140+$E140),$J140/(($E140-$D140)*2),IF(AND(S$111&gt;$B140+$D140,S$111&lt;$B140+$E140),$J140/($E140-$D140),0)))</f>
        <v>0</v>
      </c>
      <c r="T140" s="9">
        <f>IF(OR($C140="Annual",$D140=$E140),IF(AND($D140=$E140,T$111=$B140+$D140),$J140,IF(AND(T$111&gt;$B140+$D140,T$111&lt;=$B140+$E140), $J140/($E140-$D140),0)), IF(OR(T$111=$B140+$D140,T$111=$B140+$E140),$J140/(($E140-$D140)*2),IF(AND(T$111&gt;$B140+$D140,T$111&lt;$B140+$E140),$J140/($E140-$D140),0)))</f>
        <v>0</v>
      </c>
      <c r="U140" s="9"/>
      <c r="V140" s="9"/>
      <c r="W140" s="9"/>
      <c r="X140" s="9">
        <f t="shared" si="29"/>
        <v>0</v>
      </c>
      <c r="Y140" s="9">
        <f t="shared" ca="1" si="29"/>
        <v>1.9901577479971251</v>
      </c>
      <c r="Z140" s="9">
        <f t="shared" ca="1" si="29"/>
        <v>0.99507887399856254</v>
      </c>
      <c r="AA140" s="9">
        <f t="shared" ca="1" si="29"/>
        <v>0</v>
      </c>
    </row>
    <row r="141" spans="1:27">
      <c r="A141" s="8" t="str">
        <f>A140</f>
        <v>Type 1</v>
      </c>
      <c r="B141" s="7">
        <f>B140+1</f>
        <v>2021</v>
      </c>
      <c r="C141" s="7" t="str">
        <f>C140</f>
        <v>Annual</v>
      </c>
      <c r="D141" s="7">
        <f t="shared" si="30"/>
        <v>5</v>
      </c>
      <c r="E141" s="7">
        <f t="shared" si="30"/>
        <v>5</v>
      </c>
      <c r="F141" s="14">
        <f>$O$79</f>
        <v>0.01</v>
      </c>
      <c r="H141" s="9"/>
      <c r="I141" s="9"/>
      <c r="J141" s="9"/>
      <c r="K141" s="9">
        <f ca="1">$E$79</f>
        <v>50.933260329298804</v>
      </c>
      <c r="L141" s="9">
        <f ca="1">K141-S141</f>
        <v>25.466630164649402</v>
      </c>
      <c r="M141" s="9">
        <f ca="1">L141-T141</f>
        <v>0</v>
      </c>
      <c r="N141" s="9"/>
      <c r="O141" s="9"/>
      <c r="P141" s="9"/>
      <c r="Q141" s="9"/>
      <c r="R141" s="9">
        <f>IF(OR($C141="Annual",$D141=$E141),IF(AND($D141=$E141,R$111=$B141+$D141),$K141,IF(AND(R$111&gt;$B141+$D141,R$111&lt;=$B141+$E141), $K141/($E141-$D141),0)), IF(OR(R$111=$B141+$D141,R$111=$B141+$E141),$K141/(($E141-$D141)*2),IF(AND(R$111&gt;$B141+$D141,R$111&lt;$B141+$E141),$K141/($E141-$D141),0)))</f>
        <v>0</v>
      </c>
      <c r="S141" s="9">
        <f>IF(OR($C141="Annual",$D141=$E141),IF(AND($D141=$E141,S$111=$B141+$D141),$K141,IF(AND(S$111&gt;$B141+$D141,S$111&lt;=$B141+$E141), $K141/($E141-$D141),0)), IF(OR(S$111=$B141+$D141,S$111=$B141+$E141),$K141/(($E141-$D141)*2),IF(AND(S$111&gt;$B141+$D141,S$111&lt;$B141+$E141),$K141/($E141-$D141),0)))</f>
        <v>0</v>
      </c>
      <c r="T141" s="9">
        <f>IF(OR($C141="Annual",$D141=$E141),IF(AND($D141=$E141,T$111=$B141+$D141),$K141,IF(AND(T$111&gt;$B141+$D141,T$111&lt;=$B141+$E141), $K141/($E141-$D141),0)), IF(OR(T$111=$B141+$D141,T$111=$B141+$E141),$K141/(($E141-$D141)*2),IF(AND(T$111&gt;$B141+$D141,T$111&lt;$B141+$E141),$K141/($E141-$D141),0)))</f>
        <v>0</v>
      </c>
      <c r="U141" s="9"/>
      <c r="V141" s="9"/>
      <c r="W141" s="9"/>
      <c r="X141" s="9"/>
      <c r="Y141" s="9">
        <f t="shared" si="29"/>
        <v>0</v>
      </c>
      <c r="Z141" s="9">
        <f t="shared" ca="1" si="29"/>
        <v>1.6757042648339282</v>
      </c>
      <c r="AA141" s="9">
        <f t="shared" ca="1" si="29"/>
        <v>0.8378521324169641</v>
      </c>
    </row>
    <row r="142" spans="1:27">
      <c r="A142" s="8" t="str">
        <f>A141</f>
        <v>Type 1</v>
      </c>
      <c r="B142" s="7">
        <f>B141+1</f>
        <v>2022</v>
      </c>
      <c r="C142" s="7" t="str">
        <f>C141</f>
        <v>Annual</v>
      </c>
      <c r="D142" s="7">
        <f t="shared" si="30"/>
        <v>5</v>
      </c>
      <c r="E142" s="7">
        <f t="shared" si="30"/>
        <v>5</v>
      </c>
      <c r="F142" s="14">
        <f>$P$79</f>
        <v>0.01</v>
      </c>
      <c r="H142" s="9"/>
      <c r="I142" s="9"/>
      <c r="J142" s="9"/>
      <c r="K142" s="9"/>
      <c r="L142" s="9">
        <f ca="1">$F$79</f>
        <v>57.264161589338016</v>
      </c>
      <c r="M142" s="9">
        <f ca="1">L142-T142</f>
        <v>28.632080794669008</v>
      </c>
      <c r="N142" s="9"/>
      <c r="O142" s="9"/>
      <c r="P142" s="9"/>
      <c r="Q142" s="9"/>
      <c r="R142" s="9"/>
      <c r="S142" s="9">
        <f>IF(OR($C142="Annual",$D142=$E142),IF(AND($D142=$E142,S$111=$B142+$D142),$L142,IF(AND(S$111&gt;$B142+$D142,S$111&lt;=$B142+$E142), $L142/($E142-$D142),0)), IF(OR(S$111=$B142+$D142,S$111=$B142+$E142),$L142/(($E142-$D142)*2),IF(AND(S$111&gt;$B142+$D142,S$111&lt;$B142+$E142),$L142/($E142-$D142),0)))</f>
        <v>0</v>
      </c>
      <c r="T142" s="9">
        <f>IF(OR($C142="Annual",$D142=$E142),IF(AND($D142=$E142,T$111=$B142+$D142),$L142,IF(AND(T$111&gt;$B142+$D142,T$111&lt;=$B142+$E142), $L142/($E142-$D142),0)), IF(OR(T$111=$B142+$D142,T$111=$B142+$E142),$L142/(($E142-$D142)*2),IF(AND(T$111&gt;$B142+$D142,T$111&lt;$B142+$E142),$L142/($E142-$D142),0)))</f>
        <v>0</v>
      </c>
      <c r="U142" s="9"/>
      <c r="V142" s="9"/>
      <c r="W142" s="9"/>
      <c r="X142" s="9"/>
      <c r="Y142" s="9"/>
      <c r="Z142" s="9">
        <f t="shared" si="29"/>
        <v>0</v>
      </c>
      <c r="AA142" s="9">
        <f t="shared" ca="1" si="29"/>
        <v>2.0046035566367637</v>
      </c>
    </row>
    <row r="143" spans="1:27">
      <c r="A143" s="8" t="str">
        <f>A142</f>
        <v>Type 1</v>
      </c>
      <c r="B143" s="7">
        <f>B142+1</f>
        <v>2023</v>
      </c>
      <c r="C143" s="7" t="str">
        <f>C142</f>
        <v>Annual</v>
      </c>
      <c r="D143" s="7">
        <f t="shared" si="30"/>
        <v>5</v>
      </c>
      <c r="E143" s="7">
        <f t="shared" si="30"/>
        <v>5</v>
      </c>
      <c r="F143" s="14">
        <f>$Q$79</f>
        <v>0.01</v>
      </c>
      <c r="H143" s="9"/>
      <c r="I143" s="9"/>
      <c r="J143" s="9"/>
      <c r="K143" s="9"/>
      <c r="L143" s="9"/>
      <c r="M143" s="9">
        <f ca="1">$G$79</f>
        <v>43.617976689627909</v>
      </c>
      <c r="N143" s="9"/>
      <c r="O143" s="9"/>
      <c r="P143" s="9"/>
      <c r="Q143" s="9"/>
      <c r="R143" s="9"/>
      <c r="S143" s="9"/>
      <c r="T143" s="9">
        <f>IF(OR($C143="Annual",$D143=$E143),IF(AND($D143=$E143,T$111=$B143+$D143),$M143,IF(AND(T$111&gt;$B143+$D143,T$111&lt;=$B143+$E143), $M143/($E143-$D143),0)), IF(OR(T$111=$B143+$D143,T$111=$B143+$E143),$M143/(($E143-$D143)*2),IF(AND(T$111&gt;$B143+$D143,T$111&lt;$B143+$E143),$M143/($E143-$D143),0)))</f>
        <v>0</v>
      </c>
      <c r="U143" s="9"/>
      <c r="V143" s="9"/>
      <c r="W143" s="9"/>
      <c r="X143" s="9"/>
      <c r="Y143" s="9"/>
      <c r="Z143" s="9"/>
      <c r="AA143" s="9">
        <f t="shared" si="29"/>
        <v>0</v>
      </c>
    </row>
    <row r="144" spans="1:27">
      <c r="C144" s="281"/>
      <c r="F144" s="15"/>
      <c r="H144" s="10"/>
      <c r="I144" s="10"/>
      <c r="J144" s="10"/>
      <c r="K144" s="10"/>
      <c r="L144" s="10"/>
      <c r="M144" s="10"/>
      <c r="N144" s="10"/>
      <c r="O144" s="278"/>
      <c r="P144" s="10"/>
      <c r="Q144" s="10"/>
      <c r="R144" s="10"/>
      <c r="S144" s="10"/>
      <c r="T144" s="10"/>
      <c r="U144" s="10"/>
      <c r="V144" s="10"/>
      <c r="W144" s="10"/>
      <c r="X144" s="10"/>
      <c r="Y144" s="10"/>
      <c r="Z144" s="10"/>
      <c r="AA144" s="10"/>
    </row>
    <row r="145" spans="1:27">
      <c r="A145" s="8" t="str">
        <f>'Input 4 - Forecast'!A61</f>
        <v>Type 2</v>
      </c>
      <c r="B145" s="7">
        <f>B119</f>
        <v>2018</v>
      </c>
      <c r="C145" s="7" t="str">
        <f>$I80</f>
        <v>Annual</v>
      </c>
      <c r="D145" s="7">
        <f>$J80</f>
        <v>0</v>
      </c>
      <c r="E145" s="7">
        <f>$K80</f>
        <v>0</v>
      </c>
      <c r="F145" s="14">
        <f>$L$80</f>
        <v>0</v>
      </c>
      <c r="H145" s="9">
        <f>$B$80</f>
        <v>0</v>
      </c>
      <c r="I145" s="9">
        <f>H145-P145</f>
        <v>0</v>
      </c>
      <c r="J145" s="9">
        <f>I145-Q145</f>
        <v>0</v>
      </c>
      <c r="K145" s="9">
        <f>J145-R145</f>
        <v>0</v>
      </c>
      <c r="L145" s="9">
        <f>K145-S145</f>
        <v>0</v>
      </c>
      <c r="M145" s="9">
        <f>L145-T145</f>
        <v>0</v>
      </c>
      <c r="N145" s="9"/>
      <c r="O145" s="9">
        <f t="shared" ref="O145:T145" si="31">IF(OR($C145="Annual",$D145=$E145),IF(AND($D145=$E145,O$111=$B145+$D145),$H145,IF(AND(O$111&gt;$B145+$D145,O$111&lt;=$B145+$E145), $H145/($E145-$D145),0)), IF(OR(O$111=$B145+$D145,O$111=$B145+$E145),$H145/(($E145-$D145)*2),IF(AND(O$111&gt;$B145+$D145,O$111&lt;$B145+$E145),$H145/($E145-$D145),0)))</f>
        <v>0</v>
      </c>
      <c r="P145" s="9">
        <f t="shared" si="31"/>
        <v>0</v>
      </c>
      <c r="Q145" s="9">
        <f t="shared" si="31"/>
        <v>0</v>
      </c>
      <c r="R145" s="9">
        <f t="shared" si="31"/>
        <v>0</v>
      </c>
      <c r="S145" s="9">
        <f t="shared" si="31"/>
        <v>0</v>
      </c>
      <c r="T145" s="9">
        <f t="shared" si="31"/>
        <v>0</v>
      </c>
      <c r="U145" s="9"/>
      <c r="V145" s="9">
        <f>IF($C145="annual",IF(V$111=$B145,0,G145*$F145),IF(V$111-$B145=0,0,IF((V$111-$B145)&lt;$E145,AVERAGE(G145,H145)*$F145,IF((V$111-$B145)=$E145,G145*$F145/2,0))))</f>
        <v>0</v>
      </c>
      <c r="W145" s="9">
        <f t="shared" ref="W145:AA150" si="32">IF($C145="annual",IF(W$111=$B145,0,H145*$F145),IF(W$111-$B145=0,0,IF((W$111-$B145)&lt;$E145,AVERAGE(H145,I145)*$F145,IF((W$111-$B145)=$E145,H145*$F145/2,0))))</f>
        <v>0</v>
      </c>
      <c r="X145" s="9">
        <f t="shared" si="32"/>
        <v>0</v>
      </c>
      <c r="Y145" s="9">
        <f t="shared" si="32"/>
        <v>0</v>
      </c>
      <c r="Z145" s="9">
        <f t="shared" si="32"/>
        <v>0</v>
      </c>
      <c r="AA145" s="9">
        <f t="shared" si="32"/>
        <v>0</v>
      </c>
    </row>
    <row r="146" spans="1:27">
      <c r="A146" s="8" t="str">
        <f>A145</f>
        <v>Type 2</v>
      </c>
      <c r="B146" s="7">
        <f>B145+1</f>
        <v>2019</v>
      </c>
      <c r="C146" s="7" t="str">
        <f>C145</f>
        <v>Annual</v>
      </c>
      <c r="D146" s="7">
        <f t="shared" ref="D146:E150" si="33">D145</f>
        <v>0</v>
      </c>
      <c r="E146" s="7">
        <f t="shared" si="33"/>
        <v>0</v>
      </c>
      <c r="F146" s="14">
        <f>$M$80</f>
        <v>2.0470863523532085E-2</v>
      </c>
      <c r="H146" s="9"/>
      <c r="I146" s="9">
        <f ca="1">$C$80</f>
        <v>93.805901175902193</v>
      </c>
      <c r="J146" s="9">
        <f ca="1">I146-Q146</f>
        <v>62.537267450601462</v>
      </c>
      <c r="K146" s="9">
        <f ca="1">J146-R146</f>
        <v>31.268633725300731</v>
      </c>
      <c r="L146" s="9">
        <f ca="1">K146-S146</f>
        <v>0</v>
      </c>
      <c r="M146" s="9">
        <f ca="1">L146-T146</f>
        <v>0</v>
      </c>
      <c r="N146" s="9"/>
      <c r="O146" s="9"/>
      <c r="P146" s="9">
        <f ca="1">IF(OR($C146="Annual",$D146=$E146),IF(AND($D146=$E146,P$111=$B146+$D146),$I146,IF(AND(P$111&gt;$B146+$D146,P$111&lt;=$B146+$E146), $I146/($E146-$D146),0)), IF(OR(P$111=$B146+$D146,P$111=$B146+$E146),$I146/(($E146-$D146)*2),IF(AND(P$111&gt;$B146+$D146,P$111&lt;$B146+$E146),$I146/($E146-$D146),0)))</f>
        <v>0</v>
      </c>
      <c r="Q146" s="9">
        <f>IF(OR($C146="Annual",$D146=$E146),IF(AND($D146=$E146,Q$111=$B146+$D146),$I146,IF(AND(Q$111&gt;$B146+$D146,Q$111&lt;=$B146+$E146), $I146/($E146-$D146),0)), IF(OR(Q$111=$B146+$D146,Q$111=$B146+$E146),$I146/(($E146-$D146)*2),IF(AND(Q$111&gt;$B146+$D146,Q$111&lt;$B146+$E146),$I146/($E146-$D146),0)))</f>
        <v>0</v>
      </c>
      <c r="R146" s="9">
        <f>IF(OR($C146="Annual",$D146=$E146),IF(AND($D146=$E146,R$111=$B146+$D146),$I146,IF(AND(R$111&gt;$B146+$D146,R$111&lt;=$B146+$E146), $I146/($E146-$D146),0)), IF(OR(R$111=$B146+$D146,R$111=$B146+$E146),$I146/(($E146-$D146)*2),IF(AND(R$111&gt;$B146+$D146,R$111&lt;$B146+$E146),$I146/($E146-$D146),0)))</f>
        <v>0</v>
      </c>
      <c r="S146" s="9">
        <f>IF(OR($C146="Annual",$D146=$E146),IF(AND($D146=$E146,S$111=$B146+$D146),$I146,IF(AND(S$111&gt;$B146+$D146,S$111&lt;=$B146+$E146), $I146/($E146-$D146),0)), IF(OR(S$111=$B146+$D146,S$111=$B146+$E146),$I146/(($E146-$D146)*2),IF(AND(S$111&gt;$B146+$D146,S$111&lt;$B146+$E146),$I146/($E146-$D146),0)))</f>
        <v>0</v>
      </c>
      <c r="T146" s="9">
        <f>IF(OR($C146="Annual",$D146=$E146),IF(AND($D146=$E146,T$111=$B146+$D146),$I146,IF(AND(T$111&gt;$B146+$D146,T$111&lt;=$B146+$E146), $I146/($E146-$D146),0)), IF(OR(T$111=$B146+$D146,T$111=$B146+$E146),$I146/(($E146-$D146)*2),IF(AND(T$111&gt;$B146+$D146,T$111&lt;$B146+$E146),$I146/($E146-$D146),0)))</f>
        <v>0</v>
      </c>
      <c r="U146" s="9"/>
      <c r="V146" s="9"/>
      <c r="W146" s="9">
        <f t="shared" si="32"/>
        <v>0</v>
      </c>
      <c r="X146" s="9">
        <f t="shared" ca="1" si="32"/>
        <v>4.4935009273052984</v>
      </c>
      <c r="Y146" s="9">
        <f t="shared" ca="1" si="32"/>
        <v>2.9956672848701991</v>
      </c>
      <c r="Z146" s="9">
        <f t="shared" ca="1" si="32"/>
        <v>1.4978336424350995</v>
      </c>
      <c r="AA146" s="9">
        <f t="shared" ca="1" si="32"/>
        <v>0</v>
      </c>
    </row>
    <row r="147" spans="1:27">
      <c r="A147" s="8" t="str">
        <f>A146</f>
        <v>Type 2</v>
      </c>
      <c r="B147" s="7">
        <f>B146+1</f>
        <v>2020</v>
      </c>
      <c r="C147" s="7" t="str">
        <f>C146</f>
        <v>Annual</v>
      </c>
      <c r="D147" s="7">
        <f t="shared" si="33"/>
        <v>0</v>
      </c>
      <c r="E147" s="7">
        <f t="shared" si="33"/>
        <v>0</v>
      </c>
      <c r="F147" s="14">
        <f>$N$80</f>
        <v>0</v>
      </c>
      <c r="H147" s="9"/>
      <c r="I147" s="9"/>
      <c r="J147" s="9">
        <f ca="1">$D$80</f>
        <v>78.526569588049469</v>
      </c>
      <c r="K147" s="9">
        <f ca="1">J147-R147</f>
        <v>52.351046392032984</v>
      </c>
      <c r="L147" s="9">
        <f ca="1">K147-S147</f>
        <v>26.175523196016496</v>
      </c>
      <c r="M147" s="9">
        <f ca="1">L147-T147</f>
        <v>0</v>
      </c>
      <c r="N147" s="9"/>
      <c r="O147" s="9"/>
      <c r="P147" s="9"/>
      <c r="Q147" s="9">
        <f ca="1">IF(OR($C147="Annual",$D147=$E147),IF(AND($D147=$E147,Q$111=$B147+$D147),$J147,IF(AND(Q$111&gt;$B147+$D147,Q$111&lt;=$B147+$E147), $J147/($E147-$D147),0)), IF(OR(Q$111=$B147+$D147,Q$111=$B147+$E147),$J147/(($E147-$D147)*2),IF(AND(Q$111&gt;$B147+$D147,Q$111&lt;$B147+$E147),$J147/($E147-$D147),0)))</f>
        <v>0</v>
      </c>
      <c r="R147" s="9">
        <f>IF(OR($C147="Annual",$D147=$E147),IF(AND($D147=$E147,R$111=$B147+$D147),$J147,IF(AND(R$111&gt;$B147+$D147,R$111&lt;=$B147+$E147), $J147/($E147-$D147),0)), IF(OR(R$111=$B147+$D147,R$111=$B147+$E147),$J147/(($E147-$D147)*2),IF(AND(R$111&gt;$B147+$D147,R$111&lt;$B147+$E147),$J147/($E147-$D147),0)))</f>
        <v>0</v>
      </c>
      <c r="S147" s="9">
        <f>IF(OR($C147="Annual",$D147=$E147),IF(AND($D147=$E147,S$111=$B147+$D147),$J147,IF(AND(S$111&gt;$B147+$D147,S$111&lt;=$B147+$E147), $J147/($E147-$D147),0)), IF(OR(S$111=$B147+$D147,S$111=$B147+$E147),$J147/(($E147-$D147)*2),IF(AND(S$111&gt;$B147+$D147,S$111&lt;$B147+$E147),$J147/($E147-$D147),0)))</f>
        <v>0</v>
      </c>
      <c r="T147" s="9">
        <f>IF(OR($C147="Annual",$D147=$E147),IF(AND($D147=$E147,T$111=$B147+$D147),$J147,IF(AND(T$111&gt;$B147+$D147,T$111&lt;=$B147+$E147), $J147/($E147-$D147),0)), IF(OR(T$111=$B147+$D147,T$111=$B147+$E147),$J147/(($E147-$D147)*2),IF(AND(T$111&gt;$B147+$D147,T$111&lt;$B147+$E147),$J147/($E147-$D147),0)))</f>
        <v>0</v>
      </c>
      <c r="U147" s="9"/>
      <c r="V147" s="9"/>
      <c r="W147" s="9"/>
      <c r="X147" s="9">
        <f t="shared" si="32"/>
        <v>0</v>
      </c>
      <c r="Y147" s="9">
        <f t="shared" ca="1" si="32"/>
        <v>2.3881892975965506</v>
      </c>
      <c r="Z147" s="9">
        <f t="shared" ca="1" si="32"/>
        <v>1.5921261983977004</v>
      </c>
      <c r="AA147" s="9">
        <f t="shared" ca="1" si="32"/>
        <v>0.79606309919885032</v>
      </c>
    </row>
    <row r="148" spans="1:27">
      <c r="A148" s="8" t="str">
        <f>A147</f>
        <v>Type 2</v>
      </c>
      <c r="B148" s="7">
        <f>B147+1</f>
        <v>2021</v>
      </c>
      <c r="C148" s="7" t="str">
        <f>C147</f>
        <v>Annual</v>
      </c>
      <c r="D148" s="7">
        <f t="shared" si="33"/>
        <v>0</v>
      </c>
      <c r="E148" s="7">
        <f t="shared" si="33"/>
        <v>0</v>
      </c>
      <c r="F148" s="14">
        <f>$O$80</f>
        <v>0</v>
      </c>
      <c r="H148" s="9"/>
      <c r="I148" s="9"/>
      <c r="J148" s="9"/>
      <c r="K148" s="9">
        <f ca="1">$E$80</f>
        <v>58.209440376341483</v>
      </c>
      <c r="L148" s="9">
        <f ca="1">K148-S148</f>
        <v>38.80629358422766</v>
      </c>
      <c r="M148" s="9">
        <f ca="1">L148-T148</f>
        <v>19.403146792113834</v>
      </c>
      <c r="N148" s="9"/>
      <c r="O148" s="9"/>
      <c r="P148" s="9"/>
      <c r="Q148" s="9"/>
      <c r="R148" s="9">
        <f ca="1">IF(OR($C148="Annual",$D148=$E148),IF(AND($D148=$E148,R$111=$B148+$D148),$K148,IF(AND(R$111&gt;$B148+$D148,R$111&lt;=$B148+$E148), $K148/($E148-$D148),0)), IF(OR(R$111=$B148+$D148,R$111=$B148+$E148),$K148/(($E148-$D148)*2),IF(AND(R$111&gt;$B148+$D148,R$111&lt;$B148+$E148),$K148/($E148-$D148),0)))</f>
        <v>0</v>
      </c>
      <c r="S148" s="9">
        <f>IF(OR($C148="Annual",$D148=$E148),IF(AND($D148=$E148,S$111=$B148+$D148),$K148,IF(AND(S$111&gt;$B148+$D148,S$111&lt;=$B148+$E148), $K148/($E148-$D148),0)), IF(OR(S$111=$B148+$D148,S$111=$B148+$E148),$K148/(($E148-$D148)*2),IF(AND(S$111&gt;$B148+$D148,S$111&lt;$B148+$E148),$K148/($E148-$D148),0)))</f>
        <v>0</v>
      </c>
      <c r="T148" s="9">
        <f>IF(OR($C148="Annual",$D148=$E148),IF(AND($D148=$E148,T$111=$B148+$D148),$K148,IF(AND(T$111&gt;$B148+$D148,T$111&lt;=$B148+$E148), $K148/($E148-$D148),0)), IF(OR(T$111=$B148+$D148,T$111=$B148+$E148),$K148/(($E148-$D148)*2),IF(AND(T$111&gt;$B148+$D148,T$111&lt;$B148+$E148),$K148/($E148-$D148),0)))</f>
        <v>0</v>
      </c>
      <c r="U148" s="9"/>
      <c r="V148" s="9"/>
      <c r="W148" s="9"/>
      <c r="X148" s="9"/>
      <c r="Y148" s="9">
        <f t="shared" si="32"/>
        <v>0</v>
      </c>
      <c r="Z148" s="9">
        <f t="shared" ca="1" si="32"/>
        <v>1.9150905883816318</v>
      </c>
      <c r="AA148" s="9">
        <f t="shared" ca="1" si="32"/>
        <v>1.2767270589210882</v>
      </c>
    </row>
    <row r="149" spans="1:27">
      <c r="A149" s="8" t="str">
        <f>A148</f>
        <v>Type 2</v>
      </c>
      <c r="B149" s="7">
        <f>B148+1</f>
        <v>2022</v>
      </c>
      <c r="C149" s="7" t="str">
        <f>C148</f>
        <v>Annual</v>
      </c>
      <c r="D149" s="7">
        <f t="shared" si="33"/>
        <v>0</v>
      </c>
      <c r="E149" s="7">
        <f t="shared" si="33"/>
        <v>0</v>
      </c>
      <c r="F149" s="14">
        <f>$P$80</f>
        <v>0</v>
      </c>
      <c r="H149" s="9"/>
      <c r="I149" s="9"/>
      <c r="J149" s="9"/>
      <c r="K149" s="9"/>
      <c r="L149" s="9">
        <f ca="1">$F$80</f>
        <v>64.422181788005261</v>
      </c>
      <c r="M149" s="9">
        <f ca="1">L149-T149</f>
        <v>42.948121192003512</v>
      </c>
      <c r="N149" s="9"/>
      <c r="O149" s="9"/>
      <c r="P149" s="9"/>
      <c r="Q149" s="9"/>
      <c r="R149" s="9"/>
      <c r="S149" s="9">
        <f ca="1">IF(OR($C149="Annual",$D149=$E149),IF(AND($D149=$E149,S$111=$B149+$D149),$L149,IF(AND(S$111&gt;$B149+$D149,S$111&lt;=$B149+$E149), $L149/($E149-$D149),0)), IF(OR(S$111=$B149+$D149,S$111=$B149+$E149),$L149/(($E149-$D149)*2),IF(AND(S$111&gt;$B149+$D149,S$111&lt;$B149+$E149),$L149/($E149-$D149),0)))</f>
        <v>0</v>
      </c>
      <c r="T149" s="9">
        <f>IF(OR($C149="Annual",$D149=$E149),IF(AND($D149=$E149,T$111=$B149+$D149),$L149,IF(AND(T$111&gt;$B149+$D149,T$111&lt;=$B149+$E149), $L149/($E149-$D149),0)), IF(OR(T$111=$B149+$D149,T$111=$B149+$E149),$L149/(($E149-$D149)*2),IF(AND(T$111&gt;$B149+$D149,T$111&lt;$B149+$E149),$L149/($E149-$D149),0)))</f>
        <v>0</v>
      </c>
      <c r="U149" s="9"/>
      <c r="V149" s="9"/>
      <c r="W149" s="9"/>
      <c r="X149" s="9"/>
      <c r="Y149" s="9"/>
      <c r="Z149" s="9">
        <f t="shared" si="32"/>
        <v>0</v>
      </c>
      <c r="AA149" s="9">
        <f t="shared" ca="1" si="32"/>
        <v>2.2551790012163591</v>
      </c>
    </row>
    <row r="150" spans="1:27">
      <c r="A150" s="8" t="str">
        <f>A149</f>
        <v>Type 2</v>
      </c>
      <c r="B150" s="7">
        <f>B149+1</f>
        <v>2023</v>
      </c>
      <c r="C150" s="7" t="str">
        <f>C149</f>
        <v>Annual</v>
      </c>
      <c r="D150" s="7">
        <f t="shared" si="33"/>
        <v>0</v>
      </c>
      <c r="E150" s="7">
        <f t="shared" si="33"/>
        <v>0</v>
      </c>
      <c r="F150" s="14">
        <f>$Q$80</f>
        <v>0</v>
      </c>
      <c r="H150" s="9"/>
      <c r="I150" s="9"/>
      <c r="J150" s="9"/>
      <c r="K150" s="9"/>
      <c r="L150" s="9"/>
      <c r="M150" s="9">
        <f ca="1">$G$80</f>
        <v>54.800178571362451</v>
      </c>
      <c r="N150" s="9"/>
      <c r="O150" s="9"/>
      <c r="P150" s="9"/>
      <c r="Q150" s="9"/>
      <c r="R150" s="9"/>
      <c r="S150" s="9"/>
      <c r="T150" s="9">
        <f ca="1">IF(OR($C150="Annual",$D150=$E150),IF(AND($D150=$E150,T$111=$B150+$D150),$M150,IF(AND(T$111&gt;$B150+$D150,T$111&lt;=$B150+$E150), $M150/($E150-$D150),0)), IF(OR(T$111=$B150+$D150,T$111=$B150+$E150),$M150/(($E150-$D150)*2),IF(AND(T$111&gt;$B150+$D150,T$111&lt;$B150+$E150),$M150/($E150-$D150),0)))</f>
        <v>0</v>
      </c>
      <c r="U150" s="9"/>
      <c r="V150" s="9"/>
      <c r="W150" s="9"/>
      <c r="X150" s="9"/>
      <c r="Y150" s="9"/>
      <c r="Z150" s="9"/>
      <c r="AA150" s="9">
        <f t="shared" si="32"/>
        <v>0</v>
      </c>
    </row>
    <row r="151" spans="1:27">
      <c r="C151" s="281"/>
      <c r="F151" s="15"/>
      <c r="H151" s="10"/>
      <c r="I151" s="10"/>
      <c r="J151" s="10"/>
      <c r="K151" s="10"/>
      <c r="L151" s="10"/>
      <c r="M151" s="10"/>
      <c r="N151" s="10"/>
      <c r="O151" s="278"/>
      <c r="P151" s="10"/>
      <c r="Q151" s="10"/>
      <c r="R151" s="10"/>
      <c r="S151" s="10"/>
      <c r="T151" s="10"/>
      <c r="U151" s="10"/>
      <c r="V151" s="10"/>
      <c r="W151" s="10"/>
      <c r="X151" s="10"/>
      <c r="Y151" s="10"/>
      <c r="Z151" s="10"/>
      <c r="AA151" s="10"/>
    </row>
    <row r="152" spans="1:27">
      <c r="A152" s="8" t="str">
        <f>'Input 4 - Forecast'!A62</f>
        <v>Type 3</v>
      </c>
      <c r="B152" s="7">
        <f>B119</f>
        <v>2018</v>
      </c>
      <c r="C152" s="7" t="str">
        <f>$I81</f>
        <v>Annual</v>
      </c>
      <c r="D152" s="7">
        <f>$J81</f>
        <v>0</v>
      </c>
      <c r="E152" s="7">
        <f>$K81</f>
        <v>0</v>
      </c>
      <c r="F152" s="14">
        <f>$L$81</f>
        <v>0</v>
      </c>
      <c r="H152" s="9">
        <f>$B$81</f>
        <v>0</v>
      </c>
      <c r="I152" s="9">
        <f>H152-P152</f>
        <v>0</v>
      </c>
      <c r="J152" s="9">
        <f>I152-Q152</f>
        <v>0</v>
      </c>
      <c r="K152" s="9">
        <f>J152-R152</f>
        <v>0</v>
      </c>
      <c r="L152" s="9">
        <f>K152-S152</f>
        <v>0</v>
      </c>
      <c r="M152" s="9">
        <f>L152-T152</f>
        <v>0</v>
      </c>
      <c r="N152" s="9"/>
      <c r="O152" s="9">
        <f t="shared" ref="O152:T152" si="34">IF(OR($C152="Annual",$D152=$E152),IF(AND($D152=$E152,O$111=$B152+$D152),$H152,IF(AND(O$111&gt;$B152+$D152,O$111&lt;=$B152+$E152), $H152/($E152-$D152),0)), IF(OR(O$111=$B152+$D152,O$111=$B152+$E152),$H152/(($E152-$D152)*2),IF(AND(O$111&gt;$B152+$D152,O$111&lt;$B152+$E152),$H152/($E152-$D152),0)))</f>
        <v>0</v>
      </c>
      <c r="P152" s="9">
        <f t="shared" si="34"/>
        <v>0</v>
      </c>
      <c r="Q152" s="9">
        <f t="shared" si="34"/>
        <v>0</v>
      </c>
      <c r="R152" s="9">
        <f t="shared" si="34"/>
        <v>0</v>
      </c>
      <c r="S152" s="9">
        <f t="shared" si="34"/>
        <v>0</v>
      </c>
      <c r="T152" s="9">
        <f t="shared" si="34"/>
        <v>0</v>
      </c>
      <c r="U152" s="9"/>
      <c r="V152" s="9">
        <f>IF($C152="annual",IF(V$111=$B152,0,G152*$F152),IF(V$111-$B152=0,0,IF((V$111-$B152)&lt;$E152,AVERAGE(G152,H152)*$F152,IF((V$111-$B152)=$E152,G152*$F152/2,0))))</f>
        <v>0</v>
      </c>
      <c r="W152" s="9">
        <f t="shared" ref="W152:AA157" si="35">IF($C152="annual",IF(W$111=$B152,0,H152*$F152),IF(W$111-$B152=0,0,IF((W$111-$B152)&lt;$E152,AVERAGE(H152,I152)*$F152,IF((W$111-$B152)=$E152,H152*$F152/2,0))))</f>
        <v>0</v>
      </c>
      <c r="X152" s="9">
        <f t="shared" si="35"/>
        <v>0</v>
      </c>
      <c r="Y152" s="9">
        <f t="shared" si="35"/>
        <v>0</v>
      </c>
      <c r="Z152" s="9">
        <f t="shared" si="35"/>
        <v>0</v>
      </c>
      <c r="AA152" s="9">
        <f t="shared" si="35"/>
        <v>0</v>
      </c>
    </row>
    <row r="153" spans="1:27">
      <c r="A153" s="8" t="str">
        <f>A152</f>
        <v>Type 3</v>
      </c>
      <c r="B153" s="7">
        <f>B152+1</f>
        <v>2019</v>
      </c>
      <c r="C153" s="7" t="str">
        <f>C152</f>
        <v>Annual</v>
      </c>
      <c r="D153" s="7">
        <f t="shared" ref="D153:E157" si="36">D152</f>
        <v>0</v>
      </c>
      <c r="E153" s="7">
        <f t="shared" si="36"/>
        <v>0</v>
      </c>
      <c r="F153" s="14">
        <f>$M$81</f>
        <v>2.0470863523532085E-2</v>
      </c>
      <c r="H153" s="9"/>
      <c r="I153" s="9">
        <f ca="1">$C$81</f>
        <v>119.86309594698614</v>
      </c>
      <c r="J153" s="9">
        <f ca="1">I153-Q153</f>
        <v>95.890476757588914</v>
      </c>
      <c r="K153" s="9">
        <f ca="1">J153-R153</f>
        <v>71.917857568191693</v>
      </c>
      <c r="L153" s="9">
        <f ca="1">K153-S153</f>
        <v>47.945238378794464</v>
      </c>
      <c r="M153" s="9">
        <f ca="1">L153-T153</f>
        <v>23.972619189397236</v>
      </c>
      <c r="N153" s="9"/>
      <c r="O153" s="9"/>
      <c r="P153" s="9">
        <f ca="1">IF(OR($C153="Annual",$D153=$E153),IF(AND($D153=$E153,P$111=$B153+$D153),$I153,IF(AND(P$111&gt;$B153+$D153,P$111&lt;=$B153+$E153), $I153/($E153-$D153),0)), IF(OR(P$111=$B153+$D153,P$111=$B153+$E153),$I153/(($E153-$D153)*2),IF(AND(P$111&gt;$B153+$D153,P$111&lt;$B153+$E153),$I153/($E153-$D153),0)))</f>
        <v>0</v>
      </c>
      <c r="Q153" s="9">
        <f>IF(OR($C153="Annual",$D153=$E153),IF(AND($D153=$E153,Q$111=$B153+$D153),$I153,IF(AND(Q$111&gt;$B153+$D153,Q$111&lt;=$B153+$E153), $I153/($E153-$D153),0)), IF(OR(Q$111=$B153+$D153,Q$111=$B153+$E153),$I153/(($E153-$D153)*2),IF(AND(Q$111&gt;$B153+$D153,Q$111&lt;$B153+$E153),$I153/($E153-$D153),0)))</f>
        <v>0</v>
      </c>
      <c r="R153" s="9">
        <f>IF(OR($C153="Annual",$D153=$E153),IF(AND($D153=$E153,R$111=$B153+$D153),$I153,IF(AND(R$111&gt;$B153+$D153,R$111&lt;=$B153+$E153), $I153/($E153-$D153),0)), IF(OR(R$111=$B153+$D153,R$111=$B153+$E153),$I153/(($E153-$D153)*2),IF(AND(R$111&gt;$B153+$D153,R$111&lt;$B153+$E153),$I153/($E153-$D153),0)))</f>
        <v>0</v>
      </c>
      <c r="S153" s="9">
        <f>IF(OR($C153="Annual",$D153=$E153),IF(AND($D153=$E153,S$111=$B153+$D153),$I153,IF(AND(S$111&gt;$B153+$D153,S$111&lt;=$B153+$E153), $I153/($E153-$D153),0)), IF(OR(S$111=$B153+$D153,S$111=$B153+$E153),$I153/(($E153-$D153)*2),IF(AND(S$111&gt;$B153+$D153,S$111&lt;$B153+$E153),$I153/($E153-$D153),0)))</f>
        <v>0</v>
      </c>
      <c r="T153" s="9">
        <f>IF(OR($C153="Annual",$D153=$E153),IF(AND($D153=$E153,T$111=$B153+$D153),$I153,IF(AND(T$111&gt;$B153+$D153,T$111&lt;=$B153+$E153), $I153/($E153-$D153),0)), IF(OR(T$111=$B153+$D153,T$111=$B153+$E153),$I153/(($E153-$D153)*2),IF(AND(T$111&gt;$B153+$D153,T$111&lt;$B153+$E153),$I153/($E153-$D153),0)))</f>
        <v>0</v>
      </c>
      <c r="U153" s="9"/>
      <c r="V153" s="9"/>
      <c r="W153" s="9">
        <f t="shared" si="35"/>
        <v>0</v>
      </c>
      <c r="X153" s="9">
        <f t="shared" ca="1" si="35"/>
        <v>7.0084987246242569</v>
      </c>
      <c r="Y153" s="9">
        <f t="shared" ca="1" si="35"/>
        <v>5.6067989796994064</v>
      </c>
      <c r="Z153" s="9">
        <f t="shared" ca="1" si="35"/>
        <v>4.2050992347745551</v>
      </c>
      <c r="AA153" s="9">
        <f t="shared" ca="1" si="35"/>
        <v>2.8033994898497032</v>
      </c>
    </row>
    <row r="154" spans="1:27">
      <c r="A154" s="8" t="str">
        <f>A153</f>
        <v>Type 3</v>
      </c>
      <c r="B154" s="7">
        <f>B153+1</f>
        <v>2020</v>
      </c>
      <c r="C154" s="7" t="str">
        <f>C153</f>
        <v>Annual</v>
      </c>
      <c r="D154" s="7">
        <f t="shared" si="36"/>
        <v>0</v>
      </c>
      <c r="E154" s="7">
        <f t="shared" si="36"/>
        <v>0</v>
      </c>
      <c r="F154" s="14">
        <f>$N$81</f>
        <v>0</v>
      </c>
      <c r="H154" s="9"/>
      <c r="I154" s="9"/>
      <c r="J154" s="9">
        <f ca="1">$D$81</f>
        <v>97.503823905161411</v>
      </c>
      <c r="K154" s="9">
        <f ca="1">J154-R154</f>
        <v>78.003059124129123</v>
      </c>
      <c r="L154" s="9">
        <f ca="1">K154-S154</f>
        <v>58.502294343096843</v>
      </c>
      <c r="M154" s="9">
        <f ca="1">L154-T154</f>
        <v>39.001529562064562</v>
      </c>
      <c r="N154" s="9"/>
      <c r="O154" s="9"/>
      <c r="P154" s="9"/>
      <c r="Q154" s="9">
        <f ca="1">IF(OR($C154="Annual",$D154=$E154),IF(AND($D154=$E154,Q$111=$B154+$D154),$J154,IF(AND(Q$111&gt;$B154+$D154,Q$111&lt;=$B154+$E154), $J154/($E154-$D154),0)), IF(OR(Q$111=$B154+$D154,Q$111=$B154+$E154),$J154/(($E154-$D154)*2),IF(AND(Q$111&gt;$B154+$D154,Q$111&lt;$B154+$E154),$J154/($E154-$D154),0)))</f>
        <v>0</v>
      </c>
      <c r="R154" s="9">
        <f>IF(OR($C154="Annual",$D154=$E154),IF(AND($D154=$E154,R$111=$B154+$D154),$J154,IF(AND(R$111&gt;$B154+$D154,R$111&lt;=$B154+$E154), $J154/($E154-$D154),0)), IF(OR(R$111=$B154+$D154,R$111=$B154+$E154),$J154/(($E154-$D154)*2),IF(AND(R$111&gt;$B154+$D154,R$111&lt;$B154+$E154),$J154/($E154-$D154),0)))</f>
        <v>0</v>
      </c>
      <c r="S154" s="9">
        <f>IF(OR($C154="Annual",$D154=$E154),IF(AND($D154=$E154,S$111=$B154+$D154),$J154,IF(AND(S$111&gt;$B154+$D154,S$111&lt;=$B154+$E154), $J154/($E154-$D154),0)), IF(OR(S$111=$B154+$D154,S$111=$B154+$E154),$J154/(($E154-$D154)*2),IF(AND(S$111&gt;$B154+$D154,S$111&lt;$B154+$E154),$J154/($E154-$D154),0)))</f>
        <v>0</v>
      </c>
      <c r="T154" s="9">
        <f>IF(OR($C154="Annual",$D154=$E154),IF(AND($D154=$E154,T$111=$B154+$D154),$J154,IF(AND(T$111&gt;$B154+$D154,T$111&lt;=$B154+$E154), $J154/($E154-$D154),0)), IF(OR(T$111=$B154+$D154,T$111=$B154+$E154),$J154/(($E154-$D154)*2),IF(AND(T$111&gt;$B154+$D154,T$111&lt;$B154+$E154),$J154/($E154-$D154),0)))</f>
        <v>0</v>
      </c>
      <c r="U154" s="9"/>
      <c r="V154" s="9"/>
      <c r="W154" s="9"/>
      <c r="X154" s="9">
        <f t="shared" si="35"/>
        <v>0</v>
      </c>
      <c r="Y154" s="9">
        <f t="shared" ca="1" si="35"/>
        <v>3.9976567801116172</v>
      </c>
      <c r="Z154" s="9">
        <f t="shared" ca="1" si="35"/>
        <v>3.1981254240892936</v>
      </c>
      <c r="AA154" s="9">
        <f t="shared" ca="1" si="35"/>
        <v>2.3985940680669704</v>
      </c>
    </row>
    <row r="155" spans="1:27">
      <c r="A155" s="8" t="str">
        <f>A154</f>
        <v>Type 3</v>
      </c>
      <c r="B155" s="7">
        <f>B154+1</f>
        <v>2021</v>
      </c>
      <c r="C155" s="7" t="str">
        <f>C154</f>
        <v>Annual</v>
      </c>
      <c r="D155" s="7">
        <f t="shared" si="36"/>
        <v>0</v>
      </c>
      <c r="E155" s="7">
        <f t="shared" si="36"/>
        <v>0</v>
      </c>
      <c r="F155" s="14">
        <f>$O$81</f>
        <v>0</v>
      </c>
      <c r="H155" s="9"/>
      <c r="I155" s="9"/>
      <c r="J155" s="9"/>
      <c r="K155" s="9">
        <f ca="1">$E$81</f>
        <v>69.851328451609788</v>
      </c>
      <c r="L155" s="9">
        <f ca="1">K155-S155</f>
        <v>55.881062761287829</v>
      </c>
      <c r="M155" s="9">
        <f ca="1">L155-T155</f>
        <v>41.91079707096587</v>
      </c>
      <c r="N155" s="9"/>
      <c r="O155" s="9"/>
      <c r="P155" s="9"/>
      <c r="Q155" s="9"/>
      <c r="R155" s="9">
        <f ca="1">IF(OR($C155="Annual",$D155=$E155),IF(AND($D155=$E155,R$111=$B155+$D155),$K155,IF(AND(R$111&gt;$B155+$D155,R$111&lt;=$B155+$E155), $K155/($E155-$D155),0)), IF(OR(R$111=$B155+$D155,R$111=$B155+$E155),$K155/(($E155-$D155)*2),IF(AND(R$111&gt;$B155+$D155,R$111&lt;$B155+$E155),$K155/($E155-$D155),0)))</f>
        <v>0</v>
      </c>
      <c r="S155" s="9">
        <f>IF(OR($C155="Annual",$D155=$E155),IF(AND($D155=$E155,S$111=$B155+$D155),$K155,IF(AND(S$111&gt;$B155+$D155,S$111&lt;=$B155+$E155), $K155/($E155-$D155),0)), IF(OR(S$111=$B155+$D155,S$111=$B155+$E155),$K155/(($E155-$D155)*2),IF(AND(S$111&gt;$B155+$D155,S$111&lt;$B155+$E155),$K155/($E155-$D155),0)))</f>
        <v>0</v>
      </c>
      <c r="T155" s="9">
        <f>IF(OR($C155="Annual",$D155=$E155),IF(AND($D155=$E155,T$111=$B155+$D155),$K155,IF(AND(T$111&gt;$B155+$D155,T$111&lt;=$B155+$E155), $K155/($E155-$D155),0)), IF(OR(T$111=$B155+$D155,T$111=$B155+$E155),$K155/(($E155-$D155)*2),IF(AND(T$111&gt;$B155+$D155,T$111&lt;$B155+$E155),$K155/($E155-$D155),0)))</f>
        <v>0</v>
      </c>
      <c r="U155" s="9"/>
      <c r="V155" s="9"/>
      <c r="W155" s="9"/>
      <c r="X155" s="9"/>
      <c r="Y155" s="9">
        <f t="shared" si="35"/>
        <v>0</v>
      </c>
      <c r="Z155" s="9">
        <f t="shared" ca="1" si="35"/>
        <v>2.9337557949676114</v>
      </c>
      <c r="AA155" s="9">
        <f t="shared" ca="1" si="35"/>
        <v>2.347004635974089</v>
      </c>
    </row>
    <row r="156" spans="1:27">
      <c r="A156" s="8" t="str">
        <f>A155</f>
        <v>Type 3</v>
      </c>
      <c r="B156" s="7">
        <f>B155+1</f>
        <v>2022</v>
      </c>
      <c r="C156" s="7" t="str">
        <f>C155</f>
        <v>Annual</v>
      </c>
      <c r="D156" s="7">
        <f t="shared" si="36"/>
        <v>0</v>
      </c>
      <c r="E156" s="7">
        <f t="shared" si="36"/>
        <v>0</v>
      </c>
      <c r="F156" s="14">
        <f>$P$81</f>
        <v>0</v>
      </c>
      <c r="H156" s="9"/>
      <c r="I156" s="9"/>
      <c r="J156" s="9"/>
      <c r="K156" s="9"/>
      <c r="L156" s="9">
        <f ca="1">$F$81</f>
        <v>76.590816125739593</v>
      </c>
      <c r="M156" s="9">
        <f ca="1">L156-T156</f>
        <v>61.272652900591673</v>
      </c>
      <c r="N156" s="9"/>
      <c r="O156" s="9"/>
      <c r="P156" s="9"/>
      <c r="Q156" s="9"/>
      <c r="R156" s="9"/>
      <c r="S156" s="9">
        <f ca="1">IF(OR($C156="Annual",$D156=$E156),IF(AND($D156=$E156,S$111=$B156+$D156),$L156,IF(AND(S$111&gt;$B156+$D156,S$111&lt;=$B156+$E156), $L156/($E156-$D156),0)), IF(OR(S$111=$B156+$D156,S$111=$B156+$E156),$L156/(($E156-$D156)*2),IF(AND(S$111&gt;$B156+$D156,S$111&lt;$B156+$E156),$L156/($E156-$D156),0)))</f>
        <v>0</v>
      </c>
      <c r="T156" s="9">
        <f>IF(OR($C156="Annual",$D156=$E156),IF(AND($D156=$E156,T$111=$B156+$D156),$L156,IF(AND(T$111&gt;$B156+$D156,T$111&lt;=$B156+$E156), $L156/($E156-$D156),0)), IF(OR(T$111=$B156+$D156,T$111=$B156+$E156),$L156/(($E156-$D156)*2),IF(AND(T$111&gt;$B156+$D156,T$111&lt;$B156+$E156),$L156/($E156-$D156),0)))</f>
        <v>0</v>
      </c>
      <c r="U156" s="9"/>
      <c r="V156" s="9"/>
      <c r="W156" s="9"/>
      <c r="X156" s="9"/>
      <c r="Y156" s="9"/>
      <c r="Z156" s="9">
        <f t="shared" si="35"/>
        <v>0</v>
      </c>
      <c r="AA156" s="9">
        <f t="shared" ca="1" si="35"/>
        <v>3.2934050934068022</v>
      </c>
    </row>
    <row r="157" spans="1:27">
      <c r="A157" s="8" t="str">
        <f>A156</f>
        <v>Type 3</v>
      </c>
      <c r="B157" s="7">
        <f>B156+1</f>
        <v>2023</v>
      </c>
      <c r="C157" s="7" t="str">
        <f>C156</f>
        <v>Annual</v>
      </c>
      <c r="D157" s="7">
        <f t="shared" si="36"/>
        <v>0</v>
      </c>
      <c r="E157" s="7">
        <f t="shared" si="36"/>
        <v>0</v>
      </c>
      <c r="F157" s="14">
        <f>$Q$81</f>
        <v>0</v>
      </c>
      <c r="H157" s="9"/>
      <c r="I157" s="9"/>
      <c r="J157" s="9"/>
      <c r="K157" s="9"/>
      <c r="L157" s="9"/>
      <c r="M157" s="9">
        <f ca="1">$G$81</f>
        <v>79.227406839520867</v>
      </c>
      <c r="N157" s="9"/>
      <c r="O157" s="9"/>
      <c r="P157" s="9"/>
      <c r="Q157" s="9"/>
      <c r="R157" s="9"/>
      <c r="S157" s="9"/>
      <c r="T157" s="9">
        <f ca="1">IF(OR($C157="Annual",$D157=$E157),IF(AND($D157=$E157,T$111=$B157+$D157),$M157,IF(AND(T$111&gt;$B157+$D157,T$111&lt;=$B157+$E157), $M157/($E157-$D157),0)), IF(OR(T$111=$B157+$D157,T$111=$B157+$E157),$M157/(($E157-$D157)*2),IF(AND(T$111&gt;$B157+$D157,T$111&lt;$B157+$E157),$M157/($E157-$D157),0)))</f>
        <v>0</v>
      </c>
      <c r="U157" s="9"/>
      <c r="V157" s="9"/>
      <c r="W157" s="9"/>
      <c r="X157" s="9"/>
      <c r="Y157" s="9"/>
      <c r="Z157" s="9"/>
      <c r="AA157" s="9">
        <f t="shared" si="35"/>
        <v>0</v>
      </c>
    </row>
    <row r="158" spans="1:27">
      <c r="C158" s="281"/>
      <c r="F158" s="15"/>
      <c r="H158" s="10"/>
      <c r="I158" s="10"/>
      <c r="J158" s="10"/>
      <c r="K158" s="10"/>
      <c r="L158" s="10"/>
      <c r="M158" s="10"/>
      <c r="N158" s="10"/>
      <c r="O158" s="278"/>
      <c r="P158" s="10"/>
      <c r="Q158" s="10"/>
      <c r="R158" s="10"/>
      <c r="S158" s="10"/>
      <c r="T158" s="10"/>
      <c r="U158" s="10"/>
      <c r="V158" s="10"/>
      <c r="W158" s="10"/>
      <c r="X158" s="10"/>
      <c r="Y158" s="10"/>
      <c r="Z158" s="10"/>
      <c r="AA158" s="10"/>
    </row>
    <row r="159" spans="1:27">
      <c r="A159" s="8" t="str">
        <f>'Input 4 - Forecast'!A63</f>
        <v>Type 4</v>
      </c>
      <c r="B159" s="7">
        <f>B119</f>
        <v>2018</v>
      </c>
      <c r="C159" s="7" t="str">
        <f>$I82</f>
        <v>Annual</v>
      </c>
      <c r="D159" s="7">
        <f>$J82</f>
        <v>0</v>
      </c>
      <c r="E159" s="7">
        <f>$K82</f>
        <v>0</v>
      </c>
      <c r="F159" s="14">
        <f>$L$82</f>
        <v>0</v>
      </c>
      <c r="H159" s="9">
        <f>$B$82</f>
        <v>0</v>
      </c>
      <c r="I159" s="9">
        <f>H159-P159</f>
        <v>0</v>
      </c>
      <c r="J159" s="9">
        <f>I159-Q159</f>
        <v>0</v>
      </c>
      <c r="K159" s="9">
        <f>J159-R159</f>
        <v>0</v>
      </c>
      <c r="L159" s="9">
        <f>K159-S159</f>
        <v>0</v>
      </c>
      <c r="M159" s="9">
        <f>L159-T159</f>
        <v>0</v>
      </c>
      <c r="N159" s="9"/>
      <c r="O159" s="9">
        <f t="shared" ref="O159:T159" si="37">IF(OR($C159="Annual",$D159=$E159),IF(AND($D159=$E159,O$111=$B159+$D159),$H159,IF(AND(O$111&gt;$B159+$D159,O$111&lt;=$B159+$E159), $H159/($E159-$D159),0)), IF(OR(O$111=$B159+$D159,O$111=$B159+$E159),$H159/(($E159-$D159)*2),IF(AND(O$111&gt;$B159+$D159,O$111&lt;$B159+$E159),$H159/($E159-$D159),0)))</f>
        <v>0</v>
      </c>
      <c r="P159" s="9">
        <f t="shared" si="37"/>
        <v>0</v>
      </c>
      <c r="Q159" s="9">
        <f t="shared" si="37"/>
        <v>0</v>
      </c>
      <c r="R159" s="9">
        <f t="shared" si="37"/>
        <v>0</v>
      </c>
      <c r="S159" s="9">
        <f t="shared" si="37"/>
        <v>0</v>
      </c>
      <c r="T159" s="9">
        <f t="shared" si="37"/>
        <v>0</v>
      </c>
      <c r="U159" s="9"/>
      <c r="V159" s="9">
        <f>IF($C159="annual",IF(V$111=$B159,0,G159*$F159),IF(V$111-$B159=0,0,IF((V$111-$B159)&lt;$E159,AVERAGE(G159,H159)*$F159,IF((V$111-$B159)=$E159,G159*$F159/2,0))))</f>
        <v>0</v>
      </c>
      <c r="W159" s="9">
        <f t="shared" ref="W159:AA164" si="38">IF($C159="annual",IF(W$111=$B159,0,H159*$F159),IF(W$111-$B159=0,0,IF((W$111-$B159)&lt;$E159,AVERAGE(H159,I159)*$F159,IF((W$111-$B159)=$E159,H159*$F159/2,0))))</f>
        <v>0</v>
      </c>
      <c r="X159" s="9">
        <f t="shared" si="38"/>
        <v>0</v>
      </c>
      <c r="Y159" s="9">
        <f t="shared" si="38"/>
        <v>0</v>
      </c>
      <c r="Z159" s="9">
        <f t="shared" si="38"/>
        <v>0</v>
      </c>
      <c r="AA159" s="9">
        <f t="shared" si="38"/>
        <v>0</v>
      </c>
    </row>
    <row r="160" spans="1:27">
      <c r="A160" s="8" t="str">
        <f>A159</f>
        <v>Type 4</v>
      </c>
      <c r="B160" s="7">
        <f>B159+1</f>
        <v>2019</v>
      </c>
      <c r="C160" s="7" t="str">
        <f>C159</f>
        <v>Annual</v>
      </c>
      <c r="D160" s="7">
        <f t="shared" ref="D160:E164" si="39">D159</f>
        <v>0</v>
      </c>
      <c r="E160" s="7">
        <f t="shared" si="39"/>
        <v>0</v>
      </c>
      <c r="F160" s="14">
        <f>$M$82</f>
        <v>2.0470863523532085E-2</v>
      </c>
      <c r="H160" s="9"/>
      <c r="I160" s="9">
        <f ca="1">$C$82</f>
        <v>195.95010467855121</v>
      </c>
      <c r="J160" s="9">
        <f ca="1">I160-Q160</f>
        <v>176.35509421069608</v>
      </c>
      <c r="K160" s="9">
        <f ca="1">J160-R160</f>
        <v>156.76008374284095</v>
      </c>
      <c r="L160" s="9">
        <f ca="1">K160-S160</f>
        <v>137.16507327498582</v>
      </c>
      <c r="M160" s="9">
        <f ca="1">L160-T160</f>
        <v>117.5700628071307</v>
      </c>
      <c r="N160" s="9"/>
      <c r="O160" s="9"/>
      <c r="P160" s="9">
        <f ca="1">IF(OR($C160="Annual",$D160=$E160),IF(AND($D160=$E160,P$111=$B160+$D160),$I160,IF(AND(P$111&gt;$B160+$D160,P$111&lt;=$B160+$E160), $I160/($E160-$D160),0)), IF(OR(P$111=$B160+$D160,P$111=$B160+$E160),$I160/(($E160-$D160)*2),IF(AND(P$111&gt;$B160+$D160,P$111&lt;$B160+$E160),$I160/($E160-$D160),0)))</f>
        <v>0</v>
      </c>
      <c r="Q160" s="9">
        <f>IF(OR($C160="Annual",$D160=$E160),IF(AND($D160=$E160,Q$111=$B160+$D160),$I160,IF(AND(Q$111&gt;$B160+$D160,Q$111&lt;=$B160+$E160), $I160/($E160-$D160),0)), IF(OR(Q$111=$B160+$D160,Q$111=$B160+$E160),$I160/(($E160-$D160)*2),IF(AND(Q$111&gt;$B160+$D160,Q$111&lt;$B160+$E160),$I160/($E160-$D160),0)))</f>
        <v>0</v>
      </c>
      <c r="R160" s="9">
        <f>IF(OR($C160="Annual",$D160=$E160),IF(AND($D160=$E160,R$111=$B160+$D160),$I160,IF(AND(R$111&gt;$B160+$D160,R$111&lt;=$B160+$E160), $I160/($E160-$D160),0)), IF(OR(R$111=$B160+$D160,R$111=$B160+$E160),$I160/(($E160-$D160)*2),IF(AND(R$111&gt;$B160+$D160,R$111&lt;$B160+$E160),$I160/($E160-$D160),0)))</f>
        <v>0</v>
      </c>
      <c r="S160" s="9">
        <f>IF(OR($C160="Annual",$D160=$E160),IF(AND($D160=$E160,S$111=$B160+$D160),$I160,IF(AND(S$111&gt;$B160+$D160,S$111&lt;=$B160+$E160), $I160/($E160-$D160),0)), IF(OR(S$111=$B160+$D160,S$111=$B160+$E160),$I160/(($E160-$D160)*2),IF(AND(S$111&gt;$B160+$D160,S$111&lt;$B160+$E160),$I160/($E160-$D160),0)))</f>
        <v>0</v>
      </c>
      <c r="T160" s="9">
        <f>IF(OR($C160="Annual",$D160=$E160),IF(AND($D160=$E160,T$111=$B160+$D160),$I160,IF(AND(T$111&gt;$B160+$D160,T$111&lt;=$B160+$E160), $I160/($E160-$D160),0)), IF(OR(T$111=$B160+$D160,T$111=$B160+$E160),$I160/(($E160-$D160)*2),IF(AND(T$111&gt;$B160+$D160,T$111&lt;$B160+$E160),$I160/($E160-$D160),0)))</f>
        <v>0</v>
      </c>
      <c r="U160" s="9"/>
      <c r="V160" s="9"/>
      <c r="W160" s="9">
        <f t="shared" si="38"/>
        <v>0</v>
      </c>
      <c r="X160" s="9">
        <f t="shared" ca="1" si="38"/>
        <v>13.416872874866906</v>
      </c>
      <c r="Y160" s="9">
        <f t="shared" ca="1" si="38"/>
        <v>12.075185587380215</v>
      </c>
      <c r="Z160" s="9">
        <f t="shared" ca="1" si="38"/>
        <v>10.733498299893524</v>
      </c>
      <c r="AA160" s="9">
        <f t="shared" ca="1" si="38"/>
        <v>9.3918110124068317</v>
      </c>
    </row>
    <row r="161" spans="1:27">
      <c r="A161" s="8" t="str">
        <f>A160</f>
        <v>Type 4</v>
      </c>
      <c r="B161" s="7">
        <f>B160+1</f>
        <v>2020</v>
      </c>
      <c r="C161" s="7" t="str">
        <f>C160</f>
        <v>Annual</v>
      </c>
      <c r="D161" s="7">
        <f t="shared" si="39"/>
        <v>0</v>
      </c>
      <c r="E161" s="7">
        <f t="shared" si="39"/>
        <v>0</v>
      </c>
      <c r="F161" s="14">
        <f>$N$82</f>
        <v>0</v>
      </c>
      <c r="H161" s="9"/>
      <c r="I161" s="9"/>
      <c r="J161" s="9">
        <f ca="1">$D$82</f>
        <v>148.87328817734377</v>
      </c>
      <c r="K161" s="9">
        <f ca="1">J161-R161</f>
        <v>133.98595935960938</v>
      </c>
      <c r="L161" s="9">
        <f ca="1">K161-S161</f>
        <v>119.09863054187501</v>
      </c>
      <c r="M161" s="9">
        <f ca="1">L161-T161</f>
        <v>104.21130172414064</v>
      </c>
      <c r="N161" s="9"/>
      <c r="O161" s="9"/>
      <c r="P161" s="9"/>
      <c r="Q161" s="9">
        <f ca="1">IF(OR($C161="Annual",$D161=$E161),IF(AND($D161=$E161,Q$111=$B161+$D161),$J161,IF(AND(Q$111&gt;$B161+$D161,Q$111&lt;=$B161+$E161), $J161/($E161-$D161),0)), IF(OR(Q$111=$B161+$D161,Q$111=$B161+$E161),$J161/(($E161-$D161)*2),IF(AND(Q$111&gt;$B161+$D161,Q$111&lt;$B161+$E161),$J161/($E161-$D161),0)))</f>
        <v>0</v>
      </c>
      <c r="R161" s="9">
        <f>IF(OR($C161="Annual",$D161=$E161),IF(AND($D161=$E161,R$111=$B161+$D161),$J161,IF(AND(R$111&gt;$B161+$D161,R$111&lt;=$B161+$E161), $J161/($E161-$D161),0)), IF(OR(R$111=$B161+$D161,R$111=$B161+$E161),$J161/(($E161-$D161)*2),IF(AND(R$111&gt;$B161+$D161,R$111&lt;$B161+$E161),$J161/($E161-$D161),0)))</f>
        <v>0</v>
      </c>
      <c r="S161" s="9">
        <f>IF(OR($C161="Annual",$D161=$E161),IF(AND($D161=$E161,S$111=$B161+$D161),$J161,IF(AND(S$111&gt;$B161+$D161,S$111&lt;=$B161+$E161), $J161/($E161-$D161),0)), IF(OR(S$111=$B161+$D161,S$111=$B161+$E161),$J161/(($E161-$D161)*2),IF(AND(S$111&gt;$B161+$D161,S$111&lt;$B161+$E161),$J161/($E161-$D161),0)))</f>
        <v>0</v>
      </c>
      <c r="T161" s="9">
        <f>IF(OR($C161="Annual",$D161=$E161),IF(AND($D161=$E161,T$111=$B161+$D161),$J161,IF(AND(T$111&gt;$B161+$D161,T$111&lt;=$B161+$E161), $J161/($E161-$D161),0)), IF(OR(T$111=$B161+$D161,T$111=$B161+$E161),$J161/(($E161-$D161)*2),IF(AND(T$111&gt;$B161+$D161,T$111&lt;$B161+$E161),$J161/($E161-$D161),0)))</f>
        <v>0</v>
      </c>
      <c r="U161" s="9"/>
      <c r="V161" s="9"/>
      <c r="W161" s="9"/>
      <c r="X161" s="9">
        <f t="shared" si="38"/>
        <v>0</v>
      </c>
      <c r="Y161" s="9">
        <f t="shared" ca="1" si="38"/>
        <v>7.5925376970445315</v>
      </c>
      <c r="Z161" s="9">
        <f t="shared" ca="1" si="38"/>
        <v>6.8332839273400783</v>
      </c>
      <c r="AA161" s="9">
        <f t="shared" ca="1" si="38"/>
        <v>6.074030157635625</v>
      </c>
    </row>
    <row r="162" spans="1:27">
      <c r="A162" s="8" t="str">
        <f>A161</f>
        <v>Type 4</v>
      </c>
      <c r="B162" s="7">
        <f>B161+1</f>
        <v>2021</v>
      </c>
      <c r="C162" s="7" t="str">
        <f>C161</f>
        <v>Annual</v>
      </c>
      <c r="D162" s="7">
        <f t="shared" si="39"/>
        <v>0</v>
      </c>
      <c r="E162" s="7">
        <f t="shared" si="39"/>
        <v>0</v>
      </c>
      <c r="F162" s="14">
        <f>$O$82</f>
        <v>0</v>
      </c>
      <c r="H162" s="9"/>
      <c r="I162" s="9"/>
      <c r="J162" s="9"/>
      <c r="K162" s="9">
        <f ca="1">$E$82</f>
        <v>130.97124084676835</v>
      </c>
      <c r="L162" s="9">
        <f ca="1">K162-S162</f>
        <v>117.87411676209152</v>
      </c>
      <c r="M162" s="9">
        <f ca="1">L162-T162</f>
        <v>104.77699267741468</v>
      </c>
      <c r="N162" s="9"/>
      <c r="O162" s="9"/>
      <c r="P162" s="9"/>
      <c r="Q162" s="9"/>
      <c r="R162" s="9">
        <f ca="1">IF(OR($C162="Annual",$D162=$E162),IF(AND($D162=$E162,R$111=$B162+$D162),$K162,IF(AND(R$111&gt;$B162+$D162,R$111&lt;=$B162+$E162), $K162/($E162-$D162),0)), IF(OR(R$111=$B162+$D162,R$111=$B162+$E162),$K162/(($E162-$D162)*2),IF(AND(R$111&gt;$B162+$D162,R$111&lt;$B162+$E162),$K162/($E162-$D162),0)))</f>
        <v>0</v>
      </c>
      <c r="S162" s="9">
        <f>IF(OR($C162="Annual",$D162=$E162),IF(AND($D162=$E162,S$111=$B162+$D162),$K162,IF(AND(S$111&gt;$B162+$D162,S$111&lt;=$B162+$E162), $K162/($E162-$D162),0)), IF(OR(S$111=$B162+$D162,S$111=$B162+$E162),$K162/(($E162-$D162)*2),IF(AND(S$111&gt;$B162+$D162,S$111&lt;$B162+$E162),$K162/($E162-$D162),0)))</f>
        <v>0</v>
      </c>
      <c r="T162" s="9">
        <f>IF(OR($C162="Annual",$D162=$E162),IF(AND($D162=$E162,T$111=$B162+$D162),$K162,IF(AND(T$111&gt;$B162+$D162,T$111&lt;=$B162+$E162), $K162/($E162-$D162),0)), IF(OR(T$111=$B162+$D162,T$111=$B162+$E162),$K162/(($E162-$D162)*2),IF(AND(T$111&gt;$B162+$D162,T$111&lt;$B162+$E162),$K162/($E162-$D162),0)))</f>
        <v>0</v>
      </c>
      <c r="U162" s="9"/>
      <c r="V162" s="9"/>
      <c r="W162" s="9"/>
      <c r="X162" s="9"/>
      <c r="Y162" s="9">
        <f t="shared" si="38"/>
        <v>0</v>
      </c>
      <c r="Z162" s="9">
        <f t="shared" ca="1" si="38"/>
        <v>6.8105045240319546</v>
      </c>
      <c r="AA162" s="9">
        <f t="shared" ca="1" si="38"/>
        <v>6.1294540716287598</v>
      </c>
    </row>
    <row r="163" spans="1:27">
      <c r="A163" s="8" t="str">
        <f>A162</f>
        <v>Type 4</v>
      </c>
      <c r="B163" s="7">
        <f>B162+1</f>
        <v>2022</v>
      </c>
      <c r="C163" s="7" t="str">
        <f>C162</f>
        <v>Annual</v>
      </c>
      <c r="D163" s="7">
        <f t="shared" si="39"/>
        <v>0</v>
      </c>
      <c r="E163" s="7">
        <f t="shared" si="39"/>
        <v>0</v>
      </c>
      <c r="F163" s="14">
        <f>$P$82</f>
        <v>0</v>
      </c>
      <c r="H163" s="9"/>
      <c r="I163" s="9"/>
      <c r="J163" s="9"/>
      <c r="K163" s="9"/>
      <c r="L163" s="9">
        <f ca="1">$F$82</f>
        <v>128.84436357601052</v>
      </c>
      <c r="M163" s="9">
        <f ca="1">L163-T163</f>
        <v>115.95992721840948</v>
      </c>
      <c r="N163" s="9"/>
      <c r="O163" s="9"/>
      <c r="P163" s="9"/>
      <c r="Q163" s="9"/>
      <c r="R163" s="9"/>
      <c r="S163" s="9">
        <f ca="1">IF(OR($C163="Annual",$D163=$E163),IF(AND($D163=$E163,S$111=$B163+$D163),$L163,IF(AND(S$111&gt;$B163+$D163,S$111&lt;=$B163+$E163), $L163/($E163-$D163),0)), IF(OR(S$111=$B163+$D163,S$111=$B163+$E163),$L163/(($E163-$D163)*2),IF(AND(S$111&gt;$B163+$D163,S$111&lt;$B163+$E163),$L163/($E163-$D163),0)))</f>
        <v>0</v>
      </c>
      <c r="T163" s="9">
        <f>IF(OR($C163="Annual",$D163=$E163),IF(AND($D163=$E163,T$111=$B163+$D163),$L163,IF(AND(T$111&gt;$B163+$D163,T$111&lt;=$B163+$E163), $L163/($E163-$D163),0)), IF(OR(T$111=$B163+$D163,T$111=$B163+$E163),$L163/(($E163-$D163)*2),IF(AND(T$111&gt;$B163+$D163,T$111&lt;$B163+$E163),$L163/($E163-$D163),0)))</f>
        <v>0</v>
      </c>
      <c r="U163" s="9"/>
      <c r="V163" s="9"/>
      <c r="W163" s="9"/>
      <c r="X163" s="9"/>
      <c r="Y163" s="9"/>
      <c r="Z163" s="9">
        <f t="shared" si="38"/>
        <v>0</v>
      </c>
      <c r="AA163" s="9">
        <f t="shared" ca="1" si="38"/>
        <v>6.8287512695285573</v>
      </c>
    </row>
    <row r="164" spans="1:27">
      <c r="A164" s="8" t="str">
        <f>A163</f>
        <v>Type 4</v>
      </c>
      <c r="B164" s="7">
        <f>B163+1</f>
        <v>2023</v>
      </c>
      <c r="C164" s="7" t="str">
        <f>C163</f>
        <v>Annual</v>
      </c>
      <c r="D164" s="7">
        <f t="shared" si="39"/>
        <v>0</v>
      </c>
      <c r="E164" s="7">
        <f t="shared" si="39"/>
        <v>0</v>
      </c>
      <c r="F164" s="14">
        <f>$Q$82</f>
        <v>0</v>
      </c>
      <c r="H164" s="9"/>
      <c r="I164" s="9"/>
      <c r="J164" s="9"/>
      <c r="K164" s="9"/>
      <c r="L164" s="9"/>
      <c r="M164" s="9">
        <f ca="1">$G$82</f>
        <v>128.70878367431186</v>
      </c>
      <c r="N164" s="9"/>
      <c r="O164" s="9"/>
      <c r="P164" s="9"/>
      <c r="Q164" s="9"/>
      <c r="R164" s="9"/>
      <c r="S164" s="9"/>
      <c r="T164" s="9">
        <f ca="1">IF(OR($C164="Annual",$D164=$E164),IF(AND($D164=$E164,T$111=$B164+$D164),$M164,IF(AND(T$111&gt;$B164+$D164,T$111&lt;=$B164+$E164), $M164/($E164-$D164),0)), IF(OR(T$111=$B164+$D164,T$111=$B164+$E164),$M164/(($E164-$D164)*2),IF(AND(T$111&gt;$B164+$D164,T$111&lt;$B164+$E164),$M164/($E164-$D164),0)))</f>
        <v>0</v>
      </c>
      <c r="U164" s="9"/>
      <c r="V164" s="9"/>
      <c r="W164" s="9"/>
      <c r="X164" s="9"/>
      <c r="Y164" s="9"/>
      <c r="Z164" s="9"/>
      <c r="AA164" s="9">
        <f t="shared" si="38"/>
        <v>0</v>
      </c>
    </row>
    <row r="165" spans="1:27">
      <c r="C165" s="281"/>
      <c r="F165" s="15"/>
      <c r="H165" s="10"/>
      <c r="I165" s="10"/>
      <c r="J165" s="10"/>
      <c r="K165" s="10"/>
      <c r="L165" s="10"/>
      <c r="M165" s="10"/>
      <c r="N165" s="10"/>
      <c r="O165" s="278"/>
      <c r="P165" s="10"/>
      <c r="Q165" s="10"/>
      <c r="R165" s="10"/>
      <c r="S165" s="10"/>
      <c r="T165" s="10"/>
      <c r="U165" s="10"/>
      <c r="V165" s="10"/>
      <c r="W165" s="10"/>
      <c r="X165" s="10"/>
      <c r="Y165" s="10"/>
      <c r="Z165" s="10"/>
      <c r="AA165" s="10"/>
    </row>
    <row r="166" spans="1:27" s="1150" customFormat="1">
      <c r="A166" s="1347" t="str">
        <f>'Input 4 - Forecast'!A64</f>
        <v>ZERO-COUPON BOND</v>
      </c>
      <c r="B166" s="1348">
        <f>B119</f>
        <v>2018</v>
      </c>
      <c r="C166" s="1348"/>
      <c r="D166" s="1348">
        <f>$J83</f>
        <v>0</v>
      </c>
      <c r="E166" s="1348">
        <f>$K83</f>
        <v>0</v>
      </c>
      <c r="F166" s="1349">
        <f>$L$83</f>
        <v>0</v>
      </c>
      <c r="H166" s="1350">
        <f>$B$83</f>
        <v>0</v>
      </c>
      <c r="I166" s="1350">
        <f>H166-P166</f>
        <v>0</v>
      </c>
      <c r="J166" s="1350">
        <f>I166-Q166</f>
        <v>0</v>
      </c>
      <c r="K166" s="1350">
        <f>J166-R166</f>
        <v>0</v>
      </c>
      <c r="L166" s="1350">
        <f>K166-S166</f>
        <v>0</v>
      </c>
      <c r="M166" s="1350">
        <f>L166-T166</f>
        <v>0</v>
      </c>
      <c r="N166" s="1350"/>
      <c r="O166" s="1350">
        <f t="shared" ref="O166:T166" si="40">IF($D166=$E166,IF(O$111=$B166+$E166,$H166,0),0)</f>
        <v>0</v>
      </c>
      <c r="P166" s="1350">
        <f t="shared" si="40"/>
        <v>0</v>
      </c>
      <c r="Q166" s="1350">
        <f t="shared" si="40"/>
        <v>0</v>
      </c>
      <c r="R166" s="1350">
        <f t="shared" si="40"/>
        <v>0</v>
      </c>
      <c r="S166" s="1350">
        <f t="shared" si="40"/>
        <v>0</v>
      </c>
      <c r="T166" s="1350">
        <f t="shared" si="40"/>
        <v>0</v>
      </c>
      <c r="U166" s="1350"/>
      <c r="V166" s="1350">
        <f t="shared" ref="V166:AA166" si="41">IF(V$111-$B166=$D166,$H166*(((1+$F166)^$D166)-1),0)</f>
        <v>0</v>
      </c>
      <c r="W166" s="1350">
        <f t="shared" si="41"/>
        <v>0</v>
      </c>
      <c r="X166" s="1350">
        <f t="shared" si="41"/>
        <v>0</v>
      </c>
      <c r="Y166" s="1350">
        <f t="shared" si="41"/>
        <v>0</v>
      </c>
      <c r="Z166" s="1350">
        <f t="shared" si="41"/>
        <v>0</v>
      </c>
      <c r="AA166" s="1350">
        <f t="shared" si="41"/>
        <v>0</v>
      </c>
    </row>
    <row r="167" spans="1:27" s="1150" customFormat="1">
      <c r="A167" s="1347" t="str">
        <f>A166</f>
        <v>ZERO-COUPON BOND</v>
      </c>
      <c r="B167" s="1348">
        <f>B166+1</f>
        <v>2019</v>
      </c>
      <c r="C167" s="1348"/>
      <c r="D167" s="1348">
        <f t="shared" ref="D167:E171" si="42">D166</f>
        <v>0</v>
      </c>
      <c r="E167" s="1348">
        <f t="shared" si="42"/>
        <v>0</v>
      </c>
      <c r="F167" s="1349">
        <f>$M$83</f>
        <v>2.0470863523532085E-2</v>
      </c>
      <c r="H167" s="1350"/>
      <c r="I167" s="1350">
        <f ca="1">$C$83</f>
        <v>0</v>
      </c>
      <c r="J167" s="1350">
        <f ca="1">I167-Q167</f>
        <v>0</v>
      </c>
      <c r="K167" s="1350">
        <f ca="1">J167-R167</f>
        <v>0</v>
      </c>
      <c r="L167" s="1350">
        <f ca="1">K167-S167</f>
        <v>0</v>
      </c>
      <c r="M167" s="1350">
        <f ca="1">L167-T167</f>
        <v>0</v>
      </c>
      <c r="N167" s="1350"/>
      <c r="O167" s="1351"/>
      <c r="P167" s="1350">
        <f ca="1">IF($D167=$E167,IF(P$111=$B167+$E167,$I167,0),0)</f>
        <v>0</v>
      </c>
      <c r="Q167" s="1350">
        <f>IF($D167=$E167,IF(Q$111=$B167+$E167,$I167,0),0)</f>
        <v>0</v>
      </c>
      <c r="R167" s="1350">
        <f>IF($D167=$E167,IF(R$111=$B167+$E167,$I167,0),0)</f>
        <v>0</v>
      </c>
      <c r="S167" s="1350">
        <f>IF($D167=$E167,IF(S$111=$B167+$E167,$I167,0),0)</f>
        <v>0</v>
      </c>
      <c r="T167" s="1350">
        <f>IF($D167=$E167,IF(T$111=$B167+$E167,$I167,0),0)</f>
        <v>0</v>
      </c>
      <c r="U167" s="1350"/>
      <c r="V167" s="1350"/>
      <c r="W167" s="1350">
        <f ca="1">IF(W$111-$B167=$D167,$I167*(((1+$F167)^$D167)-1),0)</f>
        <v>0</v>
      </c>
      <c r="X167" s="1350">
        <f>IF(X$111-$B167=$D167,$I167*(((1+$F167)^$D167)-1),0)</f>
        <v>0</v>
      </c>
      <c r="Y167" s="1350">
        <f>IF(Y$111-$B167=$D167,$I167*(((1+$F167)^$D167)-1),0)</f>
        <v>0</v>
      </c>
      <c r="Z167" s="1350">
        <f>IF(Z$111-$B167=$D167,$I167*(((1+$F167)^$D167)-1),0)</f>
        <v>0</v>
      </c>
      <c r="AA167" s="1350">
        <f>IF(AA$111-$B167=$D167,$I167*(((1+$F167)^$D167)-1),0)</f>
        <v>0</v>
      </c>
    </row>
    <row r="168" spans="1:27" s="1150" customFormat="1">
      <c r="A168" s="1347" t="str">
        <f>A167</f>
        <v>ZERO-COUPON BOND</v>
      </c>
      <c r="B168" s="1348">
        <f>B167+1</f>
        <v>2020</v>
      </c>
      <c r="C168" s="1348"/>
      <c r="D168" s="1348">
        <f t="shared" si="42"/>
        <v>0</v>
      </c>
      <c r="E168" s="1348">
        <f t="shared" si="42"/>
        <v>0</v>
      </c>
      <c r="F168" s="1349">
        <f>$N$83</f>
        <v>0</v>
      </c>
      <c r="H168" s="1350"/>
      <c r="I168" s="1350"/>
      <c r="J168" s="1350">
        <f ca="1">$D$83</f>
        <v>0</v>
      </c>
      <c r="K168" s="1350">
        <f ca="1">J168-R168</f>
        <v>0</v>
      </c>
      <c r="L168" s="1350">
        <f ca="1">K168-S168</f>
        <v>0</v>
      </c>
      <c r="M168" s="1350">
        <f ca="1">L168-T168</f>
        <v>0</v>
      </c>
      <c r="N168" s="1350"/>
      <c r="O168" s="1351"/>
      <c r="P168" s="1350"/>
      <c r="Q168" s="1350">
        <f ca="1">IF($D168=$E168,IF(Q$111=$B168+$E168,$J168,0),0)</f>
        <v>0</v>
      </c>
      <c r="R168" s="1350">
        <f>IF($D168=$E168,IF(R$111=$B168+$E168,$J168,0),0)</f>
        <v>0</v>
      </c>
      <c r="S168" s="1350">
        <f>IF($D168=$E168,IF(S$111=$B168+$E168,$J168,0),0)</f>
        <v>0</v>
      </c>
      <c r="T168" s="1350">
        <f>IF($D168=$E168,IF(T$111=$B168+$E168,$J168,0),0)</f>
        <v>0</v>
      </c>
      <c r="U168" s="1350"/>
      <c r="V168" s="1350"/>
      <c r="W168" s="1350"/>
      <c r="X168" s="1350">
        <f ca="1">IF(X$111-$B168=$D168,$J168*(((1+$F168)^$D168)-1),0)</f>
        <v>0</v>
      </c>
      <c r="Y168" s="1350">
        <f>IF(Y$111-$B168=$D168,$J168*(((1+$F168)^$D168)-1),0)</f>
        <v>0</v>
      </c>
      <c r="Z168" s="1350">
        <f>IF(Z$111-$B168=$D168,$J168*(((1+$F168)^$D168)-1),0)</f>
        <v>0</v>
      </c>
      <c r="AA168" s="1350">
        <f>IF(AA$111-$B168=$D168,$J168*(((1+$F168)^$D168)-1),0)</f>
        <v>0</v>
      </c>
    </row>
    <row r="169" spans="1:27" s="1150" customFormat="1">
      <c r="A169" s="1347" t="str">
        <f>A168</f>
        <v>ZERO-COUPON BOND</v>
      </c>
      <c r="B169" s="1348">
        <f>B168+1</f>
        <v>2021</v>
      </c>
      <c r="C169" s="1348"/>
      <c r="D169" s="1348">
        <f t="shared" si="42"/>
        <v>0</v>
      </c>
      <c r="E169" s="1348">
        <f t="shared" si="42"/>
        <v>0</v>
      </c>
      <c r="F169" s="1349">
        <f>$O$83</f>
        <v>0</v>
      </c>
      <c r="H169" s="1350"/>
      <c r="I169" s="1350"/>
      <c r="J169" s="1350"/>
      <c r="K169" s="1350">
        <f ca="1">$E$83</f>
        <v>0</v>
      </c>
      <c r="L169" s="1350">
        <f ca="1">K169-S169</f>
        <v>0</v>
      </c>
      <c r="M169" s="1350">
        <f ca="1">L169-T169</f>
        <v>0</v>
      </c>
      <c r="N169" s="1350"/>
      <c r="O169" s="1351"/>
      <c r="P169" s="1350"/>
      <c r="Q169" s="1350"/>
      <c r="R169" s="1350">
        <f ca="1">IF($D169=$E169,IF(R$111=$B169+$E169,$K169,0),0)</f>
        <v>0</v>
      </c>
      <c r="S169" s="1350">
        <f>IF($D169=$E169,IF(S$111=$B169+$E169,$K169,0),0)</f>
        <v>0</v>
      </c>
      <c r="T169" s="1350">
        <f>IF($D169=$E169,IF(T$111=$B169+$E169,$K169,0),0)</f>
        <v>0</v>
      </c>
      <c r="U169" s="1350"/>
      <c r="V169" s="1350"/>
      <c r="W169" s="1350"/>
      <c r="X169" s="1350"/>
      <c r="Y169" s="1350">
        <f ca="1">IF(Y$111-$B169=$D169,$K169*(((1+$F169)^$D169)-1),0)</f>
        <v>0</v>
      </c>
      <c r="Z169" s="1350">
        <f>IF(Z$111-$B169=$D169,$K169*(((1+$F169)^$D169)-1),0)</f>
        <v>0</v>
      </c>
      <c r="AA169" s="1350">
        <f>IF(AA$111-$B169=$D169,$K169*(((1+$F169)^$D169)-1),0)</f>
        <v>0</v>
      </c>
    </row>
    <row r="170" spans="1:27" s="1150" customFormat="1">
      <c r="A170" s="1347" t="str">
        <f>A169</f>
        <v>ZERO-COUPON BOND</v>
      </c>
      <c r="B170" s="1348">
        <f>B169+1</f>
        <v>2022</v>
      </c>
      <c r="C170" s="1348"/>
      <c r="D170" s="1348">
        <f t="shared" si="42"/>
        <v>0</v>
      </c>
      <c r="E170" s="1348">
        <f t="shared" si="42"/>
        <v>0</v>
      </c>
      <c r="F170" s="1349">
        <f>$P$83</f>
        <v>0</v>
      </c>
      <c r="H170" s="1350"/>
      <c r="I170" s="1350"/>
      <c r="J170" s="1350"/>
      <c r="K170" s="1350"/>
      <c r="L170" s="1350">
        <f ca="1">$F$83</f>
        <v>0</v>
      </c>
      <c r="M170" s="1350">
        <f ca="1">L170-T170</f>
        <v>0</v>
      </c>
      <c r="N170" s="1350"/>
      <c r="O170" s="1351"/>
      <c r="P170" s="1350"/>
      <c r="Q170" s="1350"/>
      <c r="R170" s="1350"/>
      <c r="S170" s="1350">
        <f ca="1">IF($D170=$E170,IF(S$111=$B170+$E170,$L170,0),0)</f>
        <v>0</v>
      </c>
      <c r="T170" s="1350">
        <f>IF($D170=$E170,IF(T$111=$B170+$E170,$L170,0),0)</f>
        <v>0</v>
      </c>
      <c r="U170" s="1350"/>
      <c r="V170" s="1350"/>
      <c r="W170" s="1350"/>
      <c r="X170" s="1350"/>
      <c r="Y170" s="1350"/>
      <c r="Z170" s="1350">
        <f ca="1">IF(Z$111-$B170=$D170,$L170*(((1+$F170)^$D170)-1),0)</f>
        <v>0</v>
      </c>
      <c r="AA170" s="1350">
        <f>IF(AA$111-$B170=$D170,$L170*(((1+$F170)^$D170)-1),0)</f>
        <v>0</v>
      </c>
    </row>
    <row r="171" spans="1:27" s="1150" customFormat="1">
      <c r="A171" s="1347" t="str">
        <f>A170</f>
        <v>ZERO-COUPON BOND</v>
      </c>
      <c r="B171" s="1348">
        <f>B170+1</f>
        <v>2023</v>
      </c>
      <c r="C171" s="1348"/>
      <c r="D171" s="1348">
        <f t="shared" si="42"/>
        <v>0</v>
      </c>
      <c r="E171" s="1348">
        <f t="shared" si="42"/>
        <v>0</v>
      </c>
      <c r="F171" s="1349">
        <f>$Q$83</f>
        <v>0</v>
      </c>
      <c r="H171" s="1350"/>
      <c r="I171" s="1350"/>
      <c r="J171" s="1350"/>
      <c r="K171" s="1350"/>
      <c r="L171" s="1350"/>
      <c r="M171" s="1350">
        <f ca="1">$G$83</f>
        <v>0</v>
      </c>
      <c r="N171" s="1350"/>
      <c r="O171" s="1351"/>
      <c r="P171" s="1350"/>
      <c r="Q171" s="1350"/>
      <c r="R171" s="1350"/>
      <c r="S171" s="1350"/>
      <c r="T171" s="1350">
        <f ca="1">IF($D171=$E171,IF(T$111=$B171+$E171,$M171,0),0)</f>
        <v>0</v>
      </c>
      <c r="U171" s="1350"/>
      <c r="V171" s="1350"/>
      <c r="W171" s="1350"/>
      <c r="X171" s="1350"/>
      <c r="Y171" s="1350"/>
      <c r="Z171" s="1350"/>
      <c r="AA171" s="1350">
        <f ca="1">IF(AA$111-$B171=$D171,$M171*(((1+$F171)^$D171)-1),0)</f>
        <v>0</v>
      </c>
    </row>
    <row r="172" spans="1:27" ht="15.75" thickBot="1">
      <c r="H172" s="10"/>
      <c r="I172" s="10"/>
      <c r="J172" s="10"/>
      <c r="K172" s="10"/>
      <c r="L172" s="10"/>
      <c r="M172" s="10"/>
      <c r="N172" s="10"/>
      <c r="O172" s="10"/>
      <c r="P172" s="10"/>
      <c r="Q172" s="10"/>
      <c r="R172" s="10"/>
      <c r="S172" s="10"/>
      <c r="T172" s="10"/>
      <c r="U172" s="10"/>
      <c r="V172" s="10"/>
      <c r="W172" s="10"/>
      <c r="X172" s="10"/>
      <c r="Y172" s="10"/>
      <c r="Z172" s="10"/>
      <c r="AA172" s="10"/>
    </row>
    <row r="173" spans="1:27" ht="15.75" thickBot="1">
      <c r="A173" s="12" t="str">
        <f>'Input 4 - Forecast'!A65</f>
        <v>Denominated in foreign currency</v>
      </c>
      <c r="B173" s="1999" t="s">
        <v>52</v>
      </c>
      <c r="C173" s="2000"/>
      <c r="D173" s="2000"/>
      <c r="E173" s="2000"/>
      <c r="F173" s="2000"/>
      <c r="G173" s="2000"/>
      <c r="H173" s="2000"/>
      <c r="I173" s="2000"/>
      <c r="J173" s="2000"/>
      <c r="K173" s="2000"/>
      <c r="L173" s="2000"/>
      <c r="M173" s="2000"/>
      <c r="N173" s="2000"/>
      <c r="O173" s="2000"/>
      <c r="P173" s="2000"/>
      <c r="Q173" s="2000"/>
      <c r="R173" s="2000"/>
      <c r="S173" s="2000"/>
      <c r="T173" s="2000"/>
      <c r="U173" s="2000"/>
      <c r="V173" s="2000"/>
      <c r="W173" s="2000"/>
      <c r="X173" s="2000"/>
      <c r="Y173" s="2000"/>
      <c r="Z173" s="2000"/>
      <c r="AA173" s="2001"/>
    </row>
    <row r="174" spans="1:27">
      <c r="H174" s="10"/>
      <c r="I174" s="10"/>
      <c r="J174" s="10"/>
      <c r="K174" s="10"/>
      <c r="L174" s="10"/>
      <c r="M174" s="10"/>
      <c r="N174" s="10"/>
      <c r="O174" s="10"/>
      <c r="P174" s="10"/>
      <c r="Q174" s="10"/>
      <c r="R174" s="10"/>
      <c r="S174" s="10"/>
      <c r="T174" s="10"/>
      <c r="U174" s="10"/>
      <c r="V174" s="10"/>
      <c r="W174" s="10"/>
      <c r="X174" s="10"/>
      <c r="Y174" s="10"/>
      <c r="Z174" s="10"/>
      <c r="AA174" s="10"/>
    </row>
    <row r="175" spans="1:27">
      <c r="A175" s="8" t="str">
        <f>'Input 4 - Forecast'!A66</f>
        <v>Type 6</v>
      </c>
      <c r="B175" s="7">
        <f>B119</f>
        <v>2018</v>
      </c>
      <c r="C175" s="7" t="str">
        <f>$I85</f>
        <v>Annual</v>
      </c>
      <c r="D175" s="7">
        <f>$J85</f>
        <v>0</v>
      </c>
      <c r="E175" s="7">
        <f>$K85</f>
        <v>0</v>
      </c>
      <c r="F175" s="14">
        <f>$L$85</f>
        <v>0</v>
      </c>
      <c r="H175" s="9">
        <f>$B$85/$B$31</f>
        <v>0</v>
      </c>
      <c r="I175" s="9">
        <f>H175-P175</f>
        <v>0</v>
      </c>
      <c r="J175" s="9">
        <f>I175-Q175</f>
        <v>0</v>
      </c>
      <c r="K175" s="9">
        <f>J175-R175</f>
        <v>0</v>
      </c>
      <c r="L175" s="9">
        <f>K175-S175</f>
        <v>0</v>
      </c>
      <c r="M175" s="9">
        <f>L175-T175</f>
        <v>0</v>
      </c>
      <c r="N175" s="9"/>
      <c r="O175" s="9">
        <f t="shared" ref="O175:T175" si="43">IF(OR($C175="Annual",$D175=$E175),IF(AND($D175=$E175,O$111=$B175+$D175),$H175,IF(AND(O$111&gt;$B175+$D175,O$111&lt;=$B175+$E175), $H175/($E175-$D175),0)), IF(OR(O$111=$B175+$D175,O$111=$B175+$E175),$H175/(($E175-$D175)*2),IF(AND(O$111&gt;$B175+$D175,O$111&lt;$B175+$E175),$H175/($E175-$D175),0)))</f>
        <v>0</v>
      </c>
      <c r="P175" s="9">
        <f t="shared" si="43"/>
        <v>0</v>
      </c>
      <c r="Q175" s="9">
        <f t="shared" si="43"/>
        <v>0</v>
      </c>
      <c r="R175" s="9">
        <f t="shared" si="43"/>
        <v>0</v>
      </c>
      <c r="S175" s="9">
        <f t="shared" si="43"/>
        <v>0</v>
      </c>
      <c r="T175" s="9">
        <f t="shared" si="43"/>
        <v>0</v>
      </c>
      <c r="U175" s="9"/>
      <c r="V175" s="9">
        <f>IF($C175="annual",IF(V$111=$B175,0,G175*$F175),IF(V$111-$B175=0,0,IF((V$111-$B175)&lt;$E175,AVERAGE(G175,H175)*$F175,IF((V$111-$B175)=$E175,G175*$F175/2,0))))</f>
        <v>0</v>
      </c>
      <c r="W175" s="9">
        <f t="shared" ref="W175:AA180" si="44">IF($C175="annual",IF(W$111=$B175,0,H175*$F175),IF(W$111-$B175=0,0,IF((W$111-$B175)&lt;$E175,AVERAGE(H175,I175)*$F175,IF((W$111-$B175)=$E175,H175*$F175/2,0))))</f>
        <v>0</v>
      </c>
      <c r="X175" s="9">
        <f t="shared" si="44"/>
        <v>0</v>
      </c>
      <c r="Y175" s="9">
        <f t="shared" si="44"/>
        <v>0</v>
      </c>
      <c r="Z175" s="9">
        <f t="shared" si="44"/>
        <v>0</v>
      </c>
      <c r="AA175" s="9">
        <f t="shared" si="44"/>
        <v>0</v>
      </c>
    </row>
    <row r="176" spans="1:27">
      <c r="A176" s="8" t="str">
        <f>A175</f>
        <v>Type 6</v>
      </c>
      <c r="B176" s="7">
        <f>B175+1</f>
        <v>2019</v>
      </c>
      <c r="C176" s="7" t="str">
        <f t="shared" ref="C176:D180" si="45">C175</f>
        <v>Annual</v>
      </c>
      <c r="D176" s="7">
        <f t="shared" si="45"/>
        <v>0</v>
      </c>
      <c r="E176" s="7">
        <f>E175</f>
        <v>0</v>
      </c>
      <c r="F176" s="14">
        <f>$M$85</f>
        <v>2.0470863523532085E-2</v>
      </c>
      <c r="H176" s="9"/>
      <c r="I176" s="9">
        <f ca="1">$C$85/$C$31</f>
        <v>0</v>
      </c>
      <c r="J176" s="9">
        <f ca="1">I176-Q176</f>
        <v>0</v>
      </c>
      <c r="K176" s="9">
        <f ca="1">J176-R176</f>
        <v>0</v>
      </c>
      <c r="L176" s="9">
        <f ca="1">K176-S176</f>
        <v>0</v>
      </c>
      <c r="M176" s="9">
        <f ca="1">L176-T176</f>
        <v>0</v>
      </c>
      <c r="N176" s="9"/>
      <c r="O176" s="9"/>
      <c r="P176" s="9">
        <f ca="1">IF(OR($C176="Annual",$D176=$E176),IF(AND($D176=$E176,P$111=$B176+$D176),$I176,IF(AND(P$111&gt;$B176+$D176,P$111&lt;=$B176+$E176), $I176/($E176-$D176),0)), IF(OR(P$111=$B176+$D176,P$111=$B176+$E176),$I176/(($E176-$D176)*2),IF(AND(P$111&gt;$B176+$D176,P$111&lt;$B176+$E176),$I176/($E176-$D176),0)))</f>
        <v>0</v>
      </c>
      <c r="Q176" s="9">
        <f>IF(OR($C176="Annual",$D176=$E176),IF(AND($D176=$E176,Q$111=$B176+$D176),$I176,IF(AND(Q$111&gt;$B176+$D176,Q$111&lt;=$B176+$E176), $I176/($E176-$D176),0)), IF(OR(Q$111=$B176+$D176,Q$111=$B176+$E176),$I176/(($E176-$D176)*2),IF(AND(Q$111&gt;$B176+$D176,Q$111&lt;$B176+$E176),$I176/($E176-$D176),0)))</f>
        <v>0</v>
      </c>
      <c r="R176" s="9">
        <f>IF(OR($C176="Annual",$D176=$E176),IF(AND($D176=$E176,R$111=$B176+$D176),$I176,IF(AND(R$111&gt;$B176+$D176,R$111&lt;=$B176+$E176), $I176/($E176-$D176),0)), IF(OR(R$111=$B176+$D176,R$111=$B176+$E176),$I176/(($E176-$D176)*2),IF(AND(R$111&gt;$B176+$D176,R$111&lt;$B176+$E176),$I176/($E176-$D176),0)))</f>
        <v>0</v>
      </c>
      <c r="S176" s="9">
        <f>IF(OR($C176="Annual",$D176=$E176),IF(AND($D176=$E176,S$111=$B176+$D176),$I176,IF(AND(S$111&gt;$B176+$D176,S$111&lt;=$B176+$E176), $I176/($E176-$D176),0)), IF(OR(S$111=$B176+$D176,S$111=$B176+$E176),$I176/(($E176-$D176)*2),IF(AND(S$111&gt;$B176+$D176,S$111&lt;$B176+$E176),$I176/($E176-$D176),0)))</f>
        <v>0</v>
      </c>
      <c r="T176" s="9">
        <f>IF(OR($C176="Annual",$D176=$E176),IF(AND($D176=$E176,T$111=$B176+$D176),$I176,IF(AND(T$111&gt;$B176+$D176,T$111&lt;=$B176+$E176), $I176/($E176-$D176),0)), IF(OR(T$111=$B176+$D176,T$111=$B176+$E176),$I176/(($E176-$D176)*2),IF(AND(T$111&gt;$B176+$D176,T$111&lt;$B176+$E176),$I176/($E176-$D176),0)))</f>
        <v>0</v>
      </c>
      <c r="U176" s="9"/>
      <c r="V176" s="9"/>
      <c r="W176" s="9">
        <f t="shared" si="44"/>
        <v>0</v>
      </c>
      <c r="X176" s="9">
        <f t="shared" ca="1" si="44"/>
        <v>0</v>
      </c>
      <c r="Y176" s="9">
        <f t="shared" ca="1" si="44"/>
        <v>0</v>
      </c>
      <c r="Z176" s="9">
        <f t="shared" ca="1" si="44"/>
        <v>0</v>
      </c>
      <c r="AA176" s="9">
        <f t="shared" ca="1" si="44"/>
        <v>0</v>
      </c>
    </row>
    <row r="177" spans="1:27">
      <c r="A177" s="8" t="str">
        <f>A176</f>
        <v>Type 6</v>
      </c>
      <c r="B177" s="7">
        <f>B176+1</f>
        <v>2020</v>
      </c>
      <c r="C177" s="7" t="str">
        <f t="shared" si="45"/>
        <v>Annual</v>
      </c>
      <c r="D177" s="7">
        <f t="shared" si="45"/>
        <v>0</v>
      </c>
      <c r="E177" s="7">
        <f>E176</f>
        <v>0</v>
      </c>
      <c r="F177" s="14">
        <f>$N$85</f>
        <v>0</v>
      </c>
      <c r="H177" s="9"/>
      <c r="I177" s="9"/>
      <c r="J177" s="9">
        <f ca="1">$D$85/$D$31</f>
        <v>0</v>
      </c>
      <c r="K177" s="9">
        <f ca="1">J177-R177</f>
        <v>0</v>
      </c>
      <c r="L177" s="9">
        <f ca="1">K177-S177</f>
        <v>0</v>
      </c>
      <c r="M177" s="9">
        <f ca="1">L177-T177</f>
        <v>0</v>
      </c>
      <c r="N177" s="9"/>
      <c r="O177" s="9"/>
      <c r="P177" s="9"/>
      <c r="Q177" s="9">
        <f ca="1">IF(OR($C177="Annual",$D177=$E177),IF(AND($D177=$E177,Q$111=$B177+$D177),$J177,IF(AND(Q$111&gt;$B177+$D177,Q$111&lt;=$B177+$E177), $J177/($E177-$D177),0)), IF(OR(Q$111=$B177+$D177,Q$111=$B177+$E177),$J177/(($E177-$D177)*2),IF(AND(Q$111&gt;$B177+$D177,Q$111&lt;$B177+$E177),$J177/($E177-$D177),0)))</f>
        <v>0</v>
      </c>
      <c r="R177" s="9">
        <f>IF(OR($C177="Annual",$D177=$E177),IF(AND($D177=$E177,R$111=$B177+$D177),$J177,IF(AND(R$111&gt;$B177+$D177,R$111&lt;=$B177+$E177), $J177/($E177-$D177),0)), IF(OR(R$111=$B177+$D177,R$111=$B177+$E177),$J177/(($E177-$D177)*2),IF(AND(R$111&gt;$B177+$D177,R$111&lt;$B177+$E177),$J177/($E177-$D177),0)))</f>
        <v>0</v>
      </c>
      <c r="S177" s="9">
        <f>IF(OR($C177="Annual",$D177=$E177),IF(AND($D177=$E177,S$111=$B177+$D177),$J177,IF(AND(S$111&gt;$B177+$D177,S$111&lt;=$B177+$E177), $J177/($E177-$D177),0)), IF(OR(S$111=$B177+$D177,S$111=$B177+$E177),$J177/(($E177-$D177)*2),IF(AND(S$111&gt;$B177+$D177,S$111&lt;$B177+$E177),$J177/($E177-$D177),0)))</f>
        <v>0</v>
      </c>
      <c r="T177" s="9">
        <f>IF(OR($C177="Annual",$D177=$E177),IF(AND($D177=$E177,T$111=$B177+$D177),$J177,IF(AND(T$111&gt;$B177+$D177,T$111&lt;=$B177+$E177), $J177/($E177-$D177),0)), IF(OR(T$111=$B177+$D177,T$111=$B177+$E177),$J177/(($E177-$D177)*2),IF(AND(T$111&gt;$B177+$D177,T$111&lt;$B177+$E177),$J177/($E177-$D177),0)))</f>
        <v>0</v>
      </c>
      <c r="U177" s="9"/>
      <c r="V177" s="9"/>
      <c r="W177" s="9"/>
      <c r="X177" s="9">
        <f t="shared" si="44"/>
        <v>0</v>
      </c>
      <c r="Y177" s="9">
        <f t="shared" ca="1" si="44"/>
        <v>0</v>
      </c>
      <c r="Z177" s="9">
        <f t="shared" ca="1" si="44"/>
        <v>0</v>
      </c>
      <c r="AA177" s="9">
        <f t="shared" ca="1" si="44"/>
        <v>0</v>
      </c>
    </row>
    <row r="178" spans="1:27">
      <c r="A178" s="8" t="str">
        <f>A177</f>
        <v>Type 6</v>
      </c>
      <c r="B178" s="7">
        <f>B177+1</f>
        <v>2021</v>
      </c>
      <c r="C178" s="7" t="str">
        <f t="shared" si="45"/>
        <v>Annual</v>
      </c>
      <c r="D178" s="7">
        <f t="shared" si="45"/>
        <v>0</v>
      </c>
      <c r="E178" s="7">
        <f>E177</f>
        <v>0</v>
      </c>
      <c r="F178" s="14">
        <f>$O$85</f>
        <v>0</v>
      </c>
      <c r="H178" s="9"/>
      <c r="I178" s="9"/>
      <c r="J178" s="9"/>
      <c r="K178" s="9">
        <f ca="1">$E$85/$E$31</f>
        <v>0</v>
      </c>
      <c r="L178" s="9">
        <f ca="1">K178-S178</f>
        <v>0</v>
      </c>
      <c r="M178" s="9">
        <f ca="1">L178-T178</f>
        <v>0</v>
      </c>
      <c r="N178" s="9"/>
      <c r="O178" s="9"/>
      <c r="P178" s="9"/>
      <c r="Q178" s="9"/>
      <c r="R178" s="9">
        <f ca="1">IF(OR($C178="Annual",$D178=$E178),IF(AND($D178=$E178,R$111=$B178+$D178),$K178,IF(AND(R$111&gt;$B178+$D178,R$111&lt;=$B178+$E178), $K178/($E178-$D178),0)), IF(OR(R$111=$B178+$D178,R$111=$B178+$E178),$K178/(($E178-$D178)*2),IF(AND(R$111&gt;$B178+$D178,R$111&lt;$B178+$E178),$K178/($E178-$D178),0)))</f>
        <v>0</v>
      </c>
      <c r="S178" s="9">
        <f>IF(OR($C178="Annual",$D178=$E178),IF(AND($D178=$E178,S$111=$B178+$D178),$K178,IF(AND(S$111&gt;$B178+$D178,S$111&lt;=$B178+$E178), $K178/($E178-$D178),0)), IF(OR(S$111=$B178+$D178,S$111=$B178+$E178),$K178/(($E178-$D178)*2),IF(AND(S$111&gt;$B178+$D178,S$111&lt;$B178+$E178),$K178/($E178-$D178),0)))</f>
        <v>0</v>
      </c>
      <c r="T178" s="9">
        <f>IF(OR($C178="Annual",$D178=$E178),IF(AND($D178=$E178,T$111=$B178+$D178),$K178,IF(AND(T$111&gt;$B178+$D178,T$111&lt;=$B178+$E178), $K178/($E178-$D178),0)), IF(OR(T$111=$B178+$D178,T$111=$B178+$E178),$K178/(($E178-$D178)*2),IF(AND(T$111&gt;$B178+$D178,T$111&lt;$B178+$E178),$K178/($E178-$D178),0)))</f>
        <v>0</v>
      </c>
      <c r="U178" s="9"/>
      <c r="V178" s="9"/>
      <c r="W178" s="9"/>
      <c r="X178" s="9"/>
      <c r="Y178" s="9">
        <f t="shared" si="44"/>
        <v>0</v>
      </c>
      <c r="Z178" s="9">
        <f t="shared" ca="1" si="44"/>
        <v>0</v>
      </c>
      <c r="AA178" s="9">
        <f t="shared" ca="1" si="44"/>
        <v>0</v>
      </c>
    </row>
    <row r="179" spans="1:27">
      <c r="A179" s="8" t="str">
        <f>A178</f>
        <v>Type 6</v>
      </c>
      <c r="B179" s="7">
        <f>B178+1</f>
        <v>2022</v>
      </c>
      <c r="C179" s="7" t="str">
        <f t="shared" si="45"/>
        <v>Annual</v>
      </c>
      <c r="D179" s="7">
        <f t="shared" si="45"/>
        <v>0</v>
      </c>
      <c r="E179" s="7">
        <f>E178</f>
        <v>0</v>
      </c>
      <c r="F179" s="14">
        <f>$P$85</f>
        <v>0</v>
      </c>
      <c r="H179" s="9"/>
      <c r="I179" s="9"/>
      <c r="J179" s="9"/>
      <c r="K179" s="9"/>
      <c r="L179" s="9">
        <f ca="1">$F$85/$F$31</f>
        <v>0</v>
      </c>
      <c r="M179" s="9">
        <f ca="1">L179-T179</f>
        <v>0</v>
      </c>
      <c r="N179" s="9"/>
      <c r="O179" s="9"/>
      <c r="P179" s="9"/>
      <c r="Q179" s="9"/>
      <c r="R179" s="9"/>
      <c r="S179" s="9">
        <f ca="1">IF(OR($C179="Annual",$D179=$E179),IF(AND($D179=$E179,S$111=$B179+$D179),$L179,IF(AND(S$111&gt;$B179+$D179,S$111&lt;=$B179+$E179), $L179/($E179-$D179),0)), IF(OR(S$111=$B179+$D179,S$111=$B179+$E179),$L179/(($E179-$D179)*2),IF(AND(S$111&gt;$B179+$D179,S$111&lt;$B179+$E179),$L179/($E179-$D179),0)))</f>
        <v>0</v>
      </c>
      <c r="T179" s="9">
        <f>IF(OR($C179="Annual",$D179=$E179),IF(AND($D179=$E179,T$111=$B179+$D179),$L179,IF(AND(T$111&gt;$B179+$D179,T$111&lt;=$B179+$E179), $L179/($E179-$D179),0)), IF(OR(T$111=$B179+$D179,T$111=$B179+$E179),$L179/(($E179-$D179)*2),IF(AND(T$111&gt;$B179+$D179,T$111&lt;$B179+$E179),$L179/($E179-$D179),0)))</f>
        <v>0</v>
      </c>
      <c r="U179" s="9"/>
      <c r="V179" s="9"/>
      <c r="W179" s="9"/>
      <c r="X179" s="9"/>
      <c r="Y179" s="9"/>
      <c r="Z179" s="9">
        <f t="shared" si="44"/>
        <v>0</v>
      </c>
      <c r="AA179" s="9">
        <f t="shared" ca="1" si="44"/>
        <v>0</v>
      </c>
    </row>
    <row r="180" spans="1:27">
      <c r="A180" s="8" t="str">
        <f>A179</f>
        <v>Type 6</v>
      </c>
      <c r="B180" s="7">
        <f>B179+1</f>
        <v>2023</v>
      </c>
      <c r="C180" s="7" t="str">
        <f t="shared" si="45"/>
        <v>Annual</v>
      </c>
      <c r="D180" s="7">
        <f t="shared" si="45"/>
        <v>0</v>
      </c>
      <c r="E180" s="7">
        <f>E179</f>
        <v>0</v>
      </c>
      <c r="F180" s="14">
        <f>$Q$85</f>
        <v>0</v>
      </c>
      <c r="H180" s="9"/>
      <c r="I180" s="9"/>
      <c r="J180" s="9"/>
      <c r="K180" s="9"/>
      <c r="L180" s="9"/>
      <c r="M180" s="9">
        <f ca="1">$G$85/$G$31</f>
        <v>0</v>
      </c>
      <c r="N180" s="9"/>
      <c r="O180" s="9"/>
      <c r="P180" s="9"/>
      <c r="Q180" s="9"/>
      <c r="R180" s="9"/>
      <c r="S180" s="9"/>
      <c r="T180" s="9">
        <f ca="1">IF(OR($C180="Annual",$D180=$E180),IF(AND($D180=$E180,T$111=$B180+$D180),$M180,IF(AND(T$111&gt;$B180+$D180,T$111&lt;=$B180+$E180), $M180/($E180-$D180),0)), IF(OR(T$111=$B180+$D180,T$111=$B180+$E180),$M180/(($E180-$D180)*2),IF(AND(T$111&gt;$B180+$D180,T$111&lt;$B180+$E180),$M180/($E180-$D180),0)))</f>
        <v>0</v>
      </c>
      <c r="U180" s="9"/>
      <c r="V180" s="9"/>
      <c r="W180" s="9"/>
      <c r="X180" s="9"/>
      <c r="Y180" s="9"/>
      <c r="Z180" s="9"/>
      <c r="AA180" s="9">
        <f t="shared" si="44"/>
        <v>0</v>
      </c>
    </row>
    <row r="181" spans="1:27">
      <c r="A181" s="8"/>
      <c r="B181" s="7"/>
      <c r="C181" s="7"/>
      <c r="D181" s="7"/>
      <c r="E181" s="7"/>
      <c r="F181" s="15"/>
      <c r="H181" s="9"/>
      <c r="I181" s="9"/>
      <c r="J181" s="9"/>
      <c r="K181" s="9"/>
      <c r="L181" s="9"/>
      <c r="M181" s="9"/>
      <c r="N181" s="9"/>
      <c r="O181" s="278"/>
      <c r="P181" s="10"/>
      <c r="Q181" s="10"/>
      <c r="R181" s="10"/>
      <c r="S181" s="10"/>
      <c r="T181" s="10"/>
      <c r="U181" s="9"/>
      <c r="V181" s="10"/>
      <c r="W181" s="10"/>
      <c r="X181" s="10"/>
      <c r="Y181" s="10"/>
      <c r="Z181" s="10"/>
      <c r="AA181" s="10"/>
    </row>
    <row r="182" spans="1:27">
      <c r="A182" s="8" t="str">
        <f>'Input 4 - Forecast'!A67</f>
        <v>Type 7</v>
      </c>
      <c r="B182" s="7">
        <f>B119</f>
        <v>2018</v>
      </c>
      <c r="C182" s="7" t="str">
        <f>$I86</f>
        <v>Annual</v>
      </c>
      <c r="D182" s="7">
        <f>$J86</f>
        <v>0</v>
      </c>
      <c r="E182" s="7">
        <f>$K86</f>
        <v>0</v>
      </c>
      <c r="F182" s="14">
        <f>$L$86</f>
        <v>0</v>
      </c>
      <c r="H182" s="9">
        <f>$B$86/$B$31</f>
        <v>0</v>
      </c>
      <c r="I182" s="9">
        <f>H182-P182</f>
        <v>0</v>
      </c>
      <c r="J182" s="9">
        <f>I182-Q182</f>
        <v>0</v>
      </c>
      <c r="K182" s="9">
        <f>J182-R182</f>
        <v>0</v>
      </c>
      <c r="L182" s="9">
        <f>K182-S182</f>
        <v>0</v>
      </c>
      <c r="M182" s="9">
        <f>L182-T182</f>
        <v>0</v>
      </c>
      <c r="N182" s="9"/>
      <c r="O182" s="9">
        <f t="shared" ref="O182:T182" si="46">IF(OR($C182="Annual",$D182=$E182),IF(AND($D182=$E182,O$111=$B182+$D182),$H182,IF(AND(O$111&gt;$B182+$D182,O$111&lt;=$B182+$E182), $H182/($E182-$D182),0)), IF(OR(O$111=$B182+$D182,O$111=$B182+$E182),$H182/(($E182-$D182)*2),IF(AND(O$111&gt;$B182+$D182,O$111&lt;$B182+$E182),$H182/($E182-$D182),0)))</f>
        <v>0</v>
      </c>
      <c r="P182" s="9">
        <f t="shared" si="46"/>
        <v>0</v>
      </c>
      <c r="Q182" s="9">
        <f t="shared" si="46"/>
        <v>0</v>
      </c>
      <c r="R182" s="9">
        <f t="shared" si="46"/>
        <v>0</v>
      </c>
      <c r="S182" s="9">
        <f t="shared" si="46"/>
        <v>0</v>
      </c>
      <c r="T182" s="9">
        <f t="shared" si="46"/>
        <v>0</v>
      </c>
      <c r="U182" s="9"/>
      <c r="V182" s="9">
        <f>IF($C182="annual",IF(V$111=$B182,0,G182*$F182),IF(V$111-$B182=0,0,IF((V$111-$B182)&lt;$E182,AVERAGE(G182,H182)*$F182,IF((V$111-$B182)=$E182,G182*$F182/2,0))))</f>
        <v>0</v>
      </c>
      <c r="W182" s="9">
        <f t="shared" ref="W182:AA187" si="47">IF($C182="annual",IF(W$111=$B182,0,H182*$F182),IF(W$111-$B182=0,0,IF((W$111-$B182)&lt;$E182,AVERAGE(H182,I182)*$F182,IF((W$111-$B182)=$E182,H182*$F182/2,0))))</f>
        <v>0</v>
      </c>
      <c r="X182" s="9">
        <f t="shared" si="47"/>
        <v>0</v>
      </c>
      <c r="Y182" s="9">
        <f t="shared" si="47"/>
        <v>0</v>
      </c>
      <c r="Z182" s="9">
        <f t="shared" si="47"/>
        <v>0</v>
      </c>
      <c r="AA182" s="9">
        <f t="shared" si="47"/>
        <v>0</v>
      </c>
    </row>
    <row r="183" spans="1:27">
      <c r="A183" s="8" t="str">
        <f>A182</f>
        <v>Type 7</v>
      </c>
      <c r="B183" s="7">
        <f>B182+1</f>
        <v>2019</v>
      </c>
      <c r="C183" s="7" t="str">
        <f>C182</f>
        <v>Annual</v>
      </c>
      <c r="D183" s="7">
        <f>D182</f>
        <v>0</v>
      </c>
      <c r="E183" s="7">
        <f>E182</f>
        <v>0</v>
      </c>
      <c r="F183" s="14">
        <f>$M$86</f>
        <v>2.0470863523532085E-2</v>
      </c>
      <c r="H183" s="9"/>
      <c r="I183" s="9">
        <f ca="1">$C$86/$C$31</f>
        <v>0</v>
      </c>
      <c r="J183" s="9">
        <f ca="1">I183-Q183</f>
        <v>0</v>
      </c>
      <c r="K183" s="9">
        <f ca="1">J183-R183</f>
        <v>0</v>
      </c>
      <c r="L183" s="9">
        <f ca="1">K183-S183</f>
        <v>0</v>
      </c>
      <c r="M183" s="9">
        <f ca="1">L183-T183</f>
        <v>0</v>
      </c>
      <c r="N183" s="9"/>
      <c r="O183" s="9"/>
      <c r="P183" s="9">
        <f ca="1">IF(OR($C183="Annual",$D183=$E183),IF(AND($D183=$E183,P$111=$B183+$D183),$I183,IF(AND(P$111&gt;$B183+$D183,P$111&lt;=$B183+$E183), $I183/($E183-$D183),0)), IF(OR(P$111=$B183+$D183,P$111=$B183+$E183),$I183/(($E183-$D183)*2),IF(AND(P$111&gt;$B183+$D183,P$111&lt;$B183+$E183),$I183/($E183-$D183),0)))</f>
        <v>0</v>
      </c>
      <c r="Q183" s="9">
        <f>IF(OR($C183="Annual",$D183=$E183),IF(AND($D183=$E183,Q$111=$B183+$D183),$I183,IF(AND(Q$111&gt;$B183+$D183,Q$111&lt;=$B183+$E183), $I183/($E183-$D183),0)), IF(OR(Q$111=$B183+$D183,Q$111=$B183+$E183),$I183/(($E183-$D183)*2),IF(AND(Q$111&gt;$B183+$D183,Q$111&lt;$B183+$E183),$I183/($E183-$D183),0)))</f>
        <v>0</v>
      </c>
      <c r="R183" s="9">
        <f>IF(OR($C183="Annual",$D183=$E183),IF(AND($D183=$E183,R$111=$B183+$D183),$I183,IF(AND(R$111&gt;$B183+$D183,R$111&lt;=$B183+$E183), $I183/($E183-$D183),0)), IF(OR(R$111=$B183+$D183,R$111=$B183+$E183),$I183/(($E183-$D183)*2),IF(AND(R$111&gt;$B183+$D183,R$111&lt;$B183+$E183),$I183/($E183-$D183),0)))</f>
        <v>0</v>
      </c>
      <c r="S183" s="9">
        <f>IF(OR($C183="Annual",$D183=$E183),IF(AND($D183=$E183,S$111=$B183+$D183),$I183,IF(AND(S$111&gt;$B183+$D183,S$111&lt;=$B183+$E183), $I183/($E183-$D183),0)), IF(OR(S$111=$B183+$D183,S$111=$B183+$E183),$I183/(($E183-$D183)*2),IF(AND(S$111&gt;$B183+$D183,S$111&lt;$B183+$E183),$I183/($E183-$D183),0)))</f>
        <v>0</v>
      </c>
      <c r="T183" s="9">
        <f>IF(OR($C183="Annual",$D183=$E183),IF(AND($D183=$E183,T$111=$B183+$D183),$I183,IF(AND(T$111&gt;$B183+$D183,T$111&lt;=$B183+$E183), $I183/($E183-$D183),0)), IF(OR(T$111=$B183+$D183,T$111=$B183+$E183),$I183/(($E183-$D183)*2),IF(AND(T$111&gt;$B183+$D183,T$111&lt;$B183+$E183),$I183/($E183-$D183),0)))</f>
        <v>0</v>
      </c>
      <c r="U183" s="9"/>
      <c r="V183" s="9"/>
      <c r="W183" s="9">
        <f t="shared" si="47"/>
        <v>0</v>
      </c>
      <c r="X183" s="9">
        <f t="shared" ca="1" si="47"/>
        <v>0</v>
      </c>
      <c r="Y183" s="9">
        <f t="shared" ca="1" si="47"/>
        <v>0</v>
      </c>
      <c r="Z183" s="9">
        <f t="shared" ca="1" si="47"/>
        <v>0</v>
      </c>
      <c r="AA183" s="9">
        <f t="shared" ca="1" si="47"/>
        <v>0</v>
      </c>
    </row>
    <row r="184" spans="1:27">
      <c r="A184" s="8" t="str">
        <f>A183</f>
        <v>Type 7</v>
      </c>
      <c r="B184" s="7">
        <f>B183+1</f>
        <v>2020</v>
      </c>
      <c r="C184" s="7" t="str">
        <f t="shared" ref="C184:D187" si="48">C183</f>
        <v>Annual</v>
      </c>
      <c r="D184" s="7">
        <f t="shared" si="48"/>
        <v>0</v>
      </c>
      <c r="E184" s="7">
        <f>E183</f>
        <v>0</v>
      </c>
      <c r="F184" s="14">
        <f>$N$86</f>
        <v>0</v>
      </c>
      <c r="H184" s="9"/>
      <c r="I184" s="9"/>
      <c r="J184" s="9">
        <f ca="1">$D$86/$D$31</f>
        <v>0</v>
      </c>
      <c r="K184" s="9">
        <f ca="1">J184-R184</f>
        <v>0</v>
      </c>
      <c r="L184" s="9">
        <f ca="1">K184-S184</f>
        <v>0</v>
      </c>
      <c r="M184" s="9">
        <f ca="1">L184-T184</f>
        <v>0</v>
      </c>
      <c r="N184" s="9"/>
      <c r="O184" s="9"/>
      <c r="P184" s="9"/>
      <c r="Q184" s="9">
        <f ca="1">IF(OR($C184="Annual",$D184=$E184),IF(AND($D184=$E184,Q$111=$B184+$D184),$J184,IF(AND(Q$111&gt;$B184+$D184,Q$111&lt;=$B184+$E184), $J184/($E184-$D184),0)), IF(OR(Q$111=$B184+$D184,Q$111=$B184+$E184),$J184/(($E184-$D184)*2),IF(AND(Q$111&gt;$B184+$D184,Q$111&lt;$B184+$E184),$J184/($E184-$D184),0)))</f>
        <v>0</v>
      </c>
      <c r="R184" s="9">
        <f>IF(OR($C184="Annual",$D184=$E184),IF(AND($D184=$E184,R$111=$B184+$D184),$J184,IF(AND(R$111&gt;$B184+$D184,R$111&lt;=$B184+$E184), $J184/($E184-$D184),0)), IF(OR(R$111=$B184+$D184,R$111=$B184+$E184),$J184/(($E184-$D184)*2),IF(AND(R$111&gt;$B184+$D184,R$111&lt;$B184+$E184),$J184/($E184-$D184),0)))</f>
        <v>0</v>
      </c>
      <c r="S184" s="9">
        <f>IF(OR($C184="Annual",$D184=$E184),IF(AND($D184=$E184,S$111=$B184+$D184),$J184,IF(AND(S$111&gt;$B184+$D184,S$111&lt;=$B184+$E184), $J184/($E184-$D184),0)), IF(OR(S$111=$B184+$D184,S$111=$B184+$E184),$J184/(($E184-$D184)*2),IF(AND(S$111&gt;$B184+$D184,S$111&lt;$B184+$E184),$J184/($E184-$D184),0)))</f>
        <v>0</v>
      </c>
      <c r="T184" s="9">
        <f>IF(OR($C184="Annual",$D184=$E184),IF(AND($D184=$E184,T$111=$B184+$D184),$J184,IF(AND(T$111&gt;$B184+$D184,T$111&lt;=$B184+$E184), $J184/($E184-$D184),0)), IF(OR(T$111=$B184+$D184,T$111=$B184+$E184),$J184/(($E184-$D184)*2),IF(AND(T$111&gt;$B184+$D184,T$111&lt;$B184+$E184),$J184/($E184-$D184),0)))</f>
        <v>0</v>
      </c>
      <c r="U184" s="9"/>
      <c r="V184" s="9"/>
      <c r="W184" s="9"/>
      <c r="X184" s="9">
        <f t="shared" si="47"/>
        <v>0</v>
      </c>
      <c r="Y184" s="9">
        <f t="shared" ca="1" si="47"/>
        <v>0</v>
      </c>
      <c r="Z184" s="9">
        <f t="shared" ca="1" si="47"/>
        <v>0</v>
      </c>
      <c r="AA184" s="9">
        <f t="shared" ca="1" si="47"/>
        <v>0</v>
      </c>
    </row>
    <row r="185" spans="1:27">
      <c r="A185" s="8" t="str">
        <f>A184</f>
        <v>Type 7</v>
      </c>
      <c r="B185" s="7">
        <f>B184+1</f>
        <v>2021</v>
      </c>
      <c r="C185" s="7" t="str">
        <f t="shared" si="48"/>
        <v>Annual</v>
      </c>
      <c r="D185" s="7">
        <f t="shared" si="48"/>
        <v>0</v>
      </c>
      <c r="E185" s="7">
        <f>E184</f>
        <v>0</v>
      </c>
      <c r="F185" s="14">
        <f>$O$86</f>
        <v>0</v>
      </c>
      <c r="H185" s="9"/>
      <c r="I185" s="9"/>
      <c r="J185" s="9"/>
      <c r="K185" s="9">
        <f ca="1">$E$86/$E$31</f>
        <v>0</v>
      </c>
      <c r="L185" s="9">
        <f ca="1">K185-S185</f>
        <v>0</v>
      </c>
      <c r="M185" s="9">
        <f ca="1">L185-T185</f>
        <v>0</v>
      </c>
      <c r="N185" s="9"/>
      <c r="O185" s="9"/>
      <c r="P185" s="9"/>
      <c r="Q185" s="9"/>
      <c r="R185" s="9">
        <f ca="1">IF(OR($C185="Annual",$D185=$E185),IF(AND($D185=$E185,R$111=$B185+$D185),$K185,IF(AND(R$111&gt;$B185+$D185,R$111&lt;=$B185+$E185), $K185/($E185-$D185),0)), IF(OR(R$111=$B185+$D185,R$111=$B185+$E185),$K185/(($E185-$D185)*2),IF(AND(R$111&gt;$B185+$D185,R$111&lt;$B185+$E185),$K185/($E185-$D185),0)))</f>
        <v>0</v>
      </c>
      <c r="S185" s="9">
        <f>IF(OR($C185="Annual",$D185=$E185),IF(AND($D185=$E185,S$111=$B185+$D185),$K185,IF(AND(S$111&gt;$B185+$D185,S$111&lt;=$B185+$E185), $K185/($E185-$D185),0)), IF(OR(S$111=$B185+$D185,S$111=$B185+$E185),$K185/(($E185-$D185)*2),IF(AND(S$111&gt;$B185+$D185,S$111&lt;$B185+$E185),$K185/($E185-$D185),0)))</f>
        <v>0</v>
      </c>
      <c r="T185" s="9">
        <f>IF(OR($C185="Annual",$D185=$E185),IF(AND($D185=$E185,T$111=$B185+$D185),$K185,IF(AND(T$111&gt;$B185+$D185,T$111&lt;=$B185+$E185), $K185/($E185-$D185),0)), IF(OR(T$111=$B185+$D185,T$111=$B185+$E185),$K185/(($E185-$D185)*2),IF(AND(T$111&gt;$B185+$D185,T$111&lt;$B185+$E185),$K185/($E185-$D185),0)))</f>
        <v>0</v>
      </c>
      <c r="U185" s="9"/>
      <c r="V185" s="9"/>
      <c r="W185" s="9"/>
      <c r="X185" s="9"/>
      <c r="Y185" s="9">
        <f t="shared" si="47"/>
        <v>0</v>
      </c>
      <c r="Z185" s="9">
        <f t="shared" ca="1" si="47"/>
        <v>0</v>
      </c>
      <c r="AA185" s="9">
        <f t="shared" ca="1" si="47"/>
        <v>0</v>
      </c>
    </row>
    <row r="186" spans="1:27">
      <c r="A186" s="8" t="str">
        <f>A185</f>
        <v>Type 7</v>
      </c>
      <c r="B186" s="7">
        <f>B185+1</f>
        <v>2022</v>
      </c>
      <c r="C186" s="7" t="str">
        <f t="shared" si="48"/>
        <v>Annual</v>
      </c>
      <c r="D186" s="7">
        <f t="shared" si="48"/>
        <v>0</v>
      </c>
      <c r="E186" s="7">
        <f>E185</f>
        <v>0</v>
      </c>
      <c r="F186" s="14">
        <f>$P$86</f>
        <v>0</v>
      </c>
      <c r="H186" s="9"/>
      <c r="I186" s="9"/>
      <c r="J186" s="9"/>
      <c r="K186" s="9"/>
      <c r="L186" s="9">
        <f ca="1">$F$86/$F$31</f>
        <v>0</v>
      </c>
      <c r="M186" s="9">
        <f ca="1">L186-T186</f>
        <v>0</v>
      </c>
      <c r="N186" s="9"/>
      <c r="O186" s="9"/>
      <c r="P186" s="9"/>
      <c r="Q186" s="9"/>
      <c r="R186" s="9"/>
      <c r="S186" s="9">
        <f ca="1">IF(OR($C186="Annual",$D186=$E186),IF(AND($D186=$E186,S$111=$B186+$D186),$L186,IF(AND(S$111&gt;$B186+$D186,S$111&lt;=$B186+$E186), $L186/($E186-$D186),0)), IF(OR(S$111=$B186+$D186,S$111=$B186+$E186),$L186/(($E186-$D186)*2),IF(AND(S$111&gt;$B186+$D186,S$111&lt;$B186+$E186),$L186/($E186-$D186),0)))</f>
        <v>0</v>
      </c>
      <c r="T186" s="9">
        <f>IF(OR($C186="Annual",$D186=$E186),IF(AND($D186=$E186,T$111=$B186+$D186),$L186,IF(AND(T$111&gt;$B186+$D186,T$111&lt;=$B186+$E186), $L186/($E186-$D186),0)), IF(OR(T$111=$B186+$D186,T$111=$B186+$E186),$L186/(($E186-$D186)*2),IF(AND(T$111&gt;$B186+$D186,T$111&lt;$B186+$E186),$L186/($E186-$D186),0)))</f>
        <v>0</v>
      </c>
      <c r="U186" s="9"/>
      <c r="V186" s="9"/>
      <c r="W186" s="9"/>
      <c r="X186" s="9"/>
      <c r="Y186" s="9"/>
      <c r="Z186" s="9">
        <f t="shared" si="47"/>
        <v>0</v>
      </c>
      <c r="AA186" s="9">
        <f t="shared" ca="1" si="47"/>
        <v>0</v>
      </c>
    </row>
    <row r="187" spans="1:27">
      <c r="A187" s="8" t="str">
        <f>A186</f>
        <v>Type 7</v>
      </c>
      <c r="B187" s="7">
        <f>B186+1</f>
        <v>2023</v>
      </c>
      <c r="C187" s="7" t="str">
        <f t="shared" si="48"/>
        <v>Annual</v>
      </c>
      <c r="D187" s="7">
        <f t="shared" si="48"/>
        <v>0</v>
      </c>
      <c r="E187" s="7">
        <f>E186</f>
        <v>0</v>
      </c>
      <c r="F187" s="14">
        <f>$Q$86</f>
        <v>0</v>
      </c>
      <c r="H187" s="9"/>
      <c r="I187" s="9"/>
      <c r="J187" s="9"/>
      <c r="K187" s="9"/>
      <c r="L187" s="9"/>
      <c r="M187" s="9">
        <f ca="1">$G$86/$G$31</f>
        <v>0</v>
      </c>
      <c r="N187" s="9"/>
      <c r="O187" s="9"/>
      <c r="P187" s="9"/>
      <c r="Q187" s="9"/>
      <c r="R187" s="9"/>
      <c r="S187" s="9"/>
      <c r="T187" s="9">
        <f ca="1">IF(OR($C187="Annual",$D187=$E187),IF(AND($D187=$E187,T$111=$B187+$D187),$M187,IF(AND(T$111&gt;$B187+$D187,T$111&lt;=$B187+$E187), $M187/($E187-$D187),0)), IF(OR(T$111=$B187+$D187,T$111=$B187+$E187),$M187/(($E187-$D187)*2),IF(AND(T$111&gt;$B187+$D187,T$111&lt;$B187+$E187),$M187/($E187-$D187),0)))</f>
        <v>0</v>
      </c>
      <c r="U187" s="9"/>
      <c r="V187" s="9"/>
      <c r="W187" s="9"/>
      <c r="X187" s="9"/>
      <c r="Y187" s="9"/>
      <c r="Z187" s="9"/>
      <c r="AA187" s="9">
        <f t="shared" si="47"/>
        <v>0</v>
      </c>
    </row>
    <row r="188" spans="1:27">
      <c r="A188" s="8"/>
      <c r="B188" s="7"/>
      <c r="C188" s="7"/>
      <c r="D188" s="7"/>
      <c r="E188" s="7"/>
      <c r="F188" s="15"/>
      <c r="H188" s="9"/>
      <c r="I188" s="9"/>
      <c r="J188" s="9"/>
      <c r="K188" s="9"/>
      <c r="L188" s="9"/>
      <c r="M188" s="9"/>
      <c r="N188" s="9"/>
      <c r="O188" s="278"/>
      <c r="P188" s="10"/>
      <c r="Q188" s="10"/>
      <c r="R188" s="10"/>
      <c r="S188" s="10"/>
      <c r="T188" s="10"/>
      <c r="U188" s="9"/>
      <c r="V188" s="10"/>
      <c r="W188" s="10"/>
      <c r="X188" s="10"/>
      <c r="Y188" s="10"/>
      <c r="Z188" s="10"/>
      <c r="AA188" s="10"/>
    </row>
    <row r="189" spans="1:27">
      <c r="A189" s="8" t="str">
        <f>'Input 4 - Forecast'!A68</f>
        <v>Type 8</v>
      </c>
      <c r="B189" s="7">
        <f>B119</f>
        <v>2018</v>
      </c>
      <c r="C189" s="7" t="str">
        <f>$I87</f>
        <v>Annual</v>
      </c>
      <c r="D189" s="7">
        <f>$J87</f>
        <v>0</v>
      </c>
      <c r="E189" s="7">
        <f>$K87</f>
        <v>0</v>
      </c>
      <c r="F189" s="14">
        <f>$L$87</f>
        <v>0</v>
      </c>
      <c r="H189" s="9">
        <f>$B$87/$B$31</f>
        <v>0</v>
      </c>
      <c r="I189" s="9">
        <f>H189-P189</f>
        <v>0</v>
      </c>
      <c r="J189" s="9">
        <f>I189-Q189</f>
        <v>0</v>
      </c>
      <c r="K189" s="9">
        <f>J189-R189</f>
        <v>0</v>
      </c>
      <c r="L189" s="9">
        <f>K189-S189</f>
        <v>0</v>
      </c>
      <c r="M189" s="9">
        <f>L189-T189</f>
        <v>0</v>
      </c>
      <c r="N189" s="9"/>
      <c r="O189" s="9">
        <f t="shared" ref="O189:T189" si="49">IF(OR($C189="Annual",$D189=$E189),IF(AND($D189=$E189,O$111=$B189+$D189),$H189,IF(AND(O$111&gt;$B189+$D189,O$111&lt;=$B189+$E189), $H189/($E189-$D189),0)), IF(OR(O$111=$B189+$D189,O$111=$B189+$E189),$H189/(($E189-$D189)*2),IF(AND(O$111&gt;$B189+$D189,O$111&lt;$B189+$E189),$H189/($E189-$D189),0)))</f>
        <v>0</v>
      </c>
      <c r="P189" s="9">
        <f t="shared" si="49"/>
        <v>0</v>
      </c>
      <c r="Q189" s="9">
        <f t="shared" si="49"/>
        <v>0</v>
      </c>
      <c r="R189" s="9">
        <f t="shared" si="49"/>
        <v>0</v>
      </c>
      <c r="S189" s="9">
        <f t="shared" si="49"/>
        <v>0</v>
      </c>
      <c r="T189" s="9">
        <f t="shared" si="49"/>
        <v>0</v>
      </c>
      <c r="U189" s="9"/>
      <c r="V189" s="9">
        <f>IF($C189="annual",IF(V$111=$B189,0,G189*$F189),IF(V$111-$B189=0,0,IF((V$111-$B189)&lt;$E189,AVERAGE(G189,H189)*$F189,IF((V$111-$B189)=$E189,G189*$F189/2,0))))</f>
        <v>0</v>
      </c>
      <c r="W189" s="9">
        <f t="shared" ref="W189:AA194" si="50">IF($C189="annual",IF(W$111=$B189,0,H189*$F189),IF(W$111-$B189=0,0,IF((W$111-$B189)&lt;$E189,AVERAGE(H189,I189)*$F189,IF((W$111-$B189)=$E189,H189*$F189/2,0))))</f>
        <v>0</v>
      </c>
      <c r="X189" s="9">
        <f t="shared" si="50"/>
        <v>0</v>
      </c>
      <c r="Y189" s="9">
        <f t="shared" si="50"/>
        <v>0</v>
      </c>
      <c r="Z189" s="9">
        <f t="shared" si="50"/>
        <v>0</v>
      </c>
      <c r="AA189" s="9">
        <f t="shared" si="50"/>
        <v>0</v>
      </c>
    </row>
    <row r="190" spans="1:27">
      <c r="A190" s="8" t="str">
        <f>A189</f>
        <v>Type 8</v>
      </c>
      <c r="B190" s="7">
        <f>B189+1</f>
        <v>2019</v>
      </c>
      <c r="C190" s="7" t="str">
        <f t="shared" ref="C190:D194" si="51">C189</f>
        <v>Annual</v>
      </c>
      <c r="D190" s="7">
        <f t="shared" si="51"/>
        <v>0</v>
      </c>
      <c r="E190" s="7">
        <f>E189</f>
        <v>0</v>
      </c>
      <c r="F190" s="14">
        <f>$M$87</f>
        <v>2.0470863523532085E-2</v>
      </c>
      <c r="H190" s="9"/>
      <c r="I190" s="9">
        <f ca="1">$C$87/$C$31</f>
        <v>0</v>
      </c>
      <c r="J190" s="9">
        <f ca="1">I190-Q190</f>
        <v>0</v>
      </c>
      <c r="K190" s="9">
        <f ca="1">J190-R190</f>
        <v>0</v>
      </c>
      <c r="L190" s="9">
        <f ca="1">K190-S190</f>
        <v>0</v>
      </c>
      <c r="M190" s="9">
        <f ca="1">L190-T190</f>
        <v>0</v>
      </c>
      <c r="N190" s="9"/>
      <c r="O190" s="9"/>
      <c r="P190" s="9">
        <f ca="1">IF(OR($C190="Annual",$D190=$E190),IF(AND($D190=$E190,P$111=$B190+$D190),$I190,IF(AND(P$111&gt;$B190+$D190,P$111&lt;=$B190+$E190), $I190/($E190-$D190),0)), IF(OR(P$111=$B190+$D190,P$111=$B190+$E190),$I190/(($E190-$D190)*2),IF(AND(P$111&gt;$B190+$D190,P$111&lt;$B190+$E190),$I190/($E190-$D190),0)))</f>
        <v>0</v>
      </c>
      <c r="Q190" s="9">
        <f>IF(OR($C190="Annual",$D190=$E190),IF(AND($D190=$E190,Q$111=$B190+$D190),$I190,IF(AND(Q$111&gt;$B190+$D190,Q$111&lt;=$B190+$E190), $I190/($E190-$D190),0)), IF(OR(Q$111=$B190+$D190,Q$111=$B190+$E190),$I190/(($E190-$D190)*2),IF(AND(Q$111&gt;$B190+$D190,Q$111&lt;$B190+$E190),$I190/($E190-$D190),0)))</f>
        <v>0</v>
      </c>
      <c r="R190" s="9">
        <f>IF(OR($C190="Annual",$D190=$E190),IF(AND($D190=$E190,R$111=$B190+$D190),$I190,IF(AND(R$111&gt;$B190+$D190,R$111&lt;=$B190+$E190), $I190/($E190-$D190),0)), IF(OR(R$111=$B190+$D190,R$111=$B190+$E190),$I190/(($E190-$D190)*2),IF(AND(R$111&gt;$B190+$D190,R$111&lt;$B190+$E190),$I190/($E190-$D190),0)))</f>
        <v>0</v>
      </c>
      <c r="S190" s="9">
        <f>IF(OR($C190="Annual",$D190=$E190),IF(AND($D190=$E190,S$111=$B190+$D190),$I190,IF(AND(S$111&gt;$B190+$D190,S$111&lt;=$B190+$E190), $I190/($E190-$D190),0)), IF(OR(S$111=$B190+$D190,S$111=$B190+$E190),$I190/(($E190-$D190)*2),IF(AND(S$111&gt;$B190+$D190,S$111&lt;$B190+$E190),$I190/($E190-$D190),0)))</f>
        <v>0</v>
      </c>
      <c r="T190" s="9">
        <f>IF(OR($C190="Annual",$D190=$E190),IF(AND($D190=$E190,T$111=$B190+$D190),$I190,IF(AND(T$111&gt;$B190+$D190,T$111&lt;=$B190+$E190), $I190/($E190-$D190),0)), IF(OR(T$111=$B190+$D190,T$111=$B190+$E190),$I190/(($E190-$D190)*2),IF(AND(T$111&gt;$B190+$D190,T$111&lt;$B190+$E190),$I190/($E190-$D190),0)))</f>
        <v>0</v>
      </c>
      <c r="U190" s="9"/>
      <c r="V190" s="9"/>
      <c r="W190" s="9">
        <f t="shared" si="50"/>
        <v>0</v>
      </c>
      <c r="X190" s="9">
        <f t="shared" ca="1" si="50"/>
        <v>0</v>
      </c>
      <c r="Y190" s="9">
        <f t="shared" ca="1" si="50"/>
        <v>0</v>
      </c>
      <c r="Z190" s="9">
        <f t="shared" ca="1" si="50"/>
        <v>0</v>
      </c>
      <c r="AA190" s="9">
        <f t="shared" ca="1" si="50"/>
        <v>0</v>
      </c>
    </row>
    <row r="191" spans="1:27">
      <c r="A191" s="8" t="str">
        <f>A190</f>
        <v>Type 8</v>
      </c>
      <c r="B191" s="7">
        <f>B190+1</f>
        <v>2020</v>
      </c>
      <c r="C191" s="7" t="str">
        <f t="shared" si="51"/>
        <v>Annual</v>
      </c>
      <c r="D191" s="7">
        <f t="shared" si="51"/>
        <v>0</v>
      </c>
      <c r="E191" s="7">
        <f>E190</f>
        <v>0</v>
      </c>
      <c r="F191" s="14">
        <f>$N$87</f>
        <v>0</v>
      </c>
      <c r="H191" s="9"/>
      <c r="I191" s="9"/>
      <c r="J191" s="9">
        <f ca="1">$D$87/$D$31</f>
        <v>0</v>
      </c>
      <c r="K191" s="9">
        <f ca="1">J191-R191</f>
        <v>0</v>
      </c>
      <c r="L191" s="9">
        <f ca="1">K191-S191</f>
        <v>0</v>
      </c>
      <c r="M191" s="9">
        <f ca="1">L191-T191</f>
        <v>0</v>
      </c>
      <c r="N191" s="9"/>
      <c r="O191" s="9"/>
      <c r="P191" s="9"/>
      <c r="Q191" s="9">
        <f ca="1">IF(OR($C191="Annual",$D191=$E191),IF(AND($D191=$E191,Q$111=$B191+$D191),$J191,IF(AND(Q$111&gt;$B191+$D191,Q$111&lt;=$B191+$E191), $J191/($E191-$D191),0)), IF(OR(Q$111=$B191+$D191,Q$111=$B191+$E191),$J191/(($E191-$D191)*2),IF(AND(Q$111&gt;$B191+$D191,Q$111&lt;$B191+$E191),$J191/($E191-$D191),0)))</f>
        <v>0</v>
      </c>
      <c r="R191" s="9">
        <f>IF(OR($C191="Annual",$D191=$E191),IF(AND($D191=$E191,R$111=$B191+$D191),$J191,IF(AND(R$111&gt;$B191+$D191,R$111&lt;=$B191+$E191), $J191/($E191-$D191),0)), IF(OR(R$111=$B191+$D191,R$111=$B191+$E191),$J191/(($E191-$D191)*2),IF(AND(R$111&gt;$B191+$D191,R$111&lt;$B191+$E191),$J191/($E191-$D191),0)))</f>
        <v>0</v>
      </c>
      <c r="S191" s="9">
        <f>IF(OR($C191="Annual",$D191=$E191),IF(AND($D191=$E191,S$111=$B191+$D191),$J191,IF(AND(S$111&gt;$B191+$D191,S$111&lt;=$B191+$E191), $J191/($E191-$D191),0)), IF(OR(S$111=$B191+$D191,S$111=$B191+$E191),$J191/(($E191-$D191)*2),IF(AND(S$111&gt;$B191+$D191,S$111&lt;$B191+$E191),$J191/($E191-$D191),0)))</f>
        <v>0</v>
      </c>
      <c r="T191" s="9">
        <f>IF(OR($C191="Annual",$D191=$E191),IF(AND($D191=$E191,T$111=$B191+$D191),$J191,IF(AND(T$111&gt;$B191+$D191,T$111&lt;=$B191+$E191), $J191/($E191-$D191),0)), IF(OR(T$111=$B191+$D191,T$111=$B191+$E191),$J191/(($E191-$D191)*2),IF(AND(T$111&gt;$B191+$D191,T$111&lt;$B191+$E191),$J191/($E191-$D191),0)))</f>
        <v>0</v>
      </c>
      <c r="U191" s="9"/>
      <c r="V191" s="9"/>
      <c r="W191" s="9"/>
      <c r="X191" s="9">
        <f t="shared" si="50"/>
        <v>0</v>
      </c>
      <c r="Y191" s="9">
        <f t="shared" ca="1" si="50"/>
        <v>0</v>
      </c>
      <c r="Z191" s="9">
        <f t="shared" ca="1" si="50"/>
        <v>0</v>
      </c>
      <c r="AA191" s="9">
        <f t="shared" ca="1" si="50"/>
        <v>0</v>
      </c>
    </row>
    <row r="192" spans="1:27">
      <c r="A192" s="8" t="str">
        <f>A191</f>
        <v>Type 8</v>
      </c>
      <c r="B192" s="7">
        <f>B191+1</f>
        <v>2021</v>
      </c>
      <c r="C192" s="7" t="str">
        <f t="shared" si="51"/>
        <v>Annual</v>
      </c>
      <c r="D192" s="7">
        <f t="shared" si="51"/>
        <v>0</v>
      </c>
      <c r="E192" s="7">
        <f>E191</f>
        <v>0</v>
      </c>
      <c r="F192" s="14">
        <f>$O$87</f>
        <v>0</v>
      </c>
      <c r="H192" s="9"/>
      <c r="I192" s="9"/>
      <c r="J192" s="9"/>
      <c r="K192" s="9">
        <f ca="1">$E$87/$E$31</f>
        <v>0</v>
      </c>
      <c r="L192" s="9">
        <f ca="1">K192-S192</f>
        <v>0</v>
      </c>
      <c r="M192" s="9">
        <f ca="1">L192-T192</f>
        <v>0</v>
      </c>
      <c r="N192" s="9"/>
      <c r="O192" s="9"/>
      <c r="P192" s="9"/>
      <c r="Q192" s="9"/>
      <c r="R192" s="9">
        <f ca="1">IF(OR($C192="Annual",$D192=$E192),IF(AND($D192=$E192,R$111=$B192+$D192),$K192,IF(AND(R$111&gt;$B192+$D192,R$111&lt;=$B192+$E192), $K192/($E192-$D192),0)), IF(OR(R$111=$B192+$D192,R$111=$B192+$E192),$K192/(($E192-$D192)*2),IF(AND(R$111&gt;$B192+$D192,R$111&lt;$B192+$E192),$K192/($E192-$D192),0)))</f>
        <v>0</v>
      </c>
      <c r="S192" s="9">
        <f>IF(OR($C192="Annual",$D192=$E192),IF(AND($D192=$E192,S$111=$B192+$D192),$K192,IF(AND(S$111&gt;$B192+$D192,S$111&lt;=$B192+$E192), $K192/($E192-$D192),0)), IF(OR(S$111=$B192+$D192,S$111=$B192+$E192),$K192/(($E192-$D192)*2),IF(AND(S$111&gt;$B192+$D192,S$111&lt;$B192+$E192),$K192/($E192-$D192),0)))</f>
        <v>0</v>
      </c>
      <c r="T192" s="9">
        <f>IF(OR($C192="Annual",$D192=$E192),IF(AND($D192=$E192,T$111=$B192+$D192),$K192,IF(AND(T$111&gt;$B192+$D192,T$111&lt;=$B192+$E192), $K192/($E192-$D192),0)), IF(OR(T$111=$B192+$D192,T$111=$B192+$E192),$K192/(($E192-$D192)*2),IF(AND(T$111&gt;$B192+$D192,T$111&lt;$B192+$E192),$K192/($E192-$D192),0)))</f>
        <v>0</v>
      </c>
      <c r="U192" s="9"/>
      <c r="V192" s="9"/>
      <c r="W192" s="9"/>
      <c r="X192" s="9"/>
      <c r="Y192" s="9">
        <f t="shared" si="50"/>
        <v>0</v>
      </c>
      <c r="Z192" s="9">
        <f t="shared" ca="1" si="50"/>
        <v>0</v>
      </c>
      <c r="AA192" s="9">
        <f t="shared" ca="1" si="50"/>
        <v>0</v>
      </c>
    </row>
    <row r="193" spans="1:27">
      <c r="A193" s="8" t="str">
        <f>A192</f>
        <v>Type 8</v>
      </c>
      <c r="B193" s="7">
        <f>B192+1</f>
        <v>2022</v>
      </c>
      <c r="C193" s="7" t="str">
        <f t="shared" si="51"/>
        <v>Annual</v>
      </c>
      <c r="D193" s="7">
        <f t="shared" si="51"/>
        <v>0</v>
      </c>
      <c r="E193" s="7">
        <f>E192</f>
        <v>0</v>
      </c>
      <c r="F193" s="14">
        <f>$P$87</f>
        <v>0</v>
      </c>
      <c r="H193" s="9"/>
      <c r="I193" s="9"/>
      <c r="J193" s="9"/>
      <c r="K193" s="9"/>
      <c r="L193" s="9">
        <f ca="1">$F$87/$F$31</f>
        <v>0</v>
      </c>
      <c r="M193" s="9">
        <f ca="1">L193-T193</f>
        <v>0</v>
      </c>
      <c r="N193" s="9"/>
      <c r="O193" s="9"/>
      <c r="P193" s="9"/>
      <c r="Q193" s="9"/>
      <c r="R193" s="9"/>
      <c r="S193" s="9">
        <f ca="1">IF(OR($C193="Annual",$D193=$E193),IF(AND($D193=$E193,S$111=$B193+$D193),$L193,IF(AND(S$111&gt;$B193+$D193,S$111&lt;=$B193+$E193), $L193/($E193-$D193),0)), IF(OR(S$111=$B193+$D193,S$111=$B193+$E193),$L193/(($E193-$D193)*2),IF(AND(S$111&gt;$B193+$D193,S$111&lt;$B193+$E193),$L193/($E193-$D193),0)))</f>
        <v>0</v>
      </c>
      <c r="T193" s="9">
        <f>IF(OR($C193="Annual",$D193=$E193),IF(AND($D193=$E193,T$111=$B193+$D193),$L193,IF(AND(T$111&gt;$B193+$D193,T$111&lt;=$B193+$E193), $L193/($E193-$D193),0)), IF(OR(T$111=$B193+$D193,T$111=$B193+$E193),$L193/(($E193-$D193)*2),IF(AND(T$111&gt;$B193+$D193,T$111&lt;$B193+$E193),$L193/($E193-$D193),0)))</f>
        <v>0</v>
      </c>
      <c r="U193" s="9"/>
      <c r="V193" s="9"/>
      <c r="W193" s="9"/>
      <c r="X193" s="9"/>
      <c r="Y193" s="9"/>
      <c r="Z193" s="9">
        <f t="shared" si="50"/>
        <v>0</v>
      </c>
      <c r="AA193" s="9">
        <f t="shared" ca="1" si="50"/>
        <v>0</v>
      </c>
    </row>
    <row r="194" spans="1:27">
      <c r="A194" s="8" t="str">
        <f>A193</f>
        <v>Type 8</v>
      </c>
      <c r="B194" s="7">
        <f>B193+1</f>
        <v>2023</v>
      </c>
      <c r="C194" s="7" t="str">
        <f t="shared" si="51"/>
        <v>Annual</v>
      </c>
      <c r="D194" s="7">
        <f t="shared" si="51"/>
        <v>0</v>
      </c>
      <c r="E194" s="7">
        <f>E193</f>
        <v>0</v>
      </c>
      <c r="F194" s="14">
        <f>$Q$87</f>
        <v>0</v>
      </c>
      <c r="H194" s="9"/>
      <c r="I194" s="9"/>
      <c r="J194" s="9"/>
      <c r="K194" s="9"/>
      <c r="L194" s="9"/>
      <c r="M194" s="9">
        <f ca="1">$G$87/$G$31</f>
        <v>0</v>
      </c>
      <c r="N194" s="9"/>
      <c r="O194" s="9"/>
      <c r="P194" s="9"/>
      <c r="Q194" s="9"/>
      <c r="R194" s="9"/>
      <c r="S194" s="9"/>
      <c r="T194" s="9">
        <f ca="1">IF(OR($C194="Annual",$D194=$E194),IF(AND($D194=$E194,T$111=$B194+$D194),$M194,IF(AND(T$111&gt;$B194+$D194,T$111&lt;=$B194+$E194), $M194/($E194-$D194),0)), IF(OR(T$111=$B194+$D194,T$111=$B194+$E194),$M194/(($E194-$D194)*2),IF(AND(T$111&gt;$B194+$D194,T$111&lt;$B194+$E194),$M194/($E194-$D194),0)))</f>
        <v>0</v>
      </c>
      <c r="U194" s="9"/>
      <c r="V194" s="9"/>
      <c r="W194" s="9"/>
      <c r="X194" s="9"/>
      <c r="Y194" s="9"/>
      <c r="Z194" s="9"/>
      <c r="AA194" s="9">
        <f t="shared" si="50"/>
        <v>0</v>
      </c>
    </row>
    <row r="195" spans="1:27">
      <c r="A195" s="8"/>
      <c r="B195" s="7"/>
      <c r="C195" s="7"/>
      <c r="D195" s="7"/>
      <c r="E195" s="7"/>
      <c r="F195" s="15"/>
      <c r="H195" s="9"/>
      <c r="I195" s="9"/>
      <c r="J195" s="9"/>
      <c r="K195" s="9"/>
      <c r="L195" s="9"/>
      <c r="M195" s="9"/>
      <c r="N195" s="9"/>
      <c r="O195" s="278"/>
      <c r="P195" s="10"/>
      <c r="Q195" s="10"/>
      <c r="R195" s="10"/>
      <c r="S195" s="10"/>
      <c r="T195" s="10"/>
      <c r="U195" s="9"/>
      <c r="V195" s="10"/>
      <c r="W195" s="10"/>
      <c r="X195" s="10"/>
      <c r="Y195" s="10"/>
      <c r="Z195" s="10"/>
      <c r="AA195" s="10"/>
    </row>
    <row r="196" spans="1:27">
      <c r="A196" s="8" t="str">
        <f>'Input 4 - Forecast'!A69</f>
        <v>Type 9</v>
      </c>
      <c r="B196" s="7">
        <f>B119</f>
        <v>2018</v>
      </c>
      <c r="C196" s="7" t="str">
        <f>$I88</f>
        <v>Annual</v>
      </c>
      <c r="D196" s="7">
        <f>$J88</f>
        <v>0</v>
      </c>
      <c r="E196" s="7">
        <f>$K88</f>
        <v>0</v>
      </c>
      <c r="F196" s="14">
        <f>$L$88</f>
        <v>0</v>
      </c>
      <c r="H196" s="9">
        <f>$B$88/$B$31</f>
        <v>0</v>
      </c>
      <c r="I196" s="9">
        <f>H196-P196</f>
        <v>0</v>
      </c>
      <c r="J196" s="9">
        <f>I196-Q196</f>
        <v>0</v>
      </c>
      <c r="K196" s="9">
        <f>J196-R196</f>
        <v>0</v>
      </c>
      <c r="L196" s="9">
        <f>K196-S196</f>
        <v>0</v>
      </c>
      <c r="M196" s="9">
        <f>L196-T196</f>
        <v>0</v>
      </c>
      <c r="N196" s="9"/>
      <c r="O196" s="9">
        <f t="shared" ref="O196:T196" si="52">IF(OR($C196="Annual",$D196=$E196),IF(AND($D196=$E196,O$111=$B196+$D196),$H196,IF(AND(O$111&gt;$B196+$D196,O$111&lt;=$B196+$E196), $H196/($E196-$D196),0)), IF(OR(O$111=$B196+$D196,O$111=$B196+$E196),$H196/(($E196-$D196)*2),IF(AND(O$111&gt;$B196+$D196,O$111&lt;$B196+$E196),$H196/($E196-$D196),0)))</f>
        <v>0</v>
      </c>
      <c r="P196" s="9">
        <f t="shared" si="52"/>
        <v>0</v>
      </c>
      <c r="Q196" s="9">
        <f t="shared" si="52"/>
        <v>0</v>
      </c>
      <c r="R196" s="9">
        <f t="shared" si="52"/>
        <v>0</v>
      </c>
      <c r="S196" s="9">
        <f t="shared" si="52"/>
        <v>0</v>
      </c>
      <c r="T196" s="9">
        <f t="shared" si="52"/>
        <v>0</v>
      </c>
      <c r="U196" s="9"/>
      <c r="V196" s="9">
        <f>IF($C196="annual",IF(V$111=$B196,0,G196*$F196),IF(V$111-$B196=0,0,IF((V$111-$B196)&lt;$E196,AVERAGE(G196,H196)*$F196,IF((V$111-$B196)=$E196,G196*$F196/2,0))))</f>
        <v>0</v>
      </c>
      <c r="W196" s="9">
        <f t="shared" ref="W196:AA201" si="53">IF($C196="annual",IF(W$111=$B196,0,H196*$F196),IF(W$111-$B196=0,0,IF((W$111-$B196)&lt;$E196,AVERAGE(H196,I196)*$F196,IF((W$111-$B196)=$E196,H196*$F196/2,0))))</f>
        <v>0</v>
      </c>
      <c r="X196" s="9">
        <f t="shared" si="53"/>
        <v>0</v>
      </c>
      <c r="Y196" s="9">
        <f t="shared" si="53"/>
        <v>0</v>
      </c>
      <c r="Z196" s="9">
        <f t="shared" si="53"/>
        <v>0</v>
      </c>
      <c r="AA196" s="9">
        <f t="shared" si="53"/>
        <v>0</v>
      </c>
    </row>
    <row r="197" spans="1:27">
      <c r="A197" s="8" t="str">
        <f>A196</f>
        <v>Type 9</v>
      </c>
      <c r="B197" s="7">
        <f>B196+1</f>
        <v>2019</v>
      </c>
      <c r="C197" s="7" t="str">
        <f t="shared" ref="C197:D201" si="54">C196</f>
        <v>Annual</v>
      </c>
      <c r="D197" s="7">
        <f t="shared" si="54"/>
        <v>0</v>
      </c>
      <c r="E197" s="7">
        <f>E196</f>
        <v>0</v>
      </c>
      <c r="F197" s="14">
        <f>$M$88</f>
        <v>2.0470863523532085E-2</v>
      </c>
      <c r="H197" s="9"/>
      <c r="I197" s="9">
        <f ca="1">$C$88/$C$31</f>
        <v>0</v>
      </c>
      <c r="J197" s="9">
        <f ca="1">I197-Q197</f>
        <v>0</v>
      </c>
      <c r="K197" s="9">
        <f ca="1">J197-R197</f>
        <v>0</v>
      </c>
      <c r="L197" s="9">
        <f ca="1">K197-S197</f>
        <v>0</v>
      </c>
      <c r="M197" s="9">
        <f ca="1">L197-T197</f>
        <v>0</v>
      </c>
      <c r="N197" s="9"/>
      <c r="O197" s="9"/>
      <c r="P197" s="9">
        <f ca="1">IF(OR($C197="Annual",$D197=$E197),IF(AND($D197=$E197,P$111=$B197+$D197),$I197,IF(AND(P$111&gt;$B197+$D197,P$111&lt;=$B197+$E197), $I197/($E197-$D197),0)), IF(OR(P$111=$B197+$D197,P$111=$B197+$E197),$I197/(($E197-$D197)*2),IF(AND(P$111&gt;$B197+$D197,P$111&lt;$B197+$E197),$I197/($E197-$D197),0)))</f>
        <v>0</v>
      </c>
      <c r="Q197" s="9">
        <f>IF(OR($C197="Annual",$D197=$E197),IF(AND($D197=$E197,Q$111=$B197+$D197),$I197,IF(AND(Q$111&gt;$B197+$D197,Q$111&lt;=$B197+$E197), $I197/($E197-$D197),0)), IF(OR(Q$111=$B197+$D197,Q$111=$B197+$E197),$I197/(($E197-$D197)*2),IF(AND(Q$111&gt;$B197+$D197,Q$111&lt;$B197+$E197),$I197/($E197-$D197),0)))</f>
        <v>0</v>
      </c>
      <c r="R197" s="9">
        <f>IF(OR($C197="Annual",$D197=$E197),IF(AND($D197=$E197,R$111=$B197+$D197),$I197,IF(AND(R$111&gt;$B197+$D197,R$111&lt;=$B197+$E197), $I197/($E197-$D197),0)), IF(OR(R$111=$B197+$D197,R$111=$B197+$E197),$I197/(($E197-$D197)*2),IF(AND(R$111&gt;$B197+$D197,R$111&lt;$B197+$E197),$I197/($E197-$D197),0)))</f>
        <v>0</v>
      </c>
      <c r="S197" s="9">
        <f>IF(OR($C197="Annual",$D197=$E197),IF(AND($D197=$E197,S$111=$B197+$D197),$I197,IF(AND(S$111&gt;$B197+$D197,S$111&lt;=$B197+$E197), $I197/($E197-$D197),0)), IF(OR(S$111=$B197+$D197,S$111=$B197+$E197),$I197/(($E197-$D197)*2),IF(AND(S$111&gt;$B197+$D197,S$111&lt;$B197+$E197),$I197/($E197-$D197),0)))</f>
        <v>0</v>
      </c>
      <c r="T197" s="9">
        <f>IF(OR($C197="Annual",$D197=$E197),IF(AND($D197=$E197,T$111=$B197+$D197),$I197,IF(AND(T$111&gt;$B197+$D197,T$111&lt;=$B197+$E197), $I197/($E197-$D197),0)), IF(OR(T$111=$B197+$D197,T$111=$B197+$E197),$I197/(($E197-$D197)*2),IF(AND(T$111&gt;$B197+$D197,T$111&lt;$B197+$E197),$I197/($E197-$D197),0)))</f>
        <v>0</v>
      </c>
      <c r="U197" s="9"/>
      <c r="V197" s="9"/>
      <c r="W197" s="9">
        <f t="shared" si="53"/>
        <v>0</v>
      </c>
      <c r="X197" s="9">
        <f t="shared" ca="1" si="53"/>
        <v>0</v>
      </c>
      <c r="Y197" s="9">
        <f t="shared" ca="1" si="53"/>
        <v>0</v>
      </c>
      <c r="Z197" s="9">
        <f t="shared" ca="1" si="53"/>
        <v>0</v>
      </c>
      <c r="AA197" s="9">
        <f t="shared" ca="1" si="53"/>
        <v>0</v>
      </c>
    </row>
    <row r="198" spans="1:27">
      <c r="A198" s="8" t="str">
        <f>A197</f>
        <v>Type 9</v>
      </c>
      <c r="B198" s="7">
        <f>B197+1</f>
        <v>2020</v>
      </c>
      <c r="C198" s="7" t="str">
        <f t="shared" si="54"/>
        <v>Annual</v>
      </c>
      <c r="D198" s="7">
        <f t="shared" si="54"/>
        <v>0</v>
      </c>
      <c r="E198" s="7">
        <f>E197</f>
        <v>0</v>
      </c>
      <c r="F198" s="14">
        <f>$N$88</f>
        <v>0</v>
      </c>
      <c r="H198" s="9"/>
      <c r="I198" s="9"/>
      <c r="J198" s="9">
        <f ca="1">$D$88/$D$31</f>
        <v>0</v>
      </c>
      <c r="K198" s="9">
        <f ca="1">J198-R198</f>
        <v>0</v>
      </c>
      <c r="L198" s="9">
        <f ca="1">K198-S198</f>
        <v>0</v>
      </c>
      <c r="M198" s="9">
        <f ca="1">L198-T198</f>
        <v>0</v>
      </c>
      <c r="N198" s="9"/>
      <c r="O198" s="9"/>
      <c r="P198" s="9"/>
      <c r="Q198" s="9">
        <f ca="1">IF(OR($C198="Annual",$D198=$E198),IF(AND($D198=$E198,Q$111=$B198+$D198),$J198,IF(AND(Q$111&gt;$B198+$D198,Q$111&lt;=$B198+$E198), $J198/($E198-$D198),0)), IF(OR(Q$111=$B198+$D198,Q$111=$B198+$E198),$J198/(($E198-$D198)*2),IF(AND(Q$111&gt;$B198+$D198,Q$111&lt;$B198+$E198),$J198/($E198-$D198),0)))</f>
        <v>0</v>
      </c>
      <c r="R198" s="9">
        <f>IF(OR($C198="Annual",$D198=$E198),IF(AND($D198=$E198,R$111=$B198+$D198),$J198,IF(AND(R$111&gt;$B198+$D198,R$111&lt;=$B198+$E198), $J198/($E198-$D198),0)), IF(OR(R$111=$B198+$D198,R$111=$B198+$E198),$J198/(($E198-$D198)*2),IF(AND(R$111&gt;$B198+$D198,R$111&lt;$B198+$E198),$J198/($E198-$D198),0)))</f>
        <v>0</v>
      </c>
      <c r="S198" s="9">
        <f>IF(OR($C198="Annual",$D198=$E198),IF(AND($D198=$E198,S$111=$B198+$D198),$J198,IF(AND(S$111&gt;$B198+$D198,S$111&lt;=$B198+$E198), $J198/($E198-$D198),0)), IF(OR(S$111=$B198+$D198,S$111=$B198+$E198),$J198/(($E198-$D198)*2),IF(AND(S$111&gt;$B198+$D198,S$111&lt;$B198+$E198),$J198/($E198-$D198),0)))</f>
        <v>0</v>
      </c>
      <c r="T198" s="9">
        <f>IF(OR($C198="Annual",$D198=$E198),IF(AND($D198=$E198,T$111=$B198+$D198),$J198,IF(AND(T$111&gt;$B198+$D198,T$111&lt;=$B198+$E198), $J198/($E198-$D198),0)), IF(OR(T$111=$B198+$D198,T$111=$B198+$E198),$J198/(($E198-$D198)*2),IF(AND(T$111&gt;$B198+$D198,T$111&lt;$B198+$E198),$J198/($E198-$D198),0)))</f>
        <v>0</v>
      </c>
      <c r="U198" s="9"/>
      <c r="V198" s="9"/>
      <c r="W198" s="9"/>
      <c r="X198" s="9">
        <f t="shared" si="53"/>
        <v>0</v>
      </c>
      <c r="Y198" s="9">
        <f t="shared" ca="1" si="53"/>
        <v>0</v>
      </c>
      <c r="Z198" s="9">
        <f t="shared" ca="1" si="53"/>
        <v>0</v>
      </c>
      <c r="AA198" s="9">
        <f t="shared" ca="1" si="53"/>
        <v>0</v>
      </c>
    </row>
    <row r="199" spans="1:27">
      <c r="A199" s="8" t="str">
        <f>A198</f>
        <v>Type 9</v>
      </c>
      <c r="B199" s="7">
        <f>B198+1</f>
        <v>2021</v>
      </c>
      <c r="C199" s="7" t="str">
        <f t="shared" si="54"/>
        <v>Annual</v>
      </c>
      <c r="D199" s="7">
        <f t="shared" si="54"/>
        <v>0</v>
      </c>
      <c r="E199" s="7">
        <f>E198</f>
        <v>0</v>
      </c>
      <c r="F199" s="14">
        <f>$O$88</f>
        <v>0</v>
      </c>
      <c r="H199" s="9"/>
      <c r="I199" s="9"/>
      <c r="J199" s="9"/>
      <c r="K199" s="9">
        <f ca="1">$E$88/$E$31</f>
        <v>0</v>
      </c>
      <c r="L199" s="9">
        <f ca="1">K199-S199</f>
        <v>0</v>
      </c>
      <c r="M199" s="9">
        <f ca="1">L199-T199</f>
        <v>0</v>
      </c>
      <c r="N199" s="9"/>
      <c r="O199" s="9"/>
      <c r="P199" s="9"/>
      <c r="Q199" s="9"/>
      <c r="R199" s="9">
        <f ca="1">IF(OR($C199="Annual",$D199=$E199),IF(AND($D199=$E199,R$111=$B199+$D199),$K199,IF(AND(R$111&gt;$B199+$D199,R$111&lt;=$B199+$E199), $K199/($E199-$D199),0)), IF(OR(R$111=$B199+$D199,R$111=$B199+$E199),$K199/(($E199-$D199)*2),IF(AND(R$111&gt;$B199+$D199,R$111&lt;$B199+$E199),$K199/($E199-$D199),0)))</f>
        <v>0</v>
      </c>
      <c r="S199" s="9">
        <f>IF(OR($C199="Annual",$D199=$E199),IF(AND($D199=$E199,S$111=$B199+$D199),$K199,IF(AND(S$111&gt;$B199+$D199,S$111&lt;=$B199+$E199), $K199/($E199-$D199),0)), IF(OR(S$111=$B199+$D199,S$111=$B199+$E199),$K199/(($E199-$D199)*2),IF(AND(S$111&gt;$B199+$D199,S$111&lt;$B199+$E199),$K199/($E199-$D199),0)))</f>
        <v>0</v>
      </c>
      <c r="T199" s="9">
        <f>IF(OR($C199="Annual",$D199=$E199),IF(AND($D199=$E199,T$111=$B199+$D199),$K199,IF(AND(T$111&gt;$B199+$D199,T$111&lt;=$B199+$E199), $K199/($E199-$D199),0)), IF(OR(T$111=$B199+$D199,T$111=$B199+$E199),$K199/(($E199-$D199)*2),IF(AND(T$111&gt;$B199+$D199,T$111&lt;$B199+$E199),$K199/($E199-$D199),0)))</f>
        <v>0</v>
      </c>
      <c r="U199" s="9"/>
      <c r="V199" s="9"/>
      <c r="W199" s="9"/>
      <c r="X199" s="9"/>
      <c r="Y199" s="9">
        <f t="shared" si="53"/>
        <v>0</v>
      </c>
      <c r="Z199" s="9">
        <f t="shared" ca="1" si="53"/>
        <v>0</v>
      </c>
      <c r="AA199" s="9">
        <f t="shared" ca="1" si="53"/>
        <v>0</v>
      </c>
    </row>
    <row r="200" spans="1:27">
      <c r="A200" s="8" t="str">
        <f>A199</f>
        <v>Type 9</v>
      </c>
      <c r="B200" s="7">
        <f>B199+1</f>
        <v>2022</v>
      </c>
      <c r="C200" s="7" t="str">
        <f t="shared" si="54"/>
        <v>Annual</v>
      </c>
      <c r="D200" s="7">
        <f t="shared" si="54"/>
        <v>0</v>
      </c>
      <c r="E200" s="7">
        <f>E199</f>
        <v>0</v>
      </c>
      <c r="F200" s="14">
        <f>$P$88</f>
        <v>0</v>
      </c>
      <c r="H200" s="9"/>
      <c r="I200" s="9"/>
      <c r="J200" s="9"/>
      <c r="K200" s="9"/>
      <c r="L200" s="9">
        <f ca="1">$F$88/$F$31</f>
        <v>0</v>
      </c>
      <c r="M200" s="9">
        <f ca="1">L200-T200</f>
        <v>0</v>
      </c>
      <c r="N200" s="9"/>
      <c r="O200" s="9"/>
      <c r="P200" s="9"/>
      <c r="Q200" s="9"/>
      <c r="R200" s="9"/>
      <c r="S200" s="9">
        <f ca="1">IF(OR($C200="Annual",$D200=$E200),IF(AND($D200=$E200,S$111=$B200+$D200),$L200,IF(AND(S$111&gt;$B200+$D200,S$111&lt;=$B200+$E200), $L200/($E200-$D200),0)), IF(OR(S$111=$B200+$D200,S$111=$B200+$E200),$L200/(($E200-$D200)*2),IF(AND(S$111&gt;$B200+$D200,S$111&lt;$B200+$E200),$L200/($E200-$D200),0)))</f>
        <v>0</v>
      </c>
      <c r="T200" s="9">
        <f>IF(OR($C200="Annual",$D200=$E200),IF(AND($D200=$E200,T$111=$B200+$D200),$L200,IF(AND(T$111&gt;$B200+$D200,T$111&lt;=$B200+$E200), $L200/($E200-$D200),0)), IF(OR(T$111=$B200+$D200,T$111=$B200+$E200),$L200/(($E200-$D200)*2),IF(AND(T$111&gt;$B200+$D200,T$111&lt;$B200+$E200),$L200/($E200-$D200),0)))</f>
        <v>0</v>
      </c>
      <c r="U200" s="9"/>
      <c r="V200" s="9"/>
      <c r="W200" s="9"/>
      <c r="X200" s="9"/>
      <c r="Y200" s="9"/>
      <c r="Z200" s="9">
        <f t="shared" si="53"/>
        <v>0</v>
      </c>
      <c r="AA200" s="9">
        <f t="shared" ca="1" si="53"/>
        <v>0</v>
      </c>
    </row>
    <row r="201" spans="1:27">
      <c r="A201" s="8" t="str">
        <f>A200</f>
        <v>Type 9</v>
      </c>
      <c r="B201" s="7">
        <f>B200+1</f>
        <v>2023</v>
      </c>
      <c r="C201" s="7" t="str">
        <f t="shared" si="54"/>
        <v>Annual</v>
      </c>
      <c r="D201" s="7">
        <f t="shared" si="54"/>
        <v>0</v>
      </c>
      <c r="E201" s="7">
        <f>E200</f>
        <v>0</v>
      </c>
      <c r="F201" s="14">
        <f>$Q$88</f>
        <v>0</v>
      </c>
      <c r="H201" s="9"/>
      <c r="I201" s="9"/>
      <c r="J201" s="9"/>
      <c r="K201" s="9"/>
      <c r="L201" s="9"/>
      <c r="M201" s="9">
        <f ca="1">$G$88/$G$31</f>
        <v>0</v>
      </c>
      <c r="N201" s="9"/>
      <c r="O201" s="9"/>
      <c r="P201" s="9"/>
      <c r="Q201" s="9"/>
      <c r="R201" s="9"/>
      <c r="S201" s="9"/>
      <c r="T201" s="9">
        <f ca="1">IF(OR($C201="Annual",$D201=$E201),IF(AND($D201=$E201,T$111=$B201+$D201),$M201,IF(AND(T$111&gt;$B201+$D201,T$111&lt;=$B201+$E201), $M201/($E201-$D201),0)), IF(OR(T$111=$B201+$D201,T$111=$B201+$E201),$M201/(($E201-$D201)*2),IF(AND(T$111&gt;$B201+$D201,T$111&lt;$B201+$E201),$M201/($E201-$D201),0)))</f>
        <v>0</v>
      </c>
      <c r="U201" s="9"/>
      <c r="V201" s="9"/>
      <c r="W201" s="9"/>
      <c r="X201" s="9"/>
      <c r="Y201" s="9"/>
      <c r="Z201" s="9"/>
      <c r="AA201" s="9">
        <f t="shared" si="53"/>
        <v>0</v>
      </c>
    </row>
    <row r="202" spans="1:27">
      <c r="A202" s="8"/>
      <c r="B202" s="7"/>
      <c r="C202" s="7"/>
      <c r="D202" s="7"/>
      <c r="E202" s="7"/>
      <c r="F202" s="15"/>
      <c r="H202" s="9"/>
      <c r="I202" s="9"/>
      <c r="J202" s="9"/>
      <c r="K202" s="9"/>
      <c r="L202" s="9"/>
      <c r="M202" s="9"/>
      <c r="N202" s="9"/>
      <c r="O202" s="278"/>
      <c r="P202" s="10"/>
      <c r="Q202" s="10"/>
      <c r="R202" s="10"/>
      <c r="S202" s="10"/>
      <c r="T202" s="10"/>
      <c r="U202" s="9"/>
      <c r="V202" s="10"/>
      <c r="W202" s="10"/>
      <c r="X202" s="10"/>
      <c r="Y202" s="10"/>
      <c r="Z202" s="10"/>
      <c r="AA202" s="10"/>
    </row>
    <row r="203" spans="1:27" s="1150" customFormat="1">
      <c r="A203" s="1347" t="str">
        <f>'Input 4 - Forecast'!A70</f>
        <v>ZERO-COUPON BOND</v>
      </c>
      <c r="B203" s="1348">
        <f>B119</f>
        <v>2018</v>
      </c>
      <c r="C203" s="1348"/>
      <c r="D203" s="1348">
        <f>$J89</f>
        <v>0</v>
      </c>
      <c r="E203" s="1348">
        <f>$K89</f>
        <v>0</v>
      </c>
      <c r="F203" s="1349">
        <f>$L$89</f>
        <v>0</v>
      </c>
      <c r="H203" s="1350">
        <f>$B$89/$B$31</f>
        <v>0</v>
      </c>
      <c r="I203" s="1350">
        <f>H203-P203</f>
        <v>0</v>
      </c>
      <c r="J203" s="1350">
        <f>I203-Q203</f>
        <v>0</v>
      </c>
      <c r="K203" s="1350">
        <f>J203-R203</f>
        <v>0</v>
      </c>
      <c r="L203" s="1350">
        <f>K203-S203</f>
        <v>0</v>
      </c>
      <c r="M203" s="1350">
        <f>L203-T203</f>
        <v>0</v>
      </c>
      <c r="N203" s="1350"/>
      <c r="O203" s="1350">
        <f t="shared" ref="O203:T203" si="55">IF($D203=$E203,IF(O$111=$B203+$E203,$H203,0),0)</f>
        <v>0</v>
      </c>
      <c r="P203" s="1350">
        <f t="shared" si="55"/>
        <v>0</v>
      </c>
      <c r="Q203" s="1350">
        <f t="shared" si="55"/>
        <v>0</v>
      </c>
      <c r="R203" s="1350">
        <f t="shared" si="55"/>
        <v>0</v>
      </c>
      <c r="S203" s="1350">
        <f t="shared" si="55"/>
        <v>0</v>
      </c>
      <c r="T203" s="1350">
        <f t="shared" si="55"/>
        <v>0</v>
      </c>
      <c r="U203" s="1350"/>
      <c r="V203" s="1350">
        <f t="shared" ref="V203:AA203" si="56">IF(V$111-$B203=$D203,$H203*(((1+$F203)^$D203)-1),0)</f>
        <v>0</v>
      </c>
      <c r="W203" s="1350">
        <f t="shared" si="56"/>
        <v>0</v>
      </c>
      <c r="X203" s="1350">
        <f t="shared" si="56"/>
        <v>0</v>
      </c>
      <c r="Y203" s="1350">
        <f t="shared" si="56"/>
        <v>0</v>
      </c>
      <c r="Z203" s="1350">
        <f t="shared" si="56"/>
        <v>0</v>
      </c>
      <c r="AA203" s="1350">
        <f t="shared" si="56"/>
        <v>0</v>
      </c>
    </row>
    <row r="204" spans="1:27" s="1150" customFormat="1">
      <c r="A204" s="1347" t="str">
        <f>A203</f>
        <v>ZERO-COUPON BOND</v>
      </c>
      <c r="B204" s="1348">
        <f>B203+1</f>
        <v>2019</v>
      </c>
      <c r="C204" s="1348"/>
      <c r="D204" s="1348">
        <f t="shared" ref="D204:E208" si="57">D203</f>
        <v>0</v>
      </c>
      <c r="E204" s="1348">
        <f t="shared" si="57"/>
        <v>0</v>
      </c>
      <c r="F204" s="1349">
        <f>$M$89</f>
        <v>2.0470863523532085E-2</v>
      </c>
      <c r="H204" s="1350"/>
      <c r="I204" s="1350">
        <f ca="1">$C$89/$C$31</f>
        <v>0</v>
      </c>
      <c r="J204" s="1350">
        <f ca="1">I204-Q204</f>
        <v>0</v>
      </c>
      <c r="K204" s="1350">
        <f ca="1">J204-R204</f>
        <v>0</v>
      </c>
      <c r="L204" s="1350">
        <f ca="1">K204-S204</f>
        <v>0</v>
      </c>
      <c r="M204" s="1350">
        <f ca="1">L204-T204</f>
        <v>0</v>
      </c>
      <c r="N204" s="1350"/>
      <c r="O204" s="1351"/>
      <c r="P204" s="1350">
        <f ca="1">IF($D204=$E204,IF(P$111=$B204+$E204,$I204,0),0)</f>
        <v>0</v>
      </c>
      <c r="Q204" s="1350">
        <f>IF($D204=$E204,IF(Q$111=$B204+$E204,$I204,0),0)</f>
        <v>0</v>
      </c>
      <c r="R204" s="1350">
        <f>IF($D204=$E204,IF(R$111=$B204+$E204,$I204,0),0)</f>
        <v>0</v>
      </c>
      <c r="S204" s="1350">
        <f>IF($D204=$E204,IF(S$111=$B204+$E204,$I204,0),0)</f>
        <v>0</v>
      </c>
      <c r="T204" s="1350">
        <f>IF($D204=$E204,IF(T$111=$B204+$E204,$I204,0),0)</f>
        <v>0</v>
      </c>
      <c r="U204" s="1350"/>
      <c r="V204" s="1350"/>
      <c r="W204" s="1350">
        <f ca="1">IF(W$111-$B204=$D204,$I204*(((1+$F204)^$D204)-1),0)</f>
        <v>0</v>
      </c>
      <c r="X204" s="1350">
        <f>IF(X$111-$B204=$D204,$I204*(((1+$F204)^$D204)-1),0)</f>
        <v>0</v>
      </c>
      <c r="Y204" s="1350">
        <f>IF(Y$111-$B204=$D204,$I204*(((1+$F204)^$D204)-1),0)</f>
        <v>0</v>
      </c>
      <c r="Z204" s="1350">
        <f>IF(Z$111-$B204=$D204,$I204*(((1+$F204)^$D204)-1),0)</f>
        <v>0</v>
      </c>
      <c r="AA204" s="1350">
        <f>IF(AA$111-$B204=$D204,$I204*(((1+$F204)^$D204)-1),0)</f>
        <v>0</v>
      </c>
    </row>
    <row r="205" spans="1:27" s="1150" customFormat="1">
      <c r="A205" s="1347" t="str">
        <f>A204</f>
        <v>ZERO-COUPON BOND</v>
      </c>
      <c r="B205" s="1348">
        <f>B204+1</f>
        <v>2020</v>
      </c>
      <c r="C205" s="1348"/>
      <c r="D205" s="1348">
        <f t="shared" si="57"/>
        <v>0</v>
      </c>
      <c r="E205" s="1348">
        <f t="shared" si="57"/>
        <v>0</v>
      </c>
      <c r="F205" s="1349">
        <f>$N$89</f>
        <v>0</v>
      </c>
      <c r="H205" s="1350"/>
      <c r="I205" s="1350"/>
      <c r="J205" s="1350">
        <f ca="1">$D$89/$D$31</f>
        <v>0</v>
      </c>
      <c r="K205" s="1350">
        <f ca="1">J205-R205</f>
        <v>0</v>
      </c>
      <c r="L205" s="1350">
        <f ca="1">K205-S205</f>
        <v>0</v>
      </c>
      <c r="M205" s="1350">
        <f ca="1">L205-T205</f>
        <v>0</v>
      </c>
      <c r="N205" s="1350"/>
      <c r="O205" s="1351"/>
      <c r="P205" s="1350"/>
      <c r="Q205" s="1350">
        <f ca="1">IF($D205=$E205,IF(Q$111=$B205+$E205,$J205,0),0)</f>
        <v>0</v>
      </c>
      <c r="R205" s="1350">
        <f>IF($D205=$E205,IF(R$111=$B205+$E205,$J205,0),0)</f>
        <v>0</v>
      </c>
      <c r="S205" s="1350">
        <f>IF($D205=$E205,IF(S$111=$B205+$E205,$J205,0),0)</f>
        <v>0</v>
      </c>
      <c r="T205" s="1350">
        <f>IF($D205=$E205,IF(T$111=$B205+$E205,$J205,0),0)</f>
        <v>0</v>
      </c>
      <c r="U205" s="1350"/>
      <c r="V205" s="1350"/>
      <c r="W205" s="1350"/>
      <c r="X205" s="1350">
        <f ca="1">IF(X$111-$B205=$D205,$J205*(((1+$F205)^$D205)-1),0)</f>
        <v>0</v>
      </c>
      <c r="Y205" s="1350">
        <f>IF(Y$111-$B205=$D205,$J205*(((1+$F205)^$D205)-1),0)</f>
        <v>0</v>
      </c>
      <c r="Z205" s="1350">
        <f>IF(Z$111-$B205=$D205,$J205*(((1+$F205)^$D205)-1),0)</f>
        <v>0</v>
      </c>
      <c r="AA205" s="1350">
        <f>IF(AA$111-$B205=$D205,$J205*(((1+$F205)^$D205)-1),0)</f>
        <v>0</v>
      </c>
    </row>
    <row r="206" spans="1:27" s="1150" customFormat="1">
      <c r="A206" s="1347" t="str">
        <f>A205</f>
        <v>ZERO-COUPON BOND</v>
      </c>
      <c r="B206" s="1348">
        <f>B205+1</f>
        <v>2021</v>
      </c>
      <c r="C206" s="1348"/>
      <c r="D206" s="1348">
        <f t="shared" si="57"/>
        <v>0</v>
      </c>
      <c r="E206" s="1348">
        <f t="shared" si="57"/>
        <v>0</v>
      </c>
      <c r="F206" s="1349">
        <f>$O$89</f>
        <v>0</v>
      </c>
      <c r="H206" s="1350"/>
      <c r="I206" s="1350"/>
      <c r="J206" s="1350"/>
      <c r="K206" s="1350">
        <f ca="1">$E$89/$E$31</f>
        <v>0</v>
      </c>
      <c r="L206" s="1350">
        <f ca="1">K206-S206</f>
        <v>0</v>
      </c>
      <c r="M206" s="1350">
        <f ca="1">L206-T206</f>
        <v>0</v>
      </c>
      <c r="N206" s="1350"/>
      <c r="O206" s="1351"/>
      <c r="P206" s="1350"/>
      <c r="Q206" s="1350"/>
      <c r="R206" s="1350">
        <f ca="1">IF($D206=$E206,IF(R$111=$B206+$E206,$K206,0),0)</f>
        <v>0</v>
      </c>
      <c r="S206" s="1350">
        <f>IF($D206=$E206,IF(S$111=$B206+$E206,$K206,0),0)</f>
        <v>0</v>
      </c>
      <c r="T206" s="1350">
        <f>IF($D206=$E206,IF(T$111=$B206+$E206,$K206,0),0)</f>
        <v>0</v>
      </c>
      <c r="U206" s="1350"/>
      <c r="V206" s="1350"/>
      <c r="W206" s="1350"/>
      <c r="X206" s="1350"/>
      <c r="Y206" s="1350">
        <f ca="1">IF(Y$111-$B206=$D206,$K206*(((1+$F206)^$D206)-1),0)</f>
        <v>0</v>
      </c>
      <c r="Z206" s="1350">
        <f>IF(Z$111-$B206=$D206,$K206*(((1+$F206)^$D206)-1),0)</f>
        <v>0</v>
      </c>
      <c r="AA206" s="1350">
        <f>IF(AA$111-$B206=$D206,$K206*(((1+$F206)^$D206)-1),0)</f>
        <v>0</v>
      </c>
    </row>
    <row r="207" spans="1:27" s="1150" customFormat="1">
      <c r="A207" s="1347" t="str">
        <f>A206</f>
        <v>ZERO-COUPON BOND</v>
      </c>
      <c r="B207" s="1348">
        <f>B206+1</f>
        <v>2022</v>
      </c>
      <c r="C207" s="1348"/>
      <c r="D207" s="1348">
        <f t="shared" si="57"/>
        <v>0</v>
      </c>
      <c r="E207" s="1348">
        <f t="shared" si="57"/>
        <v>0</v>
      </c>
      <c r="F207" s="1349">
        <f>$P$89</f>
        <v>0</v>
      </c>
      <c r="H207" s="1350"/>
      <c r="I207" s="1350"/>
      <c r="J207" s="1350"/>
      <c r="K207" s="1350"/>
      <c r="L207" s="1350">
        <f ca="1">$F$89/$F$31</f>
        <v>0</v>
      </c>
      <c r="M207" s="1350">
        <f ca="1">L207-T207</f>
        <v>0</v>
      </c>
      <c r="N207" s="1350"/>
      <c r="O207" s="1351"/>
      <c r="P207" s="1350"/>
      <c r="Q207" s="1350"/>
      <c r="R207" s="1350"/>
      <c r="S207" s="1350">
        <f ca="1">IF($D207=$E207,IF(S$111=$B207+$E207,$L207,0),0)</f>
        <v>0</v>
      </c>
      <c r="T207" s="1350">
        <f>IF($D207=$E207,IF(T$111=$B207+$E207,$L207,0),0)</f>
        <v>0</v>
      </c>
      <c r="U207" s="1350"/>
      <c r="V207" s="1350"/>
      <c r="W207" s="1350"/>
      <c r="X207" s="1350"/>
      <c r="Y207" s="1350"/>
      <c r="Z207" s="1350">
        <f ca="1">IF(Z$111-$B207=$D207,$L207*(((1+$F207)^$D207)-1),0)</f>
        <v>0</v>
      </c>
      <c r="AA207" s="1350">
        <f>IF(AA$111-$B207=$D207,$L207*(((1+$F207)^$D207)-1),0)</f>
        <v>0</v>
      </c>
    </row>
    <row r="208" spans="1:27" s="1150" customFormat="1">
      <c r="A208" s="1347" t="str">
        <f>A207</f>
        <v>ZERO-COUPON BOND</v>
      </c>
      <c r="B208" s="1348">
        <f>B207+1</f>
        <v>2023</v>
      </c>
      <c r="C208" s="1348"/>
      <c r="D208" s="1348">
        <f t="shared" si="57"/>
        <v>0</v>
      </c>
      <c r="E208" s="1348">
        <f t="shared" si="57"/>
        <v>0</v>
      </c>
      <c r="F208" s="1349">
        <f>$Q$89</f>
        <v>0</v>
      </c>
      <c r="H208" s="1350"/>
      <c r="I208" s="1350"/>
      <c r="J208" s="1350"/>
      <c r="K208" s="1350"/>
      <c r="L208" s="1350"/>
      <c r="M208" s="1350">
        <f ca="1">$G$89/$G$31</f>
        <v>0</v>
      </c>
      <c r="N208" s="1350"/>
      <c r="O208" s="1351"/>
      <c r="P208" s="1350"/>
      <c r="Q208" s="1350"/>
      <c r="R208" s="1350"/>
      <c r="S208" s="1350"/>
      <c r="T208" s="1350">
        <f ca="1">IF($D208=$E208,IF(T$111=$B208+$E208,$M208,0),0)</f>
        <v>0</v>
      </c>
      <c r="U208" s="1350"/>
      <c r="V208" s="1350"/>
      <c r="W208" s="1350"/>
      <c r="X208" s="1350"/>
      <c r="Y208" s="1350"/>
      <c r="Z208" s="1350"/>
      <c r="AA208" s="1350">
        <f ca="1">IF(AA$111-$B208=$D208,$M208*(((1+$F208)^$D208)-1),0)</f>
        <v>0</v>
      </c>
    </row>
    <row r="209" spans="1:27">
      <c r="A209" s="17"/>
      <c r="B209" s="7"/>
      <c r="D209" s="7"/>
      <c r="E209" s="7"/>
      <c r="F209" s="7"/>
    </row>
    <row r="210" spans="1:27">
      <c r="A210" s="20" t="str">
        <f>'Input 4 - Forecast'!A71</f>
        <v>New Issuance of External Debt (new debt) 1/</v>
      </c>
    </row>
    <row r="211" spans="1:27" customFormat="1" ht="15.75" thickBot="1">
      <c r="A211" s="21" t="str">
        <f>'Input 4 - Forecast'!A72</f>
        <v>Short-term debt 2/</v>
      </c>
      <c r="B211" s="18"/>
      <c r="C211" s="6"/>
      <c r="D211" s="13"/>
      <c r="E211" s="13"/>
      <c r="F211" s="13"/>
      <c r="G211" s="13"/>
      <c r="H211" s="13"/>
      <c r="I211" s="13"/>
      <c r="J211" s="17"/>
      <c r="K211" s="19"/>
      <c r="L211" s="19"/>
      <c r="M211" s="19"/>
      <c r="N211" s="19"/>
      <c r="O211" s="19"/>
      <c r="P211" s="19"/>
      <c r="Q211" s="19"/>
      <c r="R211" s="19"/>
    </row>
    <row r="212" spans="1:27" customFormat="1" ht="15.75" thickBot="1">
      <c r="A212" s="22" t="str">
        <f>'Input 4 - Forecast'!A73</f>
        <v>Denominated in local currency</v>
      </c>
      <c r="B212" s="1999" t="s">
        <v>51</v>
      </c>
      <c r="C212" s="2000"/>
      <c r="D212" s="2000"/>
      <c r="E212" s="2000"/>
      <c r="F212" s="2000"/>
      <c r="G212" s="2000"/>
      <c r="H212" s="2000"/>
      <c r="I212" s="2000"/>
      <c r="J212" s="2000"/>
      <c r="K212" s="2000"/>
      <c r="L212" s="2000"/>
      <c r="M212" s="2000"/>
      <c r="N212" s="2000"/>
      <c r="O212" s="2000"/>
      <c r="P212" s="2000"/>
      <c r="Q212" s="2000"/>
      <c r="R212" s="2000"/>
      <c r="S212" s="2000"/>
      <c r="T212" s="2000"/>
      <c r="U212" s="2000"/>
      <c r="V212" s="2000"/>
      <c r="W212" s="2000"/>
      <c r="X212" s="2000"/>
      <c r="Y212" s="2000"/>
      <c r="Z212" s="2000"/>
      <c r="AA212" s="2001"/>
    </row>
    <row r="213" spans="1:27">
      <c r="F213" s="15"/>
      <c r="H213" s="10"/>
      <c r="I213" s="10"/>
      <c r="J213" s="10"/>
      <c r="K213" s="10"/>
      <c r="L213" s="10"/>
      <c r="M213" s="10"/>
      <c r="N213" s="10"/>
      <c r="O213" s="10"/>
      <c r="P213" s="10"/>
      <c r="Q213" s="10"/>
      <c r="R213" s="10"/>
      <c r="S213" s="10"/>
      <c r="T213" s="10"/>
      <c r="U213" s="10"/>
      <c r="V213" s="10"/>
      <c r="W213" s="10"/>
      <c r="X213" s="10"/>
      <c r="Y213" s="10"/>
      <c r="Z213" s="10"/>
      <c r="AA213" s="10"/>
    </row>
    <row r="214" spans="1:27" customFormat="1">
      <c r="A214" s="23"/>
      <c r="B214" s="7">
        <f>B119</f>
        <v>2018</v>
      </c>
      <c r="C214" s="13" t="str">
        <f>$I92</f>
        <v>Semi-annual</v>
      </c>
      <c r="D214" s="13">
        <f>$J92</f>
        <v>0</v>
      </c>
      <c r="E214" s="13">
        <f>$K92</f>
        <v>0</v>
      </c>
      <c r="F214" s="14">
        <f>$L$92</f>
        <v>0</v>
      </c>
      <c r="G214" s="13"/>
      <c r="H214" s="9">
        <f>$B$92</f>
        <v>0</v>
      </c>
      <c r="I214" s="9">
        <f>H214-P214</f>
        <v>0</v>
      </c>
      <c r="J214" s="9">
        <f>I214-Q214</f>
        <v>0</v>
      </c>
      <c r="K214" s="9">
        <f>J214-R214</f>
        <v>0</v>
      </c>
      <c r="L214" s="9">
        <f>K214-S214</f>
        <v>0</v>
      </c>
      <c r="M214" s="9">
        <f>L214-T214</f>
        <v>0</v>
      </c>
      <c r="N214" s="9"/>
      <c r="O214" s="9">
        <v>0</v>
      </c>
      <c r="P214" s="9">
        <f>H214</f>
        <v>0</v>
      </c>
      <c r="Q214" s="9">
        <v>0</v>
      </c>
      <c r="R214" s="9">
        <v>0</v>
      </c>
      <c r="S214" s="9">
        <v>0</v>
      </c>
      <c r="T214" s="9">
        <v>0</v>
      </c>
      <c r="U214" s="9"/>
      <c r="V214" s="9">
        <f>IF($C214="annual",IF(V$111=$B214,0,G214*$F214),IF(V$111-$B214=0,0,IF((V$111-$B214)&lt;$E214,AVERAGE(G214,H214)*$F214,IF((V$111-$B214)=$E214,G214*$F214/2,0))))</f>
        <v>0</v>
      </c>
      <c r="W214" s="9">
        <f t="shared" ref="W214:AA219" si="58">IF($C214="annual",IF(W$111=$B214,0,H214*$F214),IF(W$111-$B214=0,0,IF((W$111-$B214)&lt;$E214,AVERAGE(H214,I214)*$F214,IF((W$111-$B214)=$E214,H214*$F214/2,0))))</f>
        <v>0</v>
      </c>
      <c r="X214" s="9">
        <f t="shared" si="58"/>
        <v>0</v>
      </c>
      <c r="Y214" s="9">
        <f t="shared" si="58"/>
        <v>0</v>
      </c>
      <c r="Z214" s="9">
        <f t="shared" si="58"/>
        <v>0</v>
      </c>
      <c r="AA214" s="9">
        <f t="shared" si="58"/>
        <v>0</v>
      </c>
    </row>
    <row r="215" spans="1:27" customFormat="1">
      <c r="A215" s="23"/>
      <c r="B215" s="7">
        <f>B214+1</f>
        <v>2019</v>
      </c>
      <c r="C215" s="13" t="str">
        <f>C214</f>
        <v>Semi-annual</v>
      </c>
      <c r="D215" s="13">
        <f>D214</f>
        <v>0</v>
      </c>
      <c r="E215" s="13">
        <f>E214</f>
        <v>0</v>
      </c>
      <c r="F215" s="14">
        <f>$M$92</f>
        <v>2.0470863523532085E-2</v>
      </c>
      <c r="G215" s="13"/>
      <c r="H215" s="9"/>
      <c r="I215" s="9">
        <f ca="1">$C$92</f>
        <v>0</v>
      </c>
      <c r="J215" s="9">
        <f ca="1">I215-Q215</f>
        <v>0</v>
      </c>
      <c r="K215" s="9">
        <f ca="1">J215-R215</f>
        <v>0</v>
      </c>
      <c r="L215" s="9">
        <f ca="1">K215-S215</f>
        <v>0</v>
      </c>
      <c r="M215" s="9">
        <f ca="1">L215-T215</f>
        <v>0</v>
      </c>
      <c r="N215" s="9"/>
      <c r="O215" s="9"/>
      <c r="P215" s="9">
        <v>0</v>
      </c>
      <c r="Q215" s="9">
        <f ca="1">I215</f>
        <v>0</v>
      </c>
      <c r="R215" s="9">
        <v>0</v>
      </c>
      <c r="S215" s="9">
        <v>0</v>
      </c>
      <c r="T215" s="9">
        <v>0</v>
      </c>
      <c r="U215" s="9"/>
      <c r="V215" s="9"/>
      <c r="W215" s="9">
        <f t="shared" si="58"/>
        <v>0</v>
      </c>
      <c r="X215" s="9">
        <f t="shared" si="58"/>
        <v>0</v>
      </c>
      <c r="Y215" s="9">
        <f t="shared" si="58"/>
        <v>0</v>
      </c>
      <c r="Z215" s="9">
        <f t="shared" si="58"/>
        <v>0</v>
      </c>
      <c r="AA215" s="9">
        <f t="shared" si="58"/>
        <v>0</v>
      </c>
    </row>
    <row r="216" spans="1:27" customFormat="1">
      <c r="A216" s="23"/>
      <c r="B216" s="7">
        <f>B215+1</f>
        <v>2020</v>
      </c>
      <c r="C216" s="13" t="str">
        <f>C215</f>
        <v>Semi-annual</v>
      </c>
      <c r="D216" s="13">
        <f t="shared" ref="D216:E219" si="59">D215</f>
        <v>0</v>
      </c>
      <c r="E216" s="13">
        <f t="shared" si="59"/>
        <v>0</v>
      </c>
      <c r="F216" s="14">
        <f>$N$92</f>
        <v>0</v>
      </c>
      <c r="G216" s="13"/>
      <c r="H216" s="9"/>
      <c r="I216" s="9"/>
      <c r="J216" s="9">
        <f ca="1">$D$92</f>
        <v>0</v>
      </c>
      <c r="K216" s="9">
        <f ca="1">J216-R216</f>
        <v>0</v>
      </c>
      <c r="L216" s="9">
        <f ca="1">K216-S216</f>
        <v>0</v>
      </c>
      <c r="M216" s="9">
        <f ca="1">L216-T216</f>
        <v>0</v>
      </c>
      <c r="N216" s="9"/>
      <c r="O216" s="9"/>
      <c r="P216" s="9"/>
      <c r="Q216" s="9">
        <v>0</v>
      </c>
      <c r="R216" s="9">
        <f ca="1">J216</f>
        <v>0</v>
      </c>
      <c r="S216" s="9">
        <v>0</v>
      </c>
      <c r="T216" s="9">
        <v>0</v>
      </c>
      <c r="U216" s="9"/>
      <c r="V216" s="9"/>
      <c r="W216" s="9"/>
      <c r="X216" s="9">
        <f t="shared" si="58"/>
        <v>0</v>
      </c>
      <c r="Y216" s="9">
        <f t="shared" si="58"/>
        <v>0</v>
      </c>
      <c r="Z216" s="9">
        <f t="shared" si="58"/>
        <v>0</v>
      </c>
      <c r="AA216" s="9">
        <f t="shared" si="58"/>
        <v>0</v>
      </c>
    </row>
    <row r="217" spans="1:27" customFormat="1">
      <c r="A217" s="23"/>
      <c r="B217" s="7">
        <f>B216+1</f>
        <v>2021</v>
      </c>
      <c r="C217" s="13" t="str">
        <f>C216</f>
        <v>Semi-annual</v>
      </c>
      <c r="D217" s="13">
        <f t="shared" si="59"/>
        <v>0</v>
      </c>
      <c r="E217" s="13">
        <f t="shared" si="59"/>
        <v>0</v>
      </c>
      <c r="F217" s="14">
        <f>$O$92</f>
        <v>0</v>
      </c>
      <c r="G217" s="13"/>
      <c r="H217" s="9"/>
      <c r="I217" s="9"/>
      <c r="J217" s="9"/>
      <c r="K217" s="9">
        <f ca="1">$E$92</f>
        <v>0</v>
      </c>
      <c r="L217" s="9">
        <f ca="1">K217-S217</f>
        <v>0</v>
      </c>
      <c r="M217" s="9">
        <f ca="1">L217-T217</f>
        <v>0</v>
      </c>
      <c r="N217" s="9"/>
      <c r="O217" s="9"/>
      <c r="P217" s="9"/>
      <c r="Q217" s="9"/>
      <c r="R217" s="9">
        <v>0</v>
      </c>
      <c r="S217" s="9">
        <f ca="1">K217</f>
        <v>0</v>
      </c>
      <c r="T217" s="9">
        <v>0</v>
      </c>
      <c r="U217" s="9"/>
      <c r="V217" s="9"/>
      <c r="W217" s="9"/>
      <c r="X217" s="9"/>
      <c r="Y217" s="9">
        <f t="shared" si="58"/>
        <v>0</v>
      </c>
      <c r="Z217" s="9">
        <f t="shared" si="58"/>
        <v>0</v>
      </c>
      <c r="AA217" s="9">
        <f t="shared" si="58"/>
        <v>0</v>
      </c>
    </row>
    <row r="218" spans="1:27" customFormat="1">
      <c r="A218" s="23"/>
      <c r="B218" s="7">
        <f>B217+1</f>
        <v>2022</v>
      </c>
      <c r="C218" s="13" t="str">
        <f>C217</f>
        <v>Semi-annual</v>
      </c>
      <c r="D218" s="13">
        <f t="shared" si="59"/>
        <v>0</v>
      </c>
      <c r="E218" s="13">
        <f t="shared" si="59"/>
        <v>0</v>
      </c>
      <c r="F218" s="14">
        <f>$P$92</f>
        <v>0</v>
      </c>
      <c r="G218" s="13"/>
      <c r="H218" s="9"/>
      <c r="I218" s="9"/>
      <c r="J218" s="9"/>
      <c r="K218" s="9"/>
      <c r="L218" s="9">
        <f ca="1">$F$92</f>
        <v>0</v>
      </c>
      <c r="M218" s="9">
        <f ca="1">L218-T218</f>
        <v>0</v>
      </c>
      <c r="N218" s="9"/>
      <c r="O218" s="9"/>
      <c r="P218" s="9"/>
      <c r="Q218" s="9"/>
      <c r="R218" s="9"/>
      <c r="S218" s="9">
        <v>0</v>
      </c>
      <c r="T218" s="9">
        <f ca="1">L218</f>
        <v>0</v>
      </c>
      <c r="U218" s="9"/>
      <c r="V218" s="9"/>
      <c r="W218" s="9"/>
      <c r="X218" s="9"/>
      <c r="Y218" s="9"/>
      <c r="Z218" s="9">
        <f t="shared" si="58"/>
        <v>0</v>
      </c>
      <c r="AA218" s="9">
        <f t="shared" si="58"/>
        <v>0</v>
      </c>
    </row>
    <row r="219" spans="1:27" customFormat="1">
      <c r="A219" s="23"/>
      <c r="B219" s="7">
        <f>B218+1</f>
        <v>2023</v>
      </c>
      <c r="C219" s="13" t="str">
        <f>C218</f>
        <v>Semi-annual</v>
      </c>
      <c r="D219" s="13">
        <f t="shared" si="59"/>
        <v>0</v>
      </c>
      <c r="E219" s="13">
        <f t="shared" si="59"/>
        <v>0</v>
      </c>
      <c r="F219" s="14">
        <f>$Q$92</f>
        <v>0</v>
      </c>
      <c r="G219" s="13"/>
      <c r="H219" s="9"/>
      <c r="I219" s="9"/>
      <c r="J219" s="9"/>
      <c r="K219" s="9"/>
      <c r="L219" s="9"/>
      <c r="M219" s="9">
        <f ca="1">$G$92</f>
        <v>0</v>
      </c>
      <c r="N219" s="9"/>
      <c r="O219" s="9"/>
      <c r="P219" s="9"/>
      <c r="Q219" s="9"/>
      <c r="R219" s="9"/>
      <c r="S219" s="9"/>
      <c r="T219" s="9">
        <v>0</v>
      </c>
      <c r="U219" s="9"/>
      <c r="V219" s="9"/>
      <c r="W219" s="9"/>
      <c r="X219" s="9"/>
      <c r="Y219" s="9"/>
      <c r="Z219" s="9"/>
      <c r="AA219" s="9">
        <f t="shared" si="58"/>
        <v>0</v>
      </c>
    </row>
    <row r="220" spans="1:27" ht="15.75" thickBot="1">
      <c r="B220" s="7"/>
      <c r="F220" s="15"/>
      <c r="H220" s="10"/>
      <c r="I220" s="10"/>
      <c r="J220" s="10"/>
      <c r="K220" s="10"/>
      <c r="L220" s="10"/>
      <c r="M220" s="10"/>
      <c r="N220" s="10"/>
      <c r="O220" s="10"/>
      <c r="P220" s="10"/>
      <c r="Q220" s="10"/>
      <c r="R220" s="10"/>
      <c r="S220" s="10"/>
      <c r="T220" s="10"/>
      <c r="U220" s="10"/>
      <c r="V220" s="10"/>
      <c r="W220" s="10"/>
      <c r="X220" s="10"/>
      <c r="Y220" s="10"/>
      <c r="Z220" s="10"/>
      <c r="AA220" s="10"/>
    </row>
    <row r="221" spans="1:27" customFormat="1" ht="15.75" thickBot="1">
      <c r="A221" s="22" t="str">
        <f>'Input 4 - Forecast'!A82</f>
        <v>Denominated in foreign currency</v>
      </c>
      <c r="B221" s="1999" t="s">
        <v>52</v>
      </c>
      <c r="C221" s="2000"/>
      <c r="D221" s="2000"/>
      <c r="E221" s="2000"/>
      <c r="F221" s="2000"/>
      <c r="G221" s="2000"/>
      <c r="H221" s="2000"/>
      <c r="I221" s="2000"/>
      <c r="J221" s="2000"/>
      <c r="K221" s="2000"/>
      <c r="L221" s="2000"/>
      <c r="M221" s="2000"/>
      <c r="N221" s="2000"/>
      <c r="O221" s="2000"/>
      <c r="P221" s="2000"/>
      <c r="Q221" s="2000"/>
      <c r="R221" s="2000"/>
      <c r="S221" s="2000"/>
      <c r="T221" s="2000"/>
      <c r="U221" s="2000"/>
      <c r="V221" s="2000"/>
      <c r="W221" s="2000"/>
      <c r="X221" s="2000"/>
      <c r="Y221" s="2000"/>
      <c r="Z221" s="2000"/>
      <c r="AA221" s="2001"/>
    </row>
    <row r="222" spans="1:27">
      <c r="F222" s="15"/>
      <c r="H222" s="10"/>
      <c r="I222" s="10"/>
      <c r="J222" s="10"/>
      <c r="K222" s="10"/>
      <c r="L222" s="10"/>
      <c r="M222" s="10"/>
      <c r="N222" s="10"/>
      <c r="O222" s="10"/>
      <c r="P222" s="10"/>
      <c r="Q222" s="10"/>
      <c r="R222" s="10"/>
      <c r="S222" s="10"/>
      <c r="T222" s="10"/>
      <c r="U222" s="10"/>
      <c r="V222" s="10"/>
      <c r="W222" s="10"/>
      <c r="X222" s="10"/>
      <c r="Y222" s="10"/>
      <c r="Z222" s="10"/>
      <c r="AA222" s="10"/>
    </row>
    <row r="223" spans="1:27" customFormat="1">
      <c r="A223" s="23"/>
      <c r="B223" s="7">
        <f>B119</f>
        <v>2018</v>
      </c>
      <c r="C223" s="13" t="str">
        <f>$I93</f>
        <v>Semi-annual</v>
      </c>
      <c r="D223" s="13">
        <f>$J93</f>
        <v>0</v>
      </c>
      <c r="E223" s="13">
        <f>$K93</f>
        <v>0</v>
      </c>
      <c r="F223" s="14">
        <f>$L$93</f>
        <v>0</v>
      </c>
      <c r="G223" s="13"/>
      <c r="H223" s="9">
        <f>$B$93/$B$31</f>
        <v>0</v>
      </c>
      <c r="I223" s="9">
        <f>H223-P223</f>
        <v>0</v>
      </c>
      <c r="J223" s="9">
        <f>I223-Q223</f>
        <v>0</v>
      </c>
      <c r="K223" s="9">
        <f>J223-R223</f>
        <v>0</v>
      </c>
      <c r="L223" s="9">
        <f>K223-S223</f>
        <v>0</v>
      </c>
      <c r="M223" s="9">
        <f>L223-T223</f>
        <v>0</v>
      </c>
      <c r="N223" s="9"/>
      <c r="O223" s="9">
        <v>0</v>
      </c>
      <c r="P223" s="9">
        <f>H223</f>
        <v>0</v>
      </c>
      <c r="Q223" s="9">
        <v>0</v>
      </c>
      <c r="R223" s="9">
        <v>0</v>
      </c>
      <c r="S223" s="9">
        <v>0</v>
      </c>
      <c r="T223" s="9">
        <v>0</v>
      </c>
      <c r="U223" s="9"/>
      <c r="V223" s="9">
        <f>IF($C223="annual",IF(V$111=$B223,0,G223*$F223),IF(V$111-$B223=0,0,IF((V$111-$B223)&lt;$E223,AVERAGE(G223,H223)*$F223,IF((V$111-$B223)=$E223,G223*$F223/2,0))))</f>
        <v>0</v>
      </c>
      <c r="W223" s="9">
        <f t="shared" ref="W223:AA228" si="60">IF($C223="annual",IF(W$111=$B223,0,H223*$F223),IF(W$111-$B223=0,0,IF((W$111-$B223)&lt;$E223,AVERAGE(H223,I223)*$F223,IF((W$111-$B223)=$E223,H223*$F223/2,0))))</f>
        <v>0</v>
      </c>
      <c r="X223" s="9">
        <f t="shared" si="60"/>
        <v>0</v>
      </c>
      <c r="Y223" s="9">
        <f t="shared" si="60"/>
        <v>0</v>
      </c>
      <c r="Z223" s="9">
        <f t="shared" si="60"/>
        <v>0</v>
      </c>
      <c r="AA223" s="9">
        <f t="shared" si="60"/>
        <v>0</v>
      </c>
    </row>
    <row r="224" spans="1:27" customFormat="1">
      <c r="A224" s="23"/>
      <c r="B224" s="7">
        <f>B223+1</f>
        <v>2019</v>
      </c>
      <c r="C224" s="13" t="str">
        <f>C223</f>
        <v>Semi-annual</v>
      </c>
      <c r="D224" s="13">
        <f>D223</f>
        <v>0</v>
      </c>
      <c r="E224" s="13">
        <f>E223</f>
        <v>0</v>
      </c>
      <c r="F224" s="14">
        <f>$M$93</f>
        <v>2.0470863523532085E-2</v>
      </c>
      <c r="G224" s="13"/>
      <c r="H224" s="9"/>
      <c r="I224" s="9">
        <f ca="1">$C$93/$C$31</f>
        <v>0</v>
      </c>
      <c r="J224" s="9">
        <f ca="1">I224-Q224</f>
        <v>0</v>
      </c>
      <c r="K224" s="9">
        <f ca="1">J224-R224</f>
        <v>0</v>
      </c>
      <c r="L224" s="9">
        <f ca="1">K224-S224</f>
        <v>0</v>
      </c>
      <c r="M224" s="9">
        <f ca="1">L224-T224</f>
        <v>0</v>
      </c>
      <c r="N224" s="9"/>
      <c r="O224" s="9"/>
      <c r="P224" s="9">
        <v>0</v>
      </c>
      <c r="Q224" s="9">
        <f ca="1">I224</f>
        <v>0</v>
      </c>
      <c r="R224" s="9">
        <v>0</v>
      </c>
      <c r="S224" s="9">
        <v>0</v>
      </c>
      <c r="T224" s="9">
        <v>0</v>
      </c>
      <c r="U224" s="9"/>
      <c r="V224" s="9"/>
      <c r="W224" s="9">
        <f t="shared" si="60"/>
        <v>0</v>
      </c>
      <c r="X224" s="9">
        <f t="shared" si="60"/>
        <v>0</v>
      </c>
      <c r="Y224" s="9">
        <f t="shared" si="60"/>
        <v>0</v>
      </c>
      <c r="Z224" s="9">
        <f t="shared" si="60"/>
        <v>0</v>
      </c>
      <c r="AA224" s="9">
        <f t="shared" si="60"/>
        <v>0</v>
      </c>
    </row>
    <row r="225" spans="1:27" customFormat="1">
      <c r="A225" s="23"/>
      <c r="B225" s="7">
        <f>B224+1</f>
        <v>2020</v>
      </c>
      <c r="C225" s="13" t="str">
        <f>C224</f>
        <v>Semi-annual</v>
      </c>
      <c r="D225" s="13">
        <f t="shared" ref="D225:E228" si="61">D224</f>
        <v>0</v>
      </c>
      <c r="E225" s="13">
        <f t="shared" si="61"/>
        <v>0</v>
      </c>
      <c r="F225" s="14">
        <f>$N$93</f>
        <v>0</v>
      </c>
      <c r="G225" s="13"/>
      <c r="H225" s="9"/>
      <c r="I225" s="9"/>
      <c r="J225" s="9">
        <f ca="1">$D$93/$D$31</f>
        <v>0</v>
      </c>
      <c r="K225" s="9">
        <f ca="1">J225-R225</f>
        <v>0</v>
      </c>
      <c r="L225" s="9">
        <f ca="1">K225-S225</f>
        <v>0</v>
      </c>
      <c r="M225" s="9">
        <f ca="1">L225-T225</f>
        <v>0</v>
      </c>
      <c r="N225" s="9"/>
      <c r="O225" s="9"/>
      <c r="P225" s="9"/>
      <c r="Q225" s="9">
        <v>0</v>
      </c>
      <c r="R225" s="9">
        <f ca="1">J225</f>
        <v>0</v>
      </c>
      <c r="S225" s="9">
        <v>0</v>
      </c>
      <c r="T225" s="9">
        <v>0</v>
      </c>
      <c r="U225" s="9"/>
      <c r="V225" s="9"/>
      <c r="W225" s="9"/>
      <c r="X225" s="9">
        <f t="shared" si="60"/>
        <v>0</v>
      </c>
      <c r="Y225" s="9">
        <f t="shared" si="60"/>
        <v>0</v>
      </c>
      <c r="Z225" s="9">
        <f t="shared" si="60"/>
        <v>0</v>
      </c>
      <c r="AA225" s="9">
        <f t="shared" si="60"/>
        <v>0</v>
      </c>
    </row>
    <row r="226" spans="1:27" customFormat="1">
      <c r="A226" s="23"/>
      <c r="B226" s="7">
        <f>B225+1</f>
        <v>2021</v>
      </c>
      <c r="C226" s="13" t="str">
        <f>C225</f>
        <v>Semi-annual</v>
      </c>
      <c r="D226" s="13">
        <f t="shared" si="61"/>
        <v>0</v>
      </c>
      <c r="E226" s="13">
        <f t="shared" si="61"/>
        <v>0</v>
      </c>
      <c r="F226" s="14">
        <f>$O$93</f>
        <v>0</v>
      </c>
      <c r="G226" s="13"/>
      <c r="H226" s="9"/>
      <c r="I226" s="9"/>
      <c r="J226" s="9"/>
      <c r="K226" s="9">
        <f ca="1">$E$93/$E$31</f>
        <v>0</v>
      </c>
      <c r="L226" s="9">
        <f ca="1">K226-S226</f>
        <v>0</v>
      </c>
      <c r="M226" s="9">
        <f ca="1">L226-T226</f>
        <v>0</v>
      </c>
      <c r="N226" s="9"/>
      <c r="O226" s="9"/>
      <c r="P226" s="9"/>
      <c r="Q226" s="9"/>
      <c r="R226" s="9">
        <v>0</v>
      </c>
      <c r="S226" s="9">
        <f ca="1">K226</f>
        <v>0</v>
      </c>
      <c r="T226" s="9">
        <v>0</v>
      </c>
      <c r="U226" s="9"/>
      <c r="V226" s="9"/>
      <c r="W226" s="9"/>
      <c r="X226" s="9"/>
      <c r="Y226" s="9">
        <f t="shared" si="60"/>
        <v>0</v>
      </c>
      <c r="Z226" s="9">
        <f t="shared" si="60"/>
        <v>0</v>
      </c>
      <c r="AA226" s="9">
        <f t="shared" si="60"/>
        <v>0</v>
      </c>
    </row>
    <row r="227" spans="1:27" customFormat="1">
      <c r="A227" s="23"/>
      <c r="B227" s="7">
        <f>B226+1</f>
        <v>2022</v>
      </c>
      <c r="C227" s="13" t="str">
        <f>C226</f>
        <v>Semi-annual</v>
      </c>
      <c r="D227" s="13">
        <f t="shared" si="61"/>
        <v>0</v>
      </c>
      <c r="E227" s="13">
        <f t="shared" si="61"/>
        <v>0</v>
      </c>
      <c r="F227" s="14">
        <f>$P$93</f>
        <v>0</v>
      </c>
      <c r="G227" s="13"/>
      <c r="H227" s="9"/>
      <c r="I227" s="9"/>
      <c r="J227" s="9"/>
      <c r="K227" s="9"/>
      <c r="L227" s="9">
        <f ca="1">$F$93/$F$31</f>
        <v>0</v>
      </c>
      <c r="M227" s="9">
        <f ca="1">L227-T227</f>
        <v>0</v>
      </c>
      <c r="N227" s="9"/>
      <c r="O227" s="9"/>
      <c r="P227" s="9"/>
      <c r="Q227" s="9"/>
      <c r="R227" s="9"/>
      <c r="S227" s="9">
        <v>0</v>
      </c>
      <c r="T227" s="9">
        <f ca="1">L227</f>
        <v>0</v>
      </c>
      <c r="U227" s="9"/>
      <c r="V227" s="9"/>
      <c r="W227" s="9"/>
      <c r="X227" s="9"/>
      <c r="Y227" s="9"/>
      <c r="Z227" s="9">
        <f t="shared" si="60"/>
        <v>0</v>
      </c>
      <c r="AA227" s="9">
        <f t="shared" si="60"/>
        <v>0</v>
      </c>
    </row>
    <row r="228" spans="1:27" customFormat="1">
      <c r="A228" s="23"/>
      <c r="B228" s="7">
        <f>B227+1</f>
        <v>2023</v>
      </c>
      <c r="C228" s="13" t="str">
        <f>C227</f>
        <v>Semi-annual</v>
      </c>
      <c r="D228" s="13">
        <f t="shared" si="61"/>
        <v>0</v>
      </c>
      <c r="E228" s="13">
        <f t="shared" si="61"/>
        <v>0</v>
      </c>
      <c r="F228" s="14">
        <f>$Q$93</f>
        <v>0</v>
      </c>
      <c r="G228" s="13"/>
      <c r="H228" s="9"/>
      <c r="I228" s="9"/>
      <c r="J228" s="9"/>
      <c r="K228" s="9"/>
      <c r="L228" s="9"/>
      <c r="M228" s="9">
        <f ca="1">$G$93/$G$31</f>
        <v>0</v>
      </c>
      <c r="N228" s="9"/>
      <c r="O228" s="9"/>
      <c r="P228" s="9"/>
      <c r="Q228" s="9"/>
      <c r="R228" s="9"/>
      <c r="S228" s="9"/>
      <c r="T228" s="9">
        <v>0</v>
      </c>
      <c r="U228" s="9"/>
      <c r="V228" s="9"/>
      <c r="W228" s="9"/>
      <c r="X228" s="9"/>
      <c r="Y228" s="9"/>
      <c r="Z228" s="9"/>
      <c r="AA228" s="9">
        <f t="shared" si="60"/>
        <v>0</v>
      </c>
    </row>
    <row r="230" spans="1:27" ht="15.75" thickBot="1">
      <c r="A230" s="11" t="str">
        <f>'Input 4 - Forecast'!A75</f>
        <v>Long-term debt 3/</v>
      </c>
    </row>
    <row r="231" spans="1:27" ht="15.75" thickBot="1">
      <c r="A231" s="12" t="str">
        <f>'Input 4 - Forecast'!A76</f>
        <v>Denominated in local currency</v>
      </c>
      <c r="B231" s="1999" t="s">
        <v>51</v>
      </c>
      <c r="C231" s="2000"/>
      <c r="D231" s="2000"/>
      <c r="E231" s="2000"/>
      <c r="F231" s="2000"/>
      <c r="G231" s="2000"/>
      <c r="H231" s="2000"/>
      <c r="I231" s="2000"/>
      <c r="J231" s="2000"/>
      <c r="K231" s="2000"/>
      <c r="L231" s="2000"/>
      <c r="M231" s="2000"/>
      <c r="N231" s="2000"/>
      <c r="O231" s="2000"/>
      <c r="P231" s="2000"/>
      <c r="Q231" s="2000"/>
      <c r="R231" s="2000"/>
      <c r="S231" s="2000"/>
      <c r="T231" s="2000"/>
      <c r="U231" s="2000"/>
      <c r="V231" s="2000"/>
      <c r="W231" s="2000"/>
      <c r="X231" s="2000"/>
      <c r="Y231" s="2000"/>
      <c r="Z231" s="2000"/>
      <c r="AA231" s="2001"/>
    </row>
    <row r="233" spans="1:27">
      <c r="A233" s="8" t="str">
        <f>'Input 4 - Forecast'!A77</f>
        <v>Type 11</v>
      </c>
      <c r="B233" s="7">
        <f>B119</f>
        <v>2018</v>
      </c>
      <c r="C233" s="7" t="str">
        <f>$I96</f>
        <v>Annual</v>
      </c>
      <c r="D233" s="7">
        <f>$J96</f>
        <v>10</v>
      </c>
      <c r="E233" s="7">
        <f>$K96</f>
        <v>10</v>
      </c>
      <c r="F233" s="14">
        <f>$L$96</f>
        <v>1.125E-2</v>
      </c>
      <c r="H233" s="9">
        <f>$B$96</f>
        <v>499.99798625313935</v>
      </c>
      <c r="I233" s="9">
        <f>H233-P233</f>
        <v>499.99798625313935</v>
      </c>
      <c r="J233" s="9">
        <f>I233-Q233</f>
        <v>499.99798625313935</v>
      </c>
      <c r="K233" s="9">
        <f>J233-R233</f>
        <v>499.99798625313935</v>
      </c>
      <c r="L233" s="9">
        <f>K233-S233</f>
        <v>499.99798625313935</v>
      </c>
      <c r="M233" s="9">
        <f>L233-T233</f>
        <v>499.99798625313935</v>
      </c>
      <c r="N233" s="9"/>
      <c r="O233" s="9">
        <f t="shared" ref="O233:T233" si="62">IF(OR($C233="Annual",$D233=$E233),IF(AND($D233=$E233,O$111=$B233+$D233),$H233,IF(AND(O$111&gt;$B233+$D233,O$111&lt;=$B233+$E233), $H233/($E233-$D233),0)), IF(OR(O$111=$B233+$D233,O$111=$B233+$E233),$H233/(($E233-$D233)*2),IF(AND(O$111&gt;$B233+$D233,O$111&lt;$B233+$E233),$H233/($E233-$D233),0)))</f>
        <v>0</v>
      </c>
      <c r="P233" s="9">
        <f t="shared" si="62"/>
        <v>0</v>
      </c>
      <c r="Q233" s="9">
        <f t="shared" si="62"/>
        <v>0</v>
      </c>
      <c r="R233" s="9">
        <f t="shared" si="62"/>
        <v>0</v>
      </c>
      <c r="S233" s="9">
        <f t="shared" si="62"/>
        <v>0</v>
      </c>
      <c r="T233" s="9">
        <f t="shared" si="62"/>
        <v>0</v>
      </c>
      <c r="U233" s="9"/>
      <c r="V233" s="9">
        <f>IF($C233="annual",IF(V$111=$B233,0,G233*$F233),IF(V$111-$B233=0,0,IF((V$111-$B233)&lt;$E233,AVERAGE(G233,H233)*$F233,IF((V$111-$B233)=$E233,G233*$F233/2,0))))</f>
        <v>0</v>
      </c>
      <c r="W233" s="9">
        <f t="shared" ref="W233:AA238" si="63">IF($C233="annual",IF(W$111=$B233,0,H233*$F233),IF(W$111-$B233=0,0,IF((W$111-$B233)&lt;$E233,AVERAGE(H233,I233)*$F233,IF((W$111-$B233)=$E233,H233*$F233/2,0))))</f>
        <v>5.6249773453478173</v>
      </c>
      <c r="X233" s="9">
        <f t="shared" si="63"/>
        <v>5.6249773453478173</v>
      </c>
      <c r="Y233" s="9">
        <f t="shared" si="63"/>
        <v>5.6249773453478173</v>
      </c>
      <c r="Z233" s="9">
        <f t="shared" si="63"/>
        <v>5.6249773453478173</v>
      </c>
      <c r="AA233" s="9">
        <f t="shared" si="63"/>
        <v>5.6249773453478173</v>
      </c>
    </row>
    <row r="234" spans="1:27">
      <c r="A234" s="8" t="str">
        <f>A233</f>
        <v>Type 11</v>
      </c>
      <c r="B234" s="7">
        <f>B233+1</f>
        <v>2019</v>
      </c>
      <c r="C234" s="7" t="str">
        <f>C233</f>
        <v>Annual</v>
      </c>
      <c r="D234" s="7">
        <f t="shared" ref="D234:E238" si="64">D233</f>
        <v>10</v>
      </c>
      <c r="E234" s="7">
        <f t="shared" si="64"/>
        <v>10</v>
      </c>
      <c r="F234" s="14">
        <f>$M$96</f>
        <v>3.9220863523532087E-2</v>
      </c>
      <c r="H234" s="9"/>
      <c r="I234" s="9">
        <f ca="1">$C$96</f>
        <v>0</v>
      </c>
      <c r="J234" s="9">
        <f ca="1">I234-Q234</f>
        <v>0</v>
      </c>
      <c r="K234" s="9">
        <f ca="1">J234-R234</f>
        <v>0</v>
      </c>
      <c r="L234" s="9">
        <f ca="1">K234-S234</f>
        <v>0</v>
      </c>
      <c r="M234" s="9">
        <f ca="1">L234-T234</f>
        <v>0</v>
      </c>
      <c r="N234" s="9"/>
      <c r="O234" s="9"/>
      <c r="P234" s="9">
        <f>IF(OR($C234="Annual",$D234=$E234),IF(AND($D234=$E234,P$111=$B234+$D234),$I234,IF(AND(P$111&gt;$B234+$D234,P$111&lt;=$B234+$E234), $I234/($E234-$D234),0)), IF(OR(P$111=$B234+$D234,P$111=$B234+$E234),$I234/(($E234-$D234)*2),IF(AND(P$111&gt;$B234+$D234,P$111&lt;$B234+$E234),$I234/($E234-$D234),0)))</f>
        <v>0</v>
      </c>
      <c r="Q234" s="9">
        <f>IF(OR($C234="Annual",$D234=$E234),IF(AND($D234=$E234,Q$111=$B234+$D234),$I234,IF(AND(Q$111&gt;$B234+$D234,Q$111&lt;=$B234+$E234), $I234/($E234-$D234),0)), IF(OR(Q$111=$B234+$D234,Q$111=$B234+$E234),$I234/(($E234-$D234)*2),IF(AND(Q$111&gt;$B234+$D234,Q$111&lt;$B234+$E234),$I234/($E234-$D234),0)))</f>
        <v>0</v>
      </c>
      <c r="R234" s="9">
        <f>IF(OR($C234="Annual",$D234=$E234),IF(AND($D234=$E234,R$111=$B234+$D234),$I234,IF(AND(R$111&gt;$B234+$D234,R$111&lt;=$B234+$E234), $I234/($E234-$D234),0)), IF(OR(R$111=$B234+$D234,R$111=$B234+$E234),$I234/(($E234-$D234)*2),IF(AND(R$111&gt;$B234+$D234,R$111&lt;$B234+$E234),$I234/($E234-$D234),0)))</f>
        <v>0</v>
      </c>
      <c r="S234" s="9">
        <f>IF(OR($C234="Annual",$D234=$E234),IF(AND($D234=$E234,S$111=$B234+$D234),$I234,IF(AND(S$111&gt;$B234+$D234,S$111&lt;=$B234+$E234), $I234/($E234-$D234),0)), IF(OR(S$111=$B234+$D234,S$111=$B234+$E234),$I234/(($E234-$D234)*2),IF(AND(S$111&gt;$B234+$D234,S$111&lt;$B234+$E234),$I234/($E234-$D234),0)))</f>
        <v>0</v>
      </c>
      <c r="T234" s="9">
        <f>IF(OR($C234="Annual",$D234=$E234),IF(AND($D234=$E234,T$111=$B234+$D234),$I234,IF(AND(T$111&gt;$B234+$D234,T$111&lt;=$B234+$E234), $I234/($E234-$D234),0)), IF(OR(T$111=$B234+$D234,T$111=$B234+$E234),$I234/(($E234-$D234)*2),IF(AND(T$111&gt;$B234+$D234,T$111&lt;$B234+$E234),$I234/($E234-$D234),0)))</f>
        <v>0</v>
      </c>
      <c r="U234" s="9"/>
      <c r="V234" s="9"/>
      <c r="W234" s="9">
        <f t="shared" si="63"/>
        <v>0</v>
      </c>
      <c r="X234" s="9">
        <f t="shared" ca="1" si="63"/>
        <v>0</v>
      </c>
      <c r="Y234" s="9">
        <f t="shared" ca="1" si="63"/>
        <v>0</v>
      </c>
      <c r="Z234" s="9">
        <f t="shared" ca="1" si="63"/>
        <v>0</v>
      </c>
      <c r="AA234" s="9">
        <f t="shared" ca="1" si="63"/>
        <v>0</v>
      </c>
    </row>
    <row r="235" spans="1:27">
      <c r="A235" s="8" t="str">
        <f>A234</f>
        <v>Type 11</v>
      </c>
      <c r="B235" s="7">
        <f>B234+1</f>
        <v>2020</v>
      </c>
      <c r="C235" s="7" t="str">
        <f>C234</f>
        <v>Annual</v>
      </c>
      <c r="D235" s="7">
        <f t="shared" si="64"/>
        <v>10</v>
      </c>
      <c r="E235" s="7">
        <f t="shared" si="64"/>
        <v>10</v>
      </c>
      <c r="F235" s="14">
        <f>$N$96</f>
        <v>2.1999999999999999E-2</v>
      </c>
      <c r="H235" s="9"/>
      <c r="I235" s="9"/>
      <c r="J235" s="9">
        <f ca="1">$D$96</f>
        <v>0</v>
      </c>
      <c r="K235" s="9">
        <f ca="1">J235-R235</f>
        <v>0</v>
      </c>
      <c r="L235" s="9">
        <f ca="1">K235-S235</f>
        <v>0</v>
      </c>
      <c r="M235" s="9">
        <f ca="1">L235-T235</f>
        <v>0</v>
      </c>
      <c r="N235" s="9"/>
      <c r="O235" s="9"/>
      <c r="P235" s="9"/>
      <c r="Q235" s="9">
        <f>IF(OR($C235="Annual",$D235=$E235),IF(AND($D235=$E235,Q$111=$B235+$D235),$J235,IF(AND(Q$111&gt;$B235+$D235,Q$111&lt;=$B235+$E235), $J235/($E235-$D235),0)), IF(OR(Q$111=$B235+$D235,Q$111=$B235+$E235),$J235/(($E235-$D235)*2),IF(AND(Q$111&gt;$B235+$D235,Q$111&lt;$B235+$E235),$J235/($E235-$D235),0)))</f>
        <v>0</v>
      </c>
      <c r="R235" s="9">
        <f>IF(OR($C235="Annual",$D235=$E235),IF(AND($D235=$E235,R$111=$B235+$D235),$J235,IF(AND(R$111&gt;$B235+$D235,R$111&lt;=$B235+$E235), $J235/($E235-$D235),0)), IF(OR(R$111=$B235+$D235,R$111=$B235+$E235),$J235/(($E235-$D235)*2),IF(AND(R$111&gt;$B235+$D235,R$111&lt;$B235+$E235),$J235/($E235-$D235),0)))</f>
        <v>0</v>
      </c>
      <c r="S235" s="9">
        <f>IF(OR($C235="Annual",$D235=$E235),IF(AND($D235=$E235,S$111=$B235+$D235),$J235,IF(AND(S$111&gt;$B235+$D235,S$111&lt;=$B235+$E235), $J235/($E235-$D235),0)), IF(OR(S$111=$B235+$D235,S$111=$B235+$E235),$J235/(($E235-$D235)*2),IF(AND(S$111&gt;$B235+$D235,S$111&lt;$B235+$E235),$J235/($E235-$D235),0)))</f>
        <v>0</v>
      </c>
      <c r="T235" s="9">
        <f>IF(OR($C235="Annual",$D235=$E235),IF(AND($D235=$E235,T$111=$B235+$D235),$J235,IF(AND(T$111&gt;$B235+$D235,T$111&lt;=$B235+$E235), $J235/($E235-$D235),0)), IF(OR(T$111=$B235+$D235,T$111=$B235+$E235),$J235/(($E235-$D235)*2),IF(AND(T$111&gt;$B235+$D235,T$111&lt;$B235+$E235),$J235/($E235-$D235),0)))</f>
        <v>0</v>
      </c>
      <c r="U235" s="9"/>
      <c r="V235" s="9"/>
      <c r="W235" s="9"/>
      <c r="X235" s="9">
        <f t="shared" si="63"/>
        <v>0</v>
      </c>
      <c r="Y235" s="9">
        <f t="shared" ca="1" si="63"/>
        <v>0</v>
      </c>
      <c r="Z235" s="9">
        <f t="shared" ca="1" si="63"/>
        <v>0</v>
      </c>
      <c r="AA235" s="9">
        <f t="shared" ca="1" si="63"/>
        <v>0</v>
      </c>
    </row>
    <row r="236" spans="1:27">
      <c r="A236" s="8" t="str">
        <f>A235</f>
        <v>Type 11</v>
      </c>
      <c r="B236" s="7">
        <f>B235+1</f>
        <v>2021</v>
      </c>
      <c r="C236" s="7" t="str">
        <f>C235</f>
        <v>Annual</v>
      </c>
      <c r="D236" s="7">
        <f t="shared" si="64"/>
        <v>10</v>
      </c>
      <c r="E236" s="7">
        <f t="shared" si="64"/>
        <v>10</v>
      </c>
      <c r="F236" s="14">
        <f>$O$96</f>
        <v>2.1999999999999999E-2</v>
      </c>
      <c r="H236" s="9"/>
      <c r="I236" s="9"/>
      <c r="J236" s="9"/>
      <c r="K236" s="9">
        <f ca="1">$E$96</f>
        <v>0</v>
      </c>
      <c r="L236" s="9">
        <f ca="1">K236-S236</f>
        <v>0</v>
      </c>
      <c r="M236" s="9">
        <f ca="1">L236-T236</f>
        <v>0</v>
      </c>
      <c r="N236" s="9"/>
      <c r="O236" s="9"/>
      <c r="P236" s="9"/>
      <c r="Q236" s="9"/>
      <c r="R236" s="9">
        <f>IF(OR($C236="Annual",$D236=$E236),IF(AND($D236=$E236,R$111=$B236+$D236),$K236,IF(AND(R$111&gt;$B236+$D236,R$111&lt;=$B236+$E236), $K236/($E236-$D236),0)), IF(OR(R$111=$B236+$D236,R$111=$B236+$E236),$K236/(($E236-$D236)*2),IF(AND(R$111&gt;$B236+$D236,R$111&lt;$B236+$E236),$K236/($E236-$D236),0)))</f>
        <v>0</v>
      </c>
      <c r="S236" s="9">
        <f>IF(OR($C236="Annual",$D236=$E236),IF(AND($D236=$E236,S$111=$B236+$D236),$K236,IF(AND(S$111&gt;$B236+$D236,S$111&lt;=$B236+$E236), $K236/($E236-$D236),0)), IF(OR(S$111=$B236+$D236,S$111=$B236+$E236),$K236/(($E236-$D236)*2),IF(AND(S$111&gt;$B236+$D236,S$111&lt;$B236+$E236),$K236/($E236-$D236),0)))</f>
        <v>0</v>
      </c>
      <c r="T236" s="9">
        <f>IF(OR($C236="Annual",$D236=$E236),IF(AND($D236=$E236,T$111=$B236+$D236),$K236,IF(AND(T$111&gt;$B236+$D236,T$111&lt;=$B236+$E236), $K236/($E236-$D236),0)), IF(OR(T$111=$B236+$D236,T$111=$B236+$E236),$K236/(($E236-$D236)*2),IF(AND(T$111&gt;$B236+$D236,T$111&lt;$B236+$E236),$K236/($E236-$D236),0)))</f>
        <v>0</v>
      </c>
      <c r="U236" s="9"/>
      <c r="V236" s="9"/>
      <c r="W236" s="9"/>
      <c r="X236" s="9"/>
      <c r="Y236" s="9">
        <f t="shared" si="63"/>
        <v>0</v>
      </c>
      <c r="Z236" s="9">
        <f t="shared" ca="1" si="63"/>
        <v>0</v>
      </c>
      <c r="AA236" s="9">
        <f t="shared" ca="1" si="63"/>
        <v>0</v>
      </c>
    </row>
    <row r="237" spans="1:27">
      <c r="A237" s="8" t="str">
        <f>A236</f>
        <v>Type 11</v>
      </c>
      <c r="B237" s="7">
        <f>B236+1</f>
        <v>2022</v>
      </c>
      <c r="C237" s="7" t="str">
        <f>C236</f>
        <v>Annual</v>
      </c>
      <c r="D237" s="7">
        <f t="shared" si="64"/>
        <v>10</v>
      </c>
      <c r="E237" s="7">
        <f t="shared" si="64"/>
        <v>10</v>
      </c>
      <c r="F237" s="14">
        <f>$P$96</f>
        <v>2.1999999999999999E-2</v>
      </c>
      <c r="H237" s="9"/>
      <c r="I237" s="9"/>
      <c r="J237" s="9"/>
      <c r="K237" s="9"/>
      <c r="L237" s="9">
        <f ca="1">$F$96</f>
        <v>0</v>
      </c>
      <c r="M237" s="9">
        <f ca="1">L237-T237</f>
        <v>0</v>
      </c>
      <c r="N237" s="9"/>
      <c r="O237" s="9"/>
      <c r="P237" s="9"/>
      <c r="Q237" s="9"/>
      <c r="R237" s="9"/>
      <c r="S237" s="9">
        <f>IF(OR($C237="Annual",$D237=$E237),IF(AND($D237=$E237,S$111=$B237+$D237),$L237,IF(AND(S$111&gt;$B237+$D237,S$111&lt;=$B237+$E237), $L237/($E237-$D237),0)), IF(OR(S$111=$B237+$D237,S$111=$B237+$E237),$L237/(($E237-$D237)*2),IF(AND(S$111&gt;$B237+$D237,S$111&lt;$B237+$E237),$L237/($E237-$D237),0)))</f>
        <v>0</v>
      </c>
      <c r="T237" s="9">
        <f>IF(OR($C237="Annual",$D237=$E237),IF(AND($D237=$E237,T$111=$B237+$D237),$L237,IF(AND(T$111&gt;$B237+$D237,T$111&lt;=$B237+$E237), $L237/($E237-$D237),0)), IF(OR(T$111=$B237+$D237,T$111=$B237+$E237),$L237/(($E237-$D237)*2),IF(AND(T$111&gt;$B237+$D237,T$111&lt;$B237+$E237),$L237/($E237-$D237),0)))</f>
        <v>0</v>
      </c>
      <c r="U237" s="9"/>
      <c r="V237" s="9"/>
      <c r="W237" s="9"/>
      <c r="X237" s="9"/>
      <c r="Y237" s="9"/>
      <c r="Z237" s="9">
        <f t="shared" si="63"/>
        <v>0</v>
      </c>
      <c r="AA237" s="9">
        <f t="shared" ca="1" si="63"/>
        <v>0</v>
      </c>
    </row>
    <row r="238" spans="1:27">
      <c r="A238" s="8" t="str">
        <f>A237</f>
        <v>Type 11</v>
      </c>
      <c r="B238" s="7">
        <f>B237+1</f>
        <v>2023</v>
      </c>
      <c r="C238" s="7" t="str">
        <f>C237</f>
        <v>Annual</v>
      </c>
      <c r="D238" s="7">
        <f t="shared" si="64"/>
        <v>10</v>
      </c>
      <c r="E238" s="7">
        <f t="shared" si="64"/>
        <v>10</v>
      </c>
      <c r="F238" s="14">
        <f>$Q$96</f>
        <v>2.1999999999999999E-2</v>
      </c>
      <c r="H238" s="9"/>
      <c r="I238" s="9"/>
      <c r="J238" s="9"/>
      <c r="K238" s="9"/>
      <c r="L238" s="9"/>
      <c r="M238" s="9">
        <f ca="1">$G$96</f>
        <v>0</v>
      </c>
      <c r="N238" s="9"/>
      <c r="O238" s="9"/>
      <c r="P238" s="9"/>
      <c r="Q238" s="9"/>
      <c r="R238" s="9"/>
      <c r="S238" s="9"/>
      <c r="T238" s="9">
        <f>IF(OR($C238="Annual",$D238=$E238),IF(AND($D238=$E238,T$111=$B238+$D238),$M238,IF(AND(T$111&gt;$B238+$D238,T$111&lt;=$B238+$E238), $M238/($E238-$D238),0)), IF(OR(T$111=$B238+$D238,T$111=$B238+$E238),$M238/(($E238-$D238)*2),IF(AND(T$111&gt;$B238+$D238,T$111&lt;$B238+$E238),$M238/($E238-$D238),0)))</f>
        <v>0</v>
      </c>
      <c r="U238" s="9"/>
      <c r="V238" s="9"/>
      <c r="W238" s="9"/>
      <c r="X238" s="9"/>
      <c r="Y238" s="9"/>
      <c r="Z238" s="9"/>
      <c r="AA238" s="9">
        <f t="shared" si="63"/>
        <v>0</v>
      </c>
    </row>
    <row r="239" spans="1:27">
      <c r="C239" s="281"/>
      <c r="F239" s="15"/>
      <c r="H239" s="10"/>
      <c r="I239" s="10"/>
      <c r="J239" s="10"/>
      <c r="K239" s="10"/>
      <c r="L239" s="10"/>
      <c r="M239" s="10"/>
      <c r="N239" s="10"/>
      <c r="O239" s="278"/>
      <c r="P239" s="10"/>
      <c r="Q239" s="10"/>
      <c r="R239" s="10"/>
      <c r="S239" s="10"/>
      <c r="T239" s="10"/>
      <c r="U239" s="10"/>
      <c r="V239" s="10"/>
      <c r="W239" s="10"/>
      <c r="X239" s="10"/>
      <c r="Y239" s="10"/>
      <c r="Z239" s="10"/>
      <c r="AA239" s="10"/>
    </row>
    <row r="240" spans="1:27">
      <c r="A240" s="8" t="str">
        <f>'Input 4 - Forecast'!A78</f>
        <v>Type 12</v>
      </c>
      <c r="B240" s="7">
        <f>B119</f>
        <v>2018</v>
      </c>
      <c r="C240" s="7" t="str">
        <f>$I97</f>
        <v>Annual</v>
      </c>
      <c r="D240" s="7">
        <f>$J97</f>
        <v>30</v>
      </c>
      <c r="E240" s="7">
        <f>$K97</f>
        <v>30</v>
      </c>
      <c r="F240" s="14">
        <f>$L$97</f>
        <v>2.2499999999999999E-2</v>
      </c>
      <c r="H240" s="9">
        <f>$B$97</f>
        <v>499.99798625313935</v>
      </c>
      <c r="I240" s="9">
        <f>H240-P240</f>
        <v>499.99798625313935</v>
      </c>
      <c r="J240" s="9">
        <f>I240-Q240</f>
        <v>499.99798625313935</v>
      </c>
      <c r="K240" s="9">
        <f>J240-R240</f>
        <v>499.99798625313935</v>
      </c>
      <c r="L240" s="9">
        <f>K240-S240</f>
        <v>499.99798625313935</v>
      </c>
      <c r="M240" s="9">
        <f>L240-T240</f>
        <v>499.99798625313935</v>
      </c>
      <c r="N240" s="9"/>
      <c r="O240" s="9">
        <f t="shared" ref="O240:T240" si="65">IF(OR($C240="Annual",$D240=$E240),IF(AND($D240=$E240,O$111=$B240+$D240),$H240,IF(AND(O$111&gt;$B240+$D240,O$111&lt;=$B240+$E240), $H240/($E240-$D240),0)), IF(OR(O$111=$B240+$D240,O$111=$B240+$E240),$H240/(($E240-$D240)*2),IF(AND(O$111&gt;$B240+$D240,O$111&lt;$B240+$E240),$H240/($E240-$D240),0)))</f>
        <v>0</v>
      </c>
      <c r="P240" s="9">
        <f t="shared" si="65"/>
        <v>0</v>
      </c>
      <c r="Q240" s="9">
        <f t="shared" si="65"/>
        <v>0</v>
      </c>
      <c r="R240" s="9">
        <f t="shared" si="65"/>
        <v>0</v>
      </c>
      <c r="S240" s="9">
        <f t="shared" si="65"/>
        <v>0</v>
      </c>
      <c r="T240" s="9">
        <f t="shared" si="65"/>
        <v>0</v>
      </c>
      <c r="U240" s="9"/>
      <c r="V240" s="9">
        <f>IF($C240="annual",IF(V$111=$B240,0,G240*$F240),IF(V$111-$B240=0,0,IF((V$111-$B240)&lt;$E240,AVERAGE(G240,H240)*$F240,IF((V$111-$B240)=$E240,G240*$F240/2,0))))</f>
        <v>0</v>
      </c>
      <c r="W240" s="9">
        <f t="shared" ref="W240:AA245" si="66">IF($C240="annual",IF(W$111=$B240,0,H240*$F240),IF(W$111-$B240=0,0,IF((W$111-$B240)&lt;$E240,AVERAGE(H240,I240)*$F240,IF((W$111-$B240)=$E240,H240*$F240/2,0))))</f>
        <v>11.249954690695635</v>
      </c>
      <c r="X240" s="9">
        <f t="shared" si="66"/>
        <v>11.249954690695635</v>
      </c>
      <c r="Y240" s="9">
        <f t="shared" si="66"/>
        <v>11.249954690695635</v>
      </c>
      <c r="Z240" s="9">
        <f t="shared" si="66"/>
        <v>11.249954690695635</v>
      </c>
      <c r="AA240" s="9">
        <f t="shared" si="66"/>
        <v>11.249954690695635</v>
      </c>
    </row>
    <row r="241" spans="1:27">
      <c r="A241" s="8" t="str">
        <f>A240</f>
        <v>Type 12</v>
      </c>
      <c r="B241" s="7">
        <f>B240+1</f>
        <v>2019</v>
      </c>
      <c r="C241" s="7" t="str">
        <f>C240</f>
        <v>Annual</v>
      </c>
      <c r="D241" s="7">
        <f>D240</f>
        <v>30</v>
      </c>
      <c r="E241" s="7">
        <f>E240</f>
        <v>30</v>
      </c>
      <c r="F241" s="14">
        <f>$M$97</f>
        <v>2.0470863523532085E-2</v>
      </c>
      <c r="H241" s="9"/>
      <c r="I241" s="9">
        <f ca="1">$C$97</f>
        <v>0</v>
      </c>
      <c r="J241" s="9">
        <f ca="1">I241-Q241</f>
        <v>0</v>
      </c>
      <c r="K241" s="9">
        <f ca="1">J241-R241</f>
        <v>0</v>
      </c>
      <c r="L241" s="9">
        <f ca="1">K241-S241</f>
        <v>0</v>
      </c>
      <c r="M241" s="9">
        <f ca="1">L241-T241</f>
        <v>0</v>
      </c>
      <c r="N241" s="9"/>
      <c r="O241" s="9"/>
      <c r="P241" s="9">
        <f>IF(OR($C241="Annual",$D241=$E241),IF(AND($D241=$E241,P$111=$B241+$D241),$I241,IF(AND(P$111&gt;$B241+$D241,P$111&lt;=$B241+$E241), $I241/($E241-$D241),0)), IF(OR(P$111=$B241+$D241,P$111=$B241+$E241),$I241/(($E241-$D241)*2),IF(AND(P$111&gt;$B241+$D241,P$111&lt;$B241+$E241),$I241/($E241-$D241),0)))</f>
        <v>0</v>
      </c>
      <c r="Q241" s="9">
        <f>IF(OR($C241="Annual",$D241=$E241),IF(AND($D241=$E241,Q$111=$B241+$D241),$I241,IF(AND(Q$111&gt;$B241+$D241,Q$111&lt;=$B241+$E241), $I241/($E241-$D241),0)), IF(OR(Q$111=$B241+$D241,Q$111=$B241+$E241),$I241/(($E241-$D241)*2),IF(AND(Q$111&gt;$B241+$D241,Q$111&lt;$B241+$E241),$I241/($E241-$D241),0)))</f>
        <v>0</v>
      </c>
      <c r="R241" s="9">
        <f>IF(OR($C241="Annual",$D241=$E241),IF(AND($D241=$E241,R$111=$B241+$D241),$I241,IF(AND(R$111&gt;$B241+$D241,R$111&lt;=$B241+$E241), $I241/($E241-$D241),0)), IF(OR(R$111=$B241+$D241,R$111=$B241+$E241),$I241/(($E241-$D241)*2),IF(AND(R$111&gt;$B241+$D241,R$111&lt;$B241+$E241),$I241/($E241-$D241),0)))</f>
        <v>0</v>
      </c>
      <c r="S241" s="9">
        <f>IF(OR($C241="Annual",$D241=$E241),IF(AND($D241=$E241,S$111=$B241+$D241),$I241,IF(AND(S$111&gt;$B241+$D241,S$111&lt;=$B241+$E241), $I241/($E241-$D241),0)), IF(OR(S$111=$B241+$D241,S$111=$B241+$E241),$I241/(($E241-$D241)*2),IF(AND(S$111&gt;$B241+$D241,S$111&lt;$B241+$E241),$I241/($E241-$D241),0)))</f>
        <v>0</v>
      </c>
      <c r="T241" s="9">
        <f>IF(OR($C241="Annual",$D241=$E241),IF(AND($D241=$E241,T$111=$B241+$D241),$I241,IF(AND(T$111&gt;$B241+$D241,T$111&lt;=$B241+$E241), $I241/($E241-$D241),0)), IF(OR(T$111=$B241+$D241,T$111=$B241+$E241),$I241/(($E241-$D241)*2),IF(AND(T$111&gt;$B241+$D241,T$111&lt;$B241+$E241),$I241/($E241-$D241),0)))</f>
        <v>0</v>
      </c>
      <c r="U241" s="9"/>
      <c r="V241" s="9"/>
      <c r="W241" s="9">
        <f t="shared" si="66"/>
        <v>0</v>
      </c>
      <c r="X241" s="9">
        <f t="shared" ca="1" si="66"/>
        <v>0</v>
      </c>
      <c r="Y241" s="9">
        <f t="shared" ca="1" si="66"/>
        <v>0</v>
      </c>
      <c r="Z241" s="9">
        <f t="shared" ca="1" si="66"/>
        <v>0</v>
      </c>
      <c r="AA241" s="9">
        <f t="shared" ca="1" si="66"/>
        <v>0</v>
      </c>
    </row>
    <row r="242" spans="1:27">
      <c r="A242" s="8" t="str">
        <f>A241</f>
        <v>Type 12</v>
      </c>
      <c r="B242" s="7">
        <f>B241+1</f>
        <v>2020</v>
      </c>
      <c r="C242" s="7" t="str">
        <f>C241</f>
        <v>Annual</v>
      </c>
      <c r="D242" s="7">
        <f t="shared" ref="D242:E245" si="67">D241</f>
        <v>30</v>
      </c>
      <c r="E242" s="7">
        <f t="shared" si="67"/>
        <v>30</v>
      </c>
      <c r="F242" s="14">
        <f>$N$97</f>
        <v>0</v>
      </c>
      <c r="H242" s="9"/>
      <c r="I242" s="9"/>
      <c r="J242" s="9">
        <f ca="1">$D$97</f>
        <v>0</v>
      </c>
      <c r="K242" s="9">
        <f ca="1">J242-R242</f>
        <v>0</v>
      </c>
      <c r="L242" s="9">
        <f ca="1">K242-S242</f>
        <v>0</v>
      </c>
      <c r="M242" s="9">
        <f ca="1">L242-T242</f>
        <v>0</v>
      </c>
      <c r="N242" s="9"/>
      <c r="O242" s="9"/>
      <c r="P242" s="9"/>
      <c r="Q242" s="9">
        <f>IF(OR($C242="Annual",$D242=$E242),IF(AND($D242=$E242,Q$111=$B242+$D242),$J242,IF(AND(Q$111&gt;$B242+$D242,Q$111&lt;=$B242+$E242), $J242/($E242-$D242),0)), IF(OR(Q$111=$B242+$D242,Q$111=$B242+$E242),$J242/(($E242-$D242)*2),IF(AND(Q$111&gt;$B242+$D242,Q$111&lt;$B242+$E242),$J242/($E242-$D242),0)))</f>
        <v>0</v>
      </c>
      <c r="R242" s="9">
        <f>IF(OR($C242="Annual",$D242=$E242),IF(AND($D242=$E242,R$111=$B242+$D242),$J242,IF(AND(R$111&gt;$B242+$D242,R$111&lt;=$B242+$E242), $J242/($E242-$D242),0)), IF(OR(R$111=$B242+$D242,R$111=$B242+$E242),$J242/(($E242-$D242)*2),IF(AND(R$111&gt;$B242+$D242,R$111&lt;$B242+$E242),$J242/($E242-$D242),0)))</f>
        <v>0</v>
      </c>
      <c r="S242" s="9">
        <f>IF(OR($C242="Annual",$D242=$E242),IF(AND($D242=$E242,S$111=$B242+$D242),$J242,IF(AND(S$111&gt;$B242+$D242,S$111&lt;=$B242+$E242), $J242/($E242-$D242),0)), IF(OR(S$111=$B242+$D242,S$111=$B242+$E242),$J242/(($E242-$D242)*2),IF(AND(S$111&gt;$B242+$D242,S$111&lt;$B242+$E242),$J242/($E242-$D242),0)))</f>
        <v>0</v>
      </c>
      <c r="T242" s="9">
        <f>IF(OR($C242="Annual",$D242=$E242),IF(AND($D242=$E242,T$111=$B242+$D242),$J242,IF(AND(T$111&gt;$B242+$D242,T$111&lt;=$B242+$E242), $J242/($E242-$D242),0)), IF(OR(T$111=$B242+$D242,T$111=$B242+$E242),$J242/(($E242-$D242)*2),IF(AND(T$111&gt;$B242+$D242,T$111&lt;$B242+$E242),$J242/($E242-$D242),0)))</f>
        <v>0</v>
      </c>
      <c r="U242" s="9"/>
      <c r="V242" s="9"/>
      <c r="W242" s="9"/>
      <c r="X242" s="9">
        <f t="shared" si="66"/>
        <v>0</v>
      </c>
      <c r="Y242" s="9">
        <f t="shared" ca="1" si="66"/>
        <v>0</v>
      </c>
      <c r="Z242" s="9">
        <f t="shared" ca="1" si="66"/>
        <v>0</v>
      </c>
      <c r="AA242" s="9">
        <f t="shared" ca="1" si="66"/>
        <v>0</v>
      </c>
    </row>
    <row r="243" spans="1:27">
      <c r="A243" s="8" t="str">
        <f>A242</f>
        <v>Type 12</v>
      </c>
      <c r="B243" s="7">
        <f>B242+1</f>
        <v>2021</v>
      </c>
      <c r="C243" s="7" t="str">
        <f>C242</f>
        <v>Annual</v>
      </c>
      <c r="D243" s="7">
        <f t="shared" si="67"/>
        <v>30</v>
      </c>
      <c r="E243" s="7">
        <f t="shared" si="67"/>
        <v>30</v>
      </c>
      <c r="F243" s="14">
        <f>$O$97</f>
        <v>0</v>
      </c>
      <c r="H243" s="9"/>
      <c r="I243" s="9"/>
      <c r="J243" s="9"/>
      <c r="K243" s="9">
        <f ca="1">$E$97</f>
        <v>0</v>
      </c>
      <c r="L243" s="9">
        <f ca="1">K243-S243</f>
        <v>0</v>
      </c>
      <c r="M243" s="9">
        <f ca="1">L243-T243</f>
        <v>0</v>
      </c>
      <c r="N243" s="9"/>
      <c r="O243" s="9"/>
      <c r="P243" s="9"/>
      <c r="Q243" s="9"/>
      <c r="R243" s="9">
        <f>IF(OR($C243="Annual",$D243=$E243),IF(AND($D243=$E243,R$111=$B243+$D243),$K243,IF(AND(R$111&gt;$B243+$D243,R$111&lt;=$B243+$E243), $K243/($E243-$D243),0)), IF(OR(R$111=$B243+$D243,R$111=$B243+$E243),$K243/(($E243-$D243)*2),IF(AND(R$111&gt;$B243+$D243,R$111&lt;$B243+$E243),$K243/($E243-$D243),0)))</f>
        <v>0</v>
      </c>
      <c r="S243" s="9">
        <f>IF(OR($C243="Annual",$D243=$E243),IF(AND($D243=$E243,S$111=$B243+$D243),$K243,IF(AND(S$111&gt;$B243+$D243,S$111&lt;=$B243+$E243), $K243/($E243-$D243),0)), IF(OR(S$111=$B243+$D243,S$111=$B243+$E243),$K243/(($E243-$D243)*2),IF(AND(S$111&gt;$B243+$D243,S$111&lt;$B243+$E243),$K243/($E243-$D243),0)))</f>
        <v>0</v>
      </c>
      <c r="T243" s="9">
        <f>IF(OR($C243="Annual",$D243=$E243),IF(AND($D243=$E243,T$111=$B243+$D243),$K243,IF(AND(T$111&gt;$B243+$D243,T$111&lt;=$B243+$E243), $K243/($E243-$D243),0)), IF(OR(T$111=$B243+$D243,T$111=$B243+$E243),$K243/(($E243-$D243)*2),IF(AND(T$111&gt;$B243+$D243,T$111&lt;$B243+$E243),$K243/($E243-$D243),0)))</f>
        <v>0</v>
      </c>
      <c r="U243" s="9"/>
      <c r="V243" s="9"/>
      <c r="W243" s="9"/>
      <c r="X243" s="9"/>
      <c r="Y243" s="9">
        <f t="shared" si="66"/>
        <v>0</v>
      </c>
      <c r="Z243" s="9">
        <f t="shared" ca="1" si="66"/>
        <v>0</v>
      </c>
      <c r="AA243" s="9">
        <f t="shared" ca="1" si="66"/>
        <v>0</v>
      </c>
    </row>
    <row r="244" spans="1:27">
      <c r="A244" s="8" t="str">
        <f>A243</f>
        <v>Type 12</v>
      </c>
      <c r="B244" s="7">
        <f>B243+1</f>
        <v>2022</v>
      </c>
      <c r="C244" s="7" t="str">
        <f>C243</f>
        <v>Annual</v>
      </c>
      <c r="D244" s="7">
        <f t="shared" si="67"/>
        <v>30</v>
      </c>
      <c r="E244" s="7">
        <f t="shared" si="67"/>
        <v>30</v>
      </c>
      <c r="F244" s="14">
        <f>$P$97</f>
        <v>0</v>
      </c>
      <c r="H244" s="9"/>
      <c r="I244" s="9"/>
      <c r="J244" s="9"/>
      <c r="K244" s="9"/>
      <c r="L244" s="9">
        <f ca="1">$F$97</f>
        <v>0</v>
      </c>
      <c r="M244" s="9">
        <f ca="1">L244-T244</f>
        <v>0</v>
      </c>
      <c r="N244" s="9"/>
      <c r="O244" s="9"/>
      <c r="P244" s="9"/>
      <c r="Q244" s="9"/>
      <c r="R244" s="9"/>
      <c r="S244" s="9">
        <f>IF(OR($C244="Annual",$D244=$E244),IF(AND($D244=$E244,S$111=$B244+$D244),$L244,IF(AND(S$111&gt;$B244+$D244,S$111&lt;=$B244+$E244), $L244/($E244-$D244),0)), IF(OR(S$111=$B244+$D244,S$111=$B244+$E244),$L244/(($E244-$D244)*2),IF(AND(S$111&gt;$B244+$D244,S$111&lt;$B244+$E244),$L244/($E244-$D244),0)))</f>
        <v>0</v>
      </c>
      <c r="T244" s="9">
        <f>IF(OR($C244="Annual",$D244=$E244),IF(AND($D244=$E244,T$111=$B244+$D244),$L244,IF(AND(T$111&gt;$B244+$D244,T$111&lt;=$B244+$E244), $L244/($E244-$D244),0)), IF(OR(T$111=$B244+$D244,T$111=$B244+$E244),$L244/(($E244-$D244)*2),IF(AND(T$111&gt;$B244+$D244,T$111&lt;$B244+$E244),$L244/($E244-$D244),0)))</f>
        <v>0</v>
      </c>
      <c r="U244" s="9"/>
      <c r="V244" s="9"/>
      <c r="W244" s="9"/>
      <c r="X244" s="9"/>
      <c r="Y244" s="9"/>
      <c r="Z244" s="9">
        <f t="shared" si="66"/>
        <v>0</v>
      </c>
      <c r="AA244" s="9">
        <f t="shared" ca="1" si="66"/>
        <v>0</v>
      </c>
    </row>
    <row r="245" spans="1:27">
      <c r="A245" s="8" t="str">
        <f>A244</f>
        <v>Type 12</v>
      </c>
      <c r="B245" s="7">
        <f>B244+1</f>
        <v>2023</v>
      </c>
      <c r="C245" s="7" t="str">
        <f>C244</f>
        <v>Annual</v>
      </c>
      <c r="D245" s="7">
        <f t="shared" si="67"/>
        <v>30</v>
      </c>
      <c r="E245" s="7">
        <f t="shared" si="67"/>
        <v>30</v>
      </c>
      <c r="F245" s="14">
        <f>$Q$97</f>
        <v>0</v>
      </c>
      <c r="H245" s="9"/>
      <c r="I245" s="9"/>
      <c r="J245" s="9"/>
      <c r="K245" s="9"/>
      <c r="L245" s="9"/>
      <c r="M245" s="9">
        <f ca="1">$G$97</f>
        <v>0</v>
      </c>
      <c r="N245" s="9"/>
      <c r="O245" s="9"/>
      <c r="P245" s="9"/>
      <c r="Q245" s="9"/>
      <c r="R245" s="9"/>
      <c r="S245" s="9"/>
      <c r="T245" s="9">
        <f>IF(OR($C245="Annual",$D245=$E245),IF(AND($D245=$E245,T$111=$B245+$D245),$M245,IF(AND(T$111&gt;$B245+$D245,T$111&lt;=$B245+$E245), $M245/($E245-$D245),0)), IF(OR(T$111=$B245+$D245,T$111=$B245+$E245),$M245/(($E245-$D245)*2),IF(AND(T$111&gt;$B245+$D245,T$111&lt;$B245+$E245),$M245/($E245-$D245),0)))</f>
        <v>0</v>
      </c>
      <c r="U245" s="9"/>
      <c r="V245" s="9"/>
      <c r="W245" s="9"/>
      <c r="X245" s="9"/>
      <c r="Y245" s="9"/>
      <c r="Z245" s="9"/>
      <c r="AA245" s="9">
        <f t="shared" si="66"/>
        <v>0</v>
      </c>
    </row>
    <row r="246" spans="1:27">
      <c r="C246" s="281"/>
      <c r="F246" s="15"/>
      <c r="H246" s="10"/>
      <c r="I246" s="10"/>
      <c r="J246" s="10"/>
      <c r="K246" s="10"/>
      <c r="L246" s="10"/>
      <c r="M246" s="10"/>
      <c r="N246" s="10"/>
      <c r="O246" s="278"/>
      <c r="P246" s="10"/>
      <c r="Q246" s="10"/>
      <c r="R246" s="10"/>
      <c r="S246" s="10"/>
      <c r="T246" s="10"/>
      <c r="U246" s="10"/>
      <c r="V246" s="10"/>
      <c r="W246" s="10"/>
      <c r="X246" s="10"/>
      <c r="Y246" s="10"/>
      <c r="Z246" s="10"/>
      <c r="AA246" s="10"/>
    </row>
    <row r="247" spans="1:27">
      <c r="A247" s="8" t="str">
        <f>'Input 4 - Forecast'!A79</f>
        <v>Type 13</v>
      </c>
      <c r="B247" s="7">
        <f>B119</f>
        <v>2018</v>
      </c>
      <c r="C247" s="7" t="str">
        <f>$I98</f>
        <v>Annual</v>
      </c>
      <c r="D247" s="7">
        <f>$J98</f>
        <v>0</v>
      </c>
      <c r="E247" s="7">
        <f>$K98</f>
        <v>0</v>
      </c>
      <c r="F247" s="14">
        <f>$L$98</f>
        <v>0</v>
      </c>
      <c r="H247" s="9">
        <f>$B$98</f>
        <v>0</v>
      </c>
      <c r="I247" s="9">
        <f>H247-P247</f>
        <v>0</v>
      </c>
      <c r="J247" s="9">
        <f>I247-Q247</f>
        <v>0</v>
      </c>
      <c r="K247" s="9">
        <f>J247-R247</f>
        <v>0</v>
      </c>
      <c r="L247" s="9">
        <f>K247-S247</f>
        <v>0</v>
      </c>
      <c r="M247" s="9">
        <f>L247-T247</f>
        <v>0</v>
      </c>
      <c r="N247" s="9"/>
      <c r="O247" s="9">
        <f t="shared" ref="O247:T247" si="68">IF(OR($C247="Annual",$D247=$E247),IF(AND($D247=$E247,O$111=$B247+$D247),$H247,IF(AND(O$111&gt;$B247+$D247,O$111&lt;=$B247+$E247), $H247/($E247-$D247),0)), IF(OR(O$111=$B247+$D247,O$111=$B247+$E247),$H247/(($E247-$D247)*2),IF(AND(O$111&gt;$B247+$D247,O$111&lt;$B247+$E247),$H247/($E247-$D247),0)))</f>
        <v>0</v>
      </c>
      <c r="P247" s="9">
        <f t="shared" si="68"/>
        <v>0</v>
      </c>
      <c r="Q247" s="9">
        <f t="shared" si="68"/>
        <v>0</v>
      </c>
      <c r="R247" s="9">
        <f t="shared" si="68"/>
        <v>0</v>
      </c>
      <c r="S247" s="9">
        <f t="shared" si="68"/>
        <v>0</v>
      </c>
      <c r="T247" s="9">
        <f t="shared" si="68"/>
        <v>0</v>
      </c>
      <c r="U247" s="9"/>
      <c r="V247" s="9">
        <f>IF($C247="annual",IF(V$111=$B247,0,G247*$F247),IF(V$111-$B247=0,0,IF((V$111-$B247)&lt;$E247,AVERAGE(G247,H247)*$F247,IF((V$111-$B247)=$E247,G247*$F247/2,0))))</f>
        <v>0</v>
      </c>
      <c r="W247" s="9">
        <f t="shared" ref="W247:AA252" si="69">IF($C247="annual",IF(W$111=$B247,0,H247*$F247),IF(W$111-$B247=0,0,IF((W$111-$B247)&lt;$E247,AVERAGE(H247,I247)*$F247,IF((W$111-$B247)=$E247,H247*$F247/2,0))))</f>
        <v>0</v>
      </c>
      <c r="X247" s="9">
        <f t="shared" si="69"/>
        <v>0</v>
      </c>
      <c r="Y247" s="9">
        <f t="shared" si="69"/>
        <v>0</v>
      </c>
      <c r="Z247" s="9">
        <f t="shared" si="69"/>
        <v>0</v>
      </c>
      <c r="AA247" s="9">
        <f t="shared" si="69"/>
        <v>0</v>
      </c>
    </row>
    <row r="248" spans="1:27">
      <c r="A248" s="8" t="str">
        <f>A247</f>
        <v>Type 13</v>
      </c>
      <c r="B248" s="7">
        <f>B247+1</f>
        <v>2019</v>
      </c>
      <c r="C248" s="7" t="str">
        <f>C247</f>
        <v>Annual</v>
      </c>
      <c r="D248" s="7">
        <f t="shared" ref="D248:E252" si="70">D247</f>
        <v>0</v>
      </c>
      <c r="E248" s="7">
        <f t="shared" si="70"/>
        <v>0</v>
      </c>
      <c r="F248" s="14">
        <f>$M$98</f>
        <v>2.0470863523532085E-2</v>
      </c>
      <c r="H248" s="9"/>
      <c r="I248" s="9">
        <f ca="1">$C$98</f>
        <v>0</v>
      </c>
      <c r="J248" s="9">
        <f ca="1">I248-Q248</f>
        <v>0</v>
      </c>
      <c r="K248" s="9">
        <f ca="1">J248-R248</f>
        <v>0</v>
      </c>
      <c r="L248" s="9">
        <f ca="1">K248-S248</f>
        <v>0</v>
      </c>
      <c r="M248" s="9">
        <f ca="1">L248-T248</f>
        <v>0</v>
      </c>
      <c r="N248" s="9"/>
      <c r="O248" s="9"/>
      <c r="P248" s="9">
        <f ca="1">IF(OR($C248="Annual",$D248=$E248),IF(AND($D248=$E248,P$111=$B248+$D248),$I248,IF(AND(P$111&gt;$B248+$D248,P$111&lt;=$B248+$E248), $I248/($E248-$D248),0)), IF(OR(P$111=$B248+$D248,P$111=$B248+$E248),$I248/(($E248-$D248)*2),IF(AND(P$111&gt;$B248+$D248,P$111&lt;$B248+$E248),$I248/($E248-$D248),0)))</f>
        <v>0</v>
      </c>
      <c r="Q248" s="9">
        <f>IF(OR($C248="Annual",$D248=$E248),IF(AND($D248=$E248,Q$111=$B248+$D248),$I248,IF(AND(Q$111&gt;$B248+$D248,Q$111&lt;=$B248+$E248), $I248/($E248-$D248),0)), IF(OR(Q$111=$B248+$D248,Q$111=$B248+$E248),$I248/(($E248-$D248)*2),IF(AND(Q$111&gt;$B248+$D248,Q$111&lt;$B248+$E248),$I248/($E248-$D248),0)))</f>
        <v>0</v>
      </c>
      <c r="R248" s="9">
        <f>IF(OR($C248="Annual",$D248=$E248),IF(AND($D248=$E248,R$111=$B248+$D248),$I248,IF(AND(R$111&gt;$B248+$D248,R$111&lt;=$B248+$E248), $I248/($E248-$D248),0)), IF(OR(R$111=$B248+$D248,R$111=$B248+$E248),$I248/(($E248-$D248)*2),IF(AND(R$111&gt;$B248+$D248,R$111&lt;$B248+$E248),$I248/($E248-$D248),0)))</f>
        <v>0</v>
      </c>
      <c r="S248" s="9">
        <f>IF(OR($C248="Annual",$D248=$E248),IF(AND($D248=$E248,S$111=$B248+$D248),$I248,IF(AND(S$111&gt;$B248+$D248,S$111&lt;=$B248+$E248), $I248/($E248-$D248),0)), IF(OR(S$111=$B248+$D248,S$111=$B248+$E248),$I248/(($E248-$D248)*2),IF(AND(S$111&gt;$B248+$D248,S$111&lt;$B248+$E248),$I248/($E248-$D248),0)))</f>
        <v>0</v>
      </c>
      <c r="T248" s="9">
        <f>IF(OR($C248="Annual",$D248=$E248),IF(AND($D248=$E248,T$111=$B248+$D248),$I248,IF(AND(T$111&gt;$B248+$D248,T$111&lt;=$B248+$E248), $I248/($E248-$D248),0)), IF(OR(T$111=$B248+$D248,T$111=$B248+$E248),$I248/(($E248-$D248)*2),IF(AND(T$111&gt;$B248+$D248,T$111&lt;$B248+$E248),$I248/($E248-$D248),0)))</f>
        <v>0</v>
      </c>
      <c r="U248" s="9"/>
      <c r="V248" s="9"/>
      <c r="W248" s="9">
        <f t="shared" si="69"/>
        <v>0</v>
      </c>
      <c r="X248" s="9">
        <f t="shared" ca="1" si="69"/>
        <v>0</v>
      </c>
      <c r="Y248" s="9">
        <f t="shared" ca="1" si="69"/>
        <v>0</v>
      </c>
      <c r="Z248" s="9">
        <f t="shared" ca="1" si="69"/>
        <v>0</v>
      </c>
      <c r="AA248" s="9">
        <f t="shared" ca="1" si="69"/>
        <v>0</v>
      </c>
    </row>
    <row r="249" spans="1:27">
      <c r="A249" s="8" t="str">
        <f>A248</f>
        <v>Type 13</v>
      </c>
      <c r="B249" s="7">
        <f>B248+1</f>
        <v>2020</v>
      </c>
      <c r="C249" s="7" t="str">
        <f>C248</f>
        <v>Annual</v>
      </c>
      <c r="D249" s="7">
        <f t="shared" si="70"/>
        <v>0</v>
      </c>
      <c r="E249" s="7">
        <f t="shared" si="70"/>
        <v>0</v>
      </c>
      <c r="F249" s="14">
        <f>$N$98</f>
        <v>0</v>
      </c>
      <c r="H249" s="9"/>
      <c r="I249" s="9"/>
      <c r="J249" s="9">
        <f ca="1">$D$98</f>
        <v>0</v>
      </c>
      <c r="K249" s="9">
        <f ca="1">J249-R249</f>
        <v>0</v>
      </c>
      <c r="L249" s="9">
        <f ca="1">K249-S249</f>
        <v>0</v>
      </c>
      <c r="M249" s="9">
        <f ca="1">L249-T249</f>
        <v>0</v>
      </c>
      <c r="N249" s="9"/>
      <c r="O249" s="9"/>
      <c r="P249" s="9"/>
      <c r="Q249" s="9">
        <f ca="1">IF(OR($C249="Annual",$D249=$E249),IF(AND($D249=$E249,Q$111=$B249+$D249),$J249,IF(AND(Q$111&gt;$B249+$D249,Q$111&lt;=$B249+$E249), $J249/($E249-$D249),0)), IF(OR(Q$111=$B249+$D249,Q$111=$B249+$E249),$J249/(($E249-$D249)*2),IF(AND(Q$111&gt;$B249+$D249,Q$111&lt;$B249+$E249),$J249/($E249-$D249),0)))</f>
        <v>0</v>
      </c>
      <c r="R249" s="9">
        <f>IF(OR($C249="Annual",$D249=$E249),IF(AND($D249=$E249,R$111=$B249+$D249),$J249,IF(AND(R$111&gt;$B249+$D249,R$111&lt;=$B249+$E249), $J249/($E249-$D249),0)), IF(OR(R$111=$B249+$D249,R$111=$B249+$E249),$J249/(($E249-$D249)*2),IF(AND(R$111&gt;$B249+$D249,R$111&lt;$B249+$E249),$J249/($E249-$D249),0)))</f>
        <v>0</v>
      </c>
      <c r="S249" s="9">
        <f>IF(OR($C249="Annual",$D249=$E249),IF(AND($D249=$E249,S$111=$B249+$D249),$J249,IF(AND(S$111&gt;$B249+$D249,S$111&lt;=$B249+$E249), $J249/($E249-$D249),0)), IF(OR(S$111=$B249+$D249,S$111=$B249+$E249),$J249/(($E249-$D249)*2),IF(AND(S$111&gt;$B249+$D249,S$111&lt;$B249+$E249),$J249/($E249-$D249),0)))</f>
        <v>0</v>
      </c>
      <c r="T249" s="9">
        <f>IF(OR($C249="Annual",$D249=$E249),IF(AND($D249=$E249,T$111=$B249+$D249),$J249,IF(AND(T$111&gt;$B249+$D249,T$111&lt;=$B249+$E249), $J249/($E249-$D249),0)), IF(OR(T$111=$B249+$D249,T$111=$B249+$E249),$J249/(($E249-$D249)*2),IF(AND(T$111&gt;$B249+$D249,T$111&lt;$B249+$E249),$J249/($E249-$D249),0)))</f>
        <v>0</v>
      </c>
      <c r="U249" s="9"/>
      <c r="V249" s="9"/>
      <c r="W249" s="9"/>
      <c r="X249" s="9">
        <f t="shared" si="69"/>
        <v>0</v>
      </c>
      <c r="Y249" s="9">
        <f t="shared" ca="1" si="69"/>
        <v>0</v>
      </c>
      <c r="Z249" s="9">
        <f t="shared" ca="1" si="69"/>
        <v>0</v>
      </c>
      <c r="AA249" s="9">
        <f t="shared" ca="1" si="69"/>
        <v>0</v>
      </c>
    </row>
    <row r="250" spans="1:27">
      <c r="A250" s="8" t="str">
        <f>A249</f>
        <v>Type 13</v>
      </c>
      <c r="B250" s="7">
        <f>B249+1</f>
        <v>2021</v>
      </c>
      <c r="C250" s="7" t="str">
        <f>C249</f>
        <v>Annual</v>
      </c>
      <c r="D250" s="7">
        <f t="shared" si="70"/>
        <v>0</v>
      </c>
      <c r="E250" s="7">
        <f t="shared" si="70"/>
        <v>0</v>
      </c>
      <c r="F250" s="14">
        <f>$O$98</f>
        <v>0</v>
      </c>
      <c r="H250" s="9"/>
      <c r="I250" s="9"/>
      <c r="J250" s="9"/>
      <c r="K250" s="9">
        <f ca="1">$E$98</f>
        <v>0</v>
      </c>
      <c r="L250" s="9">
        <f ca="1">K250-S250</f>
        <v>0</v>
      </c>
      <c r="M250" s="9">
        <f ca="1">L250-T250</f>
        <v>0</v>
      </c>
      <c r="N250" s="9"/>
      <c r="O250" s="9"/>
      <c r="P250" s="9"/>
      <c r="Q250" s="9"/>
      <c r="R250" s="9">
        <f ca="1">IF(OR($C250="Annual",$D250=$E250),IF(AND($D250=$E250,R$111=$B250+$D250),$K250,IF(AND(R$111&gt;$B250+$D250,R$111&lt;=$B250+$E250), $K250/($E250-$D250),0)), IF(OR(R$111=$B250+$D250,R$111=$B250+$E250),$K250/(($E250-$D250)*2),IF(AND(R$111&gt;$B250+$D250,R$111&lt;$B250+$E250),$K250/($E250-$D250),0)))</f>
        <v>0</v>
      </c>
      <c r="S250" s="9">
        <f>IF(OR($C250="Annual",$D250=$E250),IF(AND($D250=$E250,S$111=$B250+$D250),$K250,IF(AND(S$111&gt;$B250+$D250,S$111&lt;=$B250+$E250), $K250/($E250-$D250),0)), IF(OR(S$111=$B250+$D250,S$111=$B250+$E250),$K250/(($E250-$D250)*2),IF(AND(S$111&gt;$B250+$D250,S$111&lt;$B250+$E250),$K250/($E250-$D250),0)))</f>
        <v>0</v>
      </c>
      <c r="T250" s="9">
        <f>IF(OR($C250="Annual",$D250=$E250),IF(AND($D250=$E250,T$111=$B250+$D250),$K250,IF(AND(T$111&gt;$B250+$D250,T$111&lt;=$B250+$E250), $K250/($E250-$D250),0)), IF(OR(T$111=$B250+$D250,T$111=$B250+$E250),$K250/(($E250-$D250)*2),IF(AND(T$111&gt;$B250+$D250,T$111&lt;$B250+$E250),$K250/($E250-$D250),0)))</f>
        <v>0</v>
      </c>
      <c r="U250" s="9"/>
      <c r="V250" s="9"/>
      <c r="W250" s="9"/>
      <c r="X250" s="9"/>
      <c r="Y250" s="9">
        <f t="shared" si="69"/>
        <v>0</v>
      </c>
      <c r="Z250" s="9">
        <f t="shared" ca="1" si="69"/>
        <v>0</v>
      </c>
      <c r="AA250" s="9">
        <f t="shared" ca="1" si="69"/>
        <v>0</v>
      </c>
    </row>
    <row r="251" spans="1:27">
      <c r="A251" s="8" t="str">
        <f>A250</f>
        <v>Type 13</v>
      </c>
      <c r="B251" s="7">
        <f>B250+1</f>
        <v>2022</v>
      </c>
      <c r="C251" s="7" t="str">
        <f>C250</f>
        <v>Annual</v>
      </c>
      <c r="D251" s="7">
        <f t="shared" si="70"/>
        <v>0</v>
      </c>
      <c r="E251" s="7">
        <f t="shared" si="70"/>
        <v>0</v>
      </c>
      <c r="F251" s="14">
        <f>$P$98</f>
        <v>0</v>
      </c>
      <c r="H251" s="9"/>
      <c r="I251" s="9"/>
      <c r="J251" s="9"/>
      <c r="K251" s="9"/>
      <c r="L251" s="9">
        <f ca="1">$F$98</f>
        <v>0</v>
      </c>
      <c r="M251" s="9">
        <f ca="1">L251-T251</f>
        <v>0</v>
      </c>
      <c r="N251" s="9"/>
      <c r="O251" s="9"/>
      <c r="P251" s="9"/>
      <c r="Q251" s="9"/>
      <c r="R251" s="9"/>
      <c r="S251" s="9">
        <f ca="1">IF(OR($C251="Annual",$D251=$E251),IF(AND($D251=$E251,S$111=$B251+$D251),$L251,IF(AND(S$111&gt;$B251+$D251,S$111&lt;=$B251+$E251), $L251/($E251-$D251),0)), IF(OR(S$111=$B251+$D251,S$111=$B251+$E251),$L251/(($E251-$D251)*2),IF(AND(S$111&gt;$B251+$D251,S$111&lt;$B251+$E251),$L251/($E251-$D251),0)))</f>
        <v>0</v>
      </c>
      <c r="T251" s="9">
        <f>IF(OR($C251="Annual",$D251=$E251),IF(AND($D251=$E251,T$111=$B251+$D251),$L251,IF(AND(T$111&gt;$B251+$D251,T$111&lt;=$B251+$E251), $L251/($E251-$D251),0)), IF(OR(T$111=$B251+$D251,T$111=$B251+$E251),$L251/(($E251-$D251)*2),IF(AND(T$111&gt;$B251+$D251,T$111&lt;$B251+$E251),$L251/($E251-$D251),0)))</f>
        <v>0</v>
      </c>
      <c r="U251" s="9"/>
      <c r="V251" s="9"/>
      <c r="W251" s="9"/>
      <c r="X251" s="9"/>
      <c r="Y251" s="9"/>
      <c r="Z251" s="9">
        <f t="shared" si="69"/>
        <v>0</v>
      </c>
      <c r="AA251" s="9">
        <f t="shared" ca="1" si="69"/>
        <v>0</v>
      </c>
    </row>
    <row r="252" spans="1:27">
      <c r="A252" s="8" t="str">
        <f>A251</f>
        <v>Type 13</v>
      </c>
      <c r="B252" s="7">
        <f>B251+1</f>
        <v>2023</v>
      </c>
      <c r="C252" s="7" t="str">
        <f>C251</f>
        <v>Annual</v>
      </c>
      <c r="D252" s="7">
        <f t="shared" si="70"/>
        <v>0</v>
      </c>
      <c r="E252" s="7">
        <f t="shared" si="70"/>
        <v>0</v>
      </c>
      <c r="F252" s="14">
        <f>$Q$98</f>
        <v>0</v>
      </c>
      <c r="H252" s="9"/>
      <c r="I252" s="9"/>
      <c r="J252" s="9"/>
      <c r="K252" s="9"/>
      <c r="L252" s="9"/>
      <c r="M252" s="9">
        <f ca="1">$G$98</f>
        <v>0</v>
      </c>
      <c r="N252" s="9"/>
      <c r="O252" s="9"/>
      <c r="P252" s="9"/>
      <c r="Q252" s="9"/>
      <c r="R252" s="9"/>
      <c r="S252" s="9"/>
      <c r="T252" s="9">
        <f ca="1">IF(OR($C252="Annual",$D252=$E252),IF(AND($D252=$E252,T$111=$B252+$D252),$M252,IF(AND(T$111&gt;$B252+$D252,T$111&lt;=$B252+$E252), $M252/($E252-$D252),0)), IF(OR(T$111=$B252+$D252,T$111=$B252+$E252),$M252/(($E252-$D252)*2),IF(AND(T$111&gt;$B252+$D252,T$111&lt;$B252+$E252),$M252/($E252-$D252),0)))</f>
        <v>0</v>
      </c>
      <c r="U252" s="9"/>
      <c r="V252" s="9"/>
      <c r="W252" s="9"/>
      <c r="X252" s="9"/>
      <c r="Y252" s="9"/>
      <c r="Z252" s="9"/>
      <c r="AA252" s="9">
        <f t="shared" si="69"/>
        <v>0</v>
      </c>
    </row>
    <row r="253" spans="1:27">
      <c r="C253" s="281"/>
      <c r="F253" s="15"/>
      <c r="H253" s="10"/>
      <c r="I253" s="10"/>
      <c r="J253" s="10"/>
      <c r="K253" s="10"/>
      <c r="L253" s="10"/>
      <c r="M253" s="10"/>
      <c r="N253" s="10"/>
      <c r="O253" s="278"/>
      <c r="P253" s="10"/>
      <c r="Q253" s="10"/>
      <c r="R253" s="10"/>
      <c r="S253" s="10"/>
      <c r="T253" s="10"/>
      <c r="U253" s="10"/>
      <c r="V253" s="10"/>
      <c r="W253" s="10"/>
      <c r="X253" s="10"/>
      <c r="Y253" s="10"/>
      <c r="Z253" s="10"/>
      <c r="AA253" s="10"/>
    </row>
    <row r="254" spans="1:27">
      <c r="A254" s="8" t="str">
        <f>'Input 4 - Forecast'!A80</f>
        <v>Type 14</v>
      </c>
      <c r="B254" s="7">
        <f>B119</f>
        <v>2018</v>
      </c>
      <c r="C254" s="7" t="str">
        <f>$I99</f>
        <v>Annual</v>
      </c>
      <c r="D254" s="7">
        <f>$J99</f>
        <v>0</v>
      </c>
      <c r="E254" s="7">
        <f>$K99</f>
        <v>0</v>
      </c>
      <c r="F254" s="14">
        <f>$L$99</f>
        <v>0</v>
      </c>
      <c r="H254" s="9">
        <f>$B$99</f>
        <v>0</v>
      </c>
      <c r="I254" s="9">
        <f>H254-P254</f>
        <v>0</v>
      </c>
      <c r="J254" s="9">
        <f>I254-Q254</f>
        <v>0</v>
      </c>
      <c r="K254" s="9">
        <f>J254-R254</f>
        <v>0</v>
      </c>
      <c r="L254" s="9">
        <f>K254-S254</f>
        <v>0</v>
      </c>
      <c r="M254" s="9">
        <f>L254-T254</f>
        <v>0</v>
      </c>
      <c r="N254" s="9"/>
      <c r="O254" s="9">
        <f t="shared" ref="O254:T254" si="71">IF(OR($C254="Annual",$D254=$E254),IF(AND($D254=$E254,O$111=$B254+$D254),$H254,IF(AND(O$111&gt;$B254+$D254,O$111&lt;=$B254+$E254), $H254/($E254-$D254),0)), IF(OR(O$111=$B254+$D254,O$111=$B254+$E254),$H254/(($E254-$D254)*2),IF(AND(O$111&gt;$B254+$D254,O$111&lt;$B254+$E254),$H254/($E254-$D254),0)))</f>
        <v>0</v>
      </c>
      <c r="P254" s="9">
        <f t="shared" si="71"/>
        <v>0</v>
      </c>
      <c r="Q254" s="9">
        <f t="shared" si="71"/>
        <v>0</v>
      </c>
      <c r="R254" s="9">
        <f t="shared" si="71"/>
        <v>0</v>
      </c>
      <c r="S254" s="9">
        <f t="shared" si="71"/>
        <v>0</v>
      </c>
      <c r="T254" s="9">
        <f t="shared" si="71"/>
        <v>0</v>
      </c>
      <c r="U254" s="9"/>
      <c r="V254" s="9">
        <f>IF($C254="annual",IF(V$111=$B254,0,G254*$F254),IF(V$111-$B254=0,0,IF((V$111-$B254)&lt;$E254,AVERAGE(G254,H254)*$F254,IF((V$111-$B254)=$E254,G254*$F254/2,0))))</f>
        <v>0</v>
      </c>
      <c r="W254" s="9">
        <f t="shared" ref="W254:AA259" si="72">IF($C254="annual",IF(W$111=$B254,0,H254*$F254),IF(W$111-$B254=0,0,IF((W$111-$B254)&lt;$E254,AVERAGE(H254,I254)*$F254,IF((W$111-$B254)=$E254,H254*$F254/2,0))))</f>
        <v>0</v>
      </c>
      <c r="X254" s="9">
        <f t="shared" si="72"/>
        <v>0</v>
      </c>
      <c r="Y254" s="9">
        <f t="shared" si="72"/>
        <v>0</v>
      </c>
      <c r="Z254" s="9">
        <f t="shared" si="72"/>
        <v>0</v>
      </c>
      <c r="AA254" s="9">
        <f t="shared" si="72"/>
        <v>0</v>
      </c>
    </row>
    <row r="255" spans="1:27">
      <c r="A255" s="8" t="str">
        <f>A254</f>
        <v>Type 14</v>
      </c>
      <c r="B255" s="7">
        <f>B254+1</f>
        <v>2019</v>
      </c>
      <c r="C255" s="7" t="str">
        <f>C254</f>
        <v>Annual</v>
      </c>
      <c r="D255" s="7">
        <f t="shared" ref="D255:E259" si="73">D254</f>
        <v>0</v>
      </c>
      <c r="E255" s="7">
        <f t="shared" si="73"/>
        <v>0</v>
      </c>
      <c r="F255" s="14">
        <f>$M$99</f>
        <v>2.0470863523532085E-2</v>
      </c>
      <c r="H255" s="9"/>
      <c r="I255" s="9">
        <f ca="1">$C$99</f>
        <v>0</v>
      </c>
      <c r="J255" s="9">
        <f ca="1">I255-Q255</f>
        <v>0</v>
      </c>
      <c r="K255" s="9">
        <f ca="1">J255-R255</f>
        <v>0</v>
      </c>
      <c r="L255" s="9">
        <f ca="1">K255-S255</f>
        <v>0</v>
      </c>
      <c r="M255" s="9">
        <f ca="1">L255-T255</f>
        <v>0</v>
      </c>
      <c r="N255" s="9"/>
      <c r="O255" s="9"/>
      <c r="P255" s="9">
        <f ca="1">IF(OR($C255="Annual",$D255=$E255),IF(AND($D255=$E255,P$111=$B255+$D255),$I255,IF(AND(P$111&gt;$B255+$D255,P$111&lt;=$B255+$E255), $I255/($E255-$D255),0)), IF(OR(P$111=$B255+$D255,P$111=$B255+$E255),$I255/(($E255-$D255)*2),IF(AND(P$111&gt;$B255+$D255,P$111&lt;$B255+$E255),$I255/($E255-$D255),0)))</f>
        <v>0</v>
      </c>
      <c r="Q255" s="9">
        <f>IF(OR($C255="Annual",$D255=$E255),IF(AND($D255=$E255,Q$111=$B255+$D255),$I255,IF(AND(Q$111&gt;$B255+$D255,Q$111&lt;=$B255+$E255), $I255/($E255-$D255),0)), IF(OR(Q$111=$B255+$D255,Q$111=$B255+$E255),$I255/(($E255-$D255)*2),IF(AND(Q$111&gt;$B255+$D255,Q$111&lt;$B255+$E255),$I255/($E255-$D255),0)))</f>
        <v>0</v>
      </c>
      <c r="R255" s="9">
        <f>IF(OR($C255="Annual",$D255=$E255),IF(AND($D255=$E255,R$111=$B255+$D255),$I255,IF(AND(R$111&gt;$B255+$D255,R$111&lt;=$B255+$E255), $I255/($E255-$D255),0)), IF(OR(R$111=$B255+$D255,R$111=$B255+$E255),$I255/(($E255-$D255)*2),IF(AND(R$111&gt;$B255+$D255,R$111&lt;$B255+$E255),$I255/($E255-$D255),0)))</f>
        <v>0</v>
      </c>
      <c r="S255" s="9">
        <f>IF(OR($C255="Annual",$D255=$E255),IF(AND($D255=$E255,S$111=$B255+$D255),$I255,IF(AND(S$111&gt;$B255+$D255,S$111&lt;=$B255+$E255), $I255/($E255-$D255),0)), IF(OR(S$111=$B255+$D255,S$111=$B255+$E255),$I255/(($E255-$D255)*2),IF(AND(S$111&gt;$B255+$D255,S$111&lt;$B255+$E255),$I255/($E255-$D255),0)))</f>
        <v>0</v>
      </c>
      <c r="T255" s="9">
        <f>IF(OR($C255="Annual",$D255=$E255),IF(AND($D255=$E255,T$111=$B255+$D255),$I255,IF(AND(T$111&gt;$B255+$D255,T$111&lt;=$B255+$E255), $I255/($E255-$D255),0)), IF(OR(T$111=$B255+$D255,T$111=$B255+$E255),$I255/(($E255-$D255)*2),IF(AND(T$111&gt;$B255+$D255,T$111&lt;$B255+$E255),$I255/($E255-$D255),0)))</f>
        <v>0</v>
      </c>
      <c r="U255" s="9"/>
      <c r="V255" s="9"/>
      <c r="W255" s="9">
        <f t="shared" si="72"/>
        <v>0</v>
      </c>
      <c r="X255" s="9">
        <f t="shared" ca="1" si="72"/>
        <v>0</v>
      </c>
      <c r="Y255" s="9">
        <f t="shared" ca="1" si="72"/>
        <v>0</v>
      </c>
      <c r="Z255" s="9">
        <f t="shared" ca="1" si="72"/>
        <v>0</v>
      </c>
      <c r="AA255" s="9">
        <f t="shared" ca="1" si="72"/>
        <v>0</v>
      </c>
    </row>
    <row r="256" spans="1:27">
      <c r="A256" s="8" t="str">
        <f>A255</f>
        <v>Type 14</v>
      </c>
      <c r="B256" s="7">
        <f>B255+1</f>
        <v>2020</v>
      </c>
      <c r="C256" s="7" t="str">
        <f>C255</f>
        <v>Annual</v>
      </c>
      <c r="D256" s="7">
        <f t="shared" si="73"/>
        <v>0</v>
      </c>
      <c r="E256" s="7">
        <f t="shared" si="73"/>
        <v>0</v>
      </c>
      <c r="F256" s="14">
        <f>$N$99</f>
        <v>0</v>
      </c>
      <c r="H256" s="9"/>
      <c r="I256" s="9"/>
      <c r="J256" s="9">
        <f ca="1">$D$99</f>
        <v>0</v>
      </c>
      <c r="K256" s="9">
        <f ca="1">J256-R256</f>
        <v>0</v>
      </c>
      <c r="L256" s="9">
        <f ca="1">K256-S256</f>
        <v>0</v>
      </c>
      <c r="M256" s="9">
        <f ca="1">L256-T256</f>
        <v>0</v>
      </c>
      <c r="N256" s="9"/>
      <c r="O256" s="9"/>
      <c r="P256" s="9"/>
      <c r="Q256" s="9">
        <f ca="1">IF(OR($C256="Annual",$D256=$E256),IF(AND($D256=$E256,Q$111=$B256+$D256),$J256,IF(AND(Q$111&gt;$B256+$D256,Q$111&lt;=$B256+$E256), $J256/($E256-$D256),0)), IF(OR(Q$111=$B256+$D256,Q$111=$B256+$E256),$J256/(($E256-$D256)*2),IF(AND(Q$111&gt;$B256+$D256,Q$111&lt;$B256+$E256),$J256/($E256-$D256),0)))</f>
        <v>0</v>
      </c>
      <c r="R256" s="9">
        <f>IF(OR($C256="Annual",$D256=$E256),IF(AND($D256=$E256,R$111=$B256+$D256),$J256,IF(AND(R$111&gt;$B256+$D256,R$111&lt;=$B256+$E256), $J256/($E256-$D256),0)), IF(OR(R$111=$B256+$D256,R$111=$B256+$E256),$J256/(($E256-$D256)*2),IF(AND(R$111&gt;$B256+$D256,R$111&lt;$B256+$E256),$J256/($E256-$D256),0)))</f>
        <v>0</v>
      </c>
      <c r="S256" s="9">
        <f>IF(OR($C256="Annual",$D256=$E256),IF(AND($D256=$E256,S$111=$B256+$D256),$J256,IF(AND(S$111&gt;$B256+$D256,S$111&lt;=$B256+$E256), $J256/($E256-$D256),0)), IF(OR(S$111=$B256+$D256,S$111=$B256+$E256),$J256/(($E256-$D256)*2),IF(AND(S$111&gt;$B256+$D256,S$111&lt;$B256+$E256),$J256/($E256-$D256),0)))</f>
        <v>0</v>
      </c>
      <c r="T256" s="9">
        <f>IF(OR($C256="Annual",$D256=$E256),IF(AND($D256=$E256,T$111=$B256+$D256),$J256,IF(AND(T$111&gt;$B256+$D256,T$111&lt;=$B256+$E256), $J256/($E256-$D256),0)), IF(OR(T$111=$B256+$D256,T$111=$B256+$E256),$J256/(($E256-$D256)*2),IF(AND(T$111&gt;$B256+$D256,T$111&lt;$B256+$E256),$J256/($E256-$D256),0)))</f>
        <v>0</v>
      </c>
      <c r="U256" s="9"/>
      <c r="V256" s="9"/>
      <c r="W256" s="9"/>
      <c r="X256" s="9">
        <f t="shared" si="72"/>
        <v>0</v>
      </c>
      <c r="Y256" s="9">
        <f t="shared" ca="1" si="72"/>
        <v>0</v>
      </c>
      <c r="Z256" s="9">
        <f t="shared" ca="1" si="72"/>
        <v>0</v>
      </c>
      <c r="AA256" s="9">
        <f t="shared" ca="1" si="72"/>
        <v>0</v>
      </c>
    </row>
    <row r="257" spans="1:27">
      <c r="A257" s="8" t="str">
        <f>A256</f>
        <v>Type 14</v>
      </c>
      <c r="B257" s="7">
        <f>B256+1</f>
        <v>2021</v>
      </c>
      <c r="C257" s="7" t="str">
        <f>C256</f>
        <v>Annual</v>
      </c>
      <c r="D257" s="7">
        <f t="shared" si="73"/>
        <v>0</v>
      </c>
      <c r="E257" s="7">
        <f t="shared" si="73"/>
        <v>0</v>
      </c>
      <c r="F257" s="14">
        <f>$O$99</f>
        <v>0</v>
      </c>
      <c r="H257" s="9"/>
      <c r="I257" s="9"/>
      <c r="J257" s="9"/>
      <c r="K257" s="9">
        <f ca="1">$E$99</f>
        <v>0</v>
      </c>
      <c r="L257" s="9">
        <f ca="1">K257-S257</f>
        <v>0</v>
      </c>
      <c r="M257" s="9">
        <f ca="1">L257-T257</f>
        <v>0</v>
      </c>
      <c r="N257" s="9"/>
      <c r="O257" s="9"/>
      <c r="P257" s="9"/>
      <c r="Q257" s="9"/>
      <c r="R257" s="9">
        <f ca="1">IF(OR($C257="Annual",$D257=$E257),IF(AND($D257=$E257,R$111=$B257+$D257),$K257,IF(AND(R$111&gt;$B257+$D257,R$111&lt;=$B257+$E257), $K257/($E257-$D257),0)), IF(OR(R$111=$B257+$D257,R$111=$B257+$E257),$K257/(($E257-$D257)*2),IF(AND(R$111&gt;$B257+$D257,R$111&lt;$B257+$E257),$K257/($E257-$D257),0)))</f>
        <v>0</v>
      </c>
      <c r="S257" s="9">
        <f>IF(OR($C257="Annual",$D257=$E257),IF(AND($D257=$E257,S$111=$B257+$D257),$K257,IF(AND(S$111&gt;$B257+$D257,S$111&lt;=$B257+$E257), $K257/($E257-$D257),0)), IF(OR(S$111=$B257+$D257,S$111=$B257+$E257),$K257/(($E257-$D257)*2),IF(AND(S$111&gt;$B257+$D257,S$111&lt;$B257+$E257),$K257/($E257-$D257),0)))</f>
        <v>0</v>
      </c>
      <c r="T257" s="9">
        <f>IF(OR($C257="Annual",$D257=$E257),IF(AND($D257=$E257,T$111=$B257+$D257),$K257,IF(AND(T$111&gt;$B257+$D257,T$111&lt;=$B257+$E257), $K257/($E257-$D257),0)), IF(OR(T$111=$B257+$D257,T$111=$B257+$E257),$K257/(($E257-$D257)*2),IF(AND(T$111&gt;$B257+$D257,T$111&lt;$B257+$E257),$K257/($E257-$D257),0)))</f>
        <v>0</v>
      </c>
      <c r="U257" s="9"/>
      <c r="V257" s="9"/>
      <c r="W257" s="9"/>
      <c r="X257" s="9"/>
      <c r="Y257" s="9">
        <f t="shared" si="72"/>
        <v>0</v>
      </c>
      <c r="Z257" s="9">
        <f t="shared" ca="1" si="72"/>
        <v>0</v>
      </c>
      <c r="AA257" s="9">
        <f t="shared" ca="1" si="72"/>
        <v>0</v>
      </c>
    </row>
    <row r="258" spans="1:27">
      <c r="A258" s="8" t="str">
        <f>A257</f>
        <v>Type 14</v>
      </c>
      <c r="B258" s="7">
        <f>B257+1</f>
        <v>2022</v>
      </c>
      <c r="C258" s="7" t="str">
        <f>C257</f>
        <v>Annual</v>
      </c>
      <c r="D258" s="7">
        <f t="shared" si="73"/>
        <v>0</v>
      </c>
      <c r="E258" s="7">
        <f t="shared" si="73"/>
        <v>0</v>
      </c>
      <c r="F258" s="14">
        <f>$P$99</f>
        <v>0</v>
      </c>
      <c r="H258" s="9"/>
      <c r="I258" s="9"/>
      <c r="J258" s="9"/>
      <c r="K258" s="9"/>
      <c r="L258" s="9">
        <f ca="1">$F$99</f>
        <v>0</v>
      </c>
      <c r="M258" s="9">
        <f ca="1">L258-T258</f>
        <v>0</v>
      </c>
      <c r="N258" s="9"/>
      <c r="O258" s="9"/>
      <c r="P258" s="9"/>
      <c r="Q258" s="9"/>
      <c r="R258" s="9"/>
      <c r="S258" s="9">
        <f ca="1">IF(OR($C258="Annual",$D258=$E258),IF(AND($D258=$E258,S$111=$B258+$D258),$L258,IF(AND(S$111&gt;$B258+$D258,S$111&lt;=$B258+$E258), $L258/($E258-$D258),0)), IF(OR(S$111=$B258+$D258,S$111=$B258+$E258),$L258/(($E258-$D258)*2),IF(AND(S$111&gt;$B258+$D258,S$111&lt;$B258+$E258),$L258/($E258-$D258),0)))</f>
        <v>0</v>
      </c>
      <c r="T258" s="9">
        <f>IF(OR($C258="Annual",$D258=$E258),IF(AND($D258=$E258,T$111=$B258+$D258),$L258,IF(AND(T$111&gt;$B258+$D258,T$111&lt;=$B258+$E258), $L258/($E258-$D258),0)), IF(OR(T$111=$B258+$D258,T$111=$B258+$E258),$L258/(($E258-$D258)*2),IF(AND(T$111&gt;$B258+$D258,T$111&lt;$B258+$E258),$L258/($E258-$D258),0)))</f>
        <v>0</v>
      </c>
      <c r="U258" s="9"/>
      <c r="V258" s="9"/>
      <c r="W258" s="9"/>
      <c r="X258" s="9"/>
      <c r="Y258" s="9"/>
      <c r="Z258" s="9">
        <f t="shared" si="72"/>
        <v>0</v>
      </c>
      <c r="AA258" s="9">
        <f t="shared" ca="1" si="72"/>
        <v>0</v>
      </c>
    </row>
    <row r="259" spans="1:27">
      <c r="A259" s="8" t="str">
        <f>A258</f>
        <v>Type 14</v>
      </c>
      <c r="B259" s="7">
        <f>B258+1</f>
        <v>2023</v>
      </c>
      <c r="C259" s="7" t="str">
        <f>C258</f>
        <v>Annual</v>
      </c>
      <c r="D259" s="7">
        <f t="shared" si="73"/>
        <v>0</v>
      </c>
      <c r="E259" s="7">
        <f t="shared" si="73"/>
        <v>0</v>
      </c>
      <c r="F259" s="14">
        <f>$Q$99</f>
        <v>0</v>
      </c>
      <c r="H259" s="9"/>
      <c r="I259" s="9"/>
      <c r="J259" s="9"/>
      <c r="K259" s="9"/>
      <c r="L259" s="9"/>
      <c r="M259" s="9">
        <f ca="1">$G$99</f>
        <v>0</v>
      </c>
      <c r="N259" s="9"/>
      <c r="O259" s="9"/>
      <c r="P259" s="9"/>
      <c r="Q259" s="9"/>
      <c r="R259" s="9"/>
      <c r="S259" s="9"/>
      <c r="T259" s="9">
        <f ca="1">IF(OR($C259="Annual",$D259=$E259),IF(AND($D259=$E259,T$111=$B259+$D259),$M259,IF(AND(T$111&gt;$B259+$D259,T$111&lt;=$B259+$E259), $M259/($E259-$D259),0)), IF(OR(T$111=$B259+$D259,T$111=$B259+$E259),$M259/(($E259-$D259)*2),IF(AND(T$111&gt;$B259+$D259,T$111&lt;$B259+$E259),$M259/($E259-$D259),0)))</f>
        <v>0</v>
      </c>
      <c r="U259" s="9"/>
      <c r="V259" s="9"/>
      <c r="W259" s="9"/>
      <c r="X259" s="9"/>
      <c r="Y259" s="9"/>
      <c r="Z259" s="9"/>
      <c r="AA259" s="9">
        <f t="shared" si="72"/>
        <v>0</v>
      </c>
    </row>
    <row r="260" spans="1:27">
      <c r="C260" s="281"/>
      <c r="F260" s="15"/>
      <c r="H260" s="10"/>
      <c r="I260" s="10"/>
      <c r="J260" s="10"/>
      <c r="K260" s="10"/>
      <c r="L260" s="10"/>
      <c r="M260" s="10"/>
      <c r="N260" s="10"/>
      <c r="O260" s="278"/>
      <c r="P260" s="10"/>
      <c r="Q260" s="10"/>
      <c r="R260" s="10"/>
      <c r="S260" s="10"/>
      <c r="T260" s="10"/>
      <c r="U260" s="10"/>
      <c r="V260" s="10"/>
      <c r="W260" s="10"/>
      <c r="X260" s="10"/>
      <c r="Y260" s="10"/>
      <c r="Z260" s="10"/>
      <c r="AA260" s="10"/>
    </row>
    <row r="261" spans="1:27" s="1150" customFormat="1">
      <c r="A261" s="1347" t="str">
        <f>'Input 4 - Forecast'!A81</f>
        <v>ZERO-COUPON BOND</v>
      </c>
      <c r="B261" s="1348">
        <f>B119</f>
        <v>2018</v>
      </c>
      <c r="C261" s="1348"/>
      <c r="D261" s="1348">
        <f>$J100</f>
        <v>0</v>
      </c>
      <c r="E261" s="1348">
        <f>$K100</f>
        <v>0</v>
      </c>
      <c r="F261" s="1349">
        <f>$L$100</f>
        <v>0</v>
      </c>
      <c r="H261" s="1350">
        <f>$B$100</f>
        <v>0</v>
      </c>
      <c r="I261" s="1350">
        <f>H261-P261</f>
        <v>0</v>
      </c>
      <c r="J261" s="1350">
        <f>I261-Q261</f>
        <v>0</v>
      </c>
      <c r="K261" s="1350">
        <f>J261-R261</f>
        <v>0</v>
      </c>
      <c r="L261" s="1350">
        <f>K261-S261</f>
        <v>0</v>
      </c>
      <c r="M261" s="1350">
        <f>L261-T261</f>
        <v>0</v>
      </c>
      <c r="N261" s="1350"/>
      <c r="O261" s="1350">
        <f t="shared" ref="O261:T261" si="74">IF($D261=$E261,IF(O$111=$B261+$E261,$H261,0),0)</f>
        <v>0</v>
      </c>
      <c r="P261" s="1350">
        <f t="shared" si="74"/>
        <v>0</v>
      </c>
      <c r="Q261" s="1350">
        <f t="shared" si="74"/>
        <v>0</v>
      </c>
      <c r="R261" s="1350">
        <f t="shared" si="74"/>
        <v>0</v>
      </c>
      <c r="S261" s="1350">
        <f t="shared" si="74"/>
        <v>0</v>
      </c>
      <c r="T261" s="1350">
        <f t="shared" si="74"/>
        <v>0</v>
      </c>
      <c r="U261" s="1350"/>
      <c r="V261" s="1350">
        <f t="shared" ref="V261:AA261" si="75">IF(V$111-$B261=$D261,$H261*(((1+$F261)^$D261)-1),0)</f>
        <v>0</v>
      </c>
      <c r="W261" s="1350">
        <f t="shared" si="75"/>
        <v>0</v>
      </c>
      <c r="X261" s="1350">
        <f t="shared" si="75"/>
        <v>0</v>
      </c>
      <c r="Y261" s="1350">
        <f t="shared" si="75"/>
        <v>0</v>
      </c>
      <c r="Z261" s="1350">
        <f t="shared" si="75"/>
        <v>0</v>
      </c>
      <c r="AA261" s="1350">
        <f t="shared" si="75"/>
        <v>0</v>
      </c>
    </row>
    <row r="262" spans="1:27" s="1150" customFormat="1">
      <c r="A262" s="1347" t="str">
        <f>A261</f>
        <v>ZERO-COUPON BOND</v>
      </c>
      <c r="B262" s="1348">
        <f>B261+1</f>
        <v>2019</v>
      </c>
      <c r="C262" s="1348"/>
      <c r="D262" s="1348">
        <f t="shared" ref="D262:E266" si="76">D261</f>
        <v>0</v>
      </c>
      <c r="E262" s="1348">
        <f t="shared" si="76"/>
        <v>0</v>
      </c>
      <c r="F262" s="1349">
        <f>$M$100</f>
        <v>2.0470863523532085E-2</v>
      </c>
      <c r="H262" s="1350"/>
      <c r="I262" s="1350">
        <f ca="1">$C$100</f>
        <v>0</v>
      </c>
      <c r="J262" s="1350">
        <f ca="1">I262-Q262</f>
        <v>0</v>
      </c>
      <c r="K262" s="1350">
        <f ca="1">J262-R262</f>
        <v>0</v>
      </c>
      <c r="L262" s="1350">
        <f ca="1">K262-S262</f>
        <v>0</v>
      </c>
      <c r="M262" s="1350">
        <f ca="1">L262-T262</f>
        <v>0</v>
      </c>
      <c r="N262" s="1350"/>
      <c r="O262" s="1351"/>
      <c r="P262" s="1350">
        <f ca="1">IF($D262=$E262,IF(P$111=$B262+$E262,$I262,0),0)</f>
        <v>0</v>
      </c>
      <c r="Q262" s="1350">
        <f>IF($D262=$E262,IF(Q$111=$B262+$E262,$I262,0),0)</f>
        <v>0</v>
      </c>
      <c r="R262" s="1350">
        <f>IF($D262=$E262,IF(R$111=$B262+$E262,$I262,0),0)</f>
        <v>0</v>
      </c>
      <c r="S262" s="1350">
        <f>IF($D262=$E262,IF(S$111=$B262+$E262,$I262,0),0)</f>
        <v>0</v>
      </c>
      <c r="T262" s="1350">
        <f>IF($D262=$E262,IF(T$111=$B262+$E262,$I262,0),0)</f>
        <v>0</v>
      </c>
      <c r="U262" s="1350"/>
      <c r="V262" s="1350"/>
      <c r="W262" s="1350">
        <f ca="1">IF(W$111-$B262=$D262,$I262*(((1+$F262)^$D262)-1),0)</f>
        <v>0</v>
      </c>
      <c r="X262" s="1350">
        <f>IF(X$111-$B262=$D262,$I262*(((1+$F262)^$D262)-1),0)</f>
        <v>0</v>
      </c>
      <c r="Y262" s="1350">
        <f>IF(Y$111-$B262=$D262,$I262*(((1+$F262)^$D262)-1),0)</f>
        <v>0</v>
      </c>
      <c r="Z262" s="1350">
        <f>IF(Z$111-$B262=$D262,$I262*(((1+$F262)^$D262)-1),0)</f>
        <v>0</v>
      </c>
      <c r="AA262" s="1350">
        <f>IF(AA$111-$B262=$D262,$I262*(((1+$F262)^$D262)-1),0)</f>
        <v>0</v>
      </c>
    </row>
    <row r="263" spans="1:27" s="1150" customFormat="1">
      <c r="A263" s="1347" t="str">
        <f>A262</f>
        <v>ZERO-COUPON BOND</v>
      </c>
      <c r="B263" s="1348">
        <f>B262+1</f>
        <v>2020</v>
      </c>
      <c r="C263" s="1348"/>
      <c r="D263" s="1348">
        <f t="shared" si="76"/>
        <v>0</v>
      </c>
      <c r="E263" s="1348">
        <f t="shared" si="76"/>
        <v>0</v>
      </c>
      <c r="F263" s="1349">
        <f>$N$100</f>
        <v>0</v>
      </c>
      <c r="H263" s="1350"/>
      <c r="I263" s="1350"/>
      <c r="J263" s="1350">
        <f ca="1">$D$100</f>
        <v>0</v>
      </c>
      <c r="K263" s="1350">
        <f ca="1">J263-R263</f>
        <v>0</v>
      </c>
      <c r="L263" s="1350">
        <f ca="1">K263-S263</f>
        <v>0</v>
      </c>
      <c r="M263" s="1350">
        <f ca="1">L263-T263</f>
        <v>0</v>
      </c>
      <c r="N263" s="1350"/>
      <c r="O263" s="1351"/>
      <c r="P263" s="1350"/>
      <c r="Q263" s="1350">
        <f ca="1">IF($D263=$E263,IF(Q$111=$B263+$E263,$J263,0),0)</f>
        <v>0</v>
      </c>
      <c r="R263" s="1350">
        <f>IF($D263=$E263,IF(R$111=$B263+$E263,$J263,0),0)</f>
        <v>0</v>
      </c>
      <c r="S263" s="1350">
        <f>IF($D263=$E263,IF(S$111=$B263+$E263,$J263,0),0)</f>
        <v>0</v>
      </c>
      <c r="T263" s="1350">
        <f>IF($D263=$E263,IF(T$111=$B263+$E263,$J263,0),0)</f>
        <v>0</v>
      </c>
      <c r="U263" s="1350"/>
      <c r="V263" s="1350"/>
      <c r="W263" s="1350"/>
      <c r="X263" s="1350">
        <f ca="1">IF(X$111-$B263=$D263,$J263*(((1+$F263)^$D263)-1),0)</f>
        <v>0</v>
      </c>
      <c r="Y263" s="1350">
        <f>IF(Y$111-$B263=$D263,$J263*(((1+$F263)^$D263)-1),0)</f>
        <v>0</v>
      </c>
      <c r="Z263" s="1350">
        <f>IF(Z$111-$B263=$D263,$J263*(((1+$F263)^$D263)-1),0)</f>
        <v>0</v>
      </c>
      <c r="AA263" s="1350">
        <f>IF(AA$111-$B263=$D263,$J263*(((1+$F263)^$D263)-1),0)</f>
        <v>0</v>
      </c>
    </row>
    <row r="264" spans="1:27" s="1150" customFormat="1">
      <c r="A264" s="1347" t="str">
        <f>A263</f>
        <v>ZERO-COUPON BOND</v>
      </c>
      <c r="B264" s="1348">
        <f>B263+1</f>
        <v>2021</v>
      </c>
      <c r="C264" s="1348"/>
      <c r="D264" s="1348">
        <f t="shared" si="76"/>
        <v>0</v>
      </c>
      <c r="E264" s="1348">
        <f t="shared" si="76"/>
        <v>0</v>
      </c>
      <c r="F264" s="1349">
        <f>$O$100</f>
        <v>0</v>
      </c>
      <c r="H264" s="1350"/>
      <c r="I264" s="1350"/>
      <c r="J264" s="1350"/>
      <c r="K264" s="1350">
        <f ca="1">$E$100</f>
        <v>0</v>
      </c>
      <c r="L264" s="1350">
        <f ca="1">K264-S264</f>
        <v>0</v>
      </c>
      <c r="M264" s="1350">
        <f ca="1">L264-T264</f>
        <v>0</v>
      </c>
      <c r="N264" s="1350"/>
      <c r="O264" s="1351"/>
      <c r="P264" s="1350"/>
      <c r="Q264" s="1350"/>
      <c r="R264" s="1350">
        <f ca="1">IF($D264=$E264,IF(R$111=$B264+$E264,$K264,0),0)</f>
        <v>0</v>
      </c>
      <c r="S264" s="1350">
        <f>IF($D264=$E264,IF(S$111=$B264+$E264,$K264,0),0)</f>
        <v>0</v>
      </c>
      <c r="T264" s="1350">
        <f>IF($D264=$E264,IF(T$111=$B264+$E264,$K264,0),0)</f>
        <v>0</v>
      </c>
      <c r="U264" s="1350"/>
      <c r="V264" s="1350"/>
      <c r="W264" s="1350"/>
      <c r="X264" s="1350"/>
      <c r="Y264" s="1350">
        <f ca="1">IF(Y$111-$B264=$D264,$K264*(((1+$F264)^$D264)-1),0)</f>
        <v>0</v>
      </c>
      <c r="Z264" s="1350">
        <f>IF(Z$111-$B264=$D264,$K264*(((1+$F264)^$D264)-1),0)</f>
        <v>0</v>
      </c>
      <c r="AA264" s="1350">
        <f>IF(AA$111-$B264=$D264,$K264*(((1+$F264)^$D264)-1),0)</f>
        <v>0</v>
      </c>
    </row>
    <row r="265" spans="1:27" s="1150" customFormat="1">
      <c r="A265" s="1347" t="str">
        <f>A264</f>
        <v>ZERO-COUPON BOND</v>
      </c>
      <c r="B265" s="1348">
        <f>B264+1</f>
        <v>2022</v>
      </c>
      <c r="C265" s="1348"/>
      <c r="D265" s="1348">
        <f t="shared" si="76"/>
        <v>0</v>
      </c>
      <c r="E265" s="1348">
        <f t="shared" si="76"/>
        <v>0</v>
      </c>
      <c r="F265" s="1349">
        <f>$P$100</f>
        <v>0</v>
      </c>
      <c r="H265" s="1350"/>
      <c r="I265" s="1350"/>
      <c r="J265" s="1350"/>
      <c r="K265" s="1350"/>
      <c r="L265" s="1350">
        <f ca="1">$F$100</f>
        <v>0</v>
      </c>
      <c r="M265" s="1350">
        <f ca="1">L265-T265</f>
        <v>0</v>
      </c>
      <c r="N265" s="1350"/>
      <c r="O265" s="1351"/>
      <c r="P265" s="1350"/>
      <c r="Q265" s="1350"/>
      <c r="R265" s="1350"/>
      <c r="S265" s="1350">
        <f ca="1">IF($D265=$E265,IF(S$111=$B265+$E265,$L265,0),0)</f>
        <v>0</v>
      </c>
      <c r="T265" s="1350">
        <f>IF($D265=$E265,IF(T$111=$B265+$E265,$L265,0),0)</f>
        <v>0</v>
      </c>
      <c r="U265" s="1350"/>
      <c r="V265" s="1350"/>
      <c r="W265" s="1350"/>
      <c r="X265" s="1350"/>
      <c r="Y265" s="1350"/>
      <c r="Z265" s="1350">
        <f ca="1">IF(Z$111-$B265=$D265,$L265*(((1+$F265)^$D265)-1),0)</f>
        <v>0</v>
      </c>
      <c r="AA265" s="1350">
        <f>IF(AA$111-$B265=$D265,$L265*(((1+$F265)^$D265)-1),0)</f>
        <v>0</v>
      </c>
    </row>
    <row r="266" spans="1:27" s="1150" customFormat="1">
      <c r="A266" s="1347" t="str">
        <f>A265</f>
        <v>ZERO-COUPON BOND</v>
      </c>
      <c r="B266" s="1348">
        <f>B265+1</f>
        <v>2023</v>
      </c>
      <c r="C266" s="1348"/>
      <c r="D266" s="1348">
        <f t="shared" si="76"/>
        <v>0</v>
      </c>
      <c r="E266" s="1348">
        <f t="shared" si="76"/>
        <v>0</v>
      </c>
      <c r="F266" s="1349">
        <f>$Q$100</f>
        <v>0</v>
      </c>
      <c r="H266" s="1350"/>
      <c r="I266" s="1350"/>
      <c r="J266" s="1350"/>
      <c r="K266" s="1350"/>
      <c r="L266" s="1350"/>
      <c r="M266" s="1350">
        <f ca="1">$G$100</f>
        <v>0</v>
      </c>
      <c r="N266" s="1350"/>
      <c r="O266" s="1351"/>
      <c r="P266" s="1350"/>
      <c r="Q266" s="1350"/>
      <c r="R266" s="1350"/>
      <c r="S266" s="1350"/>
      <c r="T266" s="1350">
        <f ca="1">IF($D266=$E266,IF(T$111=$B266+$E266,$M266,0),0)</f>
        <v>0</v>
      </c>
      <c r="U266" s="1350"/>
      <c r="V266" s="1350"/>
      <c r="W266" s="1350"/>
      <c r="X266" s="1350"/>
      <c r="Y266" s="1350"/>
      <c r="Z266" s="1350"/>
      <c r="AA266" s="1350">
        <f ca="1">IF(AA$111-$B266=$D266,$M266*(((1+$F266)^$D266)-1),0)</f>
        <v>0</v>
      </c>
    </row>
    <row r="267" spans="1:27" ht="15.75" thickBot="1">
      <c r="H267" s="10"/>
      <c r="I267" s="10"/>
      <c r="J267" s="10"/>
      <c r="K267" s="10"/>
      <c r="L267" s="10"/>
      <c r="M267" s="10"/>
      <c r="N267" s="10"/>
      <c r="O267" s="10"/>
      <c r="P267" s="10"/>
      <c r="Q267" s="10"/>
      <c r="R267" s="10"/>
      <c r="S267" s="10"/>
      <c r="T267" s="10"/>
      <c r="U267" s="10"/>
      <c r="V267" s="10"/>
      <c r="W267" s="10"/>
      <c r="X267" s="10"/>
      <c r="Y267" s="10"/>
      <c r="Z267" s="10"/>
      <c r="AA267" s="10"/>
    </row>
    <row r="268" spans="1:27" ht="15.75" thickBot="1">
      <c r="A268" s="12" t="str">
        <f>'Input 4 - Forecast'!A82</f>
        <v>Denominated in foreign currency</v>
      </c>
      <c r="B268" s="1999" t="s">
        <v>52</v>
      </c>
      <c r="C268" s="2000"/>
      <c r="D268" s="2000"/>
      <c r="E268" s="2000"/>
      <c r="F268" s="2000"/>
      <c r="G268" s="2000"/>
      <c r="H268" s="2000"/>
      <c r="I268" s="2000"/>
      <c r="J268" s="2000"/>
      <c r="K268" s="2000"/>
      <c r="L268" s="2000"/>
      <c r="M268" s="2000"/>
      <c r="N268" s="2000"/>
      <c r="O268" s="2000"/>
      <c r="P268" s="2000"/>
      <c r="Q268" s="2000"/>
      <c r="R268" s="2000"/>
      <c r="S268" s="2000"/>
      <c r="T268" s="2000"/>
      <c r="U268" s="2000"/>
      <c r="V268" s="2000"/>
      <c r="W268" s="2000"/>
      <c r="X268" s="2000"/>
      <c r="Y268" s="2000"/>
      <c r="Z268" s="2000"/>
      <c r="AA268" s="2001"/>
    </row>
    <row r="269" spans="1:27">
      <c r="H269" s="10"/>
      <c r="I269" s="10"/>
      <c r="J269" s="10"/>
      <c r="K269" s="10"/>
      <c r="L269" s="10"/>
      <c r="M269" s="10"/>
      <c r="N269" s="10"/>
      <c r="O269" s="10"/>
      <c r="P269" s="10"/>
      <c r="Q269" s="10"/>
      <c r="R269" s="10"/>
      <c r="S269" s="10"/>
      <c r="T269" s="10"/>
      <c r="U269" s="10"/>
      <c r="V269" s="10"/>
      <c r="W269" s="10"/>
      <c r="X269" s="10"/>
      <c r="Y269" s="10"/>
      <c r="Z269" s="10"/>
      <c r="AA269" s="10"/>
    </row>
    <row r="270" spans="1:27">
      <c r="A270" s="8" t="str">
        <f>'Input 4 - Forecast'!A83</f>
        <v>Type 16</v>
      </c>
      <c r="B270" s="7">
        <f>B119</f>
        <v>2018</v>
      </c>
      <c r="C270" s="7" t="str">
        <f>$I102</f>
        <v>Annual</v>
      </c>
      <c r="D270" s="7">
        <f>$J102</f>
        <v>0</v>
      </c>
      <c r="E270" s="7">
        <f>$K102</f>
        <v>0</v>
      </c>
      <c r="F270" s="14">
        <f>$L$102</f>
        <v>0</v>
      </c>
      <c r="H270" s="9">
        <f>$B$102/$B$31</f>
        <v>0</v>
      </c>
      <c r="I270" s="9">
        <f>H270-P270</f>
        <v>0</v>
      </c>
      <c r="J270" s="9">
        <f>I270-Q270</f>
        <v>0</v>
      </c>
      <c r="K270" s="9">
        <f>J270-R270</f>
        <v>0</v>
      </c>
      <c r="L270" s="9">
        <f>K270-S270</f>
        <v>0</v>
      </c>
      <c r="M270" s="9">
        <f>L270-T270</f>
        <v>0</v>
      </c>
      <c r="N270" s="9"/>
      <c r="O270" s="9">
        <f t="shared" ref="O270:T270" si="77">IF(OR($C270="Annual",$D270=$E270),IF(AND($D270=$E270,O$111=$B270+$D270),$H270,IF(AND(O$111&gt;$B270+$D270,O$111&lt;=$B270+$E270), $H270/($E270-$D270),0)), IF(OR(O$111=$B270+$D270,O$111=$B270+$E270),$H270/(($E270-$D270)*2),IF(AND(O$111&gt;$B270+$D270,O$111&lt;$B270+$E270),$H270/($E270-$D270),0)))</f>
        <v>0</v>
      </c>
      <c r="P270" s="9">
        <f t="shared" si="77"/>
        <v>0</v>
      </c>
      <c r="Q270" s="9">
        <f t="shared" si="77"/>
        <v>0</v>
      </c>
      <c r="R270" s="9">
        <f t="shared" si="77"/>
        <v>0</v>
      </c>
      <c r="S270" s="9">
        <f t="shared" si="77"/>
        <v>0</v>
      </c>
      <c r="T270" s="9">
        <f t="shared" si="77"/>
        <v>0</v>
      </c>
      <c r="U270" s="9"/>
      <c r="V270" s="9">
        <f>IF($C270="annual",IF(V$111=$B270,0,G270*$F270),IF(V$111-$B270=0,0,IF((V$111-$B270)&lt;$E270,AVERAGE(G270,H270)*$F270,IF((V$111-$B270)=$E270,G270*$F270/2,0))))</f>
        <v>0</v>
      </c>
      <c r="W270" s="9">
        <f t="shared" ref="W270:AA275" si="78">IF($C270="annual",IF(W$111=$B270,0,H270*$F270),IF(W$111-$B270=0,0,IF((W$111-$B270)&lt;$E270,AVERAGE(H270,I270)*$F270,IF((W$111-$B270)=$E270,H270*$F270/2,0))))</f>
        <v>0</v>
      </c>
      <c r="X270" s="9">
        <f t="shared" si="78"/>
        <v>0</v>
      </c>
      <c r="Y270" s="9">
        <f t="shared" si="78"/>
        <v>0</v>
      </c>
      <c r="Z270" s="9">
        <f t="shared" si="78"/>
        <v>0</v>
      </c>
      <c r="AA270" s="9">
        <f t="shared" si="78"/>
        <v>0</v>
      </c>
    </row>
    <row r="271" spans="1:27">
      <c r="A271" s="8" t="str">
        <f>A270</f>
        <v>Type 16</v>
      </c>
      <c r="B271" s="7">
        <f>B270+1</f>
        <v>2019</v>
      </c>
      <c r="C271" s="7" t="str">
        <f>C270</f>
        <v>Annual</v>
      </c>
      <c r="D271" s="7">
        <f t="shared" ref="D271:E275" si="79">D270</f>
        <v>0</v>
      </c>
      <c r="E271" s="7">
        <f t="shared" si="79"/>
        <v>0</v>
      </c>
      <c r="F271" s="14">
        <f>$M$102</f>
        <v>2.0470863523532085E-2</v>
      </c>
      <c r="H271" s="9"/>
      <c r="I271" s="9">
        <f ca="1">$C$102/$C$31</f>
        <v>0</v>
      </c>
      <c r="J271" s="9">
        <f ca="1">I271-Q271</f>
        <v>0</v>
      </c>
      <c r="K271" s="9">
        <f ca="1">J271-R271</f>
        <v>0</v>
      </c>
      <c r="L271" s="9">
        <f ca="1">K271-S271</f>
        <v>0</v>
      </c>
      <c r="M271" s="9">
        <f ca="1">L271-T271</f>
        <v>0</v>
      </c>
      <c r="N271" s="9"/>
      <c r="O271" s="9"/>
      <c r="P271" s="9">
        <f ca="1">IF(OR($C271="Annual",$D271=$E271),IF(AND($D271=$E271,P$111=$B271+$D271),$I271,IF(AND(P$111&gt;$B271+$D271,P$111&lt;=$B271+$E271), $I271/($E271-$D271),0)), IF(OR(P$111=$B271+$D271,P$111=$B271+$E271),$I271/(($E271-$D271)*2),IF(AND(P$111&gt;$B271+$D271,P$111&lt;$B271+$E271),$I271/($E271-$D271),0)))</f>
        <v>0</v>
      </c>
      <c r="Q271" s="9">
        <f>IF(OR($C271="Annual",$D271=$E271),IF(AND($D271=$E271,Q$111=$B271+$D271),$I271,IF(AND(Q$111&gt;$B271+$D271,Q$111&lt;=$B271+$E271), $I271/($E271-$D271),0)), IF(OR(Q$111=$B271+$D271,Q$111=$B271+$E271),$I271/(($E271-$D271)*2),IF(AND(Q$111&gt;$B271+$D271,Q$111&lt;$B271+$E271),$I271/($E271-$D271),0)))</f>
        <v>0</v>
      </c>
      <c r="R271" s="9">
        <f>IF(OR($C271="Annual",$D271=$E271),IF(AND($D271=$E271,R$111=$B271+$D271),$I271,IF(AND(R$111&gt;$B271+$D271,R$111&lt;=$B271+$E271), $I271/($E271-$D271),0)), IF(OR(R$111=$B271+$D271,R$111=$B271+$E271),$I271/(($E271-$D271)*2),IF(AND(R$111&gt;$B271+$D271,R$111&lt;$B271+$E271),$I271/($E271-$D271),0)))</f>
        <v>0</v>
      </c>
      <c r="S271" s="9">
        <f>IF(OR($C271="Annual",$D271=$E271),IF(AND($D271=$E271,S$111=$B271+$D271),$I271,IF(AND(S$111&gt;$B271+$D271,S$111&lt;=$B271+$E271), $I271/($E271-$D271),0)), IF(OR(S$111=$B271+$D271,S$111=$B271+$E271),$I271/(($E271-$D271)*2),IF(AND(S$111&gt;$B271+$D271,S$111&lt;$B271+$E271),$I271/($E271-$D271),0)))</f>
        <v>0</v>
      </c>
      <c r="T271" s="9">
        <f>IF(OR($C271="Annual",$D271=$E271),IF(AND($D271=$E271,T$111=$B271+$D271),$I271,IF(AND(T$111&gt;$B271+$D271,T$111&lt;=$B271+$E271), $I271/($E271-$D271),0)), IF(OR(T$111=$B271+$D271,T$111=$B271+$E271),$I271/(($E271-$D271)*2),IF(AND(T$111&gt;$B271+$D271,T$111&lt;$B271+$E271),$I271/($E271-$D271),0)))</f>
        <v>0</v>
      </c>
      <c r="U271" s="9"/>
      <c r="V271" s="9"/>
      <c r="W271" s="9">
        <f t="shared" si="78"/>
        <v>0</v>
      </c>
      <c r="X271" s="9">
        <f t="shared" ca="1" si="78"/>
        <v>0</v>
      </c>
      <c r="Y271" s="9">
        <f t="shared" ca="1" si="78"/>
        <v>0</v>
      </c>
      <c r="Z271" s="9">
        <f t="shared" ca="1" si="78"/>
        <v>0</v>
      </c>
      <c r="AA271" s="9">
        <f t="shared" ca="1" si="78"/>
        <v>0</v>
      </c>
    </row>
    <row r="272" spans="1:27">
      <c r="A272" s="8" t="str">
        <f>A271</f>
        <v>Type 16</v>
      </c>
      <c r="B272" s="7">
        <f>B271+1</f>
        <v>2020</v>
      </c>
      <c r="C272" s="7" t="str">
        <f>C271</f>
        <v>Annual</v>
      </c>
      <c r="D272" s="7">
        <f t="shared" si="79"/>
        <v>0</v>
      </c>
      <c r="E272" s="7">
        <f t="shared" si="79"/>
        <v>0</v>
      </c>
      <c r="F272" s="14">
        <f>$N$102</f>
        <v>0</v>
      </c>
      <c r="H272" s="9"/>
      <c r="I272" s="9"/>
      <c r="J272" s="9">
        <f ca="1">$D$102/$D$31</f>
        <v>0</v>
      </c>
      <c r="K272" s="9">
        <f ca="1">J272-R272</f>
        <v>0</v>
      </c>
      <c r="L272" s="9">
        <f ca="1">K272-S272</f>
        <v>0</v>
      </c>
      <c r="M272" s="9">
        <f ca="1">L272-T272</f>
        <v>0</v>
      </c>
      <c r="N272" s="9"/>
      <c r="O272" s="9"/>
      <c r="P272" s="9"/>
      <c r="Q272" s="9">
        <f ca="1">IF(OR($C272="Annual",$D272=$E272),IF(AND($D272=$E272,Q$111=$B272+$D272),$J272,IF(AND(Q$111&gt;$B272+$D272,Q$111&lt;=$B272+$E272), $J272/($E272-$D272),0)), IF(OR(Q$111=$B272+$D272,Q$111=$B272+$E272),$J272/(($E272-$D272)*2),IF(AND(Q$111&gt;$B272+$D272,Q$111&lt;$B272+$E272),$J272/($E272-$D272),0)))</f>
        <v>0</v>
      </c>
      <c r="R272" s="9">
        <f>IF(OR($C272="Annual",$D272=$E272),IF(AND($D272=$E272,R$111=$B272+$D272),$J272,IF(AND(R$111&gt;$B272+$D272,R$111&lt;=$B272+$E272), $J272/($E272-$D272),0)), IF(OR(R$111=$B272+$D272,R$111=$B272+$E272),$J272/(($E272-$D272)*2),IF(AND(R$111&gt;$B272+$D272,R$111&lt;$B272+$E272),$J272/($E272-$D272),0)))</f>
        <v>0</v>
      </c>
      <c r="S272" s="9">
        <f>IF(OR($C272="Annual",$D272=$E272),IF(AND($D272=$E272,S$111=$B272+$D272),$J272,IF(AND(S$111&gt;$B272+$D272,S$111&lt;=$B272+$E272), $J272/($E272-$D272),0)), IF(OR(S$111=$B272+$D272,S$111=$B272+$E272),$J272/(($E272-$D272)*2),IF(AND(S$111&gt;$B272+$D272,S$111&lt;$B272+$E272),$J272/($E272-$D272),0)))</f>
        <v>0</v>
      </c>
      <c r="T272" s="9">
        <f>IF(OR($C272="Annual",$D272=$E272),IF(AND($D272=$E272,T$111=$B272+$D272),$J272,IF(AND(T$111&gt;$B272+$D272,T$111&lt;=$B272+$E272), $J272/($E272-$D272),0)), IF(OR(T$111=$B272+$D272,T$111=$B272+$E272),$J272/(($E272-$D272)*2),IF(AND(T$111&gt;$B272+$D272,T$111&lt;$B272+$E272),$J272/($E272-$D272),0)))</f>
        <v>0</v>
      </c>
      <c r="U272" s="9"/>
      <c r="V272" s="9"/>
      <c r="W272" s="9"/>
      <c r="X272" s="9">
        <f t="shared" si="78"/>
        <v>0</v>
      </c>
      <c r="Y272" s="9">
        <f t="shared" ca="1" si="78"/>
        <v>0</v>
      </c>
      <c r="Z272" s="9">
        <f t="shared" ca="1" si="78"/>
        <v>0</v>
      </c>
      <c r="AA272" s="9">
        <f t="shared" ca="1" si="78"/>
        <v>0</v>
      </c>
    </row>
    <row r="273" spans="1:27">
      <c r="A273" s="8" t="str">
        <f>A272</f>
        <v>Type 16</v>
      </c>
      <c r="B273" s="7">
        <f>B272+1</f>
        <v>2021</v>
      </c>
      <c r="C273" s="7" t="str">
        <f>C272</f>
        <v>Annual</v>
      </c>
      <c r="D273" s="7">
        <f t="shared" si="79"/>
        <v>0</v>
      </c>
      <c r="E273" s="7">
        <f t="shared" si="79"/>
        <v>0</v>
      </c>
      <c r="F273" s="14">
        <f>$O$102</f>
        <v>0</v>
      </c>
      <c r="H273" s="9"/>
      <c r="I273" s="9"/>
      <c r="J273" s="9"/>
      <c r="K273" s="9">
        <f ca="1">$E$102/$E$31</f>
        <v>0</v>
      </c>
      <c r="L273" s="9">
        <f ca="1">K273-S273</f>
        <v>0</v>
      </c>
      <c r="M273" s="9">
        <f ca="1">L273-T273</f>
        <v>0</v>
      </c>
      <c r="N273" s="9"/>
      <c r="O273" s="9"/>
      <c r="P273" s="9"/>
      <c r="Q273" s="9"/>
      <c r="R273" s="9">
        <f ca="1">IF(OR($C273="Annual",$D273=$E273),IF(AND($D273=$E273,R$111=$B273+$D273),$K273,IF(AND(R$111&gt;$B273+$D273,R$111&lt;=$B273+$E273), $K273/($E273-$D273),0)), IF(OR(R$111=$B273+$D273,R$111=$B273+$E273),$K273/(($E273-$D273)*2),IF(AND(R$111&gt;$B273+$D273,R$111&lt;$B273+$E273),$K273/($E273-$D273),0)))</f>
        <v>0</v>
      </c>
      <c r="S273" s="9">
        <f>IF(OR($C273="Annual",$D273=$E273),IF(AND($D273=$E273,S$111=$B273+$D273),$K273,IF(AND(S$111&gt;$B273+$D273,S$111&lt;=$B273+$E273), $K273/($E273-$D273),0)), IF(OR(S$111=$B273+$D273,S$111=$B273+$E273),$K273/(($E273-$D273)*2),IF(AND(S$111&gt;$B273+$D273,S$111&lt;$B273+$E273),$K273/($E273-$D273),0)))</f>
        <v>0</v>
      </c>
      <c r="T273" s="9">
        <f>IF(OR($C273="Annual",$D273=$E273),IF(AND($D273=$E273,T$111=$B273+$D273),$K273,IF(AND(T$111&gt;$B273+$D273,T$111&lt;=$B273+$E273), $K273/($E273-$D273),0)), IF(OR(T$111=$B273+$D273,T$111=$B273+$E273),$K273/(($E273-$D273)*2),IF(AND(T$111&gt;$B273+$D273,T$111&lt;$B273+$E273),$K273/($E273-$D273),0)))</f>
        <v>0</v>
      </c>
      <c r="U273" s="9"/>
      <c r="V273" s="9"/>
      <c r="W273" s="9"/>
      <c r="X273" s="9"/>
      <c r="Y273" s="9">
        <f t="shared" si="78"/>
        <v>0</v>
      </c>
      <c r="Z273" s="9">
        <f t="shared" ca="1" si="78"/>
        <v>0</v>
      </c>
      <c r="AA273" s="9">
        <f t="shared" ca="1" si="78"/>
        <v>0</v>
      </c>
    </row>
    <row r="274" spans="1:27">
      <c r="A274" s="8" t="str">
        <f>A273</f>
        <v>Type 16</v>
      </c>
      <c r="B274" s="7">
        <f>B273+1</f>
        <v>2022</v>
      </c>
      <c r="C274" s="7" t="str">
        <f>C273</f>
        <v>Annual</v>
      </c>
      <c r="D274" s="7">
        <f t="shared" si="79"/>
        <v>0</v>
      </c>
      <c r="E274" s="7">
        <f t="shared" si="79"/>
        <v>0</v>
      </c>
      <c r="F274" s="14">
        <f>$P$102</f>
        <v>0</v>
      </c>
      <c r="H274" s="9"/>
      <c r="I274" s="9"/>
      <c r="J274" s="9"/>
      <c r="K274" s="9"/>
      <c r="L274" s="9">
        <f ca="1">$F$102/$F$31</f>
        <v>0</v>
      </c>
      <c r="M274" s="9">
        <f ca="1">L274-T274</f>
        <v>0</v>
      </c>
      <c r="N274" s="9"/>
      <c r="O274" s="9"/>
      <c r="P274" s="9"/>
      <c r="Q274" s="9"/>
      <c r="R274" s="9"/>
      <c r="S274" s="9">
        <f ca="1">IF(OR($C274="Annual",$D274=$E274),IF(AND($D274=$E274,S$111=$B274+$D274),$L274,IF(AND(S$111&gt;$B274+$D274,S$111&lt;=$B274+$E274), $L274/($E274-$D274),0)), IF(OR(S$111=$B274+$D274,S$111=$B274+$E274),$L274/(($E274-$D274)*2),IF(AND(S$111&gt;$B274+$D274,S$111&lt;$B274+$E274),$L274/($E274-$D274),0)))</f>
        <v>0</v>
      </c>
      <c r="T274" s="9">
        <f>IF(OR($C274="Annual",$D274=$E274),IF(AND($D274=$E274,T$111=$B274+$D274),$L274,IF(AND(T$111&gt;$B274+$D274,T$111&lt;=$B274+$E274), $L274/($E274-$D274),0)), IF(OR(T$111=$B274+$D274,T$111=$B274+$E274),$L274/(($E274-$D274)*2),IF(AND(T$111&gt;$B274+$D274,T$111&lt;$B274+$E274),$L274/($E274-$D274),0)))</f>
        <v>0</v>
      </c>
      <c r="U274" s="9"/>
      <c r="V274" s="9"/>
      <c r="W274" s="9"/>
      <c r="X274" s="9"/>
      <c r="Y274" s="9"/>
      <c r="Z274" s="9">
        <f t="shared" si="78"/>
        <v>0</v>
      </c>
      <c r="AA274" s="9">
        <f t="shared" ca="1" si="78"/>
        <v>0</v>
      </c>
    </row>
    <row r="275" spans="1:27">
      <c r="A275" s="8" t="str">
        <f>A274</f>
        <v>Type 16</v>
      </c>
      <c r="B275" s="7">
        <f>B274+1</f>
        <v>2023</v>
      </c>
      <c r="C275" s="7" t="str">
        <f>C274</f>
        <v>Annual</v>
      </c>
      <c r="D275" s="7">
        <f t="shared" si="79"/>
        <v>0</v>
      </c>
      <c r="E275" s="7">
        <f t="shared" si="79"/>
        <v>0</v>
      </c>
      <c r="F275" s="14">
        <f>$Q$102</f>
        <v>0</v>
      </c>
      <c r="H275" s="9"/>
      <c r="I275" s="9"/>
      <c r="J275" s="9"/>
      <c r="K275" s="9"/>
      <c r="L275" s="9"/>
      <c r="M275" s="9">
        <f ca="1">$G$102/$G$31</f>
        <v>0</v>
      </c>
      <c r="N275" s="9"/>
      <c r="O275" s="9"/>
      <c r="P275" s="9"/>
      <c r="Q275" s="9"/>
      <c r="R275" s="9"/>
      <c r="S275" s="9"/>
      <c r="T275" s="9">
        <f ca="1">IF(OR($C275="Annual",$D275=$E275),IF(AND($D275=$E275,T$111=$B275+$D275),$M275,IF(AND(T$111&gt;$B275+$D275,T$111&lt;=$B275+$E275), $M275/($E275-$D275),0)), IF(OR(T$111=$B275+$D275,T$111=$B275+$E275),$M275/(($E275-$D275)*2),IF(AND(T$111&gt;$B275+$D275,T$111&lt;$B275+$E275),$M275/($E275-$D275),0)))</f>
        <v>0</v>
      </c>
      <c r="U275" s="9"/>
      <c r="V275" s="9"/>
      <c r="W275" s="9"/>
      <c r="X275" s="9"/>
      <c r="Y275" s="9"/>
      <c r="Z275" s="9"/>
      <c r="AA275" s="9">
        <f t="shared" si="78"/>
        <v>0</v>
      </c>
    </row>
    <row r="276" spans="1:27">
      <c r="A276" s="8"/>
      <c r="B276" s="7"/>
      <c r="C276" s="7"/>
      <c r="D276" s="7"/>
      <c r="E276" s="7"/>
      <c r="F276" s="15"/>
      <c r="H276" s="9"/>
      <c r="I276" s="9"/>
      <c r="J276" s="9"/>
      <c r="K276" s="9"/>
      <c r="L276" s="9"/>
      <c r="M276" s="9"/>
      <c r="N276" s="9"/>
      <c r="O276" s="278"/>
      <c r="P276" s="10"/>
      <c r="Q276" s="10"/>
      <c r="R276" s="10"/>
      <c r="S276" s="10"/>
      <c r="T276" s="10"/>
      <c r="U276" s="9"/>
      <c r="V276" s="10"/>
      <c r="W276" s="10"/>
      <c r="X276" s="10"/>
      <c r="Y276" s="10"/>
      <c r="Z276" s="10"/>
      <c r="AA276" s="10"/>
    </row>
    <row r="277" spans="1:27">
      <c r="A277" s="8" t="str">
        <f>'Input 4 - Forecast'!A84</f>
        <v>Type 17</v>
      </c>
      <c r="B277" s="7">
        <f>B119</f>
        <v>2018</v>
      </c>
      <c r="C277" s="7" t="str">
        <f>$I103</f>
        <v>Annual</v>
      </c>
      <c r="D277" s="7">
        <f>$J103</f>
        <v>0</v>
      </c>
      <c r="E277" s="7">
        <f>$K103</f>
        <v>0</v>
      </c>
      <c r="F277" s="14">
        <f>$L$103</f>
        <v>0</v>
      </c>
      <c r="H277" s="9">
        <f>$B$103/$B$31</f>
        <v>0</v>
      </c>
      <c r="I277" s="9">
        <f>H277-P277</f>
        <v>0</v>
      </c>
      <c r="J277" s="9">
        <f>I277-Q277</f>
        <v>0</v>
      </c>
      <c r="K277" s="9">
        <f>J277-R277</f>
        <v>0</v>
      </c>
      <c r="L277" s="9">
        <f>K277-S277</f>
        <v>0</v>
      </c>
      <c r="M277" s="9">
        <f>L277-T277</f>
        <v>0</v>
      </c>
      <c r="N277" s="9"/>
      <c r="O277" s="9">
        <f t="shared" ref="O277:T277" si="80">IF(OR($C277="Annual",$D277=$E277),IF(AND($D277=$E277,O$111=$B277+$D277),$H277,IF(AND(O$111&gt;$B277+$D277,O$111&lt;=$B277+$E277), $H277/($E277-$D277),0)), IF(OR(O$111=$B277+$D277,O$111=$B277+$E277),$H277/(($E277-$D277)*2),IF(AND(O$111&gt;$B277+$D277,O$111&lt;$B277+$E277),$H277/($E277-$D277),0)))</f>
        <v>0</v>
      </c>
      <c r="P277" s="9">
        <f t="shared" si="80"/>
        <v>0</v>
      </c>
      <c r="Q277" s="9">
        <f t="shared" si="80"/>
        <v>0</v>
      </c>
      <c r="R277" s="9">
        <f t="shared" si="80"/>
        <v>0</v>
      </c>
      <c r="S277" s="9">
        <f t="shared" si="80"/>
        <v>0</v>
      </c>
      <c r="T277" s="9">
        <f t="shared" si="80"/>
        <v>0</v>
      </c>
      <c r="U277" s="9"/>
      <c r="V277" s="9">
        <f>IF($C277="annual",IF(V$111=$B277,0,G277*$F277),IF(V$111-$B277=0,0,IF((V$111-$B277)&lt;$E277,AVERAGE(G277,H277)*$F277,IF((V$111-$B277)=$E277,G277*$F277/2,0))))</f>
        <v>0</v>
      </c>
      <c r="W277" s="9">
        <f t="shared" ref="W277:AA282" si="81">IF($C277="annual",IF(W$111=$B277,0,H277*$F277),IF(W$111-$B277=0,0,IF((W$111-$B277)&lt;$E277,AVERAGE(H277,I277)*$F277,IF((W$111-$B277)=$E277,H277*$F277/2,0))))</f>
        <v>0</v>
      </c>
      <c r="X277" s="9">
        <f t="shared" si="81"/>
        <v>0</v>
      </c>
      <c r="Y277" s="9">
        <f t="shared" si="81"/>
        <v>0</v>
      </c>
      <c r="Z277" s="9">
        <f t="shared" si="81"/>
        <v>0</v>
      </c>
      <c r="AA277" s="9">
        <f t="shared" si="81"/>
        <v>0</v>
      </c>
    </row>
    <row r="278" spans="1:27">
      <c r="A278" s="8" t="str">
        <f>A277</f>
        <v>Type 17</v>
      </c>
      <c r="B278" s="7">
        <f>B277+1</f>
        <v>2019</v>
      </c>
      <c r="C278" s="7" t="str">
        <f>C277</f>
        <v>Annual</v>
      </c>
      <c r="D278" s="7">
        <f t="shared" ref="D278:E282" si="82">D277</f>
        <v>0</v>
      </c>
      <c r="E278" s="7">
        <f t="shared" si="82"/>
        <v>0</v>
      </c>
      <c r="F278" s="14">
        <f>$M$103</f>
        <v>2.0470863523532085E-2</v>
      </c>
      <c r="H278" s="9"/>
      <c r="I278" s="9">
        <f ca="1">$C$103/$C$31</f>
        <v>0</v>
      </c>
      <c r="J278" s="9">
        <f ca="1">I278-Q278</f>
        <v>0</v>
      </c>
      <c r="K278" s="9">
        <f ca="1">J278-R278</f>
        <v>0</v>
      </c>
      <c r="L278" s="9">
        <f ca="1">K278-S278</f>
        <v>0</v>
      </c>
      <c r="M278" s="9">
        <f ca="1">L278-T278</f>
        <v>0</v>
      </c>
      <c r="N278" s="9"/>
      <c r="O278" s="9"/>
      <c r="P278" s="9">
        <f ca="1">IF(OR($C278="Annual",$D278=$E278),IF(AND($D278=$E278,P$111=$B278+$D278),$I278,IF(AND(P$111&gt;$B278+$D278,P$111&lt;=$B278+$E278), $I278/($E278-$D278),0)), IF(OR(P$111=$B278+$D278,P$111=$B278+$E278),$I278/(($E278-$D278)*2),IF(AND(P$111&gt;$B278+$D278,P$111&lt;$B278+$E278),$I278/($E278-$D278),0)))</f>
        <v>0</v>
      </c>
      <c r="Q278" s="9">
        <f>IF(OR($C278="Annual",$D278=$E278),IF(AND($D278=$E278,Q$111=$B278+$D278),$I278,IF(AND(Q$111&gt;$B278+$D278,Q$111&lt;=$B278+$E278), $I278/($E278-$D278),0)), IF(OR(Q$111=$B278+$D278,Q$111=$B278+$E278),$I278/(($E278-$D278)*2),IF(AND(Q$111&gt;$B278+$D278,Q$111&lt;$B278+$E278),$I278/($E278-$D278),0)))</f>
        <v>0</v>
      </c>
      <c r="R278" s="9">
        <f>IF(OR($C278="Annual",$D278=$E278),IF(AND($D278=$E278,R$111=$B278+$D278),$I278,IF(AND(R$111&gt;$B278+$D278,R$111&lt;=$B278+$E278), $I278/($E278-$D278),0)), IF(OR(R$111=$B278+$D278,R$111=$B278+$E278),$I278/(($E278-$D278)*2),IF(AND(R$111&gt;$B278+$D278,R$111&lt;$B278+$E278),$I278/($E278-$D278),0)))</f>
        <v>0</v>
      </c>
      <c r="S278" s="9">
        <f>IF(OR($C278="Annual",$D278=$E278),IF(AND($D278=$E278,S$111=$B278+$D278),$I278,IF(AND(S$111&gt;$B278+$D278,S$111&lt;=$B278+$E278), $I278/($E278-$D278),0)), IF(OR(S$111=$B278+$D278,S$111=$B278+$E278),$I278/(($E278-$D278)*2),IF(AND(S$111&gt;$B278+$D278,S$111&lt;$B278+$E278),$I278/($E278-$D278),0)))</f>
        <v>0</v>
      </c>
      <c r="T278" s="9">
        <f>IF(OR($C278="Annual",$D278=$E278),IF(AND($D278=$E278,T$111=$B278+$D278),$I278,IF(AND(T$111&gt;$B278+$D278,T$111&lt;=$B278+$E278), $I278/($E278-$D278),0)), IF(OR(T$111=$B278+$D278,T$111=$B278+$E278),$I278/(($E278-$D278)*2),IF(AND(T$111&gt;$B278+$D278,T$111&lt;$B278+$E278),$I278/($E278-$D278),0)))</f>
        <v>0</v>
      </c>
      <c r="U278" s="9"/>
      <c r="V278" s="9"/>
      <c r="W278" s="9">
        <f t="shared" si="81"/>
        <v>0</v>
      </c>
      <c r="X278" s="9">
        <f t="shared" ca="1" si="81"/>
        <v>0</v>
      </c>
      <c r="Y278" s="9">
        <f t="shared" ca="1" si="81"/>
        <v>0</v>
      </c>
      <c r="Z278" s="9">
        <f t="shared" ca="1" si="81"/>
        <v>0</v>
      </c>
      <c r="AA278" s="9">
        <f t="shared" ca="1" si="81"/>
        <v>0</v>
      </c>
    </row>
    <row r="279" spans="1:27">
      <c r="A279" s="8" t="str">
        <f>A278</f>
        <v>Type 17</v>
      </c>
      <c r="B279" s="7">
        <f>B278+1</f>
        <v>2020</v>
      </c>
      <c r="C279" s="7" t="str">
        <f>C278</f>
        <v>Annual</v>
      </c>
      <c r="D279" s="7">
        <f t="shared" si="82"/>
        <v>0</v>
      </c>
      <c r="E279" s="7">
        <f t="shared" si="82"/>
        <v>0</v>
      </c>
      <c r="F279" s="14">
        <f>$N$103</f>
        <v>0</v>
      </c>
      <c r="H279" s="9"/>
      <c r="I279" s="9"/>
      <c r="J279" s="9">
        <f ca="1">$D$103/$D$31</f>
        <v>0</v>
      </c>
      <c r="K279" s="9">
        <f ca="1">J279-R279</f>
        <v>0</v>
      </c>
      <c r="L279" s="9">
        <f ca="1">K279-S279</f>
        <v>0</v>
      </c>
      <c r="M279" s="9">
        <f ca="1">L279-T279</f>
        <v>0</v>
      </c>
      <c r="N279" s="9"/>
      <c r="O279" s="9"/>
      <c r="P279" s="9"/>
      <c r="Q279" s="9">
        <f ca="1">IF(OR($C279="Annual",$D279=$E279),IF(AND($D279=$E279,Q$111=$B279+$D279),$J279,IF(AND(Q$111&gt;$B279+$D279,Q$111&lt;=$B279+$E279), $J279/($E279-$D279),0)), IF(OR(Q$111=$B279+$D279,Q$111=$B279+$E279),$J279/(($E279-$D279)*2),IF(AND(Q$111&gt;$B279+$D279,Q$111&lt;$B279+$E279),$J279/($E279-$D279),0)))</f>
        <v>0</v>
      </c>
      <c r="R279" s="9">
        <f>IF(OR($C279="Annual",$D279=$E279),IF(AND($D279=$E279,R$111=$B279+$D279),$J279,IF(AND(R$111&gt;$B279+$D279,R$111&lt;=$B279+$E279), $J279/($E279-$D279),0)), IF(OR(R$111=$B279+$D279,R$111=$B279+$E279),$J279/(($E279-$D279)*2),IF(AND(R$111&gt;$B279+$D279,R$111&lt;$B279+$E279),$J279/($E279-$D279),0)))</f>
        <v>0</v>
      </c>
      <c r="S279" s="9">
        <f>IF(OR($C279="Annual",$D279=$E279),IF(AND($D279=$E279,S$111=$B279+$D279),$J279,IF(AND(S$111&gt;$B279+$D279,S$111&lt;=$B279+$E279), $J279/($E279-$D279),0)), IF(OR(S$111=$B279+$D279,S$111=$B279+$E279),$J279/(($E279-$D279)*2),IF(AND(S$111&gt;$B279+$D279,S$111&lt;$B279+$E279),$J279/($E279-$D279),0)))</f>
        <v>0</v>
      </c>
      <c r="T279" s="9">
        <f>IF(OR($C279="Annual",$D279=$E279),IF(AND($D279=$E279,T$111=$B279+$D279),$J279,IF(AND(T$111&gt;$B279+$D279,T$111&lt;=$B279+$E279), $J279/($E279-$D279),0)), IF(OR(T$111=$B279+$D279,T$111=$B279+$E279),$J279/(($E279-$D279)*2),IF(AND(T$111&gt;$B279+$D279,T$111&lt;$B279+$E279),$J279/($E279-$D279),0)))</f>
        <v>0</v>
      </c>
      <c r="U279" s="9"/>
      <c r="V279" s="9"/>
      <c r="W279" s="9"/>
      <c r="X279" s="9">
        <f t="shared" si="81"/>
        <v>0</v>
      </c>
      <c r="Y279" s="9">
        <f t="shared" ca="1" si="81"/>
        <v>0</v>
      </c>
      <c r="Z279" s="9">
        <f t="shared" ca="1" si="81"/>
        <v>0</v>
      </c>
      <c r="AA279" s="9">
        <f t="shared" ca="1" si="81"/>
        <v>0</v>
      </c>
    </row>
    <row r="280" spans="1:27">
      <c r="A280" s="8" t="str">
        <f>A279</f>
        <v>Type 17</v>
      </c>
      <c r="B280" s="7">
        <f>B279+1</f>
        <v>2021</v>
      </c>
      <c r="C280" s="7" t="str">
        <f>C279</f>
        <v>Annual</v>
      </c>
      <c r="D280" s="7">
        <f t="shared" si="82"/>
        <v>0</v>
      </c>
      <c r="E280" s="7">
        <f t="shared" si="82"/>
        <v>0</v>
      </c>
      <c r="F280" s="14">
        <f>$O$103</f>
        <v>0</v>
      </c>
      <c r="H280" s="9"/>
      <c r="I280" s="9"/>
      <c r="J280" s="9"/>
      <c r="K280" s="9">
        <f ca="1">$E$103/$E$31</f>
        <v>0</v>
      </c>
      <c r="L280" s="9">
        <f ca="1">K280-S280</f>
        <v>0</v>
      </c>
      <c r="M280" s="9">
        <f ca="1">L280-T280</f>
        <v>0</v>
      </c>
      <c r="N280" s="9"/>
      <c r="O280" s="9"/>
      <c r="P280" s="9"/>
      <c r="Q280" s="9"/>
      <c r="R280" s="9">
        <f ca="1">IF(OR($C280="Annual",$D280=$E280),IF(AND($D280=$E280,R$111=$B280+$D280),$K280,IF(AND(R$111&gt;$B280+$D280,R$111&lt;=$B280+$E280), $K280/($E280-$D280),0)), IF(OR(R$111=$B280+$D280,R$111=$B280+$E280),$K280/(($E280-$D280)*2),IF(AND(R$111&gt;$B280+$D280,R$111&lt;$B280+$E280),$K280/($E280-$D280),0)))</f>
        <v>0</v>
      </c>
      <c r="S280" s="9">
        <f>IF(OR($C280="Annual",$D280=$E280),IF(AND($D280=$E280,S$111=$B280+$D280),$K280,IF(AND(S$111&gt;$B280+$D280,S$111&lt;=$B280+$E280), $K280/($E280-$D280),0)), IF(OR(S$111=$B280+$D280,S$111=$B280+$E280),$K280/(($E280-$D280)*2),IF(AND(S$111&gt;$B280+$D280,S$111&lt;$B280+$E280),$K280/($E280-$D280),0)))</f>
        <v>0</v>
      </c>
      <c r="T280" s="9">
        <f>IF(OR($C280="Annual",$D280=$E280),IF(AND($D280=$E280,T$111=$B280+$D280),$K280,IF(AND(T$111&gt;$B280+$D280,T$111&lt;=$B280+$E280), $K280/($E280-$D280),0)), IF(OR(T$111=$B280+$D280,T$111=$B280+$E280),$K280/(($E280-$D280)*2),IF(AND(T$111&gt;$B280+$D280,T$111&lt;$B280+$E280),$K280/($E280-$D280),0)))</f>
        <v>0</v>
      </c>
      <c r="U280" s="9"/>
      <c r="V280" s="9"/>
      <c r="W280" s="9"/>
      <c r="X280" s="9"/>
      <c r="Y280" s="9">
        <f t="shared" si="81"/>
        <v>0</v>
      </c>
      <c r="Z280" s="9">
        <f t="shared" ca="1" si="81"/>
        <v>0</v>
      </c>
      <c r="AA280" s="9">
        <f t="shared" ca="1" si="81"/>
        <v>0</v>
      </c>
    </row>
    <row r="281" spans="1:27">
      <c r="A281" s="8" t="str">
        <f>A280</f>
        <v>Type 17</v>
      </c>
      <c r="B281" s="7">
        <f>B280+1</f>
        <v>2022</v>
      </c>
      <c r="C281" s="7" t="str">
        <f>C280</f>
        <v>Annual</v>
      </c>
      <c r="D281" s="7">
        <f t="shared" si="82"/>
        <v>0</v>
      </c>
      <c r="E281" s="7">
        <f t="shared" si="82"/>
        <v>0</v>
      </c>
      <c r="F281" s="14">
        <f>$P$103</f>
        <v>0</v>
      </c>
      <c r="H281" s="9"/>
      <c r="I281" s="9"/>
      <c r="J281" s="9"/>
      <c r="K281" s="9"/>
      <c r="L281" s="9">
        <f ca="1">$F$103/$F$31</f>
        <v>0</v>
      </c>
      <c r="M281" s="9">
        <f ca="1">L281-T281</f>
        <v>0</v>
      </c>
      <c r="N281" s="9"/>
      <c r="O281" s="9"/>
      <c r="P281" s="9"/>
      <c r="Q281" s="9"/>
      <c r="R281" s="9"/>
      <c r="S281" s="9">
        <f ca="1">IF(OR($C281="Annual",$D281=$E281),IF(AND($D281=$E281,S$111=$B281+$D281),$L281,IF(AND(S$111&gt;$B281+$D281,S$111&lt;=$B281+$E281), $L281/($E281-$D281),0)), IF(OR(S$111=$B281+$D281,S$111=$B281+$E281),$L281/(($E281-$D281)*2),IF(AND(S$111&gt;$B281+$D281,S$111&lt;$B281+$E281),$L281/($E281-$D281),0)))</f>
        <v>0</v>
      </c>
      <c r="T281" s="9">
        <f>IF(OR($C281="Annual",$D281=$E281),IF(AND($D281=$E281,T$111=$B281+$D281),$L281,IF(AND(T$111&gt;$B281+$D281,T$111&lt;=$B281+$E281), $L281/($E281-$D281),0)), IF(OR(T$111=$B281+$D281,T$111=$B281+$E281),$L281/(($E281-$D281)*2),IF(AND(T$111&gt;$B281+$D281,T$111&lt;$B281+$E281),$L281/($E281-$D281),0)))</f>
        <v>0</v>
      </c>
      <c r="U281" s="9"/>
      <c r="V281" s="9"/>
      <c r="W281" s="9"/>
      <c r="X281" s="9"/>
      <c r="Y281" s="9"/>
      <c r="Z281" s="9">
        <f t="shared" si="81"/>
        <v>0</v>
      </c>
      <c r="AA281" s="9">
        <f t="shared" ca="1" si="81"/>
        <v>0</v>
      </c>
    </row>
    <row r="282" spans="1:27">
      <c r="A282" s="8" t="str">
        <f>A281</f>
        <v>Type 17</v>
      </c>
      <c r="B282" s="7">
        <f>B281+1</f>
        <v>2023</v>
      </c>
      <c r="C282" s="7" t="str">
        <f>C281</f>
        <v>Annual</v>
      </c>
      <c r="D282" s="7">
        <f t="shared" si="82"/>
        <v>0</v>
      </c>
      <c r="E282" s="7">
        <f t="shared" si="82"/>
        <v>0</v>
      </c>
      <c r="F282" s="14">
        <f>$Q$103</f>
        <v>0</v>
      </c>
      <c r="H282" s="9"/>
      <c r="I282" s="9"/>
      <c r="J282" s="9"/>
      <c r="K282" s="9"/>
      <c r="L282" s="9"/>
      <c r="M282" s="9">
        <f ca="1">$G$103/$G$31</f>
        <v>0</v>
      </c>
      <c r="N282" s="9"/>
      <c r="O282" s="9"/>
      <c r="P282" s="9"/>
      <c r="Q282" s="9"/>
      <c r="R282" s="9"/>
      <c r="S282" s="9"/>
      <c r="T282" s="9">
        <f ca="1">IF(OR($C282="Annual",$D282=$E282),IF(AND($D282=$E282,T$111=$B282+$D282),$M282,IF(AND(T$111&gt;$B282+$D282,T$111&lt;=$B282+$E282), $M282/($E282-$D282),0)), IF(OR(T$111=$B282+$D282,T$111=$B282+$E282),$M282/(($E282-$D282)*2),IF(AND(T$111&gt;$B282+$D282,T$111&lt;$B282+$E282),$M282/($E282-$D282),0)))</f>
        <v>0</v>
      </c>
      <c r="U282" s="9"/>
      <c r="V282" s="9"/>
      <c r="W282" s="9"/>
      <c r="X282" s="9"/>
      <c r="Y282" s="9"/>
      <c r="Z282" s="9"/>
      <c r="AA282" s="9">
        <f t="shared" si="81"/>
        <v>0</v>
      </c>
    </row>
    <row r="283" spans="1:27">
      <c r="A283" s="8"/>
      <c r="B283" s="7"/>
      <c r="C283" s="7"/>
      <c r="D283" s="7"/>
      <c r="E283" s="7"/>
      <c r="F283" s="15"/>
      <c r="H283" s="9"/>
      <c r="I283" s="9"/>
      <c r="J283" s="9"/>
      <c r="K283" s="9"/>
      <c r="L283" s="9"/>
      <c r="M283" s="9"/>
      <c r="N283" s="9"/>
      <c r="O283" s="278"/>
      <c r="P283" s="10"/>
      <c r="Q283" s="10"/>
      <c r="R283" s="10"/>
      <c r="S283" s="10"/>
      <c r="T283" s="10"/>
      <c r="U283" s="9"/>
      <c r="V283" s="10"/>
      <c r="W283" s="10"/>
      <c r="X283" s="10"/>
      <c r="Y283" s="10"/>
      <c r="Z283" s="10"/>
      <c r="AA283" s="10"/>
    </row>
    <row r="284" spans="1:27">
      <c r="A284" s="8" t="str">
        <f>'Input 4 - Forecast'!A85</f>
        <v>Type 18</v>
      </c>
      <c r="B284" s="7">
        <f>B119</f>
        <v>2018</v>
      </c>
      <c r="C284" s="7" t="str">
        <f>$I104</f>
        <v>Annual</v>
      </c>
      <c r="D284" s="7">
        <f>$J104</f>
        <v>0</v>
      </c>
      <c r="E284" s="7">
        <f>$K104</f>
        <v>0</v>
      </c>
      <c r="F284" s="14">
        <f>$L$104</f>
        <v>0</v>
      </c>
      <c r="H284" s="9">
        <f>$B$104/$B$31</f>
        <v>0</v>
      </c>
      <c r="I284" s="9">
        <f>H284-P284</f>
        <v>0</v>
      </c>
      <c r="J284" s="9">
        <f>I284-Q284</f>
        <v>0</v>
      </c>
      <c r="K284" s="9">
        <f>J284-R284</f>
        <v>0</v>
      </c>
      <c r="L284" s="9">
        <f>K284-S284</f>
        <v>0</v>
      </c>
      <c r="M284" s="9">
        <f>L284-T284</f>
        <v>0</v>
      </c>
      <c r="N284" s="9"/>
      <c r="O284" s="9">
        <f t="shared" ref="O284:T284" si="83">IF(OR($C284="Annual",$D284=$E284),IF(AND($D284=$E284,O$111=$B284+$D284),$H284,IF(AND(O$111&gt;$B284+$D284,O$111&lt;=$B284+$E284), $H284/($E284-$D284),0)), IF(OR(O$111=$B284+$D284,O$111=$B284+$E284),$H284/(($E284-$D284)*2),IF(AND(O$111&gt;$B284+$D284,O$111&lt;$B284+$E284),$H284/($E284-$D284),0)))</f>
        <v>0</v>
      </c>
      <c r="P284" s="9">
        <f t="shared" si="83"/>
        <v>0</v>
      </c>
      <c r="Q284" s="9">
        <f t="shared" si="83"/>
        <v>0</v>
      </c>
      <c r="R284" s="9">
        <f t="shared" si="83"/>
        <v>0</v>
      </c>
      <c r="S284" s="9">
        <f t="shared" si="83"/>
        <v>0</v>
      </c>
      <c r="T284" s="9">
        <f t="shared" si="83"/>
        <v>0</v>
      </c>
      <c r="U284" s="9"/>
      <c r="V284" s="9">
        <f>IF($C284="annual",IF(V$111=$B284,0,G284*$F284),IF(V$111-$B284=0,0,IF((V$111-$B284)&lt;$E284,AVERAGE(G284,H284)*$F284,IF((V$111-$B284)=$E284,G284*$F284/2,0))))</f>
        <v>0</v>
      </c>
      <c r="W284" s="9">
        <f t="shared" ref="W284:AA289" si="84">IF($C284="annual",IF(W$111=$B284,0,H284*$F284),IF(W$111-$B284=0,0,IF((W$111-$B284)&lt;$E284,AVERAGE(H284,I284)*$F284,IF((W$111-$B284)=$E284,H284*$F284/2,0))))</f>
        <v>0</v>
      </c>
      <c r="X284" s="9">
        <f t="shared" si="84"/>
        <v>0</v>
      </c>
      <c r="Y284" s="9">
        <f t="shared" si="84"/>
        <v>0</v>
      </c>
      <c r="Z284" s="9">
        <f t="shared" si="84"/>
        <v>0</v>
      </c>
      <c r="AA284" s="9">
        <f t="shared" si="84"/>
        <v>0</v>
      </c>
    </row>
    <row r="285" spans="1:27">
      <c r="A285" s="8" t="str">
        <f>A284</f>
        <v>Type 18</v>
      </c>
      <c r="B285" s="7">
        <f>B284+1</f>
        <v>2019</v>
      </c>
      <c r="C285" s="7" t="str">
        <f>C284</f>
        <v>Annual</v>
      </c>
      <c r="D285" s="7">
        <f t="shared" ref="D285:E289" si="85">D284</f>
        <v>0</v>
      </c>
      <c r="E285" s="7">
        <f t="shared" si="85"/>
        <v>0</v>
      </c>
      <c r="F285" s="14">
        <f>$M$104</f>
        <v>2.0470863523532085E-2</v>
      </c>
      <c r="H285" s="9"/>
      <c r="I285" s="9">
        <f ca="1">$C$104/$C$31</f>
        <v>0</v>
      </c>
      <c r="J285" s="9">
        <f ca="1">I285-Q285</f>
        <v>0</v>
      </c>
      <c r="K285" s="9">
        <f ca="1">J285-R285</f>
        <v>0</v>
      </c>
      <c r="L285" s="9">
        <f ca="1">K285-S285</f>
        <v>0</v>
      </c>
      <c r="M285" s="9">
        <f ca="1">L285-T285</f>
        <v>0</v>
      </c>
      <c r="N285" s="9"/>
      <c r="O285" s="9"/>
      <c r="P285" s="9">
        <f ca="1">IF(OR($C285="Annual",$D285=$E285),IF(AND($D285=$E285,P$111=$B285+$D285),$I285,IF(AND(P$111&gt;$B285+$D285,P$111&lt;=$B285+$E285), $I285/($E285-$D285),0)), IF(OR(P$111=$B285+$D285,P$111=$B285+$E285),$I285/(($E285-$D285)*2),IF(AND(P$111&gt;$B285+$D285,P$111&lt;$B285+$E285),$I285/($E285-$D285),0)))</f>
        <v>0</v>
      </c>
      <c r="Q285" s="9">
        <f>IF(OR($C285="Annual",$D285=$E285),IF(AND($D285=$E285,Q$111=$B285+$D285),$I285,IF(AND(Q$111&gt;$B285+$D285,Q$111&lt;=$B285+$E285), $I285/($E285-$D285),0)), IF(OR(Q$111=$B285+$D285,Q$111=$B285+$E285),$I285/(($E285-$D285)*2),IF(AND(Q$111&gt;$B285+$D285,Q$111&lt;$B285+$E285),$I285/($E285-$D285),0)))</f>
        <v>0</v>
      </c>
      <c r="R285" s="9">
        <f>IF(OR($C285="Annual",$D285=$E285),IF(AND($D285=$E285,R$111=$B285+$D285),$I285,IF(AND(R$111&gt;$B285+$D285,R$111&lt;=$B285+$E285), $I285/($E285-$D285),0)), IF(OR(R$111=$B285+$D285,R$111=$B285+$E285),$I285/(($E285-$D285)*2),IF(AND(R$111&gt;$B285+$D285,R$111&lt;$B285+$E285),$I285/($E285-$D285),0)))</f>
        <v>0</v>
      </c>
      <c r="S285" s="9">
        <f>IF(OR($C285="Annual",$D285=$E285),IF(AND($D285=$E285,S$111=$B285+$D285),$I285,IF(AND(S$111&gt;$B285+$D285,S$111&lt;=$B285+$E285), $I285/($E285-$D285),0)), IF(OR(S$111=$B285+$D285,S$111=$B285+$E285),$I285/(($E285-$D285)*2),IF(AND(S$111&gt;$B285+$D285,S$111&lt;$B285+$E285),$I285/($E285-$D285),0)))</f>
        <v>0</v>
      </c>
      <c r="T285" s="9">
        <f>IF(OR($C285="Annual",$D285=$E285),IF(AND($D285=$E285,T$111=$B285+$D285),$I285,IF(AND(T$111&gt;$B285+$D285,T$111&lt;=$B285+$E285), $I285/($E285-$D285),0)), IF(OR(T$111=$B285+$D285,T$111=$B285+$E285),$I285/(($E285-$D285)*2),IF(AND(T$111&gt;$B285+$D285,T$111&lt;$B285+$E285),$I285/($E285-$D285),0)))</f>
        <v>0</v>
      </c>
      <c r="U285" s="9"/>
      <c r="V285" s="9"/>
      <c r="W285" s="9">
        <f t="shared" si="84"/>
        <v>0</v>
      </c>
      <c r="X285" s="9">
        <f t="shared" ca="1" si="84"/>
        <v>0</v>
      </c>
      <c r="Y285" s="9">
        <f t="shared" ca="1" si="84"/>
        <v>0</v>
      </c>
      <c r="Z285" s="9">
        <f t="shared" ca="1" si="84"/>
        <v>0</v>
      </c>
      <c r="AA285" s="9">
        <f t="shared" ca="1" si="84"/>
        <v>0</v>
      </c>
    </row>
    <row r="286" spans="1:27">
      <c r="A286" s="8" t="str">
        <f>A285</f>
        <v>Type 18</v>
      </c>
      <c r="B286" s="7">
        <f>B285+1</f>
        <v>2020</v>
      </c>
      <c r="C286" s="7" t="str">
        <f>C285</f>
        <v>Annual</v>
      </c>
      <c r="D286" s="7">
        <f t="shared" si="85"/>
        <v>0</v>
      </c>
      <c r="E286" s="7">
        <f t="shared" si="85"/>
        <v>0</v>
      </c>
      <c r="F286" s="14">
        <f>$N$104</f>
        <v>0</v>
      </c>
      <c r="H286" s="9"/>
      <c r="I286" s="9"/>
      <c r="J286" s="9">
        <f ca="1">$D$104/$D$31</f>
        <v>0</v>
      </c>
      <c r="K286" s="9">
        <f ca="1">J286-R286</f>
        <v>0</v>
      </c>
      <c r="L286" s="9">
        <f ca="1">K286-S286</f>
        <v>0</v>
      </c>
      <c r="M286" s="9">
        <f ca="1">L286-T286</f>
        <v>0</v>
      </c>
      <c r="N286" s="9"/>
      <c r="O286" s="9"/>
      <c r="P286" s="9"/>
      <c r="Q286" s="9">
        <f ca="1">IF(OR($C286="Annual",$D286=$E286),IF(AND($D286=$E286,Q$111=$B286+$D286),$J286,IF(AND(Q$111&gt;$B286+$D286,Q$111&lt;=$B286+$E286), $J286/($E286-$D286),0)), IF(OR(Q$111=$B286+$D286,Q$111=$B286+$E286),$J286/(($E286-$D286)*2),IF(AND(Q$111&gt;$B286+$D286,Q$111&lt;$B286+$E286),$J286/($E286-$D286),0)))</f>
        <v>0</v>
      </c>
      <c r="R286" s="9">
        <f>IF(OR($C286="Annual",$D286=$E286),IF(AND($D286=$E286,R$111=$B286+$D286),$J286,IF(AND(R$111&gt;$B286+$D286,R$111&lt;=$B286+$E286), $J286/($E286-$D286),0)), IF(OR(R$111=$B286+$D286,R$111=$B286+$E286),$J286/(($E286-$D286)*2),IF(AND(R$111&gt;$B286+$D286,R$111&lt;$B286+$E286),$J286/($E286-$D286),0)))</f>
        <v>0</v>
      </c>
      <c r="S286" s="9">
        <f>IF(OR($C286="Annual",$D286=$E286),IF(AND($D286=$E286,S$111=$B286+$D286),$J286,IF(AND(S$111&gt;$B286+$D286,S$111&lt;=$B286+$E286), $J286/($E286-$D286),0)), IF(OR(S$111=$B286+$D286,S$111=$B286+$E286),$J286/(($E286-$D286)*2),IF(AND(S$111&gt;$B286+$D286,S$111&lt;$B286+$E286),$J286/($E286-$D286),0)))</f>
        <v>0</v>
      </c>
      <c r="T286" s="9">
        <f>IF(OR($C286="Annual",$D286=$E286),IF(AND($D286=$E286,T$111=$B286+$D286),$J286,IF(AND(T$111&gt;$B286+$D286,T$111&lt;=$B286+$E286), $J286/($E286-$D286),0)), IF(OR(T$111=$B286+$D286,T$111=$B286+$E286),$J286/(($E286-$D286)*2),IF(AND(T$111&gt;$B286+$D286,T$111&lt;$B286+$E286),$J286/($E286-$D286),0)))</f>
        <v>0</v>
      </c>
      <c r="U286" s="9"/>
      <c r="V286" s="9"/>
      <c r="W286" s="9"/>
      <c r="X286" s="9">
        <f t="shared" si="84"/>
        <v>0</v>
      </c>
      <c r="Y286" s="9">
        <f t="shared" ca="1" si="84"/>
        <v>0</v>
      </c>
      <c r="Z286" s="9">
        <f t="shared" ca="1" si="84"/>
        <v>0</v>
      </c>
      <c r="AA286" s="9">
        <f t="shared" ca="1" si="84"/>
        <v>0</v>
      </c>
    </row>
    <row r="287" spans="1:27">
      <c r="A287" s="8" t="str">
        <f>A286</f>
        <v>Type 18</v>
      </c>
      <c r="B287" s="7">
        <f>B286+1</f>
        <v>2021</v>
      </c>
      <c r="C287" s="7" t="str">
        <f>C286</f>
        <v>Annual</v>
      </c>
      <c r="D287" s="7">
        <f t="shared" si="85"/>
        <v>0</v>
      </c>
      <c r="E287" s="7">
        <f t="shared" si="85"/>
        <v>0</v>
      </c>
      <c r="F287" s="14">
        <f>$O$104</f>
        <v>0</v>
      </c>
      <c r="H287" s="9"/>
      <c r="I287" s="9"/>
      <c r="J287" s="9"/>
      <c r="K287" s="9">
        <f ca="1">$E$104/$E$31</f>
        <v>0</v>
      </c>
      <c r="L287" s="9">
        <f ca="1">K287-S287</f>
        <v>0</v>
      </c>
      <c r="M287" s="9">
        <f ca="1">L287-T287</f>
        <v>0</v>
      </c>
      <c r="N287" s="9"/>
      <c r="O287" s="9"/>
      <c r="P287" s="9"/>
      <c r="Q287" s="9"/>
      <c r="R287" s="9">
        <f ca="1">IF(OR($C287="Annual",$D287=$E287),IF(AND($D287=$E287,R$111=$B287+$D287),$K287,IF(AND(R$111&gt;$B287+$D287,R$111&lt;=$B287+$E287), $K287/($E287-$D287),0)), IF(OR(R$111=$B287+$D287,R$111=$B287+$E287),$K287/(($E287-$D287)*2),IF(AND(R$111&gt;$B287+$D287,R$111&lt;$B287+$E287),$K287/($E287-$D287),0)))</f>
        <v>0</v>
      </c>
      <c r="S287" s="9">
        <f>IF(OR($C287="Annual",$D287=$E287),IF(AND($D287=$E287,S$111=$B287+$D287),$K287,IF(AND(S$111&gt;$B287+$D287,S$111&lt;=$B287+$E287), $K287/($E287-$D287),0)), IF(OR(S$111=$B287+$D287,S$111=$B287+$E287),$K287/(($E287-$D287)*2),IF(AND(S$111&gt;$B287+$D287,S$111&lt;$B287+$E287),$K287/($E287-$D287),0)))</f>
        <v>0</v>
      </c>
      <c r="T287" s="9">
        <f>IF(OR($C287="Annual",$D287=$E287),IF(AND($D287=$E287,T$111=$B287+$D287),$K287,IF(AND(T$111&gt;$B287+$D287,T$111&lt;=$B287+$E287), $K287/($E287-$D287),0)), IF(OR(T$111=$B287+$D287,T$111=$B287+$E287),$K287/(($E287-$D287)*2),IF(AND(T$111&gt;$B287+$D287,T$111&lt;$B287+$E287),$K287/($E287-$D287),0)))</f>
        <v>0</v>
      </c>
      <c r="U287" s="9"/>
      <c r="V287" s="9"/>
      <c r="W287" s="9"/>
      <c r="X287" s="9"/>
      <c r="Y287" s="9">
        <f t="shared" si="84"/>
        <v>0</v>
      </c>
      <c r="Z287" s="9">
        <f t="shared" ca="1" si="84"/>
        <v>0</v>
      </c>
      <c r="AA287" s="9">
        <f t="shared" ca="1" si="84"/>
        <v>0</v>
      </c>
    </row>
    <row r="288" spans="1:27">
      <c r="A288" s="8" t="str">
        <f>A287</f>
        <v>Type 18</v>
      </c>
      <c r="B288" s="7">
        <f>B287+1</f>
        <v>2022</v>
      </c>
      <c r="C288" s="7" t="str">
        <f>C287</f>
        <v>Annual</v>
      </c>
      <c r="D288" s="7">
        <f t="shared" si="85"/>
        <v>0</v>
      </c>
      <c r="E288" s="7">
        <f t="shared" si="85"/>
        <v>0</v>
      </c>
      <c r="F288" s="14">
        <f>$P$104</f>
        <v>0</v>
      </c>
      <c r="H288" s="9"/>
      <c r="I288" s="9"/>
      <c r="J288" s="9"/>
      <c r="K288" s="9"/>
      <c r="L288" s="9">
        <f ca="1">$F$104/$F$31</f>
        <v>0</v>
      </c>
      <c r="M288" s="9">
        <f ca="1">L288-T288</f>
        <v>0</v>
      </c>
      <c r="N288" s="9"/>
      <c r="O288" s="9"/>
      <c r="P288" s="9"/>
      <c r="Q288" s="9"/>
      <c r="R288" s="9"/>
      <c r="S288" s="9">
        <f ca="1">IF(OR($C288="Annual",$D288=$E288),IF(AND($D288=$E288,S$111=$B288+$D288),$L288,IF(AND(S$111&gt;$B288+$D288,S$111&lt;=$B288+$E288), $L288/($E288-$D288),0)), IF(OR(S$111=$B288+$D288,S$111=$B288+$E288),$L288/(($E288-$D288)*2),IF(AND(S$111&gt;$B288+$D288,S$111&lt;$B288+$E288),$L288/($E288-$D288),0)))</f>
        <v>0</v>
      </c>
      <c r="T288" s="9">
        <f>IF(OR($C288="Annual",$D288=$E288),IF(AND($D288=$E288,T$111=$B288+$D288),$L288,IF(AND(T$111&gt;$B288+$D288,T$111&lt;=$B288+$E288), $L288/($E288-$D288),0)), IF(OR(T$111=$B288+$D288,T$111=$B288+$E288),$L288/(($E288-$D288)*2),IF(AND(T$111&gt;$B288+$D288,T$111&lt;$B288+$E288),$L288/($E288-$D288),0)))</f>
        <v>0</v>
      </c>
      <c r="U288" s="9"/>
      <c r="V288" s="9"/>
      <c r="W288" s="9"/>
      <c r="X288" s="9"/>
      <c r="Y288" s="9"/>
      <c r="Z288" s="9">
        <f t="shared" si="84"/>
        <v>0</v>
      </c>
      <c r="AA288" s="9">
        <f t="shared" ca="1" si="84"/>
        <v>0</v>
      </c>
    </row>
    <row r="289" spans="1:27">
      <c r="A289" s="8" t="str">
        <f>A288</f>
        <v>Type 18</v>
      </c>
      <c r="B289" s="7">
        <f>B288+1</f>
        <v>2023</v>
      </c>
      <c r="C289" s="7" t="str">
        <f>C288</f>
        <v>Annual</v>
      </c>
      <c r="D289" s="7">
        <f t="shared" si="85"/>
        <v>0</v>
      </c>
      <c r="E289" s="7">
        <f t="shared" si="85"/>
        <v>0</v>
      </c>
      <c r="F289" s="14">
        <f>$Q$104</f>
        <v>0</v>
      </c>
      <c r="H289" s="9"/>
      <c r="I289" s="9"/>
      <c r="J289" s="9"/>
      <c r="K289" s="9"/>
      <c r="L289" s="9"/>
      <c r="M289" s="9">
        <f ca="1">$G$104/$G$31</f>
        <v>0</v>
      </c>
      <c r="N289" s="9"/>
      <c r="O289" s="9"/>
      <c r="P289" s="9"/>
      <c r="Q289" s="9"/>
      <c r="R289" s="9"/>
      <c r="S289" s="9"/>
      <c r="T289" s="9">
        <f ca="1">IF(OR($C289="Annual",$D289=$E289),IF(AND($D289=$E289,T$111=$B289+$D289),$M289,IF(AND(T$111&gt;$B289+$D289,T$111&lt;=$B289+$E289), $M289/($E289-$D289),0)), IF(OR(T$111=$B289+$D289,T$111=$B289+$E289),$M289/(($E289-$D289)*2),IF(AND(T$111&gt;$B289+$D289,T$111&lt;$B289+$E289),$M289/($E289-$D289),0)))</f>
        <v>0</v>
      </c>
      <c r="U289" s="9"/>
      <c r="V289" s="9"/>
      <c r="W289" s="9"/>
      <c r="X289" s="9"/>
      <c r="Y289" s="9"/>
      <c r="Z289" s="9"/>
      <c r="AA289" s="9">
        <f t="shared" si="84"/>
        <v>0</v>
      </c>
    </row>
    <row r="290" spans="1:27">
      <c r="A290" s="8"/>
      <c r="B290" s="7"/>
      <c r="C290" s="7"/>
      <c r="D290" s="7"/>
      <c r="E290" s="7"/>
      <c r="F290" s="15"/>
      <c r="H290" s="9"/>
      <c r="I290" s="9"/>
      <c r="J290" s="9"/>
      <c r="K290" s="9"/>
      <c r="L290" s="9"/>
      <c r="M290" s="9"/>
      <c r="N290" s="9"/>
      <c r="O290" s="278"/>
      <c r="P290" s="10"/>
      <c r="Q290" s="10"/>
      <c r="R290" s="10"/>
      <c r="S290" s="10"/>
      <c r="T290" s="10"/>
      <c r="U290" s="9"/>
      <c r="V290" s="10"/>
      <c r="W290" s="10"/>
      <c r="X290" s="10"/>
      <c r="Y290" s="10"/>
      <c r="Z290" s="10"/>
      <c r="AA290" s="10"/>
    </row>
    <row r="291" spans="1:27">
      <c r="A291" s="8" t="str">
        <f>'Input 4 - Forecast'!A86</f>
        <v>Type 19</v>
      </c>
      <c r="B291" s="7">
        <f>B119</f>
        <v>2018</v>
      </c>
      <c r="C291" s="7" t="str">
        <f>$I105</f>
        <v>Annual</v>
      </c>
      <c r="D291" s="7">
        <f>$J105</f>
        <v>0</v>
      </c>
      <c r="E291" s="7">
        <f>$K105</f>
        <v>0</v>
      </c>
      <c r="F291" s="14">
        <f>$L$105</f>
        <v>0</v>
      </c>
      <c r="H291" s="9">
        <f>$B$105/$B$31</f>
        <v>0</v>
      </c>
      <c r="I291" s="9">
        <f>H291-P291</f>
        <v>0</v>
      </c>
      <c r="J291" s="9">
        <f>I291-Q291</f>
        <v>0</v>
      </c>
      <c r="K291" s="9">
        <f>J291-R291</f>
        <v>0</v>
      </c>
      <c r="L291" s="9">
        <f>K291-S291</f>
        <v>0</v>
      </c>
      <c r="M291" s="9">
        <f>L291-T291</f>
        <v>0</v>
      </c>
      <c r="N291" s="9"/>
      <c r="O291" s="9">
        <f t="shared" ref="O291:T291" si="86">IF(OR($C291="Annual",$D291=$E291),IF(AND($D291=$E291,O$111=$B291+$D291),$H291,IF(AND(O$111&gt;$B291+$D291,O$111&lt;=$B291+$E291), $H291/($E291-$D291),0)), IF(OR(O$111=$B291+$D291,O$111=$B291+$E291),$H291/(($E291-$D291)*2),IF(AND(O$111&gt;$B291+$D291,O$111&lt;$B291+$E291),$H291/($E291-$D291),0)))</f>
        <v>0</v>
      </c>
      <c r="P291" s="9">
        <f t="shared" si="86"/>
        <v>0</v>
      </c>
      <c r="Q291" s="9">
        <f t="shared" si="86"/>
        <v>0</v>
      </c>
      <c r="R291" s="9">
        <f t="shared" si="86"/>
        <v>0</v>
      </c>
      <c r="S291" s="9">
        <f t="shared" si="86"/>
        <v>0</v>
      </c>
      <c r="T291" s="9">
        <f t="shared" si="86"/>
        <v>0</v>
      </c>
      <c r="U291" s="9"/>
      <c r="V291" s="9">
        <f>IF($C291="annual",IF(V$111=$B291,0,G291*$F291),IF(V$111-$B291=0,0,IF((V$111-$B291)&lt;$E291,AVERAGE(G291,H291)*$F291,IF((V$111-$B291)=$E291,G291*$F291/2,0))))</f>
        <v>0</v>
      </c>
      <c r="W291" s="9">
        <f t="shared" ref="W291:AA296" si="87">IF($C291="annual",IF(W$111=$B291,0,H291*$F291),IF(W$111-$B291=0,0,IF((W$111-$B291)&lt;$E291,AVERAGE(H291,I291)*$F291,IF((W$111-$B291)=$E291,H291*$F291/2,0))))</f>
        <v>0</v>
      </c>
      <c r="X291" s="9">
        <f t="shared" si="87"/>
        <v>0</v>
      </c>
      <c r="Y291" s="9">
        <f t="shared" si="87"/>
        <v>0</v>
      </c>
      <c r="Z291" s="9">
        <f t="shared" si="87"/>
        <v>0</v>
      </c>
      <c r="AA291" s="9">
        <f t="shared" si="87"/>
        <v>0</v>
      </c>
    </row>
    <row r="292" spans="1:27">
      <c r="A292" s="8" t="str">
        <f>A291</f>
        <v>Type 19</v>
      </c>
      <c r="B292" s="7">
        <f>B291+1</f>
        <v>2019</v>
      </c>
      <c r="C292" s="7" t="str">
        <f>C291</f>
        <v>Annual</v>
      </c>
      <c r="D292" s="7">
        <f t="shared" ref="D292:E296" si="88">D291</f>
        <v>0</v>
      </c>
      <c r="E292" s="7">
        <f t="shared" si="88"/>
        <v>0</v>
      </c>
      <c r="F292" s="14">
        <f>$M$105</f>
        <v>2.0470863523532085E-2</v>
      </c>
      <c r="H292" s="9"/>
      <c r="I292" s="9">
        <f ca="1">$C$105/$C$31</f>
        <v>0</v>
      </c>
      <c r="J292" s="9">
        <f ca="1">I292-Q292</f>
        <v>0</v>
      </c>
      <c r="K292" s="9">
        <f ca="1">J292-R292</f>
        <v>0</v>
      </c>
      <c r="L292" s="9">
        <f ca="1">K292-S292</f>
        <v>0</v>
      </c>
      <c r="M292" s="9">
        <f ca="1">L292-T292</f>
        <v>0</v>
      </c>
      <c r="N292" s="9"/>
      <c r="O292" s="9"/>
      <c r="P292" s="9">
        <f ca="1">IF(OR($C292="Annual",$D292=$E292),IF(AND($D292=$E292,P$111=$B292+$D292),$I292,IF(AND(P$111&gt;$B292+$D292,P$111&lt;=$B292+$E292), $I292/($E292-$D292),0)), IF(OR(P$111=$B292+$D292,P$111=$B292+$E292),$I292/(($E292-$D292)*2),IF(AND(P$111&gt;$B292+$D292,P$111&lt;$B292+$E292),$I292/($E292-$D292),0)))</f>
        <v>0</v>
      </c>
      <c r="Q292" s="9">
        <f>IF(OR($C292="Annual",$D292=$E292),IF(AND($D292=$E292,Q$111=$B292+$D292),$I292,IF(AND(Q$111&gt;$B292+$D292,Q$111&lt;=$B292+$E292), $I292/($E292-$D292),0)), IF(OR(Q$111=$B292+$D292,Q$111=$B292+$E292),$I292/(($E292-$D292)*2),IF(AND(Q$111&gt;$B292+$D292,Q$111&lt;$B292+$E292),$I292/($E292-$D292),0)))</f>
        <v>0</v>
      </c>
      <c r="R292" s="9">
        <f>IF(OR($C292="Annual",$D292=$E292),IF(AND($D292=$E292,R$111=$B292+$D292),$I292,IF(AND(R$111&gt;$B292+$D292,R$111&lt;=$B292+$E292), $I292/($E292-$D292),0)), IF(OR(R$111=$B292+$D292,R$111=$B292+$E292),$I292/(($E292-$D292)*2),IF(AND(R$111&gt;$B292+$D292,R$111&lt;$B292+$E292),$I292/($E292-$D292),0)))</f>
        <v>0</v>
      </c>
      <c r="S292" s="9">
        <f>IF(OR($C292="Annual",$D292=$E292),IF(AND($D292=$E292,S$111=$B292+$D292),$I292,IF(AND(S$111&gt;$B292+$D292,S$111&lt;=$B292+$E292), $I292/($E292-$D292),0)), IF(OR(S$111=$B292+$D292,S$111=$B292+$E292),$I292/(($E292-$D292)*2),IF(AND(S$111&gt;$B292+$D292,S$111&lt;$B292+$E292),$I292/($E292-$D292),0)))</f>
        <v>0</v>
      </c>
      <c r="T292" s="9">
        <f>IF(OR($C292="Annual",$D292=$E292),IF(AND($D292=$E292,T$111=$B292+$D292),$I292,IF(AND(T$111&gt;$B292+$D292,T$111&lt;=$B292+$E292), $I292/($E292-$D292),0)), IF(OR(T$111=$B292+$D292,T$111=$B292+$E292),$I292/(($E292-$D292)*2),IF(AND(T$111&gt;$B292+$D292,T$111&lt;$B292+$E292),$I292/($E292-$D292),0)))</f>
        <v>0</v>
      </c>
      <c r="U292" s="9"/>
      <c r="V292" s="9"/>
      <c r="W292" s="9">
        <f t="shared" si="87"/>
        <v>0</v>
      </c>
      <c r="X292" s="9">
        <f t="shared" ca="1" si="87"/>
        <v>0</v>
      </c>
      <c r="Y292" s="9">
        <f t="shared" ca="1" si="87"/>
        <v>0</v>
      </c>
      <c r="Z292" s="9">
        <f t="shared" ca="1" si="87"/>
        <v>0</v>
      </c>
      <c r="AA292" s="9">
        <f t="shared" ca="1" si="87"/>
        <v>0</v>
      </c>
    </row>
    <row r="293" spans="1:27">
      <c r="A293" s="8" t="str">
        <f>A292</f>
        <v>Type 19</v>
      </c>
      <c r="B293" s="7">
        <f>B292+1</f>
        <v>2020</v>
      </c>
      <c r="C293" s="7" t="str">
        <f>C292</f>
        <v>Annual</v>
      </c>
      <c r="D293" s="7">
        <f t="shared" si="88"/>
        <v>0</v>
      </c>
      <c r="E293" s="7">
        <f t="shared" si="88"/>
        <v>0</v>
      </c>
      <c r="F293" s="14">
        <f>$N$105</f>
        <v>0</v>
      </c>
      <c r="H293" s="9"/>
      <c r="I293" s="9"/>
      <c r="J293" s="9">
        <f ca="1">$D$105/$D$31</f>
        <v>0</v>
      </c>
      <c r="K293" s="9">
        <f ca="1">J293-R293</f>
        <v>0</v>
      </c>
      <c r="L293" s="9">
        <f ca="1">K293-S293</f>
        <v>0</v>
      </c>
      <c r="M293" s="9">
        <f ca="1">L293-T293</f>
        <v>0</v>
      </c>
      <c r="N293" s="9"/>
      <c r="O293" s="9"/>
      <c r="P293" s="9"/>
      <c r="Q293" s="9">
        <f ca="1">IF(OR($C293="Annual",$D293=$E293),IF(AND($D293=$E293,Q$111=$B293+$D293),$J293,IF(AND(Q$111&gt;$B293+$D293,Q$111&lt;=$B293+$E293), $J293/($E293-$D293),0)), IF(OR(Q$111=$B293+$D293,Q$111=$B293+$E293),$J293/(($E293-$D293)*2),IF(AND(Q$111&gt;$B293+$D293,Q$111&lt;$B293+$E293),$J293/($E293-$D293),0)))</f>
        <v>0</v>
      </c>
      <c r="R293" s="9">
        <f>IF(OR($C293="Annual",$D293=$E293),IF(AND($D293=$E293,R$111=$B293+$D293),$J293,IF(AND(R$111&gt;$B293+$D293,R$111&lt;=$B293+$E293), $J293/($E293-$D293),0)), IF(OR(R$111=$B293+$D293,R$111=$B293+$E293),$J293/(($E293-$D293)*2),IF(AND(R$111&gt;$B293+$D293,R$111&lt;$B293+$E293),$J293/($E293-$D293),0)))</f>
        <v>0</v>
      </c>
      <c r="S293" s="9">
        <f>IF(OR($C293="Annual",$D293=$E293),IF(AND($D293=$E293,S$111=$B293+$D293),$J293,IF(AND(S$111&gt;$B293+$D293,S$111&lt;=$B293+$E293), $J293/($E293-$D293),0)), IF(OR(S$111=$B293+$D293,S$111=$B293+$E293),$J293/(($E293-$D293)*2),IF(AND(S$111&gt;$B293+$D293,S$111&lt;$B293+$E293),$J293/($E293-$D293),0)))</f>
        <v>0</v>
      </c>
      <c r="T293" s="9">
        <f>IF(OR($C293="Annual",$D293=$E293),IF(AND($D293=$E293,T$111=$B293+$D293),$J293,IF(AND(T$111&gt;$B293+$D293,T$111&lt;=$B293+$E293), $J293/($E293-$D293),0)), IF(OR(T$111=$B293+$D293,T$111=$B293+$E293),$J293/(($E293-$D293)*2),IF(AND(T$111&gt;$B293+$D293,T$111&lt;$B293+$E293),$J293/($E293-$D293),0)))</f>
        <v>0</v>
      </c>
      <c r="U293" s="9"/>
      <c r="V293" s="9"/>
      <c r="W293" s="9"/>
      <c r="X293" s="9">
        <f t="shared" si="87"/>
        <v>0</v>
      </c>
      <c r="Y293" s="9">
        <f t="shared" ca="1" si="87"/>
        <v>0</v>
      </c>
      <c r="Z293" s="9">
        <f t="shared" ca="1" si="87"/>
        <v>0</v>
      </c>
      <c r="AA293" s="9">
        <f t="shared" ca="1" si="87"/>
        <v>0</v>
      </c>
    </row>
    <row r="294" spans="1:27">
      <c r="A294" s="8" t="str">
        <f>A293</f>
        <v>Type 19</v>
      </c>
      <c r="B294" s="7">
        <f>B293+1</f>
        <v>2021</v>
      </c>
      <c r="C294" s="7" t="str">
        <f>C293</f>
        <v>Annual</v>
      </c>
      <c r="D294" s="7">
        <f t="shared" si="88"/>
        <v>0</v>
      </c>
      <c r="E294" s="7">
        <f t="shared" si="88"/>
        <v>0</v>
      </c>
      <c r="F294" s="14">
        <f>$O$105</f>
        <v>0</v>
      </c>
      <c r="H294" s="9"/>
      <c r="I294" s="9"/>
      <c r="J294" s="9"/>
      <c r="K294" s="9">
        <f ca="1">$E$105/$E$31</f>
        <v>0</v>
      </c>
      <c r="L294" s="9">
        <f ca="1">K294-S294</f>
        <v>0</v>
      </c>
      <c r="M294" s="9">
        <f ca="1">L294-T294</f>
        <v>0</v>
      </c>
      <c r="N294" s="9"/>
      <c r="O294" s="9"/>
      <c r="P294" s="9"/>
      <c r="Q294" s="9"/>
      <c r="R294" s="9">
        <f ca="1">IF(OR($C294="Annual",$D294=$E294),IF(AND($D294=$E294,R$111=$B294+$D294),$K294,IF(AND(R$111&gt;$B294+$D294,R$111&lt;=$B294+$E294), $K294/($E294-$D294),0)), IF(OR(R$111=$B294+$D294,R$111=$B294+$E294),$K294/(($E294-$D294)*2),IF(AND(R$111&gt;$B294+$D294,R$111&lt;$B294+$E294),$K294/($E294-$D294),0)))</f>
        <v>0</v>
      </c>
      <c r="S294" s="9">
        <f>IF(OR($C294="Annual",$D294=$E294),IF(AND($D294=$E294,S$111=$B294+$D294),$K294,IF(AND(S$111&gt;$B294+$D294,S$111&lt;=$B294+$E294), $K294/($E294-$D294),0)), IF(OR(S$111=$B294+$D294,S$111=$B294+$E294),$K294/(($E294-$D294)*2),IF(AND(S$111&gt;$B294+$D294,S$111&lt;$B294+$E294),$K294/($E294-$D294),0)))</f>
        <v>0</v>
      </c>
      <c r="T294" s="9">
        <f>IF(OR($C294="Annual",$D294=$E294),IF(AND($D294=$E294,T$111=$B294+$D294),$K294,IF(AND(T$111&gt;$B294+$D294,T$111&lt;=$B294+$E294), $K294/($E294-$D294),0)), IF(OR(T$111=$B294+$D294,T$111=$B294+$E294),$K294/(($E294-$D294)*2),IF(AND(T$111&gt;$B294+$D294,T$111&lt;$B294+$E294),$K294/($E294-$D294),0)))</f>
        <v>0</v>
      </c>
      <c r="U294" s="9"/>
      <c r="V294" s="9"/>
      <c r="W294" s="9"/>
      <c r="X294" s="9"/>
      <c r="Y294" s="9">
        <f t="shared" si="87"/>
        <v>0</v>
      </c>
      <c r="Z294" s="9">
        <f t="shared" ca="1" si="87"/>
        <v>0</v>
      </c>
      <c r="AA294" s="9">
        <f t="shared" ca="1" si="87"/>
        <v>0</v>
      </c>
    </row>
    <row r="295" spans="1:27">
      <c r="A295" s="8" t="str">
        <f>A294</f>
        <v>Type 19</v>
      </c>
      <c r="B295" s="7">
        <f>B294+1</f>
        <v>2022</v>
      </c>
      <c r="C295" s="7" t="str">
        <f>C294</f>
        <v>Annual</v>
      </c>
      <c r="D295" s="7">
        <f t="shared" si="88"/>
        <v>0</v>
      </c>
      <c r="E295" s="7">
        <f t="shared" si="88"/>
        <v>0</v>
      </c>
      <c r="F295" s="14">
        <f>$P$105</f>
        <v>0</v>
      </c>
      <c r="H295" s="9"/>
      <c r="I295" s="9"/>
      <c r="J295" s="9"/>
      <c r="K295" s="9"/>
      <c r="L295" s="9">
        <f ca="1">$F$105/$F$31</f>
        <v>0</v>
      </c>
      <c r="M295" s="9">
        <f ca="1">L295-T295</f>
        <v>0</v>
      </c>
      <c r="N295" s="9"/>
      <c r="O295" s="9"/>
      <c r="P295" s="9"/>
      <c r="Q295" s="9"/>
      <c r="R295" s="9"/>
      <c r="S295" s="9">
        <f ca="1">IF(OR($C295="Annual",$D295=$E295),IF(AND($D295=$E295,S$111=$B295+$D295),$L295,IF(AND(S$111&gt;$B295+$D295,S$111&lt;=$B295+$E295), $L295/($E295-$D295),0)), IF(OR(S$111=$B295+$D295,S$111=$B295+$E295),$L295/(($E295-$D295)*2),IF(AND(S$111&gt;$B295+$D295,S$111&lt;$B295+$E295),$L295/($E295-$D295),0)))</f>
        <v>0</v>
      </c>
      <c r="T295" s="9">
        <f>IF(OR($C295="Annual",$D295=$E295),IF(AND($D295=$E295,T$111=$B295+$D295),$L295,IF(AND(T$111&gt;$B295+$D295,T$111&lt;=$B295+$E295), $L295/($E295-$D295),0)), IF(OR(T$111=$B295+$D295,T$111=$B295+$E295),$L295/(($E295-$D295)*2),IF(AND(T$111&gt;$B295+$D295,T$111&lt;$B295+$E295),$L295/($E295-$D295),0)))</f>
        <v>0</v>
      </c>
      <c r="U295" s="9"/>
      <c r="V295" s="9"/>
      <c r="W295" s="9"/>
      <c r="X295" s="9"/>
      <c r="Y295" s="9"/>
      <c r="Z295" s="9">
        <f t="shared" si="87"/>
        <v>0</v>
      </c>
      <c r="AA295" s="9">
        <f t="shared" ca="1" si="87"/>
        <v>0</v>
      </c>
    </row>
    <row r="296" spans="1:27">
      <c r="A296" s="8" t="str">
        <f>A295</f>
        <v>Type 19</v>
      </c>
      <c r="B296" s="7">
        <f>B295+1</f>
        <v>2023</v>
      </c>
      <c r="C296" s="7" t="str">
        <f>C295</f>
        <v>Annual</v>
      </c>
      <c r="D296" s="7">
        <f t="shared" si="88"/>
        <v>0</v>
      </c>
      <c r="E296" s="7">
        <f t="shared" si="88"/>
        <v>0</v>
      </c>
      <c r="F296" s="14">
        <f>$Q$105</f>
        <v>0</v>
      </c>
      <c r="H296" s="9"/>
      <c r="I296" s="9"/>
      <c r="J296" s="9"/>
      <c r="K296" s="9"/>
      <c r="L296" s="9"/>
      <c r="M296" s="9">
        <f ca="1">$G$105/$G$31</f>
        <v>0</v>
      </c>
      <c r="N296" s="9"/>
      <c r="O296" s="9"/>
      <c r="P296" s="9"/>
      <c r="Q296" s="9"/>
      <c r="R296" s="9"/>
      <c r="S296" s="9"/>
      <c r="T296" s="9">
        <f ca="1">IF(OR($C296="Annual",$D296=$E296),IF(AND($D296=$E296,T$111=$B296+$D296),$M296,IF(AND(T$111&gt;$B296+$D296,T$111&lt;=$B296+$E296), $M296/($E296-$D296),0)), IF(OR(T$111=$B296+$D296,T$111=$B296+$E296),$M296/(($E296-$D296)*2),IF(AND(T$111&gt;$B296+$D296,T$111&lt;$B296+$E296),$M296/($E296-$D296),0)))</f>
        <v>0</v>
      </c>
      <c r="U296" s="9"/>
      <c r="V296" s="9"/>
      <c r="W296" s="9"/>
      <c r="X296" s="9"/>
      <c r="Y296" s="9"/>
      <c r="Z296" s="9"/>
      <c r="AA296" s="9">
        <f t="shared" si="87"/>
        <v>0</v>
      </c>
    </row>
    <row r="297" spans="1:27">
      <c r="A297" s="8"/>
      <c r="B297" s="7"/>
      <c r="C297" s="7"/>
      <c r="D297" s="7"/>
      <c r="E297" s="7"/>
      <c r="F297" s="15"/>
      <c r="H297" s="9"/>
      <c r="I297" s="9"/>
      <c r="J297" s="9"/>
      <c r="K297" s="9"/>
      <c r="L297" s="9"/>
      <c r="M297" s="9"/>
      <c r="N297" s="9"/>
      <c r="O297" s="278"/>
      <c r="P297" s="10"/>
      <c r="Q297" s="10"/>
      <c r="R297" s="10"/>
      <c r="S297" s="10"/>
      <c r="T297" s="10"/>
      <c r="U297" s="9"/>
      <c r="V297" s="10"/>
      <c r="W297" s="10"/>
      <c r="X297" s="10"/>
      <c r="Y297" s="10"/>
      <c r="Z297" s="10"/>
      <c r="AA297" s="10"/>
    </row>
    <row r="298" spans="1:27" s="1150" customFormat="1">
      <c r="A298" s="1347" t="str">
        <f>'Input 4 - Forecast'!A87</f>
        <v>ZERO-COUPON BOND</v>
      </c>
      <c r="B298" s="1348">
        <f>B119</f>
        <v>2018</v>
      </c>
      <c r="C298" s="1348"/>
      <c r="D298" s="1348">
        <f>$J106</f>
        <v>0</v>
      </c>
      <c r="E298" s="1348">
        <f>$K106</f>
        <v>0</v>
      </c>
      <c r="F298" s="1349">
        <f>$L$106</f>
        <v>0</v>
      </c>
      <c r="H298" s="1350">
        <f>$B$106/$B$31</f>
        <v>0</v>
      </c>
      <c r="I298" s="1350">
        <f>H298-P298</f>
        <v>0</v>
      </c>
      <c r="J298" s="1350">
        <f>I298-Q298</f>
        <v>0</v>
      </c>
      <c r="K298" s="1350">
        <f>J298-R298</f>
        <v>0</v>
      </c>
      <c r="L298" s="1350">
        <f>K298-S298</f>
        <v>0</v>
      </c>
      <c r="M298" s="1350">
        <f>L298-T298</f>
        <v>0</v>
      </c>
      <c r="N298" s="1350"/>
      <c r="O298" s="1350">
        <f t="shared" ref="O298:T298" si="89">IF($D298=$E298,IF(O$111=$B298+$E298,$H298,0),0)</f>
        <v>0</v>
      </c>
      <c r="P298" s="1350">
        <f t="shared" si="89"/>
        <v>0</v>
      </c>
      <c r="Q298" s="1350">
        <f t="shared" si="89"/>
        <v>0</v>
      </c>
      <c r="R298" s="1350">
        <f t="shared" si="89"/>
        <v>0</v>
      </c>
      <c r="S298" s="1350">
        <f t="shared" si="89"/>
        <v>0</v>
      </c>
      <c r="T298" s="1350">
        <f t="shared" si="89"/>
        <v>0</v>
      </c>
      <c r="U298" s="1350"/>
      <c r="V298" s="1350">
        <f t="shared" ref="V298:AA298" si="90">IF(V$111-$B298=$D298,$H298*(((1+$F298)^$D298)-1),0)</f>
        <v>0</v>
      </c>
      <c r="W298" s="1350">
        <f t="shared" si="90"/>
        <v>0</v>
      </c>
      <c r="X298" s="1350">
        <f t="shared" si="90"/>
        <v>0</v>
      </c>
      <c r="Y298" s="1350">
        <f t="shared" si="90"/>
        <v>0</v>
      </c>
      <c r="Z298" s="1350">
        <f t="shared" si="90"/>
        <v>0</v>
      </c>
      <c r="AA298" s="1350">
        <f t="shared" si="90"/>
        <v>0</v>
      </c>
    </row>
    <row r="299" spans="1:27" s="1150" customFormat="1">
      <c r="A299" s="1347" t="str">
        <f>A298</f>
        <v>ZERO-COUPON BOND</v>
      </c>
      <c r="B299" s="1348">
        <f>B298+1</f>
        <v>2019</v>
      </c>
      <c r="C299" s="1348"/>
      <c r="D299" s="1348">
        <f t="shared" ref="D299:E303" si="91">D298</f>
        <v>0</v>
      </c>
      <c r="E299" s="1348">
        <f t="shared" si="91"/>
        <v>0</v>
      </c>
      <c r="F299" s="1349">
        <f>$M$106</f>
        <v>2.0470863523532085E-2</v>
      </c>
      <c r="H299" s="1350"/>
      <c r="I299" s="1350">
        <f ca="1">$C$106/$C$31</f>
        <v>0</v>
      </c>
      <c r="J299" s="1350">
        <f ca="1">I299-Q299</f>
        <v>0</v>
      </c>
      <c r="K299" s="1350">
        <f ca="1">J299-R299</f>
        <v>0</v>
      </c>
      <c r="L299" s="1350">
        <f ca="1">K299-S299</f>
        <v>0</v>
      </c>
      <c r="M299" s="1350">
        <f ca="1">L299-T299</f>
        <v>0</v>
      </c>
      <c r="N299" s="1350"/>
      <c r="O299" s="1351"/>
      <c r="P299" s="1350">
        <f ca="1">IF($D299=$E299,IF(P$111=$B299+$E299,$I299,0),0)</f>
        <v>0</v>
      </c>
      <c r="Q299" s="1350">
        <f>IF($D299=$E299,IF(Q$111=$B299+$E299,$I299,0),0)</f>
        <v>0</v>
      </c>
      <c r="R299" s="1350">
        <f>IF($D299=$E299,IF(R$111=$B299+$E299,$I299,0),0)</f>
        <v>0</v>
      </c>
      <c r="S299" s="1350">
        <f>IF($D299=$E299,IF(S$111=$B299+$E299,$I299,0),0)</f>
        <v>0</v>
      </c>
      <c r="T299" s="1350">
        <f>IF($D299=$E299,IF(T$111=$B299+$E299,$I299,0),0)</f>
        <v>0</v>
      </c>
      <c r="U299" s="1350"/>
      <c r="V299" s="1350"/>
      <c r="W299" s="1350">
        <f ca="1">IF(W$111-$B299=$D299,$I299*(((1+$F299)^$D299)-1),0)</f>
        <v>0</v>
      </c>
      <c r="X299" s="1350">
        <f>IF(X$111-$B299=$D299,$I299*(((1+$F299)^$D299)-1),0)</f>
        <v>0</v>
      </c>
      <c r="Y299" s="1350">
        <f>IF(Y$111-$B299=$D299,$I299*(((1+$F299)^$D299)-1),0)</f>
        <v>0</v>
      </c>
      <c r="Z299" s="1350">
        <f>IF(Z$111-$B299=$D299,$I299*(((1+$F299)^$D299)-1),0)</f>
        <v>0</v>
      </c>
      <c r="AA299" s="1350">
        <f>IF(AA$111-$B299=$D299,$I299*(((1+$F299)^$D299)-1),0)</f>
        <v>0</v>
      </c>
    </row>
    <row r="300" spans="1:27" s="1150" customFormat="1">
      <c r="A300" s="1347" t="str">
        <f>A299</f>
        <v>ZERO-COUPON BOND</v>
      </c>
      <c r="B300" s="1348">
        <f>B299+1</f>
        <v>2020</v>
      </c>
      <c r="C300" s="1348"/>
      <c r="D300" s="1348">
        <f t="shared" si="91"/>
        <v>0</v>
      </c>
      <c r="E300" s="1348">
        <f t="shared" si="91"/>
        <v>0</v>
      </c>
      <c r="F300" s="1349">
        <f>$N$106</f>
        <v>0</v>
      </c>
      <c r="H300" s="1350"/>
      <c r="I300" s="1350"/>
      <c r="J300" s="1350">
        <f ca="1">$D$106/$D$31</f>
        <v>0</v>
      </c>
      <c r="K300" s="1350">
        <f ca="1">J300-R300</f>
        <v>0</v>
      </c>
      <c r="L300" s="1350">
        <f ca="1">K300-S300</f>
        <v>0</v>
      </c>
      <c r="M300" s="1350">
        <f ca="1">L300-T300</f>
        <v>0</v>
      </c>
      <c r="N300" s="1350"/>
      <c r="O300" s="1351"/>
      <c r="P300" s="1350"/>
      <c r="Q300" s="1350">
        <f ca="1">IF($D300=$E300,IF(Q$111=$B300+$E300,$J300,0),0)</f>
        <v>0</v>
      </c>
      <c r="R300" s="1350">
        <f>IF($D300=$E300,IF(R$111=$B300+$E300,$J300,0),0)</f>
        <v>0</v>
      </c>
      <c r="S300" s="1350">
        <f>IF($D300=$E300,IF(S$111=$B300+$E300,$J300,0),0)</f>
        <v>0</v>
      </c>
      <c r="T300" s="1350">
        <f>IF($D300=$E300,IF(T$111=$B300+$E300,$J300,0),0)</f>
        <v>0</v>
      </c>
      <c r="U300" s="1350"/>
      <c r="V300" s="1350"/>
      <c r="W300" s="1350"/>
      <c r="X300" s="1350">
        <f ca="1">IF(X$111-$B300=$D300,$J300*(((1+$F300)^$D300)-1),0)</f>
        <v>0</v>
      </c>
      <c r="Y300" s="1350">
        <f>IF(Y$111-$B300=$D300,$J300*(((1+$F300)^$D300)-1),0)</f>
        <v>0</v>
      </c>
      <c r="Z300" s="1350">
        <f>IF(Z$111-$B300=$D300,$J300*(((1+$F300)^$D300)-1),0)</f>
        <v>0</v>
      </c>
      <c r="AA300" s="1350">
        <f>IF(AA$111-$B300=$D300,$J300*(((1+$F300)^$D300)-1),0)</f>
        <v>0</v>
      </c>
    </row>
    <row r="301" spans="1:27" s="1150" customFormat="1">
      <c r="A301" s="1347" t="str">
        <f>A300</f>
        <v>ZERO-COUPON BOND</v>
      </c>
      <c r="B301" s="1348">
        <f>B300+1</f>
        <v>2021</v>
      </c>
      <c r="C301" s="1348"/>
      <c r="D301" s="1348">
        <f t="shared" si="91"/>
        <v>0</v>
      </c>
      <c r="E301" s="1348">
        <f t="shared" si="91"/>
        <v>0</v>
      </c>
      <c r="F301" s="1349">
        <f>$O$106</f>
        <v>0</v>
      </c>
      <c r="H301" s="1350"/>
      <c r="I301" s="1350"/>
      <c r="J301" s="1350"/>
      <c r="K301" s="1350">
        <f ca="1">$E$106/$E$31</f>
        <v>0</v>
      </c>
      <c r="L301" s="1350">
        <f ca="1">K301-S301</f>
        <v>0</v>
      </c>
      <c r="M301" s="1350">
        <f ca="1">L301-T301</f>
        <v>0</v>
      </c>
      <c r="N301" s="1350"/>
      <c r="O301" s="1351"/>
      <c r="P301" s="1350"/>
      <c r="Q301" s="1350"/>
      <c r="R301" s="1350">
        <f ca="1">IF($D301=$E301,IF(R$111=$B301+$E301,$K301,0),0)</f>
        <v>0</v>
      </c>
      <c r="S301" s="1350">
        <f>IF($D301=$E301,IF(S$111=$B301+$E301,$K301,0),0)</f>
        <v>0</v>
      </c>
      <c r="T301" s="1350">
        <f>IF($D301=$E301,IF(T$111=$B301+$E301,$K301,0),0)</f>
        <v>0</v>
      </c>
      <c r="U301" s="1350"/>
      <c r="V301" s="1350"/>
      <c r="W301" s="1350"/>
      <c r="X301" s="1350"/>
      <c r="Y301" s="1350">
        <f ca="1">IF(Y$111-$B301=$D301,$K301*(((1+$F301)^$D301)-1),0)</f>
        <v>0</v>
      </c>
      <c r="Z301" s="1350">
        <f>IF(Z$111-$B301=$D301,$K301*(((1+$F301)^$D301)-1),0)</f>
        <v>0</v>
      </c>
      <c r="AA301" s="1350">
        <f>IF(AA$111-$B301=$D301,$K301*(((1+$F301)^$D301)-1),0)</f>
        <v>0</v>
      </c>
    </row>
    <row r="302" spans="1:27" s="1150" customFormat="1">
      <c r="A302" s="1347" t="str">
        <f>A301</f>
        <v>ZERO-COUPON BOND</v>
      </c>
      <c r="B302" s="1348">
        <f>B301+1</f>
        <v>2022</v>
      </c>
      <c r="C302" s="1348"/>
      <c r="D302" s="1348">
        <f t="shared" si="91"/>
        <v>0</v>
      </c>
      <c r="E302" s="1348">
        <f t="shared" si="91"/>
        <v>0</v>
      </c>
      <c r="F302" s="1349">
        <f>$P$106</f>
        <v>0</v>
      </c>
      <c r="H302" s="1350"/>
      <c r="I302" s="1350"/>
      <c r="J302" s="1350"/>
      <c r="K302" s="1350"/>
      <c r="L302" s="1350">
        <f ca="1">$F$106/$F$31</f>
        <v>0</v>
      </c>
      <c r="M302" s="1350">
        <f ca="1">L302-T302</f>
        <v>0</v>
      </c>
      <c r="N302" s="1350"/>
      <c r="O302" s="1351"/>
      <c r="P302" s="1350"/>
      <c r="Q302" s="1350"/>
      <c r="R302" s="1350"/>
      <c r="S302" s="1350">
        <f ca="1">IF($D302=$E302,IF(S$111=$B302+$E302,$L302,0),0)</f>
        <v>0</v>
      </c>
      <c r="T302" s="1350">
        <f>IF($D302=$E302,IF(T$111=$B302+$E302,$L302,0),0)</f>
        <v>0</v>
      </c>
      <c r="U302" s="1350"/>
      <c r="V302" s="1350"/>
      <c r="W302" s="1350"/>
      <c r="X302" s="1350"/>
      <c r="Y302" s="1350"/>
      <c r="Z302" s="1350">
        <f ca="1">IF(Z$111-$B302=$D302,$L302*(((1+$F302)^$D302)-1),0)</f>
        <v>0</v>
      </c>
      <c r="AA302" s="1350">
        <f>IF(AA$111-$B302=$D302,$L302*(((1+$F302)^$D302)-1),0)</f>
        <v>0</v>
      </c>
    </row>
    <row r="303" spans="1:27" s="1150" customFormat="1">
      <c r="A303" s="1347" t="str">
        <f>A302</f>
        <v>ZERO-COUPON BOND</v>
      </c>
      <c r="B303" s="1348">
        <f>B302+1</f>
        <v>2023</v>
      </c>
      <c r="C303" s="1348"/>
      <c r="D303" s="1348">
        <f t="shared" si="91"/>
        <v>0</v>
      </c>
      <c r="E303" s="1348">
        <f t="shared" si="91"/>
        <v>0</v>
      </c>
      <c r="F303" s="1349">
        <f>$Q$106</f>
        <v>0</v>
      </c>
      <c r="H303" s="1350"/>
      <c r="I303" s="1350"/>
      <c r="J303" s="1350"/>
      <c r="K303" s="1350"/>
      <c r="L303" s="1350"/>
      <c r="M303" s="1350">
        <f ca="1">$G$106/$G$31</f>
        <v>0</v>
      </c>
      <c r="N303" s="1350"/>
      <c r="O303" s="1351"/>
      <c r="P303" s="1350"/>
      <c r="Q303" s="1350"/>
      <c r="R303" s="1350"/>
      <c r="S303" s="1350"/>
      <c r="T303" s="1350">
        <f ca="1">IF($D303=$E303,IF(T$111=$B303+$E303,$M303,0),0)</f>
        <v>0</v>
      </c>
      <c r="U303" s="1350"/>
      <c r="V303" s="1350"/>
      <c r="W303" s="1350"/>
      <c r="X303" s="1350"/>
      <c r="Y303" s="1350"/>
      <c r="Z303" s="1350"/>
      <c r="AA303" s="1350">
        <f ca="1">IF(AA$111-$B303=$D303,$M303*(((1+$F303)^$D303)-1),0)</f>
        <v>0</v>
      </c>
    </row>
    <row r="304" spans="1:27" ht="15.75" thickBot="1">
      <c r="H304" s="10"/>
      <c r="I304" s="10"/>
      <c r="J304" s="10"/>
      <c r="K304" s="10"/>
      <c r="L304" s="10"/>
      <c r="M304" s="10"/>
      <c r="N304" s="10"/>
      <c r="O304" s="10"/>
      <c r="P304" s="10"/>
      <c r="Q304" s="10"/>
      <c r="R304" s="10"/>
      <c r="S304" s="10"/>
      <c r="T304" s="10"/>
      <c r="U304" s="10"/>
      <c r="V304" s="10"/>
      <c r="W304" s="10"/>
      <c r="X304" s="10"/>
      <c r="Y304" s="10"/>
      <c r="Z304" s="10"/>
      <c r="AA304" s="10"/>
    </row>
    <row r="305" spans="1:27" ht="15.75" thickBot="1">
      <c r="B305" s="1999" t="s">
        <v>51</v>
      </c>
      <c r="C305" s="2000"/>
      <c r="D305" s="2000"/>
      <c r="E305" s="2000"/>
      <c r="F305" s="2000"/>
      <c r="G305" s="2000"/>
      <c r="H305" s="2000"/>
      <c r="I305" s="2000"/>
      <c r="J305" s="2000"/>
      <c r="K305" s="2000"/>
      <c r="L305" s="2000"/>
      <c r="M305" s="2000"/>
      <c r="N305" s="2000"/>
      <c r="O305" s="2000"/>
      <c r="P305" s="2000"/>
      <c r="Q305" s="2000"/>
      <c r="R305" s="2000"/>
      <c r="S305" s="2000"/>
      <c r="T305" s="2000"/>
      <c r="U305" s="2000"/>
      <c r="V305" s="2000"/>
      <c r="W305" s="2000"/>
      <c r="X305" s="2000"/>
      <c r="Y305" s="2000"/>
      <c r="Z305" s="2000"/>
      <c r="AA305" s="2001"/>
    </row>
    <row r="306" spans="1:27">
      <c r="H306" s="10"/>
      <c r="I306" s="10"/>
      <c r="J306" s="10"/>
      <c r="K306" s="10"/>
      <c r="L306" s="10"/>
      <c r="M306" s="10"/>
      <c r="N306" s="10"/>
      <c r="O306" s="10"/>
      <c r="P306" s="10"/>
      <c r="Q306" s="10"/>
      <c r="R306" s="10"/>
      <c r="S306" s="10"/>
      <c r="T306" s="10"/>
      <c r="U306" s="10"/>
      <c r="V306" s="10"/>
      <c r="W306" s="10"/>
      <c r="X306" s="10"/>
      <c r="Y306" s="10"/>
      <c r="Z306" s="10"/>
      <c r="AA306" s="10"/>
    </row>
    <row r="307" spans="1:27">
      <c r="A307" s="16" t="str">
        <f>'Input 4 - Forecast'!A89</f>
        <v>Domestic Residual Financing (annual payments, no interest or amortization in current year)</v>
      </c>
      <c r="B307" s="7">
        <f>B119</f>
        <v>2018</v>
      </c>
      <c r="C307" s="7"/>
      <c r="D307" s="7">
        <f>$J108</f>
        <v>1</v>
      </c>
      <c r="E307" s="7">
        <f>$K108</f>
        <v>1</v>
      </c>
      <c r="F307" s="14">
        <f>$L$108</f>
        <v>0</v>
      </c>
      <c r="H307" s="9">
        <f>$B$108</f>
        <v>-267.59452840452661</v>
      </c>
      <c r="I307" s="9">
        <f>H307-P307</f>
        <v>0</v>
      </c>
      <c r="J307" s="9">
        <f>I307-Q307</f>
        <v>0</v>
      </c>
      <c r="K307" s="9">
        <f>J307-R307</f>
        <v>0</v>
      </c>
      <c r="L307" s="9">
        <f>K307-S307</f>
        <v>0</v>
      </c>
      <c r="M307" s="9">
        <f>L307-T307</f>
        <v>0</v>
      </c>
      <c r="N307" s="9"/>
      <c r="O307" s="9">
        <v>0</v>
      </c>
      <c r="P307" s="9">
        <f>H307</f>
        <v>-267.59452840452661</v>
      </c>
      <c r="Q307" s="9">
        <v>0</v>
      </c>
      <c r="R307" s="9">
        <v>0</v>
      </c>
      <c r="S307" s="9">
        <v>0</v>
      </c>
      <c r="T307" s="9">
        <v>0</v>
      </c>
      <c r="U307" s="9"/>
      <c r="V307" s="9">
        <v>0</v>
      </c>
      <c r="W307" s="9">
        <f>H307*$F307</f>
        <v>0</v>
      </c>
      <c r="X307" s="9">
        <f t="shared" ref="X307:AA309" si="92">I307*$F307</f>
        <v>0</v>
      </c>
      <c r="Y307" s="9">
        <f t="shared" si="92"/>
        <v>0</v>
      </c>
      <c r="Z307" s="9">
        <f t="shared" si="92"/>
        <v>0</v>
      </c>
      <c r="AA307" s="9">
        <f t="shared" si="92"/>
        <v>0</v>
      </c>
    </row>
    <row r="308" spans="1:27">
      <c r="B308" s="7">
        <f>B307+1</f>
        <v>2019</v>
      </c>
      <c r="C308" s="7"/>
      <c r="D308" s="7">
        <f t="shared" ref="D308:E312" si="93">D307</f>
        <v>1</v>
      </c>
      <c r="E308" s="7">
        <f t="shared" si="93"/>
        <v>1</v>
      </c>
      <c r="F308" s="14">
        <f>$M$108</f>
        <v>2.0470863523532085E-2</v>
      </c>
      <c r="H308" s="9"/>
      <c r="I308" s="9">
        <f ca="1">$C$108</f>
        <v>3769.7056320153133</v>
      </c>
      <c r="J308" s="9">
        <f ca="1">I308-Q308</f>
        <v>0</v>
      </c>
      <c r="K308" s="9">
        <f ca="1">J308-R308</f>
        <v>0</v>
      </c>
      <c r="L308" s="9">
        <f ca="1">K308-S308</f>
        <v>0</v>
      </c>
      <c r="M308" s="9">
        <f ca="1">L308-T308</f>
        <v>0</v>
      </c>
      <c r="O308" s="9"/>
      <c r="P308" s="9">
        <v>0</v>
      </c>
      <c r="Q308" s="9">
        <f ca="1">I308</f>
        <v>3769.7056320153133</v>
      </c>
      <c r="R308" s="9">
        <v>0</v>
      </c>
      <c r="S308" s="9">
        <v>0</v>
      </c>
      <c r="T308" s="9">
        <v>0</v>
      </c>
      <c r="V308" s="9"/>
      <c r="W308" s="9">
        <v>0</v>
      </c>
      <c r="X308" s="9">
        <f ca="1">I308*$F308</f>
        <v>199.68456255737343</v>
      </c>
      <c r="Y308" s="9">
        <f t="shared" ca="1" si="92"/>
        <v>0</v>
      </c>
      <c r="Z308" s="9">
        <f t="shared" ca="1" si="92"/>
        <v>0</v>
      </c>
      <c r="AA308" s="9">
        <f t="shared" ca="1" si="92"/>
        <v>0</v>
      </c>
    </row>
    <row r="309" spans="1:27">
      <c r="B309" s="7">
        <f>B308+1</f>
        <v>2020</v>
      </c>
      <c r="C309" s="7"/>
      <c r="D309" s="7">
        <f t="shared" si="93"/>
        <v>1</v>
      </c>
      <c r="E309" s="7">
        <f t="shared" si="93"/>
        <v>1</v>
      </c>
      <c r="F309" s="14">
        <f>$N$108</f>
        <v>0</v>
      </c>
      <c r="H309" s="9"/>
      <c r="I309" s="9"/>
      <c r="J309" s="9">
        <f ca="1">$D$108</f>
        <v>5402.7505021988181</v>
      </c>
      <c r="K309" s="9">
        <f ca="1">J309-R309</f>
        <v>0</v>
      </c>
      <c r="L309" s="9">
        <f ca="1">K309-S309</f>
        <v>0</v>
      </c>
      <c r="M309" s="9">
        <f ca="1">L309-T309</f>
        <v>0</v>
      </c>
      <c r="O309" s="9"/>
      <c r="P309" s="9"/>
      <c r="Q309" s="9">
        <v>0</v>
      </c>
      <c r="R309" s="9">
        <f ca="1">J309</f>
        <v>5402.7505021988181</v>
      </c>
      <c r="S309" s="9">
        <v>0</v>
      </c>
      <c r="T309" s="9">
        <v>0</v>
      </c>
      <c r="V309" s="9"/>
      <c r="W309" s="9"/>
      <c r="X309" s="9">
        <v>0</v>
      </c>
      <c r="Y309" s="9">
        <f ca="1">J309*$F309</f>
        <v>175.58939132146159</v>
      </c>
      <c r="Z309" s="9">
        <f t="shared" ca="1" si="92"/>
        <v>0</v>
      </c>
      <c r="AA309" s="9">
        <f t="shared" ca="1" si="92"/>
        <v>0</v>
      </c>
    </row>
    <row r="310" spans="1:27">
      <c r="B310" s="7">
        <f>B309+1</f>
        <v>2021</v>
      </c>
      <c r="C310" s="7"/>
      <c r="D310" s="7">
        <f t="shared" si="93"/>
        <v>1</v>
      </c>
      <c r="E310" s="7">
        <f t="shared" si="93"/>
        <v>1</v>
      </c>
      <c r="F310" s="14">
        <f>$O$108</f>
        <v>0</v>
      </c>
      <c r="H310" s="9"/>
      <c r="I310" s="9"/>
      <c r="J310" s="9"/>
      <c r="K310" s="9">
        <f ca="1">$E$108</f>
        <v>7082.2460857114329</v>
      </c>
      <c r="L310" s="9">
        <f ca="1">K310-S310</f>
        <v>0</v>
      </c>
      <c r="M310" s="9">
        <f ca="1">L310-T310</f>
        <v>0</v>
      </c>
      <c r="O310" s="9"/>
      <c r="P310" s="9"/>
      <c r="Q310" s="9"/>
      <c r="R310" s="9">
        <v>0</v>
      </c>
      <c r="S310" s="9">
        <f ca="1">K310</f>
        <v>7082.2460857114329</v>
      </c>
      <c r="T310" s="9">
        <v>0</v>
      </c>
      <c r="V310" s="9"/>
      <c r="W310" s="9"/>
      <c r="X310" s="9"/>
      <c r="Y310" s="9">
        <v>0</v>
      </c>
      <c r="Z310" s="9">
        <f ca="1">K310*$F310</f>
        <v>247.87861299990018</v>
      </c>
      <c r="AA310" s="9">
        <f ca="1">L310*$F310</f>
        <v>0</v>
      </c>
    </row>
    <row r="311" spans="1:27">
      <c r="B311" s="7">
        <f>B310+1</f>
        <v>2022</v>
      </c>
      <c r="C311" s="7"/>
      <c r="D311" s="7">
        <f t="shared" si="93"/>
        <v>1</v>
      </c>
      <c r="E311" s="7">
        <f t="shared" si="93"/>
        <v>1</v>
      </c>
      <c r="F311" s="14">
        <f>$P$108</f>
        <v>0</v>
      </c>
      <c r="H311" s="9"/>
      <c r="I311" s="9"/>
      <c r="J311" s="9"/>
      <c r="K311" s="9"/>
      <c r="L311" s="9">
        <f ca="1">$F$108</f>
        <v>7684.3668817457456</v>
      </c>
      <c r="M311" s="9">
        <f ca="1">L311-T311</f>
        <v>0</v>
      </c>
      <c r="O311" s="9"/>
      <c r="P311" s="9"/>
      <c r="Q311" s="9"/>
      <c r="R311" s="9"/>
      <c r="S311" s="9">
        <v>0</v>
      </c>
      <c r="T311" s="9">
        <f ca="1">L311</f>
        <v>7684.3668817457456</v>
      </c>
      <c r="V311" s="9"/>
      <c r="W311" s="9"/>
      <c r="X311" s="9"/>
      <c r="Y311" s="9"/>
      <c r="Z311" s="9">
        <v>0</v>
      </c>
      <c r="AA311" s="9">
        <f ca="1">L311*$F311</f>
        <v>268.95284086110109</v>
      </c>
    </row>
    <row r="312" spans="1:27">
      <c r="B312" s="7">
        <f>B311+1</f>
        <v>2023</v>
      </c>
      <c r="C312" s="7"/>
      <c r="D312" s="7">
        <f t="shared" si="93"/>
        <v>1</v>
      </c>
      <c r="E312" s="7">
        <f t="shared" si="93"/>
        <v>1</v>
      </c>
      <c r="F312" s="14">
        <f>$Q$108</f>
        <v>0</v>
      </c>
      <c r="H312" s="9"/>
      <c r="I312" s="9"/>
      <c r="J312" s="9"/>
      <c r="K312" s="9"/>
      <c r="L312" s="9"/>
      <c r="M312" s="9">
        <f ca="1">$G$108</f>
        <v>8041.6447212636194</v>
      </c>
      <c r="O312" s="9"/>
      <c r="P312" s="9"/>
      <c r="Q312" s="9"/>
      <c r="R312" s="9"/>
      <c r="S312" s="9"/>
      <c r="T312" s="9">
        <v>0</v>
      </c>
      <c r="V312" s="9"/>
      <c r="W312" s="9"/>
      <c r="X312" s="9"/>
      <c r="Y312" s="9"/>
      <c r="Z312" s="9"/>
      <c r="AA312" s="9">
        <v>0</v>
      </c>
    </row>
    <row r="313" spans="1:27">
      <c r="B313" s="7"/>
      <c r="D313" s="7"/>
      <c r="E313" s="14"/>
      <c r="G313" s="9"/>
      <c r="H313" s="9"/>
      <c r="I313" s="9"/>
      <c r="J313" s="9"/>
      <c r="K313" s="9"/>
      <c r="L313" s="9"/>
      <c r="N313" s="89"/>
      <c r="O313" s="9"/>
      <c r="P313" s="9"/>
      <c r="Q313" s="9"/>
      <c r="R313" s="9"/>
      <c r="S313" s="9"/>
      <c r="U313" s="9"/>
      <c r="V313" s="9"/>
      <c r="W313" s="9"/>
      <c r="X313" s="9"/>
      <c r="Y313" s="9"/>
      <c r="Z313" s="9"/>
    </row>
    <row r="314" spans="1:27">
      <c r="B314" s="7"/>
      <c r="C314" s="7"/>
      <c r="D314" s="7"/>
      <c r="E314" s="14"/>
      <c r="G314" s="9"/>
      <c r="H314" s="9"/>
      <c r="I314" s="9"/>
      <c r="J314" s="9"/>
      <c r="K314" s="9"/>
      <c r="L314" s="9"/>
      <c r="N314" s="89"/>
      <c r="O314" s="9"/>
      <c r="P314" s="9"/>
      <c r="Q314" s="9"/>
      <c r="R314" s="9"/>
      <c r="S314" s="9"/>
      <c r="U314" s="9"/>
      <c r="V314" s="9"/>
      <c r="W314" s="9"/>
      <c r="X314" s="9"/>
      <c r="Y314" s="9"/>
      <c r="Z314" s="9"/>
    </row>
    <row r="315" spans="1:27">
      <c r="A315" s="8"/>
      <c r="B315" s="7"/>
    </row>
  </sheetData>
  <mergeCells count="14">
    <mergeCell ref="B231:AA231"/>
    <mergeCell ref="B268:AA268"/>
    <mergeCell ref="B305:AA305"/>
    <mergeCell ref="B126:AA126"/>
    <mergeCell ref="B136:AA136"/>
    <mergeCell ref="B173:AA173"/>
    <mergeCell ref="B212:AA212"/>
    <mergeCell ref="B221:AA221"/>
    <mergeCell ref="B117:AA117"/>
    <mergeCell ref="B73:G73"/>
    <mergeCell ref="H112:M112"/>
    <mergeCell ref="O112:T112"/>
    <mergeCell ref="V112:AA112"/>
    <mergeCell ref="B112:F112"/>
  </mergeCells>
  <pageMargins left="0.7" right="0.7" top="0.75" bottom="0.75" header="0.3" footer="0.3"/>
  <legacy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7">
    <tabColor theme="0" tint="-0.14999847407452621"/>
  </sheetPr>
  <dimension ref="A1:AA315"/>
  <sheetViews>
    <sheetView zoomScale="80" zoomScaleNormal="80" workbookViewId="0"/>
  </sheetViews>
  <sheetFormatPr defaultColWidth="9.140625" defaultRowHeight="15"/>
  <cols>
    <col min="1" max="1" width="79.28515625" style="6" customWidth="1"/>
    <col min="2" max="3" width="15.42578125" style="6" customWidth="1"/>
    <col min="4" max="19" width="10.7109375" style="6" customWidth="1"/>
    <col min="20" max="20" width="10.5703125" style="6" customWidth="1"/>
    <col min="21" max="21" width="5.7109375" style="6" customWidth="1"/>
    <col min="22" max="26" width="13.5703125" style="6" customWidth="1"/>
    <col min="27" max="16384" width="9.140625" style="6"/>
  </cols>
  <sheetData>
    <row r="1" spans="1:20" customFormat="1" ht="15.75" thickBot="1">
      <c r="B1" s="1"/>
      <c r="C1" s="1"/>
      <c r="D1" s="1"/>
      <c r="E1" s="60"/>
      <c r="F1" s="60"/>
      <c r="G1" s="60"/>
      <c r="H1" s="60"/>
      <c r="I1" s="60"/>
      <c r="J1" s="60"/>
      <c r="K1" s="60"/>
      <c r="L1" s="1"/>
      <c r="M1" s="1"/>
      <c r="N1" s="1"/>
      <c r="O1" s="1"/>
      <c r="P1" s="1"/>
      <c r="Q1" s="1"/>
      <c r="R1" s="1"/>
      <c r="S1" s="1"/>
    </row>
    <row r="2" spans="1:20" customFormat="1" ht="30.75" thickBot="1">
      <c r="A2" s="1310" t="s">
        <v>148</v>
      </c>
      <c r="B2" s="118" t="s">
        <v>16</v>
      </c>
      <c r="C2" s="1"/>
      <c r="D2" s="1"/>
      <c r="E2" s="1"/>
      <c r="F2" s="1"/>
      <c r="G2" s="1"/>
    </row>
    <row r="3" spans="1:20" customFormat="1">
      <c r="A3" s="17"/>
      <c r="B3" s="225">
        <f>FirstYear</f>
        <v>2018</v>
      </c>
      <c r="C3" s="226">
        <f>B3+1</f>
        <v>2019</v>
      </c>
      <c r="D3" s="226">
        <f>C3+1</f>
        <v>2020</v>
      </c>
      <c r="E3" s="226">
        <f>D3+1</f>
        <v>2021</v>
      </c>
      <c r="F3" s="226">
        <f>E3+1</f>
        <v>2022</v>
      </c>
      <c r="G3" s="227">
        <f>F3+1</f>
        <v>2023</v>
      </c>
    </row>
    <row r="4" spans="1:20" customFormat="1">
      <c r="A4" s="17"/>
      <c r="B4" s="168"/>
      <c r="C4" s="62"/>
      <c r="D4" s="62"/>
      <c r="E4" s="62"/>
      <c r="F4" s="62"/>
      <c r="G4" s="169"/>
    </row>
    <row r="5" spans="1:20" customFormat="1">
      <c r="A5" s="63" t="s">
        <v>62</v>
      </c>
      <c r="B5" s="170">
        <f t="shared" ref="B5:G5" si="0">B7+B13</f>
        <v>10948.652288728241</v>
      </c>
      <c r="C5" s="171">
        <f t="shared" ca="1" si="0"/>
        <v>11934.571463757311</v>
      </c>
      <c r="D5" s="171">
        <f t="shared" ca="1" si="0"/>
        <v>13066.519073085596</v>
      </c>
      <c r="E5" s="171">
        <f t="shared" ca="1" si="0"/>
        <v>14161.551647726887</v>
      </c>
      <c r="F5" s="171">
        <f t="shared" ca="1" si="0"/>
        <v>15452.350913141941</v>
      </c>
      <c r="G5" s="172">
        <f t="shared" ca="1" si="0"/>
        <v>16866.412145246912</v>
      </c>
    </row>
    <row r="6" spans="1:20" s="284" customFormat="1">
      <c r="A6" s="18" t="s">
        <v>1026</v>
      </c>
      <c r="B6" s="170" t="str">
        <f>'Baseline debt'!P8</f>
        <v/>
      </c>
      <c r="C6" s="171" t="str">
        <f>'Baseline debt'!Q8</f>
        <v/>
      </c>
      <c r="D6" s="171" t="str">
        <f>'Baseline debt'!R8</f>
        <v/>
      </c>
      <c r="E6" s="171" t="str">
        <f>'Baseline debt'!S8</f>
        <v/>
      </c>
      <c r="F6" s="171" t="str">
        <f>'Baseline debt'!T8</f>
        <v/>
      </c>
      <c r="G6" s="172" t="str">
        <f>'Baseline debt'!U8</f>
        <v/>
      </c>
    </row>
    <row r="7" spans="1:20" customFormat="1">
      <c r="A7" s="21" t="s">
        <v>70</v>
      </c>
      <c r="B7" s="170">
        <f t="shared" ref="B7:G7" si="1">B8+B9</f>
        <v>9886.2521736994167</v>
      </c>
      <c r="C7" s="171">
        <f t="shared" si="1"/>
        <v>8910.6988594887644</v>
      </c>
      <c r="D7" s="171">
        <f t="shared" si="1"/>
        <v>7603.6701863278031</v>
      </c>
      <c r="E7" s="171">
        <f t="shared" si="1"/>
        <v>6150.6557892545252</v>
      </c>
      <c r="F7" s="171">
        <f t="shared" si="1"/>
        <v>5844.6400886862239</v>
      </c>
      <c r="G7" s="172">
        <f t="shared" si="1"/>
        <v>5585.3532924462243</v>
      </c>
    </row>
    <row r="8" spans="1:20" customFormat="1">
      <c r="A8" s="18" t="s">
        <v>72</v>
      </c>
      <c r="B8" s="170">
        <f>'Baseline debt'!P11</f>
        <v>9879.101789236136</v>
      </c>
      <c r="C8" s="171">
        <f>'Baseline debt'!Q11</f>
        <v>8904.2169986260087</v>
      </c>
      <c r="D8" s="171">
        <f>'Baseline debt'!R11</f>
        <v>8210.6547722760079</v>
      </c>
      <c r="E8" s="171">
        <f>'Baseline debt'!S11</f>
        <v>7110.6102222407098</v>
      </c>
      <c r="F8" s="171">
        <f>'Baseline debt'!T11</f>
        <v>6804.9355125304046</v>
      </c>
      <c r="G8" s="172">
        <f>'Baseline debt'!U11</f>
        <v>6545.648716290405</v>
      </c>
    </row>
    <row r="9" spans="1:20" customFormat="1">
      <c r="A9" s="18" t="s">
        <v>63</v>
      </c>
      <c r="B9" s="170">
        <f>'Baseline debt'!P13/'Baseline debt'!P$73*B32</f>
        <v>7.1503844632814992</v>
      </c>
      <c r="C9" s="171">
        <f>'Baseline debt'!Q13/'Baseline debt'!Q$73*C32</f>
        <v>6.481860862754961</v>
      </c>
      <c r="D9" s="171">
        <f>'Baseline debt'!R13/'Baseline debt'!R$73*D32</f>
        <v>-606.98458594820488</v>
      </c>
      <c r="E9" s="171">
        <f>'Baseline debt'!S13/'Baseline debt'!S$73*E32</f>
        <v>-959.954432986185</v>
      </c>
      <c r="F9" s="171">
        <f>'Baseline debt'!T13/'Baseline debt'!T$73*F32</f>
        <v>-960.29542384418096</v>
      </c>
      <c r="G9" s="172">
        <f>'Baseline debt'!U13/'Baseline debt'!U$73*G32</f>
        <v>-960.29542384418096</v>
      </c>
    </row>
    <row r="10" spans="1:20" customFormat="1">
      <c r="A10" s="18" t="s">
        <v>60</v>
      </c>
      <c r="B10" s="170">
        <v>0</v>
      </c>
      <c r="C10" s="171">
        <v>0</v>
      </c>
      <c r="D10" s="171">
        <v>0</v>
      </c>
      <c r="E10" s="171">
        <v>0</v>
      </c>
      <c r="F10" s="171">
        <v>0</v>
      </c>
      <c r="G10" s="172">
        <v>0</v>
      </c>
    </row>
    <row r="11" spans="1:20" customFormat="1">
      <c r="A11" s="18" t="s">
        <v>73</v>
      </c>
      <c r="B11" s="170">
        <f t="shared" ref="B11:G11" si="2">B8+B9</f>
        <v>9886.2521736994167</v>
      </c>
      <c r="C11" s="171">
        <f t="shared" si="2"/>
        <v>8910.6988594887644</v>
      </c>
      <c r="D11" s="171">
        <f t="shared" si="2"/>
        <v>7603.6701863278031</v>
      </c>
      <c r="E11" s="171">
        <f t="shared" si="2"/>
        <v>6150.6557892545252</v>
      </c>
      <c r="F11" s="171">
        <f t="shared" si="2"/>
        <v>5844.6400886862239</v>
      </c>
      <c r="G11" s="172">
        <f t="shared" si="2"/>
        <v>5585.3532924462243</v>
      </c>
    </row>
    <row r="12" spans="1:20" customFormat="1">
      <c r="A12" s="17"/>
      <c r="B12" s="170"/>
      <c r="C12" s="171"/>
      <c r="D12" s="171"/>
      <c r="E12" s="171"/>
      <c r="F12" s="171"/>
      <c r="G12" s="172"/>
      <c r="Q12" s="17"/>
      <c r="R12" s="17"/>
      <c r="S12" s="17"/>
      <c r="T12" s="17"/>
    </row>
    <row r="13" spans="1:20" customFormat="1">
      <c r="A13" s="21" t="s">
        <v>71</v>
      </c>
      <c r="B13" s="170">
        <f t="shared" ref="B13:G13" si="3">B14+B15</f>
        <v>1062.4001150288241</v>
      </c>
      <c r="C13" s="171">
        <f t="shared" ca="1" si="3"/>
        <v>3022.8714637573107</v>
      </c>
      <c r="D13" s="171">
        <f t="shared" ca="1" si="3"/>
        <v>5430.8190730855949</v>
      </c>
      <c r="E13" s="171">
        <f t="shared" ca="1" si="3"/>
        <v>7960.8516477268859</v>
      </c>
      <c r="F13" s="171">
        <f t="shared" ca="1" si="3"/>
        <v>9557.6509131419407</v>
      </c>
      <c r="G13" s="172">
        <f t="shared" ca="1" si="3"/>
        <v>10980.712145246909</v>
      </c>
      <c r="Q13" s="17"/>
      <c r="R13" s="453"/>
      <c r="S13" s="17"/>
      <c r="T13" s="17"/>
    </row>
    <row r="14" spans="1:20" customFormat="1">
      <c r="A14" s="18" t="s">
        <v>72</v>
      </c>
      <c r="B14" s="170">
        <f t="shared" ref="B14:G14" si="4">SUM(H119:H124,H138:H171,H214:H219,H233:H266,H307:H312)</f>
        <v>1062.4001150288241</v>
      </c>
      <c r="C14" s="171">
        <f t="shared" ca="1" si="4"/>
        <v>3022.8714637573107</v>
      </c>
      <c r="D14" s="171">
        <f t="shared" ca="1" si="4"/>
        <v>5430.8190730855949</v>
      </c>
      <c r="E14" s="171">
        <f t="shared" ca="1" si="4"/>
        <v>7960.8516477268859</v>
      </c>
      <c r="F14" s="171">
        <f t="shared" ca="1" si="4"/>
        <v>9557.6509131419407</v>
      </c>
      <c r="G14" s="172">
        <f t="shared" ca="1" si="4"/>
        <v>10980.712145246909</v>
      </c>
      <c r="Q14" s="17"/>
      <c r="R14" s="453"/>
      <c r="S14" s="17"/>
      <c r="T14" s="17"/>
    </row>
    <row r="15" spans="1:20" customFormat="1">
      <c r="A15" s="18" t="s">
        <v>63</v>
      </c>
      <c r="B15" s="170">
        <f t="shared" ref="B15:G15" si="5">SUM(H128:H133,H175:H208,H223:H228,H270:H303)*B32</f>
        <v>0</v>
      </c>
      <c r="C15" s="171">
        <f t="shared" ca="1" si="5"/>
        <v>0</v>
      </c>
      <c r="D15" s="171">
        <f t="shared" ca="1" si="5"/>
        <v>0</v>
      </c>
      <c r="E15" s="171">
        <f t="shared" ca="1" si="5"/>
        <v>0</v>
      </c>
      <c r="F15" s="171">
        <f t="shared" ca="1" si="5"/>
        <v>0</v>
      </c>
      <c r="G15" s="172">
        <f t="shared" ca="1" si="5"/>
        <v>0</v>
      </c>
      <c r="Q15" s="17"/>
      <c r="R15" s="453"/>
      <c r="S15" s="17"/>
      <c r="T15" s="17"/>
    </row>
    <row r="16" spans="1:20" customFormat="1">
      <c r="A16" s="18" t="s">
        <v>60</v>
      </c>
      <c r="B16" s="170">
        <f t="shared" ref="B16:G16" si="6">SUM(H119:H124,H214:H219,H307:H312)+SUM(H128:H133,H223:H228)*B32</f>
        <v>-267.59452840452661</v>
      </c>
      <c r="C16" s="171">
        <f t="shared" ca="1" si="6"/>
        <v>2546.0495488665783</v>
      </c>
      <c r="D16" s="171">
        <f t="shared" ca="1" si="6"/>
        <v>4746.6072523735384</v>
      </c>
      <c r="E16" s="171">
        <f t="shared" ca="1" si="6"/>
        <v>7156.5705709368167</v>
      </c>
      <c r="F16" s="171">
        <f t="shared" ca="1" si="6"/>
        <v>8614.1650336348375</v>
      </c>
      <c r="G16" s="172">
        <f t="shared" ca="1" si="6"/>
        <v>9924.8821489485217</v>
      </c>
      <c r="Q16" s="17"/>
      <c r="R16" s="453"/>
      <c r="S16" s="17"/>
      <c r="T16" s="17"/>
    </row>
    <row r="17" spans="1:20" customFormat="1">
      <c r="A17" s="18" t="s">
        <v>73</v>
      </c>
      <c r="B17" s="170">
        <f t="shared" ref="B17:G17" si="7">B14+B15-B16</f>
        <v>1329.9946434333506</v>
      </c>
      <c r="C17" s="171">
        <f t="shared" ca="1" si="7"/>
        <v>476.82191489073239</v>
      </c>
      <c r="D17" s="171">
        <f t="shared" ca="1" si="7"/>
        <v>684.21182071205658</v>
      </c>
      <c r="E17" s="171">
        <f t="shared" ca="1" si="7"/>
        <v>804.28107679006916</v>
      </c>
      <c r="F17" s="171">
        <f t="shared" ca="1" si="7"/>
        <v>943.48587950710316</v>
      </c>
      <c r="G17" s="172">
        <f t="shared" ca="1" si="7"/>
        <v>1055.8299962983874</v>
      </c>
      <c r="Q17" s="17"/>
      <c r="R17" s="453"/>
      <c r="S17" s="17"/>
      <c r="T17" s="17"/>
    </row>
    <row r="18" spans="1:20" customFormat="1" ht="6.75" customHeight="1">
      <c r="A18" s="17"/>
      <c r="B18" s="170"/>
      <c r="C18" s="171"/>
      <c r="D18" s="171"/>
      <c r="E18" s="171"/>
      <c r="F18" s="171"/>
      <c r="G18" s="172"/>
      <c r="Q18" s="17"/>
      <c r="R18" s="17"/>
      <c r="S18" s="17"/>
      <c r="T18" s="17"/>
    </row>
    <row r="19" spans="1:20" customFormat="1">
      <c r="A19" s="20" t="s">
        <v>74</v>
      </c>
      <c r="B19" s="170">
        <f t="shared" ref="B19:G19" si="8">B63</f>
        <v>1062.4001150288241</v>
      </c>
      <c r="C19" s="171">
        <f t="shared" ca="1" si="8"/>
        <v>2846.8642704187178</v>
      </c>
      <c r="D19" s="171">
        <f t="shared" ca="1" si="8"/>
        <v>5074.5495502459489</v>
      </c>
      <c r="E19" s="171">
        <f t="shared" ca="1" si="8"/>
        <v>7460.3630062607381</v>
      </c>
      <c r="F19" s="171">
        <f t="shared" ca="1" si="8"/>
        <v>8970.8342119193203</v>
      </c>
      <c r="G19" s="172">
        <f t="shared" ca="1" si="8"/>
        <v>10293.092604673087</v>
      </c>
      <c r="Q19" s="17"/>
      <c r="R19" s="17"/>
      <c r="S19" s="17"/>
      <c r="T19" s="17"/>
    </row>
    <row r="20" spans="1:20" customFormat="1">
      <c r="A20" s="18" t="s">
        <v>55</v>
      </c>
      <c r="B20" s="170">
        <f t="shared" ref="B20:G20" si="9">B49-B47</f>
        <v>15.437150622194167</v>
      </c>
      <c r="C20" s="171">
        <f t="shared" si="9"/>
        <v>1079.8700247384004</v>
      </c>
      <c r="D20" s="171">
        <f t="shared" si="9"/>
        <v>1112.7997164405988</v>
      </c>
      <c r="E20" s="171">
        <f t="shared" si="9"/>
        <v>1143.8076700014863</v>
      </c>
      <c r="F20" s="171">
        <f t="shared" si="9"/>
        <v>1174.9138585045202</v>
      </c>
      <c r="G20" s="172">
        <f t="shared" si="9"/>
        <v>1207.2809265299711</v>
      </c>
      <c r="Q20" s="17"/>
      <c r="R20" s="17"/>
      <c r="S20" s="17"/>
      <c r="T20" s="17"/>
    </row>
    <row r="21" spans="1:20" s="284" customFormat="1">
      <c r="A21" s="18" t="s">
        <v>1172</v>
      </c>
      <c r="B21" s="170">
        <f>B48</f>
        <v>48.271190640000007</v>
      </c>
      <c r="C21" s="171">
        <v>0</v>
      </c>
      <c r="D21" s="171">
        <v>0</v>
      </c>
      <c r="E21" s="171">
        <v>0</v>
      </c>
      <c r="F21" s="171">
        <v>0</v>
      </c>
      <c r="G21" s="172">
        <v>0</v>
      </c>
    </row>
    <row r="22" spans="1:20" customFormat="1">
      <c r="A22" s="23" t="s">
        <v>102</v>
      </c>
      <c r="B22" s="170">
        <f t="shared" ref="B22:G22" si="10">B23+B24</f>
        <v>1095.234155046629</v>
      </c>
      <c r="C22" s="171">
        <f t="shared" ca="1" si="10"/>
        <v>2190.8804037295163</v>
      </c>
      <c r="D22" s="171">
        <f t="shared" ca="1" si="10"/>
        <v>4398.854472622199</v>
      </c>
      <c r="E22" s="171">
        <f t="shared" ca="1" si="10"/>
        <v>6765.7325224781198</v>
      </c>
      <c r="F22" s="171">
        <f t="shared" ca="1" si="10"/>
        <v>8256.7376837975735</v>
      </c>
      <c r="G22" s="172">
        <f t="shared" ca="1" si="10"/>
        <v>9558.9845236417423</v>
      </c>
      <c r="Q22" s="17"/>
      <c r="R22" s="17"/>
      <c r="S22" s="17"/>
      <c r="T22" s="17"/>
    </row>
    <row r="23" spans="1:20" customFormat="1">
      <c r="A23" s="228" t="s">
        <v>1173</v>
      </c>
      <c r="B23" s="170">
        <f t="shared" ref="B23:G23" si="11">SUM(B50:B51,B58:B59)</f>
        <v>210.95965861346764</v>
      </c>
      <c r="C23" s="171">
        <f t="shared" ca="1" si="11"/>
        <v>272.737797096664</v>
      </c>
      <c r="D23" s="171">
        <f t="shared" ca="1" si="11"/>
        <v>456.25253170453504</v>
      </c>
      <c r="E23" s="171">
        <f t="shared" ca="1" si="11"/>
        <v>400.40209085867298</v>
      </c>
      <c r="F23" s="171">
        <f t="shared" ca="1" si="11"/>
        <v>576.70273729330984</v>
      </c>
      <c r="G23" s="172">
        <f t="shared" ca="1" si="11"/>
        <v>679.95315107362308</v>
      </c>
    </row>
    <row r="24" spans="1:20" customFormat="1">
      <c r="A24" s="228" t="s">
        <v>1174</v>
      </c>
      <c r="B24" s="170">
        <f t="shared" ref="B24:G24" si="12">SUM(B53:B54,B60:B61)</f>
        <v>884.2744964331614</v>
      </c>
      <c r="C24" s="171">
        <f t="shared" ca="1" si="12"/>
        <v>1918.1426066328522</v>
      </c>
      <c r="D24" s="171">
        <f t="shared" ca="1" si="12"/>
        <v>3942.6019409176643</v>
      </c>
      <c r="E24" s="171">
        <f t="shared" ca="1" si="12"/>
        <v>6365.3304316194472</v>
      </c>
      <c r="F24" s="171">
        <f t="shared" ca="1" si="12"/>
        <v>7680.0349465042636</v>
      </c>
      <c r="G24" s="172">
        <f t="shared" ca="1" si="12"/>
        <v>8879.031372568119</v>
      </c>
    </row>
    <row r="25" spans="1:20" customFormat="1" ht="15" customHeight="1">
      <c r="A25" s="63" t="s">
        <v>304</v>
      </c>
      <c r="B25" s="271">
        <f>'Baseline debt'!P64</f>
        <v>1.9586439007071743E-2</v>
      </c>
      <c r="C25" s="176">
        <f ca="1">IF(Guarantees="Yes",IF(ISNUMBER(C23/(B5-B6)),C23/(B5-B6),""),IF(ISNUMBER(C23/B5),C23/B5,""))</f>
        <v>2.4781166566290192E-2</v>
      </c>
      <c r="D25" s="176">
        <f ca="1">IF(Guarantees="Yes",IF(ISNUMBER(D23/(C5-C6)),D23/(C5-C6),""),IF(ISNUMBER(D23/C5),D23/C5,""))</f>
        <v>3.8229485917452039E-2</v>
      </c>
      <c r="E25" s="176">
        <f ca="1">IF(Guarantees="Yes",IF(ISNUMBER(E23/(D5-D6)),E23/(D5-D6),""),IF(ISNUMBER(E23/D5),E23/D5,""))</f>
        <v>3.0643363287428314E-2</v>
      </c>
      <c r="F25" s="176">
        <f ca="1">IF(Guarantees="Yes",IF(ISNUMBER(F23/(E5-E6)),F23/(E5-E6),""),IF(ISNUMBER(F23/E5),F23/E5,""))</f>
        <v>4.0723132015401585E-2</v>
      </c>
      <c r="G25" s="177">
        <f ca="1">IF(Guarantees="Yes",IF(ISNUMBER(G23/(F5-F6)),G23/(F5-F6),""),IF(ISNUMBER(G23/F5),G23/F5,""))</f>
        <v>4.4003217044167396E-2</v>
      </c>
    </row>
    <row r="26" spans="1:20" customFormat="1">
      <c r="A26" s="20" t="s">
        <v>77</v>
      </c>
      <c r="B26" s="173">
        <f>'Input 5 - Scenario Design'!E133</f>
        <v>4.7697166816344838E-2</v>
      </c>
      <c r="C26" s="174">
        <f>'Input 5 - Scenario Design'!F133</f>
        <v>2.4863029297652051E-3</v>
      </c>
      <c r="D26" s="174">
        <f>'Input 5 - Scenario Design'!G133</f>
        <v>2.4863029297652051E-3</v>
      </c>
      <c r="E26" s="174">
        <f>'Input 5 - Scenario Design'!H133</f>
        <v>2.4863029297652051E-3</v>
      </c>
      <c r="F26" s="174">
        <f>'Input 5 - Scenario Design'!I133</f>
        <v>2.4863029297652051E-3</v>
      </c>
      <c r="G26" s="175">
        <f>'Input 5 - Scenario Design'!J133</f>
        <v>2.4863029297652051E-3</v>
      </c>
    </row>
    <row r="27" spans="1:20" customFormat="1">
      <c r="A27" s="20" t="s">
        <v>78</v>
      </c>
      <c r="B27" s="173">
        <f>'Input 5 - Scenario Design'!E134</f>
        <v>4.2122999157540031E-2</v>
      </c>
      <c r="C27" s="174">
        <f>'Input 5 - Scenario Design'!F134</f>
        <v>3.085754504401117E-2</v>
      </c>
      <c r="D27" s="174">
        <f>'Input 5 - Scenario Design'!G134</f>
        <v>2.7938359016816516E-2</v>
      </c>
      <c r="E27" s="174">
        <f>'Input 5 - Scenario Design'!H134</f>
        <v>2.5315565708619037E-2</v>
      </c>
      <c r="F27" s="174">
        <f>'Input 5 - Scenario Design'!I134</f>
        <v>2.4647711698661201E-2</v>
      </c>
      <c r="G27" s="175">
        <f>'Input 5 - Scenario Design'!J134</f>
        <v>2.5000000000000133E-2</v>
      </c>
    </row>
    <row r="28" spans="1:20" customFormat="1">
      <c r="A28" s="20" t="s">
        <v>828</v>
      </c>
      <c r="B28" s="173">
        <f>'Input 5 - Scenario Design'!E135</f>
        <v>0.36781832970756889</v>
      </c>
      <c r="C28" s="174">
        <f>'Input 5 - Scenario Design'!F135</f>
        <v>0.35899708650221951</v>
      </c>
      <c r="D28" s="174">
        <f>'Input 5 - Scenario Design'!G135</f>
        <v>0.35663219049317713</v>
      </c>
      <c r="E28" s="174">
        <f>'Input 5 - Scenario Design'!H135</f>
        <v>0.35111135216456818</v>
      </c>
      <c r="F28" s="174">
        <f>'Input 5 - Scenario Design'!I135</f>
        <v>0.34585635256377734</v>
      </c>
      <c r="G28" s="175">
        <f>'Input 5 - Scenario Design'!J135</f>
        <v>0.34585635256377734</v>
      </c>
    </row>
    <row r="29" spans="1:20" customFormat="1">
      <c r="A29" s="20" t="s">
        <v>80</v>
      </c>
      <c r="B29" s="173">
        <f>'Input 5 - Scenario Design'!E136</f>
        <v>0.36834134844430905</v>
      </c>
      <c r="C29" s="174">
        <f>'Input 5 - Scenario Design'!F136</f>
        <v>0.39440044724756862</v>
      </c>
      <c r="D29" s="174">
        <f>'Input 5 - Scenario Design'!G136</f>
        <v>0.39203555123852624</v>
      </c>
      <c r="E29" s="174">
        <f>'Input 5 - Scenario Design'!H136</f>
        <v>0.38651471290991729</v>
      </c>
      <c r="F29" s="174">
        <f>'Input 5 - Scenario Design'!I136</f>
        <v>0.38125971330912645</v>
      </c>
      <c r="G29" s="175">
        <f>'Input 5 - Scenario Design'!J136</f>
        <v>0.38125971330912645</v>
      </c>
    </row>
    <row r="30" spans="1:20" customFormat="1">
      <c r="A30" s="20" t="s">
        <v>147</v>
      </c>
      <c r="B30" s="173">
        <f>'Input 5 - Scenario Design'!E137</f>
        <v>-5.2301873674015509E-4</v>
      </c>
      <c r="C30" s="176">
        <f>'Input 5 - Scenario Design'!F137</f>
        <v>-3.540336074534909E-2</v>
      </c>
      <c r="D30" s="176">
        <f>'Input 5 - Scenario Design'!G137</f>
        <v>-3.540336074534909E-2</v>
      </c>
      <c r="E30" s="176">
        <f>'Input 5 - Scenario Design'!H137</f>
        <v>-3.540336074534909E-2</v>
      </c>
      <c r="F30" s="176">
        <f>'Input 5 - Scenario Design'!I137</f>
        <v>-3.540336074534909E-2</v>
      </c>
      <c r="G30" s="177">
        <f>'Input 5 - Scenario Design'!J137</f>
        <v>-3.540336074534909E-2</v>
      </c>
    </row>
    <row r="31" spans="1:20" ht="15" customHeight="1">
      <c r="A31" s="20" t="s">
        <v>1129</v>
      </c>
      <c r="B31" s="229">
        <f>'Input 5 - Scenario Design'!E138</f>
        <v>1.18</v>
      </c>
      <c r="C31" s="230">
        <f>'Input 5 - Scenario Design'!F138</f>
        <v>1.1399999999999999</v>
      </c>
      <c r="D31" s="230">
        <f>'Input 5 - Scenario Design'!G138</f>
        <v>1.1399999999999999</v>
      </c>
      <c r="E31" s="230">
        <f>'Input 5 - Scenario Design'!H138</f>
        <v>1.1399999999999999</v>
      </c>
      <c r="F31" s="230">
        <f>'Input 5 - Scenario Design'!I138</f>
        <v>1.1399999999999999</v>
      </c>
      <c r="G31" s="231">
        <f>'Input 5 - Scenario Design'!J138</f>
        <v>1.1399999999999999</v>
      </c>
      <c r="I31" s="188"/>
      <c r="J31" s="188"/>
      <c r="K31" s="188"/>
      <c r="L31" s="188"/>
      <c r="M31" s="188"/>
      <c r="N31" s="188"/>
      <c r="O31" s="188"/>
      <c r="P31" s="188"/>
      <c r="Q31" s="189"/>
    </row>
    <row r="32" spans="1:20" customFormat="1">
      <c r="A32" s="20" t="s">
        <v>1130</v>
      </c>
      <c r="B32" s="229">
        <f>'Input 5 - Scenario Design'!E139</f>
        <v>1.18</v>
      </c>
      <c r="C32" s="230">
        <f>'Input 5 - Scenario Design'!F139</f>
        <v>1.1399999999999999</v>
      </c>
      <c r="D32" s="230">
        <f>'Input 5 - Scenario Design'!G139</f>
        <v>1.1399999999999999</v>
      </c>
      <c r="E32" s="230">
        <f>'Input 5 - Scenario Design'!H139</f>
        <v>1.1399999999999999</v>
      </c>
      <c r="F32" s="230">
        <f>'Input 5 - Scenario Design'!I139</f>
        <v>1.1399999999999999</v>
      </c>
      <c r="G32" s="231">
        <f>'Input 5 - Scenario Design'!J139</f>
        <v>1.1399999999999999</v>
      </c>
    </row>
    <row r="33" spans="1:17" customFormat="1">
      <c r="A33" s="20" t="s">
        <v>89</v>
      </c>
      <c r="B33" s="233">
        <f>'Input 5 - Scenario Design'!E140</f>
        <v>0</v>
      </c>
      <c r="C33" s="232">
        <f>'Input 5 - Scenario Design'!F140</f>
        <v>357.44886743189488</v>
      </c>
      <c r="D33" s="232">
        <f>'Input 5 - Scenario Design'!G140</f>
        <v>357.44886743189488</v>
      </c>
      <c r="E33" s="232">
        <f>'Input 5 - Scenario Design'!H140</f>
        <v>357.44886743189488</v>
      </c>
      <c r="F33" s="232">
        <f>'Input 5 - Scenario Design'!I140</f>
        <v>357.44886743189488</v>
      </c>
      <c r="G33" s="234">
        <f>'Input 5 - Scenario Design'!J140</f>
        <v>357.44886743189488</v>
      </c>
    </row>
    <row r="34" spans="1:17" customFormat="1">
      <c r="A34" s="20" t="s">
        <v>92</v>
      </c>
      <c r="B34" s="173">
        <f t="shared" ref="B34:G34" si="13">(1+B26)*(1+B27)-1</f>
        <v>9.1829313691506709E-2</v>
      </c>
      <c r="C34" s="174">
        <f t="shared" si="13"/>
        <v>3.3420569178424619E-2</v>
      </c>
      <c r="D34" s="174">
        <f t="shared" si="13"/>
        <v>3.049412517045802E-2</v>
      </c>
      <c r="E34" s="174">
        <f t="shared" si="13"/>
        <v>2.7864810803574391E-2</v>
      </c>
      <c r="F34" s="174">
        <f t="shared" si="13"/>
        <v>2.7195296306234962E-2</v>
      </c>
      <c r="G34" s="175">
        <f t="shared" si="13"/>
        <v>2.7548460503009631E-2</v>
      </c>
    </row>
    <row r="35" spans="1:17" ht="15" customHeight="1">
      <c r="A35" s="20" t="s">
        <v>10</v>
      </c>
      <c r="B35" s="190">
        <f>'Input 2 - Data'!P7*(1+B34)</f>
        <v>29515.482979464068</v>
      </c>
      <c r="C35" s="13">
        <f>B35*(1+C34)</f>
        <v>30501.907220213863</v>
      </c>
      <c r="D35" s="13">
        <f>C35*(1+D34)</f>
        <v>31432.036196924761</v>
      </c>
      <c r="E35" s="13">
        <f>D35*(1+E34)</f>
        <v>32307.883938723171</v>
      </c>
      <c r="F35" s="13">
        <f>E35*(1+F34)</f>
        <v>33186.506415464195</v>
      </c>
      <c r="G35" s="191">
        <f>F35*(1+G34)</f>
        <v>34100.74357668349</v>
      </c>
      <c r="I35" s="188"/>
      <c r="J35" s="188"/>
      <c r="K35" s="188"/>
      <c r="L35" s="188"/>
      <c r="M35" s="188"/>
      <c r="N35" s="188"/>
      <c r="O35" s="188"/>
      <c r="P35" s="188"/>
      <c r="Q35" s="189"/>
    </row>
    <row r="36" spans="1:17" customFormat="1" ht="6" customHeight="1">
      <c r="A36" s="20"/>
      <c r="B36" s="170"/>
      <c r="C36" s="171"/>
      <c r="D36" s="171"/>
      <c r="E36" s="171"/>
      <c r="F36" s="171"/>
      <c r="G36" s="172"/>
    </row>
    <row r="37" spans="1:17" customFormat="1">
      <c r="A37" s="20" t="s">
        <v>96</v>
      </c>
      <c r="B37" s="178">
        <f t="shared" ref="B37:G37" si="14">B5/B35</f>
        <v>0.37094606570883371</v>
      </c>
      <c r="C37" s="179">
        <f t="shared" ca="1" si="14"/>
        <v>0.39753258641667394</v>
      </c>
      <c r="D37" s="179">
        <f t="shared" ca="1" si="14"/>
        <v>0.42254037652844878</v>
      </c>
      <c r="E37" s="179">
        <f t="shared" ca="1" si="14"/>
        <v>0.44546754198486188</v>
      </c>
      <c r="F37" s="179">
        <f t="shared" ca="1" si="14"/>
        <v>0.47282094205619635</v>
      </c>
      <c r="G37" s="180">
        <f t="shared" ca="1" si="14"/>
        <v>0.50202086430637305</v>
      </c>
    </row>
    <row r="38" spans="1:17" customFormat="1">
      <c r="A38" s="20" t="s">
        <v>100</v>
      </c>
      <c r="B38" s="178">
        <f t="shared" ref="B38:G38" si="15">B22/B35</f>
        <v>3.7107105982600995E-2</v>
      </c>
      <c r="C38" s="179">
        <f t="shared" ca="1" si="15"/>
        <v>7.2976759665738758E-2</v>
      </c>
      <c r="D38" s="179">
        <f t="shared" ca="1" si="15"/>
        <v>0.14224856786718126</v>
      </c>
      <c r="E38" s="179">
        <f t="shared" ca="1" si="15"/>
        <v>0.21282372945334274</v>
      </c>
      <c r="F38" s="179">
        <f t="shared" ca="1" si="15"/>
        <v>0.25264495427966366</v>
      </c>
      <c r="G38" s="180">
        <f t="shared" ca="1" si="15"/>
        <v>0.28451870090238568</v>
      </c>
    </row>
    <row r="39" spans="1:17" customFormat="1">
      <c r="A39" s="20" t="s">
        <v>98</v>
      </c>
      <c r="B39" s="178">
        <f t="shared" ref="B39:G39" si="16">B19/B35</f>
        <v>3.5994671534530134E-2</v>
      </c>
      <c r="C39" s="179">
        <f t="shared" ca="1" si="16"/>
        <v>9.4827143147415124E-2</v>
      </c>
      <c r="D39" s="179">
        <f t="shared" ca="1" si="16"/>
        <v>0.16409895134885763</v>
      </c>
      <c r="E39" s="179">
        <f t="shared" ca="1" si="16"/>
        <v>0.23467411293501914</v>
      </c>
      <c r="F39" s="179">
        <f t="shared" ca="1" si="16"/>
        <v>0.27449533776134005</v>
      </c>
      <c r="G39" s="180">
        <f t="shared" ca="1" si="16"/>
        <v>0.30636908438406207</v>
      </c>
    </row>
    <row r="40" spans="1:17" customFormat="1">
      <c r="A40" s="20" t="s">
        <v>1175</v>
      </c>
      <c r="B40" s="178">
        <f>B5/(B47+B48)</f>
        <v>1.0040391596609757</v>
      </c>
      <c r="C40" s="179" t="e">
        <f ca="1">C5/C47</f>
        <v>#DIV/0!</v>
      </c>
      <c r="D40" s="179" t="e">
        <f ca="1">D5/D47</f>
        <v>#DIV/0!</v>
      </c>
      <c r="E40" s="179" t="e">
        <f ca="1">E5/E47</f>
        <v>#DIV/0!</v>
      </c>
      <c r="F40" s="179" t="e">
        <f ca="1">F5/F47</f>
        <v>#DIV/0!</v>
      </c>
      <c r="G40" s="180" t="e">
        <f ca="1">G5/G47</f>
        <v>#DIV/0!</v>
      </c>
    </row>
    <row r="41" spans="1:17" customFormat="1">
      <c r="A41" s="20" t="s">
        <v>1176</v>
      </c>
      <c r="B41" s="178">
        <f>B22/(B47+B48)</f>
        <v>0.10043774810504542</v>
      </c>
      <c r="C41" s="179" t="e">
        <f ca="1">C22/C47</f>
        <v>#DIV/0!</v>
      </c>
      <c r="D41" s="179" t="e">
        <f ca="1">D22/D47</f>
        <v>#DIV/0!</v>
      </c>
      <c r="E41" s="179" t="e">
        <f ca="1">E22/E47</f>
        <v>#DIV/0!</v>
      </c>
      <c r="F41" s="179" t="e">
        <f ca="1">F22/F47</f>
        <v>#DIV/0!</v>
      </c>
      <c r="G41" s="180" t="e">
        <f ca="1">G22/G47</f>
        <v>#DIV/0!</v>
      </c>
    </row>
    <row r="42" spans="1:17" customFormat="1">
      <c r="A42" s="20" t="s">
        <v>99</v>
      </c>
      <c r="B42" s="178">
        <f>B19/(B47+B48)</f>
        <v>9.7426723453025818E-2</v>
      </c>
      <c r="C42" s="179" t="e">
        <f ca="1">C19/C47</f>
        <v>#DIV/0!</v>
      </c>
      <c r="D42" s="179" t="e">
        <f ca="1">D19/D47</f>
        <v>#DIV/0!</v>
      </c>
      <c r="E42" s="179" t="e">
        <f ca="1">E19/E47</f>
        <v>#DIV/0!</v>
      </c>
      <c r="F42" s="179" t="e">
        <f ca="1">F19/F47</f>
        <v>#DIV/0!</v>
      </c>
      <c r="G42" s="180" t="e">
        <f ca="1">G19/G47</f>
        <v>#DIV/0!</v>
      </c>
    </row>
    <row r="43" spans="1:17" ht="6" customHeight="1" thickBot="1">
      <c r="A43" s="17"/>
      <c r="B43" s="181"/>
      <c r="C43" s="182"/>
      <c r="D43" s="182"/>
      <c r="E43" s="182"/>
      <c r="F43" s="182"/>
      <c r="G43" s="183"/>
    </row>
    <row r="44" spans="1:17" ht="6" customHeight="1" thickBot="1">
      <c r="B44" s="7"/>
      <c r="C44" s="7"/>
      <c r="D44" s="7"/>
      <c r="E44" s="7"/>
      <c r="F44" s="7"/>
      <c r="G44" s="7"/>
      <c r="I44" s="184"/>
      <c r="J44" s="184"/>
      <c r="K44" s="184"/>
      <c r="L44" s="184"/>
      <c r="M44" s="184"/>
      <c r="N44" s="184"/>
      <c r="O44" s="184"/>
      <c r="P44" s="184"/>
    </row>
    <row r="45" spans="1:17" ht="15.75" thickBot="1">
      <c r="B45" s="165">
        <f>FirstYear</f>
        <v>2018</v>
      </c>
      <c r="C45" s="166">
        <f>B45+1</f>
        <v>2019</v>
      </c>
      <c r="D45" s="166">
        <f>C45+1</f>
        <v>2020</v>
      </c>
      <c r="E45" s="166">
        <f>D45+1</f>
        <v>2021</v>
      </c>
      <c r="F45" s="166">
        <f>E45+1</f>
        <v>2022</v>
      </c>
      <c r="G45" s="167">
        <f>F45+1</f>
        <v>2023</v>
      </c>
      <c r="I45" s="184"/>
      <c r="J45" s="184"/>
      <c r="K45" s="184"/>
      <c r="L45" s="184"/>
      <c r="M45" s="184"/>
      <c r="N45" s="184"/>
      <c r="O45" s="184"/>
      <c r="P45" s="184"/>
    </row>
    <row r="46" spans="1:17" ht="6" customHeight="1" thickBot="1">
      <c r="B46" s="195"/>
      <c r="C46" s="195"/>
      <c r="D46" s="195"/>
      <c r="E46" s="195"/>
      <c r="F46" s="195"/>
      <c r="G46" s="195"/>
      <c r="I46" s="188"/>
      <c r="J46" s="188"/>
      <c r="K46" s="188"/>
      <c r="L46" s="188"/>
      <c r="M46" s="188"/>
      <c r="N46" s="188"/>
      <c r="O46" s="188"/>
      <c r="P46" s="188"/>
      <c r="Q46" s="189"/>
    </row>
    <row r="47" spans="1:17" ht="15" customHeight="1">
      <c r="A47" s="1384" t="s">
        <v>830</v>
      </c>
      <c r="B47" s="185">
        <f t="shared" ref="B47:G47" si="17">B28*B$35</f>
        <v>10856.335650018653</v>
      </c>
      <c r="C47" s="186">
        <f t="shared" si="17"/>
        <v>10950.09582481779</v>
      </c>
      <c r="D47" s="186">
        <f t="shared" si="17"/>
        <v>11209.675920570109</v>
      </c>
      <c r="E47" s="186">
        <f t="shared" si="17"/>
        <v>11343.664815301028</v>
      </c>
      <c r="F47" s="186">
        <f t="shared" si="17"/>
        <v>11477.764063186843</v>
      </c>
      <c r="G47" s="187">
        <f t="shared" si="17"/>
        <v>11793.958793144411</v>
      </c>
      <c r="I47" s="188"/>
      <c r="J47" s="188"/>
      <c r="K47" s="188"/>
      <c r="L47" s="188"/>
      <c r="M47" s="188"/>
      <c r="N47" s="188"/>
      <c r="O47" s="188"/>
      <c r="P47" s="188"/>
      <c r="Q47" s="189"/>
    </row>
    <row r="48" spans="1:17" s="281" customFormat="1" ht="15" customHeight="1">
      <c r="A48" s="1383" t="s">
        <v>824</v>
      </c>
      <c r="B48" s="190">
        <f>'Input 4 - Forecast'!C21</f>
        <v>48.271190640000007</v>
      </c>
      <c r="C48" s="13">
        <f>'Input 4 - Forecast'!D21</f>
        <v>51.337460912386192</v>
      </c>
      <c r="D48" s="13">
        <f>'Input 4 - Forecast'!E21</f>
        <v>54.35210618984911</v>
      </c>
      <c r="E48" s="13">
        <f>'Input 4 - Forecast'!F21</f>
        <v>57.337010005215234</v>
      </c>
      <c r="F48" s="13">
        <f>'Input 4 - Forecast'!G21</f>
        <v>60.473394442922938</v>
      </c>
      <c r="G48" s="191">
        <f>'Input 4 - Forecast'!H21</f>
        <v>63.71294897394791</v>
      </c>
      <c r="I48" s="188"/>
      <c r="J48" s="188"/>
      <c r="K48" s="188"/>
      <c r="L48" s="188"/>
      <c r="M48" s="188"/>
      <c r="N48" s="188"/>
      <c r="O48" s="188"/>
      <c r="P48" s="188"/>
      <c r="Q48" s="189"/>
    </row>
    <row r="49" spans="1:17" ht="15" customHeight="1">
      <c r="A49" s="5" t="s">
        <v>69</v>
      </c>
      <c r="B49" s="190">
        <f t="shared" ref="B49:G49" si="18">B29*B$35</f>
        <v>10871.772800640847</v>
      </c>
      <c r="C49" s="13">
        <f t="shared" si="18"/>
        <v>12029.965849556191</v>
      </c>
      <c r="D49" s="13">
        <f t="shared" si="18"/>
        <v>12322.475637010708</v>
      </c>
      <c r="E49" s="13">
        <f t="shared" si="18"/>
        <v>12487.472485302515</v>
      </c>
      <c r="F49" s="13">
        <f t="shared" si="18"/>
        <v>12652.677921691364</v>
      </c>
      <c r="G49" s="191">
        <f t="shared" si="18"/>
        <v>13001.239719674382</v>
      </c>
      <c r="I49" s="188"/>
      <c r="J49" s="188"/>
      <c r="K49" s="188"/>
      <c r="L49" s="188"/>
      <c r="M49" s="188"/>
      <c r="N49" s="188"/>
      <c r="O49" s="188"/>
      <c r="P49" s="188"/>
      <c r="Q49" s="189"/>
    </row>
    <row r="50" spans="1:17" ht="15" customHeight="1">
      <c r="A50" s="3" t="s">
        <v>66</v>
      </c>
      <c r="B50" s="190">
        <f>'Input 4 - Forecast'!C24</f>
        <v>174.85657659911266</v>
      </c>
      <c r="C50" s="13">
        <f>'Input 4 - Forecast'!D24</f>
        <v>162.29082986591305</v>
      </c>
      <c r="D50" s="13">
        <f>'Input 4 - Forecast'!E24</f>
        <v>139.59781983027952</v>
      </c>
      <c r="E50" s="13">
        <f>'Input 4 - Forecast'!F24</f>
        <v>135.40250794027952</v>
      </c>
      <c r="F50" s="13">
        <f>'Input 4 - Forecast'!G24</f>
        <v>103.26669278984103</v>
      </c>
      <c r="G50" s="191">
        <f>'Input 4 - Forecast'!H24</f>
        <v>95.657544050000013</v>
      </c>
      <c r="I50" s="197" t="s">
        <v>87</v>
      </c>
      <c r="J50" s="188"/>
      <c r="K50" s="188"/>
      <c r="L50" s="188"/>
      <c r="M50" s="188"/>
      <c r="N50" s="188"/>
      <c r="O50" s="188"/>
      <c r="P50" s="188"/>
      <c r="Q50" s="189"/>
    </row>
    <row r="51" spans="1:17" ht="15" customHeight="1" thickBot="1">
      <c r="A51" s="198" t="s">
        <v>65</v>
      </c>
      <c r="B51" s="192">
        <f>('Input 4 - Forecast'!C25/'Input 4 - Forecast'!C$17)*B31</f>
        <v>36.103082014354982</v>
      </c>
      <c r="C51" s="193">
        <f>('Input 4 - Forecast'!D25/'Input 4 - Forecast'!D$17)*C31</f>
        <v>36.793459074872004</v>
      </c>
      <c r="D51" s="193">
        <f>('Input 4 - Forecast'!E25/'Input 4 - Forecast'!E$17)*D31</f>
        <v>28.352366134432003</v>
      </c>
      <c r="E51" s="193">
        <f>('Input 4 - Forecast'!F25/'Input 4 - Forecast'!F$17)*E31</f>
        <v>10.689095726641995</v>
      </c>
      <c r="F51" s="193">
        <f>('Input 4 - Forecast'!G25/'Input 4 - Forecast'!G$17)*F31</f>
        <v>0.23301181859500275</v>
      </c>
      <c r="G51" s="194">
        <f>('Input 4 - Forecast'!H25/'Input 4 - Forecast'!H$17)*G31</f>
        <v>0.22278209171348351</v>
      </c>
      <c r="I51" s="197" t="s">
        <v>85</v>
      </c>
      <c r="J51" s="188"/>
      <c r="K51" s="188"/>
      <c r="L51" s="188"/>
      <c r="M51" s="188"/>
      <c r="N51" s="188"/>
      <c r="O51" s="188"/>
      <c r="P51" s="188"/>
      <c r="Q51" s="189"/>
    </row>
    <row r="52" spans="1:17" ht="6" customHeight="1" thickBot="1">
      <c r="B52" s="195"/>
      <c r="C52" s="195"/>
      <c r="D52" s="195"/>
      <c r="E52" s="195"/>
      <c r="F52" s="195"/>
      <c r="G52" s="195"/>
      <c r="I52" s="199"/>
      <c r="J52" s="199"/>
      <c r="K52" s="199"/>
      <c r="L52" s="199"/>
      <c r="M52" s="199"/>
      <c r="N52" s="199"/>
      <c r="O52" s="199"/>
      <c r="P52" s="199"/>
    </row>
    <row r="53" spans="1:17">
      <c r="A53" s="196" t="s">
        <v>67</v>
      </c>
      <c r="B53" s="185">
        <f>'Input 4 - Forecast'!C27</f>
        <v>880.82751076386637</v>
      </c>
      <c r="C53" s="186">
        <f>'Input 4 - Forecast'!D27</f>
        <v>974.88479061012663</v>
      </c>
      <c r="D53" s="186">
        <f>'Input 4 - Forecast'!E27</f>
        <v>693.56222634999995</v>
      </c>
      <c r="E53" s="186">
        <f>'Input 4 - Forecast'!F27</f>
        <v>1100.0445500352976</v>
      </c>
      <c r="F53" s="186">
        <f>'Input 4 - Forecast'!G27</f>
        <v>305.67470971030548</v>
      </c>
      <c r="G53" s="187">
        <f>'Input 4 - Forecast'!H27</f>
        <v>259.28679624</v>
      </c>
      <c r="I53" s="197" t="s">
        <v>88</v>
      </c>
      <c r="J53" s="199"/>
      <c r="K53" s="199"/>
      <c r="L53" s="199"/>
      <c r="M53" s="199"/>
      <c r="N53" s="199"/>
      <c r="O53" s="199"/>
      <c r="P53" s="199"/>
    </row>
    <row r="54" spans="1:17" ht="15.75" thickBot="1">
      <c r="A54" s="198" t="s">
        <v>68</v>
      </c>
      <c r="B54" s="192">
        <f>('Input 4 - Forecast'!C28/'Input 4 - Forecast'!C$17)*B31</f>
        <v>3.4469856692949747</v>
      </c>
      <c r="C54" s="193">
        <f>('Input 4 - Forecast'!D28/'Input 4 - Forecast'!D$17)*C31</f>
        <v>0.42613768651699502</v>
      </c>
      <c r="D54" s="193">
        <f>('Input 4 - Forecast'!E28/'Input 4 - Forecast'!E$17)*D31</f>
        <v>613.46644681095995</v>
      </c>
      <c r="E54" s="193">
        <f>('Input 4 - Forecast'!F28/'Input 4 - Forecast'!F$17)*E31</f>
        <v>352.96984703798012</v>
      </c>
      <c r="F54" s="193">
        <f>('Input 4 - Forecast'!G28/'Input 4 - Forecast'!G$17)*F31</f>
        <v>0.34099085799599038</v>
      </c>
      <c r="G54" s="194">
        <f>('Input 4 - Forecast'!H28/'Input 4 - Forecast'!H$17)*G31</f>
        <v>0</v>
      </c>
      <c r="I54" s="197" t="s">
        <v>86</v>
      </c>
      <c r="J54" s="199"/>
      <c r="K54" s="199"/>
      <c r="L54" s="199"/>
      <c r="M54" s="199"/>
      <c r="N54" s="199"/>
      <c r="O54" s="199"/>
      <c r="P54" s="199"/>
    </row>
    <row r="55" spans="1:17" ht="15.75" thickBot="1">
      <c r="B55" s="195"/>
      <c r="C55" s="195"/>
      <c r="D55" s="195"/>
      <c r="E55" s="195"/>
      <c r="F55" s="195"/>
      <c r="G55" s="195"/>
      <c r="I55" s="199"/>
      <c r="J55" s="199"/>
      <c r="K55" s="199"/>
      <c r="L55" s="199"/>
      <c r="M55" s="199"/>
      <c r="N55" s="199"/>
      <c r="O55" s="199"/>
      <c r="P55" s="199"/>
    </row>
    <row r="56" spans="1:17" ht="15.75" thickBot="1">
      <c r="A56" s="200" t="s">
        <v>5</v>
      </c>
      <c r="B56" s="201">
        <f>'Input 4 - Forecast'!C30</f>
        <v>0</v>
      </c>
      <c r="C56" s="202">
        <f>'Input 4 - Forecast'!D30</f>
        <v>0</v>
      </c>
      <c r="D56" s="202">
        <f>'Input 4 - Forecast'!E30</f>
        <v>0</v>
      </c>
      <c r="E56" s="202">
        <f>'Input 4 - Forecast'!F30</f>
        <v>0</v>
      </c>
      <c r="F56" s="202">
        <f>'Input 4 - Forecast'!G30</f>
        <v>0</v>
      </c>
      <c r="G56" s="203">
        <f>'Input 4 - Forecast'!H30</f>
        <v>0</v>
      </c>
      <c r="I56" s="199"/>
      <c r="J56" s="199"/>
      <c r="K56" s="199"/>
      <c r="L56" s="199"/>
      <c r="M56" s="199"/>
      <c r="N56" s="199"/>
      <c r="O56" s="199"/>
      <c r="P56" s="199"/>
    </row>
    <row r="57" spans="1:17" ht="15.75" thickBot="1">
      <c r="B57" s="195"/>
      <c r="C57" s="195"/>
      <c r="D57" s="195"/>
      <c r="E57" s="195"/>
      <c r="F57" s="195"/>
      <c r="G57" s="195"/>
      <c r="I57" s="199"/>
      <c r="J57" s="199"/>
      <c r="K57" s="199"/>
      <c r="L57" s="199"/>
      <c r="M57" s="199"/>
      <c r="N57" s="199"/>
      <c r="O57" s="199"/>
      <c r="P57" s="199"/>
    </row>
    <row r="58" spans="1:17">
      <c r="A58" s="196" t="s">
        <v>47</v>
      </c>
      <c r="B58" s="185">
        <f>'Input 4 - Forecast'!C32</f>
        <v>0</v>
      </c>
      <c r="C58" s="186">
        <f ca="1">SUM(W119:W124,W138:W171,W214:W219,W233:W266,W307:W312)+Baseline!W282</f>
        <v>34.440056379275418</v>
      </c>
      <c r="D58" s="186">
        <f ca="1">SUM(X119:X124,X138:X171,X214:X219,X233:X266,X307:X312)+Baseline!X282</f>
        <v>181.25253170453504</v>
      </c>
      <c r="E58" s="186">
        <f ca="1">SUM(Y119:Y124,Y138:Y171,Y214:Y219,Y233:Y266,Y307:Y312)+Baseline!Y282</f>
        <v>337.09243901867302</v>
      </c>
      <c r="F58" s="186">
        <f ca="1">SUM(Z119:Z124,Z138:Z171,Z214:Z219,Z233:Z266,Z307:Z312)+Baseline!Z282</f>
        <v>517.77804761330981</v>
      </c>
      <c r="G58" s="187">
        <f ca="1">SUM(AA119:AA124,AA138:AA171,AA214:AA219,AA233:AA266,AA307:AA312)+Baseline!AA282</f>
        <v>625.38510555362302</v>
      </c>
      <c r="I58" s="199"/>
      <c r="J58" s="199"/>
      <c r="K58" s="199"/>
      <c r="L58" s="199"/>
      <c r="M58" s="199"/>
      <c r="N58" s="199"/>
      <c r="O58" s="199"/>
      <c r="P58" s="199"/>
    </row>
    <row r="59" spans="1:17">
      <c r="A59" s="5" t="s">
        <v>48</v>
      </c>
      <c r="B59" s="190">
        <f>'Input 4 - Forecast'!C33</f>
        <v>0</v>
      </c>
      <c r="C59" s="13">
        <f ca="1">SUM(W128:W133,W175:W210,W223:W229,W270:W303,Baseline!W283)*C31</f>
        <v>0</v>
      </c>
      <c r="D59" s="13">
        <f ca="1">SUM(X128:X133,X175:X210,X223:X229,X270:X303,Baseline!X283)*D31</f>
        <v>0</v>
      </c>
      <c r="E59" s="13">
        <f ca="1">SUM(Y128:Y133,Y175:Y210,Y223:Y229,Y270:Y303,Baseline!Y283)*E31</f>
        <v>0</v>
      </c>
      <c r="F59" s="13">
        <f ca="1">SUM(Z128:Z133,Z175:Z210,Z223:Z229,Z270:Z303,Baseline!Z283)*F31</f>
        <v>0</v>
      </c>
      <c r="G59" s="191">
        <f ca="1">SUM(AA128:AA133,AA175:AA210,AA223:AA229,AA270:AA303,Baseline!AA283)*G31</f>
        <v>0</v>
      </c>
      <c r="I59" s="199"/>
      <c r="J59" s="199"/>
      <c r="K59" s="199"/>
      <c r="L59" s="199"/>
      <c r="M59" s="199"/>
      <c r="N59" s="199"/>
      <c r="O59" s="199"/>
      <c r="P59" s="199"/>
    </row>
    <row r="60" spans="1:17">
      <c r="A60" s="5" t="s">
        <v>49</v>
      </c>
      <c r="B60" s="190">
        <f>'Input 4 - Forecast'!C34</f>
        <v>0</v>
      </c>
      <c r="C60" s="13">
        <f ca="1">SUM(P119:P124,P138:P171,P214:P219,P233:P266,P307:P312)</f>
        <v>934.00594810140706</v>
      </c>
      <c r="D60" s="13">
        <f ca="1">SUM(Q119:Q124,Q138:Q171,Q214:Q219,Q233:Q266,Q307:Q312)</f>
        <v>2666.6019409176643</v>
      </c>
      <c r="E60" s="13">
        <f ca="1">SUM(R119:R124,R138:R171,R214:R219,R233:R266,R307:R312)</f>
        <v>4930.3304316194472</v>
      </c>
      <c r="F60" s="13">
        <f ca="1">SUM(S119:S124,S138:S171,S214:S219,S233:S266,S307:S312)</f>
        <v>7374.0349465042636</v>
      </c>
      <c r="G60" s="191">
        <f ca="1">SUM(T119:T124,T138:T171,T214:T219,T233:T266,T307:T312)</f>
        <v>8870.031372568119</v>
      </c>
      <c r="I60" s="199"/>
      <c r="J60" s="199"/>
      <c r="K60" s="199"/>
      <c r="L60" s="199"/>
      <c r="M60" s="199"/>
      <c r="N60" s="199"/>
      <c r="O60" s="199"/>
      <c r="P60" s="199"/>
    </row>
    <row r="61" spans="1:17" ht="15.75" thickBot="1">
      <c r="A61" s="198" t="s">
        <v>50</v>
      </c>
      <c r="B61" s="192">
        <f>'Input 4 - Forecast'!C35</f>
        <v>0</v>
      </c>
      <c r="C61" s="193">
        <f ca="1">SUM(P128:P134,P175:P210,P223:P229,P270:P303)*C31</f>
        <v>0</v>
      </c>
      <c r="D61" s="193">
        <f ca="1">SUM(Q128:Q134,Q175:Q210,Q223:Q229,Q270:Q303)*D31</f>
        <v>0</v>
      </c>
      <c r="E61" s="193">
        <f ca="1">SUM(R128:R134,R175:R210,R223:R229,R270:R303)*E31</f>
        <v>0</v>
      </c>
      <c r="F61" s="193">
        <f ca="1">SUM(S128:S134,S175:S210,S223:S229,S270:S303)*F31</f>
        <v>0</v>
      </c>
      <c r="G61" s="194">
        <f ca="1">SUM(T128:T134,T175:T210,T223:T229,T270:T303)*G31</f>
        <v>0</v>
      </c>
      <c r="I61" s="199"/>
      <c r="J61" s="199"/>
      <c r="K61" s="199"/>
      <c r="L61" s="199"/>
      <c r="M61" s="199"/>
      <c r="N61" s="199"/>
      <c r="O61" s="199"/>
      <c r="P61" s="199"/>
    </row>
    <row r="62" spans="1:17" ht="15.75" thickBot="1">
      <c r="B62" s="195"/>
      <c r="C62" s="195"/>
      <c r="D62" s="195"/>
      <c r="E62" s="195"/>
      <c r="F62" s="195"/>
      <c r="G62" s="195"/>
      <c r="I62" s="199"/>
      <c r="J62" s="199"/>
      <c r="K62" s="199"/>
      <c r="L62" s="199"/>
      <c r="M62" s="199"/>
      <c r="N62" s="199"/>
      <c r="O62" s="199"/>
      <c r="P62" s="199"/>
    </row>
    <row r="63" spans="1:17" ht="15.75" thickBot="1">
      <c r="A63" s="200" t="s">
        <v>4</v>
      </c>
      <c r="B63" s="1386">
        <f t="shared" ref="B63:G63" si="19">SUM(B49:B51,B53:B54,B56,B58:B61)-SUM(B47:B48)</f>
        <v>1062.4001150288241</v>
      </c>
      <c r="C63" s="1386">
        <f t="shared" ca="1" si="19"/>
        <v>2846.8642704187178</v>
      </c>
      <c r="D63" s="1386">
        <f t="shared" ca="1" si="19"/>
        <v>5074.5495502459489</v>
      </c>
      <c r="E63" s="1386">
        <f t="shared" ca="1" si="19"/>
        <v>7460.3630062607381</v>
      </c>
      <c r="F63" s="1386">
        <f t="shared" ca="1" si="19"/>
        <v>8970.8342119193203</v>
      </c>
      <c r="G63" s="1387">
        <f t="shared" ca="1" si="19"/>
        <v>10293.092604673087</v>
      </c>
      <c r="I63" s="199"/>
      <c r="J63" s="199"/>
      <c r="L63" s="199"/>
      <c r="M63" s="199"/>
      <c r="N63" s="199"/>
      <c r="O63" s="199"/>
      <c r="P63" s="199"/>
    </row>
    <row r="64" spans="1:17" ht="15.75" thickBot="1">
      <c r="B64" s="195"/>
      <c r="C64" s="195"/>
      <c r="D64" s="195"/>
      <c r="E64" s="195"/>
      <c r="F64" s="195"/>
      <c r="G64" s="195"/>
      <c r="I64" s="199"/>
      <c r="J64" s="199"/>
      <c r="K64" s="199"/>
      <c r="L64" s="199"/>
      <c r="M64" s="199"/>
      <c r="N64" s="199"/>
      <c r="O64" s="199"/>
      <c r="P64" s="199"/>
    </row>
    <row r="65" spans="1:17">
      <c r="A65" s="1816" t="s">
        <v>1137</v>
      </c>
      <c r="B65" s="186">
        <f>'Input 4 - Forecast'!C39</f>
        <v>0</v>
      </c>
      <c r="C65" s="186">
        <f>'Input 4 - Forecast'!D39</f>
        <v>0</v>
      </c>
      <c r="D65" s="186">
        <f>'Input 4 - Forecast'!E39</f>
        <v>0</v>
      </c>
      <c r="E65" s="186">
        <f>'Input 4 - Forecast'!F39</f>
        <v>0</v>
      </c>
      <c r="F65" s="186">
        <f>'Input 4 - Forecast'!G39</f>
        <v>0</v>
      </c>
      <c r="G65" s="187">
        <f>'Input 4 - Forecast'!H39</f>
        <v>0</v>
      </c>
      <c r="I65" s="199"/>
      <c r="J65" s="199"/>
      <c r="K65" s="199"/>
      <c r="L65" s="199"/>
      <c r="M65" s="199"/>
      <c r="N65" s="199"/>
      <c r="O65" s="199"/>
      <c r="P65" s="199"/>
    </row>
    <row r="66" spans="1:17">
      <c r="A66" s="1817" t="s">
        <v>1138</v>
      </c>
      <c r="B66" s="13">
        <f>('Input 4 - Forecast'!C40/'Input 4 - Forecast'!C$17)*'Input 5 - Scenario Design'!E$48</f>
        <v>0</v>
      </c>
      <c r="C66" s="13">
        <f>('Input 4 - Forecast'!D40/'Input 4 - Forecast'!D$17)*'Input 5 - Scenario Design'!F$48</f>
        <v>0</v>
      </c>
      <c r="D66" s="13">
        <f>('Input 4 - Forecast'!E40/'Input 4 - Forecast'!E$17)*'Input 5 - Scenario Design'!G$48</f>
        <v>0</v>
      </c>
      <c r="E66" s="13">
        <f>('Input 4 - Forecast'!F40/'Input 4 - Forecast'!F$17)*'Input 5 - Scenario Design'!H$48</f>
        <v>0</v>
      </c>
      <c r="F66" s="13">
        <f>('Input 4 - Forecast'!G40/'Input 4 - Forecast'!G$17)*'Input 5 - Scenario Design'!I$48</f>
        <v>0</v>
      </c>
      <c r="G66" s="191">
        <f>('Input 4 - Forecast'!H40/'Input 4 - Forecast'!H$17)*'Input 5 - Scenario Design'!J$48</f>
        <v>0</v>
      </c>
      <c r="I66" s="197" t="s">
        <v>90</v>
      </c>
      <c r="J66" s="199"/>
      <c r="K66" s="199"/>
      <c r="L66" s="199"/>
      <c r="M66" s="199"/>
      <c r="N66" s="199"/>
      <c r="O66" s="199"/>
      <c r="P66" s="199"/>
    </row>
    <row r="67" spans="1:17">
      <c r="A67" s="1817" t="s">
        <v>8</v>
      </c>
      <c r="B67" s="13">
        <f>('Input 4 - Forecast'!C41/'Input 4 - Forecast'!C$17)*'Input 5 - Scenario Design'!E$48</f>
        <v>0</v>
      </c>
      <c r="C67" s="13">
        <f>('Input 4 - Forecast'!D41/'Input 4 - Forecast'!D$17)*'Input 5 - Scenario Design'!F$48</f>
        <v>0</v>
      </c>
      <c r="D67" s="13">
        <f>('Input 4 - Forecast'!E41/'Input 4 - Forecast'!E$17)*'Input 5 - Scenario Design'!G$48</f>
        <v>0</v>
      </c>
      <c r="E67" s="13">
        <f>('Input 4 - Forecast'!F41/'Input 4 - Forecast'!F$17)*'Input 5 - Scenario Design'!H$48</f>
        <v>0</v>
      </c>
      <c r="F67" s="13">
        <f>('Input 4 - Forecast'!G41/'Input 4 - Forecast'!G$17)*'Input 5 - Scenario Design'!I$48</f>
        <v>0</v>
      </c>
      <c r="G67" s="191">
        <f>('Input 4 - Forecast'!H41/'Input 4 - Forecast'!H$17)*'Input 5 - Scenario Design'!J$48</f>
        <v>0</v>
      </c>
      <c r="I67" s="197" t="s">
        <v>91</v>
      </c>
      <c r="J67" s="199"/>
      <c r="K67" s="199"/>
      <c r="L67" s="199"/>
      <c r="M67" s="199"/>
      <c r="N67" s="199"/>
      <c r="O67" s="199"/>
      <c r="P67" s="199"/>
    </row>
    <row r="68" spans="1:17">
      <c r="A68" s="1817" t="str">
        <f>'Input 2 - Data'!D31</f>
        <v>Please specify (1) (e.g., privatization receipts) (+ reduces financing needs)</v>
      </c>
      <c r="B68" s="13">
        <f>'Input 4 - Forecast'!C42</f>
        <v>0</v>
      </c>
      <c r="C68" s="13">
        <f>'Input 4 - Forecast'!D42</f>
        <v>0</v>
      </c>
      <c r="D68" s="13">
        <f>'Input 4 - Forecast'!E42</f>
        <v>0</v>
      </c>
      <c r="E68" s="13">
        <f>'Input 4 - Forecast'!F42</f>
        <v>0</v>
      </c>
      <c r="F68" s="13">
        <f>'Input 4 - Forecast'!G42</f>
        <v>0</v>
      </c>
      <c r="G68" s="191">
        <f>'Input 4 - Forecast'!H42</f>
        <v>0</v>
      </c>
      <c r="I68" s="199"/>
      <c r="J68" s="199"/>
      <c r="K68" s="199"/>
      <c r="L68" s="199"/>
      <c r="M68" s="199"/>
      <c r="N68" s="199"/>
      <c r="O68" s="199"/>
      <c r="P68" s="199"/>
    </row>
    <row r="69" spans="1:17" s="281" customFormat="1" ht="15.75" thickBot="1">
      <c r="A69" s="1819" t="str">
        <f>'Input 2 - Data'!D32</f>
        <v>Please specify (2) (e.g., other debt flows) (+ increases financing needs)</v>
      </c>
      <c r="B69" s="193">
        <f>'Input 4 - Forecast'!C43</f>
        <v>0</v>
      </c>
      <c r="C69" s="193">
        <f>'Input 4 - Forecast'!D43</f>
        <v>0</v>
      </c>
      <c r="D69" s="193">
        <f>'Input 4 - Forecast'!E43</f>
        <v>0</v>
      </c>
      <c r="E69" s="193">
        <f>'Input 4 - Forecast'!F43</f>
        <v>0</v>
      </c>
      <c r="F69" s="193">
        <f>'Input 4 - Forecast'!G43</f>
        <v>0</v>
      </c>
      <c r="G69" s="194">
        <f>'Input 4 - Forecast'!H43</f>
        <v>0</v>
      </c>
      <c r="I69" s="199"/>
      <c r="J69" s="199"/>
      <c r="K69" s="199"/>
      <c r="L69" s="199"/>
      <c r="M69" s="199"/>
      <c r="N69" s="199"/>
      <c r="O69" s="199"/>
      <c r="P69" s="199"/>
    </row>
    <row r="70" spans="1:17" ht="15.75" thickBot="1">
      <c r="B70" s="195"/>
      <c r="C70" s="195"/>
      <c r="D70" s="195"/>
      <c r="E70" s="195"/>
      <c r="F70" s="195"/>
      <c r="G70" s="195"/>
      <c r="I70" s="235"/>
      <c r="J70" s="235"/>
      <c r="K70" s="199"/>
      <c r="L70" s="199"/>
      <c r="M70" s="199"/>
      <c r="N70" s="199"/>
      <c r="O70" s="199"/>
      <c r="P70" s="199"/>
    </row>
    <row r="71" spans="1:17" ht="16.5" customHeight="1" thickBot="1">
      <c r="A71" s="200" t="s">
        <v>1141</v>
      </c>
      <c r="B71" s="202">
        <f t="shared" ref="B71:G71" si="20">B63-B65-B66-B67-B68+B69</f>
        <v>1062.4001150288241</v>
      </c>
      <c r="C71" s="202">
        <f t="shared" ca="1" si="20"/>
        <v>2846.8642704187178</v>
      </c>
      <c r="D71" s="202">
        <f t="shared" ca="1" si="20"/>
        <v>5074.5495502459489</v>
      </c>
      <c r="E71" s="202">
        <f t="shared" ca="1" si="20"/>
        <v>7460.3630062607381</v>
      </c>
      <c r="F71" s="202">
        <f t="shared" ca="1" si="20"/>
        <v>8970.8342119193203</v>
      </c>
      <c r="G71" s="203">
        <f t="shared" ca="1" si="20"/>
        <v>10293.092604673087</v>
      </c>
      <c r="I71" s="236"/>
      <c r="J71" s="236"/>
    </row>
    <row r="72" spans="1:17" ht="15.75" thickBot="1">
      <c r="A72" s="4"/>
      <c r="B72" s="13"/>
      <c r="C72" s="13"/>
      <c r="D72" s="13"/>
      <c r="E72" s="13"/>
      <c r="F72" s="13"/>
      <c r="G72" s="13"/>
      <c r="I72" s="184"/>
      <c r="J72" s="184"/>
      <c r="K72" s="184"/>
      <c r="L72" s="184"/>
      <c r="M72" s="184"/>
      <c r="N72" s="184"/>
      <c r="O72" s="184"/>
      <c r="P72" s="184"/>
    </row>
    <row r="73" spans="1:17" ht="82.5" customHeight="1" thickBot="1">
      <c r="A73" s="2" t="s">
        <v>1177</v>
      </c>
      <c r="B73" s="2041" t="s">
        <v>1181</v>
      </c>
      <c r="C73" s="2042"/>
      <c r="D73" s="2042"/>
      <c r="E73" s="2042"/>
      <c r="F73" s="2042"/>
      <c r="G73" s="2043"/>
      <c r="I73" s="204" t="s">
        <v>459</v>
      </c>
      <c r="J73" s="204" t="s">
        <v>38</v>
      </c>
      <c r="K73" s="205" t="s">
        <v>39</v>
      </c>
      <c r="L73" s="204" t="str">
        <f t="shared" ref="L73:Q73" si="21">CONCATENATE("Interest Rate on debt issued in ",B45)</f>
        <v>Interest Rate on debt issued in 2018</v>
      </c>
      <c r="M73" s="204" t="str">
        <f t="shared" si="21"/>
        <v>Interest Rate on debt issued in 2019</v>
      </c>
      <c r="N73" s="204" t="str">
        <f t="shared" si="21"/>
        <v>Interest Rate on debt issued in 2020</v>
      </c>
      <c r="O73" s="204" t="str">
        <f t="shared" si="21"/>
        <v>Interest Rate on debt issued in 2021</v>
      </c>
      <c r="P73" s="204" t="str">
        <f t="shared" si="21"/>
        <v>Interest Rate on debt issued in 2022</v>
      </c>
      <c r="Q73" s="204" t="str">
        <f t="shared" si="21"/>
        <v>Interest Rate on debt issued in 2023</v>
      </c>
    </row>
    <row r="74" spans="1:17">
      <c r="A74" s="206" t="s">
        <v>13</v>
      </c>
      <c r="B74" s="185"/>
      <c r="C74" s="186"/>
      <c r="D74" s="186"/>
      <c r="E74" s="186"/>
      <c r="F74" s="186"/>
      <c r="G74" s="187"/>
      <c r="I74" s="207"/>
      <c r="J74" s="207"/>
      <c r="K74" s="208"/>
      <c r="L74" s="208"/>
      <c r="M74" s="208"/>
      <c r="N74" s="208"/>
      <c r="O74" s="208"/>
      <c r="P74" s="208"/>
      <c r="Q74" s="209"/>
    </row>
    <row r="75" spans="1:17" ht="30">
      <c r="A75" s="210" t="s">
        <v>0</v>
      </c>
      <c r="B75" s="190">
        <f>('Input 4 - Forecast'!C56/'Input 4 - Forecast'!C$45)*MAX(B$71,0)</f>
        <v>0</v>
      </c>
      <c r="C75" s="13">
        <f ca="1">('Input 4 - Forecast'!D56/'Input 4 - Forecast'!D$45)*MAX(C$71,0)</f>
        <v>196.2117622219138</v>
      </c>
      <c r="D75" s="13">
        <f ca="1">('Input 4 - Forecast'!E56/'Input 4 - Forecast'!E$45)*MAX(D$71,0)</f>
        <v>207.5410183517769</v>
      </c>
      <c r="E75" s="13">
        <f ca="1">('Input 4 - Forecast'!F56/'Input 4 - Forecast'!F$45)*MAX(E$71,0)</f>
        <v>215.36459030005645</v>
      </c>
      <c r="F75" s="13">
        <f ca="1">('Input 4 - Forecast'!G56/'Input 4 - Forecast'!G$45)*MAX(F$71,0)</f>
        <v>235.69823160156173</v>
      </c>
      <c r="G75" s="191">
        <f ca="1">('Input 4 - Forecast'!H56/'Input 4 - Forecast'!H$45)*MAX(G$71,0)</f>
        <v>259.54621221616219</v>
      </c>
      <c r="I75" s="211" t="str">
        <f>'Input 4 - Forecast'!J56</f>
        <v>Semi-annual</v>
      </c>
      <c r="J75" s="211">
        <f>'Input 4 - Forecast'!K56</f>
        <v>0</v>
      </c>
      <c r="K75" s="19">
        <f>'Input 4 - Forecast'!L56</f>
        <v>0</v>
      </c>
      <c r="L75" s="212">
        <f>'Input 4 - Forecast'!M56+B$33/10000</f>
        <v>0</v>
      </c>
      <c r="M75" s="212">
        <f>'Input 4 - Forecast'!N56+C$33/10000</f>
        <v>3.5744886743189486E-2</v>
      </c>
      <c r="N75" s="212">
        <f>'Input 4 - Forecast'!O56+D$33/10000</f>
        <v>3.5744886743189486E-2</v>
      </c>
      <c r="O75" s="212">
        <f>'Input 4 - Forecast'!P56+E$33/10000</f>
        <v>3.5744886743189486E-2</v>
      </c>
      <c r="P75" s="212">
        <f>'Input 4 - Forecast'!Q56+F$33/10000</f>
        <v>3.5744886743189486E-2</v>
      </c>
      <c r="Q75" s="213">
        <f>'Input 4 - Forecast'!R56+G$33/10000</f>
        <v>3.5744886743189486E-2</v>
      </c>
    </row>
    <row r="76" spans="1:17" ht="30">
      <c r="A76" s="210" t="s">
        <v>1</v>
      </c>
      <c r="B76" s="190">
        <f>('Input 4 - Forecast'!C57/'Input 4 - Forecast'!C$45)*MAX(B$71,0)</f>
        <v>0</v>
      </c>
      <c r="C76" s="13">
        <f ca="1">('Input 4 - Forecast'!D57/'Input 4 - Forecast'!D$45)*MAX(C$71,0)</f>
        <v>0</v>
      </c>
      <c r="D76" s="13">
        <f ca="1">('Input 4 - Forecast'!E57/'Input 4 - Forecast'!E$45)*MAX(D$71,0)</f>
        <v>0</v>
      </c>
      <c r="E76" s="13">
        <f ca="1">('Input 4 - Forecast'!F57/'Input 4 - Forecast'!F$45)*MAX(E$71,0)</f>
        <v>0</v>
      </c>
      <c r="F76" s="13">
        <f ca="1">('Input 4 - Forecast'!G57/'Input 4 - Forecast'!G$45)*MAX(F$71,0)</f>
        <v>0</v>
      </c>
      <c r="G76" s="191">
        <f ca="1">('Input 4 - Forecast'!H57/'Input 4 - Forecast'!H$45)*MAX(G$71,0)</f>
        <v>0</v>
      </c>
      <c r="I76" s="211" t="str">
        <f>'Input 4 - Forecast'!J57</f>
        <v>Semi-annual</v>
      </c>
      <c r="J76" s="211">
        <f>'Input 4 - Forecast'!K57</f>
        <v>0</v>
      </c>
      <c r="K76" s="19">
        <f>'Input 4 - Forecast'!L57</f>
        <v>0</v>
      </c>
      <c r="L76" s="212">
        <f>'Input 4 - Forecast'!M57+B$33/10000</f>
        <v>0</v>
      </c>
      <c r="M76" s="212">
        <f>'Input 4 - Forecast'!N57+C$33/10000</f>
        <v>3.5744886743189486E-2</v>
      </c>
      <c r="N76" s="212">
        <f>'Input 4 - Forecast'!O57+D$33/10000</f>
        <v>3.5744886743189486E-2</v>
      </c>
      <c r="O76" s="212">
        <f>'Input 4 - Forecast'!P57+E$33/10000</f>
        <v>3.5744886743189486E-2</v>
      </c>
      <c r="P76" s="212">
        <f>'Input 4 - Forecast'!Q57+F$33/10000</f>
        <v>3.5744886743189486E-2</v>
      </c>
      <c r="Q76" s="213">
        <f>'Input 4 - Forecast'!R57+G$33/10000</f>
        <v>3.5744886743189486E-2</v>
      </c>
    </row>
    <row r="77" spans="1:17">
      <c r="A77" s="206" t="s">
        <v>14</v>
      </c>
      <c r="B77" s="190"/>
      <c r="C77" s="13"/>
      <c r="D77" s="13"/>
      <c r="E77" s="13"/>
      <c r="F77" s="13"/>
      <c r="G77" s="191"/>
      <c r="I77" s="211"/>
      <c r="J77" s="211"/>
      <c r="K77" s="19"/>
      <c r="L77" s="19"/>
      <c r="M77" s="19"/>
      <c r="N77" s="19"/>
      <c r="O77" s="19"/>
      <c r="P77" s="19"/>
      <c r="Q77" s="214"/>
    </row>
    <row r="78" spans="1:17">
      <c r="A78" s="210" t="s">
        <v>0</v>
      </c>
      <c r="B78" s="190"/>
      <c r="C78" s="13"/>
      <c r="D78" s="13"/>
      <c r="E78" s="13"/>
      <c r="F78" s="13"/>
      <c r="G78" s="191"/>
      <c r="I78" s="211"/>
      <c r="J78" s="211"/>
      <c r="K78" s="19"/>
      <c r="L78" s="19"/>
      <c r="M78" s="19"/>
      <c r="N78" s="19"/>
      <c r="O78" s="19"/>
      <c r="P78" s="19"/>
      <c r="Q78" s="214"/>
    </row>
    <row r="79" spans="1:17">
      <c r="A79" s="215" t="s">
        <v>18</v>
      </c>
      <c r="B79" s="190">
        <f>('Input 4 - Forecast'!C60/'Input 4 - Forecast'!C$45)*MAX(B$71,0)</f>
        <v>329.998670927072</v>
      </c>
      <c r="C79" s="13">
        <f ca="1">('Input 4 - Forecast'!D60/'Input 4 - Forecast'!D$45)*MAX(C$71,0)</f>
        <v>45.479547534880687</v>
      </c>
      <c r="D79" s="13">
        <f ca="1">('Input 4 - Forecast'!E60/'Input 4 - Forecast'!E$45)*MAX(D$71,0)</f>
        <v>54.977753205768707</v>
      </c>
      <c r="E79" s="13">
        <f ca="1">('Input 4 - Forecast'!F60/'Input 4 - Forecast'!F$45)*MAX(E$71,0)</f>
        <v>49.918944771536268</v>
      </c>
      <c r="F79" s="13">
        <f ca="1">('Input 4 - Forecast'!G60/'Input 4 - Forecast'!G$45)*MAX(F$71,0)</f>
        <v>62.436617642797813</v>
      </c>
      <c r="G79" s="191">
        <f ca="1">('Input 4 - Forecast'!H60/'Input 4 - Forecast'!H$45)*MAX(G$71,0)</f>
        <v>52.424897169489711</v>
      </c>
      <c r="I79" s="211" t="str">
        <f>'Input 4 - Forecast'!J60</f>
        <v>Annual</v>
      </c>
      <c r="J79" s="211">
        <f>'Input 4 - Forecast'!K60</f>
        <v>5</v>
      </c>
      <c r="K79" s="19">
        <f>'Input 4 - Forecast'!L60</f>
        <v>5</v>
      </c>
      <c r="L79" s="212">
        <f>'Input 4 - Forecast'!M60+B$33/10000</f>
        <v>5.0000000000000001E-3</v>
      </c>
      <c r="M79" s="212">
        <f>'Input 4 - Forecast'!N60+C$33/10000</f>
        <v>4.0744886743189483E-2</v>
      </c>
      <c r="N79" s="212">
        <f>'Input 4 - Forecast'!O60+D$33/10000</f>
        <v>4.5744886743189488E-2</v>
      </c>
      <c r="O79" s="212">
        <f>'Input 4 - Forecast'!P60+E$33/10000</f>
        <v>4.5744886743189488E-2</v>
      </c>
      <c r="P79" s="212">
        <f>'Input 4 - Forecast'!Q60+F$33/10000</f>
        <v>4.5744886743189488E-2</v>
      </c>
      <c r="Q79" s="213">
        <f>'Input 4 - Forecast'!R60+G$33/10000</f>
        <v>4.5744886743189488E-2</v>
      </c>
    </row>
    <row r="80" spans="1:17">
      <c r="A80" s="215" t="s">
        <v>19</v>
      </c>
      <c r="B80" s="190">
        <f>('Input 4 - Forecast'!C61/'Input 4 - Forecast'!C$45)*MAX(B$71,0)</f>
        <v>0</v>
      </c>
      <c r="C80" s="13">
        <f ca="1">('Input 4 - Forecast'!D61/'Input 4 - Forecast'!D$45)*MAX(C$71,0)</f>
        <v>58.473703973418026</v>
      </c>
      <c r="D80" s="13">
        <f ca="1">('Input 4 - Forecast'!E61/'Input 4 - Forecast'!E$45)*MAX(D$71,0)</f>
        <v>65.973303846922448</v>
      </c>
      <c r="E80" s="13">
        <f ca="1">('Input 4 - Forecast'!F61/'Input 4 - Forecast'!F$45)*MAX(E$71,0)</f>
        <v>57.050222596041444</v>
      </c>
      <c r="F80" s="13">
        <f ca="1">('Input 4 - Forecast'!G61/'Input 4 - Forecast'!G$45)*MAX(F$71,0)</f>
        <v>70.241194848147529</v>
      </c>
      <c r="G80" s="191">
        <f ca="1">('Input 4 - Forecast'!H61/'Input 4 - Forecast'!H$45)*MAX(G$71,0)</f>
        <v>65.864901229050048</v>
      </c>
      <c r="I80" s="211" t="str">
        <f>'Input 4 - Forecast'!J61</f>
        <v>Annual</v>
      </c>
      <c r="J80" s="211">
        <f>'Input 4 - Forecast'!K61</f>
        <v>0</v>
      </c>
      <c r="K80" s="19">
        <f>'Input 4 - Forecast'!L61</f>
        <v>0</v>
      </c>
      <c r="L80" s="212">
        <f>'Input 4 - Forecast'!M61+B$33/10000</f>
        <v>0</v>
      </c>
      <c r="M80" s="212">
        <f>'Input 4 - Forecast'!N61+C$33/10000</f>
        <v>3.5744886743189486E-2</v>
      </c>
      <c r="N80" s="212">
        <f>'Input 4 - Forecast'!O61+D$33/10000</f>
        <v>3.5744886743189486E-2</v>
      </c>
      <c r="O80" s="212">
        <f>'Input 4 - Forecast'!P61+E$33/10000</f>
        <v>3.5744886743189486E-2</v>
      </c>
      <c r="P80" s="212">
        <f>'Input 4 - Forecast'!Q61+F$33/10000</f>
        <v>3.5744886743189486E-2</v>
      </c>
      <c r="Q80" s="213">
        <f>'Input 4 - Forecast'!R61+G$33/10000</f>
        <v>3.5744886743189486E-2</v>
      </c>
    </row>
    <row r="81" spans="1:17">
      <c r="A81" s="215" t="s">
        <v>20</v>
      </c>
      <c r="B81" s="190">
        <f>('Input 4 - Forecast'!C62/'Input 4 - Forecast'!C$45)*MAX(B$71,0)</f>
        <v>0</v>
      </c>
      <c r="C81" s="13">
        <f ca="1">('Input 4 - Forecast'!D62/'Input 4 - Forecast'!D$45)*MAX(C$71,0)</f>
        <v>74.716399521589693</v>
      </c>
      <c r="D81" s="13">
        <f ca="1">('Input 4 - Forecast'!E62/'Input 4 - Forecast'!E$45)*MAX(D$71,0)</f>
        <v>81.916852276595378</v>
      </c>
      <c r="E81" s="13">
        <f ca="1">('Input 4 - Forecast'!F62/'Input 4 - Forecast'!F$45)*MAX(E$71,0)</f>
        <v>68.460267115249735</v>
      </c>
      <c r="F81" s="13">
        <f ca="1">('Input 4 - Forecast'!G62/'Input 4 - Forecast'!G$45)*MAX(F$71,0)</f>
        <v>83.508976097242083</v>
      </c>
      <c r="G81" s="191">
        <f ca="1">('Input 4 - Forecast'!H62/'Input 4 - Forecast'!H$45)*MAX(G$71,0)</f>
        <v>95.224239448843605</v>
      </c>
      <c r="I81" s="211" t="str">
        <f>'Input 4 - Forecast'!J62</f>
        <v>Annual</v>
      </c>
      <c r="J81" s="211">
        <f>'Input 4 - Forecast'!K62</f>
        <v>0</v>
      </c>
      <c r="K81" s="19">
        <f>'Input 4 - Forecast'!L62</f>
        <v>0</v>
      </c>
      <c r="L81" s="212">
        <f>'Input 4 - Forecast'!M62+B$33/10000</f>
        <v>0</v>
      </c>
      <c r="M81" s="212">
        <f>'Input 4 - Forecast'!N62+C$33/10000</f>
        <v>3.5744886743189486E-2</v>
      </c>
      <c r="N81" s="212">
        <f>'Input 4 - Forecast'!O62+D$33/10000</f>
        <v>3.5744886743189486E-2</v>
      </c>
      <c r="O81" s="212">
        <f>'Input 4 - Forecast'!P62+E$33/10000</f>
        <v>3.5744886743189486E-2</v>
      </c>
      <c r="P81" s="212">
        <f>'Input 4 - Forecast'!Q62+F$33/10000</f>
        <v>3.5744886743189486E-2</v>
      </c>
      <c r="Q81" s="213">
        <f>'Input 4 - Forecast'!R62+G$33/10000</f>
        <v>3.5744886743189486E-2</v>
      </c>
    </row>
    <row r="82" spans="1:17">
      <c r="A82" s="215" t="s">
        <v>21</v>
      </c>
      <c r="B82" s="190">
        <f>('Input 4 - Forecast'!C63/'Input 4 - Forecast'!C$45)*MAX(B$71,0)</f>
        <v>0</v>
      </c>
      <c r="C82" s="13">
        <f ca="1">('Input 4 - Forecast'!D63/'Input 4 - Forecast'!D$45)*MAX(C$71,0)</f>
        <v>122.14507052225098</v>
      </c>
      <c r="D82" s="13">
        <f ca="1">('Input 4 - Forecast'!E63/'Input 4 - Forecast'!E$45)*MAX(D$71,0)</f>
        <v>125.07438854312382</v>
      </c>
      <c r="E82" s="13">
        <f ca="1">('Input 4 - Forecast'!F63/'Input 4 - Forecast'!F$45)*MAX(E$71,0)</f>
        <v>128.36300084109325</v>
      </c>
      <c r="F82" s="13">
        <f ca="1">('Input 4 - Forecast'!G63/'Input 4 - Forecast'!G$45)*MAX(F$71,0)</f>
        <v>140.48238969629506</v>
      </c>
      <c r="G82" s="191">
        <f ca="1">('Input 4 - Forecast'!H63/'Input 4 - Forecast'!H$45)*MAX(G$71,0)</f>
        <v>154.69641787718274</v>
      </c>
      <c r="I82" s="211" t="str">
        <f>'Input 4 - Forecast'!J63</f>
        <v>Annual</v>
      </c>
      <c r="J82" s="211">
        <f>'Input 4 - Forecast'!K63</f>
        <v>0</v>
      </c>
      <c r="K82" s="19">
        <f>'Input 4 - Forecast'!L63</f>
        <v>0</v>
      </c>
      <c r="L82" s="212">
        <f>'Input 4 - Forecast'!M63+B$33/10000</f>
        <v>0</v>
      </c>
      <c r="M82" s="212">
        <f>'Input 4 - Forecast'!N63+C$33/10000</f>
        <v>3.5744886743189486E-2</v>
      </c>
      <c r="N82" s="212">
        <f>'Input 4 - Forecast'!O63+D$33/10000</f>
        <v>3.5744886743189486E-2</v>
      </c>
      <c r="O82" s="212">
        <f>'Input 4 - Forecast'!P63+E$33/10000</f>
        <v>3.5744886743189486E-2</v>
      </c>
      <c r="P82" s="212">
        <f>'Input 4 - Forecast'!Q63+F$33/10000</f>
        <v>3.5744886743189486E-2</v>
      </c>
      <c r="Q82" s="213">
        <f>'Input 4 - Forecast'!R63+G$33/10000</f>
        <v>3.5744886743189486E-2</v>
      </c>
    </row>
    <row r="83" spans="1:17">
      <c r="A83" s="215" t="s">
        <v>22</v>
      </c>
      <c r="B83" s="190">
        <f>('Input 4 - Forecast'!C64/'Input 4 - Forecast'!C$45)*MAX(B$71,0)</f>
        <v>0</v>
      </c>
      <c r="C83" s="13">
        <f ca="1">('Input 4 - Forecast'!D64/'Input 4 - Forecast'!D$45)*MAX(C$71,0)</f>
        <v>0</v>
      </c>
      <c r="D83" s="13">
        <f ca="1">('Input 4 - Forecast'!E64/'Input 4 - Forecast'!E$45)*MAX(D$71,0)</f>
        <v>0</v>
      </c>
      <c r="E83" s="13">
        <f ca="1">('Input 4 - Forecast'!F64/'Input 4 - Forecast'!F$45)*MAX(E$71,0)</f>
        <v>0</v>
      </c>
      <c r="F83" s="13">
        <f ca="1">('Input 4 - Forecast'!G64/'Input 4 - Forecast'!G$45)*MAX(F$71,0)</f>
        <v>0</v>
      </c>
      <c r="G83" s="191">
        <f ca="1">('Input 4 - Forecast'!H64/'Input 4 - Forecast'!H$45)*MAX(G$71,0)</f>
        <v>0</v>
      </c>
      <c r="I83" s="211"/>
      <c r="J83" s="211">
        <f>'Input 4 - Forecast'!K64</f>
        <v>0</v>
      </c>
      <c r="K83" s="19">
        <f>'Input 4 - Forecast'!L64</f>
        <v>0</v>
      </c>
      <c r="L83" s="212">
        <f>'Input 4 - Forecast'!M64+B$33/10000</f>
        <v>0</v>
      </c>
      <c r="M83" s="212">
        <f>'Input 4 - Forecast'!N64+C$33/10000</f>
        <v>3.5744886743189486E-2</v>
      </c>
      <c r="N83" s="212">
        <f>'Input 4 - Forecast'!O64+D$33/10000</f>
        <v>3.5744886743189486E-2</v>
      </c>
      <c r="O83" s="212">
        <f>'Input 4 - Forecast'!P64+E$33/10000</f>
        <v>3.5744886743189486E-2</v>
      </c>
      <c r="P83" s="212">
        <f>'Input 4 - Forecast'!Q64+F$33/10000</f>
        <v>3.5744886743189486E-2</v>
      </c>
      <c r="Q83" s="213">
        <f>'Input 4 - Forecast'!R64+G$33/10000</f>
        <v>3.5744886743189486E-2</v>
      </c>
    </row>
    <row r="84" spans="1:17">
      <c r="A84" s="210" t="s">
        <v>1</v>
      </c>
      <c r="B84" s="190"/>
      <c r="C84" s="13"/>
      <c r="D84" s="13"/>
      <c r="E84" s="13"/>
      <c r="F84" s="13"/>
      <c r="G84" s="191"/>
      <c r="I84" s="211"/>
      <c r="J84" s="211"/>
      <c r="K84" s="19"/>
      <c r="L84" s="19"/>
      <c r="M84" s="19"/>
      <c r="N84" s="19"/>
      <c r="O84" s="19"/>
      <c r="P84" s="19"/>
      <c r="Q84" s="214"/>
    </row>
    <row r="85" spans="1:17">
      <c r="A85" s="215" t="s">
        <v>23</v>
      </c>
      <c r="B85" s="190">
        <f>('Input 4 - Forecast'!C66/'Input 4 - Forecast'!C$45)*MAX(B$71,0)</f>
        <v>0</v>
      </c>
      <c r="C85" s="13">
        <f ca="1">('Input 4 - Forecast'!D66/'Input 4 - Forecast'!D$45)*MAX(C$71,0)</f>
        <v>0</v>
      </c>
      <c r="D85" s="13">
        <f ca="1">('Input 4 - Forecast'!E66/'Input 4 - Forecast'!E$45)*MAX(D$71,0)</f>
        <v>0</v>
      </c>
      <c r="E85" s="13">
        <f ca="1">('Input 4 - Forecast'!F66/'Input 4 - Forecast'!F$45)*MAX(E$71,0)</f>
        <v>0</v>
      </c>
      <c r="F85" s="13">
        <f ca="1">('Input 4 - Forecast'!G66/'Input 4 - Forecast'!G$45)*MAX(F$71,0)</f>
        <v>0</v>
      </c>
      <c r="G85" s="191">
        <f ca="1">('Input 4 - Forecast'!H66/'Input 4 - Forecast'!H$45)*MAX(G$71,0)</f>
        <v>0</v>
      </c>
      <c r="I85" s="211" t="str">
        <f>'Input 4 - Forecast'!J66</f>
        <v>Annual</v>
      </c>
      <c r="J85" s="211">
        <f>'Input 4 - Forecast'!K66</f>
        <v>0</v>
      </c>
      <c r="K85" s="19">
        <f>'Input 4 - Forecast'!L66</f>
        <v>0</v>
      </c>
      <c r="L85" s="212">
        <f>'Input 4 - Forecast'!M66+B$33/10000</f>
        <v>0</v>
      </c>
      <c r="M85" s="212">
        <f>'Input 4 - Forecast'!N66+C$33/10000</f>
        <v>3.5744886743189486E-2</v>
      </c>
      <c r="N85" s="212">
        <f>'Input 4 - Forecast'!O66+D$33/10000</f>
        <v>3.5744886743189486E-2</v>
      </c>
      <c r="O85" s="212">
        <f>'Input 4 - Forecast'!P66+E$33/10000</f>
        <v>3.5744886743189486E-2</v>
      </c>
      <c r="P85" s="212">
        <f>'Input 4 - Forecast'!Q66+F$33/10000</f>
        <v>3.5744886743189486E-2</v>
      </c>
      <c r="Q85" s="213">
        <f>'Input 4 - Forecast'!R66+G$33/10000</f>
        <v>3.5744886743189486E-2</v>
      </c>
    </row>
    <row r="86" spans="1:17">
      <c r="A86" s="215" t="s">
        <v>24</v>
      </c>
      <c r="B86" s="190">
        <f>('Input 4 - Forecast'!C67/'Input 4 - Forecast'!C$45)*MAX(B$71,0)</f>
        <v>0</v>
      </c>
      <c r="C86" s="13">
        <f ca="1">('Input 4 - Forecast'!D67/'Input 4 - Forecast'!D$45)*MAX(C$71,0)</f>
        <v>0</v>
      </c>
      <c r="D86" s="13">
        <f ca="1">('Input 4 - Forecast'!E67/'Input 4 - Forecast'!E$45)*MAX(D$71,0)</f>
        <v>0</v>
      </c>
      <c r="E86" s="13">
        <f ca="1">('Input 4 - Forecast'!F67/'Input 4 - Forecast'!F$45)*MAX(E$71,0)</f>
        <v>0</v>
      </c>
      <c r="F86" s="13">
        <f ca="1">('Input 4 - Forecast'!G67/'Input 4 - Forecast'!G$45)*MAX(F$71,0)</f>
        <v>0</v>
      </c>
      <c r="G86" s="191">
        <f ca="1">('Input 4 - Forecast'!H67/'Input 4 - Forecast'!H$45)*MAX(G$71,0)</f>
        <v>0</v>
      </c>
      <c r="I86" s="211" t="str">
        <f>'Input 4 - Forecast'!J67</f>
        <v>Annual</v>
      </c>
      <c r="J86" s="211">
        <f>'Input 4 - Forecast'!K67</f>
        <v>0</v>
      </c>
      <c r="K86" s="19">
        <f>'Input 4 - Forecast'!L67</f>
        <v>0</v>
      </c>
      <c r="L86" s="212">
        <f>'Input 4 - Forecast'!M67+B$33/10000</f>
        <v>0</v>
      </c>
      <c r="M86" s="212">
        <f>'Input 4 - Forecast'!N67+C$33/10000</f>
        <v>3.5744886743189486E-2</v>
      </c>
      <c r="N86" s="212">
        <f>'Input 4 - Forecast'!O67+D$33/10000</f>
        <v>3.5744886743189486E-2</v>
      </c>
      <c r="O86" s="212">
        <f>'Input 4 - Forecast'!P67+E$33/10000</f>
        <v>3.5744886743189486E-2</v>
      </c>
      <c r="P86" s="212">
        <f>'Input 4 - Forecast'!Q67+F$33/10000</f>
        <v>3.5744886743189486E-2</v>
      </c>
      <c r="Q86" s="213">
        <f>'Input 4 - Forecast'!R67+G$33/10000</f>
        <v>3.5744886743189486E-2</v>
      </c>
    </row>
    <row r="87" spans="1:17">
      <c r="A87" s="215" t="s">
        <v>25</v>
      </c>
      <c r="B87" s="190">
        <f>('Input 4 - Forecast'!C68/'Input 4 - Forecast'!C$45)*MAX(B$71,0)</f>
        <v>0</v>
      </c>
      <c r="C87" s="13">
        <f ca="1">('Input 4 - Forecast'!D68/'Input 4 - Forecast'!D$45)*MAX(C$71,0)</f>
        <v>0</v>
      </c>
      <c r="D87" s="13">
        <f ca="1">('Input 4 - Forecast'!E68/'Input 4 - Forecast'!E$45)*MAX(D$71,0)</f>
        <v>0</v>
      </c>
      <c r="E87" s="13">
        <f ca="1">('Input 4 - Forecast'!F68/'Input 4 - Forecast'!F$45)*MAX(E$71,0)</f>
        <v>0</v>
      </c>
      <c r="F87" s="13">
        <f ca="1">('Input 4 - Forecast'!G68/'Input 4 - Forecast'!G$45)*MAX(F$71,0)</f>
        <v>0</v>
      </c>
      <c r="G87" s="191">
        <f ca="1">('Input 4 - Forecast'!H68/'Input 4 - Forecast'!H$45)*MAX(G$71,0)</f>
        <v>0</v>
      </c>
      <c r="I87" s="211" t="str">
        <f>'Input 4 - Forecast'!J68</f>
        <v>Annual</v>
      </c>
      <c r="J87" s="211">
        <f>'Input 4 - Forecast'!K68</f>
        <v>0</v>
      </c>
      <c r="K87" s="19">
        <f>'Input 4 - Forecast'!L68</f>
        <v>0</v>
      </c>
      <c r="L87" s="212">
        <f>'Input 4 - Forecast'!M68+B$33/10000</f>
        <v>0</v>
      </c>
      <c r="M87" s="212">
        <f>'Input 4 - Forecast'!N68+C$33/10000</f>
        <v>3.5744886743189486E-2</v>
      </c>
      <c r="N87" s="212">
        <f>'Input 4 - Forecast'!O68+D$33/10000</f>
        <v>3.5744886743189486E-2</v>
      </c>
      <c r="O87" s="212">
        <f>'Input 4 - Forecast'!P68+E$33/10000</f>
        <v>3.5744886743189486E-2</v>
      </c>
      <c r="P87" s="212">
        <f>'Input 4 - Forecast'!Q68+F$33/10000</f>
        <v>3.5744886743189486E-2</v>
      </c>
      <c r="Q87" s="213">
        <f>'Input 4 - Forecast'!R68+G$33/10000</f>
        <v>3.5744886743189486E-2</v>
      </c>
    </row>
    <row r="88" spans="1:17">
      <c r="A88" s="215" t="s">
        <v>26</v>
      </c>
      <c r="B88" s="190">
        <f>('Input 4 - Forecast'!C69/'Input 4 - Forecast'!C$45)*MAX(B$71,0)</f>
        <v>0</v>
      </c>
      <c r="C88" s="13">
        <f ca="1">('Input 4 - Forecast'!D69/'Input 4 - Forecast'!D$45)*MAX(C$71,0)</f>
        <v>0</v>
      </c>
      <c r="D88" s="13">
        <f ca="1">('Input 4 - Forecast'!E69/'Input 4 - Forecast'!E$45)*MAX(D$71,0)</f>
        <v>0</v>
      </c>
      <c r="E88" s="13">
        <f ca="1">('Input 4 - Forecast'!F69/'Input 4 - Forecast'!F$45)*MAX(E$71,0)</f>
        <v>0</v>
      </c>
      <c r="F88" s="13">
        <f ca="1">('Input 4 - Forecast'!G69/'Input 4 - Forecast'!G$45)*MAX(F$71,0)</f>
        <v>0</v>
      </c>
      <c r="G88" s="191">
        <f ca="1">('Input 4 - Forecast'!H69/'Input 4 - Forecast'!H$45)*MAX(G$71,0)</f>
        <v>0</v>
      </c>
      <c r="I88" s="211" t="str">
        <f>'Input 4 - Forecast'!J69</f>
        <v>Annual</v>
      </c>
      <c r="J88" s="211">
        <f>'Input 4 - Forecast'!K69</f>
        <v>0</v>
      </c>
      <c r="K88" s="19">
        <f>'Input 4 - Forecast'!L69</f>
        <v>0</v>
      </c>
      <c r="L88" s="212">
        <f>'Input 4 - Forecast'!M69+B$33/10000</f>
        <v>0</v>
      </c>
      <c r="M88" s="212">
        <f>'Input 4 - Forecast'!N69+C$33/10000</f>
        <v>3.5744886743189486E-2</v>
      </c>
      <c r="N88" s="212">
        <f>'Input 4 - Forecast'!O69+D$33/10000</f>
        <v>3.5744886743189486E-2</v>
      </c>
      <c r="O88" s="212">
        <f>'Input 4 - Forecast'!P69+E$33/10000</f>
        <v>3.5744886743189486E-2</v>
      </c>
      <c r="P88" s="212">
        <f>'Input 4 - Forecast'!Q69+F$33/10000</f>
        <v>3.5744886743189486E-2</v>
      </c>
      <c r="Q88" s="213">
        <f>'Input 4 - Forecast'!R69+G$33/10000</f>
        <v>3.5744886743189486E-2</v>
      </c>
    </row>
    <row r="89" spans="1:17">
      <c r="A89" s="215" t="s">
        <v>27</v>
      </c>
      <c r="B89" s="190">
        <f>('Input 4 - Forecast'!C70/'Input 4 - Forecast'!C$45)*MAX(B$71,0)</f>
        <v>0</v>
      </c>
      <c r="C89" s="13">
        <f ca="1">('Input 4 - Forecast'!D70/'Input 4 - Forecast'!D$45)*MAX(C$71,0)</f>
        <v>0</v>
      </c>
      <c r="D89" s="13">
        <f ca="1">('Input 4 - Forecast'!E70/'Input 4 - Forecast'!E$45)*MAX(D$71,0)</f>
        <v>0</v>
      </c>
      <c r="E89" s="13">
        <f ca="1">('Input 4 - Forecast'!F70/'Input 4 - Forecast'!F$45)*MAX(E$71,0)</f>
        <v>0</v>
      </c>
      <c r="F89" s="13">
        <f ca="1">('Input 4 - Forecast'!G70/'Input 4 - Forecast'!G$45)*MAX(F$71,0)</f>
        <v>0</v>
      </c>
      <c r="G89" s="191">
        <f ca="1">('Input 4 - Forecast'!H70/'Input 4 - Forecast'!H$45)*MAX(G$71,0)</f>
        <v>0</v>
      </c>
      <c r="I89" s="211"/>
      <c r="J89" s="211">
        <f>'Input 4 - Forecast'!K70</f>
        <v>0</v>
      </c>
      <c r="K89" s="19">
        <f>'Input 4 - Forecast'!L70</f>
        <v>0</v>
      </c>
      <c r="L89" s="212">
        <f>'Input 4 - Forecast'!M70+B$33/10000</f>
        <v>0</v>
      </c>
      <c r="M89" s="212">
        <f>'Input 4 - Forecast'!N70+C$33/10000</f>
        <v>3.5744886743189486E-2</v>
      </c>
      <c r="N89" s="212">
        <f>'Input 4 - Forecast'!O70+D$33/10000</f>
        <v>3.5744886743189486E-2</v>
      </c>
      <c r="O89" s="212">
        <f>'Input 4 - Forecast'!P70+E$33/10000</f>
        <v>3.5744886743189486E-2</v>
      </c>
      <c r="P89" s="212">
        <f>'Input 4 - Forecast'!Q70+F$33/10000</f>
        <v>3.5744886743189486E-2</v>
      </c>
      <c r="Q89" s="213">
        <f>'Input 4 - Forecast'!R70+G$33/10000</f>
        <v>3.5744886743189486E-2</v>
      </c>
    </row>
    <row r="90" spans="1:17">
      <c r="A90" s="3" t="s">
        <v>1178</v>
      </c>
      <c r="B90" s="190"/>
      <c r="C90" s="13"/>
      <c r="D90" s="13"/>
      <c r="E90" s="13"/>
      <c r="F90" s="13"/>
      <c r="G90" s="191"/>
      <c r="I90" s="211"/>
      <c r="J90" s="211"/>
      <c r="K90" s="19"/>
      <c r="L90" s="19"/>
      <c r="M90" s="19"/>
      <c r="N90" s="19"/>
      <c r="O90" s="19"/>
      <c r="P90" s="19"/>
      <c r="Q90" s="214"/>
    </row>
    <row r="91" spans="1:17">
      <c r="A91" s="206" t="s">
        <v>13</v>
      </c>
      <c r="B91" s="190"/>
      <c r="C91" s="13"/>
      <c r="D91" s="13"/>
      <c r="E91" s="13"/>
      <c r="F91" s="13"/>
      <c r="G91" s="191"/>
      <c r="I91" s="211"/>
      <c r="J91" s="211"/>
      <c r="K91" s="19"/>
      <c r="L91" s="19"/>
      <c r="M91" s="19"/>
      <c r="N91" s="19"/>
      <c r="O91" s="19"/>
      <c r="P91" s="19"/>
      <c r="Q91" s="214"/>
    </row>
    <row r="92" spans="1:17" ht="30">
      <c r="A92" s="210" t="s">
        <v>0</v>
      </c>
      <c r="B92" s="190">
        <f>('Input 4 - Forecast'!C73/'Input 4 - Forecast'!C$45)*MAX(B$71,0)</f>
        <v>0</v>
      </c>
      <c r="C92" s="13">
        <f ca="1">('Input 4 - Forecast'!D73/'Input 4 - Forecast'!D$45)*MAX(C$71,0)</f>
        <v>0</v>
      </c>
      <c r="D92" s="13">
        <f ca="1">('Input 4 - Forecast'!E73/'Input 4 - Forecast'!E$45)*MAX(D$71,0)</f>
        <v>0</v>
      </c>
      <c r="E92" s="13">
        <f ca="1">('Input 4 - Forecast'!F73/'Input 4 - Forecast'!F$45)*MAX(E$71,0)</f>
        <v>0</v>
      </c>
      <c r="F92" s="13">
        <f ca="1">('Input 4 - Forecast'!G73/'Input 4 - Forecast'!G$45)*MAX(F$71,0)</f>
        <v>0</v>
      </c>
      <c r="G92" s="191">
        <f ca="1">('Input 4 - Forecast'!H73/'Input 4 - Forecast'!H$45)*MAX(G$71,0)</f>
        <v>0</v>
      </c>
      <c r="I92" s="211" t="str">
        <f>'Input 4 - Forecast'!J73</f>
        <v>Semi-annual</v>
      </c>
      <c r="J92" s="211">
        <f>'Input 4 - Forecast'!K73</f>
        <v>0</v>
      </c>
      <c r="K92" s="19">
        <f>'Input 4 - Forecast'!L73</f>
        <v>0</v>
      </c>
      <c r="L92" s="212">
        <f>'Input 4 - Forecast'!M73+B$33/10000</f>
        <v>0</v>
      </c>
      <c r="M92" s="212">
        <f>'Input 4 - Forecast'!N73+C$33/10000</f>
        <v>3.5744886743189486E-2</v>
      </c>
      <c r="N92" s="212">
        <f>'Input 4 - Forecast'!O73+D$33/10000</f>
        <v>3.5744886743189486E-2</v>
      </c>
      <c r="O92" s="212">
        <f>'Input 4 - Forecast'!P73+E$33/10000</f>
        <v>3.5744886743189486E-2</v>
      </c>
      <c r="P92" s="212">
        <f>'Input 4 - Forecast'!Q73+F$33/10000</f>
        <v>3.5744886743189486E-2</v>
      </c>
      <c r="Q92" s="213">
        <f>'Input 4 - Forecast'!R73+G$33/10000</f>
        <v>3.5744886743189486E-2</v>
      </c>
    </row>
    <row r="93" spans="1:17" ht="30">
      <c r="A93" s="210" t="s">
        <v>1</v>
      </c>
      <c r="B93" s="190">
        <f>('Input 4 - Forecast'!C74/'Input 4 - Forecast'!C$45)*MAX(B$71,0)</f>
        <v>0</v>
      </c>
      <c r="C93" s="13">
        <f ca="1">('Input 4 - Forecast'!D74/'Input 4 - Forecast'!D$45)*MAX(C$71,0)</f>
        <v>0</v>
      </c>
      <c r="D93" s="13">
        <f ca="1">('Input 4 - Forecast'!E74/'Input 4 - Forecast'!E$45)*MAX(D$71,0)</f>
        <v>0</v>
      </c>
      <c r="E93" s="13">
        <f ca="1">('Input 4 - Forecast'!F74/'Input 4 - Forecast'!F$45)*MAX(E$71,0)</f>
        <v>0</v>
      </c>
      <c r="F93" s="13">
        <f ca="1">('Input 4 - Forecast'!G74/'Input 4 - Forecast'!G$45)*MAX(F$71,0)</f>
        <v>0</v>
      </c>
      <c r="G93" s="191">
        <f ca="1">('Input 4 - Forecast'!H74/'Input 4 - Forecast'!H$45)*MAX(G$71,0)</f>
        <v>0</v>
      </c>
      <c r="I93" s="211" t="str">
        <f>'Input 4 - Forecast'!J74</f>
        <v>Semi-annual</v>
      </c>
      <c r="J93" s="211">
        <f>'Input 4 - Forecast'!K74</f>
        <v>0</v>
      </c>
      <c r="K93" s="19">
        <f>'Input 4 - Forecast'!L74</f>
        <v>0</v>
      </c>
      <c r="L93" s="212">
        <f>'Input 4 - Forecast'!M74+B$33/10000</f>
        <v>0</v>
      </c>
      <c r="M93" s="212">
        <f>'Input 4 - Forecast'!N74+C$33/10000</f>
        <v>3.5744886743189486E-2</v>
      </c>
      <c r="N93" s="212">
        <f>'Input 4 - Forecast'!O74+D$33/10000</f>
        <v>3.5744886743189486E-2</v>
      </c>
      <c r="O93" s="212">
        <f>'Input 4 - Forecast'!P74+E$33/10000</f>
        <v>3.5744886743189486E-2</v>
      </c>
      <c r="P93" s="212">
        <f>'Input 4 - Forecast'!Q74+F$33/10000</f>
        <v>3.5744886743189486E-2</v>
      </c>
      <c r="Q93" s="213">
        <f>'Input 4 - Forecast'!R74+G$33/10000</f>
        <v>3.5744886743189486E-2</v>
      </c>
    </row>
    <row r="94" spans="1:17">
      <c r="A94" s="206" t="s">
        <v>14</v>
      </c>
      <c r="B94" s="190"/>
      <c r="C94" s="13"/>
      <c r="D94" s="13"/>
      <c r="E94" s="13"/>
      <c r="F94" s="13"/>
      <c r="G94" s="191"/>
      <c r="I94" s="211"/>
      <c r="J94" s="211"/>
      <c r="K94" s="19"/>
      <c r="L94" s="19"/>
      <c r="M94" s="19"/>
      <c r="N94" s="19"/>
      <c r="O94" s="19"/>
      <c r="P94" s="19"/>
      <c r="Q94" s="214"/>
    </row>
    <row r="95" spans="1:17">
      <c r="A95" s="210" t="s">
        <v>0</v>
      </c>
      <c r="B95" s="190"/>
      <c r="C95" s="13"/>
      <c r="D95" s="13"/>
      <c r="E95" s="13"/>
      <c r="F95" s="13"/>
      <c r="G95" s="191"/>
      <c r="I95" s="211"/>
      <c r="J95" s="211"/>
      <c r="K95" s="19"/>
      <c r="L95" s="19"/>
      <c r="M95" s="19"/>
      <c r="N95" s="19"/>
      <c r="O95" s="19"/>
      <c r="P95" s="19"/>
      <c r="Q95" s="214"/>
    </row>
    <row r="96" spans="1:17">
      <c r="A96" s="215" t="s">
        <v>28</v>
      </c>
      <c r="B96" s="190">
        <f>('Input 4 - Forecast'!C77/'Input 4 - Forecast'!C$45)*MAX(B$71,0)</f>
        <v>499.99798625313935</v>
      </c>
      <c r="C96" s="13">
        <f ca="1">('Input 4 - Forecast'!D77/'Input 4 - Forecast'!D$45)*MAX(C$71,0)</f>
        <v>0</v>
      </c>
      <c r="D96" s="13">
        <f ca="1">('Input 4 - Forecast'!E77/'Input 4 - Forecast'!E$45)*MAX(D$71,0)</f>
        <v>0</v>
      </c>
      <c r="E96" s="13">
        <f ca="1">('Input 4 - Forecast'!F77/'Input 4 - Forecast'!F$45)*MAX(E$71,0)</f>
        <v>0</v>
      </c>
      <c r="F96" s="13">
        <f ca="1">('Input 4 - Forecast'!G77/'Input 4 - Forecast'!G$45)*MAX(F$71,0)</f>
        <v>0</v>
      </c>
      <c r="G96" s="191">
        <f ca="1">('Input 4 - Forecast'!H77/'Input 4 - Forecast'!H$45)*MAX(G$71,0)</f>
        <v>0</v>
      </c>
      <c r="I96" s="211" t="str">
        <f>'Input 4 - Forecast'!J77</f>
        <v>Annual</v>
      </c>
      <c r="J96" s="211">
        <f>'Input 4 - Forecast'!K77</f>
        <v>10</v>
      </c>
      <c r="K96" s="19">
        <f>'Input 4 - Forecast'!L77</f>
        <v>10</v>
      </c>
      <c r="L96" s="212">
        <f>'Input 4 - Forecast'!M77+B$33/10000</f>
        <v>1.125E-2</v>
      </c>
      <c r="M96" s="212">
        <f>'Input 4 - Forecast'!N77+C$33/10000</f>
        <v>5.4494886743189488E-2</v>
      </c>
      <c r="N96" s="212">
        <f>'Input 4 - Forecast'!O77+D$33/10000</f>
        <v>5.7744886743189484E-2</v>
      </c>
      <c r="O96" s="212">
        <f>'Input 4 - Forecast'!P77+E$33/10000</f>
        <v>5.7744886743189484E-2</v>
      </c>
      <c r="P96" s="212">
        <f>'Input 4 - Forecast'!Q77+F$33/10000</f>
        <v>5.7744886743189484E-2</v>
      </c>
      <c r="Q96" s="213">
        <f>'Input 4 - Forecast'!R77+G$33/10000</f>
        <v>5.7744886743189484E-2</v>
      </c>
    </row>
    <row r="97" spans="1:27">
      <c r="A97" s="215" t="s">
        <v>29</v>
      </c>
      <c r="B97" s="190">
        <f>('Input 4 - Forecast'!C78/'Input 4 - Forecast'!C$45)*MAX(B$71,0)</f>
        <v>499.99798625313935</v>
      </c>
      <c r="C97" s="13">
        <f ca="1">('Input 4 - Forecast'!D78/'Input 4 - Forecast'!D$45)*MAX(C$71,0)</f>
        <v>0</v>
      </c>
      <c r="D97" s="13">
        <f ca="1">('Input 4 - Forecast'!E78/'Input 4 - Forecast'!E$45)*MAX(D$71,0)</f>
        <v>0</v>
      </c>
      <c r="E97" s="13">
        <f ca="1">('Input 4 - Forecast'!F78/'Input 4 - Forecast'!F$45)*MAX(E$71,0)</f>
        <v>0</v>
      </c>
      <c r="F97" s="13">
        <f ca="1">('Input 4 - Forecast'!G78/'Input 4 - Forecast'!G$45)*MAX(F$71,0)</f>
        <v>0</v>
      </c>
      <c r="G97" s="191">
        <f ca="1">('Input 4 - Forecast'!H78/'Input 4 - Forecast'!H$45)*MAX(G$71,0)</f>
        <v>0</v>
      </c>
      <c r="I97" s="211" t="str">
        <f>'Input 4 - Forecast'!J78</f>
        <v>Annual</v>
      </c>
      <c r="J97" s="211">
        <f>'Input 4 - Forecast'!K78</f>
        <v>30</v>
      </c>
      <c r="K97" s="19">
        <f>'Input 4 - Forecast'!L78</f>
        <v>30</v>
      </c>
      <c r="L97" s="212">
        <f>'Input 4 - Forecast'!M78+B$33/10000</f>
        <v>2.2499999999999999E-2</v>
      </c>
      <c r="M97" s="212">
        <f>'Input 4 - Forecast'!N78+C$33/10000</f>
        <v>3.5744886743189486E-2</v>
      </c>
      <c r="N97" s="212">
        <f>'Input 4 - Forecast'!O78+D$33/10000</f>
        <v>3.5744886743189486E-2</v>
      </c>
      <c r="O97" s="212">
        <f>'Input 4 - Forecast'!P78+E$33/10000</f>
        <v>3.5744886743189486E-2</v>
      </c>
      <c r="P97" s="212">
        <f>'Input 4 - Forecast'!Q78+F$33/10000</f>
        <v>3.5744886743189486E-2</v>
      </c>
      <c r="Q97" s="213">
        <f>'Input 4 - Forecast'!R78+G$33/10000</f>
        <v>3.5744886743189486E-2</v>
      </c>
    </row>
    <row r="98" spans="1:27">
      <c r="A98" s="215" t="s">
        <v>30</v>
      </c>
      <c r="B98" s="190">
        <f>('Input 4 - Forecast'!C79/'Input 4 - Forecast'!C$45)*MAX(B$71,0)</f>
        <v>0</v>
      </c>
      <c r="C98" s="13">
        <f ca="1">('Input 4 - Forecast'!D79/'Input 4 - Forecast'!D$45)*MAX(C$71,0)</f>
        <v>0</v>
      </c>
      <c r="D98" s="13">
        <f ca="1">('Input 4 - Forecast'!E79/'Input 4 - Forecast'!E$45)*MAX(D$71,0)</f>
        <v>0</v>
      </c>
      <c r="E98" s="13">
        <f ca="1">('Input 4 - Forecast'!F79/'Input 4 - Forecast'!F$45)*MAX(E$71,0)</f>
        <v>0</v>
      </c>
      <c r="F98" s="13">
        <f ca="1">('Input 4 - Forecast'!G79/'Input 4 - Forecast'!G$45)*MAX(F$71,0)</f>
        <v>0</v>
      </c>
      <c r="G98" s="191">
        <f ca="1">('Input 4 - Forecast'!H79/'Input 4 - Forecast'!H$45)*MAX(G$71,0)</f>
        <v>0</v>
      </c>
      <c r="I98" s="211" t="str">
        <f>'Input 4 - Forecast'!J79</f>
        <v>Annual</v>
      </c>
      <c r="J98" s="211">
        <f>'Input 4 - Forecast'!K79</f>
        <v>0</v>
      </c>
      <c r="K98" s="19">
        <f>'Input 4 - Forecast'!L79</f>
        <v>0</v>
      </c>
      <c r="L98" s="212">
        <f>'Input 4 - Forecast'!M79+B$33/10000</f>
        <v>0</v>
      </c>
      <c r="M98" s="212">
        <f>'Input 4 - Forecast'!N79+C$33/10000</f>
        <v>3.5744886743189486E-2</v>
      </c>
      <c r="N98" s="212">
        <f>'Input 4 - Forecast'!O79+D$33/10000</f>
        <v>3.5744886743189486E-2</v>
      </c>
      <c r="O98" s="212">
        <f>'Input 4 - Forecast'!P79+E$33/10000</f>
        <v>3.5744886743189486E-2</v>
      </c>
      <c r="P98" s="212">
        <f>'Input 4 - Forecast'!Q79+F$33/10000</f>
        <v>3.5744886743189486E-2</v>
      </c>
      <c r="Q98" s="213">
        <f>'Input 4 - Forecast'!R79+G$33/10000</f>
        <v>3.5744886743189486E-2</v>
      </c>
    </row>
    <row r="99" spans="1:27">
      <c r="A99" s="215" t="s">
        <v>31</v>
      </c>
      <c r="B99" s="190">
        <f>('Input 4 - Forecast'!C80/'Input 4 - Forecast'!C$45)*MAX(B$71,0)</f>
        <v>0</v>
      </c>
      <c r="C99" s="13">
        <f ca="1">('Input 4 - Forecast'!D80/'Input 4 - Forecast'!D$45)*MAX(C$71,0)</f>
        <v>0</v>
      </c>
      <c r="D99" s="13">
        <f ca="1">('Input 4 - Forecast'!E80/'Input 4 - Forecast'!E$45)*MAX(D$71,0)</f>
        <v>0</v>
      </c>
      <c r="E99" s="13">
        <f ca="1">('Input 4 - Forecast'!F80/'Input 4 - Forecast'!F$45)*MAX(E$71,0)</f>
        <v>0</v>
      </c>
      <c r="F99" s="13">
        <f ca="1">('Input 4 - Forecast'!G80/'Input 4 - Forecast'!G$45)*MAX(F$71,0)</f>
        <v>0</v>
      </c>
      <c r="G99" s="191">
        <f ca="1">('Input 4 - Forecast'!H80/'Input 4 - Forecast'!H$45)*MAX(G$71,0)</f>
        <v>0</v>
      </c>
      <c r="I99" s="211" t="str">
        <f>'Input 4 - Forecast'!J80</f>
        <v>Annual</v>
      </c>
      <c r="J99" s="211">
        <f>'Input 4 - Forecast'!K80</f>
        <v>0</v>
      </c>
      <c r="K99" s="19">
        <f>'Input 4 - Forecast'!L80</f>
        <v>0</v>
      </c>
      <c r="L99" s="212">
        <f>'Input 4 - Forecast'!M80+B$33/10000</f>
        <v>0</v>
      </c>
      <c r="M99" s="212">
        <f>'Input 4 - Forecast'!N80+C$33/10000</f>
        <v>3.5744886743189486E-2</v>
      </c>
      <c r="N99" s="212">
        <f>'Input 4 - Forecast'!O80+D$33/10000</f>
        <v>3.5744886743189486E-2</v>
      </c>
      <c r="O99" s="212">
        <f>'Input 4 - Forecast'!P80+E$33/10000</f>
        <v>3.5744886743189486E-2</v>
      </c>
      <c r="P99" s="212">
        <f>'Input 4 - Forecast'!Q80+F$33/10000</f>
        <v>3.5744886743189486E-2</v>
      </c>
      <c r="Q99" s="213">
        <f>'Input 4 - Forecast'!R80+G$33/10000</f>
        <v>3.5744886743189486E-2</v>
      </c>
    </row>
    <row r="100" spans="1:27">
      <c r="A100" s="215" t="s">
        <v>32</v>
      </c>
      <c r="B100" s="190">
        <f>('Input 4 - Forecast'!C81/'Input 4 - Forecast'!C$45)*MAX(B$71,0)</f>
        <v>0</v>
      </c>
      <c r="C100" s="13">
        <f ca="1">('Input 4 - Forecast'!D81/'Input 4 - Forecast'!D$45)*MAX(C$71,0)</f>
        <v>0</v>
      </c>
      <c r="D100" s="13">
        <f ca="1">('Input 4 - Forecast'!E81/'Input 4 - Forecast'!E$45)*MAX(D$71,0)</f>
        <v>0</v>
      </c>
      <c r="E100" s="13">
        <f ca="1">('Input 4 - Forecast'!F81/'Input 4 - Forecast'!F$45)*MAX(E$71,0)</f>
        <v>0</v>
      </c>
      <c r="F100" s="13">
        <f ca="1">('Input 4 - Forecast'!G81/'Input 4 - Forecast'!G$45)*MAX(F$71,0)</f>
        <v>0</v>
      </c>
      <c r="G100" s="191">
        <f ca="1">('Input 4 - Forecast'!H81/'Input 4 - Forecast'!H$45)*MAX(G$71,0)</f>
        <v>0</v>
      </c>
      <c r="I100" s="211"/>
      <c r="J100" s="211">
        <f>'Input 4 - Forecast'!K81</f>
        <v>0</v>
      </c>
      <c r="K100" s="19">
        <f>'Input 4 - Forecast'!L81</f>
        <v>0</v>
      </c>
      <c r="L100" s="212">
        <f>'Input 4 - Forecast'!M81+B$33/10000</f>
        <v>0</v>
      </c>
      <c r="M100" s="212">
        <f>'Input 4 - Forecast'!N81+C$33/10000</f>
        <v>3.5744886743189486E-2</v>
      </c>
      <c r="N100" s="212">
        <f>'Input 4 - Forecast'!O81+D$33/10000</f>
        <v>3.5744886743189486E-2</v>
      </c>
      <c r="O100" s="212">
        <f>'Input 4 - Forecast'!P81+E$33/10000</f>
        <v>3.5744886743189486E-2</v>
      </c>
      <c r="P100" s="212">
        <f>'Input 4 - Forecast'!Q81+F$33/10000</f>
        <v>3.5744886743189486E-2</v>
      </c>
      <c r="Q100" s="213">
        <f>'Input 4 - Forecast'!R81+G$33/10000</f>
        <v>3.5744886743189486E-2</v>
      </c>
    </row>
    <row r="101" spans="1:27">
      <c r="A101" s="210" t="s">
        <v>1</v>
      </c>
      <c r="B101" s="190"/>
      <c r="C101" s="13"/>
      <c r="D101" s="13"/>
      <c r="E101" s="13"/>
      <c r="F101" s="13"/>
      <c r="G101" s="191"/>
      <c r="I101" s="211"/>
      <c r="J101" s="211"/>
      <c r="K101" s="19"/>
      <c r="L101" s="19"/>
      <c r="M101" s="19"/>
      <c r="N101" s="19"/>
      <c r="O101" s="19"/>
      <c r="P101" s="19"/>
      <c r="Q101" s="214"/>
    </row>
    <row r="102" spans="1:27">
      <c r="A102" s="215" t="s">
        <v>33</v>
      </c>
      <c r="B102" s="190">
        <f>('Input 4 - Forecast'!C83/'Input 4 - Forecast'!C$45)*MAX(B$71,0)</f>
        <v>0</v>
      </c>
      <c r="C102" s="13">
        <f ca="1">('Input 4 - Forecast'!D83/'Input 4 - Forecast'!D$45)*MAX(C$71,0)</f>
        <v>0</v>
      </c>
      <c r="D102" s="13">
        <f ca="1">('Input 4 - Forecast'!E83/'Input 4 - Forecast'!E$45)*MAX(D$71,0)</f>
        <v>0</v>
      </c>
      <c r="E102" s="13">
        <f ca="1">('Input 4 - Forecast'!F83/'Input 4 - Forecast'!F$45)*MAX(E$71,0)</f>
        <v>0</v>
      </c>
      <c r="F102" s="13">
        <f ca="1">('Input 4 - Forecast'!G83/'Input 4 - Forecast'!G$45)*MAX(F$71,0)</f>
        <v>0</v>
      </c>
      <c r="G102" s="191">
        <f ca="1">('Input 4 - Forecast'!H83/'Input 4 - Forecast'!H$45)*MAX(G$71,0)</f>
        <v>0</v>
      </c>
      <c r="I102" s="211" t="str">
        <f>'Input 4 - Forecast'!J83</f>
        <v>Annual</v>
      </c>
      <c r="J102" s="211">
        <f>'Input 4 - Forecast'!K83</f>
        <v>0</v>
      </c>
      <c r="K102" s="19">
        <f>'Input 4 - Forecast'!L83</f>
        <v>0</v>
      </c>
      <c r="L102" s="212">
        <f>'Input 4 - Forecast'!M83+B$33/10000</f>
        <v>0</v>
      </c>
      <c r="M102" s="212">
        <f>'Input 4 - Forecast'!N83+C$33/10000</f>
        <v>3.5744886743189486E-2</v>
      </c>
      <c r="N102" s="212">
        <f>'Input 4 - Forecast'!O83+D$33/10000</f>
        <v>3.5744886743189486E-2</v>
      </c>
      <c r="O102" s="212">
        <f>'Input 4 - Forecast'!P83+E$33/10000</f>
        <v>3.5744886743189486E-2</v>
      </c>
      <c r="P102" s="212">
        <f>'Input 4 - Forecast'!Q83+F$33/10000</f>
        <v>3.5744886743189486E-2</v>
      </c>
      <c r="Q102" s="213">
        <f>'Input 4 - Forecast'!R83+G$33/10000</f>
        <v>3.5744886743189486E-2</v>
      </c>
    </row>
    <row r="103" spans="1:27">
      <c r="A103" s="215" t="s">
        <v>34</v>
      </c>
      <c r="B103" s="190">
        <f>('Input 4 - Forecast'!C84/'Input 4 - Forecast'!C$45)*MAX(B$71,0)</f>
        <v>0</v>
      </c>
      <c r="C103" s="13">
        <f ca="1">('Input 4 - Forecast'!D84/'Input 4 - Forecast'!D$45)*MAX(C$71,0)</f>
        <v>0</v>
      </c>
      <c r="D103" s="13">
        <f ca="1">('Input 4 - Forecast'!E84/'Input 4 - Forecast'!E$45)*MAX(D$71,0)</f>
        <v>0</v>
      </c>
      <c r="E103" s="13">
        <f ca="1">('Input 4 - Forecast'!F84/'Input 4 - Forecast'!F$45)*MAX(E$71,0)</f>
        <v>0</v>
      </c>
      <c r="F103" s="13">
        <f ca="1">('Input 4 - Forecast'!G84/'Input 4 - Forecast'!G$45)*MAX(F$71,0)</f>
        <v>0</v>
      </c>
      <c r="G103" s="191">
        <f ca="1">('Input 4 - Forecast'!H84/'Input 4 - Forecast'!H$45)*MAX(G$71,0)</f>
        <v>0</v>
      </c>
      <c r="I103" s="211" t="str">
        <f>'Input 4 - Forecast'!J84</f>
        <v>Annual</v>
      </c>
      <c r="J103" s="211">
        <f>'Input 4 - Forecast'!K84</f>
        <v>0</v>
      </c>
      <c r="K103" s="19">
        <f>'Input 4 - Forecast'!L84</f>
        <v>0</v>
      </c>
      <c r="L103" s="212">
        <f>'Input 4 - Forecast'!M84+B$33/10000</f>
        <v>0</v>
      </c>
      <c r="M103" s="212">
        <f>'Input 4 - Forecast'!N84+C$33/10000</f>
        <v>3.5744886743189486E-2</v>
      </c>
      <c r="N103" s="212">
        <f>'Input 4 - Forecast'!O84+D$33/10000</f>
        <v>3.5744886743189486E-2</v>
      </c>
      <c r="O103" s="212">
        <f>'Input 4 - Forecast'!P84+E$33/10000</f>
        <v>3.5744886743189486E-2</v>
      </c>
      <c r="P103" s="212">
        <f>'Input 4 - Forecast'!Q84+F$33/10000</f>
        <v>3.5744886743189486E-2</v>
      </c>
      <c r="Q103" s="213">
        <f>'Input 4 - Forecast'!R84+G$33/10000</f>
        <v>3.5744886743189486E-2</v>
      </c>
    </row>
    <row r="104" spans="1:27">
      <c r="A104" s="215" t="s">
        <v>35</v>
      </c>
      <c r="B104" s="190">
        <f>('Input 4 - Forecast'!C85/'Input 4 - Forecast'!C$45)*MAX(B$71,0)</f>
        <v>0</v>
      </c>
      <c r="C104" s="13">
        <f ca="1">('Input 4 - Forecast'!D85/'Input 4 - Forecast'!D$45)*MAX(C$71,0)</f>
        <v>0</v>
      </c>
      <c r="D104" s="13">
        <f ca="1">('Input 4 - Forecast'!E85/'Input 4 - Forecast'!E$45)*MAX(D$71,0)</f>
        <v>0</v>
      </c>
      <c r="E104" s="13">
        <f ca="1">('Input 4 - Forecast'!F85/'Input 4 - Forecast'!F$45)*MAX(E$71,0)</f>
        <v>0</v>
      </c>
      <c r="F104" s="13">
        <f ca="1">('Input 4 - Forecast'!G85/'Input 4 - Forecast'!G$45)*MAX(F$71,0)</f>
        <v>0</v>
      </c>
      <c r="G104" s="191">
        <f ca="1">('Input 4 - Forecast'!H85/'Input 4 - Forecast'!H$45)*MAX(G$71,0)</f>
        <v>0</v>
      </c>
      <c r="I104" s="211" t="str">
        <f>'Input 4 - Forecast'!J85</f>
        <v>Annual</v>
      </c>
      <c r="J104" s="211">
        <f>'Input 4 - Forecast'!K85</f>
        <v>0</v>
      </c>
      <c r="K104" s="19">
        <f>'Input 4 - Forecast'!L85</f>
        <v>0</v>
      </c>
      <c r="L104" s="212">
        <f>'Input 4 - Forecast'!M85+B$33/10000</f>
        <v>0</v>
      </c>
      <c r="M104" s="212">
        <f>'Input 4 - Forecast'!N85+C$33/10000</f>
        <v>3.5744886743189486E-2</v>
      </c>
      <c r="N104" s="212">
        <f>'Input 4 - Forecast'!O85+D$33/10000</f>
        <v>3.5744886743189486E-2</v>
      </c>
      <c r="O104" s="212">
        <f>'Input 4 - Forecast'!P85+E$33/10000</f>
        <v>3.5744886743189486E-2</v>
      </c>
      <c r="P104" s="212">
        <f>'Input 4 - Forecast'!Q85+F$33/10000</f>
        <v>3.5744886743189486E-2</v>
      </c>
      <c r="Q104" s="213">
        <f>'Input 4 - Forecast'!R85+G$33/10000</f>
        <v>3.5744886743189486E-2</v>
      </c>
    </row>
    <row r="105" spans="1:27">
      <c r="A105" s="215" t="s">
        <v>36</v>
      </c>
      <c r="B105" s="190">
        <f>('Input 4 - Forecast'!C86/'Input 4 - Forecast'!C$45)*MAX(B$71,0)</f>
        <v>0</v>
      </c>
      <c r="C105" s="13">
        <f ca="1">('Input 4 - Forecast'!D86/'Input 4 - Forecast'!D$45)*MAX(C$71,0)</f>
        <v>0</v>
      </c>
      <c r="D105" s="13">
        <f ca="1">('Input 4 - Forecast'!E86/'Input 4 - Forecast'!E$45)*MAX(D$71,0)</f>
        <v>0</v>
      </c>
      <c r="E105" s="13">
        <f ca="1">('Input 4 - Forecast'!F86/'Input 4 - Forecast'!F$45)*MAX(E$71,0)</f>
        <v>0</v>
      </c>
      <c r="F105" s="13">
        <f ca="1">('Input 4 - Forecast'!G86/'Input 4 - Forecast'!G$45)*MAX(F$71,0)</f>
        <v>0</v>
      </c>
      <c r="G105" s="191">
        <f ca="1">('Input 4 - Forecast'!H86/'Input 4 - Forecast'!H$45)*MAX(G$71,0)</f>
        <v>0</v>
      </c>
      <c r="I105" s="211" t="str">
        <f>'Input 4 - Forecast'!J86</f>
        <v>Annual</v>
      </c>
      <c r="J105" s="211">
        <f>'Input 4 - Forecast'!K86</f>
        <v>0</v>
      </c>
      <c r="K105" s="19">
        <f>'Input 4 - Forecast'!L86</f>
        <v>0</v>
      </c>
      <c r="L105" s="212">
        <f>'Input 4 - Forecast'!M86+B$33/10000</f>
        <v>0</v>
      </c>
      <c r="M105" s="212">
        <f>'Input 4 - Forecast'!N86+C$33/10000</f>
        <v>3.5744886743189486E-2</v>
      </c>
      <c r="N105" s="212">
        <f>'Input 4 - Forecast'!O86+D$33/10000</f>
        <v>3.5744886743189486E-2</v>
      </c>
      <c r="O105" s="212">
        <f>'Input 4 - Forecast'!P86+E$33/10000</f>
        <v>3.5744886743189486E-2</v>
      </c>
      <c r="P105" s="212">
        <f>'Input 4 - Forecast'!Q86+F$33/10000</f>
        <v>3.5744886743189486E-2</v>
      </c>
      <c r="Q105" s="213">
        <f>'Input 4 - Forecast'!R86+G$33/10000</f>
        <v>3.5744886743189486E-2</v>
      </c>
    </row>
    <row r="106" spans="1:27" ht="15.75" thickBot="1">
      <c r="A106" s="216" t="s">
        <v>37</v>
      </c>
      <c r="B106" s="192">
        <f>('Input 4 - Forecast'!C87/'Input 4 - Forecast'!C$45)*MAX(B$71,0)</f>
        <v>0</v>
      </c>
      <c r="C106" s="193">
        <f ca="1">('Input 4 - Forecast'!D87/'Input 4 - Forecast'!D$45)*MAX(C$71,0)</f>
        <v>0</v>
      </c>
      <c r="D106" s="193">
        <f ca="1">('Input 4 - Forecast'!E87/'Input 4 - Forecast'!E$45)*MAX(D$71,0)</f>
        <v>0</v>
      </c>
      <c r="E106" s="193">
        <f ca="1">('Input 4 - Forecast'!F87/'Input 4 - Forecast'!F$45)*MAX(E$71,0)</f>
        <v>0</v>
      </c>
      <c r="F106" s="193">
        <f ca="1">('Input 4 - Forecast'!G87/'Input 4 - Forecast'!G$45)*MAX(F$71,0)</f>
        <v>0</v>
      </c>
      <c r="G106" s="194">
        <f ca="1">('Input 4 - Forecast'!H87/'Input 4 - Forecast'!H$45)*MAX(G$71,0)</f>
        <v>0</v>
      </c>
      <c r="I106" s="217"/>
      <c r="J106" s="217">
        <f>'Input 4 - Forecast'!K87</f>
        <v>0</v>
      </c>
      <c r="K106" s="218">
        <f>'Input 4 - Forecast'!L87</f>
        <v>0</v>
      </c>
      <c r="L106" s="219">
        <f>'Input 4 - Forecast'!M87+B$33/10000</f>
        <v>0</v>
      </c>
      <c r="M106" s="219">
        <f>'Input 4 - Forecast'!N87+C$33/10000</f>
        <v>3.5744886743189486E-2</v>
      </c>
      <c r="N106" s="219">
        <f>'Input 4 - Forecast'!O87+D$33/10000</f>
        <v>3.5744886743189486E-2</v>
      </c>
      <c r="O106" s="219">
        <f>'Input 4 - Forecast'!P87+E$33/10000</f>
        <v>3.5744886743189486E-2</v>
      </c>
      <c r="P106" s="219">
        <f>'Input 4 - Forecast'!Q87+F$33/10000</f>
        <v>3.5744886743189486E-2</v>
      </c>
      <c r="Q106" s="220">
        <f>'Input 4 - Forecast'!R87+G$33/10000</f>
        <v>3.5744886743189486E-2</v>
      </c>
    </row>
    <row r="107" spans="1:27" ht="15.75" thickBot="1">
      <c r="B107" s="195"/>
      <c r="C107" s="195"/>
      <c r="D107" s="195"/>
      <c r="E107" s="195"/>
      <c r="F107" s="195"/>
      <c r="G107" s="195"/>
      <c r="I107" s="184"/>
      <c r="J107" s="184"/>
      <c r="K107" s="184"/>
      <c r="L107" s="184"/>
      <c r="M107" s="184"/>
      <c r="N107" s="184"/>
      <c r="O107" s="184"/>
      <c r="P107" s="184"/>
      <c r="Q107" s="184"/>
    </row>
    <row r="108" spans="1:27" ht="15.75" thickBot="1">
      <c r="A108" s="200" t="s">
        <v>1179</v>
      </c>
      <c r="B108" s="201">
        <f>('Input 4 - Forecast'!C89/'Input 4 - Forecast'!C$45)*MAX(B$71,0)</f>
        <v>-267.59452840452661</v>
      </c>
      <c r="C108" s="202">
        <f ca="1">('Input 4 - Forecast'!D89/'Input 4 - Forecast'!D$45)*MAX(C$71,0)</f>
        <v>2349.8377866446644</v>
      </c>
      <c r="D108" s="202">
        <f ca="1">('Input 4 - Forecast'!E89/'Input 4 - Forecast'!E$45)*MAX(D$71,0)</f>
        <v>4539.0662340217614</v>
      </c>
      <c r="E108" s="202">
        <f ca="1">('Input 4 - Forecast'!F89/'Input 4 - Forecast'!F$45)*MAX(E$71,0)</f>
        <v>6941.2059806367606</v>
      </c>
      <c r="F108" s="202">
        <f ca="1">('Input 4 - Forecast'!G89/'Input 4 - Forecast'!G$45)*MAX(F$71,0)</f>
        <v>8378.4668020332756</v>
      </c>
      <c r="G108" s="203">
        <f ca="1">('Input 4 - Forecast'!H89/'Input 4 - Forecast'!H$45)*MAX(G$71,0)</f>
        <v>9665.3359367323592</v>
      </c>
      <c r="I108" s="221"/>
      <c r="J108" s="221">
        <f>'Input 4 - Forecast'!K89</f>
        <v>1</v>
      </c>
      <c r="K108" s="222">
        <f>'Input 4 - Forecast'!L89</f>
        <v>1</v>
      </c>
      <c r="L108" s="223">
        <f>'Input 4 - Forecast'!M89+B$33/10000</f>
        <v>0</v>
      </c>
      <c r="M108" s="223">
        <f>'Input 4 - Forecast'!N89+C$33/10000</f>
        <v>3.5744886743189486E-2</v>
      </c>
      <c r="N108" s="223">
        <f>'Input 4 - Forecast'!O89+D$33/10000</f>
        <v>3.5744886743189486E-2</v>
      </c>
      <c r="O108" s="223">
        <f>'Input 4 - Forecast'!P89+E$33/10000</f>
        <v>3.5744886743189486E-2</v>
      </c>
      <c r="P108" s="223">
        <f>'Input 4 - Forecast'!Q89+F$33/10000</f>
        <v>3.5744886743189486E-2</v>
      </c>
      <c r="Q108" s="224">
        <f>'Input 4 - Forecast'!R89+G$33/10000</f>
        <v>3.5744886743189486E-2</v>
      </c>
    </row>
    <row r="109" spans="1:27">
      <c r="B109" s="7"/>
      <c r="C109" s="7"/>
      <c r="D109" s="7"/>
      <c r="E109" s="7"/>
      <c r="F109" s="7"/>
      <c r="G109" s="7"/>
      <c r="I109" s="184"/>
      <c r="J109" s="184"/>
      <c r="K109" s="184"/>
      <c r="L109" s="184"/>
      <c r="M109" s="184"/>
      <c r="N109" s="184"/>
      <c r="O109" s="184"/>
      <c r="P109" s="184"/>
    </row>
    <row r="111" spans="1:27" ht="15.75" thickBot="1">
      <c r="H111" s="7">
        <f>'Input 4 - Forecast'!C9</f>
        <v>2018</v>
      </c>
      <c r="I111" s="7">
        <f>H111+1</f>
        <v>2019</v>
      </c>
      <c r="J111" s="7">
        <f>I111+1</f>
        <v>2020</v>
      </c>
      <c r="K111" s="7">
        <f>J111+1</f>
        <v>2021</v>
      </c>
      <c r="L111" s="7">
        <f>K111+1</f>
        <v>2022</v>
      </c>
      <c r="M111" s="7">
        <f>L111+1</f>
        <v>2023</v>
      </c>
      <c r="O111" s="7">
        <f t="shared" ref="O111:T111" si="22">H111</f>
        <v>2018</v>
      </c>
      <c r="P111" s="7">
        <f t="shared" si="22"/>
        <v>2019</v>
      </c>
      <c r="Q111" s="7">
        <f t="shared" si="22"/>
        <v>2020</v>
      </c>
      <c r="R111" s="7">
        <f t="shared" si="22"/>
        <v>2021</v>
      </c>
      <c r="S111" s="7">
        <f t="shared" si="22"/>
        <v>2022</v>
      </c>
      <c r="T111" s="7">
        <f t="shared" si="22"/>
        <v>2023</v>
      </c>
      <c r="V111" s="7">
        <f t="shared" ref="V111:AA111" si="23">O111</f>
        <v>2018</v>
      </c>
      <c r="W111" s="7">
        <f t="shared" si="23"/>
        <v>2019</v>
      </c>
      <c r="X111" s="7">
        <f t="shared" si="23"/>
        <v>2020</v>
      </c>
      <c r="Y111" s="7">
        <f t="shared" si="23"/>
        <v>2021</v>
      </c>
      <c r="Z111" s="7">
        <f t="shared" si="23"/>
        <v>2022</v>
      </c>
      <c r="AA111" s="7">
        <f t="shared" si="23"/>
        <v>2023</v>
      </c>
    </row>
    <row r="112" spans="1:27" ht="15.75" thickBot="1">
      <c r="A112" s="281"/>
      <c r="B112" s="2009" t="s">
        <v>44</v>
      </c>
      <c r="C112" s="2010"/>
      <c r="D112" s="2010"/>
      <c r="E112" s="2010"/>
      <c r="F112" s="2011"/>
      <c r="H112" s="2012" t="s">
        <v>40</v>
      </c>
      <c r="I112" s="2013"/>
      <c r="J112" s="2013"/>
      <c r="K112" s="2013"/>
      <c r="L112" s="2013"/>
      <c r="M112" s="2014"/>
      <c r="O112" s="2015" t="s">
        <v>46</v>
      </c>
      <c r="P112" s="2016"/>
      <c r="Q112" s="2016"/>
      <c r="R112" s="2016"/>
      <c r="S112" s="2016"/>
      <c r="T112" s="2017"/>
      <c r="V112" s="1996" t="s">
        <v>42</v>
      </c>
      <c r="W112" s="1997"/>
      <c r="X112" s="1997"/>
      <c r="Y112" s="1997"/>
      <c r="Z112" s="1997"/>
      <c r="AA112" s="1998"/>
    </row>
    <row r="113" spans="1:27">
      <c r="A113" s="281"/>
      <c r="B113" s="7" t="s">
        <v>45</v>
      </c>
      <c r="C113" s="281" t="s">
        <v>462</v>
      </c>
      <c r="D113" s="7" t="s">
        <v>43</v>
      </c>
      <c r="E113" s="7" t="s">
        <v>39</v>
      </c>
      <c r="F113" s="7" t="s">
        <v>41</v>
      </c>
    </row>
    <row r="114" spans="1:27">
      <c r="A114" s="17"/>
      <c r="B114" s="7"/>
      <c r="C114" s="7"/>
      <c r="D114" s="7"/>
      <c r="E114" s="7"/>
    </row>
    <row r="115" spans="1:27">
      <c r="A115" s="20" t="str">
        <f>'Input 4 - Forecast'!A50</f>
        <v>Issuance of New Debt to Fill Fiscal Needs</v>
      </c>
    </row>
    <row r="116" spans="1:27" customFormat="1" ht="15.75" thickBot="1">
      <c r="A116" s="21" t="str">
        <f>'Input 4 - Forecast'!A55</f>
        <v>Short-term debt 2/</v>
      </c>
      <c r="B116" s="18"/>
      <c r="C116" s="13"/>
      <c r="D116" s="13"/>
      <c r="E116" s="13"/>
      <c r="F116" s="13"/>
      <c r="G116" s="13"/>
      <c r="H116" s="13"/>
      <c r="I116" s="17"/>
      <c r="J116" s="19"/>
      <c r="K116" s="19"/>
      <c r="L116" s="19"/>
      <c r="M116" s="19"/>
      <c r="N116" s="19"/>
      <c r="O116" s="19"/>
      <c r="P116" s="19"/>
      <c r="Q116" s="19"/>
    </row>
    <row r="117" spans="1:27" customFormat="1" ht="15.75" thickBot="1">
      <c r="A117" s="22" t="str">
        <f>'Input 4 - Forecast'!A56</f>
        <v>Denominated in local currency</v>
      </c>
      <c r="B117" s="1999" t="s">
        <v>51</v>
      </c>
      <c r="C117" s="2000"/>
      <c r="D117" s="2000"/>
      <c r="E117" s="2000"/>
      <c r="F117" s="2000"/>
      <c r="G117" s="2000"/>
      <c r="H117" s="2000"/>
      <c r="I117" s="2000"/>
      <c r="J117" s="2000"/>
      <c r="K117" s="2000"/>
      <c r="L117" s="2000"/>
      <c r="M117" s="2000"/>
      <c r="N117" s="2000"/>
      <c r="O117" s="2000"/>
      <c r="P117" s="2000"/>
      <c r="Q117" s="2000"/>
      <c r="R117" s="2000"/>
      <c r="S117" s="2000"/>
      <c r="T117" s="2000"/>
      <c r="U117" s="2000"/>
      <c r="V117" s="2000"/>
      <c r="W117" s="2000"/>
      <c r="X117" s="2000"/>
      <c r="Y117" s="2000"/>
      <c r="Z117" s="2000"/>
      <c r="AA117" s="2001"/>
    </row>
    <row r="118" spans="1:27">
      <c r="B118" s="281"/>
      <c r="F118" s="15"/>
      <c r="H118" s="10"/>
      <c r="I118" s="10"/>
      <c r="J118" s="10"/>
      <c r="K118" s="10"/>
      <c r="L118" s="10"/>
      <c r="M118" s="10"/>
      <c r="N118" s="10"/>
      <c r="O118" s="10"/>
      <c r="P118" s="10"/>
      <c r="Q118" s="10"/>
      <c r="R118" s="10"/>
      <c r="S118" s="10"/>
      <c r="T118" s="10"/>
      <c r="U118" s="10"/>
      <c r="V118" s="10"/>
      <c r="W118" s="10"/>
      <c r="X118" s="10"/>
      <c r="Y118" s="10"/>
      <c r="Z118" s="10"/>
      <c r="AA118" s="10"/>
    </row>
    <row r="119" spans="1:27" customFormat="1">
      <c r="A119" s="23"/>
      <c r="B119" s="7">
        <f>'Input 4 - Forecast'!C9</f>
        <v>2018</v>
      </c>
      <c r="C119" s="13" t="str">
        <f>$I75</f>
        <v>Semi-annual</v>
      </c>
      <c r="D119" s="13">
        <f>$J75</f>
        <v>0</v>
      </c>
      <c r="E119" s="13">
        <f>$K75</f>
        <v>0</v>
      </c>
      <c r="F119" s="14">
        <f>$L$75</f>
        <v>0</v>
      </c>
      <c r="G119" s="13"/>
      <c r="H119" s="9">
        <f>$B$75</f>
        <v>0</v>
      </c>
      <c r="I119" s="9">
        <f>H119-P119</f>
        <v>0</v>
      </c>
      <c r="J119" s="9">
        <f>I119-Q119</f>
        <v>0</v>
      </c>
      <c r="K119" s="9">
        <f>J119-R119</f>
        <v>0</v>
      </c>
      <c r="L119" s="9">
        <f>K119-S119</f>
        <v>0</v>
      </c>
      <c r="M119" s="9">
        <f>L119-T119</f>
        <v>0</v>
      </c>
      <c r="N119" s="9"/>
      <c r="O119" s="9">
        <v>0</v>
      </c>
      <c r="P119" s="9">
        <f>H119</f>
        <v>0</v>
      </c>
      <c r="Q119" s="9">
        <v>0</v>
      </c>
      <c r="R119" s="9">
        <v>0</v>
      </c>
      <c r="S119" s="9">
        <v>0</v>
      </c>
      <c r="T119" s="9">
        <v>0</v>
      </c>
      <c r="U119" s="9"/>
      <c r="V119" s="9">
        <f>IF($C119="annual",IF(V$111=$B119,0,G119*$F119),IF(V$111-$B119=0,0,IF((V$111-$B119)&lt;$E119,AVERAGE(G119,H119)*$F119,IF((V$111-$B119)=$E119,G119*$F119/2,0))))</f>
        <v>0</v>
      </c>
      <c r="W119" s="9">
        <f t="shared" ref="W119:AA124" si="24">IF($C119="annual",IF(W$111=$B119,0,H119*$F119),IF(W$111-$B119=0,0,IF((W$111-$B119)&lt;$E119,AVERAGE(H119,I119)*$F119,IF((W$111-$B119)=$E119,H119*$F119/2,0))))</f>
        <v>0</v>
      </c>
      <c r="X119" s="9">
        <f t="shared" si="24"/>
        <v>0</v>
      </c>
      <c r="Y119" s="9">
        <f t="shared" si="24"/>
        <v>0</v>
      </c>
      <c r="Z119" s="9">
        <f t="shared" si="24"/>
        <v>0</v>
      </c>
      <c r="AA119" s="9">
        <f t="shared" si="24"/>
        <v>0</v>
      </c>
    </row>
    <row r="120" spans="1:27" customFormat="1">
      <c r="A120" s="23"/>
      <c r="B120" s="7">
        <f>B119+1</f>
        <v>2019</v>
      </c>
      <c r="C120" s="13" t="str">
        <f>C119</f>
        <v>Semi-annual</v>
      </c>
      <c r="D120" s="13">
        <f>D119</f>
        <v>0</v>
      </c>
      <c r="E120" s="13">
        <f>E119</f>
        <v>0</v>
      </c>
      <c r="F120" s="14">
        <f>$M$75</f>
        <v>3.5744886743189486E-2</v>
      </c>
      <c r="G120" s="13"/>
      <c r="H120" s="9"/>
      <c r="I120" s="9">
        <f ca="1">$C$75</f>
        <v>196.2117622219138</v>
      </c>
      <c r="J120" s="9">
        <f ca="1">I120-Q120</f>
        <v>0</v>
      </c>
      <c r="K120" s="9">
        <f ca="1">J120-R120</f>
        <v>0</v>
      </c>
      <c r="L120" s="9">
        <f ca="1">K120-S120</f>
        <v>0</v>
      </c>
      <c r="M120" s="9">
        <f ca="1">L120-T120</f>
        <v>0</v>
      </c>
      <c r="N120" s="9"/>
      <c r="O120" s="9"/>
      <c r="P120" s="9">
        <v>0</v>
      </c>
      <c r="Q120" s="9">
        <f ca="1">I120</f>
        <v>196.2117622219138</v>
      </c>
      <c r="R120" s="9">
        <v>0</v>
      </c>
      <c r="S120" s="9">
        <v>0</v>
      </c>
      <c r="T120" s="9">
        <v>0</v>
      </c>
      <c r="U120" s="9"/>
      <c r="V120" s="9"/>
      <c r="W120" s="9">
        <f t="shared" si="24"/>
        <v>0</v>
      </c>
      <c r="X120" s="9">
        <f t="shared" si="24"/>
        <v>0</v>
      </c>
      <c r="Y120" s="9">
        <f t="shared" si="24"/>
        <v>0</v>
      </c>
      <c r="Z120" s="9">
        <f t="shared" si="24"/>
        <v>0</v>
      </c>
      <c r="AA120" s="9">
        <f t="shared" si="24"/>
        <v>0</v>
      </c>
    </row>
    <row r="121" spans="1:27" customFormat="1">
      <c r="A121" s="23"/>
      <c r="B121" s="7">
        <f>B120+1</f>
        <v>2020</v>
      </c>
      <c r="C121" s="13" t="str">
        <f>C120</f>
        <v>Semi-annual</v>
      </c>
      <c r="D121" s="13">
        <f t="shared" ref="D121:E124" si="25">D120</f>
        <v>0</v>
      </c>
      <c r="E121" s="13">
        <f t="shared" si="25"/>
        <v>0</v>
      </c>
      <c r="F121" s="14">
        <f>$N$75</f>
        <v>3.5744886743189486E-2</v>
      </c>
      <c r="G121" s="13"/>
      <c r="H121" s="9"/>
      <c r="I121" s="9"/>
      <c r="J121" s="9">
        <f ca="1">$D$75</f>
        <v>207.5410183517769</v>
      </c>
      <c r="K121" s="9">
        <f ca="1">J121-R121</f>
        <v>0</v>
      </c>
      <c r="L121" s="9">
        <f ca="1">K121-S121</f>
        <v>0</v>
      </c>
      <c r="M121" s="9">
        <f ca="1">L121-T121</f>
        <v>0</v>
      </c>
      <c r="N121" s="9"/>
      <c r="O121" s="9"/>
      <c r="P121" s="9"/>
      <c r="Q121" s="9">
        <v>0</v>
      </c>
      <c r="R121" s="9">
        <f ca="1">J121</f>
        <v>207.5410183517769</v>
      </c>
      <c r="S121" s="9">
        <v>0</v>
      </c>
      <c r="T121" s="9">
        <v>0</v>
      </c>
      <c r="U121" s="9"/>
      <c r="V121" s="9"/>
      <c r="W121" s="9"/>
      <c r="X121" s="9">
        <f t="shared" si="24"/>
        <v>0</v>
      </c>
      <c r="Y121" s="9">
        <f t="shared" si="24"/>
        <v>0</v>
      </c>
      <c r="Z121" s="9">
        <f t="shared" si="24"/>
        <v>0</v>
      </c>
      <c r="AA121" s="9">
        <f t="shared" si="24"/>
        <v>0</v>
      </c>
    </row>
    <row r="122" spans="1:27" customFormat="1">
      <c r="A122" s="23"/>
      <c r="B122" s="7">
        <f>B121+1</f>
        <v>2021</v>
      </c>
      <c r="C122" s="13" t="str">
        <f>C121</f>
        <v>Semi-annual</v>
      </c>
      <c r="D122" s="13">
        <f t="shared" si="25"/>
        <v>0</v>
      </c>
      <c r="E122" s="13">
        <f t="shared" si="25"/>
        <v>0</v>
      </c>
      <c r="F122" s="14">
        <f>$O$75</f>
        <v>3.5744886743189486E-2</v>
      </c>
      <c r="G122" s="13"/>
      <c r="H122" s="9"/>
      <c r="I122" s="9"/>
      <c r="J122" s="9"/>
      <c r="K122" s="9">
        <f ca="1">$E$75</f>
        <v>215.36459030005645</v>
      </c>
      <c r="L122" s="9">
        <f ca="1">K122-S122</f>
        <v>0</v>
      </c>
      <c r="M122" s="9">
        <f ca="1">L122-T122</f>
        <v>0</v>
      </c>
      <c r="N122" s="9"/>
      <c r="O122" s="9"/>
      <c r="P122" s="9"/>
      <c r="Q122" s="9"/>
      <c r="R122" s="9">
        <v>0</v>
      </c>
      <c r="S122" s="9">
        <f ca="1">K122</f>
        <v>215.36459030005645</v>
      </c>
      <c r="T122" s="9">
        <v>0</v>
      </c>
      <c r="U122" s="9"/>
      <c r="V122" s="9"/>
      <c r="W122" s="9"/>
      <c r="X122" s="9"/>
      <c r="Y122" s="9">
        <f t="shared" si="24"/>
        <v>0</v>
      </c>
      <c r="Z122" s="9">
        <f t="shared" si="24"/>
        <v>0</v>
      </c>
      <c r="AA122" s="9">
        <f t="shared" si="24"/>
        <v>0</v>
      </c>
    </row>
    <row r="123" spans="1:27" customFormat="1">
      <c r="A123" s="23"/>
      <c r="B123" s="7">
        <f>B122+1</f>
        <v>2022</v>
      </c>
      <c r="C123" s="13" t="str">
        <f>C122</f>
        <v>Semi-annual</v>
      </c>
      <c r="D123" s="13">
        <f t="shared" si="25"/>
        <v>0</v>
      </c>
      <c r="E123" s="13">
        <f t="shared" si="25"/>
        <v>0</v>
      </c>
      <c r="F123" s="14">
        <f>$P$75</f>
        <v>3.5744886743189486E-2</v>
      </c>
      <c r="G123" s="13"/>
      <c r="H123" s="9"/>
      <c r="I123" s="9"/>
      <c r="J123" s="9"/>
      <c r="K123" s="9"/>
      <c r="L123" s="9">
        <f ca="1">$F$75</f>
        <v>235.69823160156173</v>
      </c>
      <c r="M123" s="9">
        <f ca="1">L123-T123</f>
        <v>0</v>
      </c>
      <c r="N123" s="9"/>
      <c r="O123" s="9"/>
      <c r="P123" s="9"/>
      <c r="Q123" s="9"/>
      <c r="R123" s="9"/>
      <c r="S123" s="9">
        <v>0</v>
      </c>
      <c r="T123" s="9">
        <f ca="1">L123</f>
        <v>235.69823160156173</v>
      </c>
      <c r="U123" s="9"/>
      <c r="V123" s="9"/>
      <c r="W123" s="9"/>
      <c r="X123" s="9"/>
      <c r="Y123" s="9"/>
      <c r="Z123" s="9">
        <f t="shared" si="24"/>
        <v>0</v>
      </c>
      <c r="AA123" s="9">
        <f t="shared" si="24"/>
        <v>0</v>
      </c>
    </row>
    <row r="124" spans="1:27" customFormat="1">
      <c r="A124" s="23"/>
      <c r="B124" s="7">
        <f>B123+1</f>
        <v>2023</v>
      </c>
      <c r="C124" s="13" t="str">
        <f>C123</f>
        <v>Semi-annual</v>
      </c>
      <c r="D124" s="13">
        <f t="shared" si="25"/>
        <v>0</v>
      </c>
      <c r="E124" s="13">
        <f t="shared" si="25"/>
        <v>0</v>
      </c>
      <c r="F124" s="14">
        <f>$Q$75</f>
        <v>3.5744886743189486E-2</v>
      </c>
      <c r="G124" s="13"/>
      <c r="H124" s="9"/>
      <c r="I124" s="9"/>
      <c r="J124" s="9"/>
      <c r="K124" s="9"/>
      <c r="L124" s="9"/>
      <c r="M124" s="9">
        <f ca="1">$G$75</f>
        <v>259.54621221616219</v>
      </c>
      <c r="N124" s="9"/>
      <c r="O124" s="9"/>
      <c r="P124" s="9"/>
      <c r="Q124" s="9"/>
      <c r="R124" s="9"/>
      <c r="S124" s="9"/>
      <c r="T124" s="9">
        <v>0</v>
      </c>
      <c r="U124" s="9"/>
      <c r="V124" s="9"/>
      <c r="W124" s="9"/>
      <c r="X124" s="9"/>
      <c r="Y124" s="9"/>
      <c r="Z124" s="9"/>
      <c r="AA124" s="9">
        <f t="shared" si="24"/>
        <v>0</v>
      </c>
    </row>
    <row r="125" spans="1:27" ht="15.75" thickBot="1">
      <c r="F125" s="15"/>
      <c r="H125" s="10"/>
      <c r="I125" s="10"/>
      <c r="J125" s="10"/>
      <c r="K125" s="10"/>
      <c r="L125" s="10"/>
      <c r="M125" s="10"/>
      <c r="N125" s="10"/>
      <c r="O125" s="10"/>
      <c r="P125" s="10"/>
      <c r="Q125" s="10"/>
      <c r="R125" s="10"/>
      <c r="S125" s="10"/>
      <c r="T125" s="10"/>
      <c r="U125" s="10"/>
      <c r="V125" s="10"/>
      <c r="W125" s="10"/>
      <c r="X125" s="10"/>
      <c r="Y125" s="10"/>
      <c r="Z125" s="10"/>
      <c r="AA125" s="10"/>
    </row>
    <row r="126" spans="1:27" customFormat="1" ht="15.75" thickBot="1">
      <c r="A126" s="22" t="str">
        <f>'Input 4 - Forecast'!A65</f>
        <v>Denominated in foreign currency</v>
      </c>
      <c r="B126" s="1999" t="s">
        <v>52</v>
      </c>
      <c r="C126" s="2000"/>
      <c r="D126" s="2000"/>
      <c r="E126" s="2000"/>
      <c r="F126" s="2000"/>
      <c r="G126" s="2000"/>
      <c r="H126" s="2000"/>
      <c r="I126" s="2000"/>
      <c r="J126" s="2000"/>
      <c r="K126" s="2000"/>
      <c r="L126" s="2000"/>
      <c r="M126" s="2000"/>
      <c r="N126" s="2000"/>
      <c r="O126" s="2000"/>
      <c r="P126" s="2000"/>
      <c r="Q126" s="2000"/>
      <c r="R126" s="2000"/>
      <c r="S126" s="2000"/>
      <c r="T126" s="2000"/>
      <c r="U126" s="2000"/>
      <c r="V126" s="2000"/>
      <c r="W126" s="2000"/>
      <c r="X126" s="2000"/>
      <c r="Y126" s="2000"/>
      <c r="Z126" s="2000"/>
      <c r="AA126" s="2001"/>
    </row>
    <row r="127" spans="1:27">
      <c r="F127" s="15"/>
      <c r="H127" s="10"/>
      <c r="I127" s="10"/>
      <c r="J127" s="10"/>
      <c r="K127" s="10"/>
      <c r="L127" s="10"/>
      <c r="M127" s="10"/>
      <c r="N127" s="10"/>
      <c r="O127" s="10"/>
      <c r="P127" s="10"/>
      <c r="Q127" s="10"/>
      <c r="R127" s="10"/>
      <c r="S127" s="10"/>
      <c r="T127" s="10"/>
      <c r="U127" s="10"/>
      <c r="V127" s="10"/>
      <c r="W127" s="10"/>
      <c r="X127" s="10"/>
      <c r="Y127" s="10"/>
      <c r="Z127" s="10"/>
      <c r="AA127" s="10"/>
    </row>
    <row r="128" spans="1:27" customFormat="1">
      <c r="A128" s="23"/>
      <c r="B128" s="7">
        <f>B119</f>
        <v>2018</v>
      </c>
      <c r="C128" s="13" t="str">
        <f>$I76</f>
        <v>Semi-annual</v>
      </c>
      <c r="D128" s="13">
        <f>$J76</f>
        <v>0</v>
      </c>
      <c r="E128" s="13">
        <f>$K76</f>
        <v>0</v>
      </c>
      <c r="F128" s="14">
        <f>$L$76</f>
        <v>0</v>
      </c>
      <c r="G128" s="13"/>
      <c r="H128" s="9">
        <f>$B$76/$B$31</f>
        <v>0</v>
      </c>
      <c r="I128" s="9">
        <f>H128-P128</f>
        <v>0</v>
      </c>
      <c r="J128" s="9">
        <f>I128-Q128</f>
        <v>0</v>
      </c>
      <c r="K128" s="9">
        <f>J128-R128</f>
        <v>0</v>
      </c>
      <c r="L128" s="9">
        <f>K128-S128</f>
        <v>0</v>
      </c>
      <c r="M128" s="9">
        <f>L128-T128</f>
        <v>0</v>
      </c>
      <c r="N128" s="9"/>
      <c r="O128" s="9">
        <v>0</v>
      </c>
      <c r="P128" s="9">
        <f>H128</f>
        <v>0</v>
      </c>
      <c r="Q128" s="9">
        <v>0</v>
      </c>
      <c r="R128" s="9">
        <v>0</v>
      </c>
      <c r="S128" s="9">
        <v>0</v>
      </c>
      <c r="T128" s="9">
        <v>0</v>
      </c>
      <c r="U128" s="9"/>
      <c r="V128" s="9">
        <f>IF($C128="annual",IF(V$111=$B128,0,G128*$F128),IF(V$111-$B128=0,0,IF((V$111-$B128)&lt;$E128,AVERAGE(G128,H128)*$F128,IF((V$111-$B128)=$E128,G128*$F128/2,0))))</f>
        <v>0</v>
      </c>
      <c r="W128" s="9">
        <f t="shared" ref="W128:AA133" si="26">IF($C128="annual",IF(W$111=$B128,0,H128*$F128),IF(W$111-$B128=0,0,IF((W$111-$B128)&lt;$E128,AVERAGE(H128,I128)*$F128,IF((W$111-$B128)=$E128,H128*$F128/2,0))))</f>
        <v>0</v>
      </c>
      <c r="X128" s="9">
        <f t="shared" si="26"/>
        <v>0</v>
      </c>
      <c r="Y128" s="9">
        <f t="shared" si="26"/>
        <v>0</v>
      </c>
      <c r="Z128" s="9">
        <f t="shared" si="26"/>
        <v>0</v>
      </c>
      <c r="AA128" s="9">
        <f t="shared" si="26"/>
        <v>0</v>
      </c>
    </row>
    <row r="129" spans="1:27" customFormat="1">
      <c r="A129" s="23"/>
      <c r="B129" s="7">
        <f>B128+1</f>
        <v>2019</v>
      </c>
      <c r="C129" s="13" t="str">
        <f>C128</f>
        <v>Semi-annual</v>
      </c>
      <c r="D129" s="13">
        <f>D128</f>
        <v>0</v>
      </c>
      <c r="E129" s="13">
        <f>E128</f>
        <v>0</v>
      </c>
      <c r="F129" s="14">
        <f>$M$76</f>
        <v>3.5744886743189486E-2</v>
      </c>
      <c r="G129" s="13"/>
      <c r="H129" s="9"/>
      <c r="I129" s="9">
        <f ca="1">$C$76/$C$31</f>
        <v>0</v>
      </c>
      <c r="J129" s="9">
        <f ca="1">I129-Q129</f>
        <v>0</v>
      </c>
      <c r="K129" s="9">
        <f ca="1">J129-R129</f>
        <v>0</v>
      </c>
      <c r="L129" s="9">
        <f ca="1">K129-S129</f>
        <v>0</v>
      </c>
      <c r="M129" s="9">
        <f ca="1">L129-T129</f>
        <v>0</v>
      </c>
      <c r="N129" s="9"/>
      <c r="O129" s="9"/>
      <c r="P129" s="9">
        <v>0</v>
      </c>
      <c r="Q129" s="9">
        <f ca="1">I129</f>
        <v>0</v>
      </c>
      <c r="R129" s="9">
        <v>0</v>
      </c>
      <c r="S129" s="9">
        <v>0</v>
      </c>
      <c r="T129" s="9">
        <v>0</v>
      </c>
      <c r="U129" s="9"/>
      <c r="V129" s="9"/>
      <c r="W129" s="9">
        <f t="shared" si="26"/>
        <v>0</v>
      </c>
      <c r="X129" s="9">
        <f t="shared" si="26"/>
        <v>0</v>
      </c>
      <c r="Y129" s="9">
        <f t="shared" si="26"/>
        <v>0</v>
      </c>
      <c r="Z129" s="9">
        <f t="shared" si="26"/>
        <v>0</v>
      </c>
      <c r="AA129" s="9">
        <f t="shared" si="26"/>
        <v>0</v>
      </c>
    </row>
    <row r="130" spans="1:27" customFormat="1">
      <c r="A130" s="23"/>
      <c r="B130" s="7">
        <f>B129+1</f>
        <v>2020</v>
      </c>
      <c r="C130" s="13" t="str">
        <f>C129</f>
        <v>Semi-annual</v>
      </c>
      <c r="D130" s="13">
        <f t="shared" ref="D130:E133" si="27">D129</f>
        <v>0</v>
      </c>
      <c r="E130" s="13">
        <f t="shared" si="27"/>
        <v>0</v>
      </c>
      <c r="F130" s="14">
        <f>$N$76</f>
        <v>3.5744886743189486E-2</v>
      </c>
      <c r="G130" s="13"/>
      <c r="H130" s="9"/>
      <c r="I130" s="9"/>
      <c r="J130" s="9">
        <f ca="1">$D$76/$D$31</f>
        <v>0</v>
      </c>
      <c r="K130" s="9">
        <f ca="1">J130-R130</f>
        <v>0</v>
      </c>
      <c r="L130" s="9">
        <f ca="1">K130-S130</f>
        <v>0</v>
      </c>
      <c r="M130" s="9">
        <f ca="1">L130-T130</f>
        <v>0</v>
      </c>
      <c r="N130" s="9"/>
      <c r="O130" s="9"/>
      <c r="P130" s="9"/>
      <c r="Q130" s="9">
        <v>0</v>
      </c>
      <c r="R130" s="9">
        <f ca="1">J130</f>
        <v>0</v>
      </c>
      <c r="S130" s="9">
        <v>0</v>
      </c>
      <c r="T130" s="9">
        <v>0</v>
      </c>
      <c r="U130" s="9"/>
      <c r="V130" s="9"/>
      <c r="W130" s="9"/>
      <c r="X130" s="9">
        <f t="shared" si="26"/>
        <v>0</v>
      </c>
      <c r="Y130" s="9">
        <f t="shared" si="26"/>
        <v>0</v>
      </c>
      <c r="Z130" s="9">
        <f t="shared" si="26"/>
        <v>0</v>
      </c>
      <c r="AA130" s="9">
        <f t="shared" si="26"/>
        <v>0</v>
      </c>
    </row>
    <row r="131" spans="1:27" customFormat="1">
      <c r="A131" s="23"/>
      <c r="B131" s="7">
        <f>B130+1</f>
        <v>2021</v>
      </c>
      <c r="C131" s="13" t="str">
        <f>C130</f>
        <v>Semi-annual</v>
      </c>
      <c r="D131" s="13">
        <f t="shared" si="27"/>
        <v>0</v>
      </c>
      <c r="E131" s="13">
        <f t="shared" si="27"/>
        <v>0</v>
      </c>
      <c r="F131" s="14">
        <f>$O$76</f>
        <v>3.5744886743189486E-2</v>
      </c>
      <c r="G131" s="13"/>
      <c r="H131" s="9"/>
      <c r="I131" s="9"/>
      <c r="J131" s="9"/>
      <c r="K131" s="9">
        <f ca="1">$E$76/$E$31</f>
        <v>0</v>
      </c>
      <c r="L131" s="9">
        <f ca="1">K131-S131</f>
        <v>0</v>
      </c>
      <c r="M131" s="9">
        <f ca="1">L131-T131</f>
        <v>0</v>
      </c>
      <c r="N131" s="9"/>
      <c r="O131" s="9"/>
      <c r="P131" s="9"/>
      <c r="Q131" s="9"/>
      <c r="R131" s="9">
        <v>0</v>
      </c>
      <c r="S131" s="9">
        <f ca="1">K131</f>
        <v>0</v>
      </c>
      <c r="T131" s="9">
        <v>0</v>
      </c>
      <c r="U131" s="9"/>
      <c r="V131" s="9"/>
      <c r="W131" s="9"/>
      <c r="X131" s="9"/>
      <c r="Y131" s="9">
        <f t="shared" si="26"/>
        <v>0</v>
      </c>
      <c r="Z131" s="9">
        <f t="shared" si="26"/>
        <v>0</v>
      </c>
      <c r="AA131" s="9">
        <f t="shared" si="26"/>
        <v>0</v>
      </c>
    </row>
    <row r="132" spans="1:27" customFormat="1">
      <c r="A132" s="23"/>
      <c r="B132" s="7">
        <f>B131+1</f>
        <v>2022</v>
      </c>
      <c r="C132" s="13" t="str">
        <f>C131</f>
        <v>Semi-annual</v>
      </c>
      <c r="D132" s="13">
        <f t="shared" si="27"/>
        <v>0</v>
      </c>
      <c r="E132" s="13">
        <f t="shared" si="27"/>
        <v>0</v>
      </c>
      <c r="F132" s="14">
        <f>$P$76</f>
        <v>3.5744886743189486E-2</v>
      </c>
      <c r="G132" s="13"/>
      <c r="H132" s="9"/>
      <c r="I132" s="9"/>
      <c r="J132" s="9"/>
      <c r="K132" s="9"/>
      <c r="L132" s="9">
        <f ca="1">$F$76/$F$31</f>
        <v>0</v>
      </c>
      <c r="M132" s="9">
        <f ca="1">L132-T132</f>
        <v>0</v>
      </c>
      <c r="N132" s="9"/>
      <c r="O132" s="9"/>
      <c r="P132" s="9"/>
      <c r="Q132" s="9"/>
      <c r="R132" s="9"/>
      <c r="S132" s="9">
        <v>0</v>
      </c>
      <c r="T132" s="9">
        <f ca="1">L132</f>
        <v>0</v>
      </c>
      <c r="U132" s="9"/>
      <c r="V132" s="9"/>
      <c r="W132" s="9"/>
      <c r="X132" s="9"/>
      <c r="Y132" s="9"/>
      <c r="Z132" s="9">
        <f t="shared" si="26"/>
        <v>0</v>
      </c>
      <c r="AA132" s="9">
        <f t="shared" si="26"/>
        <v>0</v>
      </c>
    </row>
    <row r="133" spans="1:27" customFormat="1">
      <c r="A133" s="23"/>
      <c r="B133" s="7">
        <f>B132+1</f>
        <v>2023</v>
      </c>
      <c r="C133" s="13" t="str">
        <f>C132</f>
        <v>Semi-annual</v>
      </c>
      <c r="D133" s="13">
        <f t="shared" si="27"/>
        <v>0</v>
      </c>
      <c r="E133" s="13">
        <f t="shared" si="27"/>
        <v>0</v>
      </c>
      <c r="F133" s="14">
        <f>$Q$76</f>
        <v>3.5744886743189486E-2</v>
      </c>
      <c r="G133" s="13"/>
      <c r="H133" s="9"/>
      <c r="I133" s="9"/>
      <c r="J133" s="9"/>
      <c r="K133" s="9"/>
      <c r="L133" s="9"/>
      <c r="M133" s="9">
        <f ca="1">$G$76/$G$31</f>
        <v>0</v>
      </c>
      <c r="N133" s="9"/>
      <c r="O133" s="9"/>
      <c r="P133" s="9"/>
      <c r="Q133" s="9"/>
      <c r="R133" s="9"/>
      <c r="S133" s="9"/>
      <c r="T133" s="9">
        <v>0</v>
      </c>
      <c r="U133" s="9"/>
      <c r="V133" s="9"/>
      <c r="W133" s="9"/>
      <c r="X133" s="9"/>
      <c r="Y133" s="9"/>
      <c r="Z133" s="9"/>
      <c r="AA133" s="9">
        <f t="shared" si="26"/>
        <v>0</v>
      </c>
    </row>
    <row r="135" spans="1:27" ht="15.75" thickBot="1">
      <c r="A135" s="11" t="str">
        <f>'Input 4 - Forecast'!A58</f>
        <v>Long-term debt 3/</v>
      </c>
    </row>
    <row r="136" spans="1:27" ht="15.75" thickBot="1">
      <c r="A136" s="12" t="str">
        <f>'Input 4 - Forecast'!A59</f>
        <v>Denominated in local currency</v>
      </c>
      <c r="B136" s="1999" t="s">
        <v>51</v>
      </c>
      <c r="C136" s="2000"/>
      <c r="D136" s="2000"/>
      <c r="E136" s="2000"/>
      <c r="F136" s="2000"/>
      <c r="G136" s="2000"/>
      <c r="H136" s="2000"/>
      <c r="I136" s="2000"/>
      <c r="J136" s="2000"/>
      <c r="K136" s="2000"/>
      <c r="L136" s="2000"/>
      <c r="M136" s="2000"/>
      <c r="N136" s="2000"/>
      <c r="O136" s="2000"/>
      <c r="P136" s="2000"/>
      <c r="Q136" s="2000"/>
      <c r="R136" s="2000"/>
      <c r="S136" s="2000"/>
      <c r="T136" s="2000"/>
      <c r="U136" s="2000"/>
      <c r="V136" s="2000"/>
      <c r="W136" s="2000"/>
      <c r="X136" s="2000"/>
      <c r="Y136" s="2000"/>
      <c r="Z136" s="2000"/>
      <c r="AA136" s="2001"/>
    </row>
    <row r="138" spans="1:27">
      <c r="A138" s="8" t="str">
        <f>'Input 4 - Forecast'!A60</f>
        <v>Type 1</v>
      </c>
      <c r="B138" s="7">
        <f>B119</f>
        <v>2018</v>
      </c>
      <c r="C138" s="7" t="str">
        <f>$I79</f>
        <v>Annual</v>
      </c>
      <c r="D138" s="7">
        <f>$J79</f>
        <v>5</v>
      </c>
      <c r="E138" s="7">
        <f>$K79</f>
        <v>5</v>
      </c>
      <c r="F138" s="14">
        <f>$L$79</f>
        <v>5.0000000000000001E-3</v>
      </c>
      <c r="H138" s="9">
        <f>$B$79</f>
        <v>329.998670927072</v>
      </c>
      <c r="I138" s="9">
        <f>H138-P138</f>
        <v>329.998670927072</v>
      </c>
      <c r="J138" s="9">
        <f>I138-Q138</f>
        <v>329.998670927072</v>
      </c>
      <c r="K138" s="9">
        <f>J138-R138</f>
        <v>329.998670927072</v>
      </c>
      <c r="L138" s="9">
        <f>K138-S138</f>
        <v>329.998670927072</v>
      </c>
      <c r="M138" s="9">
        <f>L138-T138</f>
        <v>0</v>
      </c>
      <c r="N138" s="9"/>
      <c r="O138" s="9">
        <f t="shared" ref="O138:T138" si="28">IF(OR($C138="Annual",$D138=$E138),IF(AND($D138=$E138,O$111=$B138+$D138),$H138,IF(AND(O$111&gt;$B138+$D138,O$111&lt;=$B138+$E138), $H138/($E138-$D138),0)), IF(OR(O$111=$B138+$D138,O$111=$B138+$E138),$H138/(($E138-$D138)*2),IF(AND(O$111&gt;$B138+$D138,O$111&lt;$B138+$E138),$H138/($E138-$D138),0)))</f>
        <v>0</v>
      </c>
      <c r="P138" s="9">
        <f t="shared" si="28"/>
        <v>0</v>
      </c>
      <c r="Q138" s="9">
        <f t="shared" si="28"/>
        <v>0</v>
      </c>
      <c r="R138" s="9">
        <f t="shared" si="28"/>
        <v>0</v>
      </c>
      <c r="S138" s="9">
        <f t="shared" si="28"/>
        <v>0</v>
      </c>
      <c r="T138" s="9">
        <f t="shared" si="28"/>
        <v>329.998670927072</v>
      </c>
      <c r="U138" s="9"/>
      <c r="V138" s="9">
        <f>IF($C138="annual",IF(V$111=$B138,0,G138*$F138),IF(V$111-$B138=0,0,IF((V$111-$B138)&lt;$E138,AVERAGE(G138,H138)*$F138,IF((V$111-$B138)=$E138,G138*$F138/2,0))))</f>
        <v>0</v>
      </c>
      <c r="W138" s="9">
        <f t="shared" ref="W138:AA143" si="29">IF($C138="annual",IF(W$111=$B138,0,H138*$F138),IF(W$111-$B138=0,0,IF((W$111-$B138)&lt;$E138,AVERAGE(H138,I138)*$F138,IF((W$111-$B138)=$E138,H138*$F138/2,0))))</f>
        <v>1.64999335463536</v>
      </c>
      <c r="X138" s="9">
        <f t="shared" si="29"/>
        <v>1.64999335463536</v>
      </c>
      <c r="Y138" s="9">
        <f t="shared" si="29"/>
        <v>1.64999335463536</v>
      </c>
      <c r="Z138" s="9">
        <f t="shared" si="29"/>
        <v>1.64999335463536</v>
      </c>
      <c r="AA138" s="9">
        <f t="shared" si="29"/>
        <v>1.64999335463536</v>
      </c>
    </row>
    <row r="139" spans="1:27">
      <c r="A139" s="8" t="str">
        <f>A138</f>
        <v>Type 1</v>
      </c>
      <c r="B139" s="7">
        <f>B138+1</f>
        <v>2019</v>
      </c>
      <c r="C139" s="7" t="str">
        <f>C138</f>
        <v>Annual</v>
      </c>
      <c r="D139" s="7">
        <f>D138</f>
        <v>5</v>
      </c>
      <c r="E139" s="7">
        <f>E138</f>
        <v>5</v>
      </c>
      <c r="F139" s="14">
        <f>$M$79</f>
        <v>4.0744886743189483E-2</v>
      </c>
      <c r="H139" s="9"/>
      <c r="I139" s="9">
        <f ca="1">$C$79</f>
        <v>45.479547534880687</v>
      </c>
      <c r="J139" s="9">
        <f ca="1">I139-Q139</f>
        <v>22.739773767440344</v>
      </c>
      <c r="K139" s="9">
        <f ca="1">J139-R139</f>
        <v>0</v>
      </c>
      <c r="L139" s="9">
        <f ca="1">K139-S139</f>
        <v>0</v>
      </c>
      <c r="M139" s="9">
        <f ca="1">L139-T139</f>
        <v>0</v>
      </c>
      <c r="N139" s="9"/>
      <c r="O139" s="9"/>
      <c r="P139" s="9">
        <f>IF(OR($C139="Annual",$D139=$E139),IF(AND($D139=$E139,P$111=$B139+$D139),$I139,IF(AND(P$111&gt;$B139+$D139,P$111&lt;=$B139+$E139), $I139/($E139-$D139),0)), IF(OR(P$111=$B139+$D139,P$111=$B139+$E139),$I139/(($E139-$D139)*2),IF(AND(P$111&gt;$B139+$D139,P$111&lt;$B139+$E139),$I139/($E139-$D139),0)))</f>
        <v>0</v>
      </c>
      <c r="Q139" s="9">
        <f>IF(OR($C139="Annual",$D139=$E139),IF(AND($D139=$E139,Q$111=$B139+$D139),$I139,IF(AND(Q$111&gt;$B139+$D139,Q$111&lt;=$B139+$E139), $I139/($E139-$D139),0)), IF(OR(Q$111=$B139+$D139,Q$111=$B139+$E139),$I139/(($E139-$D139)*2),IF(AND(Q$111&gt;$B139+$D139,Q$111&lt;$B139+$E139),$I139/($E139-$D139),0)))</f>
        <v>0</v>
      </c>
      <c r="R139" s="9">
        <f>IF(OR($C139="Annual",$D139=$E139),IF(AND($D139=$E139,R$111=$B139+$D139),$I139,IF(AND(R$111&gt;$B139+$D139,R$111&lt;=$B139+$E139), $I139/($E139-$D139),0)), IF(OR(R$111=$B139+$D139,R$111=$B139+$E139),$I139/(($E139-$D139)*2),IF(AND(R$111&gt;$B139+$D139,R$111&lt;$B139+$E139),$I139/($E139-$D139),0)))</f>
        <v>0</v>
      </c>
      <c r="S139" s="9">
        <f>IF(OR($C139="Annual",$D139=$E139),IF(AND($D139=$E139,S$111=$B139+$D139),$I139,IF(AND(S$111&gt;$B139+$D139,S$111&lt;=$B139+$E139), $I139/($E139-$D139),0)), IF(OR(S$111=$B139+$D139,S$111=$B139+$E139),$I139/(($E139-$D139)*2),IF(AND(S$111&gt;$B139+$D139,S$111&lt;$B139+$E139),$I139/($E139-$D139),0)))</f>
        <v>0</v>
      </c>
      <c r="T139" s="9">
        <f>IF(OR($C139="Annual",$D139=$E139),IF(AND($D139=$E139,T$111=$B139+$D139),$I139,IF(AND(T$111&gt;$B139+$D139,T$111&lt;=$B139+$E139), $I139/($E139-$D139),0)), IF(OR(T$111=$B139+$D139,T$111=$B139+$E139),$I139/(($E139-$D139)*2),IF(AND(T$111&gt;$B139+$D139,T$111&lt;$B139+$E139),$I139/($E139-$D139),0)))</f>
        <v>0</v>
      </c>
      <c r="U139" s="9"/>
      <c r="V139" s="9"/>
      <c r="W139" s="9">
        <f t="shared" si="29"/>
        <v>0</v>
      </c>
      <c r="X139" s="9">
        <f t="shared" ca="1" si="29"/>
        <v>2.6287919208840602</v>
      </c>
      <c r="Y139" s="9">
        <f t="shared" ca="1" si="29"/>
        <v>1.3143959604420301</v>
      </c>
      <c r="Z139" s="9">
        <f t="shared" ca="1" si="29"/>
        <v>0</v>
      </c>
      <c r="AA139" s="9">
        <f t="shared" ca="1" si="29"/>
        <v>0</v>
      </c>
    </row>
    <row r="140" spans="1:27">
      <c r="A140" s="8" t="str">
        <f>A139</f>
        <v>Type 1</v>
      </c>
      <c r="B140" s="7">
        <f>B139+1</f>
        <v>2020</v>
      </c>
      <c r="C140" s="7" t="str">
        <f>C139</f>
        <v>Annual</v>
      </c>
      <c r="D140" s="7">
        <f t="shared" ref="D140:E143" si="30">D139</f>
        <v>5</v>
      </c>
      <c r="E140" s="7">
        <f t="shared" si="30"/>
        <v>5</v>
      </c>
      <c r="F140" s="14">
        <f>$N$79</f>
        <v>4.5744886743189488E-2</v>
      </c>
      <c r="H140" s="9"/>
      <c r="I140" s="9"/>
      <c r="J140" s="9">
        <f ca="1">$D$79</f>
        <v>54.977753205768707</v>
      </c>
      <c r="K140" s="9">
        <f ca="1">J140-R140</f>
        <v>27.488876602884353</v>
      </c>
      <c r="L140" s="9">
        <f ca="1">K140-S140</f>
        <v>0</v>
      </c>
      <c r="M140" s="9">
        <f ca="1">L140-T140</f>
        <v>0</v>
      </c>
      <c r="N140" s="9"/>
      <c r="O140" s="9"/>
      <c r="P140" s="9"/>
      <c r="Q140" s="9">
        <f>IF(OR($C140="Annual",$D140=$E140),IF(AND($D140=$E140,Q$111=$B140+$D140),$J140,IF(AND(Q$111&gt;$B140+$D140,Q$111&lt;=$B140+$E140), $J140/($E140-$D140),0)), IF(OR(Q$111=$B140+$D140,Q$111=$B140+$E140),$J140/(($E140-$D140)*2),IF(AND(Q$111&gt;$B140+$D140,Q$111&lt;$B140+$E140),$J140/($E140-$D140),0)))</f>
        <v>0</v>
      </c>
      <c r="R140" s="9">
        <f>IF(OR($C140="Annual",$D140=$E140),IF(AND($D140=$E140,R$111=$B140+$D140),$J140,IF(AND(R$111&gt;$B140+$D140,R$111&lt;=$B140+$E140), $J140/($E140-$D140),0)), IF(OR(R$111=$B140+$D140,R$111=$B140+$E140),$J140/(($E140-$D140)*2),IF(AND(R$111&gt;$B140+$D140,R$111&lt;$B140+$E140),$J140/($E140-$D140),0)))</f>
        <v>0</v>
      </c>
      <c r="S140" s="9">
        <f>IF(OR($C140="Annual",$D140=$E140),IF(AND($D140=$E140,S$111=$B140+$D140),$J140,IF(AND(S$111&gt;$B140+$D140,S$111&lt;=$B140+$E140), $J140/($E140-$D140),0)), IF(OR(S$111=$B140+$D140,S$111=$B140+$E140),$J140/(($E140-$D140)*2),IF(AND(S$111&gt;$B140+$D140,S$111&lt;$B140+$E140),$J140/($E140-$D140),0)))</f>
        <v>0</v>
      </c>
      <c r="T140" s="9">
        <f>IF(OR($C140="Annual",$D140=$E140),IF(AND($D140=$E140,T$111=$B140+$D140),$J140,IF(AND(T$111&gt;$B140+$D140,T$111&lt;=$B140+$E140), $J140/($E140-$D140),0)), IF(OR(T$111=$B140+$D140,T$111=$B140+$E140),$J140/(($E140-$D140)*2),IF(AND(T$111&gt;$B140+$D140,T$111&lt;$B140+$E140),$J140/($E140-$D140),0)))</f>
        <v>0</v>
      </c>
      <c r="U140" s="9"/>
      <c r="V140" s="9"/>
      <c r="W140" s="9"/>
      <c r="X140" s="9">
        <f t="shared" si="29"/>
        <v>0</v>
      </c>
      <c r="Y140" s="9">
        <f t="shared" ca="1" si="29"/>
        <v>3.341706105306768</v>
      </c>
      <c r="Z140" s="9">
        <f t="shared" ca="1" si="29"/>
        <v>1.670853052653384</v>
      </c>
      <c r="AA140" s="9">
        <f t="shared" ca="1" si="29"/>
        <v>0</v>
      </c>
    </row>
    <row r="141" spans="1:27">
      <c r="A141" s="8" t="str">
        <f>A140</f>
        <v>Type 1</v>
      </c>
      <c r="B141" s="7">
        <f>B140+1</f>
        <v>2021</v>
      </c>
      <c r="C141" s="7" t="str">
        <f>C140</f>
        <v>Annual</v>
      </c>
      <c r="D141" s="7">
        <f t="shared" si="30"/>
        <v>5</v>
      </c>
      <c r="E141" s="7">
        <f t="shared" si="30"/>
        <v>5</v>
      </c>
      <c r="F141" s="14">
        <f>$O$79</f>
        <v>4.5744886743189488E-2</v>
      </c>
      <c r="H141" s="9"/>
      <c r="I141" s="9"/>
      <c r="J141" s="9"/>
      <c r="K141" s="9">
        <f ca="1">$E$79</f>
        <v>49.918944771536268</v>
      </c>
      <c r="L141" s="9">
        <f ca="1">K141-S141</f>
        <v>24.959472385768134</v>
      </c>
      <c r="M141" s="9">
        <f ca="1">L141-T141</f>
        <v>0</v>
      </c>
      <c r="N141" s="9"/>
      <c r="O141" s="9"/>
      <c r="P141" s="9"/>
      <c r="Q141" s="9"/>
      <c r="R141" s="9">
        <f>IF(OR($C141="Annual",$D141=$E141),IF(AND($D141=$E141,R$111=$B141+$D141),$K141,IF(AND(R$111&gt;$B141+$D141,R$111&lt;=$B141+$E141), $K141/($E141-$D141),0)), IF(OR(R$111=$B141+$D141,R$111=$B141+$E141),$K141/(($E141-$D141)*2),IF(AND(R$111&gt;$B141+$D141,R$111&lt;$B141+$E141),$K141/($E141-$D141),0)))</f>
        <v>0</v>
      </c>
      <c r="S141" s="9">
        <f>IF(OR($C141="Annual",$D141=$E141),IF(AND($D141=$E141,S$111=$B141+$D141),$K141,IF(AND(S$111&gt;$B141+$D141,S$111&lt;=$B141+$E141), $K141/($E141-$D141),0)), IF(OR(S$111=$B141+$D141,S$111=$B141+$E141),$K141/(($E141-$D141)*2),IF(AND(S$111&gt;$B141+$D141,S$111&lt;$B141+$E141),$K141/($E141-$D141),0)))</f>
        <v>0</v>
      </c>
      <c r="T141" s="9">
        <f>IF(OR($C141="Annual",$D141=$E141),IF(AND($D141=$E141,T$111=$B141+$D141),$K141,IF(AND(T$111&gt;$B141+$D141,T$111&lt;=$B141+$E141), $K141/($E141-$D141),0)), IF(OR(T$111=$B141+$D141,T$111=$B141+$E141),$K141/(($E141-$D141)*2),IF(AND(T$111&gt;$B141+$D141,T$111&lt;$B141+$E141),$K141/($E141-$D141),0)))</f>
        <v>0</v>
      </c>
      <c r="U141" s="9"/>
      <c r="V141" s="9"/>
      <c r="W141" s="9"/>
      <c r="X141" s="9"/>
      <c r="Y141" s="9">
        <f t="shared" si="29"/>
        <v>0</v>
      </c>
      <c r="Z141" s="9">
        <f t="shared" ca="1" si="29"/>
        <v>3.1583905409092785</v>
      </c>
      <c r="AA141" s="9">
        <f t="shared" ca="1" si="29"/>
        <v>1.5791952704546393</v>
      </c>
    </row>
    <row r="142" spans="1:27">
      <c r="A142" s="8" t="str">
        <f>A141</f>
        <v>Type 1</v>
      </c>
      <c r="B142" s="7">
        <f>B141+1</f>
        <v>2022</v>
      </c>
      <c r="C142" s="7" t="str">
        <f>C141</f>
        <v>Annual</v>
      </c>
      <c r="D142" s="7">
        <f t="shared" si="30"/>
        <v>5</v>
      </c>
      <c r="E142" s="7">
        <f t="shared" si="30"/>
        <v>5</v>
      </c>
      <c r="F142" s="14">
        <f>$P$79</f>
        <v>4.5744886743189488E-2</v>
      </c>
      <c r="H142" s="9"/>
      <c r="I142" s="9"/>
      <c r="J142" s="9"/>
      <c r="K142" s="9"/>
      <c r="L142" s="9">
        <f ca="1">$F$79</f>
        <v>62.436617642797813</v>
      </c>
      <c r="M142" s="9">
        <f ca="1">L142-T142</f>
        <v>31.218308821398907</v>
      </c>
      <c r="N142" s="9"/>
      <c r="O142" s="9"/>
      <c r="P142" s="9"/>
      <c r="Q142" s="9"/>
      <c r="R142" s="9"/>
      <c r="S142" s="9">
        <f>IF(OR($C142="Annual",$D142=$E142),IF(AND($D142=$E142,S$111=$B142+$D142),$L142,IF(AND(S$111&gt;$B142+$D142,S$111&lt;=$B142+$E142), $L142/($E142-$D142),0)), IF(OR(S$111=$B142+$D142,S$111=$B142+$E142),$L142/(($E142-$D142)*2),IF(AND(S$111&gt;$B142+$D142,S$111&lt;$B142+$E142),$L142/($E142-$D142),0)))</f>
        <v>0</v>
      </c>
      <c r="T142" s="9">
        <f>IF(OR($C142="Annual",$D142=$E142),IF(AND($D142=$E142,T$111=$B142+$D142),$L142,IF(AND(T$111&gt;$B142+$D142,T$111&lt;=$B142+$E142), $L142/($E142-$D142),0)), IF(OR(T$111=$B142+$D142,T$111=$B142+$E142),$L142/(($E142-$D142)*2),IF(AND(T$111&gt;$B142+$D142,T$111&lt;$B142+$E142),$L142/($E142-$D142),0)))</f>
        <v>0</v>
      </c>
      <c r="U142" s="9"/>
      <c r="V142" s="9"/>
      <c r="W142" s="9"/>
      <c r="X142" s="9"/>
      <c r="Y142" s="9"/>
      <c r="Z142" s="9">
        <f t="shared" si="29"/>
        <v>0</v>
      </c>
      <c r="AA142" s="9">
        <f t="shared" ca="1" si="29"/>
        <v>4.081895570054999</v>
      </c>
    </row>
    <row r="143" spans="1:27">
      <c r="A143" s="8" t="str">
        <f>A142</f>
        <v>Type 1</v>
      </c>
      <c r="B143" s="7">
        <f>B142+1</f>
        <v>2023</v>
      </c>
      <c r="C143" s="7" t="str">
        <f>C142</f>
        <v>Annual</v>
      </c>
      <c r="D143" s="7">
        <f t="shared" si="30"/>
        <v>5</v>
      </c>
      <c r="E143" s="7">
        <f t="shared" si="30"/>
        <v>5</v>
      </c>
      <c r="F143" s="14">
        <f>$Q$79</f>
        <v>4.5744886743189488E-2</v>
      </c>
      <c r="H143" s="9"/>
      <c r="I143" s="9"/>
      <c r="J143" s="9"/>
      <c r="K143" s="9"/>
      <c r="L143" s="9"/>
      <c r="M143" s="9">
        <f ca="1">$G$79</f>
        <v>52.424897169489711</v>
      </c>
      <c r="N143" s="9"/>
      <c r="O143" s="9"/>
      <c r="P143" s="9"/>
      <c r="Q143" s="9"/>
      <c r="R143" s="9"/>
      <c r="S143" s="9"/>
      <c r="T143" s="9">
        <f>IF(OR($C143="Annual",$D143=$E143),IF(AND($D143=$E143,T$111=$B143+$D143),$M143,IF(AND(T$111&gt;$B143+$D143,T$111&lt;=$B143+$E143), $M143/($E143-$D143),0)), IF(OR(T$111=$B143+$D143,T$111=$B143+$E143),$M143/(($E143-$D143)*2),IF(AND(T$111&gt;$B143+$D143,T$111&lt;$B143+$E143),$M143/($E143-$D143),0)))</f>
        <v>0</v>
      </c>
      <c r="U143" s="9"/>
      <c r="V143" s="9"/>
      <c r="W143" s="9"/>
      <c r="X143" s="9"/>
      <c r="Y143" s="9"/>
      <c r="Z143" s="9"/>
      <c r="AA143" s="9">
        <f t="shared" si="29"/>
        <v>0</v>
      </c>
    </row>
    <row r="144" spans="1:27">
      <c r="C144" s="281"/>
      <c r="F144" s="15"/>
      <c r="H144" s="10"/>
      <c r="I144" s="10"/>
      <c r="J144" s="10"/>
      <c r="K144" s="10"/>
      <c r="L144" s="10"/>
      <c r="M144" s="10"/>
      <c r="N144" s="10"/>
      <c r="O144" s="278"/>
      <c r="P144" s="10"/>
      <c r="Q144" s="10"/>
      <c r="R144" s="10"/>
      <c r="S144" s="10"/>
      <c r="T144" s="10"/>
      <c r="U144" s="10"/>
      <c r="V144" s="10"/>
      <c r="W144" s="10"/>
      <c r="X144" s="10"/>
      <c r="Y144" s="10"/>
      <c r="Z144" s="10"/>
      <c r="AA144" s="10"/>
    </row>
    <row r="145" spans="1:27">
      <c r="A145" s="8" t="str">
        <f>'Input 4 - Forecast'!A61</f>
        <v>Type 2</v>
      </c>
      <c r="B145" s="7">
        <f>B119</f>
        <v>2018</v>
      </c>
      <c r="C145" s="7" t="str">
        <f>$I80</f>
        <v>Annual</v>
      </c>
      <c r="D145" s="7">
        <f>$J80</f>
        <v>0</v>
      </c>
      <c r="E145" s="7">
        <f>$K80</f>
        <v>0</v>
      </c>
      <c r="F145" s="14">
        <f>$L$80</f>
        <v>0</v>
      </c>
      <c r="H145" s="9">
        <f>$B$80</f>
        <v>0</v>
      </c>
      <c r="I145" s="9">
        <f>H145-P145</f>
        <v>0</v>
      </c>
      <c r="J145" s="9">
        <f>I145-Q145</f>
        <v>0</v>
      </c>
      <c r="K145" s="9">
        <f>J145-R145</f>
        <v>0</v>
      </c>
      <c r="L145" s="9">
        <f>K145-S145</f>
        <v>0</v>
      </c>
      <c r="M145" s="9">
        <f>L145-T145</f>
        <v>0</v>
      </c>
      <c r="N145" s="9"/>
      <c r="O145" s="9">
        <f t="shared" ref="O145:T145" si="31">IF(OR($C145="Annual",$D145=$E145),IF(AND($D145=$E145,O$111=$B145+$D145),$H145,IF(AND(O$111&gt;$B145+$D145,O$111&lt;=$B145+$E145), $H145/($E145-$D145),0)), IF(OR(O$111=$B145+$D145,O$111=$B145+$E145),$H145/(($E145-$D145)*2),IF(AND(O$111&gt;$B145+$D145,O$111&lt;$B145+$E145),$H145/($E145-$D145),0)))</f>
        <v>0</v>
      </c>
      <c r="P145" s="9">
        <f t="shared" si="31"/>
        <v>0</v>
      </c>
      <c r="Q145" s="9">
        <f t="shared" si="31"/>
        <v>0</v>
      </c>
      <c r="R145" s="9">
        <f t="shared" si="31"/>
        <v>0</v>
      </c>
      <c r="S145" s="9">
        <f t="shared" si="31"/>
        <v>0</v>
      </c>
      <c r="T145" s="9">
        <f t="shared" si="31"/>
        <v>0</v>
      </c>
      <c r="U145" s="9"/>
      <c r="V145" s="9">
        <f>IF($C145="annual",IF(V$111=$B145,0,G145*$F145),IF(V$111-$B145=0,0,IF((V$111-$B145)&lt;$E145,AVERAGE(G145,H145)*$F145,IF((V$111-$B145)=$E145,G145*$F145/2,0))))</f>
        <v>0</v>
      </c>
      <c r="W145" s="9">
        <f t="shared" ref="W145:AA150" si="32">IF($C145="annual",IF(W$111=$B145,0,H145*$F145),IF(W$111-$B145=0,0,IF((W$111-$B145)&lt;$E145,AVERAGE(H145,I145)*$F145,IF((W$111-$B145)=$E145,H145*$F145/2,0))))</f>
        <v>0</v>
      </c>
      <c r="X145" s="9">
        <f t="shared" si="32"/>
        <v>0</v>
      </c>
      <c r="Y145" s="9">
        <f t="shared" si="32"/>
        <v>0</v>
      </c>
      <c r="Z145" s="9">
        <f t="shared" si="32"/>
        <v>0</v>
      </c>
      <c r="AA145" s="9">
        <f t="shared" si="32"/>
        <v>0</v>
      </c>
    </row>
    <row r="146" spans="1:27">
      <c r="A146" s="8" t="str">
        <f>A145</f>
        <v>Type 2</v>
      </c>
      <c r="B146" s="7">
        <f>B145+1</f>
        <v>2019</v>
      </c>
      <c r="C146" s="7" t="str">
        <f>C145</f>
        <v>Annual</v>
      </c>
      <c r="D146" s="7">
        <f t="shared" ref="D146:E150" si="33">D145</f>
        <v>0</v>
      </c>
      <c r="E146" s="7">
        <f t="shared" si="33"/>
        <v>0</v>
      </c>
      <c r="F146" s="14">
        <f>$M$80</f>
        <v>3.5744886743189486E-2</v>
      </c>
      <c r="H146" s="9"/>
      <c r="I146" s="9">
        <f ca="1">$C$80</f>
        <v>58.473703973418026</v>
      </c>
      <c r="J146" s="9">
        <f ca="1">I146-Q146</f>
        <v>38.982469315612022</v>
      </c>
      <c r="K146" s="9">
        <f ca="1">J146-R146</f>
        <v>19.491234657806014</v>
      </c>
      <c r="L146" s="9">
        <f ca="1">K146-S146</f>
        <v>0</v>
      </c>
      <c r="M146" s="9">
        <f ca="1">L146-T146</f>
        <v>0</v>
      </c>
      <c r="N146" s="9"/>
      <c r="O146" s="9"/>
      <c r="P146" s="9">
        <f ca="1">IF(OR($C146="Annual",$D146=$E146),IF(AND($D146=$E146,P$111=$B146+$D146),$I146,IF(AND(P$111&gt;$B146+$D146,P$111&lt;=$B146+$E146), $I146/($E146-$D146),0)), IF(OR(P$111=$B146+$D146,P$111=$B146+$E146),$I146/(($E146-$D146)*2),IF(AND(P$111&gt;$B146+$D146,P$111&lt;$B146+$E146),$I146/($E146-$D146),0)))</f>
        <v>0</v>
      </c>
      <c r="Q146" s="9">
        <f>IF(OR($C146="Annual",$D146=$E146),IF(AND($D146=$E146,Q$111=$B146+$D146),$I146,IF(AND(Q$111&gt;$B146+$D146,Q$111&lt;=$B146+$E146), $I146/($E146-$D146),0)), IF(OR(Q$111=$B146+$D146,Q$111=$B146+$E146),$I146/(($E146-$D146)*2),IF(AND(Q$111&gt;$B146+$D146,Q$111&lt;$B146+$E146),$I146/($E146-$D146),0)))</f>
        <v>0</v>
      </c>
      <c r="R146" s="9">
        <f>IF(OR($C146="Annual",$D146=$E146),IF(AND($D146=$E146,R$111=$B146+$D146),$I146,IF(AND(R$111&gt;$B146+$D146,R$111&lt;=$B146+$E146), $I146/($E146-$D146),0)), IF(OR(R$111=$B146+$D146,R$111=$B146+$E146),$I146/(($E146-$D146)*2),IF(AND(R$111&gt;$B146+$D146,R$111&lt;$B146+$E146),$I146/($E146-$D146),0)))</f>
        <v>0</v>
      </c>
      <c r="S146" s="9">
        <f>IF(OR($C146="Annual",$D146=$E146),IF(AND($D146=$E146,S$111=$B146+$D146),$I146,IF(AND(S$111&gt;$B146+$D146,S$111&lt;=$B146+$E146), $I146/($E146-$D146),0)), IF(OR(S$111=$B146+$D146,S$111=$B146+$E146),$I146/(($E146-$D146)*2),IF(AND(S$111&gt;$B146+$D146,S$111&lt;$B146+$E146),$I146/($E146-$D146),0)))</f>
        <v>0</v>
      </c>
      <c r="T146" s="9">
        <f>IF(OR($C146="Annual",$D146=$E146),IF(AND($D146=$E146,T$111=$B146+$D146),$I146,IF(AND(T$111&gt;$B146+$D146,T$111&lt;=$B146+$E146), $I146/($E146-$D146),0)), IF(OR(T$111=$B146+$D146,T$111=$B146+$E146),$I146/(($E146-$D146)*2),IF(AND(T$111&gt;$B146+$D146,T$111&lt;$B146+$E146),$I146/($E146-$D146),0)))</f>
        <v>0</v>
      </c>
      <c r="U146" s="9"/>
      <c r="V146" s="9"/>
      <c r="W146" s="9">
        <f t="shared" si="32"/>
        <v>0</v>
      </c>
      <c r="X146" s="9">
        <f t="shared" ca="1" si="32"/>
        <v>3.3798753268509345</v>
      </c>
      <c r="Y146" s="9">
        <f t="shared" ca="1" si="32"/>
        <v>2.2532502179006233</v>
      </c>
      <c r="Z146" s="9">
        <f t="shared" ca="1" si="32"/>
        <v>1.1266251089503119</v>
      </c>
      <c r="AA146" s="9">
        <f t="shared" ca="1" si="32"/>
        <v>0</v>
      </c>
    </row>
    <row r="147" spans="1:27">
      <c r="A147" s="8" t="str">
        <f>A146</f>
        <v>Type 2</v>
      </c>
      <c r="B147" s="7">
        <f>B146+1</f>
        <v>2020</v>
      </c>
      <c r="C147" s="7" t="str">
        <f>C146</f>
        <v>Annual</v>
      </c>
      <c r="D147" s="7">
        <f t="shared" si="33"/>
        <v>0</v>
      </c>
      <c r="E147" s="7">
        <f t="shared" si="33"/>
        <v>0</v>
      </c>
      <c r="F147" s="14">
        <f>$N$80</f>
        <v>3.5744886743189486E-2</v>
      </c>
      <c r="H147" s="9"/>
      <c r="I147" s="9"/>
      <c r="J147" s="9">
        <f ca="1">$D$80</f>
        <v>65.973303846922448</v>
      </c>
      <c r="K147" s="9">
        <f ca="1">J147-R147</f>
        <v>43.982202564614965</v>
      </c>
      <c r="L147" s="9">
        <f ca="1">K147-S147</f>
        <v>21.991101282307483</v>
      </c>
      <c r="M147" s="9">
        <f ca="1">L147-T147</f>
        <v>0</v>
      </c>
      <c r="N147" s="9"/>
      <c r="O147" s="9"/>
      <c r="P147" s="9"/>
      <c r="Q147" s="9">
        <f ca="1">IF(OR($C147="Annual",$D147=$E147),IF(AND($D147=$E147,Q$111=$B147+$D147),$J147,IF(AND(Q$111&gt;$B147+$D147,Q$111&lt;=$B147+$E147), $J147/($E147-$D147),0)), IF(OR(Q$111=$B147+$D147,Q$111=$B147+$E147),$J147/(($E147-$D147)*2),IF(AND(Q$111&gt;$B147+$D147,Q$111&lt;$B147+$E147),$J147/($E147-$D147),0)))</f>
        <v>0</v>
      </c>
      <c r="R147" s="9">
        <f>IF(OR($C147="Annual",$D147=$E147),IF(AND($D147=$E147,R$111=$B147+$D147),$J147,IF(AND(R$111&gt;$B147+$D147,R$111&lt;=$B147+$E147), $J147/($E147-$D147),0)), IF(OR(R$111=$B147+$D147,R$111=$B147+$E147),$J147/(($E147-$D147)*2),IF(AND(R$111&gt;$B147+$D147,R$111&lt;$B147+$E147),$J147/($E147-$D147),0)))</f>
        <v>0</v>
      </c>
      <c r="S147" s="9">
        <f>IF(OR($C147="Annual",$D147=$E147),IF(AND($D147=$E147,S$111=$B147+$D147),$J147,IF(AND(S$111&gt;$B147+$D147,S$111&lt;=$B147+$E147), $J147/($E147-$D147),0)), IF(OR(S$111=$B147+$D147,S$111=$B147+$E147),$J147/(($E147-$D147)*2),IF(AND(S$111&gt;$B147+$D147,S$111&lt;$B147+$E147),$J147/($E147-$D147),0)))</f>
        <v>0</v>
      </c>
      <c r="T147" s="9">
        <f>IF(OR($C147="Annual",$D147=$E147),IF(AND($D147=$E147,T$111=$B147+$D147),$J147,IF(AND(T$111&gt;$B147+$D147,T$111&lt;=$B147+$E147), $J147/($E147-$D147),0)), IF(OR(T$111=$B147+$D147,T$111=$B147+$E147),$J147/(($E147-$D147)*2),IF(AND(T$111&gt;$B147+$D147,T$111&lt;$B147+$E147),$J147/($E147-$D147),0)))</f>
        <v>0</v>
      </c>
      <c r="U147" s="9"/>
      <c r="V147" s="9"/>
      <c r="W147" s="9"/>
      <c r="X147" s="9">
        <f t="shared" si="32"/>
        <v>0</v>
      </c>
      <c r="Y147" s="9">
        <f t="shared" ca="1" si="32"/>
        <v>4.010047326368122</v>
      </c>
      <c r="Z147" s="9">
        <f t="shared" ca="1" si="32"/>
        <v>2.6733648842454145</v>
      </c>
      <c r="AA147" s="9">
        <f t="shared" ca="1" si="32"/>
        <v>1.3366824421227073</v>
      </c>
    </row>
    <row r="148" spans="1:27">
      <c r="A148" s="8" t="str">
        <f>A147</f>
        <v>Type 2</v>
      </c>
      <c r="B148" s="7">
        <f>B147+1</f>
        <v>2021</v>
      </c>
      <c r="C148" s="7" t="str">
        <f>C147</f>
        <v>Annual</v>
      </c>
      <c r="D148" s="7">
        <f t="shared" si="33"/>
        <v>0</v>
      </c>
      <c r="E148" s="7">
        <f t="shared" si="33"/>
        <v>0</v>
      </c>
      <c r="F148" s="14">
        <f>$O$80</f>
        <v>3.5744886743189486E-2</v>
      </c>
      <c r="H148" s="9"/>
      <c r="I148" s="9"/>
      <c r="J148" s="9"/>
      <c r="K148" s="9">
        <f ca="1">$E$80</f>
        <v>57.050222596041444</v>
      </c>
      <c r="L148" s="9">
        <f ca="1">K148-S148</f>
        <v>38.033481730694291</v>
      </c>
      <c r="M148" s="9">
        <f ca="1">L148-T148</f>
        <v>19.016740865347142</v>
      </c>
      <c r="N148" s="9"/>
      <c r="O148" s="9"/>
      <c r="P148" s="9"/>
      <c r="Q148" s="9"/>
      <c r="R148" s="9">
        <f ca="1">IF(OR($C148="Annual",$D148=$E148),IF(AND($D148=$E148,R$111=$B148+$D148),$K148,IF(AND(R$111&gt;$B148+$D148,R$111&lt;=$B148+$E148), $K148/($E148-$D148),0)), IF(OR(R$111=$B148+$D148,R$111=$B148+$E148),$K148/(($E148-$D148)*2),IF(AND(R$111&gt;$B148+$D148,R$111&lt;$B148+$E148),$K148/($E148-$D148),0)))</f>
        <v>0</v>
      </c>
      <c r="S148" s="9">
        <f>IF(OR($C148="Annual",$D148=$E148),IF(AND($D148=$E148,S$111=$B148+$D148),$K148,IF(AND(S$111&gt;$B148+$D148,S$111&lt;=$B148+$E148), $K148/($E148-$D148),0)), IF(OR(S$111=$B148+$D148,S$111=$B148+$E148),$K148/(($E148-$D148)*2),IF(AND(S$111&gt;$B148+$D148,S$111&lt;$B148+$E148),$K148/($E148-$D148),0)))</f>
        <v>0</v>
      </c>
      <c r="T148" s="9">
        <f>IF(OR($C148="Annual",$D148=$E148),IF(AND($D148=$E148,T$111=$B148+$D148),$K148,IF(AND(T$111&gt;$B148+$D148,T$111&lt;=$B148+$E148), $K148/($E148-$D148),0)), IF(OR(T$111=$B148+$D148,T$111=$B148+$E148),$K148/(($E148-$D148)*2),IF(AND(T$111&gt;$B148+$D148,T$111&lt;$B148+$E148),$K148/($E148-$D148),0)))</f>
        <v>0</v>
      </c>
      <c r="U148" s="9"/>
      <c r="V148" s="9"/>
      <c r="W148" s="9"/>
      <c r="X148" s="9"/>
      <c r="Y148" s="9">
        <f t="shared" si="32"/>
        <v>0</v>
      </c>
      <c r="Z148" s="9">
        <f t="shared" ca="1" si="32"/>
        <v>3.6095891896106038</v>
      </c>
      <c r="AA148" s="9">
        <f t="shared" ca="1" si="32"/>
        <v>2.4063927930737354</v>
      </c>
    </row>
    <row r="149" spans="1:27">
      <c r="A149" s="8" t="str">
        <f>A148</f>
        <v>Type 2</v>
      </c>
      <c r="B149" s="7">
        <f>B148+1</f>
        <v>2022</v>
      </c>
      <c r="C149" s="7" t="str">
        <f>C148</f>
        <v>Annual</v>
      </c>
      <c r="D149" s="7">
        <f t="shared" si="33"/>
        <v>0</v>
      </c>
      <c r="E149" s="7">
        <f t="shared" si="33"/>
        <v>0</v>
      </c>
      <c r="F149" s="14">
        <f>$P$80</f>
        <v>3.5744886743189486E-2</v>
      </c>
      <c r="H149" s="9"/>
      <c r="I149" s="9"/>
      <c r="J149" s="9"/>
      <c r="K149" s="9"/>
      <c r="L149" s="9">
        <f ca="1">$F$80</f>
        <v>70.241194848147529</v>
      </c>
      <c r="M149" s="9">
        <f ca="1">L149-T149</f>
        <v>46.827463232098353</v>
      </c>
      <c r="N149" s="9"/>
      <c r="O149" s="9"/>
      <c r="P149" s="9"/>
      <c r="Q149" s="9"/>
      <c r="R149" s="9"/>
      <c r="S149" s="9">
        <f ca="1">IF(OR($C149="Annual",$D149=$E149),IF(AND($D149=$E149,S$111=$B149+$D149),$L149,IF(AND(S$111&gt;$B149+$D149,S$111&lt;=$B149+$E149), $L149/($E149-$D149),0)), IF(OR(S$111=$B149+$D149,S$111=$B149+$E149),$L149/(($E149-$D149)*2),IF(AND(S$111&gt;$B149+$D149,S$111&lt;$B149+$E149),$L149/($E149-$D149),0)))</f>
        <v>0</v>
      </c>
      <c r="T149" s="9">
        <f>IF(OR($C149="Annual",$D149=$E149),IF(AND($D149=$E149,T$111=$B149+$D149),$L149,IF(AND(T$111&gt;$B149+$D149,T$111&lt;=$B149+$E149), $L149/($E149-$D149),0)), IF(OR(T$111=$B149+$D149,T$111=$B149+$E149),$L149/(($E149-$D149)*2),IF(AND(T$111&gt;$B149+$D149,T$111&lt;$B149+$E149),$L149/($E149-$D149),0)))</f>
        <v>0</v>
      </c>
      <c r="U149" s="9"/>
      <c r="V149" s="9"/>
      <c r="W149" s="9"/>
      <c r="X149" s="9"/>
      <c r="Y149" s="9"/>
      <c r="Z149" s="9">
        <f t="shared" si="32"/>
        <v>0</v>
      </c>
      <c r="AA149" s="9">
        <f t="shared" ca="1" si="32"/>
        <v>4.5921325163118727</v>
      </c>
    </row>
    <row r="150" spans="1:27">
      <c r="A150" s="8" t="str">
        <f>A149</f>
        <v>Type 2</v>
      </c>
      <c r="B150" s="7">
        <f>B149+1</f>
        <v>2023</v>
      </c>
      <c r="C150" s="7" t="str">
        <f>C149</f>
        <v>Annual</v>
      </c>
      <c r="D150" s="7">
        <f t="shared" si="33"/>
        <v>0</v>
      </c>
      <c r="E150" s="7">
        <f t="shared" si="33"/>
        <v>0</v>
      </c>
      <c r="F150" s="14">
        <f>$Q$80</f>
        <v>3.5744886743189486E-2</v>
      </c>
      <c r="H150" s="9"/>
      <c r="I150" s="9"/>
      <c r="J150" s="9"/>
      <c r="K150" s="9"/>
      <c r="L150" s="9"/>
      <c r="M150" s="9">
        <f ca="1">$G$80</f>
        <v>65.864901229050048</v>
      </c>
      <c r="N150" s="9"/>
      <c r="O150" s="9"/>
      <c r="P150" s="9"/>
      <c r="Q150" s="9"/>
      <c r="R150" s="9"/>
      <c r="S150" s="9"/>
      <c r="T150" s="9">
        <f ca="1">IF(OR($C150="Annual",$D150=$E150),IF(AND($D150=$E150,T$111=$B150+$D150),$M150,IF(AND(T$111&gt;$B150+$D150,T$111&lt;=$B150+$E150), $M150/($E150-$D150),0)), IF(OR(T$111=$B150+$D150,T$111=$B150+$E150),$M150/(($E150-$D150)*2),IF(AND(T$111&gt;$B150+$D150,T$111&lt;$B150+$E150),$M150/($E150-$D150),0)))</f>
        <v>0</v>
      </c>
      <c r="U150" s="9"/>
      <c r="V150" s="9"/>
      <c r="W150" s="9"/>
      <c r="X150" s="9"/>
      <c r="Y150" s="9"/>
      <c r="Z150" s="9"/>
      <c r="AA150" s="9">
        <f t="shared" si="32"/>
        <v>0</v>
      </c>
    </row>
    <row r="151" spans="1:27">
      <c r="C151" s="281"/>
      <c r="F151" s="15"/>
      <c r="H151" s="10"/>
      <c r="I151" s="10"/>
      <c r="J151" s="10"/>
      <c r="K151" s="10"/>
      <c r="L151" s="10"/>
      <c r="M151" s="10"/>
      <c r="N151" s="10"/>
      <c r="O151" s="278"/>
      <c r="P151" s="10"/>
      <c r="Q151" s="10"/>
      <c r="R151" s="10"/>
      <c r="S151" s="10"/>
      <c r="T151" s="10"/>
      <c r="U151" s="10"/>
      <c r="V151" s="10"/>
      <c r="W151" s="10"/>
      <c r="X151" s="10"/>
      <c r="Y151" s="10"/>
      <c r="Z151" s="10"/>
      <c r="AA151" s="10"/>
    </row>
    <row r="152" spans="1:27">
      <c r="A152" s="8" t="str">
        <f>'Input 4 - Forecast'!A62</f>
        <v>Type 3</v>
      </c>
      <c r="B152" s="7">
        <f>B119</f>
        <v>2018</v>
      </c>
      <c r="C152" s="7" t="str">
        <f>$I81</f>
        <v>Annual</v>
      </c>
      <c r="D152" s="7">
        <f>$J81</f>
        <v>0</v>
      </c>
      <c r="E152" s="7">
        <f>$K81</f>
        <v>0</v>
      </c>
      <c r="F152" s="14">
        <f>$L$81</f>
        <v>0</v>
      </c>
      <c r="H152" s="9">
        <f>$B$81</f>
        <v>0</v>
      </c>
      <c r="I152" s="9">
        <f>H152-P152</f>
        <v>0</v>
      </c>
      <c r="J152" s="9">
        <f>I152-Q152</f>
        <v>0</v>
      </c>
      <c r="K152" s="9">
        <f>J152-R152</f>
        <v>0</v>
      </c>
      <c r="L152" s="9">
        <f>K152-S152</f>
        <v>0</v>
      </c>
      <c r="M152" s="9">
        <f>L152-T152</f>
        <v>0</v>
      </c>
      <c r="N152" s="9"/>
      <c r="O152" s="9">
        <f t="shared" ref="O152:T152" si="34">IF(OR($C152="Annual",$D152=$E152),IF(AND($D152=$E152,O$111=$B152+$D152),$H152,IF(AND(O$111&gt;$B152+$D152,O$111&lt;=$B152+$E152), $H152/($E152-$D152),0)), IF(OR(O$111=$B152+$D152,O$111=$B152+$E152),$H152/(($E152-$D152)*2),IF(AND(O$111&gt;$B152+$D152,O$111&lt;$B152+$E152),$H152/($E152-$D152),0)))</f>
        <v>0</v>
      </c>
      <c r="P152" s="9">
        <f t="shared" si="34"/>
        <v>0</v>
      </c>
      <c r="Q152" s="9">
        <f t="shared" si="34"/>
        <v>0</v>
      </c>
      <c r="R152" s="9">
        <f t="shared" si="34"/>
        <v>0</v>
      </c>
      <c r="S152" s="9">
        <f t="shared" si="34"/>
        <v>0</v>
      </c>
      <c r="T152" s="9">
        <f t="shared" si="34"/>
        <v>0</v>
      </c>
      <c r="U152" s="9"/>
      <c r="V152" s="9">
        <f>IF($C152="annual",IF(V$111=$B152,0,G152*$F152),IF(V$111-$B152=0,0,IF((V$111-$B152)&lt;$E152,AVERAGE(G152,H152)*$F152,IF((V$111-$B152)=$E152,G152*$F152/2,0))))</f>
        <v>0</v>
      </c>
      <c r="W152" s="9">
        <f t="shared" ref="W152:AA157" si="35">IF($C152="annual",IF(W$111=$B152,0,H152*$F152),IF(W$111-$B152=0,0,IF((W$111-$B152)&lt;$E152,AVERAGE(H152,I152)*$F152,IF((W$111-$B152)=$E152,H152*$F152/2,0))))</f>
        <v>0</v>
      </c>
      <c r="X152" s="9">
        <f t="shared" si="35"/>
        <v>0</v>
      </c>
      <c r="Y152" s="9">
        <f t="shared" si="35"/>
        <v>0</v>
      </c>
      <c r="Z152" s="9">
        <f t="shared" si="35"/>
        <v>0</v>
      </c>
      <c r="AA152" s="9">
        <f t="shared" si="35"/>
        <v>0</v>
      </c>
    </row>
    <row r="153" spans="1:27">
      <c r="A153" s="8" t="str">
        <f>A152</f>
        <v>Type 3</v>
      </c>
      <c r="B153" s="7">
        <f>B152+1</f>
        <v>2019</v>
      </c>
      <c r="C153" s="7" t="str">
        <f>C152</f>
        <v>Annual</v>
      </c>
      <c r="D153" s="7">
        <f t="shared" ref="D153:E157" si="36">D152</f>
        <v>0</v>
      </c>
      <c r="E153" s="7">
        <f t="shared" si="36"/>
        <v>0</v>
      </c>
      <c r="F153" s="14">
        <f>$M$81</f>
        <v>3.5744886743189486E-2</v>
      </c>
      <c r="H153" s="9"/>
      <c r="I153" s="9">
        <f ca="1">$C$81</f>
        <v>74.716399521589693</v>
      </c>
      <c r="J153" s="9">
        <f ca="1">I153-Q153</f>
        <v>59.773119617271753</v>
      </c>
      <c r="K153" s="9">
        <f ca="1">J153-R153</f>
        <v>44.829839712953813</v>
      </c>
      <c r="L153" s="9">
        <f ca="1">K153-S153</f>
        <v>29.886559808635873</v>
      </c>
      <c r="M153" s="9">
        <f ca="1">L153-T153</f>
        <v>14.943279904317935</v>
      </c>
      <c r="N153" s="9"/>
      <c r="O153" s="9"/>
      <c r="P153" s="9">
        <f ca="1">IF(OR($C153="Annual",$D153=$E153),IF(AND($D153=$E153,P$111=$B153+$D153),$I153,IF(AND(P$111&gt;$B153+$D153,P$111&lt;=$B153+$E153), $I153/($E153-$D153),0)), IF(OR(P$111=$B153+$D153,P$111=$B153+$E153),$I153/(($E153-$D153)*2),IF(AND(P$111&gt;$B153+$D153,P$111&lt;$B153+$E153),$I153/($E153-$D153),0)))</f>
        <v>0</v>
      </c>
      <c r="Q153" s="9">
        <f>IF(OR($C153="Annual",$D153=$E153),IF(AND($D153=$E153,Q$111=$B153+$D153),$I153,IF(AND(Q$111&gt;$B153+$D153,Q$111&lt;=$B153+$E153), $I153/($E153-$D153),0)), IF(OR(Q$111=$B153+$D153,Q$111=$B153+$E153),$I153/(($E153-$D153)*2),IF(AND(Q$111&gt;$B153+$D153,Q$111&lt;$B153+$E153),$I153/($E153-$D153),0)))</f>
        <v>0</v>
      </c>
      <c r="R153" s="9">
        <f>IF(OR($C153="Annual",$D153=$E153),IF(AND($D153=$E153,R$111=$B153+$D153),$I153,IF(AND(R$111&gt;$B153+$D153,R$111&lt;=$B153+$E153), $I153/($E153-$D153),0)), IF(OR(R$111=$B153+$D153,R$111=$B153+$E153),$I153/(($E153-$D153)*2),IF(AND(R$111&gt;$B153+$D153,R$111&lt;$B153+$E153),$I153/($E153-$D153),0)))</f>
        <v>0</v>
      </c>
      <c r="S153" s="9">
        <f>IF(OR($C153="Annual",$D153=$E153),IF(AND($D153=$E153,S$111=$B153+$D153),$I153,IF(AND(S$111&gt;$B153+$D153,S$111&lt;=$B153+$E153), $I153/($E153-$D153),0)), IF(OR(S$111=$B153+$D153,S$111=$B153+$E153),$I153/(($E153-$D153)*2),IF(AND(S$111&gt;$B153+$D153,S$111&lt;$B153+$E153),$I153/($E153-$D153),0)))</f>
        <v>0</v>
      </c>
      <c r="T153" s="9">
        <f>IF(OR($C153="Annual",$D153=$E153),IF(AND($D153=$E153,T$111=$B153+$D153),$I153,IF(AND(T$111&gt;$B153+$D153,T$111&lt;=$B153+$E153), $I153/($E153-$D153),0)), IF(OR(T$111=$B153+$D153,T$111=$B153+$E153),$I153/(($E153-$D153)*2),IF(AND(T$111&gt;$B153+$D153,T$111&lt;$B153+$E153),$I153/($E153-$D153),0)))</f>
        <v>0</v>
      </c>
      <c r="U153" s="9"/>
      <c r="V153" s="9"/>
      <c r="W153" s="9">
        <f t="shared" si="35"/>
        <v>0</v>
      </c>
      <c r="X153" s="9">
        <f t="shared" ca="1" si="35"/>
        <v>5.1083885317533282</v>
      </c>
      <c r="Y153" s="9">
        <f t="shared" ca="1" si="35"/>
        <v>4.0867108254026627</v>
      </c>
      <c r="Z153" s="9">
        <f t="shared" ca="1" si="35"/>
        <v>3.0650331190519968</v>
      </c>
      <c r="AA153" s="9">
        <f t="shared" ca="1" si="35"/>
        <v>2.0433554127013309</v>
      </c>
    </row>
    <row r="154" spans="1:27">
      <c r="A154" s="8" t="str">
        <f>A153</f>
        <v>Type 3</v>
      </c>
      <c r="B154" s="7">
        <f>B153+1</f>
        <v>2020</v>
      </c>
      <c r="C154" s="7" t="str">
        <f>C153</f>
        <v>Annual</v>
      </c>
      <c r="D154" s="7">
        <f t="shared" si="36"/>
        <v>0</v>
      </c>
      <c r="E154" s="7">
        <f t="shared" si="36"/>
        <v>0</v>
      </c>
      <c r="F154" s="14">
        <f>$N$81</f>
        <v>3.5744886743189486E-2</v>
      </c>
      <c r="H154" s="9"/>
      <c r="I154" s="9"/>
      <c r="J154" s="9">
        <f ca="1">$D$81</f>
        <v>81.916852276595378</v>
      </c>
      <c r="K154" s="9">
        <f ca="1">J154-R154</f>
        <v>65.533481821276297</v>
      </c>
      <c r="L154" s="9">
        <f ca="1">K154-S154</f>
        <v>49.150111365957223</v>
      </c>
      <c r="M154" s="9">
        <f ca="1">L154-T154</f>
        <v>32.766740910638148</v>
      </c>
      <c r="N154" s="9"/>
      <c r="O154" s="9"/>
      <c r="P154" s="9"/>
      <c r="Q154" s="9">
        <f ca="1">IF(OR($C154="Annual",$D154=$E154),IF(AND($D154=$E154,Q$111=$B154+$D154),$J154,IF(AND(Q$111&gt;$B154+$D154,Q$111&lt;=$B154+$E154), $J154/($E154-$D154),0)), IF(OR(Q$111=$B154+$D154,Q$111=$B154+$E154),$J154/(($E154-$D154)*2),IF(AND(Q$111&gt;$B154+$D154,Q$111&lt;$B154+$E154),$J154/($E154-$D154),0)))</f>
        <v>0</v>
      </c>
      <c r="R154" s="9">
        <f>IF(OR($C154="Annual",$D154=$E154),IF(AND($D154=$E154,R$111=$B154+$D154),$J154,IF(AND(R$111&gt;$B154+$D154,R$111&lt;=$B154+$E154), $J154/($E154-$D154),0)), IF(OR(R$111=$B154+$D154,R$111=$B154+$E154),$J154/(($E154-$D154)*2),IF(AND(R$111&gt;$B154+$D154,R$111&lt;$B154+$E154),$J154/($E154-$D154),0)))</f>
        <v>0</v>
      </c>
      <c r="S154" s="9">
        <f>IF(OR($C154="Annual",$D154=$E154),IF(AND($D154=$E154,S$111=$B154+$D154),$J154,IF(AND(S$111&gt;$B154+$D154,S$111&lt;=$B154+$E154), $J154/($E154-$D154),0)), IF(OR(S$111=$B154+$D154,S$111=$B154+$E154),$J154/(($E154-$D154)*2),IF(AND(S$111&gt;$B154+$D154,S$111&lt;$B154+$E154),$J154/($E154-$D154),0)))</f>
        <v>0</v>
      </c>
      <c r="T154" s="9">
        <f>IF(OR($C154="Annual",$D154=$E154),IF(AND($D154=$E154,T$111=$B154+$D154),$J154,IF(AND(T$111&gt;$B154+$D154,T$111&lt;=$B154+$E154), $J154/($E154-$D154),0)), IF(OR(T$111=$B154+$D154,T$111=$B154+$E154),$J154/(($E154-$D154)*2),IF(AND(T$111&gt;$B154+$D154,T$111&lt;$B154+$E154),$J154/($E154-$D154),0)))</f>
        <v>0</v>
      </c>
      <c r="U154" s="9"/>
      <c r="V154" s="9"/>
      <c r="W154" s="9"/>
      <c r="X154" s="9">
        <f t="shared" si="35"/>
        <v>0</v>
      </c>
      <c r="Y154" s="9">
        <f t="shared" ca="1" si="35"/>
        <v>5.8464367703855418</v>
      </c>
      <c r="Z154" s="9">
        <f t="shared" ca="1" si="35"/>
        <v>4.6771494163084331</v>
      </c>
      <c r="AA154" s="9">
        <f t="shared" ca="1" si="35"/>
        <v>3.5078620622313248</v>
      </c>
    </row>
    <row r="155" spans="1:27">
      <c r="A155" s="8" t="str">
        <f>A154</f>
        <v>Type 3</v>
      </c>
      <c r="B155" s="7">
        <f>B154+1</f>
        <v>2021</v>
      </c>
      <c r="C155" s="7" t="str">
        <f>C154</f>
        <v>Annual</v>
      </c>
      <c r="D155" s="7">
        <f t="shared" si="36"/>
        <v>0</v>
      </c>
      <c r="E155" s="7">
        <f t="shared" si="36"/>
        <v>0</v>
      </c>
      <c r="F155" s="14">
        <f>$O$81</f>
        <v>3.5744886743189486E-2</v>
      </c>
      <c r="H155" s="9"/>
      <c r="I155" s="9"/>
      <c r="J155" s="9"/>
      <c r="K155" s="9">
        <f ca="1">$E$81</f>
        <v>68.460267115249735</v>
      </c>
      <c r="L155" s="9">
        <f ca="1">K155-S155</f>
        <v>54.768213692199787</v>
      </c>
      <c r="M155" s="9">
        <f ca="1">L155-T155</f>
        <v>41.076160269149838</v>
      </c>
      <c r="N155" s="9"/>
      <c r="O155" s="9"/>
      <c r="P155" s="9"/>
      <c r="Q155" s="9"/>
      <c r="R155" s="9">
        <f ca="1">IF(OR($C155="Annual",$D155=$E155),IF(AND($D155=$E155,R$111=$B155+$D155),$K155,IF(AND(R$111&gt;$B155+$D155,R$111&lt;=$B155+$E155), $K155/($E155-$D155),0)), IF(OR(R$111=$B155+$D155,R$111=$B155+$E155),$K155/(($E155-$D155)*2),IF(AND(R$111&gt;$B155+$D155,R$111&lt;$B155+$E155),$K155/($E155-$D155),0)))</f>
        <v>0</v>
      </c>
      <c r="S155" s="9">
        <f>IF(OR($C155="Annual",$D155=$E155),IF(AND($D155=$E155,S$111=$B155+$D155),$K155,IF(AND(S$111&gt;$B155+$D155,S$111&lt;=$B155+$E155), $K155/($E155-$D155),0)), IF(OR(S$111=$B155+$D155,S$111=$B155+$E155),$K155/(($E155-$D155)*2),IF(AND(S$111&gt;$B155+$D155,S$111&lt;$B155+$E155),$K155/($E155-$D155),0)))</f>
        <v>0</v>
      </c>
      <c r="T155" s="9">
        <f>IF(OR($C155="Annual",$D155=$E155),IF(AND($D155=$E155,T$111=$B155+$D155),$K155,IF(AND(T$111&gt;$B155+$D155,T$111&lt;=$B155+$E155), $K155/($E155-$D155),0)), IF(OR(T$111=$B155+$D155,T$111=$B155+$E155),$K155/(($E155-$D155)*2),IF(AND(T$111&gt;$B155+$D155,T$111&lt;$B155+$E155),$K155/($E155-$D155),0)))</f>
        <v>0</v>
      </c>
      <c r="U155" s="9"/>
      <c r="V155" s="9"/>
      <c r="W155" s="9"/>
      <c r="X155" s="9"/>
      <c r="Y155" s="9">
        <f t="shared" si="35"/>
        <v>0</v>
      </c>
      <c r="Z155" s="9">
        <f t="shared" ca="1" si="35"/>
        <v>4.9544954582815013</v>
      </c>
      <c r="AA155" s="9">
        <f t="shared" ca="1" si="35"/>
        <v>3.9635963666252008</v>
      </c>
    </row>
    <row r="156" spans="1:27">
      <c r="A156" s="8" t="str">
        <f>A155</f>
        <v>Type 3</v>
      </c>
      <c r="B156" s="7">
        <f>B155+1</f>
        <v>2022</v>
      </c>
      <c r="C156" s="7" t="str">
        <f>C155</f>
        <v>Annual</v>
      </c>
      <c r="D156" s="7">
        <f t="shared" si="36"/>
        <v>0</v>
      </c>
      <c r="E156" s="7">
        <f t="shared" si="36"/>
        <v>0</v>
      </c>
      <c r="F156" s="14">
        <f>$P$81</f>
        <v>3.5744886743189486E-2</v>
      </c>
      <c r="H156" s="9"/>
      <c r="I156" s="9"/>
      <c r="J156" s="9"/>
      <c r="K156" s="9"/>
      <c r="L156" s="9">
        <f ca="1">$F$81</f>
        <v>83.508976097242083</v>
      </c>
      <c r="M156" s="9">
        <f ca="1">L156-T156</f>
        <v>66.80718087779367</v>
      </c>
      <c r="N156" s="9"/>
      <c r="O156" s="9"/>
      <c r="P156" s="9"/>
      <c r="Q156" s="9"/>
      <c r="R156" s="9"/>
      <c r="S156" s="9">
        <f ca="1">IF(OR($C156="Annual",$D156=$E156),IF(AND($D156=$E156,S$111=$B156+$D156),$L156,IF(AND(S$111&gt;$B156+$D156,S$111&lt;=$B156+$E156), $L156/($E156-$D156),0)), IF(OR(S$111=$B156+$D156,S$111=$B156+$E156),$L156/(($E156-$D156)*2),IF(AND(S$111&gt;$B156+$D156,S$111&lt;$B156+$E156),$L156/($E156-$D156),0)))</f>
        <v>0</v>
      </c>
      <c r="T156" s="9">
        <f>IF(OR($C156="Annual",$D156=$E156),IF(AND($D156=$E156,T$111=$B156+$D156),$L156,IF(AND(T$111&gt;$B156+$D156,T$111&lt;=$B156+$E156), $L156/($E156-$D156),0)), IF(OR(T$111=$B156+$D156,T$111=$B156+$E156),$L156/(($E156-$D156)*2),IF(AND(T$111&gt;$B156+$D156,T$111&lt;$B156+$E156),$L156/($E156-$D156),0)))</f>
        <v>0</v>
      </c>
      <c r="U156" s="9"/>
      <c r="V156" s="9"/>
      <c r="W156" s="9"/>
      <c r="X156" s="9"/>
      <c r="Y156" s="9"/>
      <c r="Z156" s="9">
        <f t="shared" si="35"/>
        <v>0</v>
      </c>
      <c r="AA156" s="9">
        <f t="shared" ca="1" si="35"/>
        <v>6.1270852026258895</v>
      </c>
    </row>
    <row r="157" spans="1:27">
      <c r="A157" s="8" t="str">
        <f>A156</f>
        <v>Type 3</v>
      </c>
      <c r="B157" s="7">
        <f>B156+1</f>
        <v>2023</v>
      </c>
      <c r="C157" s="7" t="str">
        <f>C156</f>
        <v>Annual</v>
      </c>
      <c r="D157" s="7">
        <f t="shared" si="36"/>
        <v>0</v>
      </c>
      <c r="E157" s="7">
        <f t="shared" si="36"/>
        <v>0</v>
      </c>
      <c r="F157" s="14">
        <f>$Q$81</f>
        <v>3.5744886743189486E-2</v>
      </c>
      <c r="H157" s="9"/>
      <c r="I157" s="9"/>
      <c r="J157" s="9"/>
      <c r="K157" s="9"/>
      <c r="L157" s="9"/>
      <c r="M157" s="9">
        <f ca="1">$G$81</f>
        <v>95.224239448843605</v>
      </c>
      <c r="N157" s="9"/>
      <c r="O157" s="9"/>
      <c r="P157" s="9"/>
      <c r="Q157" s="9"/>
      <c r="R157" s="9"/>
      <c r="S157" s="9"/>
      <c r="T157" s="9">
        <f ca="1">IF(OR($C157="Annual",$D157=$E157),IF(AND($D157=$E157,T$111=$B157+$D157),$M157,IF(AND(T$111&gt;$B157+$D157,T$111&lt;=$B157+$E157), $M157/($E157-$D157),0)), IF(OR(T$111=$B157+$D157,T$111=$B157+$E157),$M157/(($E157-$D157)*2),IF(AND(T$111&gt;$B157+$D157,T$111&lt;$B157+$E157),$M157/($E157-$D157),0)))</f>
        <v>0</v>
      </c>
      <c r="U157" s="9"/>
      <c r="V157" s="9"/>
      <c r="W157" s="9"/>
      <c r="X157" s="9"/>
      <c r="Y157" s="9"/>
      <c r="Z157" s="9"/>
      <c r="AA157" s="9">
        <f t="shared" si="35"/>
        <v>0</v>
      </c>
    </row>
    <row r="158" spans="1:27">
      <c r="C158" s="281"/>
      <c r="F158" s="15"/>
      <c r="H158" s="10"/>
      <c r="I158" s="10"/>
      <c r="J158" s="10"/>
      <c r="K158" s="10"/>
      <c r="L158" s="10"/>
      <c r="M158" s="10"/>
      <c r="N158" s="10"/>
      <c r="O158" s="278"/>
      <c r="P158" s="10"/>
      <c r="Q158" s="10"/>
      <c r="R158" s="10"/>
      <c r="S158" s="10"/>
      <c r="T158" s="10"/>
      <c r="U158" s="10"/>
      <c r="V158" s="10"/>
      <c r="W158" s="10"/>
      <c r="X158" s="10"/>
      <c r="Y158" s="10"/>
      <c r="Z158" s="10"/>
      <c r="AA158" s="10"/>
    </row>
    <row r="159" spans="1:27">
      <c r="A159" s="8" t="str">
        <f>'Input 4 - Forecast'!A63</f>
        <v>Type 4</v>
      </c>
      <c r="B159" s="7">
        <f>B119</f>
        <v>2018</v>
      </c>
      <c r="C159" s="7" t="str">
        <f>$I82</f>
        <v>Annual</v>
      </c>
      <c r="D159" s="7">
        <f>$J82</f>
        <v>0</v>
      </c>
      <c r="E159" s="7">
        <f>$K82</f>
        <v>0</v>
      </c>
      <c r="F159" s="14">
        <f>$L$82</f>
        <v>0</v>
      </c>
      <c r="H159" s="9">
        <f>$B$82</f>
        <v>0</v>
      </c>
      <c r="I159" s="9">
        <f>H159-P159</f>
        <v>0</v>
      </c>
      <c r="J159" s="9">
        <f>I159-Q159</f>
        <v>0</v>
      </c>
      <c r="K159" s="9">
        <f>J159-R159</f>
        <v>0</v>
      </c>
      <c r="L159" s="9">
        <f>K159-S159</f>
        <v>0</v>
      </c>
      <c r="M159" s="9">
        <f>L159-T159</f>
        <v>0</v>
      </c>
      <c r="N159" s="9"/>
      <c r="O159" s="9">
        <f t="shared" ref="O159:T159" si="37">IF(OR($C159="Annual",$D159=$E159),IF(AND($D159=$E159,O$111=$B159+$D159),$H159,IF(AND(O$111&gt;$B159+$D159,O$111&lt;=$B159+$E159), $H159/($E159-$D159),0)), IF(OR(O$111=$B159+$D159,O$111=$B159+$E159),$H159/(($E159-$D159)*2),IF(AND(O$111&gt;$B159+$D159,O$111&lt;$B159+$E159),$H159/($E159-$D159),0)))</f>
        <v>0</v>
      </c>
      <c r="P159" s="9">
        <f t="shared" si="37"/>
        <v>0</v>
      </c>
      <c r="Q159" s="9">
        <f t="shared" si="37"/>
        <v>0</v>
      </c>
      <c r="R159" s="9">
        <f t="shared" si="37"/>
        <v>0</v>
      </c>
      <c r="S159" s="9">
        <f t="shared" si="37"/>
        <v>0</v>
      </c>
      <c r="T159" s="9">
        <f t="shared" si="37"/>
        <v>0</v>
      </c>
      <c r="U159" s="9"/>
      <c r="V159" s="9">
        <f>IF($C159="annual",IF(V$111=$B159,0,G159*$F159),IF(V$111-$B159=0,0,IF((V$111-$B159)&lt;$E159,AVERAGE(G159,H159)*$F159,IF((V$111-$B159)=$E159,G159*$F159/2,0))))</f>
        <v>0</v>
      </c>
      <c r="W159" s="9">
        <f t="shared" ref="W159:AA164" si="38">IF($C159="annual",IF(W$111=$B159,0,H159*$F159),IF(W$111-$B159=0,0,IF((W$111-$B159)&lt;$E159,AVERAGE(H159,I159)*$F159,IF((W$111-$B159)=$E159,H159*$F159/2,0))))</f>
        <v>0</v>
      </c>
      <c r="X159" s="9">
        <f t="shared" si="38"/>
        <v>0</v>
      </c>
      <c r="Y159" s="9">
        <f t="shared" si="38"/>
        <v>0</v>
      </c>
      <c r="Z159" s="9">
        <f t="shared" si="38"/>
        <v>0</v>
      </c>
      <c r="AA159" s="9">
        <f t="shared" si="38"/>
        <v>0</v>
      </c>
    </row>
    <row r="160" spans="1:27">
      <c r="A160" s="8" t="str">
        <f>A159</f>
        <v>Type 4</v>
      </c>
      <c r="B160" s="7">
        <f>B159+1</f>
        <v>2019</v>
      </c>
      <c r="C160" s="7" t="str">
        <f>C159</f>
        <v>Annual</v>
      </c>
      <c r="D160" s="7">
        <f t="shared" ref="D160:E164" si="39">D159</f>
        <v>0</v>
      </c>
      <c r="E160" s="7">
        <f t="shared" si="39"/>
        <v>0</v>
      </c>
      <c r="F160" s="14">
        <f>$M$82</f>
        <v>3.5744886743189486E-2</v>
      </c>
      <c r="H160" s="9"/>
      <c r="I160" s="9">
        <f ca="1">$C$82</f>
        <v>122.14507052225098</v>
      </c>
      <c r="J160" s="9">
        <f ca="1">I160-Q160</f>
        <v>109.93056347002587</v>
      </c>
      <c r="K160" s="9">
        <f ca="1">J160-R160</f>
        <v>97.716056417800772</v>
      </c>
      <c r="L160" s="9">
        <f ca="1">K160-S160</f>
        <v>85.50154936557567</v>
      </c>
      <c r="M160" s="9">
        <f ca="1">L160-T160</f>
        <v>73.287042313350568</v>
      </c>
      <c r="N160" s="9"/>
      <c r="O160" s="9"/>
      <c r="P160" s="9">
        <f ca="1">IF(OR($C160="Annual",$D160=$E160),IF(AND($D160=$E160,P$111=$B160+$D160),$I160,IF(AND(P$111&gt;$B160+$D160,P$111&lt;=$B160+$E160), $I160/($E160-$D160),0)), IF(OR(P$111=$B160+$D160,P$111=$B160+$E160),$I160/(($E160-$D160)*2),IF(AND(P$111&gt;$B160+$D160,P$111&lt;$B160+$E160),$I160/($E160-$D160),0)))</f>
        <v>0</v>
      </c>
      <c r="Q160" s="9">
        <f>IF(OR($C160="Annual",$D160=$E160),IF(AND($D160=$E160,Q$111=$B160+$D160),$I160,IF(AND(Q$111&gt;$B160+$D160,Q$111&lt;=$B160+$E160), $I160/($E160-$D160),0)), IF(OR(Q$111=$B160+$D160,Q$111=$B160+$E160),$I160/(($E160-$D160)*2),IF(AND(Q$111&gt;$B160+$D160,Q$111&lt;$B160+$E160),$I160/($E160-$D160),0)))</f>
        <v>0</v>
      </c>
      <c r="R160" s="9">
        <f>IF(OR($C160="Annual",$D160=$E160),IF(AND($D160=$E160,R$111=$B160+$D160),$I160,IF(AND(R$111&gt;$B160+$D160,R$111&lt;=$B160+$E160), $I160/($E160-$D160),0)), IF(OR(R$111=$B160+$D160,R$111=$B160+$E160),$I160/(($E160-$D160)*2),IF(AND(R$111&gt;$B160+$D160,R$111&lt;$B160+$E160),$I160/($E160-$D160),0)))</f>
        <v>0</v>
      </c>
      <c r="S160" s="9">
        <f>IF(OR($C160="Annual",$D160=$E160),IF(AND($D160=$E160,S$111=$B160+$D160),$I160,IF(AND(S$111&gt;$B160+$D160,S$111&lt;=$B160+$E160), $I160/($E160-$D160),0)), IF(OR(S$111=$B160+$D160,S$111=$B160+$E160),$I160/(($E160-$D160)*2),IF(AND(S$111&gt;$B160+$D160,S$111&lt;$B160+$E160),$I160/($E160-$D160),0)))</f>
        <v>0</v>
      </c>
      <c r="T160" s="9">
        <f>IF(OR($C160="Annual",$D160=$E160),IF(AND($D160=$E160,T$111=$B160+$D160),$I160,IF(AND(T$111&gt;$B160+$D160,T$111&lt;=$B160+$E160), $I160/($E160-$D160),0)), IF(OR(T$111=$B160+$D160,T$111=$B160+$E160),$I160/(($E160-$D160)*2),IF(AND(T$111&gt;$B160+$D160,T$111&lt;$B160+$E160),$I160/($E160-$D160),0)))</f>
        <v>0</v>
      </c>
      <c r="U160" s="9"/>
      <c r="V160" s="9"/>
      <c r="W160" s="9">
        <f t="shared" si="38"/>
        <v>0</v>
      </c>
      <c r="X160" s="9">
        <f t="shared" ca="1" si="38"/>
        <v>9.5725554353931663</v>
      </c>
      <c r="Y160" s="9">
        <f t="shared" ca="1" si="38"/>
        <v>8.6152998918538497</v>
      </c>
      <c r="Z160" s="9">
        <f t="shared" ca="1" si="38"/>
        <v>7.6580443483145331</v>
      </c>
      <c r="AA160" s="9">
        <f t="shared" ca="1" si="38"/>
        <v>6.7007888047752155</v>
      </c>
    </row>
    <row r="161" spans="1:27">
      <c r="A161" s="8" t="str">
        <f>A160</f>
        <v>Type 4</v>
      </c>
      <c r="B161" s="7">
        <f>B160+1</f>
        <v>2020</v>
      </c>
      <c r="C161" s="7" t="str">
        <f>C160</f>
        <v>Annual</v>
      </c>
      <c r="D161" s="7">
        <f t="shared" si="39"/>
        <v>0</v>
      </c>
      <c r="E161" s="7">
        <f t="shared" si="39"/>
        <v>0</v>
      </c>
      <c r="F161" s="14">
        <f>$N$82</f>
        <v>3.5744886743189486E-2</v>
      </c>
      <c r="H161" s="9"/>
      <c r="I161" s="9"/>
      <c r="J161" s="9">
        <f ca="1">$D$82</f>
        <v>125.07438854312382</v>
      </c>
      <c r="K161" s="9">
        <f ca="1">J161-R161</f>
        <v>112.56694968881143</v>
      </c>
      <c r="L161" s="9">
        <f ca="1">K161-S161</f>
        <v>100.05951083449905</v>
      </c>
      <c r="M161" s="9">
        <f ca="1">L161-T161</f>
        <v>87.552071980186668</v>
      </c>
      <c r="N161" s="9"/>
      <c r="O161" s="9"/>
      <c r="P161" s="9"/>
      <c r="Q161" s="9">
        <f ca="1">IF(OR($C161="Annual",$D161=$E161),IF(AND($D161=$E161,Q$111=$B161+$D161),$J161,IF(AND(Q$111&gt;$B161+$D161,Q$111&lt;=$B161+$E161), $J161/($E161-$D161),0)), IF(OR(Q$111=$B161+$D161,Q$111=$B161+$E161),$J161/(($E161-$D161)*2),IF(AND(Q$111&gt;$B161+$D161,Q$111&lt;$B161+$E161),$J161/($E161-$D161),0)))</f>
        <v>0</v>
      </c>
      <c r="R161" s="9">
        <f>IF(OR($C161="Annual",$D161=$E161),IF(AND($D161=$E161,R$111=$B161+$D161),$J161,IF(AND(R$111&gt;$B161+$D161,R$111&lt;=$B161+$E161), $J161/($E161-$D161),0)), IF(OR(R$111=$B161+$D161,R$111=$B161+$E161),$J161/(($E161-$D161)*2),IF(AND(R$111&gt;$B161+$D161,R$111&lt;$B161+$E161),$J161/($E161-$D161),0)))</f>
        <v>0</v>
      </c>
      <c r="S161" s="9">
        <f>IF(OR($C161="Annual",$D161=$E161),IF(AND($D161=$E161,S$111=$B161+$D161),$J161,IF(AND(S$111&gt;$B161+$D161,S$111&lt;=$B161+$E161), $J161/($E161-$D161),0)), IF(OR(S$111=$B161+$D161,S$111=$B161+$E161),$J161/(($E161-$D161)*2),IF(AND(S$111&gt;$B161+$D161,S$111&lt;$B161+$E161),$J161/($E161-$D161),0)))</f>
        <v>0</v>
      </c>
      <c r="T161" s="9">
        <f>IF(OR($C161="Annual",$D161=$E161),IF(AND($D161=$E161,T$111=$B161+$D161),$J161,IF(AND(T$111&gt;$B161+$D161,T$111&lt;=$B161+$E161), $J161/($E161-$D161),0)), IF(OR(T$111=$B161+$D161,T$111=$B161+$E161),$J161/(($E161-$D161)*2),IF(AND(T$111&gt;$B161+$D161,T$111&lt;$B161+$E161),$J161/($E161-$D161),0)))</f>
        <v>0</v>
      </c>
      <c r="U161" s="9"/>
      <c r="V161" s="9"/>
      <c r="W161" s="9"/>
      <c r="X161" s="9">
        <f t="shared" si="38"/>
        <v>0</v>
      </c>
      <c r="Y161" s="9">
        <f t="shared" ca="1" si="38"/>
        <v>10.177350363704466</v>
      </c>
      <c r="Z161" s="9">
        <f t="shared" ca="1" si="38"/>
        <v>9.15961532733402</v>
      </c>
      <c r="AA161" s="9">
        <f t="shared" ca="1" si="38"/>
        <v>8.1418802909635719</v>
      </c>
    </row>
    <row r="162" spans="1:27">
      <c r="A162" s="8" t="str">
        <f>A161</f>
        <v>Type 4</v>
      </c>
      <c r="B162" s="7">
        <f>B161+1</f>
        <v>2021</v>
      </c>
      <c r="C162" s="7" t="str">
        <f>C161</f>
        <v>Annual</v>
      </c>
      <c r="D162" s="7">
        <f t="shared" si="39"/>
        <v>0</v>
      </c>
      <c r="E162" s="7">
        <f t="shared" si="39"/>
        <v>0</v>
      </c>
      <c r="F162" s="14">
        <f>$O$82</f>
        <v>3.5744886743189486E-2</v>
      </c>
      <c r="H162" s="9"/>
      <c r="I162" s="9"/>
      <c r="J162" s="9"/>
      <c r="K162" s="9">
        <f ca="1">$E$82</f>
        <v>128.36300084109325</v>
      </c>
      <c r="L162" s="9">
        <f ca="1">K162-S162</f>
        <v>115.52670075698393</v>
      </c>
      <c r="M162" s="9">
        <f ca="1">L162-T162</f>
        <v>102.6904006728746</v>
      </c>
      <c r="N162" s="9"/>
      <c r="O162" s="9"/>
      <c r="P162" s="9"/>
      <c r="Q162" s="9"/>
      <c r="R162" s="9">
        <f ca="1">IF(OR($C162="Annual",$D162=$E162),IF(AND($D162=$E162,R$111=$B162+$D162),$K162,IF(AND(R$111&gt;$B162+$D162,R$111&lt;=$B162+$E162), $K162/($E162-$D162),0)), IF(OR(R$111=$B162+$D162,R$111=$B162+$E162),$K162/(($E162-$D162)*2),IF(AND(R$111&gt;$B162+$D162,R$111&lt;$B162+$E162),$K162/($E162-$D162),0)))</f>
        <v>0</v>
      </c>
      <c r="S162" s="9">
        <f>IF(OR($C162="Annual",$D162=$E162),IF(AND($D162=$E162,S$111=$B162+$D162),$K162,IF(AND(S$111&gt;$B162+$D162,S$111&lt;=$B162+$E162), $K162/($E162-$D162),0)), IF(OR(S$111=$B162+$D162,S$111=$B162+$E162),$K162/(($E162-$D162)*2),IF(AND(S$111&gt;$B162+$D162,S$111&lt;$B162+$E162),$K162/($E162-$D162),0)))</f>
        <v>0</v>
      </c>
      <c r="T162" s="9">
        <f>IF(OR($C162="Annual",$D162=$E162),IF(AND($D162=$E162,T$111=$B162+$D162),$K162,IF(AND(T$111&gt;$B162+$D162,T$111&lt;=$B162+$E162), $K162/($E162-$D162),0)), IF(OR(T$111=$B162+$D162,T$111=$B162+$E162),$K162/(($E162-$D162)*2),IF(AND(T$111&gt;$B162+$D162,T$111&lt;$B162+$E162),$K162/($E162-$D162),0)))</f>
        <v>0</v>
      </c>
      <c r="U162" s="9"/>
      <c r="V162" s="9"/>
      <c r="W162" s="9"/>
      <c r="X162" s="9"/>
      <c r="Y162" s="9">
        <f t="shared" si="38"/>
        <v>0</v>
      </c>
      <c r="Z162" s="9">
        <f t="shared" ca="1" si="38"/>
        <v>10.573308992688746</v>
      </c>
      <c r="AA162" s="9">
        <f t="shared" ca="1" si="38"/>
        <v>9.5159780934198714</v>
      </c>
    </row>
    <row r="163" spans="1:27">
      <c r="A163" s="8" t="str">
        <f>A162</f>
        <v>Type 4</v>
      </c>
      <c r="B163" s="7">
        <f>B162+1</f>
        <v>2022</v>
      </c>
      <c r="C163" s="7" t="str">
        <f>C162</f>
        <v>Annual</v>
      </c>
      <c r="D163" s="7">
        <f t="shared" si="39"/>
        <v>0</v>
      </c>
      <c r="E163" s="7">
        <f t="shared" si="39"/>
        <v>0</v>
      </c>
      <c r="F163" s="14">
        <f>$P$82</f>
        <v>3.5744886743189486E-2</v>
      </c>
      <c r="H163" s="9"/>
      <c r="I163" s="9"/>
      <c r="J163" s="9"/>
      <c r="K163" s="9"/>
      <c r="L163" s="9">
        <f ca="1">$F$82</f>
        <v>140.48238969629506</v>
      </c>
      <c r="M163" s="9">
        <f ca="1">L163-T163</f>
        <v>126.43415072666555</v>
      </c>
      <c r="N163" s="9"/>
      <c r="O163" s="9"/>
      <c r="P163" s="9"/>
      <c r="Q163" s="9"/>
      <c r="R163" s="9"/>
      <c r="S163" s="9">
        <f ca="1">IF(OR($C163="Annual",$D163=$E163),IF(AND($D163=$E163,S$111=$B163+$D163),$L163,IF(AND(S$111&gt;$B163+$D163,S$111&lt;=$B163+$E163), $L163/($E163-$D163),0)), IF(OR(S$111=$B163+$D163,S$111=$B163+$E163),$L163/(($E163-$D163)*2),IF(AND(S$111&gt;$B163+$D163,S$111&lt;$B163+$E163),$L163/($E163-$D163),0)))</f>
        <v>0</v>
      </c>
      <c r="T163" s="9">
        <f>IF(OR($C163="Annual",$D163=$E163),IF(AND($D163=$E163,T$111=$B163+$D163),$L163,IF(AND(T$111&gt;$B163+$D163,T$111&lt;=$B163+$E163), $L163/($E163-$D163),0)), IF(OR(T$111=$B163+$D163,T$111=$B163+$E163),$L163/(($E163-$D163)*2),IF(AND(T$111&gt;$B163+$D163,T$111&lt;$B163+$E163),$L163/($E163-$D163),0)))</f>
        <v>0</v>
      </c>
      <c r="U163" s="9"/>
      <c r="V163" s="9"/>
      <c r="W163" s="9"/>
      <c r="X163" s="9"/>
      <c r="Y163" s="9"/>
      <c r="Z163" s="9">
        <f t="shared" si="38"/>
        <v>0</v>
      </c>
      <c r="AA163" s="9">
        <f t="shared" ca="1" si="38"/>
        <v>11.712070032221455</v>
      </c>
    </row>
    <row r="164" spans="1:27">
      <c r="A164" s="8" t="str">
        <f>A163</f>
        <v>Type 4</v>
      </c>
      <c r="B164" s="7">
        <f>B163+1</f>
        <v>2023</v>
      </c>
      <c r="C164" s="7" t="str">
        <f>C163</f>
        <v>Annual</v>
      </c>
      <c r="D164" s="7">
        <f t="shared" si="39"/>
        <v>0</v>
      </c>
      <c r="E164" s="7">
        <f t="shared" si="39"/>
        <v>0</v>
      </c>
      <c r="F164" s="14">
        <f>$Q$82</f>
        <v>3.5744886743189486E-2</v>
      </c>
      <c r="H164" s="9"/>
      <c r="I164" s="9"/>
      <c r="J164" s="9"/>
      <c r="K164" s="9"/>
      <c r="L164" s="9"/>
      <c r="M164" s="9">
        <f ca="1">$G$82</f>
        <v>154.69641787718274</v>
      </c>
      <c r="N164" s="9"/>
      <c r="O164" s="9"/>
      <c r="P164" s="9"/>
      <c r="Q164" s="9"/>
      <c r="R164" s="9"/>
      <c r="S164" s="9"/>
      <c r="T164" s="9">
        <f ca="1">IF(OR($C164="Annual",$D164=$E164),IF(AND($D164=$E164,T$111=$B164+$D164),$M164,IF(AND(T$111&gt;$B164+$D164,T$111&lt;=$B164+$E164), $M164/($E164-$D164),0)), IF(OR(T$111=$B164+$D164,T$111=$B164+$E164),$M164/(($E164-$D164)*2),IF(AND(T$111&gt;$B164+$D164,T$111&lt;$B164+$E164),$M164/($E164-$D164),0)))</f>
        <v>0</v>
      </c>
      <c r="U164" s="9"/>
      <c r="V164" s="9"/>
      <c r="W164" s="9"/>
      <c r="X164" s="9"/>
      <c r="Y164" s="9"/>
      <c r="Z164" s="9"/>
      <c r="AA164" s="9">
        <f t="shared" si="38"/>
        <v>0</v>
      </c>
    </row>
    <row r="165" spans="1:27">
      <c r="C165" s="281"/>
      <c r="F165" s="15"/>
      <c r="H165" s="10"/>
      <c r="I165" s="10"/>
      <c r="J165" s="10"/>
      <c r="K165" s="10"/>
      <c r="L165" s="10"/>
      <c r="M165" s="10"/>
      <c r="N165" s="10"/>
      <c r="O165" s="278"/>
      <c r="P165" s="10"/>
      <c r="Q165" s="10"/>
      <c r="R165" s="10"/>
      <c r="S165" s="10"/>
      <c r="T165" s="10"/>
      <c r="U165" s="10"/>
      <c r="V165" s="10"/>
      <c r="W165" s="10"/>
      <c r="X165" s="10"/>
      <c r="Y165" s="10"/>
      <c r="Z165" s="10"/>
      <c r="AA165" s="10"/>
    </row>
    <row r="166" spans="1:27" s="1150" customFormat="1">
      <c r="A166" s="1347" t="str">
        <f>'Input 4 - Forecast'!A64</f>
        <v>ZERO-COUPON BOND</v>
      </c>
      <c r="B166" s="1348">
        <f>B119</f>
        <v>2018</v>
      </c>
      <c r="C166" s="1348"/>
      <c r="D166" s="1348">
        <f>$J83</f>
        <v>0</v>
      </c>
      <c r="E166" s="1348">
        <f>$K83</f>
        <v>0</v>
      </c>
      <c r="F166" s="1349">
        <f>$L$83</f>
        <v>0</v>
      </c>
      <c r="H166" s="1350">
        <f>$B$83</f>
        <v>0</v>
      </c>
      <c r="I166" s="1350">
        <f>H166-P166</f>
        <v>0</v>
      </c>
      <c r="J166" s="1350">
        <f>I166-Q166</f>
        <v>0</v>
      </c>
      <c r="K166" s="1350">
        <f>J166-R166</f>
        <v>0</v>
      </c>
      <c r="L166" s="1350">
        <f>K166-S166</f>
        <v>0</v>
      </c>
      <c r="M166" s="1350">
        <f>L166-T166</f>
        <v>0</v>
      </c>
      <c r="N166" s="1350"/>
      <c r="O166" s="1350">
        <f t="shared" ref="O166:T166" si="40">IF($D166=$E166,IF(O$111=$B166+$E166,$H166,0),0)</f>
        <v>0</v>
      </c>
      <c r="P166" s="1350">
        <f t="shared" si="40"/>
        <v>0</v>
      </c>
      <c r="Q166" s="1350">
        <f t="shared" si="40"/>
        <v>0</v>
      </c>
      <c r="R166" s="1350">
        <f t="shared" si="40"/>
        <v>0</v>
      </c>
      <c r="S166" s="1350">
        <f t="shared" si="40"/>
        <v>0</v>
      </c>
      <c r="T166" s="1350">
        <f t="shared" si="40"/>
        <v>0</v>
      </c>
      <c r="U166" s="1350"/>
      <c r="V166" s="1350">
        <f t="shared" ref="V166:AA166" si="41">IF(V$111-$B166=$D166,$H166*(((1+$F166)^$D166)-1),0)</f>
        <v>0</v>
      </c>
      <c r="W166" s="1350">
        <f t="shared" si="41"/>
        <v>0</v>
      </c>
      <c r="X166" s="1350">
        <f t="shared" si="41"/>
        <v>0</v>
      </c>
      <c r="Y166" s="1350">
        <f t="shared" si="41"/>
        <v>0</v>
      </c>
      <c r="Z166" s="1350">
        <f t="shared" si="41"/>
        <v>0</v>
      </c>
      <c r="AA166" s="1350">
        <f t="shared" si="41"/>
        <v>0</v>
      </c>
    </row>
    <row r="167" spans="1:27" s="1150" customFormat="1">
      <c r="A167" s="1347" t="str">
        <f>A166</f>
        <v>ZERO-COUPON BOND</v>
      </c>
      <c r="B167" s="1348">
        <f>B166+1</f>
        <v>2019</v>
      </c>
      <c r="C167" s="1348"/>
      <c r="D167" s="1348">
        <f t="shared" ref="D167:E171" si="42">D166</f>
        <v>0</v>
      </c>
      <c r="E167" s="1348">
        <f t="shared" si="42"/>
        <v>0</v>
      </c>
      <c r="F167" s="1349">
        <f>$M$83</f>
        <v>3.5744886743189486E-2</v>
      </c>
      <c r="H167" s="1350"/>
      <c r="I167" s="1350">
        <f ca="1">$C$83</f>
        <v>0</v>
      </c>
      <c r="J167" s="1350">
        <f ca="1">I167-Q167</f>
        <v>0</v>
      </c>
      <c r="K167" s="1350">
        <f ca="1">J167-R167</f>
        <v>0</v>
      </c>
      <c r="L167" s="1350">
        <f ca="1">K167-S167</f>
        <v>0</v>
      </c>
      <c r="M167" s="1350">
        <f ca="1">L167-T167</f>
        <v>0</v>
      </c>
      <c r="N167" s="1350"/>
      <c r="O167" s="1351"/>
      <c r="P167" s="1350">
        <f ca="1">IF($D167=$E167,IF(P$111=$B167+$E167,$I167,0),0)</f>
        <v>0</v>
      </c>
      <c r="Q167" s="1350">
        <f>IF($D167=$E167,IF(Q$111=$B167+$E167,$I167,0),0)</f>
        <v>0</v>
      </c>
      <c r="R167" s="1350">
        <f>IF($D167=$E167,IF(R$111=$B167+$E167,$I167,0),0)</f>
        <v>0</v>
      </c>
      <c r="S167" s="1350">
        <f>IF($D167=$E167,IF(S$111=$B167+$E167,$I167,0),0)</f>
        <v>0</v>
      </c>
      <c r="T167" s="1350">
        <f>IF($D167=$E167,IF(T$111=$B167+$E167,$I167,0),0)</f>
        <v>0</v>
      </c>
      <c r="U167" s="1350"/>
      <c r="V167" s="1350"/>
      <c r="W167" s="1350">
        <f ca="1">IF(W$111-$B167=$D167,$I167*(((1+$F167)^$D167)-1),0)</f>
        <v>0</v>
      </c>
      <c r="X167" s="1350">
        <f>IF(X$111-$B167=$D167,$I167*(((1+$F167)^$D167)-1),0)</f>
        <v>0</v>
      </c>
      <c r="Y167" s="1350">
        <f>IF(Y$111-$B167=$D167,$I167*(((1+$F167)^$D167)-1),0)</f>
        <v>0</v>
      </c>
      <c r="Z167" s="1350">
        <f>IF(Z$111-$B167=$D167,$I167*(((1+$F167)^$D167)-1),0)</f>
        <v>0</v>
      </c>
      <c r="AA167" s="1350">
        <f>IF(AA$111-$B167=$D167,$I167*(((1+$F167)^$D167)-1),0)</f>
        <v>0</v>
      </c>
    </row>
    <row r="168" spans="1:27" s="1150" customFormat="1">
      <c r="A168" s="1347" t="str">
        <f>A167</f>
        <v>ZERO-COUPON BOND</v>
      </c>
      <c r="B168" s="1348">
        <f>B167+1</f>
        <v>2020</v>
      </c>
      <c r="C168" s="1348"/>
      <c r="D168" s="1348">
        <f t="shared" si="42"/>
        <v>0</v>
      </c>
      <c r="E168" s="1348">
        <f t="shared" si="42"/>
        <v>0</v>
      </c>
      <c r="F168" s="1349">
        <f>$N$83</f>
        <v>3.5744886743189486E-2</v>
      </c>
      <c r="H168" s="1350"/>
      <c r="I168" s="1350"/>
      <c r="J168" s="1350">
        <f ca="1">$D$83</f>
        <v>0</v>
      </c>
      <c r="K168" s="1350">
        <f ca="1">J168-R168</f>
        <v>0</v>
      </c>
      <c r="L168" s="1350">
        <f ca="1">K168-S168</f>
        <v>0</v>
      </c>
      <c r="M168" s="1350">
        <f ca="1">L168-T168</f>
        <v>0</v>
      </c>
      <c r="N168" s="1350"/>
      <c r="O168" s="1351"/>
      <c r="P168" s="1350"/>
      <c r="Q168" s="1350">
        <f ca="1">IF($D168=$E168,IF(Q$111=$B168+$E168,$J168,0),0)</f>
        <v>0</v>
      </c>
      <c r="R168" s="1350">
        <f>IF($D168=$E168,IF(R$111=$B168+$E168,$J168,0),0)</f>
        <v>0</v>
      </c>
      <c r="S168" s="1350">
        <f>IF($D168=$E168,IF(S$111=$B168+$E168,$J168,0),0)</f>
        <v>0</v>
      </c>
      <c r="T168" s="1350">
        <f>IF($D168=$E168,IF(T$111=$B168+$E168,$J168,0),0)</f>
        <v>0</v>
      </c>
      <c r="U168" s="1350"/>
      <c r="V168" s="1350"/>
      <c r="W168" s="1350"/>
      <c r="X168" s="1350">
        <f ca="1">IF(X$111-$B168=$D168,$J168*(((1+$F168)^$D168)-1),0)</f>
        <v>0</v>
      </c>
      <c r="Y168" s="1350">
        <f>IF(Y$111-$B168=$D168,$J168*(((1+$F168)^$D168)-1),0)</f>
        <v>0</v>
      </c>
      <c r="Z168" s="1350">
        <f>IF(Z$111-$B168=$D168,$J168*(((1+$F168)^$D168)-1),0)</f>
        <v>0</v>
      </c>
      <c r="AA168" s="1350">
        <f>IF(AA$111-$B168=$D168,$J168*(((1+$F168)^$D168)-1),0)</f>
        <v>0</v>
      </c>
    </row>
    <row r="169" spans="1:27" s="1150" customFormat="1">
      <c r="A169" s="1347" t="str">
        <f>A168</f>
        <v>ZERO-COUPON BOND</v>
      </c>
      <c r="B169" s="1348">
        <f>B168+1</f>
        <v>2021</v>
      </c>
      <c r="C169" s="1348"/>
      <c r="D169" s="1348">
        <f t="shared" si="42"/>
        <v>0</v>
      </c>
      <c r="E169" s="1348">
        <f t="shared" si="42"/>
        <v>0</v>
      </c>
      <c r="F169" s="1349">
        <f>$O$83</f>
        <v>3.5744886743189486E-2</v>
      </c>
      <c r="H169" s="1350"/>
      <c r="I169" s="1350"/>
      <c r="J169" s="1350"/>
      <c r="K169" s="1350">
        <f ca="1">$E$83</f>
        <v>0</v>
      </c>
      <c r="L169" s="1350">
        <f ca="1">K169-S169</f>
        <v>0</v>
      </c>
      <c r="M169" s="1350">
        <f ca="1">L169-T169</f>
        <v>0</v>
      </c>
      <c r="N169" s="1350"/>
      <c r="O169" s="1351"/>
      <c r="P169" s="1350"/>
      <c r="Q169" s="1350"/>
      <c r="R169" s="1350">
        <f ca="1">IF($D169=$E169,IF(R$111=$B169+$E169,$K169,0),0)</f>
        <v>0</v>
      </c>
      <c r="S169" s="1350">
        <f>IF($D169=$E169,IF(S$111=$B169+$E169,$K169,0),0)</f>
        <v>0</v>
      </c>
      <c r="T169" s="1350">
        <f>IF($D169=$E169,IF(T$111=$B169+$E169,$K169,0),0)</f>
        <v>0</v>
      </c>
      <c r="U169" s="1350"/>
      <c r="V169" s="1350"/>
      <c r="W169" s="1350"/>
      <c r="X169" s="1350"/>
      <c r="Y169" s="1350">
        <f ca="1">IF(Y$111-$B169=$D169,$K169*(((1+$F169)^$D169)-1),0)</f>
        <v>0</v>
      </c>
      <c r="Z169" s="1350">
        <f>IF(Z$111-$B169=$D169,$K169*(((1+$F169)^$D169)-1),0)</f>
        <v>0</v>
      </c>
      <c r="AA169" s="1350">
        <f>IF(AA$111-$B169=$D169,$K169*(((1+$F169)^$D169)-1),0)</f>
        <v>0</v>
      </c>
    </row>
    <row r="170" spans="1:27" s="1150" customFormat="1">
      <c r="A170" s="1347" t="str">
        <f>A169</f>
        <v>ZERO-COUPON BOND</v>
      </c>
      <c r="B170" s="1348">
        <f>B169+1</f>
        <v>2022</v>
      </c>
      <c r="C170" s="1348"/>
      <c r="D170" s="1348">
        <f t="shared" si="42"/>
        <v>0</v>
      </c>
      <c r="E170" s="1348">
        <f t="shared" si="42"/>
        <v>0</v>
      </c>
      <c r="F170" s="1349">
        <f>$P$83</f>
        <v>3.5744886743189486E-2</v>
      </c>
      <c r="H170" s="1350"/>
      <c r="I170" s="1350"/>
      <c r="J170" s="1350"/>
      <c r="K170" s="1350"/>
      <c r="L170" s="1350">
        <f ca="1">$F$83</f>
        <v>0</v>
      </c>
      <c r="M170" s="1350">
        <f ca="1">L170-T170</f>
        <v>0</v>
      </c>
      <c r="N170" s="1350"/>
      <c r="O170" s="1351"/>
      <c r="P170" s="1350"/>
      <c r="Q170" s="1350"/>
      <c r="R170" s="1350"/>
      <c r="S170" s="1350">
        <f ca="1">IF($D170=$E170,IF(S$111=$B170+$E170,$L170,0),0)</f>
        <v>0</v>
      </c>
      <c r="T170" s="1350">
        <f>IF($D170=$E170,IF(T$111=$B170+$E170,$L170,0),0)</f>
        <v>0</v>
      </c>
      <c r="U170" s="1350"/>
      <c r="V170" s="1350"/>
      <c r="W170" s="1350"/>
      <c r="X170" s="1350"/>
      <c r="Y170" s="1350"/>
      <c r="Z170" s="1350">
        <f ca="1">IF(Z$111-$B170=$D170,$L170*(((1+$F170)^$D170)-1),0)</f>
        <v>0</v>
      </c>
      <c r="AA170" s="1350">
        <f>IF(AA$111-$B170=$D170,$L170*(((1+$F170)^$D170)-1),0)</f>
        <v>0</v>
      </c>
    </row>
    <row r="171" spans="1:27" s="1150" customFormat="1">
      <c r="A171" s="1347" t="str">
        <f>A170</f>
        <v>ZERO-COUPON BOND</v>
      </c>
      <c r="B171" s="1348">
        <f>B170+1</f>
        <v>2023</v>
      </c>
      <c r="C171" s="1348"/>
      <c r="D171" s="1348">
        <f t="shared" si="42"/>
        <v>0</v>
      </c>
      <c r="E171" s="1348">
        <f t="shared" si="42"/>
        <v>0</v>
      </c>
      <c r="F171" s="1349">
        <f>$Q$83</f>
        <v>3.5744886743189486E-2</v>
      </c>
      <c r="H171" s="1350"/>
      <c r="I171" s="1350"/>
      <c r="J171" s="1350"/>
      <c r="K171" s="1350"/>
      <c r="L171" s="1350"/>
      <c r="M171" s="1350">
        <f ca="1">$G$83</f>
        <v>0</v>
      </c>
      <c r="N171" s="1350"/>
      <c r="O171" s="1351"/>
      <c r="P171" s="1350"/>
      <c r="Q171" s="1350"/>
      <c r="R171" s="1350"/>
      <c r="S171" s="1350"/>
      <c r="T171" s="1350">
        <f ca="1">IF($D171=$E171,IF(T$111=$B171+$E171,$M171,0),0)</f>
        <v>0</v>
      </c>
      <c r="U171" s="1350"/>
      <c r="V171" s="1350"/>
      <c r="W171" s="1350"/>
      <c r="X171" s="1350"/>
      <c r="Y171" s="1350"/>
      <c r="Z171" s="1350"/>
      <c r="AA171" s="1350">
        <f ca="1">IF(AA$111-$B171=$D171,$M171*(((1+$F171)^$D171)-1),0)</f>
        <v>0</v>
      </c>
    </row>
    <row r="172" spans="1:27" ht="15.75" thickBot="1">
      <c r="H172" s="10"/>
      <c r="I172" s="10"/>
      <c r="J172" s="10"/>
      <c r="K172" s="10"/>
      <c r="L172" s="10"/>
      <c r="M172" s="10"/>
      <c r="N172" s="10"/>
      <c r="O172" s="10"/>
      <c r="P172" s="10"/>
      <c r="Q172" s="10"/>
      <c r="R172" s="10"/>
      <c r="S172" s="10"/>
      <c r="T172" s="10"/>
      <c r="U172" s="10"/>
      <c r="V172" s="10"/>
      <c r="W172" s="10"/>
      <c r="X172" s="10"/>
      <c r="Y172" s="10"/>
      <c r="Z172" s="10"/>
      <c r="AA172" s="10"/>
    </row>
    <row r="173" spans="1:27" ht="15.75" thickBot="1">
      <c r="A173" s="12" t="str">
        <f>'Input 4 - Forecast'!A65</f>
        <v>Denominated in foreign currency</v>
      </c>
      <c r="B173" s="1999" t="s">
        <v>52</v>
      </c>
      <c r="C173" s="2000"/>
      <c r="D173" s="2000"/>
      <c r="E173" s="2000"/>
      <c r="F173" s="2000"/>
      <c r="G173" s="2000"/>
      <c r="H173" s="2000"/>
      <c r="I173" s="2000"/>
      <c r="J173" s="2000"/>
      <c r="K173" s="2000"/>
      <c r="L173" s="2000"/>
      <c r="M173" s="2000"/>
      <c r="N173" s="2000"/>
      <c r="O173" s="2000"/>
      <c r="P173" s="2000"/>
      <c r="Q173" s="2000"/>
      <c r="R173" s="2000"/>
      <c r="S173" s="2000"/>
      <c r="T173" s="2000"/>
      <c r="U173" s="2000"/>
      <c r="V173" s="2000"/>
      <c r="W173" s="2000"/>
      <c r="X173" s="2000"/>
      <c r="Y173" s="2000"/>
      <c r="Z173" s="2000"/>
      <c r="AA173" s="2001"/>
    </row>
    <row r="174" spans="1:27">
      <c r="H174" s="10"/>
      <c r="I174" s="10"/>
      <c r="J174" s="10"/>
      <c r="K174" s="10"/>
      <c r="L174" s="10"/>
      <c r="M174" s="10"/>
      <c r="N174" s="10"/>
      <c r="O174" s="10"/>
      <c r="P174" s="10"/>
      <c r="Q174" s="10"/>
      <c r="R174" s="10"/>
      <c r="S174" s="10"/>
      <c r="T174" s="10"/>
      <c r="U174" s="10"/>
      <c r="V174" s="10"/>
      <c r="W174" s="10"/>
      <c r="X174" s="10"/>
      <c r="Y174" s="10"/>
      <c r="Z174" s="10"/>
      <c r="AA174" s="10"/>
    </row>
    <row r="175" spans="1:27">
      <c r="A175" s="8" t="str">
        <f>'Input 4 - Forecast'!A66</f>
        <v>Type 6</v>
      </c>
      <c r="B175" s="7">
        <f>B119</f>
        <v>2018</v>
      </c>
      <c r="C175" s="7" t="str">
        <f>$I85</f>
        <v>Annual</v>
      </c>
      <c r="D175" s="7">
        <f>$J85</f>
        <v>0</v>
      </c>
      <c r="E175" s="7">
        <f>$K85</f>
        <v>0</v>
      </c>
      <c r="F175" s="14">
        <f>$L$85</f>
        <v>0</v>
      </c>
      <c r="H175" s="9">
        <f>$B$85/$B$31</f>
        <v>0</v>
      </c>
      <c r="I175" s="9">
        <f>H175-P175</f>
        <v>0</v>
      </c>
      <c r="J175" s="9">
        <f>I175-Q175</f>
        <v>0</v>
      </c>
      <c r="K175" s="9">
        <f>J175-R175</f>
        <v>0</v>
      </c>
      <c r="L175" s="9">
        <f>K175-S175</f>
        <v>0</v>
      </c>
      <c r="M175" s="9">
        <f>L175-T175</f>
        <v>0</v>
      </c>
      <c r="N175" s="9"/>
      <c r="O175" s="9">
        <f t="shared" ref="O175:T175" si="43">IF(OR($C175="Annual",$D175=$E175),IF(AND($D175=$E175,O$111=$B175+$D175),$H175,IF(AND(O$111&gt;$B175+$D175,O$111&lt;=$B175+$E175), $H175/($E175-$D175),0)), IF(OR(O$111=$B175+$D175,O$111=$B175+$E175),$H175/(($E175-$D175)*2),IF(AND(O$111&gt;$B175+$D175,O$111&lt;$B175+$E175),$H175/($E175-$D175),0)))</f>
        <v>0</v>
      </c>
      <c r="P175" s="9">
        <f t="shared" si="43"/>
        <v>0</v>
      </c>
      <c r="Q175" s="9">
        <f t="shared" si="43"/>
        <v>0</v>
      </c>
      <c r="R175" s="9">
        <f t="shared" si="43"/>
        <v>0</v>
      </c>
      <c r="S175" s="9">
        <f t="shared" si="43"/>
        <v>0</v>
      </c>
      <c r="T175" s="9">
        <f t="shared" si="43"/>
        <v>0</v>
      </c>
      <c r="U175" s="9"/>
      <c r="V175" s="9">
        <f>IF($C175="annual",IF(V$111=$B175,0,G175*$F175),IF(V$111-$B175=0,0,IF((V$111-$B175)&lt;$E175,AVERAGE(G175,H175)*$F175,IF((V$111-$B175)=$E175,G175*$F175/2,0))))</f>
        <v>0</v>
      </c>
      <c r="W175" s="9">
        <f t="shared" ref="W175:AA180" si="44">IF($C175="annual",IF(W$111=$B175,0,H175*$F175),IF(W$111-$B175=0,0,IF((W$111-$B175)&lt;$E175,AVERAGE(H175,I175)*$F175,IF((W$111-$B175)=$E175,H175*$F175/2,0))))</f>
        <v>0</v>
      </c>
      <c r="X175" s="9">
        <f t="shared" si="44"/>
        <v>0</v>
      </c>
      <c r="Y175" s="9">
        <f t="shared" si="44"/>
        <v>0</v>
      </c>
      <c r="Z175" s="9">
        <f t="shared" si="44"/>
        <v>0</v>
      </c>
      <c r="AA175" s="9">
        <f t="shared" si="44"/>
        <v>0</v>
      </c>
    </row>
    <row r="176" spans="1:27">
      <c r="A176" s="8" t="str">
        <f>A175</f>
        <v>Type 6</v>
      </c>
      <c r="B176" s="7">
        <f>B175+1</f>
        <v>2019</v>
      </c>
      <c r="C176" s="7" t="str">
        <f t="shared" ref="C176:D180" si="45">C175</f>
        <v>Annual</v>
      </c>
      <c r="D176" s="7">
        <f t="shared" si="45"/>
        <v>0</v>
      </c>
      <c r="E176" s="7">
        <f>E175</f>
        <v>0</v>
      </c>
      <c r="F176" s="14">
        <f>$M$85</f>
        <v>3.5744886743189486E-2</v>
      </c>
      <c r="H176" s="9"/>
      <c r="I176" s="9">
        <f ca="1">$C$85/$C$31</f>
        <v>0</v>
      </c>
      <c r="J176" s="9">
        <f ca="1">I176-Q176</f>
        <v>0</v>
      </c>
      <c r="K176" s="9">
        <f ca="1">J176-R176</f>
        <v>0</v>
      </c>
      <c r="L176" s="9">
        <f ca="1">K176-S176</f>
        <v>0</v>
      </c>
      <c r="M176" s="9">
        <f ca="1">L176-T176</f>
        <v>0</v>
      </c>
      <c r="N176" s="9"/>
      <c r="O176" s="9"/>
      <c r="P176" s="9">
        <f ca="1">IF(OR($C176="Annual",$D176=$E176),IF(AND($D176=$E176,P$111=$B176+$D176),$I176,IF(AND(P$111&gt;$B176+$D176,P$111&lt;=$B176+$E176), $I176/($E176-$D176),0)), IF(OR(P$111=$B176+$D176,P$111=$B176+$E176),$I176/(($E176-$D176)*2),IF(AND(P$111&gt;$B176+$D176,P$111&lt;$B176+$E176),$I176/($E176-$D176),0)))</f>
        <v>0</v>
      </c>
      <c r="Q176" s="9">
        <f>IF(OR($C176="Annual",$D176=$E176),IF(AND($D176=$E176,Q$111=$B176+$D176),$I176,IF(AND(Q$111&gt;$B176+$D176,Q$111&lt;=$B176+$E176), $I176/($E176-$D176),0)), IF(OR(Q$111=$B176+$D176,Q$111=$B176+$E176),$I176/(($E176-$D176)*2),IF(AND(Q$111&gt;$B176+$D176,Q$111&lt;$B176+$E176),$I176/($E176-$D176),0)))</f>
        <v>0</v>
      </c>
      <c r="R176" s="9">
        <f>IF(OR($C176="Annual",$D176=$E176),IF(AND($D176=$E176,R$111=$B176+$D176),$I176,IF(AND(R$111&gt;$B176+$D176,R$111&lt;=$B176+$E176), $I176/($E176-$D176),0)), IF(OR(R$111=$B176+$D176,R$111=$B176+$E176),$I176/(($E176-$D176)*2),IF(AND(R$111&gt;$B176+$D176,R$111&lt;$B176+$E176),$I176/($E176-$D176),0)))</f>
        <v>0</v>
      </c>
      <c r="S176" s="9">
        <f>IF(OR($C176="Annual",$D176=$E176),IF(AND($D176=$E176,S$111=$B176+$D176),$I176,IF(AND(S$111&gt;$B176+$D176,S$111&lt;=$B176+$E176), $I176/($E176-$D176),0)), IF(OR(S$111=$B176+$D176,S$111=$B176+$E176),$I176/(($E176-$D176)*2),IF(AND(S$111&gt;$B176+$D176,S$111&lt;$B176+$E176),$I176/($E176-$D176),0)))</f>
        <v>0</v>
      </c>
      <c r="T176" s="9">
        <f>IF(OR($C176="Annual",$D176=$E176),IF(AND($D176=$E176,T$111=$B176+$D176),$I176,IF(AND(T$111&gt;$B176+$D176,T$111&lt;=$B176+$E176), $I176/($E176-$D176),0)), IF(OR(T$111=$B176+$D176,T$111=$B176+$E176),$I176/(($E176-$D176)*2),IF(AND(T$111&gt;$B176+$D176,T$111&lt;$B176+$E176),$I176/($E176-$D176),0)))</f>
        <v>0</v>
      </c>
      <c r="U176" s="9"/>
      <c r="V176" s="9"/>
      <c r="W176" s="9">
        <f t="shared" si="44"/>
        <v>0</v>
      </c>
      <c r="X176" s="9">
        <f t="shared" ca="1" si="44"/>
        <v>0</v>
      </c>
      <c r="Y176" s="9">
        <f t="shared" ca="1" si="44"/>
        <v>0</v>
      </c>
      <c r="Z176" s="9">
        <f t="shared" ca="1" si="44"/>
        <v>0</v>
      </c>
      <c r="AA176" s="9">
        <f t="shared" ca="1" si="44"/>
        <v>0</v>
      </c>
    </row>
    <row r="177" spans="1:27">
      <c r="A177" s="8" t="str">
        <f>A176</f>
        <v>Type 6</v>
      </c>
      <c r="B177" s="7">
        <f>B176+1</f>
        <v>2020</v>
      </c>
      <c r="C177" s="7" t="str">
        <f t="shared" si="45"/>
        <v>Annual</v>
      </c>
      <c r="D177" s="7">
        <f t="shared" si="45"/>
        <v>0</v>
      </c>
      <c r="E177" s="7">
        <f>E176</f>
        <v>0</v>
      </c>
      <c r="F177" s="14">
        <f>$N$85</f>
        <v>3.5744886743189486E-2</v>
      </c>
      <c r="H177" s="9"/>
      <c r="I177" s="9"/>
      <c r="J177" s="9">
        <f ca="1">$D$85/$D$31</f>
        <v>0</v>
      </c>
      <c r="K177" s="9">
        <f ca="1">J177-R177</f>
        <v>0</v>
      </c>
      <c r="L177" s="9">
        <f ca="1">K177-S177</f>
        <v>0</v>
      </c>
      <c r="M177" s="9">
        <f ca="1">L177-T177</f>
        <v>0</v>
      </c>
      <c r="N177" s="9"/>
      <c r="O177" s="9"/>
      <c r="P177" s="9"/>
      <c r="Q177" s="9">
        <f ca="1">IF(OR($C177="Annual",$D177=$E177),IF(AND($D177=$E177,Q$111=$B177+$D177),$J177,IF(AND(Q$111&gt;$B177+$D177,Q$111&lt;=$B177+$E177), $J177/($E177-$D177),0)), IF(OR(Q$111=$B177+$D177,Q$111=$B177+$E177),$J177/(($E177-$D177)*2),IF(AND(Q$111&gt;$B177+$D177,Q$111&lt;$B177+$E177),$J177/($E177-$D177),0)))</f>
        <v>0</v>
      </c>
      <c r="R177" s="9">
        <f>IF(OR($C177="Annual",$D177=$E177),IF(AND($D177=$E177,R$111=$B177+$D177),$J177,IF(AND(R$111&gt;$B177+$D177,R$111&lt;=$B177+$E177), $J177/($E177-$D177),0)), IF(OR(R$111=$B177+$D177,R$111=$B177+$E177),$J177/(($E177-$D177)*2),IF(AND(R$111&gt;$B177+$D177,R$111&lt;$B177+$E177),$J177/($E177-$D177),0)))</f>
        <v>0</v>
      </c>
      <c r="S177" s="9">
        <f>IF(OR($C177="Annual",$D177=$E177),IF(AND($D177=$E177,S$111=$B177+$D177),$J177,IF(AND(S$111&gt;$B177+$D177,S$111&lt;=$B177+$E177), $J177/($E177-$D177),0)), IF(OR(S$111=$B177+$D177,S$111=$B177+$E177),$J177/(($E177-$D177)*2),IF(AND(S$111&gt;$B177+$D177,S$111&lt;$B177+$E177),$J177/($E177-$D177),0)))</f>
        <v>0</v>
      </c>
      <c r="T177" s="9">
        <f>IF(OR($C177="Annual",$D177=$E177),IF(AND($D177=$E177,T$111=$B177+$D177),$J177,IF(AND(T$111&gt;$B177+$D177,T$111&lt;=$B177+$E177), $J177/($E177-$D177),0)), IF(OR(T$111=$B177+$D177,T$111=$B177+$E177),$J177/(($E177-$D177)*2),IF(AND(T$111&gt;$B177+$D177,T$111&lt;$B177+$E177),$J177/($E177-$D177),0)))</f>
        <v>0</v>
      </c>
      <c r="U177" s="9"/>
      <c r="V177" s="9"/>
      <c r="W177" s="9"/>
      <c r="X177" s="9">
        <f t="shared" si="44"/>
        <v>0</v>
      </c>
      <c r="Y177" s="9">
        <f t="shared" ca="1" si="44"/>
        <v>0</v>
      </c>
      <c r="Z177" s="9">
        <f t="shared" ca="1" si="44"/>
        <v>0</v>
      </c>
      <c r="AA177" s="9">
        <f t="shared" ca="1" si="44"/>
        <v>0</v>
      </c>
    </row>
    <row r="178" spans="1:27">
      <c r="A178" s="8" t="str">
        <f>A177</f>
        <v>Type 6</v>
      </c>
      <c r="B178" s="7">
        <f>B177+1</f>
        <v>2021</v>
      </c>
      <c r="C178" s="7" t="str">
        <f t="shared" si="45"/>
        <v>Annual</v>
      </c>
      <c r="D178" s="7">
        <f t="shared" si="45"/>
        <v>0</v>
      </c>
      <c r="E178" s="7">
        <f>E177</f>
        <v>0</v>
      </c>
      <c r="F178" s="14">
        <f>$O$85</f>
        <v>3.5744886743189486E-2</v>
      </c>
      <c r="H178" s="9"/>
      <c r="I178" s="9"/>
      <c r="J178" s="9"/>
      <c r="K178" s="9">
        <f ca="1">$E$85/$E$31</f>
        <v>0</v>
      </c>
      <c r="L178" s="9">
        <f ca="1">K178-S178</f>
        <v>0</v>
      </c>
      <c r="M178" s="9">
        <f ca="1">L178-T178</f>
        <v>0</v>
      </c>
      <c r="N178" s="9"/>
      <c r="O178" s="9"/>
      <c r="P178" s="9"/>
      <c r="Q178" s="9"/>
      <c r="R178" s="9">
        <f ca="1">IF(OR($C178="Annual",$D178=$E178),IF(AND($D178=$E178,R$111=$B178+$D178),$K178,IF(AND(R$111&gt;$B178+$D178,R$111&lt;=$B178+$E178), $K178/($E178-$D178),0)), IF(OR(R$111=$B178+$D178,R$111=$B178+$E178),$K178/(($E178-$D178)*2),IF(AND(R$111&gt;$B178+$D178,R$111&lt;$B178+$E178),$K178/($E178-$D178),0)))</f>
        <v>0</v>
      </c>
      <c r="S178" s="9">
        <f>IF(OR($C178="Annual",$D178=$E178),IF(AND($D178=$E178,S$111=$B178+$D178),$K178,IF(AND(S$111&gt;$B178+$D178,S$111&lt;=$B178+$E178), $K178/($E178-$D178),0)), IF(OR(S$111=$B178+$D178,S$111=$B178+$E178),$K178/(($E178-$D178)*2),IF(AND(S$111&gt;$B178+$D178,S$111&lt;$B178+$E178),$K178/($E178-$D178),0)))</f>
        <v>0</v>
      </c>
      <c r="T178" s="9">
        <f>IF(OR($C178="Annual",$D178=$E178),IF(AND($D178=$E178,T$111=$B178+$D178),$K178,IF(AND(T$111&gt;$B178+$D178,T$111&lt;=$B178+$E178), $K178/($E178-$D178),0)), IF(OR(T$111=$B178+$D178,T$111=$B178+$E178),$K178/(($E178-$D178)*2),IF(AND(T$111&gt;$B178+$D178,T$111&lt;$B178+$E178),$K178/($E178-$D178),0)))</f>
        <v>0</v>
      </c>
      <c r="U178" s="9"/>
      <c r="V178" s="9"/>
      <c r="W178" s="9"/>
      <c r="X178" s="9"/>
      <c r="Y178" s="9">
        <f t="shared" si="44"/>
        <v>0</v>
      </c>
      <c r="Z178" s="9">
        <f t="shared" ca="1" si="44"/>
        <v>0</v>
      </c>
      <c r="AA178" s="9">
        <f t="shared" ca="1" si="44"/>
        <v>0</v>
      </c>
    </row>
    <row r="179" spans="1:27">
      <c r="A179" s="8" t="str">
        <f>A178</f>
        <v>Type 6</v>
      </c>
      <c r="B179" s="7">
        <f>B178+1</f>
        <v>2022</v>
      </c>
      <c r="C179" s="7" t="str">
        <f t="shared" si="45"/>
        <v>Annual</v>
      </c>
      <c r="D179" s="7">
        <f t="shared" si="45"/>
        <v>0</v>
      </c>
      <c r="E179" s="7">
        <f>E178</f>
        <v>0</v>
      </c>
      <c r="F179" s="14">
        <f>$P$85</f>
        <v>3.5744886743189486E-2</v>
      </c>
      <c r="H179" s="9"/>
      <c r="I179" s="9"/>
      <c r="J179" s="9"/>
      <c r="K179" s="9"/>
      <c r="L179" s="9">
        <f ca="1">$F$85/$F$31</f>
        <v>0</v>
      </c>
      <c r="M179" s="9">
        <f ca="1">L179-T179</f>
        <v>0</v>
      </c>
      <c r="N179" s="9"/>
      <c r="O179" s="9"/>
      <c r="P179" s="9"/>
      <c r="Q179" s="9"/>
      <c r="R179" s="9"/>
      <c r="S179" s="9">
        <f ca="1">IF(OR($C179="Annual",$D179=$E179),IF(AND($D179=$E179,S$111=$B179+$D179),$L179,IF(AND(S$111&gt;$B179+$D179,S$111&lt;=$B179+$E179), $L179/($E179-$D179),0)), IF(OR(S$111=$B179+$D179,S$111=$B179+$E179),$L179/(($E179-$D179)*2),IF(AND(S$111&gt;$B179+$D179,S$111&lt;$B179+$E179),$L179/($E179-$D179),0)))</f>
        <v>0</v>
      </c>
      <c r="T179" s="9">
        <f>IF(OR($C179="Annual",$D179=$E179),IF(AND($D179=$E179,T$111=$B179+$D179),$L179,IF(AND(T$111&gt;$B179+$D179,T$111&lt;=$B179+$E179), $L179/($E179-$D179),0)), IF(OR(T$111=$B179+$D179,T$111=$B179+$E179),$L179/(($E179-$D179)*2),IF(AND(T$111&gt;$B179+$D179,T$111&lt;$B179+$E179),$L179/($E179-$D179),0)))</f>
        <v>0</v>
      </c>
      <c r="U179" s="9"/>
      <c r="V179" s="9"/>
      <c r="W179" s="9"/>
      <c r="X179" s="9"/>
      <c r="Y179" s="9"/>
      <c r="Z179" s="9">
        <f t="shared" si="44"/>
        <v>0</v>
      </c>
      <c r="AA179" s="9">
        <f t="shared" ca="1" si="44"/>
        <v>0</v>
      </c>
    </row>
    <row r="180" spans="1:27">
      <c r="A180" s="8" t="str">
        <f>A179</f>
        <v>Type 6</v>
      </c>
      <c r="B180" s="7">
        <f>B179+1</f>
        <v>2023</v>
      </c>
      <c r="C180" s="7" t="str">
        <f t="shared" si="45"/>
        <v>Annual</v>
      </c>
      <c r="D180" s="7">
        <f t="shared" si="45"/>
        <v>0</v>
      </c>
      <c r="E180" s="7">
        <f>E179</f>
        <v>0</v>
      </c>
      <c r="F180" s="14">
        <f>$Q$85</f>
        <v>3.5744886743189486E-2</v>
      </c>
      <c r="H180" s="9"/>
      <c r="I180" s="9"/>
      <c r="J180" s="9"/>
      <c r="K180" s="9"/>
      <c r="L180" s="9"/>
      <c r="M180" s="9">
        <f ca="1">$G$85/$G$31</f>
        <v>0</v>
      </c>
      <c r="N180" s="9"/>
      <c r="O180" s="9"/>
      <c r="P180" s="9"/>
      <c r="Q180" s="9"/>
      <c r="R180" s="9"/>
      <c r="S180" s="9"/>
      <c r="T180" s="9">
        <f ca="1">IF(OR($C180="Annual",$D180=$E180),IF(AND($D180=$E180,T$111=$B180+$D180),$M180,IF(AND(T$111&gt;$B180+$D180,T$111&lt;=$B180+$E180), $M180/($E180-$D180),0)), IF(OR(T$111=$B180+$D180,T$111=$B180+$E180),$M180/(($E180-$D180)*2),IF(AND(T$111&gt;$B180+$D180,T$111&lt;$B180+$E180),$M180/($E180-$D180),0)))</f>
        <v>0</v>
      </c>
      <c r="U180" s="9"/>
      <c r="V180" s="9"/>
      <c r="W180" s="9"/>
      <c r="X180" s="9"/>
      <c r="Y180" s="9"/>
      <c r="Z180" s="9"/>
      <c r="AA180" s="9">
        <f t="shared" si="44"/>
        <v>0</v>
      </c>
    </row>
    <row r="181" spans="1:27">
      <c r="A181" s="8"/>
      <c r="B181" s="7"/>
      <c r="C181" s="7"/>
      <c r="D181" s="7"/>
      <c r="E181" s="7"/>
      <c r="F181" s="15"/>
      <c r="H181" s="9"/>
      <c r="I181" s="9"/>
      <c r="J181" s="9"/>
      <c r="K181" s="9"/>
      <c r="L181" s="9"/>
      <c r="M181" s="9"/>
      <c r="N181" s="9"/>
      <c r="O181" s="278"/>
      <c r="P181" s="10"/>
      <c r="Q181" s="10"/>
      <c r="R181" s="10"/>
      <c r="S181" s="10"/>
      <c r="T181" s="10"/>
      <c r="U181" s="9"/>
      <c r="V181" s="10"/>
      <c r="W181" s="10"/>
      <c r="X181" s="10"/>
      <c r="Y181" s="10"/>
      <c r="Z181" s="10"/>
      <c r="AA181" s="10"/>
    </row>
    <row r="182" spans="1:27">
      <c r="A182" s="8" t="str">
        <f>'Input 4 - Forecast'!A67</f>
        <v>Type 7</v>
      </c>
      <c r="B182" s="7">
        <f>B119</f>
        <v>2018</v>
      </c>
      <c r="C182" s="7" t="str">
        <f>$I86</f>
        <v>Annual</v>
      </c>
      <c r="D182" s="7">
        <f>$J86</f>
        <v>0</v>
      </c>
      <c r="E182" s="7">
        <f>$K86</f>
        <v>0</v>
      </c>
      <c r="F182" s="14">
        <f>$L$86</f>
        <v>0</v>
      </c>
      <c r="H182" s="9">
        <f>$B$86/$B$31</f>
        <v>0</v>
      </c>
      <c r="I182" s="9">
        <f>H182-P182</f>
        <v>0</v>
      </c>
      <c r="J182" s="9">
        <f>I182-Q182</f>
        <v>0</v>
      </c>
      <c r="K182" s="9">
        <f>J182-R182</f>
        <v>0</v>
      </c>
      <c r="L182" s="9">
        <f>K182-S182</f>
        <v>0</v>
      </c>
      <c r="M182" s="9">
        <f>L182-T182</f>
        <v>0</v>
      </c>
      <c r="N182" s="9"/>
      <c r="O182" s="9">
        <f t="shared" ref="O182:T182" si="46">IF(OR($C182="Annual",$D182=$E182),IF(AND($D182=$E182,O$111=$B182+$D182),$H182,IF(AND(O$111&gt;$B182+$D182,O$111&lt;=$B182+$E182), $H182/($E182-$D182),0)), IF(OR(O$111=$B182+$D182,O$111=$B182+$E182),$H182/(($E182-$D182)*2),IF(AND(O$111&gt;$B182+$D182,O$111&lt;$B182+$E182),$H182/($E182-$D182),0)))</f>
        <v>0</v>
      </c>
      <c r="P182" s="9">
        <f t="shared" si="46"/>
        <v>0</v>
      </c>
      <c r="Q182" s="9">
        <f t="shared" si="46"/>
        <v>0</v>
      </c>
      <c r="R182" s="9">
        <f t="shared" si="46"/>
        <v>0</v>
      </c>
      <c r="S182" s="9">
        <f t="shared" si="46"/>
        <v>0</v>
      </c>
      <c r="T182" s="9">
        <f t="shared" si="46"/>
        <v>0</v>
      </c>
      <c r="U182" s="9"/>
      <c r="V182" s="9">
        <f>IF($C182="annual",IF(V$111=$B182,0,G182*$F182),IF(V$111-$B182=0,0,IF((V$111-$B182)&lt;$E182,AVERAGE(G182,H182)*$F182,IF((V$111-$B182)=$E182,G182*$F182/2,0))))</f>
        <v>0</v>
      </c>
      <c r="W182" s="9">
        <f t="shared" ref="W182:AA187" si="47">IF($C182="annual",IF(W$111=$B182,0,H182*$F182),IF(W$111-$B182=0,0,IF((W$111-$B182)&lt;$E182,AVERAGE(H182,I182)*$F182,IF((W$111-$B182)=$E182,H182*$F182/2,0))))</f>
        <v>0</v>
      </c>
      <c r="X182" s="9">
        <f t="shared" si="47"/>
        <v>0</v>
      </c>
      <c r="Y182" s="9">
        <f t="shared" si="47"/>
        <v>0</v>
      </c>
      <c r="Z182" s="9">
        <f t="shared" si="47"/>
        <v>0</v>
      </c>
      <c r="AA182" s="9">
        <f t="shared" si="47"/>
        <v>0</v>
      </c>
    </row>
    <row r="183" spans="1:27">
      <c r="A183" s="8" t="str">
        <f>A182</f>
        <v>Type 7</v>
      </c>
      <c r="B183" s="7">
        <f>B182+1</f>
        <v>2019</v>
      </c>
      <c r="C183" s="7" t="str">
        <f>C182</f>
        <v>Annual</v>
      </c>
      <c r="D183" s="7">
        <f>D182</f>
        <v>0</v>
      </c>
      <c r="E183" s="7">
        <f>E182</f>
        <v>0</v>
      </c>
      <c r="F183" s="14">
        <f>$M$86</f>
        <v>3.5744886743189486E-2</v>
      </c>
      <c r="H183" s="9"/>
      <c r="I183" s="9">
        <f ca="1">$C$86/$C$31</f>
        <v>0</v>
      </c>
      <c r="J183" s="9">
        <f ca="1">I183-Q183</f>
        <v>0</v>
      </c>
      <c r="K183" s="9">
        <f ca="1">J183-R183</f>
        <v>0</v>
      </c>
      <c r="L183" s="9">
        <f ca="1">K183-S183</f>
        <v>0</v>
      </c>
      <c r="M183" s="9">
        <f ca="1">L183-T183</f>
        <v>0</v>
      </c>
      <c r="N183" s="9"/>
      <c r="O183" s="9"/>
      <c r="P183" s="9">
        <f ca="1">IF(OR($C183="Annual",$D183=$E183),IF(AND($D183=$E183,P$111=$B183+$D183),$I183,IF(AND(P$111&gt;$B183+$D183,P$111&lt;=$B183+$E183), $I183/($E183-$D183),0)), IF(OR(P$111=$B183+$D183,P$111=$B183+$E183),$I183/(($E183-$D183)*2),IF(AND(P$111&gt;$B183+$D183,P$111&lt;$B183+$E183),$I183/($E183-$D183),0)))</f>
        <v>0</v>
      </c>
      <c r="Q183" s="9">
        <f>IF(OR($C183="Annual",$D183=$E183),IF(AND($D183=$E183,Q$111=$B183+$D183),$I183,IF(AND(Q$111&gt;$B183+$D183,Q$111&lt;=$B183+$E183), $I183/($E183-$D183),0)), IF(OR(Q$111=$B183+$D183,Q$111=$B183+$E183),$I183/(($E183-$D183)*2),IF(AND(Q$111&gt;$B183+$D183,Q$111&lt;$B183+$E183),$I183/($E183-$D183),0)))</f>
        <v>0</v>
      </c>
      <c r="R183" s="9">
        <f>IF(OR($C183="Annual",$D183=$E183),IF(AND($D183=$E183,R$111=$B183+$D183),$I183,IF(AND(R$111&gt;$B183+$D183,R$111&lt;=$B183+$E183), $I183/($E183-$D183),0)), IF(OR(R$111=$B183+$D183,R$111=$B183+$E183),$I183/(($E183-$D183)*2),IF(AND(R$111&gt;$B183+$D183,R$111&lt;$B183+$E183),$I183/($E183-$D183),0)))</f>
        <v>0</v>
      </c>
      <c r="S183" s="9">
        <f>IF(OR($C183="Annual",$D183=$E183),IF(AND($D183=$E183,S$111=$B183+$D183),$I183,IF(AND(S$111&gt;$B183+$D183,S$111&lt;=$B183+$E183), $I183/($E183-$D183),0)), IF(OR(S$111=$B183+$D183,S$111=$B183+$E183),$I183/(($E183-$D183)*2),IF(AND(S$111&gt;$B183+$D183,S$111&lt;$B183+$E183),$I183/($E183-$D183),0)))</f>
        <v>0</v>
      </c>
      <c r="T183" s="9">
        <f>IF(OR($C183="Annual",$D183=$E183),IF(AND($D183=$E183,T$111=$B183+$D183),$I183,IF(AND(T$111&gt;$B183+$D183,T$111&lt;=$B183+$E183), $I183/($E183-$D183),0)), IF(OR(T$111=$B183+$D183,T$111=$B183+$E183),$I183/(($E183-$D183)*2),IF(AND(T$111&gt;$B183+$D183,T$111&lt;$B183+$E183),$I183/($E183-$D183),0)))</f>
        <v>0</v>
      </c>
      <c r="U183" s="9"/>
      <c r="V183" s="9"/>
      <c r="W183" s="9">
        <f t="shared" si="47"/>
        <v>0</v>
      </c>
      <c r="X183" s="9">
        <f t="shared" ca="1" si="47"/>
        <v>0</v>
      </c>
      <c r="Y183" s="9">
        <f t="shared" ca="1" si="47"/>
        <v>0</v>
      </c>
      <c r="Z183" s="9">
        <f t="shared" ca="1" si="47"/>
        <v>0</v>
      </c>
      <c r="AA183" s="9">
        <f t="shared" ca="1" si="47"/>
        <v>0</v>
      </c>
    </row>
    <row r="184" spans="1:27">
      <c r="A184" s="8" t="str">
        <f>A183</f>
        <v>Type 7</v>
      </c>
      <c r="B184" s="7">
        <f>B183+1</f>
        <v>2020</v>
      </c>
      <c r="C184" s="7" t="str">
        <f t="shared" ref="C184:D187" si="48">C183</f>
        <v>Annual</v>
      </c>
      <c r="D184" s="7">
        <f t="shared" si="48"/>
        <v>0</v>
      </c>
      <c r="E184" s="7">
        <f>E183</f>
        <v>0</v>
      </c>
      <c r="F184" s="14">
        <f>$N$86</f>
        <v>3.5744886743189486E-2</v>
      </c>
      <c r="H184" s="9"/>
      <c r="I184" s="9"/>
      <c r="J184" s="9">
        <f ca="1">$D$86/$D$31</f>
        <v>0</v>
      </c>
      <c r="K184" s="9">
        <f ca="1">J184-R184</f>
        <v>0</v>
      </c>
      <c r="L184" s="9">
        <f ca="1">K184-S184</f>
        <v>0</v>
      </c>
      <c r="M184" s="9">
        <f ca="1">L184-T184</f>
        <v>0</v>
      </c>
      <c r="N184" s="9"/>
      <c r="O184" s="9"/>
      <c r="P184" s="9"/>
      <c r="Q184" s="9">
        <f ca="1">IF(OR($C184="Annual",$D184=$E184),IF(AND($D184=$E184,Q$111=$B184+$D184),$J184,IF(AND(Q$111&gt;$B184+$D184,Q$111&lt;=$B184+$E184), $J184/($E184-$D184),0)), IF(OR(Q$111=$B184+$D184,Q$111=$B184+$E184),$J184/(($E184-$D184)*2),IF(AND(Q$111&gt;$B184+$D184,Q$111&lt;$B184+$E184),$J184/($E184-$D184),0)))</f>
        <v>0</v>
      </c>
      <c r="R184" s="9">
        <f>IF(OR($C184="Annual",$D184=$E184),IF(AND($D184=$E184,R$111=$B184+$D184),$J184,IF(AND(R$111&gt;$B184+$D184,R$111&lt;=$B184+$E184), $J184/($E184-$D184),0)), IF(OR(R$111=$B184+$D184,R$111=$B184+$E184),$J184/(($E184-$D184)*2),IF(AND(R$111&gt;$B184+$D184,R$111&lt;$B184+$E184),$J184/($E184-$D184),0)))</f>
        <v>0</v>
      </c>
      <c r="S184" s="9">
        <f>IF(OR($C184="Annual",$D184=$E184),IF(AND($D184=$E184,S$111=$B184+$D184),$J184,IF(AND(S$111&gt;$B184+$D184,S$111&lt;=$B184+$E184), $J184/($E184-$D184),0)), IF(OR(S$111=$B184+$D184,S$111=$B184+$E184),$J184/(($E184-$D184)*2),IF(AND(S$111&gt;$B184+$D184,S$111&lt;$B184+$E184),$J184/($E184-$D184),0)))</f>
        <v>0</v>
      </c>
      <c r="T184" s="9">
        <f>IF(OR($C184="Annual",$D184=$E184),IF(AND($D184=$E184,T$111=$B184+$D184),$J184,IF(AND(T$111&gt;$B184+$D184,T$111&lt;=$B184+$E184), $J184/($E184-$D184),0)), IF(OR(T$111=$B184+$D184,T$111=$B184+$E184),$J184/(($E184-$D184)*2),IF(AND(T$111&gt;$B184+$D184,T$111&lt;$B184+$E184),$J184/($E184-$D184),0)))</f>
        <v>0</v>
      </c>
      <c r="U184" s="9"/>
      <c r="V184" s="9"/>
      <c r="W184" s="9"/>
      <c r="X184" s="9">
        <f t="shared" si="47"/>
        <v>0</v>
      </c>
      <c r="Y184" s="9">
        <f t="shared" ca="1" si="47"/>
        <v>0</v>
      </c>
      <c r="Z184" s="9">
        <f t="shared" ca="1" si="47"/>
        <v>0</v>
      </c>
      <c r="AA184" s="9">
        <f t="shared" ca="1" si="47"/>
        <v>0</v>
      </c>
    </row>
    <row r="185" spans="1:27">
      <c r="A185" s="8" t="str">
        <f>A184</f>
        <v>Type 7</v>
      </c>
      <c r="B185" s="7">
        <f>B184+1</f>
        <v>2021</v>
      </c>
      <c r="C185" s="7" t="str">
        <f t="shared" si="48"/>
        <v>Annual</v>
      </c>
      <c r="D185" s="7">
        <f t="shared" si="48"/>
        <v>0</v>
      </c>
      <c r="E185" s="7">
        <f>E184</f>
        <v>0</v>
      </c>
      <c r="F185" s="14">
        <f>$O$86</f>
        <v>3.5744886743189486E-2</v>
      </c>
      <c r="H185" s="9"/>
      <c r="I185" s="9"/>
      <c r="J185" s="9"/>
      <c r="K185" s="9">
        <f ca="1">$E$86/$E$31</f>
        <v>0</v>
      </c>
      <c r="L185" s="9">
        <f ca="1">K185-S185</f>
        <v>0</v>
      </c>
      <c r="M185" s="9">
        <f ca="1">L185-T185</f>
        <v>0</v>
      </c>
      <c r="N185" s="9"/>
      <c r="O185" s="9"/>
      <c r="P185" s="9"/>
      <c r="Q185" s="9"/>
      <c r="R185" s="9">
        <f ca="1">IF(OR($C185="Annual",$D185=$E185),IF(AND($D185=$E185,R$111=$B185+$D185),$K185,IF(AND(R$111&gt;$B185+$D185,R$111&lt;=$B185+$E185), $K185/($E185-$D185),0)), IF(OR(R$111=$B185+$D185,R$111=$B185+$E185),$K185/(($E185-$D185)*2),IF(AND(R$111&gt;$B185+$D185,R$111&lt;$B185+$E185),$K185/($E185-$D185),0)))</f>
        <v>0</v>
      </c>
      <c r="S185" s="9">
        <f>IF(OR($C185="Annual",$D185=$E185),IF(AND($D185=$E185,S$111=$B185+$D185),$K185,IF(AND(S$111&gt;$B185+$D185,S$111&lt;=$B185+$E185), $K185/($E185-$D185),0)), IF(OR(S$111=$B185+$D185,S$111=$B185+$E185),$K185/(($E185-$D185)*2),IF(AND(S$111&gt;$B185+$D185,S$111&lt;$B185+$E185),$K185/($E185-$D185),0)))</f>
        <v>0</v>
      </c>
      <c r="T185" s="9">
        <f>IF(OR($C185="Annual",$D185=$E185),IF(AND($D185=$E185,T$111=$B185+$D185),$K185,IF(AND(T$111&gt;$B185+$D185,T$111&lt;=$B185+$E185), $K185/($E185-$D185),0)), IF(OR(T$111=$B185+$D185,T$111=$B185+$E185),$K185/(($E185-$D185)*2),IF(AND(T$111&gt;$B185+$D185,T$111&lt;$B185+$E185),$K185/($E185-$D185),0)))</f>
        <v>0</v>
      </c>
      <c r="U185" s="9"/>
      <c r="V185" s="9"/>
      <c r="W185" s="9"/>
      <c r="X185" s="9"/>
      <c r="Y185" s="9">
        <f t="shared" si="47"/>
        <v>0</v>
      </c>
      <c r="Z185" s="9">
        <f t="shared" ca="1" si="47"/>
        <v>0</v>
      </c>
      <c r="AA185" s="9">
        <f t="shared" ca="1" si="47"/>
        <v>0</v>
      </c>
    </row>
    <row r="186" spans="1:27">
      <c r="A186" s="8" t="str">
        <f>A185</f>
        <v>Type 7</v>
      </c>
      <c r="B186" s="7">
        <f>B185+1</f>
        <v>2022</v>
      </c>
      <c r="C186" s="7" t="str">
        <f t="shared" si="48"/>
        <v>Annual</v>
      </c>
      <c r="D186" s="7">
        <f t="shared" si="48"/>
        <v>0</v>
      </c>
      <c r="E186" s="7">
        <f>E185</f>
        <v>0</v>
      </c>
      <c r="F186" s="14">
        <f>$P$86</f>
        <v>3.5744886743189486E-2</v>
      </c>
      <c r="H186" s="9"/>
      <c r="I186" s="9"/>
      <c r="J186" s="9"/>
      <c r="K186" s="9"/>
      <c r="L186" s="9">
        <f ca="1">$F$86/$F$31</f>
        <v>0</v>
      </c>
      <c r="M186" s="9">
        <f ca="1">L186-T186</f>
        <v>0</v>
      </c>
      <c r="N186" s="9"/>
      <c r="O186" s="9"/>
      <c r="P186" s="9"/>
      <c r="Q186" s="9"/>
      <c r="R186" s="9"/>
      <c r="S186" s="9">
        <f ca="1">IF(OR($C186="Annual",$D186=$E186),IF(AND($D186=$E186,S$111=$B186+$D186),$L186,IF(AND(S$111&gt;$B186+$D186,S$111&lt;=$B186+$E186), $L186/($E186-$D186),0)), IF(OR(S$111=$B186+$D186,S$111=$B186+$E186),$L186/(($E186-$D186)*2),IF(AND(S$111&gt;$B186+$D186,S$111&lt;$B186+$E186),$L186/($E186-$D186),0)))</f>
        <v>0</v>
      </c>
      <c r="T186" s="9">
        <f>IF(OR($C186="Annual",$D186=$E186),IF(AND($D186=$E186,T$111=$B186+$D186),$L186,IF(AND(T$111&gt;$B186+$D186,T$111&lt;=$B186+$E186), $L186/($E186-$D186),0)), IF(OR(T$111=$B186+$D186,T$111=$B186+$E186),$L186/(($E186-$D186)*2),IF(AND(T$111&gt;$B186+$D186,T$111&lt;$B186+$E186),$L186/($E186-$D186),0)))</f>
        <v>0</v>
      </c>
      <c r="U186" s="9"/>
      <c r="V186" s="9"/>
      <c r="W186" s="9"/>
      <c r="X186" s="9"/>
      <c r="Y186" s="9"/>
      <c r="Z186" s="9">
        <f t="shared" si="47"/>
        <v>0</v>
      </c>
      <c r="AA186" s="9">
        <f t="shared" ca="1" si="47"/>
        <v>0</v>
      </c>
    </row>
    <row r="187" spans="1:27">
      <c r="A187" s="8" t="str">
        <f>A186</f>
        <v>Type 7</v>
      </c>
      <c r="B187" s="7">
        <f>B186+1</f>
        <v>2023</v>
      </c>
      <c r="C187" s="7" t="str">
        <f t="shared" si="48"/>
        <v>Annual</v>
      </c>
      <c r="D187" s="7">
        <f t="shared" si="48"/>
        <v>0</v>
      </c>
      <c r="E187" s="7">
        <f>E186</f>
        <v>0</v>
      </c>
      <c r="F187" s="14">
        <f>$Q$86</f>
        <v>3.5744886743189486E-2</v>
      </c>
      <c r="H187" s="9"/>
      <c r="I187" s="9"/>
      <c r="J187" s="9"/>
      <c r="K187" s="9"/>
      <c r="L187" s="9"/>
      <c r="M187" s="9">
        <f ca="1">$G$86/$G$31</f>
        <v>0</v>
      </c>
      <c r="N187" s="9"/>
      <c r="O187" s="9"/>
      <c r="P187" s="9"/>
      <c r="Q187" s="9"/>
      <c r="R187" s="9"/>
      <c r="S187" s="9"/>
      <c r="T187" s="9">
        <f ca="1">IF(OR($C187="Annual",$D187=$E187),IF(AND($D187=$E187,T$111=$B187+$D187),$M187,IF(AND(T$111&gt;$B187+$D187,T$111&lt;=$B187+$E187), $M187/($E187-$D187),0)), IF(OR(T$111=$B187+$D187,T$111=$B187+$E187),$M187/(($E187-$D187)*2),IF(AND(T$111&gt;$B187+$D187,T$111&lt;$B187+$E187),$M187/($E187-$D187),0)))</f>
        <v>0</v>
      </c>
      <c r="U187" s="9"/>
      <c r="V187" s="9"/>
      <c r="W187" s="9"/>
      <c r="X187" s="9"/>
      <c r="Y187" s="9"/>
      <c r="Z187" s="9"/>
      <c r="AA187" s="9">
        <f t="shared" si="47"/>
        <v>0</v>
      </c>
    </row>
    <row r="188" spans="1:27">
      <c r="A188" s="8"/>
      <c r="B188" s="7"/>
      <c r="C188" s="7"/>
      <c r="D188" s="7"/>
      <c r="E188" s="7"/>
      <c r="F188" s="15"/>
      <c r="H188" s="9"/>
      <c r="I188" s="9"/>
      <c r="J188" s="9"/>
      <c r="K188" s="9"/>
      <c r="L188" s="9"/>
      <c r="M188" s="9"/>
      <c r="N188" s="9"/>
      <c r="O188" s="278"/>
      <c r="P188" s="10"/>
      <c r="Q188" s="10"/>
      <c r="R188" s="10"/>
      <c r="S188" s="10"/>
      <c r="T188" s="10"/>
      <c r="U188" s="9"/>
      <c r="V188" s="10"/>
      <c r="W188" s="10"/>
      <c r="X188" s="10"/>
      <c r="Y188" s="10"/>
      <c r="Z188" s="10"/>
      <c r="AA188" s="10"/>
    </row>
    <row r="189" spans="1:27">
      <c r="A189" s="8" t="str">
        <f>'Input 4 - Forecast'!A68</f>
        <v>Type 8</v>
      </c>
      <c r="B189" s="7">
        <f>B119</f>
        <v>2018</v>
      </c>
      <c r="C189" s="7" t="str">
        <f>$I87</f>
        <v>Annual</v>
      </c>
      <c r="D189" s="7">
        <f>$J87</f>
        <v>0</v>
      </c>
      <c r="E189" s="7">
        <f>$K87</f>
        <v>0</v>
      </c>
      <c r="F189" s="14">
        <f>$L$87</f>
        <v>0</v>
      </c>
      <c r="H189" s="9">
        <f>$B$87/$B$31</f>
        <v>0</v>
      </c>
      <c r="I189" s="9">
        <f>H189-P189</f>
        <v>0</v>
      </c>
      <c r="J189" s="9">
        <f>I189-Q189</f>
        <v>0</v>
      </c>
      <c r="K189" s="9">
        <f>J189-R189</f>
        <v>0</v>
      </c>
      <c r="L189" s="9">
        <f>K189-S189</f>
        <v>0</v>
      </c>
      <c r="M189" s="9">
        <f>L189-T189</f>
        <v>0</v>
      </c>
      <c r="N189" s="9"/>
      <c r="O189" s="9">
        <f t="shared" ref="O189:T189" si="49">IF(OR($C189="Annual",$D189=$E189),IF(AND($D189=$E189,O$111=$B189+$D189),$H189,IF(AND(O$111&gt;$B189+$D189,O$111&lt;=$B189+$E189), $H189/($E189-$D189),0)), IF(OR(O$111=$B189+$D189,O$111=$B189+$E189),$H189/(($E189-$D189)*2),IF(AND(O$111&gt;$B189+$D189,O$111&lt;$B189+$E189),$H189/($E189-$D189),0)))</f>
        <v>0</v>
      </c>
      <c r="P189" s="9">
        <f t="shared" si="49"/>
        <v>0</v>
      </c>
      <c r="Q189" s="9">
        <f t="shared" si="49"/>
        <v>0</v>
      </c>
      <c r="R189" s="9">
        <f t="shared" si="49"/>
        <v>0</v>
      </c>
      <c r="S189" s="9">
        <f t="shared" si="49"/>
        <v>0</v>
      </c>
      <c r="T189" s="9">
        <f t="shared" si="49"/>
        <v>0</v>
      </c>
      <c r="U189" s="9"/>
      <c r="V189" s="9">
        <f>IF($C189="annual",IF(V$111=$B189,0,G189*$F189),IF(V$111-$B189=0,0,IF((V$111-$B189)&lt;$E189,AVERAGE(G189,H189)*$F189,IF((V$111-$B189)=$E189,G189*$F189/2,0))))</f>
        <v>0</v>
      </c>
      <c r="W189" s="9">
        <f t="shared" ref="W189:AA194" si="50">IF($C189="annual",IF(W$111=$B189,0,H189*$F189),IF(W$111-$B189=0,0,IF((W$111-$B189)&lt;$E189,AVERAGE(H189,I189)*$F189,IF((W$111-$B189)=$E189,H189*$F189/2,0))))</f>
        <v>0</v>
      </c>
      <c r="X189" s="9">
        <f t="shared" si="50"/>
        <v>0</v>
      </c>
      <c r="Y189" s="9">
        <f t="shared" si="50"/>
        <v>0</v>
      </c>
      <c r="Z189" s="9">
        <f t="shared" si="50"/>
        <v>0</v>
      </c>
      <c r="AA189" s="9">
        <f t="shared" si="50"/>
        <v>0</v>
      </c>
    </row>
    <row r="190" spans="1:27">
      <c r="A190" s="8" t="str">
        <f>A189</f>
        <v>Type 8</v>
      </c>
      <c r="B190" s="7">
        <f>B189+1</f>
        <v>2019</v>
      </c>
      <c r="C190" s="7" t="str">
        <f t="shared" ref="C190:D194" si="51">C189</f>
        <v>Annual</v>
      </c>
      <c r="D190" s="7">
        <f t="shared" si="51"/>
        <v>0</v>
      </c>
      <c r="E190" s="7">
        <f>E189</f>
        <v>0</v>
      </c>
      <c r="F190" s="14">
        <f>$M$87</f>
        <v>3.5744886743189486E-2</v>
      </c>
      <c r="H190" s="9"/>
      <c r="I190" s="9">
        <f ca="1">$C$87/$C$31</f>
        <v>0</v>
      </c>
      <c r="J190" s="9">
        <f ca="1">I190-Q190</f>
        <v>0</v>
      </c>
      <c r="K190" s="9">
        <f ca="1">J190-R190</f>
        <v>0</v>
      </c>
      <c r="L190" s="9">
        <f ca="1">K190-S190</f>
        <v>0</v>
      </c>
      <c r="M190" s="9">
        <f ca="1">L190-T190</f>
        <v>0</v>
      </c>
      <c r="N190" s="9"/>
      <c r="O190" s="9"/>
      <c r="P190" s="9">
        <f ca="1">IF(OR($C190="Annual",$D190=$E190),IF(AND($D190=$E190,P$111=$B190+$D190),$I190,IF(AND(P$111&gt;$B190+$D190,P$111&lt;=$B190+$E190), $I190/($E190-$D190),0)), IF(OR(P$111=$B190+$D190,P$111=$B190+$E190),$I190/(($E190-$D190)*2),IF(AND(P$111&gt;$B190+$D190,P$111&lt;$B190+$E190),$I190/($E190-$D190),0)))</f>
        <v>0</v>
      </c>
      <c r="Q190" s="9">
        <f>IF(OR($C190="Annual",$D190=$E190),IF(AND($D190=$E190,Q$111=$B190+$D190),$I190,IF(AND(Q$111&gt;$B190+$D190,Q$111&lt;=$B190+$E190), $I190/($E190-$D190),0)), IF(OR(Q$111=$B190+$D190,Q$111=$B190+$E190),$I190/(($E190-$D190)*2),IF(AND(Q$111&gt;$B190+$D190,Q$111&lt;$B190+$E190),$I190/($E190-$D190),0)))</f>
        <v>0</v>
      </c>
      <c r="R190" s="9">
        <f>IF(OR($C190="Annual",$D190=$E190),IF(AND($D190=$E190,R$111=$B190+$D190),$I190,IF(AND(R$111&gt;$B190+$D190,R$111&lt;=$B190+$E190), $I190/($E190-$D190),0)), IF(OR(R$111=$B190+$D190,R$111=$B190+$E190),$I190/(($E190-$D190)*2),IF(AND(R$111&gt;$B190+$D190,R$111&lt;$B190+$E190),$I190/($E190-$D190),0)))</f>
        <v>0</v>
      </c>
      <c r="S190" s="9">
        <f>IF(OR($C190="Annual",$D190=$E190),IF(AND($D190=$E190,S$111=$B190+$D190),$I190,IF(AND(S$111&gt;$B190+$D190,S$111&lt;=$B190+$E190), $I190/($E190-$D190),0)), IF(OR(S$111=$B190+$D190,S$111=$B190+$E190),$I190/(($E190-$D190)*2),IF(AND(S$111&gt;$B190+$D190,S$111&lt;$B190+$E190),$I190/($E190-$D190),0)))</f>
        <v>0</v>
      </c>
      <c r="T190" s="9">
        <f>IF(OR($C190="Annual",$D190=$E190),IF(AND($D190=$E190,T$111=$B190+$D190),$I190,IF(AND(T$111&gt;$B190+$D190,T$111&lt;=$B190+$E190), $I190/($E190-$D190),0)), IF(OR(T$111=$B190+$D190,T$111=$B190+$E190),$I190/(($E190-$D190)*2),IF(AND(T$111&gt;$B190+$D190,T$111&lt;$B190+$E190),$I190/($E190-$D190),0)))</f>
        <v>0</v>
      </c>
      <c r="U190" s="9"/>
      <c r="V190" s="9"/>
      <c r="W190" s="9">
        <f t="shared" si="50"/>
        <v>0</v>
      </c>
      <c r="X190" s="9">
        <f t="shared" ca="1" si="50"/>
        <v>0</v>
      </c>
      <c r="Y190" s="9">
        <f t="shared" ca="1" si="50"/>
        <v>0</v>
      </c>
      <c r="Z190" s="9">
        <f t="shared" ca="1" si="50"/>
        <v>0</v>
      </c>
      <c r="AA190" s="9">
        <f t="shared" ca="1" si="50"/>
        <v>0</v>
      </c>
    </row>
    <row r="191" spans="1:27">
      <c r="A191" s="8" t="str">
        <f>A190</f>
        <v>Type 8</v>
      </c>
      <c r="B191" s="7">
        <f>B190+1</f>
        <v>2020</v>
      </c>
      <c r="C191" s="7" t="str">
        <f t="shared" si="51"/>
        <v>Annual</v>
      </c>
      <c r="D191" s="7">
        <f t="shared" si="51"/>
        <v>0</v>
      </c>
      <c r="E191" s="7">
        <f>E190</f>
        <v>0</v>
      </c>
      <c r="F191" s="14">
        <f>$N$87</f>
        <v>3.5744886743189486E-2</v>
      </c>
      <c r="H191" s="9"/>
      <c r="I191" s="9"/>
      <c r="J191" s="9">
        <f ca="1">$D$87/$D$31</f>
        <v>0</v>
      </c>
      <c r="K191" s="9">
        <f ca="1">J191-R191</f>
        <v>0</v>
      </c>
      <c r="L191" s="9">
        <f ca="1">K191-S191</f>
        <v>0</v>
      </c>
      <c r="M191" s="9">
        <f ca="1">L191-T191</f>
        <v>0</v>
      </c>
      <c r="N191" s="9"/>
      <c r="O191" s="9"/>
      <c r="P191" s="9"/>
      <c r="Q191" s="9">
        <f ca="1">IF(OR($C191="Annual",$D191=$E191),IF(AND($D191=$E191,Q$111=$B191+$D191),$J191,IF(AND(Q$111&gt;$B191+$D191,Q$111&lt;=$B191+$E191), $J191/($E191-$D191),0)), IF(OR(Q$111=$B191+$D191,Q$111=$B191+$E191),$J191/(($E191-$D191)*2),IF(AND(Q$111&gt;$B191+$D191,Q$111&lt;$B191+$E191),$J191/($E191-$D191),0)))</f>
        <v>0</v>
      </c>
      <c r="R191" s="9">
        <f>IF(OR($C191="Annual",$D191=$E191),IF(AND($D191=$E191,R$111=$B191+$D191),$J191,IF(AND(R$111&gt;$B191+$D191,R$111&lt;=$B191+$E191), $J191/($E191-$D191),0)), IF(OR(R$111=$B191+$D191,R$111=$B191+$E191),$J191/(($E191-$D191)*2),IF(AND(R$111&gt;$B191+$D191,R$111&lt;$B191+$E191),$J191/($E191-$D191),0)))</f>
        <v>0</v>
      </c>
      <c r="S191" s="9">
        <f>IF(OR($C191="Annual",$D191=$E191),IF(AND($D191=$E191,S$111=$B191+$D191),$J191,IF(AND(S$111&gt;$B191+$D191,S$111&lt;=$B191+$E191), $J191/($E191-$D191),0)), IF(OR(S$111=$B191+$D191,S$111=$B191+$E191),$J191/(($E191-$D191)*2),IF(AND(S$111&gt;$B191+$D191,S$111&lt;$B191+$E191),$J191/($E191-$D191),0)))</f>
        <v>0</v>
      </c>
      <c r="T191" s="9">
        <f>IF(OR($C191="Annual",$D191=$E191),IF(AND($D191=$E191,T$111=$B191+$D191),$J191,IF(AND(T$111&gt;$B191+$D191,T$111&lt;=$B191+$E191), $J191/($E191-$D191),0)), IF(OR(T$111=$B191+$D191,T$111=$B191+$E191),$J191/(($E191-$D191)*2),IF(AND(T$111&gt;$B191+$D191,T$111&lt;$B191+$E191),$J191/($E191-$D191),0)))</f>
        <v>0</v>
      </c>
      <c r="U191" s="9"/>
      <c r="V191" s="9"/>
      <c r="W191" s="9"/>
      <c r="X191" s="9">
        <f t="shared" si="50"/>
        <v>0</v>
      </c>
      <c r="Y191" s="9">
        <f t="shared" ca="1" si="50"/>
        <v>0</v>
      </c>
      <c r="Z191" s="9">
        <f t="shared" ca="1" si="50"/>
        <v>0</v>
      </c>
      <c r="AA191" s="9">
        <f t="shared" ca="1" si="50"/>
        <v>0</v>
      </c>
    </row>
    <row r="192" spans="1:27">
      <c r="A192" s="8" t="str">
        <f>A191</f>
        <v>Type 8</v>
      </c>
      <c r="B192" s="7">
        <f>B191+1</f>
        <v>2021</v>
      </c>
      <c r="C192" s="7" t="str">
        <f t="shared" si="51"/>
        <v>Annual</v>
      </c>
      <c r="D192" s="7">
        <f t="shared" si="51"/>
        <v>0</v>
      </c>
      <c r="E192" s="7">
        <f>E191</f>
        <v>0</v>
      </c>
      <c r="F192" s="14">
        <f>$O$87</f>
        <v>3.5744886743189486E-2</v>
      </c>
      <c r="H192" s="9"/>
      <c r="I192" s="9"/>
      <c r="J192" s="9"/>
      <c r="K192" s="9">
        <f ca="1">$E$87/$E$31</f>
        <v>0</v>
      </c>
      <c r="L192" s="9">
        <f ca="1">K192-S192</f>
        <v>0</v>
      </c>
      <c r="M192" s="9">
        <f ca="1">L192-T192</f>
        <v>0</v>
      </c>
      <c r="N192" s="9"/>
      <c r="O192" s="9"/>
      <c r="P192" s="9"/>
      <c r="Q192" s="9"/>
      <c r="R192" s="9">
        <f ca="1">IF(OR($C192="Annual",$D192=$E192),IF(AND($D192=$E192,R$111=$B192+$D192),$K192,IF(AND(R$111&gt;$B192+$D192,R$111&lt;=$B192+$E192), $K192/($E192-$D192),0)), IF(OR(R$111=$B192+$D192,R$111=$B192+$E192),$K192/(($E192-$D192)*2),IF(AND(R$111&gt;$B192+$D192,R$111&lt;$B192+$E192),$K192/($E192-$D192),0)))</f>
        <v>0</v>
      </c>
      <c r="S192" s="9">
        <f>IF(OR($C192="Annual",$D192=$E192),IF(AND($D192=$E192,S$111=$B192+$D192),$K192,IF(AND(S$111&gt;$B192+$D192,S$111&lt;=$B192+$E192), $K192/($E192-$D192),0)), IF(OR(S$111=$B192+$D192,S$111=$B192+$E192),$K192/(($E192-$D192)*2),IF(AND(S$111&gt;$B192+$D192,S$111&lt;$B192+$E192),$K192/($E192-$D192),0)))</f>
        <v>0</v>
      </c>
      <c r="T192" s="9">
        <f>IF(OR($C192="Annual",$D192=$E192),IF(AND($D192=$E192,T$111=$B192+$D192),$K192,IF(AND(T$111&gt;$B192+$D192,T$111&lt;=$B192+$E192), $K192/($E192-$D192),0)), IF(OR(T$111=$B192+$D192,T$111=$B192+$E192),$K192/(($E192-$D192)*2),IF(AND(T$111&gt;$B192+$D192,T$111&lt;$B192+$E192),$K192/($E192-$D192),0)))</f>
        <v>0</v>
      </c>
      <c r="U192" s="9"/>
      <c r="V192" s="9"/>
      <c r="W192" s="9"/>
      <c r="X192" s="9"/>
      <c r="Y192" s="9">
        <f t="shared" si="50"/>
        <v>0</v>
      </c>
      <c r="Z192" s="9">
        <f t="shared" ca="1" si="50"/>
        <v>0</v>
      </c>
      <c r="AA192" s="9">
        <f t="shared" ca="1" si="50"/>
        <v>0</v>
      </c>
    </row>
    <row r="193" spans="1:27">
      <c r="A193" s="8" t="str">
        <f>A192</f>
        <v>Type 8</v>
      </c>
      <c r="B193" s="7">
        <f>B192+1</f>
        <v>2022</v>
      </c>
      <c r="C193" s="7" t="str">
        <f t="shared" si="51"/>
        <v>Annual</v>
      </c>
      <c r="D193" s="7">
        <f t="shared" si="51"/>
        <v>0</v>
      </c>
      <c r="E193" s="7">
        <f>E192</f>
        <v>0</v>
      </c>
      <c r="F193" s="14">
        <f>$P$87</f>
        <v>3.5744886743189486E-2</v>
      </c>
      <c r="H193" s="9"/>
      <c r="I193" s="9"/>
      <c r="J193" s="9"/>
      <c r="K193" s="9"/>
      <c r="L193" s="9">
        <f ca="1">$F$87/$F$31</f>
        <v>0</v>
      </c>
      <c r="M193" s="9">
        <f ca="1">L193-T193</f>
        <v>0</v>
      </c>
      <c r="N193" s="9"/>
      <c r="O193" s="9"/>
      <c r="P193" s="9"/>
      <c r="Q193" s="9"/>
      <c r="R193" s="9"/>
      <c r="S193" s="9">
        <f ca="1">IF(OR($C193="Annual",$D193=$E193),IF(AND($D193=$E193,S$111=$B193+$D193),$L193,IF(AND(S$111&gt;$B193+$D193,S$111&lt;=$B193+$E193), $L193/($E193-$D193),0)), IF(OR(S$111=$B193+$D193,S$111=$B193+$E193),$L193/(($E193-$D193)*2),IF(AND(S$111&gt;$B193+$D193,S$111&lt;$B193+$E193),$L193/($E193-$D193),0)))</f>
        <v>0</v>
      </c>
      <c r="T193" s="9">
        <f>IF(OR($C193="Annual",$D193=$E193),IF(AND($D193=$E193,T$111=$B193+$D193),$L193,IF(AND(T$111&gt;$B193+$D193,T$111&lt;=$B193+$E193), $L193/($E193-$D193),0)), IF(OR(T$111=$B193+$D193,T$111=$B193+$E193),$L193/(($E193-$D193)*2),IF(AND(T$111&gt;$B193+$D193,T$111&lt;$B193+$E193),$L193/($E193-$D193),0)))</f>
        <v>0</v>
      </c>
      <c r="U193" s="9"/>
      <c r="V193" s="9"/>
      <c r="W193" s="9"/>
      <c r="X193" s="9"/>
      <c r="Y193" s="9"/>
      <c r="Z193" s="9">
        <f t="shared" si="50"/>
        <v>0</v>
      </c>
      <c r="AA193" s="9">
        <f t="shared" ca="1" si="50"/>
        <v>0</v>
      </c>
    </row>
    <row r="194" spans="1:27">
      <c r="A194" s="8" t="str">
        <f>A193</f>
        <v>Type 8</v>
      </c>
      <c r="B194" s="7">
        <f>B193+1</f>
        <v>2023</v>
      </c>
      <c r="C194" s="7" t="str">
        <f t="shared" si="51"/>
        <v>Annual</v>
      </c>
      <c r="D194" s="7">
        <f t="shared" si="51"/>
        <v>0</v>
      </c>
      <c r="E194" s="7">
        <f>E193</f>
        <v>0</v>
      </c>
      <c r="F194" s="14">
        <f>$Q$87</f>
        <v>3.5744886743189486E-2</v>
      </c>
      <c r="H194" s="9"/>
      <c r="I194" s="9"/>
      <c r="J194" s="9"/>
      <c r="K194" s="9"/>
      <c r="L194" s="9"/>
      <c r="M194" s="9">
        <f ca="1">$G$87/$G$31</f>
        <v>0</v>
      </c>
      <c r="N194" s="9"/>
      <c r="O194" s="9"/>
      <c r="P194" s="9"/>
      <c r="Q194" s="9"/>
      <c r="R194" s="9"/>
      <c r="S194" s="9"/>
      <c r="T194" s="9">
        <f ca="1">IF(OR($C194="Annual",$D194=$E194),IF(AND($D194=$E194,T$111=$B194+$D194),$M194,IF(AND(T$111&gt;$B194+$D194,T$111&lt;=$B194+$E194), $M194/($E194-$D194),0)), IF(OR(T$111=$B194+$D194,T$111=$B194+$E194),$M194/(($E194-$D194)*2),IF(AND(T$111&gt;$B194+$D194,T$111&lt;$B194+$E194),$M194/($E194-$D194),0)))</f>
        <v>0</v>
      </c>
      <c r="U194" s="9"/>
      <c r="V194" s="9"/>
      <c r="W194" s="9"/>
      <c r="X194" s="9"/>
      <c r="Y194" s="9"/>
      <c r="Z194" s="9"/>
      <c r="AA194" s="9">
        <f t="shared" si="50"/>
        <v>0</v>
      </c>
    </row>
    <row r="195" spans="1:27">
      <c r="A195" s="8"/>
      <c r="B195" s="7"/>
      <c r="C195" s="7"/>
      <c r="D195" s="7"/>
      <c r="E195" s="7"/>
      <c r="F195" s="15"/>
      <c r="H195" s="9"/>
      <c r="I195" s="9"/>
      <c r="J195" s="9"/>
      <c r="K195" s="9"/>
      <c r="L195" s="9"/>
      <c r="M195" s="9"/>
      <c r="N195" s="9"/>
      <c r="O195" s="278"/>
      <c r="P195" s="10"/>
      <c r="Q195" s="10"/>
      <c r="R195" s="10"/>
      <c r="S195" s="10"/>
      <c r="T195" s="10"/>
      <c r="U195" s="9"/>
      <c r="V195" s="10"/>
      <c r="W195" s="10"/>
      <c r="X195" s="10"/>
      <c r="Y195" s="10"/>
      <c r="Z195" s="10"/>
      <c r="AA195" s="10"/>
    </row>
    <row r="196" spans="1:27">
      <c r="A196" s="8" t="str">
        <f>'Input 4 - Forecast'!A69</f>
        <v>Type 9</v>
      </c>
      <c r="B196" s="7">
        <f>B119</f>
        <v>2018</v>
      </c>
      <c r="C196" s="7" t="str">
        <f>$I88</f>
        <v>Annual</v>
      </c>
      <c r="D196" s="7">
        <f>$J88</f>
        <v>0</v>
      </c>
      <c r="E196" s="7">
        <f>$K88</f>
        <v>0</v>
      </c>
      <c r="F196" s="14">
        <f>$L$88</f>
        <v>0</v>
      </c>
      <c r="H196" s="9">
        <f>$B$88/$B$31</f>
        <v>0</v>
      </c>
      <c r="I196" s="9">
        <f>H196-P196</f>
        <v>0</v>
      </c>
      <c r="J196" s="9">
        <f>I196-Q196</f>
        <v>0</v>
      </c>
      <c r="K196" s="9">
        <f>J196-R196</f>
        <v>0</v>
      </c>
      <c r="L196" s="9">
        <f>K196-S196</f>
        <v>0</v>
      </c>
      <c r="M196" s="9">
        <f>L196-T196</f>
        <v>0</v>
      </c>
      <c r="N196" s="9"/>
      <c r="O196" s="9">
        <f t="shared" ref="O196:T196" si="52">IF(OR($C196="Annual",$D196=$E196),IF(AND($D196=$E196,O$111=$B196+$D196),$H196,IF(AND(O$111&gt;$B196+$D196,O$111&lt;=$B196+$E196), $H196/($E196-$D196),0)), IF(OR(O$111=$B196+$D196,O$111=$B196+$E196),$H196/(($E196-$D196)*2),IF(AND(O$111&gt;$B196+$D196,O$111&lt;$B196+$E196),$H196/($E196-$D196),0)))</f>
        <v>0</v>
      </c>
      <c r="P196" s="9">
        <f t="shared" si="52"/>
        <v>0</v>
      </c>
      <c r="Q196" s="9">
        <f t="shared" si="52"/>
        <v>0</v>
      </c>
      <c r="R196" s="9">
        <f t="shared" si="52"/>
        <v>0</v>
      </c>
      <c r="S196" s="9">
        <f t="shared" si="52"/>
        <v>0</v>
      </c>
      <c r="T196" s="9">
        <f t="shared" si="52"/>
        <v>0</v>
      </c>
      <c r="U196" s="9"/>
      <c r="V196" s="9">
        <f>IF($C196="annual",IF(V$111=$B196,0,G196*$F196),IF(V$111-$B196=0,0,IF((V$111-$B196)&lt;$E196,AVERAGE(G196,H196)*$F196,IF((V$111-$B196)=$E196,G196*$F196/2,0))))</f>
        <v>0</v>
      </c>
      <c r="W196" s="9">
        <f t="shared" ref="W196:AA201" si="53">IF($C196="annual",IF(W$111=$B196,0,H196*$F196),IF(W$111-$B196=0,0,IF((W$111-$B196)&lt;$E196,AVERAGE(H196,I196)*$F196,IF((W$111-$B196)=$E196,H196*$F196/2,0))))</f>
        <v>0</v>
      </c>
      <c r="X196" s="9">
        <f t="shared" si="53"/>
        <v>0</v>
      </c>
      <c r="Y196" s="9">
        <f t="shared" si="53"/>
        <v>0</v>
      </c>
      <c r="Z196" s="9">
        <f t="shared" si="53"/>
        <v>0</v>
      </c>
      <c r="AA196" s="9">
        <f t="shared" si="53"/>
        <v>0</v>
      </c>
    </row>
    <row r="197" spans="1:27">
      <c r="A197" s="8" t="str">
        <f>A196</f>
        <v>Type 9</v>
      </c>
      <c r="B197" s="7">
        <f>B196+1</f>
        <v>2019</v>
      </c>
      <c r="C197" s="7" t="str">
        <f t="shared" ref="C197:D201" si="54">C196</f>
        <v>Annual</v>
      </c>
      <c r="D197" s="7">
        <f t="shared" si="54"/>
        <v>0</v>
      </c>
      <c r="E197" s="7">
        <f>E196</f>
        <v>0</v>
      </c>
      <c r="F197" s="14">
        <f>$M$88</f>
        <v>3.5744886743189486E-2</v>
      </c>
      <c r="H197" s="9"/>
      <c r="I197" s="9">
        <f ca="1">$C$88/$C$31</f>
        <v>0</v>
      </c>
      <c r="J197" s="9">
        <f ca="1">I197-Q197</f>
        <v>0</v>
      </c>
      <c r="K197" s="9">
        <f ca="1">J197-R197</f>
        <v>0</v>
      </c>
      <c r="L197" s="9">
        <f ca="1">K197-S197</f>
        <v>0</v>
      </c>
      <c r="M197" s="9">
        <f ca="1">L197-T197</f>
        <v>0</v>
      </c>
      <c r="N197" s="9"/>
      <c r="O197" s="9"/>
      <c r="P197" s="9">
        <f ca="1">IF(OR($C197="Annual",$D197=$E197),IF(AND($D197=$E197,P$111=$B197+$D197),$I197,IF(AND(P$111&gt;$B197+$D197,P$111&lt;=$B197+$E197), $I197/($E197-$D197),0)), IF(OR(P$111=$B197+$D197,P$111=$B197+$E197),$I197/(($E197-$D197)*2),IF(AND(P$111&gt;$B197+$D197,P$111&lt;$B197+$E197),$I197/($E197-$D197),0)))</f>
        <v>0</v>
      </c>
      <c r="Q197" s="9">
        <f>IF(OR($C197="Annual",$D197=$E197),IF(AND($D197=$E197,Q$111=$B197+$D197),$I197,IF(AND(Q$111&gt;$B197+$D197,Q$111&lt;=$B197+$E197), $I197/($E197-$D197),0)), IF(OR(Q$111=$B197+$D197,Q$111=$B197+$E197),$I197/(($E197-$D197)*2),IF(AND(Q$111&gt;$B197+$D197,Q$111&lt;$B197+$E197),$I197/($E197-$D197),0)))</f>
        <v>0</v>
      </c>
      <c r="R197" s="9">
        <f>IF(OR($C197="Annual",$D197=$E197),IF(AND($D197=$E197,R$111=$B197+$D197),$I197,IF(AND(R$111&gt;$B197+$D197,R$111&lt;=$B197+$E197), $I197/($E197-$D197),0)), IF(OR(R$111=$B197+$D197,R$111=$B197+$E197),$I197/(($E197-$D197)*2),IF(AND(R$111&gt;$B197+$D197,R$111&lt;$B197+$E197),$I197/($E197-$D197),0)))</f>
        <v>0</v>
      </c>
      <c r="S197" s="9">
        <f>IF(OR($C197="Annual",$D197=$E197),IF(AND($D197=$E197,S$111=$B197+$D197),$I197,IF(AND(S$111&gt;$B197+$D197,S$111&lt;=$B197+$E197), $I197/($E197-$D197),0)), IF(OR(S$111=$B197+$D197,S$111=$B197+$E197),$I197/(($E197-$D197)*2),IF(AND(S$111&gt;$B197+$D197,S$111&lt;$B197+$E197),$I197/($E197-$D197),0)))</f>
        <v>0</v>
      </c>
      <c r="T197" s="9">
        <f>IF(OR($C197="Annual",$D197=$E197),IF(AND($D197=$E197,T$111=$B197+$D197),$I197,IF(AND(T$111&gt;$B197+$D197,T$111&lt;=$B197+$E197), $I197/($E197-$D197),0)), IF(OR(T$111=$B197+$D197,T$111=$B197+$E197),$I197/(($E197-$D197)*2),IF(AND(T$111&gt;$B197+$D197,T$111&lt;$B197+$E197),$I197/($E197-$D197),0)))</f>
        <v>0</v>
      </c>
      <c r="U197" s="9"/>
      <c r="V197" s="9"/>
      <c r="W197" s="9">
        <f t="shared" si="53"/>
        <v>0</v>
      </c>
      <c r="X197" s="9">
        <f t="shared" ca="1" si="53"/>
        <v>0</v>
      </c>
      <c r="Y197" s="9">
        <f t="shared" ca="1" si="53"/>
        <v>0</v>
      </c>
      <c r="Z197" s="9">
        <f t="shared" ca="1" si="53"/>
        <v>0</v>
      </c>
      <c r="AA197" s="9">
        <f t="shared" ca="1" si="53"/>
        <v>0</v>
      </c>
    </row>
    <row r="198" spans="1:27">
      <c r="A198" s="8" t="str">
        <f>A197</f>
        <v>Type 9</v>
      </c>
      <c r="B198" s="7">
        <f>B197+1</f>
        <v>2020</v>
      </c>
      <c r="C198" s="7" t="str">
        <f t="shared" si="54"/>
        <v>Annual</v>
      </c>
      <c r="D198" s="7">
        <f t="shared" si="54"/>
        <v>0</v>
      </c>
      <c r="E198" s="7">
        <f>E197</f>
        <v>0</v>
      </c>
      <c r="F198" s="14">
        <f>$N$88</f>
        <v>3.5744886743189486E-2</v>
      </c>
      <c r="H198" s="9"/>
      <c r="I198" s="9"/>
      <c r="J198" s="9">
        <f ca="1">$D$88/$D$31</f>
        <v>0</v>
      </c>
      <c r="K198" s="9">
        <f ca="1">J198-R198</f>
        <v>0</v>
      </c>
      <c r="L198" s="9">
        <f ca="1">K198-S198</f>
        <v>0</v>
      </c>
      <c r="M198" s="9">
        <f ca="1">L198-T198</f>
        <v>0</v>
      </c>
      <c r="N198" s="9"/>
      <c r="O198" s="9"/>
      <c r="P198" s="9"/>
      <c r="Q198" s="9">
        <f ca="1">IF(OR($C198="Annual",$D198=$E198),IF(AND($D198=$E198,Q$111=$B198+$D198),$J198,IF(AND(Q$111&gt;$B198+$D198,Q$111&lt;=$B198+$E198), $J198/($E198-$D198),0)), IF(OR(Q$111=$B198+$D198,Q$111=$B198+$E198),$J198/(($E198-$D198)*2),IF(AND(Q$111&gt;$B198+$D198,Q$111&lt;$B198+$E198),$J198/($E198-$D198),0)))</f>
        <v>0</v>
      </c>
      <c r="R198" s="9">
        <f>IF(OR($C198="Annual",$D198=$E198),IF(AND($D198=$E198,R$111=$B198+$D198),$J198,IF(AND(R$111&gt;$B198+$D198,R$111&lt;=$B198+$E198), $J198/($E198-$D198),0)), IF(OR(R$111=$B198+$D198,R$111=$B198+$E198),$J198/(($E198-$D198)*2),IF(AND(R$111&gt;$B198+$D198,R$111&lt;$B198+$E198),$J198/($E198-$D198),0)))</f>
        <v>0</v>
      </c>
      <c r="S198" s="9">
        <f>IF(OR($C198="Annual",$D198=$E198),IF(AND($D198=$E198,S$111=$B198+$D198),$J198,IF(AND(S$111&gt;$B198+$D198,S$111&lt;=$B198+$E198), $J198/($E198-$D198),0)), IF(OR(S$111=$B198+$D198,S$111=$B198+$E198),$J198/(($E198-$D198)*2),IF(AND(S$111&gt;$B198+$D198,S$111&lt;$B198+$E198),$J198/($E198-$D198),0)))</f>
        <v>0</v>
      </c>
      <c r="T198" s="9">
        <f>IF(OR($C198="Annual",$D198=$E198),IF(AND($D198=$E198,T$111=$B198+$D198),$J198,IF(AND(T$111&gt;$B198+$D198,T$111&lt;=$B198+$E198), $J198/($E198-$D198),0)), IF(OR(T$111=$B198+$D198,T$111=$B198+$E198),$J198/(($E198-$D198)*2),IF(AND(T$111&gt;$B198+$D198,T$111&lt;$B198+$E198),$J198/($E198-$D198),0)))</f>
        <v>0</v>
      </c>
      <c r="U198" s="9"/>
      <c r="V198" s="9"/>
      <c r="W198" s="9"/>
      <c r="X198" s="9">
        <f t="shared" si="53"/>
        <v>0</v>
      </c>
      <c r="Y198" s="9">
        <f t="shared" ca="1" si="53"/>
        <v>0</v>
      </c>
      <c r="Z198" s="9">
        <f t="shared" ca="1" si="53"/>
        <v>0</v>
      </c>
      <c r="AA198" s="9">
        <f t="shared" ca="1" si="53"/>
        <v>0</v>
      </c>
    </row>
    <row r="199" spans="1:27">
      <c r="A199" s="8" t="str">
        <f>A198</f>
        <v>Type 9</v>
      </c>
      <c r="B199" s="7">
        <f>B198+1</f>
        <v>2021</v>
      </c>
      <c r="C199" s="7" t="str">
        <f t="shared" si="54"/>
        <v>Annual</v>
      </c>
      <c r="D199" s="7">
        <f t="shared" si="54"/>
        <v>0</v>
      </c>
      <c r="E199" s="7">
        <f>E198</f>
        <v>0</v>
      </c>
      <c r="F199" s="14">
        <f>$O$88</f>
        <v>3.5744886743189486E-2</v>
      </c>
      <c r="H199" s="9"/>
      <c r="I199" s="9"/>
      <c r="J199" s="9"/>
      <c r="K199" s="9">
        <f ca="1">$E$88/$E$31</f>
        <v>0</v>
      </c>
      <c r="L199" s="9">
        <f ca="1">K199-S199</f>
        <v>0</v>
      </c>
      <c r="M199" s="9">
        <f ca="1">L199-T199</f>
        <v>0</v>
      </c>
      <c r="N199" s="9"/>
      <c r="O199" s="9"/>
      <c r="P199" s="9"/>
      <c r="Q199" s="9"/>
      <c r="R199" s="9">
        <f ca="1">IF(OR($C199="Annual",$D199=$E199),IF(AND($D199=$E199,R$111=$B199+$D199),$K199,IF(AND(R$111&gt;$B199+$D199,R$111&lt;=$B199+$E199), $K199/($E199-$D199),0)), IF(OR(R$111=$B199+$D199,R$111=$B199+$E199),$K199/(($E199-$D199)*2),IF(AND(R$111&gt;$B199+$D199,R$111&lt;$B199+$E199),$K199/($E199-$D199),0)))</f>
        <v>0</v>
      </c>
      <c r="S199" s="9">
        <f>IF(OR($C199="Annual",$D199=$E199),IF(AND($D199=$E199,S$111=$B199+$D199),$K199,IF(AND(S$111&gt;$B199+$D199,S$111&lt;=$B199+$E199), $K199/($E199-$D199),0)), IF(OR(S$111=$B199+$D199,S$111=$B199+$E199),$K199/(($E199-$D199)*2),IF(AND(S$111&gt;$B199+$D199,S$111&lt;$B199+$E199),$K199/($E199-$D199),0)))</f>
        <v>0</v>
      </c>
      <c r="T199" s="9">
        <f>IF(OR($C199="Annual",$D199=$E199),IF(AND($D199=$E199,T$111=$B199+$D199),$K199,IF(AND(T$111&gt;$B199+$D199,T$111&lt;=$B199+$E199), $K199/($E199-$D199),0)), IF(OR(T$111=$B199+$D199,T$111=$B199+$E199),$K199/(($E199-$D199)*2),IF(AND(T$111&gt;$B199+$D199,T$111&lt;$B199+$E199),$K199/($E199-$D199),0)))</f>
        <v>0</v>
      </c>
      <c r="U199" s="9"/>
      <c r="V199" s="9"/>
      <c r="W199" s="9"/>
      <c r="X199" s="9"/>
      <c r="Y199" s="9">
        <f t="shared" si="53"/>
        <v>0</v>
      </c>
      <c r="Z199" s="9">
        <f t="shared" ca="1" si="53"/>
        <v>0</v>
      </c>
      <c r="AA199" s="9">
        <f t="shared" ca="1" si="53"/>
        <v>0</v>
      </c>
    </row>
    <row r="200" spans="1:27">
      <c r="A200" s="8" t="str">
        <f>A199</f>
        <v>Type 9</v>
      </c>
      <c r="B200" s="7">
        <f>B199+1</f>
        <v>2022</v>
      </c>
      <c r="C200" s="7" t="str">
        <f t="shared" si="54"/>
        <v>Annual</v>
      </c>
      <c r="D200" s="7">
        <f t="shared" si="54"/>
        <v>0</v>
      </c>
      <c r="E200" s="7">
        <f>E199</f>
        <v>0</v>
      </c>
      <c r="F200" s="14">
        <f>$P$88</f>
        <v>3.5744886743189486E-2</v>
      </c>
      <c r="H200" s="9"/>
      <c r="I200" s="9"/>
      <c r="J200" s="9"/>
      <c r="K200" s="9"/>
      <c r="L200" s="9">
        <f ca="1">$F$88/$F$31</f>
        <v>0</v>
      </c>
      <c r="M200" s="9">
        <f ca="1">L200-T200</f>
        <v>0</v>
      </c>
      <c r="N200" s="9"/>
      <c r="O200" s="9"/>
      <c r="P200" s="9"/>
      <c r="Q200" s="9"/>
      <c r="R200" s="9"/>
      <c r="S200" s="9">
        <f ca="1">IF(OR($C200="Annual",$D200=$E200),IF(AND($D200=$E200,S$111=$B200+$D200),$L200,IF(AND(S$111&gt;$B200+$D200,S$111&lt;=$B200+$E200), $L200/($E200-$D200),0)), IF(OR(S$111=$B200+$D200,S$111=$B200+$E200),$L200/(($E200-$D200)*2),IF(AND(S$111&gt;$B200+$D200,S$111&lt;$B200+$E200),$L200/($E200-$D200),0)))</f>
        <v>0</v>
      </c>
      <c r="T200" s="9">
        <f>IF(OR($C200="Annual",$D200=$E200),IF(AND($D200=$E200,T$111=$B200+$D200),$L200,IF(AND(T$111&gt;$B200+$D200,T$111&lt;=$B200+$E200), $L200/($E200-$D200),0)), IF(OR(T$111=$B200+$D200,T$111=$B200+$E200),$L200/(($E200-$D200)*2),IF(AND(T$111&gt;$B200+$D200,T$111&lt;$B200+$E200),$L200/($E200-$D200),0)))</f>
        <v>0</v>
      </c>
      <c r="U200" s="9"/>
      <c r="V200" s="9"/>
      <c r="W200" s="9"/>
      <c r="X200" s="9"/>
      <c r="Y200" s="9"/>
      <c r="Z200" s="9">
        <f t="shared" si="53"/>
        <v>0</v>
      </c>
      <c r="AA200" s="9">
        <f t="shared" ca="1" si="53"/>
        <v>0</v>
      </c>
    </row>
    <row r="201" spans="1:27">
      <c r="A201" s="8" t="str">
        <f>A200</f>
        <v>Type 9</v>
      </c>
      <c r="B201" s="7">
        <f>B200+1</f>
        <v>2023</v>
      </c>
      <c r="C201" s="7" t="str">
        <f t="shared" si="54"/>
        <v>Annual</v>
      </c>
      <c r="D201" s="7">
        <f t="shared" si="54"/>
        <v>0</v>
      </c>
      <c r="E201" s="7">
        <f>E200</f>
        <v>0</v>
      </c>
      <c r="F201" s="14">
        <f>$Q$88</f>
        <v>3.5744886743189486E-2</v>
      </c>
      <c r="H201" s="9"/>
      <c r="I201" s="9"/>
      <c r="J201" s="9"/>
      <c r="K201" s="9"/>
      <c r="L201" s="9"/>
      <c r="M201" s="9">
        <f ca="1">$G$88/$G$31</f>
        <v>0</v>
      </c>
      <c r="N201" s="9"/>
      <c r="O201" s="9"/>
      <c r="P201" s="9"/>
      <c r="Q201" s="9"/>
      <c r="R201" s="9"/>
      <c r="S201" s="9"/>
      <c r="T201" s="9">
        <f ca="1">IF(OR($C201="Annual",$D201=$E201),IF(AND($D201=$E201,T$111=$B201+$D201),$M201,IF(AND(T$111&gt;$B201+$D201,T$111&lt;=$B201+$E201), $M201/($E201-$D201),0)), IF(OR(T$111=$B201+$D201,T$111=$B201+$E201),$M201/(($E201-$D201)*2),IF(AND(T$111&gt;$B201+$D201,T$111&lt;$B201+$E201),$M201/($E201-$D201),0)))</f>
        <v>0</v>
      </c>
      <c r="U201" s="9"/>
      <c r="V201" s="9"/>
      <c r="W201" s="9"/>
      <c r="X201" s="9"/>
      <c r="Y201" s="9"/>
      <c r="Z201" s="9"/>
      <c r="AA201" s="9">
        <f t="shared" si="53"/>
        <v>0</v>
      </c>
    </row>
    <row r="202" spans="1:27">
      <c r="A202" s="8"/>
      <c r="B202" s="7"/>
      <c r="C202" s="7"/>
      <c r="D202" s="7"/>
      <c r="E202" s="7"/>
      <c r="F202" s="15"/>
      <c r="H202" s="9"/>
      <c r="I202" s="9"/>
      <c r="J202" s="9"/>
      <c r="K202" s="9"/>
      <c r="L202" s="9"/>
      <c r="M202" s="9"/>
      <c r="N202" s="9"/>
      <c r="O202" s="278"/>
      <c r="P202" s="10"/>
      <c r="Q202" s="10"/>
      <c r="R202" s="10"/>
      <c r="S202" s="10"/>
      <c r="T202" s="10"/>
      <c r="U202" s="9"/>
      <c r="V202" s="10"/>
      <c r="W202" s="10"/>
      <c r="X202" s="10"/>
      <c r="Y202" s="10"/>
      <c r="Z202" s="10"/>
      <c r="AA202" s="10"/>
    </row>
    <row r="203" spans="1:27" s="1150" customFormat="1">
      <c r="A203" s="1347" t="str">
        <f>'Input 4 - Forecast'!A70</f>
        <v>ZERO-COUPON BOND</v>
      </c>
      <c r="B203" s="1348">
        <f>B119</f>
        <v>2018</v>
      </c>
      <c r="C203" s="1348"/>
      <c r="D203" s="1348">
        <f>$J89</f>
        <v>0</v>
      </c>
      <c r="E203" s="1348">
        <f>$K89</f>
        <v>0</v>
      </c>
      <c r="F203" s="1349">
        <f>$L$89</f>
        <v>0</v>
      </c>
      <c r="H203" s="1350">
        <f>$B$89/$B$31</f>
        <v>0</v>
      </c>
      <c r="I203" s="1350">
        <f>H203-P203</f>
        <v>0</v>
      </c>
      <c r="J203" s="1350">
        <f>I203-Q203</f>
        <v>0</v>
      </c>
      <c r="K203" s="1350">
        <f>J203-R203</f>
        <v>0</v>
      </c>
      <c r="L203" s="1350">
        <f>K203-S203</f>
        <v>0</v>
      </c>
      <c r="M203" s="1350">
        <f>L203-T203</f>
        <v>0</v>
      </c>
      <c r="N203" s="1350"/>
      <c r="O203" s="1350">
        <f t="shared" ref="O203:T203" si="55">IF($D203=$E203,IF(O$111=$B203+$E203,$H203,0),0)</f>
        <v>0</v>
      </c>
      <c r="P203" s="1350">
        <f t="shared" si="55"/>
        <v>0</v>
      </c>
      <c r="Q203" s="1350">
        <f t="shared" si="55"/>
        <v>0</v>
      </c>
      <c r="R203" s="1350">
        <f t="shared" si="55"/>
        <v>0</v>
      </c>
      <c r="S203" s="1350">
        <f t="shared" si="55"/>
        <v>0</v>
      </c>
      <c r="T203" s="1350">
        <f t="shared" si="55"/>
        <v>0</v>
      </c>
      <c r="U203" s="1350"/>
      <c r="V203" s="1350">
        <f t="shared" ref="V203:AA203" si="56">IF(V$111-$B203=$D203,$H203*(((1+$F203)^$D203)-1),0)</f>
        <v>0</v>
      </c>
      <c r="W203" s="1350">
        <f t="shared" si="56"/>
        <v>0</v>
      </c>
      <c r="X203" s="1350">
        <f t="shared" si="56"/>
        <v>0</v>
      </c>
      <c r="Y203" s="1350">
        <f t="shared" si="56"/>
        <v>0</v>
      </c>
      <c r="Z203" s="1350">
        <f t="shared" si="56"/>
        <v>0</v>
      </c>
      <c r="AA203" s="1350">
        <f t="shared" si="56"/>
        <v>0</v>
      </c>
    </row>
    <row r="204" spans="1:27" s="1150" customFormat="1">
      <c r="A204" s="1347" t="str">
        <f>A203</f>
        <v>ZERO-COUPON BOND</v>
      </c>
      <c r="B204" s="1348">
        <f>B203+1</f>
        <v>2019</v>
      </c>
      <c r="C204" s="1348"/>
      <c r="D204" s="1348">
        <f t="shared" ref="D204:E208" si="57">D203</f>
        <v>0</v>
      </c>
      <c r="E204" s="1348">
        <f t="shared" si="57"/>
        <v>0</v>
      </c>
      <c r="F204" s="1349">
        <f>$M$89</f>
        <v>3.5744886743189486E-2</v>
      </c>
      <c r="H204" s="1350"/>
      <c r="I204" s="1350">
        <f ca="1">$C$89/$C$31</f>
        <v>0</v>
      </c>
      <c r="J204" s="1350">
        <f ca="1">I204-Q204</f>
        <v>0</v>
      </c>
      <c r="K204" s="1350">
        <f ca="1">J204-R204</f>
        <v>0</v>
      </c>
      <c r="L204" s="1350">
        <f ca="1">K204-S204</f>
        <v>0</v>
      </c>
      <c r="M204" s="1350">
        <f ca="1">L204-T204</f>
        <v>0</v>
      </c>
      <c r="N204" s="1350"/>
      <c r="O204" s="1351"/>
      <c r="P204" s="1350">
        <f ca="1">IF($D204=$E204,IF(P$111=$B204+$E204,$I204,0),0)</f>
        <v>0</v>
      </c>
      <c r="Q204" s="1350">
        <f>IF($D204=$E204,IF(Q$111=$B204+$E204,$I204,0),0)</f>
        <v>0</v>
      </c>
      <c r="R204" s="1350">
        <f>IF($D204=$E204,IF(R$111=$B204+$E204,$I204,0),0)</f>
        <v>0</v>
      </c>
      <c r="S204" s="1350">
        <f>IF($D204=$E204,IF(S$111=$B204+$E204,$I204,0),0)</f>
        <v>0</v>
      </c>
      <c r="T204" s="1350">
        <f>IF($D204=$E204,IF(T$111=$B204+$E204,$I204,0),0)</f>
        <v>0</v>
      </c>
      <c r="U204" s="1350"/>
      <c r="V204" s="1350"/>
      <c r="W204" s="1350">
        <f ca="1">IF(W$111-$B204=$D204,$I204*(((1+$F204)^$D204)-1),0)</f>
        <v>0</v>
      </c>
      <c r="X204" s="1350">
        <f>IF(X$111-$B204=$D204,$I204*(((1+$F204)^$D204)-1),0)</f>
        <v>0</v>
      </c>
      <c r="Y204" s="1350">
        <f>IF(Y$111-$B204=$D204,$I204*(((1+$F204)^$D204)-1),0)</f>
        <v>0</v>
      </c>
      <c r="Z204" s="1350">
        <f>IF(Z$111-$B204=$D204,$I204*(((1+$F204)^$D204)-1),0)</f>
        <v>0</v>
      </c>
      <c r="AA204" s="1350">
        <f>IF(AA$111-$B204=$D204,$I204*(((1+$F204)^$D204)-1),0)</f>
        <v>0</v>
      </c>
    </row>
    <row r="205" spans="1:27" s="1150" customFormat="1">
      <c r="A205" s="1347" t="str">
        <f>A204</f>
        <v>ZERO-COUPON BOND</v>
      </c>
      <c r="B205" s="1348">
        <f>B204+1</f>
        <v>2020</v>
      </c>
      <c r="C205" s="1348"/>
      <c r="D205" s="1348">
        <f t="shared" si="57"/>
        <v>0</v>
      </c>
      <c r="E205" s="1348">
        <f t="shared" si="57"/>
        <v>0</v>
      </c>
      <c r="F205" s="1349">
        <f>$N$89</f>
        <v>3.5744886743189486E-2</v>
      </c>
      <c r="H205" s="1350"/>
      <c r="I205" s="1350"/>
      <c r="J205" s="1350">
        <f ca="1">$D$89/$D$31</f>
        <v>0</v>
      </c>
      <c r="K205" s="1350">
        <f ca="1">J205-R205</f>
        <v>0</v>
      </c>
      <c r="L205" s="1350">
        <f ca="1">K205-S205</f>
        <v>0</v>
      </c>
      <c r="M205" s="1350">
        <f ca="1">L205-T205</f>
        <v>0</v>
      </c>
      <c r="N205" s="1350"/>
      <c r="O205" s="1351"/>
      <c r="P205" s="1350"/>
      <c r="Q205" s="1350">
        <f ca="1">IF($D205=$E205,IF(Q$111=$B205+$E205,$J205,0),0)</f>
        <v>0</v>
      </c>
      <c r="R205" s="1350">
        <f>IF($D205=$E205,IF(R$111=$B205+$E205,$J205,0),0)</f>
        <v>0</v>
      </c>
      <c r="S205" s="1350">
        <f>IF($D205=$E205,IF(S$111=$B205+$E205,$J205,0),0)</f>
        <v>0</v>
      </c>
      <c r="T205" s="1350">
        <f>IF($D205=$E205,IF(T$111=$B205+$E205,$J205,0),0)</f>
        <v>0</v>
      </c>
      <c r="U205" s="1350"/>
      <c r="V205" s="1350"/>
      <c r="W205" s="1350"/>
      <c r="X205" s="1350">
        <f ca="1">IF(X$111-$B205=$D205,$J205*(((1+$F205)^$D205)-1),0)</f>
        <v>0</v>
      </c>
      <c r="Y205" s="1350">
        <f>IF(Y$111-$B205=$D205,$J205*(((1+$F205)^$D205)-1),0)</f>
        <v>0</v>
      </c>
      <c r="Z205" s="1350">
        <f>IF(Z$111-$B205=$D205,$J205*(((1+$F205)^$D205)-1),0)</f>
        <v>0</v>
      </c>
      <c r="AA205" s="1350">
        <f>IF(AA$111-$B205=$D205,$J205*(((1+$F205)^$D205)-1),0)</f>
        <v>0</v>
      </c>
    </row>
    <row r="206" spans="1:27" s="1150" customFormat="1">
      <c r="A206" s="1347" t="str">
        <f>A205</f>
        <v>ZERO-COUPON BOND</v>
      </c>
      <c r="B206" s="1348">
        <f>B205+1</f>
        <v>2021</v>
      </c>
      <c r="C206" s="1348"/>
      <c r="D206" s="1348">
        <f t="shared" si="57"/>
        <v>0</v>
      </c>
      <c r="E206" s="1348">
        <f t="shared" si="57"/>
        <v>0</v>
      </c>
      <c r="F206" s="1349">
        <f>$O$89</f>
        <v>3.5744886743189486E-2</v>
      </c>
      <c r="H206" s="1350"/>
      <c r="I206" s="1350"/>
      <c r="J206" s="1350"/>
      <c r="K206" s="1350">
        <f ca="1">$E$89/$E$31</f>
        <v>0</v>
      </c>
      <c r="L206" s="1350">
        <f ca="1">K206-S206</f>
        <v>0</v>
      </c>
      <c r="M206" s="1350">
        <f ca="1">L206-T206</f>
        <v>0</v>
      </c>
      <c r="N206" s="1350"/>
      <c r="O206" s="1351"/>
      <c r="P206" s="1350"/>
      <c r="Q206" s="1350"/>
      <c r="R206" s="1350">
        <f ca="1">IF($D206=$E206,IF(R$111=$B206+$E206,$K206,0),0)</f>
        <v>0</v>
      </c>
      <c r="S206" s="1350">
        <f>IF($D206=$E206,IF(S$111=$B206+$E206,$K206,0),0)</f>
        <v>0</v>
      </c>
      <c r="T206" s="1350">
        <f>IF($D206=$E206,IF(T$111=$B206+$E206,$K206,0),0)</f>
        <v>0</v>
      </c>
      <c r="U206" s="1350"/>
      <c r="V206" s="1350"/>
      <c r="W206" s="1350"/>
      <c r="X206" s="1350"/>
      <c r="Y206" s="1350">
        <f ca="1">IF(Y$111-$B206=$D206,$K206*(((1+$F206)^$D206)-1),0)</f>
        <v>0</v>
      </c>
      <c r="Z206" s="1350">
        <f>IF(Z$111-$B206=$D206,$K206*(((1+$F206)^$D206)-1),0)</f>
        <v>0</v>
      </c>
      <c r="AA206" s="1350">
        <f>IF(AA$111-$B206=$D206,$K206*(((1+$F206)^$D206)-1),0)</f>
        <v>0</v>
      </c>
    </row>
    <row r="207" spans="1:27" s="1150" customFormat="1">
      <c r="A207" s="1347" t="str">
        <f>A206</f>
        <v>ZERO-COUPON BOND</v>
      </c>
      <c r="B207" s="1348">
        <f>B206+1</f>
        <v>2022</v>
      </c>
      <c r="C207" s="1348"/>
      <c r="D207" s="1348">
        <f t="shared" si="57"/>
        <v>0</v>
      </c>
      <c r="E207" s="1348">
        <f t="shared" si="57"/>
        <v>0</v>
      </c>
      <c r="F207" s="1349">
        <f>$P$89</f>
        <v>3.5744886743189486E-2</v>
      </c>
      <c r="H207" s="1350"/>
      <c r="I207" s="1350"/>
      <c r="J207" s="1350"/>
      <c r="K207" s="1350"/>
      <c r="L207" s="1350">
        <f ca="1">$F$89/$F$31</f>
        <v>0</v>
      </c>
      <c r="M207" s="1350">
        <f ca="1">L207-T207</f>
        <v>0</v>
      </c>
      <c r="N207" s="1350"/>
      <c r="O207" s="1351"/>
      <c r="P207" s="1350"/>
      <c r="Q207" s="1350"/>
      <c r="R207" s="1350"/>
      <c r="S207" s="1350">
        <f ca="1">IF($D207=$E207,IF(S$111=$B207+$E207,$L207,0),0)</f>
        <v>0</v>
      </c>
      <c r="T207" s="1350">
        <f>IF($D207=$E207,IF(T$111=$B207+$E207,$L207,0),0)</f>
        <v>0</v>
      </c>
      <c r="U207" s="1350"/>
      <c r="V207" s="1350"/>
      <c r="W207" s="1350"/>
      <c r="X207" s="1350"/>
      <c r="Y207" s="1350"/>
      <c r="Z207" s="1350">
        <f ca="1">IF(Z$111-$B207=$D207,$L207*(((1+$F207)^$D207)-1),0)</f>
        <v>0</v>
      </c>
      <c r="AA207" s="1350">
        <f>IF(AA$111-$B207=$D207,$L207*(((1+$F207)^$D207)-1),0)</f>
        <v>0</v>
      </c>
    </row>
    <row r="208" spans="1:27" s="1150" customFormat="1">
      <c r="A208" s="1347" t="str">
        <f>A207</f>
        <v>ZERO-COUPON BOND</v>
      </c>
      <c r="B208" s="1348">
        <f>B207+1</f>
        <v>2023</v>
      </c>
      <c r="C208" s="1348"/>
      <c r="D208" s="1348">
        <f t="shared" si="57"/>
        <v>0</v>
      </c>
      <c r="E208" s="1348">
        <f t="shared" si="57"/>
        <v>0</v>
      </c>
      <c r="F208" s="1349">
        <f>$Q$89</f>
        <v>3.5744886743189486E-2</v>
      </c>
      <c r="H208" s="1350"/>
      <c r="I208" s="1350"/>
      <c r="J208" s="1350"/>
      <c r="K208" s="1350"/>
      <c r="L208" s="1350"/>
      <c r="M208" s="1350">
        <f ca="1">$G$89/$G$31</f>
        <v>0</v>
      </c>
      <c r="N208" s="1350"/>
      <c r="O208" s="1351"/>
      <c r="P208" s="1350"/>
      <c r="Q208" s="1350"/>
      <c r="R208" s="1350"/>
      <c r="S208" s="1350"/>
      <c r="T208" s="1350">
        <f ca="1">IF($D208=$E208,IF(T$111=$B208+$E208,$M208,0),0)</f>
        <v>0</v>
      </c>
      <c r="U208" s="1350"/>
      <c r="V208" s="1350"/>
      <c r="W208" s="1350"/>
      <c r="X208" s="1350"/>
      <c r="Y208" s="1350"/>
      <c r="Z208" s="1350"/>
      <c r="AA208" s="1350">
        <f ca="1">IF(AA$111-$B208=$D208,$M208*(((1+$F208)^$D208)-1),0)</f>
        <v>0</v>
      </c>
    </row>
    <row r="209" spans="1:27">
      <c r="A209" s="17"/>
      <c r="B209" s="7"/>
      <c r="D209" s="7"/>
      <c r="E209" s="7"/>
      <c r="F209" s="7"/>
    </row>
    <row r="210" spans="1:27">
      <c r="A210" s="20" t="str">
        <f>'Input 4 - Forecast'!A71</f>
        <v>New Issuance of External Debt (new debt) 1/</v>
      </c>
    </row>
    <row r="211" spans="1:27" customFormat="1" ht="15.75" thickBot="1">
      <c r="A211" s="21" t="str">
        <f>'Input 4 - Forecast'!A72</f>
        <v>Short-term debt 2/</v>
      </c>
      <c r="B211" s="18"/>
      <c r="C211" s="6"/>
      <c r="D211" s="13"/>
      <c r="E211" s="13"/>
      <c r="F211" s="13"/>
      <c r="G211" s="13"/>
      <c r="H211" s="13"/>
      <c r="I211" s="13"/>
      <c r="J211" s="17"/>
      <c r="K211" s="19"/>
      <c r="L211" s="19"/>
      <c r="M211" s="19"/>
      <c r="N211" s="19"/>
      <c r="O211" s="19"/>
      <c r="P211" s="19"/>
      <c r="Q211" s="19"/>
      <c r="R211" s="19"/>
    </row>
    <row r="212" spans="1:27" customFormat="1" ht="15.75" thickBot="1">
      <c r="A212" s="22" t="str">
        <f>'Input 4 - Forecast'!A73</f>
        <v>Denominated in local currency</v>
      </c>
      <c r="B212" s="1999" t="s">
        <v>51</v>
      </c>
      <c r="C212" s="2000"/>
      <c r="D212" s="2000"/>
      <c r="E212" s="2000"/>
      <c r="F212" s="2000"/>
      <c r="G212" s="2000"/>
      <c r="H212" s="2000"/>
      <c r="I212" s="2000"/>
      <c r="J212" s="2000"/>
      <c r="K212" s="2000"/>
      <c r="L212" s="2000"/>
      <c r="M212" s="2000"/>
      <c r="N212" s="2000"/>
      <c r="O212" s="2000"/>
      <c r="P212" s="2000"/>
      <c r="Q212" s="2000"/>
      <c r="R212" s="2000"/>
      <c r="S212" s="2000"/>
      <c r="T212" s="2000"/>
      <c r="U212" s="2000"/>
      <c r="V212" s="2000"/>
      <c r="W212" s="2000"/>
      <c r="X212" s="2000"/>
      <c r="Y212" s="2000"/>
      <c r="Z212" s="2000"/>
      <c r="AA212" s="2001"/>
    </row>
    <row r="213" spans="1:27">
      <c r="F213" s="15"/>
      <c r="H213" s="10"/>
      <c r="I213" s="10"/>
      <c r="J213" s="10"/>
      <c r="K213" s="10"/>
      <c r="L213" s="10"/>
      <c r="M213" s="10"/>
      <c r="N213" s="10"/>
      <c r="O213" s="10"/>
      <c r="P213" s="10"/>
      <c r="Q213" s="10"/>
      <c r="R213" s="10"/>
      <c r="S213" s="10"/>
      <c r="T213" s="10"/>
      <c r="U213" s="10"/>
      <c r="V213" s="10"/>
      <c r="W213" s="10"/>
      <c r="X213" s="10"/>
      <c r="Y213" s="10"/>
      <c r="Z213" s="10"/>
      <c r="AA213" s="10"/>
    </row>
    <row r="214" spans="1:27" customFormat="1">
      <c r="A214" s="23"/>
      <c r="B214" s="7">
        <f>B119</f>
        <v>2018</v>
      </c>
      <c r="C214" s="13" t="str">
        <f>$I92</f>
        <v>Semi-annual</v>
      </c>
      <c r="D214" s="13">
        <f>$J92</f>
        <v>0</v>
      </c>
      <c r="E214" s="13">
        <f>$K92</f>
        <v>0</v>
      </c>
      <c r="F214" s="14">
        <f>$L$92</f>
        <v>0</v>
      </c>
      <c r="G214" s="13"/>
      <c r="H214" s="9">
        <f>$B$92</f>
        <v>0</v>
      </c>
      <c r="I214" s="9">
        <f>H214-P214</f>
        <v>0</v>
      </c>
      <c r="J214" s="9">
        <f>I214-Q214</f>
        <v>0</v>
      </c>
      <c r="K214" s="9">
        <f>J214-R214</f>
        <v>0</v>
      </c>
      <c r="L214" s="9">
        <f>K214-S214</f>
        <v>0</v>
      </c>
      <c r="M214" s="9">
        <f>L214-T214</f>
        <v>0</v>
      </c>
      <c r="N214" s="9"/>
      <c r="O214" s="9">
        <v>0</v>
      </c>
      <c r="P214" s="9">
        <f>H214</f>
        <v>0</v>
      </c>
      <c r="Q214" s="9">
        <v>0</v>
      </c>
      <c r="R214" s="9">
        <v>0</v>
      </c>
      <c r="S214" s="9">
        <v>0</v>
      </c>
      <c r="T214" s="9">
        <v>0</v>
      </c>
      <c r="U214" s="9"/>
      <c r="V214" s="9">
        <f>IF($C214="annual",IF(V$111=$B214,0,G214*$F214),IF(V$111-$B214=0,0,IF((V$111-$B214)&lt;$E214,AVERAGE(G214,H214)*$F214,IF((V$111-$B214)=$E214,G214*$F214/2,0))))</f>
        <v>0</v>
      </c>
      <c r="W214" s="9">
        <f t="shared" ref="W214:AA219" si="58">IF($C214="annual",IF(W$111=$B214,0,H214*$F214),IF(W$111-$B214=0,0,IF((W$111-$B214)&lt;$E214,AVERAGE(H214,I214)*$F214,IF((W$111-$B214)=$E214,H214*$F214/2,0))))</f>
        <v>0</v>
      </c>
      <c r="X214" s="9">
        <f t="shared" si="58"/>
        <v>0</v>
      </c>
      <c r="Y214" s="9">
        <f t="shared" si="58"/>
        <v>0</v>
      </c>
      <c r="Z214" s="9">
        <f t="shared" si="58"/>
        <v>0</v>
      </c>
      <c r="AA214" s="9">
        <f t="shared" si="58"/>
        <v>0</v>
      </c>
    </row>
    <row r="215" spans="1:27" customFormat="1">
      <c r="A215" s="23"/>
      <c r="B215" s="7">
        <f>B214+1</f>
        <v>2019</v>
      </c>
      <c r="C215" s="13" t="str">
        <f>C214</f>
        <v>Semi-annual</v>
      </c>
      <c r="D215" s="13">
        <f>D214</f>
        <v>0</v>
      </c>
      <c r="E215" s="13">
        <f>E214</f>
        <v>0</v>
      </c>
      <c r="F215" s="14">
        <f>$M$92</f>
        <v>3.5744886743189486E-2</v>
      </c>
      <c r="G215" s="13"/>
      <c r="H215" s="9"/>
      <c r="I215" s="9">
        <f ca="1">$C$92</f>
        <v>0</v>
      </c>
      <c r="J215" s="9">
        <f ca="1">I215-Q215</f>
        <v>0</v>
      </c>
      <c r="K215" s="9">
        <f ca="1">J215-R215</f>
        <v>0</v>
      </c>
      <c r="L215" s="9">
        <f ca="1">K215-S215</f>
        <v>0</v>
      </c>
      <c r="M215" s="9">
        <f ca="1">L215-T215</f>
        <v>0</v>
      </c>
      <c r="N215" s="9"/>
      <c r="O215" s="9"/>
      <c r="P215" s="9">
        <v>0</v>
      </c>
      <c r="Q215" s="9">
        <f ca="1">I215</f>
        <v>0</v>
      </c>
      <c r="R215" s="9">
        <v>0</v>
      </c>
      <c r="S215" s="9">
        <v>0</v>
      </c>
      <c r="T215" s="9">
        <v>0</v>
      </c>
      <c r="U215" s="9"/>
      <c r="V215" s="9"/>
      <c r="W215" s="9">
        <f t="shared" si="58"/>
        <v>0</v>
      </c>
      <c r="X215" s="9">
        <f t="shared" si="58"/>
        <v>0</v>
      </c>
      <c r="Y215" s="9">
        <f t="shared" si="58"/>
        <v>0</v>
      </c>
      <c r="Z215" s="9">
        <f t="shared" si="58"/>
        <v>0</v>
      </c>
      <c r="AA215" s="9">
        <f t="shared" si="58"/>
        <v>0</v>
      </c>
    </row>
    <row r="216" spans="1:27" customFormat="1">
      <c r="A216" s="23"/>
      <c r="B216" s="7">
        <f>B215+1</f>
        <v>2020</v>
      </c>
      <c r="C216" s="13" t="str">
        <f>C215</f>
        <v>Semi-annual</v>
      </c>
      <c r="D216" s="13">
        <f t="shared" ref="D216:E219" si="59">D215</f>
        <v>0</v>
      </c>
      <c r="E216" s="13">
        <f t="shared" si="59"/>
        <v>0</v>
      </c>
      <c r="F216" s="14">
        <f>$N$92</f>
        <v>3.5744886743189486E-2</v>
      </c>
      <c r="G216" s="13"/>
      <c r="H216" s="9"/>
      <c r="I216" s="9"/>
      <c r="J216" s="9">
        <f ca="1">$D$92</f>
        <v>0</v>
      </c>
      <c r="K216" s="9">
        <f ca="1">J216-R216</f>
        <v>0</v>
      </c>
      <c r="L216" s="9">
        <f ca="1">K216-S216</f>
        <v>0</v>
      </c>
      <c r="M216" s="9">
        <f ca="1">L216-T216</f>
        <v>0</v>
      </c>
      <c r="N216" s="9"/>
      <c r="O216" s="9"/>
      <c r="P216" s="9"/>
      <c r="Q216" s="9">
        <v>0</v>
      </c>
      <c r="R216" s="9">
        <f ca="1">J216</f>
        <v>0</v>
      </c>
      <c r="S216" s="9">
        <v>0</v>
      </c>
      <c r="T216" s="9">
        <v>0</v>
      </c>
      <c r="U216" s="9"/>
      <c r="V216" s="9"/>
      <c r="W216" s="9"/>
      <c r="X216" s="9">
        <f t="shared" si="58"/>
        <v>0</v>
      </c>
      <c r="Y216" s="9">
        <f t="shared" si="58"/>
        <v>0</v>
      </c>
      <c r="Z216" s="9">
        <f t="shared" si="58"/>
        <v>0</v>
      </c>
      <c r="AA216" s="9">
        <f t="shared" si="58"/>
        <v>0</v>
      </c>
    </row>
    <row r="217" spans="1:27" customFormat="1">
      <c r="A217" s="23"/>
      <c r="B217" s="7">
        <f>B216+1</f>
        <v>2021</v>
      </c>
      <c r="C217" s="13" t="str">
        <f>C216</f>
        <v>Semi-annual</v>
      </c>
      <c r="D217" s="13">
        <f t="shared" si="59"/>
        <v>0</v>
      </c>
      <c r="E217" s="13">
        <f t="shared" si="59"/>
        <v>0</v>
      </c>
      <c r="F217" s="14">
        <f>$O$92</f>
        <v>3.5744886743189486E-2</v>
      </c>
      <c r="G217" s="13"/>
      <c r="H217" s="9"/>
      <c r="I217" s="9"/>
      <c r="J217" s="9"/>
      <c r="K217" s="9">
        <f ca="1">$E$92</f>
        <v>0</v>
      </c>
      <c r="L217" s="9">
        <f ca="1">K217-S217</f>
        <v>0</v>
      </c>
      <c r="M217" s="9">
        <f ca="1">L217-T217</f>
        <v>0</v>
      </c>
      <c r="N217" s="9"/>
      <c r="O217" s="9"/>
      <c r="P217" s="9"/>
      <c r="Q217" s="9"/>
      <c r="R217" s="9">
        <v>0</v>
      </c>
      <c r="S217" s="9">
        <f ca="1">K217</f>
        <v>0</v>
      </c>
      <c r="T217" s="9">
        <v>0</v>
      </c>
      <c r="U217" s="9"/>
      <c r="V217" s="9"/>
      <c r="W217" s="9"/>
      <c r="X217" s="9"/>
      <c r="Y217" s="9">
        <f t="shared" si="58"/>
        <v>0</v>
      </c>
      <c r="Z217" s="9">
        <f t="shared" si="58"/>
        <v>0</v>
      </c>
      <c r="AA217" s="9">
        <f t="shared" si="58"/>
        <v>0</v>
      </c>
    </row>
    <row r="218" spans="1:27" customFormat="1">
      <c r="A218" s="23"/>
      <c r="B218" s="7">
        <f>B217+1</f>
        <v>2022</v>
      </c>
      <c r="C218" s="13" t="str">
        <f>C217</f>
        <v>Semi-annual</v>
      </c>
      <c r="D218" s="13">
        <f t="shared" si="59"/>
        <v>0</v>
      </c>
      <c r="E218" s="13">
        <f t="shared" si="59"/>
        <v>0</v>
      </c>
      <c r="F218" s="14">
        <f>$P$92</f>
        <v>3.5744886743189486E-2</v>
      </c>
      <c r="G218" s="13"/>
      <c r="H218" s="9"/>
      <c r="I218" s="9"/>
      <c r="J218" s="9"/>
      <c r="K218" s="9"/>
      <c r="L218" s="9">
        <f ca="1">$F$92</f>
        <v>0</v>
      </c>
      <c r="M218" s="9">
        <f ca="1">L218-T218</f>
        <v>0</v>
      </c>
      <c r="N218" s="9"/>
      <c r="O218" s="9"/>
      <c r="P218" s="9"/>
      <c r="Q218" s="9"/>
      <c r="R218" s="9"/>
      <c r="S218" s="9">
        <v>0</v>
      </c>
      <c r="T218" s="9">
        <f ca="1">L218</f>
        <v>0</v>
      </c>
      <c r="U218" s="9"/>
      <c r="V218" s="9"/>
      <c r="W218" s="9"/>
      <c r="X218" s="9"/>
      <c r="Y218" s="9"/>
      <c r="Z218" s="9">
        <f t="shared" si="58"/>
        <v>0</v>
      </c>
      <c r="AA218" s="9">
        <f t="shared" si="58"/>
        <v>0</v>
      </c>
    </row>
    <row r="219" spans="1:27" customFormat="1">
      <c r="A219" s="23"/>
      <c r="B219" s="7">
        <f>B218+1</f>
        <v>2023</v>
      </c>
      <c r="C219" s="13" t="str">
        <f>C218</f>
        <v>Semi-annual</v>
      </c>
      <c r="D219" s="13">
        <f t="shared" si="59"/>
        <v>0</v>
      </c>
      <c r="E219" s="13">
        <f t="shared" si="59"/>
        <v>0</v>
      </c>
      <c r="F219" s="14">
        <f>$Q$92</f>
        <v>3.5744886743189486E-2</v>
      </c>
      <c r="G219" s="13"/>
      <c r="H219" s="9"/>
      <c r="I219" s="9"/>
      <c r="J219" s="9"/>
      <c r="K219" s="9"/>
      <c r="L219" s="9"/>
      <c r="M219" s="9">
        <f ca="1">$G$92</f>
        <v>0</v>
      </c>
      <c r="N219" s="9"/>
      <c r="O219" s="9"/>
      <c r="P219" s="9"/>
      <c r="Q219" s="9"/>
      <c r="R219" s="9"/>
      <c r="S219" s="9"/>
      <c r="T219" s="9">
        <v>0</v>
      </c>
      <c r="U219" s="9"/>
      <c r="V219" s="9"/>
      <c r="W219" s="9"/>
      <c r="X219" s="9"/>
      <c r="Y219" s="9"/>
      <c r="Z219" s="9"/>
      <c r="AA219" s="9">
        <f t="shared" si="58"/>
        <v>0</v>
      </c>
    </row>
    <row r="220" spans="1:27" ht="15.75" thickBot="1">
      <c r="B220" s="7"/>
      <c r="F220" s="15"/>
      <c r="H220" s="10"/>
      <c r="I220" s="10"/>
      <c r="J220" s="10"/>
      <c r="K220" s="10"/>
      <c r="L220" s="10"/>
      <c r="M220" s="10"/>
      <c r="N220" s="10"/>
      <c r="O220" s="10"/>
      <c r="P220" s="10"/>
      <c r="Q220" s="10"/>
      <c r="R220" s="10"/>
      <c r="S220" s="10"/>
      <c r="T220" s="10"/>
      <c r="U220" s="10"/>
      <c r="V220" s="10"/>
      <c r="W220" s="10"/>
      <c r="X220" s="10"/>
      <c r="Y220" s="10"/>
      <c r="Z220" s="10"/>
      <c r="AA220" s="10"/>
    </row>
    <row r="221" spans="1:27" customFormat="1" ht="15.75" thickBot="1">
      <c r="A221" s="22" t="str">
        <f>'Input 4 - Forecast'!A82</f>
        <v>Denominated in foreign currency</v>
      </c>
      <c r="B221" s="1999" t="s">
        <v>52</v>
      </c>
      <c r="C221" s="2000"/>
      <c r="D221" s="2000"/>
      <c r="E221" s="2000"/>
      <c r="F221" s="2000"/>
      <c r="G221" s="2000"/>
      <c r="H221" s="2000"/>
      <c r="I221" s="2000"/>
      <c r="J221" s="2000"/>
      <c r="K221" s="2000"/>
      <c r="L221" s="2000"/>
      <c r="M221" s="2000"/>
      <c r="N221" s="2000"/>
      <c r="O221" s="2000"/>
      <c r="P221" s="2000"/>
      <c r="Q221" s="2000"/>
      <c r="R221" s="2000"/>
      <c r="S221" s="2000"/>
      <c r="T221" s="2000"/>
      <c r="U221" s="2000"/>
      <c r="V221" s="2000"/>
      <c r="W221" s="2000"/>
      <c r="X221" s="2000"/>
      <c r="Y221" s="2000"/>
      <c r="Z221" s="2000"/>
      <c r="AA221" s="2001"/>
    </row>
    <row r="222" spans="1:27">
      <c r="F222" s="15"/>
      <c r="H222" s="10"/>
      <c r="I222" s="10"/>
      <c r="J222" s="10"/>
      <c r="K222" s="10"/>
      <c r="L222" s="10"/>
      <c r="M222" s="10"/>
      <c r="N222" s="10"/>
      <c r="O222" s="10"/>
      <c r="P222" s="10"/>
      <c r="Q222" s="10"/>
      <c r="R222" s="10"/>
      <c r="S222" s="10"/>
      <c r="T222" s="10"/>
      <c r="U222" s="10"/>
      <c r="V222" s="10"/>
      <c r="W222" s="10"/>
      <c r="X222" s="10"/>
      <c r="Y222" s="10"/>
      <c r="Z222" s="10"/>
      <c r="AA222" s="10"/>
    </row>
    <row r="223" spans="1:27" customFormat="1">
      <c r="A223" s="23"/>
      <c r="B223" s="7">
        <f>B119</f>
        <v>2018</v>
      </c>
      <c r="C223" s="13" t="str">
        <f>$I93</f>
        <v>Semi-annual</v>
      </c>
      <c r="D223" s="13">
        <f>$J93</f>
        <v>0</v>
      </c>
      <c r="E223" s="13">
        <f>$K93</f>
        <v>0</v>
      </c>
      <c r="F223" s="14">
        <f>$L$93</f>
        <v>0</v>
      </c>
      <c r="G223" s="13"/>
      <c r="H223" s="9">
        <f>$B$93/$B$31</f>
        <v>0</v>
      </c>
      <c r="I223" s="9">
        <f>H223-P223</f>
        <v>0</v>
      </c>
      <c r="J223" s="9">
        <f>I223-Q223</f>
        <v>0</v>
      </c>
      <c r="K223" s="9">
        <f>J223-R223</f>
        <v>0</v>
      </c>
      <c r="L223" s="9">
        <f>K223-S223</f>
        <v>0</v>
      </c>
      <c r="M223" s="9">
        <f>L223-T223</f>
        <v>0</v>
      </c>
      <c r="N223" s="9"/>
      <c r="O223" s="9">
        <v>0</v>
      </c>
      <c r="P223" s="9">
        <f>H223</f>
        <v>0</v>
      </c>
      <c r="Q223" s="9">
        <v>0</v>
      </c>
      <c r="R223" s="9">
        <v>0</v>
      </c>
      <c r="S223" s="9">
        <v>0</v>
      </c>
      <c r="T223" s="9">
        <v>0</v>
      </c>
      <c r="U223" s="9"/>
      <c r="V223" s="9">
        <f>IF($C223="annual",IF(V$111=$B223,0,G223*$F223),IF(V$111-$B223=0,0,IF((V$111-$B223)&lt;$E223,AVERAGE(G223,H223)*$F223,IF((V$111-$B223)=$E223,G223*$F223/2,0))))</f>
        <v>0</v>
      </c>
      <c r="W223" s="9">
        <f t="shared" ref="W223:AA228" si="60">IF($C223="annual",IF(W$111=$B223,0,H223*$F223),IF(W$111-$B223=0,0,IF((W$111-$B223)&lt;$E223,AVERAGE(H223,I223)*$F223,IF((W$111-$B223)=$E223,H223*$F223/2,0))))</f>
        <v>0</v>
      </c>
      <c r="X223" s="9">
        <f t="shared" si="60"/>
        <v>0</v>
      </c>
      <c r="Y223" s="9">
        <f t="shared" si="60"/>
        <v>0</v>
      </c>
      <c r="Z223" s="9">
        <f t="shared" si="60"/>
        <v>0</v>
      </c>
      <c r="AA223" s="9">
        <f t="shared" si="60"/>
        <v>0</v>
      </c>
    </row>
    <row r="224" spans="1:27" customFormat="1">
      <c r="A224" s="23"/>
      <c r="B224" s="7">
        <f>B223+1</f>
        <v>2019</v>
      </c>
      <c r="C224" s="13" t="str">
        <f>C223</f>
        <v>Semi-annual</v>
      </c>
      <c r="D224" s="13">
        <f>D223</f>
        <v>0</v>
      </c>
      <c r="E224" s="13">
        <f>E223</f>
        <v>0</v>
      </c>
      <c r="F224" s="14">
        <f>$M$93</f>
        <v>3.5744886743189486E-2</v>
      </c>
      <c r="G224" s="13"/>
      <c r="H224" s="9"/>
      <c r="I224" s="9">
        <f ca="1">$C$93/$C$31</f>
        <v>0</v>
      </c>
      <c r="J224" s="9">
        <f ca="1">I224-Q224</f>
        <v>0</v>
      </c>
      <c r="K224" s="9">
        <f ca="1">J224-R224</f>
        <v>0</v>
      </c>
      <c r="L224" s="9">
        <f ca="1">K224-S224</f>
        <v>0</v>
      </c>
      <c r="M224" s="9">
        <f ca="1">L224-T224</f>
        <v>0</v>
      </c>
      <c r="N224" s="9"/>
      <c r="O224" s="9"/>
      <c r="P224" s="9">
        <v>0</v>
      </c>
      <c r="Q224" s="9">
        <f ca="1">I224</f>
        <v>0</v>
      </c>
      <c r="R224" s="9">
        <v>0</v>
      </c>
      <c r="S224" s="9">
        <v>0</v>
      </c>
      <c r="T224" s="9">
        <v>0</v>
      </c>
      <c r="U224" s="9"/>
      <c r="V224" s="9"/>
      <c r="W224" s="9">
        <f t="shared" si="60"/>
        <v>0</v>
      </c>
      <c r="X224" s="9">
        <f t="shared" si="60"/>
        <v>0</v>
      </c>
      <c r="Y224" s="9">
        <f t="shared" si="60"/>
        <v>0</v>
      </c>
      <c r="Z224" s="9">
        <f t="shared" si="60"/>
        <v>0</v>
      </c>
      <c r="AA224" s="9">
        <f t="shared" si="60"/>
        <v>0</v>
      </c>
    </row>
    <row r="225" spans="1:27" customFormat="1">
      <c r="A225" s="23"/>
      <c r="B225" s="7">
        <f>B224+1</f>
        <v>2020</v>
      </c>
      <c r="C225" s="13" t="str">
        <f>C224</f>
        <v>Semi-annual</v>
      </c>
      <c r="D225" s="13">
        <f t="shared" ref="D225:E228" si="61">D224</f>
        <v>0</v>
      </c>
      <c r="E225" s="13">
        <f t="shared" si="61"/>
        <v>0</v>
      </c>
      <c r="F225" s="14">
        <f>$N$93</f>
        <v>3.5744886743189486E-2</v>
      </c>
      <c r="G225" s="13"/>
      <c r="H225" s="9"/>
      <c r="I225" s="9"/>
      <c r="J225" s="9">
        <f ca="1">$D$93/$D$31</f>
        <v>0</v>
      </c>
      <c r="K225" s="9">
        <f ca="1">J225-R225</f>
        <v>0</v>
      </c>
      <c r="L225" s="9">
        <f ca="1">K225-S225</f>
        <v>0</v>
      </c>
      <c r="M225" s="9">
        <f ca="1">L225-T225</f>
        <v>0</v>
      </c>
      <c r="N225" s="9"/>
      <c r="O225" s="9"/>
      <c r="P225" s="9"/>
      <c r="Q225" s="9">
        <v>0</v>
      </c>
      <c r="R225" s="9">
        <f ca="1">J225</f>
        <v>0</v>
      </c>
      <c r="S225" s="9">
        <v>0</v>
      </c>
      <c r="T225" s="9">
        <v>0</v>
      </c>
      <c r="U225" s="9"/>
      <c r="V225" s="9"/>
      <c r="W225" s="9"/>
      <c r="X225" s="9">
        <f t="shared" si="60"/>
        <v>0</v>
      </c>
      <c r="Y225" s="9">
        <f t="shared" si="60"/>
        <v>0</v>
      </c>
      <c r="Z225" s="9">
        <f t="shared" si="60"/>
        <v>0</v>
      </c>
      <c r="AA225" s="9">
        <f t="shared" si="60"/>
        <v>0</v>
      </c>
    </row>
    <row r="226" spans="1:27" customFormat="1">
      <c r="A226" s="23"/>
      <c r="B226" s="7">
        <f>B225+1</f>
        <v>2021</v>
      </c>
      <c r="C226" s="13" t="str">
        <f>C225</f>
        <v>Semi-annual</v>
      </c>
      <c r="D226" s="13">
        <f t="shared" si="61"/>
        <v>0</v>
      </c>
      <c r="E226" s="13">
        <f t="shared" si="61"/>
        <v>0</v>
      </c>
      <c r="F226" s="14">
        <f>$O$93</f>
        <v>3.5744886743189486E-2</v>
      </c>
      <c r="G226" s="13"/>
      <c r="H226" s="9"/>
      <c r="I226" s="9"/>
      <c r="J226" s="9"/>
      <c r="K226" s="9">
        <f ca="1">$E$93/$E$31</f>
        <v>0</v>
      </c>
      <c r="L226" s="9">
        <f ca="1">K226-S226</f>
        <v>0</v>
      </c>
      <c r="M226" s="9">
        <f ca="1">L226-T226</f>
        <v>0</v>
      </c>
      <c r="N226" s="9"/>
      <c r="O226" s="9"/>
      <c r="P226" s="9"/>
      <c r="Q226" s="9"/>
      <c r="R226" s="9">
        <v>0</v>
      </c>
      <c r="S226" s="9">
        <f ca="1">K226</f>
        <v>0</v>
      </c>
      <c r="T226" s="9">
        <v>0</v>
      </c>
      <c r="U226" s="9"/>
      <c r="V226" s="9"/>
      <c r="W226" s="9"/>
      <c r="X226" s="9"/>
      <c r="Y226" s="9">
        <f t="shared" si="60"/>
        <v>0</v>
      </c>
      <c r="Z226" s="9">
        <f t="shared" si="60"/>
        <v>0</v>
      </c>
      <c r="AA226" s="9">
        <f t="shared" si="60"/>
        <v>0</v>
      </c>
    </row>
    <row r="227" spans="1:27" customFormat="1">
      <c r="A227" s="23"/>
      <c r="B227" s="7">
        <f>B226+1</f>
        <v>2022</v>
      </c>
      <c r="C227" s="13" t="str">
        <f>C226</f>
        <v>Semi-annual</v>
      </c>
      <c r="D227" s="13">
        <f t="shared" si="61"/>
        <v>0</v>
      </c>
      <c r="E227" s="13">
        <f t="shared" si="61"/>
        <v>0</v>
      </c>
      <c r="F227" s="14">
        <f>$P$93</f>
        <v>3.5744886743189486E-2</v>
      </c>
      <c r="G227" s="13"/>
      <c r="H227" s="9"/>
      <c r="I227" s="9"/>
      <c r="J227" s="9"/>
      <c r="K227" s="9"/>
      <c r="L227" s="9">
        <f ca="1">$F$93/$F$31</f>
        <v>0</v>
      </c>
      <c r="M227" s="9">
        <f ca="1">L227-T227</f>
        <v>0</v>
      </c>
      <c r="N227" s="9"/>
      <c r="O227" s="9"/>
      <c r="P227" s="9"/>
      <c r="Q227" s="9"/>
      <c r="R227" s="9"/>
      <c r="S227" s="9">
        <v>0</v>
      </c>
      <c r="T227" s="9">
        <f ca="1">L227</f>
        <v>0</v>
      </c>
      <c r="U227" s="9"/>
      <c r="V227" s="9"/>
      <c r="W227" s="9"/>
      <c r="X227" s="9"/>
      <c r="Y227" s="9"/>
      <c r="Z227" s="9">
        <f t="shared" si="60"/>
        <v>0</v>
      </c>
      <c r="AA227" s="9">
        <f t="shared" si="60"/>
        <v>0</v>
      </c>
    </row>
    <row r="228" spans="1:27" customFormat="1">
      <c r="A228" s="23"/>
      <c r="B228" s="7">
        <f>B227+1</f>
        <v>2023</v>
      </c>
      <c r="C228" s="13" t="str">
        <f>C227</f>
        <v>Semi-annual</v>
      </c>
      <c r="D228" s="13">
        <f t="shared" si="61"/>
        <v>0</v>
      </c>
      <c r="E228" s="13">
        <f t="shared" si="61"/>
        <v>0</v>
      </c>
      <c r="F228" s="14">
        <f>$Q$93</f>
        <v>3.5744886743189486E-2</v>
      </c>
      <c r="G228" s="13"/>
      <c r="H228" s="9"/>
      <c r="I228" s="9"/>
      <c r="J228" s="9"/>
      <c r="K228" s="9"/>
      <c r="L228" s="9"/>
      <c r="M228" s="9">
        <f ca="1">$G$93/$G$31</f>
        <v>0</v>
      </c>
      <c r="N228" s="9"/>
      <c r="O228" s="9"/>
      <c r="P228" s="9"/>
      <c r="Q228" s="9"/>
      <c r="R228" s="9"/>
      <c r="S228" s="9"/>
      <c r="T228" s="9">
        <v>0</v>
      </c>
      <c r="U228" s="9"/>
      <c r="V228" s="9"/>
      <c r="W228" s="9"/>
      <c r="X228" s="9"/>
      <c r="Y228" s="9"/>
      <c r="Z228" s="9"/>
      <c r="AA228" s="9">
        <f t="shared" si="60"/>
        <v>0</v>
      </c>
    </row>
    <row r="230" spans="1:27" ht="15.75" thickBot="1">
      <c r="A230" s="11" t="str">
        <f>'Input 4 - Forecast'!A75</f>
        <v>Long-term debt 3/</v>
      </c>
    </row>
    <row r="231" spans="1:27" ht="15.75" thickBot="1">
      <c r="A231" s="12" t="str">
        <f>'Input 4 - Forecast'!A76</f>
        <v>Denominated in local currency</v>
      </c>
      <c r="B231" s="1999" t="s">
        <v>51</v>
      </c>
      <c r="C231" s="2000"/>
      <c r="D231" s="2000"/>
      <c r="E231" s="2000"/>
      <c r="F231" s="2000"/>
      <c r="G231" s="2000"/>
      <c r="H231" s="2000"/>
      <c r="I231" s="2000"/>
      <c r="J231" s="2000"/>
      <c r="K231" s="2000"/>
      <c r="L231" s="2000"/>
      <c r="M231" s="2000"/>
      <c r="N231" s="2000"/>
      <c r="O231" s="2000"/>
      <c r="P231" s="2000"/>
      <c r="Q231" s="2000"/>
      <c r="R231" s="2000"/>
      <c r="S231" s="2000"/>
      <c r="T231" s="2000"/>
      <c r="U231" s="2000"/>
      <c r="V231" s="2000"/>
      <c r="W231" s="2000"/>
      <c r="X231" s="2000"/>
      <c r="Y231" s="2000"/>
      <c r="Z231" s="2000"/>
      <c r="AA231" s="2001"/>
    </row>
    <row r="233" spans="1:27">
      <c r="A233" s="8" t="str">
        <f>'Input 4 - Forecast'!A77</f>
        <v>Type 11</v>
      </c>
      <c r="B233" s="7">
        <f>B119</f>
        <v>2018</v>
      </c>
      <c r="C233" s="7" t="str">
        <f>$I96</f>
        <v>Annual</v>
      </c>
      <c r="D233" s="7">
        <f>$J96</f>
        <v>10</v>
      </c>
      <c r="E233" s="7">
        <f>$K96</f>
        <v>10</v>
      </c>
      <c r="F233" s="14">
        <f>$L$96</f>
        <v>1.125E-2</v>
      </c>
      <c r="H233" s="9">
        <f>$B$96</f>
        <v>499.99798625313935</v>
      </c>
      <c r="I233" s="9">
        <f>H233-P233</f>
        <v>499.99798625313935</v>
      </c>
      <c r="J233" s="9">
        <f>I233-Q233</f>
        <v>499.99798625313935</v>
      </c>
      <c r="K233" s="9">
        <f>J233-R233</f>
        <v>499.99798625313935</v>
      </c>
      <c r="L233" s="9">
        <f>K233-S233</f>
        <v>499.99798625313935</v>
      </c>
      <c r="M233" s="9">
        <f>L233-T233</f>
        <v>499.99798625313935</v>
      </c>
      <c r="N233" s="9"/>
      <c r="O233" s="9">
        <f t="shared" ref="O233:T233" si="62">IF(OR($C233="Annual",$D233=$E233),IF(AND($D233=$E233,O$111=$B233+$D233),$H233,IF(AND(O$111&gt;$B233+$D233,O$111&lt;=$B233+$E233), $H233/($E233-$D233),0)), IF(OR(O$111=$B233+$D233,O$111=$B233+$E233),$H233/(($E233-$D233)*2),IF(AND(O$111&gt;$B233+$D233,O$111&lt;$B233+$E233),$H233/($E233-$D233),0)))</f>
        <v>0</v>
      </c>
      <c r="P233" s="9">
        <f t="shared" si="62"/>
        <v>0</v>
      </c>
      <c r="Q233" s="9">
        <f t="shared" si="62"/>
        <v>0</v>
      </c>
      <c r="R233" s="9">
        <f t="shared" si="62"/>
        <v>0</v>
      </c>
      <c r="S233" s="9">
        <f t="shared" si="62"/>
        <v>0</v>
      </c>
      <c r="T233" s="9">
        <f t="shared" si="62"/>
        <v>0</v>
      </c>
      <c r="U233" s="9"/>
      <c r="V233" s="9">
        <f>IF($C233="annual",IF(V$111=$B233,0,G233*$F233),IF(V$111-$B233=0,0,IF((V$111-$B233)&lt;$E233,AVERAGE(G233,H233)*$F233,IF((V$111-$B233)=$E233,G233*$F233/2,0))))</f>
        <v>0</v>
      </c>
      <c r="W233" s="9">
        <f t="shared" ref="W233:AA238" si="63">IF($C233="annual",IF(W$111=$B233,0,H233*$F233),IF(W$111-$B233=0,0,IF((W$111-$B233)&lt;$E233,AVERAGE(H233,I233)*$F233,IF((W$111-$B233)=$E233,H233*$F233/2,0))))</f>
        <v>5.6249773453478173</v>
      </c>
      <c r="X233" s="9">
        <f t="shared" si="63"/>
        <v>5.6249773453478173</v>
      </c>
      <c r="Y233" s="9">
        <f t="shared" si="63"/>
        <v>5.6249773453478173</v>
      </c>
      <c r="Z233" s="9">
        <f t="shared" si="63"/>
        <v>5.6249773453478173</v>
      </c>
      <c r="AA233" s="9">
        <f t="shared" si="63"/>
        <v>5.6249773453478173</v>
      </c>
    </row>
    <row r="234" spans="1:27">
      <c r="A234" s="8" t="str">
        <f>A233</f>
        <v>Type 11</v>
      </c>
      <c r="B234" s="7">
        <f>B233+1</f>
        <v>2019</v>
      </c>
      <c r="C234" s="7" t="str">
        <f>C233</f>
        <v>Annual</v>
      </c>
      <c r="D234" s="7">
        <f t="shared" ref="D234:E238" si="64">D233</f>
        <v>10</v>
      </c>
      <c r="E234" s="7">
        <f t="shared" si="64"/>
        <v>10</v>
      </c>
      <c r="F234" s="14">
        <f>$M$96</f>
        <v>5.4494886743189488E-2</v>
      </c>
      <c r="H234" s="9"/>
      <c r="I234" s="9">
        <f ca="1">$C$96</f>
        <v>0</v>
      </c>
      <c r="J234" s="9">
        <f ca="1">I234-Q234</f>
        <v>0</v>
      </c>
      <c r="K234" s="9">
        <f ca="1">J234-R234</f>
        <v>0</v>
      </c>
      <c r="L234" s="9">
        <f ca="1">K234-S234</f>
        <v>0</v>
      </c>
      <c r="M234" s="9">
        <f ca="1">L234-T234</f>
        <v>0</v>
      </c>
      <c r="N234" s="9"/>
      <c r="O234" s="9"/>
      <c r="P234" s="9">
        <f>IF(OR($C234="Annual",$D234=$E234),IF(AND($D234=$E234,P$111=$B234+$D234),$I234,IF(AND(P$111&gt;$B234+$D234,P$111&lt;=$B234+$E234), $I234/($E234-$D234),0)), IF(OR(P$111=$B234+$D234,P$111=$B234+$E234),$I234/(($E234-$D234)*2),IF(AND(P$111&gt;$B234+$D234,P$111&lt;$B234+$E234),$I234/($E234-$D234),0)))</f>
        <v>0</v>
      </c>
      <c r="Q234" s="9">
        <f>IF(OR($C234="Annual",$D234=$E234),IF(AND($D234=$E234,Q$111=$B234+$D234),$I234,IF(AND(Q$111&gt;$B234+$D234,Q$111&lt;=$B234+$E234), $I234/($E234-$D234),0)), IF(OR(Q$111=$B234+$D234,Q$111=$B234+$E234),$I234/(($E234-$D234)*2),IF(AND(Q$111&gt;$B234+$D234,Q$111&lt;$B234+$E234),$I234/($E234-$D234),0)))</f>
        <v>0</v>
      </c>
      <c r="R234" s="9">
        <f>IF(OR($C234="Annual",$D234=$E234),IF(AND($D234=$E234,R$111=$B234+$D234),$I234,IF(AND(R$111&gt;$B234+$D234,R$111&lt;=$B234+$E234), $I234/($E234-$D234),0)), IF(OR(R$111=$B234+$D234,R$111=$B234+$E234),$I234/(($E234-$D234)*2),IF(AND(R$111&gt;$B234+$D234,R$111&lt;$B234+$E234),$I234/($E234-$D234),0)))</f>
        <v>0</v>
      </c>
      <c r="S234" s="9">
        <f>IF(OR($C234="Annual",$D234=$E234),IF(AND($D234=$E234,S$111=$B234+$D234),$I234,IF(AND(S$111&gt;$B234+$D234,S$111&lt;=$B234+$E234), $I234/($E234-$D234),0)), IF(OR(S$111=$B234+$D234,S$111=$B234+$E234),$I234/(($E234-$D234)*2),IF(AND(S$111&gt;$B234+$D234,S$111&lt;$B234+$E234),$I234/($E234-$D234),0)))</f>
        <v>0</v>
      </c>
      <c r="T234" s="9">
        <f>IF(OR($C234="Annual",$D234=$E234),IF(AND($D234=$E234,T$111=$B234+$D234),$I234,IF(AND(T$111&gt;$B234+$D234,T$111&lt;=$B234+$E234), $I234/($E234-$D234),0)), IF(OR(T$111=$B234+$D234,T$111=$B234+$E234),$I234/(($E234-$D234)*2),IF(AND(T$111&gt;$B234+$D234,T$111&lt;$B234+$E234),$I234/($E234-$D234),0)))</f>
        <v>0</v>
      </c>
      <c r="U234" s="9"/>
      <c r="V234" s="9"/>
      <c r="W234" s="9">
        <f t="shared" si="63"/>
        <v>0</v>
      </c>
      <c r="X234" s="9">
        <f t="shared" ca="1" si="63"/>
        <v>0</v>
      </c>
      <c r="Y234" s="9">
        <f t="shared" ca="1" si="63"/>
        <v>0</v>
      </c>
      <c r="Z234" s="9">
        <f t="shared" ca="1" si="63"/>
        <v>0</v>
      </c>
      <c r="AA234" s="9">
        <f t="shared" ca="1" si="63"/>
        <v>0</v>
      </c>
    </row>
    <row r="235" spans="1:27">
      <c r="A235" s="8" t="str">
        <f>A234</f>
        <v>Type 11</v>
      </c>
      <c r="B235" s="7">
        <f>B234+1</f>
        <v>2020</v>
      </c>
      <c r="C235" s="7" t="str">
        <f>C234</f>
        <v>Annual</v>
      </c>
      <c r="D235" s="7">
        <f t="shared" si="64"/>
        <v>10</v>
      </c>
      <c r="E235" s="7">
        <f t="shared" si="64"/>
        <v>10</v>
      </c>
      <c r="F235" s="14">
        <f>$N$96</f>
        <v>5.7744886743189484E-2</v>
      </c>
      <c r="H235" s="9"/>
      <c r="I235" s="9"/>
      <c r="J235" s="9">
        <f ca="1">$D$96</f>
        <v>0</v>
      </c>
      <c r="K235" s="9">
        <f ca="1">J235-R235</f>
        <v>0</v>
      </c>
      <c r="L235" s="9">
        <f ca="1">K235-S235</f>
        <v>0</v>
      </c>
      <c r="M235" s="9">
        <f ca="1">L235-T235</f>
        <v>0</v>
      </c>
      <c r="N235" s="9"/>
      <c r="O235" s="9"/>
      <c r="P235" s="9"/>
      <c r="Q235" s="9">
        <f>IF(OR($C235="Annual",$D235=$E235),IF(AND($D235=$E235,Q$111=$B235+$D235),$J235,IF(AND(Q$111&gt;$B235+$D235,Q$111&lt;=$B235+$E235), $J235/($E235-$D235),0)), IF(OR(Q$111=$B235+$D235,Q$111=$B235+$E235),$J235/(($E235-$D235)*2),IF(AND(Q$111&gt;$B235+$D235,Q$111&lt;$B235+$E235),$J235/($E235-$D235),0)))</f>
        <v>0</v>
      </c>
      <c r="R235" s="9">
        <f>IF(OR($C235="Annual",$D235=$E235),IF(AND($D235=$E235,R$111=$B235+$D235),$J235,IF(AND(R$111&gt;$B235+$D235,R$111&lt;=$B235+$E235), $J235/($E235-$D235),0)), IF(OR(R$111=$B235+$D235,R$111=$B235+$E235),$J235/(($E235-$D235)*2),IF(AND(R$111&gt;$B235+$D235,R$111&lt;$B235+$E235),$J235/($E235-$D235),0)))</f>
        <v>0</v>
      </c>
      <c r="S235" s="9">
        <f>IF(OR($C235="Annual",$D235=$E235),IF(AND($D235=$E235,S$111=$B235+$D235),$J235,IF(AND(S$111&gt;$B235+$D235,S$111&lt;=$B235+$E235), $J235/($E235-$D235),0)), IF(OR(S$111=$B235+$D235,S$111=$B235+$E235),$J235/(($E235-$D235)*2),IF(AND(S$111&gt;$B235+$D235,S$111&lt;$B235+$E235),$J235/($E235-$D235),0)))</f>
        <v>0</v>
      </c>
      <c r="T235" s="9">
        <f>IF(OR($C235="Annual",$D235=$E235),IF(AND($D235=$E235,T$111=$B235+$D235),$J235,IF(AND(T$111&gt;$B235+$D235,T$111&lt;=$B235+$E235), $J235/($E235-$D235),0)), IF(OR(T$111=$B235+$D235,T$111=$B235+$E235),$J235/(($E235-$D235)*2),IF(AND(T$111&gt;$B235+$D235,T$111&lt;$B235+$E235),$J235/($E235-$D235),0)))</f>
        <v>0</v>
      </c>
      <c r="U235" s="9"/>
      <c r="V235" s="9"/>
      <c r="W235" s="9"/>
      <c r="X235" s="9">
        <f t="shared" si="63"/>
        <v>0</v>
      </c>
      <c r="Y235" s="9">
        <f t="shared" ca="1" si="63"/>
        <v>0</v>
      </c>
      <c r="Z235" s="9">
        <f t="shared" ca="1" si="63"/>
        <v>0</v>
      </c>
      <c r="AA235" s="9">
        <f t="shared" ca="1" si="63"/>
        <v>0</v>
      </c>
    </row>
    <row r="236" spans="1:27">
      <c r="A236" s="8" t="str">
        <f>A235</f>
        <v>Type 11</v>
      </c>
      <c r="B236" s="7">
        <f>B235+1</f>
        <v>2021</v>
      </c>
      <c r="C236" s="7" t="str">
        <f>C235</f>
        <v>Annual</v>
      </c>
      <c r="D236" s="7">
        <f t="shared" si="64"/>
        <v>10</v>
      </c>
      <c r="E236" s="7">
        <f t="shared" si="64"/>
        <v>10</v>
      </c>
      <c r="F236" s="14">
        <f>$O$96</f>
        <v>5.7744886743189484E-2</v>
      </c>
      <c r="H236" s="9"/>
      <c r="I236" s="9"/>
      <c r="J236" s="9"/>
      <c r="K236" s="9">
        <f ca="1">$E$96</f>
        <v>0</v>
      </c>
      <c r="L236" s="9">
        <f ca="1">K236-S236</f>
        <v>0</v>
      </c>
      <c r="M236" s="9">
        <f ca="1">L236-T236</f>
        <v>0</v>
      </c>
      <c r="N236" s="9"/>
      <c r="O236" s="9"/>
      <c r="P236" s="9"/>
      <c r="Q236" s="9"/>
      <c r="R236" s="9">
        <f>IF(OR($C236="Annual",$D236=$E236),IF(AND($D236=$E236,R$111=$B236+$D236),$K236,IF(AND(R$111&gt;$B236+$D236,R$111&lt;=$B236+$E236), $K236/($E236-$D236),0)), IF(OR(R$111=$B236+$D236,R$111=$B236+$E236),$K236/(($E236-$D236)*2),IF(AND(R$111&gt;$B236+$D236,R$111&lt;$B236+$E236),$K236/($E236-$D236),0)))</f>
        <v>0</v>
      </c>
      <c r="S236" s="9">
        <f>IF(OR($C236="Annual",$D236=$E236),IF(AND($D236=$E236,S$111=$B236+$D236),$K236,IF(AND(S$111&gt;$B236+$D236,S$111&lt;=$B236+$E236), $K236/($E236-$D236),0)), IF(OR(S$111=$B236+$D236,S$111=$B236+$E236),$K236/(($E236-$D236)*2),IF(AND(S$111&gt;$B236+$D236,S$111&lt;$B236+$E236),$K236/($E236-$D236),0)))</f>
        <v>0</v>
      </c>
      <c r="T236" s="9">
        <f>IF(OR($C236="Annual",$D236=$E236),IF(AND($D236=$E236,T$111=$B236+$D236),$K236,IF(AND(T$111&gt;$B236+$D236,T$111&lt;=$B236+$E236), $K236/($E236-$D236),0)), IF(OR(T$111=$B236+$D236,T$111=$B236+$E236),$K236/(($E236-$D236)*2),IF(AND(T$111&gt;$B236+$D236,T$111&lt;$B236+$E236),$K236/($E236-$D236),0)))</f>
        <v>0</v>
      </c>
      <c r="U236" s="9"/>
      <c r="V236" s="9"/>
      <c r="W236" s="9"/>
      <c r="X236" s="9"/>
      <c r="Y236" s="9">
        <f t="shared" si="63"/>
        <v>0</v>
      </c>
      <c r="Z236" s="9">
        <f t="shared" ca="1" si="63"/>
        <v>0</v>
      </c>
      <c r="AA236" s="9">
        <f t="shared" ca="1" si="63"/>
        <v>0</v>
      </c>
    </row>
    <row r="237" spans="1:27">
      <c r="A237" s="8" t="str">
        <f>A236</f>
        <v>Type 11</v>
      </c>
      <c r="B237" s="7">
        <f>B236+1</f>
        <v>2022</v>
      </c>
      <c r="C237" s="7" t="str">
        <f>C236</f>
        <v>Annual</v>
      </c>
      <c r="D237" s="7">
        <f t="shared" si="64"/>
        <v>10</v>
      </c>
      <c r="E237" s="7">
        <f t="shared" si="64"/>
        <v>10</v>
      </c>
      <c r="F237" s="14">
        <f>$P$96</f>
        <v>5.7744886743189484E-2</v>
      </c>
      <c r="H237" s="9"/>
      <c r="I237" s="9"/>
      <c r="J237" s="9"/>
      <c r="K237" s="9"/>
      <c r="L237" s="9">
        <f ca="1">$F$96</f>
        <v>0</v>
      </c>
      <c r="M237" s="9">
        <f ca="1">L237-T237</f>
        <v>0</v>
      </c>
      <c r="N237" s="9"/>
      <c r="O237" s="9"/>
      <c r="P237" s="9"/>
      <c r="Q237" s="9"/>
      <c r="R237" s="9"/>
      <c r="S237" s="9">
        <f>IF(OR($C237="Annual",$D237=$E237),IF(AND($D237=$E237,S$111=$B237+$D237),$L237,IF(AND(S$111&gt;$B237+$D237,S$111&lt;=$B237+$E237), $L237/($E237-$D237),0)), IF(OR(S$111=$B237+$D237,S$111=$B237+$E237),$L237/(($E237-$D237)*2),IF(AND(S$111&gt;$B237+$D237,S$111&lt;$B237+$E237),$L237/($E237-$D237),0)))</f>
        <v>0</v>
      </c>
      <c r="T237" s="9">
        <f>IF(OR($C237="Annual",$D237=$E237),IF(AND($D237=$E237,T$111=$B237+$D237),$L237,IF(AND(T$111&gt;$B237+$D237,T$111&lt;=$B237+$E237), $L237/($E237-$D237),0)), IF(OR(T$111=$B237+$D237,T$111=$B237+$E237),$L237/(($E237-$D237)*2),IF(AND(T$111&gt;$B237+$D237,T$111&lt;$B237+$E237),$L237/($E237-$D237),0)))</f>
        <v>0</v>
      </c>
      <c r="U237" s="9"/>
      <c r="V237" s="9"/>
      <c r="W237" s="9"/>
      <c r="X237" s="9"/>
      <c r="Y237" s="9"/>
      <c r="Z237" s="9">
        <f t="shared" si="63"/>
        <v>0</v>
      </c>
      <c r="AA237" s="9">
        <f t="shared" ca="1" si="63"/>
        <v>0</v>
      </c>
    </row>
    <row r="238" spans="1:27">
      <c r="A238" s="8" t="str">
        <f>A237</f>
        <v>Type 11</v>
      </c>
      <c r="B238" s="7">
        <f>B237+1</f>
        <v>2023</v>
      </c>
      <c r="C238" s="7" t="str">
        <f>C237</f>
        <v>Annual</v>
      </c>
      <c r="D238" s="7">
        <f t="shared" si="64"/>
        <v>10</v>
      </c>
      <c r="E238" s="7">
        <f t="shared" si="64"/>
        <v>10</v>
      </c>
      <c r="F238" s="14">
        <f>$Q$96</f>
        <v>5.7744886743189484E-2</v>
      </c>
      <c r="H238" s="9"/>
      <c r="I238" s="9"/>
      <c r="J238" s="9"/>
      <c r="K238" s="9"/>
      <c r="L238" s="9"/>
      <c r="M238" s="9">
        <f ca="1">$G$96</f>
        <v>0</v>
      </c>
      <c r="N238" s="9"/>
      <c r="O238" s="9"/>
      <c r="P238" s="9"/>
      <c r="Q238" s="9"/>
      <c r="R238" s="9"/>
      <c r="S238" s="9"/>
      <c r="T238" s="9">
        <f>IF(OR($C238="Annual",$D238=$E238),IF(AND($D238=$E238,T$111=$B238+$D238),$M238,IF(AND(T$111&gt;$B238+$D238,T$111&lt;=$B238+$E238), $M238/($E238-$D238),0)), IF(OR(T$111=$B238+$D238,T$111=$B238+$E238),$M238/(($E238-$D238)*2),IF(AND(T$111&gt;$B238+$D238,T$111&lt;$B238+$E238),$M238/($E238-$D238),0)))</f>
        <v>0</v>
      </c>
      <c r="U238" s="9"/>
      <c r="V238" s="9"/>
      <c r="W238" s="9"/>
      <c r="X238" s="9"/>
      <c r="Y238" s="9"/>
      <c r="Z238" s="9"/>
      <c r="AA238" s="9">
        <f t="shared" si="63"/>
        <v>0</v>
      </c>
    </row>
    <row r="239" spans="1:27">
      <c r="C239" s="281"/>
      <c r="F239" s="15"/>
      <c r="H239" s="10"/>
      <c r="I239" s="10"/>
      <c r="J239" s="10"/>
      <c r="K239" s="10"/>
      <c r="L239" s="10"/>
      <c r="M239" s="10"/>
      <c r="N239" s="10"/>
      <c r="O239" s="278"/>
      <c r="P239" s="10"/>
      <c r="Q239" s="10"/>
      <c r="R239" s="10"/>
      <c r="S239" s="10"/>
      <c r="T239" s="10"/>
      <c r="U239" s="10"/>
      <c r="V239" s="10"/>
      <c r="W239" s="10"/>
      <c r="X239" s="10"/>
      <c r="Y239" s="10"/>
      <c r="Z239" s="10"/>
      <c r="AA239" s="10"/>
    </row>
    <row r="240" spans="1:27">
      <c r="A240" s="8" t="str">
        <f>'Input 4 - Forecast'!A78</f>
        <v>Type 12</v>
      </c>
      <c r="B240" s="7">
        <f>B119</f>
        <v>2018</v>
      </c>
      <c r="C240" s="7" t="str">
        <f>$I97</f>
        <v>Annual</v>
      </c>
      <c r="D240" s="7">
        <f>$J97</f>
        <v>30</v>
      </c>
      <c r="E240" s="7">
        <f>$K97</f>
        <v>30</v>
      </c>
      <c r="F240" s="14">
        <f>$L$97</f>
        <v>2.2499999999999999E-2</v>
      </c>
      <c r="H240" s="9">
        <f>$B$97</f>
        <v>499.99798625313935</v>
      </c>
      <c r="I240" s="9">
        <f>H240-P240</f>
        <v>499.99798625313935</v>
      </c>
      <c r="J240" s="9">
        <f>I240-Q240</f>
        <v>499.99798625313935</v>
      </c>
      <c r="K240" s="9">
        <f>J240-R240</f>
        <v>499.99798625313935</v>
      </c>
      <c r="L240" s="9">
        <f>K240-S240</f>
        <v>499.99798625313935</v>
      </c>
      <c r="M240" s="9">
        <f>L240-T240</f>
        <v>499.99798625313935</v>
      </c>
      <c r="N240" s="9"/>
      <c r="O240" s="9">
        <f t="shared" ref="O240:T240" si="65">IF(OR($C240="Annual",$D240=$E240),IF(AND($D240=$E240,O$111=$B240+$D240),$H240,IF(AND(O$111&gt;$B240+$D240,O$111&lt;=$B240+$E240), $H240/($E240-$D240),0)), IF(OR(O$111=$B240+$D240,O$111=$B240+$E240),$H240/(($E240-$D240)*2),IF(AND(O$111&gt;$B240+$D240,O$111&lt;$B240+$E240),$H240/($E240-$D240),0)))</f>
        <v>0</v>
      </c>
      <c r="P240" s="9">
        <f t="shared" si="65"/>
        <v>0</v>
      </c>
      <c r="Q240" s="9">
        <f t="shared" si="65"/>
        <v>0</v>
      </c>
      <c r="R240" s="9">
        <f t="shared" si="65"/>
        <v>0</v>
      </c>
      <c r="S240" s="9">
        <f t="shared" si="65"/>
        <v>0</v>
      </c>
      <c r="T240" s="9">
        <f t="shared" si="65"/>
        <v>0</v>
      </c>
      <c r="U240" s="9"/>
      <c r="V240" s="9">
        <f>IF($C240="annual",IF(V$111=$B240,0,G240*$F240),IF(V$111-$B240=0,0,IF((V$111-$B240)&lt;$E240,AVERAGE(G240,H240)*$F240,IF((V$111-$B240)=$E240,G240*$F240/2,0))))</f>
        <v>0</v>
      </c>
      <c r="W240" s="9">
        <f t="shared" ref="W240:AA245" si="66">IF($C240="annual",IF(W$111=$B240,0,H240*$F240),IF(W$111-$B240=0,0,IF((W$111-$B240)&lt;$E240,AVERAGE(H240,I240)*$F240,IF((W$111-$B240)=$E240,H240*$F240/2,0))))</f>
        <v>11.249954690695635</v>
      </c>
      <c r="X240" s="9">
        <f t="shared" si="66"/>
        <v>11.249954690695635</v>
      </c>
      <c r="Y240" s="9">
        <f t="shared" si="66"/>
        <v>11.249954690695635</v>
      </c>
      <c r="Z240" s="9">
        <f t="shared" si="66"/>
        <v>11.249954690695635</v>
      </c>
      <c r="AA240" s="9">
        <f t="shared" si="66"/>
        <v>11.249954690695635</v>
      </c>
    </row>
    <row r="241" spans="1:27">
      <c r="A241" s="8" t="str">
        <f>A240</f>
        <v>Type 12</v>
      </c>
      <c r="B241" s="7">
        <f>B240+1</f>
        <v>2019</v>
      </c>
      <c r="C241" s="7" t="str">
        <f>C240</f>
        <v>Annual</v>
      </c>
      <c r="D241" s="7">
        <f>D240</f>
        <v>30</v>
      </c>
      <c r="E241" s="7">
        <f>E240</f>
        <v>30</v>
      </c>
      <c r="F241" s="14">
        <f>$M$97</f>
        <v>3.5744886743189486E-2</v>
      </c>
      <c r="H241" s="9"/>
      <c r="I241" s="9">
        <f ca="1">$C$97</f>
        <v>0</v>
      </c>
      <c r="J241" s="9">
        <f ca="1">I241-Q241</f>
        <v>0</v>
      </c>
      <c r="K241" s="9">
        <f ca="1">J241-R241</f>
        <v>0</v>
      </c>
      <c r="L241" s="9">
        <f ca="1">K241-S241</f>
        <v>0</v>
      </c>
      <c r="M241" s="9">
        <f ca="1">L241-T241</f>
        <v>0</v>
      </c>
      <c r="N241" s="9"/>
      <c r="O241" s="9"/>
      <c r="P241" s="9">
        <f>IF(OR($C241="Annual",$D241=$E241),IF(AND($D241=$E241,P$111=$B241+$D241),$I241,IF(AND(P$111&gt;$B241+$D241,P$111&lt;=$B241+$E241), $I241/($E241-$D241),0)), IF(OR(P$111=$B241+$D241,P$111=$B241+$E241),$I241/(($E241-$D241)*2),IF(AND(P$111&gt;$B241+$D241,P$111&lt;$B241+$E241),$I241/($E241-$D241),0)))</f>
        <v>0</v>
      </c>
      <c r="Q241" s="9">
        <f>IF(OR($C241="Annual",$D241=$E241),IF(AND($D241=$E241,Q$111=$B241+$D241),$I241,IF(AND(Q$111&gt;$B241+$D241,Q$111&lt;=$B241+$E241), $I241/($E241-$D241),0)), IF(OR(Q$111=$B241+$D241,Q$111=$B241+$E241),$I241/(($E241-$D241)*2),IF(AND(Q$111&gt;$B241+$D241,Q$111&lt;$B241+$E241),$I241/($E241-$D241),0)))</f>
        <v>0</v>
      </c>
      <c r="R241" s="9">
        <f>IF(OR($C241="Annual",$D241=$E241),IF(AND($D241=$E241,R$111=$B241+$D241),$I241,IF(AND(R$111&gt;$B241+$D241,R$111&lt;=$B241+$E241), $I241/($E241-$D241),0)), IF(OR(R$111=$B241+$D241,R$111=$B241+$E241),$I241/(($E241-$D241)*2),IF(AND(R$111&gt;$B241+$D241,R$111&lt;$B241+$E241),$I241/($E241-$D241),0)))</f>
        <v>0</v>
      </c>
      <c r="S241" s="9">
        <f>IF(OR($C241="Annual",$D241=$E241),IF(AND($D241=$E241,S$111=$B241+$D241),$I241,IF(AND(S$111&gt;$B241+$D241,S$111&lt;=$B241+$E241), $I241/($E241-$D241),0)), IF(OR(S$111=$B241+$D241,S$111=$B241+$E241),$I241/(($E241-$D241)*2),IF(AND(S$111&gt;$B241+$D241,S$111&lt;$B241+$E241),$I241/($E241-$D241),0)))</f>
        <v>0</v>
      </c>
      <c r="T241" s="9">
        <f>IF(OR($C241="Annual",$D241=$E241),IF(AND($D241=$E241,T$111=$B241+$D241),$I241,IF(AND(T$111&gt;$B241+$D241,T$111&lt;=$B241+$E241), $I241/($E241-$D241),0)), IF(OR(T$111=$B241+$D241,T$111=$B241+$E241),$I241/(($E241-$D241)*2),IF(AND(T$111&gt;$B241+$D241,T$111&lt;$B241+$E241),$I241/($E241-$D241),0)))</f>
        <v>0</v>
      </c>
      <c r="U241" s="9"/>
      <c r="V241" s="9"/>
      <c r="W241" s="9">
        <f t="shared" si="66"/>
        <v>0</v>
      </c>
      <c r="X241" s="9">
        <f t="shared" ca="1" si="66"/>
        <v>0</v>
      </c>
      <c r="Y241" s="9">
        <f t="shared" ca="1" si="66"/>
        <v>0</v>
      </c>
      <c r="Z241" s="9">
        <f t="shared" ca="1" si="66"/>
        <v>0</v>
      </c>
      <c r="AA241" s="9">
        <f t="shared" ca="1" si="66"/>
        <v>0</v>
      </c>
    </row>
    <row r="242" spans="1:27">
      <c r="A242" s="8" t="str">
        <f>A241</f>
        <v>Type 12</v>
      </c>
      <c r="B242" s="7">
        <f>B241+1</f>
        <v>2020</v>
      </c>
      <c r="C242" s="7" t="str">
        <f>C241</f>
        <v>Annual</v>
      </c>
      <c r="D242" s="7">
        <f t="shared" ref="D242:E245" si="67">D241</f>
        <v>30</v>
      </c>
      <c r="E242" s="7">
        <f t="shared" si="67"/>
        <v>30</v>
      </c>
      <c r="F242" s="14">
        <f>$N$97</f>
        <v>3.5744886743189486E-2</v>
      </c>
      <c r="H242" s="9"/>
      <c r="I242" s="9"/>
      <c r="J242" s="9">
        <f ca="1">$D$97</f>
        <v>0</v>
      </c>
      <c r="K242" s="9">
        <f ca="1">J242-R242</f>
        <v>0</v>
      </c>
      <c r="L242" s="9">
        <f ca="1">K242-S242</f>
        <v>0</v>
      </c>
      <c r="M242" s="9">
        <f ca="1">L242-T242</f>
        <v>0</v>
      </c>
      <c r="N242" s="9"/>
      <c r="O242" s="9"/>
      <c r="P242" s="9"/>
      <c r="Q242" s="9">
        <f>IF(OR($C242="Annual",$D242=$E242),IF(AND($D242=$E242,Q$111=$B242+$D242),$J242,IF(AND(Q$111&gt;$B242+$D242,Q$111&lt;=$B242+$E242), $J242/($E242-$D242),0)), IF(OR(Q$111=$B242+$D242,Q$111=$B242+$E242),$J242/(($E242-$D242)*2),IF(AND(Q$111&gt;$B242+$D242,Q$111&lt;$B242+$E242),$J242/($E242-$D242),0)))</f>
        <v>0</v>
      </c>
      <c r="R242" s="9">
        <f>IF(OR($C242="Annual",$D242=$E242),IF(AND($D242=$E242,R$111=$B242+$D242),$J242,IF(AND(R$111&gt;$B242+$D242,R$111&lt;=$B242+$E242), $J242/($E242-$D242),0)), IF(OR(R$111=$B242+$D242,R$111=$B242+$E242),$J242/(($E242-$D242)*2),IF(AND(R$111&gt;$B242+$D242,R$111&lt;$B242+$E242),$J242/($E242-$D242),0)))</f>
        <v>0</v>
      </c>
      <c r="S242" s="9">
        <f>IF(OR($C242="Annual",$D242=$E242),IF(AND($D242=$E242,S$111=$B242+$D242),$J242,IF(AND(S$111&gt;$B242+$D242,S$111&lt;=$B242+$E242), $J242/($E242-$D242),0)), IF(OR(S$111=$B242+$D242,S$111=$B242+$E242),$J242/(($E242-$D242)*2),IF(AND(S$111&gt;$B242+$D242,S$111&lt;$B242+$E242),$J242/($E242-$D242),0)))</f>
        <v>0</v>
      </c>
      <c r="T242" s="9">
        <f>IF(OR($C242="Annual",$D242=$E242),IF(AND($D242=$E242,T$111=$B242+$D242),$J242,IF(AND(T$111&gt;$B242+$D242,T$111&lt;=$B242+$E242), $J242/($E242-$D242),0)), IF(OR(T$111=$B242+$D242,T$111=$B242+$E242),$J242/(($E242-$D242)*2),IF(AND(T$111&gt;$B242+$D242,T$111&lt;$B242+$E242),$J242/($E242-$D242),0)))</f>
        <v>0</v>
      </c>
      <c r="U242" s="9"/>
      <c r="V242" s="9"/>
      <c r="W242" s="9"/>
      <c r="X242" s="9">
        <f t="shared" si="66"/>
        <v>0</v>
      </c>
      <c r="Y242" s="9">
        <f t="shared" ca="1" si="66"/>
        <v>0</v>
      </c>
      <c r="Z242" s="9">
        <f t="shared" ca="1" si="66"/>
        <v>0</v>
      </c>
      <c r="AA242" s="9">
        <f t="shared" ca="1" si="66"/>
        <v>0</v>
      </c>
    </row>
    <row r="243" spans="1:27">
      <c r="A243" s="8" t="str">
        <f>A242</f>
        <v>Type 12</v>
      </c>
      <c r="B243" s="7">
        <f>B242+1</f>
        <v>2021</v>
      </c>
      <c r="C243" s="7" t="str">
        <f>C242</f>
        <v>Annual</v>
      </c>
      <c r="D243" s="7">
        <f t="shared" si="67"/>
        <v>30</v>
      </c>
      <c r="E243" s="7">
        <f t="shared" si="67"/>
        <v>30</v>
      </c>
      <c r="F243" s="14">
        <f>$O$97</f>
        <v>3.5744886743189486E-2</v>
      </c>
      <c r="H243" s="9"/>
      <c r="I243" s="9"/>
      <c r="J243" s="9"/>
      <c r="K243" s="9">
        <f ca="1">$E$97</f>
        <v>0</v>
      </c>
      <c r="L243" s="9">
        <f ca="1">K243-S243</f>
        <v>0</v>
      </c>
      <c r="M243" s="9">
        <f ca="1">L243-T243</f>
        <v>0</v>
      </c>
      <c r="N243" s="9"/>
      <c r="O243" s="9"/>
      <c r="P243" s="9"/>
      <c r="Q243" s="9"/>
      <c r="R243" s="9">
        <f>IF(OR($C243="Annual",$D243=$E243),IF(AND($D243=$E243,R$111=$B243+$D243),$K243,IF(AND(R$111&gt;$B243+$D243,R$111&lt;=$B243+$E243), $K243/($E243-$D243),0)), IF(OR(R$111=$B243+$D243,R$111=$B243+$E243),$K243/(($E243-$D243)*2),IF(AND(R$111&gt;$B243+$D243,R$111&lt;$B243+$E243),$K243/($E243-$D243),0)))</f>
        <v>0</v>
      </c>
      <c r="S243" s="9">
        <f>IF(OR($C243="Annual",$D243=$E243),IF(AND($D243=$E243,S$111=$B243+$D243),$K243,IF(AND(S$111&gt;$B243+$D243,S$111&lt;=$B243+$E243), $K243/($E243-$D243),0)), IF(OR(S$111=$B243+$D243,S$111=$B243+$E243),$K243/(($E243-$D243)*2),IF(AND(S$111&gt;$B243+$D243,S$111&lt;$B243+$E243),$K243/($E243-$D243),0)))</f>
        <v>0</v>
      </c>
      <c r="T243" s="9">
        <f>IF(OR($C243="Annual",$D243=$E243),IF(AND($D243=$E243,T$111=$B243+$D243),$K243,IF(AND(T$111&gt;$B243+$D243,T$111&lt;=$B243+$E243), $K243/($E243-$D243),0)), IF(OR(T$111=$B243+$D243,T$111=$B243+$E243),$K243/(($E243-$D243)*2),IF(AND(T$111&gt;$B243+$D243,T$111&lt;$B243+$E243),$K243/($E243-$D243),0)))</f>
        <v>0</v>
      </c>
      <c r="U243" s="9"/>
      <c r="V243" s="9"/>
      <c r="W243" s="9"/>
      <c r="X243" s="9"/>
      <c r="Y243" s="9">
        <f t="shared" si="66"/>
        <v>0</v>
      </c>
      <c r="Z243" s="9">
        <f t="shared" ca="1" si="66"/>
        <v>0</v>
      </c>
      <c r="AA243" s="9">
        <f t="shared" ca="1" si="66"/>
        <v>0</v>
      </c>
    </row>
    <row r="244" spans="1:27">
      <c r="A244" s="8" t="str">
        <f>A243</f>
        <v>Type 12</v>
      </c>
      <c r="B244" s="7">
        <f>B243+1</f>
        <v>2022</v>
      </c>
      <c r="C244" s="7" t="str">
        <f>C243</f>
        <v>Annual</v>
      </c>
      <c r="D244" s="7">
        <f t="shared" si="67"/>
        <v>30</v>
      </c>
      <c r="E244" s="7">
        <f t="shared" si="67"/>
        <v>30</v>
      </c>
      <c r="F244" s="14">
        <f>$P$97</f>
        <v>3.5744886743189486E-2</v>
      </c>
      <c r="H244" s="9"/>
      <c r="I244" s="9"/>
      <c r="J244" s="9"/>
      <c r="K244" s="9"/>
      <c r="L244" s="9">
        <f ca="1">$F$97</f>
        <v>0</v>
      </c>
      <c r="M244" s="9">
        <f ca="1">L244-T244</f>
        <v>0</v>
      </c>
      <c r="N244" s="9"/>
      <c r="O244" s="9"/>
      <c r="P244" s="9"/>
      <c r="Q244" s="9"/>
      <c r="R244" s="9"/>
      <c r="S244" s="9">
        <f>IF(OR($C244="Annual",$D244=$E244),IF(AND($D244=$E244,S$111=$B244+$D244),$L244,IF(AND(S$111&gt;$B244+$D244,S$111&lt;=$B244+$E244), $L244/($E244-$D244),0)), IF(OR(S$111=$B244+$D244,S$111=$B244+$E244),$L244/(($E244-$D244)*2),IF(AND(S$111&gt;$B244+$D244,S$111&lt;$B244+$E244),$L244/($E244-$D244),0)))</f>
        <v>0</v>
      </c>
      <c r="T244" s="9">
        <f>IF(OR($C244="Annual",$D244=$E244),IF(AND($D244=$E244,T$111=$B244+$D244),$L244,IF(AND(T$111&gt;$B244+$D244,T$111&lt;=$B244+$E244), $L244/($E244-$D244),0)), IF(OR(T$111=$B244+$D244,T$111=$B244+$E244),$L244/(($E244-$D244)*2),IF(AND(T$111&gt;$B244+$D244,T$111&lt;$B244+$E244),$L244/($E244-$D244),0)))</f>
        <v>0</v>
      </c>
      <c r="U244" s="9"/>
      <c r="V244" s="9"/>
      <c r="W244" s="9"/>
      <c r="X244" s="9"/>
      <c r="Y244" s="9"/>
      <c r="Z244" s="9">
        <f t="shared" si="66"/>
        <v>0</v>
      </c>
      <c r="AA244" s="9">
        <f t="shared" ca="1" si="66"/>
        <v>0</v>
      </c>
    </row>
    <row r="245" spans="1:27">
      <c r="A245" s="8" t="str">
        <f>A244</f>
        <v>Type 12</v>
      </c>
      <c r="B245" s="7">
        <f>B244+1</f>
        <v>2023</v>
      </c>
      <c r="C245" s="7" t="str">
        <f>C244</f>
        <v>Annual</v>
      </c>
      <c r="D245" s="7">
        <f t="shared" si="67"/>
        <v>30</v>
      </c>
      <c r="E245" s="7">
        <f t="shared" si="67"/>
        <v>30</v>
      </c>
      <c r="F245" s="14">
        <f>$Q$97</f>
        <v>3.5744886743189486E-2</v>
      </c>
      <c r="H245" s="9"/>
      <c r="I245" s="9"/>
      <c r="J245" s="9"/>
      <c r="K245" s="9"/>
      <c r="L245" s="9"/>
      <c r="M245" s="9">
        <f ca="1">$G$97</f>
        <v>0</v>
      </c>
      <c r="N245" s="9"/>
      <c r="O245" s="9"/>
      <c r="P245" s="9"/>
      <c r="Q245" s="9"/>
      <c r="R245" s="9"/>
      <c r="S245" s="9"/>
      <c r="T245" s="9">
        <f>IF(OR($C245="Annual",$D245=$E245),IF(AND($D245=$E245,T$111=$B245+$D245),$M245,IF(AND(T$111&gt;$B245+$D245,T$111&lt;=$B245+$E245), $M245/($E245-$D245),0)), IF(OR(T$111=$B245+$D245,T$111=$B245+$E245),$M245/(($E245-$D245)*2),IF(AND(T$111&gt;$B245+$D245,T$111&lt;$B245+$E245),$M245/($E245-$D245),0)))</f>
        <v>0</v>
      </c>
      <c r="U245" s="9"/>
      <c r="V245" s="9"/>
      <c r="W245" s="9"/>
      <c r="X245" s="9"/>
      <c r="Y245" s="9"/>
      <c r="Z245" s="9"/>
      <c r="AA245" s="9">
        <f t="shared" si="66"/>
        <v>0</v>
      </c>
    </row>
    <row r="246" spans="1:27">
      <c r="C246" s="281"/>
      <c r="F246" s="15"/>
      <c r="H246" s="10"/>
      <c r="I246" s="10"/>
      <c r="J246" s="10"/>
      <c r="K246" s="10"/>
      <c r="L246" s="10"/>
      <c r="M246" s="10"/>
      <c r="N246" s="10"/>
      <c r="O246" s="278"/>
      <c r="P246" s="10"/>
      <c r="Q246" s="10"/>
      <c r="R246" s="10"/>
      <c r="S246" s="10"/>
      <c r="T246" s="10"/>
      <c r="U246" s="10"/>
      <c r="V246" s="10"/>
      <c r="W246" s="10"/>
      <c r="X246" s="10"/>
      <c r="Y246" s="10"/>
      <c r="Z246" s="10"/>
      <c r="AA246" s="10"/>
    </row>
    <row r="247" spans="1:27">
      <c r="A247" s="8" t="str">
        <f>'Input 4 - Forecast'!A79</f>
        <v>Type 13</v>
      </c>
      <c r="B247" s="7">
        <f>B119</f>
        <v>2018</v>
      </c>
      <c r="C247" s="7" t="str">
        <f>$I98</f>
        <v>Annual</v>
      </c>
      <c r="D247" s="7">
        <f>$J98</f>
        <v>0</v>
      </c>
      <c r="E247" s="7">
        <f>$K98</f>
        <v>0</v>
      </c>
      <c r="F247" s="14">
        <f>$L$98</f>
        <v>0</v>
      </c>
      <c r="H247" s="9">
        <f>$B$98</f>
        <v>0</v>
      </c>
      <c r="I247" s="9">
        <f>H247-P247</f>
        <v>0</v>
      </c>
      <c r="J247" s="9">
        <f>I247-Q247</f>
        <v>0</v>
      </c>
      <c r="K247" s="9">
        <f>J247-R247</f>
        <v>0</v>
      </c>
      <c r="L247" s="9">
        <f>K247-S247</f>
        <v>0</v>
      </c>
      <c r="M247" s="9">
        <f>L247-T247</f>
        <v>0</v>
      </c>
      <c r="N247" s="9"/>
      <c r="O247" s="9">
        <f t="shared" ref="O247:T247" si="68">IF(OR($C247="Annual",$D247=$E247),IF(AND($D247=$E247,O$111=$B247+$D247),$H247,IF(AND(O$111&gt;$B247+$D247,O$111&lt;=$B247+$E247), $H247/($E247-$D247),0)), IF(OR(O$111=$B247+$D247,O$111=$B247+$E247),$H247/(($E247-$D247)*2),IF(AND(O$111&gt;$B247+$D247,O$111&lt;$B247+$E247),$H247/($E247-$D247),0)))</f>
        <v>0</v>
      </c>
      <c r="P247" s="9">
        <f t="shared" si="68"/>
        <v>0</v>
      </c>
      <c r="Q247" s="9">
        <f t="shared" si="68"/>
        <v>0</v>
      </c>
      <c r="R247" s="9">
        <f t="shared" si="68"/>
        <v>0</v>
      </c>
      <c r="S247" s="9">
        <f t="shared" si="68"/>
        <v>0</v>
      </c>
      <c r="T247" s="9">
        <f t="shared" si="68"/>
        <v>0</v>
      </c>
      <c r="U247" s="9"/>
      <c r="V247" s="9">
        <f>IF($C247="annual",IF(V$111=$B247,0,G247*$F247),IF(V$111-$B247=0,0,IF((V$111-$B247)&lt;$E247,AVERAGE(G247,H247)*$F247,IF((V$111-$B247)=$E247,G247*$F247/2,0))))</f>
        <v>0</v>
      </c>
      <c r="W247" s="9">
        <f t="shared" ref="W247:AA252" si="69">IF($C247="annual",IF(W$111=$B247,0,H247*$F247),IF(W$111-$B247=0,0,IF((W$111-$B247)&lt;$E247,AVERAGE(H247,I247)*$F247,IF((W$111-$B247)=$E247,H247*$F247/2,0))))</f>
        <v>0</v>
      </c>
      <c r="X247" s="9">
        <f t="shared" si="69"/>
        <v>0</v>
      </c>
      <c r="Y247" s="9">
        <f t="shared" si="69"/>
        <v>0</v>
      </c>
      <c r="Z247" s="9">
        <f t="shared" si="69"/>
        <v>0</v>
      </c>
      <c r="AA247" s="9">
        <f t="shared" si="69"/>
        <v>0</v>
      </c>
    </row>
    <row r="248" spans="1:27">
      <c r="A248" s="8" t="str">
        <f>A247</f>
        <v>Type 13</v>
      </c>
      <c r="B248" s="7">
        <f>B247+1</f>
        <v>2019</v>
      </c>
      <c r="C248" s="7" t="str">
        <f>C247</f>
        <v>Annual</v>
      </c>
      <c r="D248" s="7">
        <f t="shared" ref="D248:E252" si="70">D247</f>
        <v>0</v>
      </c>
      <c r="E248" s="7">
        <f t="shared" si="70"/>
        <v>0</v>
      </c>
      <c r="F248" s="14">
        <f>$M$98</f>
        <v>3.5744886743189486E-2</v>
      </c>
      <c r="H248" s="9"/>
      <c r="I248" s="9">
        <f ca="1">$C$98</f>
        <v>0</v>
      </c>
      <c r="J248" s="9">
        <f ca="1">I248-Q248</f>
        <v>0</v>
      </c>
      <c r="K248" s="9">
        <f ca="1">J248-R248</f>
        <v>0</v>
      </c>
      <c r="L248" s="9">
        <f ca="1">K248-S248</f>
        <v>0</v>
      </c>
      <c r="M248" s="9">
        <f ca="1">L248-T248</f>
        <v>0</v>
      </c>
      <c r="N248" s="9"/>
      <c r="O248" s="9"/>
      <c r="P248" s="9">
        <f ca="1">IF(OR($C248="Annual",$D248=$E248),IF(AND($D248=$E248,P$111=$B248+$D248),$I248,IF(AND(P$111&gt;$B248+$D248,P$111&lt;=$B248+$E248), $I248/($E248-$D248),0)), IF(OR(P$111=$B248+$D248,P$111=$B248+$E248),$I248/(($E248-$D248)*2),IF(AND(P$111&gt;$B248+$D248,P$111&lt;$B248+$E248),$I248/($E248-$D248),0)))</f>
        <v>0</v>
      </c>
      <c r="Q248" s="9">
        <f>IF(OR($C248="Annual",$D248=$E248),IF(AND($D248=$E248,Q$111=$B248+$D248),$I248,IF(AND(Q$111&gt;$B248+$D248,Q$111&lt;=$B248+$E248), $I248/($E248-$D248),0)), IF(OR(Q$111=$B248+$D248,Q$111=$B248+$E248),$I248/(($E248-$D248)*2),IF(AND(Q$111&gt;$B248+$D248,Q$111&lt;$B248+$E248),$I248/($E248-$D248),0)))</f>
        <v>0</v>
      </c>
      <c r="R248" s="9">
        <f>IF(OR($C248="Annual",$D248=$E248),IF(AND($D248=$E248,R$111=$B248+$D248),$I248,IF(AND(R$111&gt;$B248+$D248,R$111&lt;=$B248+$E248), $I248/($E248-$D248),0)), IF(OR(R$111=$B248+$D248,R$111=$B248+$E248),$I248/(($E248-$D248)*2),IF(AND(R$111&gt;$B248+$D248,R$111&lt;$B248+$E248),$I248/($E248-$D248),0)))</f>
        <v>0</v>
      </c>
      <c r="S248" s="9">
        <f>IF(OR($C248="Annual",$D248=$E248),IF(AND($D248=$E248,S$111=$B248+$D248),$I248,IF(AND(S$111&gt;$B248+$D248,S$111&lt;=$B248+$E248), $I248/($E248-$D248),0)), IF(OR(S$111=$B248+$D248,S$111=$B248+$E248),$I248/(($E248-$D248)*2),IF(AND(S$111&gt;$B248+$D248,S$111&lt;$B248+$E248),$I248/($E248-$D248),0)))</f>
        <v>0</v>
      </c>
      <c r="T248" s="9">
        <f>IF(OR($C248="Annual",$D248=$E248),IF(AND($D248=$E248,T$111=$B248+$D248),$I248,IF(AND(T$111&gt;$B248+$D248,T$111&lt;=$B248+$E248), $I248/($E248-$D248),0)), IF(OR(T$111=$B248+$D248,T$111=$B248+$E248),$I248/(($E248-$D248)*2),IF(AND(T$111&gt;$B248+$D248,T$111&lt;$B248+$E248),$I248/($E248-$D248),0)))</f>
        <v>0</v>
      </c>
      <c r="U248" s="9"/>
      <c r="V248" s="9"/>
      <c r="W248" s="9">
        <f t="shared" si="69"/>
        <v>0</v>
      </c>
      <c r="X248" s="9">
        <f t="shared" ca="1" si="69"/>
        <v>0</v>
      </c>
      <c r="Y248" s="9">
        <f t="shared" ca="1" si="69"/>
        <v>0</v>
      </c>
      <c r="Z248" s="9">
        <f t="shared" ca="1" si="69"/>
        <v>0</v>
      </c>
      <c r="AA248" s="9">
        <f t="shared" ca="1" si="69"/>
        <v>0</v>
      </c>
    </row>
    <row r="249" spans="1:27">
      <c r="A249" s="8" t="str">
        <f>A248</f>
        <v>Type 13</v>
      </c>
      <c r="B249" s="7">
        <f>B248+1</f>
        <v>2020</v>
      </c>
      <c r="C249" s="7" t="str">
        <f>C248</f>
        <v>Annual</v>
      </c>
      <c r="D249" s="7">
        <f t="shared" si="70"/>
        <v>0</v>
      </c>
      <c r="E249" s="7">
        <f t="shared" si="70"/>
        <v>0</v>
      </c>
      <c r="F249" s="14">
        <f>$N$98</f>
        <v>3.5744886743189486E-2</v>
      </c>
      <c r="H249" s="9"/>
      <c r="I249" s="9"/>
      <c r="J249" s="9">
        <f ca="1">$D$98</f>
        <v>0</v>
      </c>
      <c r="K249" s="9">
        <f ca="1">J249-R249</f>
        <v>0</v>
      </c>
      <c r="L249" s="9">
        <f ca="1">K249-S249</f>
        <v>0</v>
      </c>
      <c r="M249" s="9">
        <f ca="1">L249-T249</f>
        <v>0</v>
      </c>
      <c r="N249" s="9"/>
      <c r="O249" s="9"/>
      <c r="P249" s="9"/>
      <c r="Q249" s="9">
        <f ca="1">IF(OR($C249="Annual",$D249=$E249),IF(AND($D249=$E249,Q$111=$B249+$D249),$J249,IF(AND(Q$111&gt;$B249+$D249,Q$111&lt;=$B249+$E249), $J249/($E249-$D249),0)), IF(OR(Q$111=$B249+$D249,Q$111=$B249+$E249),$J249/(($E249-$D249)*2),IF(AND(Q$111&gt;$B249+$D249,Q$111&lt;$B249+$E249),$J249/($E249-$D249),0)))</f>
        <v>0</v>
      </c>
      <c r="R249" s="9">
        <f>IF(OR($C249="Annual",$D249=$E249),IF(AND($D249=$E249,R$111=$B249+$D249),$J249,IF(AND(R$111&gt;$B249+$D249,R$111&lt;=$B249+$E249), $J249/($E249-$D249),0)), IF(OR(R$111=$B249+$D249,R$111=$B249+$E249),$J249/(($E249-$D249)*2),IF(AND(R$111&gt;$B249+$D249,R$111&lt;$B249+$E249),$J249/($E249-$D249),0)))</f>
        <v>0</v>
      </c>
      <c r="S249" s="9">
        <f>IF(OR($C249="Annual",$D249=$E249),IF(AND($D249=$E249,S$111=$B249+$D249),$J249,IF(AND(S$111&gt;$B249+$D249,S$111&lt;=$B249+$E249), $J249/($E249-$D249),0)), IF(OR(S$111=$B249+$D249,S$111=$B249+$E249),$J249/(($E249-$D249)*2),IF(AND(S$111&gt;$B249+$D249,S$111&lt;$B249+$E249),$J249/($E249-$D249),0)))</f>
        <v>0</v>
      </c>
      <c r="T249" s="9">
        <f>IF(OR($C249="Annual",$D249=$E249),IF(AND($D249=$E249,T$111=$B249+$D249),$J249,IF(AND(T$111&gt;$B249+$D249,T$111&lt;=$B249+$E249), $J249/($E249-$D249),0)), IF(OR(T$111=$B249+$D249,T$111=$B249+$E249),$J249/(($E249-$D249)*2),IF(AND(T$111&gt;$B249+$D249,T$111&lt;$B249+$E249),$J249/($E249-$D249),0)))</f>
        <v>0</v>
      </c>
      <c r="U249" s="9"/>
      <c r="V249" s="9"/>
      <c r="W249" s="9"/>
      <c r="X249" s="9">
        <f t="shared" si="69"/>
        <v>0</v>
      </c>
      <c r="Y249" s="9">
        <f t="shared" ca="1" si="69"/>
        <v>0</v>
      </c>
      <c r="Z249" s="9">
        <f t="shared" ca="1" si="69"/>
        <v>0</v>
      </c>
      <c r="AA249" s="9">
        <f t="shared" ca="1" si="69"/>
        <v>0</v>
      </c>
    </row>
    <row r="250" spans="1:27">
      <c r="A250" s="8" t="str">
        <f>A249</f>
        <v>Type 13</v>
      </c>
      <c r="B250" s="7">
        <f>B249+1</f>
        <v>2021</v>
      </c>
      <c r="C250" s="7" t="str">
        <f>C249</f>
        <v>Annual</v>
      </c>
      <c r="D250" s="7">
        <f t="shared" si="70"/>
        <v>0</v>
      </c>
      <c r="E250" s="7">
        <f t="shared" si="70"/>
        <v>0</v>
      </c>
      <c r="F250" s="14">
        <f>$O$98</f>
        <v>3.5744886743189486E-2</v>
      </c>
      <c r="H250" s="9"/>
      <c r="I250" s="9"/>
      <c r="J250" s="9"/>
      <c r="K250" s="9">
        <f ca="1">$E$98</f>
        <v>0</v>
      </c>
      <c r="L250" s="9">
        <f ca="1">K250-S250</f>
        <v>0</v>
      </c>
      <c r="M250" s="9">
        <f ca="1">L250-T250</f>
        <v>0</v>
      </c>
      <c r="N250" s="9"/>
      <c r="O250" s="9"/>
      <c r="P250" s="9"/>
      <c r="Q250" s="9"/>
      <c r="R250" s="9">
        <f ca="1">IF(OR($C250="Annual",$D250=$E250),IF(AND($D250=$E250,R$111=$B250+$D250),$K250,IF(AND(R$111&gt;$B250+$D250,R$111&lt;=$B250+$E250), $K250/($E250-$D250),0)), IF(OR(R$111=$B250+$D250,R$111=$B250+$E250),$K250/(($E250-$D250)*2),IF(AND(R$111&gt;$B250+$D250,R$111&lt;$B250+$E250),$K250/($E250-$D250),0)))</f>
        <v>0</v>
      </c>
      <c r="S250" s="9">
        <f>IF(OR($C250="Annual",$D250=$E250),IF(AND($D250=$E250,S$111=$B250+$D250),$K250,IF(AND(S$111&gt;$B250+$D250,S$111&lt;=$B250+$E250), $K250/($E250-$D250),0)), IF(OR(S$111=$B250+$D250,S$111=$B250+$E250),$K250/(($E250-$D250)*2),IF(AND(S$111&gt;$B250+$D250,S$111&lt;$B250+$E250),$K250/($E250-$D250),0)))</f>
        <v>0</v>
      </c>
      <c r="T250" s="9">
        <f>IF(OR($C250="Annual",$D250=$E250),IF(AND($D250=$E250,T$111=$B250+$D250),$K250,IF(AND(T$111&gt;$B250+$D250,T$111&lt;=$B250+$E250), $K250/($E250-$D250),0)), IF(OR(T$111=$B250+$D250,T$111=$B250+$E250),$K250/(($E250-$D250)*2),IF(AND(T$111&gt;$B250+$D250,T$111&lt;$B250+$E250),$K250/($E250-$D250),0)))</f>
        <v>0</v>
      </c>
      <c r="U250" s="9"/>
      <c r="V250" s="9"/>
      <c r="W250" s="9"/>
      <c r="X250" s="9"/>
      <c r="Y250" s="9">
        <f t="shared" si="69"/>
        <v>0</v>
      </c>
      <c r="Z250" s="9">
        <f t="shared" ca="1" si="69"/>
        <v>0</v>
      </c>
      <c r="AA250" s="9">
        <f t="shared" ca="1" si="69"/>
        <v>0</v>
      </c>
    </row>
    <row r="251" spans="1:27">
      <c r="A251" s="8" t="str">
        <f>A250</f>
        <v>Type 13</v>
      </c>
      <c r="B251" s="7">
        <f>B250+1</f>
        <v>2022</v>
      </c>
      <c r="C251" s="7" t="str">
        <f>C250</f>
        <v>Annual</v>
      </c>
      <c r="D251" s="7">
        <f t="shared" si="70"/>
        <v>0</v>
      </c>
      <c r="E251" s="7">
        <f t="shared" si="70"/>
        <v>0</v>
      </c>
      <c r="F251" s="14">
        <f>$P$98</f>
        <v>3.5744886743189486E-2</v>
      </c>
      <c r="H251" s="9"/>
      <c r="I251" s="9"/>
      <c r="J251" s="9"/>
      <c r="K251" s="9"/>
      <c r="L251" s="9">
        <f ca="1">$F$98</f>
        <v>0</v>
      </c>
      <c r="M251" s="9">
        <f ca="1">L251-T251</f>
        <v>0</v>
      </c>
      <c r="N251" s="9"/>
      <c r="O251" s="9"/>
      <c r="P251" s="9"/>
      <c r="Q251" s="9"/>
      <c r="R251" s="9"/>
      <c r="S251" s="9">
        <f ca="1">IF(OR($C251="Annual",$D251=$E251),IF(AND($D251=$E251,S$111=$B251+$D251),$L251,IF(AND(S$111&gt;$B251+$D251,S$111&lt;=$B251+$E251), $L251/($E251-$D251),0)), IF(OR(S$111=$B251+$D251,S$111=$B251+$E251),$L251/(($E251-$D251)*2),IF(AND(S$111&gt;$B251+$D251,S$111&lt;$B251+$E251),$L251/($E251-$D251),0)))</f>
        <v>0</v>
      </c>
      <c r="T251" s="9">
        <f>IF(OR($C251="Annual",$D251=$E251),IF(AND($D251=$E251,T$111=$B251+$D251),$L251,IF(AND(T$111&gt;$B251+$D251,T$111&lt;=$B251+$E251), $L251/($E251-$D251),0)), IF(OR(T$111=$B251+$D251,T$111=$B251+$E251),$L251/(($E251-$D251)*2),IF(AND(T$111&gt;$B251+$D251,T$111&lt;$B251+$E251),$L251/($E251-$D251),0)))</f>
        <v>0</v>
      </c>
      <c r="U251" s="9"/>
      <c r="V251" s="9"/>
      <c r="W251" s="9"/>
      <c r="X251" s="9"/>
      <c r="Y251" s="9"/>
      <c r="Z251" s="9">
        <f t="shared" si="69"/>
        <v>0</v>
      </c>
      <c r="AA251" s="9">
        <f t="shared" ca="1" si="69"/>
        <v>0</v>
      </c>
    </row>
    <row r="252" spans="1:27">
      <c r="A252" s="8" t="str">
        <f>A251</f>
        <v>Type 13</v>
      </c>
      <c r="B252" s="7">
        <f>B251+1</f>
        <v>2023</v>
      </c>
      <c r="C252" s="7" t="str">
        <f>C251</f>
        <v>Annual</v>
      </c>
      <c r="D252" s="7">
        <f t="shared" si="70"/>
        <v>0</v>
      </c>
      <c r="E252" s="7">
        <f t="shared" si="70"/>
        <v>0</v>
      </c>
      <c r="F252" s="14">
        <f>$Q$98</f>
        <v>3.5744886743189486E-2</v>
      </c>
      <c r="H252" s="9"/>
      <c r="I252" s="9"/>
      <c r="J252" s="9"/>
      <c r="K252" s="9"/>
      <c r="L252" s="9"/>
      <c r="M252" s="9">
        <f ca="1">$G$98</f>
        <v>0</v>
      </c>
      <c r="N252" s="9"/>
      <c r="O252" s="9"/>
      <c r="P252" s="9"/>
      <c r="Q252" s="9"/>
      <c r="R252" s="9"/>
      <c r="S252" s="9"/>
      <c r="T252" s="9">
        <f ca="1">IF(OR($C252="Annual",$D252=$E252),IF(AND($D252=$E252,T$111=$B252+$D252),$M252,IF(AND(T$111&gt;$B252+$D252,T$111&lt;=$B252+$E252), $M252/($E252-$D252),0)), IF(OR(T$111=$B252+$D252,T$111=$B252+$E252),$M252/(($E252-$D252)*2),IF(AND(T$111&gt;$B252+$D252,T$111&lt;$B252+$E252),$M252/($E252-$D252),0)))</f>
        <v>0</v>
      </c>
      <c r="U252" s="9"/>
      <c r="V252" s="9"/>
      <c r="W252" s="9"/>
      <c r="X252" s="9"/>
      <c r="Y252" s="9"/>
      <c r="Z252" s="9"/>
      <c r="AA252" s="9">
        <f t="shared" si="69"/>
        <v>0</v>
      </c>
    </row>
    <row r="253" spans="1:27">
      <c r="C253" s="281"/>
      <c r="F253" s="15"/>
      <c r="H253" s="10"/>
      <c r="I253" s="10"/>
      <c r="J253" s="10"/>
      <c r="K253" s="10"/>
      <c r="L253" s="10"/>
      <c r="M253" s="10"/>
      <c r="N253" s="10"/>
      <c r="O253" s="278"/>
      <c r="P253" s="10"/>
      <c r="Q253" s="10"/>
      <c r="R253" s="10"/>
      <c r="S253" s="10"/>
      <c r="T253" s="10"/>
      <c r="U253" s="10"/>
      <c r="V253" s="10"/>
      <c r="W253" s="10"/>
      <c r="X253" s="10"/>
      <c r="Y253" s="10"/>
      <c r="Z253" s="10"/>
      <c r="AA253" s="10"/>
    </row>
    <row r="254" spans="1:27">
      <c r="A254" s="8" t="str">
        <f>'Input 4 - Forecast'!A80</f>
        <v>Type 14</v>
      </c>
      <c r="B254" s="7">
        <f>B119</f>
        <v>2018</v>
      </c>
      <c r="C254" s="7" t="str">
        <f>$I99</f>
        <v>Annual</v>
      </c>
      <c r="D254" s="7">
        <f>$J99</f>
        <v>0</v>
      </c>
      <c r="E254" s="7">
        <f>$K99</f>
        <v>0</v>
      </c>
      <c r="F254" s="14">
        <f>$L$99</f>
        <v>0</v>
      </c>
      <c r="H254" s="9">
        <f>$B$99</f>
        <v>0</v>
      </c>
      <c r="I254" s="9">
        <f>H254-P254</f>
        <v>0</v>
      </c>
      <c r="J254" s="9">
        <f>I254-Q254</f>
        <v>0</v>
      </c>
      <c r="K254" s="9">
        <f>J254-R254</f>
        <v>0</v>
      </c>
      <c r="L254" s="9">
        <f>K254-S254</f>
        <v>0</v>
      </c>
      <c r="M254" s="9">
        <f>L254-T254</f>
        <v>0</v>
      </c>
      <c r="N254" s="9"/>
      <c r="O254" s="9">
        <f t="shared" ref="O254:T254" si="71">IF(OR($C254="Annual",$D254=$E254),IF(AND($D254=$E254,O$111=$B254+$D254),$H254,IF(AND(O$111&gt;$B254+$D254,O$111&lt;=$B254+$E254), $H254/($E254-$D254),0)), IF(OR(O$111=$B254+$D254,O$111=$B254+$E254),$H254/(($E254-$D254)*2),IF(AND(O$111&gt;$B254+$D254,O$111&lt;$B254+$E254),$H254/($E254-$D254),0)))</f>
        <v>0</v>
      </c>
      <c r="P254" s="9">
        <f t="shared" si="71"/>
        <v>0</v>
      </c>
      <c r="Q254" s="9">
        <f t="shared" si="71"/>
        <v>0</v>
      </c>
      <c r="R254" s="9">
        <f t="shared" si="71"/>
        <v>0</v>
      </c>
      <c r="S254" s="9">
        <f t="shared" si="71"/>
        <v>0</v>
      </c>
      <c r="T254" s="9">
        <f t="shared" si="71"/>
        <v>0</v>
      </c>
      <c r="U254" s="9"/>
      <c r="V254" s="9">
        <f>IF($C254="annual",IF(V$111=$B254,0,G254*$F254),IF(V$111-$B254=0,0,IF((V$111-$B254)&lt;$E254,AVERAGE(G254,H254)*$F254,IF((V$111-$B254)=$E254,G254*$F254/2,0))))</f>
        <v>0</v>
      </c>
      <c r="W254" s="9">
        <f t="shared" ref="W254:AA259" si="72">IF($C254="annual",IF(W$111=$B254,0,H254*$F254),IF(W$111-$B254=0,0,IF((W$111-$B254)&lt;$E254,AVERAGE(H254,I254)*$F254,IF((W$111-$B254)=$E254,H254*$F254/2,0))))</f>
        <v>0</v>
      </c>
      <c r="X254" s="9">
        <f t="shared" si="72"/>
        <v>0</v>
      </c>
      <c r="Y254" s="9">
        <f t="shared" si="72"/>
        <v>0</v>
      </c>
      <c r="Z254" s="9">
        <f t="shared" si="72"/>
        <v>0</v>
      </c>
      <c r="AA254" s="9">
        <f t="shared" si="72"/>
        <v>0</v>
      </c>
    </row>
    <row r="255" spans="1:27">
      <c r="A255" s="8" t="str">
        <f>A254</f>
        <v>Type 14</v>
      </c>
      <c r="B255" s="7">
        <f>B254+1</f>
        <v>2019</v>
      </c>
      <c r="C255" s="7" t="str">
        <f>C254</f>
        <v>Annual</v>
      </c>
      <c r="D255" s="7">
        <f t="shared" ref="D255:E259" si="73">D254</f>
        <v>0</v>
      </c>
      <c r="E255" s="7">
        <f t="shared" si="73"/>
        <v>0</v>
      </c>
      <c r="F255" s="14">
        <f>$M$99</f>
        <v>3.5744886743189486E-2</v>
      </c>
      <c r="H255" s="9"/>
      <c r="I255" s="9">
        <f ca="1">$C$99</f>
        <v>0</v>
      </c>
      <c r="J255" s="9">
        <f ca="1">I255-Q255</f>
        <v>0</v>
      </c>
      <c r="K255" s="9">
        <f ca="1">J255-R255</f>
        <v>0</v>
      </c>
      <c r="L255" s="9">
        <f ca="1">K255-S255</f>
        <v>0</v>
      </c>
      <c r="M255" s="9">
        <f ca="1">L255-T255</f>
        <v>0</v>
      </c>
      <c r="N255" s="9"/>
      <c r="O255" s="9"/>
      <c r="P255" s="9">
        <f ca="1">IF(OR($C255="Annual",$D255=$E255),IF(AND($D255=$E255,P$111=$B255+$D255),$I255,IF(AND(P$111&gt;$B255+$D255,P$111&lt;=$B255+$E255), $I255/($E255-$D255),0)), IF(OR(P$111=$B255+$D255,P$111=$B255+$E255),$I255/(($E255-$D255)*2),IF(AND(P$111&gt;$B255+$D255,P$111&lt;$B255+$E255),$I255/($E255-$D255),0)))</f>
        <v>0</v>
      </c>
      <c r="Q255" s="9">
        <f>IF(OR($C255="Annual",$D255=$E255),IF(AND($D255=$E255,Q$111=$B255+$D255),$I255,IF(AND(Q$111&gt;$B255+$D255,Q$111&lt;=$B255+$E255), $I255/($E255-$D255),0)), IF(OR(Q$111=$B255+$D255,Q$111=$B255+$E255),$I255/(($E255-$D255)*2),IF(AND(Q$111&gt;$B255+$D255,Q$111&lt;$B255+$E255),$I255/($E255-$D255),0)))</f>
        <v>0</v>
      </c>
      <c r="R255" s="9">
        <f>IF(OR($C255="Annual",$D255=$E255),IF(AND($D255=$E255,R$111=$B255+$D255),$I255,IF(AND(R$111&gt;$B255+$D255,R$111&lt;=$B255+$E255), $I255/($E255-$D255),0)), IF(OR(R$111=$B255+$D255,R$111=$B255+$E255),$I255/(($E255-$D255)*2),IF(AND(R$111&gt;$B255+$D255,R$111&lt;$B255+$E255),$I255/($E255-$D255),0)))</f>
        <v>0</v>
      </c>
      <c r="S255" s="9">
        <f>IF(OR($C255="Annual",$D255=$E255),IF(AND($D255=$E255,S$111=$B255+$D255),$I255,IF(AND(S$111&gt;$B255+$D255,S$111&lt;=$B255+$E255), $I255/($E255-$D255),0)), IF(OR(S$111=$B255+$D255,S$111=$B255+$E255),$I255/(($E255-$D255)*2),IF(AND(S$111&gt;$B255+$D255,S$111&lt;$B255+$E255),$I255/($E255-$D255),0)))</f>
        <v>0</v>
      </c>
      <c r="T255" s="9">
        <f>IF(OR($C255="Annual",$D255=$E255),IF(AND($D255=$E255,T$111=$B255+$D255),$I255,IF(AND(T$111&gt;$B255+$D255,T$111&lt;=$B255+$E255), $I255/($E255-$D255),0)), IF(OR(T$111=$B255+$D255,T$111=$B255+$E255),$I255/(($E255-$D255)*2),IF(AND(T$111&gt;$B255+$D255,T$111&lt;$B255+$E255),$I255/($E255-$D255),0)))</f>
        <v>0</v>
      </c>
      <c r="U255" s="9"/>
      <c r="V255" s="9"/>
      <c r="W255" s="9">
        <f t="shared" si="72"/>
        <v>0</v>
      </c>
      <c r="X255" s="9">
        <f t="shared" ca="1" si="72"/>
        <v>0</v>
      </c>
      <c r="Y255" s="9">
        <f t="shared" ca="1" si="72"/>
        <v>0</v>
      </c>
      <c r="Z255" s="9">
        <f t="shared" ca="1" si="72"/>
        <v>0</v>
      </c>
      <c r="AA255" s="9">
        <f t="shared" ca="1" si="72"/>
        <v>0</v>
      </c>
    </row>
    <row r="256" spans="1:27">
      <c r="A256" s="8" t="str">
        <f>A255</f>
        <v>Type 14</v>
      </c>
      <c r="B256" s="7">
        <f>B255+1</f>
        <v>2020</v>
      </c>
      <c r="C256" s="7" t="str">
        <f>C255</f>
        <v>Annual</v>
      </c>
      <c r="D256" s="7">
        <f t="shared" si="73"/>
        <v>0</v>
      </c>
      <c r="E256" s="7">
        <f t="shared" si="73"/>
        <v>0</v>
      </c>
      <c r="F256" s="14">
        <f>$N$99</f>
        <v>3.5744886743189486E-2</v>
      </c>
      <c r="H256" s="9"/>
      <c r="I256" s="9"/>
      <c r="J256" s="9">
        <f ca="1">$D$99</f>
        <v>0</v>
      </c>
      <c r="K256" s="9">
        <f ca="1">J256-R256</f>
        <v>0</v>
      </c>
      <c r="L256" s="9">
        <f ca="1">K256-S256</f>
        <v>0</v>
      </c>
      <c r="M256" s="9">
        <f ca="1">L256-T256</f>
        <v>0</v>
      </c>
      <c r="N256" s="9"/>
      <c r="O256" s="9"/>
      <c r="P256" s="9"/>
      <c r="Q256" s="9">
        <f ca="1">IF(OR($C256="Annual",$D256=$E256),IF(AND($D256=$E256,Q$111=$B256+$D256),$J256,IF(AND(Q$111&gt;$B256+$D256,Q$111&lt;=$B256+$E256), $J256/($E256-$D256),0)), IF(OR(Q$111=$B256+$D256,Q$111=$B256+$E256),$J256/(($E256-$D256)*2),IF(AND(Q$111&gt;$B256+$D256,Q$111&lt;$B256+$E256),$J256/($E256-$D256),0)))</f>
        <v>0</v>
      </c>
      <c r="R256" s="9">
        <f>IF(OR($C256="Annual",$D256=$E256),IF(AND($D256=$E256,R$111=$B256+$D256),$J256,IF(AND(R$111&gt;$B256+$D256,R$111&lt;=$B256+$E256), $J256/($E256-$D256),0)), IF(OR(R$111=$B256+$D256,R$111=$B256+$E256),$J256/(($E256-$D256)*2),IF(AND(R$111&gt;$B256+$D256,R$111&lt;$B256+$E256),$J256/($E256-$D256),0)))</f>
        <v>0</v>
      </c>
      <c r="S256" s="9">
        <f>IF(OR($C256="Annual",$D256=$E256),IF(AND($D256=$E256,S$111=$B256+$D256),$J256,IF(AND(S$111&gt;$B256+$D256,S$111&lt;=$B256+$E256), $J256/($E256-$D256),0)), IF(OR(S$111=$B256+$D256,S$111=$B256+$E256),$J256/(($E256-$D256)*2),IF(AND(S$111&gt;$B256+$D256,S$111&lt;$B256+$E256),$J256/($E256-$D256),0)))</f>
        <v>0</v>
      </c>
      <c r="T256" s="9">
        <f>IF(OR($C256="Annual",$D256=$E256),IF(AND($D256=$E256,T$111=$B256+$D256),$J256,IF(AND(T$111&gt;$B256+$D256,T$111&lt;=$B256+$E256), $J256/($E256-$D256),0)), IF(OR(T$111=$B256+$D256,T$111=$B256+$E256),$J256/(($E256-$D256)*2),IF(AND(T$111&gt;$B256+$D256,T$111&lt;$B256+$E256),$J256/($E256-$D256),0)))</f>
        <v>0</v>
      </c>
      <c r="U256" s="9"/>
      <c r="V256" s="9"/>
      <c r="W256" s="9"/>
      <c r="X256" s="9">
        <f t="shared" si="72"/>
        <v>0</v>
      </c>
      <c r="Y256" s="9">
        <f t="shared" ca="1" si="72"/>
        <v>0</v>
      </c>
      <c r="Z256" s="9">
        <f t="shared" ca="1" si="72"/>
        <v>0</v>
      </c>
      <c r="AA256" s="9">
        <f t="shared" ca="1" si="72"/>
        <v>0</v>
      </c>
    </row>
    <row r="257" spans="1:27">
      <c r="A257" s="8" t="str">
        <f>A256</f>
        <v>Type 14</v>
      </c>
      <c r="B257" s="7">
        <f>B256+1</f>
        <v>2021</v>
      </c>
      <c r="C257" s="7" t="str">
        <f>C256</f>
        <v>Annual</v>
      </c>
      <c r="D257" s="7">
        <f t="shared" si="73"/>
        <v>0</v>
      </c>
      <c r="E257" s="7">
        <f t="shared" si="73"/>
        <v>0</v>
      </c>
      <c r="F257" s="14">
        <f>$O$99</f>
        <v>3.5744886743189486E-2</v>
      </c>
      <c r="H257" s="9"/>
      <c r="I257" s="9"/>
      <c r="J257" s="9"/>
      <c r="K257" s="9">
        <f ca="1">$E$99</f>
        <v>0</v>
      </c>
      <c r="L257" s="9">
        <f ca="1">K257-S257</f>
        <v>0</v>
      </c>
      <c r="M257" s="9">
        <f ca="1">L257-T257</f>
        <v>0</v>
      </c>
      <c r="N257" s="9"/>
      <c r="O257" s="9"/>
      <c r="P257" s="9"/>
      <c r="Q257" s="9"/>
      <c r="R257" s="9">
        <f ca="1">IF(OR($C257="Annual",$D257=$E257),IF(AND($D257=$E257,R$111=$B257+$D257),$K257,IF(AND(R$111&gt;$B257+$D257,R$111&lt;=$B257+$E257), $K257/($E257-$D257),0)), IF(OR(R$111=$B257+$D257,R$111=$B257+$E257),$K257/(($E257-$D257)*2),IF(AND(R$111&gt;$B257+$D257,R$111&lt;$B257+$E257),$K257/($E257-$D257),0)))</f>
        <v>0</v>
      </c>
      <c r="S257" s="9">
        <f>IF(OR($C257="Annual",$D257=$E257),IF(AND($D257=$E257,S$111=$B257+$D257),$K257,IF(AND(S$111&gt;$B257+$D257,S$111&lt;=$B257+$E257), $K257/($E257-$D257),0)), IF(OR(S$111=$B257+$D257,S$111=$B257+$E257),$K257/(($E257-$D257)*2),IF(AND(S$111&gt;$B257+$D257,S$111&lt;$B257+$E257),$K257/($E257-$D257),0)))</f>
        <v>0</v>
      </c>
      <c r="T257" s="9">
        <f>IF(OR($C257="Annual",$D257=$E257),IF(AND($D257=$E257,T$111=$B257+$D257),$K257,IF(AND(T$111&gt;$B257+$D257,T$111&lt;=$B257+$E257), $K257/($E257-$D257),0)), IF(OR(T$111=$B257+$D257,T$111=$B257+$E257),$K257/(($E257-$D257)*2),IF(AND(T$111&gt;$B257+$D257,T$111&lt;$B257+$E257),$K257/($E257-$D257),0)))</f>
        <v>0</v>
      </c>
      <c r="U257" s="9"/>
      <c r="V257" s="9"/>
      <c r="W257" s="9"/>
      <c r="X257" s="9"/>
      <c r="Y257" s="9">
        <f t="shared" si="72"/>
        <v>0</v>
      </c>
      <c r="Z257" s="9">
        <f t="shared" ca="1" si="72"/>
        <v>0</v>
      </c>
      <c r="AA257" s="9">
        <f t="shared" ca="1" si="72"/>
        <v>0</v>
      </c>
    </row>
    <row r="258" spans="1:27">
      <c r="A258" s="8" t="str">
        <f>A257</f>
        <v>Type 14</v>
      </c>
      <c r="B258" s="7">
        <f>B257+1</f>
        <v>2022</v>
      </c>
      <c r="C258" s="7" t="str">
        <f>C257</f>
        <v>Annual</v>
      </c>
      <c r="D258" s="7">
        <f t="shared" si="73"/>
        <v>0</v>
      </c>
      <c r="E258" s="7">
        <f t="shared" si="73"/>
        <v>0</v>
      </c>
      <c r="F258" s="14">
        <f>$P$99</f>
        <v>3.5744886743189486E-2</v>
      </c>
      <c r="H258" s="9"/>
      <c r="I258" s="9"/>
      <c r="J258" s="9"/>
      <c r="K258" s="9"/>
      <c r="L258" s="9">
        <f ca="1">$F$99</f>
        <v>0</v>
      </c>
      <c r="M258" s="9">
        <f ca="1">L258-T258</f>
        <v>0</v>
      </c>
      <c r="N258" s="9"/>
      <c r="O258" s="9"/>
      <c r="P258" s="9"/>
      <c r="Q258" s="9"/>
      <c r="R258" s="9"/>
      <c r="S258" s="9">
        <f ca="1">IF(OR($C258="Annual",$D258=$E258),IF(AND($D258=$E258,S$111=$B258+$D258),$L258,IF(AND(S$111&gt;$B258+$D258,S$111&lt;=$B258+$E258), $L258/($E258-$D258),0)), IF(OR(S$111=$B258+$D258,S$111=$B258+$E258),$L258/(($E258-$D258)*2),IF(AND(S$111&gt;$B258+$D258,S$111&lt;$B258+$E258),$L258/($E258-$D258),0)))</f>
        <v>0</v>
      </c>
      <c r="T258" s="9">
        <f>IF(OR($C258="Annual",$D258=$E258),IF(AND($D258=$E258,T$111=$B258+$D258),$L258,IF(AND(T$111&gt;$B258+$D258,T$111&lt;=$B258+$E258), $L258/($E258-$D258),0)), IF(OR(T$111=$B258+$D258,T$111=$B258+$E258),$L258/(($E258-$D258)*2),IF(AND(T$111&gt;$B258+$D258,T$111&lt;$B258+$E258),$L258/($E258-$D258),0)))</f>
        <v>0</v>
      </c>
      <c r="U258" s="9"/>
      <c r="V258" s="9"/>
      <c r="W258" s="9"/>
      <c r="X258" s="9"/>
      <c r="Y258" s="9"/>
      <c r="Z258" s="9">
        <f t="shared" si="72"/>
        <v>0</v>
      </c>
      <c r="AA258" s="9">
        <f t="shared" ca="1" si="72"/>
        <v>0</v>
      </c>
    </row>
    <row r="259" spans="1:27">
      <c r="A259" s="8" t="str">
        <f>A258</f>
        <v>Type 14</v>
      </c>
      <c r="B259" s="7">
        <f>B258+1</f>
        <v>2023</v>
      </c>
      <c r="C259" s="7" t="str">
        <f>C258</f>
        <v>Annual</v>
      </c>
      <c r="D259" s="7">
        <f t="shared" si="73"/>
        <v>0</v>
      </c>
      <c r="E259" s="7">
        <f t="shared" si="73"/>
        <v>0</v>
      </c>
      <c r="F259" s="14">
        <f>$Q$99</f>
        <v>3.5744886743189486E-2</v>
      </c>
      <c r="H259" s="9"/>
      <c r="I259" s="9"/>
      <c r="J259" s="9"/>
      <c r="K259" s="9"/>
      <c r="L259" s="9"/>
      <c r="M259" s="9">
        <f ca="1">$G$99</f>
        <v>0</v>
      </c>
      <c r="N259" s="9"/>
      <c r="O259" s="9"/>
      <c r="P259" s="9"/>
      <c r="Q259" s="9"/>
      <c r="R259" s="9"/>
      <c r="S259" s="9"/>
      <c r="T259" s="9">
        <f ca="1">IF(OR($C259="Annual",$D259=$E259),IF(AND($D259=$E259,T$111=$B259+$D259),$M259,IF(AND(T$111&gt;$B259+$D259,T$111&lt;=$B259+$E259), $M259/($E259-$D259),0)), IF(OR(T$111=$B259+$D259,T$111=$B259+$E259),$M259/(($E259-$D259)*2),IF(AND(T$111&gt;$B259+$D259,T$111&lt;$B259+$E259),$M259/($E259-$D259),0)))</f>
        <v>0</v>
      </c>
      <c r="U259" s="9"/>
      <c r="V259" s="9"/>
      <c r="W259" s="9"/>
      <c r="X259" s="9"/>
      <c r="Y259" s="9"/>
      <c r="Z259" s="9"/>
      <c r="AA259" s="9">
        <f t="shared" si="72"/>
        <v>0</v>
      </c>
    </row>
    <row r="260" spans="1:27">
      <c r="C260" s="281"/>
      <c r="F260" s="15"/>
      <c r="H260" s="10"/>
      <c r="I260" s="10"/>
      <c r="J260" s="10"/>
      <c r="K260" s="10"/>
      <c r="L260" s="10"/>
      <c r="M260" s="10"/>
      <c r="N260" s="10"/>
      <c r="O260" s="278"/>
      <c r="P260" s="10"/>
      <c r="Q260" s="10"/>
      <c r="R260" s="10"/>
      <c r="S260" s="10"/>
      <c r="T260" s="10"/>
      <c r="U260" s="10"/>
      <c r="V260" s="10"/>
      <c r="W260" s="10"/>
      <c r="X260" s="10"/>
      <c r="Y260" s="10"/>
      <c r="Z260" s="10"/>
      <c r="AA260" s="10"/>
    </row>
    <row r="261" spans="1:27" s="1150" customFormat="1">
      <c r="A261" s="1347" t="str">
        <f>'Input 4 - Forecast'!A81</f>
        <v>ZERO-COUPON BOND</v>
      </c>
      <c r="B261" s="1348">
        <f>B119</f>
        <v>2018</v>
      </c>
      <c r="C261" s="1348"/>
      <c r="D261" s="1348">
        <f>$J100</f>
        <v>0</v>
      </c>
      <c r="E261" s="1348">
        <f>$K100</f>
        <v>0</v>
      </c>
      <c r="F261" s="1349">
        <f>$L$100</f>
        <v>0</v>
      </c>
      <c r="H261" s="1350">
        <f>$B$100</f>
        <v>0</v>
      </c>
      <c r="I261" s="1350">
        <f>H261-P261</f>
        <v>0</v>
      </c>
      <c r="J261" s="1350">
        <f>I261-Q261</f>
        <v>0</v>
      </c>
      <c r="K261" s="1350">
        <f>J261-R261</f>
        <v>0</v>
      </c>
      <c r="L261" s="1350">
        <f>K261-S261</f>
        <v>0</v>
      </c>
      <c r="M261" s="1350">
        <f>L261-T261</f>
        <v>0</v>
      </c>
      <c r="N261" s="1350"/>
      <c r="O261" s="1350">
        <f t="shared" ref="O261:T261" si="74">IF($D261=$E261,IF(O$111=$B261+$E261,$H261,0),0)</f>
        <v>0</v>
      </c>
      <c r="P261" s="1350">
        <f t="shared" si="74"/>
        <v>0</v>
      </c>
      <c r="Q261" s="1350">
        <f t="shared" si="74"/>
        <v>0</v>
      </c>
      <c r="R261" s="1350">
        <f t="shared" si="74"/>
        <v>0</v>
      </c>
      <c r="S261" s="1350">
        <f t="shared" si="74"/>
        <v>0</v>
      </c>
      <c r="T261" s="1350">
        <f t="shared" si="74"/>
        <v>0</v>
      </c>
      <c r="U261" s="1350"/>
      <c r="V261" s="1350">
        <f t="shared" ref="V261:AA261" si="75">IF(V$111-$B261=$D261,$H261*(((1+$F261)^$D261)-1),0)</f>
        <v>0</v>
      </c>
      <c r="W261" s="1350">
        <f t="shared" si="75"/>
        <v>0</v>
      </c>
      <c r="X261" s="1350">
        <f t="shared" si="75"/>
        <v>0</v>
      </c>
      <c r="Y261" s="1350">
        <f t="shared" si="75"/>
        <v>0</v>
      </c>
      <c r="Z261" s="1350">
        <f t="shared" si="75"/>
        <v>0</v>
      </c>
      <c r="AA261" s="1350">
        <f t="shared" si="75"/>
        <v>0</v>
      </c>
    </row>
    <row r="262" spans="1:27" s="1150" customFormat="1">
      <c r="A262" s="1347" t="str">
        <f>A261</f>
        <v>ZERO-COUPON BOND</v>
      </c>
      <c r="B262" s="1348">
        <f>B261+1</f>
        <v>2019</v>
      </c>
      <c r="C262" s="1348"/>
      <c r="D262" s="1348">
        <f t="shared" ref="D262:E266" si="76">D261</f>
        <v>0</v>
      </c>
      <c r="E262" s="1348">
        <f t="shared" si="76"/>
        <v>0</v>
      </c>
      <c r="F262" s="1349">
        <f>$M$100</f>
        <v>3.5744886743189486E-2</v>
      </c>
      <c r="H262" s="1350"/>
      <c r="I262" s="1350">
        <f ca="1">$C$100</f>
        <v>0</v>
      </c>
      <c r="J262" s="1350">
        <f ca="1">I262-Q262</f>
        <v>0</v>
      </c>
      <c r="K262" s="1350">
        <f ca="1">J262-R262</f>
        <v>0</v>
      </c>
      <c r="L262" s="1350">
        <f ca="1">K262-S262</f>
        <v>0</v>
      </c>
      <c r="M262" s="1350">
        <f ca="1">L262-T262</f>
        <v>0</v>
      </c>
      <c r="N262" s="1350"/>
      <c r="O262" s="1351"/>
      <c r="P262" s="1350">
        <f ca="1">IF($D262=$E262,IF(P$111=$B262+$E262,$I262,0),0)</f>
        <v>0</v>
      </c>
      <c r="Q262" s="1350">
        <f>IF($D262=$E262,IF(Q$111=$B262+$E262,$I262,0),0)</f>
        <v>0</v>
      </c>
      <c r="R262" s="1350">
        <f>IF($D262=$E262,IF(R$111=$B262+$E262,$I262,0),0)</f>
        <v>0</v>
      </c>
      <c r="S262" s="1350">
        <f>IF($D262=$E262,IF(S$111=$B262+$E262,$I262,0),0)</f>
        <v>0</v>
      </c>
      <c r="T262" s="1350">
        <f>IF($D262=$E262,IF(T$111=$B262+$E262,$I262,0),0)</f>
        <v>0</v>
      </c>
      <c r="U262" s="1350"/>
      <c r="V262" s="1350"/>
      <c r="W262" s="1350">
        <f ca="1">IF(W$111-$B262=$D262,$I262*(((1+$F262)^$D262)-1),0)</f>
        <v>0</v>
      </c>
      <c r="X262" s="1350">
        <f>IF(X$111-$B262=$D262,$I262*(((1+$F262)^$D262)-1),0)</f>
        <v>0</v>
      </c>
      <c r="Y262" s="1350">
        <f>IF(Y$111-$B262=$D262,$I262*(((1+$F262)^$D262)-1),0)</f>
        <v>0</v>
      </c>
      <c r="Z262" s="1350">
        <f>IF(Z$111-$B262=$D262,$I262*(((1+$F262)^$D262)-1),0)</f>
        <v>0</v>
      </c>
      <c r="AA262" s="1350">
        <f>IF(AA$111-$B262=$D262,$I262*(((1+$F262)^$D262)-1),0)</f>
        <v>0</v>
      </c>
    </row>
    <row r="263" spans="1:27" s="1150" customFormat="1">
      <c r="A263" s="1347" t="str">
        <f>A262</f>
        <v>ZERO-COUPON BOND</v>
      </c>
      <c r="B263" s="1348">
        <f>B262+1</f>
        <v>2020</v>
      </c>
      <c r="C263" s="1348"/>
      <c r="D263" s="1348">
        <f t="shared" si="76"/>
        <v>0</v>
      </c>
      <c r="E263" s="1348">
        <f t="shared" si="76"/>
        <v>0</v>
      </c>
      <c r="F263" s="1349">
        <f>$N$100</f>
        <v>3.5744886743189486E-2</v>
      </c>
      <c r="H263" s="1350"/>
      <c r="I263" s="1350"/>
      <c r="J263" s="1350">
        <f ca="1">$D$100</f>
        <v>0</v>
      </c>
      <c r="K263" s="1350">
        <f ca="1">J263-R263</f>
        <v>0</v>
      </c>
      <c r="L263" s="1350">
        <f ca="1">K263-S263</f>
        <v>0</v>
      </c>
      <c r="M263" s="1350">
        <f ca="1">L263-T263</f>
        <v>0</v>
      </c>
      <c r="N263" s="1350"/>
      <c r="O263" s="1351"/>
      <c r="P263" s="1350"/>
      <c r="Q263" s="1350">
        <f ca="1">IF($D263=$E263,IF(Q$111=$B263+$E263,$J263,0),0)</f>
        <v>0</v>
      </c>
      <c r="R263" s="1350">
        <f>IF($D263=$E263,IF(R$111=$B263+$E263,$J263,0),0)</f>
        <v>0</v>
      </c>
      <c r="S263" s="1350">
        <f>IF($D263=$E263,IF(S$111=$B263+$E263,$J263,0),0)</f>
        <v>0</v>
      </c>
      <c r="T263" s="1350">
        <f>IF($D263=$E263,IF(T$111=$B263+$E263,$J263,0),0)</f>
        <v>0</v>
      </c>
      <c r="U263" s="1350"/>
      <c r="V263" s="1350"/>
      <c r="W263" s="1350"/>
      <c r="X263" s="1350">
        <f ca="1">IF(X$111-$B263=$D263,$J263*(((1+$F263)^$D263)-1),0)</f>
        <v>0</v>
      </c>
      <c r="Y263" s="1350">
        <f>IF(Y$111-$B263=$D263,$J263*(((1+$F263)^$D263)-1),0)</f>
        <v>0</v>
      </c>
      <c r="Z263" s="1350">
        <f>IF(Z$111-$B263=$D263,$J263*(((1+$F263)^$D263)-1),0)</f>
        <v>0</v>
      </c>
      <c r="AA263" s="1350">
        <f>IF(AA$111-$B263=$D263,$J263*(((1+$F263)^$D263)-1),0)</f>
        <v>0</v>
      </c>
    </row>
    <row r="264" spans="1:27" s="1150" customFormat="1">
      <c r="A264" s="1347" t="str">
        <f>A263</f>
        <v>ZERO-COUPON BOND</v>
      </c>
      <c r="B264" s="1348">
        <f>B263+1</f>
        <v>2021</v>
      </c>
      <c r="C264" s="1348"/>
      <c r="D264" s="1348">
        <f t="shared" si="76"/>
        <v>0</v>
      </c>
      <c r="E264" s="1348">
        <f t="shared" si="76"/>
        <v>0</v>
      </c>
      <c r="F264" s="1349">
        <f>$O$100</f>
        <v>3.5744886743189486E-2</v>
      </c>
      <c r="H264" s="1350"/>
      <c r="I264" s="1350"/>
      <c r="J264" s="1350"/>
      <c r="K264" s="1350">
        <f ca="1">$E$100</f>
        <v>0</v>
      </c>
      <c r="L264" s="1350">
        <f ca="1">K264-S264</f>
        <v>0</v>
      </c>
      <c r="M264" s="1350">
        <f ca="1">L264-T264</f>
        <v>0</v>
      </c>
      <c r="N264" s="1350"/>
      <c r="O264" s="1351"/>
      <c r="P264" s="1350"/>
      <c r="Q264" s="1350"/>
      <c r="R264" s="1350">
        <f ca="1">IF($D264=$E264,IF(R$111=$B264+$E264,$K264,0),0)</f>
        <v>0</v>
      </c>
      <c r="S264" s="1350">
        <f>IF($D264=$E264,IF(S$111=$B264+$E264,$K264,0),0)</f>
        <v>0</v>
      </c>
      <c r="T264" s="1350">
        <f>IF($D264=$E264,IF(T$111=$B264+$E264,$K264,0),0)</f>
        <v>0</v>
      </c>
      <c r="U264" s="1350"/>
      <c r="V264" s="1350"/>
      <c r="W264" s="1350"/>
      <c r="X264" s="1350"/>
      <c r="Y264" s="1350">
        <f ca="1">IF(Y$111-$B264=$D264,$K264*(((1+$F264)^$D264)-1),0)</f>
        <v>0</v>
      </c>
      <c r="Z264" s="1350">
        <f>IF(Z$111-$B264=$D264,$K264*(((1+$F264)^$D264)-1),0)</f>
        <v>0</v>
      </c>
      <c r="AA264" s="1350">
        <f>IF(AA$111-$B264=$D264,$K264*(((1+$F264)^$D264)-1),0)</f>
        <v>0</v>
      </c>
    </row>
    <row r="265" spans="1:27" s="1150" customFormat="1">
      <c r="A265" s="1347" t="str">
        <f>A264</f>
        <v>ZERO-COUPON BOND</v>
      </c>
      <c r="B265" s="1348">
        <f>B264+1</f>
        <v>2022</v>
      </c>
      <c r="C265" s="1348"/>
      <c r="D265" s="1348">
        <f t="shared" si="76"/>
        <v>0</v>
      </c>
      <c r="E265" s="1348">
        <f t="shared" si="76"/>
        <v>0</v>
      </c>
      <c r="F265" s="1349">
        <f>$P$100</f>
        <v>3.5744886743189486E-2</v>
      </c>
      <c r="H265" s="1350"/>
      <c r="I265" s="1350"/>
      <c r="J265" s="1350"/>
      <c r="K265" s="1350"/>
      <c r="L265" s="1350">
        <f ca="1">$F$100</f>
        <v>0</v>
      </c>
      <c r="M265" s="1350">
        <f ca="1">L265-T265</f>
        <v>0</v>
      </c>
      <c r="N265" s="1350"/>
      <c r="O265" s="1351"/>
      <c r="P265" s="1350"/>
      <c r="Q265" s="1350"/>
      <c r="R265" s="1350"/>
      <c r="S265" s="1350">
        <f ca="1">IF($D265=$E265,IF(S$111=$B265+$E265,$L265,0),0)</f>
        <v>0</v>
      </c>
      <c r="T265" s="1350">
        <f>IF($D265=$E265,IF(T$111=$B265+$E265,$L265,0),0)</f>
        <v>0</v>
      </c>
      <c r="U265" s="1350"/>
      <c r="V265" s="1350"/>
      <c r="W265" s="1350"/>
      <c r="X265" s="1350"/>
      <c r="Y265" s="1350"/>
      <c r="Z265" s="1350">
        <f ca="1">IF(Z$111-$B265=$D265,$L265*(((1+$F265)^$D265)-1),0)</f>
        <v>0</v>
      </c>
      <c r="AA265" s="1350">
        <f>IF(AA$111-$B265=$D265,$L265*(((1+$F265)^$D265)-1),0)</f>
        <v>0</v>
      </c>
    </row>
    <row r="266" spans="1:27" s="1150" customFormat="1">
      <c r="A266" s="1347" t="str">
        <f>A265</f>
        <v>ZERO-COUPON BOND</v>
      </c>
      <c r="B266" s="1348">
        <f>B265+1</f>
        <v>2023</v>
      </c>
      <c r="C266" s="1348"/>
      <c r="D266" s="1348">
        <f t="shared" si="76"/>
        <v>0</v>
      </c>
      <c r="E266" s="1348">
        <f t="shared" si="76"/>
        <v>0</v>
      </c>
      <c r="F266" s="1349">
        <f>$Q$100</f>
        <v>3.5744886743189486E-2</v>
      </c>
      <c r="H266" s="1350"/>
      <c r="I266" s="1350"/>
      <c r="J266" s="1350"/>
      <c r="K266" s="1350"/>
      <c r="L266" s="1350"/>
      <c r="M266" s="1350">
        <f ca="1">$G$100</f>
        <v>0</v>
      </c>
      <c r="N266" s="1350"/>
      <c r="O266" s="1351"/>
      <c r="P266" s="1350"/>
      <c r="Q266" s="1350"/>
      <c r="R266" s="1350"/>
      <c r="S266" s="1350"/>
      <c r="T266" s="1350">
        <f ca="1">IF($D266=$E266,IF(T$111=$B266+$E266,$M266,0),0)</f>
        <v>0</v>
      </c>
      <c r="U266" s="1350"/>
      <c r="V266" s="1350"/>
      <c r="W266" s="1350"/>
      <c r="X266" s="1350"/>
      <c r="Y266" s="1350"/>
      <c r="Z266" s="1350"/>
      <c r="AA266" s="1350">
        <f ca="1">IF(AA$111-$B266=$D266,$M266*(((1+$F266)^$D266)-1),0)</f>
        <v>0</v>
      </c>
    </row>
    <row r="267" spans="1:27" ht="15.75" thickBot="1">
      <c r="H267" s="10"/>
      <c r="I267" s="10"/>
      <c r="J267" s="10"/>
      <c r="K267" s="10"/>
      <c r="L267" s="10"/>
      <c r="M267" s="10"/>
      <c r="N267" s="10"/>
      <c r="O267" s="10"/>
      <c r="P267" s="10"/>
      <c r="Q267" s="10"/>
      <c r="R267" s="10"/>
      <c r="S267" s="10"/>
      <c r="T267" s="10"/>
      <c r="U267" s="10"/>
      <c r="V267" s="10"/>
      <c r="W267" s="10"/>
      <c r="X267" s="10"/>
      <c r="Y267" s="10"/>
      <c r="Z267" s="10"/>
      <c r="AA267" s="10"/>
    </row>
    <row r="268" spans="1:27" ht="15.75" thickBot="1">
      <c r="A268" s="12" t="str">
        <f>'Input 4 - Forecast'!A82</f>
        <v>Denominated in foreign currency</v>
      </c>
      <c r="B268" s="1999" t="s">
        <v>52</v>
      </c>
      <c r="C268" s="2000"/>
      <c r="D268" s="2000"/>
      <c r="E268" s="2000"/>
      <c r="F268" s="2000"/>
      <c r="G268" s="2000"/>
      <c r="H268" s="2000"/>
      <c r="I268" s="2000"/>
      <c r="J268" s="2000"/>
      <c r="K268" s="2000"/>
      <c r="L268" s="2000"/>
      <c r="M268" s="2000"/>
      <c r="N268" s="2000"/>
      <c r="O268" s="2000"/>
      <c r="P268" s="2000"/>
      <c r="Q268" s="2000"/>
      <c r="R268" s="2000"/>
      <c r="S268" s="2000"/>
      <c r="T268" s="2000"/>
      <c r="U268" s="2000"/>
      <c r="V268" s="2000"/>
      <c r="W268" s="2000"/>
      <c r="X268" s="2000"/>
      <c r="Y268" s="2000"/>
      <c r="Z268" s="2000"/>
      <c r="AA268" s="2001"/>
    </row>
    <row r="269" spans="1:27">
      <c r="H269" s="10"/>
      <c r="I269" s="10"/>
      <c r="J269" s="10"/>
      <c r="K269" s="10"/>
      <c r="L269" s="10"/>
      <c r="M269" s="10"/>
      <c r="N269" s="10"/>
      <c r="O269" s="10"/>
      <c r="P269" s="10"/>
      <c r="Q269" s="10"/>
      <c r="R269" s="10"/>
      <c r="S269" s="10"/>
      <c r="T269" s="10"/>
      <c r="U269" s="10"/>
      <c r="V269" s="10"/>
      <c r="W269" s="10"/>
      <c r="X269" s="10"/>
      <c r="Y269" s="10"/>
      <c r="Z269" s="10"/>
      <c r="AA269" s="10"/>
    </row>
    <row r="270" spans="1:27">
      <c r="A270" s="8" t="str">
        <f>'Input 4 - Forecast'!A83</f>
        <v>Type 16</v>
      </c>
      <c r="B270" s="7">
        <f>B119</f>
        <v>2018</v>
      </c>
      <c r="C270" s="7" t="str">
        <f>$I102</f>
        <v>Annual</v>
      </c>
      <c r="D270" s="7">
        <f>$J102</f>
        <v>0</v>
      </c>
      <c r="E270" s="7">
        <f>$K102</f>
        <v>0</v>
      </c>
      <c r="F270" s="14">
        <f>$L$102</f>
        <v>0</v>
      </c>
      <c r="H270" s="9">
        <f>$B$102/$B$31</f>
        <v>0</v>
      </c>
      <c r="I270" s="9">
        <f>H270-P270</f>
        <v>0</v>
      </c>
      <c r="J270" s="9">
        <f>I270-Q270</f>
        <v>0</v>
      </c>
      <c r="K270" s="9">
        <f>J270-R270</f>
        <v>0</v>
      </c>
      <c r="L270" s="9">
        <f>K270-S270</f>
        <v>0</v>
      </c>
      <c r="M270" s="9">
        <f>L270-T270</f>
        <v>0</v>
      </c>
      <c r="N270" s="9"/>
      <c r="O270" s="9">
        <f t="shared" ref="O270:T270" si="77">IF(OR($C270="Annual",$D270=$E270),IF(AND($D270=$E270,O$111=$B270+$D270),$H270,IF(AND(O$111&gt;$B270+$D270,O$111&lt;=$B270+$E270), $H270/($E270-$D270),0)), IF(OR(O$111=$B270+$D270,O$111=$B270+$E270),$H270/(($E270-$D270)*2),IF(AND(O$111&gt;$B270+$D270,O$111&lt;$B270+$E270),$H270/($E270-$D270),0)))</f>
        <v>0</v>
      </c>
      <c r="P270" s="9">
        <f t="shared" si="77"/>
        <v>0</v>
      </c>
      <c r="Q270" s="9">
        <f t="shared" si="77"/>
        <v>0</v>
      </c>
      <c r="R270" s="9">
        <f t="shared" si="77"/>
        <v>0</v>
      </c>
      <c r="S270" s="9">
        <f t="shared" si="77"/>
        <v>0</v>
      </c>
      <c r="T270" s="9">
        <f t="shared" si="77"/>
        <v>0</v>
      </c>
      <c r="U270" s="9"/>
      <c r="V270" s="9">
        <f>IF($C270="annual",IF(V$111=$B270,0,G270*$F270),IF(V$111-$B270=0,0,IF((V$111-$B270)&lt;$E270,AVERAGE(G270,H270)*$F270,IF((V$111-$B270)=$E270,G270*$F270/2,0))))</f>
        <v>0</v>
      </c>
      <c r="W270" s="9">
        <f t="shared" ref="W270:AA275" si="78">IF($C270="annual",IF(W$111=$B270,0,H270*$F270),IF(W$111-$B270=0,0,IF((W$111-$B270)&lt;$E270,AVERAGE(H270,I270)*$F270,IF((W$111-$B270)=$E270,H270*$F270/2,0))))</f>
        <v>0</v>
      </c>
      <c r="X270" s="9">
        <f t="shared" si="78"/>
        <v>0</v>
      </c>
      <c r="Y270" s="9">
        <f t="shared" si="78"/>
        <v>0</v>
      </c>
      <c r="Z270" s="9">
        <f t="shared" si="78"/>
        <v>0</v>
      </c>
      <c r="AA270" s="9">
        <f t="shared" si="78"/>
        <v>0</v>
      </c>
    </row>
    <row r="271" spans="1:27">
      <c r="A271" s="8" t="str">
        <f>A270</f>
        <v>Type 16</v>
      </c>
      <c r="B271" s="7">
        <f>B270+1</f>
        <v>2019</v>
      </c>
      <c r="C271" s="7" t="str">
        <f>C270</f>
        <v>Annual</v>
      </c>
      <c r="D271" s="7">
        <f t="shared" ref="D271:E275" si="79">D270</f>
        <v>0</v>
      </c>
      <c r="E271" s="7">
        <f t="shared" si="79"/>
        <v>0</v>
      </c>
      <c r="F271" s="14">
        <f>$M$102</f>
        <v>3.5744886743189486E-2</v>
      </c>
      <c r="H271" s="9"/>
      <c r="I271" s="9">
        <f ca="1">$C$102/$C$31</f>
        <v>0</v>
      </c>
      <c r="J271" s="9">
        <f ca="1">I271-Q271</f>
        <v>0</v>
      </c>
      <c r="K271" s="9">
        <f ca="1">J271-R271</f>
        <v>0</v>
      </c>
      <c r="L271" s="9">
        <f ca="1">K271-S271</f>
        <v>0</v>
      </c>
      <c r="M271" s="9">
        <f ca="1">L271-T271</f>
        <v>0</v>
      </c>
      <c r="N271" s="9"/>
      <c r="O271" s="9"/>
      <c r="P271" s="9">
        <f ca="1">IF(OR($C271="Annual",$D271=$E271),IF(AND($D271=$E271,P$111=$B271+$D271),$I271,IF(AND(P$111&gt;$B271+$D271,P$111&lt;=$B271+$E271), $I271/($E271-$D271),0)), IF(OR(P$111=$B271+$D271,P$111=$B271+$E271),$I271/(($E271-$D271)*2),IF(AND(P$111&gt;$B271+$D271,P$111&lt;$B271+$E271),$I271/($E271-$D271),0)))</f>
        <v>0</v>
      </c>
      <c r="Q271" s="9">
        <f>IF(OR($C271="Annual",$D271=$E271),IF(AND($D271=$E271,Q$111=$B271+$D271),$I271,IF(AND(Q$111&gt;$B271+$D271,Q$111&lt;=$B271+$E271), $I271/($E271-$D271),0)), IF(OR(Q$111=$B271+$D271,Q$111=$B271+$E271),$I271/(($E271-$D271)*2),IF(AND(Q$111&gt;$B271+$D271,Q$111&lt;$B271+$E271),$I271/($E271-$D271),0)))</f>
        <v>0</v>
      </c>
      <c r="R271" s="9">
        <f>IF(OR($C271="Annual",$D271=$E271),IF(AND($D271=$E271,R$111=$B271+$D271),$I271,IF(AND(R$111&gt;$B271+$D271,R$111&lt;=$B271+$E271), $I271/($E271-$D271),0)), IF(OR(R$111=$B271+$D271,R$111=$B271+$E271),$I271/(($E271-$D271)*2),IF(AND(R$111&gt;$B271+$D271,R$111&lt;$B271+$E271),$I271/($E271-$D271),0)))</f>
        <v>0</v>
      </c>
      <c r="S271" s="9">
        <f>IF(OR($C271="Annual",$D271=$E271),IF(AND($D271=$E271,S$111=$B271+$D271),$I271,IF(AND(S$111&gt;$B271+$D271,S$111&lt;=$B271+$E271), $I271/($E271-$D271),0)), IF(OR(S$111=$B271+$D271,S$111=$B271+$E271),$I271/(($E271-$D271)*2),IF(AND(S$111&gt;$B271+$D271,S$111&lt;$B271+$E271),$I271/($E271-$D271),0)))</f>
        <v>0</v>
      </c>
      <c r="T271" s="9">
        <f>IF(OR($C271="Annual",$D271=$E271),IF(AND($D271=$E271,T$111=$B271+$D271),$I271,IF(AND(T$111&gt;$B271+$D271,T$111&lt;=$B271+$E271), $I271/($E271-$D271),0)), IF(OR(T$111=$B271+$D271,T$111=$B271+$E271),$I271/(($E271-$D271)*2),IF(AND(T$111&gt;$B271+$D271,T$111&lt;$B271+$E271),$I271/($E271-$D271),0)))</f>
        <v>0</v>
      </c>
      <c r="U271" s="9"/>
      <c r="V271" s="9"/>
      <c r="W271" s="9">
        <f t="shared" si="78"/>
        <v>0</v>
      </c>
      <c r="X271" s="9">
        <f t="shared" ca="1" si="78"/>
        <v>0</v>
      </c>
      <c r="Y271" s="9">
        <f t="shared" ca="1" si="78"/>
        <v>0</v>
      </c>
      <c r="Z271" s="9">
        <f t="shared" ca="1" si="78"/>
        <v>0</v>
      </c>
      <c r="AA271" s="9">
        <f t="shared" ca="1" si="78"/>
        <v>0</v>
      </c>
    </row>
    <row r="272" spans="1:27">
      <c r="A272" s="8" t="str">
        <f>A271</f>
        <v>Type 16</v>
      </c>
      <c r="B272" s="7">
        <f>B271+1</f>
        <v>2020</v>
      </c>
      <c r="C272" s="7" t="str">
        <f>C271</f>
        <v>Annual</v>
      </c>
      <c r="D272" s="7">
        <f t="shared" si="79"/>
        <v>0</v>
      </c>
      <c r="E272" s="7">
        <f t="shared" si="79"/>
        <v>0</v>
      </c>
      <c r="F272" s="14">
        <f>$N$102</f>
        <v>3.5744886743189486E-2</v>
      </c>
      <c r="H272" s="9"/>
      <c r="I272" s="9"/>
      <c r="J272" s="9">
        <f ca="1">$D$102/$D$31</f>
        <v>0</v>
      </c>
      <c r="K272" s="9">
        <f ca="1">J272-R272</f>
        <v>0</v>
      </c>
      <c r="L272" s="9">
        <f ca="1">K272-S272</f>
        <v>0</v>
      </c>
      <c r="M272" s="9">
        <f ca="1">L272-T272</f>
        <v>0</v>
      </c>
      <c r="N272" s="9"/>
      <c r="O272" s="9"/>
      <c r="P272" s="9"/>
      <c r="Q272" s="9">
        <f ca="1">IF(OR($C272="Annual",$D272=$E272),IF(AND($D272=$E272,Q$111=$B272+$D272),$J272,IF(AND(Q$111&gt;$B272+$D272,Q$111&lt;=$B272+$E272), $J272/($E272-$D272),0)), IF(OR(Q$111=$B272+$D272,Q$111=$B272+$E272),$J272/(($E272-$D272)*2),IF(AND(Q$111&gt;$B272+$D272,Q$111&lt;$B272+$E272),$J272/($E272-$D272),0)))</f>
        <v>0</v>
      </c>
      <c r="R272" s="9">
        <f>IF(OR($C272="Annual",$D272=$E272),IF(AND($D272=$E272,R$111=$B272+$D272),$J272,IF(AND(R$111&gt;$B272+$D272,R$111&lt;=$B272+$E272), $J272/($E272-$D272),0)), IF(OR(R$111=$B272+$D272,R$111=$B272+$E272),$J272/(($E272-$D272)*2),IF(AND(R$111&gt;$B272+$D272,R$111&lt;$B272+$E272),$J272/($E272-$D272),0)))</f>
        <v>0</v>
      </c>
      <c r="S272" s="9">
        <f>IF(OR($C272="Annual",$D272=$E272),IF(AND($D272=$E272,S$111=$B272+$D272),$J272,IF(AND(S$111&gt;$B272+$D272,S$111&lt;=$B272+$E272), $J272/($E272-$D272),0)), IF(OR(S$111=$B272+$D272,S$111=$B272+$E272),$J272/(($E272-$D272)*2),IF(AND(S$111&gt;$B272+$D272,S$111&lt;$B272+$E272),$J272/($E272-$D272),0)))</f>
        <v>0</v>
      </c>
      <c r="T272" s="9">
        <f>IF(OR($C272="Annual",$D272=$E272),IF(AND($D272=$E272,T$111=$B272+$D272),$J272,IF(AND(T$111&gt;$B272+$D272,T$111&lt;=$B272+$E272), $J272/($E272-$D272),0)), IF(OR(T$111=$B272+$D272,T$111=$B272+$E272),$J272/(($E272-$D272)*2),IF(AND(T$111&gt;$B272+$D272,T$111&lt;$B272+$E272),$J272/($E272-$D272),0)))</f>
        <v>0</v>
      </c>
      <c r="U272" s="9"/>
      <c r="V272" s="9"/>
      <c r="W272" s="9"/>
      <c r="X272" s="9">
        <f t="shared" si="78"/>
        <v>0</v>
      </c>
      <c r="Y272" s="9">
        <f t="shared" ca="1" si="78"/>
        <v>0</v>
      </c>
      <c r="Z272" s="9">
        <f t="shared" ca="1" si="78"/>
        <v>0</v>
      </c>
      <c r="AA272" s="9">
        <f t="shared" ca="1" si="78"/>
        <v>0</v>
      </c>
    </row>
    <row r="273" spans="1:27">
      <c r="A273" s="8" t="str">
        <f>A272</f>
        <v>Type 16</v>
      </c>
      <c r="B273" s="7">
        <f>B272+1</f>
        <v>2021</v>
      </c>
      <c r="C273" s="7" t="str">
        <f>C272</f>
        <v>Annual</v>
      </c>
      <c r="D273" s="7">
        <f t="shared" si="79"/>
        <v>0</v>
      </c>
      <c r="E273" s="7">
        <f t="shared" si="79"/>
        <v>0</v>
      </c>
      <c r="F273" s="14">
        <f>$O$102</f>
        <v>3.5744886743189486E-2</v>
      </c>
      <c r="H273" s="9"/>
      <c r="I273" s="9"/>
      <c r="J273" s="9"/>
      <c r="K273" s="9">
        <f ca="1">$E$102/$E$31</f>
        <v>0</v>
      </c>
      <c r="L273" s="9">
        <f ca="1">K273-S273</f>
        <v>0</v>
      </c>
      <c r="M273" s="9">
        <f ca="1">L273-T273</f>
        <v>0</v>
      </c>
      <c r="N273" s="9"/>
      <c r="O273" s="9"/>
      <c r="P273" s="9"/>
      <c r="Q273" s="9"/>
      <c r="R273" s="9">
        <f ca="1">IF(OR($C273="Annual",$D273=$E273),IF(AND($D273=$E273,R$111=$B273+$D273),$K273,IF(AND(R$111&gt;$B273+$D273,R$111&lt;=$B273+$E273), $K273/($E273-$D273),0)), IF(OR(R$111=$B273+$D273,R$111=$B273+$E273),$K273/(($E273-$D273)*2),IF(AND(R$111&gt;$B273+$D273,R$111&lt;$B273+$E273),$K273/($E273-$D273),0)))</f>
        <v>0</v>
      </c>
      <c r="S273" s="9">
        <f>IF(OR($C273="Annual",$D273=$E273),IF(AND($D273=$E273,S$111=$B273+$D273),$K273,IF(AND(S$111&gt;$B273+$D273,S$111&lt;=$B273+$E273), $K273/($E273-$D273),0)), IF(OR(S$111=$B273+$D273,S$111=$B273+$E273),$K273/(($E273-$D273)*2),IF(AND(S$111&gt;$B273+$D273,S$111&lt;$B273+$E273),$K273/($E273-$D273),0)))</f>
        <v>0</v>
      </c>
      <c r="T273" s="9">
        <f>IF(OR($C273="Annual",$D273=$E273),IF(AND($D273=$E273,T$111=$B273+$D273),$K273,IF(AND(T$111&gt;$B273+$D273,T$111&lt;=$B273+$E273), $K273/($E273-$D273),0)), IF(OR(T$111=$B273+$D273,T$111=$B273+$E273),$K273/(($E273-$D273)*2),IF(AND(T$111&gt;$B273+$D273,T$111&lt;$B273+$E273),$K273/($E273-$D273),0)))</f>
        <v>0</v>
      </c>
      <c r="U273" s="9"/>
      <c r="V273" s="9"/>
      <c r="W273" s="9"/>
      <c r="X273" s="9"/>
      <c r="Y273" s="9">
        <f t="shared" si="78"/>
        <v>0</v>
      </c>
      <c r="Z273" s="9">
        <f t="shared" ca="1" si="78"/>
        <v>0</v>
      </c>
      <c r="AA273" s="9">
        <f t="shared" ca="1" si="78"/>
        <v>0</v>
      </c>
    </row>
    <row r="274" spans="1:27">
      <c r="A274" s="8" t="str">
        <f>A273</f>
        <v>Type 16</v>
      </c>
      <c r="B274" s="7">
        <f>B273+1</f>
        <v>2022</v>
      </c>
      <c r="C274" s="7" t="str">
        <f>C273</f>
        <v>Annual</v>
      </c>
      <c r="D274" s="7">
        <f t="shared" si="79"/>
        <v>0</v>
      </c>
      <c r="E274" s="7">
        <f t="shared" si="79"/>
        <v>0</v>
      </c>
      <c r="F274" s="14">
        <f>$P$102</f>
        <v>3.5744886743189486E-2</v>
      </c>
      <c r="H274" s="9"/>
      <c r="I274" s="9"/>
      <c r="J274" s="9"/>
      <c r="K274" s="9"/>
      <c r="L274" s="9">
        <f ca="1">$F$102/$F$31</f>
        <v>0</v>
      </c>
      <c r="M274" s="9">
        <f ca="1">L274-T274</f>
        <v>0</v>
      </c>
      <c r="N274" s="9"/>
      <c r="O274" s="9"/>
      <c r="P274" s="9"/>
      <c r="Q274" s="9"/>
      <c r="R274" s="9"/>
      <c r="S274" s="9">
        <f ca="1">IF(OR($C274="Annual",$D274=$E274),IF(AND($D274=$E274,S$111=$B274+$D274),$L274,IF(AND(S$111&gt;$B274+$D274,S$111&lt;=$B274+$E274), $L274/($E274-$D274),0)), IF(OR(S$111=$B274+$D274,S$111=$B274+$E274),$L274/(($E274-$D274)*2),IF(AND(S$111&gt;$B274+$D274,S$111&lt;$B274+$E274),$L274/($E274-$D274),0)))</f>
        <v>0</v>
      </c>
      <c r="T274" s="9">
        <f>IF(OR($C274="Annual",$D274=$E274),IF(AND($D274=$E274,T$111=$B274+$D274),$L274,IF(AND(T$111&gt;$B274+$D274,T$111&lt;=$B274+$E274), $L274/($E274-$D274),0)), IF(OR(T$111=$B274+$D274,T$111=$B274+$E274),$L274/(($E274-$D274)*2),IF(AND(T$111&gt;$B274+$D274,T$111&lt;$B274+$E274),$L274/($E274-$D274),0)))</f>
        <v>0</v>
      </c>
      <c r="U274" s="9"/>
      <c r="V274" s="9"/>
      <c r="W274" s="9"/>
      <c r="X274" s="9"/>
      <c r="Y274" s="9"/>
      <c r="Z274" s="9">
        <f t="shared" si="78"/>
        <v>0</v>
      </c>
      <c r="AA274" s="9">
        <f t="shared" ca="1" si="78"/>
        <v>0</v>
      </c>
    </row>
    <row r="275" spans="1:27">
      <c r="A275" s="8" t="str">
        <f>A274</f>
        <v>Type 16</v>
      </c>
      <c r="B275" s="7">
        <f>B274+1</f>
        <v>2023</v>
      </c>
      <c r="C275" s="7" t="str">
        <f>C274</f>
        <v>Annual</v>
      </c>
      <c r="D275" s="7">
        <f t="shared" si="79"/>
        <v>0</v>
      </c>
      <c r="E275" s="7">
        <f t="shared" si="79"/>
        <v>0</v>
      </c>
      <c r="F275" s="14">
        <f>$Q$102</f>
        <v>3.5744886743189486E-2</v>
      </c>
      <c r="H275" s="9"/>
      <c r="I275" s="9"/>
      <c r="J275" s="9"/>
      <c r="K275" s="9"/>
      <c r="L275" s="9"/>
      <c r="M275" s="9">
        <f ca="1">$G$102/$G$31</f>
        <v>0</v>
      </c>
      <c r="N275" s="9"/>
      <c r="O275" s="9"/>
      <c r="P275" s="9"/>
      <c r="Q275" s="9"/>
      <c r="R275" s="9"/>
      <c r="S275" s="9"/>
      <c r="T275" s="9">
        <f ca="1">IF(OR($C275="Annual",$D275=$E275),IF(AND($D275=$E275,T$111=$B275+$D275),$M275,IF(AND(T$111&gt;$B275+$D275,T$111&lt;=$B275+$E275), $M275/($E275-$D275),0)), IF(OR(T$111=$B275+$D275,T$111=$B275+$E275),$M275/(($E275-$D275)*2),IF(AND(T$111&gt;$B275+$D275,T$111&lt;$B275+$E275),$M275/($E275-$D275),0)))</f>
        <v>0</v>
      </c>
      <c r="U275" s="9"/>
      <c r="V275" s="9"/>
      <c r="W275" s="9"/>
      <c r="X275" s="9"/>
      <c r="Y275" s="9"/>
      <c r="Z275" s="9"/>
      <c r="AA275" s="9">
        <f t="shared" si="78"/>
        <v>0</v>
      </c>
    </row>
    <row r="276" spans="1:27">
      <c r="A276" s="8"/>
      <c r="B276" s="7"/>
      <c r="C276" s="7"/>
      <c r="D276" s="7"/>
      <c r="E276" s="7"/>
      <c r="F276" s="15"/>
      <c r="H276" s="9"/>
      <c r="I276" s="9"/>
      <c r="J276" s="9"/>
      <c r="K276" s="9"/>
      <c r="L276" s="9"/>
      <c r="M276" s="9"/>
      <c r="N276" s="9"/>
      <c r="O276" s="278"/>
      <c r="P276" s="10"/>
      <c r="Q276" s="10"/>
      <c r="R276" s="10"/>
      <c r="S276" s="10"/>
      <c r="T276" s="10"/>
      <c r="U276" s="9"/>
      <c r="V276" s="10"/>
      <c r="W276" s="10"/>
      <c r="X276" s="10"/>
      <c r="Y276" s="10"/>
      <c r="Z276" s="10"/>
      <c r="AA276" s="10"/>
    </row>
    <row r="277" spans="1:27">
      <c r="A277" s="8" t="str">
        <f>'Input 4 - Forecast'!A84</f>
        <v>Type 17</v>
      </c>
      <c r="B277" s="7">
        <f>B119</f>
        <v>2018</v>
      </c>
      <c r="C277" s="7" t="str">
        <f>$I103</f>
        <v>Annual</v>
      </c>
      <c r="D277" s="7">
        <f>$J103</f>
        <v>0</v>
      </c>
      <c r="E277" s="7">
        <f>$K103</f>
        <v>0</v>
      </c>
      <c r="F277" s="14">
        <f>$L$103</f>
        <v>0</v>
      </c>
      <c r="H277" s="9">
        <f>$B$103/$B$31</f>
        <v>0</v>
      </c>
      <c r="I277" s="9">
        <f>H277-P277</f>
        <v>0</v>
      </c>
      <c r="J277" s="9">
        <f>I277-Q277</f>
        <v>0</v>
      </c>
      <c r="K277" s="9">
        <f>J277-R277</f>
        <v>0</v>
      </c>
      <c r="L277" s="9">
        <f>K277-S277</f>
        <v>0</v>
      </c>
      <c r="M277" s="9">
        <f>L277-T277</f>
        <v>0</v>
      </c>
      <c r="N277" s="9"/>
      <c r="O277" s="9">
        <f t="shared" ref="O277:T277" si="80">IF(OR($C277="Annual",$D277=$E277),IF(AND($D277=$E277,O$111=$B277+$D277),$H277,IF(AND(O$111&gt;$B277+$D277,O$111&lt;=$B277+$E277), $H277/($E277-$D277),0)), IF(OR(O$111=$B277+$D277,O$111=$B277+$E277),$H277/(($E277-$D277)*2),IF(AND(O$111&gt;$B277+$D277,O$111&lt;$B277+$E277),$H277/($E277-$D277),0)))</f>
        <v>0</v>
      </c>
      <c r="P277" s="9">
        <f t="shared" si="80"/>
        <v>0</v>
      </c>
      <c r="Q277" s="9">
        <f t="shared" si="80"/>
        <v>0</v>
      </c>
      <c r="R277" s="9">
        <f t="shared" si="80"/>
        <v>0</v>
      </c>
      <c r="S277" s="9">
        <f t="shared" si="80"/>
        <v>0</v>
      </c>
      <c r="T277" s="9">
        <f t="shared" si="80"/>
        <v>0</v>
      </c>
      <c r="U277" s="9"/>
      <c r="V277" s="9">
        <f>IF($C277="annual",IF(V$111=$B277,0,G277*$F277),IF(V$111-$B277=0,0,IF((V$111-$B277)&lt;$E277,AVERAGE(G277,H277)*$F277,IF((V$111-$B277)=$E277,G277*$F277/2,0))))</f>
        <v>0</v>
      </c>
      <c r="W277" s="9">
        <f t="shared" ref="W277:AA282" si="81">IF($C277="annual",IF(W$111=$B277,0,H277*$F277),IF(W$111-$B277=0,0,IF((W$111-$B277)&lt;$E277,AVERAGE(H277,I277)*$F277,IF((W$111-$B277)=$E277,H277*$F277/2,0))))</f>
        <v>0</v>
      </c>
      <c r="X277" s="9">
        <f t="shared" si="81"/>
        <v>0</v>
      </c>
      <c r="Y277" s="9">
        <f t="shared" si="81"/>
        <v>0</v>
      </c>
      <c r="Z277" s="9">
        <f t="shared" si="81"/>
        <v>0</v>
      </c>
      <c r="AA277" s="9">
        <f t="shared" si="81"/>
        <v>0</v>
      </c>
    </row>
    <row r="278" spans="1:27">
      <c r="A278" s="8" t="str">
        <f>A277</f>
        <v>Type 17</v>
      </c>
      <c r="B278" s="7">
        <f>B277+1</f>
        <v>2019</v>
      </c>
      <c r="C278" s="7" t="str">
        <f>C277</f>
        <v>Annual</v>
      </c>
      <c r="D278" s="7">
        <f t="shared" ref="D278:E282" si="82">D277</f>
        <v>0</v>
      </c>
      <c r="E278" s="7">
        <f t="shared" si="82"/>
        <v>0</v>
      </c>
      <c r="F278" s="14">
        <f>$M$103</f>
        <v>3.5744886743189486E-2</v>
      </c>
      <c r="H278" s="9"/>
      <c r="I278" s="9">
        <f ca="1">$C$103/$C$31</f>
        <v>0</v>
      </c>
      <c r="J278" s="9">
        <f ca="1">I278-Q278</f>
        <v>0</v>
      </c>
      <c r="K278" s="9">
        <f ca="1">J278-R278</f>
        <v>0</v>
      </c>
      <c r="L278" s="9">
        <f ca="1">K278-S278</f>
        <v>0</v>
      </c>
      <c r="M278" s="9">
        <f ca="1">L278-T278</f>
        <v>0</v>
      </c>
      <c r="N278" s="9"/>
      <c r="O278" s="9"/>
      <c r="P278" s="9">
        <f ca="1">IF(OR($C278="Annual",$D278=$E278),IF(AND($D278=$E278,P$111=$B278+$D278),$I278,IF(AND(P$111&gt;$B278+$D278,P$111&lt;=$B278+$E278), $I278/($E278-$D278),0)), IF(OR(P$111=$B278+$D278,P$111=$B278+$E278),$I278/(($E278-$D278)*2),IF(AND(P$111&gt;$B278+$D278,P$111&lt;$B278+$E278),$I278/($E278-$D278),0)))</f>
        <v>0</v>
      </c>
      <c r="Q278" s="9">
        <f>IF(OR($C278="Annual",$D278=$E278),IF(AND($D278=$E278,Q$111=$B278+$D278),$I278,IF(AND(Q$111&gt;$B278+$D278,Q$111&lt;=$B278+$E278), $I278/($E278-$D278),0)), IF(OR(Q$111=$B278+$D278,Q$111=$B278+$E278),$I278/(($E278-$D278)*2),IF(AND(Q$111&gt;$B278+$D278,Q$111&lt;$B278+$E278),$I278/($E278-$D278),0)))</f>
        <v>0</v>
      </c>
      <c r="R278" s="9">
        <f>IF(OR($C278="Annual",$D278=$E278),IF(AND($D278=$E278,R$111=$B278+$D278),$I278,IF(AND(R$111&gt;$B278+$D278,R$111&lt;=$B278+$E278), $I278/($E278-$D278),0)), IF(OR(R$111=$B278+$D278,R$111=$B278+$E278),$I278/(($E278-$D278)*2),IF(AND(R$111&gt;$B278+$D278,R$111&lt;$B278+$E278),$I278/($E278-$D278),0)))</f>
        <v>0</v>
      </c>
      <c r="S278" s="9">
        <f>IF(OR($C278="Annual",$D278=$E278),IF(AND($D278=$E278,S$111=$B278+$D278),$I278,IF(AND(S$111&gt;$B278+$D278,S$111&lt;=$B278+$E278), $I278/($E278-$D278),0)), IF(OR(S$111=$B278+$D278,S$111=$B278+$E278),$I278/(($E278-$D278)*2),IF(AND(S$111&gt;$B278+$D278,S$111&lt;$B278+$E278),$I278/($E278-$D278),0)))</f>
        <v>0</v>
      </c>
      <c r="T278" s="9">
        <f>IF(OR($C278="Annual",$D278=$E278),IF(AND($D278=$E278,T$111=$B278+$D278),$I278,IF(AND(T$111&gt;$B278+$D278,T$111&lt;=$B278+$E278), $I278/($E278-$D278),0)), IF(OR(T$111=$B278+$D278,T$111=$B278+$E278),$I278/(($E278-$D278)*2),IF(AND(T$111&gt;$B278+$D278,T$111&lt;$B278+$E278),$I278/($E278-$D278),0)))</f>
        <v>0</v>
      </c>
      <c r="U278" s="9"/>
      <c r="V278" s="9"/>
      <c r="W278" s="9">
        <f t="shared" si="81"/>
        <v>0</v>
      </c>
      <c r="X278" s="9">
        <f t="shared" ca="1" si="81"/>
        <v>0</v>
      </c>
      <c r="Y278" s="9">
        <f t="shared" ca="1" si="81"/>
        <v>0</v>
      </c>
      <c r="Z278" s="9">
        <f t="shared" ca="1" si="81"/>
        <v>0</v>
      </c>
      <c r="AA278" s="9">
        <f t="shared" ca="1" si="81"/>
        <v>0</v>
      </c>
    </row>
    <row r="279" spans="1:27">
      <c r="A279" s="8" t="str">
        <f>A278</f>
        <v>Type 17</v>
      </c>
      <c r="B279" s="7">
        <f>B278+1</f>
        <v>2020</v>
      </c>
      <c r="C279" s="7" t="str">
        <f>C278</f>
        <v>Annual</v>
      </c>
      <c r="D279" s="7">
        <f t="shared" si="82"/>
        <v>0</v>
      </c>
      <c r="E279" s="7">
        <f t="shared" si="82"/>
        <v>0</v>
      </c>
      <c r="F279" s="14">
        <f>$N$103</f>
        <v>3.5744886743189486E-2</v>
      </c>
      <c r="H279" s="9"/>
      <c r="I279" s="9"/>
      <c r="J279" s="9">
        <f ca="1">$D$103/$D$31</f>
        <v>0</v>
      </c>
      <c r="K279" s="9">
        <f ca="1">J279-R279</f>
        <v>0</v>
      </c>
      <c r="L279" s="9">
        <f ca="1">K279-S279</f>
        <v>0</v>
      </c>
      <c r="M279" s="9">
        <f ca="1">L279-T279</f>
        <v>0</v>
      </c>
      <c r="N279" s="9"/>
      <c r="O279" s="9"/>
      <c r="P279" s="9"/>
      <c r="Q279" s="9">
        <f ca="1">IF(OR($C279="Annual",$D279=$E279),IF(AND($D279=$E279,Q$111=$B279+$D279),$J279,IF(AND(Q$111&gt;$B279+$D279,Q$111&lt;=$B279+$E279), $J279/($E279-$D279),0)), IF(OR(Q$111=$B279+$D279,Q$111=$B279+$E279),$J279/(($E279-$D279)*2),IF(AND(Q$111&gt;$B279+$D279,Q$111&lt;$B279+$E279),$J279/($E279-$D279),0)))</f>
        <v>0</v>
      </c>
      <c r="R279" s="9">
        <f>IF(OR($C279="Annual",$D279=$E279),IF(AND($D279=$E279,R$111=$B279+$D279),$J279,IF(AND(R$111&gt;$B279+$D279,R$111&lt;=$B279+$E279), $J279/($E279-$D279),0)), IF(OR(R$111=$B279+$D279,R$111=$B279+$E279),$J279/(($E279-$D279)*2),IF(AND(R$111&gt;$B279+$D279,R$111&lt;$B279+$E279),$J279/($E279-$D279),0)))</f>
        <v>0</v>
      </c>
      <c r="S279" s="9">
        <f>IF(OR($C279="Annual",$D279=$E279),IF(AND($D279=$E279,S$111=$B279+$D279),$J279,IF(AND(S$111&gt;$B279+$D279,S$111&lt;=$B279+$E279), $J279/($E279-$D279),0)), IF(OR(S$111=$B279+$D279,S$111=$B279+$E279),$J279/(($E279-$D279)*2),IF(AND(S$111&gt;$B279+$D279,S$111&lt;$B279+$E279),$J279/($E279-$D279),0)))</f>
        <v>0</v>
      </c>
      <c r="T279" s="9">
        <f>IF(OR($C279="Annual",$D279=$E279),IF(AND($D279=$E279,T$111=$B279+$D279),$J279,IF(AND(T$111&gt;$B279+$D279,T$111&lt;=$B279+$E279), $J279/($E279-$D279),0)), IF(OR(T$111=$B279+$D279,T$111=$B279+$E279),$J279/(($E279-$D279)*2),IF(AND(T$111&gt;$B279+$D279,T$111&lt;$B279+$E279),$J279/($E279-$D279),0)))</f>
        <v>0</v>
      </c>
      <c r="U279" s="9"/>
      <c r="V279" s="9"/>
      <c r="W279" s="9"/>
      <c r="X279" s="9">
        <f t="shared" si="81"/>
        <v>0</v>
      </c>
      <c r="Y279" s="9">
        <f t="shared" ca="1" si="81"/>
        <v>0</v>
      </c>
      <c r="Z279" s="9">
        <f t="shared" ca="1" si="81"/>
        <v>0</v>
      </c>
      <c r="AA279" s="9">
        <f t="shared" ca="1" si="81"/>
        <v>0</v>
      </c>
    </row>
    <row r="280" spans="1:27">
      <c r="A280" s="8" t="str">
        <f>A279</f>
        <v>Type 17</v>
      </c>
      <c r="B280" s="7">
        <f>B279+1</f>
        <v>2021</v>
      </c>
      <c r="C280" s="7" t="str">
        <f>C279</f>
        <v>Annual</v>
      </c>
      <c r="D280" s="7">
        <f t="shared" si="82"/>
        <v>0</v>
      </c>
      <c r="E280" s="7">
        <f t="shared" si="82"/>
        <v>0</v>
      </c>
      <c r="F280" s="14">
        <f>$O$103</f>
        <v>3.5744886743189486E-2</v>
      </c>
      <c r="H280" s="9"/>
      <c r="I280" s="9"/>
      <c r="J280" s="9"/>
      <c r="K280" s="9">
        <f ca="1">$E$103/$E$31</f>
        <v>0</v>
      </c>
      <c r="L280" s="9">
        <f ca="1">K280-S280</f>
        <v>0</v>
      </c>
      <c r="M280" s="9">
        <f ca="1">L280-T280</f>
        <v>0</v>
      </c>
      <c r="N280" s="9"/>
      <c r="O280" s="9"/>
      <c r="P280" s="9"/>
      <c r="Q280" s="9"/>
      <c r="R280" s="9">
        <f ca="1">IF(OR($C280="Annual",$D280=$E280),IF(AND($D280=$E280,R$111=$B280+$D280),$K280,IF(AND(R$111&gt;$B280+$D280,R$111&lt;=$B280+$E280), $K280/($E280-$D280),0)), IF(OR(R$111=$B280+$D280,R$111=$B280+$E280),$K280/(($E280-$D280)*2),IF(AND(R$111&gt;$B280+$D280,R$111&lt;$B280+$E280),$K280/($E280-$D280),0)))</f>
        <v>0</v>
      </c>
      <c r="S280" s="9">
        <f>IF(OR($C280="Annual",$D280=$E280),IF(AND($D280=$E280,S$111=$B280+$D280),$K280,IF(AND(S$111&gt;$B280+$D280,S$111&lt;=$B280+$E280), $K280/($E280-$D280),0)), IF(OR(S$111=$B280+$D280,S$111=$B280+$E280),$K280/(($E280-$D280)*2),IF(AND(S$111&gt;$B280+$D280,S$111&lt;$B280+$E280),$K280/($E280-$D280),0)))</f>
        <v>0</v>
      </c>
      <c r="T280" s="9">
        <f>IF(OR($C280="Annual",$D280=$E280),IF(AND($D280=$E280,T$111=$B280+$D280),$K280,IF(AND(T$111&gt;$B280+$D280,T$111&lt;=$B280+$E280), $K280/($E280-$D280),0)), IF(OR(T$111=$B280+$D280,T$111=$B280+$E280),$K280/(($E280-$D280)*2),IF(AND(T$111&gt;$B280+$D280,T$111&lt;$B280+$E280),$K280/($E280-$D280),0)))</f>
        <v>0</v>
      </c>
      <c r="U280" s="9"/>
      <c r="V280" s="9"/>
      <c r="W280" s="9"/>
      <c r="X280" s="9"/>
      <c r="Y280" s="9">
        <f t="shared" si="81"/>
        <v>0</v>
      </c>
      <c r="Z280" s="9">
        <f t="shared" ca="1" si="81"/>
        <v>0</v>
      </c>
      <c r="AA280" s="9">
        <f t="shared" ca="1" si="81"/>
        <v>0</v>
      </c>
    </row>
    <row r="281" spans="1:27">
      <c r="A281" s="8" t="str">
        <f>A280</f>
        <v>Type 17</v>
      </c>
      <c r="B281" s="7">
        <f>B280+1</f>
        <v>2022</v>
      </c>
      <c r="C281" s="7" t="str">
        <f>C280</f>
        <v>Annual</v>
      </c>
      <c r="D281" s="7">
        <f t="shared" si="82"/>
        <v>0</v>
      </c>
      <c r="E281" s="7">
        <f t="shared" si="82"/>
        <v>0</v>
      </c>
      <c r="F281" s="14">
        <f>$P$103</f>
        <v>3.5744886743189486E-2</v>
      </c>
      <c r="H281" s="9"/>
      <c r="I281" s="9"/>
      <c r="J281" s="9"/>
      <c r="K281" s="9"/>
      <c r="L281" s="9">
        <f ca="1">$F$103/$F$31</f>
        <v>0</v>
      </c>
      <c r="M281" s="9">
        <f ca="1">L281-T281</f>
        <v>0</v>
      </c>
      <c r="N281" s="9"/>
      <c r="O281" s="9"/>
      <c r="P281" s="9"/>
      <c r="Q281" s="9"/>
      <c r="R281" s="9"/>
      <c r="S281" s="9">
        <f ca="1">IF(OR($C281="Annual",$D281=$E281),IF(AND($D281=$E281,S$111=$B281+$D281),$L281,IF(AND(S$111&gt;$B281+$D281,S$111&lt;=$B281+$E281), $L281/($E281-$D281),0)), IF(OR(S$111=$B281+$D281,S$111=$B281+$E281),$L281/(($E281-$D281)*2),IF(AND(S$111&gt;$B281+$D281,S$111&lt;$B281+$E281),$L281/($E281-$D281),0)))</f>
        <v>0</v>
      </c>
      <c r="T281" s="9">
        <f>IF(OR($C281="Annual",$D281=$E281),IF(AND($D281=$E281,T$111=$B281+$D281),$L281,IF(AND(T$111&gt;$B281+$D281,T$111&lt;=$B281+$E281), $L281/($E281-$D281),0)), IF(OR(T$111=$B281+$D281,T$111=$B281+$E281),$L281/(($E281-$D281)*2),IF(AND(T$111&gt;$B281+$D281,T$111&lt;$B281+$E281),$L281/($E281-$D281),0)))</f>
        <v>0</v>
      </c>
      <c r="U281" s="9"/>
      <c r="V281" s="9"/>
      <c r="W281" s="9"/>
      <c r="X281" s="9"/>
      <c r="Y281" s="9"/>
      <c r="Z281" s="9">
        <f t="shared" si="81"/>
        <v>0</v>
      </c>
      <c r="AA281" s="9">
        <f t="shared" ca="1" si="81"/>
        <v>0</v>
      </c>
    </row>
    <row r="282" spans="1:27">
      <c r="A282" s="8" t="str">
        <f>A281</f>
        <v>Type 17</v>
      </c>
      <c r="B282" s="7">
        <f>B281+1</f>
        <v>2023</v>
      </c>
      <c r="C282" s="7" t="str">
        <f>C281</f>
        <v>Annual</v>
      </c>
      <c r="D282" s="7">
        <f t="shared" si="82"/>
        <v>0</v>
      </c>
      <c r="E282" s="7">
        <f t="shared" si="82"/>
        <v>0</v>
      </c>
      <c r="F282" s="14">
        <f>$Q$103</f>
        <v>3.5744886743189486E-2</v>
      </c>
      <c r="H282" s="9"/>
      <c r="I282" s="9"/>
      <c r="J282" s="9"/>
      <c r="K282" s="9"/>
      <c r="L282" s="9"/>
      <c r="M282" s="9">
        <f ca="1">$G$103/$G$31</f>
        <v>0</v>
      </c>
      <c r="N282" s="9"/>
      <c r="O282" s="9"/>
      <c r="P282" s="9"/>
      <c r="Q282" s="9"/>
      <c r="R282" s="9"/>
      <c r="S282" s="9"/>
      <c r="T282" s="9">
        <f ca="1">IF(OR($C282="Annual",$D282=$E282),IF(AND($D282=$E282,T$111=$B282+$D282),$M282,IF(AND(T$111&gt;$B282+$D282,T$111&lt;=$B282+$E282), $M282/($E282-$D282),0)), IF(OR(T$111=$B282+$D282,T$111=$B282+$E282),$M282/(($E282-$D282)*2),IF(AND(T$111&gt;$B282+$D282,T$111&lt;$B282+$E282),$M282/($E282-$D282),0)))</f>
        <v>0</v>
      </c>
      <c r="U282" s="9"/>
      <c r="V282" s="9"/>
      <c r="W282" s="9"/>
      <c r="X282" s="9"/>
      <c r="Y282" s="9"/>
      <c r="Z282" s="9"/>
      <c r="AA282" s="9">
        <f t="shared" si="81"/>
        <v>0</v>
      </c>
    </row>
    <row r="283" spans="1:27">
      <c r="A283" s="8"/>
      <c r="B283" s="7"/>
      <c r="C283" s="7"/>
      <c r="D283" s="7"/>
      <c r="E283" s="7"/>
      <c r="F283" s="15"/>
      <c r="H283" s="9"/>
      <c r="I283" s="9"/>
      <c r="J283" s="9"/>
      <c r="K283" s="9"/>
      <c r="L283" s="9"/>
      <c r="M283" s="9"/>
      <c r="N283" s="9"/>
      <c r="O283" s="278"/>
      <c r="P283" s="10"/>
      <c r="Q283" s="10"/>
      <c r="R283" s="10"/>
      <c r="S283" s="10"/>
      <c r="T283" s="10"/>
      <c r="U283" s="9"/>
      <c r="V283" s="10"/>
      <c r="W283" s="10"/>
      <c r="X283" s="10"/>
      <c r="Y283" s="10"/>
      <c r="Z283" s="10"/>
      <c r="AA283" s="10"/>
    </row>
    <row r="284" spans="1:27">
      <c r="A284" s="8" t="str">
        <f>'Input 4 - Forecast'!A85</f>
        <v>Type 18</v>
      </c>
      <c r="B284" s="7">
        <f>B119</f>
        <v>2018</v>
      </c>
      <c r="C284" s="7" t="str">
        <f>$I104</f>
        <v>Annual</v>
      </c>
      <c r="D284" s="7">
        <f>$J104</f>
        <v>0</v>
      </c>
      <c r="E284" s="7">
        <f>$K104</f>
        <v>0</v>
      </c>
      <c r="F284" s="14">
        <f>$L$104</f>
        <v>0</v>
      </c>
      <c r="H284" s="9">
        <f>$B$104/$B$31</f>
        <v>0</v>
      </c>
      <c r="I284" s="9">
        <f>H284-P284</f>
        <v>0</v>
      </c>
      <c r="J284" s="9">
        <f>I284-Q284</f>
        <v>0</v>
      </c>
      <c r="K284" s="9">
        <f>J284-R284</f>
        <v>0</v>
      </c>
      <c r="L284" s="9">
        <f>K284-S284</f>
        <v>0</v>
      </c>
      <c r="M284" s="9">
        <f>L284-T284</f>
        <v>0</v>
      </c>
      <c r="N284" s="9"/>
      <c r="O284" s="9">
        <f t="shared" ref="O284:T284" si="83">IF(OR($C284="Annual",$D284=$E284),IF(AND($D284=$E284,O$111=$B284+$D284),$H284,IF(AND(O$111&gt;$B284+$D284,O$111&lt;=$B284+$E284), $H284/($E284-$D284),0)), IF(OR(O$111=$B284+$D284,O$111=$B284+$E284),$H284/(($E284-$D284)*2),IF(AND(O$111&gt;$B284+$D284,O$111&lt;$B284+$E284),$H284/($E284-$D284),0)))</f>
        <v>0</v>
      </c>
      <c r="P284" s="9">
        <f t="shared" si="83"/>
        <v>0</v>
      </c>
      <c r="Q284" s="9">
        <f t="shared" si="83"/>
        <v>0</v>
      </c>
      <c r="R284" s="9">
        <f t="shared" si="83"/>
        <v>0</v>
      </c>
      <c r="S284" s="9">
        <f t="shared" si="83"/>
        <v>0</v>
      </c>
      <c r="T284" s="9">
        <f t="shared" si="83"/>
        <v>0</v>
      </c>
      <c r="U284" s="9"/>
      <c r="V284" s="9">
        <f>IF($C284="annual",IF(V$111=$B284,0,G284*$F284),IF(V$111-$B284=0,0,IF((V$111-$B284)&lt;$E284,AVERAGE(G284,H284)*$F284,IF((V$111-$B284)=$E284,G284*$F284/2,0))))</f>
        <v>0</v>
      </c>
      <c r="W284" s="9">
        <f t="shared" ref="W284:AA289" si="84">IF($C284="annual",IF(W$111=$B284,0,H284*$F284),IF(W$111-$B284=0,0,IF((W$111-$B284)&lt;$E284,AVERAGE(H284,I284)*$F284,IF((W$111-$B284)=$E284,H284*$F284/2,0))))</f>
        <v>0</v>
      </c>
      <c r="X284" s="9">
        <f t="shared" si="84"/>
        <v>0</v>
      </c>
      <c r="Y284" s="9">
        <f t="shared" si="84"/>
        <v>0</v>
      </c>
      <c r="Z284" s="9">
        <f t="shared" si="84"/>
        <v>0</v>
      </c>
      <c r="AA284" s="9">
        <f t="shared" si="84"/>
        <v>0</v>
      </c>
    </row>
    <row r="285" spans="1:27">
      <c r="A285" s="8" t="str">
        <f>A284</f>
        <v>Type 18</v>
      </c>
      <c r="B285" s="7">
        <f>B284+1</f>
        <v>2019</v>
      </c>
      <c r="C285" s="7" t="str">
        <f>C284</f>
        <v>Annual</v>
      </c>
      <c r="D285" s="7">
        <f t="shared" ref="D285:E289" si="85">D284</f>
        <v>0</v>
      </c>
      <c r="E285" s="7">
        <f t="shared" si="85"/>
        <v>0</v>
      </c>
      <c r="F285" s="14">
        <f>$M$104</f>
        <v>3.5744886743189486E-2</v>
      </c>
      <c r="H285" s="9"/>
      <c r="I285" s="9">
        <f ca="1">$C$104/$C$31</f>
        <v>0</v>
      </c>
      <c r="J285" s="9">
        <f ca="1">I285-Q285</f>
        <v>0</v>
      </c>
      <c r="K285" s="9">
        <f ca="1">J285-R285</f>
        <v>0</v>
      </c>
      <c r="L285" s="9">
        <f ca="1">K285-S285</f>
        <v>0</v>
      </c>
      <c r="M285" s="9">
        <f ca="1">L285-T285</f>
        <v>0</v>
      </c>
      <c r="N285" s="9"/>
      <c r="O285" s="9"/>
      <c r="P285" s="9">
        <f ca="1">IF(OR($C285="Annual",$D285=$E285),IF(AND($D285=$E285,P$111=$B285+$D285),$I285,IF(AND(P$111&gt;$B285+$D285,P$111&lt;=$B285+$E285), $I285/($E285-$D285),0)), IF(OR(P$111=$B285+$D285,P$111=$B285+$E285),$I285/(($E285-$D285)*2),IF(AND(P$111&gt;$B285+$D285,P$111&lt;$B285+$E285),$I285/($E285-$D285),0)))</f>
        <v>0</v>
      </c>
      <c r="Q285" s="9">
        <f>IF(OR($C285="Annual",$D285=$E285),IF(AND($D285=$E285,Q$111=$B285+$D285),$I285,IF(AND(Q$111&gt;$B285+$D285,Q$111&lt;=$B285+$E285), $I285/($E285-$D285),0)), IF(OR(Q$111=$B285+$D285,Q$111=$B285+$E285),$I285/(($E285-$D285)*2),IF(AND(Q$111&gt;$B285+$D285,Q$111&lt;$B285+$E285),$I285/($E285-$D285),0)))</f>
        <v>0</v>
      </c>
      <c r="R285" s="9">
        <f>IF(OR($C285="Annual",$D285=$E285),IF(AND($D285=$E285,R$111=$B285+$D285),$I285,IF(AND(R$111&gt;$B285+$D285,R$111&lt;=$B285+$E285), $I285/($E285-$D285),0)), IF(OR(R$111=$B285+$D285,R$111=$B285+$E285),$I285/(($E285-$D285)*2),IF(AND(R$111&gt;$B285+$D285,R$111&lt;$B285+$E285),$I285/($E285-$D285),0)))</f>
        <v>0</v>
      </c>
      <c r="S285" s="9">
        <f>IF(OR($C285="Annual",$D285=$E285),IF(AND($D285=$E285,S$111=$B285+$D285),$I285,IF(AND(S$111&gt;$B285+$D285,S$111&lt;=$B285+$E285), $I285/($E285-$D285),0)), IF(OR(S$111=$B285+$D285,S$111=$B285+$E285),$I285/(($E285-$D285)*2),IF(AND(S$111&gt;$B285+$D285,S$111&lt;$B285+$E285),$I285/($E285-$D285),0)))</f>
        <v>0</v>
      </c>
      <c r="T285" s="9">
        <f>IF(OR($C285="Annual",$D285=$E285),IF(AND($D285=$E285,T$111=$B285+$D285),$I285,IF(AND(T$111&gt;$B285+$D285,T$111&lt;=$B285+$E285), $I285/($E285-$D285),0)), IF(OR(T$111=$B285+$D285,T$111=$B285+$E285),$I285/(($E285-$D285)*2),IF(AND(T$111&gt;$B285+$D285,T$111&lt;$B285+$E285),$I285/($E285-$D285),0)))</f>
        <v>0</v>
      </c>
      <c r="U285" s="9"/>
      <c r="V285" s="9"/>
      <c r="W285" s="9">
        <f t="shared" si="84"/>
        <v>0</v>
      </c>
      <c r="X285" s="9">
        <f t="shared" ca="1" si="84"/>
        <v>0</v>
      </c>
      <c r="Y285" s="9">
        <f t="shared" ca="1" si="84"/>
        <v>0</v>
      </c>
      <c r="Z285" s="9">
        <f t="shared" ca="1" si="84"/>
        <v>0</v>
      </c>
      <c r="AA285" s="9">
        <f t="shared" ca="1" si="84"/>
        <v>0</v>
      </c>
    </row>
    <row r="286" spans="1:27">
      <c r="A286" s="8" t="str">
        <f>A285</f>
        <v>Type 18</v>
      </c>
      <c r="B286" s="7">
        <f>B285+1</f>
        <v>2020</v>
      </c>
      <c r="C286" s="7" t="str">
        <f>C285</f>
        <v>Annual</v>
      </c>
      <c r="D286" s="7">
        <f t="shared" si="85"/>
        <v>0</v>
      </c>
      <c r="E286" s="7">
        <f t="shared" si="85"/>
        <v>0</v>
      </c>
      <c r="F286" s="14">
        <f>$N$104</f>
        <v>3.5744886743189486E-2</v>
      </c>
      <c r="H286" s="9"/>
      <c r="I286" s="9"/>
      <c r="J286" s="9">
        <f ca="1">$D$104/$D$31</f>
        <v>0</v>
      </c>
      <c r="K286" s="9">
        <f ca="1">J286-R286</f>
        <v>0</v>
      </c>
      <c r="L286" s="9">
        <f ca="1">K286-S286</f>
        <v>0</v>
      </c>
      <c r="M286" s="9">
        <f ca="1">L286-T286</f>
        <v>0</v>
      </c>
      <c r="N286" s="9"/>
      <c r="O286" s="9"/>
      <c r="P286" s="9"/>
      <c r="Q286" s="9">
        <f ca="1">IF(OR($C286="Annual",$D286=$E286),IF(AND($D286=$E286,Q$111=$B286+$D286),$J286,IF(AND(Q$111&gt;$B286+$D286,Q$111&lt;=$B286+$E286), $J286/($E286-$D286),0)), IF(OR(Q$111=$B286+$D286,Q$111=$B286+$E286),$J286/(($E286-$D286)*2),IF(AND(Q$111&gt;$B286+$D286,Q$111&lt;$B286+$E286),$J286/($E286-$D286),0)))</f>
        <v>0</v>
      </c>
      <c r="R286" s="9">
        <f>IF(OR($C286="Annual",$D286=$E286),IF(AND($D286=$E286,R$111=$B286+$D286),$J286,IF(AND(R$111&gt;$B286+$D286,R$111&lt;=$B286+$E286), $J286/($E286-$D286),0)), IF(OR(R$111=$B286+$D286,R$111=$B286+$E286),$J286/(($E286-$D286)*2),IF(AND(R$111&gt;$B286+$D286,R$111&lt;$B286+$E286),$J286/($E286-$D286),0)))</f>
        <v>0</v>
      </c>
      <c r="S286" s="9">
        <f>IF(OR($C286="Annual",$D286=$E286),IF(AND($D286=$E286,S$111=$B286+$D286),$J286,IF(AND(S$111&gt;$B286+$D286,S$111&lt;=$B286+$E286), $J286/($E286-$D286),0)), IF(OR(S$111=$B286+$D286,S$111=$B286+$E286),$J286/(($E286-$D286)*2),IF(AND(S$111&gt;$B286+$D286,S$111&lt;$B286+$E286),$J286/($E286-$D286),0)))</f>
        <v>0</v>
      </c>
      <c r="T286" s="9">
        <f>IF(OR($C286="Annual",$D286=$E286),IF(AND($D286=$E286,T$111=$B286+$D286),$J286,IF(AND(T$111&gt;$B286+$D286,T$111&lt;=$B286+$E286), $J286/($E286-$D286),0)), IF(OR(T$111=$B286+$D286,T$111=$B286+$E286),$J286/(($E286-$D286)*2),IF(AND(T$111&gt;$B286+$D286,T$111&lt;$B286+$E286),$J286/($E286-$D286),0)))</f>
        <v>0</v>
      </c>
      <c r="U286" s="9"/>
      <c r="V286" s="9"/>
      <c r="W286" s="9"/>
      <c r="X286" s="9">
        <f t="shared" si="84"/>
        <v>0</v>
      </c>
      <c r="Y286" s="9">
        <f t="shared" ca="1" si="84"/>
        <v>0</v>
      </c>
      <c r="Z286" s="9">
        <f t="shared" ca="1" si="84"/>
        <v>0</v>
      </c>
      <c r="AA286" s="9">
        <f t="shared" ca="1" si="84"/>
        <v>0</v>
      </c>
    </row>
    <row r="287" spans="1:27">
      <c r="A287" s="8" t="str">
        <f>A286</f>
        <v>Type 18</v>
      </c>
      <c r="B287" s="7">
        <f>B286+1</f>
        <v>2021</v>
      </c>
      <c r="C287" s="7" t="str">
        <f>C286</f>
        <v>Annual</v>
      </c>
      <c r="D287" s="7">
        <f t="shared" si="85"/>
        <v>0</v>
      </c>
      <c r="E287" s="7">
        <f t="shared" si="85"/>
        <v>0</v>
      </c>
      <c r="F287" s="14">
        <f>$O$104</f>
        <v>3.5744886743189486E-2</v>
      </c>
      <c r="H287" s="9"/>
      <c r="I287" s="9"/>
      <c r="J287" s="9"/>
      <c r="K287" s="9">
        <f ca="1">$E$104/$E$31</f>
        <v>0</v>
      </c>
      <c r="L287" s="9">
        <f ca="1">K287-S287</f>
        <v>0</v>
      </c>
      <c r="M287" s="9">
        <f ca="1">L287-T287</f>
        <v>0</v>
      </c>
      <c r="N287" s="9"/>
      <c r="O287" s="9"/>
      <c r="P287" s="9"/>
      <c r="Q287" s="9"/>
      <c r="R287" s="9">
        <f ca="1">IF(OR($C287="Annual",$D287=$E287),IF(AND($D287=$E287,R$111=$B287+$D287),$K287,IF(AND(R$111&gt;$B287+$D287,R$111&lt;=$B287+$E287), $K287/($E287-$D287),0)), IF(OR(R$111=$B287+$D287,R$111=$B287+$E287),$K287/(($E287-$D287)*2),IF(AND(R$111&gt;$B287+$D287,R$111&lt;$B287+$E287),$K287/($E287-$D287),0)))</f>
        <v>0</v>
      </c>
      <c r="S287" s="9">
        <f>IF(OR($C287="Annual",$D287=$E287),IF(AND($D287=$E287,S$111=$B287+$D287),$K287,IF(AND(S$111&gt;$B287+$D287,S$111&lt;=$B287+$E287), $K287/($E287-$D287),0)), IF(OR(S$111=$B287+$D287,S$111=$B287+$E287),$K287/(($E287-$D287)*2),IF(AND(S$111&gt;$B287+$D287,S$111&lt;$B287+$E287),$K287/($E287-$D287),0)))</f>
        <v>0</v>
      </c>
      <c r="T287" s="9">
        <f>IF(OR($C287="Annual",$D287=$E287),IF(AND($D287=$E287,T$111=$B287+$D287),$K287,IF(AND(T$111&gt;$B287+$D287,T$111&lt;=$B287+$E287), $K287/($E287-$D287),0)), IF(OR(T$111=$B287+$D287,T$111=$B287+$E287),$K287/(($E287-$D287)*2),IF(AND(T$111&gt;$B287+$D287,T$111&lt;$B287+$E287),$K287/($E287-$D287),0)))</f>
        <v>0</v>
      </c>
      <c r="U287" s="9"/>
      <c r="V287" s="9"/>
      <c r="W287" s="9"/>
      <c r="X287" s="9"/>
      <c r="Y287" s="9">
        <f t="shared" si="84"/>
        <v>0</v>
      </c>
      <c r="Z287" s="9">
        <f t="shared" ca="1" si="84"/>
        <v>0</v>
      </c>
      <c r="AA287" s="9">
        <f t="shared" ca="1" si="84"/>
        <v>0</v>
      </c>
    </row>
    <row r="288" spans="1:27">
      <c r="A288" s="8" t="str">
        <f>A287</f>
        <v>Type 18</v>
      </c>
      <c r="B288" s="7">
        <f>B287+1</f>
        <v>2022</v>
      </c>
      <c r="C288" s="7" t="str">
        <f>C287</f>
        <v>Annual</v>
      </c>
      <c r="D288" s="7">
        <f t="shared" si="85"/>
        <v>0</v>
      </c>
      <c r="E288" s="7">
        <f t="shared" si="85"/>
        <v>0</v>
      </c>
      <c r="F288" s="14">
        <f>$P$104</f>
        <v>3.5744886743189486E-2</v>
      </c>
      <c r="H288" s="9"/>
      <c r="I288" s="9"/>
      <c r="J288" s="9"/>
      <c r="K288" s="9"/>
      <c r="L288" s="9">
        <f ca="1">$F$104/$F$31</f>
        <v>0</v>
      </c>
      <c r="M288" s="9">
        <f ca="1">L288-T288</f>
        <v>0</v>
      </c>
      <c r="N288" s="9"/>
      <c r="O288" s="9"/>
      <c r="P288" s="9"/>
      <c r="Q288" s="9"/>
      <c r="R288" s="9"/>
      <c r="S288" s="9">
        <f ca="1">IF(OR($C288="Annual",$D288=$E288),IF(AND($D288=$E288,S$111=$B288+$D288),$L288,IF(AND(S$111&gt;$B288+$D288,S$111&lt;=$B288+$E288), $L288/($E288-$D288),0)), IF(OR(S$111=$B288+$D288,S$111=$B288+$E288),$L288/(($E288-$D288)*2),IF(AND(S$111&gt;$B288+$D288,S$111&lt;$B288+$E288),$L288/($E288-$D288),0)))</f>
        <v>0</v>
      </c>
      <c r="T288" s="9">
        <f>IF(OR($C288="Annual",$D288=$E288),IF(AND($D288=$E288,T$111=$B288+$D288),$L288,IF(AND(T$111&gt;$B288+$D288,T$111&lt;=$B288+$E288), $L288/($E288-$D288),0)), IF(OR(T$111=$B288+$D288,T$111=$B288+$E288),$L288/(($E288-$D288)*2),IF(AND(T$111&gt;$B288+$D288,T$111&lt;$B288+$E288),$L288/($E288-$D288),0)))</f>
        <v>0</v>
      </c>
      <c r="U288" s="9"/>
      <c r="V288" s="9"/>
      <c r="W288" s="9"/>
      <c r="X288" s="9"/>
      <c r="Y288" s="9"/>
      <c r="Z288" s="9">
        <f t="shared" si="84"/>
        <v>0</v>
      </c>
      <c r="AA288" s="9">
        <f t="shared" ca="1" si="84"/>
        <v>0</v>
      </c>
    </row>
    <row r="289" spans="1:27">
      <c r="A289" s="8" t="str">
        <f>A288</f>
        <v>Type 18</v>
      </c>
      <c r="B289" s="7">
        <f>B288+1</f>
        <v>2023</v>
      </c>
      <c r="C289" s="7" t="str">
        <f>C288</f>
        <v>Annual</v>
      </c>
      <c r="D289" s="7">
        <f t="shared" si="85"/>
        <v>0</v>
      </c>
      <c r="E289" s="7">
        <f t="shared" si="85"/>
        <v>0</v>
      </c>
      <c r="F289" s="14">
        <f>$Q$104</f>
        <v>3.5744886743189486E-2</v>
      </c>
      <c r="H289" s="9"/>
      <c r="I289" s="9"/>
      <c r="J289" s="9"/>
      <c r="K289" s="9"/>
      <c r="L289" s="9"/>
      <c r="M289" s="9">
        <f ca="1">$G$104/$G$31</f>
        <v>0</v>
      </c>
      <c r="N289" s="9"/>
      <c r="O289" s="9"/>
      <c r="P289" s="9"/>
      <c r="Q289" s="9"/>
      <c r="R289" s="9"/>
      <c r="S289" s="9"/>
      <c r="T289" s="9">
        <f ca="1">IF(OR($C289="Annual",$D289=$E289),IF(AND($D289=$E289,T$111=$B289+$D289),$M289,IF(AND(T$111&gt;$B289+$D289,T$111&lt;=$B289+$E289), $M289/($E289-$D289),0)), IF(OR(T$111=$B289+$D289,T$111=$B289+$E289),$M289/(($E289-$D289)*2),IF(AND(T$111&gt;$B289+$D289,T$111&lt;$B289+$E289),$M289/($E289-$D289),0)))</f>
        <v>0</v>
      </c>
      <c r="U289" s="9"/>
      <c r="V289" s="9"/>
      <c r="W289" s="9"/>
      <c r="X289" s="9"/>
      <c r="Y289" s="9"/>
      <c r="Z289" s="9"/>
      <c r="AA289" s="9">
        <f t="shared" si="84"/>
        <v>0</v>
      </c>
    </row>
    <row r="290" spans="1:27">
      <c r="A290" s="8"/>
      <c r="B290" s="7"/>
      <c r="C290" s="7"/>
      <c r="D290" s="7"/>
      <c r="E290" s="7"/>
      <c r="F290" s="15"/>
      <c r="H290" s="9"/>
      <c r="I290" s="9"/>
      <c r="J290" s="9"/>
      <c r="K290" s="9"/>
      <c r="L290" s="9"/>
      <c r="M290" s="9"/>
      <c r="N290" s="9"/>
      <c r="O290" s="278"/>
      <c r="P290" s="10"/>
      <c r="Q290" s="10"/>
      <c r="R290" s="10"/>
      <c r="S290" s="10"/>
      <c r="T290" s="10"/>
      <c r="U290" s="9"/>
      <c r="V290" s="10"/>
      <c r="W290" s="10"/>
      <c r="X290" s="10"/>
      <c r="Y290" s="10"/>
      <c r="Z290" s="10"/>
      <c r="AA290" s="10"/>
    </row>
    <row r="291" spans="1:27">
      <c r="A291" s="8" t="str">
        <f>'Input 4 - Forecast'!A86</f>
        <v>Type 19</v>
      </c>
      <c r="B291" s="7">
        <f>B119</f>
        <v>2018</v>
      </c>
      <c r="C291" s="7" t="str">
        <f>$I105</f>
        <v>Annual</v>
      </c>
      <c r="D291" s="7">
        <f>$J105</f>
        <v>0</v>
      </c>
      <c r="E291" s="7">
        <f>$K105</f>
        <v>0</v>
      </c>
      <c r="F291" s="14">
        <f>$L$105</f>
        <v>0</v>
      </c>
      <c r="H291" s="9">
        <f>$B$105/$B$31</f>
        <v>0</v>
      </c>
      <c r="I291" s="9">
        <f>H291-P291</f>
        <v>0</v>
      </c>
      <c r="J291" s="9">
        <f>I291-Q291</f>
        <v>0</v>
      </c>
      <c r="K291" s="9">
        <f>J291-R291</f>
        <v>0</v>
      </c>
      <c r="L291" s="9">
        <f>K291-S291</f>
        <v>0</v>
      </c>
      <c r="M291" s="9">
        <f>L291-T291</f>
        <v>0</v>
      </c>
      <c r="N291" s="9"/>
      <c r="O291" s="9">
        <f t="shared" ref="O291:T291" si="86">IF(OR($C291="Annual",$D291=$E291),IF(AND($D291=$E291,O$111=$B291+$D291),$H291,IF(AND(O$111&gt;$B291+$D291,O$111&lt;=$B291+$E291), $H291/($E291-$D291),0)), IF(OR(O$111=$B291+$D291,O$111=$B291+$E291),$H291/(($E291-$D291)*2),IF(AND(O$111&gt;$B291+$D291,O$111&lt;$B291+$E291),$H291/($E291-$D291),0)))</f>
        <v>0</v>
      </c>
      <c r="P291" s="9">
        <f t="shared" si="86"/>
        <v>0</v>
      </c>
      <c r="Q291" s="9">
        <f t="shared" si="86"/>
        <v>0</v>
      </c>
      <c r="R291" s="9">
        <f t="shared" si="86"/>
        <v>0</v>
      </c>
      <c r="S291" s="9">
        <f t="shared" si="86"/>
        <v>0</v>
      </c>
      <c r="T291" s="9">
        <f t="shared" si="86"/>
        <v>0</v>
      </c>
      <c r="U291" s="9"/>
      <c r="V291" s="9">
        <f>IF($C291="annual",IF(V$111=$B291,0,G291*$F291),IF(V$111-$B291=0,0,IF((V$111-$B291)&lt;$E291,AVERAGE(G291,H291)*$F291,IF((V$111-$B291)=$E291,G291*$F291/2,0))))</f>
        <v>0</v>
      </c>
      <c r="W291" s="9">
        <f t="shared" ref="W291:AA296" si="87">IF($C291="annual",IF(W$111=$B291,0,H291*$F291),IF(W$111-$B291=0,0,IF((W$111-$B291)&lt;$E291,AVERAGE(H291,I291)*$F291,IF((W$111-$B291)=$E291,H291*$F291/2,0))))</f>
        <v>0</v>
      </c>
      <c r="X291" s="9">
        <f t="shared" si="87"/>
        <v>0</v>
      </c>
      <c r="Y291" s="9">
        <f t="shared" si="87"/>
        <v>0</v>
      </c>
      <c r="Z291" s="9">
        <f t="shared" si="87"/>
        <v>0</v>
      </c>
      <c r="AA291" s="9">
        <f t="shared" si="87"/>
        <v>0</v>
      </c>
    </row>
    <row r="292" spans="1:27">
      <c r="A292" s="8" t="str">
        <f>A291</f>
        <v>Type 19</v>
      </c>
      <c r="B292" s="7">
        <f>B291+1</f>
        <v>2019</v>
      </c>
      <c r="C292" s="7" t="str">
        <f>C291</f>
        <v>Annual</v>
      </c>
      <c r="D292" s="7">
        <f t="shared" ref="D292:E296" si="88">D291</f>
        <v>0</v>
      </c>
      <c r="E292" s="7">
        <f t="shared" si="88"/>
        <v>0</v>
      </c>
      <c r="F292" s="14">
        <f>$M$105</f>
        <v>3.5744886743189486E-2</v>
      </c>
      <c r="H292" s="9"/>
      <c r="I292" s="9">
        <f ca="1">$C$105/$C$31</f>
        <v>0</v>
      </c>
      <c r="J292" s="9">
        <f ca="1">I292-Q292</f>
        <v>0</v>
      </c>
      <c r="K292" s="9">
        <f ca="1">J292-R292</f>
        <v>0</v>
      </c>
      <c r="L292" s="9">
        <f ca="1">K292-S292</f>
        <v>0</v>
      </c>
      <c r="M292" s="9">
        <f ca="1">L292-T292</f>
        <v>0</v>
      </c>
      <c r="N292" s="9"/>
      <c r="O292" s="9"/>
      <c r="P292" s="9">
        <f ca="1">IF(OR($C292="Annual",$D292=$E292),IF(AND($D292=$E292,P$111=$B292+$D292),$I292,IF(AND(P$111&gt;$B292+$D292,P$111&lt;=$B292+$E292), $I292/($E292-$D292),0)), IF(OR(P$111=$B292+$D292,P$111=$B292+$E292),$I292/(($E292-$D292)*2),IF(AND(P$111&gt;$B292+$D292,P$111&lt;$B292+$E292),$I292/($E292-$D292),0)))</f>
        <v>0</v>
      </c>
      <c r="Q292" s="9">
        <f>IF(OR($C292="Annual",$D292=$E292),IF(AND($D292=$E292,Q$111=$B292+$D292),$I292,IF(AND(Q$111&gt;$B292+$D292,Q$111&lt;=$B292+$E292), $I292/($E292-$D292),0)), IF(OR(Q$111=$B292+$D292,Q$111=$B292+$E292),$I292/(($E292-$D292)*2),IF(AND(Q$111&gt;$B292+$D292,Q$111&lt;$B292+$E292),$I292/($E292-$D292),0)))</f>
        <v>0</v>
      </c>
      <c r="R292" s="9">
        <f>IF(OR($C292="Annual",$D292=$E292),IF(AND($D292=$E292,R$111=$B292+$D292),$I292,IF(AND(R$111&gt;$B292+$D292,R$111&lt;=$B292+$E292), $I292/($E292-$D292),0)), IF(OR(R$111=$B292+$D292,R$111=$B292+$E292),$I292/(($E292-$D292)*2),IF(AND(R$111&gt;$B292+$D292,R$111&lt;$B292+$E292),$I292/($E292-$D292),0)))</f>
        <v>0</v>
      </c>
      <c r="S292" s="9">
        <f>IF(OR($C292="Annual",$D292=$E292),IF(AND($D292=$E292,S$111=$B292+$D292),$I292,IF(AND(S$111&gt;$B292+$D292,S$111&lt;=$B292+$E292), $I292/($E292-$D292),0)), IF(OR(S$111=$B292+$D292,S$111=$B292+$E292),$I292/(($E292-$D292)*2),IF(AND(S$111&gt;$B292+$D292,S$111&lt;$B292+$E292),$I292/($E292-$D292),0)))</f>
        <v>0</v>
      </c>
      <c r="T292" s="9">
        <f>IF(OR($C292="Annual",$D292=$E292),IF(AND($D292=$E292,T$111=$B292+$D292),$I292,IF(AND(T$111&gt;$B292+$D292,T$111&lt;=$B292+$E292), $I292/($E292-$D292),0)), IF(OR(T$111=$B292+$D292,T$111=$B292+$E292),$I292/(($E292-$D292)*2),IF(AND(T$111&gt;$B292+$D292,T$111&lt;$B292+$E292),$I292/($E292-$D292),0)))</f>
        <v>0</v>
      </c>
      <c r="U292" s="9"/>
      <c r="V292" s="9"/>
      <c r="W292" s="9">
        <f t="shared" si="87"/>
        <v>0</v>
      </c>
      <c r="X292" s="9">
        <f t="shared" ca="1" si="87"/>
        <v>0</v>
      </c>
      <c r="Y292" s="9">
        <f t="shared" ca="1" si="87"/>
        <v>0</v>
      </c>
      <c r="Z292" s="9">
        <f t="shared" ca="1" si="87"/>
        <v>0</v>
      </c>
      <c r="AA292" s="9">
        <f t="shared" ca="1" si="87"/>
        <v>0</v>
      </c>
    </row>
    <row r="293" spans="1:27">
      <c r="A293" s="8" t="str">
        <f>A292</f>
        <v>Type 19</v>
      </c>
      <c r="B293" s="7">
        <f>B292+1</f>
        <v>2020</v>
      </c>
      <c r="C293" s="7" t="str">
        <f>C292</f>
        <v>Annual</v>
      </c>
      <c r="D293" s="7">
        <f t="shared" si="88"/>
        <v>0</v>
      </c>
      <c r="E293" s="7">
        <f t="shared" si="88"/>
        <v>0</v>
      </c>
      <c r="F293" s="14">
        <f>$N$105</f>
        <v>3.5744886743189486E-2</v>
      </c>
      <c r="H293" s="9"/>
      <c r="I293" s="9"/>
      <c r="J293" s="9">
        <f ca="1">$D$105/$D$31</f>
        <v>0</v>
      </c>
      <c r="K293" s="9">
        <f ca="1">J293-R293</f>
        <v>0</v>
      </c>
      <c r="L293" s="9">
        <f ca="1">K293-S293</f>
        <v>0</v>
      </c>
      <c r="M293" s="9">
        <f ca="1">L293-T293</f>
        <v>0</v>
      </c>
      <c r="N293" s="9"/>
      <c r="O293" s="9"/>
      <c r="P293" s="9"/>
      <c r="Q293" s="9">
        <f ca="1">IF(OR($C293="Annual",$D293=$E293),IF(AND($D293=$E293,Q$111=$B293+$D293),$J293,IF(AND(Q$111&gt;$B293+$D293,Q$111&lt;=$B293+$E293), $J293/($E293-$D293),0)), IF(OR(Q$111=$B293+$D293,Q$111=$B293+$E293),$J293/(($E293-$D293)*2),IF(AND(Q$111&gt;$B293+$D293,Q$111&lt;$B293+$E293),$J293/($E293-$D293),0)))</f>
        <v>0</v>
      </c>
      <c r="R293" s="9">
        <f>IF(OR($C293="Annual",$D293=$E293),IF(AND($D293=$E293,R$111=$B293+$D293),$J293,IF(AND(R$111&gt;$B293+$D293,R$111&lt;=$B293+$E293), $J293/($E293-$D293),0)), IF(OR(R$111=$B293+$D293,R$111=$B293+$E293),$J293/(($E293-$D293)*2),IF(AND(R$111&gt;$B293+$D293,R$111&lt;$B293+$E293),$J293/($E293-$D293),0)))</f>
        <v>0</v>
      </c>
      <c r="S293" s="9">
        <f>IF(OR($C293="Annual",$D293=$E293),IF(AND($D293=$E293,S$111=$B293+$D293),$J293,IF(AND(S$111&gt;$B293+$D293,S$111&lt;=$B293+$E293), $J293/($E293-$D293),0)), IF(OR(S$111=$B293+$D293,S$111=$B293+$E293),$J293/(($E293-$D293)*2),IF(AND(S$111&gt;$B293+$D293,S$111&lt;$B293+$E293),$J293/($E293-$D293),0)))</f>
        <v>0</v>
      </c>
      <c r="T293" s="9">
        <f>IF(OR($C293="Annual",$D293=$E293),IF(AND($D293=$E293,T$111=$B293+$D293),$J293,IF(AND(T$111&gt;$B293+$D293,T$111&lt;=$B293+$E293), $J293/($E293-$D293),0)), IF(OR(T$111=$B293+$D293,T$111=$B293+$E293),$J293/(($E293-$D293)*2),IF(AND(T$111&gt;$B293+$D293,T$111&lt;$B293+$E293),$J293/($E293-$D293),0)))</f>
        <v>0</v>
      </c>
      <c r="U293" s="9"/>
      <c r="V293" s="9"/>
      <c r="W293" s="9"/>
      <c r="X293" s="9">
        <f t="shared" si="87"/>
        <v>0</v>
      </c>
      <c r="Y293" s="9">
        <f t="shared" ca="1" si="87"/>
        <v>0</v>
      </c>
      <c r="Z293" s="9">
        <f t="shared" ca="1" si="87"/>
        <v>0</v>
      </c>
      <c r="AA293" s="9">
        <f t="shared" ca="1" si="87"/>
        <v>0</v>
      </c>
    </row>
    <row r="294" spans="1:27">
      <c r="A294" s="8" t="str">
        <f>A293</f>
        <v>Type 19</v>
      </c>
      <c r="B294" s="7">
        <f>B293+1</f>
        <v>2021</v>
      </c>
      <c r="C294" s="7" t="str">
        <f>C293</f>
        <v>Annual</v>
      </c>
      <c r="D294" s="7">
        <f t="shared" si="88"/>
        <v>0</v>
      </c>
      <c r="E294" s="7">
        <f t="shared" si="88"/>
        <v>0</v>
      </c>
      <c r="F294" s="14">
        <f>$O$105</f>
        <v>3.5744886743189486E-2</v>
      </c>
      <c r="H294" s="9"/>
      <c r="I294" s="9"/>
      <c r="J294" s="9"/>
      <c r="K294" s="9">
        <f ca="1">$E$105/$E$31</f>
        <v>0</v>
      </c>
      <c r="L294" s="9">
        <f ca="1">K294-S294</f>
        <v>0</v>
      </c>
      <c r="M294" s="9">
        <f ca="1">L294-T294</f>
        <v>0</v>
      </c>
      <c r="N294" s="9"/>
      <c r="O294" s="9"/>
      <c r="P294" s="9"/>
      <c r="Q294" s="9"/>
      <c r="R294" s="9">
        <f ca="1">IF(OR($C294="Annual",$D294=$E294),IF(AND($D294=$E294,R$111=$B294+$D294),$K294,IF(AND(R$111&gt;$B294+$D294,R$111&lt;=$B294+$E294), $K294/($E294-$D294),0)), IF(OR(R$111=$B294+$D294,R$111=$B294+$E294),$K294/(($E294-$D294)*2),IF(AND(R$111&gt;$B294+$D294,R$111&lt;$B294+$E294),$K294/($E294-$D294),0)))</f>
        <v>0</v>
      </c>
      <c r="S294" s="9">
        <f>IF(OR($C294="Annual",$D294=$E294),IF(AND($D294=$E294,S$111=$B294+$D294),$K294,IF(AND(S$111&gt;$B294+$D294,S$111&lt;=$B294+$E294), $K294/($E294-$D294),0)), IF(OR(S$111=$B294+$D294,S$111=$B294+$E294),$K294/(($E294-$D294)*2),IF(AND(S$111&gt;$B294+$D294,S$111&lt;$B294+$E294),$K294/($E294-$D294),0)))</f>
        <v>0</v>
      </c>
      <c r="T294" s="9">
        <f>IF(OR($C294="Annual",$D294=$E294),IF(AND($D294=$E294,T$111=$B294+$D294),$K294,IF(AND(T$111&gt;$B294+$D294,T$111&lt;=$B294+$E294), $K294/($E294-$D294),0)), IF(OR(T$111=$B294+$D294,T$111=$B294+$E294),$K294/(($E294-$D294)*2),IF(AND(T$111&gt;$B294+$D294,T$111&lt;$B294+$E294),$K294/($E294-$D294),0)))</f>
        <v>0</v>
      </c>
      <c r="U294" s="9"/>
      <c r="V294" s="9"/>
      <c r="W294" s="9"/>
      <c r="X294" s="9"/>
      <c r="Y294" s="9">
        <f t="shared" si="87"/>
        <v>0</v>
      </c>
      <c r="Z294" s="9">
        <f t="shared" ca="1" si="87"/>
        <v>0</v>
      </c>
      <c r="AA294" s="9">
        <f t="shared" ca="1" si="87"/>
        <v>0</v>
      </c>
    </row>
    <row r="295" spans="1:27">
      <c r="A295" s="8" t="str">
        <f>A294</f>
        <v>Type 19</v>
      </c>
      <c r="B295" s="7">
        <f>B294+1</f>
        <v>2022</v>
      </c>
      <c r="C295" s="7" t="str">
        <f>C294</f>
        <v>Annual</v>
      </c>
      <c r="D295" s="7">
        <f t="shared" si="88"/>
        <v>0</v>
      </c>
      <c r="E295" s="7">
        <f t="shared" si="88"/>
        <v>0</v>
      </c>
      <c r="F295" s="14">
        <f>$P$105</f>
        <v>3.5744886743189486E-2</v>
      </c>
      <c r="H295" s="9"/>
      <c r="I295" s="9"/>
      <c r="J295" s="9"/>
      <c r="K295" s="9"/>
      <c r="L295" s="9">
        <f ca="1">$F$105/$F$31</f>
        <v>0</v>
      </c>
      <c r="M295" s="9">
        <f ca="1">L295-T295</f>
        <v>0</v>
      </c>
      <c r="N295" s="9"/>
      <c r="O295" s="9"/>
      <c r="P295" s="9"/>
      <c r="Q295" s="9"/>
      <c r="R295" s="9"/>
      <c r="S295" s="9">
        <f ca="1">IF(OR($C295="Annual",$D295=$E295),IF(AND($D295=$E295,S$111=$B295+$D295),$L295,IF(AND(S$111&gt;$B295+$D295,S$111&lt;=$B295+$E295), $L295/($E295-$D295),0)), IF(OR(S$111=$B295+$D295,S$111=$B295+$E295),$L295/(($E295-$D295)*2),IF(AND(S$111&gt;$B295+$D295,S$111&lt;$B295+$E295),$L295/($E295-$D295),0)))</f>
        <v>0</v>
      </c>
      <c r="T295" s="9">
        <f>IF(OR($C295="Annual",$D295=$E295),IF(AND($D295=$E295,T$111=$B295+$D295),$L295,IF(AND(T$111&gt;$B295+$D295,T$111&lt;=$B295+$E295), $L295/($E295-$D295),0)), IF(OR(T$111=$B295+$D295,T$111=$B295+$E295),$L295/(($E295-$D295)*2),IF(AND(T$111&gt;$B295+$D295,T$111&lt;$B295+$E295),$L295/($E295-$D295),0)))</f>
        <v>0</v>
      </c>
      <c r="U295" s="9"/>
      <c r="V295" s="9"/>
      <c r="W295" s="9"/>
      <c r="X295" s="9"/>
      <c r="Y295" s="9"/>
      <c r="Z295" s="9">
        <f t="shared" si="87"/>
        <v>0</v>
      </c>
      <c r="AA295" s="9">
        <f t="shared" ca="1" si="87"/>
        <v>0</v>
      </c>
    </row>
    <row r="296" spans="1:27">
      <c r="A296" s="8" t="str">
        <f>A295</f>
        <v>Type 19</v>
      </c>
      <c r="B296" s="7">
        <f>B295+1</f>
        <v>2023</v>
      </c>
      <c r="C296" s="7" t="str">
        <f>C295</f>
        <v>Annual</v>
      </c>
      <c r="D296" s="7">
        <f t="shared" si="88"/>
        <v>0</v>
      </c>
      <c r="E296" s="7">
        <f t="shared" si="88"/>
        <v>0</v>
      </c>
      <c r="F296" s="14">
        <f>$Q$105</f>
        <v>3.5744886743189486E-2</v>
      </c>
      <c r="H296" s="9"/>
      <c r="I296" s="9"/>
      <c r="J296" s="9"/>
      <c r="K296" s="9"/>
      <c r="L296" s="9"/>
      <c r="M296" s="9">
        <f ca="1">$G$105/$G$31</f>
        <v>0</v>
      </c>
      <c r="N296" s="9"/>
      <c r="O296" s="9"/>
      <c r="P296" s="9"/>
      <c r="Q296" s="9"/>
      <c r="R296" s="9"/>
      <c r="S296" s="9"/>
      <c r="T296" s="9">
        <f ca="1">IF(OR($C296="Annual",$D296=$E296),IF(AND($D296=$E296,T$111=$B296+$D296),$M296,IF(AND(T$111&gt;$B296+$D296,T$111&lt;=$B296+$E296), $M296/($E296-$D296),0)), IF(OR(T$111=$B296+$D296,T$111=$B296+$E296),$M296/(($E296-$D296)*2),IF(AND(T$111&gt;$B296+$D296,T$111&lt;$B296+$E296),$M296/($E296-$D296),0)))</f>
        <v>0</v>
      </c>
      <c r="U296" s="9"/>
      <c r="V296" s="9"/>
      <c r="W296" s="9"/>
      <c r="X296" s="9"/>
      <c r="Y296" s="9"/>
      <c r="Z296" s="9"/>
      <c r="AA296" s="9">
        <f t="shared" si="87"/>
        <v>0</v>
      </c>
    </row>
    <row r="297" spans="1:27">
      <c r="A297" s="8"/>
      <c r="B297" s="7"/>
      <c r="C297" s="7"/>
      <c r="D297" s="7"/>
      <c r="E297" s="7"/>
      <c r="F297" s="15"/>
      <c r="H297" s="9"/>
      <c r="I297" s="9"/>
      <c r="J297" s="9"/>
      <c r="K297" s="9"/>
      <c r="L297" s="9"/>
      <c r="M297" s="9"/>
      <c r="N297" s="9"/>
      <c r="O297" s="278"/>
      <c r="P297" s="10"/>
      <c r="Q297" s="10"/>
      <c r="R297" s="10"/>
      <c r="S297" s="10"/>
      <c r="T297" s="10"/>
      <c r="U297" s="9"/>
      <c r="V297" s="10"/>
      <c r="W297" s="10"/>
      <c r="X297" s="10"/>
      <c r="Y297" s="10"/>
      <c r="Z297" s="10"/>
      <c r="AA297" s="10"/>
    </row>
    <row r="298" spans="1:27" s="1150" customFormat="1">
      <c r="A298" s="1347" t="str">
        <f>'Input 4 - Forecast'!A87</f>
        <v>ZERO-COUPON BOND</v>
      </c>
      <c r="B298" s="1348">
        <f>B119</f>
        <v>2018</v>
      </c>
      <c r="C298" s="1348"/>
      <c r="D298" s="1348">
        <f>$J106</f>
        <v>0</v>
      </c>
      <c r="E298" s="1348">
        <f>$K106</f>
        <v>0</v>
      </c>
      <c r="F298" s="1349">
        <f>$L$106</f>
        <v>0</v>
      </c>
      <c r="H298" s="1350">
        <f>$B$106/$B$31</f>
        <v>0</v>
      </c>
      <c r="I298" s="1350">
        <f>H298-P298</f>
        <v>0</v>
      </c>
      <c r="J298" s="1350">
        <f>I298-Q298</f>
        <v>0</v>
      </c>
      <c r="K298" s="1350">
        <f>J298-R298</f>
        <v>0</v>
      </c>
      <c r="L298" s="1350">
        <f>K298-S298</f>
        <v>0</v>
      </c>
      <c r="M298" s="1350">
        <f>L298-T298</f>
        <v>0</v>
      </c>
      <c r="N298" s="1350"/>
      <c r="O298" s="1350">
        <f t="shared" ref="O298:T298" si="89">IF($D298=$E298,IF(O$111=$B298+$E298,$H298,0),0)</f>
        <v>0</v>
      </c>
      <c r="P298" s="1350">
        <f t="shared" si="89"/>
        <v>0</v>
      </c>
      <c r="Q298" s="1350">
        <f t="shared" si="89"/>
        <v>0</v>
      </c>
      <c r="R298" s="1350">
        <f t="shared" si="89"/>
        <v>0</v>
      </c>
      <c r="S298" s="1350">
        <f t="shared" si="89"/>
        <v>0</v>
      </c>
      <c r="T298" s="1350">
        <f t="shared" si="89"/>
        <v>0</v>
      </c>
      <c r="U298" s="1350"/>
      <c r="V298" s="1350">
        <f t="shared" ref="V298:AA298" si="90">IF(V$111-$B298=$D298,$H298*(((1+$F298)^$D298)-1),0)</f>
        <v>0</v>
      </c>
      <c r="W298" s="1350">
        <f t="shared" si="90"/>
        <v>0</v>
      </c>
      <c r="X298" s="1350">
        <f t="shared" si="90"/>
        <v>0</v>
      </c>
      <c r="Y298" s="1350">
        <f t="shared" si="90"/>
        <v>0</v>
      </c>
      <c r="Z298" s="1350">
        <f t="shared" si="90"/>
        <v>0</v>
      </c>
      <c r="AA298" s="1350">
        <f t="shared" si="90"/>
        <v>0</v>
      </c>
    </row>
    <row r="299" spans="1:27" s="1150" customFormat="1">
      <c r="A299" s="1347" t="str">
        <f>A298</f>
        <v>ZERO-COUPON BOND</v>
      </c>
      <c r="B299" s="1348">
        <f>B298+1</f>
        <v>2019</v>
      </c>
      <c r="C299" s="1348"/>
      <c r="D299" s="1348">
        <f t="shared" ref="D299:E303" si="91">D298</f>
        <v>0</v>
      </c>
      <c r="E299" s="1348">
        <f t="shared" si="91"/>
        <v>0</v>
      </c>
      <c r="F299" s="1349">
        <f>$M$106</f>
        <v>3.5744886743189486E-2</v>
      </c>
      <c r="H299" s="1350"/>
      <c r="I299" s="1350">
        <f ca="1">$C$106/$C$31</f>
        <v>0</v>
      </c>
      <c r="J299" s="1350">
        <f ca="1">I299-Q299</f>
        <v>0</v>
      </c>
      <c r="K299" s="1350">
        <f ca="1">J299-R299</f>
        <v>0</v>
      </c>
      <c r="L299" s="1350">
        <f ca="1">K299-S299</f>
        <v>0</v>
      </c>
      <c r="M299" s="1350">
        <f ca="1">L299-T299</f>
        <v>0</v>
      </c>
      <c r="N299" s="1350"/>
      <c r="O299" s="1351"/>
      <c r="P299" s="1350">
        <f ca="1">IF($D299=$E299,IF(P$111=$B299+$E299,$I299,0),0)</f>
        <v>0</v>
      </c>
      <c r="Q299" s="1350">
        <f>IF($D299=$E299,IF(Q$111=$B299+$E299,$I299,0),0)</f>
        <v>0</v>
      </c>
      <c r="R299" s="1350">
        <f>IF($D299=$E299,IF(R$111=$B299+$E299,$I299,0),0)</f>
        <v>0</v>
      </c>
      <c r="S299" s="1350">
        <f>IF($D299=$E299,IF(S$111=$B299+$E299,$I299,0),0)</f>
        <v>0</v>
      </c>
      <c r="T299" s="1350">
        <f>IF($D299=$E299,IF(T$111=$B299+$E299,$I299,0),0)</f>
        <v>0</v>
      </c>
      <c r="U299" s="1350"/>
      <c r="V299" s="1350"/>
      <c r="W299" s="1350">
        <f ca="1">IF(W$111-$B299=$D299,$I299*(((1+$F299)^$D299)-1),0)</f>
        <v>0</v>
      </c>
      <c r="X299" s="1350">
        <f>IF(X$111-$B299=$D299,$I299*(((1+$F299)^$D299)-1),0)</f>
        <v>0</v>
      </c>
      <c r="Y299" s="1350">
        <f>IF(Y$111-$B299=$D299,$I299*(((1+$F299)^$D299)-1),0)</f>
        <v>0</v>
      </c>
      <c r="Z299" s="1350">
        <f>IF(Z$111-$B299=$D299,$I299*(((1+$F299)^$D299)-1),0)</f>
        <v>0</v>
      </c>
      <c r="AA299" s="1350">
        <f>IF(AA$111-$B299=$D299,$I299*(((1+$F299)^$D299)-1),0)</f>
        <v>0</v>
      </c>
    </row>
    <row r="300" spans="1:27" s="1150" customFormat="1">
      <c r="A300" s="1347" t="str">
        <f>A299</f>
        <v>ZERO-COUPON BOND</v>
      </c>
      <c r="B300" s="1348">
        <f>B299+1</f>
        <v>2020</v>
      </c>
      <c r="C300" s="1348"/>
      <c r="D300" s="1348">
        <f t="shared" si="91"/>
        <v>0</v>
      </c>
      <c r="E300" s="1348">
        <f t="shared" si="91"/>
        <v>0</v>
      </c>
      <c r="F300" s="1349">
        <f>$N$106</f>
        <v>3.5744886743189486E-2</v>
      </c>
      <c r="H300" s="1350"/>
      <c r="I300" s="1350"/>
      <c r="J300" s="1350">
        <f ca="1">$D$106/$D$31</f>
        <v>0</v>
      </c>
      <c r="K300" s="1350">
        <f ca="1">J300-R300</f>
        <v>0</v>
      </c>
      <c r="L300" s="1350">
        <f ca="1">K300-S300</f>
        <v>0</v>
      </c>
      <c r="M300" s="1350">
        <f ca="1">L300-T300</f>
        <v>0</v>
      </c>
      <c r="N300" s="1350"/>
      <c r="O300" s="1351"/>
      <c r="P300" s="1350"/>
      <c r="Q300" s="1350">
        <f ca="1">IF($D300=$E300,IF(Q$111=$B300+$E300,$J300,0),0)</f>
        <v>0</v>
      </c>
      <c r="R300" s="1350">
        <f>IF($D300=$E300,IF(R$111=$B300+$E300,$J300,0),0)</f>
        <v>0</v>
      </c>
      <c r="S300" s="1350">
        <f>IF($D300=$E300,IF(S$111=$B300+$E300,$J300,0),0)</f>
        <v>0</v>
      </c>
      <c r="T300" s="1350">
        <f>IF($D300=$E300,IF(T$111=$B300+$E300,$J300,0),0)</f>
        <v>0</v>
      </c>
      <c r="U300" s="1350"/>
      <c r="V300" s="1350"/>
      <c r="W300" s="1350"/>
      <c r="X300" s="1350">
        <f ca="1">IF(X$111-$B300=$D300,$J300*(((1+$F300)^$D300)-1),0)</f>
        <v>0</v>
      </c>
      <c r="Y300" s="1350">
        <f>IF(Y$111-$B300=$D300,$J300*(((1+$F300)^$D300)-1),0)</f>
        <v>0</v>
      </c>
      <c r="Z300" s="1350">
        <f>IF(Z$111-$B300=$D300,$J300*(((1+$F300)^$D300)-1),0)</f>
        <v>0</v>
      </c>
      <c r="AA300" s="1350">
        <f>IF(AA$111-$B300=$D300,$J300*(((1+$F300)^$D300)-1),0)</f>
        <v>0</v>
      </c>
    </row>
    <row r="301" spans="1:27" s="1150" customFormat="1">
      <c r="A301" s="1347" t="str">
        <f>A300</f>
        <v>ZERO-COUPON BOND</v>
      </c>
      <c r="B301" s="1348">
        <f>B300+1</f>
        <v>2021</v>
      </c>
      <c r="C301" s="1348"/>
      <c r="D301" s="1348">
        <f t="shared" si="91"/>
        <v>0</v>
      </c>
      <c r="E301" s="1348">
        <f t="shared" si="91"/>
        <v>0</v>
      </c>
      <c r="F301" s="1349">
        <f>$O$106</f>
        <v>3.5744886743189486E-2</v>
      </c>
      <c r="H301" s="1350"/>
      <c r="I301" s="1350"/>
      <c r="J301" s="1350"/>
      <c r="K301" s="1350">
        <f ca="1">$E$106/$E$31</f>
        <v>0</v>
      </c>
      <c r="L301" s="1350">
        <f ca="1">K301-S301</f>
        <v>0</v>
      </c>
      <c r="M301" s="1350">
        <f ca="1">L301-T301</f>
        <v>0</v>
      </c>
      <c r="N301" s="1350"/>
      <c r="O301" s="1351"/>
      <c r="P301" s="1350"/>
      <c r="Q301" s="1350"/>
      <c r="R301" s="1350">
        <f ca="1">IF($D301=$E301,IF(R$111=$B301+$E301,$K301,0),0)</f>
        <v>0</v>
      </c>
      <c r="S301" s="1350">
        <f>IF($D301=$E301,IF(S$111=$B301+$E301,$K301,0),0)</f>
        <v>0</v>
      </c>
      <c r="T301" s="1350">
        <f>IF($D301=$E301,IF(T$111=$B301+$E301,$K301,0),0)</f>
        <v>0</v>
      </c>
      <c r="U301" s="1350"/>
      <c r="V301" s="1350"/>
      <c r="W301" s="1350"/>
      <c r="X301" s="1350"/>
      <c r="Y301" s="1350">
        <f ca="1">IF(Y$111-$B301=$D301,$K301*(((1+$F301)^$D301)-1),0)</f>
        <v>0</v>
      </c>
      <c r="Z301" s="1350">
        <f>IF(Z$111-$B301=$D301,$K301*(((1+$F301)^$D301)-1),0)</f>
        <v>0</v>
      </c>
      <c r="AA301" s="1350">
        <f>IF(AA$111-$B301=$D301,$K301*(((1+$F301)^$D301)-1),0)</f>
        <v>0</v>
      </c>
    </row>
    <row r="302" spans="1:27" s="1150" customFormat="1">
      <c r="A302" s="1347" t="str">
        <f>A301</f>
        <v>ZERO-COUPON BOND</v>
      </c>
      <c r="B302" s="1348">
        <f>B301+1</f>
        <v>2022</v>
      </c>
      <c r="C302" s="1348"/>
      <c r="D302" s="1348">
        <f t="shared" si="91"/>
        <v>0</v>
      </c>
      <c r="E302" s="1348">
        <f t="shared" si="91"/>
        <v>0</v>
      </c>
      <c r="F302" s="1349">
        <f>$P$106</f>
        <v>3.5744886743189486E-2</v>
      </c>
      <c r="H302" s="1350"/>
      <c r="I302" s="1350"/>
      <c r="J302" s="1350"/>
      <c r="K302" s="1350"/>
      <c r="L302" s="1350">
        <f ca="1">$F$106/$F$31</f>
        <v>0</v>
      </c>
      <c r="M302" s="1350">
        <f ca="1">L302-T302</f>
        <v>0</v>
      </c>
      <c r="N302" s="1350"/>
      <c r="O302" s="1351"/>
      <c r="P302" s="1350"/>
      <c r="Q302" s="1350"/>
      <c r="R302" s="1350"/>
      <c r="S302" s="1350">
        <f ca="1">IF($D302=$E302,IF(S$111=$B302+$E302,$L302,0),0)</f>
        <v>0</v>
      </c>
      <c r="T302" s="1350">
        <f>IF($D302=$E302,IF(T$111=$B302+$E302,$L302,0),0)</f>
        <v>0</v>
      </c>
      <c r="U302" s="1350"/>
      <c r="V302" s="1350"/>
      <c r="W302" s="1350"/>
      <c r="X302" s="1350"/>
      <c r="Y302" s="1350"/>
      <c r="Z302" s="1350">
        <f ca="1">IF(Z$111-$B302=$D302,$L302*(((1+$F302)^$D302)-1),0)</f>
        <v>0</v>
      </c>
      <c r="AA302" s="1350">
        <f>IF(AA$111-$B302=$D302,$L302*(((1+$F302)^$D302)-1),0)</f>
        <v>0</v>
      </c>
    </row>
    <row r="303" spans="1:27" s="1150" customFormat="1">
      <c r="A303" s="1347" t="str">
        <f>A302</f>
        <v>ZERO-COUPON BOND</v>
      </c>
      <c r="B303" s="1348">
        <f>B302+1</f>
        <v>2023</v>
      </c>
      <c r="C303" s="1348"/>
      <c r="D303" s="1348">
        <f t="shared" si="91"/>
        <v>0</v>
      </c>
      <c r="E303" s="1348">
        <f t="shared" si="91"/>
        <v>0</v>
      </c>
      <c r="F303" s="1349">
        <f>$Q$106</f>
        <v>3.5744886743189486E-2</v>
      </c>
      <c r="H303" s="1350"/>
      <c r="I303" s="1350"/>
      <c r="J303" s="1350"/>
      <c r="K303" s="1350"/>
      <c r="L303" s="1350"/>
      <c r="M303" s="1350">
        <f ca="1">$G$106/$G$31</f>
        <v>0</v>
      </c>
      <c r="N303" s="1350"/>
      <c r="O303" s="1351"/>
      <c r="P303" s="1350"/>
      <c r="Q303" s="1350"/>
      <c r="R303" s="1350"/>
      <c r="S303" s="1350"/>
      <c r="T303" s="1350">
        <f ca="1">IF($D303=$E303,IF(T$111=$B303+$E303,$M303,0),0)</f>
        <v>0</v>
      </c>
      <c r="U303" s="1350"/>
      <c r="V303" s="1350"/>
      <c r="W303" s="1350"/>
      <c r="X303" s="1350"/>
      <c r="Y303" s="1350"/>
      <c r="Z303" s="1350"/>
      <c r="AA303" s="1350">
        <f ca="1">IF(AA$111-$B303=$D303,$M303*(((1+$F303)^$D303)-1),0)</f>
        <v>0</v>
      </c>
    </row>
    <row r="304" spans="1:27" ht="15.75" thickBot="1">
      <c r="H304" s="10"/>
      <c r="I304" s="10"/>
      <c r="J304" s="10"/>
      <c r="K304" s="10"/>
      <c r="L304" s="10"/>
      <c r="M304" s="10"/>
      <c r="N304" s="10"/>
      <c r="O304" s="10"/>
      <c r="P304" s="10"/>
      <c r="Q304" s="10"/>
      <c r="R304" s="10"/>
      <c r="S304" s="10"/>
      <c r="T304" s="10"/>
      <c r="U304" s="10"/>
      <c r="V304" s="10"/>
      <c r="W304" s="10"/>
      <c r="X304" s="10"/>
      <c r="Y304" s="10"/>
      <c r="Z304" s="10"/>
      <c r="AA304" s="10"/>
    </row>
    <row r="305" spans="1:27" ht="15.75" thickBot="1">
      <c r="B305" s="1999" t="s">
        <v>51</v>
      </c>
      <c r="C305" s="2000"/>
      <c r="D305" s="2000"/>
      <c r="E305" s="2000"/>
      <c r="F305" s="2000"/>
      <c r="G305" s="2000"/>
      <c r="H305" s="2000"/>
      <c r="I305" s="2000"/>
      <c r="J305" s="2000"/>
      <c r="K305" s="2000"/>
      <c r="L305" s="2000"/>
      <c r="M305" s="2000"/>
      <c r="N305" s="2000"/>
      <c r="O305" s="2000"/>
      <c r="P305" s="2000"/>
      <c r="Q305" s="2000"/>
      <c r="R305" s="2000"/>
      <c r="S305" s="2000"/>
      <c r="T305" s="2000"/>
      <c r="U305" s="2000"/>
      <c r="V305" s="2000"/>
      <c r="W305" s="2000"/>
      <c r="X305" s="2000"/>
      <c r="Y305" s="2000"/>
      <c r="Z305" s="2000"/>
      <c r="AA305" s="2001"/>
    </row>
    <row r="306" spans="1:27">
      <c r="H306" s="10"/>
      <c r="I306" s="10"/>
      <c r="J306" s="10"/>
      <c r="K306" s="10"/>
      <c r="L306" s="10"/>
      <c r="M306" s="10"/>
      <c r="N306" s="10"/>
      <c r="O306" s="10"/>
      <c r="P306" s="10"/>
      <c r="Q306" s="10"/>
      <c r="R306" s="10"/>
      <c r="S306" s="10"/>
      <c r="T306" s="10"/>
      <c r="U306" s="10"/>
      <c r="V306" s="10"/>
      <c r="W306" s="10"/>
      <c r="X306" s="10"/>
      <c r="Y306" s="10"/>
      <c r="Z306" s="10"/>
      <c r="AA306" s="10"/>
    </row>
    <row r="307" spans="1:27">
      <c r="A307" s="16" t="str">
        <f>'Input 4 - Forecast'!A89</f>
        <v>Domestic Residual Financing (annual payments, no interest or amortization in current year)</v>
      </c>
      <c r="B307" s="7">
        <f>B119</f>
        <v>2018</v>
      </c>
      <c r="C307" s="7"/>
      <c r="D307" s="7">
        <f>$J108</f>
        <v>1</v>
      </c>
      <c r="E307" s="7">
        <f>$K108</f>
        <v>1</v>
      </c>
      <c r="F307" s="14">
        <f>$L$108</f>
        <v>0</v>
      </c>
      <c r="H307" s="9">
        <f>$B$108</f>
        <v>-267.59452840452661</v>
      </c>
      <c r="I307" s="9">
        <f>H307-P307</f>
        <v>0</v>
      </c>
      <c r="J307" s="9">
        <f>I307-Q307</f>
        <v>0</v>
      </c>
      <c r="K307" s="9">
        <f>J307-R307</f>
        <v>0</v>
      </c>
      <c r="L307" s="9">
        <f>K307-S307</f>
        <v>0</v>
      </c>
      <c r="M307" s="9">
        <f>L307-T307</f>
        <v>0</v>
      </c>
      <c r="N307" s="9"/>
      <c r="O307" s="9">
        <v>0</v>
      </c>
      <c r="P307" s="9">
        <f>H307</f>
        <v>-267.59452840452661</v>
      </c>
      <c r="Q307" s="9">
        <v>0</v>
      </c>
      <c r="R307" s="9">
        <v>0</v>
      </c>
      <c r="S307" s="9">
        <v>0</v>
      </c>
      <c r="T307" s="9">
        <v>0</v>
      </c>
      <c r="U307" s="9"/>
      <c r="V307" s="9">
        <v>0</v>
      </c>
      <c r="W307" s="9">
        <f>H307*$F307</f>
        <v>0</v>
      </c>
      <c r="X307" s="9">
        <f t="shared" ref="X307:AA309" si="92">I307*$F307</f>
        <v>0</v>
      </c>
      <c r="Y307" s="9">
        <f t="shared" si="92"/>
        <v>0</v>
      </c>
      <c r="Z307" s="9">
        <f t="shared" si="92"/>
        <v>0</v>
      </c>
      <c r="AA307" s="9">
        <f t="shared" si="92"/>
        <v>0</v>
      </c>
    </row>
    <row r="308" spans="1:27">
      <c r="B308" s="7">
        <f>B307+1</f>
        <v>2019</v>
      </c>
      <c r="C308" s="7"/>
      <c r="D308" s="7">
        <f t="shared" ref="D308:E312" si="93">D307</f>
        <v>1</v>
      </c>
      <c r="E308" s="7">
        <f t="shared" si="93"/>
        <v>1</v>
      </c>
      <c r="F308" s="14">
        <f>$M$108</f>
        <v>3.5744886743189486E-2</v>
      </c>
      <c r="H308" s="9"/>
      <c r="I308" s="9">
        <f ca="1">$C$108</f>
        <v>2349.8377866446644</v>
      </c>
      <c r="J308" s="9">
        <f ca="1">I308-Q308</f>
        <v>0</v>
      </c>
      <c r="K308" s="9">
        <f ca="1">J308-R308</f>
        <v>0</v>
      </c>
      <c r="L308" s="9">
        <f ca="1">K308-S308</f>
        <v>0</v>
      </c>
      <c r="M308" s="9">
        <f ca="1">L308-T308</f>
        <v>0</v>
      </c>
      <c r="O308" s="9"/>
      <c r="P308" s="9">
        <v>0</v>
      </c>
      <c r="Q308" s="9">
        <f ca="1">I308</f>
        <v>2349.8377866446644</v>
      </c>
      <c r="R308" s="9">
        <v>0</v>
      </c>
      <c r="S308" s="9">
        <v>0</v>
      </c>
      <c r="T308" s="9">
        <v>0</v>
      </c>
      <c r="V308" s="9"/>
      <c r="W308" s="9">
        <v>0</v>
      </c>
      <c r="X308" s="9">
        <f ca="1">I308*$F308</f>
        <v>147.7351915727468</v>
      </c>
      <c r="Y308" s="9">
        <f t="shared" ca="1" si="92"/>
        <v>0</v>
      </c>
      <c r="Z308" s="9">
        <f t="shared" ca="1" si="92"/>
        <v>0</v>
      </c>
      <c r="AA308" s="9">
        <f t="shared" ca="1" si="92"/>
        <v>0</v>
      </c>
    </row>
    <row r="309" spans="1:27">
      <c r="B309" s="7">
        <f>B308+1</f>
        <v>2020</v>
      </c>
      <c r="C309" s="7"/>
      <c r="D309" s="7">
        <f t="shared" si="93"/>
        <v>1</v>
      </c>
      <c r="E309" s="7">
        <f t="shared" si="93"/>
        <v>1</v>
      </c>
      <c r="F309" s="14">
        <f>$N$108</f>
        <v>3.5744886743189486E-2</v>
      </c>
      <c r="H309" s="9"/>
      <c r="I309" s="9"/>
      <c r="J309" s="9">
        <f ca="1">$D$108</f>
        <v>4539.0662340217614</v>
      </c>
      <c r="K309" s="9">
        <f ca="1">J309-R309</f>
        <v>0</v>
      </c>
      <c r="L309" s="9">
        <f ca="1">K309-S309</f>
        <v>0</v>
      </c>
      <c r="M309" s="9">
        <f ca="1">L309-T309</f>
        <v>0</v>
      </c>
      <c r="O309" s="9"/>
      <c r="P309" s="9"/>
      <c r="Q309" s="9">
        <v>0</v>
      </c>
      <c r="R309" s="9">
        <f ca="1">J309</f>
        <v>4539.0662340217614</v>
      </c>
      <c r="S309" s="9">
        <v>0</v>
      </c>
      <c r="T309" s="9">
        <v>0</v>
      </c>
      <c r="V309" s="9"/>
      <c r="W309" s="9"/>
      <c r="X309" s="9">
        <v>0</v>
      </c>
      <c r="Y309" s="9">
        <f ca="1">J309*$F309</f>
        <v>285.37281316005766</v>
      </c>
      <c r="Z309" s="9">
        <f t="shared" ca="1" si="92"/>
        <v>0</v>
      </c>
      <c r="AA309" s="9">
        <f t="shared" ca="1" si="92"/>
        <v>0</v>
      </c>
    </row>
    <row r="310" spans="1:27">
      <c r="B310" s="7">
        <f>B309+1</f>
        <v>2021</v>
      </c>
      <c r="C310" s="7"/>
      <c r="D310" s="7">
        <f t="shared" si="93"/>
        <v>1</v>
      </c>
      <c r="E310" s="7">
        <f t="shared" si="93"/>
        <v>1</v>
      </c>
      <c r="F310" s="14">
        <f>$O$108</f>
        <v>3.5744886743189486E-2</v>
      </c>
      <c r="H310" s="9"/>
      <c r="I310" s="9"/>
      <c r="J310" s="9"/>
      <c r="K310" s="9">
        <f ca="1">$E$108</f>
        <v>6941.2059806367606</v>
      </c>
      <c r="L310" s="9">
        <f ca="1">K310-S310</f>
        <v>0</v>
      </c>
      <c r="M310" s="9">
        <f ca="1">L310-T310</f>
        <v>0</v>
      </c>
      <c r="O310" s="9"/>
      <c r="P310" s="9"/>
      <c r="Q310" s="9"/>
      <c r="R310" s="9">
        <v>0</v>
      </c>
      <c r="S310" s="9">
        <f ca="1">K310</f>
        <v>6941.2059806367606</v>
      </c>
      <c r="T310" s="9">
        <v>0</v>
      </c>
      <c r="V310" s="9"/>
      <c r="W310" s="9"/>
      <c r="X310" s="9"/>
      <c r="Y310" s="9">
        <v>0</v>
      </c>
      <c r="Z310" s="9">
        <f ca="1">K310*$F310</f>
        <v>453.74926371543677</v>
      </c>
      <c r="AA310" s="9">
        <f ca="1">L310*$F310</f>
        <v>0</v>
      </c>
    </row>
    <row r="311" spans="1:27">
      <c r="B311" s="7">
        <f>B310+1</f>
        <v>2022</v>
      </c>
      <c r="C311" s="7"/>
      <c r="D311" s="7">
        <f t="shared" si="93"/>
        <v>1</v>
      </c>
      <c r="E311" s="7">
        <f t="shared" si="93"/>
        <v>1</v>
      </c>
      <c r="F311" s="14">
        <f>$P$108</f>
        <v>3.5744886743189486E-2</v>
      </c>
      <c r="H311" s="9"/>
      <c r="I311" s="9"/>
      <c r="J311" s="9"/>
      <c r="K311" s="9"/>
      <c r="L311" s="9">
        <f ca="1">$F$108</f>
        <v>8378.4668020332756</v>
      </c>
      <c r="M311" s="9">
        <f ca="1">L311-T311</f>
        <v>0</v>
      </c>
      <c r="O311" s="9"/>
      <c r="P311" s="9"/>
      <c r="Q311" s="9"/>
      <c r="R311" s="9"/>
      <c r="S311" s="9">
        <v>0</v>
      </c>
      <c r="T311" s="9">
        <f ca="1">L311</f>
        <v>8378.4668020332756</v>
      </c>
      <c r="V311" s="9"/>
      <c r="W311" s="9"/>
      <c r="X311" s="9"/>
      <c r="Y311" s="9"/>
      <c r="Z311" s="9">
        <v>0</v>
      </c>
      <c r="AA311" s="9">
        <f ca="1">L311*$F311</f>
        <v>547.70354792699482</v>
      </c>
    </row>
    <row r="312" spans="1:27">
      <c r="B312" s="7">
        <f>B311+1</f>
        <v>2023</v>
      </c>
      <c r="C312" s="7"/>
      <c r="D312" s="7">
        <f t="shared" si="93"/>
        <v>1</v>
      </c>
      <c r="E312" s="7">
        <f t="shared" si="93"/>
        <v>1</v>
      </c>
      <c r="F312" s="14">
        <f>$Q$108</f>
        <v>3.5744886743189486E-2</v>
      </c>
      <c r="H312" s="9"/>
      <c r="I312" s="9"/>
      <c r="J312" s="9"/>
      <c r="K312" s="9"/>
      <c r="L312" s="9"/>
      <c r="M312" s="9">
        <f ca="1">$G$108</f>
        <v>9665.3359367323592</v>
      </c>
      <c r="O312" s="9"/>
      <c r="P312" s="9"/>
      <c r="Q312" s="9"/>
      <c r="R312" s="9"/>
      <c r="S312" s="9"/>
      <c r="T312" s="9">
        <v>0</v>
      </c>
      <c r="V312" s="9"/>
      <c r="W312" s="9"/>
      <c r="X312" s="9"/>
      <c r="Y312" s="9"/>
      <c r="Z312" s="9"/>
      <c r="AA312" s="9">
        <v>0</v>
      </c>
    </row>
    <row r="313" spans="1:27">
      <c r="B313" s="7"/>
      <c r="D313" s="7"/>
      <c r="E313" s="14"/>
      <c r="G313" s="9"/>
      <c r="H313" s="9"/>
      <c r="I313" s="9"/>
      <c r="J313" s="9"/>
      <c r="K313" s="9"/>
      <c r="L313" s="9"/>
      <c r="N313" s="89"/>
      <c r="O313" s="9"/>
      <c r="P313" s="9"/>
      <c r="Q313" s="9"/>
      <c r="R313" s="9"/>
      <c r="S313" s="9"/>
      <c r="U313" s="9"/>
      <c r="V313" s="9"/>
      <c r="W313" s="9"/>
      <c r="X313" s="9"/>
      <c r="Y313" s="9"/>
      <c r="Z313" s="9"/>
    </row>
    <row r="314" spans="1:27">
      <c r="B314" s="7"/>
      <c r="C314" s="7"/>
      <c r="D314" s="7"/>
      <c r="E314" s="14"/>
      <c r="G314" s="9"/>
      <c r="H314" s="9"/>
      <c r="I314" s="9"/>
      <c r="J314" s="9"/>
      <c r="K314" s="9"/>
      <c r="L314" s="9"/>
      <c r="N314" s="89"/>
      <c r="O314" s="9"/>
      <c r="P314" s="9"/>
      <c r="Q314" s="9"/>
      <c r="R314" s="9"/>
      <c r="S314" s="9"/>
      <c r="U314" s="9"/>
      <c r="V314" s="9"/>
      <c r="W314" s="9"/>
      <c r="X314" s="9"/>
      <c r="Y314" s="9"/>
      <c r="Z314" s="9"/>
    </row>
    <row r="315" spans="1:27">
      <c r="A315" s="8"/>
      <c r="B315" s="7"/>
    </row>
  </sheetData>
  <mergeCells count="14">
    <mergeCell ref="B231:AA231"/>
    <mergeCell ref="B268:AA268"/>
    <mergeCell ref="B305:AA305"/>
    <mergeCell ref="B126:AA126"/>
    <mergeCell ref="B136:AA136"/>
    <mergeCell ref="B173:AA173"/>
    <mergeCell ref="B212:AA212"/>
    <mergeCell ref="B221:AA221"/>
    <mergeCell ref="B117:AA117"/>
    <mergeCell ref="B73:G73"/>
    <mergeCell ref="H112:M112"/>
    <mergeCell ref="O112:T112"/>
    <mergeCell ref="V112:AA112"/>
    <mergeCell ref="B112:F112"/>
  </mergeCells>
  <pageMargins left="0.7" right="0.7" top="0.75" bottom="0.75" header="0.3" footer="0.3"/>
  <pageSetup orientation="portrait" r:id="rId1"/>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8">
    <tabColor rgb="FFFF99CC"/>
  </sheetPr>
  <dimension ref="A1:AA315"/>
  <sheetViews>
    <sheetView zoomScale="80" zoomScaleNormal="80" workbookViewId="0"/>
  </sheetViews>
  <sheetFormatPr defaultColWidth="9.140625" defaultRowHeight="15"/>
  <cols>
    <col min="1" max="1" width="79.28515625" style="6" customWidth="1"/>
    <col min="2" max="3" width="15.42578125" style="6" customWidth="1"/>
    <col min="4" max="19" width="10.7109375" style="6" customWidth="1"/>
    <col min="20" max="20" width="10.5703125" style="6" customWidth="1"/>
    <col min="21" max="21" width="5.7109375" style="6" customWidth="1"/>
    <col min="22" max="26" width="13.5703125" style="6" customWidth="1"/>
    <col min="27" max="16384" width="9.140625" style="6"/>
  </cols>
  <sheetData>
    <row r="1" spans="1:19" customFormat="1" ht="15.75" thickBot="1">
      <c r="B1" s="1"/>
      <c r="C1" s="1"/>
      <c r="D1" s="1"/>
      <c r="E1" s="60"/>
      <c r="F1" s="60"/>
      <c r="G1" s="60"/>
      <c r="H1" s="60"/>
      <c r="I1" s="60"/>
      <c r="J1" s="60"/>
      <c r="K1" s="60"/>
      <c r="L1" s="1"/>
      <c r="M1" s="1"/>
      <c r="N1" s="1"/>
      <c r="O1" s="1"/>
      <c r="P1" s="1"/>
      <c r="Q1" s="1"/>
      <c r="R1" s="1"/>
      <c r="S1" s="1"/>
    </row>
    <row r="2" spans="1:19" customFormat="1" ht="30.75" thickBot="1">
      <c r="A2" s="237" t="s">
        <v>297</v>
      </c>
      <c r="B2" s="118" t="s">
        <v>16</v>
      </c>
      <c r="C2" s="1"/>
      <c r="D2" s="1"/>
      <c r="E2" s="1"/>
      <c r="F2" s="1"/>
      <c r="G2" s="1"/>
    </row>
    <row r="3" spans="1:19" customFormat="1">
      <c r="A3" s="17"/>
      <c r="B3" s="225">
        <f>FirstYear</f>
        <v>2018</v>
      </c>
      <c r="C3" s="226">
        <f>B3+1</f>
        <v>2019</v>
      </c>
      <c r="D3" s="226">
        <f>C3+1</f>
        <v>2020</v>
      </c>
      <c r="E3" s="226">
        <f>D3+1</f>
        <v>2021</v>
      </c>
      <c r="F3" s="226">
        <f>E3+1</f>
        <v>2022</v>
      </c>
      <c r="G3" s="227">
        <f>F3+1</f>
        <v>2023</v>
      </c>
    </row>
    <row r="4" spans="1:19" customFormat="1">
      <c r="A4" s="17"/>
      <c r="B4" s="168"/>
      <c r="C4" s="62"/>
      <c r="D4" s="62"/>
      <c r="E4" s="62"/>
      <c r="F4" s="62"/>
      <c r="G4" s="169"/>
    </row>
    <row r="5" spans="1:19" customFormat="1">
      <c r="A5" s="63" t="s">
        <v>62</v>
      </c>
      <c r="B5" s="170">
        <f t="shared" ref="B5:G5" si="0">B7+B13</f>
        <v>10948.652288728241</v>
      </c>
      <c r="C5" s="171">
        <f t="shared" ca="1" si="0"/>
        <v>11278.58759706811</v>
      </c>
      <c r="D5" s="171">
        <f t="shared" ca="1" si="0"/>
        <v>11630.718484672168</v>
      </c>
      <c r="E5" s="171">
        <f t="shared" ca="1" si="0"/>
        <v>11826.593670636645</v>
      </c>
      <c r="F5" s="171">
        <f t="shared" ca="1" si="0"/>
        <v>12085.728861288928</v>
      </c>
      <c r="G5" s="172">
        <f t="shared" ca="1" si="0"/>
        <v>12362.43652320404</v>
      </c>
    </row>
    <row r="6" spans="1:19" s="284" customFormat="1">
      <c r="A6" s="18" t="s">
        <v>1026</v>
      </c>
      <c r="B6" s="170" t="str">
        <f>'Baseline debt'!P8</f>
        <v/>
      </c>
      <c r="C6" s="171" t="str">
        <f>'Baseline debt'!Q8</f>
        <v/>
      </c>
      <c r="D6" s="171" t="str">
        <f>'Baseline debt'!R8</f>
        <v/>
      </c>
      <c r="E6" s="171" t="str">
        <f>'Baseline debt'!S8</f>
        <v/>
      </c>
      <c r="F6" s="171" t="str">
        <f>'Baseline debt'!T8</f>
        <v/>
      </c>
      <c r="G6" s="172" t="str">
        <f>'Baseline debt'!U8</f>
        <v/>
      </c>
    </row>
    <row r="7" spans="1:19" customFormat="1">
      <c r="A7" s="21" t="s">
        <v>70</v>
      </c>
      <c r="B7" s="170">
        <f t="shared" ref="B7:G7" si="1">B8+B9</f>
        <v>9886.2521736994167</v>
      </c>
      <c r="C7" s="171">
        <f t="shared" si="1"/>
        <v>8910.6988594887644</v>
      </c>
      <c r="D7" s="171">
        <f t="shared" si="1"/>
        <v>7603.6701863278031</v>
      </c>
      <c r="E7" s="171">
        <f t="shared" si="1"/>
        <v>6150.6557892545252</v>
      </c>
      <c r="F7" s="171">
        <f t="shared" si="1"/>
        <v>5844.6400886862239</v>
      </c>
      <c r="G7" s="172">
        <f t="shared" si="1"/>
        <v>5585.3532924462243</v>
      </c>
    </row>
    <row r="8" spans="1:19" customFormat="1">
      <c r="A8" s="18" t="s">
        <v>72</v>
      </c>
      <c r="B8" s="170">
        <f>'Baseline debt'!P11</f>
        <v>9879.101789236136</v>
      </c>
      <c r="C8" s="171">
        <f>'Baseline debt'!Q11</f>
        <v>8904.2169986260087</v>
      </c>
      <c r="D8" s="171">
        <f>'Baseline debt'!R11</f>
        <v>8210.6547722760079</v>
      </c>
      <c r="E8" s="171">
        <f>'Baseline debt'!S11</f>
        <v>7110.6102222407098</v>
      </c>
      <c r="F8" s="171">
        <f>'Baseline debt'!T11</f>
        <v>6804.9355125304046</v>
      </c>
      <c r="G8" s="172">
        <f>'Baseline debt'!U11</f>
        <v>6545.648716290405</v>
      </c>
    </row>
    <row r="9" spans="1:19" customFormat="1">
      <c r="A9" s="18" t="s">
        <v>63</v>
      </c>
      <c r="B9" s="170">
        <f>'Baseline debt'!P13/'Baseline debt'!P$73*B32</f>
        <v>7.1503844632814992</v>
      </c>
      <c r="C9" s="171">
        <f>'Baseline debt'!Q13/'Baseline debt'!Q$73*C32</f>
        <v>6.481860862754961</v>
      </c>
      <c r="D9" s="171">
        <f>'Baseline debt'!R13/'Baseline debt'!R$73*D32</f>
        <v>-606.98458594820488</v>
      </c>
      <c r="E9" s="171">
        <f>'Baseline debt'!S13/'Baseline debt'!S$73*E32</f>
        <v>-959.954432986185</v>
      </c>
      <c r="F9" s="171">
        <f>'Baseline debt'!T13/'Baseline debt'!T$73*F32</f>
        <v>-960.29542384418096</v>
      </c>
      <c r="G9" s="172">
        <f>'Baseline debt'!U13/'Baseline debt'!U$73*G32</f>
        <v>-960.29542384418096</v>
      </c>
    </row>
    <row r="10" spans="1:19" customFormat="1">
      <c r="A10" s="18" t="s">
        <v>60</v>
      </c>
      <c r="B10" s="170">
        <v>0</v>
      </c>
      <c r="C10" s="171">
        <v>0</v>
      </c>
      <c r="D10" s="171">
        <v>0</v>
      </c>
      <c r="E10" s="171">
        <v>0</v>
      </c>
      <c r="F10" s="171">
        <v>0</v>
      </c>
      <c r="G10" s="172">
        <v>0</v>
      </c>
    </row>
    <row r="11" spans="1:19" customFormat="1">
      <c r="A11" s="18" t="s">
        <v>73</v>
      </c>
      <c r="B11" s="170">
        <f t="shared" ref="B11:G11" si="2">B8+B9</f>
        <v>9886.2521736994167</v>
      </c>
      <c r="C11" s="171">
        <f t="shared" si="2"/>
        <v>8910.6988594887644</v>
      </c>
      <c r="D11" s="171">
        <f t="shared" si="2"/>
        <v>7603.6701863278031</v>
      </c>
      <c r="E11" s="171">
        <f t="shared" si="2"/>
        <v>6150.6557892545252</v>
      </c>
      <c r="F11" s="171">
        <f t="shared" si="2"/>
        <v>5844.6400886862239</v>
      </c>
      <c r="G11" s="172">
        <f t="shared" si="2"/>
        <v>5585.3532924462243</v>
      </c>
    </row>
    <row r="12" spans="1:19" customFormat="1">
      <c r="A12" s="17"/>
      <c r="B12" s="170"/>
      <c r="C12" s="171"/>
      <c r="D12" s="171"/>
      <c r="E12" s="171"/>
      <c r="F12" s="171"/>
      <c r="G12" s="172"/>
    </row>
    <row r="13" spans="1:19" customFormat="1">
      <c r="A13" s="21" t="s">
        <v>71</v>
      </c>
      <c r="B13" s="170">
        <f t="shared" ref="B13:G13" si="3">B14+B15</f>
        <v>1062.4001150288241</v>
      </c>
      <c r="C13" s="171">
        <f t="shared" ca="1" si="3"/>
        <v>2366.8875970681092</v>
      </c>
      <c r="D13" s="171">
        <f t="shared" ca="1" si="3"/>
        <v>3995.0184846721672</v>
      </c>
      <c r="E13" s="171">
        <f t="shared" ca="1" si="3"/>
        <v>5625.8936706366449</v>
      </c>
      <c r="F13" s="171">
        <f t="shared" ca="1" si="3"/>
        <v>6191.0288612889271</v>
      </c>
      <c r="G13" s="172">
        <f t="shared" ca="1" si="3"/>
        <v>6476.7365232040393</v>
      </c>
    </row>
    <row r="14" spans="1:19" customFormat="1">
      <c r="A14" s="18" t="s">
        <v>72</v>
      </c>
      <c r="B14" s="170">
        <f t="shared" ref="B14:G14" si="4">SUM(H119:H124,H138:H171,H214:H219,H233:H266,H307:H312)</f>
        <v>1062.4001150288241</v>
      </c>
      <c r="C14" s="171">
        <f t="shared" ca="1" si="4"/>
        <v>2366.8875970681092</v>
      </c>
      <c r="D14" s="171">
        <f t="shared" ca="1" si="4"/>
        <v>3995.0184846721672</v>
      </c>
      <c r="E14" s="171">
        <f t="shared" ca="1" si="4"/>
        <v>5625.8936706366449</v>
      </c>
      <c r="F14" s="171">
        <f t="shared" ca="1" si="4"/>
        <v>6191.0288612889271</v>
      </c>
      <c r="G14" s="172">
        <f t="shared" ca="1" si="4"/>
        <v>6476.7365232040393</v>
      </c>
    </row>
    <row r="15" spans="1:19" customFormat="1">
      <c r="A15" s="18" t="s">
        <v>63</v>
      </c>
      <c r="B15" s="170">
        <f t="shared" ref="B15:G15" si="5">SUM(H128:H133,H175:H208,H223:H228,H270:H303)*B32</f>
        <v>0</v>
      </c>
      <c r="C15" s="171">
        <f t="shared" ca="1" si="5"/>
        <v>0</v>
      </c>
      <c r="D15" s="171">
        <f t="shared" ca="1" si="5"/>
        <v>0</v>
      </c>
      <c r="E15" s="171">
        <f t="shared" ca="1" si="5"/>
        <v>0</v>
      </c>
      <c r="F15" s="171">
        <f t="shared" ca="1" si="5"/>
        <v>0</v>
      </c>
      <c r="G15" s="172">
        <f t="shared" ca="1" si="5"/>
        <v>0</v>
      </c>
    </row>
    <row r="16" spans="1:19" customFormat="1">
      <c r="A16" s="18" t="s">
        <v>60</v>
      </c>
      <c r="B16" s="170">
        <f t="shared" ref="B16:G16" si="6">SUM(H119:H124,H214:H219,H307:H312)+SUM(H128:H133,H223:H228)*B32</f>
        <v>-267.59452840452661</v>
      </c>
      <c r="C16" s="171">
        <f t="shared" ca="1" si="6"/>
        <v>1959.3804037295163</v>
      </c>
      <c r="D16" s="171">
        <f t="shared" ca="1" si="6"/>
        <v>3453.4748880028706</v>
      </c>
      <c r="E16" s="171">
        <f t="shared" ca="1" si="6"/>
        <v>5017.733670636645</v>
      </c>
      <c r="F16" s="171">
        <f t="shared" ca="1" si="6"/>
        <v>5518.6621946222604</v>
      </c>
      <c r="G16" s="172">
        <f t="shared" ca="1" si="6"/>
        <v>5774.1440019285474</v>
      </c>
    </row>
    <row r="17" spans="1:17" customFormat="1">
      <c r="A17" s="18" t="s">
        <v>73</v>
      </c>
      <c r="B17" s="170">
        <f t="shared" ref="B17:G17" si="7">B14+B15-B16</f>
        <v>1329.9946434333506</v>
      </c>
      <c r="C17" s="171">
        <f t="shared" ca="1" si="7"/>
        <v>407.50719333859297</v>
      </c>
      <c r="D17" s="171">
        <f t="shared" ca="1" si="7"/>
        <v>541.54359666929668</v>
      </c>
      <c r="E17" s="171">
        <f t="shared" ca="1" si="7"/>
        <v>608.15999999999985</v>
      </c>
      <c r="F17" s="171">
        <f t="shared" ca="1" si="7"/>
        <v>672.36666666666679</v>
      </c>
      <c r="G17" s="172">
        <f t="shared" ca="1" si="7"/>
        <v>702.59252127549189</v>
      </c>
    </row>
    <row r="18" spans="1:17" customFormat="1" ht="6.75" customHeight="1">
      <c r="A18" s="17"/>
      <c r="B18" s="170"/>
      <c r="C18" s="171"/>
      <c r="D18" s="171"/>
      <c r="E18" s="171"/>
      <c r="F18" s="171"/>
      <c r="G18" s="172"/>
    </row>
    <row r="19" spans="1:17" customFormat="1">
      <c r="A19" s="20" t="s">
        <v>74</v>
      </c>
      <c r="B19" s="170">
        <f t="shared" ref="B19:G19" si="8">B63</f>
        <v>1062.4001150288241</v>
      </c>
      <c r="C19" s="171">
        <f t="shared" ca="1" si="8"/>
        <v>2190.8804037295163</v>
      </c>
      <c r="D19" s="171">
        <f t="shared" ca="1" si="8"/>
        <v>3692.0748880028705</v>
      </c>
      <c r="E19" s="171">
        <f t="shared" ca="1" si="8"/>
        <v>5230.733670636645</v>
      </c>
      <c r="F19" s="171">
        <f t="shared" ca="1" si="8"/>
        <v>5747.1621946222604</v>
      </c>
      <c r="G19" s="172">
        <f t="shared" ca="1" si="8"/>
        <v>5988.3631898707063</v>
      </c>
    </row>
    <row r="20" spans="1:17" customFormat="1">
      <c r="A20" s="18" t="s">
        <v>55</v>
      </c>
      <c r="B20" s="170">
        <f t="shared" ref="B20:G20" si="9">B49-B47</f>
        <v>15.437150622194167</v>
      </c>
      <c r="C20" s="171">
        <f t="shared" si="9"/>
        <v>16.417745370648845</v>
      </c>
      <c r="D20" s="171">
        <f t="shared" si="9"/>
        <v>17.381830420212282</v>
      </c>
      <c r="E20" s="171">
        <f t="shared" si="9"/>
        <v>18.336404135499834</v>
      </c>
      <c r="F20" s="171">
        <f t="shared" si="9"/>
        <v>19.339421428672722</v>
      </c>
      <c r="G20" s="172">
        <f t="shared" si="9"/>
        <v>20.377948359393486</v>
      </c>
    </row>
    <row r="21" spans="1:17" s="284" customFormat="1">
      <c r="A21" s="18" t="s">
        <v>1172</v>
      </c>
      <c r="B21" s="170">
        <f>B48</f>
        <v>48.271190640000007</v>
      </c>
      <c r="C21" s="171">
        <v>0</v>
      </c>
      <c r="D21" s="171">
        <v>0</v>
      </c>
      <c r="E21" s="171">
        <v>0</v>
      </c>
      <c r="F21" s="171">
        <v>0</v>
      </c>
      <c r="G21" s="172">
        <v>0</v>
      </c>
    </row>
    <row r="22" spans="1:17" customFormat="1">
      <c r="A22" s="23" t="s">
        <v>102</v>
      </c>
      <c r="B22" s="170">
        <f t="shared" ref="B22:G22" si="10">B23+B24</f>
        <v>1095.234155046629</v>
      </c>
      <c r="C22" s="171">
        <f t="shared" ca="1" si="10"/>
        <v>2190.8804037295163</v>
      </c>
      <c r="D22" s="171">
        <f t="shared" ca="1" si="10"/>
        <v>3692.0748880028705</v>
      </c>
      <c r="E22" s="171">
        <f t="shared" ca="1" si="10"/>
        <v>5230.733670636645</v>
      </c>
      <c r="F22" s="171">
        <f t="shared" ca="1" si="10"/>
        <v>5747.1621946222604</v>
      </c>
      <c r="G22" s="172">
        <f t="shared" ca="1" si="10"/>
        <v>5988.3631898707063</v>
      </c>
    </row>
    <row r="23" spans="1:17" customFormat="1">
      <c r="A23" s="228" t="s">
        <v>1173</v>
      </c>
      <c r="B23" s="170">
        <f t="shared" ref="B23:G23" si="11">SUM(B50:B51,B58:B59)</f>
        <v>210.95965861346764</v>
      </c>
      <c r="C23" s="171">
        <f t="shared" ca="1" si="11"/>
        <v>272.737797096664</v>
      </c>
      <c r="D23" s="171">
        <f t="shared" ca="1" si="11"/>
        <v>352.13088760405759</v>
      </c>
      <c r="E23" s="171">
        <f t="shared" ca="1" si="11"/>
        <v>195.87518596447779</v>
      </c>
      <c r="F23" s="171">
        <f t="shared" ca="1" si="11"/>
        <v>259.13519065228257</v>
      </c>
      <c r="G23" s="172">
        <f t="shared" ca="1" si="11"/>
        <v>276.70766191511245</v>
      </c>
    </row>
    <row r="24" spans="1:17" customFormat="1">
      <c r="A24" s="228" t="s">
        <v>1174</v>
      </c>
      <c r="B24" s="170">
        <f t="shared" ref="B24:G24" si="12">SUM(B53:B54,B60:B61)</f>
        <v>884.2744964331614</v>
      </c>
      <c r="C24" s="171">
        <f t="shared" ca="1" si="12"/>
        <v>1918.1426066328522</v>
      </c>
      <c r="D24" s="171">
        <f t="shared" ca="1" si="12"/>
        <v>3339.9440003988129</v>
      </c>
      <c r="E24" s="171">
        <f t="shared" ca="1" si="12"/>
        <v>5034.8584846721669</v>
      </c>
      <c r="F24" s="171">
        <f t="shared" ca="1" si="12"/>
        <v>5488.0270039699781</v>
      </c>
      <c r="G24" s="172">
        <f t="shared" ca="1" si="12"/>
        <v>5711.6555279555942</v>
      </c>
    </row>
    <row r="25" spans="1:17" customFormat="1" ht="15" customHeight="1">
      <c r="A25" s="63" t="s">
        <v>304</v>
      </c>
      <c r="B25" s="271">
        <f>'Baseline debt'!P64</f>
        <v>1.9586439007071743E-2</v>
      </c>
      <c r="C25" s="176">
        <f ca="1">IF(Guarantees="Yes",IF(ISNUMBER(C23/(B5-B6)),C23/(B5-B6),""),IF(ISNUMBER(C23/B5),C23/B5,""))</f>
        <v>2.4781166566290192E-2</v>
      </c>
      <c r="D25" s="176">
        <f ca="1">IF(Guarantees="Yes",IF(ISNUMBER(D23/(C5-C6)),D23/(C5-C6),""),IF(ISNUMBER(D23/C5),D23/C5,""))</f>
        <v>3.1221186569105042E-2</v>
      </c>
      <c r="E25" s="176">
        <f ca="1">IF(Guarantees="Yes",IF(ISNUMBER(E23/(D5-D6)),E23/(D5-D6),""),IF(ISNUMBER(E23/D5),E23/D5,""))</f>
        <v>1.6841193966014807E-2</v>
      </c>
      <c r="F25" s="176">
        <f ca="1">IF(Guarantees="Yes",IF(ISNUMBER(F23/(E5-E6)),F23/(E5-E6),""),IF(ISNUMBER(F23/E5),F23/E5,""))</f>
        <v>2.1911228022965714E-2</v>
      </c>
      <c r="G25" s="177">
        <f ca="1">IF(Guarantees="Yes",IF(ISNUMBER(G23/(F5-F6)),G23/(F5-F6),""),IF(ISNUMBER(G23/F5),G23/F5,""))</f>
        <v>2.2895405406737044E-2</v>
      </c>
    </row>
    <row r="26" spans="1:17" customFormat="1">
      <c r="A26" s="20" t="s">
        <v>77</v>
      </c>
      <c r="B26" s="173">
        <f>'Input 5 - Scenario Design'!E143</f>
        <v>4.7697166816344838E-2</v>
      </c>
      <c r="C26" s="174">
        <f>'Input 5 - Scenario Design'!F143</f>
        <v>3.1686434574876632E-2</v>
      </c>
      <c r="D26" s="174">
        <f>'Input 5 - Scenario Design'!G143</f>
        <v>2.9947102444823903E-2</v>
      </c>
      <c r="E26" s="174">
        <f>'Input 5 - Scenario Design'!H143</f>
        <v>2.8871442593204177E-2</v>
      </c>
      <c r="F26" s="174">
        <f>'Input 5 - Scenario Design'!I143</f>
        <v>2.933023694707515E-2</v>
      </c>
      <c r="G26" s="175">
        <f>'Input 5 - Scenario Design'!J143</f>
        <v>2.8000000000000025E-2</v>
      </c>
    </row>
    <row r="27" spans="1:17" customFormat="1">
      <c r="A27" s="20" t="s">
        <v>78</v>
      </c>
      <c r="B27" s="173">
        <f>'Input 5 - Scenario Design'!E144</f>
        <v>4.2122999157540031E-2</v>
      </c>
      <c r="C27" s="174">
        <f>'Input 5 - Scenario Design'!F144</f>
        <v>3.085754504401117E-2</v>
      </c>
      <c r="D27" s="174">
        <f>'Input 5 - Scenario Design'!G144</f>
        <v>2.7938359016816516E-2</v>
      </c>
      <c r="E27" s="174">
        <f>'Input 5 - Scenario Design'!H144</f>
        <v>2.5315565708619037E-2</v>
      </c>
      <c r="F27" s="174">
        <f>'Input 5 - Scenario Design'!I144</f>
        <v>2.4647711698661201E-2</v>
      </c>
      <c r="G27" s="175">
        <f>'Input 5 - Scenario Design'!J144</f>
        <v>2.5000000000000133E-2</v>
      </c>
    </row>
    <row r="28" spans="1:17" customFormat="1">
      <c r="A28" s="20" t="s">
        <v>828</v>
      </c>
      <c r="B28" s="173">
        <f>'Input 5 - Scenario Design'!E145</f>
        <v>0.36781832970756889</v>
      </c>
      <c r="C28" s="174">
        <f>'Input 5 - Scenario Design'!F145</f>
        <v>0.36781832970756889</v>
      </c>
      <c r="D28" s="174">
        <f>'Input 5 - Scenario Design'!G145</f>
        <v>0.36781832970756889</v>
      </c>
      <c r="E28" s="174">
        <f>'Input 5 - Scenario Design'!H145</f>
        <v>0.36781832970756889</v>
      </c>
      <c r="F28" s="174">
        <f>'Input 5 - Scenario Design'!I145</f>
        <v>0.36781832970756889</v>
      </c>
      <c r="G28" s="175">
        <f>'Input 5 - Scenario Design'!J145</f>
        <v>0.36781832970756889</v>
      </c>
    </row>
    <row r="29" spans="1:17" customFormat="1">
      <c r="A29" s="20" t="s">
        <v>80</v>
      </c>
      <c r="B29" s="173">
        <f>'Input 5 - Scenario Design'!E146</f>
        <v>0.36834134844430905</v>
      </c>
      <c r="C29" s="174">
        <f>'Input 5 - Scenario Design'!F146</f>
        <v>0.36834134844430905</v>
      </c>
      <c r="D29" s="174">
        <f>'Input 5 - Scenario Design'!G146</f>
        <v>0.36834134844430905</v>
      </c>
      <c r="E29" s="174">
        <f>'Input 5 - Scenario Design'!H146</f>
        <v>0.36834134844430905</v>
      </c>
      <c r="F29" s="174">
        <f>'Input 5 - Scenario Design'!I146</f>
        <v>0.36834134844430905</v>
      </c>
      <c r="G29" s="175">
        <f>'Input 5 - Scenario Design'!J146</f>
        <v>0.36834134844430905</v>
      </c>
    </row>
    <row r="30" spans="1:17" customFormat="1">
      <c r="A30" s="20" t="s">
        <v>147</v>
      </c>
      <c r="B30" s="173">
        <f>'Input 5 - Scenario Design'!E147</f>
        <v>-5.2301873674015509E-4</v>
      </c>
      <c r="C30" s="176">
        <f>'Input 5 - Scenario Design'!F147</f>
        <v>-5.2301873674015509E-4</v>
      </c>
      <c r="D30" s="176">
        <f>'Input 5 - Scenario Design'!G147</f>
        <v>-5.2301873674015509E-4</v>
      </c>
      <c r="E30" s="176">
        <f>'Input 5 - Scenario Design'!H147</f>
        <v>-5.2301873674015509E-4</v>
      </c>
      <c r="F30" s="176">
        <f>'Input 5 - Scenario Design'!I147</f>
        <v>-5.2301873674015509E-4</v>
      </c>
      <c r="G30" s="177">
        <f>'Input 5 - Scenario Design'!J147</f>
        <v>-5.2301873674015509E-4</v>
      </c>
    </row>
    <row r="31" spans="1:17" ht="15" customHeight="1">
      <c r="A31" s="20" t="s">
        <v>1129</v>
      </c>
      <c r="B31" s="229">
        <f>'Input 5 - Scenario Design'!E148</f>
        <v>1.18</v>
      </c>
      <c r="C31" s="230">
        <f>'Input 5 - Scenario Design'!F148</f>
        <v>1.1399999999999999</v>
      </c>
      <c r="D31" s="230">
        <f>'Input 5 - Scenario Design'!G148</f>
        <v>1.1399999999999999</v>
      </c>
      <c r="E31" s="230">
        <f>'Input 5 - Scenario Design'!H148</f>
        <v>1.1399999999999999</v>
      </c>
      <c r="F31" s="230">
        <f>'Input 5 - Scenario Design'!I148</f>
        <v>1.1399999999999999</v>
      </c>
      <c r="G31" s="231">
        <f>'Input 5 - Scenario Design'!J148</f>
        <v>1.1399999999999999</v>
      </c>
      <c r="I31" s="188"/>
      <c r="J31" s="188"/>
      <c r="K31" s="188"/>
      <c r="L31" s="188"/>
      <c r="M31" s="188"/>
      <c r="N31" s="188"/>
      <c r="O31" s="188"/>
      <c r="P31" s="188"/>
      <c r="Q31" s="189"/>
    </row>
    <row r="32" spans="1:17" customFormat="1">
      <c r="A32" s="20" t="s">
        <v>1130</v>
      </c>
      <c r="B32" s="229">
        <f>'Input 5 - Scenario Design'!E149</f>
        <v>1.18</v>
      </c>
      <c r="C32" s="230">
        <f>'Input 5 - Scenario Design'!F149</f>
        <v>1.1399999999999999</v>
      </c>
      <c r="D32" s="230">
        <f>'Input 5 - Scenario Design'!G149</f>
        <v>1.1399999999999999</v>
      </c>
      <c r="E32" s="230">
        <f>'Input 5 - Scenario Design'!H149</f>
        <v>1.1399999999999999</v>
      </c>
      <c r="F32" s="230">
        <f>'Input 5 - Scenario Design'!I149</f>
        <v>1.1399999999999999</v>
      </c>
      <c r="G32" s="231">
        <f>'Input 5 - Scenario Design'!J149</f>
        <v>1.1399999999999999</v>
      </c>
    </row>
    <row r="33" spans="1:17" customFormat="1">
      <c r="A33" s="20" t="s">
        <v>89</v>
      </c>
      <c r="B33" s="233">
        <f>'Input 5 - Scenario Design'!E150</f>
        <v>0</v>
      </c>
      <c r="C33" s="232">
        <f>'Input 5 - Scenario Design'!F150</f>
        <v>0</v>
      </c>
      <c r="D33" s="232">
        <f>'Input 5 - Scenario Design'!G150</f>
        <v>0</v>
      </c>
      <c r="E33" s="232">
        <f>'Input 5 - Scenario Design'!H150</f>
        <v>0</v>
      </c>
      <c r="F33" s="232">
        <f>'Input 5 - Scenario Design'!I150</f>
        <v>0</v>
      </c>
      <c r="G33" s="234">
        <f>'Input 5 - Scenario Design'!J150</f>
        <v>0</v>
      </c>
    </row>
    <row r="34" spans="1:17" customFormat="1">
      <c r="A34" s="20" t="s">
        <v>92</v>
      </c>
      <c r="B34" s="173">
        <f t="shared" ref="B34:G34" si="13">(1+B26)*(1+B27)-1</f>
        <v>9.1829313691506709E-2</v>
      </c>
      <c r="C34" s="174">
        <f t="shared" si="13"/>
        <v>6.3521745201066127E-2</v>
      </c>
      <c r="D34" s="174">
        <f t="shared" si="13"/>
        <v>5.8722134361257394E-2</v>
      </c>
      <c r="E34" s="174">
        <f t="shared" si="13"/>
        <v>5.4917905203894168E-2</v>
      </c>
      <c r="F34" s="174">
        <f t="shared" si="13"/>
        <v>5.470087187006123E-2</v>
      </c>
      <c r="G34" s="175">
        <f t="shared" si="13"/>
        <v>5.3700000000000081E-2</v>
      </c>
    </row>
    <row r="35" spans="1:17" ht="15" customHeight="1">
      <c r="A35" s="20" t="s">
        <v>10</v>
      </c>
      <c r="B35" s="190">
        <f>'Input 2 - Data'!P7*(1+B34)</f>
        <v>29515.482979464068</v>
      </c>
      <c r="C35" s="13">
        <f>B35*(1+C34)</f>
        <v>31390.35796877199</v>
      </c>
      <c r="D35" s="13">
        <f>C35*(1+D34)</f>
        <v>33233.666787062182</v>
      </c>
      <c r="E35" s="13">
        <f>D35*(1+E34)</f>
        <v>35058.790149251872</v>
      </c>
      <c r="F35" s="13">
        <f>E35*(1+F34)</f>
        <v>36976.536537125467</v>
      </c>
      <c r="G35" s="191">
        <f>F35*(1+G34)</f>
        <v>38962.176549169104</v>
      </c>
      <c r="I35" s="188"/>
      <c r="J35" s="188"/>
      <c r="K35" s="188"/>
      <c r="L35" s="188"/>
      <c r="M35" s="188"/>
      <c r="N35" s="188"/>
      <c r="O35" s="188"/>
      <c r="P35" s="188"/>
      <c r="Q35" s="189"/>
    </row>
    <row r="36" spans="1:17" customFormat="1" ht="6" customHeight="1">
      <c r="A36" s="20"/>
      <c r="B36" s="170"/>
      <c r="C36" s="171"/>
      <c r="D36" s="171"/>
      <c r="E36" s="171"/>
      <c r="F36" s="171"/>
      <c r="G36" s="172"/>
    </row>
    <row r="37" spans="1:17" customFormat="1">
      <c r="A37" s="20" t="s">
        <v>96</v>
      </c>
      <c r="B37" s="178">
        <f t="shared" ref="B37:G37" si="14">B5/B35</f>
        <v>0.37094606570883371</v>
      </c>
      <c r="C37" s="179">
        <f t="shared" ca="1" si="14"/>
        <v>0.36564685698719956</v>
      </c>
      <c r="D37" s="179">
        <f t="shared" ca="1" si="14"/>
        <v>0.35628480229218962</v>
      </c>
      <c r="E37" s="179">
        <f t="shared" ca="1" si="14"/>
        <v>0.34332894459909341</v>
      </c>
      <c r="F37" s="179">
        <f t="shared" ca="1" si="14"/>
        <v>0.3324938210388606</v>
      </c>
      <c r="G37" s="180">
        <f t="shared" ca="1" si="14"/>
        <v>0.32231075415476068</v>
      </c>
    </row>
    <row r="38" spans="1:17" customFormat="1">
      <c r="A38" s="20" t="s">
        <v>100</v>
      </c>
      <c r="B38" s="178">
        <f t="shared" ref="B38:G38" si="15">B22/B35</f>
        <v>3.7107105982600995E-2</v>
      </c>
      <c r="C38" s="179">
        <f t="shared" ca="1" si="15"/>
        <v>7.1027380579709198E-2</v>
      </c>
      <c r="D38" s="179">
        <f t="shared" ca="1" si="15"/>
        <v>0.11309964842272069</v>
      </c>
      <c r="E38" s="179">
        <f t="shared" ca="1" si="15"/>
        <v>0.15184949450638791</v>
      </c>
      <c r="F38" s="179">
        <f t="shared" ca="1" si="15"/>
        <v>0.15811176472283067</v>
      </c>
      <c r="G38" s="180">
        <f t="shared" ca="1" si="15"/>
        <v>0.15612730162513283</v>
      </c>
    </row>
    <row r="39" spans="1:17" customFormat="1">
      <c r="A39" s="20" t="s">
        <v>98</v>
      </c>
      <c r="B39" s="178">
        <f t="shared" ref="B39:G39" si="16">B19/B35</f>
        <v>3.5994671534530134E-2</v>
      </c>
      <c r="C39" s="179">
        <f t="shared" ca="1" si="16"/>
        <v>7.1027380579709198E-2</v>
      </c>
      <c r="D39" s="179">
        <f t="shared" ca="1" si="16"/>
        <v>0.11309964842272069</v>
      </c>
      <c r="E39" s="179">
        <f t="shared" ca="1" si="16"/>
        <v>0.15184949450638791</v>
      </c>
      <c r="F39" s="179">
        <f t="shared" ca="1" si="16"/>
        <v>0.15811176472283067</v>
      </c>
      <c r="G39" s="180">
        <f t="shared" ca="1" si="16"/>
        <v>0.15612730162513283</v>
      </c>
    </row>
    <row r="40" spans="1:17" customFormat="1">
      <c r="A40" s="20" t="s">
        <v>1175</v>
      </c>
      <c r="B40" s="178">
        <f>B5/(B47+B48)</f>
        <v>1.0040391596609757</v>
      </c>
      <c r="C40" s="179" t="e">
        <f ca="1">C5/C47</f>
        <v>#DIV/0!</v>
      </c>
      <c r="D40" s="179" t="e">
        <f ca="1">D5/D47</f>
        <v>#DIV/0!</v>
      </c>
      <c r="E40" s="179" t="e">
        <f ca="1">E5/E47</f>
        <v>#DIV/0!</v>
      </c>
      <c r="F40" s="179" t="e">
        <f ca="1">F5/F47</f>
        <v>#DIV/0!</v>
      </c>
      <c r="G40" s="180" t="e">
        <f ca="1">G5/G47</f>
        <v>#DIV/0!</v>
      </c>
    </row>
    <row r="41" spans="1:17" customFormat="1">
      <c r="A41" s="20" t="s">
        <v>1176</v>
      </c>
      <c r="B41" s="178">
        <f>B22/(B47+B48)</f>
        <v>0.10043774810504542</v>
      </c>
      <c r="C41" s="179" t="e">
        <f ca="1">C22/C47</f>
        <v>#DIV/0!</v>
      </c>
      <c r="D41" s="179" t="e">
        <f ca="1">D22/D47</f>
        <v>#DIV/0!</v>
      </c>
      <c r="E41" s="179" t="e">
        <f ca="1">E22/E47</f>
        <v>#DIV/0!</v>
      </c>
      <c r="F41" s="179" t="e">
        <f ca="1">F22/F47</f>
        <v>#DIV/0!</v>
      </c>
      <c r="G41" s="180" t="e">
        <f ca="1">G22/G47</f>
        <v>#DIV/0!</v>
      </c>
    </row>
    <row r="42" spans="1:17" customFormat="1">
      <c r="A42" s="20" t="s">
        <v>99</v>
      </c>
      <c r="B42" s="178">
        <f>B19/(B47+B48)</f>
        <v>9.7426723453025818E-2</v>
      </c>
      <c r="C42" s="179" t="e">
        <f ca="1">C19/C47</f>
        <v>#DIV/0!</v>
      </c>
      <c r="D42" s="179" t="e">
        <f ca="1">D19/D47</f>
        <v>#DIV/0!</v>
      </c>
      <c r="E42" s="179" t="e">
        <f ca="1">E19/E47</f>
        <v>#DIV/0!</v>
      </c>
      <c r="F42" s="179" t="e">
        <f ca="1">F19/F47</f>
        <v>#DIV/0!</v>
      </c>
      <c r="G42" s="180" t="e">
        <f ca="1">G19/G47</f>
        <v>#DIV/0!</v>
      </c>
    </row>
    <row r="43" spans="1:17" ht="6" customHeight="1" thickBot="1">
      <c r="A43" s="17"/>
      <c r="B43" s="181"/>
      <c r="C43" s="182"/>
      <c r="D43" s="182"/>
      <c r="E43" s="182"/>
      <c r="F43" s="182"/>
      <c r="G43" s="183"/>
    </row>
    <row r="44" spans="1:17" ht="6" customHeight="1" thickBot="1">
      <c r="B44" s="7"/>
      <c r="C44" s="7"/>
      <c r="D44" s="7"/>
      <c r="E44" s="7"/>
      <c r="F44" s="7"/>
      <c r="G44" s="7"/>
      <c r="I44" s="184"/>
      <c r="J44" s="184"/>
      <c r="K44" s="184"/>
      <c r="L44" s="184"/>
      <c r="M44" s="184"/>
      <c r="N44" s="184"/>
      <c r="O44" s="184"/>
      <c r="P44" s="184"/>
    </row>
    <row r="45" spans="1:17" ht="15.75" thickBot="1">
      <c r="B45" s="165">
        <f>FirstYear</f>
        <v>2018</v>
      </c>
      <c r="C45" s="166">
        <f>B45+1</f>
        <v>2019</v>
      </c>
      <c r="D45" s="166">
        <f>C45+1</f>
        <v>2020</v>
      </c>
      <c r="E45" s="166">
        <f>D45+1</f>
        <v>2021</v>
      </c>
      <c r="F45" s="166">
        <f>E45+1</f>
        <v>2022</v>
      </c>
      <c r="G45" s="167">
        <f>F45+1</f>
        <v>2023</v>
      </c>
      <c r="I45" s="184"/>
      <c r="J45" s="184"/>
      <c r="K45" s="184"/>
      <c r="L45" s="184"/>
      <c r="M45" s="184"/>
      <c r="N45" s="184"/>
      <c r="O45" s="184"/>
      <c r="P45" s="184"/>
    </row>
    <row r="46" spans="1:17" ht="6" customHeight="1" thickBot="1">
      <c r="B46" s="195"/>
      <c r="C46" s="195"/>
      <c r="D46" s="195"/>
      <c r="E46" s="195"/>
      <c r="F46" s="195"/>
      <c r="G46" s="195"/>
      <c r="I46" s="188"/>
      <c r="J46" s="188"/>
      <c r="K46" s="188"/>
      <c r="L46" s="188"/>
      <c r="M46" s="188"/>
      <c r="N46" s="188"/>
      <c r="O46" s="188"/>
      <c r="P46" s="188"/>
      <c r="Q46" s="189"/>
    </row>
    <row r="47" spans="1:17" ht="15" customHeight="1">
      <c r="A47" s="1384" t="s">
        <v>830</v>
      </c>
      <c r="B47" s="185">
        <f t="shared" ref="B47:G47" si="17">B28*B$35</f>
        <v>10856.335650018653</v>
      </c>
      <c r="C47" s="186">
        <f t="shared" si="17"/>
        <v>11545.949036996388</v>
      </c>
      <c r="D47" s="186">
        <f t="shared" si="17"/>
        <v>12223.951807675119</v>
      </c>
      <c r="E47" s="186">
        <f t="shared" si="17"/>
        <v>12895.265634265994</v>
      </c>
      <c r="F47" s="186">
        <f t="shared" si="17"/>
        <v>13600.647907456383</v>
      </c>
      <c r="G47" s="187">
        <f t="shared" si="17"/>
        <v>14331.00270008679</v>
      </c>
      <c r="I47" s="188"/>
      <c r="J47" s="188"/>
      <c r="K47" s="188"/>
      <c r="L47" s="188"/>
      <c r="M47" s="188"/>
      <c r="N47" s="188"/>
      <c r="O47" s="188"/>
      <c r="P47" s="188"/>
      <c r="Q47" s="189"/>
    </row>
    <row r="48" spans="1:17" s="281" customFormat="1" ht="15" customHeight="1">
      <c r="A48" s="1383" t="s">
        <v>824</v>
      </c>
      <c r="B48" s="190">
        <f>'Input 4 - Forecast'!C21</f>
        <v>48.271190640000007</v>
      </c>
      <c r="C48" s="13">
        <f>'Input 4 - Forecast'!D21</f>
        <v>51.337460912386192</v>
      </c>
      <c r="D48" s="13">
        <f>'Input 4 - Forecast'!E21</f>
        <v>54.35210618984911</v>
      </c>
      <c r="E48" s="13">
        <f>'Input 4 - Forecast'!F21</f>
        <v>57.337010005215234</v>
      </c>
      <c r="F48" s="13">
        <f>'Input 4 - Forecast'!G21</f>
        <v>60.473394442922938</v>
      </c>
      <c r="G48" s="191">
        <f>'Input 4 - Forecast'!H21</f>
        <v>63.71294897394791</v>
      </c>
      <c r="I48" s="188"/>
      <c r="J48" s="188"/>
      <c r="K48" s="188"/>
      <c r="L48" s="188"/>
      <c r="M48" s="188"/>
      <c r="N48" s="188"/>
      <c r="O48" s="188"/>
      <c r="P48" s="188"/>
      <c r="Q48" s="189"/>
    </row>
    <row r="49" spans="1:17" ht="15" customHeight="1">
      <c r="A49" s="5" t="s">
        <v>69</v>
      </c>
      <c r="B49" s="190">
        <f t="shared" ref="B49:G49" si="18">B29*B$35</f>
        <v>10871.772800640847</v>
      </c>
      <c r="C49" s="13">
        <f t="shared" si="18"/>
        <v>11562.366782367037</v>
      </c>
      <c r="D49" s="13">
        <f t="shared" si="18"/>
        <v>12241.333638095331</v>
      </c>
      <c r="E49" s="13">
        <f t="shared" si="18"/>
        <v>12913.602038401494</v>
      </c>
      <c r="F49" s="13">
        <f t="shared" si="18"/>
        <v>13619.987328885056</v>
      </c>
      <c r="G49" s="191">
        <f t="shared" si="18"/>
        <v>14351.380648446184</v>
      </c>
      <c r="I49" s="188"/>
      <c r="J49" s="188"/>
      <c r="K49" s="188"/>
      <c r="L49" s="188"/>
      <c r="M49" s="188"/>
      <c r="N49" s="188"/>
      <c r="O49" s="188"/>
      <c r="P49" s="188"/>
      <c r="Q49" s="189"/>
    </row>
    <row r="50" spans="1:17" ht="15" customHeight="1">
      <c r="A50" s="3" t="s">
        <v>66</v>
      </c>
      <c r="B50" s="190">
        <f>'Input 4 - Forecast'!C24</f>
        <v>174.85657659911266</v>
      </c>
      <c r="C50" s="13">
        <f>'Input 4 - Forecast'!D24</f>
        <v>162.29082986591305</v>
      </c>
      <c r="D50" s="13">
        <f>'Input 4 - Forecast'!E24</f>
        <v>139.59781983027952</v>
      </c>
      <c r="E50" s="13">
        <f>'Input 4 - Forecast'!F24</f>
        <v>135.40250794027952</v>
      </c>
      <c r="F50" s="13">
        <f>'Input 4 - Forecast'!G24</f>
        <v>103.26669278984103</v>
      </c>
      <c r="G50" s="191">
        <f>'Input 4 - Forecast'!H24</f>
        <v>95.657544050000013</v>
      </c>
      <c r="I50" s="197" t="s">
        <v>87</v>
      </c>
      <c r="J50" s="188"/>
      <c r="K50" s="188"/>
      <c r="L50" s="188"/>
      <c r="M50" s="188"/>
      <c r="N50" s="188"/>
      <c r="O50" s="188"/>
      <c r="P50" s="188"/>
      <c r="Q50" s="189"/>
    </row>
    <row r="51" spans="1:17" ht="15" customHeight="1" thickBot="1">
      <c r="A51" s="198" t="s">
        <v>65</v>
      </c>
      <c r="B51" s="192">
        <f>('Input 4 - Forecast'!C25/'Input 4 - Forecast'!C$17)*B31</f>
        <v>36.103082014354982</v>
      </c>
      <c r="C51" s="193">
        <f>('Input 4 - Forecast'!D25/'Input 4 - Forecast'!D$17)*C31</f>
        <v>36.793459074872004</v>
      </c>
      <c r="D51" s="193">
        <f>('Input 4 - Forecast'!E25/'Input 4 - Forecast'!E$17)*D31</f>
        <v>28.352366134432003</v>
      </c>
      <c r="E51" s="193">
        <f>('Input 4 - Forecast'!F25/'Input 4 - Forecast'!F$17)*E31</f>
        <v>10.689095726641995</v>
      </c>
      <c r="F51" s="193">
        <f>('Input 4 - Forecast'!G25/'Input 4 - Forecast'!G$17)*F31</f>
        <v>0.23301181859500275</v>
      </c>
      <c r="G51" s="194">
        <f>('Input 4 - Forecast'!H25/'Input 4 - Forecast'!H$17)*G31</f>
        <v>0.22278209171348351</v>
      </c>
      <c r="I51" s="197" t="s">
        <v>85</v>
      </c>
      <c r="J51" s="188"/>
      <c r="K51" s="188"/>
      <c r="L51" s="188"/>
      <c r="M51" s="188"/>
      <c r="N51" s="188"/>
      <c r="O51" s="188"/>
      <c r="P51" s="188"/>
      <c r="Q51" s="189"/>
    </row>
    <row r="52" spans="1:17" ht="6" customHeight="1" thickBot="1">
      <c r="B52" s="195"/>
      <c r="C52" s="195"/>
      <c r="D52" s="195"/>
      <c r="E52" s="195"/>
      <c r="F52" s="195"/>
      <c r="G52" s="195"/>
      <c r="I52" s="199"/>
      <c r="J52" s="199"/>
      <c r="K52" s="199"/>
      <c r="L52" s="199"/>
      <c r="M52" s="199"/>
      <c r="N52" s="199"/>
      <c r="O52" s="199"/>
      <c r="P52" s="199"/>
    </row>
    <row r="53" spans="1:17">
      <c r="A53" s="196" t="s">
        <v>67</v>
      </c>
      <c r="B53" s="185">
        <f>'Input 4 - Forecast'!C27</f>
        <v>880.82751076386637</v>
      </c>
      <c r="C53" s="186">
        <f>'Input 4 - Forecast'!D27</f>
        <v>974.88479061012663</v>
      </c>
      <c r="D53" s="186">
        <f>'Input 4 - Forecast'!E27</f>
        <v>693.56222634999995</v>
      </c>
      <c r="E53" s="186">
        <f>'Input 4 - Forecast'!F27</f>
        <v>1100.0445500352976</v>
      </c>
      <c r="F53" s="186">
        <f>'Input 4 - Forecast'!G27</f>
        <v>305.67470971030548</v>
      </c>
      <c r="G53" s="187">
        <f>'Input 4 - Forecast'!H27</f>
        <v>259.28679624</v>
      </c>
      <c r="I53" s="197" t="s">
        <v>88</v>
      </c>
      <c r="J53" s="199"/>
      <c r="K53" s="199"/>
      <c r="L53" s="199"/>
      <c r="M53" s="199"/>
      <c r="N53" s="199"/>
      <c r="O53" s="199"/>
      <c r="P53" s="199"/>
    </row>
    <row r="54" spans="1:17" ht="15.75" thickBot="1">
      <c r="A54" s="198" t="s">
        <v>68</v>
      </c>
      <c r="B54" s="192">
        <f>('Input 4 - Forecast'!C28/'Input 4 - Forecast'!C$17)*B31</f>
        <v>3.4469856692949747</v>
      </c>
      <c r="C54" s="193">
        <f>('Input 4 - Forecast'!D28/'Input 4 - Forecast'!D$17)*C31</f>
        <v>0.42613768651699502</v>
      </c>
      <c r="D54" s="193">
        <f>('Input 4 - Forecast'!E28/'Input 4 - Forecast'!E$17)*D31</f>
        <v>613.46644681095995</v>
      </c>
      <c r="E54" s="193">
        <f>('Input 4 - Forecast'!F28/'Input 4 - Forecast'!F$17)*E31</f>
        <v>352.96984703798012</v>
      </c>
      <c r="F54" s="193">
        <f>('Input 4 - Forecast'!G28/'Input 4 - Forecast'!G$17)*F31</f>
        <v>0.34099085799599038</v>
      </c>
      <c r="G54" s="194">
        <f>('Input 4 - Forecast'!H28/'Input 4 - Forecast'!H$17)*G31</f>
        <v>0</v>
      </c>
      <c r="I54" s="197" t="s">
        <v>86</v>
      </c>
      <c r="J54" s="199"/>
      <c r="K54" s="199"/>
      <c r="L54" s="199"/>
      <c r="M54" s="199"/>
      <c r="N54" s="199"/>
      <c r="O54" s="199"/>
      <c r="P54" s="199"/>
    </row>
    <row r="55" spans="1:17" ht="15.75" thickBot="1">
      <c r="B55" s="195"/>
      <c r="C55" s="195"/>
      <c r="D55" s="195"/>
      <c r="E55" s="195"/>
      <c r="F55" s="195"/>
      <c r="G55" s="195"/>
      <c r="I55" s="199"/>
      <c r="J55" s="199"/>
      <c r="K55" s="199"/>
      <c r="L55" s="199"/>
      <c r="M55" s="199"/>
      <c r="N55" s="199"/>
      <c r="O55" s="199"/>
      <c r="P55" s="199"/>
    </row>
    <row r="56" spans="1:17" ht="15.75" thickBot="1">
      <c r="A56" s="200" t="s">
        <v>5</v>
      </c>
      <c r="B56" s="201">
        <f>'Input 4 - Forecast'!C30</f>
        <v>0</v>
      </c>
      <c r="C56" s="202">
        <f>'Input 4 - Forecast'!D30</f>
        <v>0</v>
      </c>
      <c r="D56" s="202">
        <f>'Input 4 - Forecast'!E30</f>
        <v>0</v>
      </c>
      <c r="E56" s="202">
        <f>'Input 4 - Forecast'!F30</f>
        <v>0</v>
      </c>
      <c r="F56" s="202">
        <f>'Input 4 - Forecast'!G30</f>
        <v>0</v>
      </c>
      <c r="G56" s="203">
        <f>'Input 4 - Forecast'!H30</f>
        <v>0</v>
      </c>
      <c r="I56" s="199"/>
      <c r="J56" s="199"/>
      <c r="K56" s="199"/>
      <c r="L56" s="199"/>
      <c r="M56" s="199"/>
      <c r="N56" s="199"/>
      <c r="O56" s="199"/>
      <c r="P56" s="199"/>
    </row>
    <row r="57" spans="1:17" ht="15.75" thickBot="1">
      <c r="B57" s="195"/>
      <c r="C57" s="195"/>
      <c r="D57" s="195"/>
      <c r="E57" s="195"/>
      <c r="F57" s="195"/>
      <c r="G57" s="195"/>
      <c r="I57" s="199"/>
      <c r="J57" s="199"/>
      <c r="K57" s="199"/>
      <c r="L57" s="199"/>
      <c r="M57" s="199"/>
      <c r="N57" s="199"/>
      <c r="O57" s="199"/>
      <c r="P57" s="199"/>
    </row>
    <row r="58" spans="1:17">
      <c r="A58" s="196" t="s">
        <v>47</v>
      </c>
      <c r="B58" s="185">
        <f>'Input 4 - Forecast'!C32</f>
        <v>0</v>
      </c>
      <c r="C58" s="186">
        <f ca="1">SUM(W119:W124,W138:W171,W214:W219,W233:W266,W307:W312)+Baseline!W282</f>
        <v>34.440056379275418</v>
      </c>
      <c r="D58" s="186">
        <f ca="1">SUM(X119:X124,X138:X171,X214:X219,X233:X266,X307:X312)+Baseline!X282</f>
        <v>77.130887604057605</v>
      </c>
      <c r="E58" s="186">
        <f ca="1">SUM(Y119:Y124,Y138:Y171,Y214:Y219,Y233:Y266,Y307:Y312)+Baseline!Y282</f>
        <v>132.56553412447781</v>
      </c>
      <c r="F58" s="186">
        <f ca="1">SUM(Z119:Z124,Z138:Z171,Z214:Z219,Z233:Z266,Z307:Z312)+Baseline!Z282</f>
        <v>200.21050097228257</v>
      </c>
      <c r="G58" s="187">
        <f ca="1">SUM(AA119:AA124,AA138:AA171,AA214:AA219,AA233:AA266,AA307:AA312)+Baseline!AA282</f>
        <v>222.13961639511245</v>
      </c>
      <c r="I58" s="199"/>
      <c r="J58" s="199"/>
      <c r="K58" s="199"/>
      <c r="L58" s="199"/>
      <c r="M58" s="199"/>
      <c r="N58" s="199"/>
      <c r="O58" s="199"/>
      <c r="P58" s="199"/>
    </row>
    <row r="59" spans="1:17">
      <c r="A59" s="5" t="s">
        <v>48</v>
      </c>
      <c r="B59" s="190">
        <f>'Input 4 - Forecast'!C33</f>
        <v>0</v>
      </c>
      <c r="C59" s="13">
        <f ca="1">SUM(W128:W133,W175:W210,W223:W229,W270:W303,Baseline!W283)*C31</f>
        <v>0</v>
      </c>
      <c r="D59" s="13">
        <f ca="1">SUM(X128:X133,X175:X210,X223:X229,X270:X303,Baseline!X283)*D31</f>
        <v>0</v>
      </c>
      <c r="E59" s="13">
        <f ca="1">SUM(Y128:Y133,Y175:Y210,Y223:Y229,Y270:Y303,Baseline!Y283)*E31</f>
        <v>0</v>
      </c>
      <c r="F59" s="13">
        <f ca="1">SUM(Z128:Z133,Z175:Z210,Z223:Z229,Z270:Z303,Baseline!Z283)*F31</f>
        <v>0</v>
      </c>
      <c r="G59" s="191">
        <f ca="1">SUM(AA128:AA133,AA175:AA210,AA223:AA229,AA270:AA303,Baseline!AA283)*G31</f>
        <v>0</v>
      </c>
      <c r="I59" s="199"/>
      <c r="J59" s="199"/>
      <c r="K59" s="199"/>
      <c r="L59" s="199"/>
      <c r="M59" s="199"/>
      <c r="N59" s="199"/>
      <c r="O59" s="199"/>
      <c r="P59" s="199"/>
    </row>
    <row r="60" spans="1:17">
      <c r="A60" s="5" t="s">
        <v>49</v>
      </c>
      <c r="B60" s="190">
        <f>'Input 4 - Forecast'!C34</f>
        <v>0</v>
      </c>
      <c r="C60" s="13">
        <f ca="1">SUM(P119:P124,P138:P171,P214:P219,P233:P266,P307:P312)</f>
        <v>934.00594810140706</v>
      </c>
      <c r="D60" s="13">
        <f ca="1">SUM(Q119:Q124,Q138:Q171,Q214:Q219,Q233:Q266,Q307:Q312)</f>
        <v>2063.9440003988129</v>
      </c>
      <c r="E60" s="13">
        <f ca="1">SUM(R119:R124,R138:R171,R214:R219,R233:R266,R307:R312)</f>
        <v>3599.8584846721669</v>
      </c>
      <c r="F60" s="13">
        <f ca="1">SUM(S119:S124,S138:S171,S214:S219,S233:S266,S307:S312)</f>
        <v>5182.0270039699781</v>
      </c>
      <c r="G60" s="191">
        <f ca="1">SUM(T119:T124,T138:T171,T214:T219,T233:T266,T307:T312)</f>
        <v>5702.6555279555942</v>
      </c>
      <c r="I60" s="199"/>
      <c r="J60" s="199"/>
      <c r="K60" s="199"/>
      <c r="L60" s="199"/>
      <c r="M60" s="199"/>
      <c r="N60" s="199"/>
      <c r="O60" s="199"/>
      <c r="P60" s="199"/>
    </row>
    <row r="61" spans="1:17" ht="15.75" thickBot="1">
      <c r="A61" s="198" t="s">
        <v>50</v>
      </c>
      <c r="B61" s="192">
        <f>'Input 4 - Forecast'!C35</f>
        <v>0</v>
      </c>
      <c r="C61" s="193">
        <f ca="1">SUM(P128:P134,P175:P210,P223:P229,P270:P303)*C31</f>
        <v>0</v>
      </c>
      <c r="D61" s="193">
        <f ca="1">SUM(Q128:Q134,Q175:Q210,Q223:Q229,Q270:Q303)*D31</f>
        <v>0</v>
      </c>
      <c r="E61" s="193">
        <f ca="1">SUM(R128:R134,R175:R210,R223:R229,R270:R303)*E31</f>
        <v>0</v>
      </c>
      <c r="F61" s="193">
        <f ca="1">SUM(S128:S134,S175:S210,S223:S229,S270:S303)*F31</f>
        <v>0</v>
      </c>
      <c r="G61" s="194">
        <f ca="1">SUM(T128:T134,T175:T210,T223:T229,T270:T303)*G31</f>
        <v>0</v>
      </c>
      <c r="I61" s="199"/>
      <c r="J61" s="199"/>
      <c r="K61" s="199"/>
      <c r="L61" s="199"/>
      <c r="M61" s="199"/>
      <c r="N61" s="199"/>
      <c r="O61" s="199"/>
      <c r="P61" s="199"/>
    </row>
    <row r="62" spans="1:17" ht="15.75" thickBot="1">
      <c r="B62" s="195"/>
      <c r="C62" s="195"/>
      <c r="D62" s="195"/>
      <c r="E62" s="195"/>
      <c r="F62" s="195"/>
      <c r="G62" s="195"/>
      <c r="I62" s="199"/>
      <c r="J62" s="199"/>
      <c r="K62" s="199"/>
      <c r="L62" s="199"/>
      <c r="M62" s="199"/>
      <c r="N62" s="199"/>
      <c r="O62" s="199"/>
      <c r="P62" s="199"/>
    </row>
    <row r="63" spans="1:17" ht="15.75" thickBot="1">
      <c r="A63" s="200" t="s">
        <v>4</v>
      </c>
      <c r="B63" s="1386">
        <f t="shared" ref="B63:G63" si="19">SUM(B49:B51,B53:B54,B56,B58:B61)-SUM(B47:B48)</f>
        <v>1062.4001150288241</v>
      </c>
      <c r="C63" s="1386">
        <f t="shared" ca="1" si="19"/>
        <v>2190.8804037295163</v>
      </c>
      <c r="D63" s="1386">
        <f t="shared" ca="1" si="19"/>
        <v>3692.0748880028705</v>
      </c>
      <c r="E63" s="1386">
        <f t="shared" ca="1" si="19"/>
        <v>5230.733670636645</v>
      </c>
      <c r="F63" s="1386">
        <f t="shared" ca="1" si="19"/>
        <v>5747.1621946222604</v>
      </c>
      <c r="G63" s="1387">
        <f t="shared" ca="1" si="19"/>
        <v>5988.3631898707063</v>
      </c>
      <c r="I63" s="199"/>
      <c r="J63" s="199"/>
      <c r="L63" s="199"/>
      <c r="M63" s="199"/>
      <c r="N63" s="199"/>
      <c r="O63" s="199"/>
      <c r="P63" s="199"/>
    </row>
    <row r="64" spans="1:17" ht="15.75" thickBot="1">
      <c r="B64" s="195"/>
      <c r="C64" s="195"/>
      <c r="D64" s="195"/>
      <c r="E64" s="195"/>
      <c r="F64" s="195"/>
      <c r="G64" s="195"/>
      <c r="I64" s="199"/>
      <c r="J64" s="199"/>
      <c r="K64" s="199"/>
      <c r="L64" s="199"/>
      <c r="M64" s="199"/>
      <c r="N64" s="199"/>
      <c r="O64" s="199"/>
      <c r="P64" s="199"/>
    </row>
    <row r="65" spans="1:17">
      <c r="A65" s="1816" t="s">
        <v>1171</v>
      </c>
      <c r="B65" s="186">
        <f>'Input 4 - Forecast'!C39</f>
        <v>0</v>
      </c>
      <c r="C65" s="186">
        <f>'Input 4 - Forecast'!D39</f>
        <v>0</v>
      </c>
      <c r="D65" s="186">
        <f>'Input 4 - Forecast'!E39</f>
        <v>0</v>
      </c>
      <c r="E65" s="186">
        <f>'Input 4 - Forecast'!F39</f>
        <v>0</v>
      </c>
      <c r="F65" s="186">
        <f>'Input 4 - Forecast'!G39</f>
        <v>0</v>
      </c>
      <c r="G65" s="187">
        <f>'Input 4 - Forecast'!H39</f>
        <v>0</v>
      </c>
      <c r="I65" s="199"/>
      <c r="J65" s="199"/>
      <c r="K65" s="199"/>
      <c r="L65" s="199"/>
      <c r="M65" s="199"/>
      <c r="N65" s="199"/>
      <c r="O65" s="199"/>
      <c r="P65" s="199"/>
    </row>
    <row r="66" spans="1:17">
      <c r="A66" s="1817" t="s">
        <v>1180</v>
      </c>
      <c r="B66" s="13">
        <f>('Input 4 - Forecast'!C40/'Input 4 - Forecast'!C$17)*'Input 5 - Scenario Design'!E$48</f>
        <v>0</v>
      </c>
      <c r="C66" s="13">
        <f>('Input 4 - Forecast'!D40/'Input 4 - Forecast'!D$17)*'Input 5 - Scenario Design'!F$48</f>
        <v>0</v>
      </c>
      <c r="D66" s="13">
        <f>('Input 4 - Forecast'!E40/'Input 4 - Forecast'!E$17)*'Input 5 - Scenario Design'!G$48</f>
        <v>0</v>
      </c>
      <c r="E66" s="13">
        <f>('Input 4 - Forecast'!F40/'Input 4 - Forecast'!F$17)*'Input 5 - Scenario Design'!H$48</f>
        <v>0</v>
      </c>
      <c r="F66" s="13">
        <f>('Input 4 - Forecast'!G40/'Input 4 - Forecast'!G$17)*'Input 5 - Scenario Design'!I$48</f>
        <v>0</v>
      </c>
      <c r="G66" s="191">
        <f>('Input 4 - Forecast'!H40/'Input 4 - Forecast'!H$17)*'Input 5 - Scenario Design'!J$48</f>
        <v>0</v>
      </c>
      <c r="I66" s="197" t="s">
        <v>90</v>
      </c>
      <c r="J66" s="199"/>
      <c r="K66" s="199"/>
      <c r="L66" s="199"/>
      <c r="M66" s="199"/>
      <c r="N66" s="199"/>
      <c r="O66" s="199"/>
      <c r="P66" s="199"/>
    </row>
    <row r="67" spans="1:17">
      <c r="A67" s="1817" t="s">
        <v>8</v>
      </c>
      <c r="B67" s="13">
        <f>('Input 4 - Forecast'!C41/'Input 4 - Forecast'!C$17)*'Input 5 - Scenario Design'!E$48</f>
        <v>0</v>
      </c>
      <c r="C67" s="13">
        <f>('Input 4 - Forecast'!D41/'Input 4 - Forecast'!D$17)*'Input 5 - Scenario Design'!F$48</f>
        <v>0</v>
      </c>
      <c r="D67" s="13">
        <f>('Input 4 - Forecast'!E41/'Input 4 - Forecast'!E$17)*'Input 5 - Scenario Design'!G$48</f>
        <v>0</v>
      </c>
      <c r="E67" s="13">
        <f>('Input 4 - Forecast'!F41/'Input 4 - Forecast'!F$17)*'Input 5 - Scenario Design'!H$48</f>
        <v>0</v>
      </c>
      <c r="F67" s="13">
        <f>('Input 4 - Forecast'!G41/'Input 4 - Forecast'!G$17)*'Input 5 - Scenario Design'!I$48</f>
        <v>0</v>
      </c>
      <c r="G67" s="191">
        <f>('Input 4 - Forecast'!H41/'Input 4 - Forecast'!H$17)*'Input 5 - Scenario Design'!J$48</f>
        <v>0</v>
      </c>
      <c r="I67" s="197" t="s">
        <v>91</v>
      </c>
      <c r="J67" s="199"/>
      <c r="K67" s="199"/>
      <c r="L67" s="199"/>
      <c r="M67" s="199"/>
      <c r="N67" s="199"/>
      <c r="O67" s="199"/>
      <c r="P67" s="199"/>
    </row>
    <row r="68" spans="1:17">
      <c r="A68" s="1817" t="str">
        <f>'Input 2 - Data'!D31</f>
        <v>Please specify (1) (e.g., privatization receipts) (+ reduces financing needs)</v>
      </c>
      <c r="B68" s="13">
        <f>'Input 4 - Forecast'!C42</f>
        <v>0</v>
      </c>
      <c r="C68" s="13">
        <f>'Input 4 - Forecast'!D42</f>
        <v>0</v>
      </c>
      <c r="D68" s="13">
        <f>'Input 4 - Forecast'!E42</f>
        <v>0</v>
      </c>
      <c r="E68" s="13">
        <f>'Input 4 - Forecast'!F42</f>
        <v>0</v>
      </c>
      <c r="F68" s="13">
        <f>'Input 4 - Forecast'!G42</f>
        <v>0</v>
      </c>
      <c r="G68" s="191">
        <f>'Input 4 - Forecast'!H42</f>
        <v>0</v>
      </c>
      <c r="I68" s="199"/>
      <c r="J68" s="199"/>
      <c r="K68" s="199"/>
      <c r="L68" s="199"/>
      <c r="M68" s="199"/>
      <c r="N68" s="199"/>
      <c r="O68" s="199"/>
      <c r="P68" s="199"/>
    </row>
    <row r="69" spans="1:17" s="281" customFormat="1" ht="15.75" thickBot="1">
      <c r="A69" s="1818" t="str">
        <f>'Input 2 - Data'!D32</f>
        <v>Please specify (2) (e.g., other debt flows) (+ increases financing needs)</v>
      </c>
      <c r="B69" s="193">
        <f>'Input 4 - Forecast'!C43</f>
        <v>0</v>
      </c>
      <c r="C69" s="193">
        <f>'Input 4 - Forecast'!D43</f>
        <v>0</v>
      </c>
      <c r="D69" s="193">
        <f>'Input 4 - Forecast'!E43</f>
        <v>0</v>
      </c>
      <c r="E69" s="193">
        <f>'Input 4 - Forecast'!F43</f>
        <v>0</v>
      </c>
      <c r="F69" s="193">
        <f>'Input 4 - Forecast'!G43</f>
        <v>0</v>
      </c>
      <c r="G69" s="194">
        <f>'Input 4 - Forecast'!H43</f>
        <v>0</v>
      </c>
      <c r="I69" s="199"/>
      <c r="J69" s="199"/>
      <c r="K69" s="199"/>
      <c r="L69" s="199"/>
      <c r="M69" s="199"/>
      <c r="N69" s="199"/>
      <c r="O69" s="199"/>
      <c r="P69" s="199"/>
    </row>
    <row r="70" spans="1:17" ht="15.75" thickBot="1">
      <c r="B70" s="195"/>
      <c r="C70" s="195"/>
      <c r="D70" s="195"/>
      <c r="E70" s="195"/>
      <c r="F70" s="195"/>
      <c r="G70" s="195"/>
      <c r="I70" s="235"/>
      <c r="J70" s="235"/>
      <c r="K70" s="199"/>
      <c r="L70" s="199"/>
      <c r="M70" s="199"/>
      <c r="N70" s="199"/>
      <c r="O70" s="199"/>
      <c r="P70" s="199"/>
    </row>
    <row r="71" spans="1:17" ht="16.5" customHeight="1" thickBot="1">
      <c r="A71" s="200" t="s">
        <v>1141</v>
      </c>
      <c r="B71" s="202">
        <f t="shared" ref="B71:G71" si="20">MAX(B63-B65-B66-B67-B68+B69,0)</f>
        <v>1062.4001150288241</v>
      </c>
      <c r="C71" s="202">
        <f t="shared" ca="1" si="20"/>
        <v>2190.8804037295163</v>
      </c>
      <c r="D71" s="202">
        <f t="shared" ca="1" si="20"/>
        <v>3692.0748880028705</v>
      </c>
      <c r="E71" s="202">
        <f t="shared" ca="1" si="20"/>
        <v>5230.733670636645</v>
      </c>
      <c r="F71" s="202">
        <f t="shared" ca="1" si="20"/>
        <v>5747.1621946222604</v>
      </c>
      <c r="G71" s="203">
        <f t="shared" ca="1" si="20"/>
        <v>5988.3631898707063</v>
      </c>
      <c r="I71" s="236"/>
      <c r="J71" s="236"/>
    </row>
    <row r="72" spans="1:17" ht="15.75" thickBot="1">
      <c r="A72" s="4"/>
      <c r="B72" s="13"/>
      <c r="C72" s="13"/>
      <c r="D72" s="13"/>
      <c r="E72" s="13"/>
      <c r="F72" s="13"/>
      <c r="G72" s="13"/>
      <c r="I72" s="184"/>
      <c r="J72" s="184"/>
      <c r="K72" s="184"/>
      <c r="L72" s="184"/>
      <c r="M72" s="184"/>
      <c r="N72" s="184"/>
      <c r="O72" s="184"/>
      <c r="P72" s="184"/>
    </row>
    <row r="73" spans="1:17" ht="82.5" customHeight="1" thickBot="1">
      <c r="A73" s="2" t="s">
        <v>1177</v>
      </c>
      <c r="B73" s="2041" t="s">
        <v>1181</v>
      </c>
      <c r="C73" s="2042"/>
      <c r="D73" s="2042"/>
      <c r="E73" s="2042"/>
      <c r="F73" s="2042"/>
      <c r="G73" s="2043"/>
      <c r="I73" s="204" t="s">
        <v>459</v>
      </c>
      <c r="J73" s="204" t="s">
        <v>38</v>
      </c>
      <c r="K73" s="205" t="s">
        <v>39</v>
      </c>
      <c r="L73" s="204" t="str">
        <f t="shared" ref="L73:Q73" si="21">CONCATENATE("Interest Rate on debt issued in ",B45)</f>
        <v>Interest Rate on debt issued in 2018</v>
      </c>
      <c r="M73" s="204" t="str">
        <f t="shared" si="21"/>
        <v>Interest Rate on debt issued in 2019</v>
      </c>
      <c r="N73" s="204" t="str">
        <f t="shared" si="21"/>
        <v>Interest Rate on debt issued in 2020</v>
      </c>
      <c r="O73" s="204" t="str">
        <f t="shared" si="21"/>
        <v>Interest Rate on debt issued in 2021</v>
      </c>
      <c r="P73" s="204" t="str">
        <f t="shared" si="21"/>
        <v>Interest Rate on debt issued in 2022</v>
      </c>
      <c r="Q73" s="204" t="str">
        <f t="shared" si="21"/>
        <v>Interest Rate on debt issued in 2023</v>
      </c>
    </row>
    <row r="74" spans="1:17">
      <c r="A74" s="206" t="s">
        <v>13</v>
      </c>
      <c r="B74" s="185"/>
      <c r="C74" s="186"/>
      <c r="D74" s="186"/>
      <c r="E74" s="186"/>
      <c r="F74" s="186"/>
      <c r="G74" s="187"/>
      <c r="I74" s="207"/>
      <c r="J74" s="207"/>
      <c r="K74" s="208"/>
      <c r="L74" s="208"/>
      <c r="M74" s="208"/>
      <c r="N74" s="208"/>
      <c r="O74" s="208"/>
      <c r="P74" s="208"/>
      <c r="Q74" s="209"/>
    </row>
    <row r="75" spans="1:17" ht="30">
      <c r="A75" s="210" t="s">
        <v>0</v>
      </c>
      <c r="B75" s="190">
        <f>('Input 4 - Forecast'!C56/'Input 4 - Forecast'!C$45)*MAX(B$71,0)</f>
        <v>0</v>
      </c>
      <c r="C75" s="13">
        <f ca="1">('Input 4 - Forecast'!D56/'Input 4 - Forecast'!D$45)*MAX(C$71,0)</f>
        <v>151</v>
      </c>
      <c r="D75" s="13">
        <f ca="1">('Input 4 - Forecast'!E56/'Input 4 - Forecast'!E$45)*MAX(D$71,0)</f>
        <v>151</v>
      </c>
      <c r="E75" s="13">
        <f ca="1">('Input 4 - Forecast'!F56/'Input 4 - Forecast'!F$45)*MAX(E$71,0)</f>
        <v>151</v>
      </c>
      <c r="F75" s="13">
        <f ca="1">('Input 4 - Forecast'!G56/'Input 4 - Forecast'!G$45)*MAX(F$71,0)</f>
        <v>151</v>
      </c>
      <c r="G75" s="191">
        <f ca="1">('Input 4 - Forecast'!H56/'Input 4 - Forecast'!H$45)*MAX(G$71,0)</f>
        <v>151</v>
      </c>
      <c r="I75" s="211" t="str">
        <f>'Input 4 - Forecast'!J56</f>
        <v>Semi-annual</v>
      </c>
      <c r="J75" s="211">
        <f>'Input 4 - Forecast'!K56</f>
        <v>0</v>
      </c>
      <c r="K75" s="19">
        <f>'Input 4 - Forecast'!L56</f>
        <v>0</v>
      </c>
      <c r="L75" s="212">
        <f>'Input 4 - Forecast'!M56+B$33/10000</f>
        <v>0</v>
      </c>
      <c r="M75" s="212">
        <f>'Input 4 - Forecast'!N56+C$33/10000</f>
        <v>0</v>
      </c>
      <c r="N75" s="212">
        <f>'Input 4 - Forecast'!O56+D$33/10000</f>
        <v>0</v>
      </c>
      <c r="O75" s="212">
        <f>'Input 4 - Forecast'!P56+E$33/10000</f>
        <v>0</v>
      </c>
      <c r="P75" s="212">
        <f>'Input 4 - Forecast'!Q56+F$33/10000</f>
        <v>0</v>
      </c>
      <c r="Q75" s="213">
        <f>'Input 4 - Forecast'!R56+G$33/10000</f>
        <v>0</v>
      </c>
    </row>
    <row r="76" spans="1:17" ht="30">
      <c r="A76" s="210" t="s">
        <v>1</v>
      </c>
      <c r="B76" s="190">
        <f>('Input 4 - Forecast'!C57/'Input 4 - Forecast'!C$45)*MAX(B$71,0)</f>
        <v>0</v>
      </c>
      <c r="C76" s="13">
        <f ca="1">('Input 4 - Forecast'!D57/'Input 4 - Forecast'!D$45)*MAX(C$71,0)</f>
        <v>0</v>
      </c>
      <c r="D76" s="13">
        <f ca="1">('Input 4 - Forecast'!E57/'Input 4 - Forecast'!E$45)*MAX(D$71,0)</f>
        <v>0</v>
      </c>
      <c r="E76" s="13">
        <f ca="1">('Input 4 - Forecast'!F57/'Input 4 - Forecast'!F$45)*MAX(E$71,0)</f>
        <v>0</v>
      </c>
      <c r="F76" s="13">
        <f ca="1">('Input 4 - Forecast'!G57/'Input 4 - Forecast'!G$45)*MAX(F$71,0)</f>
        <v>0</v>
      </c>
      <c r="G76" s="191">
        <f ca="1">('Input 4 - Forecast'!H57/'Input 4 - Forecast'!H$45)*MAX(G$71,0)</f>
        <v>0</v>
      </c>
      <c r="I76" s="211" t="str">
        <f>'Input 4 - Forecast'!J57</f>
        <v>Semi-annual</v>
      </c>
      <c r="J76" s="211">
        <f>'Input 4 - Forecast'!K57</f>
        <v>0</v>
      </c>
      <c r="K76" s="19">
        <f>'Input 4 - Forecast'!L57</f>
        <v>0</v>
      </c>
      <c r="L76" s="212">
        <f>'Input 4 - Forecast'!M57+B$33/10000</f>
        <v>0</v>
      </c>
      <c r="M76" s="212">
        <f>'Input 4 - Forecast'!N57+C$33/10000</f>
        <v>0</v>
      </c>
      <c r="N76" s="212">
        <f>'Input 4 - Forecast'!O57+D$33/10000</f>
        <v>0</v>
      </c>
      <c r="O76" s="212">
        <f>'Input 4 - Forecast'!P57+E$33/10000</f>
        <v>0</v>
      </c>
      <c r="P76" s="212">
        <f>'Input 4 - Forecast'!Q57+F$33/10000</f>
        <v>0</v>
      </c>
      <c r="Q76" s="213">
        <f>'Input 4 - Forecast'!R57+G$33/10000</f>
        <v>0</v>
      </c>
    </row>
    <row r="77" spans="1:17">
      <c r="A77" s="206" t="s">
        <v>14</v>
      </c>
      <c r="B77" s="190"/>
      <c r="C77" s="13"/>
      <c r="D77" s="13"/>
      <c r="E77" s="13"/>
      <c r="F77" s="13"/>
      <c r="G77" s="191"/>
      <c r="I77" s="211"/>
      <c r="J77" s="211"/>
      <c r="K77" s="19"/>
      <c r="L77" s="19"/>
      <c r="M77" s="19"/>
      <c r="N77" s="19"/>
      <c r="O77" s="19"/>
      <c r="P77" s="19"/>
      <c r="Q77" s="214"/>
    </row>
    <row r="78" spans="1:17">
      <c r="A78" s="210" t="s">
        <v>0</v>
      </c>
      <c r="B78" s="190"/>
      <c r="C78" s="13"/>
      <c r="D78" s="13"/>
      <c r="E78" s="13"/>
      <c r="F78" s="13"/>
      <c r="G78" s="191"/>
      <c r="I78" s="211"/>
      <c r="J78" s="211"/>
      <c r="K78" s="19"/>
      <c r="L78" s="19"/>
      <c r="M78" s="19"/>
      <c r="N78" s="19"/>
      <c r="O78" s="19"/>
      <c r="P78" s="19"/>
      <c r="Q78" s="214"/>
    </row>
    <row r="79" spans="1:17">
      <c r="A79" s="215" t="s">
        <v>18</v>
      </c>
      <c r="B79" s="190">
        <f>('Input 4 - Forecast'!C60/'Input 4 - Forecast'!C$45)*MAX(B$71,0)</f>
        <v>329.998670927072</v>
      </c>
      <c r="C79" s="13">
        <f ca="1">('Input 4 - Forecast'!D60/'Input 4 - Forecast'!D$45)*MAX(C$71,0)</f>
        <v>35</v>
      </c>
      <c r="D79" s="13">
        <f ca="1">('Input 4 - Forecast'!E60/'Input 4 - Forecast'!E$45)*MAX(D$71,0)</f>
        <v>40</v>
      </c>
      <c r="E79" s="13">
        <f ca="1">('Input 4 - Forecast'!F60/'Input 4 - Forecast'!F$45)*MAX(E$71,0)</f>
        <v>35</v>
      </c>
      <c r="F79" s="13">
        <f ca="1">('Input 4 - Forecast'!G60/'Input 4 - Forecast'!G$45)*MAX(F$71,0)</f>
        <v>40</v>
      </c>
      <c r="G79" s="191">
        <f ca="1">('Input 4 - Forecast'!H60/'Input 4 - Forecast'!H$45)*MAX(G$71,0)</f>
        <v>30.5</v>
      </c>
      <c r="I79" s="211" t="str">
        <f>'Input 4 - Forecast'!J60</f>
        <v>Annual</v>
      </c>
      <c r="J79" s="211">
        <f>'Input 4 - Forecast'!K60</f>
        <v>5</v>
      </c>
      <c r="K79" s="19">
        <f>'Input 4 - Forecast'!L60</f>
        <v>5</v>
      </c>
      <c r="L79" s="212">
        <f>'Input 4 - Forecast'!M60+B$33/10000</f>
        <v>5.0000000000000001E-3</v>
      </c>
      <c r="M79" s="212">
        <f>'Input 4 - Forecast'!N60+C$33/10000</f>
        <v>5.0000000000000001E-3</v>
      </c>
      <c r="N79" s="212">
        <f>'Input 4 - Forecast'!O60+D$33/10000</f>
        <v>0.01</v>
      </c>
      <c r="O79" s="212">
        <f>'Input 4 - Forecast'!P60+E$33/10000</f>
        <v>0.01</v>
      </c>
      <c r="P79" s="212">
        <f>'Input 4 - Forecast'!Q60+F$33/10000</f>
        <v>0.01</v>
      </c>
      <c r="Q79" s="213">
        <f>'Input 4 - Forecast'!R60+G$33/10000</f>
        <v>0.01</v>
      </c>
    </row>
    <row r="80" spans="1:17">
      <c r="A80" s="215" t="s">
        <v>19</v>
      </c>
      <c r="B80" s="190">
        <f>('Input 4 - Forecast'!C61/'Input 4 - Forecast'!C$45)*MAX(B$71,0)</f>
        <v>0</v>
      </c>
      <c r="C80" s="13">
        <f ca="1">('Input 4 - Forecast'!D61/'Input 4 - Forecast'!D$45)*MAX(C$71,0)</f>
        <v>45</v>
      </c>
      <c r="D80" s="13">
        <f ca="1">('Input 4 - Forecast'!E61/'Input 4 - Forecast'!E$45)*MAX(D$71,0)</f>
        <v>48</v>
      </c>
      <c r="E80" s="13">
        <f ca="1">('Input 4 - Forecast'!F61/'Input 4 - Forecast'!F$45)*MAX(E$71,0)</f>
        <v>40</v>
      </c>
      <c r="F80" s="13">
        <f ca="1">('Input 4 - Forecast'!G61/'Input 4 - Forecast'!G$45)*MAX(F$71,0)</f>
        <v>45</v>
      </c>
      <c r="G80" s="191">
        <f ca="1">('Input 4 - Forecast'!H61/'Input 4 - Forecast'!H$45)*MAX(G$71,0)</f>
        <v>38.319187942158827</v>
      </c>
      <c r="I80" s="211" t="str">
        <f>'Input 4 - Forecast'!J61</f>
        <v>Annual</v>
      </c>
      <c r="J80" s="211">
        <f>'Input 4 - Forecast'!K61</f>
        <v>0</v>
      </c>
      <c r="K80" s="19">
        <f>'Input 4 - Forecast'!L61</f>
        <v>0</v>
      </c>
      <c r="L80" s="212">
        <f>'Input 4 - Forecast'!M61+B$33/10000</f>
        <v>0</v>
      </c>
      <c r="M80" s="212">
        <f>'Input 4 - Forecast'!N61+C$33/10000</f>
        <v>0</v>
      </c>
      <c r="N80" s="212">
        <f>'Input 4 - Forecast'!O61+D$33/10000</f>
        <v>0</v>
      </c>
      <c r="O80" s="212">
        <f>'Input 4 - Forecast'!P61+E$33/10000</f>
        <v>0</v>
      </c>
      <c r="P80" s="212">
        <f>'Input 4 - Forecast'!Q61+F$33/10000</f>
        <v>0</v>
      </c>
      <c r="Q80" s="213">
        <f>'Input 4 - Forecast'!R61+G$33/10000</f>
        <v>0</v>
      </c>
    </row>
    <row r="81" spans="1:17">
      <c r="A81" s="215" t="s">
        <v>20</v>
      </c>
      <c r="B81" s="190">
        <f>('Input 4 - Forecast'!C62/'Input 4 - Forecast'!C$45)*MAX(B$71,0)</f>
        <v>0</v>
      </c>
      <c r="C81" s="13">
        <f ca="1">('Input 4 - Forecast'!D62/'Input 4 - Forecast'!D$45)*MAX(C$71,0)</f>
        <v>57.5</v>
      </c>
      <c r="D81" s="13">
        <f ca="1">('Input 4 - Forecast'!E62/'Input 4 - Forecast'!E$45)*MAX(D$71,0)</f>
        <v>59.6</v>
      </c>
      <c r="E81" s="13">
        <f ca="1">('Input 4 - Forecast'!F62/'Input 4 - Forecast'!F$45)*MAX(E$71,0)</f>
        <v>48</v>
      </c>
      <c r="F81" s="13">
        <f ca="1">('Input 4 - Forecast'!G62/'Input 4 - Forecast'!G$45)*MAX(F$71,0)</f>
        <v>53.500000000000007</v>
      </c>
      <c r="G81" s="191">
        <f ca="1">('Input 4 - Forecast'!H62/'Input 4 - Forecast'!H$45)*MAX(G$71,0)</f>
        <v>55.4</v>
      </c>
      <c r="I81" s="211" t="str">
        <f>'Input 4 - Forecast'!J62</f>
        <v>Annual</v>
      </c>
      <c r="J81" s="211">
        <f>'Input 4 - Forecast'!K62</f>
        <v>0</v>
      </c>
      <c r="K81" s="19">
        <f>'Input 4 - Forecast'!L62</f>
        <v>0</v>
      </c>
      <c r="L81" s="212">
        <f>'Input 4 - Forecast'!M62+B$33/10000</f>
        <v>0</v>
      </c>
      <c r="M81" s="212">
        <f>'Input 4 - Forecast'!N62+C$33/10000</f>
        <v>0</v>
      </c>
      <c r="N81" s="212">
        <f>'Input 4 - Forecast'!O62+D$33/10000</f>
        <v>0</v>
      </c>
      <c r="O81" s="212">
        <f>'Input 4 - Forecast'!P62+E$33/10000</f>
        <v>0</v>
      </c>
      <c r="P81" s="212">
        <f>'Input 4 - Forecast'!Q62+F$33/10000</f>
        <v>0</v>
      </c>
      <c r="Q81" s="213">
        <f>'Input 4 - Forecast'!R62+G$33/10000</f>
        <v>0</v>
      </c>
    </row>
    <row r="82" spans="1:17">
      <c r="A82" s="215" t="s">
        <v>21</v>
      </c>
      <c r="B82" s="190">
        <f>('Input 4 - Forecast'!C63/'Input 4 - Forecast'!C$45)*MAX(B$71,0)</f>
        <v>0</v>
      </c>
      <c r="C82" s="13">
        <f ca="1">('Input 4 - Forecast'!D63/'Input 4 - Forecast'!D$45)*MAX(C$71,0)</f>
        <v>94</v>
      </c>
      <c r="D82" s="13">
        <f ca="1">('Input 4 - Forecast'!E63/'Input 4 - Forecast'!E$45)*MAX(D$71,0)</f>
        <v>91</v>
      </c>
      <c r="E82" s="13">
        <f ca="1">('Input 4 - Forecast'!F63/'Input 4 - Forecast'!F$45)*MAX(E$71,0)</f>
        <v>90.000000000000014</v>
      </c>
      <c r="F82" s="13">
        <f ca="1">('Input 4 - Forecast'!G63/'Input 4 - Forecast'!G$45)*MAX(F$71,0)</f>
        <v>90</v>
      </c>
      <c r="G82" s="191">
        <f ca="1">('Input 4 - Forecast'!H63/'Input 4 - Forecast'!H$45)*MAX(G$71,0)</f>
        <v>90</v>
      </c>
      <c r="I82" s="211" t="str">
        <f>'Input 4 - Forecast'!J63</f>
        <v>Annual</v>
      </c>
      <c r="J82" s="211">
        <f>'Input 4 - Forecast'!K63</f>
        <v>0</v>
      </c>
      <c r="K82" s="19">
        <f>'Input 4 - Forecast'!L63</f>
        <v>0</v>
      </c>
      <c r="L82" s="212">
        <f>'Input 4 - Forecast'!M63+B$33/10000</f>
        <v>0</v>
      </c>
      <c r="M82" s="212">
        <f>'Input 4 - Forecast'!N63+C$33/10000</f>
        <v>0</v>
      </c>
      <c r="N82" s="212">
        <f>'Input 4 - Forecast'!O63+D$33/10000</f>
        <v>0</v>
      </c>
      <c r="O82" s="212">
        <f>'Input 4 - Forecast'!P63+E$33/10000</f>
        <v>0</v>
      </c>
      <c r="P82" s="212">
        <f>'Input 4 - Forecast'!Q63+F$33/10000</f>
        <v>0</v>
      </c>
      <c r="Q82" s="213">
        <f>'Input 4 - Forecast'!R63+G$33/10000</f>
        <v>0</v>
      </c>
    </row>
    <row r="83" spans="1:17">
      <c r="A83" s="215" t="s">
        <v>22</v>
      </c>
      <c r="B83" s="190">
        <f>('Input 4 - Forecast'!C64/'Input 4 - Forecast'!C$45)*MAX(B$71,0)</f>
        <v>0</v>
      </c>
      <c r="C83" s="13">
        <f ca="1">('Input 4 - Forecast'!D64/'Input 4 - Forecast'!D$45)*MAX(C$71,0)</f>
        <v>0</v>
      </c>
      <c r="D83" s="13">
        <f ca="1">('Input 4 - Forecast'!E64/'Input 4 - Forecast'!E$45)*MAX(D$71,0)</f>
        <v>0</v>
      </c>
      <c r="E83" s="13">
        <f ca="1">('Input 4 - Forecast'!F64/'Input 4 - Forecast'!F$45)*MAX(E$71,0)</f>
        <v>0</v>
      </c>
      <c r="F83" s="13">
        <f ca="1">('Input 4 - Forecast'!G64/'Input 4 - Forecast'!G$45)*MAX(F$71,0)</f>
        <v>0</v>
      </c>
      <c r="G83" s="191">
        <f ca="1">('Input 4 - Forecast'!H64/'Input 4 - Forecast'!H$45)*MAX(G$71,0)</f>
        <v>0</v>
      </c>
      <c r="I83" s="211"/>
      <c r="J83" s="211">
        <f>'Input 4 - Forecast'!K64</f>
        <v>0</v>
      </c>
      <c r="K83" s="19">
        <f>'Input 4 - Forecast'!L64</f>
        <v>0</v>
      </c>
      <c r="L83" s="212">
        <f>'Input 4 - Forecast'!M64+B$33/10000</f>
        <v>0</v>
      </c>
      <c r="M83" s="212">
        <f>'Input 4 - Forecast'!N64+C$33/10000</f>
        <v>0</v>
      </c>
      <c r="N83" s="212">
        <f>'Input 4 - Forecast'!O64+D$33/10000</f>
        <v>0</v>
      </c>
      <c r="O83" s="212">
        <f>'Input 4 - Forecast'!P64+E$33/10000</f>
        <v>0</v>
      </c>
      <c r="P83" s="212">
        <f>'Input 4 - Forecast'!Q64+F$33/10000</f>
        <v>0</v>
      </c>
      <c r="Q83" s="213">
        <f>'Input 4 - Forecast'!R64+G$33/10000</f>
        <v>0</v>
      </c>
    </row>
    <row r="84" spans="1:17">
      <c r="A84" s="210" t="s">
        <v>1</v>
      </c>
      <c r="B84" s="190"/>
      <c r="C84" s="13"/>
      <c r="D84" s="13"/>
      <c r="E84" s="13"/>
      <c r="F84" s="13"/>
      <c r="G84" s="191"/>
      <c r="I84" s="211"/>
      <c r="J84" s="211"/>
      <c r="K84" s="19"/>
      <c r="L84" s="19"/>
      <c r="M84" s="19"/>
      <c r="N84" s="19"/>
      <c r="O84" s="19"/>
      <c r="P84" s="19"/>
      <c r="Q84" s="214"/>
    </row>
    <row r="85" spans="1:17">
      <c r="A85" s="215" t="s">
        <v>23</v>
      </c>
      <c r="B85" s="190">
        <f>('Input 4 - Forecast'!C66/'Input 4 - Forecast'!C$45)*MAX(B$71,0)</f>
        <v>0</v>
      </c>
      <c r="C85" s="13">
        <f ca="1">('Input 4 - Forecast'!D66/'Input 4 - Forecast'!D$45)*MAX(C$71,0)</f>
        <v>0</v>
      </c>
      <c r="D85" s="13">
        <f ca="1">('Input 4 - Forecast'!E66/'Input 4 - Forecast'!E$45)*MAX(D$71,0)</f>
        <v>0</v>
      </c>
      <c r="E85" s="13">
        <f ca="1">('Input 4 - Forecast'!F66/'Input 4 - Forecast'!F$45)*MAX(E$71,0)</f>
        <v>0</v>
      </c>
      <c r="F85" s="13">
        <f ca="1">('Input 4 - Forecast'!G66/'Input 4 - Forecast'!G$45)*MAX(F$71,0)</f>
        <v>0</v>
      </c>
      <c r="G85" s="191">
        <f ca="1">('Input 4 - Forecast'!H66/'Input 4 - Forecast'!H$45)*MAX(G$71,0)</f>
        <v>0</v>
      </c>
      <c r="I85" s="211" t="str">
        <f>'Input 4 - Forecast'!J66</f>
        <v>Annual</v>
      </c>
      <c r="J85" s="211">
        <f>'Input 4 - Forecast'!K66</f>
        <v>0</v>
      </c>
      <c r="K85" s="19">
        <f>'Input 4 - Forecast'!L66</f>
        <v>0</v>
      </c>
      <c r="L85" s="212">
        <f>'Input 4 - Forecast'!M66+B$33/10000</f>
        <v>0</v>
      </c>
      <c r="M85" s="212">
        <f>'Input 4 - Forecast'!N66+C$33/10000</f>
        <v>0</v>
      </c>
      <c r="N85" s="212">
        <f>'Input 4 - Forecast'!O66+D$33/10000</f>
        <v>0</v>
      </c>
      <c r="O85" s="212">
        <f>'Input 4 - Forecast'!P66+E$33/10000</f>
        <v>0</v>
      </c>
      <c r="P85" s="212">
        <f>'Input 4 - Forecast'!Q66+F$33/10000</f>
        <v>0</v>
      </c>
      <c r="Q85" s="213">
        <f>'Input 4 - Forecast'!R66+G$33/10000</f>
        <v>0</v>
      </c>
    </row>
    <row r="86" spans="1:17">
      <c r="A86" s="215" t="s">
        <v>24</v>
      </c>
      <c r="B86" s="190">
        <f>('Input 4 - Forecast'!C67/'Input 4 - Forecast'!C$45)*MAX(B$71,0)</f>
        <v>0</v>
      </c>
      <c r="C86" s="13">
        <f ca="1">('Input 4 - Forecast'!D67/'Input 4 - Forecast'!D$45)*MAX(C$71,0)</f>
        <v>0</v>
      </c>
      <c r="D86" s="13">
        <f ca="1">('Input 4 - Forecast'!E67/'Input 4 - Forecast'!E$45)*MAX(D$71,0)</f>
        <v>0</v>
      </c>
      <c r="E86" s="13">
        <f ca="1">('Input 4 - Forecast'!F67/'Input 4 - Forecast'!F$45)*MAX(E$71,0)</f>
        <v>0</v>
      </c>
      <c r="F86" s="13">
        <f ca="1">('Input 4 - Forecast'!G67/'Input 4 - Forecast'!G$45)*MAX(F$71,0)</f>
        <v>0</v>
      </c>
      <c r="G86" s="191">
        <f ca="1">('Input 4 - Forecast'!H67/'Input 4 - Forecast'!H$45)*MAX(G$71,0)</f>
        <v>0</v>
      </c>
      <c r="I86" s="211" t="str">
        <f>'Input 4 - Forecast'!J67</f>
        <v>Annual</v>
      </c>
      <c r="J86" s="211">
        <f>'Input 4 - Forecast'!K67</f>
        <v>0</v>
      </c>
      <c r="K86" s="19">
        <f>'Input 4 - Forecast'!L67</f>
        <v>0</v>
      </c>
      <c r="L86" s="212">
        <f>'Input 4 - Forecast'!M67+B$33/10000</f>
        <v>0</v>
      </c>
      <c r="M86" s="212">
        <f>'Input 4 - Forecast'!N67+C$33/10000</f>
        <v>0</v>
      </c>
      <c r="N86" s="212">
        <f>'Input 4 - Forecast'!O67+D$33/10000</f>
        <v>0</v>
      </c>
      <c r="O86" s="212">
        <f>'Input 4 - Forecast'!P67+E$33/10000</f>
        <v>0</v>
      </c>
      <c r="P86" s="212">
        <f>'Input 4 - Forecast'!Q67+F$33/10000</f>
        <v>0</v>
      </c>
      <c r="Q86" s="213">
        <f>'Input 4 - Forecast'!R67+G$33/10000</f>
        <v>0</v>
      </c>
    </row>
    <row r="87" spans="1:17">
      <c r="A87" s="215" t="s">
        <v>25</v>
      </c>
      <c r="B87" s="190">
        <f>('Input 4 - Forecast'!C68/'Input 4 - Forecast'!C$45)*MAX(B$71,0)</f>
        <v>0</v>
      </c>
      <c r="C87" s="13">
        <f ca="1">('Input 4 - Forecast'!D68/'Input 4 - Forecast'!D$45)*MAX(C$71,0)</f>
        <v>0</v>
      </c>
      <c r="D87" s="13">
        <f ca="1">('Input 4 - Forecast'!E68/'Input 4 - Forecast'!E$45)*MAX(D$71,0)</f>
        <v>0</v>
      </c>
      <c r="E87" s="13">
        <f ca="1">('Input 4 - Forecast'!F68/'Input 4 - Forecast'!F$45)*MAX(E$71,0)</f>
        <v>0</v>
      </c>
      <c r="F87" s="13">
        <f ca="1">('Input 4 - Forecast'!G68/'Input 4 - Forecast'!G$45)*MAX(F$71,0)</f>
        <v>0</v>
      </c>
      <c r="G87" s="191">
        <f ca="1">('Input 4 - Forecast'!H68/'Input 4 - Forecast'!H$45)*MAX(G$71,0)</f>
        <v>0</v>
      </c>
      <c r="I87" s="211" t="str">
        <f>'Input 4 - Forecast'!J68</f>
        <v>Annual</v>
      </c>
      <c r="J87" s="211">
        <f>'Input 4 - Forecast'!K68</f>
        <v>0</v>
      </c>
      <c r="K87" s="19">
        <f>'Input 4 - Forecast'!L68</f>
        <v>0</v>
      </c>
      <c r="L87" s="212">
        <f>'Input 4 - Forecast'!M68+B$33/10000</f>
        <v>0</v>
      </c>
      <c r="M87" s="212">
        <f>'Input 4 - Forecast'!N68+C$33/10000</f>
        <v>0</v>
      </c>
      <c r="N87" s="212">
        <f>'Input 4 - Forecast'!O68+D$33/10000</f>
        <v>0</v>
      </c>
      <c r="O87" s="212">
        <f>'Input 4 - Forecast'!P68+E$33/10000</f>
        <v>0</v>
      </c>
      <c r="P87" s="212">
        <f>'Input 4 - Forecast'!Q68+F$33/10000</f>
        <v>0</v>
      </c>
      <c r="Q87" s="213">
        <f>'Input 4 - Forecast'!R68+G$33/10000</f>
        <v>0</v>
      </c>
    </row>
    <row r="88" spans="1:17">
      <c r="A88" s="215" t="s">
        <v>26</v>
      </c>
      <c r="B88" s="190">
        <f>('Input 4 - Forecast'!C69/'Input 4 - Forecast'!C$45)*MAX(B$71,0)</f>
        <v>0</v>
      </c>
      <c r="C88" s="13">
        <f ca="1">('Input 4 - Forecast'!D69/'Input 4 - Forecast'!D$45)*MAX(C$71,0)</f>
        <v>0</v>
      </c>
      <c r="D88" s="13">
        <f ca="1">('Input 4 - Forecast'!E69/'Input 4 - Forecast'!E$45)*MAX(D$71,0)</f>
        <v>0</v>
      </c>
      <c r="E88" s="13">
        <f ca="1">('Input 4 - Forecast'!F69/'Input 4 - Forecast'!F$45)*MAX(E$71,0)</f>
        <v>0</v>
      </c>
      <c r="F88" s="13">
        <f ca="1">('Input 4 - Forecast'!G69/'Input 4 - Forecast'!G$45)*MAX(F$71,0)</f>
        <v>0</v>
      </c>
      <c r="G88" s="191">
        <f ca="1">('Input 4 - Forecast'!H69/'Input 4 - Forecast'!H$45)*MAX(G$71,0)</f>
        <v>0</v>
      </c>
      <c r="I88" s="211" t="str">
        <f>'Input 4 - Forecast'!J69</f>
        <v>Annual</v>
      </c>
      <c r="J88" s="211">
        <f>'Input 4 - Forecast'!K69</f>
        <v>0</v>
      </c>
      <c r="K88" s="19">
        <f>'Input 4 - Forecast'!L69</f>
        <v>0</v>
      </c>
      <c r="L88" s="212">
        <f>'Input 4 - Forecast'!M69+B$33/10000</f>
        <v>0</v>
      </c>
      <c r="M88" s="212">
        <f>'Input 4 - Forecast'!N69+C$33/10000</f>
        <v>0</v>
      </c>
      <c r="N88" s="212">
        <f>'Input 4 - Forecast'!O69+D$33/10000</f>
        <v>0</v>
      </c>
      <c r="O88" s="212">
        <f>'Input 4 - Forecast'!P69+E$33/10000</f>
        <v>0</v>
      </c>
      <c r="P88" s="212">
        <f>'Input 4 - Forecast'!Q69+F$33/10000</f>
        <v>0</v>
      </c>
      <c r="Q88" s="213">
        <f>'Input 4 - Forecast'!R69+G$33/10000</f>
        <v>0</v>
      </c>
    </row>
    <row r="89" spans="1:17">
      <c r="A89" s="215" t="s">
        <v>27</v>
      </c>
      <c r="B89" s="190">
        <f>('Input 4 - Forecast'!C70/'Input 4 - Forecast'!C$45)*MAX(B$71,0)</f>
        <v>0</v>
      </c>
      <c r="C89" s="13">
        <f ca="1">('Input 4 - Forecast'!D70/'Input 4 - Forecast'!D$45)*MAX(C$71,0)</f>
        <v>0</v>
      </c>
      <c r="D89" s="13">
        <f ca="1">('Input 4 - Forecast'!E70/'Input 4 - Forecast'!E$45)*MAX(D$71,0)</f>
        <v>0</v>
      </c>
      <c r="E89" s="13">
        <f ca="1">('Input 4 - Forecast'!F70/'Input 4 - Forecast'!F$45)*MAX(E$71,0)</f>
        <v>0</v>
      </c>
      <c r="F89" s="13">
        <f ca="1">('Input 4 - Forecast'!G70/'Input 4 - Forecast'!G$45)*MAX(F$71,0)</f>
        <v>0</v>
      </c>
      <c r="G89" s="191">
        <f ca="1">('Input 4 - Forecast'!H70/'Input 4 - Forecast'!H$45)*MAX(G$71,0)</f>
        <v>0</v>
      </c>
      <c r="I89" s="211"/>
      <c r="J89" s="211">
        <f>'Input 4 - Forecast'!K70</f>
        <v>0</v>
      </c>
      <c r="K89" s="19">
        <f>'Input 4 - Forecast'!L70</f>
        <v>0</v>
      </c>
      <c r="L89" s="212">
        <f>'Input 4 - Forecast'!M70+B$33/10000</f>
        <v>0</v>
      </c>
      <c r="M89" s="212">
        <f>'Input 4 - Forecast'!N70+C$33/10000</f>
        <v>0</v>
      </c>
      <c r="N89" s="212">
        <f>'Input 4 - Forecast'!O70+D$33/10000</f>
        <v>0</v>
      </c>
      <c r="O89" s="212">
        <f>'Input 4 - Forecast'!P70+E$33/10000</f>
        <v>0</v>
      </c>
      <c r="P89" s="212">
        <f>'Input 4 - Forecast'!Q70+F$33/10000</f>
        <v>0</v>
      </c>
      <c r="Q89" s="213">
        <f>'Input 4 - Forecast'!R70+G$33/10000</f>
        <v>0</v>
      </c>
    </row>
    <row r="90" spans="1:17">
      <c r="A90" s="3" t="s">
        <v>1178</v>
      </c>
      <c r="B90" s="190"/>
      <c r="C90" s="13"/>
      <c r="D90" s="13"/>
      <c r="E90" s="13"/>
      <c r="F90" s="13"/>
      <c r="G90" s="191"/>
      <c r="I90" s="211"/>
      <c r="J90" s="211"/>
      <c r="K90" s="19"/>
      <c r="L90" s="19"/>
      <c r="M90" s="19"/>
      <c r="N90" s="19"/>
      <c r="O90" s="19"/>
      <c r="P90" s="19"/>
      <c r="Q90" s="214"/>
    </row>
    <row r="91" spans="1:17">
      <c r="A91" s="206" t="s">
        <v>13</v>
      </c>
      <c r="B91" s="190"/>
      <c r="C91" s="13"/>
      <c r="D91" s="13"/>
      <c r="E91" s="13"/>
      <c r="F91" s="13"/>
      <c r="G91" s="191"/>
      <c r="I91" s="211"/>
      <c r="J91" s="211"/>
      <c r="K91" s="19"/>
      <c r="L91" s="19"/>
      <c r="M91" s="19"/>
      <c r="N91" s="19"/>
      <c r="O91" s="19"/>
      <c r="P91" s="19"/>
      <c r="Q91" s="214"/>
    </row>
    <row r="92" spans="1:17" ht="30">
      <c r="A92" s="210" t="s">
        <v>0</v>
      </c>
      <c r="B92" s="190">
        <f>('Input 4 - Forecast'!C73/'Input 4 - Forecast'!C$45)*MAX(B$71,0)</f>
        <v>0</v>
      </c>
      <c r="C92" s="13">
        <f ca="1">('Input 4 - Forecast'!D73/'Input 4 - Forecast'!D$45)*MAX(C$71,0)</f>
        <v>0</v>
      </c>
      <c r="D92" s="13">
        <f ca="1">('Input 4 - Forecast'!E73/'Input 4 - Forecast'!E$45)*MAX(D$71,0)</f>
        <v>0</v>
      </c>
      <c r="E92" s="13">
        <f ca="1">('Input 4 - Forecast'!F73/'Input 4 - Forecast'!F$45)*MAX(E$71,0)</f>
        <v>0</v>
      </c>
      <c r="F92" s="13">
        <f ca="1">('Input 4 - Forecast'!G73/'Input 4 - Forecast'!G$45)*MAX(F$71,0)</f>
        <v>0</v>
      </c>
      <c r="G92" s="191">
        <f ca="1">('Input 4 - Forecast'!H73/'Input 4 - Forecast'!H$45)*MAX(G$71,0)</f>
        <v>0</v>
      </c>
      <c r="I92" s="211" t="str">
        <f>'Input 4 - Forecast'!J73</f>
        <v>Semi-annual</v>
      </c>
      <c r="J92" s="211">
        <f>'Input 4 - Forecast'!K73</f>
        <v>0</v>
      </c>
      <c r="K92" s="19">
        <f>'Input 4 - Forecast'!L73</f>
        <v>0</v>
      </c>
      <c r="L92" s="212">
        <f>'Input 4 - Forecast'!M73+B$33/10000</f>
        <v>0</v>
      </c>
      <c r="M92" s="212">
        <f>'Input 4 - Forecast'!N73+C$33/10000</f>
        <v>0</v>
      </c>
      <c r="N92" s="212">
        <f>'Input 4 - Forecast'!O73+D$33/10000</f>
        <v>0</v>
      </c>
      <c r="O92" s="212">
        <f>'Input 4 - Forecast'!P73+E$33/10000</f>
        <v>0</v>
      </c>
      <c r="P92" s="212">
        <f>'Input 4 - Forecast'!Q73+F$33/10000</f>
        <v>0</v>
      </c>
      <c r="Q92" s="213">
        <f>'Input 4 - Forecast'!R73+G$33/10000</f>
        <v>0</v>
      </c>
    </row>
    <row r="93" spans="1:17" ht="30">
      <c r="A93" s="210" t="s">
        <v>1</v>
      </c>
      <c r="B93" s="190">
        <f>('Input 4 - Forecast'!C74/'Input 4 - Forecast'!C$45)*MAX(B$71,0)</f>
        <v>0</v>
      </c>
      <c r="C93" s="13">
        <f ca="1">('Input 4 - Forecast'!D74/'Input 4 - Forecast'!D$45)*MAX(C$71,0)</f>
        <v>0</v>
      </c>
      <c r="D93" s="13">
        <f ca="1">('Input 4 - Forecast'!E74/'Input 4 - Forecast'!E$45)*MAX(D$71,0)</f>
        <v>0</v>
      </c>
      <c r="E93" s="13">
        <f ca="1">('Input 4 - Forecast'!F74/'Input 4 - Forecast'!F$45)*MAX(E$71,0)</f>
        <v>0</v>
      </c>
      <c r="F93" s="13">
        <f ca="1">('Input 4 - Forecast'!G74/'Input 4 - Forecast'!G$45)*MAX(F$71,0)</f>
        <v>0</v>
      </c>
      <c r="G93" s="191">
        <f ca="1">('Input 4 - Forecast'!H74/'Input 4 - Forecast'!H$45)*MAX(G$71,0)</f>
        <v>0</v>
      </c>
      <c r="I93" s="211" t="str">
        <f>'Input 4 - Forecast'!J74</f>
        <v>Semi-annual</v>
      </c>
      <c r="J93" s="211">
        <f>'Input 4 - Forecast'!K74</f>
        <v>0</v>
      </c>
      <c r="K93" s="19">
        <f>'Input 4 - Forecast'!L74</f>
        <v>0</v>
      </c>
      <c r="L93" s="212">
        <f>'Input 4 - Forecast'!M74+B$33/10000</f>
        <v>0</v>
      </c>
      <c r="M93" s="212">
        <f>'Input 4 - Forecast'!N74+C$33/10000</f>
        <v>0</v>
      </c>
      <c r="N93" s="212">
        <f>'Input 4 - Forecast'!O74+D$33/10000</f>
        <v>0</v>
      </c>
      <c r="O93" s="212">
        <f>'Input 4 - Forecast'!P74+E$33/10000</f>
        <v>0</v>
      </c>
      <c r="P93" s="212">
        <f>'Input 4 - Forecast'!Q74+F$33/10000</f>
        <v>0</v>
      </c>
      <c r="Q93" s="213">
        <f>'Input 4 - Forecast'!R74+G$33/10000</f>
        <v>0</v>
      </c>
    </row>
    <row r="94" spans="1:17">
      <c r="A94" s="206" t="s">
        <v>14</v>
      </c>
      <c r="B94" s="190"/>
      <c r="C94" s="13"/>
      <c r="D94" s="13"/>
      <c r="E94" s="13"/>
      <c r="F94" s="13"/>
      <c r="G94" s="191"/>
      <c r="I94" s="211"/>
      <c r="J94" s="211"/>
      <c r="K94" s="19"/>
      <c r="L94" s="19"/>
      <c r="M94" s="19"/>
      <c r="N94" s="19"/>
      <c r="O94" s="19"/>
      <c r="P94" s="19"/>
      <c r="Q94" s="214"/>
    </row>
    <row r="95" spans="1:17">
      <c r="A95" s="210" t="s">
        <v>0</v>
      </c>
      <c r="B95" s="190"/>
      <c r="C95" s="13"/>
      <c r="D95" s="13"/>
      <c r="E95" s="13"/>
      <c r="F95" s="13"/>
      <c r="G95" s="191"/>
      <c r="I95" s="211"/>
      <c r="J95" s="211"/>
      <c r="K95" s="19"/>
      <c r="L95" s="19"/>
      <c r="M95" s="19"/>
      <c r="N95" s="19"/>
      <c r="O95" s="19"/>
      <c r="P95" s="19"/>
      <c r="Q95" s="214"/>
    </row>
    <row r="96" spans="1:17">
      <c r="A96" s="215" t="s">
        <v>28</v>
      </c>
      <c r="B96" s="190">
        <f>('Input 4 - Forecast'!C77/'Input 4 - Forecast'!C$45)*MAX(B$71,0)</f>
        <v>499.99798625313935</v>
      </c>
      <c r="C96" s="13">
        <f ca="1">('Input 4 - Forecast'!D77/'Input 4 - Forecast'!D$45)*MAX(C$71,0)</f>
        <v>0</v>
      </c>
      <c r="D96" s="13">
        <f ca="1">('Input 4 - Forecast'!E77/'Input 4 - Forecast'!E$45)*MAX(D$71,0)</f>
        <v>0</v>
      </c>
      <c r="E96" s="13">
        <f ca="1">('Input 4 - Forecast'!F77/'Input 4 - Forecast'!F$45)*MAX(E$71,0)</f>
        <v>0</v>
      </c>
      <c r="F96" s="13">
        <f ca="1">('Input 4 - Forecast'!G77/'Input 4 - Forecast'!G$45)*MAX(F$71,0)</f>
        <v>0</v>
      </c>
      <c r="G96" s="191">
        <f ca="1">('Input 4 - Forecast'!H77/'Input 4 - Forecast'!H$45)*MAX(G$71,0)</f>
        <v>0</v>
      </c>
      <c r="I96" s="211" t="str">
        <f>'Input 4 - Forecast'!J77</f>
        <v>Annual</v>
      </c>
      <c r="J96" s="211">
        <f>'Input 4 - Forecast'!K77</f>
        <v>10</v>
      </c>
      <c r="K96" s="19">
        <f>'Input 4 - Forecast'!L77</f>
        <v>10</v>
      </c>
      <c r="L96" s="212">
        <f>'Input 4 - Forecast'!M77+B$33/10000</f>
        <v>1.125E-2</v>
      </c>
      <c r="M96" s="212">
        <f>'Input 4 - Forecast'!N77+C$33/10000</f>
        <v>1.8749999999999999E-2</v>
      </c>
      <c r="N96" s="212">
        <f>'Input 4 - Forecast'!O77+D$33/10000</f>
        <v>2.1999999999999999E-2</v>
      </c>
      <c r="O96" s="212">
        <f>'Input 4 - Forecast'!P77+E$33/10000</f>
        <v>2.1999999999999999E-2</v>
      </c>
      <c r="P96" s="212">
        <f>'Input 4 - Forecast'!Q77+F$33/10000</f>
        <v>2.1999999999999999E-2</v>
      </c>
      <c r="Q96" s="213">
        <f>'Input 4 - Forecast'!R77+G$33/10000</f>
        <v>2.1999999999999999E-2</v>
      </c>
    </row>
    <row r="97" spans="1:27">
      <c r="A97" s="215" t="s">
        <v>29</v>
      </c>
      <c r="B97" s="190">
        <f>('Input 4 - Forecast'!C78/'Input 4 - Forecast'!C$45)*MAX(B$71,0)</f>
        <v>499.99798625313935</v>
      </c>
      <c r="C97" s="13">
        <f ca="1">('Input 4 - Forecast'!D78/'Input 4 - Forecast'!D$45)*MAX(C$71,0)</f>
        <v>0</v>
      </c>
      <c r="D97" s="13">
        <f ca="1">('Input 4 - Forecast'!E78/'Input 4 - Forecast'!E$45)*MAX(D$71,0)</f>
        <v>0</v>
      </c>
      <c r="E97" s="13">
        <f ca="1">('Input 4 - Forecast'!F78/'Input 4 - Forecast'!F$45)*MAX(E$71,0)</f>
        <v>0</v>
      </c>
      <c r="F97" s="13">
        <f ca="1">('Input 4 - Forecast'!G78/'Input 4 - Forecast'!G$45)*MAX(F$71,0)</f>
        <v>0</v>
      </c>
      <c r="G97" s="191">
        <f ca="1">('Input 4 - Forecast'!H78/'Input 4 - Forecast'!H$45)*MAX(G$71,0)</f>
        <v>0</v>
      </c>
      <c r="I97" s="211" t="str">
        <f>'Input 4 - Forecast'!J78</f>
        <v>Annual</v>
      </c>
      <c r="J97" s="211">
        <f>'Input 4 - Forecast'!K78</f>
        <v>30</v>
      </c>
      <c r="K97" s="19">
        <f>'Input 4 - Forecast'!L78</f>
        <v>30</v>
      </c>
      <c r="L97" s="212">
        <f>'Input 4 - Forecast'!M78+B$33/10000</f>
        <v>2.2499999999999999E-2</v>
      </c>
      <c r="M97" s="212">
        <f>'Input 4 - Forecast'!N78+C$33/10000</f>
        <v>0</v>
      </c>
      <c r="N97" s="212">
        <f>'Input 4 - Forecast'!O78+D$33/10000</f>
        <v>0</v>
      </c>
      <c r="O97" s="212">
        <f>'Input 4 - Forecast'!P78+E$33/10000</f>
        <v>0</v>
      </c>
      <c r="P97" s="212">
        <f>'Input 4 - Forecast'!Q78+F$33/10000</f>
        <v>0</v>
      </c>
      <c r="Q97" s="213">
        <f>'Input 4 - Forecast'!R78+G$33/10000</f>
        <v>0</v>
      </c>
    </row>
    <row r="98" spans="1:27">
      <c r="A98" s="215" t="s">
        <v>30</v>
      </c>
      <c r="B98" s="190">
        <f>('Input 4 - Forecast'!C79/'Input 4 - Forecast'!C$45)*MAX(B$71,0)</f>
        <v>0</v>
      </c>
      <c r="C98" s="13">
        <f ca="1">('Input 4 - Forecast'!D79/'Input 4 - Forecast'!D$45)*MAX(C$71,0)</f>
        <v>0</v>
      </c>
      <c r="D98" s="13">
        <f ca="1">('Input 4 - Forecast'!E79/'Input 4 - Forecast'!E$45)*MAX(D$71,0)</f>
        <v>0</v>
      </c>
      <c r="E98" s="13">
        <f ca="1">('Input 4 - Forecast'!F79/'Input 4 - Forecast'!F$45)*MAX(E$71,0)</f>
        <v>0</v>
      </c>
      <c r="F98" s="13">
        <f ca="1">('Input 4 - Forecast'!G79/'Input 4 - Forecast'!G$45)*MAX(F$71,0)</f>
        <v>0</v>
      </c>
      <c r="G98" s="191">
        <f ca="1">('Input 4 - Forecast'!H79/'Input 4 - Forecast'!H$45)*MAX(G$71,0)</f>
        <v>0</v>
      </c>
      <c r="I98" s="211" t="str">
        <f>'Input 4 - Forecast'!J79</f>
        <v>Annual</v>
      </c>
      <c r="J98" s="211">
        <f>'Input 4 - Forecast'!K79</f>
        <v>0</v>
      </c>
      <c r="K98" s="19">
        <f>'Input 4 - Forecast'!L79</f>
        <v>0</v>
      </c>
      <c r="L98" s="212">
        <f>'Input 4 - Forecast'!M79+B$33/10000</f>
        <v>0</v>
      </c>
      <c r="M98" s="212">
        <f>'Input 4 - Forecast'!N79+C$33/10000</f>
        <v>0</v>
      </c>
      <c r="N98" s="212">
        <f>'Input 4 - Forecast'!O79+D$33/10000</f>
        <v>0</v>
      </c>
      <c r="O98" s="212">
        <f>'Input 4 - Forecast'!P79+E$33/10000</f>
        <v>0</v>
      </c>
      <c r="P98" s="212">
        <f>'Input 4 - Forecast'!Q79+F$33/10000</f>
        <v>0</v>
      </c>
      <c r="Q98" s="213">
        <f>'Input 4 - Forecast'!R79+G$33/10000</f>
        <v>0</v>
      </c>
    </row>
    <row r="99" spans="1:27">
      <c r="A99" s="215" t="s">
        <v>31</v>
      </c>
      <c r="B99" s="190">
        <f>('Input 4 - Forecast'!C80/'Input 4 - Forecast'!C$45)*MAX(B$71,0)</f>
        <v>0</v>
      </c>
      <c r="C99" s="13">
        <f ca="1">('Input 4 - Forecast'!D80/'Input 4 - Forecast'!D$45)*MAX(C$71,0)</f>
        <v>0</v>
      </c>
      <c r="D99" s="13">
        <f ca="1">('Input 4 - Forecast'!E80/'Input 4 - Forecast'!E$45)*MAX(D$71,0)</f>
        <v>0</v>
      </c>
      <c r="E99" s="13">
        <f ca="1">('Input 4 - Forecast'!F80/'Input 4 - Forecast'!F$45)*MAX(E$71,0)</f>
        <v>0</v>
      </c>
      <c r="F99" s="13">
        <f ca="1">('Input 4 - Forecast'!G80/'Input 4 - Forecast'!G$45)*MAX(F$71,0)</f>
        <v>0</v>
      </c>
      <c r="G99" s="191">
        <f ca="1">('Input 4 - Forecast'!H80/'Input 4 - Forecast'!H$45)*MAX(G$71,0)</f>
        <v>0</v>
      </c>
      <c r="I99" s="211" t="str">
        <f>'Input 4 - Forecast'!J80</f>
        <v>Annual</v>
      </c>
      <c r="J99" s="211">
        <f>'Input 4 - Forecast'!K80</f>
        <v>0</v>
      </c>
      <c r="K99" s="19">
        <f>'Input 4 - Forecast'!L80</f>
        <v>0</v>
      </c>
      <c r="L99" s="212">
        <f>'Input 4 - Forecast'!M80+B$33/10000</f>
        <v>0</v>
      </c>
      <c r="M99" s="212">
        <f>'Input 4 - Forecast'!N80+C$33/10000</f>
        <v>0</v>
      </c>
      <c r="N99" s="212">
        <f>'Input 4 - Forecast'!O80+D$33/10000</f>
        <v>0</v>
      </c>
      <c r="O99" s="212">
        <f>'Input 4 - Forecast'!P80+E$33/10000</f>
        <v>0</v>
      </c>
      <c r="P99" s="212">
        <f>'Input 4 - Forecast'!Q80+F$33/10000</f>
        <v>0</v>
      </c>
      <c r="Q99" s="213">
        <f>'Input 4 - Forecast'!R80+G$33/10000</f>
        <v>0</v>
      </c>
    </row>
    <row r="100" spans="1:27">
      <c r="A100" s="215" t="s">
        <v>32</v>
      </c>
      <c r="B100" s="190">
        <f>('Input 4 - Forecast'!C81/'Input 4 - Forecast'!C$45)*MAX(B$71,0)</f>
        <v>0</v>
      </c>
      <c r="C100" s="13">
        <f ca="1">('Input 4 - Forecast'!D81/'Input 4 - Forecast'!D$45)*MAX(C$71,0)</f>
        <v>0</v>
      </c>
      <c r="D100" s="13">
        <f ca="1">('Input 4 - Forecast'!E81/'Input 4 - Forecast'!E$45)*MAX(D$71,0)</f>
        <v>0</v>
      </c>
      <c r="E100" s="13">
        <f ca="1">('Input 4 - Forecast'!F81/'Input 4 - Forecast'!F$45)*MAX(E$71,0)</f>
        <v>0</v>
      </c>
      <c r="F100" s="13">
        <f ca="1">('Input 4 - Forecast'!G81/'Input 4 - Forecast'!G$45)*MAX(F$71,0)</f>
        <v>0</v>
      </c>
      <c r="G100" s="191">
        <f ca="1">('Input 4 - Forecast'!H81/'Input 4 - Forecast'!H$45)*MAX(G$71,0)</f>
        <v>0</v>
      </c>
      <c r="I100" s="211"/>
      <c r="J100" s="211">
        <f>'Input 4 - Forecast'!K81</f>
        <v>0</v>
      </c>
      <c r="K100" s="19">
        <f>'Input 4 - Forecast'!L81</f>
        <v>0</v>
      </c>
      <c r="L100" s="212">
        <f>'Input 4 - Forecast'!M81+B$33/10000</f>
        <v>0</v>
      </c>
      <c r="M100" s="212">
        <f>'Input 4 - Forecast'!N81+C$33/10000</f>
        <v>0</v>
      </c>
      <c r="N100" s="212">
        <f>'Input 4 - Forecast'!O81+D$33/10000</f>
        <v>0</v>
      </c>
      <c r="O100" s="212">
        <f>'Input 4 - Forecast'!P81+E$33/10000</f>
        <v>0</v>
      </c>
      <c r="P100" s="212">
        <f>'Input 4 - Forecast'!Q81+F$33/10000</f>
        <v>0</v>
      </c>
      <c r="Q100" s="213">
        <f>'Input 4 - Forecast'!R81+G$33/10000</f>
        <v>0</v>
      </c>
    </row>
    <row r="101" spans="1:27">
      <c r="A101" s="210" t="s">
        <v>1</v>
      </c>
      <c r="B101" s="190"/>
      <c r="C101" s="13"/>
      <c r="D101" s="13"/>
      <c r="E101" s="13"/>
      <c r="F101" s="13"/>
      <c r="G101" s="191"/>
      <c r="I101" s="211"/>
      <c r="J101" s="211"/>
      <c r="K101" s="19"/>
      <c r="L101" s="19"/>
      <c r="M101" s="19"/>
      <c r="N101" s="19"/>
      <c r="O101" s="19"/>
      <c r="P101" s="19"/>
      <c r="Q101" s="214"/>
    </row>
    <row r="102" spans="1:27">
      <c r="A102" s="215" t="s">
        <v>33</v>
      </c>
      <c r="B102" s="190">
        <f>('Input 4 - Forecast'!C83/'Input 4 - Forecast'!C$45)*MAX(B$71,0)</f>
        <v>0</v>
      </c>
      <c r="C102" s="13">
        <f ca="1">('Input 4 - Forecast'!D83/'Input 4 - Forecast'!D$45)*MAX(C$71,0)</f>
        <v>0</v>
      </c>
      <c r="D102" s="13">
        <f ca="1">('Input 4 - Forecast'!E83/'Input 4 - Forecast'!E$45)*MAX(D$71,0)</f>
        <v>0</v>
      </c>
      <c r="E102" s="13">
        <f ca="1">('Input 4 - Forecast'!F83/'Input 4 - Forecast'!F$45)*MAX(E$71,0)</f>
        <v>0</v>
      </c>
      <c r="F102" s="13">
        <f ca="1">('Input 4 - Forecast'!G83/'Input 4 - Forecast'!G$45)*MAX(F$71,0)</f>
        <v>0</v>
      </c>
      <c r="G102" s="191">
        <f ca="1">('Input 4 - Forecast'!H83/'Input 4 - Forecast'!H$45)*MAX(G$71,0)</f>
        <v>0</v>
      </c>
      <c r="I102" s="211" t="str">
        <f>'Input 4 - Forecast'!J83</f>
        <v>Annual</v>
      </c>
      <c r="J102" s="211">
        <f>'Input 4 - Forecast'!K83</f>
        <v>0</v>
      </c>
      <c r="K102" s="19">
        <f>'Input 4 - Forecast'!L83</f>
        <v>0</v>
      </c>
      <c r="L102" s="212">
        <f>'Input 4 - Forecast'!M83+B$33/10000</f>
        <v>0</v>
      </c>
      <c r="M102" s="212">
        <f>'Input 4 - Forecast'!N83+C$33/10000</f>
        <v>0</v>
      </c>
      <c r="N102" s="212">
        <f>'Input 4 - Forecast'!O83+D$33/10000</f>
        <v>0</v>
      </c>
      <c r="O102" s="212">
        <f>'Input 4 - Forecast'!P83+E$33/10000</f>
        <v>0</v>
      </c>
      <c r="P102" s="212">
        <f>'Input 4 - Forecast'!Q83+F$33/10000</f>
        <v>0</v>
      </c>
      <c r="Q102" s="213">
        <f>'Input 4 - Forecast'!R83+G$33/10000</f>
        <v>0</v>
      </c>
    </row>
    <row r="103" spans="1:27">
      <c r="A103" s="215" t="s">
        <v>34</v>
      </c>
      <c r="B103" s="190">
        <f>('Input 4 - Forecast'!C84/'Input 4 - Forecast'!C$45)*MAX(B$71,0)</f>
        <v>0</v>
      </c>
      <c r="C103" s="13">
        <f ca="1">('Input 4 - Forecast'!D84/'Input 4 - Forecast'!D$45)*MAX(C$71,0)</f>
        <v>0</v>
      </c>
      <c r="D103" s="13">
        <f ca="1">('Input 4 - Forecast'!E84/'Input 4 - Forecast'!E$45)*MAX(D$71,0)</f>
        <v>0</v>
      </c>
      <c r="E103" s="13">
        <f ca="1">('Input 4 - Forecast'!F84/'Input 4 - Forecast'!F$45)*MAX(E$71,0)</f>
        <v>0</v>
      </c>
      <c r="F103" s="13">
        <f ca="1">('Input 4 - Forecast'!G84/'Input 4 - Forecast'!G$45)*MAX(F$71,0)</f>
        <v>0</v>
      </c>
      <c r="G103" s="191">
        <f ca="1">('Input 4 - Forecast'!H84/'Input 4 - Forecast'!H$45)*MAX(G$71,0)</f>
        <v>0</v>
      </c>
      <c r="I103" s="211" t="str">
        <f>'Input 4 - Forecast'!J84</f>
        <v>Annual</v>
      </c>
      <c r="J103" s="211">
        <f>'Input 4 - Forecast'!K84</f>
        <v>0</v>
      </c>
      <c r="K103" s="19">
        <f>'Input 4 - Forecast'!L84</f>
        <v>0</v>
      </c>
      <c r="L103" s="212">
        <f>'Input 4 - Forecast'!M84+B$33/10000</f>
        <v>0</v>
      </c>
      <c r="M103" s="212">
        <f>'Input 4 - Forecast'!N84+C$33/10000</f>
        <v>0</v>
      </c>
      <c r="N103" s="212">
        <f>'Input 4 - Forecast'!O84+D$33/10000</f>
        <v>0</v>
      </c>
      <c r="O103" s="212">
        <f>'Input 4 - Forecast'!P84+E$33/10000</f>
        <v>0</v>
      </c>
      <c r="P103" s="212">
        <f>'Input 4 - Forecast'!Q84+F$33/10000</f>
        <v>0</v>
      </c>
      <c r="Q103" s="213">
        <f>'Input 4 - Forecast'!R84+G$33/10000</f>
        <v>0</v>
      </c>
    </row>
    <row r="104" spans="1:27">
      <c r="A104" s="215" t="s">
        <v>35</v>
      </c>
      <c r="B104" s="190">
        <f>('Input 4 - Forecast'!C85/'Input 4 - Forecast'!C$45)*MAX(B$71,0)</f>
        <v>0</v>
      </c>
      <c r="C104" s="13">
        <f ca="1">('Input 4 - Forecast'!D85/'Input 4 - Forecast'!D$45)*MAX(C$71,0)</f>
        <v>0</v>
      </c>
      <c r="D104" s="13">
        <f ca="1">('Input 4 - Forecast'!E85/'Input 4 - Forecast'!E$45)*MAX(D$71,0)</f>
        <v>0</v>
      </c>
      <c r="E104" s="13">
        <f ca="1">('Input 4 - Forecast'!F85/'Input 4 - Forecast'!F$45)*MAX(E$71,0)</f>
        <v>0</v>
      </c>
      <c r="F104" s="13">
        <f ca="1">('Input 4 - Forecast'!G85/'Input 4 - Forecast'!G$45)*MAX(F$71,0)</f>
        <v>0</v>
      </c>
      <c r="G104" s="191">
        <f ca="1">('Input 4 - Forecast'!H85/'Input 4 - Forecast'!H$45)*MAX(G$71,0)</f>
        <v>0</v>
      </c>
      <c r="I104" s="211" t="str">
        <f>'Input 4 - Forecast'!J85</f>
        <v>Annual</v>
      </c>
      <c r="J104" s="211">
        <f>'Input 4 - Forecast'!K85</f>
        <v>0</v>
      </c>
      <c r="K104" s="19">
        <f>'Input 4 - Forecast'!L85</f>
        <v>0</v>
      </c>
      <c r="L104" s="212">
        <f>'Input 4 - Forecast'!M85+B$33/10000</f>
        <v>0</v>
      </c>
      <c r="M104" s="212">
        <f>'Input 4 - Forecast'!N85+C$33/10000</f>
        <v>0</v>
      </c>
      <c r="N104" s="212">
        <f>'Input 4 - Forecast'!O85+D$33/10000</f>
        <v>0</v>
      </c>
      <c r="O104" s="212">
        <f>'Input 4 - Forecast'!P85+E$33/10000</f>
        <v>0</v>
      </c>
      <c r="P104" s="212">
        <f>'Input 4 - Forecast'!Q85+F$33/10000</f>
        <v>0</v>
      </c>
      <c r="Q104" s="213">
        <f>'Input 4 - Forecast'!R85+G$33/10000</f>
        <v>0</v>
      </c>
    </row>
    <row r="105" spans="1:27">
      <c r="A105" s="215" t="s">
        <v>36</v>
      </c>
      <c r="B105" s="190">
        <f>('Input 4 - Forecast'!C86/'Input 4 - Forecast'!C$45)*MAX(B$71,0)</f>
        <v>0</v>
      </c>
      <c r="C105" s="13">
        <f ca="1">('Input 4 - Forecast'!D86/'Input 4 - Forecast'!D$45)*MAX(C$71,0)</f>
        <v>0</v>
      </c>
      <c r="D105" s="13">
        <f ca="1">('Input 4 - Forecast'!E86/'Input 4 - Forecast'!E$45)*MAX(D$71,0)</f>
        <v>0</v>
      </c>
      <c r="E105" s="13">
        <f ca="1">('Input 4 - Forecast'!F86/'Input 4 - Forecast'!F$45)*MAX(E$71,0)</f>
        <v>0</v>
      </c>
      <c r="F105" s="13">
        <f ca="1">('Input 4 - Forecast'!G86/'Input 4 - Forecast'!G$45)*MAX(F$71,0)</f>
        <v>0</v>
      </c>
      <c r="G105" s="191">
        <f ca="1">('Input 4 - Forecast'!H86/'Input 4 - Forecast'!H$45)*MAX(G$71,0)</f>
        <v>0</v>
      </c>
      <c r="I105" s="211" t="str">
        <f>'Input 4 - Forecast'!J86</f>
        <v>Annual</v>
      </c>
      <c r="J105" s="211">
        <f>'Input 4 - Forecast'!K86</f>
        <v>0</v>
      </c>
      <c r="K105" s="19">
        <f>'Input 4 - Forecast'!L86</f>
        <v>0</v>
      </c>
      <c r="L105" s="212">
        <f>'Input 4 - Forecast'!M86+B$33/10000</f>
        <v>0</v>
      </c>
      <c r="M105" s="212">
        <f>'Input 4 - Forecast'!N86+C$33/10000</f>
        <v>0</v>
      </c>
      <c r="N105" s="212">
        <f>'Input 4 - Forecast'!O86+D$33/10000</f>
        <v>0</v>
      </c>
      <c r="O105" s="212">
        <f>'Input 4 - Forecast'!P86+E$33/10000</f>
        <v>0</v>
      </c>
      <c r="P105" s="212">
        <f>'Input 4 - Forecast'!Q86+F$33/10000</f>
        <v>0</v>
      </c>
      <c r="Q105" s="213">
        <f>'Input 4 - Forecast'!R86+G$33/10000</f>
        <v>0</v>
      </c>
    </row>
    <row r="106" spans="1:27" ht="15.75" thickBot="1">
      <c r="A106" s="216" t="s">
        <v>37</v>
      </c>
      <c r="B106" s="192">
        <f>('Input 4 - Forecast'!C87/'Input 4 - Forecast'!C$45)*MAX(B$71,0)</f>
        <v>0</v>
      </c>
      <c r="C106" s="193">
        <f ca="1">('Input 4 - Forecast'!D87/'Input 4 - Forecast'!D$45)*MAX(C$71,0)</f>
        <v>0</v>
      </c>
      <c r="D106" s="193">
        <f ca="1">('Input 4 - Forecast'!E87/'Input 4 - Forecast'!E$45)*MAX(D$71,0)</f>
        <v>0</v>
      </c>
      <c r="E106" s="193">
        <f ca="1">('Input 4 - Forecast'!F87/'Input 4 - Forecast'!F$45)*MAX(E$71,0)</f>
        <v>0</v>
      </c>
      <c r="F106" s="193">
        <f ca="1">('Input 4 - Forecast'!G87/'Input 4 - Forecast'!G$45)*MAX(F$71,0)</f>
        <v>0</v>
      </c>
      <c r="G106" s="194">
        <f ca="1">('Input 4 - Forecast'!H87/'Input 4 - Forecast'!H$45)*MAX(G$71,0)</f>
        <v>0</v>
      </c>
      <c r="I106" s="217"/>
      <c r="J106" s="217">
        <f>'Input 4 - Forecast'!K87</f>
        <v>0</v>
      </c>
      <c r="K106" s="218">
        <f>'Input 4 - Forecast'!L87</f>
        <v>0</v>
      </c>
      <c r="L106" s="219">
        <f>'Input 4 - Forecast'!M87+B$33/10000</f>
        <v>0</v>
      </c>
      <c r="M106" s="219">
        <f>'Input 4 - Forecast'!N87+C$33/10000</f>
        <v>0</v>
      </c>
      <c r="N106" s="219">
        <f>'Input 4 - Forecast'!O87+D$33/10000</f>
        <v>0</v>
      </c>
      <c r="O106" s="219">
        <f>'Input 4 - Forecast'!P87+E$33/10000</f>
        <v>0</v>
      </c>
      <c r="P106" s="219">
        <f>'Input 4 - Forecast'!Q87+F$33/10000</f>
        <v>0</v>
      </c>
      <c r="Q106" s="220">
        <f>'Input 4 - Forecast'!R87+G$33/10000</f>
        <v>0</v>
      </c>
    </row>
    <row r="107" spans="1:27" ht="15.75" thickBot="1">
      <c r="B107" s="195"/>
      <c r="C107" s="195"/>
      <c r="D107" s="195"/>
      <c r="E107" s="195"/>
      <c r="F107" s="195"/>
      <c r="G107" s="195"/>
      <c r="I107" s="184"/>
      <c r="J107" s="184"/>
      <c r="K107" s="184"/>
      <c r="L107" s="184"/>
      <c r="M107" s="184"/>
      <c r="N107" s="184"/>
      <c r="O107" s="184"/>
      <c r="P107" s="184"/>
      <c r="Q107" s="184"/>
    </row>
    <row r="108" spans="1:27" ht="15.75" thickBot="1">
      <c r="A108" s="200" t="s">
        <v>1179</v>
      </c>
      <c r="B108" s="201">
        <f>('Input 4 - Forecast'!C89/'Input 4 - Forecast'!C$45)*MAX(B$71,0)</f>
        <v>-267.59452840452661</v>
      </c>
      <c r="C108" s="202">
        <f ca="1">('Input 4 - Forecast'!D89/'Input 4 - Forecast'!D$45)*MAX(C$71,0)</f>
        <v>1808.3804037295163</v>
      </c>
      <c r="D108" s="202">
        <f ca="1">('Input 4 - Forecast'!E89/'Input 4 - Forecast'!E$45)*MAX(D$71,0)</f>
        <v>3302.4748880028706</v>
      </c>
      <c r="E108" s="202">
        <f ca="1">('Input 4 - Forecast'!F89/'Input 4 - Forecast'!F$45)*MAX(E$71,0)</f>
        <v>4866.733670636645</v>
      </c>
      <c r="F108" s="202">
        <f ca="1">('Input 4 - Forecast'!G89/'Input 4 - Forecast'!G$45)*MAX(F$71,0)</f>
        <v>5367.6621946222604</v>
      </c>
      <c r="G108" s="203">
        <f ca="1">('Input 4 - Forecast'!H89/'Input 4 - Forecast'!H$45)*MAX(G$71,0)</f>
        <v>5623.1440019285474</v>
      </c>
      <c r="I108" s="221"/>
      <c r="J108" s="221">
        <f>'Input 4 - Forecast'!K89</f>
        <v>1</v>
      </c>
      <c r="K108" s="222">
        <f>'Input 4 - Forecast'!L89</f>
        <v>1</v>
      </c>
      <c r="L108" s="223">
        <f>'Input 4 - Forecast'!M89+B$33/10000</f>
        <v>0</v>
      </c>
      <c r="M108" s="223">
        <f>'Input 4 - Forecast'!N89+C$33/10000</f>
        <v>0</v>
      </c>
      <c r="N108" s="223">
        <f>'Input 4 - Forecast'!O89+D$33/10000</f>
        <v>0</v>
      </c>
      <c r="O108" s="223">
        <f>'Input 4 - Forecast'!P89+E$33/10000</f>
        <v>0</v>
      </c>
      <c r="P108" s="223">
        <f>'Input 4 - Forecast'!Q89+F$33/10000</f>
        <v>0</v>
      </c>
      <c r="Q108" s="224">
        <f>'Input 4 - Forecast'!R89+G$33/10000</f>
        <v>0</v>
      </c>
    </row>
    <row r="109" spans="1:27">
      <c r="B109" s="7"/>
      <c r="C109" s="7"/>
      <c r="D109" s="7"/>
      <c r="E109" s="7"/>
      <c r="F109" s="7"/>
      <c r="G109" s="7"/>
      <c r="I109" s="184"/>
      <c r="J109" s="184"/>
      <c r="K109" s="184"/>
      <c r="L109" s="184"/>
      <c r="M109" s="184"/>
      <c r="N109" s="184"/>
      <c r="O109" s="184"/>
      <c r="P109" s="184"/>
    </row>
    <row r="111" spans="1:27" ht="15.75" thickBot="1">
      <c r="H111" s="7">
        <f>'Input 4 - Forecast'!C9</f>
        <v>2018</v>
      </c>
      <c r="I111" s="7">
        <f>H111+1</f>
        <v>2019</v>
      </c>
      <c r="J111" s="7">
        <f>I111+1</f>
        <v>2020</v>
      </c>
      <c r="K111" s="7">
        <f>J111+1</f>
        <v>2021</v>
      </c>
      <c r="L111" s="7">
        <f>K111+1</f>
        <v>2022</v>
      </c>
      <c r="M111" s="7">
        <f>L111+1</f>
        <v>2023</v>
      </c>
      <c r="O111" s="7">
        <f t="shared" ref="O111:T111" si="22">H111</f>
        <v>2018</v>
      </c>
      <c r="P111" s="7">
        <f t="shared" si="22"/>
        <v>2019</v>
      </c>
      <c r="Q111" s="7">
        <f t="shared" si="22"/>
        <v>2020</v>
      </c>
      <c r="R111" s="7">
        <f t="shared" si="22"/>
        <v>2021</v>
      </c>
      <c r="S111" s="7">
        <f t="shared" si="22"/>
        <v>2022</v>
      </c>
      <c r="T111" s="7">
        <f t="shared" si="22"/>
        <v>2023</v>
      </c>
      <c r="V111" s="7">
        <f t="shared" ref="V111:AA111" si="23">O111</f>
        <v>2018</v>
      </c>
      <c r="W111" s="7">
        <f t="shared" si="23"/>
        <v>2019</v>
      </c>
      <c r="X111" s="7">
        <f t="shared" si="23"/>
        <v>2020</v>
      </c>
      <c r="Y111" s="7">
        <f t="shared" si="23"/>
        <v>2021</v>
      </c>
      <c r="Z111" s="7">
        <f t="shared" si="23"/>
        <v>2022</v>
      </c>
      <c r="AA111" s="7">
        <f t="shared" si="23"/>
        <v>2023</v>
      </c>
    </row>
    <row r="112" spans="1:27" ht="15.75" thickBot="1">
      <c r="A112" s="281"/>
      <c r="B112" s="2009" t="s">
        <v>44</v>
      </c>
      <c r="C112" s="2010"/>
      <c r="D112" s="2010"/>
      <c r="E112" s="2010"/>
      <c r="F112" s="2011"/>
      <c r="H112" s="2012" t="s">
        <v>40</v>
      </c>
      <c r="I112" s="2013"/>
      <c r="J112" s="2013"/>
      <c r="K112" s="2013"/>
      <c r="L112" s="2013"/>
      <c r="M112" s="2014"/>
      <c r="O112" s="2015" t="s">
        <v>46</v>
      </c>
      <c r="P112" s="2016"/>
      <c r="Q112" s="2016"/>
      <c r="R112" s="2016"/>
      <c r="S112" s="2016"/>
      <c r="T112" s="2017"/>
      <c r="V112" s="1996" t="s">
        <v>42</v>
      </c>
      <c r="W112" s="1997"/>
      <c r="X112" s="1997"/>
      <c r="Y112" s="1997"/>
      <c r="Z112" s="1997"/>
      <c r="AA112" s="1998"/>
    </row>
    <row r="113" spans="1:27">
      <c r="A113" s="281"/>
      <c r="B113" s="7" t="s">
        <v>45</v>
      </c>
      <c r="C113" s="281" t="s">
        <v>462</v>
      </c>
      <c r="D113" s="7" t="s">
        <v>43</v>
      </c>
      <c r="E113" s="7" t="s">
        <v>39</v>
      </c>
      <c r="F113" s="7" t="s">
        <v>41</v>
      </c>
    </row>
    <row r="114" spans="1:27">
      <c r="A114" s="17"/>
      <c r="B114" s="7"/>
      <c r="C114" s="7"/>
      <c r="D114" s="7"/>
      <c r="E114" s="7"/>
    </row>
    <row r="115" spans="1:27">
      <c r="A115" s="20" t="str">
        <f>'Input 4 - Forecast'!A50</f>
        <v>Issuance of New Debt to Fill Fiscal Needs</v>
      </c>
    </row>
    <row r="116" spans="1:27" customFormat="1" ht="15.75" thickBot="1">
      <c r="A116" s="21" t="str">
        <f>'Input 4 - Forecast'!A55</f>
        <v>Short-term debt 2/</v>
      </c>
      <c r="B116" s="18"/>
      <c r="C116" s="13"/>
      <c r="D116" s="13"/>
      <c r="E116" s="13"/>
      <c r="F116" s="13"/>
      <c r="G116" s="13"/>
      <c r="H116" s="13"/>
      <c r="I116" s="17"/>
      <c r="J116" s="19"/>
      <c r="K116" s="19"/>
      <c r="L116" s="19"/>
      <c r="M116" s="19"/>
      <c r="N116" s="19"/>
      <c r="O116" s="19"/>
      <c r="P116" s="19"/>
      <c r="Q116" s="19"/>
    </row>
    <row r="117" spans="1:27" customFormat="1" ht="15.75" thickBot="1">
      <c r="A117" s="22" t="str">
        <f>'Input 4 - Forecast'!A56</f>
        <v>Denominated in local currency</v>
      </c>
      <c r="B117" s="1999" t="s">
        <v>51</v>
      </c>
      <c r="C117" s="2000"/>
      <c r="D117" s="2000"/>
      <c r="E117" s="2000"/>
      <c r="F117" s="2000"/>
      <c r="G117" s="2000"/>
      <c r="H117" s="2000"/>
      <c r="I117" s="2000"/>
      <c r="J117" s="2000"/>
      <c r="K117" s="2000"/>
      <c r="L117" s="2000"/>
      <c r="M117" s="2000"/>
      <c r="N117" s="2000"/>
      <c r="O117" s="2000"/>
      <c r="P117" s="2000"/>
      <c r="Q117" s="2000"/>
      <c r="R117" s="2000"/>
      <c r="S117" s="2000"/>
      <c r="T117" s="2000"/>
      <c r="U117" s="2000"/>
      <c r="V117" s="2000"/>
      <c r="W117" s="2000"/>
      <c r="X117" s="2000"/>
      <c r="Y117" s="2000"/>
      <c r="Z117" s="2000"/>
      <c r="AA117" s="2001"/>
    </row>
    <row r="118" spans="1:27">
      <c r="B118" s="281"/>
      <c r="F118" s="15"/>
      <c r="H118" s="10"/>
      <c r="I118" s="10"/>
      <c r="J118" s="10"/>
      <c r="K118" s="10"/>
      <c r="L118" s="10"/>
      <c r="M118" s="10"/>
      <c r="N118" s="10"/>
      <c r="O118" s="10"/>
      <c r="P118" s="10"/>
      <c r="Q118" s="10"/>
      <c r="R118" s="10"/>
      <c r="S118" s="10"/>
      <c r="T118" s="10"/>
      <c r="U118" s="10"/>
      <c r="V118" s="10"/>
      <c r="W118" s="10"/>
      <c r="X118" s="10"/>
      <c r="Y118" s="10"/>
      <c r="Z118" s="10"/>
      <c r="AA118" s="10"/>
    </row>
    <row r="119" spans="1:27" customFormat="1">
      <c r="A119" s="23"/>
      <c r="B119" s="7">
        <f>'Input 4 - Forecast'!C9</f>
        <v>2018</v>
      </c>
      <c r="C119" s="13" t="str">
        <f>$I75</f>
        <v>Semi-annual</v>
      </c>
      <c r="D119" s="13">
        <f>$J75</f>
        <v>0</v>
      </c>
      <c r="E119" s="13">
        <f>$K75</f>
        <v>0</v>
      </c>
      <c r="F119" s="14">
        <f>$L$75</f>
        <v>0</v>
      </c>
      <c r="G119" s="13"/>
      <c r="H119" s="9">
        <f>$B$75</f>
        <v>0</v>
      </c>
      <c r="I119" s="9">
        <f>H119-P119</f>
        <v>0</v>
      </c>
      <c r="J119" s="9">
        <f>I119-Q119</f>
        <v>0</v>
      </c>
      <c r="K119" s="9">
        <f>J119-R119</f>
        <v>0</v>
      </c>
      <c r="L119" s="9">
        <f>K119-S119</f>
        <v>0</v>
      </c>
      <c r="M119" s="9">
        <f>L119-T119</f>
        <v>0</v>
      </c>
      <c r="N119" s="9"/>
      <c r="O119" s="9">
        <v>0</v>
      </c>
      <c r="P119" s="9">
        <f>H119</f>
        <v>0</v>
      </c>
      <c r="Q119" s="9">
        <v>0</v>
      </c>
      <c r="R119" s="9">
        <v>0</v>
      </c>
      <c r="S119" s="9">
        <v>0</v>
      </c>
      <c r="T119" s="9">
        <v>0</v>
      </c>
      <c r="U119" s="9"/>
      <c r="V119" s="9">
        <f>IF($C119="annual",IF(V$111=$B119,0,G119*$F119),IF(V$111-$B119=0,0,IF((V$111-$B119)&lt;$E119,AVERAGE(G119,H119)*$F119,IF((V$111-$B119)=$E119,G119*$F119/2,0))))</f>
        <v>0</v>
      </c>
      <c r="W119" s="9">
        <f t="shared" ref="W119:AA124" si="24">IF($C119="annual",IF(W$111=$B119,0,H119*$F119),IF(W$111-$B119=0,0,IF((W$111-$B119)&lt;$E119,AVERAGE(H119,I119)*$F119,IF((W$111-$B119)=$E119,H119*$F119/2,0))))</f>
        <v>0</v>
      </c>
      <c r="X119" s="9">
        <f t="shared" si="24"/>
        <v>0</v>
      </c>
      <c r="Y119" s="9">
        <f t="shared" si="24"/>
        <v>0</v>
      </c>
      <c r="Z119" s="9">
        <f t="shared" si="24"/>
        <v>0</v>
      </c>
      <c r="AA119" s="9">
        <f t="shared" si="24"/>
        <v>0</v>
      </c>
    </row>
    <row r="120" spans="1:27" customFormat="1">
      <c r="A120" s="23"/>
      <c r="B120" s="7">
        <f>B119+1</f>
        <v>2019</v>
      </c>
      <c r="C120" s="13" t="str">
        <f>C119</f>
        <v>Semi-annual</v>
      </c>
      <c r="D120" s="13">
        <f>D119</f>
        <v>0</v>
      </c>
      <c r="E120" s="13">
        <f>E119</f>
        <v>0</v>
      </c>
      <c r="F120" s="14">
        <f>$M$75</f>
        <v>0</v>
      </c>
      <c r="G120" s="13"/>
      <c r="H120" s="9"/>
      <c r="I120" s="9">
        <f ca="1">$C$75</f>
        <v>151</v>
      </c>
      <c r="J120" s="9">
        <f ca="1">I120-Q120</f>
        <v>0</v>
      </c>
      <c r="K120" s="9">
        <f ca="1">J120-R120</f>
        <v>0</v>
      </c>
      <c r="L120" s="9">
        <f ca="1">K120-S120</f>
        <v>0</v>
      </c>
      <c r="M120" s="9">
        <f ca="1">L120-T120</f>
        <v>0</v>
      </c>
      <c r="N120" s="9"/>
      <c r="O120" s="9"/>
      <c r="P120" s="9">
        <v>0</v>
      </c>
      <c r="Q120" s="9">
        <f ca="1">I120</f>
        <v>151</v>
      </c>
      <c r="R120" s="9">
        <v>0</v>
      </c>
      <c r="S120" s="9">
        <v>0</v>
      </c>
      <c r="T120" s="9">
        <v>0</v>
      </c>
      <c r="U120" s="9"/>
      <c r="V120" s="9"/>
      <c r="W120" s="9">
        <f t="shared" si="24"/>
        <v>0</v>
      </c>
      <c r="X120" s="9">
        <f t="shared" si="24"/>
        <v>0</v>
      </c>
      <c r="Y120" s="9">
        <f t="shared" si="24"/>
        <v>0</v>
      </c>
      <c r="Z120" s="9">
        <f t="shared" si="24"/>
        <v>0</v>
      </c>
      <c r="AA120" s="9">
        <f t="shared" si="24"/>
        <v>0</v>
      </c>
    </row>
    <row r="121" spans="1:27" customFormat="1">
      <c r="A121" s="23"/>
      <c r="B121" s="7">
        <f>B120+1</f>
        <v>2020</v>
      </c>
      <c r="C121" s="13" t="str">
        <f>C120</f>
        <v>Semi-annual</v>
      </c>
      <c r="D121" s="13">
        <f t="shared" ref="D121:E124" si="25">D120</f>
        <v>0</v>
      </c>
      <c r="E121" s="13">
        <f t="shared" si="25"/>
        <v>0</v>
      </c>
      <c r="F121" s="14">
        <f>$N$75</f>
        <v>0</v>
      </c>
      <c r="G121" s="13"/>
      <c r="H121" s="9"/>
      <c r="I121" s="9"/>
      <c r="J121" s="9">
        <f ca="1">$D$75</f>
        <v>151</v>
      </c>
      <c r="K121" s="9">
        <f ca="1">J121-R121</f>
        <v>0</v>
      </c>
      <c r="L121" s="9">
        <f ca="1">K121-S121</f>
        <v>0</v>
      </c>
      <c r="M121" s="9">
        <f ca="1">L121-T121</f>
        <v>0</v>
      </c>
      <c r="N121" s="9"/>
      <c r="O121" s="9"/>
      <c r="P121" s="9"/>
      <c r="Q121" s="9">
        <v>0</v>
      </c>
      <c r="R121" s="9">
        <f ca="1">J121</f>
        <v>151</v>
      </c>
      <c r="S121" s="9">
        <v>0</v>
      </c>
      <c r="T121" s="9">
        <v>0</v>
      </c>
      <c r="U121" s="9"/>
      <c r="V121" s="9"/>
      <c r="W121" s="9"/>
      <c r="X121" s="9">
        <f t="shared" si="24"/>
        <v>0</v>
      </c>
      <c r="Y121" s="9">
        <f t="shared" si="24"/>
        <v>0</v>
      </c>
      <c r="Z121" s="9">
        <f t="shared" si="24"/>
        <v>0</v>
      </c>
      <c r="AA121" s="9">
        <f t="shared" si="24"/>
        <v>0</v>
      </c>
    </row>
    <row r="122" spans="1:27" customFormat="1">
      <c r="A122" s="23"/>
      <c r="B122" s="7">
        <f>B121+1</f>
        <v>2021</v>
      </c>
      <c r="C122" s="13" t="str">
        <f>C121</f>
        <v>Semi-annual</v>
      </c>
      <c r="D122" s="13">
        <f t="shared" si="25"/>
        <v>0</v>
      </c>
      <c r="E122" s="13">
        <f t="shared" si="25"/>
        <v>0</v>
      </c>
      <c r="F122" s="14">
        <f>$O$75</f>
        <v>0</v>
      </c>
      <c r="G122" s="13"/>
      <c r="H122" s="9"/>
      <c r="I122" s="9"/>
      <c r="J122" s="9"/>
      <c r="K122" s="9">
        <f ca="1">$E$75</f>
        <v>151</v>
      </c>
      <c r="L122" s="9">
        <f ca="1">K122-S122</f>
        <v>0</v>
      </c>
      <c r="M122" s="9">
        <f ca="1">L122-T122</f>
        <v>0</v>
      </c>
      <c r="N122" s="9"/>
      <c r="O122" s="9"/>
      <c r="P122" s="9"/>
      <c r="Q122" s="9"/>
      <c r="R122" s="9">
        <v>0</v>
      </c>
      <c r="S122" s="9">
        <f ca="1">K122</f>
        <v>151</v>
      </c>
      <c r="T122" s="9">
        <v>0</v>
      </c>
      <c r="U122" s="9"/>
      <c r="V122" s="9"/>
      <c r="W122" s="9"/>
      <c r="X122" s="9"/>
      <c r="Y122" s="9">
        <f t="shared" si="24"/>
        <v>0</v>
      </c>
      <c r="Z122" s="9">
        <f t="shared" si="24"/>
        <v>0</v>
      </c>
      <c r="AA122" s="9">
        <f t="shared" si="24"/>
        <v>0</v>
      </c>
    </row>
    <row r="123" spans="1:27" customFormat="1">
      <c r="A123" s="23"/>
      <c r="B123" s="7">
        <f>B122+1</f>
        <v>2022</v>
      </c>
      <c r="C123" s="13" t="str">
        <f>C122</f>
        <v>Semi-annual</v>
      </c>
      <c r="D123" s="13">
        <f t="shared" si="25"/>
        <v>0</v>
      </c>
      <c r="E123" s="13">
        <f t="shared" si="25"/>
        <v>0</v>
      </c>
      <c r="F123" s="14">
        <f>$P$75</f>
        <v>0</v>
      </c>
      <c r="G123" s="13"/>
      <c r="H123" s="9"/>
      <c r="I123" s="9"/>
      <c r="J123" s="9"/>
      <c r="K123" s="9"/>
      <c r="L123" s="9">
        <f ca="1">$F$75</f>
        <v>151</v>
      </c>
      <c r="M123" s="9">
        <f ca="1">L123-T123</f>
        <v>0</v>
      </c>
      <c r="N123" s="9"/>
      <c r="O123" s="9"/>
      <c r="P123" s="9"/>
      <c r="Q123" s="9"/>
      <c r="R123" s="9"/>
      <c r="S123" s="9">
        <v>0</v>
      </c>
      <c r="T123" s="9">
        <f ca="1">L123</f>
        <v>151</v>
      </c>
      <c r="U123" s="9"/>
      <c r="V123" s="9"/>
      <c r="W123" s="9"/>
      <c r="X123" s="9"/>
      <c r="Y123" s="9"/>
      <c r="Z123" s="9">
        <f t="shared" si="24"/>
        <v>0</v>
      </c>
      <c r="AA123" s="9">
        <f t="shared" si="24"/>
        <v>0</v>
      </c>
    </row>
    <row r="124" spans="1:27" customFormat="1">
      <c r="A124" s="23"/>
      <c r="B124" s="7">
        <f>B123+1</f>
        <v>2023</v>
      </c>
      <c r="C124" s="13" t="str">
        <f>C123</f>
        <v>Semi-annual</v>
      </c>
      <c r="D124" s="13">
        <f t="shared" si="25"/>
        <v>0</v>
      </c>
      <c r="E124" s="13">
        <f t="shared" si="25"/>
        <v>0</v>
      </c>
      <c r="F124" s="14">
        <f>$Q$75</f>
        <v>0</v>
      </c>
      <c r="G124" s="13"/>
      <c r="H124" s="9"/>
      <c r="I124" s="9"/>
      <c r="J124" s="9"/>
      <c r="K124" s="9"/>
      <c r="L124" s="9"/>
      <c r="M124" s="9">
        <f ca="1">$G$75</f>
        <v>151</v>
      </c>
      <c r="N124" s="9"/>
      <c r="O124" s="9"/>
      <c r="P124" s="9"/>
      <c r="Q124" s="9"/>
      <c r="R124" s="9"/>
      <c r="S124" s="9"/>
      <c r="T124" s="9">
        <v>0</v>
      </c>
      <c r="U124" s="9"/>
      <c r="V124" s="9"/>
      <c r="W124" s="9"/>
      <c r="X124" s="9"/>
      <c r="Y124" s="9"/>
      <c r="Z124" s="9"/>
      <c r="AA124" s="9">
        <f t="shared" si="24"/>
        <v>0</v>
      </c>
    </row>
    <row r="125" spans="1:27" ht="15.75" thickBot="1">
      <c r="F125" s="15"/>
      <c r="H125" s="10"/>
      <c r="I125" s="10"/>
      <c r="J125" s="10"/>
      <c r="K125" s="10"/>
      <c r="L125" s="10"/>
      <c r="M125" s="10"/>
      <c r="N125" s="10"/>
      <c r="O125" s="10"/>
      <c r="P125" s="10"/>
      <c r="Q125" s="10"/>
      <c r="R125" s="10"/>
      <c r="S125" s="10"/>
      <c r="T125" s="10"/>
      <c r="U125" s="10"/>
      <c r="V125" s="10"/>
      <c r="W125" s="10"/>
      <c r="X125" s="10"/>
      <c r="Y125" s="10"/>
      <c r="Z125" s="10"/>
      <c r="AA125" s="10"/>
    </row>
    <row r="126" spans="1:27" customFormat="1" ht="15.75" thickBot="1">
      <c r="A126" s="22" t="str">
        <f>'Input 4 - Forecast'!A65</f>
        <v>Denominated in foreign currency</v>
      </c>
      <c r="B126" s="1999" t="s">
        <v>52</v>
      </c>
      <c r="C126" s="2000"/>
      <c r="D126" s="2000"/>
      <c r="E126" s="2000"/>
      <c r="F126" s="2000"/>
      <c r="G126" s="2000"/>
      <c r="H126" s="2000"/>
      <c r="I126" s="2000"/>
      <c r="J126" s="2000"/>
      <c r="K126" s="2000"/>
      <c r="L126" s="2000"/>
      <c r="M126" s="2000"/>
      <c r="N126" s="2000"/>
      <c r="O126" s="2000"/>
      <c r="P126" s="2000"/>
      <c r="Q126" s="2000"/>
      <c r="R126" s="2000"/>
      <c r="S126" s="2000"/>
      <c r="T126" s="2000"/>
      <c r="U126" s="2000"/>
      <c r="V126" s="2000"/>
      <c r="W126" s="2000"/>
      <c r="X126" s="2000"/>
      <c r="Y126" s="2000"/>
      <c r="Z126" s="2000"/>
      <c r="AA126" s="2001"/>
    </row>
    <row r="127" spans="1:27">
      <c r="F127" s="15"/>
      <c r="H127" s="10"/>
      <c r="I127" s="10"/>
      <c r="J127" s="10"/>
      <c r="K127" s="10"/>
      <c r="L127" s="10"/>
      <c r="M127" s="10"/>
      <c r="N127" s="10"/>
      <c r="O127" s="10"/>
      <c r="P127" s="10"/>
      <c r="Q127" s="10"/>
      <c r="R127" s="10"/>
      <c r="S127" s="10"/>
      <c r="T127" s="10"/>
      <c r="U127" s="10"/>
      <c r="V127" s="10"/>
      <c r="W127" s="10"/>
      <c r="X127" s="10"/>
      <c r="Y127" s="10"/>
      <c r="Z127" s="10"/>
      <c r="AA127" s="10"/>
    </row>
    <row r="128" spans="1:27" customFormat="1">
      <c r="A128" s="23"/>
      <c r="B128" s="7">
        <f>B119</f>
        <v>2018</v>
      </c>
      <c r="C128" s="13" t="str">
        <f>$I76</f>
        <v>Semi-annual</v>
      </c>
      <c r="D128" s="13">
        <f>$J76</f>
        <v>0</v>
      </c>
      <c r="E128" s="13">
        <f>$K76</f>
        <v>0</v>
      </c>
      <c r="F128" s="14">
        <f>$L$76</f>
        <v>0</v>
      </c>
      <c r="G128" s="13"/>
      <c r="H128" s="9">
        <f>$B$76/$B$31</f>
        <v>0</v>
      </c>
      <c r="I128" s="9">
        <f>H128-P128</f>
        <v>0</v>
      </c>
      <c r="J128" s="9">
        <f>I128-Q128</f>
        <v>0</v>
      </c>
      <c r="K128" s="9">
        <f>J128-R128</f>
        <v>0</v>
      </c>
      <c r="L128" s="9">
        <f>K128-S128</f>
        <v>0</v>
      </c>
      <c r="M128" s="9">
        <f>L128-T128</f>
        <v>0</v>
      </c>
      <c r="N128" s="9"/>
      <c r="O128" s="9">
        <v>0</v>
      </c>
      <c r="P128" s="9">
        <f>H128</f>
        <v>0</v>
      </c>
      <c r="Q128" s="9">
        <v>0</v>
      </c>
      <c r="R128" s="9">
        <v>0</v>
      </c>
      <c r="S128" s="9">
        <v>0</v>
      </c>
      <c r="T128" s="9">
        <v>0</v>
      </c>
      <c r="U128" s="9"/>
      <c r="V128" s="9">
        <f>IF($C128="annual",IF(V$111=$B128,0,G128*$F128),IF(V$111-$B128=0,0,IF((V$111-$B128)&lt;$E128,AVERAGE(G128,H128)*$F128,IF((V$111-$B128)=$E128,G128*$F128/2,0))))</f>
        <v>0</v>
      </c>
      <c r="W128" s="9">
        <f t="shared" ref="W128:AA133" si="26">IF($C128="annual",IF(W$111=$B128,0,H128*$F128),IF(W$111-$B128=0,0,IF((W$111-$B128)&lt;$E128,AVERAGE(H128,I128)*$F128,IF((W$111-$B128)=$E128,H128*$F128/2,0))))</f>
        <v>0</v>
      </c>
      <c r="X128" s="9">
        <f t="shared" si="26"/>
        <v>0</v>
      </c>
      <c r="Y128" s="9">
        <f t="shared" si="26"/>
        <v>0</v>
      </c>
      <c r="Z128" s="9">
        <f t="shared" si="26"/>
        <v>0</v>
      </c>
      <c r="AA128" s="9">
        <f t="shared" si="26"/>
        <v>0</v>
      </c>
    </row>
    <row r="129" spans="1:27" customFormat="1">
      <c r="A129" s="23"/>
      <c r="B129" s="7">
        <f>B128+1</f>
        <v>2019</v>
      </c>
      <c r="C129" s="13" t="str">
        <f>C128</f>
        <v>Semi-annual</v>
      </c>
      <c r="D129" s="13">
        <f>D128</f>
        <v>0</v>
      </c>
      <c r="E129" s="13">
        <f>E128</f>
        <v>0</v>
      </c>
      <c r="F129" s="14">
        <f>$M$76</f>
        <v>0</v>
      </c>
      <c r="G129" s="13"/>
      <c r="H129" s="9"/>
      <c r="I129" s="9">
        <f ca="1">$C$76/$C$31</f>
        <v>0</v>
      </c>
      <c r="J129" s="9">
        <f ca="1">I129-Q129</f>
        <v>0</v>
      </c>
      <c r="K129" s="9">
        <f ca="1">J129-R129</f>
        <v>0</v>
      </c>
      <c r="L129" s="9">
        <f ca="1">K129-S129</f>
        <v>0</v>
      </c>
      <c r="M129" s="9">
        <f ca="1">L129-T129</f>
        <v>0</v>
      </c>
      <c r="N129" s="9"/>
      <c r="O129" s="9"/>
      <c r="P129" s="9">
        <v>0</v>
      </c>
      <c r="Q129" s="9">
        <f ca="1">I129</f>
        <v>0</v>
      </c>
      <c r="R129" s="9">
        <v>0</v>
      </c>
      <c r="S129" s="9">
        <v>0</v>
      </c>
      <c r="T129" s="9">
        <v>0</v>
      </c>
      <c r="U129" s="9"/>
      <c r="V129" s="9"/>
      <c r="W129" s="9">
        <f t="shared" si="26"/>
        <v>0</v>
      </c>
      <c r="X129" s="9">
        <f t="shared" si="26"/>
        <v>0</v>
      </c>
      <c r="Y129" s="9">
        <f t="shared" si="26"/>
        <v>0</v>
      </c>
      <c r="Z129" s="9">
        <f t="shared" si="26"/>
        <v>0</v>
      </c>
      <c r="AA129" s="9">
        <f t="shared" si="26"/>
        <v>0</v>
      </c>
    </row>
    <row r="130" spans="1:27" customFormat="1">
      <c r="A130" s="23"/>
      <c r="B130" s="7">
        <f>B129+1</f>
        <v>2020</v>
      </c>
      <c r="C130" s="13" t="str">
        <f>C129</f>
        <v>Semi-annual</v>
      </c>
      <c r="D130" s="13">
        <f t="shared" ref="D130:E133" si="27">D129</f>
        <v>0</v>
      </c>
      <c r="E130" s="13">
        <f t="shared" si="27"/>
        <v>0</v>
      </c>
      <c r="F130" s="14">
        <f>$N$76</f>
        <v>0</v>
      </c>
      <c r="G130" s="13"/>
      <c r="H130" s="9"/>
      <c r="I130" s="9"/>
      <c r="J130" s="9">
        <f ca="1">$D$76/$D$31</f>
        <v>0</v>
      </c>
      <c r="K130" s="9">
        <f ca="1">J130-R130</f>
        <v>0</v>
      </c>
      <c r="L130" s="9">
        <f ca="1">K130-S130</f>
        <v>0</v>
      </c>
      <c r="M130" s="9">
        <f ca="1">L130-T130</f>
        <v>0</v>
      </c>
      <c r="N130" s="9"/>
      <c r="O130" s="9"/>
      <c r="P130" s="9"/>
      <c r="Q130" s="9">
        <v>0</v>
      </c>
      <c r="R130" s="9">
        <f ca="1">J130</f>
        <v>0</v>
      </c>
      <c r="S130" s="9">
        <v>0</v>
      </c>
      <c r="T130" s="9">
        <v>0</v>
      </c>
      <c r="U130" s="9"/>
      <c r="V130" s="9"/>
      <c r="W130" s="9"/>
      <c r="X130" s="9">
        <f t="shared" si="26"/>
        <v>0</v>
      </c>
      <c r="Y130" s="9">
        <f t="shared" si="26"/>
        <v>0</v>
      </c>
      <c r="Z130" s="9">
        <f t="shared" si="26"/>
        <v>0</v>
      </c>
      <c r="AA130" s="9">
        <f t="shared" si="26"/>
        <v>0</v>
      </c>
    </row>
    <row r="131" spans="1:27" customFormat="1">
      <c r="A131" s="23"/>
      <c r="B131" s="7">
        <f>B130+1</f>
        <v>2021</v>
      </c>
      <c r="C131" s="13" t="str">
        <f>C130</f>
        <v>Semi-annual</v>
      </c>
      <c r="D131" s="13">
        <f t="shared" si="27"/>
        <v>0</v>
      </c>
      <c r="E131" s="13">
        <f t="shared" si="27"/>
        <v>0</v>
      </c>
      <c r="F131" s="14">
        <f>$O$76</f>
        <v>0</v>
      </c>
      <c r="G131" s="13"/>
      <c r="H131" s="9"/>
      <c r="I131" s="9"/>
      <c r="J131" s="9"/>
      <c r="K131" s="9">
        <f ca="1">$E$76/$E$31</f>
        <v>0</v>
      </c>
      <c r="L131" s="9">
        <f ca="1">K131-S131</f>
        <v>0</v>
      </c>
      <c r="M131" s="9">
        <f ca="1">L131-T131</f>
        <v>0</v>
      </c>
      <c r="N131" s="9"/>
      <c r="O131" s="9"/>
      <c r="P131" s="9"/>
      <c r="Q131" s="9"/>
      <c r="R131" s="9">
        <v>0</v>
      </c>
      <c r="S131" s="9">
        <f ca="1">K131</f>
        <v>0</v>
      </c>
      <c r="T131" s="9">
        <v>0</v>
      </c>
      <c r="U131" s="9"/>
      <c r="V131" s="9"/>
      <c r="W131" s="9"/>
      <c r="X131" s="9"/>
      <c r="Y131" s="9">
        <f t="shared" si="26"/>
        <v>0</v>
      </c>
      <c r="Z131" s="9">
        <f t="shared" si="26"/>
        <v>0</v>
      </c>
      <c r="AA131" s="9">
        <f t="shared" si="26"/>
        <v>0</v>
      </c>
    </row>
    <row r="132" spans="1:27" customFormat="1">
      <c r="A132" s="23"/>
      <c r="B132" s="7">
        <f>B131+1</f>
        <v>2022</v>
      </c>
      <c r="C132" s="13" t="str">
        <f>C131</f>
        <v>Semi-annual</v>
      </c>
      <c r="D132" s="13">
        <f t="shared" si="27"/>
        <v>0</v>
      </c>
      <c r="E132" s="13">
        <f t="shared" si="27"/>
        <v>0</v>
      </c>
      <c r="F132" s="14">
        <f>$P$76</f>
        <v>0</v>
      </c>
      <c r="G132" s="13"/>
      <c r="H132" s="9"/>
      <c r="I132" s="9"/>
      <c r="J132" s="9"/>
      <c r="K132" s="9"/>
      <c r="L132" s="9">
        <f ca="1">$F$76/$F$31</f>
        <v>0</v>
      </c>
      <c r="M132" s="9">
        <f ca="1">L132-T132</f>
        <v>0</v>
      </c>
      <c r="N132" s="9"/>
      <c r="O132" s="9"/>
      <c r="P132" s="9"/>
      <c r="Q132" s="9"/>
      <c r="R132" s="9"/>
      <c r="S132" s="9">
        <v>0</v>
      </c>
      <c r="T132" s="9">
        <f ca="1">L132</f>
        <v>0</v>
      </c>
      <c r="U132" s="9"/>
      <c r="V132" s="9"/>
      <c r="W132" s="9"/>
      <c r="X132" s="9"/>
      <c r="Y132" s="9"/>
      <c r="Z132" s="9">
        <f t="shared" si="26"/>
        <v>0</v>
      </c>
      <c r="AA132" s="9">
        <f t="shared" si="26"/>
        <v>0</v>
      </c>
    </row>
    <row r="133" spans="1:27" customFormat="1">
      <c r="A133" s="23"/>
      <c r="B133" s="7">
        <f>B132+1</f>
        <v>2023</v>
      </c>
      <c r="C133" s="13" t="str">
        <f>C132</f>
        <v>Semi-annual</v>
      </c>
      <c r="D133" s="13">
        <f t="shared" si="27"/>
        <v>0</v>
      </c>
      <c r="E133" s="13">
        <f t="shared" si="27"/>
        <v>0</v>
      </c>
      <c r="F133" s="14">
        <f>$Q$76</f>
        <v>0</v>
      </c>
      <c r="G133" s="13"/>
      <c r="H133" s="9"/>
      <c r="I133" s="9"/>
      <c r="J133" s="9"/>
      <c r="K133" s="9"/>
      <c r="L133" s="9"/>
      <c r="M133" s="9">
        <f ca="1">$G$76/$G$31</f>
        <v>0</v>
      </c>
      <c r="N133" s="9"/>
      <c r="O133" s="9"/>
      <c r="P133" s="9"/>
      <c r="Q133" s="9"/>
      <c r="R133" s="9"/>
      <c r="S133" s="9"/>
      <c r="T133" s="9">
        <v>0</v>
      </c>
      <c r="U133" s="9"/>
      <c r="V133" s="9"/>
      <c r="W133" s="9"/>
      <c r="X133" s="9"/>
      <c r="Y133" s="9"/>
      <c r="Z133" s="9"/>
      <c r="AA133" s="9">
        <f t="shared" si="26"/>
        <v>0</v>
      </c>
    </row>
    <row r="135" spans="1:27" ht="15.75" thickBot="1">
      <c r="A135" s="11" t="str">
        <f>'Input 4 - Forecast'!A58</f>
        <v>Long-term debt 3/</v>
      </c>
    </row>
    <row r="136" spans="1:27" ht="15.75" thickBot="1">
      <c r="A136" s="12" t="str">
        <f>'Input 4 - Forecast'!A59</f>
        <v>Denominated in local currency</v>
      </c>
      <c r="B136" s="1999" t="s">
        <v>51</v>
      </c>
      <c r="C136" s="2000"/>
      <c r="D136" s="2000"/>
      <c r="E136" s="2000"/>
      <c r="F136" s="2000"/>
      <c r="G136" s="2000"/>
      <c r="H136" s="2000"/>
      <c r="I136" s="2000"/>
      <c r="J136" s="2000"/>
      <c r="K136" s="2000"/>
      <c r="L136" s="2000"/>
      <c r="M136" s="2000"/>
      <c r="N136" s="2000"/>
      <c r="O136" s="2000"/>
      <c r="P136" s="2000"/>
      <c r="Q136" s="2000"/>
      <c r="R136" s="2000"/>
      <c r="S136" s="2000"/>
      <c r="T136" s="2000"/>
      <c r="U136" s="2000"/>
      <c r="V136" s="2000"/>
      <c r="W136" s="2000"/>
      <c r="X136" s="2000"/>
      <c r="Y136" s="2000"/>
      <c r="Z136" s="2000"/>
      <c r="AA136" s="2001"/>
    </row>
    <row r="138" spans="1:27">
      <c r="A138" s="8" t="str">
        <f>'Input 4 - Forecast'!A60</f>
        <v>Type 1</v>
      </c>
      <c r="B138" s="7">
        <f>B119</f>
        <v>2018</v>
      </c>
      <c r="C138" s="7" t="str">
        <f>$I79</f>
        <v>Annual</v>
      </c>
      <c r="D138" s="7">
        <f>$J79</f>
        <v>5</v>
      </c>
      <c r="E138" s="7">
        <f>$K79</f>
        <v>5</v>
      </c>
      <c r="F138" s="14">
        <f>$L$79</f>
        <v>5.0000000000000001E-3</v>
      </c>
      <c r="H138" s="9">
        <f>$B$79</f>
        <v>329.998670927072</v>
      </c>
      <c r="I138" s="9">
        <f>H138-P138</f>
        <v>329.998670927072</v>
      </c>
      <c r="J138" s="9">
        <f>I138-Q138</f>
        <v>329.998670927072</v>
      </c>
      <c r="K138" s="9">
        <f>J138-R138</f>
        <v>329.998670927072</v>
      </c>
      <c r="L138" s="9">
        <f>K138-S138</f>
        <v>329.998670927072</v>
      </c>
      <c r="M138" s="9">
        <f>L138-T138</f>
        <v>0</v>
      </c>
      <c r="N138" s="9"/>
      <c r="O138" s="9">
        <f t="shared" ref="O138:T138" si="28">IF(OR($C138="Annual",$D138=$E138),IF(AND($D138=$E138,O$111=$B138+$D138),$H138,IF(AND(O$111&gt;$B138+$D138,O$111&lt;=$B138+$E138), $H138/($E138-$D138),0)), IF(OR(O$111=$B138+$D138,O$111=$B138+$E138),$H138/(($E138-$D138)*2),IF(AND(O$111&gt;$B138+$D138,O$111&lt;$B138+$E138),$H138/($E138-$D138),0)))</f>
        <v>0</v>
      </c>
      <c r="P138" s="9">
        <f t="shared" si="28"/>
        <v>0</v>
      </c>
      <c r="Q138" s="9">
        <f t="shared" si="28"/>
        <v>0</v>
      </c>
      <c r="R138" s="9">
        <f t="shared" si="28"/>
        <v>0</v>
      </c>
      <c r="S138" s="9">
        <f t="shared" si="28"/>
        <v>0</v>
      </c>
      <c r="T138" s="9">
        <f t="shared" si="28"/>
        <v>329.998670927072</v>
      </c>
      <c r="U138" s="9"/>
      <c r="V138" s="9">
        <f>IF($C138="annual",IF(V$111=$B138,0,G138*$F138),IF(V$111-$B138=0,0,IF((V$111-$B138)&lt;$E138,AVERAGE(G138,H138)*$F138,IF((V$111-$B138)=$E138,G138*$F138/2,0))))</f>
        <v>0</v>
      </c>
      <c r="W138" s="9">
        <f t="shared" ref="W138:AA143" si="29">IF($C138="annual",IF(W$111=$B138,0,H138*$F138),IF(W$111-$B138=0,0,IF((W$111-$B138)&lt;$E138,AVERAGE(H138,I138)*$F138,IF((W$111-$B138)=$E138,H138*$F138/2,0))))</f>
        <v>1.64999335463536</v>
      </c>
      <c r="X138" s="9">
        <f t="shared" si="29"/>
        <v>1.64999335463536</v>
      </c>
      <c r="Y138" s="9">
        <f t="shared" si="29"/>
        <v>1.64999335463536</v>
      </c>
      <c r="Z138" s="9">
        <f t="shared" si="29"/>
        <v>1.64999335463536</v>
      </c>
      <c r="AA138" s="9">
        <f t="shared" si="29"/>
        <v>1.64999335463536</v>
      </c>
    </row>
    <row r="139" spans="1:27">
      <c r="A139" s="8" t="str">
        <f>A138</f>
        <v>Type 1</v>
      </c>
      <c r="B139" s="7">
        <f>B138+1</f>
        <v>2019</v>
      </c>
      <c r="C139" s="7" t="str">
        <f>C138</f>
        <v>Annual</v>
      </c>
      <c r="D139" s="7">
        <f>D138</f>
        <v>5</v>
      </c>
      <c r="E139" s="7">
        <f>E138</f>
        <v>5</v>
      </c>
      <c r="F139" s="14">
        <f>$M$79</f>
        <v>5.0000000000000001E-3</v>
      </c>
      <c r="H139" s="9"/>
      <c r="I139" s="9">
        <f ca="1">$C$79</f>
        <v>35</v>
      </c>
      <c r="J139" s="9">
        <f ca="1">I139-Q139</f>
        <v>17.5</v>
      </c>
      <c r="K139" s="9">
        <f ca="1">J139-R139</f>
        <v>0</v>
      </c>
      <c r="L139" s="9">
        <f ca="1">K139-S139</f>
        <v>0</v>
      </c>
      <c r="M139" s="9">
        <f ca="1">L139-T139</f>
        <v>0</v>
      </c>
      <c r="N139" s="9"/>
      <c r="O139" s="9"/>
      <c r="P139" s="9">
        <f>IF(OR($C139="Annual",$D139=$E139),IF(AND($D139=$E139,P$111=$B139+$D139),$I139,IF(AND(P$111&gt;$B139+$D139,P$111&lt;=$B139+$E139), $I139/($E139-$D139),0)), IF(OR(P$111=$B139+$D139,P$111=$B139+$E139),$I139/(($E139-$D139)*2),IF(AND(P$111&gt;$B139+$D139,P$111&lt;$B139+$E139),$I139/($E139-$D139),0)))</f>
        <v>0</v>
      </c>
      <c r="Q139" s="9">
        <f>IF(OR($C139="Annual",$D139=$E139),IF(AND($D139=$E139,Q$111=$B139+$D139),$I139,IF(AND(Q$111&gt;$B139+$D139,Q$111&lt;=$B139+$E139), $I139/($E139-$D139),0)), IF(OR(Q$111=$B139+$D139,Q$111=$B139+$E139),$I139/(($E139-$D139)*2),IF(AND(Q$111&gt;$B139+$D139,Q$111&lt;$B139+$E139),$I139/($E139-$D139),0)))</f>
        <v>0</v>
      </c>
      <c r="R139" s="9">
        <f>IF(OR($C139="Annual",$D139=$E139),IF(AND($D139=$E139,R$111=$B139+$D139),$I139,IF(AND(R$111&gt;$B139+$D139,R$111&lt;=$B139+$E139), $I139/($E139-$D139),0)), IF(OR(R$111=$B139+$D139,R$111=$B139+$E139),$I139/(($E139-$D139)*2),IF(AND(R$111&gt;$B139+$D139,R$111&lt;$B139+$E139),$I139/($E139-$D139),0)))</f>
        <v>0</v>
      </c>
      <c r="S139" s="9">
        <f>IF(OR($C139="Annual",$D139=$E139),IF(AND($D139=$E139,S$111=$B139+$D139),$I139,IF(AND(S$111&gt;$B139+$D139,S$111&lt;=$B139+$E139), $I139/($E139-$D139),0)), IF(OR(S$111=$B139+$D139,S$111=$B139+$E139),$I139/(($E139-$D139)*2),IF(AND(S$111&gt;$B139+$D139,S$111&lt;$B139+$E139),$I139/($E139-$D139),0)))</f>
        <v>0</v>
      </c>
      <c r="T139" s="9">
        <f>IF(OR($C139="Annual",$D139=$E139),IF(AND($D139=$E139,T$111=$B139+$D139),$I139,IF(AND(T$111&gt;$B139+$D139,T$111&lt;=$B139+$E139), $I139/($E139-$D139),0)), IF(OR(T$111=$B139+$D139,T$111=$B139+$E139),$I139/(($E139-$D139)*2),IF(AND(T$111&gt;$B139+$D139,T$111&lt;$B139+$E139),$I139/($E139-$D139),0)))</f>
        <v>0</v>
      </c>
      <c r="U139" s="9"/>
      <c r="V139" s="9"/>
      <c r="W139" s="9">
        <f t="shared" si="29"/>
        <v>0</v>
      </c>
      <c r="X139" s="9">
        <f t="shared" ca="1" si="29"/>
        <v>0.96009375000000008</v>
      </c>
      <c r="Y139" s="9">
        <f t="shared" ca="1" si="29"/>
        <v>0.48004687500000004</v>
      </c>
      <c r="Z139" s="9">
        <f t="shared" ca="1" si="29"/>
        <v>0</v>
      </c>
      <c r="AA139" s="9">
        <f t="shared" ca="1" si="29"/>
        <v>0</v>
      </c>
    </row>
    <row r="140" spans="1:27">
      <c r="A140" s="8" t="str">
        <f>A139</f>
        <v>Type 1</v>
      </c>
      <c r="B140" s="7">
        <f>B139+1</f>
        <v>2020</v>
      </c>
      <c r="C140" s="7" t="str">
        <f>C139</f>
        <v>Annual</v>
      </c>
      <c r="D140" s="7">
        <f t="shared" ref="D140:E143" si="30">D139</f>
        <v>5</v>
      </c>
      <c r="E140" s="7">
        <f t="shared" si="30"/>
        <v>5</v>
      </c>
      <c r="F140" s="14">
        <f>$N$79</f>
        <v>0.01</v>
      </c>
      <c r="H140" s="9"/>
      <c r="I140" s="9"/>
      <c r="J140" s="9">
        <f ca="1">$D$79</f>
        <v>40</v>
      </c>
      <c r="K140" s="9">
        <f ca="1">J140-R140</f>
        <v>20</v>
      </c>
      <c r="L140" s="9">
        <f ca="1">K140-S140</f>
        <v>0</v>
      </c>
      <c r="M140" s="9">
        <f ca="1">L140-T140</f>
        <v>0</v>
      </c>
      <c r="N140" s="9"/>
      <c r="O140" s="9"/>
      <c r="P140" s="9"/>
      <c r="Q140" s="9">
        <f>IF(OR($C140="Annual",$D140=$E140),IF(AND($D140=$E140,Q$111=$B140+$D140),$J140,IF(AND(Q$111&gt;$B140+$D140,Q$111&lt;=$B140+$E140), $J140/($E140-$D140),0)), IF(OR(Q$111=$B140+$D140,Q$111=$B140+$E140),$J140/(($E140-$D140)*2),IF(AND(Q$111&gt;$B140+$D140,Q$111&lt;$B140+$E140),$J140/($E140-$D140),0)))</f>
        <v>0</v>
      </c>
      <c r="R140" s="9">
        <f>IF(OR($C140="Annual",$D140=$E140),IF(AND($D140=$E140,R$111=$B140+$D140),$J140,IF(AND(R$111&gt;$B140+$D140,R$111&lt;=$B140+$E140), $J140/($E140-$D140),0)), IF(OR(R$111=$B140+$D140,R$111=$B140+$E140),$J140/(($E140-$D140)*2),IF(AND(R$111&gt;$B140+$D140,R$111&lt;$B140+$E140),$J140/($E140-$D140),0)))</f>
        <v>0</v>
      </c>
      <c r="S140" s="9">
        <f>IF(OR($C140="Annual",$D140=$E140),IF(AND($D140=$E140,S$111=$B140+$D140),$J140,IF(AND(S$111&gt;$B140+$D140,S$111&lt;=$B140+$E140), $J140/($E140-$D140),0)), IF(OR(S$111=$B140+$D140,S$111=$B140+$E140),$J140/(($E140-$D140)*2),IF(AND(S$111&gt;$B140+$D140,S$111&lt;$B140+$E140),$J140/($E140-$D140),0)))</f>
        <v>0</v>
      </c>
      <c r="T140" s="9">
        <f>IF(OR($C140="Annual",$D140=$E140),IF(AND($D140=$E140,T$111=$B140+$D140),$J140,IF(AND(T$111&gt;$B140+$D140,T$111&lt;=$B140+$E140), $J140/($E140-$D140),0)), IF(OR(T$111=$B140+$D140,T$111=$B140+$E140),$J140/(($E140-$D140)*2),IF(AND(T$111&gt;$B140+$D140,T$111&lt;$B140+$E140),$J140/($E140-$D140),0)))</f>
        <v>0</v>
      </c>
      <c r="U140" s="9"/>
      <c r="V140" s="9"/>
      <c r="W140" s="9"/>
      <c r="X140" s="9">
        <f t="shared" si="29"/>
        <v>0</v>
      </c>
      <c r="Y140" s="9">
        <f t="shared" ca="1" si="29"/>
        <v>1.2164999999999979</v>
      </c>
      <c r="Z140" s="9">
        <f t="shared" ca="1" si="29"/>
        <v>0.60824999999999896</v>
      </c>
      <c r="AA140" s="9">
        <f t="shared" ca="1" si="29"/>
        <v>0</v>
      </c>
    </row>
    <row r="141" spans="1:27">
      <c r="A141" s="8" t="str">
        <f>A140</f>
        <v>Type 1</v>
      </c>
      <c r="B141" s="7">
        <f>B140+1</f>
        <v>2021</v>
      </c>
      <c r="C141" s="7" t="str">
        <f>C140</f>
        <v>Annual</v>
      </c>
      <c r="D141" s="7">
        <f t="shared" si="30"/>
        <v>5</v>
      </c>
      <c r="E141" s="7">
        <f t="shared" si="30"/>
        <v>5</v>
      </c>
      <c r="F141" s="14">
        <f>$O$79</f>
        <v>0.01</v>
      </c>
      <c r="H141" s="9"/>
      <c r="I141" s="9"/>
      <c r="J141" s="9"/>
      <c r="K141" s="9">
        <f ca="1">$E$79</f>
        <v>35</v>
      </c>
      <c r="L141" s="9">
        <f ca="1">K141-S141</f>
        <v>17.5</v>
      </c>
      <c r="M141" s="9">
        <f ca="1">L141-T141</f>
        <v>0</v>
      </c>
      <c r="N141" s="9"/>
      <c r="O141" s="9"/>
      <c r="P141" s="9"/>
      <c r="Q141" s="9"/>
      <c r="R141" s="9">
        <f>IF(OR($C141="Annual",$D141=$E141),IF(AND($D141=$E141,R$111=$B141+$D141),$K141,IF(AND(R$111&gt;$B141+$D141,R$111&lt;=$B141+$E141), $K141/($E141-$D141),0)), IF(OR(R$111=$B141+$D141,R$111=$B141+$E141),$K141/(($E141-$D141)*2),IF(AND(R$111&gt;$B141+$D141,R$111&lt;$B141+$E141),$K141/($E141-$D141),0)))</f>
        <v>0</v>
      </c>
      <c r="S141" s="9">
        <f>IF(OR($C141="Annual",$D141=$E141),IF(AND($D141=$E141,S$111=$B141+$D141),$K141,IF(AND(S$111&gt;$B141+$D141,S$111&lt;=$B141+$E141), $K141/($E141-$D141),0)), IF(OR(S$111=$B141+$D141,S$111=$B141+$E141),$K141/(($E141-$D141)*2),IF(AND(S$111&gt;$B141+$D141,S$111&lt;$B141+$E141),$K141/($E141-$D141),0)))</f>
        <v>0</v>
      </c>
      <c r="T141" s="9">
        <f>IF(OR($C141="Annual",$D141=$E141),IF(AND($D141=$E141,T$111=$B141+$D141),$K141,IF(AND(T$111&gt;$B141+$D141,T$111&lt;=$B141+$E141), $K141/($E141-$D141),0)), IF(OR(T$111=$B141+$D141,T$111=$B141+$E141),$K141/(($E141-$D141)*2),IF(AND(T$111&gt;$B141+$D141,T$111&lt;$B141+$E141),$K141/($E141-$D141),0)))</f>
        <v>0</v>
      </c>
      <c r="U141" s="9"/>
      <c r="V141" s="9"/>
      <c r="W141" s="9"/>
      <c r="X141" s="9"/>
      <c r="Y141" s="9">
        <f t="shared" si="29"/>
        <v>0</v>
      </c>
      <c r="Z141" s="9">
        <f t="shared" ca="1" si="29"/>
        <v>1.1514999999999982</v>
      </c>
      <c r="AA141" s="9">
        <f t="shared" ca="1" si="29"/>
        <v>0.5757499999999991</v>
      </c>
    </row>
    <row r="142" spans="1:27">
      <c r="A142" s="8" t="str">
        <f>A141</f>
        <v>Type 1</v>
      </c>
      <c r="B142" s="7">
        <f>B141+1</f>
        <v>2022</v>
      </c>
      <c r="C142" s="7" t="str">
        <f>C141</f>
        <v>Annual</v>
      </c>
      <c r="D142" s="7">
        <f t="shared" si="30"/>
        <v>5</v>
      </c>
      <c r="E142" s="7">
        <f t="shared" si="30"/>
        <v>5</v>
      </c>
      <c r="F142" s="14">
        <f>$P$79</f>
        <v>0.01</v>
      </c>
      <c r="H142" s="9"/>
      <c r="I142" s="9"/>
      <c r="J142" s="9"/>
      <c r="K142" s="9"/>
      <c r="L142" s="9">
        <f ca="1">$F$79</f>
        <v>40</v>
      </c>
      <c r="M142" s="9">
        <f ca="1">L142-T142</f>
        <v>20</v>
      </c>
      <c r="N142" s="9"/>
      <c r="O142" s="9"/>
      <c r="P142" s="9"/>
      <c r="Q142" s="9"/>
      <c r="R142" s="9"/>
      <c r="S142" s="9">
        <f>IF(OR($C142="Annual",$D142=$E142),IF(AND($D142=$E142,S$111=$B142+$D142),$L142,IF(AND(S$111&gt;$B142+$D142,S$111&lt;=$B142+$E142), $L142/($E142-$D142),0)), IF(OR(S$111=$B142+$D142,S$111=$B142+$E142),$L142/(($E142-$D142)*2),IF(AND(S$111&gt;$B142+$D142,S$111&lt;$B142+$E142),$L142/($E142-$D142),0)))</f>
        <v>0</v>
      </c>
      <c r="T142" s="9">
        <f>IF(OR($C142="Annual",$D142=$E142),IF(AND($D142=$E142,T$111=$B142+$D142),$L142,IF(AND(T$111&gt;$B142+$D142,T$111&lt;=$B142+$E142), $L142/($E142-$D142),0)), IF(OR(T$111=$B142+$D142,T$111=$B142+$E142),$L142/(($E142-$D142)*2),IF(AND(T$111&gt;$B142+$D142,T$111&lt;$B142+$E142),$L142/($E142-$D142),0)))</f>
        <v>0</v>
      </c>
      <c r="U142" s="9"/>
      <c r="V142" s="9"/>
      <c r="W142" s="9"/>
      <c r="X142" s="9"/>
      <c r="Y142" s="9"/>
      <c r="Z142" s="9">
        <f t="shared" si="29"/>
        <v>0</v>
      </c>
      <c r="AA142" s="9">
        <f t="shared" ca="1" si="29"/>
        <v>1.4002499999999998</v>
      </c>
    </row>
    <row r="143" spans="1:27">
      <c r="A143" s="8" t="str">
        <f>A142</f>
        <v>Type 1</v>
      </c>
      <c r="B143" s="7">
        <f>B142+1</f>
        <v>2023</v>
      </c>
      <c r="C143" s="7" t="str">
        <f>C142</f>
        <v>Annual</v>
      </c>
      <c r="D143" s="7">
        <f t="shared" si="30"/>
        <v>5</v>
      </c>
      <c r="E143" s="7">
        <f t="shared" si="30"/>
        <v>5</v>
      </c>
      <c r="F143" s="14">
        <f>$Q$79</f>
        <v>0.01</v>
      </c>
      <c r="H143" s="9"/>
      <c r="I143" s="9"/>
      <c r="J143" s="9"/>
      <c r="K143" s="9"/>
      <c r="L143" s="9"/>
      <c r="M143" s="9">
        <f ca="1">$G$79</f>
        <v>30.5</v>
      </c>
      <c r="N143" s="9"/>
      <c r="O143" s="9"/>
      <c r="P143" s="9"/>
      <c r="Q143" s="9"/>
      <c r="R143" s="9"/>
      <c r="S143" s="9"/>
      <c r="T143" s="9">
        <f>IF(OR($C143="Annual",$D143=$E143),IF(AND($D143=$E143,T$111=$B143+$D143),$M143,IF(AND(T$111&gt;$B143+$D143,T$111&lt;=$B143+$E143), $M143/($E143-$D143),0)), IF(OR(T$111=$B143+$D143,T$111=$B143+$E143),$M143/(($E143-$D143)*2),IF(AND(T$111&gt;$B143+$D143,T$111&lt;$B143+$E143),$M143/($E143-$D143),0)))</f>
        <v>0</v>
      </c>
      <c r="U143" s="9"/>
      <c r="V143" s="9"/>
      <c r="W143" s="9"/>
      <c r="X143" s="9"/>
      <c r="Y143" s="9"/>
      <c r="Z143" s="9"/>
      <c r="AA143" s="9">
        <f t="shared" si="29"/>
        <v>0</v>
      </c>
    </row>
    <row r="144" spans="1:27">
      <c r="C144" s="281"/>
      <c r="F144" s="15"/>
      <c r="H144" s="10"/>
      <c r="I144" s="10"/>
      <c r="J144" s="10"/>
      <c r="K144" s="10"/>
      <c r="L144" s="10"/>
      <c r="M144" s="10"/>
      <c r="N144" s="10"/>
      <c r="O144" s="278"/>
      <c r="P144" s="10"/>
      <c r="Q144" s="10"/>
      <c r="R144" s="10"/>
      <c r="S144" s="10"/>
      <c r="T144" s="10"/>
      <c r="U144" s="10"/>
      <c r="V144" s="10"/>
      <c r="W144" s="10"/>
      <c r="X144" s="10"/>
      <c r="Y144" s="10"/>
      <c r="Z144" s="10"/>
      <c r="AA144" s="10"/>
    </row>
    <row r="145" spans="1:27">
      <c r="A145" s="8" t="str">
        <f>'Input 4 - Forecast'!A61</f>
        <v>Type 2</v>
      </c>
      <c r="B145" s="7">
        <f>B119</f>
        <v>2018</v>
      </c>
      <c r="C145" s="7" t="str">
        <f>$I80</f>
        <v>Annual</v>
      </c>
      <c r="D145" s="7">
        <f>$J80</f>
        <v>0</v>
      </c>
      <c r="E145" s="7">
        <f>$K80</f>
        <v>0</v>
      </c>
      <c r="F145" s="14">
        <f>$L$80</f>
        <v>0</v>
      </c>
      <c r="H145" s="9">
        <f>$B$80</f>
        <v>0</v>
      </c>
      <c r="I145" s="9">
        <f>H145-P145</f>
        <v>0</v>
      </c>
      <c r="J145" s="9">
        <f>I145-Q145</f>
        <v>0</v>
      </c>
      <c r="K145" s="9">
        <f>J145-R145</f>
        <v>0</v>
      </c>
      <c r="L145" s="9">
        <f>K145-S145</f>
        <v>0</v>
      </c>
      <c r="M145" s="9">
        <f>L145-T145</f>
        <v>0</v>
      </c>
      <c r="N145" s="9"/>
      <c r="O145" s="9">
        <f t="shared" ref="O145:T145" si="31">IF(OR($C145="Annual",$D145=$E145),IF(AND($D145=$E145,O$111=$B145+$D145),$H145,IF(AND(O$111&gt;$B145+$D145,O$111&lt;=$B145+$E145), $H145/($E145-$D145),0)), IF(OR(O$111=$B145+$D145,O$111=$B145+$E145),$H145/(($E145-$D145)*2),IF(AND(O$111&gt;$B145+$D145,O$111&lt;$B145+$E145),$H145/($E145-$D145),0)))</f>
        <v>0</v>
      </c>
      <c r="P145" s="9">
        <f t="shared" si="31"/>
        <v>0</v>
      </c>
      <c r="Q145" s="9">
        <f t="shared" si="31"/>
        <v>0</v>
      </c>
      <c r="R145" s="9">
        <f t="shared" si="31"/>
        <v>0</v>
      </c>
      <c r="S145" s="9">
        <f t="shared" si="31"/>
        <v>0</v>
      </c>
      <c r="T145" s="9">
        <f t="shared" si="31"/>
        <v>0</v>
      </c>
      <c r="U145" s="9"/>
      <c r="V145" s="9">
        <f>IF($C145="annual",IF(V$111=$B145,0,G145*$F145),IF(V$111-$B145=0,0,IF((V$111-$B145)&lt;$E145,AVERAGE(G145,H145)*$F145,IF((V$111-$B145)=$E145,G145*$F145/2,0))))</f>
        <v>0</v>
      </c>
      <c r="W145" s="9">
        <f t="shared" ref="W145:AA150" si="32">IF($C145="annual",IF(W$111=$B145,0,H145*$F145),IF(W$111-$B145=0,0,IF((W$111-$B145)&lt;$E145,AVERAGE(H145,I145)*$F145,IF((W$111-$B145)=$E145,H145*$F145/2,0))))</f>
        <v>0</v>
      </c>
      <c r="X145" s="9">
        <f t="shared" si="32"/>
        <v>0</v>
      </c>
      <c r="Y145" s="9">
        <f t="shared" si="32"/>
        <v>0</v>
      </c>
      <c r="Z145" s="9">
        <f t="shared" si="32"/>
        <v>0</v>
      </c>
      <c r="AA145" s="9">
        <f t="shared" si="32"/>
        <v>0</v>
      </c>
    </row>
    <row r="146" spans="1:27">
      <c r="A146" s="8" t="str">
        <f>A145</f>
        <v>Type 2</v>
      </c>
      <c r="B146" s="7">
        <f>B145+1</f>
        <v>2019</v>
      </c>
      <c r="C146" s="7" t="str">
        <f>C145</f>
        <v>Annual</v>
      </c>
      <c r="D146" s="7">
        <f t="shared" ref="D146:E150" si="33">D145</f>
        <v>0</v>
      </c>
      <c r="E146" s="7">
        <f t="shared" si="33"/>
        <v>0</v>
      </c>
      <c r="F146" s="14">
        <f>$M$80</f>
        <v>0</v>
      </c>
      <c r="H146" s="9"/>
      <c r="I146" s="9">
        <f ca="1">$C$80</f>
        <v>45</v>
      </c>
      <c r="J146" s="9">
        <f ca="1">I146-Q146</f>
        <v>30</v>
      </c>
      <c r="K146" s="9">
        <f ca="1">J146-R146</f>
        <v>15</v>
      </c>
      <c r="L146" s="9">
        <f ca="1">K146-S146</f>
        <v>0</v>
      </c>
      <c r="M146" s="9">
        <f ca="1">L146-T146</f>
        <v>0</v>
      </c>
      <c r="N146" s="9"/>
      <c r="O146" s="9"/>
      <c r="P146" s="9">
        <f ca="1">IF(OR($C146="Annual",$D146=$E146),IF(AND($D146=$E146,P$111=$B146+$D146),$I146,IF(AND(P$111&gt;$B146+$D146,P$111&lt;=$B146+$E146), $I146/($E146-$D146),0)), IF(OR(P$111=$B146+$D146,P$111=$B146+$E146),$I146/(($E146-$D146)*2),IF(AND(P$111&gt;$B146+$D146,P$111&lt;$B146+$E146),$I146/($E146-$D146),0)))</f>
        <v>0</v>
      </c>
      <c r="Q146" s="9">
        <f>IF(OR($C146="Annual",$D146=$E146),IF(AND($D146=$E146,Q$111=$B146+$D146),$I146,IF(AND(Q$111&gt;$B146+$D146,Q$111&lt;=$B146+$E146), $I146/($E146-$D146),0)), IF(OR(Q$111=$B146+$D146,Q$111=$B146+$E146),$I146/(($E146-$D146)*2),IF(AND(Q$111&gt;$B146+$D146,Q$111&lt;$B146+$E146),$I146/($E146-$D146),0)))</f>
        <v>0</v>
      </c>
      <c r="R146" s="9">
        <f>IF(OR($C146="Annual",$D146=$E146),IF(AND($D146=$E146,R$111=$B146+$D146),$I146,IF(AND(R$111&gt;$B146+$D146,R$111&lt;=$B146+$E146), $I146/($E146-$D146),0)), IF(OR(R$111=$B146+$D146,R$111=$B146+$E146),$I146/(($E146-$D146)*2),IF(AND(R$111&gt;$B146+$D146,R$111&lt;$B146+$E146),$I146/($E146-$D146),0)))</f>
        <v>0</v>
      </c>
      <c r="S146" s="9">
        <f>IF(OR($C146="Annual",$D146=$E146),IF(AND($D146=$E146,S$111=$B146+$D146),$I146,IF(AND(S$111&gt;$B146+$D146,S$111&lt;=$B146+$E146), $I146/($E146-$D146),0)), IF(OR(S$111=$B146+$D146,S$111=$B146+$E146),$I146/(($E146-$D146)*2),IF(AND(S$111&gt;$B146+$D146,S$111&lt;$B146+$E146),$I146/($E146-$D146),0)))</f>
        <v>0</v>
      </c>
      <c r="T146" s="9">
        <f>IF(OR($C146="Annual",$D146=$E146),IF(AND($D146=$E146,T$111=$B146+$D146),$I146,IF(AND(T$111&gt;$B146+$D146,T$111&lt;=$B146+$E146), $I146/($E146-$D146),0)), IF(OR(T$111=$B146+$D146,T$111=$B146+$E146),$I146/(($E146-$D146)*2),IF(AND(T$111&gt;$B146+$D146,T$111&lt;$B146+$E146),$I146/($E146-$D146),0)))</f>
        <v>0</v>
      </c>
      <c r="U146" s="9"/>
      <c r="V146" s="9"/>
      <c r="W146" s="9">
        <f t="shared" si="32"/>
        <v>0</v>
      </c>
      <c r="X146" s="9">
        <f t="shared" ca="1" si="32"/>
        <v>1.2344062499999999</v>
      </c>
      <c r="Y146" s="9">
        <f t="shared" ca="1" si="32"/>
        <v>0.82293749999999999</v>
      </c>
      <c r="Z146" s="9">
        <f t="shared" ca="1" si="32"/>
        <v>0.41146874999999999</v>
      </c>
      <c r="AA146" s="9">
        <f t="shared" ca="1" si="32"/>
        <v>0</v>
      </c>
    </row>
    <row r="147" spans="1:27">
      <c r="A147" s="8" t="str">
        <f>A146</f>
        <v>Type 2</v>
      </c>
      <c r="B147" s="7">
        <f>B146+1</f>
        <v>2020</v>
      </c>
      <c r="C147" s="7" t="str">
        <f>C146</f>
        <v>Annual</v>
      </c>
      <c r="D147" s="7">
        <f t="shared" si="33"/>
        <v>0</v>
      </c>
      <c r="E147" s="7">
        <f t="shared" si="33"/>
        <v>0</v>
      </c>
      <c r="F147" s="14">
        <f>$N$80</f>
        <v>0</v>
      </c>
      <c r="H147" s="9"/>
      <c r="I147" s="9"/>
      <c r="J147" s="9">
        <f ca="1">$D$80</f>
        <v>48</v>
      </c>
      <c r="K147" s="9">
        <f ca="1">J147-R147</f>
        <v>32</v>
      </c>
      <c r="L147" s="9">
        <f ca="1">K147-S147</f>
        <v>16</v>
      </c>
      <c r="M147" s="9">
        <f ca="1">L147-T147</f>
        <v>0</v>
      </c>
      <c r="N147" s="9"/>
      <c r="O147" s="9"/>
      <c r="P147" s="9"/>
      <c r="Q147" s="9">
        <f ca="1">IF(OR($C147="Annual",$D147=$E147),IF(AND($D147=$E147,Q$111=$B147+$D147),$J147,IF(AND(Q$111&gt;$B147+$D147,Q$111&lt;=$B147+$E147), $J147/($E147-$D147),0)), IF(OR(Q$111=$B147+$D147,Q$111=$B147+$E147),$J147/(($E147-$D147)*2),IF(AND(Q$111&gt;$B147+$D147,Q$111&lt;$B147+$E147),$J147/($E147-$D147),0)))</f>
        <v>0</v>
      </c>
      <c r="R147" s="9">
        <f>IF(OR($C147="Annual",$D147=$E147),IF(AND($D147=$E147,R$111=$B147+$D147),$J147,IF(AND(R$111&gt;$B147+$D147,R$111&lt;=$B147+$E147), $J147/($E147-$D147),0)), IF(OR(R$111=$B147+$D147,R$111=$B147+$E147),$J147/(($E147-$D147)*2),IF(AND(R$111&gt;$B147+$D147,R$111&lt;$B147+$E147),$J147/($E147-$D147),0)))</f>
        <v>0</v>
      </c>
      <c r="S147" s="9">
        <f>IF(OR($C147="Annual",$D147=$E147),IF(AND($D147=$E147,S$111=$B147+$D147),$J147,IF(AND(S$111&gt;$B147+$D147,S$111&lt;=$B147+$E147), $J147/($E147-$D147),0)), IF(OR(S$111=$B147+$D147,S$111=$B147+$E147),$J147/(($E147-$D147)*2),IF(AND(S$111&gt;$B147+$D147,S$111&lt;$B147+$E147),$J147/($E147-$D147),0)))</f>
        <v>0</v>
      </c>
      <c r="T147" s="9">
        <f>IF(OR($C147="Annual",$D147=$E147),IF(AND($D147=$E147,T$111=$B147+$D147),$J147,IF(AND(T$111&gt;$B147+$D147,T$111&lt;=$B147+$E147), $J147/($E147-$D147),0)), IF(OR(T$111=$B147+$D147,T$111=$B147+$E147),$J147/(($E147-$D147)*2),IF(AND(T$111&gt;$B147+$D147,T$111&lt;$B147+$E147),$J147/($E147-$D147),0)))</f>
        <v>0</v>
      </c>
      <c r="U147" s="9"/>
      <c r="V147" s="9"/>
      <c r="W147" s="9"/>
      <c r="X147" s="9">
        <f t="shared" si="32"/>
        <v>0</v>
      </c>
      <c r="Y147" s="9">
        <f t="shared" ca="1" si="32"/>
        <v>1.4597999999999975</v>
      </c>
      <c r="Z147" s="9">
        <f t="shared" ca="1" si="32"/>
        <v>0.9731999999999984</v>
      </c>
      <c r="AA147" s="9">
        <f t="shared" ca="1" si="32"/>
        <v>0.4865999999999992</v>
      </c>
    </row>
    <row r="148" spans="1:27">
      <c r="A148" s="8" t="str">
        <f>A147</f>
        <v>Type 2</v>
      </c>
      <c r="B148" s="7">
        <f>B147+1</f>
        <v>2021</v>
      </c>
      <c r="C148" s="7" t="str">
        <f>C147</f>
        <v>Annual</v>
      </c>
      <c r="D148" s="7">
        <f t="shared" si="33"/>
        <v>0</v>
      </c>
      <c r="E148" s="7">
        <f t="shared" si="33"/>
        <v>0</v>
      </c>
      <c r="F148" s="14">
        <f>$O$80</f>
        <v>0</v>
      </c>
      <c r="H148" s="9"/>
      <c r="I148" s="9"/>
      <c r="J148" s="9"/>
      <c r="K148" s="9">
        <f ca="1">$E$80</f>
        <v>40</v>
      </c>
      <c r="L148" s="9">
        <f ca="1">K148-S148</f>
        <v>26.666666666666664</v>
      </c>
      <c r="M148" s="9">
        <f ca="1">L148-T148</f>
        <v>13.33333333333333</v>
      </c>
      <c r="N148" s="9"/>
      <c r="O148" s="9"/>
      <c r="P148" s="9"/>
      <c r="Q148" s="9"/>
      <c r="R148" s="9">
        <f ca="1">IF(OR($C148="Annual",$D148=$E148),IF(AND($D148=$E148,R$111=$B148+$D148),$K148,IF(AND(R$111&gt;$B148+$D148,R$111&lt;=$B148+$E148), $K148/($E148-$D148),0)), IF(OR(R$111=$B148+$D148,R$111=$B148+$E148),$K148/(($E148-$D148)*2),IF(AND(R$111&gt;$B148+$D148,R$111&lt;$B148+$E148),$K148/($E148-$D148),0)))</f>
        <v>0</v>
      </c>
      <c r="S148" s="9">
        <f>IF(OR($C148="Annual",$D148=$E148),IF(AND($D148=$E148,S$111=$B148+$D148),$K148,IF(AND(S$111&gt;$B148+$D148,S$111&lt;=$B148+$E148), $K148/($E148-$D148),0)), IF(OR(S$111=$B148+$D148,S$111=$B148+$E148),$K148/(($E148-$D148)*2),IF(AND(S$111&gt;$B148+$D148,S$111&lt;$B148+$E148),$K148/($E148-$D148),0)))</f>
        <v>0</v>
      </c>
      <c r="T148" s="9">
        <f>IF(OR($C148="Annual",$D148=$E148),IF(AND($D148=$E148,T$111=$B148+$D148),$K148,IF(AND(T$111&gt;$B148+$D148,T$111&lt;=$B148+$E148), $K148/($E148-$D148),0)), IF(OR(T$111=$B148+$D148,T$111=$B148+$E148),$K148/(($E148-$D148)*2),IF(AND(T$111&gt;$B148+$D148,T$111&lt;$B148+$E148),$K148/($E148-$D148),0)))</f>
        <v>0</v>
      </c>
      <c r="U148" s="9"/>
      <c r="V148" s="9"/>
      <c r="W148" s="9"/>
      <c r="X148" s="9"/>
      <c r="Y148" s="9">
        <f t="shared" si="32"/>
        <v>0</v>
      </c>
      <c r="Z148" s="9">
        <f t="shared" ca="1" si="32"/>
        <v>1.3159999999999981</v>
      </c>
      <c r="AA148" s="9">
        <f t="shared" ca="1" si="32"/>
        <v>0.87733333333333197</v>
      </c>
    </row>
    <row r="149" spans="1:27">
      <c r="A149" s="8" t="str">
        <f>A148</f>
        <v>Type 2</v>
      </c>
      <c r="B149" s="7">
        <f>B148+1</f>
        <v>2022</v>
      </c>
      <c r="C149" s="7" t="str">
        <f>C148</f>
        <v>Annual</v>
      </c>
      <c r="D149" s="7">
        <f t="shared" si="33"/>
        <v>0</v>
      </c>
      <c r="E149" s="7">
        <f t="shared" si="33"/>
        <v>0</v>
      </c>
      <c r="F149" s="14">
        <f>$P$80</f>
        <v>0</v>
      </c>
      <c r="H149" s="9"/>
      <c r="I149" s="9"/>
      <c r="J149" s="9"/>
      <c r="K149" s="9"/>
      <c r="L149" s="9">
        <f ca="1">$F$80</f>
        <v>45</v>
      </c>
      <c r="M149" s="9">
        <f ca="1">L149-T149</f>
        <v>30</v>
      </c>
      <c r="N149" s="9"/>
      <c r="O149" s="9"/>
      <c r="P149" s="9"/>
      <c r="Q149" s="9"/>
      <c r="R149" s="9"/>
      <c r="S149" s="9">
        <f ca="1">IF(OR($C149="Annual",$D149=$E149),IF(AND($D149=$E149,S$111=$B149+$D149),$L149,IF(AND(S$111&gt;$B149+$D149,S$111&lt;=$B149+$E149), $L149/($E149-$D149),0)), IF(OR(S$111=$B149+$D149,S$111=$B149+$E149),$L149/(($E149-$D149)*2),IF(AND(S$111&gt;$B149+$D149,S$111&lt;$B149+$E149),$L149/($E149-$D149),0)))</f>
        <v>0</v>
      </c>
      <c r="T149" s="9">
        <f>IF(OR($C149="Annual",$D149=$E149),IF(AND($D149=$E149,T$111=$B149+$D149),$L149,IF(AND(T$111&gt;$B149+$D149,T$111&lt;=$B149+$E149), $L149/($E149-$D149),0)), IF(OR(T$111=$B149+$D149,T$111=$B149+$E149),$L149/(($E149-$D149)*2),IF(AND(T$111&gt;$B149+$D149,T$111&lt;$B149+$E149),$L149/($E149-$D149),0)))</f>
        <v>0</v>
      </c>
      <c r="U149" s="9"/>
      <c r="V149" s="9"/>
      <c r="W149" s="9"/>
      <c r="X149" s="9"/>
      <c r="Y149" s="9"/>
      <c r="Z149" s="9">
        <f t="shared" si="32"/>
        <v>0</v>
      </c>
      <c r="AA149" s="9">
        <f t="shared" ca="1" si="32"/>
        <v>1.5752812499999997</v>
      </c>
    </row>
    <row r="150" spans="1:27">
      <c r="A150" s="8" t="str">
        <f>A149</f>
        <v>Type 2</v>
      </c>
      <c r="B150" s="7">
        <f>B149+1</f>
        <v>2023</v>
      </c>
      <c r="C150" s="7" t="str">
        <f>C149</f>
        <v>Annual</v>
      </c>
      <c r="D150" s="7">
        <f t="shared" si="33"/>
        <v>0</v>
      </c>
      <c r="E150" s="7">
        <f t="shared" si="33"/>
        <v>0</v>
      </c>
      <c r="F150" s="14">
        <f>$Q$80</f>
        <v>0</v>
      </c>
      <c r="H150" s="9"/>
      <c r="I150" s="9"/>
      <c r="J150" s="9"/>
      <c r="K150" s="9"/>
      <c r="L150" s="9"/>
      <c r="M150" s="9">
        <f ca="1">$G$80</f>
        <v>38.319187942158827</v>
      </c>
      <c r="N150" s="9"/>
      <c r="O150" s="9"/>
      <c r="P150" s="9"/>
      <c r="Q150" s="9"/>
      <c r="R150" s="9"/>
      <c r="S150" s="9"/>
      <c r="T150" s="9">
        <f ca="1">IF(OR($C150="Annual",$D150=$E150),IF(AND($D150=$E150,T$111=$B150+$D150),$M150,IF(AND(T$111&gt;$B150+$D150,T$111&lt;=$B150+$E150), $M150/($E150-$D150),0)), IF(OR(T$111=$B150+$D150,T$111=$B150+$E150),$M150/(($E150-$D150)*2),IF(AND(T$111&gt;$B150+$D150,T$111&lt;$B150+$E150),$M150/($E150-$D150),0)))</f>
        <v>0</v>
      </c>
      <c r="U150" s="9"/>
      <c r="V150" s="9"/>
      <c r="W150" s="9"/>
      <c r="X150" s="9"/>
      <c r="Y150" s="9"/>
      <c r="Z150" s="9"/>
      <c r="AA150" s="9">
        <f t="shared" si="32"/>
        <v>0</v>
      </c>
    </row>
    <row r="151" spans="1:27">
      <c r="C151" s="281"/>
      <c r="F151" s="15"/>
      <c r="H151" s="10"/>
      <c r="I151" s="10"/>
      <c r="J151" s="10"/>
      <c r="K151" s="10"/>
      <c r="L151" s="10"/>
      <c r="M151" s="10"/>
      <c r="N151" s="10"/>
      <c r="O151" s="278"/>
      <c r="P151" s="10"/>
      <c r="Q151" s="10"/>
      <c r="R151" s="10"/>
      <c r="S151" s="10"/>
      <c r="T151" s="10"/>
      <c r="U151" s="10"/>
      <c r="V151" s="10"/>
      <c r="W151" s="10"/>
      <c r="X151" s="10"/>
      <c r="Y151" s="10"/>
      <c r="Z151" s="10"/>
      <c r="AA151" s="10"/>
    </row>
    <row r="152" spans="1:27">
      <c r="A152" s="8" t="str">
        <f>'Input 4 - Forecast'!A62</f>
        <v>Type 3</v>
      </c>
      <c r="B152" s="7">
        <f>B119</f>
        <v>2018</v>
      </c>
      <c r="C152" s="7" t="str">
        <f>$I81</f>
        <v>Annual</v>
      </c>
      <c r="D152" s="7">
        <f>$J81</f>
        <v>0</v>
      </c>
      <c r="E152" s="7">
        <f>$K81</f>
        <v>0</v>
      </c>
      <c r="F152" s="14">
        <f>$L$81</f>
        <v>0</v>
      </c>
      <c r="H152" s="9">
        <f>$B$81</f>
        <v>0</v>
      </c>
      <c r="I152" s="9">
        <f>H152-P152</f>
        <v>0</v>
      </c>
      <c r="J152" s="9">
        <f>I152-Q152</f>
        <v>0</v>
      </c>
      <c r="K152" s="9">
        <f>J152-R152</f>
        <v>0</v>
      </c>
      <c r="L152" s="9">
        <f>K152-S152</f>
        <v>0</v>
      </c>
      <c r="M152" s="9">
        <f>L152-T152</f>
        <v>0</v>
      </c>
      <c r="N152" s="9"/>
      <c r="O152" s="9">
        <f t="shared" ref="O152:T152" si="34">IF(OR($C152="Annual",$D152=$E152),IF(AND($D152=$E152,O$111=$B152+$D152),$H152,IF(AND(O$111&gt;$B152+$D152,O$111&lt;=$B152+$E152), $H152/($E152-$D152),0)), IF(OR(O$111=$B152+$D152,O$111=$B152+$E152),$H152/(($E152-$D152)*2),IF(AND(O$111&gt;$B152+$D152,O$111&lt;$B152+$E152),$H152/($E152-$D152),0)))</f>
        <v>0</v>
      </c>
      <c r="P152" s="9">
        <f t="shared" si="34"/>
        <v>0</v>
      </c>
      <c r="Q152" s="9">
        <f t="shared" si="34"/>
        <v>0</v>
      </c>
      <c r="R152" s="9">
        <f t="shared" si="34"/>
        <v>0</v>
      </c>
      <c r="S152" s="9">
        <f t="shared" si="34"/>
        <v>0</v>
      </c>
      <c r="T152" s="9">
        <f t="shared" si="34"/>
        <v>0</v>
      </c>
      <c r="U152" s="9"/>
      <c r="V152" s="9">
        <f>IF($C152="annual",IF(V$111=$B152,0,G152*$F152),IF(V$111-$B152=0,0,IF((V$111-$B152)&lt;$E152,AVERAGE(G152,H152)*$F152,IF((V$111-$B152)=$E152,G152*$F152/2,0))))</f>
        <v>0</v>
      </c>
      <c r="W152" s="9">
        <f t="shared" ref="W152:AA157" si="35">IF($C152="annual",IF(W$111=$B152,0,H152*$F152),IF(W$111-$B152=0,0,IF((W$111-$B152)&lt;$E152,AVERAGE(H152,I152)*$F152,IF((W$111-$B152)=$E152,H152*$F152/2,0))))</f>
        <v>0</v>
      </c>
      <c r="X152" s="9">
        <f t="shared" si="35"/>
        <v>0</v>
      </c>
      <c r="Y152" s="9">
        <f t="shared" si="35"/>
        <v>0</v>
      </c>
      <c r="Z152" s="9">
        <f t="shared" si="35"/>
        <v>0</v>
      </c>
      <c r="AA152" s="9">
        <f t="shared" si="35"/>
        <v>0</v>
      </c>
    </row>
    <row r="153" spans="1:27">
      <c r="A153" s="8" t="str">
        <f>A152</f>
        <v>Type 3</v>
      </c>
      <c r="B153" s="7">
        <f>B152+1</f>
        <v>2019</v>
      </c>
      <c r="C153" s="7" t="str">
        <f>C152</f>
        <v>Annual</v>
      </c>
      <c r="D153" s="7">
        <f t="shared" ref="D153:E157" si="36">D152</f>
        <v>0</v>
      </c>
      <c r="E153" s="7">
        <f t="shared" si="36"/>
        <v>0</v>
      </c>
      <c r="F153" s="14">
        <f>$M$81</f>
        <v>0</v>
      </c>
      <c r="H153" s="9"/>
      <c r="I153" s="9">
        <f ca="1">$C$81</f>
        <v>57.5</v>
      </c>
      <c r="J153" s="9">
        <f ca="1">I153-Q153</f>
        <v>46</v>
      </c>
      <c r="K153" s="9">
        <f ca="1">J153-R153</f>
        <v>34.5</v>
      </c>
      <c r="L153" s="9">
        <f ca="1">K153-S153</f>
        <v>23</v>
      </c>
      <c r="M153" s="9">
        <f ca="1">L153-T153</f>
        <v>11.5</v>
      </c>
      <c r="N153" s="9"/>
      <c r="O153" s="9"/>
      <c r="P153" s="9">
        <f ca="1">IF(OR($C153="Annual",$D153=$E153),IF(AND($D153=$E153,P$111=$B153+$D153),$I153,IF(AND(P$111&gt;$B153+$D153,P$111&lt;=$B153+$E153), $I153/($E153-$D153),0)), IF(OR(P$111=$B153+$D153,P$111=$B153+$E153),$I153/(($E153-$D153)*2),IF(AND(P$111&gt;$B153+$D153,P$111&lt;$B153+$E153),$I153/($E153-$D153),0)))</f>
        <v>0</v>
      </c>
      <c r="Q153" s="9">
        <f>IF(OR($C153="Annual",$D153=$E153),IF(AND($D153=$E153,Q$111=$B153+$D153),$I153,IF(AND(Q$111&gt;$B153+$D153,Q$111&lt;=$B153+$E153), $I153/($E153-$D153),0)), IF(OR(Q$111=$B153+$D153,Q$111=$B153+$E153),$I153/(($E153-$D153)*2),IF(AND(Q$111&gt;$B153+$D153,Q$111&lt;$B153+$E153),$I153/($E153-$D153),0)))</f>
        <v>0</v>
      </c>
      <c r="R153" s="9">
        <f>IF(OR($C153="Annual",$D153=$E153),IF(AND($D153=$E153,R$111=$B153+$D153),$I153,IF(AND(R$111&gt;$B153+$D153,R$111&lt;=$B153+$E153), $I153/($E153-$D153),0)), IF(OR(R$111=$B153+$D153,R$111=$B153+$E153),$I153/(($E153-$D153)*2),IF(AND(R$111&gt;$B153+$D153,R$111&lt;$B153+$E153),$I153/($E153-$D153),0)))</f>
        <v>0</v>
      </c>
      <c r="S153" s="9">
        <f>IF(OR($C153="Annual",$D153=$E153),IF(AND($D153=$E153,S$111=$B153+$D153),$I153,IF(AND(S$111&gt;$B153+$D153,S$111&lt;=$B153+$E153), $I153/($E153-$D153),0)), IF(OR(S$111=$B153+$D153,S$111=$B153+$E153),$I153/(($E153-$D153)*2),IF(AND(S$111&gt;$B153+$D153,S$111&lt;$B153+$E153),$I153/($E153-$D153),0)))</f>
        <v>0</v>
      </c>
      <c r="T153" s="9">
        <f>IF(OR($C153="Annual",$D153=$E153),IF(AND($D153=$E153,T$111=$B153+$D153),$I153,IF(AND(T$111&gt;$B153+$D153,T$111&lt;=$B153+$E153), $I153/($E153-$D153),0)), IF(OR(T$111=$B153+$D153,T$111=$B153+$E153),$I153/(($E153-$D153)*2),IF(AND(T$111&gt;$B153+$D153,T$111&lt;$B153+$E153),$I153/($E153-$D153),0)))</f>
        <v>0</v>
      </c>
      <c r="U153" s="9"/>
      <c r="V153" s="9"/>
      <c r="W153" s="9">
        <f t="shared" si="35"/>
        <v>0</v>
      </c>
      <c r="X153" s="9">
        <f t="shared" ca="1" si="35"/>
        <v>2.1850000000000001</v>
      </c>
      <c r="Y153" s="9">
        <f t="shared" ca="1" si="35"/>
        <v>1.748</v>
      </c>
      <c r="Z153" s="9">
        <f t="shared" ca="1" si="35"/>
        <v>1.3109999999999999</v>
      </c>
      <c r="AA153" s="9">
        <f t="shared" ca="1" si="35"/>
        <v>0.874</v>
      </c>
    </row>
    <row r="154" spans="1:27">
      <c r="A154" s="8" t="str">
        <f>A153</f>
        <v>Type 3</v>
      </c>
      <c r="B154" s="7">
        <f>B153+1</f>
        <v>2020</v>
      </c>
      <c r="C154" s="7" t="str">
        <f>C153</f>
        <v>Annual</v>
      </c>
      <c r="D154" s="7">
        <f t="shared" si="36"/>
        <v>0</v>
      </c>
      <c r="E154" s="7">
        <f t="shared" si="36"/>
        <v>0</v>
      </c>
      <c r="F154" s="14">
        <f>$N$81</f>
        <v>0</v>
      </c>
      <c r="H154" s="9"/>
      <c r="I154" s="9"/>
      <c r="J154" s="9">
        <f ca="1">$D$81</f>
        <v>59.6</v>
      </c>
      <c r="K154" s="9">
        <f ca="1">J154-R154</f>
        <v>47.68</v>
      </c>
      <c r="L154" s="9">
        <f ca="1">K154-S154</f>
        <v>35.76</v>
      </c>
      <c r="M154" s="9">
        <f ca="1">L154-T154</f>
        <v>23.839999999999996</v>
      </c>
      <c r="N154" s="9"/>
      <c r="O154" s="9"/>
      <c r="P154" s="9"/>
      <c r="Q154" s="9">
        <f ca="1">IF(OR($C154="Annual",$D154=$E154),IF(AND($D154=$E154,Q$111=$B154+$D154),$J154,IF(AND(Q$111&gt;$B154+$D154,Q$111&lt;=$B154+$E154), $J154/($E154-$D154),0)), IF(OR(Q$111=$B154+$D154,Q$111=$B154+$E154),$J154/(($E154-$D154)*2),IF(AND(Q$111&gt;$B154+$D154,Q$111&lt;$B154+$E154),$J154/($E154-$D154),0)))</f>
        <v>0</v>
      </c>
      <c r="R154" s="9">
        <f>IF(OR($C154="Annual",$D154=$E154),IF(AND($D154=$E154,R$111=$B154+$D154),$J154,IF(AND(R$111&gt;$B154+$D154,R$111&lt;=$B154+$E154), $J154/($E154-$D154),0)), IF(OR(R$111=$B154+$D154,R$111=$B154+$E154),$J154/(($E154-$D154)*2),IF(AND(R$111&gt;$B154+$D154,R$111&lt;$B154+$E154),$J154/($E154-$D154),0)))</f>
        <v>0</v>
      </c>
      <c r="S154" s="9">
        <f>IF(OR($C154="Annual",$D154=$E154),IF(AND($D154=$E154,S$111=$B154+$D154),$J154,IF(AND(S$111&gt;$B154+$D154,S$111&lt;=$B154+$E154), $J154/($E154-$D154),0)), IF(OR(S$111=$B154+$D154,S$111=$B154+$E154),$J154/(($E154-$D154)*2),IF(AND(S$111&gt;$B154+$D154,S$111&lt;$B154+$E154),$J154/($E154-$D154),0)))</f>
        <v>0</v>
      </c>
      <c r="T154" s="9">
        <f>IF(OR($C154="Annual",$D154=$E154),IF(AND($D154=$E154,T$111=$B154+$D154),$J154,IF(AND(T$111&gt;$B154+$D154,T$111&lt;=$B154+$E154), $J154/($E154-$D154),0)), IF(OR(T$111=$B154+$D154,T$111=$B154+$E154),$J154/(($E154-$D154)*2),IF(AND(T$111&gt;$B154+$D154,T$111&lt;$B154+$E154),$J154/($E154-$D154),0)))</f>
        <v>0</v>
      </c>
      <c r="U154" s="9"/>
      <c r="V154" s="9"/>
      <c r="W154" s="9"/>
      <c r="X154" s="9">
        <f t="shared" si="35"/>
        <v>0</v>
      </c>
      <c r="Y154" s="9">
        <f t="shared" ca="1" si="35"/>
        <v>2.4435999999999996</v>
      </c>
      <c r="Z154" s="9">
        <f t="shared" ca="1" si="35"/>
        <v>1.9548799999999997</v>
      </c>
      <c r="AA154" s="9">
        <f t="shared" ca="1" si="35"/>
        <v>1.4661599999999997</v>
      </c>
    </row>
    <row r="155" spans="1:27">
      <c r="A155" s="8" t="str">
        <f>A154</f>
        <v>Type 3</v>
      </c>
      <c r="B155" s="7">
        <f>B154+1</f>
        <v>2021</v>
      </c>
      <c r="C155" s="7" t="str">
        <f>C154</f>
        <v>Annual</v>
      </c>
      <c r="D155" s="7">
        <f t="shared" si="36"/>
        <v>0</v>
      </c>
      <c r="E155" s="7">
        <f t="shared" si="36"/>
        <v>0</v>
      </c>
      <c r="F155" s="14">
        <f>$O$81</f>
        <v>0</v>
      </c>
      <c r="H155" s="9"/>
      <c r="I155" s="9"/>
      <c r="J155" s="9"/>
      <c r="K155" s="9">
        <f ca="1">$E$81</f>
        <v>48</v>
      </c>
      <c r="L155" s="9">
        <f ca="1">K155-S155</f>
        <v>38.4</v>
      </c>
      <c r="M155" s="9">
        <f ca="1">L155-T155</f>
        <v>28.799999999999997</v>
      </c>
      <c r="N155" s="9"/>
      <c r="O155" s="9"/>
      <c r="P155" s="9"/>
      <c r="Q155" s="9"/>
      <c r="R155" s="9">
        <f ca="1">IF(OR($C155="Annual",$D155=$E155),IF(AND($D155=$E155,R$111=$B155+$D155),$K155,IF(AND(R$111&gt;$B155+$D155,R$111&lt;=$B155+$E155), $K155/($E155-$D155),0)), IF(OR(R$111=$B155+$D155,R$111=$B155+$E155),$K155/(($E155-$D155)*2),IF(AND(R$111&gt;$B155+$D155,R$111&lt;$B155+$E155),$K155/($E155-$D155),0)))</f>
        <v>0</v>
      </c>
      <c r="S155" s="9">
        <f>IF(OR($C155="Annual",$D155=$E155),IF(AND($D155=$E155,S$111=$B155+$D155),$K155,IF(AND(S$111&gt;$B155+$D155,S$111&lt;=$B155+$E155), $K155/($E155-$D155),0)), IF(OR(S$111=$B155+$D155,S$111=$B155+$E155),$K155/(($E155-$D155)*2),IF(AND(S$111&gt;$B155+$D155,S$111&lt;$B155+$E155),$K155/($E155-$D155),0)))</f>
        <v>0</v>
      </c>
      <c r="T155" s="9">
        <f>IF(OR($C155="Annual",$D155=$E155),IF(AND($D155=$E155,T$111=$B155+$D155),$K155,IF(AND(T$111&gt;$B155+$D155,T$111&lt;=$B155+$E155), $K155/($E155-$D155),0)), IF(OR(T$111=$B155+$D155,T$111=$B155+$E155),$K155/(($E155-$D155)*2),IF(AND(T$111&gt;$B155+$D155,T$111&lt;$B155+$E155),$K155/($E155-$D155),0)))</f>
        <v>0</v>
      </c>
      <c r="U155" s="9"/>
      <c r="V155" s="9"/>
      <c r="W155" s="9"/>
      <c r="X155" s="9"/>
      <c r="Y155" s="9">
        <f t="shared" si="35"/>
        <v>0</v>
      </c>
      <c r="Z155" s="9">
        <f t="shared" ca="1" si="35"/>
        <v>2.016</v>
      </c>
      <c r="AA155" s="9">
        <f t="shared" ca="1" si="35"/>
        <v>1.6128</v>
      </c>
    </row>
    <row r="156" spans="1:27">
      <c r="A156" s="8" t="str">
        <f>A155</f>
        <v>Type 3</v>
      </c>
      <c r="B156" s="7">
        <f>B155+1</f>
        <v>2022</v>
      </c>
      <c r="C156" s="7" t="str">
        <f>C155</f>
        <v>Annual</v>
      </c>
      <c r="D156" s="7">
        <f t="shared" si="36"/>
        <v>0</v>
      </c>
      <c r="E156" s="7">
        <f t="shared" si="36"/>
        <v>0</v>
      </c>
      <c r="F156" s="14">
        <f>$P$81</f>
        <v>0</v>
      </c>
      <c r="H156" s="9"/>
      <c r="I156" s="9"/>
      <c r="J156" s="9"/>
      <c r="K156" s="9"/>
      <c r="L156" s="9">
        <f ca="1">$F$81</f>
        <v>53.500000000000007</v>
      </c>
      <c r="M156" s="9">
        <f ca="1">L156-T156</f>
        <v>42.800000000000004</v>
      </c>
      <c r="N156" s="9"/>
      <c r="O156" s="9"/>
      <c r="P156" s="9"/>
      <c r="Q156" s="9"/>
      <c r="R156" s="9"/>
      <c r="S156" s="9">
        <f ca="1">IF(OR($C156="Annual",$D156=$E156),IF(AND($D156=$E156,S$111=$B156+$D156),$L156,IF(AND(S$111&gt;$B156+$D156,S$111&lt;=$B156+$E156), $L156/($E156-$D156),0)), IF(OR(S$111=$B156+$D156,S$111=$B156+$E156),$L156/(($E156-$D156)*2),IF(AND(S$111&gt;$B156+$D156,S$111&lt;$B156+$E156),$L156/($E156-$D156),0)))</f>
        <v>0</v>
      </c>
      <c r="T156" s="9">
        <f>IF(OR($C156="Annual",$D156=$E156),IF(AND($D156=$E156,T$111=$B156+$D156),$L156,IF(AND(T$111&gt;$B156+$D156,T$111&lt;=$B156+$E156), $L156/($E156-$D156),0)), IF(OR(T$111=$B156+$D156,T$111=$B156+$E156),$L156/(($E156-$D156)*2),IF(AND(T$111&gt;$B156+$D156,T$111&lt;$B156+$E156),$L156/($E156-$D156),0)))</f>
        <v>0</v>
      </c>
      <c r="U156" s="9"/>
      <c r="V156" s="9"/>
      <c r="W156" s="9"/>
      <c r="X156" s="9"/>
      <c r="Y156" s="9"/>
      <c r="Z156" s="9">
        <f t="shared" si="35"/>
        <v>0</v>
      </c>
      <c r="AA156" s="9">
        <f t="shared" ca="1" si="35"/>
        <v>2.3005</v>
      </c>
    </row>
    <row r="157" spans="1:27">
      <c r="A157" s="8" t="str">
        <f>A156</f>
        <v>Type 3</v>
      </c>
      <c r="B157" s="7">
        <f>B156+1</f>
        <v>2023</v>
      </c>
      <c r="C157" s="7" t="str">
        <f>C156</f>
        <v>Annual</v>
      </c>
      <c r="D157" s="7">
        <f t="shared" si="36"/>
        <v>0</v>
      </c>
      <c r="E157" s="7">
        <f t="shared" si="36"/>
        <v>0</v>
      </c>
      <c r="F157" s="14">
        <f>$Q$81</f>
        <v>0</v>
      </c>
      <c r="H157" s="9"/>
      <c r="I157" s="9"/>
      <c r="J157" s="9"/>
      <c r="K157" s="9"/>
      <c r="L157" s="9"/>
      <c r="M157" s="9">
        <f ca="1">$G$81</f>
        <v>55.4</v>
      </c>
      <c r="N157" s="9"/>
      <c r="O157" s="9"/>
      <c r="P157" s="9"/>
      <c r="Q157" s="9"/>
      <c r="R157" s="9"/>
      <c r="S157" s="9"/>
      <c r="T157" s="9">
        <f ca="1">IF(OR($C157="Annual",$D157=$E157),IF(AND($D157=$E157,T$111=$B157+$D157),$M157,IF(AND(T$111&gt;$B157+$D157,T$111&lt;=$B157+$E157), $M157/($E157-$D157),0)), IF(OR(T$111=$B157+$D157,T$111=$B157+$E157),$M157/(($E157-$D157)*2),IF(AND(T$111&gt;$B157+$D157,T$111&lt;$B157+$E157),$M157/($E157-$D157),0)))</f>
        <v>0</v>
      </c>
      <c r="U157" s="9"/>
      <c r="V157" s="9"/>
      <c r="W157" s="9"/>
      <c r="X157" s="9"/>
      <c r="Y157" s="9"/>
      <c r="Z157" s="9"/>
      <c r="AA157" s="9">
        <f t="shared" si="35"/>
        <v>0</v>
      </c>
    </row>
    <row r="158" spans="1:27">
      <c r="C158" s="281"/>
      <c r="F158" s="15"/>
      <c r="H158" s="10"/>
      <c r="I158" s="10"/>
      <c r="J158" s="10"/>
      <c r="K158" s="10"/>
      <c r="L158" s="10"/>
      <c r="M158" s="10"/>
      <c r="N158" s="10"/>
      <c r="O158" s="278"/>
      <c r="P158" s="10"/>
      <c r="Q158" s="10"/>
      <c r="R158" s="10"/>
      <c r="S158" s="10"/>
      <c r="T158" s="10"/>
      <c r="U158" s="10"/>
      <c r="V158" s="10"/>
      <c r="W158" s="10"/>
      <c r="X158" s="10"/>
      <c r="Y158" s="10"/>
      <c r="Z158" s="10"/>
      <c r="AA158" s="10"/>
    </row>
    <row r="159" spans="1:27">
      <c r="A159" s="8" t="str">
        <f>'Input 4 - Forecast'!A63</f>
        <v>Type 4</v>
      </c>
      <c r="B159" s="7">
        <f>B119</f>
        <v>2018</v>
      </c>
      <c r="C159" s="7" t="str">
        <f>$I82</f>
        <v>Annual</v>
      </c>
      <c r="D159" s="7">
        <f>$J82</f>
        <v>0</v>
      </c>
      <c r="E159" s="7">
        <f>$K82</f>
        <v>0</v>
      </c>
      <c r="F159" s="14">
        <f>$L$82</f>
        <v>0</v>
      </c>
      <c r="H159" s="9">
        <f>$B$82</f>
        <v>0</v>
      </c>
      <c r="I159" s="9">
        <f>H159-P159</f>
        <v>0</v>
      </c>
      <c r="J159" s="9">
        <f>I159-Q159</f>
        <v>0</v>
      </c>
      <c r="K159" s="9">
        <f>J159-R159</f>
        <v>0</v>
      </c>
      <c r="L159" s="9">
        <f>K159-S159</f>
        <v>0</v>
      </c>
      <c r="M159" s="9">
        <f>L159-T159</f>
        <v>0</v>
      </c>
      <c r="N159" s="9"/>
      <c r="O159" s="9">
        <f t="shared" ref="O159:T159" si="37">IF(OR($C159="Annual",$D159=$E159),IF(AND($D159=$E159,O$111=$B159+$D159),$H159,IF(AND(O$111&gt;$B159+$D159,O$111&lt;=$B159+$E159), $H159/($E159-$D159),0)), IF(OR(O$111=$B159+$D159,O$111=$B159+$E159),$H159/(($E159-$D159)*2),IF(AND(O$111&gt;$B159+$D159,O$111&lt;$B159+$E159),$H159/($E159-$D159),0)))</f>
        <v>0</v>
      </c>
      <c r="P159" s="9">
        <f t="shared" si="37"/>
        <v>0</v>
      </c>
      <c r="Q159" s="9">
        <f t="shared" si="37"/>
        <v>0</v>
      </c>
      <c r="R159" s="9">
        <f t="shared" si="37"/>
        <v>0</v>
      </c>
      <c r="S159" s="9">
        <f t="shared" si="37"/>
        <v>0</v>
      </c>
      <c r="T159" s="9">
        <f t="shared" si="37"/>
        <v>0</v>
      </c>
      <c r="U159" s="9"/>
      <c r="V159" s="9">
        <f>IF($C159="annual",IF(V$111=$B159,0,G159*$F159),IF(V$111-$B159=0,0,IF((V$111-$B159)&lt;$E159,AVERAGE(G159,H159)*$F159,IF((V$111-$B159)=$E159,G159*$F159/2,0))))</f>
        <v>0</v>
      </c>
      <c r="W159" s="9">
        <f t="shared" ref="W159:AA164" si="38">IF($C159="annual",IF(W$111=$B159,0,H159*$F159),IF(W$111-$B159=0,0,IF((W$111-$B159)&lt;$E159,AVERAGE(H159,I159)*$F159,IF((W$111-$B159)=$E159,H159*$F159/2,0))))</f>
        <v>0</v>
      </c>
      <c r="X159" s="9">
        <f t="shared" si="38"/>
        <v>0</v>
      </c>
      <c r="Y159" s="9">
        <f t="shared" si="38"/>
        <v>0</v>
      </c>
      <c r="Z159" s="9">
        <f t="shared" si="38"/>
        <v>0</v>
      </c>
      <c r="AA159" s="9">
        <f t="shared" si="38"/>
        <v>0</v>
      </c>
    </row>
    <row r="160" spans="1:27">
      <c r="A160" s="8" t="str">
        <f>A159</f>
        <v>Type 4</v>
      </c>
      <c r="B160" s="7">
        <f>B159+1</f>
        <v>2019</v>
      </c>
      <c r="C160" s="7" t="str">
        <f>C159</f>
        <v>Annual</v>
      </c>
      <c r="D160" s="7">
        <f t="shared" ref="D160:E164" si="39">D159</f>
        <v>0</v>
      </c>
      <c r="E160" s="7">
        <f t="shared" si="39"/>
        <v>0</v>
      </c>
      <c r="F160" s="14">
        <f>$M$82</f>
        <v>0</v>
      </c>
      <c r="H160" s="9"/>
      <c r="I160" s="9">
        <f ca="1">$C$82</f>
        <v>94</v>
      </c>
      <c r="J160" s="9">
        <f ca="1">I160-Q160</f>
        <v>84.6</v>
      </c>
      <c r="K160" s="9">
        <f ca="1">J160-R160</f>
        <v>75.199999999999989</v>
      </c>
      <c r="L160" s="9">
        <f ca="1">K160-S160</f>
        <v>65.799999999999983</v>
      </c>
      <c r="M160" s="9">
        <f ca="1">L160-T160</f>
        <v>56.399999999999984</v>
      </c>
      <c r="N160" s="9"/>
      <c r="O160" s="9"/>
      <c r="P160" s="9">
        <f ca="1">IF(OR($C160="Annual",$D160=$E160),IF(AND($D160=$E160,P$111=$B160+$D160),$I160,IF(AND(P$111&gt;$B160+$D160,P$111&lt;=$B160+$E160), $I160/($E160-$D160),0)), IF(OR(P$111=$B160+$D160,P$111=$B160+$E160),$I160/(($E160-$D160)*2),IF(AND(P$111&gt;$B160+$D160,P$111&lt;$B160+$E160),$I160/($E160-$D160),0)))</f>
        <v>0</v>
      </c>
      <c r="Q160" s="9">
        <f>IF(OR($C160="Annual",$D160=$E160),IF(AND($D160=$E160,Q$111=$B160+$D160),$I160,IF(AND(Q$111&gt;$B160+$D160,Q$111&lt;=$B160+$E160), $I160/($E160-$D160),0)), IF(OR(Q$111=$B160+$D160,Q$111=$B160+$E160),$I160/(($E160-$D160)*2),IF(AND(Q$111&gt;$B160+$D160,Q$111&lt;$B160+$E160),$I160/($E160-$D160),0)))</f>
        <v>0</v>
      </c>
      <c r="R160" s="9">
        <f>IF(OR($C160="Annual",$D160=$E160),IF(AND($D160=$E160,R$111=$B160+$D160),$I160,IF(AND(R$111&gt;$B160+$D160,R$111&lt;=$B160+$E160), $I160/($E160-$D160),0)), IF(OR(R$111=$B160+$D160,R$111=$B160+$E160),$I160/(($E160-$D160)*2),IF(AND(R$111&gt;$B160+$D160,R$111&lt;$B160+$E160),$I160/($E160-$D160),0)))</f>
        <v>0</v>
      </c>
      <c r="S160" s="9">
        <f>IF(OR($C160="Annual",$D160=$E160),IF(AND($D160=$E160,S$111=$B160+$D160),$I160,IF(AND(S$111&gt;$B160+$D160,S$111&lt;=$B160+$E160), $I160/($E160-$D160),0)), IF(OR(S$111=$B160+$D160,S$111=$B160+$E160),$I160/(($E160-$D160)*2),IF(AND(S$111&gt;$B160+$D160,S$111&lt;$B160+$E160),$I160/($E160-$D160),0)))</f>
        <v>0</v>
      </c>
      <c r="T160" s="9">
        <f>IF(OR($C160="Annual",$D160=$E160),IF(AND($D160=$E160,T$111=$B160+$D160),$I160,IF(AND(T$111&gt;$B160+$D160,T$111&lt;=$B160+$E160), $I160/($E160-$D160),0)), IF(OR(T$111=$B160+$D160,T$111=$B160+$E160),$I160/(($E160-$D160)*2),IF(AND(T$111&gt;$B160+$D160,T$111&lt;$B160+$E160),$I160/($E160-$D160),0)))</f>
        <v>0</v>
      </c>
      <c r="U160" s="9"/>
      <c r="V160" s="9"/>
      <c r="W160" s="9">
        <f t="shared" si="38"/>
        <v>0</v>
      </c>
      <c r="X160" s="9">
        <f t="shared" ca="1" si="38"/>
        <v>4.5120000000000005</v>
      </c>
      <c r="Y160" s="9">
        <f t="shared" ca="1" si="38"/>
        <v>4.0607999999999995</v>
      </c>
      <c r="Z160" s="9">
        <f t="shared" ca="1" si="38"/>
        <v>3.6095999999999995</v>
      </c>
      <c r="AA160" s="9">
        <f t="shared" ca="1" si="38"/>
        <v>3.1583999999999994</v>
      </c>
    </row>
    <row r="161" spans="1:27">
      <c r="A161" s="8" t="str">
        <f>A160</f>
        <v>Type 4</v>
      </c>
      <c r="B161" s="7">
        <f>B160+1</f>
        <v>2020</v>
      </c>
      <c r="C161" s="7" t="str">
        <f>C160</f>
        <v>Annual</v>
      </c>
      <c r="D161" s="7">
        <f t="shared" si="39"/>
        <v>0</v>
      </c>
      <c r="E161" s="7">
        <f t="shared" si="39"/>
        <v>0</v>
      </c>
      <c r="F161" s="14">
        <f>$N$82</f>
        <v>0</v>
      </c>
      <c r="H161" s="9"/>
      <c r="I161" s="9"/>
      <c r="J161" s="9">
        <f ca="1">$D$82</f>
        <v>91</v>
      </c>
      <c r="K161" s="9">
        <f ca="1">J161-R161</f>
        <v>81.900000000000006</v>
      </c>
      <c r="L161" s="9">
        <f ca="1">K161-S161</f>
        <v>72.800000000000011</v>
      </c>
      <c r="M161" s="9">
        <f ca="1">L161-T161</f>
        <v>63.70000000000001</v>
      </c>
      <c r="N161" s="9"/>
      <c r="O161" s="9"/>
      <c r="P161" s="9"/>
      <c r="Q161" s="9">
        <f ca="1">IF(OR($C161="Annual",$D161=$E161),IF(AND($D161=$E161,Q$111=$B161+$D161),$J161,IF(AND(Q$111&gt;$B161+$D161,Q$111&lt;=$B161+$E161), $J161/($E161-$D161),0)), IF(OR(Q$111=$B161+$D161,Q$111=$B161+$E161),$J161/(($E161-$D161)*2),IF(AND(Q$111&gt;$B161+$D161,Q$111&lt;$B161+$E161),$J161/($E161-$D161),0)))</f>
        <v>0</v>
      </c>
      <c r="R161" s="9">
        <f>IF(OR($C161="Annual",$D161=$E161),IF(AND($D161=$E161,R$111=$B161+$D161),$J161,IF(AND(R$111&gt;$B161+$D161,R$111&lt;=$B161+$E161), $J161/($E161-$D161),0)), IF(OR(R$111=$B161+$D161,R$111=$B161+$E161),$J161/(($E161-$D161)*2),IF(AND(R$111&gt;$B161+$D161,R$111&lt;$B161+$E161),$J161/($E161-$D161),0)))</f>
        <v>0</v>
      </c>
      <c r="S161" s="9">
        <f>IF(OR($C161="Annual",$D161=$E161),IF(AND($D161=$E161,S$111=$B161+$D161),$J161,IF(AND(S$111&gt;$B161+$D161,S$111&lt;=$B161+$E161), $J161/($E161-$D161),0)), IF(OR(S$111=$B161+$D161,S$111=$B161+$E161),$J161/(($E161-$D161)*2),IF(AND(S$111&gt;$B161+$D161,S$111&lt;$B161+$E161),$J161/($E161-$D161),0)))</f>
        <v>0</v>
      </c>
      <c r="T161" s="9">
        <f>IF(OR($C161="Annual",$D161=$E161),IF(AND($D161=$E161,T$111=$B161+$D161),$J161,IF(AND(T$111&gt;$B161+$D161,T$111&lt;=$B161+$E161), $J161/($E161-$D161),0)), IF(OR(T$111=$B161+$D161,T$111=$B161+$E161),$J161/(($E161-$D161)*2),IF(AND(T$111&gt;$B161+$D161,T$111&lt;$B161+$E161),$J161/($E161-$D161),0)))</f>
        <v>0</v>
      </c>
      <c r="U161" s="9"/>
      <c r="V161" s="9"/>
      <c r="W161" s="9"/>
      <c r="X161" s="9">
        <f t="shared" si="38"/>
        <v>0</v>
      </c>
      <c r="Y161" s="9">
        <f t="shared" ca="1" si="38"/>
        <v>4.641</v>
      </c>
      <c r="Z161" s="9">
        <f t="shared" ca="1" si="38"/>
        <v>4.1768999999999998</v>
      </c>
      <c r="AA161" s="9">
        <f t="shared" ca="1" si="38"/>
        <v>3.7128000000000005</v>
      </c>
    </row>
    <row r="162" spans="1:27">
      <c r="A162" s="8" t="str">
        <f>A161</f>
        <v>Type 4</v>
      </c>
      <c r="B162" s="7">
        <f>B161+1</f>
        <v>2021</v>
      </c>
      <c r="C162" s="7" t="str">
        <f>C161</f>
        <v>Annual</v>
      </c>
      <c r="D162" s="7">
        <f t="shared" si="39"/>
        <v>0</v>
      </c>
      <c r="E162" s="7">
        <f t="shared" si="39"/>
        <v>0</v>
      </c>
      <c r="F162" s="14">
        <f>$O$82</f>
        <v>0</v>
      </c>
      <c r="H162" s="9"/>
      <c r="I162" s="9"/>
      <c r="J162" s="9"/>
      <c r="K162" s="9">
        <f ca="1">$E$82</f>
        <v>90.000000000000014</v>
      </c>
      <c r="L162" s="9">
        <f ca="1">K162-S162</f>
        <v>81.000000000000014</v>
      </c>
      <c r="M162" s="9">
        <f ca="1">L162-T162</f>
        <v>72.000000000000014</v>
      </c>
      <c r="N162" s="9"/>
      <c r="O162" s="9"/>
      <c r="P162" s="9"/>
      <c r="Q162" s="9"/>
      <c r="R162" s="9">
        <f ca="1">IF(OR($C162="Annual",$D162=$E162),IF(AND($D162=$E162,R$111=$B162+$D162),$K162,IF(AND(R$111&gt;$B162+$D162,R$111&lt;=$B162+$E162), $K162/($E162-$D162),0)), IF(OR(R$111=$B162+$D162,R$111=$B162+$E162),$K162/(($E162-$D162)*2),IF(AND(R$111&gt;$B162+$D162,R$111&lt;$B162+$E162),$K162/($E162-$D162),0)))</f>
        <v>0</v>
      </c>
      <c r="S162" s="9">
        <f>IF(OR($C162="Annual",$D162=$E162),IF(AND($D162=$E162,S$111=$B162+$D162),$K162,IF(AND(S$111&gt;$B162+$D162,S$111&lt;=$B162+$E162), $K162/($E162-$D162),0)), IF(OR(S$111=$B162+$D162,S$111=$B162+$E162),$K162/(($E162-$D162)*2),IF(AND(S$111&gt;$B162+$D162,S$111&lt;$B162+$E162),$K162/($E162-$D162),0)))</f>
        <v>0</v>
      </c>
      <c r="T162" s="9">
        <f>IF(OR($C162="Annual",$D162=$E162),IF(AND($D162=$E162,T$111=$B162+$D162),$K162,IF(AND(T$111&gt;$B162+$D162,T$111&lt;=$B162+$E162), $K162/($E162-$D162),0)), IF(OR(T$111=$B162+$D162,T$111=$B162+$E162),$K162/(($E162-$D162)*2),IF(AND(T$111&gt;$B162+$D162,T$111&lt;$B162+$E162),$K162/($E162-$D162),0)))</f>
        <v>0</v>
      </c>
      <c r="U162" s="9"/>
      <c r="V162" s="9"/>
      <c r="W162" s="9"/>
      <c r="X162" s="9"/>
      <c r="Y162" s="9">
        <f t="shared" si="38"/>
        <v>0</v>
      </c>
      <c r="Z162" s="9">
        <f t="shared" ca="1" si="38"/>
        <v>4.6800000000000015</v>
      </c>
      <c r="AA162" s="9">
        <f t="shared" ca="1" si="38"/>
        <v>4.2120000000000015</v>
      </c>
    </row>
    <row r="163" spans="1:27">
      <c r="A163" s="8" t="str">
        <f>A162</f>
        <v>Type 4</v>
      </c>
      <c r="B163" s="7">
        <f>B162+1</f>
        <v>2022</v>
      </c>
      <c r="C163" s="7" t="str">
        <f>C162</f>
        <v>Annual</v>
      </c>
      <c r="D163" s="7">
        <f t="shared" si="39"/>
        <v>0</v>
      </c>
      <c r="E163" s="7">
        <f t="shared" si="39"/>
        <v>0</v>
      </c>
      <c r="F163" s="14">
        <f>$P$82</f>
        <v>0</v>
      </c>
      <c r="H163" s="9"/>
      <c r="I163" s="9"/>
      <c r="J163" s="9"/>
      <c r="K163" s="9"/>
      <c r="L163" s="9">
        <f ca="1">$F$82</f>
        <v>90</v>
      </c>
      <c r="M163" s="9">
        <f ca="1">L163-T163</f>
        <v>81</v>
      </c>
      <c r="N163" s="9"/>
      <c r="O163" s="9"/>
      <c r="P163" s="9"/>
      <c r="Q163" s="9"/>
      <c r="R163" s="9"/>
      <c r="S163" s="9">
        <f ca="1">IF(OR($C163="Annual",$D163=$E163),IF(AND($D163=$E163,S$111=$B163+$D163),$L163,IF(AND(S$111&gt;$B163+$D163,S$111&lt;=$B163+$E163), $L163/($E163-$D163),0)), IF(OR(S$111=$B163+$D163,S$111=$B163+$E163),$L163/(($E163-$D163)*2),IF(AND(S$111&gt;$B163+$D163,S$111&lt;$B163+$E163),$L163/($E163-$D163),0)))</f>
        <v>0</v>
      </c>
      <c r="T163" s="9">
        <f>IF(OR($C163="Annual",$D163=$E163),IF(AND($D163=$E163,T$111=$B163+$D163),$L163,IF(AND(T$111&gt;$B163+$D163,T$111&lt;=$B163+$E163), $L163/($E163-$D163),0)), IF(OR(T$111=$B163+$D163,T$111=$B163+$E163),$L163/(($E163-$D163)*2),IF(AND(T$111&gt;$B163+$D163,T$111&lt;$B163+$E163),$L163/($E163-$D163),0)))</f>
        <v>0</v>
      </c>
      <c r="U163" s="9"/>
      <c r="V163" s="9"/>
      <c r="W163" s="9"/>
      <c r="X163" s="9"/>
      <c r="Y163" s="9"/>
      <c r="Z163" s="9">
        <f t="shared" si="38"/>
        <v>0</v>
      </c>
      <c r="AA163" s="9">
        <f t="shared" ca="1" si="38"/>
        <v>4.7699999999999996</v>
      </c>
    </row>
    <row r="164" spans="1:27">
      <c r="A164" s="8" t="str">
        <f>A163</f>
        <v>Type 4</v>
      </c>
      <c r="B164" s="7">
        <f>B163+1</f>
        <v>2023</v>
      </c>
      <c r="C164" s="7" t="str">
        <f>C163</f>
        <v>Annual</v>
      </c>
      <c r="D164" s="7">
        <f t="shared" si="39"/>
        <v>0</v>
      </c>
      <c r="E164" s="7">
        <f t="shared" si="39"/>
        <v>0</v>
      </c>
      <c r="F164" s="14">
        <f>$Q$82</f>
        <v>0</v>
      </c>
      <c r="H164" s="9"/>
      <c r="I164" s="9"/>
      <c r="J164" s="9"/>
      <c r="K164" s="9"/>
      <c r="L164" s="9"/>
      <c r="M164" s="9">
        <f ca="1">$G$82</f>
        <v>90</v>
      </c>
      <c r="N164" s="9"/>
      <c r="O164" s="9"/>
      <c r="P164" s="9"/>
      <c r="Q164" s="9"/>
      <c r="R164" s="9"/>
      <c r="S164" s="9"/>
      <c r="T164" s="9">
        <f ca="1">IF(OR($C164="Annual",$D164=$E164),IF(AND($D164=$E164,T$111=$B164+$D164),$M164,IF(AND(T$111&gt;$B164+$D164,T$111&lt;=$B164+$E164), $M164/($E164-$D164),0)), IF(OR(T$111=$B164+$D164,T$111=$B164+$E164),$M164/(($E164-$D164)*2),IF(AND(T$111&gt;$B164+$D164,T$111&lt;$B164+$E164),$M164/($E164-$D164),0)))</f>
        <v>0</v>
      </c>
      <c r="U164" s="9"/>
      <c r="V164" s="9"/>
      <c r="W164" s="9"/>
      <c r="X164" s="9"/>
      <c r="Y164" s="9"/>
      <c r="Z164" s="9"/>
      <c r="AA164" s="9">
        <f t="shared" si="38"/>
        <v>0</v>
      </c>
    </row>
    <row r="165" spans="1:27">
      <c r="C165" s="281"/>
      <c r="F165" s="15"/>
      <c r="H165" s="10"/>
      <c r="I165" s="10"/>
      <c r="J165" s="10"/>
      <c r="K165" s="10"/>
      <c r="L165" s="10"/>
      <c r="M165" s="10"/>
      <c r="N165" s="10"/>
      <c r="O165" s="278"/>
      <c r="P165" s="10"/>
      <c r="Q165" s="10"/>
      <c r="R165" s="10"/>
      <c r="S165" s="10"/>
      <c r="T165" s="10"/>
      <c r="U165" s="10"/>
      <c r="V165" s="10"/>
      <c r="W165" s="10"/>
      <c r="X165" s="10"/>
      <c r="Y165" s="10"/>
      <c r="Z165" s="10"/>
      <c r="AA165" s="10"/>
    </row>
    <row r="166" spans="1:27" s="1150" customFormat="1">
      <c r="A166" s="1347" t="str">
        <f>'Input 4 - Forecast'!A64</f>
        <v>ZERO-COUPON BOND</v>
      </c>
      <c r="B166" s="1348">
        <f>B119</f>
        <v>2018</v>
      </c>
      <c r="C166" s="1348"/>
      <c r="D166" s="1348">
        <f>$J83</f>
        <v>0</v>
      </c>
      <c r="E166" s="1348">
        <f>$K83</f>
        <v>0</v>
      </c>
      <c r="F166" s="1349">
        <f>$L$83</f>
        <v>0</v>
      </c>
      <c r="H166" s="1350">
        <f>$B$83</f>
        <v>0</v>
      </c>
      <c r="I166" s="1350">
        <f>H166-P166</f>
        <v>0</v>
      </c>
      <c r="J166" s="1350">
        <f>I166-Q166</f>
        <v>0</v>
      </c>
      <c r="K166" s="1350">
        <f>J166-R166</f>
        <v>0</v>
      </c>
      <c r="L166" s="1350">
        <f>K166-S166</f>
        <v>0</v>
      </c>
      <c r="M166" s="1350">
        <f>L166-T166</f>
        <v>0</v>
      </c>
      <c r="N166" s="1350"/>
      <c r="O166" s="1350">
        <f t="shared" ref="O166:T166" si="40">IF($D166=$E166,IF(O$111=$B166+$E166,$H166,0),0)</f>
        <v>0</v>
      </c>
      <c r="P166" s="1350">
        <f t="shared" si="40"/>
        <v>0</v>
      </c>
      <c r="Q166" s="1350">
        <f t="shared" si="40"/>
        <v>0</v>
      </c>
      <c r="R166" s="1350">
        <f t="shared" si="40"/>
        <v>0</v>
      </c>
      <c r="S166" s="1350">
        <f t="shared" si="40"/>
        <v>0</v>
      </c>
      <c r="T166" s="1350">
        <f t="shared" si="40"/>
        <v>0</v>
      </c>
      <c r="U166" s="1350"/>
      <c r="V166" s="1350">
        <f t="shared" ref="V166:AA166" si="41">IF(V$111-$B166=$D166,$H166*(((1+$F166)^$D166)-1),0)</f>
        <v>0</v>
      </c>
      <c r="W166" s="1350">
        <f t="shared" si="41"/>
        <v>0</v>
      </c>
      <c r="X166" s="1350">
        <f t="shared" si="41"/>
        <v>0</v>
      </c>
      <c r="Y166" s="1350">
        <f t="shared" si="41"/>
        <v>0</v>
      </c>
      <c r="Z166" s="1350">
        <f t="shared" si="41"/>
        <v>0</v>
      </c>
      <c r="AA166" s="1350">
        <f t="shared" si="41"/>
        <v>0</v>
      </c>
    </row>
    <row r="167" spans="1:27" s="1150" customFormat="1">
      <c r="A167" s="1347" t="str">
        <f>A166</f>
        <v>ZERO-COUPON BOND</v>
      </c>
      <c r="B167" s="1348">
        <f>B166+1</f>
        <v>2019</v>
      </c>
      <c r="C167" s="1348"/>
      <c r="D167" s="1348">
        <f t="shared" ref="D167:E171" si="42">D166</f>
        <v>0</v>
      </c>
      <c r="E167" s="1348">
        <f t="shared" si="42"/>
        <v>0</v>
      </c>
      <c r="F167" s="1349">
        <f>$M$83</f>
        <v>0</v>
      </c>
      <c r="H167" s="1350"/>
      <c r="I167" s="1350">
        <f ca="1">$C$83</f>
        <v>0</v>
      </c>
      <c r="J167" s="1350">
        <f ca="1">I167-Q167</f>
        <v>0</v>
      </c>
      <c r="K167" s="1350">
        <f ca="1">J167-R167</f>
        <v>0</v>
      </c>
      <c r="L167" s="1350">
        <f ca="1">K167-S167</f>
        <v>0</v>
      </c>
      <c r="M167" s="1350">
        <f ca="1">L167-T167</f>
        <v>0</v>
      </c>
      <c r="N167" s="1350"/>
      <c r="O167" s="1351"/>
      <c r="P167" s="1350">
        <f ca="1">IF($D167=$E167,IF(P$111=$B167+$E167,$I167,0),0)</f>
        <v>0</v>
      </c>
      <c r="Q167" s="1350">
        <f>IF($D167=$E167,IF(Q$111=$B167+$E167,$I167,0),0)</f>
        <v>0</v>
      </c>
      <c r="R167" s="1350">
        <f>IF($D167=$E167,IF(R$111=$B167+$E167,$I167,0),0)</f>
        <v>0</v>
      </c>
      <c r="S167" s="1350">
        <f>IF($D167=$E167,IF(S$111=$B167+$E167,$I167,0),0)</f>
        <v>0</v>
      </c>
      <c r="T167" s="1350">
        <f>IF($D167=$E167,IF(T$111=$B167+$E167,$I167,0),0)</f>
        <v>0</v>
      </c>
      <c r="U167" s="1350"/>
      <c r="V167" s="1350"/>
      <c r="W167" s="1350">
        <f ca="1">IF(W$111-$B167=$D167,$I167*(((1+$F167)^$D167)-1),0)</f>
        <v>0</v>
      </c>
      <c r="X167" s="1350">
        <f>IF(X$111-$B167=$D167,$I167*(((1+$F167)^$D167)-1),0)</f>
        <v>0</v>
      </c>
      <c r="Y167" s="1350">
        <f>IF(Y$111-$B167=$D167,$I167*(((1+$F167)^$D167)-1),0)</f>
        <v>0</v>
      </c>
      <c r="Z167" s="1350">
        <f>IF(Z$111-$B167=$D167,$I167*(((1+$F167)^$D167)-1),0)</f>
        <v>0</v>
      </c>
      <c r="AA167" s="1350">
        <f>IF(AA$111-$B167=$D167,$I167*(((1+$F167)^$D167)-1),0)</f>
        <v>0</v>
      </c>
    </row>
    <row r="168" spans="1:27" s="1150" customFormat="1">
      <c r="A168" s="1347" t="str">
        <f>A167</f>
        <v>ZERO-COUPON BOND</v>
      </c>
      <c r="B168" s="1348">
        <f>B167+1</f>
        <v>2020</v>
      </c>
      <c r="C168" s="1348"/>
      <c r="D168" s="1348">
        <f t="shared" si="42"/>
        <v>0</v>
      </c>
      <c r="E168" s="1348">
        <f t="shared" si="42"/>
        <v>0</v>
      </c>
      <c r="F168" s="1349">
        <f>$N$83</f>
        <v>0</v>
      </c>
      <c r="H168" s="1350"/>
      <c r="I168" s="1350"/>
      <c r="J168" s="1350">
        <f ca="1">$D$83</f>
        <v>0</v>
      </c>
      <c r="K168" s="1350">
        <f ca="1">J168-R168</f>
        <v>0</v>
      </c>
      <c r="L168" s="1350">
        <f ca="1">K168-S168</f>
        <v>0</v>
      </c>
      <c r="M168" s="1350">
        <f ca="1">L168-T168</f>
        <v>0</v>
      </c>
      <c r="N168" s="1350"/>
      <c r="O168" s="1351"/>
      <c r="P168" s="1350"/>
      <c r="Q168" s="1350">
        <f ca="1">IF($D168=$E168,IF(Q$111=$B168+$E168,$J168,0),0)</f>
        <v>0</v>
      </c>
      <c r="R168" s="1350">
        <f>IF($D168=$E168,IF(R$111=$B168+$E168,$J168,0),0)</f>
        <v>0</v>
      </c>
      <c r="S168" s="1350">
        <f>IF($D168=$E168,IF(S$111=$B168+$E168,$J168,0),0)</f>
        <v>0</v>
      </c>
      <c r="T168" s="1350">
        <f>IF($D168=$E168,IF(T$111=$B168+$E168,$J168,0),0)</f>
        <v>0</v>
      </c>
      <c r="U168" s="1350"/>
      <c r="V168" s="1350"/>
      <c r="W168" s="1350"/>
      <c r="X168" s="1350">
        <f ca="1">IF(X$111-$B168=$D168,$J168*(((1+$F168)^$D168)-1),0)</f>
        <v>0</v>
      </c>
      <c r="Y168" s="1350">
        <f>IF(Y$111-$B168=$D168,$J168*(((1+$F168)^$D168)-1),0)</f>
        <v>0</v>
      </c>
      <c r="Z168" s="1350">
        <f>IF(Z$111-$B168=$D168,$J168*(((1+$F168)^$D168)-1),0)</f>
        <v>0</v>
      </c>
      <c r="AA168" s="1350">
        <f>IF(AA$111-$B168=$D168,$J168*(((1+$F168)^$D168)-1),0)</f>
        <v>0</v>
      </c>
    </row>
    <row r="169" spans="1:27" s="1150" customFormat="1">
      <c r="A169" s="1347" t="str">
        <f>A168</f>
        <v>ZERO-COUPON BOND</v>
      </c>
      <c r="B169" s="1348">
        <f>B168+1</f>
        <v>2021</v>
      </c>
      <c r="C169" s="1348"/>
      <c r="D169" s="1348">
        <f t="shared" si="42"/>
        <v>0</v>
      </c>
      <c r="E169" s="1348">
        <f t="shared" si="42"/>
        <v>0</v>
      </c>
      <c r="F169" s="1349">
        <f>$O$83</f>
        <v>0</v>
      </c>
      <c r="H169" s="1350"/>
      <c r="I169" s="1350"/>
      <c r="J169" s="1350"/>
      <c r="K169" s="1350">
        <f ca="1">$E$83</f>
        <v>0</v>
      </c>
      <c r="L169" s="1350">
        <f ca="1">K169-S169</f>
        <v>0</v>
      </c>
      <c r="M169" s="1350">
        <f ca="1">L169-T169</f>
        <v>0</v>
      </c>
      <c r="N169" s="1350"/>
      <c r="O169" s="1351"/>
      <c r="P169" s="1350"/>
      <c r="Q169" s="1350"/>
      <c r="R169" s="1350">
        <f ca="1">IF($D169=$E169,IF(R$111=$B169+$E169,$K169,0),0)</f>
        <v>0</v>
      </c>
      <c r="S169" s="1350">
        <f>IF($D169=$E169,IF(S$111=$B169+$E169,$K169,0),0)</f>
        <v>0</v>
      </c>
      <c r="T169" s="1350">
        <f>IF($D169=$E169,IF(T$111=$B169+$E169,$K169,0),0)</f>
        <v>0</v>
      </c>
      <c r="U169" s="1350"/>
      <c r="V169" s="1350"/>
      <c r="W169" s="1350"/>
      <c r="X169" s="1350"/>
      <c r="Y169" s="1350">
        <f ca="1">IF(Y$111-$B169=$D169,$K169*(((1+$F169)^$D169)-1),0)</f>
        <v>0</v>
      </c>
      <c r="Z169" s="1350">
        <f>IF(Z$111-$B169=$D169,$K169*(((1+$F169)^$D169)-1),0)</f>
        <v>0</v>
      </c>
      <c r="AA169" s="1350">
        <f>IF(AA$111-$B169=$D169,$K169*(((1+$F169)^$D169)-1),0)</f>
        <v>0</v>
      </c>
    </row>
    <row r="170" spans="1:27" s="1150" customFormat="1">
      <c r="A170" s="1347" t="str">
        <f>A169</f>
        <v>ZERO-COUPON BOND</v>
      </c>
      <c r="B170" s="1348">
        <f>B169+1</f>
        <v>2022</v>
      </c>
      <c r="C170" s="1348"/>
      <c r="D170" s="1348">
        <f t="shared" si="42"/>
        <v>0</v>
      </c>
      <c r="E170" s="1348">
        <f t="shared" si="42"/>
        <v>0</v>
      </c>
      <c r="F170" s="1349">
        <f>$P$83</f>
        <v>0</v>
      </c>
      <c r="H170" s="1350"/>
      <c r="I170" s="1350"/>
      <c r="J170" s="1350"/>
      <c r="K170" s="1350"/>
      <c r="L170" s="1350">
        <f ca="1">$F$83</f>
        <v>0</v>
      </c>
      <c r="M170" s="1350">
        <f ca="1">L170-T170</f>
        <v>0</v>
      </c>
      <c r="N170" s="1350"/>
      <c r="O170" s="1351"/>
      <c r="P170" s="1350"/>
      <c r="Q170" s="1350"/>
      <c r="R170" s="1350"/>
      <c r="S170" s="1350">
        <f ca="1">IF($D170=$E170,IF(S$111=$B170+$E170,$L170,0),0)</f>
        <v>0</v>
      </c>
      <c r="T170" s="1350">
        <f>IF($D170=$E170,IF(T$111=$B170+$E170,$L170,0),0)</f>
        <v>0</v>
      </c>
      <c r="U170" s="1350"/>
      <c r="V170" s="1350"/>
      <c r="W170" s="1350"/>
      <c r="X170" s="1350"/>
      <c r="Y170" s="1350"/>
      <c r="Z170" s="1350">
        <f ca="1">IF(Z$111-$B170=$D170,$L170*(((1+$F170)^$D170)-1),0)</f>
        <v>0</v>
      </c>
      <c r="AA170" s="1350">
        <f>IF(AA$111-$B170=$D170,$L170*(((1+$F170)^$D170)-1),0)</f>
        <v>0</v>
      </c>
    </row>
    <row r="171" spans="1:27" s="1150" customFormat="1">
      <c r="A171" s="1347" t="str">
        <f>A170</f>
        <v>ZERO-COUPON BOND</v>
      </c>
      <c r="B171" s="1348">
        <f>B170+1</f>
        <v>2023</v>
      </c>
      <c r="C171" s="1348"/>
      <c r="D171" s="1348">
        <f t="shared" si="42"/>
        <v>0</v>
      </c>
      <c r="E171" s="1348">
        <f t="shared" si="42"/>
        <v>0</v>
      </c>
      <c r="F171" s="1349">
        <f>$Q$83</f>
        <v>0</v>
      </c>
      <c r="H171" s="1350"/>
      <c r="I171" s="1350"/>
      <c r="J171" s="1350"/>
      <c r="K171" s="1350"/>
      <c r="L171" s="1350"/>
      <c r="M171" s="1350">
        <f ca="1">$G$83</f>
        <v>0</v>
      </c>
      <c r="N171" s="1350"/>
      <c r="O171" s="1351"/>
      <c r="P171" s="1350"/>
      <c r="Q171" s="1350"/>
      <c r="R171" s="1350"/>
      <c r="S171" s="1350"/>
      <c r="T171" s="1350">
        <f ca="1">IF($D171=$E171,IF(T$111=$B171+$E171,$M171,0),0)</f>
        <v>0</v>
      </c>
      <c r="U171" s="1350"/>
      <c r="V171" s="1350"/>
      <c r="W171" s="1350"/>
      <c r="X171" s="1350"/>
      <c r="Y171" s="1350"/>
      <c r="Z171" s="1350"/>
      <c r="AA171" s="1350">
        <f ca="1">IF(AA$111-$B171=$D171,$M171*(((1+$F171)^$D171)-1),0)</f>
        <v>0</v>
      </c>
    </row>
    <row r="172" spans="1:27" ht="15.75" thickBot="1">
      <c r="H172" s="10"/>
      <c r="I172" s="10"/>
      <c r="J172" s="10"/>
      <c r="K172" s="10"/>
      <c r="L172" s="10"/>
      <c r="M172" s="10"/>
      <c r="N172" s="10"/>
      <c r="O172" s="10"/>
      <c r="P172" s="10"/>
      <c r="Q172" s="10"/>
      <c r="R172" s="10"/>
      <c r="S172" s="10"/>
      <c r="T172" s="10"/>
      <c r="U172" s="10"/>
      <c r="V172" s="10"/>
      <c r="W172" s="10"/>
      <c r="X172" s="10"/>
      <c r="Y172" s="10"/>
      <c r="Z172" s="10"/>
      <c r="AA172" s="10"/>
    </row>
    <row r="173" spans="1:27" ht="15.75" thickBot="1">
      <c r="A173" s="12" t="str">
        <f>'Input 4 - Forecast'!A65</f>
        <v>Denominated in foreign currency</v>
      </c>
      <c r="B173" s="1999" t="s">
        <v>52</v>
      </c>
      <c r="C173" s="2000"/>
      <c r="D173" s="2000"/>
      <c r="E173" s="2000"/>
      <c r="F173" s="2000"/>
      <c r="G173" s="2000"/>
      <c r="H173" s="2000"/>
      <c r="I173" s="2000"/>
      <c r="J173" s="2000"/>
      <c r="K173" s="2000"/>
      <c r="L173" s="2000"/>
      <c r="M173" s="2000"/>
      <c r="N173" s="2000"/>
      <c r="O173" s="2000"/>
      <c r="P173" s="2000"/>
      <c r="Q173" s="2000"/>
      <c r="R173" s="2000"/>
      <c r="S173" s="2000"/>
      <c r="T173" s="2000"/>
      <c r="U173" s="2000"/>
      <c r="V173" s="2000"/>
      <c r="W173" s="2000"/>
      <c r="X173" s="2000"/>
      <c r="Y173" s="2000"/>
      <c r="Z173" s="2000"/>
      <c r="AA173" s="2001"/>
    </row>
    <row r="174" spans="1:27">
      <c r="H174" s="10"/>
      <c r="I174" s="10"/>
      <c r="J174" s="10"/>
      <c r="K174" s="10"/>
      <c r="L174" s="10"/>
      <c r="M174" s="10"/>
      <c r="N174" s="10"/>
      <c r="O174" s="10"/>
      <c r="P174" s="10"/>
      <c r="Q174" s="10"/>
      <c r="R174" s="10"/>
      <c r="S174" s="10"/>
      <c r="T174" s="10"/>
      <c r="U174" s="10"/>
      <c r="V174" s="10"/>
      <c r="W174" s="10"/>
      <c r="X174" s="10"/>
      <c r="Y174" s="10"/>
      <c r="Z174" s="10"/>
      <c r="AA174" s="10"/>
    </row>
    <row r="175" spans="1:27">
      <c r="A175" s="8" t="str">
        <f>'Input 4 - Forecast'!A66</f>
        <v>Type 6</v>
      </c>
      <c r="B175" s="7">
        <f>B119</f>
        <v>2018</v>
      </c>
      <c r="C175" s="7" t="str">
        <f>$I85</f>
        <v>Annual</v>
      </c>
      <c r="D175" s="7">
        <f>$J85</f>
        <v>0</v>
      </c>
      <c r="E175" s="7">
        <f>$K85</f>
        <v>0</v>
      </c>
      <c r="F175" s="14">
        <f>$L$85</f>
        <v>0</v>
      </c>
      <c r="H175" s="9">
        <f>$B$85/$B$31</f>
        <v>0</v>
      </c>
      <c r="I175" s="9">
        <f>H175-P175</f>
        <v>0</v>
      </c>
      <c r="J175" s="9">
        <f>I175-Q175</f>
        <v>0</v>
      </c>
      <c r="K175" s="9">
        <f>J175-R175</f>
        <v>0</v>
      </c>
      <c r="L175" s="9">
        <f>K175-S175</f>
        <v>0</v>
      </c>
      <c r="M175" s="9">
        <f>L175-T175</f>
        <v>0</v>
      </c>
      <c r="N175" s="9"/>
      <c r="O175" s="9">
        <f t="shared" ref="O175:T175" si="43">IF(OR($C175="Annual",$D175=$E175),IF(AND($D175=$E175,O$111=$B175+$D175),$H175,IF(AND(O$111&gt;$B175+$D175,O$111&lt;=$B175+$E175), $H175/($E175-$D175),0)), IF(OR(O$111=$B175+$D175,O$111=$B175+$E175),$H175/(($E175-$D175)*2),IF(AND(O$111&gt;$B175+$D175,O$111&lt;$B175+$E175),$H175/($E175-$D175),0)))</f>
        <v>0</v>
      </c>
      <c r="P175" s="9">
        <f t="shared" si="43"/>
        <v>0</v>
      </c>
      <c r="Q175" s="9">
        <f t="shared" si="43"/>
        <v>0</v>
      </c>
      <c r="R175" s="9">
        <f t="shared" si="43"/>
        <v>0</v>
      </c>
      <c r="S175" s="9">
        <f t="shared" si="43"/>
        <v>0</v>
      </c>
      <c r="T175" s="9">
        <f t="shared" si="43"/>
        <v>0</v>
      </c>
      <c r="U175" s="9"/>
      <c r="V175" s="9">
        <f>IF($C175="annual",IF(V$111=$B175,0,G175*$F175),IF(V$111-$B175=0,0,IF((V$111-$B175)&lt;$E175,AVERAGE(G175,H175)*$F175,IF((V$111-$B175)=$E175,G175*$F175/2,0))))</f>
        <v>0</v>
      </c>
      <c r="W175" s="9">
        <f t="shared" ref="W175:AA180" si="44">IF($C175="annual",IF(W$111=$B175,0,H175*$F175),IF(W$111-$B175=0,0,IF((W$111-$B175)&lt;$E175,AVERAGE(H175,I175)*$F175,IF((W$111-$B175)=$E175,H175*$F175/2,0))))</f>
        <v>0</v>
      </c>
      <c r="X175" s="9">
        <f t="shared" si="44"/>
        <v>0</v>
      </c>
      <c r="Y175" s="9">
        <f t="shared" si="44"/>
        <v>0</v>
      </c>
      <c r="Z175" s="9">
        <f t="shared" si="44"/>
        <v>0</v>
      </c>
      <c r="AA175" s="9">
        <f t="shared" si="44"/>
        <v>0</v>
      </c>
    </row>
    <row r="176" spans="1:27">
      <c r="A176" s="8" t="str">
        <f>A175</f>
        <v>Type 6</v>
      </c>
      <c r="B176" s="7">
        <f>B175+1</f>
        <v>2019</v>
      </c>
      <c r="C176" s="7" t="str">
        <f t="shared" ref="C176:D180" si="45">C175</f>
        <v>Annual</v>
      </c>
      <c r="D176" s="7">
        <f t="shared" si="45"/>
        <v>0</v>
      </c>
      <c r="E176" s="7">
        <f>E175</f>
        <v>0</v>
      </c>
      <c r="F176" s="14">
        <f>$M$85</f>
        <v>0</v>
      </c>
      <c r="H176" s="9"/>
      <c r="I176" s="9">
        <f ca="1">$C$85/$C$31</f>
        <v>0</v>
      </c>
      <c r="J176" s="9">
        <f ca="1">I176-Q176</f>
        <v>0</v>
      </c>
      <c r="K176" s="9">
        <f ca="1">J176-R176</f>
        <v>0</v>
      </c>
      <c r="L176" s="9">
        <f ca="1">K176-S176</f>
        <v>0</v>
      </c>
      <c r="M176" s="9">
        <f ca="1">L176-T176</f>
        <v>0</v>
      </c>
      <c r="N176" s="9"/>
      <c r="O176" s="9"/>
      <c r="P176" s="9">
        <f ca="1">IF(OR($C176="Annual",$D176=$E176),IF(AND($D176=$E176,P$111=$B176+$D176),$I176,IF(AND(P$111&gt;$B176+$D176,P$111&lt;=$B176+$E176), $I176/($E176-$D176),0)), IF(OR(P$111=$B176+$D176,P$111=$B176+$E176),$I176/(($E176-$D176)*2),IF(AND(P$111&gt;$B176+$D176,P$111&lt;$B176+$E176),$I176/($E176-$D176),0)))</f>
        <v>0</v>
      </c>
      <c r="Q176" s="9">
        <f>IF(OR($C176="Annual",$D176=$E176),IF(AND($D176=$E176,Q$111=$B176+$D176),$I176,IF(AND(Q$111&gt;$B176+$D176,Q$111&lt;=$B176+$E176), $I176/($E176-$D176),0)), IF(OR(Q$111=$B176+$D176,Q$111=$B176+$E176),$I176/(($E176-$D176)*2),IF(AND(Q$111&gt;$B176+$D176,Q$111&lt;$B176+$E176),$I176/($E176-$D176),0)))</f>
        <v>0</v>
      </c>
      <c r="R176" s="9">
        <f>IF(OR($C176="Annual",$D176=$E176),IF(AND($D176=$E176,R$111=$B176+$D176),$I176,IF(AND(R$111&gt;$B176+$D176,R$111&lt;=$B176+$E176), $I176/($E176-$D176),0)), IF(OR(R$111=$B176+$D176,R$111=$B176+$E176),$I176/(($E176-$D176)*2),IF(AND(R$111&gt;$B176+$D176,R$111&lt;$B176+$E176),$I176/($E176-$D176),0)))</f>
        <v>0</v>
      </c>
      <c r="S176" s="9">
        <f>IF(OR($C176="Annual",$D176=$E176),IF(AND($D176=$E176,S$111=$B176+$D176),$I176,IF(AND(S$111&gt;$B176+$D176,S$111&lt;=$B176+$E176), $I176/($E176-$D176),0)), IF(OR(S$111=$B176+$D176,S$111=$B176+$E176),$I176/(($E176-$D176)*2),IF(AND(S$111&gt;$B176+$D176,S$111&lt;$B176+$E176),$I176/($E176-$D176),0)))</f>
        <v>0</v>
      </c>
      <c r="T176" s="9">
        <f>IF(OR($C176="Annual",$D176=$E176),IF(AND($D176=$E176,T$111=$B176+$D176),$I176,IF(AND(T$111&gt;$B176+$D176,T$111&lt;=$B176+$E176), $I176/($E176-$D176),0)), IF(OR(T$111=$B176+$D176,T$111=$B176+$E176),$I176/(($E176-$D176)*2),IF(AND(T$111&gt;$B176+$D176,T$111&lt;$B176+$E176),$I176/($E176-$D176),0)))</f>
        <v>0</v>
      </c>
      <c r="U176" s="9"/>
      <c r="V176" s="9"/>
      <c r="W176" s="9">
        <f t="shared" si="44"/>
        <v>0</v>
      </c>
      <c r="X176" s="9">
        <f t="shared" ca="1" si="44"/>
        <v>0</v>
      </c>
      <c r="Y176" s="9">
        <f t="shared" ca="1" si="44"/>
        <v>0</v>
      </c>
      <c r="Z176" s="9">
        <f t="shared" ca="1" si="44"/>
        <v>0</v>
      </c>
      <c r="AA176" s="9">
        <f t="shared" ca="1" si="44"/>
        <v>0</v>
      </c>
    </row>
    <row r="177" spans="1:27">
      <c r="A177" s="8" t="str">
        <f>A176</f>
        <v>Type 6</v>
      </c>
      <c r="B177" s="7">
        <f>B176+1</f>
        <v>2020</v>
      </c>
      <c r="C177" s="7" t="str">
        <f t="shared" si="45"/>
        <v>Annual</v>
      </c>
      <c r="D177" s="7">
        <f t="shared" si="45"/>
        <v>0</v>
      </c>
      <c r="E177" s="7">
        <f>E176</f>
        <v>0</v>
      </c>
      <c r="F177" s="14">
        <f>$N$85</f>
        <v>0</v>
      </c>
      <c r="H177" s="9"/>
      <c r="I177" s="9"/>
      <c r="J177" s="9">
        <f ca="1">$D$85/$D$31</f>
        <v>0</v>
      </c>
      <c r="K177" s="9">
        <f ca="1">J177-R177</f>
        <v>0</v>
      </c>
      <c r="L177" s="9">
        <f ca="1">K177-S177</f>
        <v>0</v>
      </c>
      <c r="M177" s="9">
        <f ca="1">L177-T177</f>
        <v>0</v>
      </c>
      <c r="N177" s="9"/>
      <c r="O177" s="9"/>
      <c r="P177" s="9"/>
      <c r="Q177" s="9">
        <f ca="1">IF(OR($C177="Annual",$D177=$E177),IF(AND($D177=$E177,Q$111=$B177+$D177),$J177,IF(AND(Q$111&gt;$B177+$D177,Q$111&lt;=$B177+$E177), $J177/($E177-$D177),0)), IF(OR(Q$111=$B177+$D177,Q$111=$B177+$E177),$J177/(($E177-$D177)*2),IF(AND(Q$111&gt;$B177+$D177,Q$111&lt;$B177+$E177),$J177/($E177-$D177),0)))</f>
        <v>0</v>
      </c>
      <c r="R177" s="9">
        <f>IF(OR($C177="Annual",$D177=$E177),IF(AND($D177=$E177,R$111=$B177+$D177),$J177,IF(AND(R$111&gt;$B177+$D177,R$111&lt;=$B177+$E177), $J177/($E177-$D177),0)), IF(OR(R$111=$B177+$D177,R$111=$B177+$E177),$J177/(($E177-$D177)*2),IF(AND(R$111&gt;$B177+$D177,R$111&lt;$B177+$E177),$J177/($E177-$D177),0)))</f>
        <v>0</v>
      </c>
      <c r="S177" s="9">
        <f>IF(OR($C177="Annual",$D177=$E177),IF(AND($D177=$E177,S$111=$B177+$D177),$J177,IF(AND(S$111&gt;$B177+$D177,S$111&lt;=$B177+$E177), $J177/($E177-$D177),0)), IF(OR(S$111=$B177+$D177,S$111=$B177+$E177),$J177/(($E177-$D177)*2),IF(AND(S$111&gt;$B177+$D177,S$111&lt;$B177+$E177),$J177/($E177-$D177),0)))</f>
        <v>0</v>
      </c>
      <c r="T177" s="9">
        <f>IF(OR($C177="Annual",$D177=$E177),IF(AND($D177=$E177,T$111=$B177+$D177),$J177,IF(AND(T$111&gt;$B177+$D177,T$111&lt;=$B177+$E177), $J177/($E177-$D177),0)), IF(OR(T$111=$B177+$D177,T$111=$B177+$E177),$J177/(($E177-$D177)*2),IF(AND(T$111&gt;$B177+$D177,T$111&lt;$B177+$E177),$J177/($E177-$D177),0)))</f>
        <v>0</v>
      </c>
      <c r="U177" s="9"/>
      <c r="V177" s="9"/>
      <c r="W177" s="9"/>
      <c r="X177" s="9">
        <f t="shared" si="44"/>
        <v>0</v>
      </c>
      <c r="Y177" s="9">
        <f t="shared" ca="1" si="44"/>
        <v>0</v>
      </c>
      <c r="Z177" s="9">
        <f t="shared" ca="1" si="44"/>
        <v>0</v>
      </c>
      <c r="AA177" s="9">
        <f t="shared" ca="1" si="44"/>
        <v>0</v>
      </c>
    </row>
    <row r="178" spans="1:27">
      <c r="A178" s="8" t="str">
        <f>A177</f>
        <v>Type 6</v>
      </c>
      <c r="B178" s="7">
        <f>B177+1</f>
        <v>2021</v>
      </c>
      <c r="C178" s="7" t="str">
        <f t="shared" si="45"/>
        <v>Annual</v>
      </c>
      <c r="D178" s="7">
        <f t="shared" si="45"/>
        <v>0</v>
      </c>
      <c r="E178" s="7">
        <f>E177</f>
        <v>0</v>
      </c>
      <c r="F178" s="14">
        <f>$O$85</f>
        <v>0</v>
      </c>
      <c r="H178" s="9"/>
      <c r="I178" s="9"/>
      <c r="J178" s="9"/>
      <c r="K178" s="9">
        <f ca="1">$E$85/$E$31</f>
        <v>0</v>
      </c>
      <c r="L178" s="9">
        <f ca="1">K178-S178</f>
        <v>0</v>
      </c>
      <c r="M178" s="9">
        <f ca="1">L178-T178</f>
        <v>0</v>
      </c>
      <c r="N178" s="9"/>
      <c r="O178" s="9"/>
      <c r="P178" s="9"/>
      <c r="Q178" s="9"/>
      <c r="R178" s="9">
        <f ca="1">IF(OR($C178="Annual",$D178=$E178),IF(AND($D178=$E178,R$111=$B178+$D178),$K178,IF(AND(R$111&gt;$B178+$D178,R$111&lt;=$B178+$E178), $K178/($E178-$D178),0)), IF(OR(R$111=$B178+$D178,R$111=$B178+$E178),$K178/(($E178-$D178)*2),IF(AND(R$111&gt;$B178+$D178,R$111&lt;$B178+$E178),$K178/($E178-$D178),0)))</f>
        <v>0</v>
      </c>
      <c r="S178" s="9">
        <f>IF(OR($C178="Annual",$D178=$E178),IF(AND($D178=$E178,S$111=$B178+$D178),$K178,IF(AND(S$111&gt;$B178+$D178,S$111&lt;=$B178+$E178), $K178/($E178-$D178),0)), IF(OR(S$111=$B178+$D178,S$111=$B178+$E178),$K178/(($E178-$D178)*2),IF(AND(S$111&gt;$B178+$D178,S$111&lt;$B178+$E178),$K178/($E178-$D178),0)))</f>
        <v>0</v>
      </c>
      <c r="T178" s="9">
        <f>IF(OR($C178="Annual",$D178=$E178),IF(AND($D178=$E178,T$111=$B178+$D178),$K178,IF(AND(T$111&gt;$B178+$D178,T$111&lt;=$B178+$E178), $K178/($E178-$D178),0)), IF(OR(T$111=$B178+$D178,T$111=$B178+$E178),$K178/(($E178-$D178)*2),IF(AND(T$111&gt;$B178+$D178,T$111&lt;$B178+$E178),$K178/($E178-$D178),0)))</f>
        <v>0</v>
      </c>
      <c r="U178" s="9"/>
      <c r="V178" s="9"/>
      <c r="W178" s="9"/>
      <c r="X178" s="9"/>
      <c r="Y178" s="9">
        <f t="shared" si="44"/>
        <v>0</v>
      </c>
      <c r="Z178" s="9">
        <f t="shared" ca="1" si="44"/>
        <v>0</v>
      </c>
      <c r="AA178" s="9">
        <f t="shared" ca="1" si="44"/>
        <v>0</v>
      </c>
    </row>
    <row r="179" spans="1:27">
      <c r="A179" s="8" t="str">
        <f>A178</f>
        <v>Type 6</v>
      </c>
      <c r="B179" s="7">
        <f>B178+1</f>
        <v>2022</v>
      </c>
      <c r="C179" s="7" t="str">
        <f t="shared" si="45"/>
        <v>Annual</v>
      </c>
      <c r="D179" s="7">
        <f t="shared" si="45"/>
        <v>0</v>
      </c>
      <c r="E179" s="7">
        <f>E178</f>
        <v>0</v>
      </c>
      <c r="F179" s="14">
        <f>$P$85</f>
        <v>0</v>
      </c>
      <c r="H179" s="9"/>
      <c r="I179" s="9"/>
      <c r="J179" s="9"/>
      <c r="K179" s="9"/>
      <c r="L179" s="9">
        <f ca="1">$F$85/$F$31</f>
        <v>0</v>
      </c>
      <c r="M179" s="9">
        <f ca="1">L179-T179</f>
        <v>0</v>
      </c>
      <c r="N179" s="9"/>
      <c r="O179" s="9"/>
      <c r="P179" s="9"/>
      <c r="Q179" s="9"/>
      <c r="R179" s="9"/>
      <c r="S179" s="9">
        <f ca="1">IF(OR($C179="Annual",$D179=$E179),IF(AND($D179=$E179,S$111=$B179+$D179),$L179,IF(AND(S$111&gt;$B179+$D179,S$111&lt;=$B179+$E179), $L179/($E179-$D179),0)), IF(OR(S$111=$B179+$D179,S$111=$B179+$E179),$L179/(($E179-$D179)*2),IF(AND(S$111&gt;$B179+$D179,S$111&lt;$B179+$E179),$L179/($E179-$D179),0)))</f>
        <v>0</v>
      </c>
      <c r="T179" s="9">
        <f>IF(OR($C179="Annual",$D179=$E179),IF(AND($D179=$E179,T$111=$B179+$D179),$L179,IF(AND(T$111&gt;$B179+$D179,T$111&lt;=$B179+$E179), $L179/($E179-$D179),0)), IF(OR(T$111=$B179+$D179,T$111=$B179+$E179),$L179/(($E179-$D179)*2),IF(AND(T$111&gt;$B179+$D179,T$111&lt;$B179+$E179),$L179/($E179-$D179),0)))</f>
        <v>0</v>
      </c>
      <c r="U179" s="9"/>
      <c r="V179" s="9"/>
      <c r="W179" s="9"/>
      <c r="X179" s="9"/>
      <c r="Y179" s="9"/>
      <c r="Z179" s="9">
        <f t="shared" si="44"/>
        <v>0</v>
      </c>
      <c r="AA179" s="9">
        <f t="shared" ca="1" si="44"/>
        <v>0</v>
      </c>
    </row>
    <row r="180" spans="1:27">
      <c r="A180" s="8" t="str">
        <f>A179</f>
        <v>Type 6</v>
      </c>
      <c r="B180" s="7">
        <f>B179+1</f>
        <v>2023</v>
      </c>
      <c r="C180" s="7" t="str">
        <f t="shared" si="45"/>
        <v>Annual</v>
      </c>
      <c r="D180" s="7">
        <f t="shared" si="45"/>
        <v>0</v>
      </c>
      <c r="E180" s="7">
        <f>E179</f>
        <v>0</v>
      </c>
      <c r="F180" s="14">
        <f>$Q$85</f>
        <v>0</v>
      </c>
      <c r="H180" s="9"/>
      <c r="I180" s="9"/>
      <c r="J180" s="9"/>
      <c r="K180" s="9"/>
      <c r="L180" s="9"/>
      <c r="M180" s="9">
        <f ca="1">$G$85/$G$31</f>
        <v>0</v>
      </c>
      <c r="N180" s="9"/>
      <c r="O180" s="9"/>
      <c r="P180" s="9"/>
      <c r="Q180" s="9"/>
      <c r="R180" s="9"/>
      <c r="S180" s="9"/>
      <c r="T180" s="9">
        <f ca="1">IF(OR($C180="Annual",$D180=$E180),IF(AND($D180=$E180,T$111=$B180+$D180),$M180,IF(AND(T$111&gt;$B180+$D180,T$111&lt;=$B180+$E180), $M180/($E180-$D180),0)), IF(OR(T$111=$B180+$D180,T$111=$B180+$E180),$M180/(($E180-$D180)*2),IF(AND(T$111&gt;$B180+$D180,T$111&lt;$B180+$E180),$M180/($E180-$D180),0)))</f>
        <v>0</v>
      </c>
      <c r="U180" s="9"/>
      <c r="V180" s="9"/>
      <c r="W180" s="9"/>
      <c r="X180" s="9"/>
      <c r="Y180" s="9"/>
      <c r="Z180" s="9"/>
      <c r="AA180" s="9">
        <f t="shared" si="44"/>
        <v>0</v>
      </c>
    </row>
    <row r="181" spans="1:27">
      <c r="A181" s="8"/>
      <c r="B181" s="7"/>
      <c r="C181" s="7"/>
      <c r="D181" s="7"/>
      <c r="E181" s="7"/>
      <c r="F181" s="15"/>
      <c r="H181" s="9"/>
      <c r="I181" s="9"/>
      <c r="J181" s="9"/>
      <c r="K181" s="9"/>
      <c r="L181" s="9"/>
      <c r="M181" s="9"/>
      <c r="N181" s="9"/>
      <c r="O181" s="278"/>
      <c r="P181" s="10"/>
      <c r="Q181" s="10"/>
      <c r="R181" s="10"/>
      <c r="S181" s="10"/>
      <c r="T181" s="10"/>
      <c r="U181" s="9"/>
      <c r="V181" s="10"/>
      <c r="W181" s="10"/>
      <c r="X181" s="10"/>
      <c r="Y181" s="10"/>
      <c r="Z181" s="10"/>
      <c r="AA181" s="10"/>
    </row>
    <row r="182" spans="1:27">
      <c r="A182" s="8" t="str">
        <f>'Input 4 - Forecast'!A67</f>
        <v>Type 7</v>
      </c>
      <c r="B182" s="7">
        <f>B119</f>
        <v>2018</v>
      </c>
      <c r="C182" s="7" t="str">
        <f>$I86</f>
        <v>Annual</v>
      </c>
      <c r="D182" s="7">
        <f>$J86</f>
        <v>0</v>
      </c>
      <c r="E182" s="7">
        <f>$K86</f>
        <v>0</v>
      </c>
      <c r="F182" s="14">
        <f>$L$86</f>
        <v>0</v>
      </c>
      <c r="H182" s="9">
        <f>$B$86/$B$31</f>
        <v>0</v>
      </c>
      <c r="I182" s="9">
        <f>H182-P182</f>
        <v>0</v>
      </c>
      <c r="J182" s="9">
        <f>I182-Q182</f>
        <v>0</v>
      </c>
      <c r="K182" s="9">
        <f>J182-R182</f>
        <v>0</v>
      </c>
      <c r="L182" s="9">
        <f>K182-S182</f>
        <v>0</v>
      </c>
      <c r="M182" s="9">
        <f>L182-T182</f>
        <v>0</v>
      </c>
      <c r="N182" s="9"/>
      <c r="O182" s="9">
        <f t="shared" ref="O182:T182" si="46">IF(OR($C182="Annual",$D182=$E182),IF(AND($D182=$E182,O$111=$B182+$D182),$H182,IF(AND(O$111&gt;$B182+$D182,O$111&lt;=$B182+$E182), $H182/($E182-$D182),0)), IF(OR(O$111=$B182+$D182,O$111=$B182+$E182),$H182/(($E182-$D182)*2),IF(AND(O$111&gt;$B182+$D182,O$111&lt;$B182+$E182),$H182/($E182-$D182),0)))</f>
        <v>0</v>
      </c>
      <c r="P182" s="9">
        <f t="shared" si="46"/>
        <v>0</v>
      </c>
      <c r="Q182" s="9">
        <f t="shared" si="46"/>
        <v>0</v>
      </c>
      <c r="R182" s="9">
        <f t="shared" si="46"/>
        <v>0</v>
      </c>
      <c r="S182" s="9">
        <f t="shared" si="46"/>
        <v>0</v>
      </c>
      <c r="T182" s="9">
        <f t="shared" si="46"/>
        <v>0</v>
      </c>
      <c r="U182" s="9"/>
      <c r="V182" s="9">
        <f>IF($C182="annual",IF(V$111=$B182,0,G182*$F182),IF(V$111-$B182=0,0,IF((V$111-$B182)&lt;$E182,AVERAGE(G182,H182)*$F182,IF((V$111-$B182)=$E182,G182*$F182/2,0))))</f>
        <v>0</v>
      </c>
      <c r="W182" s="9">
        <f t="shared" ref="W182:AA187" si="47">IF($C182="annual",IF(W$111=$B182,0,H182*$F182),IF(W$111-$B182=0,0,IF((W$111-$B182)&lt;$E182,AVERAGE(H182,I182)*$F182,IF((W$111-$B182)=$E182,H182*$F182/2,0))))</f>
        <v>0</v>
      </c>
      <c r="X182" s="9">
        <f t="shared" si="47"/>
        <v>0</v>
      </c>
      <c r="Y182" s="9">
        <f t="shared" si="47"/>
        <v>0</v>
      </c>
      <c r="Z182" s="9">
        <f t="shared" si="47"/>
        <v>0</v>
      </c>
      <c r="AA182" s="9">
        <f t="shared" si="47"/>
        <v>0</v>
      </c>
    </row>
    <row r="183" spans="1:27">
      <c r="A183" s="8" t="str">
        <f>A182</f>
        <v>Type 7</v>
      </c>
      <c r="B183" s="7">
        <f>B182+1</f>
        <v>2019</v>
      </c>
      <c r="C183" s="7" t="str">
        <f>C182</f>
        <v>Annual</v>
      </c>
      <c r="D183" s="7">
        <f>D182</f>
        <v>0</v>
      </c>
      <c r="E183" s="7">
        <f>E182</f>
        <v>0</v>
      </c>
      <c r="F183" s="14">
        <f>$M$86</f>
        <v>0</v>
      </c>
      <c r="H183" s="9"/>
      <c r="I183" s="9">
        <f ca="1">$C$86/$C$31</f>
        <v>0</v>
      </c>
      <c r="J183" s="9">
        <f ca="1">I183-Q183</f>
        <v>0</v>
      </c>
      <c r="K183" s="9">
        <f ca="1">J183-R183</f>
        <v>0</v>
      </c>
      <c r="L183" s="9">
        <f ca="1">K183-S183</f>
        <v>0</v>
      </c>
      <c r="M183" s="9">
        <f ca="1">L183-T183</f>
        <v>0</v>
      </c>
      <c r="N183" s="9"/>
      <c r="O183" s="9"/>
      <c r="P183" s="9">
        <f ca="1">IF(OR($C183="Annual",$D183=$E183),IF(AND($D183=$E183,P$111=$B183+$D183),$I183,IF(AND(P$111&gt;$B183+$D183,P$111&lt;=$B183+$E183), $I183/($E183-$D183),0)), IF(OR(P$111=$B183+$D183,P$111=$B183+$E183),$I183/(($E183-$D183)*2),IF(AND(P$111&gt;$B183+$D183,P$111&lt;$B183+$E183),$I183/($E183-$D183),0)))</f>
        <v>0</v>
      </c>
      <c r="Q183" s="9">
        <f>IF(OR($C183="Annual",$D183=$E183),IF(AND($D183=$E183,Q$111=$B183+$D183),$I183,IF(AND(Q$111&gt;$B183+$D183,Q$111&lt;=$B183+$E183), $I183/($E183-$D183),0)), IF(OR(Q$111=$B183+$D183,Q$111=$B183+$E183),$I183/(($E183-$D183)*2),IF(AND(Q$111&gt;$B183+$D183,Q$111&lt;$B183+$E183),$I183/($E183-$D183),0)))</f>
        <v>0</v>
      </c>
      <c r="R183" s="9">
        <f>IF(OR($C183="Annual",$D183=$E183),IF(AND($D183=$E183,R$111=$B183+$D183),$I183,IF(AND(R$111&gt;$B183+$D183,R$111&lt;=$B183+$E183), $I183/($E183-$D183),0)), IF(OR(R$111=$B183+$D183,R$111=$B183+$E183),$I183/(($E183-$D183)*2),IF(AND(R$111&gt;$B183+$D183,R$111&lt;$B183+$E183),$I183/($E183-$D183),0)))</f>
        <v>0</v>
      </c>
      <c r="S183" s="9">
        <f>IF(OR($C183="Annual",$D183=$E183),IF(AND($D183=$E183,S$111=$B183+$D183),$I183,IF(AND(S$111&gt;$B183+$D183,S$111&lt;=$B183+$E183), $I183/($E183-$D183),0)), IF(OR(S$111=$B183+$D183,S$111=$B183+$E183),$I183/(($E183-$D183)*2),IF(AND(S$111&gt;$B183+$D183,S$111&lt;$B183+$E183),$I183/($E183-$D183),0)))</f>
        <v>0</v>
      </c>
      <c r="T183" s="9">
        <f>IF(OR($C183="Annual",$D183=$E183),IF(AND($D183=$E183,T$111=$B183+$D183),$I183,IF(AND(T$111&gt;$B183+$D183,T$111&lt;=$B183+$E183), $I183/($E183-$D183),0)), IF(OR(T$111=$B183+$D183,T$111=$B183+$E183),$I183/(($E183-$D183)*2),IF(AND(T$111&gt;$B183+$D183,T$111&lt;$B183+$E183),$I183/($E183-$D183),0)))</f>
        <v>0</v>
      </c>
      <c r="U183" s="9"/>
      <c r="V183" s="9"/>
      <c r="W183" s="9">
        <f t="shared" si="47"/>
        <v>0</v>
      </c>
      <c r="X183" s="9">
        <f t="shared" ca="1" si="47"/>
        <v>0</v>
      </c>
      <c r="Y183" s="9">
        <f t="shared" ca="1" si="47"/>
        <v>0</v>
      </c>
      <c r="Z183" s="9">
        <f t="shared" ca="1" si="47"/>
        <v>0</v>
      </c>
      <c r="AA183" s="9">
        <f t="shared" ca="1" si="47"/>
        <v>0</v>
      </c>
    </row>
    <row r="184" spans="1:27">
      <c r="A184" s="8" t="str">
        <f>A183</f>
        <v>Type 7</v>
      </c>
      <c r="B184" s="7">
        <f>B183+1</f>
        <v>2020</v>
      </c>
      <c r="C184" s="7" t="str">
        <f t="shared" ref="C184:D187" si="48">C183</f>
        <v>Annual</v>
      </c>
      <c r="D184" s="7">
        <f t="shared" si="48"/>
        <v>0</v>
      </c>
      <c r="E184" s="7">
        <f>E183</f>
        <v>0</v>
      </c>
      <c r="F184" s="14">
        <f>$N$86</f>
        <v>0</v>
      </c>
      <c r="H184" s="9"/>
      <c r="I184" s="9"/>
      <c r="J184" s="9">
        <f ca="1">$D$86/$D$31</f>
        <v>0</v>
      </c>
      <c r="K184" s="9">
        <f ca="1">J184-R184</f>
        <v>0</v>
      </c>
      <c r="L184" s="9">
        <f ca="1">K184-S184</f>
        <v>0</v>
      </c>
      <c r="M184" s="9">
        <f ca="1">L184-T184</f>
        <v>0</v>
      </c>
      <c r="N184" s="9"/>
      <c r="O184" s="9"/>
      <c r="P184" s="9"/>
      <c r="Q184" s="9">
        <f ca="1">IF(OR($C184="Annual",$D184=$E184),IF(AND($D184=$E184,Q$111=$B184+$D184),$J184,IF(AND(Q$111&gt;$B184+$D184,Q$111&lt;=$B184+$E184), $J184/($E184-$D184),0)), IF(OR(Q$111=$B184+$D184,Q$111=$B184+$E184),$J184/(($E184-$D184)*2),IF(AND(Q$111&gt;$B184+$D184,Q$111&lt;$B184+$E184),$J184/($E184-$D184),0)))</f>
        <v>0</v>
      </c>
      <c r="R184" s="9">
        <f>IF(OR($C184="Annual",$D184=$E184),IF(AND($D184=$E184,R$111=$B184+$D184),$J184,IF(AND(R$111&gt;$B184+$D184,R$111&lt;=$B184+$E184), $J184/($E184-$D184),0)), IF(OR(R$111=$B184+$D184,R$111=$B184+$E184),$J184/(($E184-$D184)*2),IF(AND(R$111&gt;$B184+$D184,R$111&lt;$B184+$E184),$J184/($E184-$D184),0)))</f>
        <v>0</v>
      </c>
      <c r="S184" s="9">
        <f>IF(OR($C184="Annual",$D184=$E184),IF(AND($D184=$E184,S$111=$B184+$D184),$J184,IF(AND(S$111&gt;$B184+$D184,S$111&lt;=$B184+$E184), $J184/($E184-$D184),0)), IF(OR(S$111=$B184+$D184,S$111=$B184+$E184),$J184/(($E184-$D184)*2),IF(AND(S$111&gt;$B184+$D184,S$111&lt;$B184+$E184),$J184/($E184-$D184),0)))</f>
        <v>0</v>
      </c>
      <c r="T184" s="9">
        <f>IF(OR($C184="Annual",$D184=$E184),IF(AND($D184=$E184,T$111=$B184+$D184),$J184,IF(AND(T$111&gt;$B184+$D184,T$111&lt;=$B184+$E184), $J184/($E184-$D184),0)), IF(OR(T$111=$B184+$D184,T$111=$B184+$E184),$J184/(($E184-$D184)*2),IF(AND(T$111&gt;$B184+$D184,T$111&lt;$B184+$E184),$J184/($E184-$D184),0)))</f>
        <v>0</v>
      </c>
      <c r="U184" s="9"/>
      <c r="V184" s="9"/>
      <c r="W184" s="9"/>
      <c r="X184" s="9">
        <f t="shared" si="47"/>
        <v>0</v>
      </c>
      <c r="Y184" s="9">
        <f t="shared" ca="1" si="47"/>
        <v>0</v>
      </c>
      <c r="Z184" s="9">
        <f t="shared" ca="1" si="47"/>
        <v>0</v>
      </c>
      <c r="AA184" s="9">
        <f t="shared" ca="1" si="47"/>
        <v>0</v>
      </c>
    </row>
    <row r="185" spans="1:27">
      <c r="A185" s="8" t="str">
        <f>A184</f>
        <v>Type 7</v>
      </c>
      <c r="B185" s="7">
        <f>B184+1</f>
        <v>2021</v>
      </c>
      <c r="C185" s="7" t="str">
        <f t="shared" si="48"/>
        <v>Annual</v>
      </c>
      <c r="D185" s="7">
        <f t="shared" si="48"/>
        <v>0</v>
      </c>
      <c r="E185" s="7">
        <f>E184</f>
        <v>0</v>
      </c>
      <c r="F185" s="14">
        <f>$O$86</f>
        <v>0</v>
      </c>
      <c r="H185" s="9"/>
      <c r="I185" s="9"/>
      <c r="J185" s="9"/>
      <c r="K185" s="9">
        <f ca="1">$E$86/$E$31</f>
        <v>0</v>
      </c>
      <c r="L185" s="9">
        <f ca="1">K185-S185</f>
        <v>0</v>
      </c>
      <c r="M185" s="9">
        <f ca="1">L185-T185</f>
        <v>0</v>
      </c>
      <c r="N185" s="9"/>
      <c r="O185" s="9"/>
      <c r="P185" s="9"/>
      <c r="Q185" s="9"/>
      <c r="R185" s="9">
        <f ca="1">IF(OR($C185="Annual",$D185=$E185),IF(AND($D185=$E185,R$111=$B185+$D185),$K185,IF(AND(R$111&gt;$B185+$D185,R$111&lt;=$B185+$E185), $K185/($E185-$D185),0)), IF(OR(R$111=$B185+$D185,R$111=$B185+$E185),$K185/(($E185-$D185)*2),IF(AND(R$111&gt;$B185+$D185,R$111&lt;$B185+$E185),$K185/($E185-$D185),0)))</f>
        <v>0</v>
      </c>
      <c r="S185" s="9">
        <f>IF(OR($C185="Annual",$D185=$E185),IF(AND($D185=$E185,S$111=$B185+$D185),$K185,IF(AND(S$111&gt;$B185+$D185,S$111&lt;=$B185+$E185), $K185/($E185-$D185),0)), IF(OR(S$111=$B185+$D185,S$111=$B185+$E185),$K185/(($E185-$D185)*2),IF(AND(S$111&gt;$B185+$D185,S$111&lt;$B185+$E185),$K185/($E185-$D185),0)))</f>
        <v>0</v>
      </c>
      <c r="T185" s="9">
        <f>IF(OR($C185="Annual",$D185=$E185),IF(AND($D185=$E185,T$111=$B185+$D185),$K185,IF(AND(T$111&gt;$B185+$D185,T$111&lt;=$B185+$E185), $K185/($E185-$D185),0)), IF(OR(T$111=$B185+$D185,T$111=$B185+$E185),$K185/(($E185-$D185)*2),IF(AND(T$111&gt;$B185+$D185,T$111&lt;$B185+$E185),$K185/($E185-$D185),0)))</f>
        <v>0</v>
      </c>
      <c r="U185" s="9"/>
      <c r="V185" s="9"/>
      <c r="W185" s="9"/>
      <c r="X185" s="9"/>
      <c r="Y185" s="9">
        <f t="shared" si="47"/>
        <v>0</v>
      </c>
      <c r="Z185" s="9">
        <f t="shared" ca="1" si="47"/>
        <v>0</v>
      </c>
      <c r="AA185" s="9">
        <f t="shared" ca="1" si="47"/>
        <v>0</v>
      </c>
    </row>
    <row r="186" spans="1:27">
      <c r="A186" s="8" t="str">
        <f>A185</f>
        <v>Type 7</v>
      </c>
      <c r="B186" s="7">
        <f>B185+1</f>
        <v>2022</v>
      </c>
      <c r="C186" s="7" t="str">
        <f t="shared" si="48"/>
        <v>Annual</v>
      </c>
      <c r="D186" s="7">
        <f t="shared" si="48"/>
        <v>0</v>
      </c>
      <c r="E186" s="7">
        <f>E185</f>
        <v>0</v>
      </c>
      <c r="F186" s="14">
        <f>$P$86</f>
        <v>0</v>
      </c>
      <c r="H186" s="9"/>
      <c r="I186" s="9"/>
      <c r="J186" s="9"/>
      <c r="K186" s="9"/>
      <c r="L186" s="9">
        <f ca="1">$F$86/$F$31</f>
        <v>0</v>
      </c>
      <c r="M186" s="9">
        <f ca="1">L186-T186</f>
        <v>0</v>
      </c>
      <c r="N186" s="9"/>
      <c r="O186" s="9"/>
      <c r="P186" s="9"/>
      <c r="Q186" s="9"/>
      <c r="R186" s="9"/>
      <c r="S186" s="9">
        <f ca="1">IF(OR($C186="Annual",$D186=$E186),IF(AND($D186=$E186,S$111=$B186+$D186),$L186,IF(AND(S$111&gt;$B186+$D186,S$111&lt;=$B186+$E186), $L186/($E186-$D186),0)), IF(OR(S$111=$B186+$D186,S$111=$B186+$E186),$L186/(($E186-$D186)*2),IF(AND(S$111&gt;$B186+$D186,S$111&lt;$B186+$E186),$L186/($E186-$D186),0)))</f>
        <v>0</v>
      </c>
      <c r="T186" s="9">
        <f>IF(OR($C186="Annual",$D186=$E186),IF(AND($D186=$E186,T$111=$B186+$D186),$L186,IF(AND(T$111&gt;$B186+$D186,T$111&lt;=$B186+$E186), $L186/($E186-$D186),0)), IF(OR(T$111=$B186+$D186,T$111=$B186+$E186),$L186/(($E186-$D186)*2),IF(AND(T$111&gt;$B186+$D186,T$111&lt;$B186+$E186),$L186/($E186-$D186),0)))</f>
        <v>0</v>
      </c>
      <c r="U186" s="9"/>
      <c r="V186" s="9"/>
      <c r="W186" s="9"/>
      <c r="X186" s="9"/>
      <c r="Y186" s="9"/>
      <c r="Z186" s="9">
        <f t="shared" si="47"/>
        <v>0</v>
      </c>
      <c r="AA186" s="9">
        <f t="shared" ca="1" si="47"/>
        <v>0</v>
      </c>
    </row>
    <row r="187" spans="1:27">
      <c r="A187" s="8" t="str">
        <f>A186</f>
        <v>Type 7</v>
      </c>
      <c r="B187" s="7">
        <f>B186+1</f>
        <v>2023</v>
      </c>
      <c r="C187" s="7" t="str">
        <f t="shared" si="48"/>
        <v>Annual</v>
      </c>
      <c r="D187" s="7">
        <f t="shared" si="48"/>
        <v>0</v>
      </c>
      <c r="E187" s="7">
        <f>E186</f>
        <v>0</v>
      </c>
      <c r="F187" s="14">
        <f>$Q$86</f>
        <v>0</v>
      </c>
      <c r="H187" s="9"/>
      <c r="I187" s="9"/>
      <c r="J187" s="9"/>
      <c r="K187" s="9"/>
      <c r="L187" s="9"/>
      <c r="M187" s="9">
        <f ca="1">$G$86/$G$31</f>
        <v>0</v>
      </c>
      <c r="N187" s="9"/>
      <c r="O187" s="9"/>
      <c r="P187" s="9"/>
      <c r="Q187" s="9"/>
      <c r="R187" s="9"/>
      <c r="S187" s="9"/>
      <c r="T187" s="9">
        <f ca="1">IF(OR($C187="Annual",$D187=$E187),IF(AND($D187=$E187,T$111=$B187+$D187),$M187,IF(AND(T$111&gt;$B187+$D187,T$111&lt;=$B187+$E187), $M187/($E187-$D187),0)), IF(OR(T$111=$B187+$D187,T$111=$B187+$E187),$M187/(($E187-$D187)*2),IF(AND(T$111&gt;$B187+$D187,T$111&lt;$B187+$E187),$M187/($E187-$D187),0)))</f>
        <v>0</v>
      </c>
      <c r="U187" s="9"/>
      <c r="V187" s="9"/>
      <c r="W187" s="9"/>
      <c r="X187" s="9"/>
      <c r="Y187" s="9"/>
      <c r="Z187" s="9"/>
      <c r="AA187" s="9">
        <f t="shared" si="47"/>
        <v>0</v>
      </c>
    </row>
    <row r="188" spans="1:27">
      <c r="A188" s="8"/>
      <c r="B188" s="7"/>
      <c r="C188" s="7"/>
      <c r="D188" s="7"/>
      <c r="E188" s="7"/>
      <c r="F188" s="15"/>
      <c r="H188" s="9"/>
      <c r="I188" s="9"/>
      <c r="J188" s="9"/>
      <c r="K188" s="9"/>
      <c r="L188" s="9"/>
      <c r="M188" s="9"/>
      <c r="N188" s="9"/>
      <c r="O188" s="278"/>
      <c r="P188" s="10"/>
      <c r="Q188" s="10"/>
      <c r="R188" s="10"/>
      <c r="S188" s="10"/>
      <c r="T188" s="10"/>
      <c r="U188" s="9"/>
      <c r="V188" s="10"/>
      <c r="W188" s="10"/>
      <c r="X188" s="10"/>
      <c r="Y188" s="10"/>
      <c r="Z188" s="10"/>
      <c r="AA188" s="10"/>
    </row>
    <row r="189" spans="1:27">
      <c r="A189" s="8" t="str">
        <f>'Input 4 - Forecast'!A68</f>
        <v>Type 8</v>
      </c>
      <c r="B189" s="7">
        <f>B119</f>
        <v>2018</v>
      </c>
      <c r="C189" s="7" t="str">
        <f>$I87</f>
        <v>Annual</v>
      </c>
      <c r="D189" s="7">
        <f>$J87</f>
        <v>0</v>
      </c>
      <c r="E189" s="7">
        <f>$K87</f>
        <v>0</v>
      </c>
      <c r="F189" s="14">
        <f>$L$87</f>
        <v>0</v>
      </c>
      <c r="H189" s="9">
        <f>$B$87/$B$31</f>
        <v>0</v>
      </c>
      <c r="I189" s="9">
        <f>H189-P189</f>
        <v>0</v>
      </c>
      <c r="J189" s="9">
        <f>I189-Q189</f>
        <v>0</v>
      </c>
      <c r="K189" s="9">
        <f>J189-R189</f>
        <v>0</v>
      </c>
      <c r="L189" s="9">
        <f>K189-S189</f>
        <v>0</v>
      </c>
      <c r="M189" s="9">
        <f>L189-T189</f>
        <v>0</v>
      </c>
      <c r="N189" s="9"/>
      <c r="O189" s="9">
        <f t="shared" ref="O189:T189" si="49">IF(OR($C189="Annual",$D189=$E189),IF(AND($D189=$E189,O$111=$B189+$D189),$H189,IF(AND(O$111&gt;$B189+$D189,O$111&lt;=$B189+$E189), $H189/($E189-$D189),0)), IF(OR(O$111=$B189+$D189,O$111=$B189+$E189),$H189/(($E189-$D189)*2),IF(AND(O$111&gt;$B189+$D189,O$111&lt;$B189+$E189),$H189/($E189-$D189),0)))</f>
        <v>0</v>
      </c>
      <c r="P189" s="9">
        <f t="shared" si="49"/>
        <v>0</v>
      </c>
      <c r="Q189" s="9">
        <f t="shared" si="49"/>
        <v>0</v>
      </c>
      <c r="R189" s="9">
        <f t="shared" si="49"/>
        <v>0</v>
      </c>
      <c r="S189" s="9">
        <f t="shared" si="49"/>
        <v>0</v>
      </c>
      <c r="T189" s="9">
        <f t="shared" si="49"/>
        <v>0</v>
      </c>
      <c r="U189" s="9"/>
      <c r="V189" s="9">
        <f>IF($C189="annual",IF(V$111=$B189,0,G189*$F189),IF(V$111-$B189=0,0,IF((V$111-$B189)&lt;$E189,AVERAGE(G189,H189)*$F189,IF((V$111-$B189)=$E189,G189*$F189/2,0))))</f>
        <v>0</v>
      </c>
      <c r="W189" s="9">
        <f t="shared" ref="W189:AA194" si="50">IF($C189="annual",IF(W$111=$B189,0,H189*$F189),IF(W$111-$B189=0,0,IF((W$111-$B189)&lt;$E189,AVERAGE(H189,I189)*$F189,IF((W$111-$B189)=$E189,H189*$F189/2,0))))</f>
        <v>0</v>
      </c>
      <c r="X189" s="9">
        <f t="shared" si="50"/>
        <v>0</v>
      </c>
      <c r="Y189" s="9">
        <f t="shared" si="50"/>
        <v>0</v>
      </c>
      <c r="Z189" s="9">
        <f t="shared" si="50"/>
        <v>0</v>
      </c>
      <c r="AA189" s="9">
        <f t="shared" si="50"/>
        <v>0</v>
      </c>
    </row>
    <row r="190" spans="1:27">
      <c r="A190" s="8" t="str">
        <f>A189</f>
        <v>Type 8</v>
      </c>
      <c r="B190" s="7">
        <f>B189+1</f>
        <v>2019</v>
      </c>
      <c r="C190" s="7" t="str">
        <f t="shared" ref="C190:D194" si="51">C189</f>
        <v>Annual</v>
      </c>
      <c r="D190" s="7">
        <f t="shared" si="51"/>
        <v>0</v>
      </c>
      <c r="E190" s="7">
        <f>E189</f>
        <v>0</v>
      </c>
      <c r="F190" s="14">
        <f>$M$87</f>
        <v>0</v>
      </c>
      <c r="H190" s="9"/>
      <c r="I190" s="9">
        <f ca="1">$C$87/$C$31</f>
        <v>0</v>
      </c>
      <c r="J190" s="9">
        <f ca="1">I190-Q190</f>
        <v>0</v>
      </c>
      <c r="K190" s="9">
        <f ca="1">J190-R190</f>
        <v>0</v>
      </c>
      <c r="L190" s="9">
        <f ca="1">K190-S190</f>
        <v>0</v>
      </c>
      <c r="M190" s="9">
        <f ca="1">L190-T190</f>
        <v>0</v>
      </c>
      <c r="N190" s="9"/>
      <c r="O190" s="9"/>
      <c r="P190" s="9">
        <f ca="1">IF(OR($C190="Annual",$D190=$E190),IF(AND($D190=$E190,P$111=$B190+$D190),$I190,IF(AND(P$111&gt;$B190+$D190,P$111&lt;=$B190+$E190), $I190/($E190-$D190),0)), IF(OR(P$111=$B190+$D190,P$111=$B190+$E190),$I190/(($E190-$D190)*2),IF(AND(P$111&gt;$B190+$D190,P$111&lt;$B190+$E190),$I190/($E190-$D190),0)))</f>
        <v>0</v>
      </c>
      <c r="Q190" s="9">
        <f>IF(OR($C190="Annual",$D190=$E190),IF(AND($D190=$E190,Q$111=$B190+$D190),$I190,IF(AND(Q$111&gt;$B190+$D190,Q$111&lt;=$B190+$E190), $I190/($E190-$D190),0)), IF(OR(Q$111=$B190+$D190,Q$111=$B190+$E190),$I190/(($E190-$D190)*2),IF(AND(Q$111&gt;$B190+$D190,Q$111&lt;$B190+$E190),$I190/($E190-$D190),0)))</f>
        <v>0</v>
      </c>
      <c r="R190" s="9">
        <f>IF(OR($C190="Annual",$D190=$E190),IF(AND($D190=$E190,R$111=$B190+$D190),$I190,IF(AND(R$111&gt;$B190+$D190,R$111&lt;=$B190+$E190), $I190/($E190-$D190),0)), IF(OR(R$111=$B190+$D190,R$111=$B190+$E190),$I190/(($E190-$D190)*2),IF(AND(R$111&gt;$B190+$D190,R$111&lt;$B190+$E190),$I190/($E190-$D190),0)))</f>
        <v>0</v>
      </c>
      <c r="S190" s="9">
        <f>IF(OR($C190="Annual",$D190=$E190),IF(AND($D190=$E190,S$111=$B190+$D190),$I190,IF(AND(S$111&gt;$B190+$D190,S$111&lt;=$B190+$E190), $I190/($E190-$D190),0)), IF(OR(S$111=$B190+$D190,S$111=$B190+$E190),$I190/(($E190-$D190)*2),IF(AND(S$111&gt;$B190+$D190,S$111&lt;$B190+$E190),$I190/($E190-$D190),0)))</f>
        <v>0</v>
      </c>
      <c r="T190" s="9">
        <f>IF(OR($C190="Annual",$D190=$E190),IF(AND($D190=$E190,T$111=$B190+$D190),$I190,IF(AND(T$111&gt;$B190+$D190,T$111&lt;=$B190+$E190), $I190/($E190-$D190),0)), IF(OR(T$111=$B190+$D190,T$111=$B190+$E190),$I190/(($E190-$D190)*2),IF(AND(T$111&gt;$B190+$D190,T$111&lt;$B190+$E190),$I190/($E190-$D190),0)))</f>
        <v>0</v>
      </c>
      <c r="U190" s="9"/>
      <c r="V190" s="9"/>
      <c r="W190" s="9">
        <f t="shared" si="50"/>
        <v>0</v>
      </c>
      <c r="X190" s="9">
        <f t="shared" ca="1" si="50"/>
        <v>0</v>
      </c>
      <c r="Y190" s="9">
        <f t="shared" ca="1" si="50"/>
        <v>0</v>
      </c>
      <c r="Z190" s="9">
        <f t="shared" ca="1" si="50"/>
        <v>0</v>
      </c>
      <c r="AA190" s="9">
        <f t="shared" ca="1" si="50"/>
        <v>0</v>
      </c>
    </row>
    <row r="191" spans="1:27">
      <c r="A191" s="8" t="str">
        <f>A190</f>
        <v>Type 8</v>
      </c>
      <c r="B191" s="7">
        <f>B190+1</f>
        <v>2020</v>
      </c>
      <c r="C191" s="7" t="str">
        <f t="shared" si="51"/>
        <v>Annual</v>
      </c>
      <c r="D191" s="7">
        <f t="shared" si="51"/>
        <v>0</v>
      </c>
      <c r="E191" s="7">
        <f>E190</f>
        <v>0</v>
      </c>
      <c r="F191" s="14">
        <f>$N$87</f>
        <v>0</v>
      </c>
      <c r="H191" s="9"/>
      <c r="I191" s="9"/>
      <c r="J191" s="9">
        <f ca="1">$D$87/$D$31</f>
        <v>0</v>
      </c>
      <c r="K191" s="9">
        <f ca="1">J191-R191</f>
        <v>0</v>
      </c>
      <c r="L191" s="9">
        <f ca="1">K191-S191</f>
        <v>0</v>
      </c>
      <c r="M191" s="9">
        <f ca="1">L191-T191</f>
        <v>0</v>
      </c>
      <c r="N191" s="9"/>
      <c r="O191" s="9"/>
      <c r="P191" s="9"/>
      <c r="Q191" s="9">
        <f ca="1">IF(OR($C191="Annual",$D191=$E191),IF(AND($D191=$E191,Q$111=$B191+$D191),$J191,IF(AND(Q$111&gt;$B191+$D191,Q$111&lt;=$B191+$E191), $J191/($E191-$D191),0)), IF(OR(Q$111=$B191+$D191,Q$111=$B191+$E191),$J191/(($E191-$D191)*2),IF(AND(Q$111&gt;$B191+$D191,Q$111&lt;$B191+$E191),$J191/($E191-$D191),0)))</f>
        <v>0</v>
      </c>
      <c r="R191" s="9">
        <f>IF(OR($C191="Annual",$D191=$E191),IF(AND($D191=$E191,R$111=$B191+$D191),$J191,IF(AND(R$111&gt;$B191+$D191,R$111&lt;=$B191+$E191), $J191/($E191-$D191),0)), IF(OR(R$111=$B191+$D191,R$111=$B191+$E191),$J191/(($E191-$D191)*2),IF(AND(R$111&gt;$B191+$D191,R$111&lt;$B191+$E191),$J191/($E191-$D191),0)))</f>
        <v>0</v>
      </c>
      <c r="S191" s="9">
        <f>IF(OR($C191="Annual",$D191=$E191),IF(AND($D191=$E191,S$111=$B191+$D191),$J191,IF(AND(S$111&gt;$B191+$D191,S$111&lt;=$B191+$E191), $J191/($E191-$D191),0)), IF(OR(S$111=$B191+$D191,S$111=$B191+$E191),$J191/(($E191-$D191)*2),IF(AND(S$111&gt;$B191+$D191,S$111&lt;$B191+$E191),$J191/($E191-$D191),0)))</f>
        <v>0</v>
      </c>
      <c r="T191" s="9">
        <f>IF(OR($C191="Annual",$D191=$E191),IF(AND($D191=$E191,T$111=$B191+$D191),$J191,IF(AND(T$111&gt;$B191+$D191,T$111&lt;=$B191+$E191), $J191/($E191-$D191),0)), IF(OR(T$111=$B191+$D191,T$111=$B191+$E191),$J191/(($E191-$D191)*2),IF(AND(T$111&gt;$B191+$D191,T$111&lt;$B191+$E191),$J191/($E191-$D191),0)))</f>
        <v>0</v>
      </c>
      <c r="U191" s="9"/>
      <c r="V191" s="9"/>
      <c r="W191" s="9"/>
      <c r="X191" s="9">
        <f t="shared" si="50"/>
        <v>0</v>
      </c>
      <c r="Y191" s="9">
        <f t="shared" ca="1" si="50"/>
        <v>0</v>
      </c>
      <c r="Z191" s="9">
        <f t="shared" ca="1" si="50"/>
        <v>0</v>
      </c>
      <c r="AA191" s="9">
        <f t="shared" ca="1" si="50"/>
        <v>0</v>
      </c>
    </row>
    <row r="192" spans="1:27">
      <c r="A192" s="8" t="str">
        <f>A191</f>
        <v>Type 8</v>
      </c>
      <c r="B192" s="7">
        <f>B191+1</f>
        <v>2021</v>
      </c>
      <c r="C192" s="7" t="str">
        <f t="shared" si="51"/>
        <v>Annual</v>
      </c>
      <c r="D192" s="7">
        <f t="shared" si="51"/>
        <v>0</v>
      </c>
      <c r="E192" s="7">
        <f>E191</f>
        <v>0</v>
      </c>
      <c r="F192" s="14">
        <f>$O$87</f>
        <v>0</v>
      </c>
      <c r="H192" s="9"/>
      <c r="I192" s="9"/>
      <c r="J192" s="9"/>
      <c r="K192" s="9">
        <f ca="1">$E$87/$E$31</f>
        <v>0</v>
      </c>
      <c r="L192" s="9">
        <f ca="1">K192-S192</f>
        <v>0</v>
      </c>
      <c r="M192" s="9">
        <f ca="1">L192-T192</f>
        <v>0</v>
      </c>
      <c r="N192" s="9"/>
      <c r="O192" s="9"/>
      <c r="P192" s="9"/>
      <c r="Q192" s="9"/>
      <c r="R192" s="9">
        <f ca="1">IF(OR($C192="Annual",$D192=$E192),IF(AND($D192=$E192,R$111=$B192+$D192),$K192,IF(AND(R$111&gt;$B192+$D192,R$111&lt;=$B192+$E192), $K192/($E192-$D192),0)), IF(OR(R$111=$B192+$D192,R$111=$B192+$E192),$K192/(($E192-$D192)*2),IF(AND(R$111&gt;$B192+$D192,R$111&lt;$B192+$E192),$K192/($E192-$D192),0)))</f>
        <v>0</v>
      </c>
      <c r="S192" s="9">
        <f>IF(OR($C192="Annual",$D192=$E192),IF(AND($D192=$E192,S$111=$B192+$D192),$K192,IF(AND(S$111&gt;$B192+$D192,S$111&lt;=$B192+$E192), $K192/($E192-$D192),0)), IF(OR(S$111=$B192+$D192,S$111=$B192+$E192),$K192/(($E192-$D192)*2),IF(AND(S$111&gt;$B192+$D192,S$111&lt;$B192+$E192),$K192/($E192-$D192),0)))</f>
        <v>0</v>
      </c>
      <c r="T192" s="9">
        <f>IF(OR($C192="Annual",$D192=$E192),IF(AND($D192=$E192,T$111=$B192+$D192),$K192,IF(AND(T$111&gt;$B192+$D192,T$111&lt;=$B192+$E192), $K192/($E192-$D192),0)), IF(OR(T$111=$B192+$D192,T$111=$B192+$E192),$K192/(($E192-$D192)*2),IF(AND(T$111&gt;$B192+$D192,T$111&lt;$B192+$E192),$K192/($E192-$D192),0)))</f>
        <v>0</v>
      </c>
      <c r="U192" s="9"/>
      <c r="V192" s="9"/>
      <c r="W192" s="9"/>
      <c r="X192" s="9"/>
      <c r="Y192" s="9">
        <f t="shared" si="50"/>
        <v>0</v>
      </c>
      <c r="Z192" s="9">
        <f t="shared" ca="1" si="50"/>
        <v>0</v>
      </c>
      <c r="AA192" s="9">
        <f t="shared" ca="1" si="50"/>
        <v>0</v>
      </c>
    </row>
    <row r="193" spans="1:27">
      <c r="A193" s="8" t="str">
        <f>A192</f>
        <v>Type 8</v>
      </c>
      <c r="B193" s="7">
        <f>B192+1</f>
        <v>2022</v>
      </c>
      <c r="C193" s="7" t="str">
        <f t="shared" si="51"/>
        <v>Annual</v>
      </c>
      <c r="D193" s="7">
        <f t="shared" si="51"/>
        <v>0</v>
      </c>
      <c r="E193" s="7">
        <f>E192</f>
        <v>0</v>
      </c>
      <c r="F193" s="14">
        <f>$P$87</f>
        <v>0</v>
      </c>
      <c r="H193" s="9"/>
      <c r="I193" s="9"/>
      <c r="J193" s="9"/>
      <c r="K193" s="9"/>
      <c r="L193" s="9">
        <f ca="1">$F$87/$F$31</f>
        <v>0</v>
      </c>
      <c r="M193" s="9">
        <f ca="1">L193-T193</f>
        <v>0</v>
      </c>
      <c r="N193" s="9"/>
      <c r="O193" s="9"/>
      <c r="P193" s="9"/>
      <c r="Q193" s="9"/>
      <c r="R193" s="9"/>
      <c r="S193" s="9">
        <f ca="1">IF(OR($C193="Annual",$D193=$E193),IF(AND($D193=$E193,S$111=$B193+$D193),$L193,IF(AND(S$111&gt;$B193+$D193,S$111&lt;=$B193+$E193), $L193/($E193-$D193),0)), IF(OR(S$111=$B193+$D193,S$111=$B193+$E193),$L193/(($E193-$D193)*2),IF(AND(S$111&gt;$B193+$D193,S$111&lt;$B193+$E193),$L193/($E193-$D193),0)))</f>
        <v>0</v>
      </c>
      <c r="T193" s="9">
        <f>IF(OR($C193="Annual",$D193=$E193),IF(AND($D193=$E193,T$111=$B193+$D193),$L193,IF(AND(T$111&gt;$B193+$D193,T$111&lt;=$B193+$E193), $L193/($E193-$D193),0)), IF(OR(T$111=$B193+$D193,T$111=$B193+$E193),$L193/(($E193-$D193)*2),IF(AND(T$111&gt;$B193+$D193,T$111&lt;$B193+$E193),$L193/($E193-$D193),0)))</f>
        <v>0</v>
      </c>
      <c r="U193" s="9"/>
      <c r="V193" s="9"/>
      <c r="W193" s="9"/>
      <c r="X193" s="9"/>
      <c r="Y193" s="9"/>
      <c r="Z193" s="9">
        <f t="shared" si="50"/>
        <v>0</v>
      </c>
      <c r="AA193" s="9">
        <f t="shared" ca="1" si="50"/>
        <v>0</v>
      </c>
    </row>
    <row r="194" spans="1:27">
      <c r="A194" s="8" t="str">
        <f>A193</f>
        <v>Type 8</v>
      </c>
      <c r="B194" s="7">
        <f>B193+1</f>
        <v>2023</v>
      </c>
      <c r="C194" s="7" t="str">
        <f t="shared" si="51"/>
        <v>Annual</v>
      </c>
      <c r="D194" s="7">
        <f t="shared" si="51"/>
        <v>0</v>
      </c>
      <c r="E194" s="7">
        <f>E193</f>
        <v>0</v>
      </c>
      <c r="F194" s="14">
        <f>$Q$87</f>
        <v>0</v>
      </c>
      <c r="H194" s="9"/>
      <c r="I194" s="9"/>
      <c r="J194" s="9"/>
      <c r="K194" s="9"/>
      <c r="L194" s="9"/>
      <c r="M194" s="9">
        <f ca="1">$G$87/$G$31</f>
        <v>0</v>
      </c>
      <c r="N194" s="9"/>
      <c r="O194" s="9"/>
      <c r="P194" s="9"/>
      <c r="Q194" s="9"/>
      <c r="R194" s="9"/>
      <c r="S194" s="9"/>
      <c r="T194" s="9">
        <f ca="1">IF(OR($C194="Annual",$D194=$E194),IF(AND($D194=$E194,T$111=$B194+$D194),$M194,IF(AND(T$111&gt;$B194+$D194,T$111&lt;=$B194+$E194), $M194/($E194-$D194),0)), IF(OR(T$111=$B194+$D194,T$111=$B194+$E194),$M194/(($E194-$D194)*2),IF(AND(T$111&gt;$B194+$D194,T$111&lt;$B194+$E194),$M194/($E194-$D194),0)))</f>
        <v>0</v>
      </c>
      <c r="U194" s="9"/>
      <c r="V194" s="9"/>
      <c r="W194" s="9"/>
      <c r="X194" s="9"/>
      <c r="Y194" s="9"/>
      <c r="Z194" s="9"/>
      <c r="AA194" s="9">
        <f t="shared" si="50"/>
        <v>0</v>
      </c>
    </row>
    <row r="195" spans="1:27">
      <c r="A195" s="8"/>
      <c r="B195" s="7"/>
      <c r="C195" s="7"/>
      <c r="D195" s="7"/>
      <c r="E195" s="7"/>
      <c r="F195" s="15"/>
      <c r="H195" s="9"/>
      <c r="I195" s="9"/>
      <c r="J195" s="9"/>
      <c r="K195" s="9"/>
      <c r="L195" s="9"/>
      <c r="M195" s="9"/>
      <c r="N195" s="9"/>
      <c r="O195" s="278"/>
      <c r="P195" s="10"/>
      <c r="Q195" s="10"/>
      <c r="R195" s="10"/>
      <c r="S195" s="10"/>
      <c r="T195" s="10"/>
      <c r="U195" s="9"/>
      <c r="V195" s="10"/>
      <c r="W195" s="10"/>
      <c r="X195" s="10"/>
      <c r="Y195" s="10"/>
      <c r="Z195" s="10"/>
      <c r="AA195" s="10"/>
    </row>
    <row r="196" spans="1:27">
      <c r="A196" s="8" t="str">
        <f>'Input 4 - Forecast'!A69</f>
        <v>Type 9</v>
      </c>
      <c r="B196" s="7">
        <f>B119</f>
        <v>2018</v>
      </c>
      <c r="C196" s="7" t="str">
        <f>$I88</f>
        <v>Annual</v>
      </c>
      <c r="D196" s="7">
        <f>$J88</f>
        <v>0</v>
      </c>
      <c r="E196" s="7">
        <f>$K88</f>
        <v>0</v>
      </c>
      <c r="F196" s="14">
        <f>$L$88</f>
        <v>0</v>
      </c>
      <c r="H196" s="9">
        <f>$B$88/$B$31</f>
        <v>0</v>
      </c>
      <c r="I196" s="9">
        <f>H196-P196</f>
        <v>0</v>
      </c>
      <c r="J196" s="9">
        <f>I196-Q196</f>
        <v>0</v>
      </c>
      <c r="K196" s="9">
        <f>J196-R196</f>
        <v>0</v>
      </c>
      <c r="L196" s="9">
        <f>K196-S196</f>
        <v>0</v>
      </c>
      <c r="M196" s="9">
        <f>L196-T196</f>
        <v>0</v>
      </c>
      <c r="N196" s="9"/>
      <c r="O196" s="9">
        <f t="shared" ref="O196:T196" si="52">IF(OR($C196="Annual",$D196=$E196),IF(AND($D196=$E196,O$111=$B196+$D196),$H196,IF(AND(O$111&gt;$B196+$D196,O$111&lt;=$B196+$E196), $H196/($E196-$D196),0)), IF(OR(O$111=$B196+$D196,O$111=$B196+$E196),$H196/(($E196-$D196)*2),IF(AND(O$111&gt;$B196+$D196,O$111&lt;$B196+$E196),$H196/($E196-$D196),0)))</f>
        <v>0</v>
      </c>
      <c r="P196" s="9">
        <f t="shared" si="52"/>
        <v>0</v>
      </c>
      <c r="Q196" s="9">
        <f t="shared" si="52"/>
        <v>0</v>
      </c>
      <c r="R196" s="9">
        <f t="shared" si="52"/>
        <v>0</v>
      </c>
      <c r="S196" s="9">
        <f t="shared" si="52"/>
        <v>0</v>
      </c>
      <c r="T196" s="9">
        <f t="shared" si="52"/>
        <v>0</v>
      </c>
      <c r="U196" s="9"/>
      <c r="V196" s="9">
        <f>IF($C196="annual",IF(V$111=$B196,0,G196*$F196),IF(V$111-$B196=0,0,IF((V$111-$B196)&lt;$E196,AVERAGE(G196,H196)*$F196,IF((V$111-$B196)=$E196,G196*$F196/2,0))))</f>
        <v>0</v>
      </c>
      <c r="W196" s="9">
        <f t="shared" ref="W196:AA201" si="53">IF($C196="annual",IF(W$111=$B196,0,H196*$F196),IF(W$111-$B196=0,0,IF((W$111-$B196)&lt;$E196,AVERAGE(H196,I196)*$F196,IF((W$111-$B196)=$E196,H196*$F196/2,0))))</f>
        <v>0</v>
      </c>
      <c r="X196" s="9">
        <f t="shared" si="53"/>
        <v>0</v>
      </c>
      <c r="Y196" s="9">
        <f t="shared" si="53"/>
        <v>0</v>
      </c>
      <c r="Z196" s="9">
        <f t="shared" si="53"/>
        <v>0</v>
      </c>
      <c r="AA196" s="9">
        <f t="shared" si="53"/>
        <v>0</v>
      </c>
    </row>
    <row r="197" spans="1:27">
      <c r="A197" s="8" t="str">
        <f>A196</f>
        <v>Type 9</v>
      </c>
      <c r="B197" s="7">
        <f>B196+1</f>
        <v>2019</v>
      </c>
      <c r="C197" s="7" t="str">
        <f t="shared" ref="C197:D201" si="54">C196</f>
        <v>Annual</v>
      </c>
      <c r="D197" s="7">
        <f t="shared" si="54"/>
        <v>0</v>
      </c>
      <c r="E197" s="7">
        <f>E196</f>
        <v>0</v>
      </c>
      <c r="F197" s="14">
        <f>$M$88</f>
        <v>0</v>
      </c>
      <c r="H197" s="9"/>
      <c r="I197" s="9">
        <f ca="1">$C$88/$C$31</f>
        <v>0</v>
      </c>
      <c r="J197" s="9">
        <f ca="1">I197-Q197</f>
        <v>0</v>
      </c>
      <c r="K197" s="9">
        <f ca="1">J197-R197</f>
        <v>0</v>
      </c>
      <c r="L197" s="9">
        <f ca="1">K197-S197</f>
        <v>0</v>
      </c>
      <c r="M197" s="9">
        <f ca="1">L197-T197</f>
        <v>0</v>
      </c>
      <c r="N197" s="9"/>
      <c r="O197" s="9"/>
      <c r="P197" s="9">
        <f ca="1">IF(OR($C197="Annual",$D197=$E197),IF(AND($D197=$E197,P$111=$B197+$D197),$I197,IF(AND(P$111&gt;$B197+$D197,P$111&lt;=$B197+$E197), $I197/($E197-$D197),0)), IF(OR(P$111=$B197+$D197,P$111=$B197+$E197),$I197/(($E197-$D197)*2),IF(AND(P$111&gt;$B197+$D197,P$111&lt;$B197+$E197),$I197/($E197-$D197),0)))</f>
        <v>0</v>
      </c>
      <c r="Q197" s="9">
        <f>IF(OR($C197="Annual",$D197=$E197),IF(AND($D197=$E197,Q$111=$B197+$D197),$I197,IF(AND(Q$111&gt;$B197+$D197,Q$111&lt;=$B197+$E197), $I197/($E197-$D197),0)), IF(OR(Q$111=$B197+$D197,Q$111=$B197+$E197),$I197/(($E197-$D197)*2),IF(AND(Q$111&gt;$B197+$D197,Q$111&lt;$B197+$E197),$I197/($E197-$D197),0)))</f>
        <v>0</v>
      </c>
      <c r="R197" s="9">
        <f>IF(OR($C197="Annual",$D197=$E197),IF(AND($D197=$E197,R$111=$B197+$D197),$I197,IF(AND(R$111&gt;$B197+$D197,R$111&lt;=$B197+$E197), $I197/($E197-$D197),0)), IF(OR(R$111=$B197+$D197,R$111=$B197+$E197),$I197/(($E197-$D197)*2),IF(AND(R$111&gt;$B197+$D197,R$111&lt;$B197+$E197),$I197/($E197-$D197),0)))</f>
        <v>0</v>
      </c>
      <c r="S197" s="9">
        <f>IF(OR($C197="Annual",$D197=$E197),IF(AND($D197=$E197,S$111=$B197+$D197),$I197,IF(AND(S$111&gt;$B197+$D197,S$111&lt;=$B197+$E197), $I197/($E197-$D197),0)), IF(OR(S$111=$B197+$D197,S$111=$B197+$E197),$I197/(($E197-$D197)*2),IF(AND(S$111&gt;$B197+$D197,S$111&lt;$B197+$E197),$I197/($E197-$D197),0)))</f>
        <v>0</v>
      </c>
      <c r="T197" s="9">
        <f>IF(OR($C197="Annual",$D197=$E197),IF(AND($D197=$E197,T$111=$B197+$D197),$I197,IF(AND(T$111&gt;$B197+$D197,T$111&lt;=$B197+$E197), $I197/($E197-$D197),0)), IF(OR(T$111=$B197+$D197,T$111=$B197+$E197),$I197/(($E197-$D197)*2),IF(AND(T$111&gt;$B197+$D197,T$111&lt;$B197+$E197),$I197/($E197-$D197),0)))</f>
        <v>0</v>
      </c>
      <c r="U197" s="9"/>
      <c r="V197" s="9"/>
      <c r="W197" s="9">
        <f t="shared" si="53"/>
        <v>0</v>
      </c>
      <c r="X197" s="9">
        <f t="shared" ca="1" si="53"/>
        <v>0</v>
      </c>
      <c r="Y197" s="9">
        <f t="shared" ca="1" si="53"/>
        <v>0</v>
      </c>
      <c r="Z197" s="9">
        <f t="shared" ca="1" si="53"/>
        <v>0</v>
      </c>
      <c r="AA197" s="9">
        <f t="shared" ca="1" si="53"/>
        <v>0</v>
      </c>
    </row>
    <row r="198" spans="1:27">
      <c r="A198" s="8" t="str">
        <f>A197</f>
        <v>Type 9</v>
      </c>
      <c r="B198" s="7">
        <f>B197+1</f>
        <v>2020</v>
      </c>
      <c r="C198" s="7" t="str">
        <f t="shared" si="54"/>
        <v>Annual</v>
      </c>
      <c r="D198" s="7">
        <f t="shared" si="54"/>
        <v>0</v>
      </c>
      <c r="E198" s="7">
        <f>E197</f>
        <v>0</v>
      </c>
      <c r="F198" s="14">
        <f>$N$88</f>
        <v>0</v>
      </c>
      <c r="H198" s="9"/>
      <c r="I198" s="9"/>
      <c r="J198" s="9">
        <f ca="1">$D$88/$D$31</f>
        <v>0</v>
      </c>
      <c r="K198" s="9">
        <f ca="1">J198-R198</f>
        <v>0</v>
      </c>
      <c r="L198" s="9">
        <f ca="1">K198-S198</f>
        <v>0</v>
      </c>
      <c r="M198" s="9">
        <f ca="1">L198-T198</f>
        <v>0</v>
      </c>
      <c r="N198" s="9"/>
      <c r="O198" s="9"/>
      <c r="P198" s="9"/>
      <c r="Q198" s="9">
        <f ca="1">IF(OR($C198="Annual",$D198=$E198),IF(AND($D198=$E198,Q$111=$B198+$D198),$J198,IF(AND(Q$111&gt;$B198+$D198,Q$111&lt;=$B198+$E198), $J198/($E198-$D198),0)), IF(OR(Q$111=$B198+$D198,Q$111=$B198+$E198),$J198/(($E198-$D198)*2),IF(AND(Q$111&gt;$B198+$D198,Q$111&lt;$B198+$E198),$J198/($E198-$D198),0)))</f>
        <v>0</v>
      </c>
      <c r="R198" s="9">
        <f>IF(OR($C198="Annual",$D198=$E198),IF(AND($D198=$E198,R$111=$B198+$D198),$J198,IF(AND(R$111&gt;$B198+$D198,R$111&lt;=$B198+$E198), $J198/($E198-$D198),0)), IF(OR(R$111=$B198+$D198,R$111=$B198+$E198),$J198/(($E198-$D198)*2),IF(AND(R$111&gt;$B198+$D198,R$111&lt;$B198+$E198),$J198/($E198-$D198),0)))</f>
        <v>0</v>
      </c>
      <c r="S198" s="9">
        <f>IF(OR($C198="Annual",$D198=$E198),IF(AND($D198=$E198,S$111=$B198+$D198),$J198,IF(AND(S$111&gt;$B198+$D198,S$111&lt;=$B198+$E198), $J198/($E198-$D198),0)), IF(OR(S$111=$B198+$D198,S$111=$B198+$E198),$J198/(($E198-$D198)*2),IF(AND(S$111&gt;$B198+$D198,S$111&lt;$B198+$E198),$J198/($E198-$D198),0)))</f>
        <v>0</v>
      </c>
      <c r="T198" s="9">
        <f>IF(OR($C198="Annual",$D198=$E198),IF(AND($D198=$E198,T$111=$B198+$D198),$J198,IF(AND(T$111&gt;$B198+$D198,T$111&lt;=$B198+$E198), $J198/($E198-$D198),0)), IF(OR(T$111=$B198+$D198,T$111=$B198+$E198),$J198/(($E198-$D198)*2),IF(AND(T$111&gt;$B198+$D198,T$111&lt;$B198+$E198),$J198/($E198-$D198),0)))</f>
        <v>0</v>
      </c>
      <c r="U198" s="9"/>
      <c r="V198" s="9"/>
      <c r="W198" s="9"/>
      <c r="X198" s="9">
        <f t="shared" si="53"/>
        <v>0</v>
      </c>
      <c r="Y198" s="9">
        <f t="shared" ca="1" si="53"/>
        <v>0</v>
      </c>
      <c r="Z198" s="9">
        <f t="shared" ca="1" si="53"/>
        <v>0</v>
      </c>
      <c r="AA198" s="9">
        <f t="shared" ca="1" si="53"/>
        <v>0</v>
      </c>
    </row>
    <row r="199" spans="1:27">
      <c r="A199" s="8" t="str">
        <f>A198</f>
        <v>Type 9</v>
      </c>
      <c r="B199" s="7">
        <f>B198+1</f>
        <v>2021</v>
      </c>
      <c r="C199" s="7" t="str">
        <f t="shared" si="54"/>
        <v>Annual</v>
      </c>
      <c r="D199" s="7">
        <f t="shared" si="54"/>
        <v>0</v>
      </c>
      <c r="E199" s="7">
        <f>E198</f>
        <v>0</v>
      </c>
      <c r="F199" s="14">
        <f>$O$88</f>
        <v>0</v>
      </c>
      <c r="H199" s="9"/>
      <c r="I199" s="9"/>
      <c r="J199" s="9"/>
      <c r="K199" s="9">
        <f ca="1">$E$88/$E$31</f>
        <v>0</v>
      </c>
      <c r="L199" s="9">
        <f ca="1">K199-S199</f>
        <v>0</v>
      </c>
      <c r="M199" s="9">
        <f ca="1">L199-T199</f>
        <v>0</v>
      </c>
      <c r="N199" s="9"/>
      <c r="O199" s="9"/>
      <c r="P199" s="9"/>
      <c r="Q199" s="9"/>
      <c r="R199" s="9">
        <f ca="1">IF(OR($C199="Annual",$D199=$E199),IF(AND($D199=$E199,R$111=$B199+$D199),$K199,IF(AND(R$111&gt;$B199+$D199,R$111&lt;=$B199+$E199), $K199/($E199-$D199),0)), IF(OR(R$111=$B199+$D199,R$111=$B199+$E199),$K199/(($E199-$D199)*2),IF(AND(R$111&gt;$B199+$D199,R$111&lt;$B199+$E199),$K199/($E199-$D199),0)))</f>
        <v>0</v>
      </c>
      <c r="S199" s="9">
        <f>IF(OR($C199="Annual",$D199=$E199),IF(AND($D199=$E199,S$111=$B199+$D199),$K199,IF(AND(S$111&gt;$B199+$D199,S$111&lt;=$B199+$E199), $K199/($E199-$D199),0)), IF(OR(S$111=$B199+$D199,S$111=$B199+$E199),$K199/(($E199-$D199)*2),IF(AND(S$111&gt;$B199+$D199,S$111&lt;$B199+$E199),$K199/($E199-$D199),0)))</f>
        <v>0</v>
      </c>
      <c r="T199" s="9">
        <f>IF(OR($C199="Annual",$D199=$E199),IF(AND($D199=$E199,T$111=$B199+$D199),$K199,IF(AND(T$111&gt;$B199+$D199,T$111&lt;=$B199+$E199), $K199/($E199-$D199),0)), IF(OR(T$111=$B199+$D199,T$111=$B199+$E199),$K199/(($E199-$D199)*2),IF(AND(T$111&gt;$B199+$D199,T$111&lt;$B199+$E199),$K199/($E199-$D199),0)))</f>
        <v>0</v>
      </c>
      <c r="U199" s="9"/>
      <c r="V199" s="9"/>
      <c r="W199" s="9"/>
      <c r="X199" s="9"/>
      <c r="Y199" s="9">
        <f t="shared" si="53"/>
        <v>0</v>
      </c>
      <c r="Z199" s="9">
        <f t="shared" ca="1" si="53"/>
        <v>0</v>
      </c>
      <c r="AA199" s="9">
        <f t="shared" ca="1" si="53"/>
        <v>0</v>
      </c>
    </row>
    <row r="200" spans="1:27">
      <c r="A200" s="8" t="str">
        <f>A199</f>
        <v>Type 9</v>
      </c>
      <c r="B200" s="7">
        <f>B199+1</f>
        <v>2022</v>
      </c>
      <c r="C200" s="7" t="str">
        <f t="shared" si="54"/>
        <v>Annual</v>
      </c>
      <c r="D200" s="7">
        <f t="shared" si="54"/>
        <v>0</v>
      </c>
      <c r="E200" s="7">
        <f>E199</f>
        <v>0</v>
      </c>
      <c r="F200" s="14">
        <f>$P$88</f>
        <v>0</v>
      </c>
      <c r="H200" s="9"/>
      <c r="I200" s="9"/>
      <c r="J200" s="9"/>
      <c r="K200" s="9"/>
      <c r="L200" s="9">
        <f ca="1">$F$88/$F$31</f>
        <v>0</v>
      </c>
      <c r="M200" s="9">
        <f ca="1">L200-T200</f>
        <v>0</v>
      </c>
      <c r="N200" s="9"/>
      <c r="O200" s="9"/>
      <c r="P200" s="9"/>
      <c r="Q200" s="9"/>
      <c r="R200" s="9"/>
      <c r="S200" s="9">
        <f ca="1">IF(OR($C200="Annual",$D200=$E200),IF(AND($D200=$E200,S$111=$B200+$D200),$L200,IF(AND(S$111&gt;$B200+$D200,S$111&lt;=$B200+$E200), $L200/($E200-$D200),0)), IF(OR(S$111=$B200+$D200,S$111=$B200+$E200),$L200/(($E200-$D200)*2),IF(AND(S$111&gt;$B200+$D200,S$111&lt;$B200+$E200),$L200/($E200-$D200),0)))</f>
        <v>0</v>
      </c>
      <c r="T200" s="9">
        <f>IF(OR($C200="Annual",$D200=$E200),IF(AND($D200=$E200,T$111=$B200+$D200),$L200,IF(AND(T$111&gt;$B200+$D200,T$111&lt;=$B200+$E200), $L200/($E200-$D200),0)), IF(OR(T$111=$B200+$D200,T$111=$B200+$E200),$L200/(($E200-$D200)*2),IF(AND(T$111&gt;$B200+$D200,T$111&lt;$B200+$E200),$L200/($E200-$D200),0)))</f>
        <v>0</v>
      </c>
      <c r="U200" s="9"/>
      <c r="V200" s="9"/>
      <c r="W200" s="9"/>
      <c r="X200" s="9"/>
      <c r="Y200" s="9"/>
      <c r="Z200" s="9">
        <f t="shared" si="53"/>
        <v>0</v>
      </c>
      <c r="AA200" s="9">
        <f t="shared" ca="1" si="53"/>
        <v>0</v>
      </c>
    </row>
    <row r="201" spans="1:27">
      <c r="A201" s="8" t="str">
        <f>A200</f>
        <v>Type 9</v>
      </c>
      <c r="B201" s="7">
        <f>B200+1</f>
        <v>2023</v>
      </c>
      <c r="C201" s="7" t="str">
        <f t="shared" si="54"/>
        <v>Annual</v>
      </c>
      <c r="D201" s="7">
        <f t="shared" si="54"/>
        <v>0</v>
      </c>
      <c r="E201" s="7">
        <f>E200</f>
        <v>0</v>
      </c>
      <c r="F201" s="14">
        <f>$Q$88</f>
        <v>0</v>
      </c>
      <c r="H201" s="9"/>
      <c r="I201" s="9"/>
      <c r="J201" s="9"/>
      <c r="K201" s="9"/>
      <c r="L201" s="9"/>
      <c r="M201" s="9">
        <f ca="1">$G$88/$G$31</f>
        <v>0</v>
      </c>
      <c r="N201" s="9"/>
      <c r="O201" s="9"/>
      <c r="P201" s="9"/>
      <c r="Q201" s="9"/>
      <c r="R201" s="9"/>
      <c r="S201" s="9"/>
      <c r="T201" s="9">
        <f ca="1">IF(OR($C201="Annual",$D201=$E201),IF(AND($D201=$E201,T$111=$B201+$D201),$M201,IF(AND(T$111&gt;$B201+$D201,T$111&lt;=$B201+$E201), $M201/($E201-$D201),0)), IF(OR(T$111=$B201+$D201,T$111=$B201+$E201),$M201/(($E201-$D201)*2),IF(AND(T$111&gt;$B201+$D201,T$111&lt;$B201+$E201),$M201/($E201-$D201),0)))</f>
        <v>0</v>
      </c>
      <c r="U201" s="9"/>
      <c r="V201" s="9"/>
      <c r="W201" s="9"/>
      <c r="X201" s="9"/>
      <c r="Y201" s="9"/>
      <c r="Z201" s="9"/>
      <c r="AA201" s="9">
        <f t="shared" si="53"/>
        <v>0</v>
      </c>
    </row>
    <row r="202" spans="1:27">
      <c r="A202" s="8"/>
      <c r="B202" s="7"/>
      <c r="C202" s="7"/>
      <c r="D202" s="7"/>
      <c r="E202" s="7"/>
      <c r="F202" s="15"/>
      <c r="H202" s="9"/>
      <c r="I202" s="9"/>
      <c r="J202" s="9"/>
      <c r="K202" s="9"/>
      <c r="L202" s="9"/>
      <c r="M202" s="9"/>
      <c r="N202" s="9"/>
      <c r="O202" s="278"/>
      <c r="P202" s="10"/>
      <c r="Q202" s="10"/>
      <c r="R202" s="10"/>
      <c r="S202" s="10"/>
      <c r="T202" s="10"/>
      <c r="U202" s="9"/>
      <c r="V202" s="10"/>
      <c r="W202" s="10"/>
      <c r="X202" s="10"/>
      <c r="Y202" s="10"/>
      <c r="Z202" s="10"/>
      <c r="AA202" s="10"/>
    </row>
    <row r="203" spans="1:27" s="1150" customFormat="1">
      <c r="A203" s="1347" t="str">
        <f>'Input 4 - Forecast'!A70</f>
        <v>ZERO-COUPON BOND</v>
      </c>
      <c r="B203" s="1348">
        <f>B119</f>
        <v>2018</v>
      </c>
      <c r="C203" s="1348"/>
      <c r="D203" s="1348">
        <f>$J89</f>
        <v>0</v>
      </c>
      <c r="E203" s="1348">
        <f>$K89</f>
        <v>0</v>
      </c>
      <c r="F203" s="1349">
        <f>$L$89</f>
        <v>0</v>
      </c>
      <c r="H203" s="1350">
        <f>$B$89/$B$31</f>
        <v>0</v>
      </c>
      <c r="I203" s="1350">
        <f>H203-P203</f>
        <v>0</v>
      </c>
      <c r="J203" s="1350">
        <f>I203-Q203</f>
        <v>0</v>
      </c>
      <c r="K203" s="1350">
        <f>J203-R203</f>
        <v>0</v>
      </c>
      <c r="L203" s="1350">
        <f>K203-S203</f>
        <v>0</v>
      </c>
      <c r="M203" s="1350">
        <f>L203-T203</f>
        <v>0</v>
      </c>
      <c r="N203" s="1350"/>
      <c r="O203" s="1350">
        <f t="shared" ref="O203:T203" si="55">IF($D203=$E203,IF(O$111=$B203+$E203,$H203,0),0)</f>
        <v>0</v>
      </c>
      <c r="P203" s="1350">
        <f t="shared" si="55"/>
        <v>0</v>
      </c>
      <c r="Q203" s="1350">
        <f t="shared" si="55"/>
        <v>0</v>
      </c>
      <c r="R203" s="1350">
        <f t="shared" si="55"/>
        <v>0</v>
      </c>
      <c r="S203" s="1350">
        <f t="shared" si="55"/>
        <v>0</v>
      </c>
      <c r="T203" s="1350">
        <f t="shared" si="55"/>
        <v>0</v>
      </c>
      <c r="U203" s="1350"/>
      <c r="V203" s="1350">
        <f t="shared" ref="V203:AA203" si="56">IF(V$111-$B203=$D203,$H203*(((1+$F203)^$D203)-1),0)</f>
        <v>0</v>
      </c>
      <c r="W203" s="1350">
        <f t="shared" si="56"/>
        <v>0</v>
      </c>
      <c r="X203" s="1350">
        <f t="shared" si="56"/>
        <v>0</v>
      </c>
      <c r="Y203" s="1350">
        <f t="shared" si="56"/>
        <v>0</v>
      </c>
      <c r="Z203" s="1350">
        <f t="shared" si="56"/>
        <v>0</v>
      </c>
      <c r="AA203" s="1350">
        <f t="shared" si="56"/>
        <v>0</v>
      </c>
    </row>
    <row r="204" spans="1:27" s="1150" customFormat="1">
      <c r="A204" s="1347" t="str">
        <f>A203</f>
        <v>ZERO-COUPON BOND</v>
      </c>
      <c r="B204" s="1348">
        <f>B203+1</f>
        <v>2019</v>
      </c>
      <c r="C204" s="1348"/>
      <c r="D204" s="1348">
        <f t="shared" ref="D204:E208" si="57">D203</f>
        <v>0</v>
      </c>
      <c r="E204" s="1348">
        <f t="shared" si="57"/>
        <v>0</v>
      </c>
      <c r="F204" s="1349">
        <f>$M$89</f>
        <v>0</v>
      </c>
      <c r="H204" s="1350"/>
      <c r="I204" s="1350">
        <f ca="1">$C$89/$C$31</f>
        <v>0</v>
      </c>
      <c r="J204" s="1350">
        <f ca="1">I204-Q204</f>
        <v>0</v>
      </c>
      <c r="K204" s="1350">
        <f ca="1">J204-R204</f>
        <v>0</v>
      </c>
      <c r="L204" s="1350">
        <f ca="1">K204-S204</f>
        <v>0</v>
      </c>
      <c r="M204" s="1350">
        <f ca="1">L204-T204</f>
        <v>0</v>
      </c>
      <c r="N204" s="1350"/>
      <c r="O204" s="1351"/>
      <c r="P204" s="1350">
        <f ca="1">IF($D204=$E204,IF(P$111=$B204+$E204,$I204,0),0)</f>
        <v>0</v>
      </c>
      <c r="Q204" s="1350">
        <f>IF($D204=$E204,IF(Q$111=$B204+$E204,$I204,0),0)</f>
        <v>0</v>
      </c>
      <c r="R204" s="1350">
        <f>IF($D204=$E204,IF(R$111=$B204+$E204,$I204,0),0)</f>
        <v>0</v>
      </c>
      <c r="S204" s="1350">
        <f>IF($D204=$E204,IF(S$111=$B204+$E204,$I204,0),0)</f>
        <v>0</v>
      </c>
      <c r="T204" s="1350">
        <f>IF($D204=$E204,IF(T$111=$B204+$E204,$I204,0),0)</f>
        <v>0</v>
      </c>
      <c r="U204" s="1350"/>
      <c r="V204" s="1350"/>
      <c r="W204" s="1350">
        <f ca="1">IF(W$111-$B204=$D204,$I204*(((1+$F204)^$D204)-1),0)</f>
        <v>0</v>
      </c>
      <c r="X204" s="1350">
        <f>IF(X$111-$B204=$D204,$I204*(((1+$F204)^$D204)-1),0)</f>
        <v>0</v>
      </c>
      <c r="Y204" s="1350">
        <f>IF(Y$111-$B204=$D204,$I204*(((1+$F204)^$D204)-1),0)</f>
        <v>0</v>
      </c>
      <c r="Z204" s="1350">
        <f>IF(Z$111-$B204=$D204,$I204*(((1+$F204)^$D204)-1),0)</f>
        <v>0</v>
      </c>
      <c r="AA204" s="1350">
        <f>IF(AA$111-$B204=$D204,$I204*(((1+$F204)^$D204)-1),0)</f>
        <v>0</v>
      </c>
    </row>
    <row r="205" spans="1:27" s="1150" customFormat="1">
      <c r="A205" s="1347" t="str">
        <f>A204</f>
        <v>ZERO-COUPON BOND</v>
      </c>
      <c r="B205" s="1348">
        <f>B204+1</f>
        <v>2020</v>
      </c>
      <c r="C205" s="1348"/>
      <c r="D205" s="1348">
        <f t="shared" si="57"/>
        <v>0</v>
      </c>
      <c r="E205" s="1348">
        <f t="shared" si="57"/>
        <v>0</v>
      </c>
      <c r="F205" s="1349">
        <f>$N$89</f>
        <v>0</v>
      </c>
      <c r="H205" s="1350"/>
      <c r="I205" s="1350"/>
      <c r="J205" s="1350">
        <f ca="1">$D$89/$D$31</f>
        <v>0</v>
      </c>
      <c r="K205" s="1350">
        <f ca="1">J205-R205</f>
        <v>0</v>
      </c>
      <c r="L205" s="1350">
        <f ca="1">K205-S205</f>
        <v>0</v>
      </c>
      <c r="M205" s="1350">
        <f ca="1">L205-T205</f>
        <v>0</v>
      </c>
      <c r="N205" s="1350"/>
      <c r="O205" s="1351"/>
      <c r="P205" s="1350"/>
      <c r="Q205" s="1350">
        <f ca="1">IF($D205=$E205,IF(Q$111=$B205+$E205,$J205,0),0)</f>
        <v>0</v>
      </c>
      <c r="R205" s="1350">
        <f>IF($D205=$E205,IF(R$111=$B205+$E205,$J205,0),0)</f>
        <v>0</v>
      </c>
      <c r="S205" s="1350">
        <f>IF($D205=$E205,IF(S$111=$B205+$E205,$J205,0),0)</f>
        <v>0</v>
      </c>
      <c r="T205" s="1350">
        <f>IF($D205=$E205,IF(T$111=$B205+$E205,$J205,0),0)</f>
        <v>0</v>
      </c>
      <c r="U205" s="1350"/>
      <c r="V205" s="1350"/>
      <c r="W205" s="1350"/>
      <c r="X205" s="1350">
        <f ca="1">IF(X$111-$B205=$D205,$J205*(((1+$F205)^$D205)-1),0)</f>
        <v>0</v>
      </c>
      <c r="Y205" s="1350">
        <f>IF(Y$111-$B205=$D205,$J205*(((1+$F205)^$D205)-1),0)</f>
        <v>0</v>
      </c>
      <c r="Z205" s="1350">
        <f>IF(Z$111-$B205=$D205,$J205*(((1+$F205)^$D205)-1),0)</f>
        <v>0</v>
      </c>
      <c r="AA205" s="1350">
        <f>IF(AA$111-$B205=$D205,$J205*(((1+$F205)^$D205)-1),0)</f>
        <v>0</v>
      </c>
    </row>
    <row r="206" spans="1:27" s="1150" customFormat="1">
      <c r="A206" s="1347" t="str">
        <f>A205</f>
        <v>ZERO-COUPON BOND</v>
      </c>
      <c r="B206" s="1348">
        <f>B205+1</f>
        <v>2021</v>
      </c>
      <c r="C206" s="1348"/>
      <c r="D206" s="1348">
        <f t="shared" si="57"/>
        <v>0</v>
      </c>
      <c r="E206" s="1348">
        <f t="shared" si="57"/>
        <v>0</v>
      </c>
      <c r="F206" s="1349">
        <f>$O$89</f>
        <v>0</v>
      </c>
      <c r="H206" s="1350"/>
      <c r="I206" s="1350"/>
      <c r="J206" s="1350"/>
      <c r="K206" s="1350">
        <f ca="1">$E$89/$E$31</f>
        <v>0</v>
      </c>
      <c r="L206" s="1350">
        <f ca="1">K206-S206</f>
        <v>0</v>
      </c>
      <c r="M206" s="1350">
        <f ca="1">L206-T206</f>
        <v>0</v>
      </c>
      <c r="N206" s="1350"/>
      <c r="O206" s="1351"/>
      <c r="P206" s="1350"/>
      <c r="Q206" s="1350"/>
      <c r="R206" s="1350">
        <f ca="1">IF($D206=$E206,IF(R$111=$B206+$E206,$K206,0),0)</f>
        <v>0</v>
      </c>
      <c r="S206" s="1350">
        <f>IF($D206=$E206,IF(S$111=$B206+$E206,$K206,0),0)</f>
        <v>0</v>
      </c>
      <c r="T206" s="1350">
        <f>IF($D206=$E206,IF(T$111=$B206+$E206,$K206,0),0)</f>
        <v>0</v>
      </c>
      <c r="U206" s="1350"/>
      <c r="V206" s="1350"/>
      <c r="W206" s="1350"/>
      <c r="X206" s="1350"/>
      <c r="Y206" s="1350">
        <f ca="1">IF(Y$111-$B206=$D206,$K206*(((1+$F206)^$D206)-1),0)</f>
        <v>0</v>
      </c>
      <c r="Z206" s="1350">
        <f>IF(Z$111-$B206=$D206,$K206*(((1+$F206)^$D206)-1),0)</f>
        <v>0</v>
      </c>
      <c r="AA206" s="1350">
        <f>IF(AA$111-$B206=$D206,$K206*(((1+$F206)^$D206)-1),0)</f>
        <v>0</v>
      </c>
    </row>
    <row r="207" spans="1:27" s="1150" customFormat="1">
      <c r="A207" s="1347" t="str">
        <f>A206</f>
        <v>ZERO-COUPON BOND</v>
      </c>
      <c r="B207" s="1348">
        <f>B206+1</f>
        <v>2022</v>
      </c>
      <c r="C207" s="1348"/>
      <c r="D207" s="1348">
        <f t="shared" si="57"/>
        <v>0</v>
      </c>
      <c r="E207" s="1348">
        <f t="shared" si="57"/>
        <v>0</v>
      </c>
      <c r="F207" s="1349">
        <f>$P$89</f>
        <v>0</v>
      </c>
      <c r="H207" s="1350"/>
      <c r="I207" s="1350"/>
      <c r="J207" s="1350"/>
      <c r="K207" s="1350"/>
      <c r="L207" s="1350">
        <f ca="1">$F$89/$F$31</f>
        <v>0</v>
      </c>
      <c r="M207" s="1350">
        <f ca="1">L207-T207</f>
        <v>0</v>
      </c>
      <c r="N207" s="1350"/>
      <c r="O207" s="1351"/>
      <c r="P207" s="1350"/>
      <c r="Q207" s="1350"/>
      <c r="R207" s="1350"/>
      <c r="S207" s="1350">
        <f ca="1">IF($D207=$E207,IF(S$111=$B207+$E207,$L207,0),0)</f>
        <v>0</v>
      </c>
      <c r="T207" s="1350">
        <f>IF($D207=$E207,IF(T$111=$B207+$E207,$L207,0),0)</f>
        <v>0</v>
      </c>
      <c r="U207" s="1350"/>
      <c r="V207" s="1350"/>
      <c r="W207" s="1350"/>
      <c r="X207" s="1350"/>
      <c r="Y207" s="1350"/>
      <c r="Z207" s="1350">
        <f ca="1">IF(Z$111-$B207=$D207,$L207*(((1+$F207)^$D207)-1),0)</f>
        <v>0</v>
      </c>
      <c r="AA207" s="1350">
        <f>IF(AA$111-$B207=$D207,$L207*(((1+$F207)^$D207)-1),0)</f>
        <v>0</v>
      </c>
    </row>
    <row r="208" spans="1:27" s="1150" customFormat="1">
      <c r="A208" s="1347" t="str">
        <f>A207</f>
        <v>ZERO-COUPON BOND</v>
      </c>
      <c r="B208" s="1348">
        <f>B207+1</f>
        <v>2023</v>
      </c>
      <c r="C208" s="1348"/>
      <c r="D208" s="1348">
        <f t="shared" si="57"/>
        <v>0</v>
      </c>
      <c r="E208" s="1348">
        <f t="shared" si="57"/>
        <v>0</v>
      </c>
      <c r="F208" s="1349">
        <f>$Q$89</f>
        <v>0</v>
      </c>
      <c r="H208" s="1350"/>
      <c r="I208" s="1350"/>
      <c r="J208" s="1350"/>
      <c r="K208" s="1350"/>
      <c r="L208" s="1350"/>
      <c r="M208" s="1350">
        <f ca="1">$G$89/$G$31</f>
        <v>0</v>
      </c>
      <c r="N208" s="1350"/>
      <c r="O208" s="1351"/>
      <c r="P208" s="1350"/>
      <c r="Q208" s="1350"/>
      <c r="R208" s="1350"/>
      <c r="S208" s="1350"/>
      <c r="T208" s="1350">
        <f ca="1">IF($D208=$E208,IF(T$111=$B208+$E208,$M208,0),0)</f>
        <v>0</v>
      </c>
      <c r="U208" s="1350"/>
      <c r="V208" s="1350"/>
      <c r="W208" s="1350"/>
      <c r="X208" s="1350"/>
      <c r="Y208" s="1350"/>
      <c r="Z208" s="1350"/>
      <c r="AA208" s="1350">
        <f ca="1">IF(AA$111-$B208=$D208,$M208*(((1+$F208)^$D208)-1),0)</f>
        <v>0</v>
      </c>
    </row>
    <row r="209" spans="1:27">
      <c r="A209" s="17"/>
      <c r="B209" s="7"/>
      <c r="D209" s="7"/>
      <c r="E209" s="7"/>
      <c r="F209" s="7"/>
    </row>
    <row r="210" spans="1:27">
      <c r="A210" s="20" t="str">
        <f>'Input 4 - Forecast'!A71</f>
        <v>New Issuance of External Debt (new debt) 1/</v>
      </c>
    </row>
    <row r="211" spans="1:27" customFormat="1" ht="15.75" thickBot="1">
      <c r="A211" s="21" t="str">
        <f>'Input 4 - Forecast'!A72</f>
        <v>Short-term debt 2/</v>
      </c>
      <c r="B211" s="18"/>
      <c r="C211" s="6"/>
      <c r="D211" s="13"/>
      <c r="E211" s="13"/>
      <c r="F211" s="13"/>
      <c r="G211" s="13"/>
      <c r="H211" s="13"/>
      <c r="I211" s="13"/>
      <c r="J211" s="17"/>
      <c r="K211" s="19"/>
      <c r="L211" s="19"/>
      <c r="M211" s="19"/>
      <c r="N211" s="19"/>
      <c r="O211" s="19"/>
      <c r="P211" s="19"/>
      <c r="Q211" s="19"/>
      <c r="R211" s="19"/>
    </row>
    <row r="212" spans="1:27" customFormat="1" ht="15.75" thickBot="1">
      <c r="A212" s="22" t="str">
        <f>'Input 4 - Forecast'!A73</f>
        <v>Denominated in local currency</v>
      </c>
      <c r="B212" s="1999" t="s">
        <v>51</v>
      </c>
      <c r="C212" s="2000"/>
      <c r="D212" s="2000"/>
      <c r="E212" s="2000"/>
      <c r="F212" s="2000"/>
      <c r="G212" s="2000"/>
      <c r="H212" s="2000"/>
      <c r="I212" s="2000"/>
      <c r="J212" s="2000"/>
      <c r="K212" s="2000"/>
      <c r="L212" s="2000"/>
      <c r="M212" s="2000"/>
      <c r="N212" s="2000"/>
      <c r="O212" s="2000"/>
      <c r="P212" s="2000"/>
      <c r="Q212" s="2000"/>
      <c r="R212" s="2000"/>
      <c r="S212" s="2000"/>
      <c r="T212" s="2000"/>
      <c r="U212" s="2000"/>
      <c r="V212" s="2000"/>
      <c r="W212" s="2000"/>
      <c r="X212" s="2000"/>
      <c r="Y212" s="2000"/>
      <c r="Z212" s="2000"/>
      <c r="AA212" s="2001"/>
    </row>
    <row r="213" spans="1:27">
      <c r="F213" s="15"/>
      <c r="H213" s="10"/>
      <c r="I213" s="10"/>
      <c r="J213" s="10"/>
      <c r="K213" s="10"/>
      <c r="L213" s="10"/>
      <c r="M213" s="10"/>
      <c r="N213" s="10"/>
      <c r="O213" s="10"/>
      <c r="P213" s="10"/>
      <c r="Q213" s="10"/>
      <c r="R213" s="10"/>
      <c r="S213" s="10"/>
      <c r="T213" s="10"/>
      <c r="U213" s="10"/>
      <c r="V213" s="10"/>
      <c r="W213" s="10"/>
      <c r="X213" s="10"/>
      <c r="Y213" s="10"/>
      <c r="Z213" s="10"/>
      <c r="AA213" s="10"/>
    </row>
    <row r="214" spans="1:27" customFormat="1">
      <c r="A214" s="23"/>
      <c r="B214" s="7">
        <f>B119</f>
        <v>2018</v>
      </c>
      <c r="C214" s="13" t="str">
        <f>$I92</f>
        <v>Semi-annual</v>
      </c>
      <c r="D214" s="13">
        <f>$J92</f>
        <v>0</v>
      </c>
      <c r="E214" s="13">
        <f>$K92</f>
        <v>0</v>
      </c>
      <c r="F214" s="14">
        <f>$L$92</f>
        <v>0</v>
      </c>
      <c r="G214" s="13"/>
      <c r="H214" s="9">
        <f>$B$92</f>
        <v>0</v>
      </c>
      <c r="I214" s="9">
        <f>H214-P214</f>
        <v>0</v>
      </c>
      <c r="J214" s="9">
        <f>I214-Q214</f>
        <v>0</v>
      </c>
      <c r="K214" s="9">
        <f>J214-R214</f>
        <v>0</v>
      </c>
      <c r="L214" s="9">
        <f>K214-S214</f>
        <v>0</v>
      </c>
      <c r="M214" s="9">
        <f>L214-T214</f>
        <v>0</v>
      </c>
      <c r="N214" s="9"/>
      <c r="O214" s="9">
        <v>0</v>
      </c>
      <c r="P214" s="9">
        <f>H214</f>
        <v>0</v>
      </c>
      <c r="Q214" s="9">
        <v>0</v>
      </c>
      <c r="R214" s="9">
        <v>0</v>
      </c>
      <c r="S214" s="9">
        <v>0</v>
      </c>
      <c r="T214" s="9">
        <v>0</v>
      </c>
      <c r="U214" s="9"/>
      <c r="V214" s="9">
        <f>IF($C214="annual",IF(V$111=$B214,0,G214*$F214),IF(V$111-$B214=0,0,IF((V$111-$B214)&lt;$E214,AVERAGE(G214,H214)*$F214,IF((V$111-$B214)=$E214,G214*$F214/2,0))))</f>
        <v>0</v>
      </c>
      <c r="W214" s="9">
        <f t="shared" ref="W214:AA219" si="58">IF($C214="annual",IF(W$111=$B214,0,H214*$F214),IF(W$111-$B214=0,0,IF((W$111-$B214)&lt;$E214,AVERAGE(H214,I214)*$F214,IF((W$111-$B214)=$E214,H214*$F214/2,0))))</f>
        <v>0</v>
      </c>
      <c r="X214" s="9">
        <f t="shared" si="58"/>
        <v>0</v>
      </c>
      <c r="Y214" s="9">
        <f t="shared" si="58"/>
        <v>0</v>
      </c>
      <c r="Z214" s="9">
        <f t="shared" si="58"/>
        <v>0</v>
      </c>
      <c r="AA214" s="9">
        <f t="shared" si="58"/>
        <v>0</v>
      </c>
    </row>
    <row r="215" spans="1:27" customFormat="1">
      <c r="A215" s="23"/>
      <c r="B215" s="7">
        <f>B214+1</f>
        <v>2019</v>
      </c>
      <c r="C215" s="13" t="str">
        <f>C214</f>
        <v>Semi-annual</v>
      </c>
      <c r="D215" s="13">
        <f>D214</f>
        <v>0</v>
      </c>
      <c r="E215" s="13">
        <f>E214</f>
        <v>0</v>
      </c>
      <c r="F215" s="14">
        <f>$M$92</f>
        <v>0</v>
      </c>
      <c r="G215" s="13"/>
      <c r="H215" s="9"/>
      <c r="I215" s="9">
        <f ca="1">$C$92</f>
        <v>0</v>
      </c>
      <c r="J215" s="9">
        <f ca="1">I215-Q215</f>
        <v>0</v>
      </c>
      <c r="K215" s="9">
        <f ca="1">J215-R215</f>
        <v>0</v>
      </c>
      <c r="L215" s="9">
        <f ca="1">K215-S215</f>
        <v>0</v>
      </c>
      <c r="M215" s="9">
        <f ca="1">L215-T215</f>
        <v>0</v>
      </c>
      <c r="N215" s="9"/>
      <c r="O215" s="9"/>
      <c r="P215" s="9">
        <v>0</v>
      </c>
      <c r="Q215" s="9">
        <f ca="1">I215</f>
        <v>0</v>
      </c>
      <c r="R215" s="9">
        <v>0</v>
      </c>
      <c r="S215" s="9">
        <v>0</v>
      </c>
      <c r="T215" s="9">
        <v>0</v>
      </c>
      <c r="U215" s="9"/>
      <c r="V215" s="9"/>
      <c r="W215" s="9">
        <f t="shared" si="58"/>
        <v>0</v>
      </c>
      <c r="X215" s="9">
        <f t="shared" si="58"/>
        <v>0</v>
      </c>
      <c r="Y215" s="9">
        <f t="shared" si="58"/>
        <v>0</v>
      </c>
      <c r="Z215" s="9">
        <f t="shared" si="58"/>
        <v>0</v>
      </c>
      <c r="AA215" s="9">
        <f t="shared" si="58"/>
        <v>0</v>
      </c>
    </row>
    <row r="216" spans="1:27" customFormat="1">
      <c r="A216" s="23"/>
      <c r="B216" s="7">
        <f>B215+1</f>
        <v>2020</v>
      </c>
      <c r="C216" s="13" t="str">
        <f>C215</f>
        <v>Semi-annual</v>
      </c>
      <c r="D216" s="13">
        <f t="shared" ref="D216:E219" si="59">D215</f>
        <v>0</v>
      </c>
      <c r="E216" s="13">
        <f t="shared" si="59"/>
        <v>0</v>
      </c>
      <c r="F216" s="14">
        <f>$N$92</f>
        <v>0</v>
      </c>
      <c r="G216" s="13"/>
      <c r="H216" s="9"/>
      <c r="I216" s="9"/>
      <c r="J216" s="9">
        <f ca="1">$D$92</f>
        <v>0</v>
      </c>
      <c r="K216" s="9">
        <f ca="1">J216-R216</f>
        <v>0</v>
      </c>
      <c r="L216" s="9">
        <f ca="1">K216-S216</f>
        <v>0</v>
      </c>
      <c r="M216" s="9">
        <f ca="1">L216-T216</f>
        <v>0</v>
      </c>
      <c r="N216" s="9"/>
      <c r="O216" s="9"/>
      <c r="P216" s="9"/>
      <c r="Q216" s="9">
        <v>0</v>
      </c>
      <c r="R216" s="9">
        <f ca="1">J216</f>
        <v>0</v>
      </c>
      <c r="S216" s="9">
        <v>0</v>
      </c>
      <c r="T216" s="9">
        <v>0</v>
      </c>
      <c r="U216" s="9"/>
      <c r="V216" s="9"/>
      <c r="W216" s="9"/>
      <c r="X216" s="9">
        <f t="shared" si="58"/>
        <v>0</v>
      </c>
      <c r="Y216" s="9">
        <f t="shared" si="58"/>
        <v>0</v>
      </c>
      <c r="Z216" s="9">
        <f t="shared" si="58"/>
        <v>0</v>
      </c>
      <c r="AA216" s="9">
        <f t="shared" si="58"/>
        <v>0</v>
      </c>
    </row>
    <row r="217" spans="1:27" customFormat="1">
      <c r="A217" s="23"/>
      <c r="B217" s="7">
        <f>B216+1</f>
        <v>2021</v>
      </c>
      <c r="C217" s="13" t="str">
        <f>C216</f>
        <v>Semi-annual</v>
      </c>
      <c r="D217" s="13">
        <f t="shared" si="59"/>
        <v>0</v>
      </c>
      <c r="E217" s="13">
        <f t="shared" si="59"/>
        <v>0</v>
      </c>
      <c r="F217" s="14">
        <f>$O$92</f>
        <v>0</v>
      </c>
      <c r="G217" s="13"/>
      <c r="H217" s="9"/>
      <c r="I217" s="9"/>
      <c r="J217" s="9"/>
      <c r="K217" s="9">
        <f ca="1">$E$92</f>
        <v>0</v>
      </c>
      <c r="L217" s="9">
        <f ca="1">K217-S217</f>
        <v>0</v>
      </c>
      <c r="M217" s="9">
        <f ca="1">L217-T217</f>
        <v>0</v>
      </c>
      <c r="N217" s="9"/>
      <c r="O217" s="9"/>
      <c r="P217" s="9"/>
      <c r="Q217" s="9"/>
      <c r="R217" s="9">
        <v>0</v>
      </c>
      <c r="S217" s="9">
        <f ca="1">K217</f>
        <v>0</v>
      </c>
      <c r="T217" s="9">
        <v>0</v>
      </c>
      <c r="U217" s="9"/>
      <c r="V217" s="9"/>
      <c r="W217" s="9"/>
      <c r="X217" s="9"/>
      <c r="Y217" s="9">
        <f t="shared" si="58"/>
        <v>0</v>
      </c>
      <c r="Z217" s="9">
        <f t="shared" si="58"/>
        <v>0</v>
      </c>
      <c r="AA217" s="9">
        <f t="shared" si="58"/>
        <v>0</v>
      </c>
    </row>
    <row r="218" spans="1:27" customFormat="1">
      <c r="A218" s="23"/>
      <c r="B218" s="7">
        <f>B217+1</f>
        <v>2022</v>
      </c>
      <c r="C218" s="13" t="str">
        <f>C217</f>
        <v>Semi-annual</v>
      </c>
      <c r="D218" s="13">
        <f t="shared" si="59"/>
        <v>0</v>
      </c>
      <c r="E218" s="13">
        <f t="shared" si="59"/>
        <v>0</v>
      </c>
      <c r="F218" s="14">
        <f>$P$92</f>
        <v>0</v>
      </c>
      <c r="G218" s="13"/>
      <c r="H218" s="9"/>
      <c r="I218" s="9"/>
      <c r="J218" s="9"/>
      <c r="K218" s="9"/>
      <c r="L218" s="9">
        <f ca="1">$F$92</f>
        <v>0</v>
      </c>
      <c r="M218" s="9">
        <f ca="1">L218-T218</f>
        <v>0</v>
      </c>
      <c r="N218" s="9"/>
      <c r="O218" s="9"/>
      <c r="P218" s="9"/>
      <c r="Q218" s="9"/>
      <c r="R218" s="9"/>
      <c r="S218" s="9">
        <v>0</v>
      </c>
      <c r="T218" s="9">
        <f ca="1">L218</f>
        <v>0</v>
      </c>
      <c r="U218" s="9"/>
      <c r="V218" s="9"/>
      <c r="W218" s="9"/>
      <c r="X218" s="9"/>
      <c r="Y218" s="9"/>
      <c r="Z218" s="9">
        <f t="shared" si="58"/>
        <v>0</v>
      </c>
      <c r="AA218" s="9">
        <f t="shared" si="58"/>
        <v>0</v>
      </c>
    </row>
    <row r="219" spans="1:27" customFormat="1">
      <c r="A219" s="23"/>
      <c r="B219" s="7">
        <f>B218+1</f>
        <v>2023</v>
      </c>
      <c r="C219" s="13" t="str">
        <f>C218</f>
        <v>Semi-annual</v>
      </c>
      <c r="D219" s="13">
        <f t="shared" si="59"/>
        <v>0</v>
      </c>
      <c r="E219" s="13">
        <f t="shared" si="59"/>
        <v>0</v>
      </c>
      <c r="F219" s="14">
        <f>$Q$92</f>
        <v>0</v>
      </c>
      <c r="G219" s="13"/>
      <c r="H219" s="9"/>
      <c r="I219" s="9"/>
      <c r="J219" s="9"/>
      <c r="K219" s="9"/>
      <c r="L219" s="9"/>
      <c r="M219" s="9">
        <f ca="1">$G$92</f>
        <v>0</v>
      </c>
      <c r="N219" s="9"/>
      <c r="O219" s="9"/>
      <c r="P219" s="9"/>
      <c r="Q219" s="9"/>
      <c r="R219" s="9"/>
      <c r="S219" s="9"/>
      <c r="T219" s="9">
        <v>0</v>
      </c>
      <c r="U219" s="9"/>
      <c r="V219" s="9"/>
      <c r="W219" s="9"/>
      <c r="X219" s="9"/>
      <c r="Y219" s="9"/>
      <c r="Z219" s="9"/>
      <c r="AA219" s="9">
        <f t="shared" si="58"/>
        <v>0</v>
      </c>
    </row>
    <row r="220" spans="1:27" ht="15.75" thickBot="1">
      <c r="B220" s="7"/>
      <c r="F220" s="15"/>
      <c r="H220" s="10"/>
      <c r="I220" s="10"/>
      <c r="J220" s="10"/>
      <c r="K220" s="10"/>
      <c r="L220" s="10"/>
      <c r="M220" s="10"/>
      <c r="N220" s="10"/>
      <c r="O220" s="10"/>
      <c r="P220" s="10"/>
      <c r="Q220" s="10"/>
      <c r="R220" s="10"/>
      <c r="S220" s="10"/>
      <c r="T220" s="10"/>
      <c r="U220" s="10"/>
      <c r="V220" s="10"/>
      <c r="W220" s="10"/>
      <c r="X220" s="10"/>
      <c r="Y220" s="10"/>
      <c r="Z220" s="10"/>
      <c r="AA220" s="10"/>
    </row>
    <row r="221" spans="1:27" customFormat="1" ht="15.75" thickBot="1">
      <c r="A221" s="22" t="str">
        <f>'Input 4 - Forecast'!A82</f>
        <v>Denominated in foreign currency</v>
      </c>
      <c r="B221" s="1999" t="s">
        <v>52</v>
      </c>
      <c r="C221" s="2000"/>
      <c r="D221" s="2000"/>
      <c r="E221" s="2000"/>
      <c r="F221" s="2000"/>
      <c r="G221" s="2000"/>
      <c r="H221" s="2000"/>
      <c r="I221" s="2000"/>
      <c r="J221" s="2000"/>
      <c r="K221" s="2000"/>
      <c r="L221" s="2000"/>
      <c r="M221" s="2000"/>
      <c r="N221" s="2000"/>
      <c r="O221" s="2000"/>
      <c r="P221" s="2000"/>
      <c r="Q221" s="2000"/>
      <c r="R221" s="2000"/>
      <c r="S221" s="2000"/>
      <c r="T221" s="2000"/>
      <c r="U221" s="2000"/>
      <c r="V221" s="2000"/>
      <c r="W221" s="2000"/>
      <c r="X221" s="2000"/>
      <c r="Y221" s="2000"/>
      <c r="Z221" s="2000"/>
      <c r="AA221" s="2001"/>
    </row>
    <row r="222" spans="1:27">
      <c r="F222" s="15"/>
      <c r="H222" s="10"/>
      <c r="I222" s="10"/>
      <c r="J222" s="10"/>
      <c r="K222" s="10"/>
      <c r="L222" s="10"/>
      <c r="M222" s="10"/>
      <c r="N222" s="10"/>
      <c r="O222" s="10"/>
      <c r="P222" s="10"/>
      <c r="Q222" s="10"/>
      <c r="R222" s="10"/>
      <c r="S222" s="10"/>
      <c r="T222" s="10"/>
      <c r="U222" s="10"/>
      <c r="V222" s="10"/>
      <c r="W222" s="10"/>
      <c r="X222" s="10"/>
      <c r="Y222" s="10"/>
      <c r="Z222" s="10"/>
      <c r="AA222" s="10"/>
    </row>
    <row r="223" spans="1:27" customFormat="1">
      <c r="A223" s="23"/>
      <c r="B223" s="7">
        <f>B119</f>
        <v>2018</v>
      </c>
      <c r="C223" s="13" t="str">
        <f>$I93</f>
        <v>Semi-annual</v>
      </c>
      <c r="D223" s="13">
        <f>$J93</f>
        <v>0</v>
      </c>
      <c r="E223" s="13">
        <f>$K93</f>
        <v>0</v>
      </c>
      <c r="F223" s="14">
        <f>$L$93</f>
        <v>0</v>
      </c>
      <c r="G223" s="13"/>
      <c r="H223" s="9">
        <f>$B$93/$B$31</f>
        <v>0</v>
      </c>
      <c r="I223" s="9">
        <f>H223-P223</f>
        <v>0</v>
      </c>
      <c r="J223" s="9">
        <f>I223-Q223</f>
        <v>0</v>
      </c>
      <c r="K223" s="9">
        <f>J223-R223</f>
        <v>0</v>
      </c>
      <c r="L223" s="9">
        <f>K223-S223</f>
        <v>0</v>
      </c>
      <c r="M223" s="9">
        <f>L223-T223</f>
        <v>0</v>
      </c>
      <c r="N223" s="9"/>
      <c r="O223" s="9">
        <v>0</v>
      </c>
      <c r="P223" s="9">
        <f>H223</f>
        <v>0</v>
      </c>
      <c r="Q223" s="9">
        <v>0</v>
      </c>
      <c r="R223" s="9">
        <v>0</v>
      </c>
      <c r="S223" s="9">
        <v>0</v>
      </c>
      <c r="T223" s="9">
        <v>0</v>
      </c>
      <c r="U223" s="9"/>
      <c r="V223" s="9">
        <f>IF($C223="annual",IF(V$111=$B223,0,G223*$F223),IF(V$111-$B223=0,0,IF((V$111-$B223)&lt;$E223,AVERAGE(G223,H223)*$F223,IF((V$111-$B223)=$E223,G223*$F223/2,0))))</f>
        <v>0</v>
      </c>
      <c r="W223" s="9">
        <f t="shared" ref="W223:AA228" si="60">IF($C223="annual",IF(W$111=$B223,0,H223*$F223),IF(W$111-$B223=0,0,IF((W$111-$B223)&lt;$E223,AVERAGE(H223,I223)*$F223,IF((W$111-$B223)=$E223,H223*$F223/2,0))))</f>
        <v>0</v>
      </c>
      <c r="X223" s="9">
        <f t="shared" si="60"/>
        <v>0</v>
      </c>
      <c r="Y223" s="9">
        <f t="shared" si="60"/>
        <v>0</v>
      </c>
      <c r="Z223" s="9">
        <f t="shared" si="60"/>
        <v>0</v>
      </c>
      <c r="AA223" s="9">
        <f t="shared" si="60"/>
        <v>0</v>
      </c>
    </row>
    <row r="224" spans="1:27" customFormat="1">
      <c r="A224" s="23"/>
      <c r="B224" s="7">
        <f>B223+1</f>
        <v>2019</v>
      </c>
      <c r="C224" s="13" t="str">
        <f>C223</f>
        <v>Semi-annual</v>
      </c>
      <c r="D224" s="13">
        <f>D223</f>
        <v>0</v>
      </c>
      <c r="E224" s="13">
        <f>E223</f>
        <v>0</v>
      </c>
      <c r="F224" s="14">
        <f>$M$93</f>
        <v>0</v>
      </c>
      <c r="G224" s="13"/>
      <c r="H224" s="9"/>
      <c r="I224" s="9">
        <f ca="1">$C$93/$C$31</f>
        <v>0</v>
      </c>
      <c r="J224" s="9">
        <f ca="1">I224-Q224</f>
        <v>0</v>
      </c>
      <c r="K224" s="9">
        <f ca="1">J224-R224</f>
        <v>0</v>
      </c>
      <c r="L224" s="9">
        <f ca="1">K224-S224</f>
        <v>0</v>
      </c>
      <c r="M224" s="9">
        <f ca="1">L224-T224</f>
        <v>0</v>
      </c>
      <c r="N224" s="9"/>
      <c r="O224" s="9"/>
      <c r="P224" s="9">
        <v>0</v>
      </c>
      <c r="Q224" s="9">
        <f ca="1">I224</f>
        <v>0</v>
      </c>
      <c r="R224" s="9">
        <v>0</v>
      </c>
      <c r="S224" s="9">
        <v>0</v>
      </c>
      <c r="T224" s="9">
        <v>0</v>
      </c>
      <c r="U224" s="9"/>
      <c r="V224" s="9"/>
      <c r="W224" s="9">
        <f t="shared" si="60"/>
        <v>0</v>
      </c>
      <c r="X224" s="9">
        <f t="shared" si="60"/>
        <v>0</v>
      </c>
      <c r="Y224" s="9">
        <f t="shared" si="60"/>
        <v>0</v>
      </c>
      <c r="Z224" s="9">
        <f t="shared" si="60"/>
        <v>0</v>
      </c>
      <c r="AA224" s="9">
        <f t="shared" si="60"/>
        <v>0</v>
      </c>
    </row>
    <row r="225" spans="1:27" customFormat="1">
      <c r="A225" s="23"/>
      <c r="B225" s="7">
        <f>B224+1</f>
        <v>2020</v>
      </c>
      <c r="C225" s="13" t="str">
        <f>C224</f>
        <v>Semi-annual</v>
      </c>
      <c r="D225" s="13">
        <f t="shared" ref="D225:E228" si="61">D224</f>
        <v>0</v>
      </c>
      <c r="E225" s="13">
        <f t="shared" si="61"/>
        <v>0</v>
      </c>
      <c r="F225" s="14">
        <f>$N$93</f>
        <v>0</v>
      </c>
      <c r="G225" s="13"/>
      <c r="H225" s="9"/>
      <c r="I225" s="9"/>
      <c r="J225" s="9">
        <f ca="1">$D$93/$D$31</f>
        <v>0</v>
      </c>
      <c r="K225" s="9">
        <f ca="1">J225-R225</f>
        <v>0</v>
      </c>
      <c r="L225" s="9">
        <f ca="1">K225-S225</f>
        <v>0</v>
      </c>
      <c r="M225" s="9">
        <f ca="1">L225-T225</f>
        <v>0</v>
      </c>
      <c r="N225" s="9"/>
      <c r="O225" s="9"/>
      <c r="P225" s="9"/>
      <c r="Q225" s="9">
        <v>0</v>
      </c>
      <c r="R225" s="9">
        <f ca="1">J225</f>
        <v>0</v>
      </c>
      <c r="S225" s="9">
        <v>0</v>
      </c>
      <c r="T225" s="9">
        <v>0</v>
      </c>
      <c r="U225" s="9"/>
      <c r="V225" s="9"/>
      <c r="W225" s="9"/>
      <c r="X225" s="9">
        <f t="shared" si="60"/>
        <v>0</v>
      </c>
      <c r="Y225" s="9">
        <f t="shared" si="60"/>
        <v>0</v>
      </c>
      <c r="Z225" s="9">
        <f t="shared" si="60"/>
        <v>0</v>
      </c>
      <c r="AA225" s="9">
        <f t="shared" si="60"/>
        <v>0</v>
      </c>
    </row>
    <row r="226" spans="1:27" customFormat="1">
      <c r="A226" s="23"/>
      <c r="B226" s="7">
        <f>B225+1</f>
        <v>2021</v>
      </c>
      <c r="C226" s="13" t="str">
        <f>C225</f>
        <v>Semi-annual</v>
      </c>
      <c r="D226" s="13">
        <f t="shared" si="61"/>
        <v>0</v>
      </c>
      <c r="E226" s="13">
        <f t="shared" si="61"/>
        <v>0</v>
      </c>
      <c r="F226" s="14">
        <f>$O$93</f>
        <v>0</v>
      </c>
      <c r="G226" s="13"/>
      <c r="H226" s="9"/>
      <c r="I226" s="9"/>
      <c r="J226" s="9"/>
      <c r="K226" s="9">
        <f ca="1">$E$93/$E$31</f>
        <v>0</v>
      </c>
      <c r="L226" s="9">
        <f ca="1">K226-S226</f>
        <v>0</v>
      </c>
      <c r="M226" s="9">
        <f ca="1">L226-T226</f>
        <v>0</v>
      </c>
      <c r="N226" s="9"/>
      <c r="O226" s="9"/>
      <c r="P226" s="9"/>
      <c r="Q226" s="9"/>
      <c r="R226" s="9">
        <v>0</v>
      </c>
      <c r="S226" s="9">
        <f ca="1">K226</f>
        <v>0</v>
      </c>
      <c r="T226" s="9">
        <v>0</v>
      </c>
      <c r="U226" s="9"/>
      <c r="V226" s="9"/>
      <c r="W226" s="9"/>
      <c r="X226" s="9"/>
      <c r="Y226" s="9">
        <f t="shared" si="60"/>
        <v>0</v>
      </c>
      <c r="Z226" s="9">
        <f t="shared" si="60"/>
        <v>0</v>
      </c>
      <c r="AA226" s="9">
        <f t="shared" si="60"/>
        <v>0</v>
      </c>
    </row>
    <row r="227" spans="1:27" customFormat="1">
      <c r="A227" s="23"/>
      <c r="B227" s="7">
        <f>B226+1</f>
        <v>2022</v>
      </c>
      <c r="C227" s="13" t="str">
        <f>C226</f>
        <v>Semi-annual</v>
      </c>
      <c r="D227" s="13">
        <f t="shared" si="61"/>
        <v>0</v>
      </c>
      <c r="E227" s="13">
        <f t="shared" si="61"/>
        <v>0</v>
      </c>
      <c r="F227" s="14">
        <f>$P$93</f>
        <v>0</v>
      </c>
      <c r="G227" s="13"/>
      <c r="H227" s="9"/>
      <c r="I227" s="9"/>
      <c r="J227" s="9"/>
      <c r="K227" s="9"/>
      <c r="L227" s="9">
        <f ca="1">$F$93/$F$31</f>
        <v>0</v>
      </c>
      <c r="M227" s="9">
        <f ca="1">L227-T227</f>
        <v>0</v>
      </c>
      <c r="N227" s="9"/>
      <c r="O227" s="9"/>
      <c r="P227" s="9"/>
      <c r="Q227" s="9"/>
      <c r="R227" s="9"/>
      <c r="S227" s="9">
        <v>0</v>
      </c>
      <c r="T227" s="9">
        <f ca="1">L227</f>
        <v>0</v>
      </c>
      <c r="U227" s="9"/>
      <c r="V227" s="9"/>
      <c r="W227" s="9"/>
      <c r="X227" s="9"/>
      <c r="Y227" s="9"/>
      <c r="Z227" s="9">
        <f t="shared" si="60"/>
        <v>0</v>
      </c>
      <c r="AA227" s="9">
        <f t="shared" si="60"/>
        <v>0</v>
      </c>
    </row>
    <row r="228" spans="1:27" customFormat="1">
      <c r="A228" s="23"/>
      <c r="B228" s="7">
        <f>B227+1</f>
        <v>2023</v>
      </c>
      <c r="C228" s="13" t="str">
        <f>C227</f>
        <v>Semi-annual</v>
      </c>
      <c r="D228" s="13">
        <f t="shared" si="61"/>
        <v>0</v>
      </c>
      <c r="E228" s="13">
        <f t="shared" si="61"/>
        <v>0</v>
      </c>
      <c r="F228" s="14">
        <f>$Q$93</f>
        <v>0</v>
      </c>
      <c r="G228" s="13"/>
      <c r="H228" s="9"/>
      <c r="I228" s="9"/>
      <c r="J228" s="9"/>
      <c r="K228" s="9"/>
      <c r="L228" s="9"/>
      <c r="M228" s="9">
        <f ca="1">$G$93/$G$31</f>
        <v>0</v>
      </c>
      <c r="N228" s="9"/>
      <c r="O228" s="9"/>
      <c r="P228" s="9"/>
      <c r="Q228" s="9"/>
      <c r="R228" s="9"/>
      <c r="S228" s="9"/>
      <c r="T228" s="9">
        <v>0</v>
      </c>
      <c r="U228" s="9"/>
      <c r="V228" s="9"/>
      <c r="W228" s="9"/>
      <c r="X228" s="9"/>
      <c r="Y228" s="9"/>
      <c r="Z228" s="9"/>
      <c r="AA228" s="9">
        <f t="shared" si="60"/>
        <v>0</v>
      </c>
    </row>
    <row r="230" spans="1:27" ht="15.75" thickBot="1">
      <c r="A230" s="11" t="str">
        <f>'Input 4 - Forecast'!A75</f>
        <v>Long-term debt 3/</v>
      </c>
    </row>
    <row r="231" spans="1:27" ht="15.75" thickBot="1">
      <c r="A231" s="12" t="str">
        <f>'Input 4 - Forecast'!A76</f>
        <v>Denominated in local currency</v>
      </c>
      <c r="B231" s="1999" t="s">
        <v>51</v>
      </c>
      <c r="C231" s="2000"/>
      <c r="D231" s="2000"/>
      <c r="E231" s="2000"/>
      <c r="F231" s="2000"/>
      <c r="G231" s="2000"/>
      <c r="H231" s="2000"/>
      <c r="I231" s="2000"/>
      <c r="J231" s="2000"/>
      <c r="K231" s="2000"/>
      <c r="L231" s="2000"/>
      <c r="M231" s="2000"/>
      <c r="N231" s="2000"/>
      <c r="O231" s="2000"/>
      <c r="P231" s="2000"/>
      <c r="Q231" s="2000"/>
      <c r="R231" s="2000"/>
      <c r="S231" s="2000"/>
      <c r="T231" s="2000"/>
      <c r="U231" s="2000"/>
      <c r="V231" s="2000"/>
      <c r="W231" s="2000"/>
      <c r="X231" s="2000"/>
      <c r="Y231" s="2000"/>
      <c r="Z231" s="2000"/>
      <c r="AA231" s="2001"/>
    </row>
    <row r="233" spans="1:27">
      <c r="A233" s="8" t="str">
        <f>'Input 4 - Forecast'!A77</f>
        <v>Type 11</v>
      </c>
      <c r="B233" s="7">
        <f>B119</f>
        <v>2018</v>
      </c>
      <c r="C233" s="7" t="str">
        <f>$I96</f>
        <v>Annual</v>
      </c>
      <c r="D233" s="7">
        <f>$J96</f>
        <v>10</v>
      </c>
      <c r="E233" s="7">
        <f>$K96</f>
        <v>10</v>
      </c>
      <c r="F233" s="14">
        <f>$L$96</f>
        <v>1.125E-2</v>
      </c>
      <c r="H233" s="9">
        <f>$B$96</f>
        <v>499.99798625313935</v>
      </c>
      <c r="I233" s="9">
        <f>H233-P233</f>
        <v>499.99798625313935</v>
      </c>
      <c r="J233" s="9">
        <f>I233-Q233</f>
        <v>499.99798625313935</v>
      </c>
      <c r="K233" s="9">
        <f>J233-R233</f>
        <v>499.99798625313935</v>
      </c>
      <c r="L233" s="9">
        <f>K233-S233</f>
        <v>499.99798625313935</v>
      </c>
      <c r="M233" s="9">
        <f>L233-T233</f>
        <v>499.99798625313935</v>
      </c>
      <c r="N233" s="9"/>
      <c r="O233" s="9">
        <f t="shared" ref="O233:T233" si="62">IF(OR($C233="Annual",$D233=$E233),IF(AND($D233=$E233,O$111=$B233+$D233),$H233,IF(AND(O$111&gt;$B233+$D233,O$111&lt;=$B233+$E233), $H233/($E233-$D233),0)), IF(OR(O$111=$B233+$D233,O$111=$B233+$E233),$H233/(($E233-$D233)*2),IF(AND(O$111&gt;$B233+$D233,O$111&lt;$B233+$E233),$H233/($E233-$D233),0)))</f>
        <v>0</v>
      </c>
      <c r="P233" s="9">
        <f t="shared" si="62"/>
        <v>0</v>
      </c>
      <c r="Q233" s="9">
        <f t="shared" si="62"/>
        <v>0</v>
      </c>
      <c r="R233" s="9">
        <f t="shared" si="62"/>
        <v>0</v>
      </c>
      <c r="S233" s="9">
        <f t="shared" si="62"/>
        <v>0</v>
      </c>
      <c r="T233" s="9">
        <f t="shared" si="62"/>
        <v>0</v>
      </c>
      <c r="U233" s="9"/>
      <c r="V233" s="9">
        <f>IF($C233="annual",IF(V$111=$B233,0,G233*$F233),IF(V$111-$B233=0,0,IF((V$111-$B233)&lt;$E233,AVERAGE(G233,H233)*$F233,IF((V$111-$B233)=$E233,G233*$F233/2,0))))</f>
        <v>0</v>
      </c>
      <c r="W233" s="9">
        <f t="shared" ref="W233:AA238" si="63">IF($C233="annual",IF(W$111=$B233,0,H233*$F233),IF(W$111-$B233=0,0,IF((W$111-$B233)&lt;$E233,AVERAGE(H233,I233)*$F233,IF((W$111-$B233)=$E233,H233*$F233/2,0))))</f>
        <v>5.6249773453478173</v>
      </c>
      <c r="X233" s="9">
        <f t="shared" si="63"/>
        <v>5.6249773453478173</v>
      </c>
      <c r="Y233" s="9">
        <f t="shared" si="63"/>
        <v>5.6249773453478173</v>
      </c>
      <c r="Z233" s="9">
        <f t="shared" si="63"/>
        <v>5.6249773453478173</v>
      </c>
      <c r="AA233" s="9">
        <f t="shared" si="63"/>
        <v>5.6249773453478173</v>
      </c>
    </row>
    <row r="234" spans="1:27">
      <c r="A234" s="8" t="str">
        <f>A233</f>
        <v>Type 11</v>
      </c>
      <c r="B234" s="7">
        <f>B233+1</f>
        <v>2019</v>
      </c>
      <c r="C234" s="7" t="str">
        <f>C233</f>
        <v>Annual</v>
      </c>
      <c r="D234" s="7">
        <f t="shared" ref="D234:E238" si="64">D233</f>
        <v>10</v>
      </c>
      <c r="E234" s="7">
        <f t="shared" si="64"/>
        <v>10</v>
      </c>
      <c r="F234" s="14">
        <f>$M$96</f>
        <v>1.8749999999999999E-2</v>
      </c>
      <c r="H234" s="9"/>
      <c r="I234" s="9">
        <f ca="1">$C$96</f>
        <v>0</v>
      </c>
      <c r="J234" s="9">
        <f ca="1">I234-Q234</f>
        <v>0</v>
      </c>
      <c r="K234" s="9">
        <f ca="1">J234-R234</f>
        <v>0</v>
      </c>
      <c r="L234" s="9">
        <f ca="1">K234-S234</f>
        <v>0</v>
      </c>
      <c r="M234" s="9">
        <f ca="1">L234-T234</f>
        <v>0</v>
      </c>
      <c r="N234" s="9"/>
      <c r="O234" s="9"/>
      <c r="P234" s="9">
        <f>IF(OR($C234="Annual",$D234=$E234),IF(AND($D234=$E234,P$111=$B234+$D234),$I234,IF(AND(P$111&gt;$B234+$D234,P$111&lt;=$B234+$E234), $I234/($E234-$D234),0)), IF(OR(P$111=$B234+$D234,P$111=$B234+$E234),$I234/(($E234-$D234)*2),IF(AND(P$111&gt;$B234+$D234,P$111&lt;$B234+$E234),$I234/($E234-$D234),0)))</f>
        <v>0</v>
      </c>
      <c r="Q234" s="9">
        <f>IF(OR($C234="Annual",$D234=$E234),IF(AND($D234=$E234,Q$111=$B234+$D234),$I234,IF(AND(Q$111&gt;$B234+$D234,Q$111&lt;=$B234+$E234), $I234/($E234-$D234),0)), IF(OR(Q$111=$B234+$D234,Q$111=$B234+$E234),$I234/(($E234-$D234)*2),IF(AND(Q$111&gt;$B234+$D234,Q$111&lt;$B234+$E234),$I234/($E234-$D234),0)))</f>
        <v>0</v>
      </c>
      <c r="R234" s="9">
        <f>IF(OR($C234="Annual",$D234=$E234),IF(AND($D234=$E234,R$111=$B234+$D234),$I234,IF(AND(R$111&gt;$B234+$D234,R$111&lt;=$B234+$E234), $I234/($E234-$D234),0)), IF(OR(R$111=$B234+$D234,R$111=$B234+$E234),$I234/(($E234-$D234)*2),IF(AND(R$111&gt;$B234+$D234,R$111&lt;$B234+$E234),$I234/($E234-$D234),0)))</f>
        <v>0</v>
      </c>
      <c r="S234" s="9">
        <f>IF(OR($C234="Annual",$D234=$E234),IF(AND($D234=$E234,S$111=$B234+$D234),$I234,IF(AND(S$111&gt;$B234+$D234,S$111&lt;=$B234+$E234), $I234/($E234-$D234),0)), IF(OR(S$111=$B234+$D234,S$111=$B234+$E234),$I234/(($E234-$D234)*2),IF(AND(S$111&gt;$B234+$D234,S$111&lt;$B234+$E234),$I234/($E234-$D234),0)))</f>
        <v>0</v>
      </c>
      <c r="T234" s="9">
        <f>IF(OR($C234="Annual",$D234=$E234),IF(AND($D234=$E234,T$111=$B234+$D234),$I234,IF(AND(T$111&gt;$B234+$D234,T$111&lt;=$B234+$E234), $I234/($E234-$D234),0)), IF(OR(T$111=$B234+$D234,T$111=$B234+$E234),$I234/(($E234-$D234)*2),IF(AND(T$111&gt;$B234+$D234,T$111&lt;$B234+$E234),$I234/($E234-$D234),0)))</f>
        <v>0</v>
      </c>
      <c r="U234" s="9"/>
      <c r="V234" s="9"/>
      <c r="W234" s="9">
        <f t="shared" si="63"/>
        <v>0</v>
      </c>
      <c r="X234" s="9">
        <f t="shared" ca="1" si="63"/>
        <v>0</v>
      </c>
      <c r="Y234" s="9">
        <f t="shared" ca="1" si="63"/>
        <v>0</v>
      </c>
      <c r="Z234" s="9">
        <f t="shared" ca="1" si="63"/>
        <v>0</v>
      </c>
      <c r="AA234" s="9">
        <f t="shared" ca="1" si="63"/>
        <v>0</v>
      </c>
    </row>
    <row r="235" spans="1:27">
      <c r="A235" s="8" t="str">
        <f>A234</f>
        <v>Type 11</v>
      </c>
      <c r="B235" s="7">
        <f>B234+1</f>
        <v>2020</v>
      </c>
      <c r="C235" s="7" t="str">
        <f>C234</f>
        <v>Annual</v>
      </c>
      <c r="D235" s="7">
        <f t="shared" si="64"/>
        <v>10</v>
      </c>
      <c r="E235" s="7">
        <f t="shared" si="64"/>
        <v>10</v>
      </c>
      <c r="F235" s="14">
        <f>$N$96</f>
        <v>2.1999999999999999E-2</v>
      </c>
      <c r="H235" s="9"/>
      <c r="I235" s="9"/>
      <c r="J235" s="9">
        <f ca="1">$D$96</f>
        <v>0</v>
      </c>
      <c r="K235" s="9">
        <f ca="1">J235-R235</f>
        <v>0</v>
      </c>
      <c r="L235" s="9">
        <f ca="1">K235-S235</f>
        <v>0</v>
      </c>
      <c r="M235" s="9">
        <f ca="1">L235-T235</f>
        <v>0</v>
      </c>
      <c r="N235" s="9"/>
      <c r="O235" s="9"/>
      <c r="P235" s="9"/>
      <c r="Q235" s="9">
        <f>IF(OR($C235="Annual",$D235=$E235),IF(AND($D235=$E235,Q$111=$B235+$D235),$J235,IF(AND(Q$111&gt;$B235+$D235,Q$111&lt;=$B235+$E235), $J235/($E235-$D235),0)), IF(OR(Q$111=$B235+$D235,Q$111=$B235+$E235),$J235/(($E235-$D235)*2),IF(AND(Q$111&gt;$B235+$D235,Q$111&lt;$B235+$E235),$J235/($E235-$D235),0)))</f>
        <v>0</v>
      </c>
      <c r="R235" s="9">
        <f>IF(OR($C235="Annual",$D235=$E235),IF(AND($D235=$E235,R$111=$B235+$D235),$J235,IF(AND(R$111&gt;$B235+$D235,R$111&lt;=$B235+$E235), $J235/($E235-$D235),0)), IF(OR(R$111=$B235+$D235,R$111=$B235+$E235),$J235/(($E235-$D235)*2),IF(AND(R$111&gt;$B235+$D235,R$111&lt;$B235+$E235),$J235/($E235-$D235),0)))</f>
        <v>0</v>
      </c>
      <c r="S235" s="9">
        <f>IF(OR($C235="Annual",$D235=$E235),IF(AND($D235=$E235,S$111=$B235+$D235),$J235,IF(AND(S$111&gt;$B235+$D235,S$111&lt;=$B235+$E235), $J235/($E235-$D235),0)), IF(OR(S$111=$B235+$D235,S$111=$B235+$E235),$J235/(($E235-$D235)*2),IF(AND(S$111&gt;$B235+$D235,S$111&lt;$B235+$E235),$J235/($E235-$D235),0)))</f>
        <v>0</v>
      </c>
      <c r="T235" s="9">
        <f>IF(OR($C235="Annual",$D235=$E235),IF(AND($D235=$E235,T$111=$B235+$D235),$J235,IF(AND(T$111&gt;$B235+$D235,T$111&lt;=$B235+$E235), $J235/($E235-$D235),0)), IF(OR(T$111=$B235+$D235,T$111=$B235+$E235),$J235/(($E235-$D235)*2),IF(AND(T$111&gt;$B235+$D235,T$111&lt;$B235+$E235),$J235/($E235-$D235),0)))</f>
        <v>0</v>
      </c>
      <c r="U235" s="9"/>
      <c r="V235" s="9"/>
      <c r="W235" s="9"/>
      <c r="X235" s="9">
        <f t="shared" si="63"/>
        <v>0</v>
      </c>
      <c r="Y235" s="9">
        <f t="shared" ca="1" si="63"/>
        <v>0</v>
      </c>
      <c r="Z235" s="9">
        <f t="shared" ca="1" si="63"/>
        <v>0</v>
      </c>
      <c r="AA235" s="9">
        <f t="shared" ca="1" si="63"/>
        <v>0</v>
      </c>
    </row>
    <row r="236" spans="1:27">
      <c r="A236" s="8" t="str">
        <f>A235</f>
        <v>Type 11</v>
      </c>
      <c r="B236" s="7">
        <f>B235+1</f>
        <v>2021</v>
      </c>
      <c r="C236" s="7" t="str">
        <f>C235</f>
        <v>Annual</v>
      </c>
      <c r="D236" s="7">
        <f t="shared" si="64"/>
        <v>10</v>
      </c>
      <c r="E236" s="7">
        <f t="shared" si="64"/>
        <v>10</v>
      </c>
      <c r="F236" s="14">
        <f>$O$96</f>
        <v>2.1999999999999999E-2</v>
      </c>
      <c r="H236" s="9"/>
      <c r="I236" s="9"/>
      <c r="J236" s="9"/>
      <c r="K236" s="9">
        <f ca="1">$E$96</f>
        <v>0</v>
      </c>
      <c r="L236" s="9">
        <f ca="1">K236-S236</f>
        <v>0</v>
      </c>
      <c r="M236" s="9">
        <f ca="1">L236-T236</f>
        <v>0</v>
      </c>
      <c r="N236" s="9"/>
      <c r="O236" s="9"/>
      <c r="P236" s="9"/>
      <c r="Q236" s="9"/>
      <c r="R236" s="9">
        <f>IF(OR($C236="Annual",$D236=$E236),IF(AND($D236=$E236,R$111=$B236+$D236),$K236,IF(AND(R$111&gt;$B236+$D236,R$111&lt;=$B236+$E236), $K236/($E236-$D236),0)), IF(OR(R$111=$B236+$D236,R$111=$B236+$E236),$K236/(($E236-$D236)*2),IF(AND(R$111&gt;$B236+$D236,R$111&lt;$B236+$E236),$K236/($E236-$D236),0)))</f>
        <v>0</v>
      </c>
      <c r="S236" s="9">
        <f>IF(OR($C236="Annual",$D236=$E236),IF(AND($D236=$E236,S$111=$B236+$D236),$K236,IF(AND(S$111&gt;$B236+$D236,S$111&lt;=$B236+$E236), $K236/($E236-$D236),0)), IF(OR(S$111=$B236+$D236,S$111=$B236+$E236),$K236/(($E236-$D236)*2),IF(AND(S$111&gt;$B236+$D236,S$111&lt;$B236+$E236),$K236/($E236-$D236),0)))</f>
        <v>0</v>
      </c>
      <c r="T236" s="9">
        <f>IF(OR($C236="Annual",$D236=$E236),IF(AND($D236=$E236,T$111=$B236+$D236),$K236,IF(AND(T$111&gt;$B236+$D236,T$111&lt;=$B236+$E236), $K236/($E236-$D236),0)), IF(OR(T$111=$B236+$D236,T$111=$B236+$E236),$K236/(($E236-$D236)*2),IF(AND(T$111&gt;$B236+$D236,T$111&lt;$B236+$E236),$K236/($E236-$D236),0)))</f>
        <v>0</v>
      </c>
      <c r="U236" s="9"/>
      <c r="V236" s="9"/>
      <c r="W236" s="9"/>
      <c r="X236" s="9"/>
      <c r="Y236" s="9">
        <f t="shared" si="63"/>
        <v>0</v>
      </c>
      <c r="Z236" s="9">
        <f t="shared" ca="1" si="63"/>
        <v>0</v>
      </c>
      <c r="AA236" s="9">
        <f t="shared" ca="1" si="63"/>
        <v>0</v>
      </c>
    </row>
    <row r="237" spans="1:27">
      <c r="A237" s="8" t="str">
        <f>A236</f>
        <v>Type 11</v>
      </c>
      <c r="B237" s="7">
        <f>B236+1</f>
        <v>2022</v>
      </c>
      <c r="C237" s="7" t="str">
        <f>C236</f>
        <v>Annual</v>
      </c>
      <c r="D237" s="7">
        <f t="shared" si="64"/>
        <v>10</v>
      </c>
      <c r="E237" s="7">
        <f t="shared" si="64"/>
        <v>10</v>
      </c>
      <c r="F237" s="14">
        <f>$P$96</f>
        <v>2.1999999999999999E-2</v>
      </c>
      <c r="H237" s="9"/>
      <c r="I237" s="9"/>
      <c r="J237" s="9"/>
      <c r="K237" s="9"/>
      <c r="L237" s="9">
        <f ca="1">$F$96</f>
        <v>0</v>
      </c>
      <c r="M237" s="9">
        <f ca="1">L237-T237</f>
        <v>0</v>
      </c>
      <c r="N237" s="9"/>
      <c r="O237" s="9"/>
      <c r="P237" s="9"/>
      <c r="Q237" s="9"/>
      <c r="R237" s="9"/>
      <c r="S237" s="9">
        <f>IF(OR($C237="Annual",$D237=$E237),IF(AND($D237=$E237,S$111=$B237+$D237),$L237,IF(AND(S$111&gt;$B237+$D237,S$111&lt;=$B237+$E237), $L237/($E237-$D237),0)), IF(OR(S$111=$B237+$D237,S$111=$B237+$E237),$L237/(($E237-$D237)*2),IF(AND(S$111&gt;$B237+$D237,S$111&lt;$B237+$E237),$L237/($E237-$D237),0)))</f>
        <v>0</v>
      </c>
      <c r="T237" s="9">
        <f>IF(OR($C237="Annual",$D237=$E237),IF(AND($D237=$E237,T$111=$B237+$D237),$L237,IF(AND(T$111&gt;$B237+$D237,T$111&lt;=$B237+$E237), $L237/($E237-$D237),0)), IF(OR(T$111=$B237+$D237,T$111=$B237+$E237),$L237/(($E237-$D237)*2),IF(AND(T$111&gt;$B237+$D237,T$111&lt;$B237+$E237),$L237/($E237-$D237),0)))</f>
        <v>0</v>
      </c>
      <c r="U237" s="9"/>
      <c r="V237" s="9"/>
      <c r="W237" s="9"/>
      <c r="X237" s="9"/>
      <c r="Y237" s="9"/>
      <c r="Z237" s="9">
        <f t="shared" si="63"/>
        <v>0</v>
      </c>
      <c r="AA237" s="9">
        <f t="shared" ca="1" si="63"/>
        <v>0</v>
      </c>
    </row>
    <row r="238" spans="1:27">
      <c r="A238" s="8" t="str">
        <f>A237</f>
        <v>Type 11</v>
      </c>
      <c r="B238" s="7">
        <f>B237+1</f>
        <v>2023</v>
      </c>
      <c r="C238" s="7" t="str">
        <f>C237</f>
        <v>Annual</v>
      </c>
      <c r="D238" s="7">
        <f t="shared" si="64"/>
        <v>10</v>
      </c>
      <c r="E238" s="7">
        <f t="shared" si="64"/>
        <v>10</v>
      </c>
      <c r="F238" s="14">
        <f>$Q$96</f>
        <v>2.1999999999999999E-2</v>
      </c>
      <c r="H238" s="9"/>
      <c r="I238" s="9"/>
      <c r="J238" s="9"/>
      <c r="K238" s="9"/>
      <c r="L238" s="9"/>
      <c r="M238" s="9">
        <f ca="1">$G$96</f>
        <v>0</v>
      </c>
      <c r="N238" s="9"/>
      <c r="O238" s="9"/>
      <c r="P238" s="9"/>
      <c r="Q238" s="9"/>
      <c r="R238" s="9"/>
      <c r="S238" s="9"/>
      <c r="T238" s="9">
        <f>IF(OR($C238="Annual",$D238=$E238),IF(AND($D238=$E238,T$111=$B238+$D238),$M238,IF(AND(T$111&gt;$B238+$D238,T$111&lt;=$B238+$E238), $M238/($E238-$D238),0)), IF(OR(T$111=$B238+$D238,T$111=$B238+$E238),$M238/(($E238-$D238)*2),IF(AND(T$111&gt;$B238+$D238,T$111&lt;$B238+$E238),$M238/($E238-$D238),0)))</f>
        <v>0</v>
      </c>
      <c r="U238" s="9"/>
      <c r="V238" s="9"/>
      <c r="W238" s="9"/>
      <c r="X238" s="9"/>
      <c r="Y238" s="9"/>
      <c r="Z238" s="9"/>
      <c r="AA238" s="9">
        <f t="shared" si="63"/>
        <v>0</v>
      </c>
    </row>
    <row r="239" spans="1:27">
      <c r="C239" s="281"/>
      <c r="F239" s="15"/>
      <c r="H239" s="10"/>
      <c r="I239" s="10"/>
      <c r="J239" s="10"/>
      <c r="K239" s="10"/>
      <c r="L239" s="10"/>
      <c r="M239" s="10"/>
      <c r="N239" s="10"/>
      <c r="O239" s="278"/>
      <c r="P239" s="10"/>
      <c r="Q239" s="10"/>
      <c r="R239" s="10"/>
      <c r="S239" s="10"/>
      <c r="T239" s="10"/>
      <c r="U239" s="10"/>
      <c r="V239" s="10"/>
      <c r="W239" s="10"/>
      <c r="X239" s="10"/>
      <c r="Y239" s="10"/>
      <c r="Z239" s="10"/>
      <c r="AA239" s="10"/>
    </row>
    <row r="240" spans="1:27">
      <c r="A240" s="8" t="str">
        <f>'Input 4 - Forecast'!A78</f>
        <v>Type 12</v>
      </c>
      <c r="B240" s="7">
        <f>B119</f>
        <v>2018</v>
      </c>
      <c r="C240" s="7" t="str">
        <f>$I97</f>
        <v>Annual</v>
      </c>
      <c r="D240" s="7">
        <f>$J97</f>
        <v>30</v>
      </c>
      <c r="E240" s="7">
        <f>$K97</f>
        <v>30</v>
      </c>
      <c r="F240" s="14">
        <f>$L$97</f>
        <v>2.2499999999999999E-2</v>
      </c>
      <c r="H240" s="9">
        <f>$B$97</f>
        <v>499.99798625313935</v>
      </c>
      <c r="I240" s="9">
        <f>H240-P240</f>
        <v>499.99798625313935</v>
      </c>
      <c r="J240" s="9">
        <f>I240-Q240</f>
        <v>499.99798625313935</v>
      </c>
      <c r="K240" s="9">
        <f>J240-R240</f>
        <v>499.99798625313935</v>
      </c>
      <c r="L240" s="9">
        <f>K240-S240</f>
        <v>499.99798625313935</v>
      </c>
      <c r="M240" s="9">
        <f>L240-T240</f>
        <v>499.99798625313935</v>
      </c>
      <c r="N240" s="9"/>
      <c r="O240" s="9">
        <f t="shared" ref="O240:T240" si="65">IF(OR($C240="Annual",$D240=$E240),IF(AND($D240=$E240,O$111=$B240+$D240),$H240,IF(AND(O$111&gt;$B240+$D240,O$111&lt;=$B240+$E240), $H240/($E240-$D240),0)), IF(OR(O$111=$B240+$D240,O$111=$B240+$E240),$H240/(($E240-$D240)*2),IF(AND(O$111&gt;$B240+$D240,O$111&lt;$B240+$E240),$H240/($E240-$D240),0)))</f>
        <v>0</v>
      </c>
      <c r="P240" s="9">
        <f t="shared" si="65"/>
        <v>0</v>
      </c>
      <c r="Q240" s="9">
        <f t="shared" si="65"/>
        <v>0</v>
      </c>
      <c r="R240" s="9">
        <f t="shared" si="65"/>
        <v>0</v>
      </c>
      <c r="S240" s="9">
        <f t="shared" si="65"/>
        <v>0</v>
      </c>
      <c r="T240" s="9">
        <f t="shared" si="65"/>
        <v>0</v>
      </c>
      <c r="U240" s="9"/>
      <c r="V240" s="9">
        <f>IF($C240="annual",IF(V$111=$B240,0,G240*$F240),IF(V$111-$B240=0,0,IF((V$111-$B240)&lt;$E240,AVERAGE(G240,H240)*$F240,IF((V$111-$B240)=$E240,G240*$F240/2,0))))</f>
        <v>0</v>
      </c>
      <c r="W240" s="9">
        <f t="shared" ref="W240:AA245" si="66">IF($C240="annual",IF(W$111=$B240,0,H240*$F240),IF(W$111-$B240=0,0,IF((W$111-$B240)&lt;$E240,AVERAGE(H240,I240)*$F240,IF((W$111-$B240)=$E240,H240*$F240/2,0))))</f>
        <v>11.249954690695635</v>
      </c>
      <c r="X240" s="9">
        <f t="shared" si="66"/>
        <v>11.249954690695635</v>
      </c>
      <c r="Y240" s="9">
        <f t="shared" si="66"/>
        <v>11.249954690695635</v>
      </c>
      <c r="Z240" s="9">
        <f t="shared" si="66"/>
        <v>11.249954690695635</v>
      </c>
      <c r="AA240" s="9">
        <f t="shared" si="66"/>
        <v>11.249954690695635</v>
      </c>
    </row>
    <row r="241" spans="1:27">
      <c r="A241" s="8" t="str">
        <f>A240</f>
        <v>Type 12</v>
      </c>
      <c r="B241" s="7">
        <f>B240+1</f>
        <v>2019</v>
      </c>
      <c r="C241" s="7" t="str">
        <f>C240</f>
        <v>Annual</v>
      </c>
      <c r="D241" s="7">
        <f>D240</f>
        <v>30</v>
      </c>
      <c r="E241" s="7">
        <f>E240</f>
        <v>30</v>
      </c>
      <c r="F241" s="14">
        <f>$M$97</f>
        <v>0</v>
      </c>
      <c r="H241" s="9"/>
      <c r="I241" s="9">
        <f ca="1">$C$97</f>
        <v>0</v>
      </c>
      <c r="J241" s="9">
        <f ca="1">I241-Q241</f>
        <v>0</v>
      </c>
      <c r="K241" s="9">
        <f ca="1">J241-R241</f>
        <v>0</v>
      </c>
      <c r="L241" s="9">
        <f ca="1">K241-S241</f>
        <v>0</v>
      </c>
      <c r="M241" s="9">
        <f ca="1">L241-T241</f>
        <v>0</v>
      </c>
      <c r="N241" s="9"/>
      <c r="O241" s="9"/>
      <c r="P241" s="9">
        <f>IF(OR($C241="Annual",$D241=$E241),IF(AND($D241=$E241,P$111=$B241+$D241),$I241,IF(AND(P$111&gt;$B241+$D241,P$111&lt;=$B241+$E241), $I241/($E241-$D241),0)), IF(OR(P$111=$B241+$D241,P$111=$B241+$E241),$I241/(($E241-$D241)*2),IF(AND(P$111&gt;$B241+$D241,P$111&lt;$B241+$E241),$I241/($E241-$D241),0)))</f>
        <v>0</v>
      </c>
      <c r="Q241" s="9">
        <f>IF(OR($C241="Annual",$D241=$E241),IF(AND($D241=$E241,Q$111=$B241+$D241),$I241,IF(AND(Q$111&gt;$B241+$D241,Q$111&lt;=$B241+$E241), $I241/($E241-$D241),0)), IF(OR(Q$111=$B241+$D241,Q$111=$B241+$E241),$I241/(($E241-$D241)*2),IF(AND(Q$111&gt;$B241+$D241,Q$111&lt;$B241+$E241),$I241/($E241-$D241),0)))</f>
        <v>0</v>
      </c>
      <c r="R241" s="9">
        <f>IF(OR($C241="Annual",$D241=$E241),IF(AND($D241=$E241,R$111=$B241+$D241),$I241,IF(AND(R$111&gt;$B241+$D241,R$111&lt;=$B241+$E241), $I241/($E241-$D241),0)), IF(OR(R$111=$B241+$D241,R$111=$B241+$E241),$I241/(($E241-$D241)*2),IF(AND(R$111&gt;$B241+$D241,R$111&lt;$B241+$E241),$I241/($E241-$D241),0)))</f>
        <v>0</v>
      </c>
      <c r="S241" s="9">
        <f>IF(OR($C241="Annual",$D241=$E241),IF(AND($D241=$E241,S$111=$B241+$D241),$I241,IF(AND(S$111&gt;$B241+$D241,S$111&lt;=$B241+$E241), $I241/($E241-$D241),0)), IF(OR(S$111=$B241+$D241,S$111=$B241+$E241),$I241/(($E241-$D241)*2),IF(AND(S$111&gt;$B241+$D241,S$111&lt;$B241+$E241),$I241/($E241-$D241),0)))</f>
        <v>0</v>
      </c>
      <c r="T241" s="9">
        <f>IF(OR($C241="Annual",$D241=$E241),IF(AND($D241=$E241,T$111=$B241+$D241),$I241,IF(AND(T$111&gt;$B241+$D241,T$111&lt;=$B241+$E241), $I241/($E241-$D241),0)), IF(OR(T$111=$B241+$D241,T$111=$B241+$E241),$I241/(($E241-$D241)*2),IF(AND(T$111&gt;$B241+$D241,T$111&lt;$B241+$E241),$I241/($E241-$D241),0)))</f>
        <v>0</v>
      </c>
      <c r="U241" s="9"/>
      <c r="V241" s="9"/>
      <c r="W241" s="9">
        <f t="shared" si="66"/>
        <v>0</v>
      </c>
      <c r="X241" s="9">
        <f t="shared" ca="1" si="66"/>
        <v>0</v>
      </c>
      <c r="Y241" s="9">
        <f t="shared" ca="1" si="66"/>
        <v>0</v>
      </c>
      <c r="Z241" s="9">
        <f t="shared" ca="1" si="66"/>
        <v>0</v>
      </c>
      <c r="AA241" s="9">
        <f t="shared" ca="1" si="66"/>
        <v>0</v>
      </c>
    </row>
    <row r="242" spans="1:27">
      <c r="A242" s="8" t="str">
        <f>A241</f>
        <v>Type 12</v>
      </c>
      <c r="B242" s="7">
        <f>B241+1</f>
        <v>2020</v>
      </c>
      <c r="C242" s="7" t="str">
        <f>C241</f>
        <v>Annual</v>
      </c>
      <c r="D242" s="7">
        <f t="shared" ref="D242:E245" si="67">D241</f>
        <v>30</v>
      </c>
      <c r="E242" s="7">
        <f t="shared" si="67"/>
        <v>30</v>
      </c>
      <c r="F242" s="14">
        <f>$N$97</f>
        <v>0</v>
      </c>
      <c r="H242" s="9"/>
      <c r="I242" s="9"/>
      <c r="J242" s="9">
        <f ca="1">$D$97</f>
        <v>0</v>
      </c>
      <c r="K242" s="9">
        <f ca="1">J242-R242</f>
        <v>0</v>
      </c>
      <c r="L242" s="9">
        <f ca="1">K242-S242</f>
        <v>0</v>
      </c>
      <c r="M242" s="9">
        <f ca="1">L242-T242</f>
        <v>0</v>
      </c>
      <c r="N242" s="9"/>
      <c r="O242" s="9"/>
      <c r="P242" s="9"/>
      <c r="Q242" s="9">
        <f>IF(OR($C242="Annual",$D242=$E242),IF(AND($D242=$E242,Q$111=$B242+$D242),$J242,IF(AND(Q$111&gt;$B242+$D242,Q$111&lt;=$B242+$E242), $J242/($E242-$D242),0)), IF(OR(Q$111=$B242+$D242,Q$111=$B242+$E242),$J242/(($E242-$D242)*2),IF(AND(Q$111&gt;$B242+$D242,Q$111&lt;$B242+$E242),$J242/($E242-$D242),0)))</f>
        <v>0</v>
      </c>
      <c r="R242" s="9">
        <f>IF(OR($C242="Annual",$D242=$E242),IF(AND($D242=$E242,R$111=$B242+$D242),$J242,IF(AND(R$111&gt;$B242+$D242,R$111&lt;=$B242+$E242), $J242/($E242-$D242),0)), IF(OR(R$111=$B242+$D242,R$111=$B242+$E242),$J242/(($E242-$D242)*2),IF(AND(R$111&gt;$B242+$D242,R$111&lt;$B242+$E242),$J242/($E242-$D242),0)))</f>
        <v>0</v>
      </c>
      <c r="S242" s="9">
        <f>IF(OR($C242="Annual",$D242=$E242),IF(AND($D242=$E242,S$111=$B242+$D242),$J242,IF(AND(S$111&gt;$B242+$D242,S$111&lt;=$B242+$E242), $J242/($E242-$D242),0)), IF(OR(S$111=$B242+$D242,S$111=$B242+$E242),$J242/(($E242-$D242)*2),IF(AND(S$111&gt;$B242+$D242,S$111&lt;$B242+$E242),$J242/($E242-$D242),0)))</f>
        <v>0</v>
      </c>
      <c r="T242" s="9">
        <f>IF(OR($C242="Annual",$D242=$E242),IF(AND($D242=$E242,T$111=$B242+$D242),$J242,IF(AND(T$111&gt;$B242+$D242,T$111&lt;=$B242+$E242), $J242/($E242-$D242),0)), IF(OR(T$111=$B242+$D242,T$111=$B242+$E242),$J242/(($E242-$D242)*2),IF(AND(T$111&gt;$B242+$D242,T$111&lt;$B242+$E242),$J242/($E242-$D242),0)))</f>
        <v>0</v>
      </c>
      <c r="U242" s="9"/>
      <c r="V242" s="9"/>
      <c r="W242" s="9"/>
      <c r="X242" s="9">
        <f t="shared" si="66"/>
        <v>0</v>
      </c>
      <c r="Y242" s="9">
        <f t="shared" ca="1" si="66"/>
        <v>0</v>
      </c>
      <c r="Z242" s="9">
        <f t="shared" ca="1" si="66"/>
        <v>0</v>
      </c>
      <c r="AA242" s="9">
        <f t="shared" ca="1" si="66"/>
        <v>0</v>
      </c>
    </row>
    <row r="243" spans="1:27">
      <c r="A243" s="8" t="str">
        <f>A242</f>
        <v>Type 12</v>
      </c>
      <c r="B243" s="7">
        <f>B242+1</f>
        <v>2021</v>
      </c>
      <c r="C243" s="7" t="str">
        <f>C242</f>
        <v>Annual</v>
      </c>
      <c r="D243" s="7">
        <f t="shared" si="67"/>
        <v>30</v>
      </c>
      <c r="E243" s="7">
        <f t="shared" si="67"/>
        <v>30</v>
      </c>
      <c r="F243" s="14">
        <f>$O$97</f>
        <v>0</v>
      </c>
      <c r="H243" s="9"/>
      <c r="I243" s="9"/>
      <c r="J243" s="9"/>
      <c r="K243" s="9">
        <f ca="1">$E$97</f>
        <v>0</v>
      </c>
      <c r="L243" s="9">
        <f ca="1">K243-S243</f>
        <v>0</v>
      </c>
      <c r="M243" s="9">
        <f ca="1">L243-T243</f>
        <v>0</v>
      </c>
      <c r="N243" s="9"/>
      <c r="O243" s="9"/>
      <c r="P243" s="9"/>
      <c r="Q243" s="9"/>
      <c r="R243" s="9">
        <f>IF(OR($C243="Annual",$D243=$E243),IF(AND($D243=$E243,R$111=$B243+$D243),$K243,IF(AND(R$111&gt;$B243+$D243,R$111&lt;=$B243+$E243), $K243/($E243-$D243),0)), IF(OR(R$111=$B243+$D243,R$111=$B243+$E243),$K243/(($E243-$D243)*2),IF(AND(R$111&gt;$B243+$D243,R$111&lt;$B243+$E243),$K243/($E243-$D243),0)))</f>
        <v>0</v>
      </c>
      <c r="S243" s="9">
        <f>IF(OR($C243="Annual",$D243=$E243),IF(AND($D243=$E243,S$111=$B243+$D243),$K243,IF(AND(S$111&gt;$B243+$D243,S$111&lt;=$B243+$E243), $K243/($E243-$D243),0)), IF(OR(S$111=$B243+$D243,S$111=$B243+$E243),$K243/(($E243-$D243)*2),IF(AND(S$111&gt;$B243+$D243,S$111&lt;$B243+$E243),$K243/($E243-$D243),0)))</f>
        <v>0</v>
      </c>
      <c r="T243" s="9">
        <f>IF(OR($C243="Annual",$D243=$E243),IF(AND($D243=$E243,T$111=$B243+$D243),$K243,IF(AND(T$111&gt;$B243+$D243,T$111&lt;=$B243+$E243), $K243/($E243-$D243),0)), IF(OR(T$111=$B243+$D243,T$111=$B243+$E243),$K243/(($E243-$D243)*2),IF(AND(T$111&gt;$B243+$D243,T$111&lt;$B243+$E243),$K243/($E243-$D243),0)))</f>
        <v>0</v>
      </c>
      <c r="U243" s="9"/>
      <c r="V243" s="9"/>
      <c r="W243" s="9"/>
      <c r="X243" s="9"/>
      <c r="Y243" s="9">
        <f t="shared" si="66"/>
        <v>0</v>
      </c>
      <c r="Z243" s="9">
        <f t="shared" ca="1" si="66"/>
        <v>0</v>
      </c>
      <c r="AA243" s="9">
        <f t="shared" ca="1" si="66"/>
        <v>0</v>
      </c>
    </row>
    <row r="244" spans="1:27">
      <c r="A244" s="8" t="str">
        <f>A243</f>
        <v>Type 12</v>
      </c>
      <c r="B244" s="7">
        <f>B243+1</f>
        <v>2022</v>
      </c>
      <c r="C244" s="7" t="str">
        <f>C243</f>
        <v>Annual</v>
      </c>
      <c r="D244" s="7">
        <f t="shared" si="67"/>
        <v>30</v>
      </c>
      <c r="E244" s="7">
        <f t="shared" si="67"/>
        <v>30</v>
      </c>
      <c r="F244" s="14">
        <f>$P$97</f>
        <v>0</v>
      </c>
      <c r="H244" s="9"/>
      <c r="I244" s="9"/>
      <c r="J244" s="9"/>
      <c r="K244" s="9"/>
      <c r="L244" s="9">
        <f ca="1">$F$97</f>
        <v>0</v>
      </c>
      <c r="M244" s="9">
        <f ca="1">L244-T244</f>
        <v>0</v>
      </c>
      <c r="N244" s="9"/>
      <c r="O244" s="9"/>
      <c r="P244" s="9"/>
      <c r="Q244" s="9"/>
      <c r="R244" s="9"/>
      <c r="S244" s="9">
        <f>IF(OR($C244="Annual",$D244=$E244),IF(AND($D244=$E244,S$111=$B244+$D244),$L244,IF(AND(S$111&gt;$B244+$D244,S$111&lt;=$B244+$E244), $L244/($E244-$D244),0)), IF(OR(S$111=$B244+$D244,S$111=$B244+$E244),$L244/(($E244-$D244)*2),IF(AND(S$111&gt;$B244+$D244,S$111&lt;$B244+$E244),$L244/($E244-$D244),0)))</f>
        <v>0</v>
      </c>
      <c r="T244" s="9">
        <f>IF(OR($C244="Annual",$D244=$E244),IF(AND($D244=$E244,T$111=$B244+$D244),$L244,IF(AND(T$111&gt;$B244+$D244,T$111&lt;=$B244+$E244), $L244/($E244-$D244),0)), IF(OR(T$111=$B244+$D244,T$111=$B244+$E244),$L244/(($E244-$D244)*2),IF(AND(T$111&gt;$B244+$D244,T$111&lt;$B244+$E244),$L244/($E244-$D244),0)))</f>
        <v>0</v>
      </c>
      <c r="U244" s="9"/>
      <c r="V244" s="9"/>
      <c r="W244" s="9"/>
      <c r="X244" s="9"/>
      <c r="Y244" s="9"/>
      <c r="Z244" s="9">
        <f t="shared" si="66"/>
        <v>0</v>
      </c>
      <c r="AA244" s="9">
        <f t="shared" ca="1" si="66"/>
        <v>0</v>
      </c>
    </row>
    <row r="245" spans="1:27">
      <c r="A245" s="8" t="str">
        <f>A244</f>
        <v>Type 12</v>
      </c>
      <c r="B245" s="7">
        <f>B244+1</f>
        <v>2023</v>
      </c>
      <c r="C245" s="7" t="str">
        <f>C244</f>
        <v>Annual</v>
      </c>
      <c r="D245" s="7">
        <f t="shared" si="67"/>
        <v>30</v>
      </c>
      <c r="E245" s="7">
        <f t="shared" si="67"/>
        <v>30</v>
      </c>
      <c r="F245" s="14">
        <f>$Q$97</f>
        <v>0</v>
      </c>
      <c r="H245" s="9"/>
      <c r="I245" s="9"/>
      <c r="J245" s="9"/>
      <c r="K245" s="9"/>
      <c r="L245" s="9"/>
      <c r="M245" s="9">
        <f ca="1">$G$97</f>
        <v>0</v>
      </c>
      <c r="N245" s="9"/>
      <c r="O245" s="9"/>
      <c r="P245" s="9"/>
      <c r="Q245" s="9"/>
      <c r="R245" s="9"/>
      <c r="S245" s="9"/>
      <c r="T245" s="9">
        <f>IF(OR($C245="Annual",$D245=$E245),IF(AND($D245=$E245,T$111=$B245+$D245),$M245,IF(AND(T$111&gt;$B245+$D245,T$111&lt;=$B245+$E245), $M245/($E245-$D245),0)), IF(OR(T$111=$B245+$D245,T$111=$B245+$E245),$M245/(($E245-$D245)*2),IF(AND(T$111&gt;$B245+$D245,T$111&lt;$B245+$E245),$M245/($E245-$D245),0)))</f>
        <v>0</v>
      </c>
      <c r="U245" s="9"/>
      <c r="V245" s="9"/>
      <c r="W245" s="9"/>
      <c r="X245" s="9"/>
      <c r="Y245" s="9"/>
      <c r="Z245" s="9"/>
      <c r="AA245" s="9">
        <f t="shared" si="66"/>
        <v>0</v>
      </c>
    </row>
    <row r="246" spans="1:27">
      <c r="C246" s="281"/>
      <c r="F246" s="15"/>
      <c r="H246" s="10"/>
      <c r="I246" s="10"/>
      <c r="J246" s="10"/>
      <c r="K246" s="10"/>
      <c r="L246" s="10"/>
      <c r="M246" s="10"/>
      <c r="N246" s="10"/>
      <c r="O246" s="278"/>
      <c r="P246" s="10"/>
      <c r="Q246" s="10"/>
      <c r="R246" s="10"/>
      <c r="S246" s="10"/>
      <c r="T246" s="10"/>
      <c r="U246" s="10"/>
      <c r="V246" s="10"/>
      <c r="W246" s="10"/>
      <c r="X246" s="10"/>
      <c r="Y246" s="10"/>
      <c r="Z246" s="10"/>
      <c r="AA246" s="10"/>
    </row>
    <row r="247" spans="1:27">
      <c r="A247" s="8" t="str">
        <f>'Input 4 - Forecast'!A79</f>
        <v>Type 13</v>
      </c>
      <c r="B247" s="7">
        <f>B119</f>
        <v>2018</v>
      </c>
      <c r="C247" s="7" t="str">
        <f>$I98</f>
        <v>Annual</v>
      </c>
      <c r="D247" s="7">
        <f>$J98</f>
        <v>0</v>
      </c>
      <c r="E247" s="7">
        <f>$K98</f>
        <v>0</v>
      </c>
      <c r="F247" s="14">
        <f>$L$98</f>
        <v>0</v>
      </c>
      <c r="H247" s="9">
        <f>$B$98</f>
        <v>0</v>
      </c>
      <c r="I247" s="9">
        <f>H247-P247</f>
        <v>0</v>
      </c>
      <c r="J247" s="9">
        <f>I247-Q247</f>
        <v>0</v>
      </c>
      <c r="K247" s="9">
        <f>J247-R247</f>
        <v>0</v>
      </c>
      <c r="L247" s="9">
        <f>K247-S247</f>
        <v>0</v>
      </c>
      <c r="M247" s="9">
        <f>L247-T247</f>
        <v>0</v>
      </c>
      <c r="N247" s="9"/>
      <c r="O247" s="9">
        <f t="shared" ref="O247:T247" si="68">IF(OR($C247="Annual",$D247=$E247),IF(AND($D247=$E247,O$111=$B247+$D247),$H247,IF(AND(O$111&gt;$B247+$D247,O$111&lt;=$B247+$E247), $H247/($E247-$D247),0)), IF(OR(O$111=$B247+$D247,O$111=$B247+$E247),$H247/(($E247-$D247)*2),IF(AND(O$111&gt;$B247+$D247,O$111&lt;$B247+$E247),$H247/($E247-$D247),0)))</f>
        <v>0</v>
      </c>
      <c r="P247" s="9">
        <f t="shared" si="68"/>
        <v>0</v>
      </c>
      <c r="Q247" s="9">
        <f t="shared" si="68"/>
        <v>0</v>
      </c>
      <c r="R247" s="9">
        <f t="shared" si="68"/>
        <v>0</v>
      </c>
      <c r="S247" s="9">
        <f t="shared" si="68"/>
        <v>0</v>
      </c>
      <c r="T247" s="9">
        <f t="shared" si="68"/>
        <v>0</v>
      </c>
      <c r="U247" s="9"/>
      <c r="V247" s="9">
        <f>IF($C247="annual",IF(V$111=$B247,0,G247*$F247),IF(V$111-$B247=0,0,IF((V$111-$B247)&lt;$E247,AVERAGE(G247,H247)*$F247,IF((V$111-$B247)=$E247,G247*$F247/2,0))))</f>
        <v>0</v>
      </c>
      <c r="W247" s="9">
        <f t="shared" ref="W247:AA252" si="69">IF($C247="annual",IF(W$111=$B247,0,H247*$F247),IF(W$111-$B247=0,0,IF((W$111-$B247)&lt;$E247,AVERAGE(H247,I247)*$F247,IF((W$111-$B247)=$E247,H247*$F247/2,0))))</f>
        <v>0</v>
      </c>
      <c r="X247" s="9">
        <f t="shared" si="69"/>
        <v>0</v>
      </c>
      <c r="Y247" s="9">
        <f t="shared" si="69"/>
        <v>0</v>
      </c>
      <c r="Z247" s="9">
        <f t="shared" si="69"/>
        <v>0</v>
      </c>
      <c r="AA247" s="9">
        <f t="shared" si="69"/>
        <v>0</v>
      </c>
    </row>
    <row r="248" spans="1:27">
      <c r="A248" s="8" t="str">
        <f>A247</f>
        <v>Type 13</v>
      </c>
      <c r="B248" s="7">
        <f>B247+1</f>
        <v>2019</v>
      </c>
      <c r="C248" s="7" t="str">
        <f>C247</f>
        <v>Annual</v>
      </c>
      <c r="D248" s="7">
        <f t="shared" ref="D248:E252" si="70">D247</f>
        <v>0</v>
      </c>
      <c r="E248" s="7">
        <f t="shared" si="70"/>
        <v>0</v>
      </c>
      <c r="F248" s="14">
        <f>$M$98</f>
        <v>0</v>
      </c>
      <c r="H248" s="9"/>
      <c r="I248" s="9">
        <f ca="1">$C$98</f>
        <v>0</v>
      </c>
      <c r="J248" s="9">
        <f ca="1">I248-Q248</f>
        <v>0</v>
      </c>
      <c r="K248" s="9">
        <f ca="1">J248-R248</f>
        <v>0</v>
      </c>
      <c r="L248" s="9">
        <f ca="1">K248-S248</f>
        <v>0</v>
      </c>
      <c r="M248" s="9">
        <f ca="1">L248-T248</f>
        <v>0</v>
      </c>
      <c r="N248" s="9"/>
      <c r="O248" s="9"/>
      <c r="P248" s="9">
        <f ca="1">IF(OR($C248="Annual",$D248=$E248),IF(AND($D248=$E248,P$111=$B248+$D248),$I248,IF(AND(P$111&gt;$B248+$D248,P$111&lt;=$B248+$E248), $I248/($E248-$D248),0)), IF(OR(P$111=$B248+$D248,P$111=$B248+$E248),$I248/(($E248-$D248)*2),IF(AND(P$111&gt;$B248+$D248,P$111&lt;$B248+$E248),$I248/($E248-$D248),0)))</f>
        <v>0</v>
      </c>
      <c r="Q248" s="9">
        <f>IF(OR($C248="Annual",$D248=$E248),IF(AND($D248=$E248,Q$111=$B248+$D248),$I248,IF(AND(Q$111&gt;$B248+$D248,Q$111&lt;=$B248+$E248), $I248/($E248-$D248),0)), IF(OR(Q$111=$B248+$D248,Q$111=$B248+$E248),$I248/(($E248-$D248)*2),IF(AND(Q$111&gt;$B248+$D248,Q$111&lt;$B248+$E248),$I248/($E248-$D248),0)))</f>
        <v>0</v>
      </c>
      <c r="R248" s="9">
        <f>IF(OR($C248="Annual",$D248=$E248),IF(AND($D248=$E248,R$111=$B248+$D248),$I248,IF(AND(R$111&gt;$B248+$D248,R$111&lt;=$B248+$E248), $I248/($E248-$D248),0)), IF(OR(R$111=$B248+$D248,R$111=$B248+$E248),$I248/(($E248-$D248)*2),IF(AND(R$111&gt;$B248+$D248,R$111&lt;$B248+$E248),$I248/($E248-$D248),0)))</f>
        <v>0</v>
      </c>
      <c r="S248" s="9">
        <f>IF(OR($C248="Annual",$D248=$E248),IF(AND($D248=$E248,S$111=$B248+$D248),$I248,IF(AND(S$111&gt;$B248+$D248,S$111&lt;=$B248+$E248), $I248/($E248-$D248),0)), IF(OR(S$111=$B248+$D248,S$111=$B248+$E248),$I248/(($E248-$D248)*2),IF(AND(S$111&gt;$B248+$D248,S$111&lt;$B248+$E248),$I248/($E248-$D248),0)))</f>
        <v>0</v>
      </c>
      <c r="T248" s="9">
        <f>IF(OR($C248="Annual",$D248=$E248),IF(AND($D248=$E248,T$111=$B248+$D248),$I248,IF(AND(T$111&gt;$B248+$D248,T$111&lt;=$B248+$E248), $I248/($E248-$D248),0)), IF(OR(T$111=$B248+$D248,T$111=$B248+$E248),$I248/(($E248-$D248)*2),IF(AND(T$111&gt;$B248+$D248,T$111&lt;$B248+$E248),$I248/($E248-$D248),0)))</f>
        <v>0</v>
      </c>
      <c r="U248" s="9"/>
      <c r="V248" s="9"/>
      <c r="W248" s="9">
        <f t="shared" si="69"/>
        <v>0</v>
      </c>
      <c r="X248" s="9">
        <f t="shared" ca="1" si="69"/>
        <v>0</v>
      </c>
      <c r="Y248" s="9">
        <f t="shared" ca="1" si="69"/>
        <v>0</v>
      </c>
      <c r="Z248" s="9">
        <f t="shared" ca="1" si="69"/>
        <v>0</v>
      </c>
      <c r="AA248" s="9">
        <f t="shared" ca="1" si="69"/>
        <v>0</v>
      </c>
    </row>
    <row r="249" spans="1:27">
      <c r="A249" s="8" t="str">
        <f>A248</f>
        <v>Type 13</v>
      </c>
      <c r="B249" s="7">
        <f>B248+1</f>
        <v>2020</v>
      </c>
      <c r="C249" s="7" t="str">
        <f>C248</f>
        <v>Annual</v>
      </c>
      <c r="D249" s="7">
        <f t="shared" si="70"/>
        <v>0</v>
      </c>
      <c r="E249" s="7">
        <f t="shared" si="70"/>
        <v>0</v>
      </c>
      <c r="F249" s="14">
        <f>$N$98</f>
        <v>0</v>
      </c>
      <c r="H249" s="9"/>
      <c r="I249" s="9"/>
      <c r="J249" s="9">
        <f ca="1">$D$98</f>
        <v>0</v>
      </c>
      <c r="K249" s="9">
        <f ca="1">J249-R249</f>
        <v>0</v>
      </c>
      <c r="L249" s="9">
        <f ca="1">K249-S249</f>
        <v>0</v>
      </c>
      <c r="M249" s="9">
        <f ca="1">L249-T249</f>
        <v>0</v>
      </c>
      <c r="N249" s="9"/>
      <c r="O249" s="9"/>
      <c r="P249" s="9"/>
      <c r="Q249" s="9">
        <f ca="1">IF(OR($C249="Annual",$D249=$E249),IF(AND($D249=$E249,Q$111=$B249+$D249),$J249,IF(AND(Q$111&gt;$B249+$D249,Q$111&lt;=$B249+$E249), $J249/($E249-$D249),0)), IF(OR(Q$111=$B249+$D249,Q$111=$B249+$E249),$J249/(($E249-$D249)*2),IF(AND(Q$111&gt;$B249+$D249,Q$111&lt;$B249+$E249),$J249/($E249-$D249),0)))</f>
        <v>0</v>
      </c>
      <c r="R249" s="9">
        <f>IF(OR($C249="Annual",$D249=$E249),IF(AND($D249=$E249,R$111=$B249+$D249),$J249,IF(AND(R$111&gt;$B249+$D249,R$111&lt;=$B249+$E249), $J249/($E249-$D249),0)), IF(OR(R$111=$B249+$D249,R$111=$B249+$E249),$J249/(($E249-$D249)*2),IF(AND(R$111&gt;$B249+$D249,R$111&lt;$B249+$E249),$J249/($E249-$D249),0)))</f>
        <v>0</v>
      </c>
      <c r="S249" s="9">
        <f>IF(OR($C249="Annual",$D249=$E249),IF(AND($D249=$E249,S$111=$B249+$D249),$J249,IF(AND(S$111&gt;$B249+$D249,S$111&lt;=$B249+$E249), $J249/($E249-$D249),0)), IF(OR(S$111=$B249+$D249,S$111=$B249+$E249),$J249/(($E249-$D249)*2),IF(AND(S$111&gt;$B249+$D249,S$111&lt;$B249+$E249),$J249/($E249-$D249),0)))</f>
        <v>0</v>
      </c>
      <c r="T249" s="9">
        <f>IF(OR($C249="Annual",$D249=$E249),IF(AND($D249=$E249,T$111=$B249+$D249),$J249,IF(AND(T$111&gt;$B249+$D249,T$111&lt;=$B249+$E249), $J249/($E249-$D249),0)), IF(OR(T$111=$B249+$D249,T$111=$B249+$E249),$J249/(($E249-$D249)*2),IF(AND(T$111&gt;$B249+$D249,T$111&lt;$B249+$E249),$J249/($E249-$D249),0)))</f>
        <v>0</v>
      </c>
      <c r="U249" s="9"/>
      <c r="V249" s="9"/>
      <c r="W249" s="9"/>
      <c r="X249" s="9">
        <f t="shared" si="69"/>
        <v>0</v>
      </c>
      <c r="Y249" s="9">
        <f t="shared" ca="1" si="69"/>
        <v>0</v>
      </c>
      <c r="Z249" s="9">
        <f t="shared" ca="1" si="69"/>
        <v>0</v>
      </c>
      <c r="AA249" s="9">
        <f t="shared" ca="1" si="69"/>
        <v>0</v>
      </c>
    </row>
    <row r="250" spans="1:27">
      <c r="A250" s="8" t="str">
        <f>A249</f>
        <v>Type 13</v>
      </c>
      <c r="B250" s="7">
        <f>B249+1</f>
        <v>2021</v>
      </c>
      <c r="C250" s="7" t="str">
        <f>C249</f>
        <v>Annual</v>
      </c>
      <c r="D250" s="7">
        <f t="shared" si="70"/>
        <v>0</v>
      </c>
      <c r="E250" s="7">
        <f t="shared" si="70"/>
        <v>0</v>
      </c>
      <c r="F250" s="14">
        <f>$O$98</f>
        <v>0</v>
      </c>
      <c r="H250" s="9"/>
      <c r="I250" s="9"/>
      <c r="J250" s="9"/>
      <c r="K250" s="9">
        <f ca="1">$E$98</f>
        <v>0</v>
      </c>
      <c r="L250" s="9">
        <f ca="1">K250-S250</f>
        <v>0</v>
      </c>
      <c r="M250" s="9">
        <f ca="1">L250-T250</f>
        <v>0</v>
      </c>
      <c r="N250" s="9"/>
      <c r="O250" s="9"/>
      <c r="P250" s="9"/>
      <c r="Q250" s="9"/>
      <c r="R250" s="9">
        <f ca="1">IF(OR($C250="Annual",$D250=$E250),IF(AND($D250=$E250,R$111=$B250+$D250),$K250,IF(AND(R$111&gt;$B250+$D250,R$111&lt;=$B250+$E250), $K250/($E250-$D250),0)), IF(OR(R$111=$B250+$D250,R$111=$B250+$E250),$K250/(($E250-$D250)*2),IF(AND(R$111&gt;$B250+$D250,R$111&lt;$B250+$E250),$K250/($E250-$D250),0)))</f>
        <v>0</v>
      </c>
      <c r="S250" s="9">
        <f>IF(OR($C250="Annual",$D250=$E250),IF(AND($D250=$E250,S$111=$B250+$D250),$K250,IF(AND(S$111&gt;$B250+$D250,S$111&lt;=$B250+$E250), $K250/($E250-$D250),0)), IF(OR(S$111=$B250+$D250,S$111=$B250+$E250),$K250/(($E250-$D250)*2),IF(AND(S$111&gt;$B250+$D250,S$111&lt;$B250+$E250),$K250/($E250-$D250),0)))</f>
        <v>0</v>
      </c>
      <c r="T250" s="9">
        <f>IF(OR($C250="Annual",$D250=$E250),IF(AND($D250=$E250,T$111=$B250+$D250),$K250,IF(AND(T$111&gt;$B250+$D250,T$111&lt;=$B250+$E250), $K250/($E250-$D250),0)), IF(OR(T$111=$B250+$D250,T$111=$B250+$E250),$K250/(($E250-$D250)*2),IF(AND(T$111&gt;$B250+$D250,T$111&lt;$B250+$E250),$K250/($E250-$D250),0)))</f>
        <v>0</v>
      </c>
      <c r="U250" s="9"/>
      <c r="V250" s="9"/>
      <c r="W250" s="9"/>
      <c r="X250" s="9"/>
      <c r="Y250" s="9">
        <f t="shared" si="69"/>
        <v>0</v>
      </c>
      <c r="Z250" s="9">
        <f t="shared" ca="1" si="69"/>
        <v>0</v>
      </c>
      <c r="AA250" s="9">
        <f t="shared" ca="1" si="69"/>
        <v>0</v>
      </c>
    </row>
    <row r="251" spans="1:27">
      <c r="A251" s="8" t="str">
        <f>A250</f>
        <v>Type 13</v>
      </c>
      <c r="B251" s="7">
        <f>B250+1</f>
        <v>2022</v>
      </c>
      <c r="C251" s="7" t="str">
        <f>C250</f>
        <v>Annual</v>
      </c>
      <c r="D251" s="7">
        <f t="shared" si="70"/>
        <v>0</v>
      </c>
      <c r="E251" s="7">
        <f t="shared" si="70"/>
        <v>0</v>
      </c>
      <c r="F251" s="14">
        <f>$P$98</f>
        <v>0</v>
      </c>
      <c r="H251" s="9"/>
      <c r="I251" s="9"/>
      <c r="J251" s="9"/>
      <c r="K251" s="9"/>
      <c r="L251" s="9">
        <f ca="1">$F$98</f>
        <v>0</v>
      </c>
      <c r="M251" s="9">
        <f ca="1">L251-T251</f>
        <v>0</v>
      </c>
      <c r="N251" s="9"/>
      <c r="O251" s="9"/>
      <c r="P251" s="9"/>
      <c r="Q251" s="9"/>
      <c r="R251" s="9"/>
      <c r="S251" s="9">
        <f ca="1">IF(OR($C251="Annual",$D251=$E251),IF(AND($D251=$E251,S$111=$B251+$D251),$L251,IF(AND(S$111&gt;$B251+$D251,S$111&lt;=$B251+$E251), $L251/($E251-$D251),0)), IF(OR(S$111=$B251+$D251,S$111=$B251+$E251),$L251/(($E251-$D251)*2),IF(AND(S$111&gt;$B251+$D251,S$111&lt;$B251+$E251),$L251/($E251-$D251),0)))</f>
        <v>0</v>
      </c>
      <c r="T251" s="9">
        <f>IF(OR($C251="Annual",$D251=$E251),IF(AND($D251=$E251,T$111=$B251+$D251),$L251,IF(AND(T$111&gt;$B251+$D251,T$111&lt;=$B251+$E251), $L251/($E251-$D251),0)), IF(OR(T$111=$B251+$D251,T$111=$B251+$E251),$L251/(($E251-$D251)*2),IF(AND(T$111&gt;$B251+$D251,T$111&lt;$B251+$E251),$L251/($E251-$D251),0)))</f>
        <v>0</v>
      </c>
      <c r="U251" s="9"/>
      <c r="V251" s="9"/>
      <c r="W251" s="9"/>
      <c r="X251" s="9"/>
      <c r="Y251" s="9"/>
      <c r="Z251" s="9">
        <f t="shared" si="69"/>
        <v>0</v>
      </c>
      <c r="AA251" s="9">
        <f t="shared" ca="1" si="69"/>
        <v>0</v>
      </c>
    </row>
    <row r="252" spans="1:27">
      <c r="A252" s="8" t="str">
        <f>A251</f>
        <v>Type 13</v>
      </c>
      <c r="B252" s="7">
        <f>B251+1</f>
        <v>2023</v>
      </c>
      <c r="C252" s="7" t="str">
        <f>C251</f>
        <v>Annual</v>
      </c>
      <c r="D252" s="7">
        <f t="shared" si="70"/>
        <v>0</v>
      </c>
      <c r="E252" s="7">
        <f t="shared" si="70"/>
        <v>0</v>
      </c>
      <c r="F252" s="14">
        <f>$Q$98</f>
        <v>0</v>
      </c>
      <c r="H252" s="9"/>
      <c r="I252" s="9"/>
      <c r="J252" s="9"/>
      <c r="K252" s="9"/>
      <c r="L252" s="9"/>
      <c r="M252" s="9">
        <f ca="1">$G$98</f>
        <v>0</v>
      </c>
      <c r="N252" s="9"/>
      <c r="O252" s="9"/>
      <c r="P252" s="9"/>
      <c r="Q252" s="9"/>
      <c r="R252" s="9"/>
      <c r="S252" s="9"/>
      <c r="T252" s="9">
        <f ca="1">IF(OR($C252="Annual",$D252=$E252),IF(AND($D252=$E252,T$111=$B252+$D252),$M252,IF(AND(T$111&gt;$B252+$D252,T$111&lt;=$B252+$E252), $M252/($E252-$D252),0)), IF(OR(T$111=$B252+$D252,T$111=$B252+$E252),$M252/(($E252-$D252)*2),IF(AND(T$111&gt;$B252+$D252,T$111&lt;$B252+$E252),$M252/($E252-$D252),0)))</f>
        <v>0</v>
      </c>
      <c r="U252" s="9"/>
      <c r="V252" s="9"/>
      <c r="W252" s="9"/>
      <c r="X252" s="9"/>
      <c r="Y252" s="9"/>
      <c r="Z252" s="9"/>
      <c r="AA252" s="9">
        <f t="shared" si="69"/>
        <v>0</v>
      </c>
    </row>
    <row r="253" spans="1:27">
      <c r="C253" s="281"/>
      <c r="F253" s="15"/>
      <c r="H253" s="10"/>
      <c r="I253" s="10"/>
      <c r="J253" s="10"/>
      <c r="K253" s="10"/>
      <c r="L253" s="10"/>
      <c r="M253" s="10"/>
      <c r="N253" s="10"/>
      <c r="O253" s="278"/>
      <c r="P253" s="10"/>
      <c r="Q253" s="10"/>
      <c r="R253" s="10"/>
      <c r="S253" s="10"/>
      <c r="T253" s="10"/>
      <c r="U253" s="10"/>
      <c r="V253" s="10"/>
      <c r="W253" s="10"/>
      <c r="X253" s="10"/>
      <c r="Y253" s="10"/>
      <c r="Z253" s="10"/>
      <c r="AA253" s="10"/>
    </row>
    <row r="254" spans="1:27">
      <c r="A254" s="8" t="str">
        <f>'Input 4 - Forecast'!A80</f>
        <v>Type 14</v>
      </c>
      <c r="B254" s="7">
        <f>B119</f>
        <v>2018</v>
      </c>
      <c r="C254" s="7" t="str">
        <f>$I99</f>
        <v>Annual</v>
      </c>
      <c r="D254" s="7">
        <f>$J99</f>
        <v>0</v>
      </c>
      <c r="E254" s="7">
        <f>$K99</f>
        <v>0</v>
      </c>
      <c r="F254" s="14">
        <f>$L$99</f>
        <v>0</v>
      </c>
      <c r="H254" s="9">
        <f>$B$99</f>
        <v>0</v>
      </c>
      <c r="I254" s="9">
        <f>H254-P254</f>
        <v>0</v>
      </c>
      <c r="J254" s="9">
        <f>I254-Q254</f>
        <v>0</v>
      </c>
      <c r="K254" s="9">
        <f>J254-R254</f>
        <v>0</v>
      </c>
      <c r="L254" s="9">
        <f>K254-S254</f>
        <v>0</v>
      </c>
      <c r="M254" s="9">
        <f>L254-T254</f>
        <v>0</v>
      </c>
      <c r="N254" s="9"/>
      <c r="O254" s="9">
        <f t="shared" ref="O254:T254" si="71">IF(OR($C254="Annual",$D254=$E254),IF(AND($D254=$E254,O$111=$B254+$D254),$H254,IF(AND(O$111&gt;$B254+$D254,O$111&lt;=$B254+$E254), $H254/($E254-$D254),0)), IF(OR(O$111=$B254+$D254,O$111=$B254+$E254),$H254/(($E254-$D254)*2),IF(AND(O$111&gt;$B254+$D254,O$111&lt;$B254+$E254),$H254/($E254-$D254),0)))</f>
        <v>0</v>
      </c>
      <c r="P254" s="9">
        <f t="shared" si="71"/>
        <v>0</v>
      </c>
      <c r="Q254" s="9">
        <f t="shared" si="71"/>
        <v>0</v>
      </c>
      <c r="R254" s="9">
        <f t="shared" si="71"/>
        <v>0</v>
      </c>
      <c r="S254" s="9">
        <f t="shared" si="71"/>
        <v>0</v>
      </c>
      <c r="T254" s="9">
        <f t="shared" si="71"/>
        <v>0</v>
      </c>
      <c r="U254" s="9"/>
      <c r="V254" s="9">
        <f>IF($C254="annual",IF(V$111=$B254,0,G254*$F254),IF(V$111-$B254=0,0,IF((V$111-$B254)&lt;$E254,AVERAGE(G254,H254)*$F254,IF((V$111-$B254)=$E254,G254*$F254/2,0))))</f>
        <v>0</v>
      </c>
      <c r="W254" s="9">
        <f t="shared" ref="W254:AA259" si="72">IF($C254="annual",IF(W$111=$B254,0,H254*$F254),IF(W$111-$B254=0,0,IF((W$111-$B254)&lt;$E254,AVERAGE(H254,I254)*$F254,IF((W$111-$B254)=$E254,H254*$F254/2,0))))</f>
        <v>0</v>
      </c>
      <c r="X254" s="9">
        <f t="shared" si="72"/>
        <v>0</v>
      </c>
      <c r="Y254" s="9">
        <f t="shared" si="72"/>
        <v>0</v>
      </c>
      <c r="Z254" s="9">
        <f t="shared" si="72"/>
        <v>0</v>
      </c>
      <c r="AA254" s="9">
        <f t="shared" si="72"/>
        <v>0</v>
      </c>
    </row>
    <row r="255" spans="1:27">
      <c r="A255" s="8" t="str">
        <f>A254</f>
        <v>Type 14</v>
      </c>
      <c r="B255" s="7">
        <f>B254+1</f>
        <v>2019</v>
      </c>
      <c r="C255" s="7" t="str">
        <f>C254</f>
        <v>Annual</v>
      </c>
      <c r="D255" s="7">
        <f t="shared" ref="D255:E259" si="73">D254</f>
        <v>0</v>
      </c>
      <c r="E255" s="7">
        <f t="shared" si="73"/>
        <v>0</v>
      </c>
      <c r="F255" s="14">
        <f>$M$99</f>
        <v>0</v>
      </c>
      <c r="H255" s="9"/>
      <c r="I255" s="9">
        <f ca="1">$C$99</f>
        <v>0</v>
      </c>
      <c r="J255" s="9">
        <f ca="1">I255-Q255</f>
        <v>0</v>
      </c>
      <c r="K255" s="9">
        <f ca="1">J255-R255</f>
        <v>0</v>
      </c>
      <c r="L255" s="9">
        <f ca="1">K255-S255</f>
        <v>0</v>
      </c>
      <c r="M255" s="9">
        <f ca="1">L255-T255</f>
        <v>0</v>
      </c>
      <c r="N255" s="9"/>
      <c r="O255" s="9"/>
      <c r="P255" s="9">
        <f ca="1">IF(OR($C255="Annual",$D255=$E255),IF(AND($D255=$E255,P$111=$B255+$D255),$I255,IF(AND(P$111&gt;$B255+$D255,P$111&lt;=$B255+$E255), $I255/($E255-$D255),0)), IF(OR(P$111=$B255+$D255,P$111=$B255+$E255),$I255/(($E255-$D255)*2),IF(AND(P$111&gt;$B255+$D255,P$111&lt;$B255+$E255),$I255/($E255-$D255),0)))</f>
        <v>0</v>
      </c>
      <c r="Q255" s="9">
        <f>IF(OR($C255="Annual",$D255=$E255),IF(AND($D255=$E255,Q$111=$B255+$D255),$I255,IF(AND(Q$111&gt;$B255+$D255,Q$111&lt;=$B255+$E255), $I255/($E255-$D255),0)), IF(OR(Q$111=$B255+$D255,Q$111=$B255+$E255),$I255/(($E255-$D255)*2),IF(AND(Q$111&gt;$B255+$D255,Q$111&lt;$B255+$E255),$I255/($E255-$D255),0)))</f>
        <v>0</v>
      </c>
      <c r="R255" s="9">
        <f>IF(OR($C255="Annual",$D255=$E255),IF(AND($D255=$E255,R$111=$B255+$D255),$I255,IF(AND(R$111&gt;$B255+$D255,R$111&lt;=$B255+$E255), $I255/($E255-$D255),0)), IF(OR(R$111=$B255+$D255,R$111=$B255+$E255),$I255/(($E255-$D255)*2),IF(AND(R$111&gt;$B255+$D255,R$111&lt;$B255+$E255),$I255/($E255-$D255),0)))</f>
        <v>0</v>
      </c>
      <c r="S255" s="9">
        <f>IF(OR($C255="Annual",$D255=$E255),IF(AND($D255=$E255,S$111=$B255+$D255),$I255,IF(AND(S$111&gt;$B255+$D255,S$111&lt;=$B255+$E255), $I255/($E255-$D255),0)), IF(OR(S$111=$B255+$D255,S$111=$B255+$E255),$I255/(($E255-$D255)*2),IF(AND(S$111&gt;$B255+$D255,S$111&lt;$B255+$E255),$I255/($E255-$D255),0)))</f>
        <v>0</v>
      </c>
      <c r="T255" s="9">
        <f>IF(OR($C255="Annual",$D255=$E255),IF(AND($D255=$E255,T$111=$B255+$D255),$I255,IF(AND(T$111&gt;$B255+$D255,T$111&lt;=$B255+$E255), $I255/($E255-$D255),0)), IF(OR(T$111=$B255+$D255,T$111=$B255+$E255),$I255/(($E255-$D255)*2),IF(AND(T$111&gt;$B255+$D255,T$111&lt;$B255+$E255),$I255/($E255-$D255),0)))</f>
        <v>0</v>
      </c>
      <c r="U255" s="9"/>
      <c r="V255" s="9"/>
      <c r="W255" s="9">
        <f t="shared" si="72"/>
        <v>0</v>
      </c>
      <c r="X255" s="9">
        <f t="shared" ca="1" si="72"/>
        <v>0</v>
      </c>
      <c r="Y255" s="9">
        <f t="shared" ca="1" si="72"/>
        <v>0</v>
      </c>
      <c r="Z255" s="9">
        <f t="shared" ca="1" si="72"/>
        <v>0</v>
      </c>
      <c r="AA255" s="9">
        <f t="shared" ca="1" si="72"/>
        <v>0</v>
      </c>
    </row>
    <row r="256" spans="1:27">
      <c r="A256" s="8" t="str">
        <f>A255</f>
        <v>Type 14</v>
      </c>
      <c r="B256" s="7">
        <f>B255+1</f>
        <v>2020</v>
      </c>
      <c r="C256" s="7" t="str">
        <f>C255</f>
        <v>Annual</v>
      </c>
      <c r="D256" s="7">
        <f t="shared" si="73"/>
        <v>0</v>
      </c>
      <c r="E256" s="7">
        <f t="shared" si="73"/>
        <v>0</v>
      </c>
      <c r="F256" s="14">
        <f>$N$99</f>
        <v>0</v>
      </c>
      <c r="H256" s="9"/>
      <c r="I256" s="9"/>
      <c r="J256" s="9">
        <f ca="1">$D$99</f>
        <v>0</v>
      </c>
      <c r="K256" s="9">
        <f ca="1">J256-R256</f>
        <v>0</v>
      </c>
      <c r="L256" s="9">
        <f ca="1">K256-S256</f>
        <v>0</v>
      </c>
      <c r="M256" s="9">
        <f ca="1">L256-T256</f>
        <v>0</v>
      </c>
      <c r="N256" s="9"/>
      <c r="O256" s="9"/>
      <c r="P256" s="9"/>
      <c r="Q256" s="9">
        <f ca="1">IF(OR($C256="Annual",$D256=$E256),IF(AND($D256=$E256,Q$111=$B256+$D256),$J256,IF(AND(Q$111&gt;$B256+$D256,Q$111&lt;=$B256+$E256), $J256/($E256-$D256),0)), IF(OR(Q$111=$B256+$D256,Q$111=$B256+$E256),$J256/(($E256-$D256)*2),IF(AND(Q$111&gt;$B256+$D256,Q$111&lt;$B256+$E256),$J256/($E256-$D256),0)))</f>
        <v>0</v>
      </c>
      <c r="R256" s="9">
        <f>IF(OR($C256="Annual",$D256=$E256),IF(AND($D256=$E256,R$111=$B256+$D256),$J256,IF(AND(R$111&gt;$B256+$D256,R$111&lt;=$B256+$E256), $J256/($E256-$D256),0)), IF(OR(R$111=$B256+$D256,R$111=$B256+$E256),$J256/(($E256-$D256)*2),IF(AND(R$111&gt;$B256+$D256,R$111&lt;$B256+$E256),$J256/($E256-$D256),0)))</f>
        <v>0</v>
      </c>
      <c r="S256" s="9">
        <f>IF(OR($C256="Annual",$D256=$E256),IF(AND($D256=$E256,S$111=$B256+$D256),$J256,IF(AND(S$111&gt;$B256+$D256,S$111&lt;=$B256+$E256), $J256/($E256-$D256),0)), IF(OR(S$111=$B256+$D256,S$111=$B256+$E256),$J256/(($E256-$D256)*2),IF(AND(S$111&gt;$B256+$D256,S$111&lt;$B256+$E256),$J256/($E256-$D256),0)))</f>
        <v>0</v>
      </c>
      <c r="T256" s="9">
        <f>IF(OR($C256="Annual",$D256=$E256),IF(AND($D256=$E256,T$111=$B256+$D256),$J256,IF(AND(T$111&gt;$B256+$D256,T$111&lt;=$B256+$E256), $J256/($E256-$D256),0)), IF(OR(T$111=$B256+$D256,T$111=$B256+$E256),$J256/(($E256-$D256)*2),IF(AND(T$111&gt;$B256+$D256,T$111&lt;$B256+$E256),$J256/($E256-$D256),0)))</f>
        <v>0</v>
      </c>
      <c r="U256" s="9"/>
      <c r="V256" s="9"/>
      <c r="W256" s="9"/>
      <c r="X256" s="9">
        <f t="shared" si="72"/>
        <v>0</v>
      </c>
      <c r="Y256" s="9">
        <f t="shared" ca="1" si="72"/>
        <v>0</v>
      </c>
      <c r="Z256" s="9">
        <f t="shared" ca="1" si="72"/>
        <v>0</v>
      </c>
      <c r="AA256" s="9">
        <f t="shared" ca="1" si="72"/>
        <v>0</v>
      </c>
    </row>
    <row r="257" spans="1:27">
      <c r="A257" s="8" t="str">
        <f>A256</f>
        <v>Type 14</v>
      </c>
      <c r="B257" s="7">
        <f>B256+1</f>
        <v>2021</v>
      </c>
      <c r="C257" s="7" t="str">
        <f>C256</f>
        <v>Annual</v>
      </c>
      <c r="D257" s="7">
        <f t="shared" si="73"/>
        <v>0</v>
      </c>
      <c r="E257" s="7">
        <f t="shared" si="73"/>
        <v>0</v>
      </c>
      <c r="F257" s="14">
        <f>$O$99</f>
        <v>0</v>
      </c>
      <c r="H257" s="9"/>
      <c r="I257" s="9"/>
      <c r="J257" s="9"/>
      <c r="K257" s="9">
        <f ca="1">$E$99</f>
        <v>0</v>
      </c>
      <c r="L257" s="9">
        <f ca="1">K257-S257</f>
        <v>0</v>
      </c>
      <c r="M257" s="9">
        <f ca="1">L257-T257</f>
        <v>0</v>
      </c>
      <c r="N257" s="9"/>
      <c r="O257" s="9"/>
      <c r="P257" s="9"/>
      <c r="Q257" s="9"/>
      <c r="R257" s="9">
        <f ca="1">IF(OR($C257="Annual",$D257=$E257),IF(AND($D257=$E257,R$111=$B257+$D257),$K257,IF(AND(R$111&gt;$B257+$D257,R$111&lt;=$B257+$E257), $K257/($E257-$D257),0)), IF(OR(R$111=$B257+$D257,R$111=$B257+$E257),$K257/(($E257-$D257)*2),IF(AND(R$111&gt;$B257+$D257,R$111&lt;$B257+$E257),$K257/($E257-$D257),0)))</f>
        <v>0</v>
      </c>
      <c r="S257" s="9">
        <f>IF(OR($C257="Annual",$D257=$E257),IF(AND($D257=$E257,S$111=$B257+$D257),$K257,IF(AND(S$111&gt;$B257+$D257,S$111&lt;=$B257+$E257), $K257/($E257-$D257),0)), IF(OR(S$111=$B257+$D257,S$111=$B257+$E257),$K257/(($E257-$D257)*2),IF(AND(S$111&gt;$B257+$D257,S$111&lt;$B257+$E257),$K257/($E257-$D257),0)))</f>
        <v>0</v>
      </c>
      <c r="T257" s="9">
        <f>IF(OR($C257="Annual",$D257=$E257),IF(AND($D257=$E257,T$111=$B257+$D257),$K257,IF(AND(T$111&gt;$B257+$D257,T$111&lt;=$B257+$E257), $K257/($E257-$D257),0)), IF(OR(T$111=$B257+$D257,T$111=$B257+$E257),$K257/(($E257-$D257)*2),IF(AND(T$111&gt;$B257+$D257,T$111&lt;$B257+$E257),$K257/($E257-$D257),0)))</f>
        <v>0</v>
      </c>
      <c r="U257" s="9"/>
      <c r="V257" s="9"/>
      <c r="W257" s="9"/>
      <c r="X257" s="9"/>
      <c r="Y257" s="9">
        <f t="shared" si="72"/>
        <v>0</v>
      </c>
      <c r="Z257" s="9">
        <f t="shared" ca="1" si="72"/>
        <v>0</v>
      </c>
      <c r="AA257" s="9">
        <f t="shared" ca="1" si="72"/>
        <v>0</v>
      </c>
    </row>
    <row r="258" spans="1:27">
      <c r="A258" s="8" t="str">
        <f>A257</f>
        <v>Type 14</v>
      </c>
      <c r="B258" s="7">
        <f>B257+1</f>
        <v>2022</v>
      </c>
      <c r="C258" s="7" t="str">
        <f>C257</f>
        <v>Annual</v>
      </c>
      <c r="D258" s="7">
        <f t="shared" si="73"/>
        <v>0</v>
      </c>
      <c r="E258" s="7">
        <f t="shared" si="73"/>
        <v>0</v>
      </c>
      <c r="F258" s="14">
        <f>$P$99</f>
        <v>0</v>
      </c>
      <c r="H258" s="9"/>
      <c r="I258" s="9"/>
      <c r="J258" s="9"/>
      <c r="K258" s="9"/>
      <c r="L258" s="9">
        <f ca="1">$F$99</f>
        <v>0</v>
      </c>
      <c r="M258" s="9">
        <f ca="1">L258-T258</f>
        <v>0</v>
      </c>
      <c r="N258" s="9"/>
      <c r="O258" s="9"/>
      <c r="P258" s="9"/>
      <c r="Q258" s="9"/>
      <c r="R258" s="9"/>
      <c r="S258" s="9">
        <f ca="1">IF(OR($C258="Annual",$D258=$E258),IF(AND($D258=$E258,S$111=$B258+$D258),$L258,IF(AND(S$111&gt;$B258+$D258,S$111&lt;=$B258+$E258), $L258/($E258-$D258),0)), IF(OR(S$111=$B258+$D258,S$111=$B258+$E258),$L258/(($E258-$D258)*2),IF(AND(S$111&gt;$B258+$D258,S$111&lt;$B258+$E258),$L258/($E258-$D258),0)))</f>
        <v>0</v>
      </c>
      <c r="T258" s="9">
        <f>IF(OR($C258="Annual",$D258=$E258),IF(AND($D258=$E258,T$111=$B258+$D258),$L258,IF(AND(T$111&gt;$B258+$D258,T$111&lt;=$B258+$E258), $L258/($E258-$D258),0)), IF(OR(T$111=$B258+$D258,T$111=$B258+$E258),$L258/(($E258-$D258)*2),IF(AND(T$111&gt;$B258+$D258,T$111&lt;$B258+$E258),$L258/($E258-$D258),0)))</f>
        <v>0</v>
      </c>
      <c r="U258" s="9"/>
      <c r="V258" s="9"/>
      <c r="W258" s="9"/>
      <c r="X258" s="9"/>
      <c r="Y258" s="9"/>
      <c r="Z258" s="9">
        <f t="shared" si="72"/>
        <v>0</v>
      </c>
      <c r="AA258" s="9">
        <f t="shared" ca="1" si="72"/>
        <v>0</v>
      </c>
    </row>
    <row r="259" spans="1:27">
      <c r="A259" s="8" t="str">
        <f>A258</f>
        <v>Type 14</v>
      </c>
      <c r="B259" s="7">
        <f>B258+1</f>
        <v>2023</v>
      </c>
      <c r="C259" s="7" t="str">
        <f>C258</f>
        <v>Annual</v>
      </c>
      <c r="D259" s="7">
        <f t="shared" si="73"/>
        <v>0</v>
      </c>
      <c r="E259" s="7">
        <f t="shared" si="73"/>
        <v>0</v>
      </c>
      <c r="F259" s="14">
        <f>$Q$99</f>
        <v>0</v>
      </c>
      <c r="H259" s="9"/>
      <c r="I259" s="9"/>
      <c r="J259" s="9"/>
      <c r="K259" s="9"/>
      <c r="L259" s="9"/>
      <c r="M259" s="9">
        <f ca="1">$G$99</f>
        <v>0</v>
      </c>
      <c r="N259" s="9"/>
      <c r="O259" s="9"/>
      <c r="P259" s="9"/>
      <c r="Q259" s="9"/>
      <c r="R259" s="9"/>
      <c r="S259" s="9"/>
      <c r="T259" s="9">
        <f ca="1">IF(OR($C259="Annual",$D259=$E259),IF(AND($D259=$E259,T$111=$B259+$D259),$M259,IF(AND(T$111&gt;$B259+$D259,T$111&lt;=$B259+$E259), $M259/($E259-$D259),0)), IF(OR(T$111=$B259+$D259,T$111=$B259+$E259),$M259/(($E259-$D259)*2),IF(AND(T$111&gt;$B259+$D259,T$111&lt;$B259+$E259),$M259/($E259-$D259),0)))</f>
        <v>0</v>
      </c>
      <c r="U259" s="9"/>
      <c r="V259" s="9"/>
      <c r="W259" s="9"/>
      <c r="X259" s="9"/>
      <c r="Y259" s="9"/>
      <c r="Z259" s="9"/>
      <c r="AA259" s="9">
        <f t="shared" si="72"/>
        <v>0</v>
      </c>
    </row>
    <row r="260" spans="1:27">
      <c r="C260" s="281"/>
      <c r="F260" s="15"/>
      <c r="H260" s="10"/>
      <c r="I260" s="10"/>
      <c r="J260" s="10"/>
      <c r="K260" s="10"/>
      <c r="L260" s="10"/>
      <c r="M260" s="10"/>
      <c r="N260" s="10"/>
      <c r="O260" s="278"/>
      <c r="P260" s="10"/>
      <c r="Q260" s="10"/>
      <c r="R260" s="10"/>
      <c r="S260" s="10"/>
      <c r="T260" s="10"/>
      <c r="U260" s="10"/>
      <c r="V260" s="10"/>
      <c r="W260" s="10"/>
      <c r="X260" s="10"/>
      <c r="Y260" s="10"/>
      <c r="Z260" s="10"/>
      <c r="AA260" s="10"/>
    </row>
    <row r="261" spans="1:27" s="1150" customFormat="1">
      <c r="A261" s="1347" t="str">
        <f>'Input 4 - Forecast'!A81</f>
        <v>ZERO-COUPON BOND</v>
      </c>
      <c r="B261" s="1348">
        <f>B119</f>
        <v>2018</v>
      </c>
      <c r="C261" s="1348"/>
      <c r="D261" s="1348">
        <f>$J100</f>
        <v>0</v>
      </c>
      <c r="E261" s="1348">
        <f>$K100</f>
        <v>0</v>
      </c>
      <c r="F261" s="1349">
        <f>$L$100</f>
        <v>0</v>
      </c>
      <c r="H261" s="1350">
        <f>$B$100</f>
        <v>0</v>
      </c>
      <c r="I261" s="1350">
        <f>H261-P261</f>
        <v>0</v>
      </c>
      <c r="J261" s="1350">
        <f>I261-Q261</f>
        <v>0</v>
      </c>
      <c r="K261" s="1350">
        <f>J261-R261</f>
        <v>0</v>
      </c>
      <c r="L261" s="1350">
        <f>K261-S261</f>
        <v>0</v>
      </c>
      <c r="M261" s="1350">
        <f>L261-T261</f>
        <v>0</v>
      </c>
      <c r="N261" s="1350"/>
      <c r="O261" s="1350">
        <f t="shared" ref="O261:T261" si="74">IF($D261=$E261,IF(O$111=$B261+$E261,$H261,0),0)</f>
        <v>0</v>
      </c>
      <c r="P261" s="1350">
        <f t="shared" si="74"/>
        <v>0</v>
      </c>
      <c r="Q261" s="1350">
        <f t="shared" si="74"/>
        <v>0</v>
      </c>
      <c r="R261" s="1350">
        <f t="shared" si="74"/>
        <v>0</v>
      </c>
      <c r="S261" s="1350">
        <f t="shared" si="74"/>
        <v>0</v>
      </c>
      <c r="T261" s="1350">
        <f t="shared" si="74"/>
        <v>0</v>
      </c>
      <c r="U261" s="1350"/>
      <c r="V261" s="1350">
        <f t="shared" ref="V261:AA261" si="75">IF(V$111-$B261=$D261,$H261*(((1+$F261)^$D261)-1),0)</f>
        <v>0</v>
      </c>
      <c r="W261" s="1350">
        <f t="shared" si="75"/>
        <v>0</v>
      </c>
      <c r="X261" s="1350">
        <f t="shared" si="75"/>
        <v>0</v>
      </c>
      <c r="Y261" s="1350">
        <f t="shared" si="75"/>
        <v>0</v>
      </c>
      <c r="Z261" s="1350">
        <f t="shared" si="75"/>
        <v>0</v>
      </c>
      <c r="AA261" s="1350">
        <f t="shared" si="75"/>
        <v>0</v>
      </c>
    </row>
    <row r="262" spans="1:27" s="1150" customFormat="1">
      <c r="A262" s="1347" t="str">
        <f>A261</f>
        <v>ZERO-COUPON BOND</v>
      </c>
      <c r="B262" s="1348">
        <f>B261+1</f>
        <v>2019</v>
      </c>
      <c r="C262" s="1348"/>
      <c r="D262" s="1348">
        <f t="shared" ref="D262:E266" si="76">D261</f>
        <v>0</v>
      </c>
      <c r="E262" s="1348">
        <f t="shared" si="76"/>
        <v>0</v>
      </c>
      <c r="F262" s="1349">
        <f>$M$100</f>
        <v>0</v>
      </c>
      <c r="H262" s="1350"/>
      <c r="I262" s="1350">
        <f ca="1">$C$100</f>
        <v>0</v>
      </c>
      <c r="J262" s="1350">
        <f ca="1">I262-Q262</f>
        <v>0</v>
      </c>
      <c r="K262" s="1350">
        <f ca="1">J262-R262</f>
        <v>0</v>
      </c>
      <c r="L262" s="1350">
        <f ca="1">K262-S262</f>
        <v>0</v>
      </c>
      <c r="M262" s="1350">
        <f ca="1">L262-T262</f>
        <v>0</v>
      </c>
      <c r="N262" s="1350"/>
      <c r="O262" s="1351"/>
      <c r="P262" s="1350">
        <f ca="1">IF($D262=$E262,IF(P$111=$B262+$E262,$I262,0),0)</f>
        <v>0</v>
      </c>
      <c r="Q262" s="1350">
        <f>IF($D262=$E262,IF(Q$111=$B262+$E262,$I262,0),0)</f>
        <v>0</v>
      </c>
      <c r="R262" s="1350">
        <f>IF($D262=$E262,IF(R$111=$B262+$E262,$I262,0),0)</f>
        <v>0</v>
      </c>
      <c r="S262" s="1350">
        <f>IF($D262=$E262,IF(S$111=$B262+$E262,$I262,0),0)</f>
        <v>0</v>
      </c>
      <c r="T262" s="1350">
        <f>IF($D262=$E262,IF(T$111=$B262+$E262,$I262,0),0)</f>
        <v>0</v>
      </c>
      <c r="U262" s="1350"/>
      <c r="V262" s="1350"/>
      <c r="W262" s="1350">
        <f ca="1">IF(W$111-$B262=$D262,$I262*(((1+$F262)^$D262)-1),0)</f>
        <v>0</v>
      </c>
      <c r="X262" s="1350">
        <f>IF(X$111-$B262=$D262,$I262*(((1+$F262)^$D262)-1),0)</f>
        <v>0</v>
      </c>
      <c r="Y262" s="1350">
        <f>IF(Y$111-$B262=$D262,$I262*(((1+$F262)^$D262)-1),0)</f>
        <v>0</v>
      </c>
      <c r="Z262" s="1350">
        <f>IF(Z$111-$B262=$D262,$I262*(((1+$F262)^$D262)-1),0)</f>
        <v>0</v>
      </c>
      <c r="AA262" s="1350">
        <f>IF(AA$111-$B262=$D262,$I262*(((1+$F262)^$D262)-1),0)</f>
        <v>0</v>
      </c>
    </row>
    <row r="263" spans="1:27" s="1150" customFormat="1">
      <c r="A263" s="1347" t="str">
        <f>A262</f>
        <v>ZERO-COUPON BOND</v>
      </c>
      <c r="B263" s="1348">
        <f>B262+1</f>
        <v>2020</v>
      </c>
      <c r="C263" s="1348"/>
      <c r="D263" s="1348">
        <f t="shared" si="76"/>
        <v>0</v>
      </c>
      <c r="E263" s="1348">
        <f t="shared" si="76"/>
        <v>0</v>
      </c>
      <c r="F263" s="1349">
        <f>$N$100</f>
        <v>0</v>
      </c>
      <c r="H263" s="1350"/>
      <c r="I263" s="1350"/>
      <c r="J263" s="1350">
        <f ca="1">$D$100</f>
        <v>0</v>
      </c>
      <c r="K263" s="1350">
        <f ca="1">J263-R263</f>
        <v>0</v>
      </c>
      <c r="L263" s="1350">
        <f ca="1">K263-S263</f>
        <v>0</v>
      </c>
      <c r="M263" s="1350">
        <f ca="1">L263-T263</f>
        <v>0</v>
      </c>
      <c r="N263" s="1350"/>
      <c r="O263" s="1351"/>
      <c r="P263" s="1350"/>
      <c r="Q263" s="1350">
        <f ca="1">IF($D263=$E263,IF(Q$111=$B263+$E263,$J263,0),0)</f>
        <v>0</v>
      </c>
      <c r="R263" s="1350">
        <f>IF($D263=$E263,IF(R$111=$B263+$E263,$J263,0),0)</f>
        <v>0</v>
      </c>
      <c r="S263" s="1350">
        <f>IF($D263=$E263,IF(S$111=$B263+$E263,$J263,0),0)</f>
        <v>0</v>
      </c>
      <c r="T263" s="1350">
        <f>IF($D263=$E263,IF(T$111=$B263+$E263,$J263,0),0)</f>
        <v>0</v>
      </c>
      <c r="U263" s="1350"/>
      <c r="V263" s="1350"/>
      <c r="W263" s="1350"/>
      <c r="X263" s="1350">
        <f ca="1">IF(X$111-$B263=$D263,$J263*(((1+$F263)^$D263)-1),0)</f>
        <v>0</v>
      </c>
      <c r="Y263" s="1350">
        <f>IF(Y$111-$B263=$D263,$J263*(((1+$F263)^$D263)-1),0)</f>
        <v>0</v>
      </c>
      <c r="Z263" s="1350">
        <f>IF(Z$111-$B263=$D263,$J263*(((1+$F263)^$D263)-1),0)</f>
        <v>0</v>
      </c>
      <c r="AA263" s="1350">
        <f>IF(AA$111-$B263=$D263,$J263*(((1+$F263)^$D263)-1),0)</f>
        <v>0</v>
      </c>
    </row>
    <row r="264" spans="1:27" s="1150" customFormat="1">
      <c r="A264" s="1347" t="str">
        <f>A263</f>
        <v>ZERO-COUPON BOND</v>
      </c>
      <c r="B264" s="1348">
        <f>B263+1</f>
        <v>2021</v>
      </c>
      <c r="C264" s="1348"/>
      <c r="D264" s="1348">
        <f t="shared" si="76"/>
        <v>0</v>
      </c>
      <c r="E264" s="1348">
        <f t="shared" si="76"/>
        <v>0</v>
      </c>
      <c r="F264" s="1349">
        <f>$O$100</f>
        <v>0</v>
      </c>
      <c r="H264" s="1350"/>
      <c r="I264" s="1350"/>
      <c r="J264" s="1350"/>
      <c r="K264" s="1350">
        <f ca="1">$E$100</f>
        <v>0</v>
      </c>
      <c r="L264" s="1350">
        <f ca="1">K264-S264</f>
        <v>0</v>
      </c>
      <c r="M264" s="1350">
        <f ca="1">L264-T264</f>
        <v>0</v>
      </c>
      <c r="N264" s="1350"/>
      <c r="O264" s="1351"/>
      <c r="P264" s="1350"/>
      <c r="Q264" s="1350"/>
      <c r="R264" s="1350">
        <f ca="1">IF($D264=$E264,IF(R$111=$B264+$E264,$K264,0),0)</f>
        <v>0</v>
      </c>
      <c r="S264" s="1350">
        <f>IF($D264=$E264,IF(S$111=$B264+$E264,$K264,0),0)</f>
        <v>0</v>
      </c>
      <c r="T264" s="1350">
        <f>IF($D264=$E264,IF(T$111=$B264+$E264,$K264,0),0)</f>
        <v>0</v>
      </c>
      <c r="U264" s="1350"/>
      <c r="V264" s="1350"/>
      <c r="W264" s="1350"/>
      <c r="X264" s="1350"/>
      <c r="Y264" s="1350">
        <f ca="1">IF(Y$111-$B264=$D264,$K264*(((1+$F264)^$D264)-1),0)</f>
        <v>0</v>
      </c>
      <c r="Z264" s="1350">
        <f>IF(Z$111-$B264=$D264,$K264*(((1+$F264)^$D264)-1),0)</f>
        <v>0</v>
      </c>
      <c r="AA264" s="1350">
        <f>IF(AA$111-$B264=$D264,$K264*(((1+$F264)^$D264)-1),0)</f>
        <v>0</v>
      </c>
    </row>
    <row r="265" spans="1:27" s="1150" customFormat="1">
      <c r="A265" s="1347" t="str">
        <f>A264</f>
        <v>ZERO-COUPON BOND</v>
      </c>
      <c r="B265" s="1348">
        <f>B264+1</f>
        <v>2022</v>
      </c>
      <c r="C265" s="1348"/>
      <c r="D265" s="1348">
        <f t="shared" si="76"/>
        <v>0</v>
      </c>
      <c r="E265" s="1348">
        <f t="shared" si="76"/>
        <v>0</v>
      </c>
      <c r="F265" s="1349">
        <f>$P$100</f>
        <v>0</v>
      </c>
      <c r="H265" s="1350"/>
      <c r="I265" s="1350"/>
      <c r="J265" s="1350"/>
      <c r="K265" s="1350"/>
      <c r="L265" s="1350">
        <f ca="1">$F$100</f>
        <v>0</v>
      </c>
      <c r="M265" s="1350">
        <f ca="1">L265-T265</f>
        <v>0</v>
      </c>
      <c r="N265" s="1350"/>
      <c r="O265" s="1351"/>
      <c r="P265" s="1350"/>
      <c r="Q265" s="1350"/>
      <c r="R265" s="1350"/>
      <c r="S265" s="1350">
        <f ca="1">IF($D265=$E265,IF(S$111=$B265+$E265,$L265,0),0)</f>
        <v>0</v>
      </c>
      <c r="T265" s="1350">
        <f>IF($D265=$E265,IF(T$111=$B265+$E265,$L265,0),0)</f>
        <v>0</v>
      </c>
      <c r="U265" s="1350"/>
      <c r="V265" s="1350"/>
      <c r="W265" s="1350"/>
      <c r="X265" s="1350"/>
      <c r="Y265" s="1350"/>
      <c r="Z265" s="1350">
        <f ca="1">IF(Z$111-$B265=$D265,$L265*(((1+$F265)^$D265)-1),0)</f>
        <v>0</v>
      </c>
      <c r="AA265" s="1350">
        <f>IF(AA$111-$B265=$D265,$L265*(((1+$F265)^$D265)-1),0)</f>
        <v>0</v>
      </c>
    </row>
    <row r="266" spans="1:27" s="1150" customFormat="1">
      <c r="A266" s="1347" t="str">
        <f>A265</f>
        <v>ZERO-COUPON BOND</v>
      </c>
      <c r="B266" s="1348">
        <f>B265+1</f>
        <v>2023</v>
      </c>
      <c r="C266" s="1348"/>
      <c r="D266" s="1348">
        <f t="shared" si="76"/>
        <v>0</v>
      </c>
      <c r="E266" s="1348">
        <f t="shared" si="76"/>
        <v>0</v>
      </c>
      <c r="F266" s="1349">
        <f>$Q$100</f>
        <v>0</v>
      </c>
      <c r="H266" s="1350"/>
      <c r="I266" s="1350"/>
      <c r="J266" s="1350"/>
      <c r="K266" s="1350"/>
      <c r="L266" s="1350"/>
      <c r="M266" s="1350">
        <f ca="1">$G$100</f>
        <v>0</v>
      </c>
      <c r="N266" s="1350"/>
      <c r="O266" s="1351"/>
      <c r="P266" s="1350"/>
      <c r="Q266" s="1350"/>
      <c r="R266" s="1350"/>
      <c r="S266" s="1350"/>
      <c r="T266" s="1350">
        <f ca="1">IF($D266=$E266,IF(T$111=$B266+$E266,$M266,0),0)</f>
        <v>0</v>
      </c>
      <c r="U266" s="1350"/>
      <c r="V266" s="1350"/>
      <c r="W266" s="1350"/>
      <c r="X266" s="1350"/>
      <c r="Y266" s="1350"/>
      <c r="Z266" s="1350"/>
      <c r="AA266" s="1350">
        <f ca="1">IF(AA$111-$B266=$D266,$M266*(((1+$F266)^$D266)-1),0)</f>
        <v>0</v>
      </c>
    </row>
    <row r="267" spans="1:27" ht="15.75" thickBot="1">
      <c r="H267" s="10"/>
      <c r="I267" s="10"/>
      <c r="J267" s="10"/>
      <c r="K267" s="10"/>
      <c r="L267" s="10"/>
      <c r="M267" s="10"/>
      <c r="N267" s="10"/>
      <c r="O267" s="10"/>
      <c r="P267" s="10"/>
      <c r="Q267" s="10"/>
      <c r="R267" s="10"/>
      <c r="S267" s="10"/>
      <c r="T267" s="10"/>
      <c r="U267" s="10"/>
      <c r="V267" s="10"/>
      <c r="W267" s="10"/>
      <c r="X267" s="10"/>
      <c r="Y267" s="10"/>
      <c r="Z267" s="10"/>
      <c r="AA267" s="10"/>
    </row>
    <row r="268" spans="1:27" ht="15.75" thickBot="1">
      <c r="A268" s="12" t="str">
        <f>'Input 4 - Forecast'!A82</f>
        <v>Denominated in foreign currency</v>
      </c>
      <c r="B268" s="1999" t="s">
        <v>52</v>
      </c>
      <c r="C268" s="2000"/>
      <c r="D268" s="2000"/>
      <c r="E268" s="2000"/>
      <c r="F268" s="2000"/>
      <c r="G268" s="2000"/>
      <c r="H268" s="2000"/>
      <c r="I268" s="2000"/>
      <c r="J268" s="2000"/>
      <c r="K268" s="2000"/>
      <c r="L268" s="2000"/>
      <c r="M268" s="2000"/>
      <c r="N268" s="2000"/>
      <c r="O268" s="2000"/>
      <c r="P268" s="2000"/>
      <c r="Q268" s="2000"/>
      <c r="R268" s="2000"/>
      <c r="S268" s="2000"/>
      <c r="T268" s="2000"/>
      <c r="U268" s="2000"/>
      <c r="V268" s="2000"/>
      <c r="W268" s="2000"/>
      <c r="X268" s="2000"/>
      <c r="Y268" s="2000"/>
      <c r="Z268" s="2000"/>
      <c r="AA268" s="2001"/>
    </row>
    <row r="269" spans="1:27">
      <c r="H269" s="10"/>
      <c r="I269" s="10"/>
      <c r="J269" s="10"/>
      <c r="K269" s="10"/>
      <c r="L269" s="10"/>
      <c r="M269" s="10"/>
      <c r="N269" s="10"/>
      <c r="O269" s="10"/>
      <c r="P269" s="10"/>
      <c r="Q269" s="10"/>
      <c r="R269" s="10"/>
      <c r="S269" s="10"/>
      <c r="T269" s="10"/>
      <c r="U269" s="10"/>
      <c r="V269" s="10"/>
      <c r="W269" s="10"/>
      <c r="X269" s="10"/>
      <c r="Y269" s="10"/>
      <c r="Z269" s="10"/>
      <c r="AA269" s="10"/>
    </row>
    <row r="270" spans="1:27">
      <c r="A270" s="8" t="str">
        <f>'Input 4 - Forecast'!A83</f>
        <v>Type 16</v>
      </c>
      <c r="B270" s="7">
        <f>B119</f>
        <v>2018</v>
      </c>
      <c r="C270" s="7" t="str">
        <f>$I102</f>
        <v>Annual</v>
      </c>
      <c r="D270" s="7">
        <f>$J102</f>
        <v>0</v>
      </c>
      <c r="E270" s="7">
        <f>$K102</f>
        <v>0</v>
      </c>
      <c r="F270" s="14">
        <f>$L$102</f>
        <v>0</v>
      </c>
      <c r="H270" s="9">
        <f>$B$102/$B$31</f>
        <v>0</v>
      </c>
      <c r="I270" s="9">
        <f>H270-P270</f>
        <v>0</v>
      </c>
      <c r="J270" s="9">
        <f>I270-Q270</f>
        <v>0</v>
      </c>
      <c r="K270" s="9">
        <f>J270-R270</f>
        <v>0</v>
      </c>
      <c r="L270" s="9">
        <f>K270-S270</f>
        <v>0</v>
      </c>
      <c r="M270" s="9">
        <f>L270-T270</f>
        <v>0</v>
      </c>
      <c r="N270" s="9"/>
      <c r="O270" s="9">
        <f t="shared" ref="O270:T270" si="77">IF(OR($C270="Annual",$D270=$E270),IF(AND($D270=$E270,O$111=$B270+$D270),$H270,IF(AND(O$111&gt;$B270+$D270,O$111&lt;=$B270+$E270), $H270/($E270-$D270),0)), IF(OR(O$111=$B270+$D270,O$111=$B270+$E270),$H270/(($E270-$D270)*2),IF(AND(O$111&gt;$B270+$D270,O$111&lt;$B270+$E270),$H270/($E270-$D270),0)))</f>
        <v>0</v>
      </c>
      <c r="P270" s="9">
        <f t="shared" si="77"/>
        <v>0</v>
      </c>
      <c r="Q270" s="9">
        <f t="shared" si="77"/>
        <v>0</v>
      </c>
      <c r="R270" s="9">
        <f t="shared" si="77"/>
        <v>0</v>
      </c>
      <c r="S270" s="9">
        <f t="shared" si="77"/>
        <v>0</v>
      </c>
      <c r="T270" s="9">
        <f t="shared" si="77"/>
        <v>0</v>
      </c>
      <c r="U270" s="9"/>
      <c r="V270" s="9">
        <f>IF($C270="annual",IF(V$111=$B270,0,G270*$F270),IF(V$111-$B270=0,0,IF((V$111-$B270)&lt;$E270,AVERAGE(G270,H270)*$F270,IF((V$111-$B270)=$E270,G270*$F270/2,0))))</f>
        <v>0</v>
      </c>
      <c r="W270" s="9">
        <f t="shared" ref="W270:AA275" si="78">IF($C270="annual",IF(W$111=$B270,0,H270*$F270),IF(W$111-$B270=0,0,IF((W$111-$B270)&lt;$E270,AVERAGE(H270,I270)*$F270,IF((W$111-$B270)=$E270,H270*$F270/2,0))))</f>
        <v>0</v>
      </c>
      <c r="X270" s="9">
        <f t="shared" si="78"/>
        <v>0</v>
      </c>
      <c r="Y270" s="9">
        <f t="shared" si="78"/>
        <v>0</v>
      </c>
      <c r="Z270" s="9">
        <f t="shared" si="78"/>
        <v>0</v>
      </c>
      <c r="AA270" s="9">
        <f t="shared" si="78"/>
        <v>0</v>
      </c>
    </row>
    <row r="271" spans="1:27">
      <c r="A271" s="8" t="str">
        <f>A270</f>
        <v>Type 16</v>
      </c>
      <c r="B271" s="7">
        <f>B270+1</f>
        <v>2019</v>
      </c>
      <c r="C271" s="7" t="str">
        <f>C270</f>
        <v>Annual</v>
      </c>
      <c r="D271" s="7">
        <f t="shared" ref="D271:E275" si="79">D270</f>
        <v>0</v>
      </c>
      <c r="E271" s="7">
        <f t="shared" si="79"/>
        <v>0</v>
      </c>
      <c r="F271" s="14">
        <f>$M$102</f>
        <v>0</v>
      </c>
      <c r="H271" s="9"/>
      <c r="I271" s="9">
        <f ca="1">$C$102/$C$31</f>
        <v>0</v>
      </c>
      <c r="J271" s="9">
        <f ca="1">I271-Q271</f>
        <v>0</v>
      </c>
      <c r="K271" s="9">
        <f ca="1">J271-R271</f>
        <v>0</v>
      </c>
      <c r="L271" s="9">
        <f ca="1">K271-S271</f>
        <v>0</v>
      </c>
      <c r="M271" s="9">
        <f ca="1">L271-T271</f>
        <v>0</v>
      </c>
      <c r="N271" s="9"/>
      <c r="O271" s="9"/>
      <c r="P271" s="9">
        <f ca="1">IF(OR($C271="Annual",$D271=$E271),IF(AND($D271=$E271,P$111=$B271+$D271),$I271,IF(AND(P$111&gt;$B271+$D271,P$111&lt;=$B271+$E271), $I271/($E271-$D271),0)), IF(OR(P$111=$B271+$D271,P$111=$B271+$E271),$I271/(($E271-$D271)*2),IF(AND(P$111&gt;$B271+$D271,P$111&lt;$B271+$E271),$I271/($E271-$D271),0)))</f>
        <v>0</v>
      </c>
      <c r="Q271" s="9">
        <f>IF(OR($C271="Annual",$D271=$E271),IF(AND($D271=$E271,Q$111=$B271+$D271),$I271,IF(AND(Q$111&gt;$B271+$D271,Q$111&lt;=$B271+$E271), $I271/($E271-$D271),0)), IF(OR(Q$111=$B271+$D271,Q$111=$B271+$E271),$I271/(($E271-$D271)*2),IF(AND(Q$111&gt;$B271+$D271,Q$111&lt;$B271+$E271),$I271/($E271-$D271),0)))</f>
        <v>0</v>
      </c>
      <c r="R271" s="9">
        <f>IF(OR($C271="Annual",$D271=$E271),IF(AND($D271=$E271,R$111=$B271+$D271),$I271,IF(AND(R$111&gt;$B271+$D271,R$111&lt;=$B271+$E271), $I271/($E271-$D271),0)), IF(OR(R$111=$B271+$D271,R$111=$B271+$E271),$I271/(($E271-$D271)*2),IF(AND(R$111&gt;$B271+$D271,R$111&lt;$B271+$E271),$I271/($E271-$D271),0)))</f>
        <v>0</v>
      </c>
      <c r="S271" s="9">
        <f>IF(OR($C271="Annual",$D271=$E271),IF(AND($D271=$E271,S$111=$B271+$D271),$I271,IF(AND(S$111&gt;$B271+$D271,S$111&lt;=$B271+$E271), $I271/($E271-$D271),0)), IF(OR(S$111=$B271+$D271,S$111=$B271+$E271),$I271/(($E271-$D271)*2),IF(AND(S$111&gt;$B271+$D271,S$111&lt;$B271+$E271),$I271/($E271-$D271),0)))</f>
        <v>0</v>
      </c>
      <c r="T271" s="9">
        <f>IF(OR($C271="Annual",$D271=$E271),IF(AND($D271=$E271,T$111=$B271+$D271),$I271,IF(AND(T$111&gt;$B271+$D271,T$111&lt;=$B271+$E271), $I271/($E271-$D271),0)), IF(OR(T$111=$B271+$D271,T$111=$B271+$E271),$I271/(($E271-$D271)*2),IF(AND(T$111&gt;$B271+$D271,T$111&lt;$B271+$E271),$I271/($E271-$D271),0)))</f>
        <v>0</v>
      </c>
      <c r="U271" s="9"/>
      <c r="V271" s="9"/>
      <c r="W271" s="9">
        <f t="shared" si="78"/>
        <v>0</v>
      </c>
      <c r="X271" s="9">
        <f t="shared" ca="1" si="78"/>
        <v>0</v>
      </c>
      <c r="Y271" s="9">
        <f t="shared" ca="1" si="78"/>
        <v>0</v>
      </c>
      <c r="Z271" s="9">
        <f t="shared" ca="1" si="78"/>
        <v>0</v>
      </c>
      <c r="AA271" s="9">
        <f t="shared" ca="1" si="78"/>
        <v>0</v>
      </c>
    </row>
    <row r="272" spans="1:27">
      <c r="A272" s="8" t="str">
        <f>A271</f>
        <v>Type 16</v>
      </c>
      <c r="B272" s="7">
        <f>B271+1</f>
        <v>2020</v>
      </c>
      <c r="C272" s="7" t="str">
        <f>C271</f>
        <v>Annual</v>
      </c>
      <c r="D272" s="7">
        <f t="shared" si="79"/>
        <v>0</v>
      </c>
      <c r="E272" s="7">
        <f t="shared" si="79"/>
        <v>0</v>
      </c>
      <c r="F272" s="14">
        <f>$N$102</f>
        <v>0</v>
      </c>
      <c r="H272" s="9"/>
      <c r="I272" s="9"/>
      <c r="J272" s="9">
        <f ca="1">$D$102/$D$31</f>
        <v>0</v>
      </c>
      <c r="K272" s="9">
        <f ca="1">J272-R272</f>
        <v>0</v>
      </c>
      <c r="L272" s="9">
        <f ca="1">K272-S272</f>
        <v>0</v>
      </c>
      <c r="M272" s="9">
        <f ca="1">L272-T272</f>
        <v>0</v>
      </c>
      <c r="N272" s="9"/>
      <c r="O272" s="9"/>
      <c r="P272" s="9"/>
      <c r="Q272" s="9">
        <f ca="1">IF(OR($C272="Annual",$D272=$E272),IF(AND($D272=$E272,Q$111=$B272+$D272),$J272,IF(AND(Q$111&gt;$B272+$D272,Q$111&lt;=$B272+$E272), $J272/($E272-$D272),0)), IF(OR(Q$111=$B272+$D272,Q$111=$B272+$E272),$J272/(($E272-$D272)*2),IF(AND(Q$111&gt;$B272+$D272,Q$111&lt;$B272+$E272),$J272/($E272-$D272),0)))</f>
        <v>0</v>
      </c>
      <c r="R272" s="9">
        <f>IF(OR($C272="Annual",$D272=$E272),IF(AND($D272=$E272,R$111=$B272+$D272),$J272,IF(AND(R$111&gt;$B272+$D272,R$111&lt;=$B272+$E272), $J272/($E272-$D272),0)), IF(OR(R$111=$B272+$D272,R$111=$B272+$E272),$J272/(($E272-$D272)*2),IF(AND(R$111&gt;$B272+$D272,R$111&lt;$B272+$E272),$J272/($E272-$D272),0)))</f>
        <v>0</v>
      </c>
      <c r="S272" s="9">
        <f>IF(OR($C272="Annual",$D272=$E272),IF(AND($D272=$E272,S$111=$B272+$D272),$J272,IF(AND(S$111&gt;$B272+$D272,S$111&lt;=$B272+$E272), $J272/($E272-$D272),0)), IF(OR(S$111=$B272+$D272,S$111=$B272+$E272),$J272/(($E272-$D272)*2),IF(AND(S$111&gt;$B272+$D272,S$111&lt;$B272+$E272),$J272/($E272-$D272),0)))</f>
        <v>0</v>
      </c>
      <c r="T272" s="9">
        <f>IF(OR($C272="Annual",$D272=$E272),IF(AND($D272=$E272,T$111=$B272+$D272),$J272,IF(AND(T$111&gt;$B272+$D272,T$111&lt;=$B272+$E272), $J272/($E272-$D272),0)), IF(OR(T$111=$B272+$D272,T$111=$B272+$E272),$J272/(($E272-$D272)*2),IF(AND(T$111&gt;$B272+$D272,T$111&lt;$B272+$E272),$J272/($E272-$D272),0)))</f>
        <v>0</v>
      </c>
      <c r="U272" s="9"/>
      <c r="V272" s="9"/>
      <c r="W272" s="9"/>
      <c r="X272" s="9">
        <f t="shared" si="78"/>
        <v>0</v>
      </c>
      <c r="Y272" s="9">
        <f t="shared" ca="1" si="78"/>
        <v>0</v>
      </c>
      <c r="Z272" s="9">
        <f t="shared" ca="1" si="78"/>
        <v>0</v>
      </c>
      <c r="AA272" s="9">
        <f t="shared" ca="1" si="78"/>
        <v>0</v>
      </c>
    </row>
    <row r="273" spans="1:27">
      <c r="A273" s="8" t="str">
        <f>A272</f>
        <v>Type 16</v>
      </c>
      <c r="B273" s="7">
        <f>B272+1</f>
        <v>2021</v>
      </c>
      <c r="C273" s="7" t="str">
        <f>C272</f>
        <v>Annual</v>
      </c>
      <c r="D273" s="7">
        <f t="shared" si="79"/>
        <v>0</v>
      </c>
      <c r="E273" s="7">
        <f t="shared" si="79"/>
        <v>0</v>
      </c>
      <c r="F273" s="14">
        <f>$O$102</f>
        <v>0</v>
      </c>
      <c r="H273" s="9"/>
      <c r="I273" s="9"/>
      <c r="J273" s="9"/>
      <c r="K273" s="9">
        <f ca="1">$E$102/$E$31</f>
        <v>0</v>
      </c>
      <c r="L273" s="9">
        <f ca="1">K273-S273</f>
        <v>0</v>
      </c>
      <c r="M273" s="9">
        <f ca="1">L273-T273</f>
        <v>0</v>
      </c>
      <c r="N273" s="9"/>
      <c r="O273" s="9"/>
      <c r="P273" s="9"/>
      <c r="Q273" s="9"/>
      <c r="R273" s="9">
        <f ca="1">IF(OR($C273="Annual",$D273=$E273),IF(AND($D273=$E273,R$111=$B273+$D273),$K273,IF(AND(R$111&gt;$B273+$D273,R$111&lt;=$B273+$E273), $K273/($E273-$D273),0)), IF(OR(R$111=$B273+$D273,R$111=$B273+$E273),$K273/(($E273-$D273)*2),IF(AND(R$111&gt;$B273+$D273,R$111&lt;$B273+$E273),$K273/($E273-$D273),0)))</f>
        <v>0</v>
      </c>
      <c r="S273" s="9">
        <f>IF(OR($C273="Annual",$D273=$E273),IF(AND($D273=$E273,S$111=$B273+$D273),$K273,IF(AND(S$111&gt;$B273+$D273,S$111&lt;=$B273+$E273), $K273/($E273-$D273),0)), IF(OR(S$111=$B273+$D273,S$111=$B273+$E273),$K273/(($E273-$D273)*2),IF(AND(S$111&gt;$B273+$D273,S$111&lt;$B273+$E273),$K273/($E273-$D273),0)))</f>
        <v>0</v>
      </c>
      <c r="T273" s="9">
        <f>IF(OR($C273="Annual",$D273=$E273),IF(AND($D273=$E273,T$111=$B273+$D273),$K273,IF(AND(T$111&gt;$B273+$D273,T$111&lt;=$B273+$E273), $K273/($E273-$D273),0)), IF(OR(T$111=$B273+$D273,T$111=$B273+$E273),$K273/(($E273-$D273)*2),IF(AND(T$111&gt;$B273+$D273,T$111&lt;$B273+$E273),$K273/($E273-$D273),0)))</f>
        <v>0</v>
      </c>
      <c r="U273" s="9"/>
      <c r="V273" s="9"/>
      <c r="W273" s="9"/>
      <c r="X273" s="9"/>
      <c r="Y273" s="9">
        <f t="shared" si="78"/>
        <v>0</v>
      </c>
      <c r="Z273" s="9">
        <f t="shared" ca="1" si="78"/>
        <v>0</v>
      </c>
      <c r="AA273" s="9">
        <f t="shared" ca="1" si="78"/>
        <v>0</v>
      </c>
    </row>
    <row r="274" spans="1:27">
      <c r="A274" s="8" t="str">
        <f>A273</f>
        <v>Type 16</v>
      </c>
      <c r="B274" s="7">
        <f>B273+1</f>
        <v>2022</v>
      </c>
      <c r="C274" s="7" t="str">
        <f>C273</f>
        <v>Annual</v>
      </c>
      <c r="D274" s="7">
        <f t="shared" si="79"/>
        <v>0</v>
      </c>
      <c r="E274" s="7">
        <f t="shared" si="79"/>
        <v>0</v>
      </c>
      <c r="F274" s="14">
        <f>$P$102</f>
        <v>0</v>
      </c>
      <c r="H274" s="9"/>
      <c r="I274" s="9"/>
      <c r="J274" s="9"/>
      <c r="K274" s="9"/>
      <c r="L274" s="9">
        <f ca="1">$F$102/$F$31</f>
        <v>0</v>
      </c>
      <c r="M274" s="9">
        <f ca="1">L274-T274</f>
        <v>0</v>
      </c>
      <c r="N274" s="9"/>
      <c r="O274" s="9"/>
      <c r="P274" s="9"/>
      <c r="Q274" s="9"/>
      <c r="R274" s="9"/>
      <c r="S274" s="9">
        <f ca="1">IF(OR($C274="Annual",$D274=$E274),IF(AND($D274=$E274,S$111=$B274+$D274),$L274,IF(AND(S$111&gt;$B274+$D274,S$111&lt;=$B274+$E274), $L274/($E274-$D274),0)), IF(OR(S$111=$B274+$D274,S$111=$B274+$E274),$L274/(($E274-$D274)*2),IF(AND(S$111&gt;$B274+$D274,S$111&lt;$B274+$E274),$L274/($E274-$D274),0)))</f>
        <v>0</v>
      </c>
      <c r="T274" s="9">
        <f>IF(OR($C274="Annual",$D274=$E274),IF(AND($D274=$E274,T$111=$B274+$D274),$L274,IF(AND(T$111&gt;$B274+$D274,T$111&lt;=$B274+$E274), $L274/($E274-$D274),0)), IF(OR(T$111=$B274+$D274,T$111=$B274+$E274),$L274/(($E274-$D274)*2),IF(AND(T$111&gt;$B274+$D274,T$111&lt;$B274+$E274),$L274/($E274-$D274),0)))</f>
        <v>0</v>
      </c>
      <c r="U274" s="9"/>
      <c r="V274" s="9"/>
      <c r="W274" s="9"/>
      <c r="X274" s="9"/>
      <c r="Y274" s="9"/>
      <c r="Z274" s="9">
        <f t="shared" si="78"/>
        <v>0</v>
      </c>
      <c r="AA274" s="9">
        <f t="shared" ca="1" si="78"/>
        <v>0</v>
      </c>
    </row>
    <row r="275" spans="1:27">
      <c r="A275" s="8" t="str">
        <f>A274</f>
        <v>Type 16</v>
      </c>
      <c r="B275" s="7">
        <f>B274+1</f>
        <v>2023</v>
      </c>
      <c r="C275" s="7" t="str">
        <f>C274</f>
        <v>Annual</v>
      </c>
      <c r="D275" s="7">
        <f t="shared" si="79"/>
        <v>0</v>
      </c>
      <c r="E275" s="7">
        <f t="shared" si="79"/>
        <v>0</v>
      </c>
      <c r="F275" s="14">
        <f>$Q$102</f>
        <v>0</v>
      </c>
      <c r="H275" s="9"/>
      <c r="I275" s="9"/>
      <c r="J275" s="9"/>
      <c r="K275" s="9"/>
      <c r="L275" s="9"/>
      <c r="M275" s="9">
        <f ca="1">$G$102/$G$31</f>
        <v>0</v>
      </c>
      <c r="N275" s="9"/>
      <c r="O275" s="9"/>
      <c r="P275" s="9"/>
      <c r="Q275" s="9"/>
      <c r="R275" s="9"/>
      <c r="S275" s="9"/>
      <c r="T275" s="9">
        <f ca="1">IF(OR($C275="Annual",$D275=$E275),IF(AND($D275=$E275,T$111=$B275+$D275),$M275,IF(AND(T$111&gt;$B275+$D275,T$111&lt;=$B275+$E275), $M275/($E275-$D275),0)), IF(OR(T$111=$B275+$D275,T$111=$B275+$E275),$M275/(($E275-$D275)*2),IF(AND(T$111&gt;$B275+$D275,T$111&lt;$B275+$E275),$M275/($E275-$D275),0)))</f>
        <v>0</v>
      </c>
      <c r="U275" s="9"/>
      <c r="V275" s="9"/>
      <c r="W275" s="9"/>
      <c r="X275" s="9"/>
      <c r="Y275" s="9"/>
      <c r="Z275" s="9"/>
      <c r="AA275" s="9">
        <f t="shared" si="78"/>
        <v>0</v>
      </c>
    </row>
    <row r="276" spans="1:27">
      <c r="A276" s="8"/>
      <c r="B276" s="7"/>
      <c r="C276" s="7"/>
      <c r="D276" s="7"/>
      <c r="E276" s="7"/>
      <c r="F276" s="15"/>
      <c r="H276" s="9"/>
      <c r="I276" s="9"/>
      <c r="J276" s="9"/>
      <c r="K276" s="9"/>
      <c r="L276" s="9"/>
      <c r="M276" s="9"/>
      <c r="N276" s="9"/>
      <c r="O276" s="278"/>
      <c r="P276" s="10"/>
      <c r="Q276" s="10"/>
      <c r="R276" s="10"/>
      <c r="S276" s="10"/>
      <c r="T276" s="10"/>
      <c r="U276" s="9"/>
      <c r="V276" s="10"/>
      <c r="W276" s="10"/>
      <c r="X276" s="10"/>
      <c r="Y276" s="10"/>
      <c r="Z276" s="10"/>
      <c r="AA276" s="10"/>
    </row>
    <row r="277" spans="1:27">
      <c r="A277" s="8" t="str">
        <f>'Input 4 - Forecast'!A84</f>
        <v>Type 17</v>
      </c>
      <c r="B277" s="7">
        <f>B119</f>
        <v>2018</v>
      </c>
      <c r="C277" s="7" t="str">
        <f>$I103</f>
        <v>Annual</v>
      </c>
      <c r="D277" s="7">
        <f>$J103</f>
        <v>0</v>
      </c>
      <c r="E277" s="7">
        <f>$K103</f>
        <v>0</v>
      </c>
      <c r="F277" s="14">
        <f>$L$103</f>
        <v>0</v>
      </c>
      <c r="H277" s="9">
        <f>$B$103/$B$31</f>
        <v>0</v>
      </c>
      <c r="I277" s="9">
        <f>H277-P277</f>
        <v>0</v>
      </c>
      <c r="J277" s="9">
        <f>I277-Q277</f>
        <v>0</v>
      </c>
      <c r="K277" s="9">
        <f>J277-R277</f>
        <v>0</v>
      </c>
      <c r="L277" s="9">
        <f>K277-S277</f>
        <v>0</v>
      </c>
      <c r="M277" s="9">
        <f>L277-T277</f>
        <v>0</v>
      </c>
      <c r="N277" s="9"/>
      <c r="O277" s="9">
        <f t="shared" ref="O277:T277" si="80">IF(OR($C277="Annual",$D277=$E277),IF(AND($D277=$E277,O$111=$B277+$D277),$H277,IF(AND(O$111&gt;$B277+$D277,O$111&lt;=$B277+$E277), $H277/($E277-$D277),0)), IF(OR(O$111=$B277+$D277,O$111=$B277+$E277),$H277/(($E277-$D277)*2),IF(AND(O$111&gt;$B277+$D277,O$111&lt;$B277+$E277),$H277/($E277-$D277),0)))</f>
        <v>0</v>
      </c>
      <c r="P277" s="9">
        <f t="shared" si="80"/>
        <v>0</v>
      </c>
      <c r="Q277" s="9">
        <f t="shared" si="80"/>
        <v>0</v>
      </c>
      <c r="R277" s="9">
        <f t="shared" si="80"/>
        <v>0</v>
      </c>
      <c r="S277" s="9">
        <f t="shared" si="80"/>
        <v>0</v>
      </c>
      <c r="T277" s="9">
        <f t="shared" si="80"/>
        <v>0</v>
      </c>
      <c r="U277" s="9"/>
      <c r="V277" s="9">
        <f>IF($C277="annual",IF(V$111=$B277,0,G277*$F277),IF(V$111-$B277=0,0,IF((V$111-$B277)&lt;$E277,AVERAGE(G277,H277)*$F277,IF((V$111-$B277)=$E277,G277*$F277/2,0))))</f>
        <v>0</v>
      </c>
      <c r="W277" s="9">
        <f t="shared" ref="W277:AA282" si="81">IF($C277="annual",IF(W$111=$B277,0,H277*$F277),IF(W$111-$B277=0,0,IF((W$111-$B277)&lt;$E277,AVERAGE(H277,I277)*$F277,IF((W$111-$B277)=$E277,H277*$F277/2,0))))</f>
        <v>0</v>
      </c>
      <c r="X277" s="9">
        <f t="shared" si="81"/>
        <v>0</v>
      </c>
      <c r="Y277" s="9">
        <f t="shared" si="81"/>
        <v>0</v>
      </c>
      <c r="Z277" s="9">
        <f t="shared" si="81"/>
        <v>0</v>
      </c>
      <c r="AA277" s="9">
        <f t="shared" si="81"/>
        <v>0</v>
      </c>
    </row>
    <row r="278" spans="1:27">
      <c r="A278" s="8" t="str">
        <f>A277</f>
        <v>Type 17</v>
      </c>
      <c r="B278" s="7">
        <f>B277+1</f>
        <v>2019</v>
      </c>
      <c r="C278" s="7" t="str">
        <f>C277</f>
        <v>Annual</v>
      </c>
      <c r="D278" s="7">
        <f t="shared" ref="D278:E282" si="82">D277</f>
        <v>0</v>
      </c>
      <c r="E278" s="7">
        <f t="shared" si="82"/>
        <v>0</v>
      </c>
      <c r="F278" s="14">
        <f>$M$103</f>
        <v>0</v>
      </c>
      <c r="H278" s="9"/>
      <c r="I278" s="9">
        <f ca="1">$C$103/$C$31</f>
        <v>0</v>
      </c>
      <c r="J278" s="9">
        <f ca="1">I278-Q278</f>
        <v>0</v>
      </c>
      <c r="K278" s="9">
        <f ca="1">J278-R278</f>
        <v>0</v>
      </c>
      <c r="L278" s="9">
        <f ca="1">K278-S278</f>
        <v>0</v>
      </c>
      <c r="M278" s="9">
        <f ca="1">L278-T278</f>
        <v>0</v>
      </c>
      <c r="N278" s="9"/>
      <c r="O278" s="9"/>
      <c r="P278" s="9">
        <f ca="1">IF(OR($C278="Annual",$D278=$E278),IF(AND($D278=$E278,P$111=$B278+$D278),$I278,IF(AND(P$111&gt;$B278+$D278,P$111&lt;=$B278+$E278), $I278/($E278-$D278),0)), IF(OR(P$111=$B278+$D278,P$111=$B278+$E278),$I278/(($E278-$D278)*2),IF(AND(P$111&gt;$B278+$D278,P$111&lt;$B278+$E278),$I278/($E278-$D278),0)))</f>
        <v>0</v>
      </c>
      <c r="Q278" s="9">
        <f>IF(OR($C278="Annual",$D278=$E278),IF(AND($D278=$E278,Q$111=$B278+$D278),$I278,IF(AND(Q$111&gt;$B278+$D278,Q$111&lt;=$B278+$E278), $I278/($E278-$D278),0)), IF(OR(Q$111=$B278+$D278,Q$111=$B278+$E278),$I278/(($E278-$D278)*2),IF(AND(Q$111&gt;$B278+$D278,Q$111&lt;$B278+$E278),$I278/($E278-$D278),0)))</f>
        <v>0</v>
      </c>
      <c r="R278" s="9">
        <f>IF(OR($C278="Annual",$D278=$E278),IF(AND($D278=$E278,R$111=$B278+$D278),$I278,IF(AND(R$111&gt;$B278+$D278,R$111&lt;=$B278+$E278), $I278/($E278-$D278),0)), IF(OR(R$111=$B278+$D278,R$111=$B278+$E278),$I278/(($E278-$D278)*2),IF(AND(R$111&gt;$B278+$D278,R$111&lt;$B278+$E278),$I278/($E278-$D278),0)))</f>
        <v>0</v>
      </c>
      <c r="S278" s="9">
        <f>IF(OR($C278="Annual",$D278=$E278),IF(AND($D278=$E278,S$111=$B278+$D278),$I278,IF(AND(S$111&gt;$B278+$D278,S$111&lt;=$B278+$E278), $I278/($E278-$D278),0)), IF(OR(S$111=$B278+$D278,S$111=$B278+$E278),$I278/(($E278-$D278)*2),IF(AND(S$111&gt;$B278+$D278,S$111&lt;$B278+$E278),$I278/($E278-$D278),0)))</f>
        <v>0</v>
      </c>
      <c r="T278" s="9">
        <f>IF(OR($C278="Annual",$D278=$E278),IF(AND($D278=$E278,T$111=$B278+$D278),$I278,IF(AND(T$111&gt;$B278+$D278,T$111&lt;=$B278+$E278), $I278/($E278-$D278),0)), IF(OR(T$111=$B278+$D278,T$111=$B278+$E278),$I278/(($E278-$D278)*2),IF(AND(T$111&gt;$B278+$D278,T$111&lt;$B278+$E278),$I278/($E278-$D278),0)))</f>
        <v>0</v>
      </c>
      <c r="U278" s="9"/>
      <c r="V278" s="9"/>
      <c r="W278" s="9">
        <f t="shared" si="81"/>
        <v>0</v>
      </c>
      <c r="X278" s="9">
        <f t="shared" ca="1" si="81"/>
        <v>0</v>
      </c>
      <c r="Y278" s="9">
        <f t="shared" ca="1" si="81"/>
        <v>0</v>
      </c>
      <c r="Z278" s="9">
        <f t="shared" ca="1" si="81"/>
        <v>0</v>
      </c>
      <c r="AA278" s="9">
        <f t="shared" ca="1" si="81"/>
        <v>0</v>
      </c>
    </row>
    <row r="279" spans="1:27">
      <c r="A279" s="8" t="str">
        <f>A278</f>
        <v>Type 17</v>
      </c>
      <c r="B279" s="7">
        <f>B278+1</f>
        <v>2020</v>
      </c>
      <c r="C279" s="7" t="str">
        <f>C278</f>
        <v>Annual</v>
      </c>
      <c r="D279" s="7">
        <f t="shared" si="82"/>
        <v>0</v>
      </c>
      <c r="E279" s="7">
        <f t="shared" si="82"/>
        <v>0</v>
      </c>
      <c r="F279" s="14">
        <f>$N$103</f>
        <v>0</v>
      </c>
      <c r="H279" s="9"/>
      <c r="I279" s="9"/>
      <c r="J279" s="9">
        <f ca="1">$D$103/$D$31</f>
        <v>0</v>
      </c>
      <c r="K279" s="9">
        <f ca="1">J279-R279</f>
        <v>0</v>
      </c>
      <c r="L279" s="9">
        <f ca="1">K279-S279</f>
        <v>0</v>
      </c>
      <c r="M279" s="9">
        <f ca="1">L279-T279</f>
        <v>0</v>
      </c>
      <c r="N279" s="9"/>
      <c r="O279" s="9"/>
      <c r="P279" s="9"/>
      <c r="Q279" s="9">
        <f ca="1">IF(OR($C279="Annual",$D279=$E279),IF(AND($D279=$E279,Q$111=$B279+$D279),$J279,IF(AND(Q$111&gt;$B279+$D279,Q$111&lt;=$B279+$E279), $J279/($E279-$D279),0)), IF(OR(Q$111=$B279+$D279,Q$111=$B279+$E279),$J279/(($E279-$D279)*2),IF(AND(Q$111&gt;$B279+$D279,Q$111&lt;$B279+$E279),$J279/($E279-$D279),0)))</f>
        <v>0</v>
      </c>
      <c r="R279" s="9">
        <f>IF(OR($C279="Annual",$D279=$E279),IF(AND($D279=$E279,R$111=$B279+$D279),$J279,IF(AND(R$111&gt;$B279+$D279,R$111&lt;=$B279+$E279), $J279/($E279-$D279),0)), IF(OR(R$111=$B279+$D279,R$111=$B279+$E279),$J279/(($E279-$D279)*2),IF(AND(R$111&gt;$B279+$D279,R$111&lt;$B279+$E279),$J279/($E279-$D279),0)))</f>
        <v>0</v>
      </c>
      <c r="S279" s="9">
        <f>IF(OR($C279="Annual",$D279=$E279),IF(AND($D279=$E279,S$111=$B279+$D279),$J279,IF(AND(S$111&gt;$B279+$D279,S$111&lt;=$B279+$E279), $J279/($E279-$D279),0)), IF(OR(S$111=$B279+$D279,S$111=$B279+$E279),$J279/(($E279-$D279)*2),IF(AND(S$111&gt;$B279+$D279,S$111&lt;$B279+$E279),$J279/($E279-$D279),0)))</f>
        <v>0</v>
      </c>
      <c r="T279" s="9">
        <f>IF(OR($C279="Annual",$D279=$E279),IF(AND($D279=$E279,T$111=$B279+$D279),$J279,IF(AND(T$111&gt;$B279+$D279,T$111&lt;=$B279+$E279), $J279/($E279-$D279),0)), IF(OR(T$111=$B279+$D279,T$111=$B279+$E279),$J279/(($E279-$D279)*2),IF(AND(T$111&gt;$B279+$D279,T$111&lt;$B279+$E279),$J279/($E279-$D279),0)))</f>
        <v>0</v>
      </c>
      <c r="U279" s="9"/>
      <c r="V279" s="9"/>
      <c r="W279" s="9"/>
      <c r="X279" s="9">
        <f t="shared" si="81"/>
        <v>0</v>
      </c>
      <c r="Y279" s="9">
        <f t="shared" ca="1" si="81"/>
        <v>0</v>
      </c>
      <c r="Z279" s="9">
        <f t="shared" ca="1" si="81"/>
        <v>0</v>
      </c>
      <c r="AA279" s="9">
        <f t="shared" ca="1" si="81"/>
        <v>0</v>
      </c>
    </row>
    <row r="280" spans="1:27">
      <c r="A280" s="8" t="str">
        <f>A279</f>
        <v>Type 17</v>
      </c>
      <c r="B280" s="7">
        <f>B279+1</f>
        <v>2021</v>
      </c>
      <c r="C280" s="7" t="str">
        <f>C279</f>
        <v>Annual</v>
      </c>
      <c r="D280" s="7">
        <f t="shared" si="82"/>
        <v>0</v>
      </c>
      <c r="E280" s="7">
        <f t="shared" si="82"/>
        <v>0</v>
      </c>
      <c r="F280" s="14">
        <f>$O$103</f>
        <v>0</v>
      </c>
      <c r="H280" s="9"/>
      <c r="I280" s="9"/>
      <c r="J280" s="9"/>
      <c r="K280" s="9">
        <f ca="1">$E$103/$E$31</f>
        <v>0</v>
      </c>
      <c r="L280" s="9">
        <f ca="1">K280-S280</f>
        <v>0</v>
      </c>
      <c r="M280" s="9">
        <f ca="1">L280-T280</f>
        <v>0</v>
      </c>
      <c r="N280" s="9"/>
      <c r="O280" s="9"/>
      <c r="P280" s="9"/>
      <c r="Q280" s="9"/>
      <c r="R280" s="9">
        <f ca="1">IF(OR($C280="Annual",$D280=$E280),IF(AND($D280=$E280,R$111=$B280+$D280),$K280,IF(AND(R$111&gt;$B280+$D280,R$111&lt;=$B280+$E280), $K280/($E280-$D280),0)), IF(OR(R$111=$B280+$D280,R$111=$B280+$E280),$K280/(($E280-$D280)*2),IF(AND(R$111&gt;$B280+$D280,R$111&lt;$B280+$E280),$K280/($E280-$D280),0)))</f>
        <v>0</v>
      </c>
      <c r="S280" s="9">
        <f>IF(OR($C280="Annual",$D280=$E280),IF(AND($D280=$E280,S$111=$B280+$D280),$K280,IF(AND(S$111&gt;$B280+$D280,S$111&lt;=$B280+$E280), $K280/($E280-$D280),0)), IF(OR(S$111=$B280+$D280,S$111=$B280+$E280),$K280/(($E280-$D280)*2),IF(AND(S$111&gt;$B280+$D280,S$111&lt;$B280+$E280),$K280/($E280-$D280),0)))</f>
        <v>0</v>
      </c>
      <c r="T280" s="9">
        <f>IF(OR($C280="Annual",$D280=$E280),IF(AND($D280=$E280,T$111=$B280+$D280),$K280,IF(AND(T$111&gt;$B280+$D280,T$111&lt;=$B280+$E280), $K280/($E280-$D280),0)), IF(OR(T$111=$B280+$D280,T$111=$B280+$E280),$K280/(($E280-$D280)*2),IF(AND(T$111&gt;$B280+$D280,T$111&lt;$B280+$E280),$K280/($E280-$D280),0)))</f>
        <v>0</v>
      </c>
      <c r="U280" s="9"/>
      <c r="V280" s="9"/>
      <c r="W280" s="9"/>
      <c r="X280" s="9"/>
      <c r="Y280" s="9">
        <f t="shared" si="81"/>
        <v>0</v>
      </c>
      <c r="Z280" s="9">
        <f t="shared" ca="1" si="81"/>
        <v>0</v>
      </c>
      <c r="AA280" s="9">
        <f t="shared" ca="1" si="81"/>
        <v>0</v>
      </c>
    </row>
    <row r="281" spans="1:27">
      <c r="A281" s="8" t="str">
        <f>A280</f>
        <v>Type 17</v>
      </c>
      <c r="B281" s="7">
        <f>B280+1</f>
        <v>2022</v>
      </c>
      <c r="C281" s="7" t="str">
        <f>C280</f>
        <v>Annual</v>
      </c>
      <c r="D281" s="7">
        <f t="shared" si="82"/>
        <v>0</v>
      </c>
      <c r="E281" s="7">
        <f t="shared" si="82"/>
        <v>0</v>
      </c>
      <c r="F281" s="14">
        <f>$P$103</f>
        <v>0</v>
      </c>
      <c r="H281" s="9"/>
      <c r="I281" s="9"/>
      <c r="J281" s="9"/>
      <c r="K281" s="9"/>
      <c r="L281" s="9">
        <f ca="1">$F$103/$F$31</f>
        <v>0</v>
      </c>
      <c r="M281" s="9">
        <f ca="1">L281-T281</f>
        <v>0</v>
      </c>
      <c r="N281" s="9"/>
      <c r="O281" s="9"/>
      <c r="P281" s="9"/>
      <c r="Q281" s="9"/>
      <c r="R281" s="9"/>
      <c r="S281" s="9">
        <f ca="1">IF(OR($C281="Annual",$D281=$E281),IF(AND($D281=$E281,S$111=$B281+$D281),$L281,IF(AND(S$111&gt;$B281+$D281,S$111&lt;=$B281+$E281), $L281/($E281-$D281),0)), IF(OR(S$111=$B281+$D281,S$111=$B281+$E281),$L281/(($E281-$D281)*2),IF(AND(S$111&gt;$B281+$D281,S$111&lt;$B281+$E281),$L281/($E281-$D281),0)))</f>
        <v>0</v>
      </c>
      <c r="T281" s="9">
        <f>IF(OR($C281="Annual",$D281=$E281),IF(AND($D281=$E281,T$111=$B281+$D281),$L281,IF(AND(T$111&gt;$B281+$D281,T$111&lt;=$B281+$E281), $L281/($E281-$D281),0)), IF(OR(T$111=$B281+$D281,T$111=$B281+$E281),$L281/(($E281-$D281)*2),IF(AND(T$111&gt;$B281+$D281,T$111&lt;$B281+$E281),$L281/($E281-$D281),0)))</f>
        <v>0</v>
      </c>
      <c r="U281" s="9"/>
      <c r="V281" s="9"/>
      <c r="W281" s="9"/>
      <c r="X281" s="9"/>
      <c r="Y281" s="9"/>
      <c r="Z281" s="9">
        <f t="shared" si="81"/>
        <v>0</v>
      </c>
      <c r="AA281" s="9">
        <f t="shared" ca="1" si="81"/>
        <v>0</v>
      </c>
    </row>
    <row r="282" spans="1:27">
      <c r="A282" s="8" t="str">
        <f>A281</f>
        <v>Type 17</v>
      </c>
      <c r="B282" s="7">
        <f>B281+1</f>
        <v>2023</v>
      </c>
      <c r="C282" s="7" t="str">
        <f>C281</f>
        <v>Annual</v>
      </c>
      <c r="D282" s="7">
        <f t="shared" si="82"/>
        <v>0</v>
      </c>
      <c r="E282" s="7">
        <f t="shared" si="82"/>
        <v>0</v>
      </c>
      <c r="F282" s="14">
        <f>$Q$103</f>
        <v>0</v>
      </c>
      <c r="H282" s="9"/>
      <c r="I282" s="9"/>
      <c r="J282" s="9"/>
      <c r="K282" s="9"/>
      <c r="L282" s="9"/>
      <c r="M282" s="9">
        <f ca="1">$G$103/$G$31</f>
        <v>0</v>
      </c>
      <c r="N282" s="9"/>
      <c r="O282" s="9"/>
      <c r="P282" s="9"/>
      <c r="Q282" s="9"/>
      <c r="R282" s="9"/>
      <c r="S282" s="9"/>
      <c r="T282" s="9">
        <f ca="1">IF(OR($C282="Annual",$D282=$E282),IF(AND($D282=$E282,T$111=$B282+$D282),$M282,IF(AND(T$111&gt;$B282+$D282,T$111&lt;=$B282+$E282), $M282/($E282-$D282),0)), IF(OR(T$111=$B282+$D282,T$111=$B282+$E282),$M282/(($E282-$D282)*2),IF(AND(T$111&gt;$B282+$D282,T$111&lt;$B282+$E282),$M282/($E282-$D282),0)))</f>
        <v>0</v>
      </c>
      <c r="U282" s="9"/>
      <c r="V282" s="9"/>
      <c r="W282" s="9"/>
      <c r="X282" s="9"/>
      <c r="Y282" s="9"/>
      <c r="Z282" s="9"/>
      <c r="AA282" s="9">
        <f t="shared" si="81"/>
        <v>0</v>
      </c>
    </row>
    <row r="283" spans="1:27">
      <c r="A283" s="8"/>
      <c r="B283" s="7"/>
      <c r="C283" s="7"/>
      <c r="D283" s="7"/>
      <c r="E283" s="7"/>
      <c r="F283" s="15"/>
      <c r="H283" s="9"/>
      <c r="I283" s="9"/>
      <c r="J283" s="9"/>
      <c r="K283" s="9"/>
      <c r="L283" s="9"/>
      <c r="M283" s="9"/>
      <c r="N283" s="9"/>
      <c r="O283" s="278"/>
      <c r="P283" s="10"/>
      <c r="Q283" s="10"/>
      <c r="R283" s="10"/>
      <c r="S283" s="10"/>
      <c r="T283" s="10"/>
      <c r="U283" s="9"/>
      <c r="V283" s="10"/>
      <c r="W283" s="10"/>
      <c r="X283" s="10"/>
      <c r="Y283" s="10"/>
      <c r="Z283" s="10"/>
      <c r="AA283" s="10"/>
    </row>
    <row r="284" spans="1:27">
      <c r="A284" s="8" t="str">
        <f>'Input 4 - Forecast'!A85</f>
        <v>Type 18</v>
      </c>
      <c r="B284" s="7">
        <f>B119</f>
        <v>2018</v>
      </c>
      <c r="C284" s="7" t="str">
        <f>$I104</f>
        <v>Annual</v>
      </c>
      <c r="D284" s="7">
        <f>$J104</f>
        <v>0</v>
      </c>
      <c r="E284" s="7">
        <f>$K104</f>
        <v>0</v>
      </c>
      <c r="F284" s="14">
        <f>$L$104</f>
        <v>0</v>
      </c>
      <c r="H284" s="9">
        <f>$B$104/$B$31</f>
        <v>0</v>
      </c>
      <c r="I284" s="9">
        <f>H284-P284</f>
        <v>0</v>
      </c>
      <c r="J284" s="9">
        <f>I284-Q284</f>
        <v>0</v>
      </c>
      <c r="K284" s="9">
        <f>J284-R284</f>
        <v>0</v>
      </c>
      <c r="L284" s="9">
        <f>K284-S284</f>
        <v>0</v>
      </c>
      <c r="M284" s="9">
        <f>L284-T284</f>
        <v>0</v>
      </c>
      <c r="N284" s="9"/>
      <c r="O284" s="9">
        <f t="shared" ref="O284:T284" si="83">IF(OR($C284="Annual",$D284=$E284),IF(AND($D284=$E284,O$111=$B284+$D284),$H284,IF(AND(O$111&gt;$B284+$D284,O$111&lt;=$B284+$E284), $H284/($E284-$D284),0)), IF(OR(O$111=$B284+$D284,O$111=$B284+$E284),$H284/(($E284-$D284)*2),IF(AND(O$111&gt;$B284+$D284,O$111&lt;$B284+$E284),$H284/($E284-$D284),0)))</f>
        <v>0</v>
      </c>
      <c r="P284" s="9">
        <f t="shared" si="83"/>
        <v>0</v>
      </c>
      <c r="Q284" s="9">
        <f t="shared" si="83"/>
        <v>0</v>
      </c>
      <c r="R284" s="9">
        <f t="shared" si="83"/>
        <v>0</v>
      </c>
      <c r="S284" s="9">
        <f t="shared" si="83"/>
        <v>0</v>
      </c>
      <c r="T284" s="9">
        <f t="shared" si="83"/>
        <v>0</v>
      </c>
      <c r="U284" s="9"/>
      <c r="V284" s="9">
        <f>IF($C284="annual",IF(V$111=$B284,0,G284*$F284),IF(V$111-$B284=0,0,IF((V$111-$B284)&lt;$E284,AVERAGE(G284,H284)*$F284,IF((V$111-$B284)=$E284,G284*$F284/2,0))))</f>
        <v>0</v>
      </c>
      <c r="W284" s="9">
        <f t="shared" ref="W284:AA289" si="84">IF($C284="annual",IF(W$111=$B284,0,H284*$F284),IF(W$111-$B284=0,0,IF((W$111-$B284)&lt;$E284,AVERAGE(H284,I284)*$F284,IF((W$111-$B284)=$E284,H284*$F284/2,0))))</f>
        <v>0</v>
      </c>
      <c r="X284" s="9">
        <f t="shared" si="84"/>
        <v>0</v>
      </c>
      <c r="Y284" s="9">
        <f t="shared" si="84"/>
        <v>0</v>
      </c>
      <c r="Z284" s="9">
        <f t="shared" si="84"/>
        <v>0</v>
      </c>
      <c r="AA284" s="9">
        <f t="shared" si="84"/>
        <v>0</v>
      </c>
    </row>
    <row r="285" spans="1:27">
      <c r="A285" s="8" t="str">
        <f>A284</f>
        <v>Type 18</v>
      </c>
      <c r="B285" s="7">
        <f>B284+1</f>
        <v>2019</v>
      </c>
      <c r="C285" s="7" t="str">
        <f>C284</f>
        <v>Annual</v>
      </c>
      <c r="D285" s="7">
        <f t="shared" ref="D285:E289" si="85">D284</f>
        <v>0</v>
      </c>
      <c r="E285" s="7">
        <f t="shared" si="85"/>
        <v>0</v>
      </c>
      <c r="F285" s="14">
        <f>$M$104</f>
        <v>0</v>
      </c>
      <c r="H285" s="9"/>
      <c r="I285" s="9">
        <f ca="1">$C$104/$C$31</f>
        <v>0</v>
      </c>
      <c r="J285" s="9">
        <f ca="1">I285-Q285</f>
        <v>0</v>
      </c>
      <c r="K285" s="9">
        <f ca="1">J285-R285</f>
        <v>0</v>
      </c>
      <c r="L285" s="9">
        <f ca="1">K285-S285</f>
        <v>0</v>
      </c>
      <c r="M285" s="9">
        <f ca="1">L285-T285</f>
        <v>0</v>
      </c>
      <c r="N285" s="9"/>
      <c r="O285" s="9"/>
      <c r="P285" s="9">
        <f ca="1">IF(OR($C285="Annual",$D285=$E285),IF(AND($D285=$E285,P$111=$B285+$D285),$I285,IF(AND(P$111&gt;$B285+$D285,P$111&lt;=$B285+$E285), $I285/($E285-$D285),0)), IF(OR(P$111=$B285+$D285,P$111=$B285+$E285),$I285/(($E285-$D285)*2),IF(AND(P$111&gt;$B285+$D285,P$111&lt;$B285+$E285),$I285/($E285-$D285),0)))</f>
        <v>0</v>
      </c>
      <c r="Q285" s="9">
        <f>IF(OR($C285="Annual",$D285=$E285),IF(AND($D285=$E285,Q$111=$B285+$D285),$I285,IF(AND(Q$111&gt;$B285+$D285,Q$111&lt;=$B285+$E285), $I285/($E285-$D285),0)), IF(OR(Q$111=$B285+$D285,Q$111=$B285+$E285),$I285/(($E285-$D285)*2),IF(AND(Q$111&gt;$B285+$D285,Q$111&lt;$B285+$E285),$I285/($E285-$D285),0)))</f>
        <v>0</v>
      </c>
      <c r="R285" s="9">
        <f>IF(OR($C285="Annual",$D285=$E285),IF(AND($D285=$E285,R$111=$B285+$D285),$I285,IF(AND(R$111&gt;$B285+$D285,R$111&lt;=$B285+$E285), $I285/($E285-$D285),0)), IF(OR(R$111=$B285+$D285,R$111=$B285+$E285),$I285/(($E285-$D285)*2),IF(AND(R$111&gt;$B285+$D285,R$111&lt;$B285+$E285),$I285/($E285-$D285),0)))</f>
        <v>0</v>
      </c>
      <c r="S285" s="9">
        <f>IF(OR($C285="Annual",$D285=$E285),IF(AND($D285=$E285,S$111=$B285+$D285),$I285,IF(AND(S$111&gt;$B285+$D285,S$111&lt;=$B285+$E285), $I285/($E285-$D285),0)), IF(OR(S$111=$B285+$D285,S$111=$B285+$E285),$I285/(($E285-$D285)*2),IF(AND(S$111&gt;$B285+$D285,S$111&lt;$B285+$E285),$I285/($E285-$D285),0)))</f>
        <v>0</v>
      </c>
      <c r="T285" s="9">
        <f>IF(OR($C285="Annual",$D285=$E285),IF(AND($D285=$E285,T$111=$B285+$D285),$I285,IF(AND(T$111&gt;$B285+$D285,T$111&lt;=$B285+$E285), $I285/($E285-$D285),0)), IF(OR(T$111=$B285+$D285,T$111=$B285+$E285),$I285/(($E285-$D285)*2),IF(AND(T$111&gt;$B285+$D285,T$111&lt;$B285+$E285),$I285/($E285-$D285),0)))</f>
        <v>0</v>
      </c>
      <c r="U285" s="9"/>
      <c r="V285" s="9"/>
      <c r="W285" s="9">
        <f t="shared" si="84"/>
        <v>0</v>
      </c>
      <c r="X285" s="9">
        <f t="shared" ca="1" si="84"/>
        <v>0</v>
      </c>
      <c r="Y285" s="9">
        <f t="shared" ca="1" si="84"/>
        <v>0</v>
      </c>
      <c r="Z285" s="9">
        <f t="shared" ca="1" si="84"/>
        <v>0</v>
      </c>
      <c r="AA285" s="9">
        <f t="shared" ca="1" si="84"/>
        <v>0</v>
      </c>
    </row>
    <row r="286" spans="1:27">
      <c r="A286" s="8" t="str">
        <f>A285</f>
        <v>Type 18</v>
      </c>
      <c r="B286" s="7">
        <f>B285+1</f>
        <v>2020</v>
      </c>
      <c r="C286" s="7" t="str">
        <f>C285</f>
        <v>Annual</v>
      </c>
      <c r="D286" s="7">
        <f t="shared" si="85"/>
        <v>0</v>
      </c>
      <c r="E286" s="7">
        <f t="shared" si="85"/>
        <v>0</v>
      </c>
      <c r="F286" s="14">
        <f>$N$104</f>
        <v>0</v>
      </c>
      <c r="H286" s="9"/>
      <c r="I286" s="9"/>
      <c r="J286" s="9">
        <f ca="1">$D$104/$D$31</f>
        <v>0</v>
      </c>
      <c r="K286" s="9">
        <f ca="1">J286-R286</f>
        <v>0</v>
      </c>
      <c r="L286" s="9">
        <f ca="1">K286-S286</f>
        <v>0</v>
      </c>
      <c r="M286" s="9">
        <f ca="1">L286-T286</f>
        <v>0</v>
      </c>
      <c r="N286" s="9"/>
      <c r="O286" s="9"/>
      <c r="P286" s="9"/>
      <c r="Q286" s="9">
        <f ca="1">IF(OR($C286="Annual",$D286=$E286),IF(AND($D286=$E286,Q$111=$B286+$D286),$J286,IF(AND(Q$111&gt;$B286+$D286,Q$111&lt;=$B286+$E286), $J286/($E286-$D286),0)), IF(OR(Q$111=$B286+$D286,Q$111=$B286+$E286),$J286/(($E286-$D286)*2),IF(AND(Q$111&gt;$B286+$D286,Q$111&lt;$B286+$E286),$J286/($E286-$D286),0)))</f>
        <v>0</v>
      </c>
      <c r="R286" s="9">
        <f>IF(OR($C286="Annual",$D286=$E286),IF(AND($D286=$E286,R$111=$B286+$D286),$J286,IF(AND(R$111&gt;$B286+$D286,R$111&lt;=$B286+$E286), $J286/($E286-$D286),0)), IF(OR(R$111=$B286+$D286,R$111=$B286+$E286),$J286/(($E286-$D286)*2),IF(AND(R$111&gt;$B286+$D286,R$111&lt;$B286+$E286),$J286/($E286-$D286),0)))</f>
        <v>0</v>
      </c>
      <c r="S286" s="9">
        <f>IF(OR($C286="Annual",$D286=$E286),IF(AND($D286=$E286,S$111=$B286+$D286),$J286,IF(AND(S$111&gt;$B286+$D286,S$111&lt;=$B286+$E286), $J286/($E286-$D286),0)), IF(OR(S$111=$B286+$D286,S$111=$B286+$E286),$J286/(($E286-$D286)*2),IF(AND(S$111&gt;$B286+$D286,S$111&lt;$B286+$E286),$J286/($E286-$D286),0)))</f>
        <v>0</v>
      </c>
      <c r="T286" s="9">
        <f>IF(OR($C286="Annual",$D286=$E286),IF(AND($D286=$E286,T$111=$B286+$D286),$J286,IF(AND(T$111&gt;$B286+$D286,T$111&lt;=$B286+$E286), $J286/($E286-$D286),0)), IF(OR(T$111=$B286+$D286,T$111=$B286+$E286),$J286/(($E286-$D286)*2),IF(AND(T$111&gt;$B286+$D286,T$111&lt;$B286+$E286),$J286/($E286-$D286),0)))</f>
        <v>0</v>
      </c>
      <c r="U286" s="9"/>
      <c r="V286" s="9"/>
      <c r="W286" s="9"/>
      <c r="X286" s="9">
        <f t="shared" si="84"/>
        <v>0</v>
      </c>
      <c r="Y286" s="9">
        <f t="shared" ca="1" si="84"/>
        <v>0</v>
      </c>
      <c r="Z286" s="9">
        <f t="shared" ca="1" si="84"/>
        <v>0</v>
      </c>
      <c r="AA286" s="9">
        <f t="shared" ca="1" si="84"/>
        <v>0</v>
      </c>
    </row>
    <row r="287" spans="1:27">
      <c r="A287" s="8" t="str">
        <f>A286</f>
        <v>Type 18</v>
      </c>
      <c r="B287" s="7">
        <f>B286+1</f>
        <v>2021</v>
      </c>
      <c r="C287" s="7" t="str">
        <f>C286</f>
        <v>Annual</v>
      </c>
      <c r="D287" s="7">
        <f t="shared" si="85"/>
        <v>0</v>
      </c>
      <c r="E287" s="7">
        <f t="shared" si="85"/>
        <v>0</v>
      </c>
      <c r="F287" s="14">
        <f>$O$104</f>
        <v>0</v>
      </c>
      <c r="H287" s="9"/>
      <c r="I287" s="9"/>
      <c r="J287" s="9"/>
      <c r="K287" s="9">
        <f ca="1">$E$104/$E$31</f>
        <v>0</v>
      </c>
      <c r="L287" s="9">
        <f ca="1">K287-S287</f>
        <v>0</v>
      </c>
      <c r="M287" s="9">
        <f ca="1">L287-T287</f>
        <v>0</v>
      </c>
      <c r="N287" s="9"/>
      <c r="O287" s="9"/>
      <c r="P287" s="9"/>
      <c r="Q287" s="9"/>
      <c r="R287" s="9">
        <f ca="1">IF(OR($C287="Annual",$D287=$E287),IF(AND($D287=$E287,R$111=$B287+$D287),$K287,IF(AND(R$111&gt;$B287+$D287,R$111&lt;=$B287+$E287), $K287/($E287-$D287),0)), IF(OR(R$111=$B287+$D287,R$111=$B287+$E287),$K287/(($E287-$D287)*2),IF(AND(R$111&gt;$B287+$D287,R$111&lt;$B287+$E287),$K287/($E287-$D287),0)))</f>
        <v>0</v>
      </c>
      <c r="S287" s="9">
        <f>IF(OR($C287="Annual",$D287=$E287),IF(AND($D287=$E287,S$111=$B287+$D287),$K287,IF(AND(S$111&gt;$B287+$D287,S$111&lt;=$B287+$E287), $K287/($E287-$D287),0)), IF(OR(S$111=$B287+$D287,S$111=$B287+$E287),$K287/(($E287-$D287)*2),IF(AND(S$111&gt;$B287+$D287,S$111&lt;$B287+$E287),$K287/($E287-$D287),0)))</f>
        <v>0</v>
      </c>
      <c r="T287" s="9">
        <f>IF(OR($C287="Annual",$D287=$E287),IF(AND($D287=$E287,T$111=$B287+$D287),$K287,IF(AND(T$111&gt;$B287+$D287,T$111&lt;=$B287+$E287), $K287/($E287-$D287),0)), IF(OR(T$111=$B287+$D287,T$111=$B287+$E287),$K287/(($E287-$D287)*2),IF(AND(T$111&gt;$B287+$D287,T$111&lt;$B287+$E287),$K287/($E287-$D287),0)))</f>
        <v>0</v>
      </c>
      <c r="U287" s="9"/>
      <c r="V287" s="9"/>
      <c r="W287" s="9"/>
      <c r="X287" s="9"/>
      <c r="Y287" s="9">
        <f t="shared" si="84"/>
        <v>0</v>
      </c>
      <c r="Z287" s="9">
        <f t="shared" ca="1" si="84"/>
        <v>0</v>
      </c>
      <c r="AA287" s="9">
        <f t="shared" ca="1" si="84"/>
        <v>0</v>
      </c>
    </row>
    <row r="288" spans="1:27">
      <c r="A288" s="8" t="str">
        <f>A287</f>
        <v>Type 18</v>
      </c>
      <c r="B288" s="7">
        <f>B287+1</f>
        <v>2022</v>
      </c>
      <c r="C288" s="7" t="str">
        <f>C287</f>
        <v>Annual</v>
      </c>
      <c r="D288" s="7">
        <f t="shared" si="85"/>
        <v>0</v>
      </c>
      <c r="E288" s="7">
        <f t="shared" si="85"/>
        <v>0</v>
      </c>
      <c r="F288" s="14">
        <f>$P$104</f>
        <v>0</v>
      </c>
      <c r="H288" s="9"/>
      <c r="I288" s="9"/>
      <c r="J288" s="9"/>
      <c r="K288" s="9"/>
      <c r="L288" s="9">
        <f ca="1">$F$104/$F$31</f>
        <v>0</v>
      </c>
      <c r="M288" s="9">
        <f ca="1">L288-T288</f>
        <v>0</v>
      </c>
      <c r="N288" s="9"/>
      <c r="O288" s="9"/>
      <c r="P288" s="9"/>
      <c r="Q288" s="9"/>
      <c r="R288" s="9"/>
      <c r="S288" s="9">
        <f ca="1">IF(OR($C288="Annual",$D288=$E288),IF(AND($D288=$E288,S$111=$B288+$D288),$L288,IF(AND(S$111&gt;$B288+$D288,S$111&lt;=$B288+$E288), $L288/($E288-$D288),0)), IF(OR(S$111=$B288+$D288,S$111=$B288+$E288),$L288/(($E288-$D288)*2),IF(AND(S$111&gt;$B288+$D288,S$111&lt;$B288+$E288),$L288/($E288-$D288),0)))</f>
        <v>0</v>
      </c>
      <c r="T288" s="9">
        <f>IF(OR($C288="Annual",$D288=$E288),IF(AND($D288=$E288,T$111=$B288+$D288),$L288,IF(AND(T$111&gt;$B288+$D288,T$111&lt;=$B288+$E288), $L288/($E288-$D288),0)), IF(OR(T$111=$B288+$D288,T$111=$B288+$E288),$L288/(($E288-$D288)*2),IF(AND(T$111&gt;$B288+$D288,T$111&lt;$B288+$E288),$L288/($E288-$D288),0)))</f>
        <v>0</v>
      </c>
      <c r="U288" s="9"/>
      <c r="V288" s="9"/>
      <c r="W288" s="9"/>
      <c r="X288" s="9"/>
      <c r="Y288" s="9"/>
      <c r="Z288" s="9">
        <f t="shared" si="84"/>
        <v>0</v>
      </c>
      <c r="AA288" s="9">
        <f t="shared" ca="1" si="84"/>
        <v>0</v>
      </c>
    </row>
    <row r="289" spans="1:27">
      <c r="A289" s="8" t="str">
        <f>A288</f>
        <v>Type 18</v>
      </c>
      <c r="B289" s="7">
        <f>B288+1</f>
        <v>2023</v>
      </c>
      <c r="C289" s="7" t="str">
        <f>C288</f>
        <v>Annual</v>
      </c>
      <c r="D289" s="7">
        <f t="shared" si="85"/>
        <v>0</v>
      </c>
      <c r="E289" s="7">
        <f t="shared" si="85"/>
        <v>0</v>
      </c>
      <c r="F289" s="14">
        <f>$Q$104</f>
        <v>0</v>
      </c>
      <c r="H289" s="9"/>
      <c r="I289" s="9"/>
      <c r="J289" s="9"/>
      <c r="K289" s="9"/>
      <c r="L289" s="9"/>
      <c r="M289" s="9">
        <f ca="1">$G$104/$G$31</f>
        <v>0</v>
      </c>
      <c r="N289" s="9"/>
      <c r="O289" s="9"/>
      <c r="P289" s="9"/>
      <c r="Q289" s="9"/>
      <c r="R289" s="9"/>
      <c r="S289" s="9"/>
      <c r="T289" s="9">
        <f ca="1">IF(OR($C289="Annual",$D289=$E289),IF(AND($D289=$E289,T$111=$B289+$D289),$M289,IF(AND(T$111&gt;$B289+$D289,T$111&lt;=$B289+$E289), $M289/($E289-$D289),0)), IF(OR(T$111=$B289+$D289,T$111=$B289+$E289),$M289/(($E289-$D289)*2),IF(AND(T$111&gt;$B289+$D289,T$111&lt;$B289+$E289),$M289/($E289-$D289),0)))</f>
        <v>0</v>
      </c>
      <c r="U289" s="9"/>
      <c r="V289" s="9"/>
      <c r="W289" s="9"/>
      <c r="X289" s="9"/>
      <c r="Y289" s="9"/>
      <c r="Z289" s="9"/>
      <c r="AA289" s="9">
        <f t="shared" si="84"/>
        <v>0</v>
      </c>
    </row>
    <row r="290" spans="1:27">
      <c r="A290" s="8"/>
      <c r="B290" s="7"/>
      <c r="C290" s="7"/>
      <c r="D290" s="7"/>
      <c r="E290" s="7"/>
      <c r="F290" s="15"/>
      <c r="H290" s="9"/>
      <c r="I290" s="9"/>
      <c r="J290" s="9"/>
      <c r="K290" s="9"/>
      <c r="L290" s="9"/>
      <c r="M290" s="9"/>
      <c r="N290" s="9"/>
      <c r="O290" s="278"/>
      <c r="P290" s="10"/>
      <c r="Q290" s="10"/>
      <c r="R290" s="10"/>
      <c r="S290" s="10"/>
      <c r="T290" s="10"/>
      <c r="U290" s="9"/>
      <c r="V290" s="10"/>
      <c r="W290" s="10"/>
      <c r="X290" s="10"/>
      <c r="Y290" s="10"/>
      <c r="Z290" s="10"/>
      <c r="AA290" s="10"/>
    </row>
    <row r="291" spans="1:27">
      <c r="A291" s="8" t="str">
        <f>'Input 4 - Forecast'!A86</f>
        <v>Type 19</v>
      </c>
      <c r="B291" s="7">
        <f>B119</f>
        <v>2018</v>
      </c>
      <c r="C291" s="7" t="str">
        <f>$I105</f>
        <v>Annual</v>
      </c>
      <c r="D291" s="7">
        <f>$J105</f>
        <v>0</v>
      </c>
      <c r="E291" s="7">
        <f>$K105</f>
        <v>0</v>
      </c>
      <c r="F291" s="14">
        <f>$L$105</f>
        <v>0</v>
      </c>
      <c r="H291" s="9">
        <f>$B$105/$B$31</f>
        <v>0</v>
      </c>
      <c r="I291" s="9">
        <f>H291-P291</f>
        <v>0</v>
      </c>
      <c r="J291" s="9">
        <f>I291-Q291</f>
        <v>0</v>
      </c>
      <c r="K291" s="9">
        <f>J291-R291</f>
        <v>0</v>
      </c>
      <c r="L291" s="9">
        <f>K291-S291</f>
        <v>0</v>
      </c>
      <c r="M291" s="9">
        <f>L291-T291</f>
        <v>0</v>
      </c>
      <c r="N291" s="9"/>
      <c r="O291" s="9">
        <f t="shared" ref="O291:T291" si="86">IF(OR($C291="Annual",$D291=$E291),IF(AND($D291=$E291,O$111=$B291+$D291),$H291,IF(AND(O$111&gt;$B291+$D291,O$111&lt;=$B291+$E291), $H291/($E291-$D291),0)), IF(OR(O$111=$B291+$D291,O$111=$B291+$E291),$H291/(($E291-$D291)*2),IF(AND(O$111&gt;$B291+$D291,O$111&lt;$B291+$E291),$H291/($E291-$D291),0)))</f>
        <v>0</v>
      </c>
      <c r="P291" s="9">
        <f t="shared" si="86"/>
        <v>0</v>
      </c>
      <c r="Q291" s="9">
        <f t="shared" si="86"/>
        <v>0</v>
      </c>
      <c r="R291" s="9">
        <f t="shared" si="86"/>
        <v>0</v>
      </c>
      <c r="S291" s="9">
        <f t="shared" si="86"/>
        <v>0</v>
      </c>
      <c r="T291" s="9">
        <f t="shared" si="86"/>
        <v>0</v>
      </c>
      <c r="U291" s="9"/>
      <c r="V291" s="9">
        <f>IF($C291="annual",IF(V$111=$B291,0,G291*$F291),IF(V$111-$B291=0,0,IF((V$111-$B291)&lt;$E291,AVERAGE(G291,H291)*$F291,IF((V$111-$B291)=$E291,G291*$F291/2,0))))</f>
        <v>0</v>
      </c>
      <c r="W291" s="9">
        <f t="shared" ref="W291:AA296" si="87">IF($C291="annual",IF(W$111=$B291,0,H291*$F291),IF(W$111-$B291=0,0,IF((W$111-$B291)&lt;$E291,AVERAGE(H291,I291)*$F291,IF((W$111-$B291)=$E291,H291*$F291/2,0))))</f>
        <v>0</v>
      </c>
      <c r="X291" s="9">
        <f t="shared" si="87"/>
        <v>0</v>
      </c>
      <c r="Y291" s="9">
        <f t="shared" si="87"/>
        <v>0</v>
      </c>
      <c r="Z291" s="9">
        <f t="shared" si="87"/>
        <v>0</v>
      </c>
      <c r="AA291" s="9">
        <f t="shared" si="87"/>
        <v>0</v>
      </c>
    </row>
    <row r="292" spans="1:27">
      <c r="A292" s="8" t="str">
        <f>A291</f>
        <v>Type 19</v>
      </c>
      <c r="B292" s="7">
        <f>B291+1</f>
        <v>2019</v>
      </c>
      <c r="C292" s="7" t="str">
        <f>C291</f>
        <v>Annual</v>
      </c>
      <c r="D292" s="7">
        <f t="shared" ref="D292:E296" si="88">D291</f>
        <v>0</v>
      </c>
      <c r="E292" s="7">
        <f t="shared" si="88"/>
        <v>0</v>
      </c>
      <c r="F292" s="14">
        <f>$M$105</f>
        <v>0</v>
      </c>
      <c r="H292" s="9"/>
      <c r="I292" s="9">
        <f ca="1">$C$105/$C$31</f>
        <v>0</v>
      </c>
      <c r="J292" s="9">
        <f ca="1">I292-Q292</f>
        <v>0</v>
      </c>
      <c r="K292" s="9">
        <f ca="1">J292-R292</f>
        <v>0</v>
      </c>
      <c r="L292" s="9">
        <f ca="1">K292-S292</f>
        <v>0</v>
      </c>
      <c r="M292" s="9">
        <f ca="1">L292-T292</f>
        <v>0</v>
      </c>
      <c r="N292" s="9"/>
      <c r="O292" s="9"/>
      <c r="P292" s="9">
        <f ca="1">IF(OR($C292="Annual",$D292=$E292),IF(AND($D292=$E292,P$111=$B292+$D292),$I292,IF(AND(P$111&gt;$B292+$D292,P$111&lt;=$B292+$E292), $I292/($E292-$D292),0)), IF(OR(P$111=$B292+$D292,P$111=$B292+$E292),$I292/(($E292-$D292)*2),IF(AND(P$111&gt;$B292+$D292,P$111&lt;$B292+$E292),$I292/($E292-$D292),0)))</f>
        <v>0</v>
      </c>
      <c r="Q292" s="9">
        <f>IF(OR($C292="Annual",$D292=$E292),IF(AND($D292=$E292,Q$111=$B292+$D292),$I292,IF(AND(Q$111&gt;$B292+$D292,Q$111&lt;=$B292+$E292), $I292/($E292-$D292),0)), IF(OR(Q$111=$B292+$D292,Q$111=$B292+$E292),$I292/(($E292-$D292)*2),IF(AND(Q$111&gt;$B292+$D292,Q$111&lt;$B292+$E292),$I292/($E292-$D292),0)))</f>
        <v>0</v>
      </c>
      <c r="R292" s="9">
        <f>IF(OR($C292="Annual",$D292=$E292),IF(AND($D292=$E292,R$111=$B292+$D292),$I292,IF(AND(R$111&gt;$B292+$D292,R$111&lt;=$B292+$E292), $I292/($E292-$D292),0)), IF(OR(R$111=$B292+$D292,R$111=$B292+$E292),$I292/(($E292-$D292)*2),IF(AND(R$111&gt;$B292+$D292,R$111&lt;$B292+$E292),$I292/($E292-$D292),0)))</f>
        <v>0</v>
      </c>
      <c r="S292" s="9">
        <f>IF(OR($C292="Annual",$D292=$E292),IF(AND($D292=$E292,S$111=$B292+$D292),$I292,IF(AND(S$111&gt;$B292+$D292,S$111&lt;=$B292+$E292), $I292/($E292-$D292),0)), IF(OR(S$111=$B292+$D292,S$111=$B292+$E292),$I292/(($E292-$D292)*2),IF(AND(S$111&gt;$B292+$D292,S$111&lt;$B292+$E292),$I292/($E292-$D292),0)))</f>
        <v>0</v>
      </c>
      <c r="T292" s="9">
        <f>IF(OR($C292="Annual",$D292=$E292),IF(AND($D292=$E292,T$111=$B292+$D292),$I292,IF(AND(T$111&gt;$B292+$D292,T$111&lt;=$B292+$E292), $I292/($E292-$D292),0)), IF(OR(T$111=$B292+$D292,T$111=$B292+$E292),$I292/(($E292-$D292)*2),IF(AND(T$111&gt;$B292+$D292,T$111&lt;$B292+$E292),$I292/($E292-$D292),0)))</f>
        <v>0</v>
      </c>
      <c r="U292" s="9"/>
      <c r="V292" s="9"/>
      <c r="W292" s="9">
        <f t="shared" si="87"/>
        <v>0</v>
      </c>
      <c r="X292" s="9">
        <f t="shared" ca="1" si="87"/>
        <v>0</v>
      </c>
      <c r="Y292" s="9">
        <f t="shared" ca="1" si="87"/>
        <v>0</v>
      </c>
      <c r="Z292" s="9">
        <f t="shared" ca="1" si="87"/>
        <v>0</v>
      </c>
      <c r="AA292" s="9">
        <f t="shared" ca="1" si="87"/>
        <v>0</v>
      </c>
    </row>
    <row r="293" spans="1:27">
      <c r="A293" s="8" t="str">
        <f>A292</f>
        <v>Type 19</v>
      </c>
      <c r="B293" s="7">
        <f>B292+1</f>
        <v>2020</v>
      </c>
      <c r="C293" s="7" t="str">
        <f>C292</f>
        <v>Annual</v>
      </c>
      <c r="D293" s="7">
        <f t="shared" si="88"/>
        <v>0</v>
      </c>
      <c r="E293" s="7">
        <f t="shared" si="88"/>
        <v>0</v>
      </c>
      <c r="F293" s="14">
        <f>$N$105</f>
        <v>0</v>
      </c>
      <c r="H293" s="9"/>
      <c r="I293" s="9"/>
      <c r="J293" s="9">
        <f ca="1">$D$105/$D$31</f>
        <v>0</v>
      </c>
      <c r="K293" s="9">
        <f ca="1">J293-R293</f>
        <v>0</v>
      </c>
      <c r="L293" s="9">
        <f ca="1">K293-S293</f>
        <v>0</v>
      </c>
      <c r="M293" s="9">
        <f ca="1">L293-T293</f>
        <v>0</v>
      </c>
      <c r="N293" s="9"/>
      <c r="O293" s="9"/>
      <c r="P293" s="9"/>
      <c r="Q293" s="9">
        <f ca="1">IF(OR($C293="Annual",$D293=$E293),IF(AND($D293=$E293,Q$111=$B293+$D293),$J293,IF(AND(Q$111&gt;$B293+$D293,Q$111&lt;=$B293+$E293), $J293/($E293-$D293),0)), IF(OR(Q$111=$B293+$D293,Q$111=$B293+$E293),$J293/(($E293-$D293)*2),IF(AND(Q$111&gt;$B293+$D293,Q$111&lt;$B293+$E293),$J293/($E293-$D293),0)))</f>
        <v>0</v>
      </c>
      <c r="R293" s="9">
        <f>IF(OR($C293="Annual",$D293=$E293),IF(AND($D293=$E293,R$111=$B293+$D293),$J293,IF(AND(R$111&gt;$B293+$D293,R$111&lt;=$B293+$E293), $J293/($E293-$D293),0)), IF(OR(R$111=$B293+$D293,R$111=$B293+$E293),$J293/(($E293-$D293)*2),IF(AND(R$111&gt;$B293+$D293,R$111&lt;$B293+$E293),$J293/($E293-$D293),0)))</f>
        <v>0</v>
      </c>
      <c r="S293" s="9">
        <f>IF(OR($C293="Annual",$D293=$E293),IF(AND($D293=$E293,S$111=$B293+$D293),$J293,IF(AND(S$111&gt;$B293+$D293,S$111&lt;=$B293+$E293), $J293/($E293-$D293),0)), IF(OR(S$111=$B293+$D293,S$111=$B293+$E293),$J293/(($E293-$D293)*2),IF(AND(S$111&gt;$B293+$D293,S$111&lt;$B293+$E293),$J293/($E293-$D293),0)))</f>
        <v>0</v>
      </c>
      <c r="T293" s="9">
        <f>IF(OR($C293="Annual",$D293=$E293),IF(AND($D293=$E293,T$111=$B293+$D293),$J293,IF(AND(T$111&gt;$B293+$D293,T$111&lt;=$B293+$E293), $J293/($E293-$D293),0)), IF(OR(T$111=$B293+$D293,T$111=$B293+$E293),$J293/(($E293-$D293)*2),IF(AND(T$111&gt;$B293+$D293,T$111&lt;$B293+$E293),$J293/($E293-$D293),0)))</f>
        <v>0</v>
      </c>
      <c r="U293" s="9"/>
      <c r="V293" s="9"/>
      <c r="W293" s="9"/>
      <c r="X293" s="9">
        <f t="shared" si="87"/>
        <v>0</v>
      </c>
      <c r="Y293" s="9">
        <f t="shared" ca="1" si="87"/>
        <v>0</v>
      </c>
      <c r="Z293" s="9">
        <f t="shared" ca="1" si="87"/>
        <v>0</v>
      </c>
      <c r="AA293" s="9">
        <f t="shared" ca="1" si="87"/>
        <v>0</v>
      </c>
    </row>
    <row r="294" spans="1:27">
      <c r="A294" s="8" t="str">
        <f>A293</f>
        <v>Type 19</v>
      </c>
      <c r="B294" s="7">
        <f>B293+1</f>
        <v>2021</v>
      </c>
      <c r="C294" s="7" t="str">
        <f>C293</f>
        <v>Annual</v>
      </c>
      <c r="D294" s="7">
        <f t="shared" si="88"/>
        <v>0</v>
      </c>
      <c r="E294" s="7">
        <f t="shared" si="88"/>
        <v>0</v>
      </c>
      <c r="F294" s="14">
        <f>$O$105</f>
        <v>0</v>
      </c>
      <c r="H294" s="9"/>
      <c r="I294" s="9"/>
      <c r="J294" s="9"/>
      <c r="K294" s="9">
        <f ca="1">$E$105/$E$31</f>
        <v>0</v>
      </c>
      <c r="L294" s="9">
        <f ca="1">K294-S294</f>
        <v>0</v>
      </c>
      <c r="M294" s="9">
        <f ca="1">L294-T294</f>
        <v>0</v>
      </c>
      <c r="N294" s="9"/>
      <c r="O294" s="9"/>
      <c r="P294" s="9"/>
      <c r="Q294" s="9"/>
      <c r="R294" s="9">
        <f ca="1">IF(OR($C294="Annual",$D294=$E294),IF(AND($D294=$E294,R$111=$B294+$D294),$K294,IF(AND(R$111&gt;$B294+$D294,R$111&lt;=$B294+$E294), $K294/($E294-$D294),0)), IF(OR(R$111=$B294+$D294,R$111=$B294+$E294),$K294/(($E294-$D294)*2),IF(AND(R$111&gt;$B294+$D294,R$111&lt;$B294+$E294),$K294/($E294-$D294),0)))</f>
        <v>0</v>
      </c>
      <c r="S294" s="9">
        <f>IF(OR($C294="Annual",$D294=$E294),IF(AND($D294=$E294,S$111=$B294+$D294),$K294,IF(AND(S$111&gt;$B294+$D294,S$111&lt;=$B294+$E294), $K294/($E294-$D294),0)), IF(OR(S$111=$B294+$D294,S$111=$B294+$E294),$K294/(($E294-$D294)*2),IF(AND(S$111&gt;$B294+$D294,S$111&lt;$B294+$E294),$K294/($E294-$D294),0)))</f>
        <v>0</v>
      </c>
      <c r="T294" s="9">
        <f>IF(OR($C294="Annual",$D294=$E294),IF(AND($D294=$E294,T$111=$B294+$D294),$K294,IF(AND(T$111&gt;$B294+$D294,T$111&lt;=$B294+$E294), $K294/($E294-$D294),0)), IF(OR(T$111=$B294+$D294,T$111=$B294+$E294),$K294/(($E294-$D294)*2),IF(AND(T$111&gt;$B294+$D294,T$111&lt;$B294+$E294),$K294/($E294-$D294),0)))</f>
        <v>0</v>
      </c>
      <c r="U294" s="9"/>
      <c r="V294" s="9"/>
      <c r="W294" s="9"/>
      <c r="X294" s="9"/>
      <c r="Y294" s="9">
        <f t="shared" si="87"/>
        <v>0</v>
      </c>
      <c r="Z294" s="9">
        <f t="shared" ca="1" si="87"/>
        <v>0</v>
      </c>
      <c r="AA294" s="9">
        <f t="shared" ca="1" si="87"/>
        <v>0</v>
      </c>
    </row>
    <row r="295" spans="1:27">
      <c r="A295" s="8" t="str">
        <f>A294</f>
        <v>Type 19</v>
      </c>
      <c r="B295" s="7">
        <f>B294+1</f>
        <v>2022</v>
      </c>
      <c r="C295" s="7" t="str">
        <f>C294</f>
        <v>Annual</v>
      </c>
      <c r="D295" s="7">
        <f t="shared" si="88"/>
        <v>0</v>
      </c>
      <c r="E295" s="7">
        <f t="shared" si="88"/>
        <v>0</v>
      </c>
      <c r="F295" s="14">
        <f>$P$105</f>
        <v>0</v>
      </c>
      <c r="H295" s="9"/>
      <c r="I295" s="9"/>
      <c r="J295" s="9"/>
      <c r="K295" s="9"/>
      <c r="L295" s="9">
        <f ca="1">$F$105/$F$31</f>
        <v>0</v>
      </c>
      <c r="M295" s="9">
        <f ca="1">L295-T295</f>
        <v>0</v>
      </c>
      <c r="N295" s="9"/>
      <c r="O295" s="9"/>
      <c r="P295" s="9"/>
      <c r="Q295" s="9"/>
      <c r="R295" s="9"/>
      <c r="S295" s="9">
        <f ca="1">IF(OR($C295="Annual",$D295=$E295),IF(AND($D295=$E295,S$111=$B295+$D295),$L295,IF(AND(S$111&gt;$B295+$D295,S$111&lt;=$B295+$E295), $L295/($E295-$D295),0)), IF(OR(S$111=$B295+$D295,S$111=$B295+$E295),$L295/(($E295-$D295)*2),IF(AND(S$111&gt;$B295+$D295,S$111&lt;$B295+$E295),$L295/($E295-$D295),0)))</f>
        <v>0</v>
      </c>
      <c r="T295" s="9">
        <f>IF(OR($C295="Annual",$D295=$E295),IF(AND($D295=$E295,T$111=$B295+$D295),$L295,IF(AND(T$111&gt;$B295+$D295,T$111&lt;=$B295+$E295), $L295/($E295-$D295),0)), IF(OR(T$111=$B295+$D295,T$111=$B295+$E295),$L295/(($E295-$D295)*2),IF(AND(T$111&gt;$B295+$D295,T$111&lt;$B295+$E295),$L295/($E295-$D295),0)))</f>
        <v>0</v>
      </c>
      <c r="U295" s="9"/>
      <c r="V295" s="9"/>
      <c r="W295" s="9"/>
      <c r="X295" s="9"/>
      <c r="Y295" s="9"/>
      <c r="Z295" s="9">
        <f t="shared" si="87"/>
        <v>0</v>
      </c>
      <c r="AA295" s="9">
        <f t="shared" ca="1" si="87"/>
        <v>0</v>
      </c>
    </row>
    <row r="296" spans="1:27">
      <c r="A296" s="8" t="str">
        <f>A295</f>
        <v>Type 19</v>
      </c>
      <c r="B296" s="7">
        <f>B295+1</f>
        <v>2023</v>
      </c>
      <c r="C296" s="7" t="str">
        <f>C295</f>
        <v>Annual</v>
      </c>
      <c r="D296" s="7">
        <f t="shared" si="88"/>
        <v>0</v>
      </c>
      <c r="E296" s="7">
        <f t="shared" si="88"/>
        <v>0</v>
      </c>
      <c r="F296" s="14">
        <f>$Q$105</f>
        <v>0</v>
      </c>
      <c r="H296" s="9"/>
      <c r="I296" s="9"/>
      <c r="J296" s="9"/>
      <c r="K296" s="9"/>
      <c r="L296" s="9"/>
      <c r="M296" s="9">
        <f ca="1">$G$105/$G$31</f>
        <v>0</v>
      </c>
      <c r="N296" s="9"/>
      <c r="O296" s="9"/>
      <c r="P296" s="9"/>
      <c r="Q296" s="9"/>
      <c r="R296" s="9"/>
      <c r="S296" s="9"/>
      <c r="T296" s="9">
        <f ca="1">IF(OR($C296="Annual",$D296=$E296),IF(AND($D296=$E296,T$111=$B296+$D296),$M296,IF(AND(T$111&gt;$B296+$D296,T$111&lt;=$B296+$E296), $M296/($E296-$D296),0)), IF(OR(T$111=$B296+$D296,T$111=$B296+$E296),$M296/(($E296-$D296)*2),IF(AND(T$111&gt;$B296+$D296,T$111&lt;$B296+$E296),$M296/($E296-$D296),0)))</f>
        <v>0</v>
      </c>
      <c r="U296" s="9"/>
      <c r="V296" s="9"/>
      <c r="W296" s="9"/>
      <c r="X296" s="9"/>
      <c r="Y296" s="9"/>
      <c r="Z296" s="9"/>
      <c r="AA296" s="9">
        <f t="shared" si="87"/>
        <v>0</v>
      </c>
    </row>
    <row r="297" spans="1:27">
      <c r="A297" s="8"/>
      <c r="B297" s="7"/>
      <c r="C297" s="7"/>
      <c r="D297" s="7"/>
      <c r="E297" s="7"/>
      <c r="F297" s="15"/>
      <c r="H297" s="9"/>
      <c r="I297" s="9"/>
      <c r="J297" s="9"/>
      <c r="K297" s="9"/>
      <c r="L297" s="9"/>
      <c r="M297" s="9"/>
      <c r="N297" s="9"/>
      <c r="O297" s="278"/>
      <c r="P297" s="10"/>
      <c r="Q297" s="10"/>
      <c r="R297" s="10"/>
      <c r="S297" s="10"/>
      <c r="T297" s="10"/>
      <c r="U297" s="9"/>
      <c r="V297" s="10"/>
      <c r="W297" s="10"/>
      <c r="X297" s="10"/>
      <c r="Y297" s="10"/>
      <c r="Z297" s="10"/>
      <c r="AA297" s="10"/>
    </row>
    <row r="298" spans="1:27" s="1150" customFormat="1">
      <c r="A298" s="1347" t="str">
        <f>'Input 4 - Forecast'!A87</f>
        <v>ZERO-COUPON BOND</v>
      </c>
      <c r="B298" s="1348">
        <f>B119</f>
        <v>2018</v>
      </c>
      <c r="C298" s="1348"/>
      <c r="D298" s="1348">
        <f>$J106</f>
        <v>0</v>
      </c>
      <c r="E298" s="1348">
        <f>$K106</f>
        <v>0</v>
      </c>
      <c r="F298" s="1349">
        <f>$L$106</f>
        <v>0</v>
      </c>
      <c r="H298" s="1350">
        <f>$B$106/$B$31</f>
        <v>0</v>
      </c>
      <c r="I298" s="1350">
        <f>H298-P298</f>
        <v>0</v>
      </c>
      <c r="J298" s="1350">
        <f>I298-Q298</f>
        <v>0</v>
      </c>
      <c r="K298" s="1350">
        <f>J298-R298</f>
        <v>0</v>
      </c>
      <c r="L298" s="1350">
        <f>K298-S298</f>
        <v>0</v>
      </c>
      <c r="M298" s="1350">
        <f>L298-T298</f>
        <v>0</v>
      </c>
      <c r="N298" s="1350"/>
      <c r="O298" s="1350">
        <f t="shared" ref="O298:T298" si="89">IF($D298=$E298,IF(O$111=$B298+$E298,$H298,0),0)</f>
        <v>0</v>
      </c>
      <c r="P298" s="1350">
        <f t="shared" si="89"/>
        <v>0</v>
      </c>
      <c r="Q298" s="1350">
        <f t="shared" si="89"/>
        <v>0</v>
      </c>
      <c r="R298" s="1350">
        <f t="shared" si="89"/>
        <v>0</v>
      </c>
      <c r="S298" s="1350">
        <f t="shared" si="89"/>
        <v>0</v>
      </c>
      <c r="T298" s="1350">
        <f t="shared" si="89"/>
        <v>0</v>
      </c>
      <c r="U298" s="1350"/>
      <c r="V298" s="1350">
        <f t="shared" ref="V298:AA298" si="90">IF(V$111-$B298=$D298,$H298*(((1+$F298)^$D298)-1),0)</f>
        <v>0</v>
      </c>
      <c r="W298" s="1350">
        <f t="shared" si="90"/>
        <v>0</v>
      </c>
      <c r="X298" s="1350">
        <f t="shared" si="90"/>
        <v>0</v>
      </c>
      <c r="Y298" s="1350">
        <f t="shared" si="90"/>
        <v>0</v>
      </c>
      <c r="Z298" s="1350">
        <f t="shared" si="90"/>
        <v>0</v>
      </c>
      <c r="AA298" s="1350">
        <f t="shared" si="90"/>
        <v>0</v>
      </c>
    </row>
    <row r="299" spans="1:27" s="1150" customFormat="1">
      <c r="A299" s="1347" t="str">
        <f>A298</f>
        <v>ZERO-COUPON BOND</v>
      </c>
      <c r="B299" s="1348">
        <f>B298+1</f>
        <v>2019</v>
      </c>
      <c r="C299" s="1348"/>
      <c r="D299" s="1348">
        <f t="shared" ref="D299:E303" si="91">D298</f>
        <v>0</v>
      </c>
      <c r="E299" s="1348">
        <f t="shared" si="91"/>
        <v>0</v>
      </c>
      <c r="F299" s="1349">
        <f>$M$106</f>
        <v>0</v>
      </c>
      <c r="H299" s="1350"/>
      <c r="I299" s="1350">
        <f ca="1">$C$106/$C$31</f>
        <v>0</v>
      </c>
      <c r="J299" s="1350">
        <f ca="1">I299-Q299</f>
        <v>0</v>
      </c>
      <c r="K299" s="1350">
        <f ca="1">J299-R299</f>
        <v>0</v>
      </c>
      <c r="L299" s="1350">
        <f ca="1">K299-S299</f>
        <v>0</v>
      </c>
      <c r="M299" s="1350">
        <f ca="1">L299-T299</f>
        <v>0</v>
      </c>
      <c r="N299" s="1350"/>
      <c r="O299" s="1351"/>
      <c r="P299" s="1350">
        <f ca="1">IF($D299=$E299,IF(P$111=$B299+$E299,$I299,0),0)</f>
        <v>0</v>
      </c>
      <c r="Q299" s="1350">
        <f>IF($D299=$E299,IF(Q$111=$B299+$E299,$I299,0),0)</f>
        <v>0</v>
      </c>
      <c r="R299" s="1350">
        <f>IF($D299=$E299,IF(R$111=$B299+$E299,$I299,0),0)</f>
        <v>0</v>
      </c>
      <c r="S299" s="1350">
        <f>IF($D299=$E299,IF(S$111=$B299+$E299,$I299,0),0)</f>
        <v>0</v>
      </c>
      <c r="T299" s="1350">
        <f>IF($D299=$E299,IF(T$111=$B299+$E299,$I299,0),0)</f>
        <v>0</v>
      </c>
      <c r="U299" s="1350"/>
      <c r="V299" s="1350"/>
      <c r="W299" s="1350">
        <f ca="1">IF(W$111-$B299=$D299,$I299*(((1+$F299)^$D299)-1),0)</f>
        <v>0</v>
      </c>
      <c r="X299" s="1350">
        <f>IF(X$111-$B299=$D299,$I299*(((1+$F299)^$D299)-1),0)</f>
        <v>0</v>
      </c>
      <c r="Y299" s="1350">
        <f>IF(Y$111-$B299=$D299,$I299*(((1+$F299)^$D299)-1),0)</f>
        <v>0</v>
      </c>
      <c r="Z299" s="1350">
        <f>IF(Z$111-$B299=$D299,$I299*(((1+$F299)^$D299)-1),0)</f>
        <v>0</v>
      </c>
      <c r="AA299" s="1350">
        <f>IF(AA$111-$B299=$D299,$I299*(((1+$F299)^$D299)-1),0)</f>
        <v>0</v>
      </c>
    </row>
    <row r="300" spans="1:27" s="1150" customFormat="1">
      <c r="A300" s="1347" t="str">
        <f>A299</f>
        <v>ZERO-COUPON BOND</v>
      </c>
      <c r="B300" s="1348">
        <f>B299+1</f>
        <v>2020</v>
      </c>
      <c r="C300" s="1348"/>
      <c r="D300" s="1348">
        <f t="shared" si="91"/>
        <v>0</v>
      </c>
      <c r="E300" s="1348">
        <f t="shared" si="91"/>
        <v>0</v>
      </c>
      <c r="F300" s="1349">
        <f>$N$106</f>
        <v>0</v>
      </c>
      <c r="H300" s="1350"/>
      <c r="I300" s="1350"/>
      <c r="J300" s="1350">
        <f ca="1">$D$106/$D$31</f>
        <v>0</v>
      </c>
      <c r="K300" s="1350">
        <f ca="1">J300-R300</f>
        <v>0</v>
      </c>
      <c r="L300" s="1350">
        <f ca="1">K300-S300</f>
        <v>0</v>
      </c>
      <c r="M300" s="1350">
        <f ca="1">L300-T300</f>
        <v>0</v>
      </c>
      <c r="N300" s="1350"/>
      <c r="O300" s="1351"/>
      <c r="P300" s="1350"/>
      <c r="Q300" s="1350">
        <f ca="1">IF($D300=$E300,IF(Q$111=$B300+$E300,$J300,0),0)</f>
        <v>0</v>
      </c>
      <c r="R300" s="1350">
        <f>IF($D300=$E300,IF(R$111=$B300+$E300,$J300,0),0)</f>
        <v>0</v>
      </c>
      <c r="S300" s="1350">
        <f>IF($D300=$E300,IF(S$111=$B300+$E300,$J300,0),0)</f>
        <v>0</v>
      </c>
      <c r="T300" s="1350">
        <f>IF($D300=$E300,IF(T$111=$B300+$E300,$J300,0),0)</f>
        <v>0</v>
      </c>
      <c r="U300" s="1350"/>
      <c r="V300" s="1350"/>
      <c r="W300" s="1350"/>
      <c r="X300" s="1350">
        <f ca="1">IF(X$111-$B300=$D300,$J300*(((1+$F300)^$D300)-1),0)</f>
        <v>0</v>
      </c>
      <c r="Y300" s="1350">
        <f>IF(Y$111-$B300=$D300,$J300*(((1+$F300)^$D300)-1),0)</f>
        <v>0</v>
      </c>
      <c r="Z300" s="1350">
        <f>IF(Z$111-$B300=$D300,$J300*(((1+$F300)^$D300)-1),0)</f>
        <v>0</v>
      </c>
      <c r="AA300" s="1350">
        <f>IF(AA$111-$B300=$D300,$J300*(((1+$F300)^$D300)-1),0)</f>
        <v>0</v>
      </c>
    </row>
    <row r="301" spans="1:27" s="1150" customFormat="1">
      <c r="A301" s="1347" t="str">
        <f>A300</f>
        <v>ZERO-COUPON BOND</v>
      </c>
      <c r="B301" s="1348">
        <f>B300+1</f>
        <v>2021</v>
      </c>
      <c r="C301" s="1348"/>
      <c r="D301" s="1348">
        <f t="shared" si="91"/>
        <v>0</v>
      </c>
      <c r="E301" s="1348">
        <f t="shared" si="91"/>
        <v>0</v>
      </c>
      <c r="F301" s="1349">
        <f>$O$106</f>
        <v>0</v>
      </c>
      <c r="H301" s="1350"/>
      <c r="I301" s="1350"/>
      <c r="J301" s="1350"/>
      <c r="K301" s="1350">
        <f ca="1">$E$106/$E$31</f>
        <v>0</v>
      </c>
      <c r="L301" s="1350">
        <f ca="1">K301-S301</f>
        <v>0</v>
      </c>
      <c r="M301" s="1350">
        <f ca="1">L301-T301</f>
        <v>0</v>
      </c>
      <c r="N301" s="1350"/>
      <c r="O301" s="1351"/>
      <c r="P301" s="1350"/>
      <c r="Q301" s="1350"/>
      <c r="R301" s="1350">
        <f ca="1">IF($D301=$E301,IF(R$111=$B301+$E301,$K301,0),0)</f>
        <v>0</v>
      </c>
      <c r="S301" s="1350">
        <f>IF($D301=$E301,IF(S$111=$B301+$E301,$K301,0),0)</f>
        <v>0</v>
      </c>
      <c r="T301" s="1350">
        <f>IF($D301=$E301,IF(T$111=$B301+$E301,$K301,0),0)</f>
        <v>0</v>
      </c>
      <c r="U301" s="1350"/>
      <c r="V301" s="1350"/>
      <c r="W301" s="1350"/>
      <c r="X301" s="1350"/>
      <c r="Y301" s="1350">
        <f ca="1">IF(Y$111-$B301=$D301,$K301*(((1+$F301)^$D301)-1),0)</f>
        <v>0</v>
      </c>
      <c r="Z301" s="1350">
        <f>IF(Z$111-$B301=$D301,$K301*(((1+$F301)^$D301)-1),0)</f>
        <v>0</v>
      </c>
      <c r="AA301" s="1350">
        <f>IF(AA$111-$B301=$D301,$K301*(((1+$F301)^$D301)-1),0)</f>
        <v>0</v>
      </c>
    </row>
    <row r="302" spans="1:27" s="1150" customFormat="1">
      <c r="A302" s="1347" t="str">
        <f>A301</f>
        <v>ZERO-COUPON BOND</v>
      </c>
      <c r="B302" s="1348">
        <f>B301+1</f>
        <v>2022</v>
      </c>
      <c r="C302" s="1348"/>
      <c r="D302" s="1348">
        <f t="shared" si="91"/>
        <v>0</v>
      </c>
      <c r="E302" s="1348">
        <f t="shared" si="91"/>
        <v>0</v>
      </c>
      <c r="F302" s="1349">
        <f>$P$106</f>
        <v>0</v>
      </c>
      <c r="H302" s="1350"/>
      <c r="I302" s="1350"/>
      <c r="J302" s="1350"/>
      <c r="K302" s="1350"/>
      <c r="L302" s="1350">
        <f ca="1">$F$106/$F$31</f>
        <v>0</v>
      </c>
      <c r="M302" s="1350">
        <f ca="1">L302-T302</f>
        <v>0</v>
      </c>
      <c r="N302" s="1350"/>
      <c r="O302" s="1351"/>
      <c r="P302" s="1350"/>
      <c r="Q302" s="1350"/>
      <c r="R302" s="1350"/>
      <c r="S302" s="1350">
        <f ca="1">IF($D302=$E302,IF(S$111=$B302+$E302,$L302,0),0)</f>
        <v>0</v>
      </c>
      <c r="T302" s="1350">
        <f>IF($D302=$E302,IF(T$111=$B302+$E302,$L302,0),0)</f>
        <v>0</v>
      </c>
      <c r="U302" s="1350"/>
      <c r="V302" s="1350"/>
      <c r="W302" s="1350"/>
      <c r="X302" s="1350"/>
      <c r="Y302" s="1350"/>
      <c r="Z302" s="1350">
        <f ca="1">IF(Z$111-$B302=$D302,$L302*(((1+$F302)^$D302)-1),0)</f>
        <v>0</v>
      </c>
      <c r="AA302" s="1350">
        <f>IF(AA$111-$B302=$D302,$L302*(((1+$F302)^$D302)-1),0)</f>
        <v>0</v>
      </c>
    </row>
    <row r="303" spans="1:27" s="1150" customFormat="1">
      <c r="A303" s="1347" t="str">
        <f>A302</f>
        <v>ZERO-COUPON BOND</v>
      </c>
      <c r="B303" s="1348">
        <f>B302+1</f>
        <v>2023</v>
      </c>
      <c r="C303" s="1348"/>
      <c r="D303" s="1348">
        <f t="shared" si="91"/>
        <v>0</v>
      </c>
      <c r="E303" s="1348">
        <f t="shared" si="91"/>
        <v>0</v>
      </c>
      <c r="F303" s="1349">
        <f>$Q$106</f>
        <v>0</v>
      </c>
      <c r="H303" s="1350"/>
      <c r="I303" s="1350"/>
      <c r="J303" s="1350"/>
      <c r="K303" s="1350"/>
      <c r="L303" s="1350"/>
      <c r="M303" s="1350">
        <f ca="1">$G$106/$G$31</f>
        <v>0</v>
      </c>
      <c r="N303" s="1350"/>
      <c r="O303" s="1351"/>
      <c r="P303" s="1350"/>
      <c r="Q303" s="1350"/>
      <c r="R303" s="1350"/>
      <c r="S303" s="1350"/>
      <c r="T303" s="1350">
        <f ca="1">IF($D303=$E303,IF(T$111=$B303+$E303,$M303,0),0)</f>
        <v>0</v>
      </c>
      <c r="U303" s="1350"/>
      <c r="V303" s="1350"/>
      <c r="W303" s="1350"/>
      <c r="X303" s="1350"/>
      <c r="Y303" s="1350"/>
      <c r="Z303" s="1350"/>
      <c r="AA303" s="1350">
        <f ca="1">IF(AA$111-$B303=$D303,$M303*(((1+$F303)^$D303)-1),0)</f>
        <v>0</v>
      </c>
    </row>
    <row r="304" spans="1:27" ht="15.75" thickBot="1">
      <c r="H304" s="10"/>
      <c r="I304" s="10"/>
      <c r="J304" s="10"/>
      <c r="K304" s="10"/>
      <c r="L304" s="10"/>
      <c r="M304" s="10"/>
      <c r="N304" s="10"/>
      <c r="O304" s="10"/>
      <c r="P304" s="10"/>
      <c r="Q304" s="10"/>
      <c r="R304" s="10"/>
      <c r="S304" s="10"/>
      <c r="T304" s="10"/>
      <c r="U304" s="10"/>
      <c r="V304" s="10"/>
      <c r="W304" s="10"/>
      <c r="X304" s="10"/>
      <c r="Y304" s="10"/>
      <c r="Z304" s="10"/>
      <c r="AA304" s="10"/>
    </row>
    <row r="305" spans="1:27" ht="15.75" thickBot="1">
      <c r="B305" s="1999" t="s">
        <v>51</v>
      </c>
      <c r="C305" s="2000"/>
      <c r="D305" s="2000"/>
      <c r="E305" s="2000"/>
      <c r="F305" s="2000"/>
      <c r="G305" s="2000"/>
      <c r="H305" s="2000"/>
      <c r="I305" s="2000"/>
      <c r="J305" s="2000"/>
      <c r="K305" s="2000"/>
      <c r="L305" s="2000"/>
      <c r="M305" s="2000"/>
      <c r="N305" s="2000"/>
      <c r="O305" s="2000"/>
      <c r="P305" s="2000"/>
      <c r="Q305" s="2000"/>
      <c r="R305" s="2000"/>
      <c r="S305" s="2000"/>
      <c r="T305" s="2000"/>
      <c r="U305" s="2000"/>
      <c r="V305" s="2000"/>
      <c r="W305" s="2000"/>
      <c r="X305" s="2000"/>
      <c r="Y305" s="2000"/>
      <c r="Z305" s="2000"/>
      <c r="AA305" s="2001"/>
    </row>
    <row r="306" spans="1:27">
      <c r="H306" s="10"/>
      <c r="I306" s="10"/>
      <c r="J306" s="10"/>
      <c r="K306" s="10"/>
      <c r="L306" s="10"/>
      <c r="M306" s="10"/>
      <c r="N306" s="10"/>
      <c r="O306" s="10"/>
      <c r="P306" s="10"/>
      <c r="Q306" s="10"/>
      <c r="R306" s="10"/>
      <c r="S306" s="10"/>
      <c r="T306" s="10"/>
      <c r="U306" s="10"/>
      <c r="V306" s="10"/>
      <c r="W306" s="10"/>
      <c r="X306" s="10"/>
      <c r="Y306" s="10"/>
      <c r="Z306" s="10"/>
      <c r="AA306" s="10"/>
    </row>
    <row r="307" spans="1:27">
      <c r="A307" s="16" t="str">
        <f>'Input 4 - Forecast'!A89</f>
        <v>Domestic Residual Financing (annual payments, no interest or amortization in current year)</v>
      </c>
      <c r="B307" s="7">
        <f>B119</f>
        <v>2018</v>
      </c>
      <c r="C307" s="7"/>
      <c r="D307" s="7">
        <f>$J108</f>
        <v>1</v>
      </c>
      <c r="E307" s="7">
        <f>$K108</f>
        <v>1</v>
      </c>
      <c r="F307" s="14">
        <f>$L$108</f>
        <v>0</v>
      </c>
      <c r="H307" s="9">
        <f>$B$108</f>
        <v>-267.59452840452661</v>
      </c>
      <c r="I307" s="9">
        <f>H307-P307</f>
        <v>0</v>
      </c>
      <c r="J307" s="9">
        <f>I307-Q307</f>
        <v>0</v>
      </c>
      <c r="K307" s="9">
        <f>J307-R307</f>
        <v>0</v>
      </c>
      <c r="L307" s="9">
        <f>K307-S307</f>
        <v>0</v>
      </c>
      <c r="M307" s="9">
        <f>L307-T307</f>
        <v>0</v>
      </c>
      <c r="N307" s="9"/>
      <c r="O307" s="9">
        <v>0</v>
      </c>
      <c r="P307" s="9">
        <f>H307</f>
        <v>-267.59452840452661</v>
      </c>
      <c r="Q307" s="9">
        <v>0</v>
      </c>
      <c r="R307" s="9">
        <v>0</v>
      </c>
      <c r="S307" s="9">
        <v>0</v>
      </c>
      <c r="T307" s="9">
        <v>0</v>
      </c>
      <c r="U307" s="9"/>
      <c r="V307" s="9">
        <v>0</v>
      </c>
      <c r="W307" s="9">
        <f>H307*$F307</f>
        <v>0</v>
      </c>
      <c r="X307" s="9">
        <f t="shared" ref="X307:AA309" si="92">I307*$F307</f>
        <v>0</v>
      </c>
      <c r="Y307" s="9">
        <f t="shared" si="92"/>
        <v>0</v>
      </c>
      <c r="Z307" s="9">
        <f t="shared" si="92"/>
        <v>0</v>
      </c>
      <c r="AA307" s="9">
        <f t="shared" si="92"/>
        <v>0</v>
      </c>
    </row>
    <row r="308" spans="1:27">
      <c r="B308" s="7">
        <f>B307+1</f>
        <v>2019</v>
      </c>
      <c r="C308" s="7"/>
      <c r="D308" s="7">
        <f t="shared" ref="D308:E312" si="93">D307</f>
        <v>1</v>
      </c>
      <c r="E308" s="7">
        <f t="shared" si="93"/>
        <v>1</v>
      </c>
      <c r="F308" s="14">
        <f>$M$108</f>
        <v>0</v>
      </c>
      <c r="H308" s="9"/>
      <c r="I308" s="9">
        <f ca="1">$C$108</f>
        <v>1808.3804037295163</v>
      </c>
      <c r="J308" s="9">
        <f ca="1">I308-Q308</f>
        <v>0</v>
      </c>
      <c r="K308" s="9">
        <f ca="1">J308-R308</f>
        <v>0</v>
      </c>
      <c r="L308" s="9">
        <f ca="1">K308-S308</f>
        <v>0</v>
      </c>
      <c r="M308" s="9">
        <f ca="1">L308-T308</f>
        <v>0</v>
      </c>
      <c r="O308" s="9"/>
      <c r="P308" s="9">
        <v>0</v>
      </c>
      <c r="Q308" s="9">
        <f ca="1">I308</f>
        <v>1808.3804037295163</v>
      </c>
      <c r="R308" s="9">
        <v>0</v>
      </c>
      <c r="S308" s="9">
        <v>0</v>
      </c>
      <c r="T308" s="9">
        <v>0</v>
      </c>
      <c r="V308" s="9"/>
      <c r="W308" s="9">
        <v>0</v>
      </c>
      <c r="X308" s="9">
        <f ca="1">I308*$F308</f>
        <v>58.772363121209281</v>
      </c>
      <c r="Y308" s="9">
        <f t="shared" ca="1" si="92"/>
        <v>0</v>
      </c>
      <c r="Z308" s="9">
        <f t="shared" ca="1" si="92"/>
        <v>0</v>
      </c>
      <c r="AA308" s="9">
        <f t="shared" ca="1" si="92"/>
        <v>0</v>
      </c>
    </row>
    <row r="309" spans="1:27">
      <c r="B309" s="7">
        <f>B308+1</f>
        <v>2020</v>
      </c>
      <c r="C309" s="7"/>
      <c r="D309" s="7">
        <f t="shared" si="93"/>
        <v>1</v>
      </c>
      <c r="E309" s="7">
        <f t="shared" si="93"/>
        <v>1</v>
      </c>
      <c r="F309" s="14">
        <f>$N$108</f>
        <v>0</v>
      </c>
      <c r="H309" s="9"/>
      <c r="I309" s="9"/>
      <c r="J309" s="9">
        <f ca="1">$D$108</f>
        <v>3302.4748880028706</v>
      </c>
      <c r="K309" s="9">
        <f ca="1">J309-R309</f>
        <v>0</v>
      </c>
      <c r="L309" s="9">
        <f ca="1">K309-S309</f>
        <v>0</v>
      </c>
      <c r="M309" s="9">
        <f ca="1">L309-T309</f>
        <v>0</v>
      </c>
      <c r="O309" s="9"/>
      <c r="P309" s="9"/>
      <c r="Q309" s="9">
        <v>0</v>
      </c>
      <c r="R309" s="9">
        <f ca="1">J309</f>
        <v>3302.4748880028706</v>
      </c>
      <c r="S309" s="9">
        <v>0</v>
      </c>
      <c r="T309" s="9">
        <v>0</v>
      </c>
      <c r="V309" s="9"/>
      <c r="W309" s="9"/>
      <c r="X309" s="9">
        <v>0</v>
      </c>
      <c r="Y309" s="9">
        <f ca="1">J309*$F309</f>
        <v>107.33043386009329</v>
      </c>
      <c r="Z309" s="9">
        <f t="shared" ca="1" si="92"/>
        <v>0</v>
      </c>
      <c r="AA309" s="9">
        <f t="shared" ca="1" si="92"/>
        <v>0</v>
      </c>
    </row>
    <row r="310" spans="1:27">
      <c r="B310" s="7">
        <f>B309+1</f>
        <v>2021</v>
      </c>
      <c r="C310" s="7"/>
      <c r="D310" s="7">
        <f t="shared" si="93"/>
        <v>1</v>
      </c>
      <c r="E310" s="7">
        <f t="shared" si="93"/>
        <v>1</v>
      </c>
      <c r="F310" s="14">
        <f>$O$108</f>
        <v>0</v>
      </c>
      <c r="H310" s="9"/>
      <c r="I310" s="9"/>
      <c r="J310" s="9"/>
      <c r="K310" s="9">
        <f ca="1">$E$108</f>
        <v>4866.733670636645</v>
      </c>
      <c r="L310" s="9">
        <f ca="1">K310-S310</f>
        <v>0</v>
      </c>
      <c r="M310" s="9">
        <f ca="1">L310-T310</f>
        <v>0</v>
      </c>
      <c r="O310" s="9"/>
      <c r="P310" s="9"/>
      <c r="Q310" s="9"/>
      <c r="R310" s="9">
        <v>0</v>
      </c>
      <c r="S310" s="9">
        <f ca="1">K310</f>
        <v>4866.733670636645</v>
      </c>
      <c r="T310" s="9">
        <v>0</v>
      </c>
      <c r="V310" s="9"/>
      <c r="W310" s="9"/>
      <c r="X310" s="9"/>
      <c r="Y310" s="9">
        <v>0</v>
      </c>
      <c r="Z310" s="9">
        <f ca="1">K310*$F310</f>
        <v>170.33567847228258</v>
      </c>
      <c r="AA310" s="9">
        <f ca="1">L310*$F310</f>
        <v>0</v>
      </c>
    </row>
    <row r="311" spans="1:27">
      <c r="B311" s="7">
        <f>B310+1</f>
        <v>2022</v>
      </c>
      <c r="C311" s="7"/>
      <c r="D311" s="7">
        <f t="shared" si="93"/>
        <v>1</v>
      </c>
      <c r="E311" s="7">
        <f t="shared" si="93"/>
        <v>1</v>
      </c>
      <c r="F311" s="14">
        <f>$P$108</f>
        <v>0</v>
      </c>
      <c r="H311" s="9"/>
      <c r="I311" s="9"/>
      <c r="J311" s="9"/>
      <c r="K311" s="9"/>
      <c r="L311" s="9">
        <f ca="1">$F$108</f>
        <v>5367.6621946222604</v>
      </c>
      <c r="M311" s="9">
        <f ca="1">L311-T311</f>
        <v>0</v>
      </c>
      <c r="O311" s="9"/>
      <c r="P311" s="9"/>
      <c r="Q311" s="9"/>
      <c r="R311" s="9"/>
      <c r="S311" s="9">
        <v>0</v>
      </c>
      <c r="T311" s="9">
        <f ca="1">L311</f>
        <v>5367.6621946222604</v>
      </c>
      <c r="V311" s="9"/>
      <c r="W311" s="9"/>
      <c r="X311" s="9"/>
      <c r="Y311" s="9"/>
      <c r="Z311" s="9">
        <v>0</v>
      </c>
      <c r="AA311" s="9">
        <f ca="1">L311*$F311</f>
        <v>187.86817681177914</v>
      </c>
    </row>
    <row r="312" spans="1:27">
      <c r="B312" s="7">
        <f>B311+1</f>
        <v>2023</v>
      </c>
      <c r="C312" s="7"/>
      <c r="D312" s="7">
        <f t="shared" si="93"/>
        <v>1</v>
      </c>
      <c r="E312" s="7">
        <f t="shared" si="93"/>
        <v>1</v>
      </c>
      <c r="F312" s="14">
        <f>$Q$108</f>
        <v>0</v>
      </c>
      <c r="H312" s="9"/>
      <c r="I312" s="9"/>
      <c r="J312" s="9"/>
      <c r="K312" s="9"/>
      <c r="L312" s="9"/>
      <c r="M312" s="9">
        <f ca="1">$G$108</f>
        <v>5623.1440019285474</v>
      </c>
      <c r="O312" s="9"/>
      <c r="P312" s="9"/>
      <c r="Q312" s="9"/>
      <c r="R312" s="9"/>
      <c r="S312" s="9"/>
      <c r="T312" s="9">
        <v>0</v>
      </c>
      <c r="V312" s="9"/>
      <c r="W312" s="9"/>
      <c r="X312" s="9"/>
      <c r="Y312" s="9"/>
      <c r="Z312" s="9"/>
      <c r="AA312" s="9">
        <v>0</v>
      </c>
    </row>
    <row r="313" spans="1:27">
      <c r="B313" s="7"/>
      <c r="D313" s="7"/>
      <c r="E313" s="14"/>
      <c r="G313" s="9"/>
      <c r="H313" s="9"/>
      <c r="I313" s="9"/>
      <c r="J313" s="9"/>
      <c r="K313" s="9"/>
      <c r="L313" s="9"/>
      <c r="N313" s="89"/>
      <c r="O313" s="9"/>
      <c r="P313" s="9"/>
      <c r="Q313" s="9"/>
      <c r="R313" s="9"/>
      <c r="S313" s="9"/>
      <c r="U313" s="9"/>
      <c r="V313" s="9"/>
      <c r="W313" s="9"/>
      <c r="X313" s="9"/>
      <c r="Y313" s="9"/>
      <c r="Z313" s="9"/>
    </row>
    <row r="314" spans="1:27">
      <c r="B314" s="7"/>
      <c r="C314" s="7"/>
      <c r="D314" s="7"/>
      <c r="E314" s="14"/>
      <c r="G314" s="9"/>
      <c r="H314" s="9"/>
      <c r="I314" s="9"/>
      <c r="J314" s="9"/>
      <c r="K314" s="9"/>
      <c r="L314" s="9"/>
      <c r="N314" s="89"/>
      <c r="O314" s="9"/>
      <c r="P314" s="9"/>
      <c r="Q314" s="9"/>
      <c r="R314" s="9"/>
      <c r="S314" s="9"/>
      <c r="U314" s="9"/>
      <c r="V314" s="9"/>
      <c r="W314" s="9"/>
      <c r="X314" s="9"/>
      <c r="Y314" s="9"/>
      <c r="Z314" s="9"/>
    </row>
    <row r="315" spans="1:27">
      <c r="A315" s="8"/>
      <c r="B315" s="7"/>
    </row>
  </sheetData>
  <mergeCells count="14">
    <mergeCell ref="B231:AA231"/>
    <mergeCell ref="B268:AA268"/>
    <mergeCell ref="B305:AA305"/>
    <mergeCell ref="B126:AA126"/>
    <mergeCell ref="B136:AA136"/>
    <mergeCell ref="B173:AA173"/>
    <mergeCell ref="B212:AA212"/>
    <mergeCell ref="B221:AA221"/>
    <mergeCell ref="B117:AA117"/>
    <mergeCell ref="B73:G73"/>
    <mergeCell ref="H112:M112"/>
    <mergeCell ref="O112:T112"/>
    <mergeCell ref="V112:AA112"/>
    <mergeCell ref="B112:F112"/>
  </mergeCells>
  <pageMargins left="0.7" right="0.7" top="0.75" bottom="0.75" header="0.3" footer="0.3"/>
  <legacyDrawing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4">
    <tabColor rgb="FF66FF33"/>
  </sheetPr>
  <dimension ref="A1:AA315"/>
  <sheetViews>
    <sheetView zoomScale="80" zoomScaleNormal="80" workbookViewId="0"/>
  </sheetViews>
  <sheetFormatPr defaultColWidth="9.140625" defaultRowHeight="15"/>
  <cols>
    <col min="1" max="1" width="79.28515625" style="6" customWidth="1"/>
    <col min="2" max="3" width="15.42578125" style="6" customWidth="1"/>
    <col min="4" max="19" width="10.7109375" style="6" customWidth="1"/>
    <col min="20" max="20" width="10.5703125" style="6" customWidth="1"/>
    <col min="21" max="21" width="5.7109375" style="6" customWidth="1"/>
    <col min="22" max="26" width="13.5703125" style="6" customWidth="1"/>
    <col min="27" max="16384" width="9.140625" style="6"/>
  </cols>
  <sheetData>
    <row r="1" spans="1:19" customFormat="1" ht="15.75" thickBot="1">
      <c r="B1" s="1"/>
      <c r="C1" s="1"/>
      <c r="D1" s="1"/>
      <c r="E1" s="60"/>
      <c r="F1" s="60"/>
      <c r="G1" s="60"/>
      <c r="H1" s="60"/>
      <c r="I1" s="60"/>
      <c r="J1" s="60"/>
      <c r="K1" s="60"/>
      <c r="L1" s="1"/>
      <c r="M1" s="1"/>
      <c r="N1" s="1"/>
      <c r="O1" s="1"/>
      <c r="P1" s="1"/>
      <c r="Q1" s="1"/>
      <c r="R1" s="1"/>
      <c r="S1" s="1"/>
    </row>
    <row r="2" spans="1:19" customFormat="1" ht="30.75" thickBot="1">
      <c r="A2" s="1302" t="str">
        <f>IF(ISBLANK(Custom1Name), "Customized shock 1",Custom1Name)</f>
        <v>Customized shock 1</v>
      </c>
      <c r="B2" s="118" t="s">
        <v>16</v>
      </c>
      <c r="C2" s="1"/>
      <c r="D2" s="1"/>
      <c r="E2" s="1"/>
      <c r="F2" s="1"/>
      <c r="G2" s="1"/>
    </row>
    <row r="3" spans="1:19" customFormat="1">
      <c r="A3" s="17"/>
      <c r="B3" s="225">
        <f>FirstYear</f>
        <v>2018</v>
      </c>
      <c r="C3" s="226">
        <f>B3+1</f>
        <v>2019</v>
      </c>
      <c r="D3" s="226">
        <f>C3+1</f>
        <v>2020</v>
      </c>
      <c r="E3" s="226">
        <f>D3+1</f>
        <v>2021</v>
      </c>
      <c r="F3" s="226">
        <f>E3+1</f>
        <v>2022</v>
      </c>
      <c r="G3" s="227">
        <f>F3+1</f>
        <v>2023</v>
      </c>
    </row>
    <row r="4" spans="1:19" customFormat="1">
      <c r="A4" s="17"/>
      <c r="B4" s="168"/>
      <c r="C4" s="62"/>
      <c r="D4" s="62"/>
      <c r="E4" s="62"/>
      <c r="F4" s="62"/>
      <c r="G4" s="169"/>
    </row>
    <row r="5" spans="1:19" customFormat="1">
      <c r="A5" s="63" t="s">
        <v>62</v>
      </c>
      <c r="B5" s="170">
        <f t="shared" ref="B5:G5" si="0">B7+B13</f>
        <v>10948.652288728241</v>
      </c>
      <c r="C5" s="171">
        <f t="shared" ca="1" si="0"/>
        <v>11883.520235476723</v>
      </c>
      <c r="D5" s="171">
        <f t="shared" ca="1" si="0"/>
        <v>12889.214344890321</v>
      </c>
      <c r="E5" s="171">
        <f t="shared" ca="1" si="0"/>
        <v>13788.033306904636</v>
      </c>
      <c r="F5" s="171">
        <f t="shared" ca="1" si="0"/>
        <v>14806.493572437552</v>
      </c>
      <c r="G5" s="172">
        <f t="shared" ca="1" si="0"/>
        <v>15896.395102672686</v>
      </c>
    </row>
    <row r="6" spans="1:19" s="284" customFormat="1">
      <c r="A6" s="18" t="s">
        <v>1026</v>
      </c>
      <c r="B6" s="170" t="str">
        <f>'Baseline debt'!P8</f>
        <v/>
      </c>
      <c r="C6" s="171" t="str">
        <f>'Baseline debt'!Q8</f>
        <v/>
      </c>
      <c r="D6" s="171" t="str">
        <f>'Baseline debt'!R8</f>
        <v/>
      </c>
      <c r="E6" s="171" t="str">
        <f>'Baseline debt'!S8</f>
        <v/>
      </c>
      <c r="F6" s="171" t="str">
        <f>'Baseline debt'!T8</f>
        <v/>
      </c>
      <c r="G6" s="172" t="str">
        <f>'Baseline debt'!U8</f>
        <v/>
      </c>
    </row>
    <row r="7" spans="1:19" customFormat="1">
      <c r="A7" s="21" t="s">
        <v>70</v>
      </c>
      <c r="B7" s="170">
        <f t="shared" ref="B7:G7" si="1">B8+B9</f>
        <v>9886.2521736994167</v>
      </c>
      <c r="C7" s="171">
        <f t="shared" si="1"/>
        <v>8910.6988594887644</v>
      </c>
      <c r="D7" s="171">
        <f t="shared" si="1"/>
        <v>7603.6701863278031</v>
      </c>
      <c r="E7" s="171">
        <f t="shared" si="1"/>
        <v>6150.6557892545252</v>
      </c>
      <c r="F7" s="171">
        <f t="shared" si="1"/>
        <v>5844.6400886862239</v>
      </c>
      <c r="G7" s="172">
        <f t="shared" si="1"/>
        <v>5585.3532924462243</v>
      </c>
    </row>
    <row r="8" spans="1:19" customFormat="1">
      <c r="A8" s="18" t="s">
        <v>72</v>
      </c>
      <c r="B8" s="170">
        <f>'Baseline debt'!P11</f>
        <v>9879.101789236136</v>
      </c>
      <c r="C8" s="171">
        <f>'Baseline debt'!Q11</f>
        <v>8904.2169986260087</v>
      </c>
      <c r="D8" s="171">
        <f>'Baseline debt'!R11</f>
        <v>8210.6547722760079</v>
      </c>
      <c r="E8" s="171">
        <f>'Baseline debt'!S11</f>
        <v>7110.6102222407098</v>
      </c>
      <c r="F8" s="171">
        <f>'Baseline debt'!T11</f>
        <v>6804.9355125304046</v>
      </c>
      <c r="G8" s="172">
        <f>'Baseline debt'!U11</f>
        <v>6545.648716290405</v>
      </c>
    </row>
    <row r="9" spans="1:19" customFormat="1">
      <c r="A9" s="18" t="s">
        <v>63</v>
      </c>
      <c r="B9" s="170">
        <f>'Baseline debt'!P13/'Baseline debt'!P$73*B32</f>
        <v>7.1503844632814992</v>
      </c>
      <c r="C9" s="171">
        <f>'Baseline debt'!Q13/'Baseline debt'!Q$73*C32</f>
        <v>6.481860862754961</v>
      </c>
      <c r="D9" s="171">
        <f>'Baseline debt'!R13/'Baseline debt'!R$73*D32</f>
        <v>-606.98458594820488</v>
      </c>
      <c r="E9" s="171">
        <f>'Baseline debt'!S13/'Baseline debt'!S$73*E32</f>
        <v>-959.954432986185</v>
      </c>
      <c r="F9" s="171">
        <f>'Baseline debt'!T13/'Baseline debt'!T$73*F32</f>
        <v>-960.29542384418096</v>
      </c>
      <c r="G9" s="172">
        <f>'Baseline debt'!U13/'Baseline debt'!U$73*G32</f>
        <v>-960.29542384418096</v>
      </c>
    </row>
    <row r="10" spans="1:19" customFormat="1">
      <c r="A10" s="18" t="s">
        <v>60</v>
      </c>
      <c r="B10" s="170">
        <v>0</v>
      </c>
      <c r="C10" s="171">
        <v>0</v>
      </c>
      <c r="D10" s="171">
        <v>0</v>
      </c>
      <c r="E10" s="171">
        <v>0</v>
      </c>
      <c r="F10" s="171">
        <v>0</v>
      </c>
      <c r="G10" s="172">
        <v>0</v>
      </c>
    </row>
    <row r="11" spans="1:19" customFormat="1">
      <c r="A11" s="18" t="s">
        <v>73</v>
      </c>
      <c r="B11" s="170">
        <f t="shared" ref="B11:G11" si="2">B8+B9</f>
        <v>9886.2521736994167</v>
      </c>
      <c r="C11" s="171">
        <f t="shared" si="2"/>
        <v>8910.6988594887644</v>
      </c>
      <c r="D11" s="171">
        <f t="shared" si="2"/>
        <v>7603.6701863278031</v>
      </c>
      <c r="E11" s="171">
        <f t="shared" si="2"/>
        <v>6150.6557892545252</v>
      </c>
      <c r="F11" s="171">
        <f t="shared" si="2"/>
        <v>5844.6400886862239</v>
      </c>
      <c r="G11" s="172">
        <f t="shared" si="2"/>
        <v>5585.3532924462243</v>
      </c>
    </row>
    <row r="12" spans="1:19" customFormat="1">
      <c r="A12" s="17"/>
      <c r="B12" s="170"/>
      <c r="C12" s="171"/>
      <c r="D12" s="171"/>
      <c r="E12" s="171"/>
      <c r="F12" s="171"/>
      <c r="G12" s="172"/>
    </row>
    <row r="13" spans="1:19" customFormat="1">
      <c r="A13" s="21" t="s">
        <v>71</v>
      </c>
      <c r="B13" s="170">
        <f t="shared" ref="B13:G13" si="3">B14+B15</f>
        <v>1062.4001150288241</v>
      </c>
      <c r="C13" s="171">
        <f t="shared" ca="1" si="3"/>
        <v>2971.8202354767222</v>
      </c>
      <c r="D13" s="171">
        <f t="shared" ca="1" si="3"/>
        <v>5253.51434489032</v>
      </c>
      <c r="E13" s="171">
        <f t="shared" ca="1" si="3"/>
        <v>7587.3333069046357</v>
      </c>
      <c r="F13" s="171">
        <f t="shared" ca="1" si="3"/>
        <v>8911.7935724375511</v>
      </c>
      <c r="G13" s="172">
        <f t="shared" ca="1" si="3"/>
        <v>10010.695102672686</v>
      </c>
    </row>
    <row r="14" spans="1:19" customFormat="1">
      <c r="A14" s="18" t="s">
        <v>72</v>
      </c>
      <c r="B14" s="170">
        <f t="shared" ref="B14:G14" si="4">SUM(H119:H124,H138:H171,H214:H219,H233:H266,H307:H312)</f>
        <v>1062.4001150288241</v>
      </c>
      <c r="C14" s="171">
        <f t="shared" ca="1" si="4"/>
        <v>2971.8202354767222</v>
      </c>
      <c r="D14" s="171">
        <f t="shared" ca="1" si="4"/>
        <v>5253.51434489032</v>
      </c>
      <c r="E14" s="171">
        <f t="shared" ca="1" si="4"/>
        <v>7587.3333069046357</v>
      </c>
      <c r="F14" s="171">
        <f t="shared" ca="1" si="4"/>
        <v>8911.7935724375511</v>
      </c>
      <c r="G14" s="172">
        <f t="shared" ca="1" si="4"/>
        <v>10010.695102672686</v>
      </c>
    </row>
    <row r="15" spans="1:19" customFormat="1">
      <c r="A15" s="18" t="s">
        <v>63</v>
      </c>
      <c r="B15" s="170">
        <f t="shared" ref="B15:G15" si="5">SUM(H128:H133,H175:H208,H223:H228,H270:H303)*B32</f>
        <v>0</v>
      </c>
      <c r="C15" s="171">
        <f t="shared" ca="1" si="5"/>
        <v>0</v>
      </c>
      <c r="D15" s="171">
        <f t="shared" ca="1" si="5"/>
        <v>0</v>
      </c>
      <c r="E15" s="171">
        <f t="shared" ca="1" si="5"/>
        <v>0</v>
      </c>
      <c r="F15" s="171">
        <f t="shared" ca="1" si="5"/>
        <v>0</v>
      </c>
      <c r="G15" s="172">
        <f t="shared" ca="1" si="5"/>
        <v>0</v>
      </c>
    </row>
    <row r="16" spans="1:19" customFormat="1">
      <c r="A16" s="18" t="s">
        <v>60</v>
      </c>
      <c r="B16" s="170">
        <f t="shared" ref="B16:G16" si="6">SUM(H119:H124,H214:H219,H307:H312)+SUM(H128:H133,H223:H228)*B32</f>
        <v>-267.59452840452661</v>
      </c>
      <c r="C16" s="171">
        <f t="shared" ca="1" si="6"/>
        <v>2500.3926631191734</v>
      </c>
      <c r="D16" s="171">
        <f t="shared" ca="1" si="6"/>
        <v>4584.6426624797559</v>
      </c>
      <c r="E16" s="171">
        <f t="shared" ca="1" si="6"/>
        <v>6809.2187663833756</v>
      </c>
      <c r="F16" s="171">
        <f t="shared" ca="1" si="6"/>
        <v>8012.4552716391609</v>
      </c>
      <c r="G16" s="172">
        <f t="shared" ca="1" si="6"/>
        <v>9020.939453658646</v>
      </c>
    </row>
    <row r="17" spans="1:17" customFormat="1">
      <c r="A17" s="18" t="s">
        <v>73</v>
      </c>
      <c r="B17" s="170">
        <f t="shared" ref="B17:G17" si="7">B14+B15-B16</f>
        <v>1329.9946434333506</v>
      </c>
      <c r="C17" s="171">
        <f t="shared" ca="1" si="7"/>
        <v>471.4275723575488</v>
      </c>
      <c r="D17" s="171">
        <f t="shared" ca="1" si="7"/>
        <v>668.87168241056406</v>
      </c>
      <c r="E17" s="171">
        <f t="shared" ca="1" si="7"/>
        <v>778.1145405212601</v>
      </c>
      <c r="F17" s="171">
        <f t="shared" ca="1" si="7"/>
        <v>899.33830079839026</v>
      </c>
      <c r="G17" s="172">
        <f t="shared" ca="1" si="7"/>
        <v>989.75564901403959</v>
      </c>
    </row>
    <row r="18" spans="1:17" customFormat="1" ht="6.75" customHeight="1">
      <c r="A18" s="17"/>
      <c r="B18" s="170"/>
      <c r="C18" s="171"/>
      <c r="D18" s="171"/>
      <c r="E18" s="171"/>
      <c r="F18" s="171"/>
      <c r="G18" s="172"/>
    </row>
    <row r="19" spans="1:17" customFormat="1">
      <c r="A19" s="20" t="s">
        <v>74</v>
      </c>
      <c r="B19" s="170">
        <f t="shared" ref="B19:G19" si="8">B63</f>
        <v>1062.4001150288241</v>
      </c>
      <c r="C19" s="171">
        <f t="shared" ca="1" si="8"/>
        <v>2795.8130421381293</v>
      </c>
      <c r="D19" s="171">
        <f t="shared" ca="1" si="8"/>
        <v>4901.3948540384054</v>
      </c>
      <c r="E19" s="171">
        <f t="shared" ca="1" si="8"/>
        <v>7098.2663110402527</v>
      </c>
      <c r="F19" s="171">
        <f t="shared" ca="1" si="8"/>
        <v>8344.2106799251833</v>
      </c>
      <c r="G19" s="172">
        <f t="shared" ca="1" si="8"/>
        <v>9355.6138787496566</v>
      </c>
    </row>
    <row r="20" spans="1:17" customFormat="1">
      <c r="A20" s="18" t="s">
        <v>55</v>
      </c>
      <c r="B20" s="170">
        <f t="shared" ref="B20:G20" si="9">B49-B47</f>
        <v>15.437150622194167</v>
      </c>
      <c r="C20" s="171">
        <f t="shared" si="9"/>
        <v>601.29296957384213</v>
      </c>
      <c r="D20" s="171">
        <f t="shared" si="9"/>
        <v>540.43274544129235</v>
      </c>
      <c r="E20" s="171">
        <f t="shared" si="9"/>
        <v>587.91289212358242</v>
      </c>
      <c r="F20" s="171">
        <f t="shared" si="9"/>
        <v>385.28418394370965</v>
      </c>
      <c r="G20" s="172">
        <f t="shared" si="9"/>
        <v>398.07561885063842</v>
      </c>
    </row>
    <row r="21" spans="1:17" s="284" customFormat="1">
      <c r="A21" s="18" t="s">
        <v>1172</v>
      </c>
      <c r="B21" s="170">
        <f>B48</f>
        <v>48.271190640000007</v>
      </c>
      <c r="C21" s="171">
        <v>0</v>
      </c>
      <c r="D21" s="171">
        <v>0</v>
      </c>
      <c r="E21" s="171">
        <v>0</v>
      </c>
      <c r="F21" s="171">
        <v>0</v>
      </c>
      <c r="G21" s="172">
        <v>0</v>
      </c>
    </row>
    <row r="22" spans="1:17" customFormat="1">
      <c r="A22" s="23" t="s">
        <v>102</v>
      </c>
      <c r="B22" s="170">
        <f t="shared" ref="B22:G22" si="10">B23+B24</f>
        <v>1095.234155046629</v>
      </c>
      <c r="C22" s="171">
        <f t="shared" ca="1" si="10"/>
        <v>2190.8804037295163</v>
      </c>
      <c r="D22" s="171">
        <f t="shared" ca="1" si="10"/>
        <v>4273.6147605711039</v>
      </c>
      <c r="E22" s="171">
        <f t="shared" ca="1" si="10"/>
        <v>6448.7002242668132</v>
      </c>
      <c r="F22" s="171">
        <f t="shared" ca="1" si="10"/>
        <v>7672.1025563024896</v>
      </c>
      <c r="G22" s="172">
        <f t="shared" ca="1" si="10"/>
        <v>8660.1814369430467</v>
      </c>
    </row>
    <row r="23" spans="1:17" customFormat="1">
      <c r="A23" s="228" t="s">
        <v>1173</v>
      </c>
      <c r="B23" s="170">
        <f t="shared" ref="B23:G23" si="11">SUM(B50:B51,B58:B59)</f>
        <v>210.95965861346764</v>
      </c>
      <c r="C23" s="171">
        <f t="shared" ca="1" si="11"/>
        <v>272.737797096664</v>
      </c>
      <c r="D23" s="171">
        <f t="shared" ca="1" si="11"/>
        <v>377.9140159462961</v>
      </c>
      <c r="E23" s="171">
        <f t="shared" ca="1" si="11"/>
        <v>249.25287524087705</v>
      </c>
      <c r="F23" s="171">
        <f t="shared" ca="1" si="11"/>
        <v>346.35214191022158</v>
      </c>
      <c r="G23" s="172">
        <f t="shared" ca="1" si="11"/>
        <v>394.46908842852503</v>
      </c>
    </row>
    <row r="24" spans="1:17" customFormat="1">
      <c r="A24" s="228" t="s">
        <v>1174</v>
      </c>
      <c r="B24" s="170">
        <f t="shared" ref="B24:G24" si="12">SUM(B53:B54,B60:B61)</f>
        <v>884.2744964331614</v>
      </c>
      <c r="C24" s="171">
        <f t="shared" ca="1" si="12"/>
        <v>1918.1426066328522</v>
      </c>
      <c r="D24" s="171">
        <f t="shared" ca="1" si="12"/>
        <v>3895.7007446248076</v>
      </c>
      <c r="E24" s="171">
        <f t="shared" ca="1" si="12"/>
        <v>6199.4473490259361</v>
      </c>
      <c r="F24" s="171">
        <f t="shared" ca="1" si="12"/>
        <v>7325.7504143922679</v>
      </c>
      <c r="G24" s="172">
        <f t="shared" ca="1" si="12"/>
        <v>8265.7123485145221</v>
      </c>
    </row>
    <row r="25" spans="1:17" customFormat="1" ht="15" customHeight="1">
      <c r="A25" s="63" t="s">
        <v>304</v>
      </c>
      <c r="B25" s="271">
        <f>'Baseline debt'!P64</f>
        <v>1.9586439007071743E-2</v>
      </c>
      <c r="C25" s="176">
        <f ca="1">IF(Guarantees="Yes",IF(ISNUMBER(C23/(B5-B6)),C23/(B5-B6),""),IF(ISNUMBER(C23/B5),C23/B5,""))</f>
        <v>2.4781166566290192E-2</v>
      </c>
      <c r="D25" s="176">
        <f ca="1">IF(Guarantees="Yes",IF(ISNUMBER(D23/(C5-C6)),D23/(C5-C6),""),IF(ISNUMBER(D23/C5),D23/C5,""))</f>
        <v>3.1801520800047313E-2</v>
      </c>
      <c r="E25" s="176">
        <f ca="1">IF(Guarantees="Yes",IF(ISNUMBER(E23/(D5-D6)),E23/(D5-D6),""),IF(ISNUMBER(E23/D5),E23/D5,""))</f>
        <v>1.9338096843714025E-2</v>
      </c>
      <c r="F25" s="176">
        <f ca="1">IF(Guarantees="Yes",IF(ISNUMBER(F23/(E5-E6)),F23/(E5-E6),""),IF(ISNUMBER(F23/E5),F23/E5,""))</f>
        <v>2.5119763943185339E-2</v>
      </c>
      <c r="G25" s="177">
        <f ca="1">IF(Guarantees="Yes",IF(ISNUMBER(G23/(F5-F6)),G23/(F5-F6),""),IF(ISNUMBER(G23/F5),G23/F5,""))</f>
        <v>2.664162764118802E-2</v>
      </c>
    </row>
    <row r="26" spans="1:17" customFormat="1">
      <c r="A26" s="20" t="s">
        <v>77</v>
      </c>
      <c r="B26" s="173">
        <f>'Input 5 - Scenario Design'!E113</f>
        <v>4.7697166816344838E-2</v>
      </c>
      <c r="C26" s="174">
        <f>'Input 5 - Scenario Design'!F113</f>
        <v>1.1686434574876631E-2</v>
      </c>
      <c r="D26" s="174">
        <f>'Input 5 - Scenario Design'!G113</f>
        <v>9.9471024448239027E-3</v>
      </c>
      <c r="E26" s="174">
        <f>'Input 5 - Scenario Design'!H113</f>
        <v>8.871442593204177E-3</v>
      </c>
      <c r="F26" s="174">
        <f>'Input 5 - Scenario Design'!I113</f>
        <v>9.3302369470751496E-3</v>
      </c>
      <c r="G26" s="175">
        <f>'Input 5 - Scenario Design'!J113</f>
        <v>8.0000000000000245E-3</v>
      </c>
    </row>
    <row r="27" spans="1:17" customFormat="1">
      <c r="A27" s="20" t="s">
        <v>78</v>
      </c>
      <c r="B27" s="173">
        <f>'Input 5 - Scenario Design'!E114</f>
        <v>4.2122999157540031E-2</v>
      </c>
      <c r="C27" s="174">
        <f>'Input 5 - Scenario Design'!F114</f>
        <v>3.085754504401117E-2</v>
      </c>
      <c r="D27" s="174">
        <f>'Input 5 - Scenario Design'!G114</f>
        <v>2.7938359016816516E-2</v>
      </c>
      <c r="E27" s="174">
        <f>'Input 5 - Scenario Design'!H114</f>
        <v>2.5315565708619037E-2</v>
      </c>
      <c r="F27" s="174">
        <f>'Input 5 - Scenario Design'!I114</f>
        <v>2.4647711698661201E-2</v>
      </c>
      <c r="G27" s="175">
        <f>'Input 5 - Scenario Design'!J114</f>
        <v>2.5000000000000133E-2</v>
      </c>
    </row>
    <row r="28" spans="1:17" customFormat="1">
      <c r="A28" s="20" t="s">
        <v>828</v>
      </c>
      <c r="B28" s="173">
        <f>'Input 5 - Scenario Design'!E115</f>
        <v>0.36781832970756889</v>
      </c>
      <c r="C28" s="174">
        <f>'Input 5 - Scenario Design'!F115</f>
        <v>0.33899708650221949</v>
      </c>
      <c r="D28" s="174">
        <f>'Input 5 - Scenario Design'!G115</f>
        <v>0.33663219049317711</v>
      </c>
      <c r="E28" s="174">
        <f>'Input 5 - Scenario Design'!H115</f>
        <v>0.33111135216456816</v>
      </c>
      <c r="F28" s="174">
        <f>'Input 5 - Scenario Design'!I115</f>
        <v>0.32585635256377732</v>
      </c>
      <c r="G28" s="175">
        <f>'Input 5 - Scenario Design'!J115</f>
        <v>0.32585635256377732</v>
      </c>
    </row>
    <row r="29" spans="1:17" customFormat="1">
      <c r="A29" s="20" t="s">
        <v>80</v>
      </c>
      <c r="B29" s="173">
        <f>'Input 5 - Scenario Design'!E116</f>
        <v>0.36834134844430905</v>
      </c>
      <c r="C29" s="174">
        <f>'Input 5 - Scenario Design'!F116</f>
        <v>0.35853110754106615</v>
      </c>
      <c r="D29" s="174">
        <f>'Input 5 - Scenario Design'!G116</f>
        <v>0.35354366520139902</v>
      </c>
      <c r="E29" s="174">
        <f>'Input 5 - Scenario Design'!H116</f>
        <v>0.34889657983921007</v>
      </c>
      <c r="F29" s="174">
        <f>'Input 5 - Scenario Design'!I116</f>
        <v>0.33712624493397764</v>
      </c>
      <c r="G29" s="175">
        <f>'Input 5 - Scenario Design'!J116</f>
        <v>0.33712624493397758</v>
      </c>
    </row>
    <row r="30" spans="1:17" customFormat="1">
      <c r="A30" s="20" t="s">
        <v>147</v>
      </c>
      <c r="B30" s="173">
        <f>'Input 5 - Scenario Design'!E117</f>
        <v>-5.2301873674015509E-4</v>
      </c>
      <c r="C30" s="176">
        <f>'Input 5 - Scenario Design'!F117</f>
        <v>-1.9534021038846661E-2</v>
      </c>
      <c r="D30" s="176">
        <f>'Input 5 - Scenario Design'!G117</f>
        <v>-1.6911474708221907E-2</v>
      </c>
      <c r="E30" s="176">
        <f>'Input 5 - Scenario Design'!H117</f>
        <v>-1.7785227674641912E-2</v>
      </c>
      <c r="F30" s="176">
        <f>'Input 5 - Scenario Design'!I117</f>
        <v>-1.1269892370200318E-2</v>
      </c>
      <c r="G30" s="177">
        <f>'Input 5 - Scenario Design'!J117</f>
        <v>-1.1269892370200263E-2</v>
      </c>
    </row>
    <row r="31" spans="1:17" ht="15" customHeight="1">
      <c r="A31" s="20" t="s">
        <v>1129</v>
      </c>
      <c r="B31" s="229">
        <f>'Input 5 - Scenario Design'!E118</f>
        <v>1.18</v>
      </c>
      <c r="C31" s="230">
        <f>'Input 5 - Scenario Design'!F118</f>
        <v>1.1399999999999999</v>
      </c>
      <c r="D31" s="230">
        <f>'Input 5 - Scenario Design'!G118</f>
        <v>1.1399999999999999</v>
      </c>
      <c r="E31" s="230">
        <f>'Input 5 - Scenario Design'!H118</f>
        <v>1.1399999999999999</v>
      </c>
      <c r="F31" s="230">
        <f>'Input 5 - Scenario Design'!I118</f>
        <v>1.1399999999999999</v>
      </c>
      <c r="G31" s="231">
        <f>'Input 5 - Scenario Design'!J118</f>
        <v>1.1399999999999999</v>
      </c>
      <c r="I31" s="188"/>
      <c r="J31" s="188"/>
      <c r="K31" s="188"/>
      <c r="L31" s="188"/>
      <c r="M31" s="188"/>
      <c r="N31" s="188"/>
      <c r="O31" s="188"/>
      <c r="P31" s="188"/>
      <c r="Q31" s="189"/>
    </row>
    <row r="32" spans="1:17" customFormat="1">
      <c r="A32" s="20" t="s">
        <v>1130</v>
      </c>
      <c r="B32" s="229">
        <f>'Input 5 - Scenario Design'!E119</f>
        <v>1.18</v>
      </c>
      <c r="C32" s="230">
        <f>'Input 5 - Scenario Design'!F119</f>
        <v>1.1399999999999999</v>
      </c>
      <c r="D32" s="230">
        <f>'Input 5 - Scenario Design'!G119</f>
        <v>1.1399999999999999</v>
      </c>
      <c r="E32" s="230">
        <f>'Input 5 - Scenario Design'!H119</f>
        <v>1.1399999999999999</v>
      </c>
      <c r="F32" s="230">
        <f>'Input 5 - Scenario Design'!I119</f>
        <v>1.1399999999999999</v>
      </c>
      <c r="G32" s="231">
        <f>'Input 5 - Scenario Design'!J119</f>
        <v>1.1399999999999999</v>
      </c>
    </row>
    <row r="33" spans="1:17" customFormat="1">
      <c r="A33" s="20" t="s">
        <v>89</v>
      </c>
      <c r="B33" s="233">
        <f>'Input 5 - Scenario Design'!E120</f>
        <v>0</v>
      </c>
      <c r="C33" s="232">
        <f>'Input 5 - Scenario Design'!F120</f>
        <v>25</v>
      </c>
      <c r="D33" s="232">
        <f>'Input 5 - Scenario Design'!G120</f>
        <v>25</v>
      </c>
      <c r="E33" s="232">
        <f>'Input 5 - Scenario Design'!H120</f>
        <v>25</v>
      </c>
      <c r="F33" s="232">
        <f>'Input 5 - Scenario Design'!I120</f>
        <v>25</v>
      </c>
      <c r="G33" s="234">
        <f>'Input 5 - Scenario Design'!J120</f>
        <v>25</v>
      </c>
    </row>
    <row r="34" spans="1:17" customFormat="1">
      <c r="A34" s="20" t="s">
        <v>92</v>
      </c>
      <c r="B34" s="173">
        <f t="shared" ref="B34:G34" si="13">(1+B26)*(1+B27)-1</f>
        <v>9.1829313691506709E-2</v>
      </c>
      <c r="C34" s="174">
        <f t="shared" si="13"/>
        <v>4.2904594300186005E-2</v>
      </c>
      <c r="D34" s="174">
        <f t="shared" si="13"/>
        <v>3.8163367180920948E-2</v>
      </c>
      <c r="E34" s="174">
        <f t="shared" si="13"/>
        <v>3.4411593889721592E-2</v>
      </c>
      <c r="F34" s="174">
        <f t="shared" si="13"/>
        <v>3.4207917636088103E-2</v>
      </c>
      <c r="G34" s="175">
        <f t="shared" si="13"/>
        <v>3.3200000000000118E-2</v>
      </c>
    </row>
    <row r="35" spans="1:17" ht="15" customHeight="1">
      <c r="A35" s="20" t="s">
        <v>10</v>
      </c>
      <c r="B35" s="190">
        <f>'Input 2 - Data'!P7*(1+B34)</f>
        <v>29515.482979464068</v>
      </c>
      <c r="C35" s="13">
        <f>B35*(1+C34)</f>
        <v>30781.83280227202</v>
      </c>
      <c r="D35" s="13">
        <f>C35*(1+D34)</f>
        <v>31956.571190006845</v>
      </c>
      <c r="E35" s="13">
        <f>D35*(1+E34)</f>
        <v>33056.247739905339</v>
      </c>
      <c r="F35" s="13">
        <f>E35*(1+F34)</f>
        <v>34187.033139950145</v>
      </c>
      <c r="G35" s="191">
        <f>F35*(1+G34)</f>
        <v>35322.042640196494</v>
      </c>
      <c r="I35" s="188"/>
      <c r="J35" s="188"/>
      <c r="K35" s="188"/>
      <c r="L35" s="188"/>
      <c r="M35" s="188"/>
      <c r="N35" s="188"/>
      <c r="O35" s="188"/>
      <c r="P35" s="188"/>
      <c r="Q35" s="189"/>
    </row>
    <row r="36" spans="1:17" customFormat="1" ht="6" customHeight="1">
      <c r="A36" s="20"/>
      <c r="B36" s="170"/>
      <c r="C36" s="171"/>
      <c r="D36" s="171"/>
      <c r="E36" s="171"/>
      <c r="F36" s="171"/>
      <c r="G36" s="172"/>
    </row>
    <row r="37" spans="1:17" customFormat="1">
      <c r="A37" s="20" t="s">
        <v>96</v>
      </c>
      <c r="B37" s="178">
        <f t="shared" ref="B37:G37" si="14">B5/B35</f>
        <v>0.37094606570883371</v>
      </c>
      <c r="C37" s="179">
        <f t="shared" ca="1" si="14"/>
        <v>0.39288738880872826</v>
      </c>
      <c r="D37" s="179">
        <f t="shared" ca="1" si="14"/>
        <v>0.4106283228479487</v>
      </c>
      <c r="E37" s="179">
        <f t="shared" ca="1" si="14"/>
        <v>0.424530577801354</v>
      </c>
      <c r="F37" s="179">
        <f t="shared" ca="1" si="14"/>
        <v>0.44059856002423781</v>
      </c>
      <c r="G37" s="180">
        <f t="shared" ca="1" si="14"/>
        <v>0.45716576182085122</v>
      </c>
    </row>
    <row r="38" spans="1:17" customFormat="1">
      <c r="A38" s="20" t="s">
        <v>100</v>
      </c>
      <c r="B38" s="178">
        <f t="shared" ref="B38:G38" si="15">B22/B35</f>
        <v>3.7107105982600995E-2</v>
      </c>
      <c r="C38" s="179">
        <f t="shared" ca="1" si="15"/>
        <v>7.2433863363465814E-2</v>
      </c>
      <c r="D38" s="179">
        <f t="shared" ca="1" si="15"/>
        <v>0.13615005652592266</v>
      </c>
      <c r="E38" s="179">
        <f t="shared" ca="1" si="15"/>
        <v>0.19855409189538059</v>
      </c>
      <c r="F38" s="179">
        <f t="shared" ca="1" si="15"/>
        <v>0.22829965259010734</v>
      </c>
      <c r="G38" s="180">
        <f t="shared" ca="1" si="15"/>
        <v>0.24905888527275002</v>
      </c>
    </row>
    <row r="39" spans="1:17" customFormat="1">
      <c r="A39" s="20" t="s">
        <v>98</v>
      </c>
      <c r="B39" s="178">
        <f t="shared" ref="B39:G39" si="16">B19/B35</f>
        <v>3.5994671534530134E-2</v>
      </c>
      <c r="C39" s="179">
        <f t="shared" ca="1" si="16"/>
        <v>9.2433863363465818E-2</v>
      </c>
      <c r="D39" s="179">
        <f t="shared" ca="1" si="16"/>
        <v>0.15615005652592265</v>
      </c>
      <c r="E39" s="179">
        <f t="shared" ca="1" si="16"/>
        <v>0.21855409189538061</v>
      </c>
      <c r="F39" s="179">
        <f t="shared" ca="1" si="16"/>
        <v>0.24829965259010736</v>
      </c>
      <c r="G39" s="180">
        <f t="shared" ca="1" si="16"/>
        <v>0.26905888527275001</v>
      </c>
    </row>
    <row r="40" spans="1:17" customFormat="1">
      <c r="A40" s="20" t="s">
        <v>1175</v>
      </c>
      <c r="B40" s="178">
        <f>B5/(B47+B48)</f>
        <v>1.0040391596609757</v>
      </c>
      <c r="C40" s="179">
        <f ca="1">C5/C47</f>
        <v>-19.64436944043641</v>
      </c>
      <c r="D40" s="179">
        <f ca="1">D5/D47</f>
        <v>-20.531416142397436</v>
      </c>
      <c r="E40" s="179">
        <f ca="1">E5/E47</f>
        <v>-21.226528890067701</v>
      </c>
      <c r="F40" s="179">
        <f ca="1">F5/F47</f>
        <v>-22.029928001211889</v>
      </c>
      <c r="G40" s="180">
        <f ca="1">G5/G47</f>
        <v>-22.85828809104256</v>
      </c>
    </row>
    <row r="41" spans="1:17" customFormat="1">
      <c r="A41" s="20" t="s">
        <v>1176</v>
      </c>
      <c r="B41" s="178">
        <f>B22/(B47+B48)</f>
        <v>0.10043774810504542</v>
      </c>
      <c r="C41" s="179">
        <f ca="1">C22/C47</f>
        <v>-3.6216931681732905</v>
      </c>
      <c r="D41" s="179">
        <f ca="1">D22/D47</f>
        <v>-6.8075028262961323</v>
      </c>
      <c r="E41" s="179">
        <f ca="1">E22/E47</f>
        <v>-9.927704594769029</v>
      </c>
      <c r="F41" s="179">
        <f ca="1">F22/F47</f>
        <v>-11.414982629505367</v>
      </c>
      <c r="G41" s="180">
        <f ca="1">G22/G47</f>
        <v>-12.452944263637502</v>
      </c>
    </row>
    <row r="42" spans="1:17" customFormat="1">
      <c r="A42" s="20" t="s">
        <v>99</v>
      </c>
      <c r="B42" s="178">
        <f>B19/(B47+B48)</f>
        <v>9.7426723453025818E-2</v>
      </c>
      <c r="C42" s="179">
        <f ca="1">C19/C47</f>
        <v>-4.6216931681732909</v>
      </c>
      <c r="D42" s="179">
        <f ca="1">D19/D47</f>
        <v>-7.8075028262961332</v>
      </c>
      <c r="E42" s="179">
        <f ca="1">E19/E47</f>
        <v>-10.927704594769031</v>
      </c>
      <c r="F42" s="179">
        <f ca="1">F19/F47</f>
        <v>-12.414982629505369</v>
      </c>
      <c r="G42" s="180">
        <f ca="1">G19/G47</f>
        <v>-13.4529442636375</v>
      </c>
    </row>
    <row r="43" spans="1:17" ht="6" customHeight="1" thickBot="1">
      <c r="A43" s="17"/>
      <c r="B43" s="181"/>
      <c r="C43" s="182"/>
      <c r="D43" s="182"/>
      <c r="E43" s="182"/>
      <c r="F43" s="182"/>
      <c r="G43" s="183"/>
    </row>
    <row r="44" spans="1:17" ht="6" customHeight="1" thickBot="1">
      <c r="B44" s="7"/>
      <c r="C44" s="7"/>
      <c r="D44" s="7"/>
      <c r="E44" s="7"/>
      <c r="F44" s="7"/>
      <c r="G44" s="7"/>
      <c r="I44" s="184"/>
      <c r="J44" s="184"/>
      <c r="K44" s="184"/>
      <c r="L44" s="184"/>
      <c r="M44" s="184"/>
      <c r="N44" s="184"/>
      <c r="O44" s="184"/>
      <c r="P44" s="184"/>
    </row>
    <row r="45" spans="1:17" ht="15.75" thickBot="1">
      <c r="B45" s="165">
        <f>FirstYear</f>
        <v>2018</v>
      </c>
      <c r="C45" s="166">
        <f>B45+1</f>
        <v>2019</v>
      </c>
      <c r="D45" s="166">
        <f>C45+1</f>
        <v>2020</v>
      </c>
      <c r="E45" s="166">
        <f>D45+1</f>
        <v>2021</v>
      </c>
      <c r="F45" s="166">
        <f>E45+1</f>
        <v>2022</v>
      </c>
      <c r="G45" s="167">
        <f>F45+1</f>
        <v>2023</v>
      </c>
      <c r="I45" s="184"/>
      <c r="J45" s="184"/>
      <c r="K45" s="184"/>
      <c r="L45" s="184"/>
      <c r="M45" s="184"/>
      <c r="N45" s="184"/>
      <c r="O45" s="184"/>
      <c r="P45" s="184"/>
    </row>
    <row r="46" spans="1:17" ht="6" customHeight="1" thickBot="1">
      <c r="B46" s="195"/>
      <c r="C46" s="195"/>
      <c r="D46" s="195"/>
      <c r="E46" s="195"/>
      <c r="F46" s="195"/>
      <c r="G46" s="195"/>
      <c r="I46" s="188"/>
      <c r="J46" s="188"/>
      <c r="K46" s="188"/>
      <c r="L46" s="188"/>
      <c r="M46" s="188"/>
      <c r="N46" s="188"/>
      <c r="O46" s="188"/>
      <c r="P46" s="188"/>
      <c r="Q46" s="189"/>
    </row>
    <row r="47" spans="1:17" ht="15" customHeight="1">
      <c r="A47" s="1384" t="s">
        <v>830</v>
      </c>
      <c r="B47" s="185">
        <f t="shared" ref="B47:G47" si="17">B28*B$35</f>
        <v>10856.335650018653</v>
      </c>
      <c r="C47" s="186">
        <f t="shared" si="17"/>
        <v>10434.951637168666</v>
      </c>
      <c r="D47" s="186">
        <f t="shared" si="17"/>
        <v>10757.610560343161</v>
      </c>
      <c r="E47" s="186">
        <f t="shared" si="17"/>
        <v>10945.298886647008</v>
      </c>
      <c r="F47" s="186">
        <f t="shared" si="17"/>
        <v>11140.061923961133</v>
      </c>
      <c r="G47" s="187">
        <f t="shared" si="17"/>
        <v>11509.911979836645</v>
      </c>
      <c r="I47" s="188"/>
      <c r="J47" s="188"/>
      <c r="K47" s="188"/>
      <c r="L47" s="188"/>
      <c r="M47" s="188"/>
      <c r="N47" s="188"/>
      <c r="O47" s="188"/>
      <c r="P47" s="188"/>
      <c r="Q47" s="189"/>
    </row>
    <row r="48" spans="1:17" s="281" customFormat="1" ht="15" customHeight="1">
      <c r="A48" s="1383" t="s">
        <v>824</v>
      </c>
      <c r="B48" s="190">
        <f>'Input 4 - Forecast'!C21</f>
        <v>48.271190640000007</v>
      </c>
      <c r="C48" s="13">
        <f>'Input 4 - Forecast'!D21</f>
        <v>51.337460912386192</v>
      </c>
      <c r="D48" s="13">
        <f>'Input 4 - Forecast'!E21</f>
        <v>54.35210618984911</v>
      </c>
      <c r="E48" s="13">
        <f>'Input 4 - Forecast'!F21</f>
        <v>57.337010005215234</v>
      </c>
      <c r="F48" s="13">
        <f>'Input 4 - Forecast'!G21</f>
        <v>60.473394442922938</v>
      </c>
      <c r="G48" s="191">
        <f>'Input 4 - Forecast'!H21</f>
        <v>63.71294897394791</v>
      </c>
      <c r="I48" s="188"/>
      <c r="J48" s="188"/>
      <c r="K48" s="188"/>
      <c r="L48" s="188"/>
      <c r="M48" s="188"/>
      <c r="N48" s="188"/>
      <c r="O48" s="188"/>
      <c r="P48" s="188"/>
      <c r="Q48" s="189"/>
    </row>
    <row r="49" spans="1:17" ht="15" customHeight="1">
      <c r="A49" s="5" t="s">
        <v>69</v>
      </c>
      <c r="B49" s="190">
        <f t="shared" ref="B49:G49" si="18">B29*B$35</f>
        <v>10871.772800640847</v>
      </c>
      <c r="C49" s="13">
        <f t="shared" si="18"/>
        <v>11036.244606742508</v>
      </c>
      <c r="D49" s="13">
        <f t="shared" si="18"/>
        <v>11298.043305784453</v>
      </c>
      <c r="E49" s="13">
        <f t="shared" si="18"/>
        <v>11533.21177877059</v>
      </c>
      <c r="F49" s="13">
        <f t="shared" si="18"/>
        <v>11525.346107904843</v>
      </c>
      <c r="G49" s="191">
        <f t="shared" si="18"/>
        <v>11907.987598687283</v>
      </c>
      <c r="I49" s="188"/>
      <c r="J49" s="188"/>
      <c r="K49" s="188"/>
      <c r="L49" s="188"/>
      <c r="M49" s="188"/>
      <c r="N49" s="188"/>
      <c r="O49" s="188"/>
      <c r="P49" s="188"/>
      <c r="Q49" s="189"/>
    </row>
    <row r="50" spans="1:17" ht="15" customHeight="1">
      <c r="A50" s="3" t="s">
        <v>66</v>
      </c>
      <c r="B50" s="190">
        <f>'Input 4 - Forecast'!C24</f>
        <v>174.85657659911266</v>
      </c>
      <c r="C50" s="13">
        <f>'Input 4 - Forecast'!D24</f>
        <v>162.29082986591305</v>
      </c>
      <c r="D50" s="13">
        <f>'Input 4 - Forecast'!E24</f>
        <v>139.59781983027952</v>
      </c>
      <c r="E50" s="13">
        <f>'Input 4 - Forecast'!F24</f>
        <v>135.40250794027952</v>
      </c>
      <c r="F50" s="13">
        <f>'Input 4 - Forecast'!G24</f>
        <v>103.26669278984103</v>
      </c>
      <c r="G50" s="191">
        <f>'Input 4 - Forecast'!H24</f>
        <v>95.657544050000013</v>
      </c>
      <c r="I50" s="197" t="s">
        <v>87</v>
      </c>
      <c r="J50" s="188"/>
      <c r="K50" s="188"/>
      <c r="L50" s="188"/>
      <c r="M50" s="188"/>
      <c r="N50" s="188"/>
      <c r="O50" s="188"/>
      <c r="P50" s="188"/>
      <c r="Q50" s="189"/>
    </row>
    <row r="51" spans="1:17" ht="15" customHeight="1" thickBot="1">
      <c r="A51" s="198" t="s">
        <v>65</v>
      </c>
      <c r="B51" s="192">
        <f>('Input 4 - Forecast'!C25/'Input 4 - Forecast'!C$17)*B31</f>
        <v>36.103082014354982</v>
      </c>
      <c r="C51" s="193">
        <f>('Input 4 - Forecast'!D25/'Input 4 - Forecast'!D$17)*C31</f>
        <v>36.793459074872004</v>
      </c>
      <c r="D51" s="193">
        <f>('Input 4 - Forecast'!E25/'Input 4 - Forecast'!E$17)*D31</f>
        <v>28.352366134432003</v>
      </c>
      <c r="E51" s="193">
        <f>('Input 4 - Forecast'!F25/'Input 4 - Forecast'!F$17)*E31</f>
        <v>10.689095726641995</v>
      </c>
      <c r="F51" s="193">
        <f>('Input 4 - Forecast'!G25/'Input 4 - Forecast'!G$17)*F31</f>
        <v>0.23301181859500275</v>
      </c>
      <c r="G51" s="194">
        <f>('Input 4 - Forecast'!H25/'Input 4 - Forecast'!H$17)*G31</f>
        <v>0.22278209171348351</v>
      </c>
      <c r="I51" s="197" t="s">
        <v>85</v>
      </c>
      <c r="J51" s="188"/>
      <c r="K51" s="188"/>
      <c r="L51" s="188"/>
      <c r="M51" s="188"/>
      <c r="N51" s="188"/>
      <c r="O51" s="188"/>
      <c r="P51" s="188"/>
      <c r="Q51" s="189"/>
    </row>
    <row r="52" spans="1:17" ht="6" customHeight="1" thickBot="1">
      <c r="B52" s="195"/>
      <c r="C52" s="195"/>
      <c r="D52" s="195"/>
      <c r="E52" s="195"/>
      <c r="F52" s="195"/>
      <c r="G52" s="195"/>
      <c r="I52" s="199"/>
      <c r="J52" s="199"/>
      <c r="K52" s="199"/>
      <c r="L52" s="199"/>
      <c r="M52" s="199"/>
      <c r="N52" s="199"/>
      <c r="O52" s="199"/>
      <c r="P52" s="199"/>
    </row>
    <row r="53" spans="1:17">
      <c r="A53" s="196" t="s">
        <v>67</v>
      </c>
      <c r="B53" s="185">
        <f>'Input 4 - Forecast'!C27</f>
        <v>880.82751076386637</v>
      </c>
      <c r="C53" s="186">
        <f>'Input 4 - Forecast'!D27</f>
        <v>974.88479061012663</v>
      </c>
      <c r="D53" s="186">
        <f>'Input 4 - Forecast'!E27</f>
        <v>693.56222634999995</v>
      </c>
      <c r="E53" s="186">
        <f>'Input 4 - Forecast'!F27</f>
        <v>1100.0445500352976</v>
      </c>
      <c r="F53" s="186">
        <f>'Input 4 - Forecast'!G27</f>
        <v>305.67470971030548</v>
      </c>
      <c r="G53" s="187">
        <f>'Input 4 - Forecast'!H27</f>
        <v>259.28679624</v>
      </c>
      <c r="I53" s="197" t="s">
        <v>88</v>
      </c>
      <c r="J53" s="199"/>
      <c r="K53" s="199"/>
      <c r="L53" s="199"/>
      <c r="M53" s="199"/>
      <c r="N53" s="199"/>
      <c r="O53" s="199"/>
      <c r="P53" s="199"/>
    </row>
    <row r="54" spans="1:17" ht="15.75" thickBot="1">
      <c r="A54" s="198" t="s">
        <v>68</v>
      </c>
      <c r="B54" s="192">
        <f>('Input 4 - Forecast'!C28/'Input 4 - Forecast'!C$17)*B31</f>
        <v>3.4469856692949747</v>
      </c>
      <c r="C54" s="193">
        <f>('Input 4 - Forecast'!D28/'Input 4 - Forecast'!D$17)*C31</f>
        <v>0.42613768651699502</v>
      </c>
      <c r="D54" s="193">
        <f>('Input 4 - Forecast'!E28/'Input 4 - Forecast'!E$17)*D31</f>
        <v>613.46644681095995</v>
      </c>
      <c r="E54" s="193">
        <f>('Input 4 - Forecast'!F28/'Input 4 - Forecast'!F$17)*E31</f>
        <v>352.96984703798012</v>
      </c>
      <c r="F54" s="193">
        <f>('Input 4 - Forecast'!G28/'Input 4 - Forecast'!G$17)*F31</f>
        <v>0.34099085799599038</v>
      </c>
      <c r="G54" s="194">
        <f>('Input 4 - Forecast'!H28/'Input 4 - Forecast'!H$17)*G31</f>
        <v>0</v>
      </c>
      <c r="I54" s="197" t="s">
        <v>86</v>
      </c>
      <c r="J54" s="199"/>
      <c r="K54" s="199"/>
      <c r="L54" s="199"/>
      <c r="M54" s="199"/>
      <c r="N54" s="199"/>
      <c r="O54" s="199"/>
      <c r="P54" s="199"/>
    </row>
    <row r="55" spans="1:17" ht="15.75" thickBot="1">
      <c r="B55" s="195"/>
      <c r="C55" s="195"/>
      <c r="D55" s="195"/>
      <c r="E55" s="195"/>
      <c r="F55" s="195"/>
      <c r="G55" s="195"/>
      <c r="I55" s="199"/>
      <c r="J55" s="199"/>
      <c r="K55" s="199"/>
      <c r="L55" s="199"/>
      <c r="M55" s="199"/>
      <c r="N55" s="199"/>
      <c r="O55" s="199"/>
      <c r="P55" s="199"/>
    </row>
    <row r="56" spans="1:17" ht="15.75" thickBot="1">
      <c r="A56" s="200" t="s">
        <v>5</v>
      </c>
      <c r="B56" s="201">
        <f>'Input 4 - Forecast'!C30</f>
        <v>0</v>
      </c>
      <c r="C56" s="202">
        <f>'Input 4 - Forecast'!D30</f>
        <v>0</v>
      </c>
      <c r="D56" s="202">
        <f>'Input 4 - Forecast'!E30</f>
        <v>0</v>
      </c>
      <c r="E56" s="202">
        <f>'Input 4 - Forecast'!F30</f>
        <v>0</v>
      </c>
      <c r="F56" s="202">
        <f>'Input 4 - Forecast'!G30</f>
        <v>0</v>
      </c>
      <c r="G56" s="203">
        <f>'Input 4 - Forecast'!H30</f>
        <v>0</v>
      </c>
      <c r="I56" s="199"/>
      <c r="J56" s="199"/>
      <c r="K56" s="199"/>
      <c r="L56" s="199"/>
      <c r="M56" s="199"/>
      <c r="N56" s="199"/>
      <c r="O56" s="199"/>
      <c r="P56" s="199"/>
    </row>
    <row r="57" spans="1:17" ht="15.75" thickBot="1">
      <c r="B57" s="195"/>
      <c r="C57" s="195"/>
      <c r="D57" s="195"/>
      <c r="E57" s="195"/>
      <c r="F57" s="195"/>
      <c r="G57" s="195"/>
      <c r="I57" s="199"/>
      <c r="J57" s="199"/>
      <c r="K57" s="199"/>
      <c r="L57" s="199"/>
      <c r="M57" s="199"/>
      <c r="N57" s="199"/>
      <c r="O57" s="199"/>
      <c r="P57" s="199"/>
    </row>
    <row r="58" spans="1:17">
      <c r="A58" s="196" t="s">
        <v>47</v>
      </c>
      <c r="B58" s="185">
        <f>'Input 4 - Forecast'!C32</f>
        <v>0</v>
      </c>
      <c r="C58" s="186">
        <f ca="1">SUM(W119:W124,W138:W171,W214:W219,W233:W266,W307:W312)+Baseline!W282</f>
        <v>34.440056379275418</v>
      </c>
      <c r="D58" s="186">
        <f ca="1">SUM(X119:X124,X138:X171,X214:X219,X233:X266,X307:X312)+Baseline!X282</f>
        <v>102.91401594629608</v>
      </c>
      <c r="E58" s="186">
        <f ca="1">SUM(Y119:Y124,Y138:Y171,Y214:Y219,Y233:Y266,Y307:Y312)+Baseline!Y282</f>
        <v>185.94322340087706</v>
      </c>
      <c r="F58" s="186">
        <f ca="1">SUM(Z119:Z124,Z138:Z171,Z214:Z219,Z233:Z266,Z307:Z312)+Baseline!Z282</f>
        <v>287.4274522302216</v>
      </c>
      <c r="G58" s="187">
        <f ca="1">SUM(AA119:AA124,AA138:AA171,AA214:AA219,AA233:AA266,AA307:AA312)+Baseline!AA282</f>
        <v>339.90104290852503</v>
      </c>
      <c r="I58" s="199"/>
      <c r="J58" s="199"/>
      <c r="K58" s="199"/>
      <c r="L58" s="199"/>
      <c r="M58" s="199"/>
      <c r="N58" s="199"/>
      <c r="O58" s="199"/>
      <c r="P58" s="199"/>
    </row>
    <row r="59" spans="1:17">
      <c r="A59" s="5" t="s">
        <v>48</v>
      </c>
      <c r="B59" s="190">
        <f>'Input 4 - Forecast'!C33</f>
        <v>0</v>
      </c>
      <c r="C59" s="13">
        <f ca="1">SUM(W128:W133,W175:W210,W223:W229,W270:W303,Baseline!W283)*C31</f>
        <v>0</v>
      </c>
      <c r="D59" s="13">
        <f ca="1">SUM(X128:X133,X175:X210,X223:X229,X270:X303,Baseline!X283)*D31</f>
        <v>0</v>
      </c>
      <c r="E59" s="13">
        <f ca="1">SUM(Y128:Y133,Y175:Y210,Y223:Y229,Y270:Y303,Baseline!Y283)*E31</f>
        <v>0</v>
      </c>
      <c r="F59" s="13">
        <f ca="1">SUM(Z128:Z133,Z175:Z210,Z223:Z229,Z270:Z303,Baseline!Z283)*F31</f>
        <v>0</v>
      </c>
      <c r="G59" s="191">
        <f ca="1">SUM(AA128:AA133,AA175:AA210,AA223:AA229,AA270:AA303,Baseline!AA283)*G31</f>
        <v>0</v>
      </c>
      <c r="I59" s="199"/>
      <c r="J59" s="199"/>
      <c r="K59" s="199"/>
      <c r="L59" s="199"/>
      <c r="M59" s="199"/>
      <c r="N59" s="199"/>
      <c r="O59" s="199"/>
      <c r="P59" s="199"/>
    </row>
    <row r="60" spans="1:17">
      <c r="A60" s="5" t="s">
        <v>49</v>
      </c>
      <c r="B60" s="190">
        <f>'Input 4 - Forecast'!C34</f>
        <v>0</v>
      </c>
      <c r="C60" s="13">
        <f ca="1">SUM(P119:P124,P138:P171,P214:P219,P233:P266,P307:P312)</f>
        <v>934.00594810140706</v>
      </c>
      <c r="D60" s="13">
        <f ca="1">SUM(Q119:Q124,Q138:Q171,Q214:Q219,Q233:Q266,Q307:Q312)</f>
        <v>2619.7007446248076</v>
      </c>
      <c r="E60" s="13">
        <f ca="1">SUM(R119:R124,R138:R171,R214:R219,R233:R266,R307:R312)</f>
        <v>4764.4473490259361</v>
      </c>
      <c r="F60" s="13">
        <f ca="1">SUM(S119:S124,S138:S171,S214:S219,S233:S266,S307:S312)</f>
        <v>7019.7504143922679</v>
      </c>
      <c r="G60" s="191">
        <f ca="1">SUM(T119:T124,T138:T171,T214:T219,T233:T266,T307:T312)</f>
        <v>8256.7123485145221</v>
      </c>
      <c r="I60" s="199"/>
      <c r="J60" s="199"/>
      <c r="K60" s="199"/>
      <c r="L60" s="199"/>
      <c r="M60" s="199"/>
      <c r="N60" s="199"/>
      <c r="O60" s="199"/>
      <c r="P60" s="199"/>
    </row>
    <row r="61" spans="1:17" ht="15.75" thickBot="1">
      <c r="A61" s="198" t="s">
        <v>50</v>
      </c>
      <c r="B61" s="192">
        <f>'Input 4 - Forecast'!C35</f>
        <v>0</v>
      </c>
      <c r="C61" s="193">
        <f ca="1">SUM(P128:P134,P175:P210,P223:P229,P270:P303)*C31</f>
        <v>0</v>
      </c>
      <c r="D61" s="193">
        <f ca="1">SUM(Q128:Q134,Q175:Q210,Q223:Q229,Q270:Q303)*D31</f>
        <v>0</v>
      </c>
      <c r="E61" s="193">
        <f ca="1">SUM(R128:R134,R175:R210,R223:R229,R270:R303)*E31</f>
        <v>0</v>
      </c>
      <c r="F61" s="193">
        <f ca="1">SUM(S128:S134,S175:S210,S223:S229,S270:S303)*F31</f>
        <v>0</v>
      </c>
      <c r="G61" s="194">
        <f ca="1">SUM(T128:T134,T175:T210,T223:T229,T270:T303)*G31</f>
        <v>0</v>
      </c>
      <c r="I61" s="199"/>
      <c r="J61" s="199"/>
      <c r="K61" s="199"/>
      <c r="L61" s="199"/>
      <c r="M61" s="199"/>
      <c r="N61" s="199"/>
      <c r="O61" s="199"/>
      <c r="P61" s="199"/>
    </row>
    <row r="62" spans="1:17" ht="15.75" thickBot="1">
      <c r="B62" s="195"/>
      <c r="C62" s="195"/>
      <c r="D62" s="195"/>
      <c r="E62" s="195"/>
      <c r="F62" s="195"/>
      <c r="G62" s="195"/>
      <c r="I62" s="199"/>
      <c r="J62" s="199"/>
      <c r="K62" s="199"/>
      <c r="L62" s="199"/>
      <c r="M62" s="199"/>
      <c r="N62" s="199"/>
      <c r="O62" s="199"/>
      <c r="P62" s="199"/>
    </row>
    <row r="63" spans="1:17" ht="15.75" thickBot="1">
      <c r="A63" s="200" t="s">
        <v>4</v>
      </c>
      <c r="B63" s="1386">
        <f t="shared" ref="B63:G63" si="19">SUM(B49:B51,B53:B54,B56,B58:B61)-SUM(B47:B48)</f>
        <v>1062.4001150288241</v>
      </c>
      <c r="C63" s="1386">
        <f t="shared" ca="1" si="19"/>
        <v>2795.8130421381293</v>
      </c>
      <c r="D63" s="1386">
        <f t="shared" ca="1" si="19"/>
        <v>4901.3948540384054</v>
      </c>
      <c r="E63" s="1386">
        <f t="shared" ca="1" si="19"/>
        <v>7098.2663110402527</v>
      </c>
      <c r="F63" s="1386">
        <f t="shared" ca="1" si="19"/>
        <v>8344.2106799251833</v>
      </c>
      <c r="G63" s="1387">
        <f t="shared" ca="1" si="19"/>
        <v>9355.6138787496566</v>
      </c>
      <c r="I63" s="199"/>
      <c r="J63" s="199"/>
      <c r="L63" s="199"/>
      <c r="M63" s="199"/>
      <c r="N63" s="199"/>
      <c r="O63" s="199"/>
      <c r="P63" s="199"/>
    </row>
    <row r="64" spans="1:17" ht="15.75" thickBot="1">
      <c r="B64" s="195"/>
      <c r="C64" s="195"/>
      <c r="D64" s="195"/>
      <c r="E64" s="195"/>
      <c r="F64" s="195"/>
      <c r="G64" s="195"/>
      <c r="I64" s="199"/>
      <c r="J64" s="199"/>
      <c r="K64" s="199"/>
      <c r="L64" s="199"/>
      <c r="M64" s="199"/>
      <c r="N64" s="199"/>
      <c r="O64" s="199"/>
      <c r="P64" s="199"/>
    </row>
    <row r="65" spans="1:17">
      <c r="A65" s="1816" t="s">
        <v>6</v>
      </c>
      <c r="B65" s="186">
        <f>'Input 4 - Forecast'!C39</f>
        <v>0</v>
      </c>
      <c r="C65" s="186">
        <f>'Input 4 - Forecast'!D39</f>
        <v>0</v>
      </c>
      <c r="D65" s="186">
        <f>'Input 4 - Forecast'!E39</f>
        <v>0</v>
      </c>
      <c r="E65" s="186">
        <f>'Input 4 - Forecast'!F39</f>
        <v>0</v>
      </c>
      <c r="F65" s="186">
        <f>'Input 4 - Forecast'!G39</f>
        <v>0</v>
      </c>
      <c r="G65" s="187">
        <f>'Input 4 - Forecast'!H39</f>
        <v>0</v>
      </c>
      <c r="I65" s="199"/>
      <c r="J65" s="199"/>
      <c r="K65" s="199"/>
      <c r="L65" s="199"/>
      <c r="M65" s="199"/>
      <c r="N65" s="199"/>
      <c r="O65" s="199"/>
      <c r="P65" s="199"/>
    </row>
    <row r="66" spans="1:17">
      <c r="A66" s="1817" t="s">
        <v>7</v>
      </c>
      <c r="B66" s="13">
        <f>('Input 4 - Forecast'!C40/'Input 4 - Forecast'!C$17)*'Input 5 - Scenario Design'!E$48</f>
        <v>0</v>
      </c>
      <c r="C66" s="13">
        <f>('Input 4 - Forecast'!D40/'Input 4 - Forecast'!D$17)*'Input 5 - Scenario Design'!F$48</f>
        <v>0</v>
      </c>
      <c r="D66" s="13">
        <f>('Input 4 - Forecast'!E40/'Input 4 - Forecast'!E$17)*'Input 5 - Scenario Design'!G$48</f>
        <v>0</v>
      </c>
      <c r="E66" s="13">
        <f>('Input 4 - Forecast'!F40/'Input 4 - Forecast'!F$17)*'Input 5 - Scenario Design'!H$48</f>
        <v>0</v>
      </c>
      <c r="F66" s="13">
        <f>('Input 4 - Forecast'!G40/'Input 4 - Forecast'!G$17)*'Input 5 - Scenario Design'!I$48</f>
        <v>0</v>
      </c>
      <c r="G66" s="191">
        <f>('Input 4 - Forecast'!H40/'Input 4 - Forecast'!H$17)*'Input 5 - Scenario Design'!J$48</f>
        <v>0</v>
      </c>
      <c r="I66" s="197" t="s">
        <v>90</v>
      </c>
      <c r="J66" s="199"/>
      <c r="K66" s="199"/>
      <c r="L66" s="199"/>
      <c r="M66" s="199"/>
      <c r="N66" s="199"/>
      <c r="O66" s="199"/>
      <c r="P66" s="199"/>
    </row>
    <row r="67" spans="1:17">
      <c r="A67" s="1817" t="s">
        <v>8</v>
      </c>
      <c r="B67" s="13">
        <f>('Input 4 - Forecast'!C41/'Input 4 - Forecast'!C$17)*'Input 5 - Scenario Design'!E$48</f>
        <v>0</v>
      </c>
      <c r="C67" s="13">
        <f>('Input 4 - Forecast'!D41/'Input 4 - Forecast'!D$17)*'Input 5 - Scenario Design'!F$48</f>
        <v>0</v>
      </c>
      <c r="D67" s="13">
        <f>('Input 4 - Forecast'!E41/'Input 4 - Forecast'!E$17)*'Input 5 - Scenario Design'!G$48</f>
        <v>0</v>
      </c>
      <c r="E67" s="13">
        <f>('Input 4 - Forecast'!F41/'Input 4 - Forecast'!F$17)*'Input 5 - Scenario Design'!H$48</f>
        <v>0</v>
      </c>
      <c r="F67" s="13">
        <f>('Input 4 - Forecast'!G41/'Input 4 - Forecast'!G$17)*'Input 5 - Scenario Design'!I$48</f>
        <v>0</v>
      </c>
      <c r="G67" s="191">
        <f>('Input 4 - Forecast'!H41/'Input 4 - Forecast'!H$17)*'Input 5 - Scenario Design'!J$48</f>
        <v>0</v>
      </c>
      <c r="I67" s="197" t="s">
        <v>91</v>
      </c>
      <c r="J67" s="199"/>
      <c r="K67" s="199"/>
      <c r="L67" s="199"/>
      <c r="M67" s="199"/>
      <c r="N67" s="199"/>
      <c r="O67" s="199"/>
      <c r="P67" s="199"/>
    </row>
    <row r="68" spans="1:17">
      <c r="A68" s="1817" t="str">
        <f>'Input 2 - Data'!D31</f>
        <v>Please specify (1) (e.g., privatization receipts) (+ reduces financing needs)</v>
      </c>
      <c r="B68" s="13">
        <f>'Input 4 - Forecast'!C42</f>
        <v>0</v>
      </c>
      <c r="C68" s="13">
        <f>'Input 4 - Forecast'!D42</f>
        <v>0</v>
      </c>
      <c r="D68" s="13">
        <f>'Input 4 - Forecast'!E42</f>
        <v>0</v>
      </c>
      <c r="E68" s="13">
        <f>'Input 4 - Forecast'!F42</f>
        <v>0</v>
      </c>
      <c r="F68" s="13">
        <f>'Input 4 - Forecast'!G42</f>
        <v>0</v>
      </c>
      <c r="G68" s="191">
        <f>'Input 4 - Forecast'!H42</f>
        <v>0</v>
      </c>
      <c r="I68" s="199"/>
      <c r="J68" s="199"/>
      <c r="K68" s="199"/>
      <c r="L68" s="199"/>
      <c r="M68" s="199"/>
      <c r="N68" s="199"/>
      <c r="O68" s="199"/>
      <c r="P68" s="199"/>
    </row>
    <row r="69" spans="1:17" s="281" customFormat="1" ht="15.75" thickBot="1">
      <c r="A69" s="1818" t="str">
        <f>'Input 2 - Data'!D32</f>
        <v>Please specify (2) (e.g., other debt flows) (+ increases financing needs)</v>
      </c>
      <c r="B69" s="193">
        <f>'Input 4 - Forecast'!C43</f>
        <v>0</v>
      </c>
      <c r="C69" s="193">
        <f>'Input 4 - Forecast'!D43</f>
        <v>0</v>
      </c>
      <c r="D69" s="193">
        <f>'Input 4 - Forecast'!E43</f>
        <v>0</v>
      </c>
      <c r="E69" s="193">
        <f>'Input 4 - Forecast'!F43</f>
        <v>0</v>
      </c>
      <c r="F69" s="193">
        <f>'Input 4 - Forecast'!G43</f>
        <v>0</v>
      </c>
      <c r="G69" s="194">
        <f>'Input 4 - Forecast'!H43</f>
        <v>0</v>
      </c>
      <c r="I69" s="199"/>
      <c r="J69" s="199"/>
      <c r="K69" s="199"/>
      <c r="L69" s="199"/>
      <c r="M69" s="199"/>
      <c r="N69" s="199"/>
      <c r="O69" s="199"/>
      <c r="P69" s="199"/>
    </row>
    <row r="70" spans="1:17" ht="15.75" thickBot="1">
      <c r="B70" s="195"/>
      <c r="C70" s="195"/>
      <c r="D70" s="195"/>
      <c r="E70" s="195"/>
      <c r="F70" s="195"/>
      <c r="G70" s="195"/>
      <c r="I70" s="235"/>
      <c r="J70" s="235"/>
      <c r="K70" s="199"/>
      <c r="L70" s="199"/>
      <c r="M70" s="199"/>
      <c r="N70" s="199"/>
      <c r="O70" s="199"/>
      <c r="P70" s="199"/>
    </row>
    <row r="71" spans="1:17" ht="16.5" customHeight="1" thickBot="1">
      <c r="A71" s="200" t="s">
        <v>1141</v>
      </c>
      <c r="B71" s="202">
        <f t="shared" ref="B71:G71" si="20">B63-B65-B66-B67-B68+B69</f>
        <v>1062.4001150288241</v>
      </c>
      <c r="C71" s="202">
        <f t="shared" ca="1" si="20"/>
        <v>2795.8130421381293</v>
      </c>
      <c r="D71" s="202">
        <f t="shared" ca="1" si="20"/>
        <v>4901.3948540384054</v>
      </c>
      <c r="E71" s="202">
        <f t="shared" ca="1" si="20"/>
        <v>7098.2663110402527</v>
      </c>
      <c r="F71" s="202">
        <f t="shared" ca="1" si="20"/>
        <v>8344.2106799251833</v>
      </c>
      <c r="G71" s="203">
        <f t="shared" ca="1" si="20"/>
        <v>9355.6138787496566</v>
      </c>
      <c r="I71" s="236"/>
      <c r="J71" s="236"/>
    </row>
    <row r="72" spans="1:17" ht="15.75" thickBot="1">
      <c r="A72" s="4"/>
      <c r="B72" s="13"/>
      <c r="C72" s="13"/>
      <c r="D72" s="13"/>
      <c r="E72" s="13"/>
      <c r="F72" s="13"/>
      <c r="G72" s="13"/>
      <c r="I72" s="184"/>
      <c r="J72" s="184"/>
      <c r="K72" s="184"/>
      <c r="L72" s="184"/>
      <c r="M72" s="184"/>
      <c r="N72" s="184"/>
      <c r="O72" s="184"/>
      <c r="P72" s="184"/>
    </row>
    <row r="73" spans="1:17" ht="82.5" customHeight="1" thickBot="1">
      <c r="A73" s="2" t="s">
        <v>1177</v>
      </c>
      <c r="B73" s="2041" t="s">
        <v>1181</v>
      </c>
      <c r="C73" s="2042"/>
      <c r="D73" s="2042"/>
      <c r="E73" s="2042"/>
      <c r="F73" s="2042"/>
      <c r="G73" s="2043"/>
      <c r="I73" s="204" t="s">
        <v>459</v>
      </c>
      <c r="J73" s="204" t="s">
        <v>38</v>
      </c>
      <c r="K73" s="205" t="s">
        <v>39</v>
      </c>
      <c r="L73" s="204" t="str">
        <f t="shared" ref="L73:Q73" si="21">CONCATENATE("Interest Rate on debt issued in ",B45)</f>
        <v>Interest Rate on debt issued in 2018</v>
      </c>
      <c r="M73" s="204" t="str">
        <f t="shared" si="21"/>
        <v>Interest Rate on debt issued in 2019</v>
      </c>
      <c r="N73" s="204" t="str">
        <f t="shared" si="21"/>
        <v>Interest Rate on debt issued in 2020</v>
      </c>
      <c r="O73" s="204" t="str">
        <f t="shared" si="21"/>
        <v>Interest Rate on debt issued in 2021</v>
      </c>
      <c r="P73" s="204" t="str">
        <f t="shared" si="21"/>
        <v>Interest Rate on debt issued in 2022</v>
      </c>
      <c r="Q73" s="204" t="str">
        <f t="shared" si="21"/>
        <v>Interest Rate on debt issued in 2023</v>
      </c>
    </row>
    <row r="74" spans="1:17">
      <c r="A74" s="206" t="s">
        <v>13</v>
      </c>
      <c r="B74" s="185"/>
      <c r="C74" s="186"/>
      <c r="D74" s="186"/>
      <c r="E74" s="186"/>
      <c r="F74" s="186"/>
      <c r="G74" s="187"/>
      <c r="I74" s="207"/>
      <c r="J74" s="207"/>
      <c r="K74" s="208"/>
      <c r="L74" s="208"/>
      <c r="M74" s="208"/>
      <c r="N74" s="208"/>
      <c r="O74" s="208"/>
      <c r="P74" s="208"/>
      <c r="Q74" s="209"/>
    </row>
    <row r="75" spans="1:17" ht="30">
      <c r="A75" s="210" t="s">
        <v>0</v>
      </c>
      <c r="B75" s="190">
        <f>('Input 4 - Forecast'!C56/'Input 4 - Forecast'!C$45)*MAX(B$71,0)</f>
        <v>0</v>
      </c>
      <c r="C75" s="13">
        <f ca="1">('Input 4 - Forecast'!D56/'Input 4 - Forecast'!D$45)*MAX(C$71,0)</f>
        <v>192.69320618515053</v>
      </c>
      <c r="D75" s="13">
        <f ca="1">('Input 4 - Forecast'!E56/'Input 4 - Forecast'!E$45)*MAX(D$71,0)</f>
        <v>200.45926624206217</v>
      </c>
      <c r="E75" s="13">
        <f ca="1">('Input 4 - Forecast'!F56/'Input 4 - Forecast'!F$45)*MAX(E$71,0)</f>
        <v>204.91163963938203</v>
      </c>
      <c r="F75" s="13">
        <f ca="1">('Input 4 - Forecast'!G56/'Input 4 - Forecast'!G$45)*MAX(F$71,0)</f>
        <v>219.23442735750322</v>
      </c>
      <c r="G75" s="191">
        <f ca="1">('Input 4 - Forecast'!H56/'Input 4 - Forecast'!H$45)*MAX(G$71,0)</f>
        <v>235.90715040142706</v>
      </c>
      <c r="I75" s="211" t="str">
        <f>'Input 4 - Forecast'!J56</f>
        <v>Semi-annual</v>
      </c>
      <c r="J75" s="211">
        <f>'Input 4 - Forecast'!K56</f>
        <v>0</v>
      </c>
      <c r="K75" s="19">
        <f>'Input 4 - Forecast'!L56</f>
        <v>0</v>
      </c>
      <c r="L75" s="212">
        <f>'Input 4 - Forecast'!M56+B$33/10000</f>
        <v>0</v>
      </c>
      <c r="M75" s="212">
        <f>'Input 4 - Forecast'!N56+C$33/10000</f>
        <v>2.5000000000000001E-3</v>
      </c>
      <c r="N75" s="212">
        <f>'Input 4 - Forecast'!O56+D$33/10000</f>
        <v>2.5000000000000001E-3</v>
      </c>
      <c r="O75" s="212">
        <f>'Input 4 - Forecast'!P56+E$33/10000</f>
        <v>2.5000000000000001E-3</v>
      </c>
      <c r="P75" s="212">
        <f>'Input 4 - Forecast'!Q56+F$33/10000</f>
        <v>2.5000000000000001E-3</v>
      </c>
      <c r="Q75" s="213">
        <f>'Input 4 - Forecast'!R56+G$33/10000</f>
        <v>2.5000000000000001E-3</v>
      </c>
    </row>
    <row r="76" spans="1:17" ht="30">
      <c r="A76" s="210" t="s">
        <v>1</v>
      </c>
      <c r="B76" s="190">
        <f>('Input 4 - Forecast'!C57/'Input 4 - Forecast'!C$45)*MAX(B$71,0)</f>
        <v>0</v>
      </c>
      <c r="C76" s="13">
        <f ca="1">('Input 4 - Forecast'!D57/'Input 4 - Forecast'!D$45)*MAX(C$71,0)</f>
        <v>0</v>
      </c>
      <c r="D76" s="13">
        <f ca="1">('Input 4 - Forecast'!E57/'Input 4 - Forecast'!E$45)*MAX(D$71,0)</f>
        <v>0</v>
      </c>
      <c r="E76" s="13">
        <f ca="1">('Input 4 - Forecast'!F57/'Input 4 - Forecast'!F$45)*MAX(E$71,0)</f>
        <v>0</v>
      </c>
      <c r="F76" s="13">
        <f ca="1">('Input 4 - Forecast'!G57/'Input 4 - Forecast'!G$45)*MAX(F$71,0)</f>
        <v>0</v>
      </c>
      <c r="G76" s="191">
        <f ca="1">('Input 4 - Forecast'!H57/'Input 4 - Forecast'!H$45)*MAX(G$71,0)</f>
        <v>0</v>
      </c>
      <c r="I76" s="211" t="str">
        <f>'Input 4 - Forecast'!J57</f>
        <v>Semi-annual</v>
      </c>
      <c r="J76" s="211">
        <f>'Input 4 - Forecast'!K57</f>
        <v>0</v>
      </c>
      <c r="K76" s="19">
        <f>'Input 4 - Forecast'!L57</f>
        <v>0</v>
      </c>
      <c r="L76" s="212">
        <f>'Input 4 - Forecast'!M57+B$33/10000</f>
        <v>0</v>
      </c>
      <c r="M76" s="212">
        <f>'Input 4 - Forecast'!N57+C$33/10000</f>
        <v>2.5000000000000001E-3</v>
      </c>
      <c r="N76" s="212">
        <f>'Input 4 - Forecast'!O57+D$33/10000</f>
        <v>2.5000000000000001E-3</v>
      </c>
      <c r="O76" s="212">
        <f>'Input 4 - Forecast'!P57+E$33/10000</f>
        <v>2.5000000000000001E-3</v>
      </c>
      <c r="P76" s="212">
        <f>'Input 4 - Forecast'!Q57+F$33/10000</f>
        <v>2.5000000000000001E-3</v>
      </c>
      <c r="Q76" s="213">
        <f>'Input 4 - Forecast'!R57+G$33/10000</f>
        <v>2.5000000000000001E-3</v>
      </c>
    </row>
    <row r="77" spans="1:17">
      <c r="A77" s="206" t="s">
        <v>14</v>
      </c>
      <c r="B77" s="190"/>
      <c r="C77" s="13"/>
      <c r="D77" s="13"/>
      <c r="E77" s="13"/>
      <c r="F77" s="13"/>
      <c r="G77" s="191"/>
      <c r="I77" s="211"/>
      <c r="J77" s="211"/>
      <c r="K77" s="19"/>
      <c r="L77" s="19"/>
      <c r="M77" s="19"/>
      <c r="N77" s="19"/>
      <c r="O77" s="19"/>
      <c r="P77" s="19"/>
      <c r="Q77" s="214"/>
    </row>
    <row r="78" spans="1:17">
      <c r="A78" s="210" t="s">
        <v>0</v>
      </c>
      <c r="B78" s="190"/>
      <c r="C78" s="13"/>
      <c r="D78" s="13"/>
      <c r="E78" s="13"/>
      <c r="F78" s="13"/>
      <c r="G78" s="191"/>
      <c r="I78" s="211"/>
      <c r="J78" s="211"/>
      <c r="K78" s="19"/>
      <c r="L78" s="19"/>
      <c r="M78" s="19"/>
      <c r="N78" s="19"/>
      <c r="O78" s="19"/>
      <c r="P78" s="19"/>
      <c r="Q78" s="214"/>
    </row>
    <row r="79" spans="1:17">
      <c r="A79" s="215" t="s">
        <v>18</v>
      </c>
      <c r="B79" s="190">
        <f>('Input 4 - Forecast'!C60/'Input 4 - Forecast'!C$45)*MAX(B$71,0)</f>
        <v>329.998670927072</v>
      </c>
      <c r="C79" s="13">
        <f ca="1">('Input 4 - Forecast'!D60/'Input 4 - Forecast'!D$45)*MAX(C$71,0)</f>
        <v>44.66398818861105</v>
      </c>
      <c r="D79" s="13">
        <f ca="1">('Input 4 - Forecast'!E60/'Input 4 - Forecast'!E$45)*MAX(D$71,0)</f>
        <v>53.101792382003218</v>
      </c>
      <c r="E79" s="13">
        <f ca="1">('Input 4 - Forecast'!F60/'Input 4 - Forecast'!F$45)*MAX(E$71,0)</f>
        <v>47.496075413101799</v>
      </c>
      <c r="F79" s="13">
        <f ca="1">('Input 4 - Forecast'!G60/'Input 4 - Forecast'!G$45)*MAX(F$71,0)</f>
        <v>58.075344995365093</v>
      </c>
      <c r="G79" s="191">
        <f ca="1">('Input 4 - Forecast'!H60/'Input 4 - Forecast'!H$45)*MAX(G$71,0)</f>
        <v>47.650119783069698</v>
      </c>
      <c r="I79" s="211" t="str">
        <f>'Input 4 - Forecast'!J60</f>
        <v>Annual</v>
      </c>
      <c r="J79" s="211">
        <f>'Input 4 - Forecast'!K60</f>
        <v>5</v>
      </c>
      <c r="K79" s="19">
        <f>'Input 4 - Forecast'!L60</f>
        <v>5</v>
      </c>
      <c r="L79" s="212">
        <f>'Input 4 - Forecast'!M60+B$33/10000</f>
        <v>5.0000000000000001E-3</v>
      </c>
      <c r="M79" s="212">
        <f>'Input 4 - Forecast'!N60+C$33/10000</f>
        <v>7.4999999999999997E-3</v>
      </c>
      <c r="N79" s="212">
        <f>'Input 4 - Forecast'!O60+D$33/10000</f>
        <v>1.2500000000000001E-2</v>
      </c>
      <c r="O79" s="212">
        <f>'Input 4 - Forecast'!P60+E$33/10000</f>
        <v>1.2500000000000001E-2</v>
      </c>
      <c r="P79" s="212">
        <f>'Input 4 - Forecast'!Q60+F$33/10000</f>
        <v>1.2500000000000001E-2</v>
      </c>
      <c r="Q79" s="213">
        <f>'Input 4 - Forecast'!R60+G$33/10000</f>
        <v>1.2500000000000001E-2</v>
      </c>
    </row>
    <row r="80" spans="1:17">
      <c r="A80" s="215" t="s">
        <v>19</v>
      </c>
      <c r="B80" s="190">
        <f>('Input 4 - Forecast'!C61/'Input 4 - Forecast'!C$45)*MAX(B$71,0)</f>
        <v>0</v>
      </c>
      <c r="C80" s="13">
        <f ca="1">('Input 4 - Forecast'!D61/'Input 4 - Forecast'!D$45)*MAX(C$71,0)</f>
        <v>57.425127671071351</v>
      </c>
      <c r="D80" s="13">
        <f ca="1">('Input 4 - Forecast'!E61/'Input 4 - Forecast'!E$45)*MAX(D$71,0)</f>
        <v>63.722150858403865</v>
      </c>
      <c r="E80" s="13">
        <f ca="1">('Input 4 - Forecast'!F61/'Input 4 - Forecast'!F$45)*MAX(E$71,0)</f>
        <v>54.281229043544904</v>
      </c>
      <c r="F80" s="13">
        <f ca="1">('Input 4 - Forecast'!G61/'Input 4 - Forecast'!G$45)*MAX(F$71,0)</f>
        <v>65.33476311978572</v>
      </c>
      <c r="G80" s="191">
        <f ca="1">('Input 4 - Forecast'!H61/'Input 4 - Forecast'!H$45)*MAX(G$71,0)</f>
        <v>59.866029358486173</v>
      </c>
      <c r="I80" s="211" t="str">
        <f>'Input 4 - Forecast'!J61</f>
        <v>Annual</v>
      </c>
      <c r="J80" s="211">
        <f>'Input 4 - Forecast'!K61</f>
        <v>0</v>
      </c>
      <c r="K80" s="19">
        <f>'Input 4 - Forecast'!L61</f>
        <v>0</v>
      </c>
      <c r="L80" s="212">
        <f>'Input 4 - Forecast'!M61+B$33/10000</f>
        <v>0</v>
      </c>
      <c r="M80" s="212">
        <f>'Input 4 - Forecast'!N61+C$33/10000</f>
        <v>2.5000000000000001E-3</v>
      </c>
      <c r="N80" s="212">
        <f>'Input 4 - Forecast'!O61+D$33/10000</f>
        <v>2.5000000000000001E-3</v>
      </c>
      <c r="O80" s="212">
        <f>'Input 4 - Forecast'!P61+E$33/10000</f>
        <v>2.5000000000000001E-3</v>
      </c>
      <c r="P80" s="212">
        <f>'Input 4 - Forecast'!Q61+F$33/10000</f>
        <v>2.5000000000000001E-3</v>
      </c>
      <c r="Q80" s="213">
        <f>'Input 4 - Forecast'!R61+G$33/10000</f>
        <v>2.5000000000000001E-3</v>
      </c>
    </row>
    <row r="81" spans="1:17">
      <c r="A81" s="215" t="s">
        <v>20</v>
      </c>
      <c r="B81" s="190">
        <f>('Input 4 - Forecast'!C62/'Input 4 - Forecast'!C$45)*MAX(B$71,0)</f>
        <v>0</v>
      </c>
      <c r="C81" s="13">
        <f ca="1">('Input 4 - Forecast'!D62/'Input 4 - Forecast'!D$45)*MAX(C$71,0)</f>
        <v>73.376552024146733</v>
      </c>
      <c r="D81" s="13">
        <f ca="1">('Input 4 - Forecast'!E62/'Input 4 - Forecast'!E$45)*MAX(D$71,0)</f>
        <v>79.121670649184793</v>
      </c>
      <c r="E81" s="13">
        <f ca="1">('Input 4 - Forecast'!F62/'Input 4 - Forecast'!F$45)*MAX(E$71,0)</f>
        <v>65.137474852253888</v>
      </c>
      <c r="F81" s="13">
        <f ca="1">('Input 4 - Forecast'!G62/'Input 4 - Forecast'!G$45)*MAX(F$71,0)</f>
        <v>77.67577393130081</v>
      </c>
      <c r="G81" s="191">
        <f ca="1">('Input 4 - Forecast'!H62/'Input 4 - Forecast'!H$45)*MAX(G$71,0)</f>
        <v>86.551365114165947</v>
      </c>
      <c r="I81" s="211" t="str">
        <f>'Input 4 - Forecast'!J62</f>
        <v>Annual</v>
      </c>
      <c r="J81" s="211">
        <f>'Input 4 - Forecast'!K62</f>
        <v>0</v>
      </c>
      <c r="K81" s="19">
        <f>'Input 4 - Forecast'!L62</f>
        <v>0</v>
      </c>
      <c r="L81" s="212">
        <f>'Input 4 - Forecast'!M62+B$33/10000</f>
        <v>0</v>
      </c>
      <c r="M81" s="212">
        <f>'Input 4 - Forecast'!N62+C$33/10000</f>
        <v>2.5000000000000001E-3</v>
      </c>
      <c r="N81" s="212">
        <f>'Input 4 - Forecast'!O62+D$33/10000</f>
        <v>2.5000000000000001E-3</v>
      </c>
      <c r="O81" s="212">
        <f>'Input 4 - Forecast'!P62+E$33/10000</f>
        <v>2.5000000000000001E-3</v>
      </c>
      <c r="P81" s="212">
        <f>'Input 4 - Forecast'!Q62+F$33/10000</f>
        <v>2.5000000000000001E-3</v>
      </c>
      <c r="Q81" s="213">
        <f>'Input 4 - Forecast'!R62+G$33/10000</f>
        <v>2.5000000000000001E-3</v>
      </c>
    </row>
    <row r="82" spans="1:17">
      <c r="A82" s="215" t="s">
        <v>21</v>
      </c>
      <c r="B82" s="190">
        <f>('Input 4 - Forecast'!C63/'Input 4 - Forecast'!C$45)*MAX(B$71,0)</f>
        <v>0</v>
      </c>
      <c r="C82" s="13">
        <f ca="1">('Input 4 - Forecast'!D63/'Input 4 - Forecast'!D$45)*MAX(C$71,0)</f>
        <v>119.95471113512681</v>
      </c>
      <c r="D82" s="13">
        <f ca="1">('Input 4 - Forecast'!E63/'Input 4 - Forecast'!E$45)*MAX(D$71,0)</f>
        <v>120.80657766905732</v>
      </c>
      <c r="E82" s="13">
        <f ca="1">('Input 4 - Forecast'!F63/'Input 4 - Forecast'!F$45)*MAX(E$71,0)</f>
        <v>122.13276534797605</v>
      </c>
      <c r="F82" s="13">
        <f ca="1">('Input 4 - Forecast'!G63/'Input 4 - Forecast'!G$45)*MAX(F$71,0)</f>
        <v>130.66952623957144</v>
      </c>
      <c r="G82" s="191">
        <f ca="1">('Input 4 - Forecast'!H63/'Input 4 - Forecast'!H$45)*MAX(G$71,0)</f>
        <v>140.60691083528764</v>
      </c>
      <c r="I82" s="211" t="str">
        <f>'Input 4 - Forecast'!J63</f>
        <v>Annual</v>
      </c>
      <c r="J82" s="211">
        <f>'Input 4 - Forecast'!K63</f>
        <v>0</v>
      </c>
      <c r="K82" s="19">
        <f>'Input 4 - Forecast'!L63</f>
        <v>0</v>
      </c>
      <c r="L82" s="212">
        <f>'Input 4 - Forecast'!M63+B$33/10000</f>
        <v>0</v>
      </c>
      <c r="M82" s="212">
        <f>'Input 4 - Forecast'!N63+C$33/10000</f>
        <v>2.5000000000000001E-3</v>
      </c>
      <c r="N82" s="212">
        <f>'Input 4 - Forecast'!O63+D$33/10000</f>
        <v>2.5000000000000001E-3</v>
      </c>
      <c r="O82" s="212">
        <f>'Input 4 - Forecast'!P63+E$33/10000</f>
        <v>2.5000000000000001E-3</v>
      </c>
      <c r="P82" s="212">
        <f>'Input 4 - Forecast'!Q63+F$33/10000</f>
        <v>2.5000000000000001E-3</v>
      </c>
      <c r="Q82" s="213">
        <f>'Input 4 - Forecast'!R63+G$33/10000</f>
        <v>2.5000000000000001E-3</v>
      </c>
    </row>
    <row r="83" spans="1:17">
      <c r="A83" s="215" t="s">
        <v>22</v>
      </c>
      <c r="B83" s="190">
        <f>('Input 4 - Forecast'!C64/'Input 4 - Forecast'!C$45)*MAX(B$71,0)</f>
        <v>0</v>
      </c>
      <c r="C83" s="13">
        <f ca="1">('Input 4 - Forecast'!D64/'Input 4 - Forecast'!D$45)*MAX(C$71,0)</f>
        <v>0</v>
      </c>
      <c r="D83" s="13">
        <f ca="1">('Input 4 - Forecast'!E64/'Input 4 - Forecast'!E$45)*MAX(D$71,0)</f>
        <v>0</v>
      </c>
      <c r="E83" s="13">
        <f ca="1">('Input 4 - Forecast'!F64/'Input 4 - Forecast'!F$45)*MAX(E$71,0)</f>
        <v>0</v>
      </c>
      <c r="F83" s="13">
        <f ca="1">('Input 4 - Forecast'!G64/'Input 4 - Forecast'!G$45)*MAX(F$71,0)</f>
        <v>0</v>
      </c>
      <c r="G83" s="191">
        <f ca="1">('Input 4 - Forecast'!H64/'Input 4 - Forecast'!H$45)*MAX(G$71,0)</f>
        <v>0</v>
      </c>
      <c r="I83" s="211"/>
      <c r="J83" s="211">
        <f>'Input 4 - Forecast'!K64</f>
        <v>0</v>
      </c>
      <c r="K83" s="19">
        <f>'Input 4 - Forecast'!L64</f>
        <v>0</v>
      </c>
      <c r="L83" s="212">
        <f>'Input 4 - Forecast'!M64+B$33/10000</f>
        <v>0</v>
      </c>
      <c r="M83" s="212">
        <f>'Input 4 - Forecast'!N64+C$33/10000</f>
        <v>2.5000000000000001E-3</v>
      </c>
      <c r="N83" s="212">
        <f>'Input 4 - Forecast'!O64+D$33/10000</f>
        <v>2.5000000000000001E-3</v>
      </c>
      <c r="O83" s="212">
        <f>'Input 4 - Forecast'!P64+E$33/10000</f>
        <v>2.5000000000000001E-3</v>
      </c>
      <c r="P83" s="212">
        <f>'Input 4 - Forecast'!Q64+F$33/10000</f>
        <v>2.5000000000000001E-3</v>
      </c>
      <c r="Q83" s="213">
        <f>'Input 4 - Forecast'!R64+G$33/10000</f>
        <v>2.5000000000000001E-3</v>
      </c>
    </row>
    <row r="84" spans="1:17">
      <c r="A84" s="210" t="s">
        <v>1</v>
      </c>
      <c r="B84" s="190"/>
      <c r="C84" s="13"/>
      <c r="D84" s="13"/>
      <c r="E84" s="13"/>
      <c r="F84" s="13"/>
      <c r="G84" s="191"/>
      <c r="I84" s="211"/>
      <c r="J84" s="211"/>
      <c r="K84" s="19"/>
      <c r="L84" s="19"/>
      <c r="M84" s="19"/>
      <c r="N84" s="19"/>
      <c r="O84" s="19"/>
      <c r="P84" s="19"/>
      <c r="Q84" s="214"/>
    </row>
    <row r="85" spans="1:17">
      <c r="A85" s="215" t="s">
        <v>23</v>
      </c>
      <c r="B85" s="190">
        <f>('Input 4 - Forecast'!C66/'Input 4 - Forecast'!C$45)*MAX(B$71,0)</f>
        <v>0</v>
      </c>
      <c r="C85" s="13">
        <f ca="1">('Input 4 - Forecast'!D66/'Input 4 - Forecast'!D$45)*MAX(C$71,0)</f>
        <v>0</v>
      </c>
      <c r="D85" s="13">
        <f ca="1">('Input 4 - Forecast'!E66/'Input 4 - Forecast'!E$45)*MAX(D$71,0)</f>
        <v>0</v>
      </c>
      <c r="E85" s="13">
        <f ca="1">('Input 4 - Forecast'!F66/'Input 4 - Forecast'!F$45)*MAX(E$71,0)</f>
        <v>0</v>
      </c>
      <c r="F85" s="13">
        <f ca="1">('Input 4 - Forecast'!G66/'Input 4 - Forecast'!G$45)*MAX(F$71,0)</f>
        <v>0</v>
      </c>
      <c r="G85" s="191">
        <f ca="1">('Input 4 - Forecast'!H66/'Input 4 - Forecast'!H$45)*MAX(G$71,0)</f>
        <v>0</v>
      </c>
      <c r="I85" s="211" t="str">
        <f>'Input 4 - Forecast'!J66</f>
        <v>Annual</v>
      </c>
      <c r="J85" s="211">
        <f>'Input 4 - Forecast'!K66</f>
        <v>0</v>
      </c>
      <c r="K85" s="19">
        <f>'Input 4 - Forecast'!L66</f>
        <v>0</v>
      </c>
      <c r="L85" s="212">
        <f>'Input 4 - Forecast'!M66+B$33/10000</f>
        <v>0</v>
      </c>
      <c r="M85" s="212">
        <f>'Input 4 - Forecast'!N66+C$33/10000</f>
        <v>2.5000000000000001E-3</v>
      </c>
      <c r="N85" s="212">
        <f>'Input 4 - Forecast'!O66+D$33/10000</f>
        <v>2.5000000000000001E-3</v>
      </c>
      <c r="O85" s="212">
        <f>'Input 4 - Forecast'!P66+E$33/10000</f>
        <v>2.5000000000000001E-3</v>
      </c>
      <c r="P85" s="212">
        <f>'Input 4 - Forecast'!Q66+F$33/10000</f>
        <v>2.5000000000000001E-3</v>
      </c>
      <c r="Q85" s="213">
        <f>'Input 4 - Forecast'!R66+G$33/10000</f>
        <v>2.5000000000000001E-3</v>
      </c>
    </row>
    <row r="86" spans="1:17">
      <c r="A86" s="215" t="s">
        <v>24</v>
      </c>
      <c r="B86" s="190">
        <f>('Input 4 - Forecast'!C67/'Input 4 - Forecast'!C$45)*MAX(B$71,0)</f>
        <v>0</v>
      </c>
      <c r="C86" s="13">
        <f ca="1">('Input 4 - Forecast'!D67/'Input 4 - Forecast'!D$45)*MAX(C$71,0)</f>
        <v>0</v>
      </c>
      <c r="D86" s="13">
        <f ca="1">('Input 4 - Forecast'!E67/'Input 4 - Forecast'!E$45)*MAX(D$71,0)</f>
        <v>0</v>
      </c>
      <c r="E86" s="13">
        <f ca="1">('Input 4 - Forecast'!F67/'Input 4 - Forecast'!F$45)*MAX(E$71,0)</f>
        <v>0</v>
      </c>
      <c r="F86" s="13">
        <f ca="1">('Input 4 - Forecast'!G67/'Input 4 - Forecast'!G$45)*MAX(F$71,0)</f>
        <v>0</v>
      </c>
      <c r="G86" s="191">
        <f ca="1">('Input 4 - Forecast'!H67/'Input 4 - Forecast'!H$45)*MAX(G$71,0)</f>
        <v>0</v>
      </c>
      <c r="I86" s="211" t="str">
        <f>'Input 4 - Forecast'!J67</f>
        <v>Annual</v>
      </c>
      <c r="J86" s="211">
        <f>'Input 4 - Forecast'!K67</f>
        <v>0</v>
      </c>
      <c r="K86" s="19">
        <f>'Input 4 - Forecast'!L67</f>
        <v>0</v>
      </c>
      <c r="L86" s="212">
        <f>'Input 4 - Forecast'!M67+B$33/10000</f>
        <v>0</v>
      </c>
      <c r="M86" s="212">
        <f>'Input 4 - Forecast'!N67+C$33/10000</f>
        <v>2.5000000000000001E-3</v>
      </c>
      <c r="N86" s="212">
        <f>'Input 4 - Forecast'!O67+D$33/10000</f>
        <v>2.5000000000000001E-3</v>
      </c>
      <c r="O86" s="212">
        <f>'Input 4 - Forecast'!P67+E$33/10000</f>
        <v>2.5000000000000001E-3</v>
      </c>
      <c r="P86" s="212">
        <f>'Input 4 - Forecast'!Q67+F$33/10000</f>
        <v>2.5000000000000001E-3</v>
      </c>
      <c r="Q86" s="213">
        <f>'Input 4 - Forecast'!R67+G$33/10000</f>
        <v>2.5000000000000001E-3</v>
      </c>
    </row>
    <row r="87" spans="1:17">
      <c r="A87" s="215" t="s">
        <v>25</v>
      </c>
      <c r="B87" s="190">
        <f>('Input 4 - Forecast'!C68/'Input 4 - Forecast'!C$45)*MAX(B$71,0)</f>
        <v>0</v>
      </c>
      <c r="C87" s="13">
        <f ca="1">('Input 4 - Forecast'!D68/'Input 4 - Forecast'!D$45)*MAX(C$71,0)</f>
        <v>0</v>
      </c>
      <c r="D87" s="13">
        <f ca="1">('Input 4 - Forecast'!E68/'Input 4 - Forecast'!E$45)*MAX(D$71,0)</f>
        <v>0</v>
      </c>
      <c r="E87" s="13">
        <f ca="1">('Input 4 - Forecast'!F68/'Input 4 - Forecast'!F$45)*MAX(E$71,0)</f>
        <v>0</v>
      </c>
      <c r="F87" s="13">
        <f ca="1">('Input 4 - Forecast'!G68/'Input 4 - Forecast'!G$45)*MAX(F$71,0)</f>
        <v>0</v>
      </c>
      <c r="G87" s="191">
        <f ca="1">('Input 4 - Forecast'!H68/'Input 4 - Forecast'!H$45)*MAX(G$71,0)</f>
        <v>0</v>
      </c>
      <c r="I87" s="211" t="str">
        <f>'Input 4 - Forecast'!J68</f>
        <v>Annual</v>
      </c>
      <c r="J87" s="211">
        <f>'Input 4 - Forecast'!K68</f>
        <v>0</v>
      </c>
      <c r="K87" s="19">
        <f>'Input 4 - Forecast'!L68</f>
        <v>0</v>
      </c>
      <c r="L87" s="212">
        <f>'Input 4 - Forecast'!M68+B$33/10000</f>
        <v>0</v>
      </c>
      <c r="M87" s="212">
        <f>'Input 4 - Forecast'!N68+C$33/10000</f>
        <v>2.5000000000000001E-3</v>
      </c>
      <c r="N87" s="212">
        <f>'Input 4 - Forecast'!O68+D$33/10000</f>
        <v>2.5000000000000001E-3</v>
      </c>
      <c r="O87" s="212">
        <f>'Input 4 - Forecast'!P68+E$33/10000</f>
        <v>2.5000000000000001E-3</v>
      </c>
      <c r="P87" s="212">
        <f>'Input 4 - Forecast'!Q68+F$33/10000</f>
        <v>2.5000000000000001E-3</v>
      </c>
      <c r="Q87" s="213">
        <f>'Input 4 - Forecast'!R68+G$33/10000</f>
        <v>2.5000000000000001E-3</v>
      </c>
    </row>
    <row r="88" spans="1:17">
      <c r="A88" s="215" t="s">
        <v>26</v>
      </c>
      <c r="B88" s="190">
        <f>('Input 4 - Forecast'!C69/'Input 4 - Forecast'!C$45)*MAX(B$71,0)</f>
        <v>0</v>
      </c>
      <c r="C88" s="13">
        <f ca="1">('Input 4 - Forecast'!D69/'Input 4 - Forecast'!D$45)*MAX(C$71,0)</f>
        <v>0</v>
      </c>
      <c r="D88" s="13">
        <f ca="1">('Input 4 - Forecast'!E69/'Input 4 - Forecast'!E$45)*MAX(D$71,0)</f>
        <v>0</v>
      </c>
      <c r="E88" s="13">
        <f ca="1">('Input 4 - Forecast'!F69/'Input 4 - Forecast'!F$45)*MAX(E$71,0)</f>
        <v>0</v>
      </c>
      <c r="F88" s="13">
        <f ca="1">('Input 4 - Forecast'!G69/'Input 4 - Forecast'!G$45)*MAX(F$71,0)</f>
        <v>0</v>
      </c>
      <c r="G88" s="191">
        <f ca="1">('Input 4 - Forecast'!H69/'Input 4 - Forecast'!H$45)*MAX(G$71,0)</f>
        <v>0</v>
      </c>
      <c r="I88" s="211" t="str">
        <f>'Input 4 - Forecast'!J69</f>
        <v>Annual</v>
      </c>
      <c r="J88" s="211">
        <f>'Input 4 - Forecast'!K69</f>
        <v>0</v>
      </c>
      <c r="K88" s="19">
        <f>'Input 4 - Forecast'!L69</f>
        <v>0</v>
      </c>
      <c r="L88" s="212">
        <f>'Input 4 - Forecast'!M69+B$33/10000</f>
        <v>0</v>
      </c>
      <c r="M88" s="212">
        <f>'Input 4 - Forecast'!N69+C$33/10000</f>
        <v>2.5000000000000001E-3</v>
      </c>
      <c r="N88" s="212">
        <f>'Input 4 - Forecast'!O69+D$33/10000</f>
        <v>2.5000000000000001E-3</v>
      </c>
      <c r="O88" s="212">
        <f>'Input 4 - Forecast'!P69+E$33/10000</f>
        <v>2.5000000000000001E-3</v>
      </c>
      <c r="P88" s="212">
        <f>'Input 4 - Forecast'!Q69+F$33/10000</f>
        <v>2.5000000000000001E-3</v>
      </c>
      <c r="Q88" s="213">
        <f>'Input 4 - Forecast'!R69+G$33/10000</f>
        <v>2.5000000000000001E-3</v>
      </c>
    </row>
    <row r="89" spans="1:17">
      <c r="A89" s="215" t="s">
        <v>27</v>
      </c>
      <c r="B89" s="190">
        <f>('Input 4 - Forecast'!C70/'Input 4 - Forecast'!C$45)*MAX(B$71,0)</f>
        <v>0</v>
      </c>
      <c r="C89" s="13">
        <f ca="1">('Input 4 - Forecast'!D70/'Input 4 - Forecast'!D$45)*MAX(C$71,0)</f>
        <v>0</v>
      </c>
      <c r="D89" s="13">
        <f ca="1">('Input 4 - Forecast'!E70/'Input 4 - Forecast'!E$45)*MAX(D$71,0)</f>
        <v>0</v>
      </c>
      <c r="E89" s="13">
        <f ca="1">('Input 4 - Forecast'!F70/'Input 4 - Forecast'!F$45)*MAX(E$71,0)</f>
        <v>0</v>
      </c>
      <c r="F89" s="13">
        <f ca="1">('Input 4 - Forecast'!G70/'Input 4 - Forecast'!G$45)*MAX(F$71,0)</f>
        <v>0</v>
      </c>
      <c r="G89" s="191">
        <f ca="1">('Input 4 - Forecast'!H70/'Input 4 - Forecast'!H$45)*MAX(G$71,0)</f>
        <v>0</v>
      </c>
      <c r="I89" s="211"/>
      <c r="J89" s="211">
        <f>'Input 4 - Forecast'!K70</f>
        <v>0</v>
      </c>
      <c r="K89" s="19">
        <f>'Input 4 - Forecast'!L70</f>
        <v>0</v>
      </c>
      <c r="L89" s="212">
        <f>'Input 4 - Forecast'!M70+B$33/10000</f>
        <v>0</v>
      </c>
      <c r="M89" s="212">
        <f>'Input 4 - Forecast'!N70+C$33/10000</f>
        <v>2.5000000000000001E-3</v>
      </c>
      <c r="N89" s="212">
        <f>'Input 4 - Forecast'!O70+D$33/10000</f>
        <v>2.5000000000000001E-3</v>
      </c>
      <c r="O89" s="212">
        <f>'Input 4 - Forecast'!P70+E$33/10000</f>
        <v>2.5000000000000001E-3</v>
      </c>
      <c r="P89" s="212">
        <f>'Input 4 - Forecast'!Q70+F$33/10000</f>
        <v>2.5000000000000001E-3</v>
      </c>
      <c r="Q89" s="213">
        <f>'Input 4 - Forecast'!R70+G$33/10000</f>
        <v>2.5000000000000001E-3</v>
      </c>
    </row>
    <row r="90" spans="1:17">
      <c r="A90" s="3" t="s">
        <v>1178</v>
      </c>
      <c r="B90" s="190"/>
      <c r="C90" s="13"/>
      <c r="D90" s="13"/>
      <c r="E90" s="13"/>
      <c r="F90" s="13"/>
      <c r="G90" s="191"/>
      <c r="I90" s="211"/>
      <c r="J90" s="211"/>
      <c r="K90" s="19"/>
      <c r="L90" s="19"/>
      <c r="M90" s="19"/>
      <c r="N90" s="19"/>
      <c r="O90" s="19"/>
      <c r="P90" s="19"/>
      <c r="Q90" s="214"/>
    </row>
    <row r="91" spans="1:17">
      <c r="A91" s="206" t="s">
        <v>13</v>
      </c>
      <c r="B91" s="190"/>
      <c r="C91" s="13"/>
      <c r="D91" s="13"/>
      <c r="E91" s="13"/>
      <c r="F91" s="13"/>
      <c r="G91" s="191"/>
      <c r="I91" s="211"/>
      <c r="J91" s="211"/>
      <c r="K91" s="19"/>
      <c r="L91" s="19"/>
      <c r="M91" s="19"/>
      <c r="N91" s="19"/>
      <c r="O91" s="19"/>
      <c r="P91" s="19"/>
      <c r="Q91" s="214"/>
    </row>
    <row r="92" spans="1:17" ht="30">
      <c r="A92" s="210" t="s">
        <v>0</v>
      </c>
      <c r="B92" s="190">
        <f>('Input 4 - Forecast'!C73/'Input 4 - Forecast'!C$45)*MAX(B$71,0)</f>
        <v>0</v>
      </c>
      <c r="C92" s="13">
        <f ca="1">('Input 4 - Forecast'!D73/'Input 4 - Forecast'!D$45)*MAX(C$71,0)</f>
        <v>0</v>
      </c>
      <c r="D92" s="13">
        <f ca="1">('Input 4 - Forecast'!E73/'Input 4 - Forecast'!E$45)*MAX(D$71,0)</f>
        <v>0</v>
      </c>
      <c r="E92" s="13">
        <f ca="1">('Input 4 - Forecast'!F73/'Input 4 - Forecast'!F$45)*MAX(E$71,0)</f>
        <v>0</v>
      </c>
      <c r="F92" s="13">
        <f ca="1">('Input 4 - Forecast'!G73/'Input 4 - Forecast'!G$45)*MAX(F$71,0)</f>
        <v>0</v>
      </c>
      <c r="G92" s="191">
        <f ca="1">('Input 4 - Forecast'!H73/'Input 4 - Forecast'!H$45)*MAX(G$71,0)</f>
        <v>0</v>
      </c>
      <c r="I92" s="211" t="str">
        <f>'Input 4 - Forecast'!J73</f>
        <v>Semi-annual</v>
      </c>
      <c r="J92" s="211">
        <f>'Input 4 - Forecast'!K73</f>
        <v>0</v>
      </c>
      <c r="K92" s="19">
        <f>'Input 4 - Forecast'!L73</f>
        <v>0</v>
      </c>
      <c r="L92" s="212">
        <f>'Input 4 - Forecast'!M73+B$33/10000</f>
        <v>0</v>
      </c>
      <c r="M92" s="212">
        <f>'Input 4 - Forecast'!N73+C$33/10000</f>
        <v>2.5000000000000001E-3</v>
      </c>
      <c r="N92" s="212">
        <f>'Input 4 - Forecast'!O73+D$33/10000</f>
        <v>2.5000000000000001E-3</v>
      </c>
      <c r="O92" s="212">
        <f>'Input 4 - Forecast'!P73+E$33/10000</f>
        <v>2.5000000000000001E-3</v>
      </c>
      <c r="P92" s="212">
        <f>'Input 4 - Forecast'!Q73+F$33/10000</f>
        <v>2.5000000000000001E-3</v>
      </c>
      <c r="Q92" s="213">
        <f>'Input 4 - Forecast'!R73+G$33/10000</f>
        <v>2.5000000000000001E-3</v>
      </c>
    </row>
    <row r="93" spans="1:17" ht="30">
      <c r="A93" s="210" t="s">
        <v>1</v>
      </c>
      <c r="B93" s="190">
        <f>('Input 4 - Forecast'!C74/'Input 4 - Forecast'!C$45)*MAX(B$71,0)</f>
        <v>0</v>
      </c>
      <c r="C93" s="13">
        <f ca="1">('Input 4 - Forecast'!D74/'Input 4 - Forecast'!D$45)*MAX(C$71,0)</f>
        <v>0</v>
      </c>
      <c r="D93" s="13">
        <f ca="1">('Input 4 - Forecast'!E74/'Input 4 - Forecast'!E$45)*MAX(D$71,0)</f>
        <v>0</v>
      </c>
      <c r="E93" s="13">
        <f ca="1">('Input 4 - Forecast'!F74/'Input 4 - Forecast'!F$45)*MAX(E$71,0)</f>
        <v>0</v>
      </c>
      <c r="F93" s="13">
        <f ca="1">('Input 4 - Forecast'!G74/'Input 4 - Forecast'!G$45)*MAX(F$71,0)</f>
        <v>0</v>
      </c>
      <c r="G93" s="191">
        <f ca="1">('Input 4 - Forecast'!H74/'Input 4 - Forecast'!H$45)*MAX(G$71,0)</f>
        <v>0</v>
      </c>
      <c r="I93" s="211" t="str">
        <f>'Input 4 - Forecast'!J74</f>
        <v>Semi-annual</v>
      </c>
      <c r="J93" s="211">
        <f>'Input 4 - Forecast'!K74</f>
        <v>0</v>
      </c>
      <c r="K93" s="19">
        <f>'Input 4 - Forecast'!L74</f>
        <v>0</v>
      </c>
      <c r="L93" s="212">
        <f>'Input 4 - Forecast'!M74+B$33/10000</f>
        <v>0</v>
      </c>
      <c r="M93" s="212">
        <f>'Input 4 - Forecast'!N74+C$33/10000</f>
        <v>2.5000000000000001E-3</v>
      </c>
      <c r="N93" s="212">
        <f>'Input 4 - Forecast'!O74+D$33/10000</f>
        <v>2.5000000000000001E-3</v>
      </c>
      <c r="O93" s="212">
        <f>'Input 4 - Forecast'!P74+E$33/10000</f>
        <v>2.5000000000000001E-3</v>
      </c>
      <c r="P93" s="212">
        <f>'Input 4 - Forecast'!Q74+F$33/10000</f>
        <v>2.5000000000000001E-3</v>
      </c>
      <c r="Q93" s="213">
        <f>'Input 4 - Forecast'!R74+G$33/10000</f>
        <v>2.5000000000000001E-3</v>
      </c>
    </row>
    <row r="94" spans="1:17">
      <c r="A94" s="206" t="s">
        <v>14</v>
      </c>
      <c r="B94" s="190"/>
      <c r="C94" s="13"/>
      <c r="D94" s="13"/>
      <c r="E94" s="13"/>
      <c r="F94" s="13"/>
      <c r="G94" s="191"/>
      <c r="I94" s="211"/>
      <c r="J94" s="211"/>
      <c r="K94" s="19"/>
      <c r="L94" s="19"/>
      <c r="M94" s="19"/>
      <c r="N94" s="19"/>
      <c r="O94" s="19"/>
      <c r="P94" s="19"/>
      <c r="Q94" s="214"/>
    </row>
    <row r="95" spans="1:17">
      <c r="A95" s="210" t="s">
        <v>0</v>
      </c>
      <c r="B95" s="190"/>
      <c r="C95" s="13"/>
      <c r="D95" s="13"/>
      <c r="E95" s="13"/>
      <c r="F95" s="13"/>
      <c r="G95" s="191"/>
      <c r="I95" s="211"/>
      <c r="J95" s="211"/>
      <c r="K95" s="19"/>
      <c r="L95" s="19"/>
      <c r="M95" s="19"/>
      <c r="N95" s="19"/>
      <c r="O95" s="19"/>
      <c r="P95" s="19"/>
      <c r="Q95" s="214"/>
    </row>
    <row r="96" spans="1:17">
      <c r="A96" s="215" t="s">
        <v>28</v>
      </c>
      <c r="B96" s="190">
        <f>('Input 4 - Forecast'!C77/'Input 4 - Forecast'!C$45)*MAX(B$71,0)</f>
        <v>499.99798625313935</v>
      </c>
      <c r="C96" s="13">
        <f ca="1">('Input 4 - Forecast'!D77/'Input 4 - Forecast'!D$45)*MAX(C$71,0)</f>
        <v>0</v>
      </c>
      <c r="D96" s="13">
        <f ca="1">('Input 4 - Forecast'!E77/'Input 4 - Forecast'!E$45)*MAX(D$71,0)</f>
        <v>0</v>
      </c>
      <c r="E96" s="13">
        <f ca="1">('Input 4 - Forecast'!F77/'Input 4 - Forecast'!F$45)*MAX(E$71,0)</f>
        <v>0</v>
      </c>
      <c r="F96" s="13">
        <f ca="1">('Input 4 - Forecast'!G77/'Input 4 - Forecast'!G$45)*MAX(F$71,0)</f>
        <v>0</v>
      </c>
      <c r="G96" s="191">
        <f ca="1">('Input 4 - Forecast'!H77/'Input 4 - Forecast'!H$45)*MAX(G$71,0)</f>
        <v>0</v>
      </c>
      <c r="I96" s="211" t="str">
        <f>'Input 4 - Forecast'!J77</f>
        <v>Annual</v>
      </c>
      <c r="J96" s="211">
        <f>'Input 4 - Forecast'!K77</f>
        <v>10</v>
      </c>
      <c r="K96" s="19">
        <f>'Input 4 - Forecast'!L77</f>
        <v>10</v>
      </c>
      <c r="L96" s="212">
        <f>'Input 4 - Forecast'!M77+B$33/10000</f>
        <v>1.125E-2</v>
      </c>
      <c r="M96" s="212">
        <f>'Input 4 - Forecast'!N77+C$33/10000</f>
        <v>2.1249999999999998E-2</v>
      </c>
      <c r="N96" s="212">
        <f>'Input 4 - Forecast'!O77+D$33/10000</f>
        <v>2.4499999999999997E-2</v>
      </c>
      <c r="O96" s="212">
        <f>'Input 4 - Forecast'!P77+E$33/10000</f>
        <v>2.4499999999999997E-2</v>
      </c>
      <c r="P96" s="212">
        <f>'Input 4 - Forecast'!Q77+F$33/10000</f>
        <v>2.4499999999999997E-2</v>
      </c>
      <c r="Q96" s="213">
        <f>'Input 4 - Forecast'!R77+G$33/10000</f>
        <v>2.4499999999999997E-2</v>
      </c>
    </row>
    <row r="97" spans="1:27">
      <c r="A97" s="215" t="s">
        <v>29</v>
      </c>
      <c r="B97" s="190">
        <f>('Input 4 - Forecast'!C78/'Input 4 - Forecast'!C$45)*MAX(B$71,0)</f>
        <v>499.99798625313935</v>
      </c>
      <c r="C97" s="13">
        <f ca="1">('Input 4 - Forecast'!D78/'Input 4 - Forecast'!D$45)*MAX(C$71,0)</f>
        <v>0</v>
      </c>
      <c r="D97" s="13">
        <f ca="1">('Input 4 - Forecast'!E78/'Input 4 - Forecast'!E$45)*MAX(D$71,0)</f>
        <v>0</v>
      </c>
      <c r="E97" s="13">
        <f ca="1">('Input 4 - Forecast'!F78/'Input 4 - Forecast'!F$45)*MAX(E$71,0)</f>
        <v>0</v>
      </c>
      <c r="F97" s="13">
        <f ca="1">('Input 4 - Forecast'!G78/'Input 4 - Forecast'!G$45)*MAX(F$71,0)</f>
        <v>0</v>
      </c>
      <c r="G97" s="191">
        <f ca="1">('Input 4 - Forecast'!H78/'Input 4 - Forecast'!H$45)*MAX(G$71,0)</f>
        <v>0</v>
      </c>
      <c r="I97" s="211" t="str">
        <f>'Input 4 - Forecast'!J78</f>
        <v>Annual</v>
      </c>
      <c r="J97" s="211">
        <f>'Input 4 - Forecast'!K78</f>
        <v>30</v>
      </c>
      <c r="K97" s="19">
        <f>'Input 4 - Forecast'!L78</f>
        <v>30</v>
      </c>
      <c r="L97" s="212">
        <f>'Input 4 - Forecast'!M78+B$33/10000</f>
        <v>2.2499999999999999E-2</v>
      </c>
      <c r="M97" s="212">
        <f>'Input 4 - Forecast'!N78+C$33/10000</f>
        <v>2.5000000000000001E-3</v>
      </c>
      <c r="N97" s="212">
        <f>'Input 4 - Forecast'!O78+D$33/10000</f>
        <v>2.5000000000000001E-3</v>
      </c>
      <c r="O97" s="212">
        <f>'Input 4 - Forecast'!P78+E$33/10000</f>
        <v>2.5000000000000001E-3</v>
      </c>
      <c r="P97" s="212">
        <f>'Input 4 - Forecast'!Q78+F$33/10000</f>
        <v>2.5000000000000001E-3</v>
      </c>
      <c r="Q97" s="213">
        <f>'Input 4 - Forecast'!R78+G$33/10000</f>
        <v>2.5000000000000001E-3</v>
      </c>
    </row>
    <row r="98" spans="1:27">
      <c r="A98" s="215" t="s">
        <v>30</v>
      </c>
      <c r="B98" s="190">
        <f>('Input 4 - Forecast'!C79/'Input 4 - Forecast'!C$45)*MAX(B$71,0)</f>
        <v>0</v>
      </c>
      <c r="C98" s="13">
        <f ca="1">('Input 4 - Forecast'!D79/'Input 4 - Forecast'!D$45)*MAX(C$71,0)</f>
        <v>0</v>
      </c>
      <c r="D98" s="13">
        <f ca="1">('Input 4 - Forecast'!E79/'Input 4 - Forecast'!E$45)*MAX(D$71,0)</f>
        <v>0</v>
      </c>
      <c r="E98" s="13">
        <f ca="1">('Input 4 - Forecast'!F79/'Input 4 - Forecast'!F$45)*MAX(E$71,0)</f>
        <v>0</v>
      </c>
      <c r="F98" s="13">
        <f ca="1">('Input 4 - Forecast'!G79/'Input 4 - Forecast'!G$45)*MAX(F$71,0)</f>
        <v>0</v>
      </c>
      <c r="G98" s="191">
        <f ca="1">('Input 4 - Forecast'!H79/'Input 4 - Forecast'!H$45)*MAX(G$71,0)</f>
        <v>0</v>
      </c>
      <c r="I98" s="211" t="str">
        <f>'Input 4 - Forecast'!J79</f>
        <v>Annual</v>
      </c>
      <c r="J98" s="211">
        <f>'Input 4 - Forecast'!K79</f>
        <v>0</v>
      </c>
      <c r="K98" s="19">
        <f>'Input 4 - Forecast'!L79</f>
        <v>0</v>
      </c>
      <c r="L98" s="212">
        <f>'Input 4 - Forecast'!M79+B$33/10000</f>
        <v>0</v>
      </c>
      <c r="M98" s="212">
        <f>'Input 4 - Forecast'!N79+C$33/10000</f>
        <v>2.5000000000000001E-3</v>
      </c>
      <c r="N98" s="212">
        <f>'Input 4 - Forecast'!O79+D$33/10000</f>
        <v>2.5000000000000001E-3</v>
      </c>
      <c r="O98" s="212">
        <f>'Input 4 - Forecast'!P79+E$33/10000</f>
        <v>2.5000000000000001E-3</v>
      </c>
      <c r="P98" s="212">
        <f>'Input 4 - Forecast'!Q79+F$33/10000</f>
        <v>2.5000000000000001E-3</v>
      </c>
      <c r="Q98" s="213">
        <f>'Input 4 - Forecast'!R79+G$33/10000</f>
        <v>2.5000000000000001E-3</v>
      </c>
    </row>
    <row r="99" spans="1:27">
      <c r="A99" s="215" t="s">
        <v>31</v>
      </c>
      <c r="B99" s="190">
        <f>('Input 4 - Forecast'!C80/'Input 4 - Forecast'!C$45)*MAX(B$71,0)</f>
        <v>0</v>
      </c>
      <c r="C99" s="13">
        <f ca="1">('Input 4 - Forecast'!D80/'Input 4 - Forecast'!D$45)*MAX(C$71,0)</f>
        <v>0</v>
      </c>
      <c r="D99" s="13">
        <f ca="1">('Input 4 - Forecast'!E80/'Input 4 - Forecast'!E$45)*MAX(D$71,0)</f>
        <v>0</v>
      </c>
      <c r="E99" s="13">
        <f ca="1">('Input 4 - Forecast'!F80/'Input 4 - Forecast'!F$45)*MAX(E$71,0)</f>
        <v>0</v>
      </c>
      <c r="F99" s="13">
        <f ca="1">('Input 4 - Forecast'!G80/'Input 4 - Forecast'!G$45)*MAX(F$71,0)</f>
        <v>0</v>
      </c>
      <c r="G99" s="191">
        <f ca="1">('Input 4 - Forecast'!H80/'Input 4 - Forecast'!H$45)*MAX(G$71,0)</f>
        <v>0</v>
      </c>
      <c r="I99" s="211" t="str">
        <f>'Input 4 - Forecast'!J80</f>
        <v>Annual</v>
      </c>
      <c r="J99" s="211">
        <f>'Input 4 - Forecast'!K80</f>
        <v>0</v>
      </c>
      <c r="K99" s="19">
        <f>'Input 4 - Forecast'!L80</f>
        <v>0</v>
      </c>
      <c r="L99" s="212">
        <f>'Input 4 - Forecast'!M80+B$33/10000</f>
        <v>0</v>
      </c>
      <c r="M99" s="212">
        <f>'Input 4 - Forecast'!N80+C$33/10000</f>
        <v>2.5000000000000001E-3</v>
      </c>
      <c r="N99" s="212">
        <f>'Input 4 - Forecast'!O80+D$33/10000</f>
        <v>2.5000000000000001E-3</v>
      </c>
      <c r="O99" s="212">
        <f>'Input 4 - Forecast'!P80+E$33/10000</f>
        <v>2.5000000000000001E-3</v>
      </c>
      <c r="P99" s="212">
        <f>'Input 4 - Forecast'!Q80+F$33/10000</f>
        <v>2.5000000000000001E-3</v>
      </c>
      <c r="Q99" s="213">
        <f>'Input 4 - Forecast'!R80+G$33/10000</f>
        <v>2.5000000000000001E-3</v>
      </c>
    </row>
    <row r="100" spans="1:27">
      <c r="A100" s="215" t="s">
        <v>32</v>
      </c>
      <c r="B100" s="190">
        <f>('Input 4 - Forecast'!C81/'Input 4 - Forecast'!C$45)*MAX(B$71,0)</f>
        <v>0</v>
      </c>
      <c r="C100" s="13">
        <f ca="1">('Input 4 - Forecast'!D81/'Input 4 - Forecast'!D$45)*MAX(C$71,0)</f>
        <v>0</v>
      </c>
      <c r="D100" s="13">
        <f ca="1">('Input 4 - Forecast'!E81/'Input 4 - Forecast'!E$45)*MAX(D$71,0)</f>
        <v>0</v>
      </c>
      <c r="E100" s="13">
        <f ca="1">('Input 4 - Forecast'!F81/'Input 4 - Forecast'!F$45)*MAX(E$71,0)</f>
        <v>0</v>
      </c>
      <c r="F100" s="13">
        <f ca="1">('Input 4 - Forecast'!G81/'Input 4 - Forecast'!G$45)*MAX(F$71,0)</f>
        <v>0</v>
      </c>
      <c r="G100" s="191">
        <f ca="1">('Input 4 - Forecast'!H81/'Input 4 - Forecast'!H$45)*MAX(G$71,0)</f>
        <v>0</v>
      </c>
      <c r="I100" s="211"/>
      <c r="J100" s="211">
        <f>'Input 4 - Forecast'!K81</f>
        <v>0</v>
      </c>
      <c r="K100" s="19">
        <f>'Input 4 - Forecast'!L81</f>
        <v>0</v>
      </c>
      <c r="L100" s="212">
        <f>'Input 4 - Forecast'!M81+B$33/10000</f>
        <v>0</v>
      </c>
      <c r="M100" s="212">
        <f>'Input 4 - Forecast'!N81+C$33/10000</f>
        <v>2.5000000000000001E-3</v>
      </c>
      <c r="N100" s="212">
        <f>'Input 4 - Forecast'!O81+D$33/10000</f>
        <v>2.5000000000000001E-3</v>
      </c>
      <c r="O100" s="212">
        <f>'Input 4 - Forecast'!P81+E$33/10000</f>
        <v>2.5000000000000001E-3</v>
      </c>
      <c r="P100" s="212">
        <f>'Input 4 - Forecast'!Q81+F$33/10000</f>
        <v>2.5000000000000001E-3</v>
      </c>
      <c r="Q100" s="213">
        <f>'Input 4 - Forecast'!R81+G$33/10000</f>
        <v>2.5000000000000001E-3</v>
      </c>
    </row>
    <row r="101" spans="1:27">
      <c r="A101" s="210" t="s">
        <v>1</v>
      </c>
      <c r="B101" s="190"/>
      <c r="C101" s="13"/>
      <c r="D101" s="13"/>
      <c r="E101" s="13"/>
      <c r="F101" s="13"/>
      <c r="G101" s="191"/>
      <c r="I101" s="211"/>
      <c r="J101" s="211"/>
      <c r="K101" s="19"/>
      <c r="L101" s="19"/>
      <c r="M101" s="19"/>
      <c r="N101" s="19"/>
      <c r="O101" s="19"/>
      <c r="P101" s="19"/>
      <c r="Q101" s="214"/>
    </row>
    <row r="102" spans="1:27">
      <c r="A102" s="215" t="s">
        <v>33</v>
      </c>
      <c r="B102" s="190">
        <f>('Input 4 - Forecast'!C83/'Input 4 - Forecast'!C$45)*MAX(B$71,0)</f>
        <v>0</v>
      </c>
      <c r="C102" s="13">
        <f ca="1">('Input 4 - Forecast'!D83/'Input 4 - Forecast'!D$45)*MAX(C$71,0)</f>
        <v>0</v>
      </c>
      <c r="D102" s="13">
        <f ca="1">('Input 4 - Forecast'!E83/'Input 4 - Forecast'!E$45)*MAX(D$71,0)</f>
        <v>0</v>
      </c>
      <c r="E102" s="13">
        <f ca="1">('Input 4 - Forecast'!F83/'Input 4 - Forecast'!F$45)*MAX(E$71,0)</f>
        <v>0</v>
      </c>
      <c r="F102" s="13">
        <f ca="1">('Input 4 - Forecast'!G83/'Input 4 - Forecast'!G$45)*MAX(F$71,0)</f>
        <v>0</v>
      </c>
      <c r="G102" s="191">
        <f ca="1">('Input 4 - Forecast'!H83/'Input 4 - Forecast'!H$45)*MAX(G$71,0)</f>
        <v>0</v>
      </c>
      <c r="I102" s="211" t="str">
        <f>'Input 4 - Forecast'!J83</f>
        <v>Annual</v>
      </c>
      <c r="J102" s="211">
        <f>'Input 4 - Forecast'!K83</f>
        <v>0</v>
      </c>
      <c r="K102" s="19">
        <f>'Input 4 - Forecast'!L83</f>
        <v>0</v>
      </c>
      <c r="L102" s="212">
        <f>'Input 4 - Forecast'!M83+B$33/10000</f>
        <v>0</v>
      </c>
      <c r="M102" s="212">
        <f>'Input 4 - Forecast'!N83+C$33/10000</f>
        <v>2.5000000000000001E-3</v>
      </c>
      <c r="N102" s="212">
        <f>'Input 4 - Forecast'!O83+D$33/10000</f>
        <v>2.5000000000000001E-3</v>
      </c>
      <c r="O102" s="212">
        <f>'Input 4 - Forecast'!P83+E$33/10000</f>
        <v>2.5000000000000001E-3</v>
      </c>
      <c r="P102" s="212">
        <f>'Input 4 - Forecast'!Q83+F$33/10000</f>
        <v>2.5000000000000001E-3</v>
      </c>
      <c r="Q102" s="213">
        <f>'Input 4 - Forecast'!R83+G$33/10000</f>
        <v>2.5000000000000001E-3</v>
      </c>
    </row>
    <row r="103" spans="1:27">
      <c r="A103" s="215" t="s">
        <v>34</v>
      </c>
      <c r="B103" s="190">
        <f>('Input 4 - Forecast'!C84/'Input 4 - Forecast'!C$45)*MAX(B$71,0)</f>
        <v>0</v>
      </c>
      <c r="C103" s="13">
        <f ca="1">('Input 4 - Forecast'!D84/'Input 4 - Forecast'!D$45)*MAX(C$71,0)</f>
        <v>0</v>
      </c>
      <c r="D103" s="13">
        <f ca="1">('Input 4 - Forecast'!E84/'Input 4 - Forecast'!E$45)*MAX(D$71,0)</f>
        <v>0</v>
      </c>
      <c r="E103" s="13">
        <f ca="1">('Input 4 - Forecast'!F84/'Input 4 - Forecast'!F$45)*MAX(E$71,0)</f>
        <v>0</v>
      </c>
      <c r="F103" s="13">
        <f ca="1">('Input 4 - Forecast'!G84/'Input 4 - Forecast'!G$45)*MAX(F$71,0)</f>
        <v>0</v>
      </c>
      <c r="G103" s="191">
        <f ca="1">('Input 4 - Forecast'!H84/'Input 4 - Forecast'!H$45)*MAX(G$71,0)</f>
        <v>0</v>
      </c>
      <c r="I103" s="211" t="str">
        <f>'Input 4 - Forecast'!J84</f>
        <v>Annual</v>
      </c>
      <c r="J103" s="211">
        <f>'Input 4 - Forecast'!K84</f>
        <v>0</v>
      </c>
      <c r="K103" s="19">
        <f>'Input 4 - Forecast'!L84</f>
        <v>0</v>
      </c>
      <c r="L103" s="212">
        <f>'Input 4 - Forecast'!M84+B$33/10000</f>
        <v>0</v>
      </c>
      <c r="M103" s="212">
        <f>'Input 4 - Forecast'!N84+C$33/10000</f>
        <v>2.5000000000000001E-3</v>
      </c>
      <c r="N103" s="212">
        <f>'Input 4 - Forecast'!O84+D$33/10000</f>
        <v>2.5000000000000001E-3</v>
      </c>
      <c r="O103" s="212">
        <f>'Input 4 - Forecast'!P84+E$33/10000</f>
        <v>2.5000000000000001E-3</v>
      </c>
      <c r="P103" s="212">
        <f>'Input 4 - Forecast'!Q84+F$33/10000</f>
        <v>2.5000000000000001E-3</v>
      </c>
      <c r="Q103" s="213">
        <f>'Input 4 - Forecast'!R84+G$33/10000</f>
        <v>2.5000000000000001E-3</v>
      </c>
    </row>
    <row r="104" spans="1:27">
      <c r="A104" s="215" t="s">
        <v>35</v>
      </c>
      <c r="B104" s="190">
        <f>('Input 4 - Forecast'!C85/'Input 4 - Forecast'!C$45)*MAX(B$71,0)</f>
        <v>0</v>
      </c>
      <c r="C104" s="13">
        <f ca="1">('Input 4 - Forecast'!D85/'Input 4 - Forecast'!D$45)*MAX(C$71,0)</f>
        <v>0</v>
      </c>
      <c r="D104" s="13">
        <f ca="1">('Input 4 - Forecast'!E85/'Input 4 - Forecast'!E$45)*MAX(D$71,0)</f>
        <v>0</v>
      </c>
      <c r="E104" s="13">
        <f ca="1">('Input 4 - Forecast'!F85/'Input 4 - Forecast'!F$45)*MAX(E$71,0)</f>
        <v>0</v>
      </c>
      <c r="F104" s="13">
        <f ca="1">('Input 4 - Forecast'!G85/'Input 4 - Forecast'!G$45)*MAX(F$71,0)</f>
        <v>0</v>
      </c>
      <c r="G104" s="191">
        <f ca="1">('Input 4 - Forecast'!H85/'Input 4 - Forecast'!H$45)*MAX(G$71,0)</f>
        <v>0</v>
      </c>
      <c r="I104" s="211" t="str">
        <f>'Input 4 - Forecast'!J85</f>
        <v>Annual</v>
      </c>
      <c r="J104" s="211">
        <f>'Input 4 - Forecast'!K85</f>
        <v>0</v>
      </c>
      <c r="K104" s="19">
        <f>'Input 4 - Forecast'!L85</f>
        <v>0</v>
      </c>
      <c r="L104" s="212">
        <f>'Input 4 - Forecast'!M85+B$33/10000</f>
        <v>0</v>
      </c>
      <c r="M104" s="212">
        <f>'Input 4 - Forecast'!N85+C$33/10000</f>
        <v>2.5000000000000001E-3</v>
      </c>
      <c r="N104" s="212">
        <f>'Input 4 - Forecast'!O85+D$33/10000</f>
        <v>2.5000000000000001E-3</v>
      </c>
      <c r="O104" s="212">
        <f>'Input 4 - Forecast'!P85+E$33/10000</f>
        <v>2.5000000000000001E-3</v>
      </c>
      <c r="P104" s="212">
        <f>'Input 4 - Forecast'!Q85+F$33/10000</f>
        <v>2.5000000000000001E-3</v>
      </c>
      <c r="Q104" s="213">
        <f>'Input 4 - Forecast'!R85+G$33/10000</f>
        <v>2.5000000000000001E-3</v>
      </c>
    </row>
    <row r="105" spans="1:27">
      <c r="A105" s="215" t="s">
        <v>36</v>
      </c>
      <c r="B105" s="190">
        <f>('Input 4 - Forecast'!C86/'Input 4 - Forecast'!C$45)*MAX(B$71,0)</f>
        <v>0</v>
      </c>
      <c r="C105" s="13">
        <f ca="1">('Input 4 - Forecast'!D86/'Input 4 - Forecast'!D$45)*MAX(C$71,0)</f>
        <v>0</v>
      </c>
      <c r="D105" s="13">
        <f ca="1">('Input 4 - Forecast'!E86/'Input 4 - Forecast'!E$45)*MAX(D$71,0)</f>
        <v>0</v>
      </c>
      <c r="E105" s="13">
        <f ca="1">('Input 4 - Forecast'!F86/'Input 4 - Forecast'!F$45)*MAX(E$71,0)</f>
        <v>0</v>
      </c>
      <c r="F105" s="13">
        <f ca="1">('Input 4 - Forecast'!G86/'Input 4 - Forecast'!G$45)*MAX(F$71,0)</f>
        <v>0</v>
      </c>
      <c r="G105" s="191">
        <f ca="1">('Input 4 - Forecast'!H86/'Input 4 - Forecast'!H$45)*MAX(G$71,0)</f>
        <v>0</v>
      </c>
      <c r="I105" s="211" t="str">
        <f>'Input 4 - Forecast'!J86</f>
        <v>Annual</v>
      </c>
      <c r="J105" s="211">
        <f>'Input 4 - Forecast'!K86</f>
        <v>0</v>
      </c>
      <c r="K105" s="19">
        <f>'Input 4 - Forecast'!L86</f>
        <v>0</v>
      </c>
      <c r="L105" s="212">
        <f>'Input 4 - Forecast'!M86+B$33/10000</f>
        <v>0</v>
      </c>
      <c r="M105" s="212">
        <f>'Input 4 - Forecast'!N86+C$33/10000</f>
        <v>2.5000000000000001E-3</v>
      </c>
      <c r="N105" s="212">
        <f>'Input 4 - Forecast'!O86+D$33/10000</f>
        <v>2.5000000000000001E-3</v>
      </c>
      <c r="O105" s="212">
        <f>'Input 4 - Forecast'!P86+E$33/10000</f>
        <v>2.5000000000000001E-3</v>
      </c>
      <c r="P105" s="212">
        <f>'Input 4 - Forecast'!Q86+F$33/10000</f>
        <v>2.5000000000000001E-3</v>
      </c>
      <c r="Q105" s="213">
        <f>'Input 4 - Forecast'!R86+G$33/10000</f>
        <v>2.5000000000000001E-3</v>
      </c>
    </row>
    <row r="106" spans="1:27" ht="15.75" thickBot="1">
      <c r="A106" s="216" t="s">
        <v>37</v>
      </c>
      <c r="B106" s="192">
        <f>('Input 4 - Forecast'!C87/'Input 4 - Forecast'!C$45)*MAX(B$71,0)</f>
        <v>0</v>
      </c>
      <c r="C106" s="193">
        <f ca="1">('Input 4 - Forecast'!D87/'Input 4 - Forecast'!D$45)*MAX(C$71,0)</f>
        <v>0</v>
      </c>
      <c r="D106" s="193">
        <f ca="1">('Input 4 - Forecast'!E87/'Input 4 - Forecast'!E$45)*MAX(D$71,0)</f>
        <v>0</v>
      </c>
      <c r="E106" s="193">
        <f ca="1">('Input 4 - Forecast'!F87/'Input 4 - Forecast'!F$45)*MAX(E$71,0)</f>
        <v>0</v>
      </c>
      <c r="F106" s="193">
        <f ca="1">('Input 4 - Forecast'!G87/'Input 4 - Forecast'!G$45)*MAX(F$71,0)</f>
        <v>0</v>
      </c>
      <c r="G106" s="194">
        <f ca="1">('Input 4 - Forecast'!H87/'Input 4 - Forecast'!H$45)*MAX(G$71,0)</f>
        <v>0</v>
      </c>
      <c r="I106" s="217"/>
      <c r="J106" s="217">
        <f>'Input 4 - Forecast'!K87</f>
        <v>0</v>
      </c>
      <c r="K106" s="218">
        <f>'Input 4 - Forecast'!L87</f>
        <v>0</v>
      </c>
      <c r="L106" s="219">
        <f>'Input 4 - Forecast'!M87+B$33/10000</f>
        <v>0</v>
      </c>
      <c r="M106" s="219">
        <f>'Input 4 - Forecast'!N87+C$33/10000</f>
        <v>2.5000000000000001E-3</v>
      </c>
      <c r="N106" s="219">
        <f>'Input 4 - Forecast'!O87+D$33/10000</f>
        <v>2.5000000000000001E-3</v>
      </c>
      <c r="O106" s="219">
        <f>'Input 4 - Forecast'!P87+E$33/10000</f>
        <v>2.5000000000000001E-3</v>
      </c>
      <c r="P106" s="219">
        <f>'Input 4 - Forecast'!Q87+F$33/10000</f>
        <v>2.5000000000000001E-3</v>
      </c>
      <c r="Q106" s="220">
        <f>'Input 4 - Forecast'!R87+G$33/10000</f>
        <v>2.5000000000000001E-3</v>
      </c>
    </row>
    <row r="107" spans="1:27" ht="15.75" thickBot="1">
      <c r="B107" s="195"/>
      <c r="C107" s="195"/>
      <c r="D107" s="195"/>
      <c r="E107" s="195"/>
      <c r="F107" s="195"/>
      <c r="G107" s="195"/>
      <c r="I107" s="184"/>
      <c r="J107" s="184"/>
      <c r="K107" s="184"/>
      <c r="L107" s="184"/>
      <c r="M107" s="184"/>
      <c r="N107" s="184"/>
      <c r="O107" s="184"/>
      <c r="P107" s="184"/>
      <c r="Q107" s="184"/>
    </row>
    <row r="108" spans="1:27" ht="15.75" thickBot="1">
      <c r="A108" s="200" t="s">
        <v>1179</v>
      </c>
      <c r="B108" s="201">
        <f>('Input 4 - Forecast'!C89/'Input 4 - Forecast'!C$45)*MAX(B$71,0)</f>
        <v>-267.59452840452661</v>
      </c>
      <c r="C108" s="202">
        <f ca="1">('Input 4 - Forecast'!D89/'Input 4 - Forecast'!D$45)*MAX(C$71,0)</f>
        <v>2307.6994569340227</v>
      </c>
      <c r="D108" s="202">
        <f ca="1">('Input 4 - Forecast'!E89/'Input 4 - Forecast'!E$45)*MAX(D$71,0)</f>
        <v>4384.1833962376941</v>
      </c>
      <c r="E108" s="202">
        <f ca="1">('Input 4 - Forecast'!F89/'Input 4 - Forecast'!F$45)*MAX(E$71,0)</f>
        <v>6604.3071267439936</v>
      </c>
      <c r="F108" s="202">
        <f ca="1">('Input 4 - Forecast'!G89/'Input 4 - Forecast'!G$45)*MAX(F$71,0)</f>
        <v>7793.2208442816573</v>
      </c>
      <c r="G108" s="203">
        <f ca="1">('Input 4 - Forecast'!H89/'Input 4 - Forecast'!H$45)*MAX(G$71,0)</f>
        <v>8785.0323032572196</v>
      </c>
      <c r="I108" s="221"/>
      <c r="J108" s="221">
        <f>'Input 4 - Forecast'!K89</f>
        <v>1</v>
      </c>
      <c r="K108" s="222">
        <f>'Input 4 - Forecast'!L89</f>
        <v>1</v>
      </c>
      <c r="L108" s="223">
        <f>'Input 4 - Forecast'!M89+B$33/10000</f>
        <v>0</v>
      </c>
      <c r="M108" s="223">
        <f>'Input 4 - Forecast'!N89+C$33/10000</f>
        <v>2.5000000000000001E-3</v>
      </c>
      <c r="N108" s="223">
        <f>'Input 4 - Forecast'!O89+D$33/10000</f>
        <v>2.5000000000000001E-3</v>
      </c>
      <c r="O108" s="223">
        <f>'Input 4 - Forecast'!P89+E$33/10000</f>
        <v>2.5000000000000001E-3</v>
      </c>
      <c r="P108" s="223">
        <f>'Input 4 - Forecast'!Q89+F$33/10000</f>
        <v>2.5000000000000001E-3</v>
      </c>
      <c r="Q108" s="224">
        <f>'Input 4 - Forecast'!R89+G$33/10000</f>
        <v>2.5000000000000001E-3</v>
      </c>
    </row>
    <row r="109" spans="1:27">
      <c r="B109" s="7"/>
      <c r="C109" s="7"/>
      <c r="D109" s="7"/>
      <c r="E109" s="7"/>
      <c r="F109" s="7"/>
      <c r="G109" s="7"/>
      <c r="I109" s="184"/>
      <c r="J109" s="184"/>
      <c r="K109" s="184"/>
      <c r="L109" s="184"/>
      <c r="M109" s="184"/>
      <c r="N109" s="184"/>
      <c r="O109" s="184"/>
      <c r="P109" s="184"/>
    </row>
    <row r="111" spans="1:27" ht="15.75" thickBot="1">
      <c r="H111" s="7">
        <f>'Input 4 - Forecast'!C9</f>
        <v>2018</v>
      </c>
      <c r="I111" s="7">
        <f>H111+1</f>
        <v>2019</v>
      </c>
      <c r="J111" s="7">
        <f>I111+1</f>
        <v>2020</v>
      </c>
      <c r="K111" s="7">
        <f>J111+1</f>
        <v>2021</v>
      </c>
      <c r="L111" s="7">
        <f>K111+1</f>
        <v>2022</v>
      </c>
      <c r="M111" s="7">
        <f>L111+1</f>
        <v>2023</v>
      </c>
      <c r="O111" s="7">
        <f t="shared" ref="O111:T111" si="22">H111</f>
        <v>2018</v>
      </c>
      <c r="P111" s="7">
        <f t="shared" si="22"/>
        <v>2019</v>
      </c>
      <c r="Q111" s="7">
        <f t="shared" si="22"/>
        <v>2020</v>
      </c>
      <c r="R111" s="7">
        <f t="shared" si="22"/>
        <v>2021</v>
      </c>
      <c r="S111" s="7">
        <f t="shared" si="22"/>
        <v>2022</v>
      </c>
      <c r="T111" s="7">
        <f t="shared" si="22"/>
        <v>2023</v>
      </c>
      <c r="V111" s="7">
        <f t="shared" ref="V111:AA111" si="23">O111</f>
        <v>2018</v>
      </c>
      <c r="W111" s="7">
        <f t="shared" si="23"/>
        <v>2019</v>
      </c>
      <c r="X111" s="7">
        <f t="shared" si="23"/>
        <v>2020</v>
      </c>
      <c r="Y111" s="7">
        <f t="shared" si="23"/>
        <v>2021</v>
      </c>
      <c r="Z111" s="7">
        <f t="shared" si="23"/>
        <v>2022</v>
      </c>
      <c r="AA111" s="7">
        <f t="shared" si="23"/>
        <v>2023</v>
      </c>
    </row>
    <row r="112" spans="1:27" ht="15.75" thickBot="1">
      <c r="A112" s="281"/>
      <c r="B112" s="2009" t="s">
        <v>44</v>
      </c>
      <c r="C112" s="2010"/>
      <c r="D112" s="2010"/>
      <c r="E112" s="2010"/>
      <c r="F112" s="2011"/>
      <c r="H112" s="2012" t="s">
        <v>40</v>
      </c>
      <c r="I112" s="2013"/>
      <c r="J112" s="2013"/>
      <c r="K112" s="2013"/>
      <c r="L112" s="2013"/>
      <c r="M112" s="2014"/>
      <c r="O112" s="2015" t="s">
        <v>46</v>
      </c>
      <c r="P112" s="2016"/>
      <c r="Q112" s="2016"/>
      <c r="R112" s="2016"/>
      <c r="S112" s="2016"/>
      <c r="T112" s="2017"/>
      <c r="V112" s="1996" t="s">
        <v>42</v>
      </c>
      <c r="W112" s="1997"/>
      <c r="X112" s="1997"/>
      <c r="Y112" s="1997"/>
      <c r="Z112" s="1997"/>
      <c r="AA112" s="1998"/>
    </row>
    <row r="113" spans="1:27">
      <c r="A113" s="281"/>
      <c r="B113" s="7" t="s">
        <v>45</v>
      </c>
      <c r="C113" s="281" t="s">
        <v>462</v>
      </c>
      <c r="D113" s="7" t="s">
        <v>43</v>
      </c>
      <c r="E113" s="7" t="s">
        <v>39</v>
      </c>
      <c r="F113" s="7" t="s">
        <v>41</v>
      </c>
    </row>
    <row r="114" spans="1:27">
      <c r="A114" s="17"/>
      <c r="B114" s="7"/>
      <c r="C114" s="7"/>
      <c r="D114" s="7"/>
      <c r="E114" s="7"/>
    </row>
    <row r="115" spans="1:27">
      <c r="A115" s="20" t="str">
        <f>'Input 4 - Forecast'!A50</f>
        <v>Issuance of New Debt to Fill Fiscal Needs</v>
      </c>
    </row>
    <row r="116" spans="1:27" customFormat="1" ht="15.75" thickBot="1">
      <c r="A116" s="21" t="str">
        <f>'Input 4 - Forecast'!A55</f>
        <v>Short-term debt 2/</v>
      </c>
      <c r="B116" s="18"/>
      <c r="C116" s="13"/>
      <c r="D116" s="13"/>
      <c r="E116" s="13"/>
      <c r="F116" s="13"/>
      <c r="G116" s="13"/>
      <c r="H116" s="13"/>
      <c r="I116" s="17"/>
      <c r="J116" s="19"/>
      <c r="K116" s="19"/>
      <c r="L116" s="19"/>
      <c r="M116" s="19"/>
      <c r="N116" s="19"/>
      <c r="O116" s="19"/>
      <c r="P116" s="19"/>
      <c r="Q116" s="19"/>
    </row>
    <row r="117" spans="1:27" customFormat="1" ht="15.75" thickBot="1">
      <c r="A117" s="22" t="str">
        <f>'Input 4 - Forecast'!A56</f>
        <v>Denominated in local currency</v>
      </c>
      <c r="B117" s="1999" t="s">
        <v>51</v>
      </c>
      <c r="C117" s="2000"/>
      <c r="D117" s="2000"/>
      <c r="E117" s="2000"/>
      <c r="F117" s="2000"/>
      <c r="G117" s="2000"/>
      <c r="H117" s="2000"/>
      <c r="I117" s="2000"/>
      <c r="J117" s="2000"/>
      <c r="K117" s="2000"/>
      <c r="L117" s="2000"/>
      <c r="M117" s="2000"/>
      <c r="N117" s="2000"/>
      <c r="O117" s="2000"/>
      <c r="P117" s="2000"/>
      <c r="Q117" s="2000"/>
      <c r="R117" s="2000"/>
      <c r="S117" s="2000"/>
      <c r="T117" s="2000"/>
      <c r="U117" s="2000"/>
      <c r="V117" s="2000"/>
      <c r="W117" s="2000"/>
      <c r="X117" s="2000"/>
      <c r="Y117" s="2000"/>
      <c r="Z117" s="2000"/>
      <c r="AA117" s="2001"/>
    </row>
    <row r="118" spans="1:27">
      <c r="B118" s="281"/>
      <c r="F118" s="15"/>
      <c r="H118" s="10"/>
      <c r="I118" s="10"/>
      <c r="J118" s="10"/>
      <c r="K118" s="10"/>
      <c r="L118" s="10"/>
      <c r="M118" s="10"/>
      <c r="N118" s="10"/>
      <c r="O118" s="10"/>
      <c r="P118" s="10"/>
      <c r="Q118" s="10"/>
      <c r="R118" s="10"/>
      <c r="S118" s="10"/>
      <c r="T118" s="10"/>
      <c r="U118" s="10"/>
      <c r="V118" s="10"/>
      <c r="W118" s="10"/>
      <c r="X118" s="10"/>
      <c r="Y118" s="10"/>
      <c r="Z118" s="10"/>
      <c r="AA118" s="10"/>
    </row>
    <row r="119" spans="1:27" customFormat="1">
      <c r="A119" s="23"/>
      <c r="B119" s="7">
        <f>'Input 4 - Forecast'!C9</f>
        <v>2018</v>
      </c>
      <c r="C119" s="13" t="str">
        <f>$I75</f>
        <v>Semi-annual</v>
      </c>
      <c r="D119" s="13">
        <f>$J75</f>
        <v>0</v>
      </c>
      <c r="E119" s="13">
        <f>$K75</f>
        <v>0</v>
      </c>
      <c r="F119" s="14">
        <f>$L$75</f>
        <v>0</v>
      </c>
      <c r="G119" s="13"/>
      <c r="H119" s="9">
        <f>$B$75</f>
        <v>0</v>
      </c>
      <c r="I119" s="9">
        <f>H119-P119</f>
        <v>0</v>
      </c>
      <c r="J119" s="9">
        <f>I119-Q119</f>
        <v>0</v>
      </c>
      <c r="K119" s="9">
        <f>J119-R119</f>
        <v>0</v>
      </c>
      <c r="L119" s="9">
        <f>K119-S119</f>
        <v>0</v>
      </c>
      <c r="M119" s="9">
        <f>L119-T119</f>
        <v>0</v>
      </c>
      <c r="N119" s="9"/>
      <c r="O119" s="9">
        <v>0</v>
      </c>
      <c r="P119" s="9">
        <f>H119</f>
        <v>0</v>
      </c>
      <c r="Q119" s="9">
        <v>0</v>
      </c>
      <c r="R119" s="9">
        <v>0</v>
      </c>
      <c r="S119" s="9">
        <v>0</v>
      </c>
      <c r="T119" s="9">
        <v>0</v>
      </c>
      <c r="U119" s="9"/>
      <c r="V119" s="9">
        <f>IF($C119="annual",IF(V$111=$B119,0,G119*$F119),IF(V$111-$B119=0,0,IF((V$111-$B119)&lt;$E119,AVERAGE(G119,H119)*$F119,IF((V$111-$B119)=$E119,G119*$F119/2,0))))</f>
        <v>0</v>
      </c>
      <c r="W119" s="9">
        <f t="shared" ref="W119:AA124" si="24">IF($C119="annual",IF(W$111=$B119,0,H119*$F119),IF(W$111-$B119=0,0,IF((W$111-$B119)&lt;$E119,AVERAGE(H119,I119)*$F119,IF((W$111-$B119)=$E119,H119*$F119/2,0))))</f>
        <v>0</v>
      </c>
      <c r="X119" s="9">
        <f t="shared" si="24"/>
        <v>0</v>
      </c>
      <c r="Y119" s="9">
        <f t="shared" si="24"/>
        <v>0</v>
      </c>
      <c r="Z119" s="9">
        <f t="shared" si="24"/>
        <v>0</v>
      </c>
      <c r="AA119" s="9">
        <f t="shared" si="24"/>
        <v>0</v>
      </c>
    </row>
    <row r="120" spans="1:27" customFormat="1">
      <c r="A120" s="23"/>
      <c r="B120" s="7">
        <f>B119+1</f>
        <v>2019</v>
      </c>
      <c r="C120" s="13" t="str">
        <f>C119</f>
        <v>Semi-annual</v>
      </c>
      <c r="D120" s="13">
        <f>D119</f>
        <v>0</v>
      </c>
      <c r="E120" s="13">
        <f>E119</f>
        <v>0</v>
      </c>
      <c r="F120" s="14">
        <f>$M$75</f>
        <v>2.5000000000000001E-3</v>
      </c>
      <c r="G120" s="13"/>
      <c r="H120" s="9"/>
      <c r="I120" s="9">
        <f ca="1">$C$75</f>
        <v>192.69320618515053</v>
      </c>
      <c r="J120" s="9">
        <f ca="1">I120-Q120</f>
        <v>0</v>
      </c>
      <c r="K120" s="9">
        <f ca="1">J120-R120</f>
        <v>0</v>
      </c>
      <c r="L120" s="9">
        <f ca="1">K120-S120</f>
        <v>0</v>
      </c>
      <c r="M120" s="9">
        <f ca="1">L120-T120</f>
        <v>0</v>
      </c>
      <c r="N120" s="9"/>
      <c r="O120" s="9"/>
      <c r="P120" s="9">
        <v>0</v>
      </c>
      <c r="Q120" s="9">
        <f ca="1">I120</f>
        <v>192.69320618515053</v>
      </c>
      <c r="R120" s="9">
        <v>0</v>
      </c>
      <c r="S120" s="9">
        <v>0</v>
      </c>
      <c r="T120" s="9">
        <v>0</v>
      </c>
      <c r="U120" s="9"/>
      <c r="V120" s="9"/>
      <c r="W120" s="9">
        <f t="shared" si="24"/>
        <v>0</v>
      </c>
      <c r="X120" s="9">
        <f t="shared" si="24"/>
        <v>0</v>
      </c>
      <c r="Y120" s="9">
        <f t="shared" si="24"/>
        <v>0</v>
      </c>
      <c r="Z120" s="9">
        <f t="shared" si="24"/>
        <v>0</v>
      </c>
      <c r="AA120" s="9">
        <f t="shared" si="24"/>
        <v>0</v>
      </c>
    </row>
    <row r="121" spans="1:27" customFormat="1">
      <c r="A121" s="23"/>
      <c r="B121" s="7">
        <f>B120+1</f>
        <v>2020</v>
      </c>
      <c r="C121" s="13" t="str">
        <f>C120</f>
        <v>Semi-annual</v>
      </c>
      <c r="D121" s="13">
        <f t="shared" ref="D121:E124" si="25">D120</f>
        <v>0</v>
      </c>
      <c r="E121" s="13">
        <f t="shared" si="25"/>
        <v>0</v>
      </c>
      <c r="F121" s="14">
        <f>$N$75</f>
        <v>2.5000000000000001E-3</v>
      </c>
      <c r="G121" s="13"/>
      <c r="H121" s="9"/>
      <c r="I121" s="9"/>
      <c r="J121" s="9">
        <f ca="1">$D$75</f>
        <v>200.45926624206217</v>
      </c>
      <c r="K121" s="9">
        <f ca="1">J121-R121</f>
        <v>0</v>
      </c>
      <c r="L121" s="9">
        <f ca="1">K121-S121</f>
        <v>0</v>
      </c>
      <c r="M121" s="9">
        <f ca="1">L121-T121</f>
        <v>0</v>
      </c>
      <c r="N121" s="9"/>
      <c r="O121" s="9"/>
      <c r="P121" s="9"/>
      <c r="Q121" s="9">
        <v>0</v>
      </c>
      <c r="R121" s="9">
        <f ca="1">J121</f>
        <v>200.45926624206217</v>
      </c>
      <c r="S121" s="9">
        <v>0</v>
      </c>
      <c r="T121" s="9">
        <v>0</v>
      </c>
      <c r="U121" s="9"/>
      <c r="V121" s="9"/>
      <c r="W121" s="9"/>
      <c r="X121" s="9">
        <f t="shared" si="24"/>
        <v>0</v>
      </c>
      <c r="Y121" s="9">
        <f t="shared" si="24"/>
        <v>0</v>
      </c>
      <c r="Z121" s="9">
        <f t="shared" si="24"/>
        <v>0</v>
      </c>
      <c r="AA121" s="9">
        <f t="shared" si="24"/>
        <v>0</v>
      </c>
    </row>
    <row r="122" spans="1:27" customFormat="1">
      <c r="A122" s="23"/>
      <c r="B122" s="7">
        <f>B121+1</f>
        <v>2021</v>
      </c>
      <c r="C122" s="13" t="str">
        <f>C121</f>
        <v>Semi-annual</v>
      </c>
      <c r="D122" s="13">
        <f t="shared" si="25"/>
        <v>0</v>
      </c>
      <c r="E122" s="13">
        <f t="shared" si="25"/>
        <v>0</v>
      </c>
      <c r="F122" s="14">
        <f>$O$75</f>
        <v>2.5000000000000001E-3</v>
      </c>
      <c r="G122" s="13"/>
      <c r="H122" s="9"/>
      <c r="I122" s="9"/>
      <c r="J122" s="9"/>
      <c r="K122" s="9">
        <f ca="1">$E$75</f>
        <v>204.91163963938203</v>
      </c>
      <c r="L122" s="9">
        <f ca="1">K122-S122</f>
        <v>0</v>
      </c>
      <c r="M122" s="9">
        <f ca="1">L122-T122</f>
        <v>0</v>
      </c>
      <c r="N122" s="9"/>
      <c r="O122" s="9"/>
      <c r="P122" s="9"/>
      <c r="Q122" s="9"/>
      <c r="R122" s="9">
        <v>0</v>
      </c>
      <c r="S122" s="9">
        <f ca="1">K122</f>
        <v>204.91163963938203</v>
      </c>
      <c r="T122" s="9">
        <v>0</v>
      </c>
      <c r="U122" s="9"/>
      <c r="V122" s="9"/>
      <c r="W122" s="9"/>
      <c r="X122" s="9"/>
      <c r="Y122" s="9">
        <f t="shared" si="24"/>
        <v>0</v>
      </c>
      <c r="Z122" s="9">
        <f t="shared" si="24"/>
        <v>0</v>
      </c>
      <c r="AA122" s="9">
        <f t="shared" si="24"/>
        <v>0</v>
      </c>
    </row>
    <row r="123" spans="1:27" customFormat="1">
      <c r="A123" s="23"/>
      <c r="B123" s="7">
        <f>B122+1</f>
        <v>2022</v>
      </c>
      <c r="C123" s="13" t="str">
        <f>C122</f>
        <v>Semi-annual</v>
      </c>
      <c r="D123" s="13">
        <f t="shared" si="25"/>
        <v>0</v>
      </c>
      <c r="E123" s="13">
        <f t="shared" si="25"/>
        <v>0</v>
      </c>
      <c r="F123" s="14">
        <f>$P$75</f>
        <v>2.5000000000000001E-3</v>
      </c>
      <c r="G123" s="13"/>
      <c r="H123" s="9"/>
      <c r="I123" s="9"/>
      <c r="J123" s="9"/>
      <c r="K123" s="9"/>
      <c r="L123" s="9">
        <f ca="1">$F$75</f>
        <v>219.23442735750322</v>
      </c>
      <c r="M123" s="9">
        <f ca="1">L123-T123</f>
        <v>0</v>
      </c>
      <c r="N123" s="9"/>
      <c r="O123" s="9"/>
      <c r="P123" s="9"/>
      <c r="Q123" s="9"/>
      <c r="R123" s="9"/>
      <c r="S123" s="9">
        <v>0</v>
      </c>
      <c r="T123" s="9">
        <f ca="1">L123</f>
        <v>219.23442735750322</v>
      </c>
      <c r="U123" s="9"/>
      <c r="V123" s="9"/>
      <c r="W123" s="9"/>
      <c r="X123" s="9"/>
      <c r="Y123" s="9"/>
      <c r="Z123" s="9">
        <f t="shared" si="24"/>
        <v>0</v>
      </c>
      <c r="AA123" s="9">
        <f t="shared" si="24"/>
        <v>0</v>
      </c>
    </row>
    <row r="124" spans="1:27" customFormat="1">
      <c r="A124" s="23"/>
      <c r="B124" s="7">
        <f>B123+1</f>
        <v>2023</v>
      </c>
      <c r="C124" s="13" t="str">
        <f>C123</f>
        <v>Semi-annual</v>
      </c>
      <c r="D124" s="13">
        <f t="shared" si="25"/>
        <v>0</v>
      </c>
      <c r="E124" s="13">
        <f t="shared" si="25"/>
        <v>0</v>
      </c>
      <c r="F124" s="14">
        <f>$Q$75</f>
        <v>2.5000000000000001E-3</v>
      </c>
      <c r="G124" s="13"/>
      <c r="H124" s="9"/>
      <c r="I124" s="9"/>
      <c r="J124" s="9"/>
      <c r="K124" s="9"/>
      <c r="L124" s="9"/>
      <c r="M124" s="9">
        <f ca="1">$G$75</f>
        <v>235.90715040142706</v>
      </c>
      <c r="N124" s="9"/>
      <c r="O124" s="9"/>
      <c r="P124" s="9"/>
      <c r="Q124" s="9"/>
      <c r="R124" s="9"/>
      <c r="S124" s="9"/>
      <c r="T124" s="9">
        <v>0</v>
      </c>
      <c r="U124" s="9"/>
      <c r="V124" s="9"/>
      <c r="W124" s="9"/>
      <c r="X124" s="9"/>
      <c r="Y124" s="9"/>
      <c r="Z124" s="9"/>
      <c r="AA124" s="9">
        <f t="shared" si="24"/>
        <v>0</v>
      </c>
    </row>
    <row r="125" spans="1:27" ht="15.75" thickBot="1">
      <c r="F125" s="15"/>
      <c r="H125" s="10"/>
      <c r="I125" s="10"/>
      <c r="J125" s="10"/>
      <c r="K125" s="10"/>
      <c r="L125" s="10"/>
      <c r="M125" s="10"/>
      <c r="N125" s="10"/>
      <c r="O125" s="10"/>
      <c r="P125" s="10"/>
      <c r="Q125" s="10"/>
      <c r="R125" s="10"/>
      <c r="S125" s="10"/>
      <c r="T125" s="10"/>
      <c r="U125" s="10"/>
      <c r="V125" s="10"/>
      <c r="W125" s="10"/>
      <c r="X125" s="10"/>
      <c r="Y125" s="10"/>
      <c r="Z125" s="10"/>
      <c r="AA125" s="10"/>
    </row>
    <row r="126" spans="1:27" customFormat="1" ht="15.75" thickBot="1">
      <c r="A126" s="22" t="str">
        <f>'Input 4 - Forecast'!A65</f>
        <v>Denominated in foreign currency</v>
      </c>
      <c r="B126" s="1999" t="s">
        <v>52</v>
      </c>
      <c r="C126" s="2000"/>
      <c r="D126" s="2000"/>
      <c r="E126" s="2000"/>
      <c r="F126" s="2000"/>
      <c r="G126" s="2000"/>
      <c r="H126" s="2000"/>
      <c r="I126" s="2000"/>
      <c r="J126" s="2000"/>
      <c r="K126" s="2000"/>
      <c r="L126" s="2000"/>
      <c r="M126" s="2000"/>
      <c r="N126" s="2000"/>
      <c r="O126" s="2000"/>
      <c r="P126" s="2000"/>
      <c r="Q126" s="2000"/>
      <c r="R126" s="2000"/>
      <c r="S126" s="2000"/>
      <c r="T126" s="2000"/>
      <c r="U126" s="2000"/>
      <c r="V126" s="2000"/>
      <c r="W126" s="2000"/>
      <c r="X126" s="2000"/>
      <c r="Y126" s="2000"/>
      <c r="Z126" s="2000"/>
      <c r="AA126" s="2001"/>
    </row>
    <row r="127" spans="1:27">
      <c r="F127" s="15"/>
      <c r="H127" s="10"/>
      <c r="I127" s="10"/>
      <c r="J127" s="10"/>
      <c r="K127" s="10"/>
      <c r="L127" s="10"/>
      <c r="M127" s="10"/>
      <c r="N127" s="10"/>
      <c r="O127" s="10"/>
      <c r="P127" s="10"/>
      <c r="Q127" s="10"/>
      <c r="R127" s="10"/>
      <c r="S127" s="10"/>
      <c r="T127" s="10"/>
      <c r="U127" s="10"/>
      <c r="V127" s="10"/>
      <c r="W127" s="10"/>
      <c r="X127" s="10"/>
      <c r="Y127" s="10"/>
      <c r="Z127" s="10"/>
      <c r="AA127" s="10"/>
    </row>
    <row r="128" spans="1:27" customFormat="1">
      <c r="A128" s="23"/>
      <c r="B128" s="7">
        <f>B119</f>
        <v>2018</v>
      </c>
      <c r="C128" s="13" t="str">
        <f>$I76</f>
        <v>Semi-annual</v>
      </c>
      <c r="D128" s="13">
        <f>$J76</f>
        <v>0</v>
      </c>
      <c r="E128" s="13">
        <f>$K76</f>
        <v>0</v>
      </c>
      <c r="F128" s="14">
        <f>$L$76</f>
        <v>0</v>
      </c>
      <c r="G128" s="13"/>
      <c r="H128" s="9">
        <f>$B$76/$B$31</f>
        <v>0</v>
      </c>
      <c r="I128" s="9">
        <f>H128-P128</f>
        <v>0</v>
      </c>
      <c r="J128" s="9">
        <f>I128-Q128</f>
        <v>0</v>
      </c>
      <c r="K128" s="9">
        <f>J128-R128</f>
        <v>0</v>
      </c>
      <c r="L128" s="9">
        <f>K128-S128</f>
        <v>0</v>
      </c>
      <c r="M128" s="9">
        <f>L128-T128</f>
        <v>0</v>
      </c>
      <c r="N128" s="9"/>
      <c r="O128" s="9">
        <v>0</v>
      </c>
      <c r="P128" s="9">
        <f>H128</f>
        <v>0</v>
      </c>
      <c r="Q128" s="9">
        <v>0</v>
      </c>
      <c r="R128" s="9">
        <v>0</v>
      </c>
      <c r="S128" s="9">
        <v>0</v>
      </c>
      <c r="T128" s="9">
        <v>0</v>
      </c>
      <c r="U128" s="9"/>
      <c r="V128" s="9">
        <f>IF($C128="annual",IF(V$111=$B128,0,G128*$F128),IF(V$111-$B128=0,0,IF((V$111-$B128)&lt;$E128,AVERAGE(G128,H128)*$F128,IF((V$111-$B128)=$E128,G128*$F128/2,0))))</f>
        <v>0</v>
      </c>
      <c r="W128" s="9">
        <f t="shared" ref="W128:AA133" si="26">IF($C128="annual",IF(W$111=$B128,0,H128*$F128),IF(W$111-$B128=0,0,IF((W$111-$B128)&lt;$E128,AVERAGE(H128,I128)*$F128,IF((W$111-$B128)=$E128,H128*$F128/2,0))))</f>
        <v>0</v>
      </c>
      <c r="X128" s="9">
        <f t="shared" si="26"/>
        <v>0</v>
      </c>
      <c r="Y128" s="9">
        <f t="shared" si="26"/>
        <v>0</v>
      </c>
      <c r="Z128" s="9">
        <f t="shared" si="26"/>
        <v>0</v>
      </c>
      <c r="AA128" s="9">
        <f t="shared" si="26"/>
        <v>0</v>
      </c>
    </row>
    <row r="129" spans="1:27" customFormat="1">
      <c r="A129" s="23"/>
      <c r="B129" s="7">
        <f>B128+1</f>
        <v>2019</v>
      </c>
      <c r="C129" s="13" t="str">
        <f>C128</f>
        <v>Semi-annual</v>
      </c>
      <c r="D129" s="13">
        <f>D128</f>
        <v>0</v>
      </c>
      <c r="E129" s="13">
        <f>E128</f>
        <v>0</v>
      </c>
      <c r="F129" s="14">
        <f>$M$76</f>
        <v>2.5000000000000001E-3</v>
      </c>
      <c r="G129" s="13"/>
      <c r="H129" s="9"/>
      <c r="I129" s="9">
        <f ca="1">$C$76/$C$31</f>
        <v>0</v>
      </c>
      <c r="J129" s="9">
        <f ca="1">I129-Q129</f>
        <v>0</v>
      </c>
      <c r="K129" s="9">
        <f ca="1">J129-R129</f>
        <v>0</v>
      </c>
      <c r="L129" s="9">
        <f ca="1">K129-S129</f>
        <v>0</v>
      </c>
      <c r="M129" s="9">
        <f ca="1">L129-T129</f>
        <v>0</v>
      </c>
      <c r="N129" s="9"/>
      <c r="O129" s="9"/>
      <c r="P129" s="9">
        <v>0</v>
      </c>
      <c r="Q129" s="9">
        <f ca="1">I129</f>
        <v>0</v>
      </c>
      <c r="R129" s="9">
        <v>0</v>
      </c>
      <c r="S129" s="9">
        <v>0</v>
      </c>
      <c r="T129" s="9">
        <v>0</v>
      </c>
      <c r="U129" s="9"/>
      <c r="V129" s="9"/>
      <c r="W129" s="9">
        <f t="shared" si="26"/>
        <v>0</v>
      </c>
      <c r="X129" s="9">
        <f t="shared" si="26"/>
        <v>0</v>
      </c>
      <c r="Y129" s="9">
        <f t="shared" si="26"/>
        <v>0</v>
      </c>
      <c r="Z129" s="9">
        <f t="shared" si="26"/>
        <v>0</v>
      </c>
      <c r="AA129" s="9">
        <f t="shared" si="26"/>
        <v>0</v>
      </c>
    </row>
    <row r="130" spans="1:27" customFormat="1">
      <c r="A130" s="23"/>
      <c r="B130" s="7">
        <f>B129+1</f>
        <v>2020</v>
      </c>
      <c r="C130" s="13" t="str">
        <f>C129</f>
        <v>Semi-annual</v>
      </c>
      <c r="D130" s="13">
        <f t="shared" ref="D130:E133" si="27">D129</f>
        <v>0</v>
      </c>
      <c r="E130" s="13">
        <f t="shared" si="27"/>
        <v>0</v>
      </c>
      <c r="F130" s="14">
        <f>$N$76</f>
        <v>2.5000000000000001E-3</v>
      </c>
      <c r="G130" s="13"/>
      <c r="H130" s="9"/>
      <c r="I130" s="9"/>
      <c r="J130" s="9">
        <f ca="1">$D$76/$D$31</f>
        <v>0</v>
      </c>
      <c r="K130" s="9">
        <f ca="1">J130-R130</f>
        <v>0</v>
      </c>
      <c r="L130" s="9">
        <f ca="1">K130-S130</f>
        <v>0</v>
      </c>
      <c r="M130" s="9">
        <f ca="1">L130-T130</f>
        <v>0</v>
      </c>
      <c r="N130" s="9"/>
      <c r="O130" s="9"/>
      <c r="P130" s="9"/>
      <c r="Q130" s="9">
        <v>0</v>
      </c>
      <c r="R130" s="9">
        <f ca="1">J130</f>
        <v>0</v>
      </c>
      <c r="S130" s="9">
        <v>0</v>
      </c>
      <c r="T130" s="9">
        <v>0</v>
      </c>
      <c r="U130" s="9"/>
      <c r="V130" s="9"/>
      <c r="W130" s="9"/>
      <c r="X130" s="9">
        <f t="shared" si="26"/>
        <v>0</v>
      </c>
      <c r="Y130" s="9">
        <f t="shared" si="26"/>
        <v>0</v>
      </c>
      <c r="Z130" s="9">
        <f t="shared" si="26"/>
        <v>0</v>
      </c>
      <c r="AA130" s="9">
        <f t="shared" si="26"/>
        <v>0</v>
      </c>
    </row>
    <row r="131" spans="1:27" customFormat="1">
      <c r="A131" s="23"/>
      <c r="B131" s="7">
        <f>B130+1</f>
        <v>2021</v>
      </c>
      <c r="C131" s="13" t="str">
        <f>C130</f>
        <v>Semi-annual</v>
      </c>
      <c r="D131" s="13">
        <f t="shared" si="27"/>
        <v>0</v>
      </c>
      <c r="E131" s="13">
        <f t="shared" si="27"/>
        <v>0</v>
      </c>
      <c r="F131" s="14">
        <f>$O$76</f>
        <v>2.5000000000000001E-3</v>
      </c>
      <c r="G131" s="13"/>
      <c r="H131" s="9"/>
      <c r="I131" s="9"/>
      <c r="J131" s="9"/>
      <c r="K131" s="9">
        <f ca="1">$E$76/$E$31</f>
        <v>0</v>
      </c>
      <c r="L131" s="9">
        <f ca="1">K131-S131</f>
        <v>0</v>
      </c>
      <c r="M131" s="9">
        <f ca="1">L131-T131</f>
        <v>0</v>
      </c>
      <c r="N131" s="9"/>
      <c r="O131" s="9"/>
      <c r="P131" s="9"/>
      <c r="Q131" s="9"/>
      <c r="R131" s="9">
        <v>0</v>
      </c>
      <c r="S131" s="9">
        <f ca="1">K131</f>
        <v>0</v>
      </c>
      <c r="T131" s="9">
        <v>0</v>
      </c>
      <c r="U131" s="9"/>
      <c r="V131" s="9"/>
      <c r="W131" s="9"/>
      <c r="X131" s="9"/>
      <c r="Y131" s="9">
        <f t="shared" si="26"/>
        <v>0</v>
      </c>
      <c r="Z131" s="9">
        <f t="shared" si="26"/>
        <v>0</v>
      </c>
      <c r="AA131" s="9">
        <f t="shared" si="26"/>
        <v>0</v>
      </c>
    </row>
    <row r="132" spans="1:27" customFormat="1">
      <c r="A132" s="23"/>
      <c r="B132" s="7">
        <f>B131+1</f>
        <v>2022</v>
      </c>
      <c r="C132" s="13" t="str">
        <f>C131</f>
        <v>Semi-annual</v>
      </c>
      <c r="D132" s="13">
        <f t="shared" si="27"/>
        <v>0</v>
      </c>
      <c r="E132" s="13">
        <f t="shared" si="27"/>
        <v>0</v>
      </c>
      <c r="F132" s="14">
        <f>$P$76</f>
        <v>2.5000000000000001E-3</v>
      </c>
      <c r="G132" s="13"/>
      <c r="H132" s="9"/>
      <c r="I132" s="9"/>
      <c r="J132" s="9"/>
      <c r="K132" s="9"/>
      <c r="L132" s="9">
        <f ca="1">$F$76/$F$31</f>
        <v>0</v>
      </c>
      <c r="M132" s="9">
        <f ca="1">L132-T132</f>
        <v>0</v>
      </c>
      <c r="N132" s="9"/>
      <c r="O132" s="9"/>
      <c r="P132" s="9"/>
      <c r="Q132" s="9"/>
      <c r="R132" s="9"/>
      <c r="S132" s="9">
        <v>0</v>
      </c>
      <c r="T132" s="9">
        <f ca="1">L132</f>
        <v>0</v>
      </c>
      <c r="U132" s="9"/>
      <c r="V132" s="9"/>
      <c r="W132" s="9"/>
      <c r="X132" s="9"/>
      <c r="Y132" s="9"/>
      <c r="Z132" s="9">
        <f t="shared" si="26"/>
        <v>0</v>
      </c>
      <c r="AA132" s="9">
        <f t="shared" si="26"/>
        <v>0</v>
      </c>
    </row>
    <row r="133" spans="1:27" customFormat="1">
      <c r="A133" s="23"/>
      <c r="B133" s="7">
        <f>B132+1</f>
        <v>2023</v>
      </c>
      <c r="C133" s="13" t="str">
        <f>C132</f>
        <v>Semi-annual</v>
      </c>
      <c r="D133" s="13">
        <f t="shared" si="27"/>
        <v>0</v>
      </c>
      <c r="E133" s="13">
        <f t="shared" si="27"/>
        <v>0</v>
      </c>
      <c r="F133" s="14">
        <f>$Q$76</f>
        <v>2.5000000000000001E-3</v>
      </c>
      <c r="G133" s="13"/>
      <c r="H133" s="9"/>
      <c r="I133" s="9"/>
      <c r="J133" s="9"/>
      <c r="K133" s="9"/>
      <c r="L133" s="9"/>
      <c r="M133" s="9">
        <f ca="1">$G$76/$G$31</f>
        <v>0</v>
      </c>
      <c r="N133" s="9"/>
      <c r="O133" s="9"/>
      <c r="P133" s="9"/>
      <c r="Q133" s="9"/>
      <c r="R133" s="9"/>
      <c r="S133" s="9"/>
      <c r="T133" s="9">
        <v>0</v>
      </c>
      <c r="U133" s="9"/>
      <c r="V133" s="9"/>
      <c r="W133" s="9"/>
      <c r="X133" s="9"/>
      <c r="Y133" s="9"/>
      <c r="Z133" s="9"/>
      <c r="AA133" s="9">
        <f t="shared" si="26"/>
        <v>0</v>
      </c>
    </row>
    <row r="135" spans="1:27" ht="15.75" thickBot="1">
      <c r="A135" s="11" t="str">
        <f>'Input 4 - Forecast'!A58</f>
        <v>Long-term debt 3/</v>
      </c>
    </row>
    <row r="136" spans="1:27" ht="15.75" thickBot="1">
      <c r="A136" s="12" t="str">
        <f>'Input 4 - Forecast'!A59</f>
        <v>Denominated in local currency</v>
      </c>
      <c r="B136" s="1999" t="s">
        <v>51</v>
      </c>
      <c r="C136" s="2000"/>
      <c r="D136" s="2000"/>
      <c r="E136" s="2000"/>
      <c r="F136" s="2000"/>
      <c r="G136" s="2000"/>
      <c r="H136" s="2000"/>
      <c r="I136" s="2000"/>
      <c r="J136" s="2000"/>
      <c r="K136" s="2000"/>
      <c r="L136" s="2000"/>
      <c r="M136" s="2000"/>
      <c r="N136" s="2000"/>
      <c r="O136" s="2000"/>
      <c r="P136" s="2000"/>
      <c r="Q136" s="2000"/>
      <c r="R136" s="2000"/>
      <c r="S136" s="2000"/>
      <c r="T136" s="2000"/>
      <c r="U136" s="2000"/>
      <c r="V136" s="2000"/>
      <c r="W136" s="2000"/>
      <c r="X136" s="2000"/>
      <c r="Y136" s="2000"/>
      <c r="Z136" s="2000"/>
      <c r="AA136" s="2001"/>
    </row>
    <row r="138" spans="1:27">
      <c r="A138" s="8" t="str">
        <f>'Input 4 - Forecast'!A60</f>
        <v>Type 1</v>
      </c>
      <c r="B138" s="7">
        <f>B119</f>
        <v>2018</v>
      </c>
      <c r="C138" s="7" t="str">
        <f>$I79</f>
        <v>Annual</v>
      </c>
      <c r="D138" s="7">
        <f>$J79</f>
        <v>5</v>
      </c>
      <c r="E138" s="7">
        <f>$K79</f>
        <v>5</v>
      </c>
      <c r="F138" s="14">
        <f>$L$79</f>
        <v>5.0000000000000001E-3</v>
      </c>
      <c r="H138" s="9">
        <f>$B$79</f>
        <v>329.998670927072</v>
      </c>
      <c r="I138" s="9">
        <f>H138-P138</f>
        <v>329.998670927072</v>
      </c>
      <c r="J138" s="9">
        <f>I138-Q138</f>
        <v>329.998670927072</v>
      </c>
      <c r="K138" s="9">
        <f>J138-R138</f>
        <v>329.998670927072</v>
      </c>
      <c r="L138" s="9">
        <f>K138-S138</f>
        <v>329.998670927072</v>
      </c>
      <c r="M138" s="9">
        <f>L138-T138</f>
        <v>0</v>
      </c>
      <c r="N138" s="9"/>
      <c r="O138" s="9">
        <f t="shared" ref="O138:T138" si="28">IF(OR($C138="Annual",$D138=$E138),IF(AND($D138=$E138,O$111=$B138+$D138),$H138,IF(AND(O$111&gt;$B138+$D138,O$111&lt;=$B138+$E138), $H138/($E138-$D138),0)), IF(OR(O$111=$B138+$D138,O$111=$B138+$E138),$H138/(($E138-$D138)*2),IF(AND(O$111&gt;$B138+$D138,O$111&lt;$B138+$E138),$H138/($E138-$D138),0)))</f>
        <v>0</v>
      </c>
      <c r="P138" s="9">
        <f t="shared" si="28"/>
        <v>0</v>
      </c>
      <c r="Q138" s="9">
        <f t="shared" si="28"/>
        <v>0</v>
      </c>
      <c r="R138" s="9">
        <f t="shared" si="28"/>
        <v>0</v>
      </c>
      <c r="S138" s="9">
        <f t="shared" si="28"/>
        <v>0</v>
      </c>
      <c r="T138" s="9">
        <f t="shared" si="28"/>
        <v>329.998670927072</v>
      </c>
      <c r="U138" s="9"/>
      <c r="V138" s="9">
        <f>IF($C138="annual",IF(V$111=$B138,0,G138*$F138),IF(V$111-$B138=0,0,IF((V$111-$B138)&lt;$E138,AVERAGE(G138,H138)*$F138,IF((V$111-$B138)=$E138,G138*$F138/2,0))))</f>
        <v>0</v>
      </c>
      <c r="W138" s="9">
        <f t="shared" ref="W138:AA143" si="29">IF($C138="annual",IF(W$111=$B138,0,H138*$F138),IF(W$111-$B138=0,0,IF((W$111-$B138)&lt;$E138,AVERAGE(H138,I138)*$F138,IF((W$111-$B138)=$E138,H138*$F138/2,0))))</f>
        <v>1.64999335463536</v>
      </c>
      <c r="X138" s="9">
        <f t="shared" si="29"/>
        <v>1.64999335463536</v>
      </c>
      <c r="Y138" s="9">
        <f t="shared" si="29"/>
        <v>1.64999335463536</v>
      </c>
      <c r="Z138" s="9">
        <f t="shared" si="29"/>
        <v>1.64999335463536</v>
      </c>
      <c r="AA138" s="9">
        <f t="shared" si="29"/>
        <v>1.64999335463536</v>
      </c>
    </row>
    <row r="139" spans="1:27">
      <c r="A139" s="8" t="str">
        <f>A138</f>
        <v>Type 1</v>
      </c>
      <c r="B139" s="7">
        <f>B138+1</f>
        <v>2019</v>
      </c>
      <c r="C139" s="7" t="str">
        <f>C138</f>
        <v>Annual</v>
      </c>
      <c r="D139" s="7">
        <f>D138</f>
        <v>5</v>
      </c>
      <c r="E139" s="7">
        <f>E138</f>
        <v>5</v>
      </c>
      <c r="F139" s="14">
        <f>$M$79</f>
        <v>7.4999999999999997E-3</v>
      </c>
      <c r="H139" s="9"/>
      <c r="I139" s="9">
        <f ca="1">$C$79</f>
        <v>44.66398818861105</v>
      </c>
      <c r="J139" s="9">
        <f ca="1">I139-Q139</f>
        <v>22.331994094305525</v>
      </c>
      <c r="K139" s="9">
        <f ca="1">J139-R139</f>
        <v>0</v>
      </c>
      <c r="L139" s="9">
        <f ca="1">K139-S139</f>
        <v>0</v>
      </c>
      <c r="M139" s="9">
        <f ca="1">L139-T139</f>
        <v>0</v>
      </c>
      <c r="N139" s="9"/>
      <c r="O139" s="9"/>
      <c r="P139" s="9">
        <f>IF(OR($C139="Annual",$D139=$E139),IF(AND($D139=$E139,P$111=$B139+$D139),$I139,IF(AND(P$111&gt;$B139+$D139,P$111&lt;=$B139+$E139), $I139/($E139-$D139),0)), IF(OR(P$111=$B139+$D139,P$111=$B139+$E139),$I139/(($E139-$D139)*2),IF(AND(P$111&gt;$B139+$D139,P$111&lt;$B139+$E139),$I139/($E139-$D139),0)))</f>
        <v>0</v>
      </c>
      <c r="Q139" s="9">
        <f>IF(OR($C139="Annual",$D139=$E139),IF(AND($D139=$E139,Q$111=$B139+$D139),$I139,IF(AND(Q$111&gt;$B139+$D139,Q$111&lt;=$B139+$E139), $I139/($E139-$D139),0)), IF(OR(Q$111=$B139+$D139,Q$111=$B139+$E139),$I139/(($E139-$D139)*2),IF(AND(Q$111&gt;$B139+$D139,Q$111&lt;$B139+$E139),$I139/($E139-$D139),0)))</f>
        <v>0</v>
      </c>
      <c r="R139" s="9">
        <f>IF(OR($C139="Annual",$D139=$E139),IF(AND($D139=$E139,R$111=$B139+$D139),$I139,IF(AND(R$111&gt;$B139+$D139,R$111&lt;=$B139+$E139), $I139/($E139-$D139),0)), IF(OR(R$111=$B139+$D139,R$111=$B139+$E139),$I139/(($E139-$D139)*2),IF(AND(R$111&gt;$B139+$D139,R$111&lt;$B139+$E139),$I139/($E139-$D139),0)))</f>
        <v>0</v>
      </c>
      <c r="S139" s="9">
        <f>IF(OR($C139="Annual",$D139=$E139),IF(AND($D139=$E139,S$111=$B139+$D139),$I139,IF(AND(S$111&gt;$B139+$D139,S$111&lt;=$B139+$E139), $I139/($E139-$D139),0)), IF(OR(S$111=$B139+$D139,S$111=$B139+$E139),$I139/(($E139-$D139)*2),IF(AND(S$111&gt;$B139+$D139,S$111&lt;$B139+$E139),$I139/($E139-$D139),0)))</f>
        <v>0</v>
      </c>
      <c r="T139" s="9">
        <f>IF(OR($C139="Annual",$D139=$E139),IF(AND($D139=$E139,T$111=$B139+$D139),$I139,IF(AND(T$111&gt;$B139+$D139,T$111&lt;=$B139+$E139), $I139/($E139-$D139),0)), IF(OR(T$111=$B139+$D139,T$111=$B139+$E139),$I139/(($E139-$D139)*2),IF(AND(T$111&gt;$B139+$D139,T$111&lt;$B139+$E139),$I139/($E139-$D139),0)))</f>
        <v>0</v>
      </c>
      <c r="U139" s="9"/>
      <c r="V139" s="9"/>
      <c r="W139" s="9">
        <f t="shared" si="29"/>
        <v>0</v>
      </c>
      <c r="X139" s="9">
        <f t="shared" ca="1" si="29"/>
        <v>1.3368489964703645</v>
      </c>
      <c r="Y139" s="9">
        <f t="shared" ca="1" si="29"/>
        <v>0.66842449823518224</v>
      </c>
      <c r="Z139" s="9">
        <f t="shared" ca="1" si="29"/>
        <v>0</v>
      </c>
      <c r="AA139" s="9">
        <f t="shared" ca="1" si="29"/>
        <v>0</v>
      </c>
    </row>
    <row r="140" spans="1:27">
      <c r="A140" s="8" t="str">
        <f>A139</f>
        <v>Type 1</v>
      </c>
      <c r="B140" s="7">
        <f>B139+1</f>
        <v>2020</v>
      </c>
      <c r="C140" s="7" t="str">
        <f>C139</f>
        <v>Annual</v>
      </c>
      <c r="D140" s="7">
        <f t="shared" ref="D140:E143" si="30">D139</f>
        <v>5</v>
      </c>
      <c r="E140" s="7">
        <f t="shared" si="30"/>
        <v>5</v>
      </c>
      <c r="F140" s="14">
        <f>$N$79</f>
        <v>1.2500000000000001E-2</v>
      </c>
      <c r="H140" s="9"/>
      <c r="I140" s="9"/>
      <c r="J140" s="9">
        <f ca="1">$D$79</f>
        <v>53.101792382003218</v>
      </c>
      <c r="K140" s="9">
        <f ca="1">J140-R140</f>
        <v>26.550896191001609</v>
      </c>
      <c r="L140" s="9">
        <f ca="1">K140-S140</f>
        <v>0</v>
      </c>
      <c r="M140" s="9">
        <f ca="1">L140-T140</f>
        <v>0</v>
      </c>
      <c r="N140" s="9"/>
      <c r="O140" s="9"/>
      <c r="P140" s="9"/>
      <c r="Q140" s="9">
        <f>IF(OR($C140="Annual",$D140=$E140),IF(AND($D140=$E140,Q$111=$B140+$D140),$J140,IF(AND(Q$111&gt;$B140+$D140,Q$111&lt;=$B140+$E140), $J140/($E140-$D140),0)), IF(OR(Q$111=$B140+$D140,Q$111=$B140+$E140),$J140/(($E140-$D140)*2),IF(AND(Q$111&gt;$B140+$D140,Q$111&lt;$B140+$E140),$J140/($E140-$D140),0)))</f>
        <v>0</v>
      </c>
      <c r="R140" s="9">
        <f>IF(OR($C140="Annual",$D140=$E140),IF(AND($D140=$E140,R$111=$B140+$D140),$J140,IF(AND(R$111&gt;$B140+$D140,R$111&lt;=$B140+$E140), $J140/($E140-$D140),0)), IF(OR(R$111=$B140+$D140,R$111=$B140+$E140),$J140/(($E140-$D140)*2),IF(AND(R$111&gt;$B140+$D140,R$111&lt;$B140+$E140),$J140/($E140-$D140),0)))</f>
        <v>0</v>
      </c>
      <c r="S140" s="9">
        <f>IF(OR($C140="Annual",$D140=$E140),IF(AND($D140=$E140,S$111=$B140+$D140),$J140,IF(AND(S$111&gt;$B140+$D140,S$111&lt;=$B140+$E140), $J140/($E140-$D140),0)), IF(OR(S$111=$B140+$D140,S$111=$B140+$E140),$J140/(($E140-$D140)*2),IF(AND(S$111&gt;$B140+$D140,S$111&lt;$B140+$E140),$J140/($E140-$D140),0)))</f>
        <v>0</v>
      </c>
      <c r="T140" s="9">
        <f>IF(OR($C140="Annual",$D140=$E140),IF(AND($D140=$E140,T$111=$B140+$D140),$J140,IF(AND(T$111&gt;$B140+$D140,T$111&lt;=$B140+$E140), $J140/($E140-$D140),0)), IF(OR(T$111=$B140+$D140,T$111=$B140+$E140),$J140/(($E140-$D140)*2),IF(AND(T$111&gt;$B140+$D140,T$111&lt;$B140+$E140),$J140/($E140-$D140),0)))</f>
        <v>0</v>
      </c>
      <c r="U140" s="9"/>
      <c r="V140" s="9"/>
      <c r="W140" s="9"/>
      <c r="X140" s="9">
        <f t="shared" si="29"/>
        <v>0</v>
      </c>
      <c r="Y140" s="9">
        <f t="shared" ca="1" si="29"/>
        <v>1.7477127417726781</v>
      </c>
      <c r="Z140" s="9">
        <f t="shared" ca="1" si="29"/>
        <v>0.87385637088633905</v>
      </c>
      <c r="AA140" s="9">
        <f t="shared" ca="1" si="29"/>
        <v>0</v>
      </c>
    </row>
    <row r="141" spans="1:27">
      <c r="A141" s="8" t="str">
        <f>A140</f>
        <v>Type 1</v>
      </c>
      <c r="B141" s="7">
        <f>B140+1</f>
        <v>2021</v>
      </c>
      <c r="C141" s="7" t="str">
        <f>C140</f>
        <v>Annual</v>
      </c>
      <c r="D141" s="7">
        <f t="shared" si="30"/>
        <v>5</v>
      </c>
      <c r="E141" s="7">
        <f t="shared" si="30"/>
        <v>5</v>
      </c>
      <c r="F141" s="14">
        <f>$O$79</f>
        <v>1.2500000000000001E-2</v>
      </c>
      <c r="H141" s="9"/>
      <c r="I141" s="9"/>
      <c r="J141" s="9"/>
      <c r="K141" s="9">
        <f ca="1">$E$79</f>
        <v>47.496075413101799</v>
      </c>
      <c r="L141" s="9">
        <f ca="1">K141-S141</f>
        <v>23.7480377065509</v>
      </c>
      <c r="M141" s="9">
        <f ca="1">L141-T141</f>
        <v>0</v>
      </c>
      <c r="N141" s="9"/>
      <c r="O141" s="9"/>
      <c r="P141" s="9"/>
      <c r="Q141" s="9"/>
      <c r="R141" s="9">
        <f>IF(OR($C141="Annual",$D141=$E141),IF(AND($D141=$E141,R$111=$B141+$D141),$K141,IF(AND(R$111&gt;$B141+$D141,R$111&lt;=$B141+$E141), $K141/($E141-$D141),0)), IF(OR(R$111=$B141+$D141,R$111=$B141+$E141),$K141/(($E141-$D141)*2),IF(AND(R$111&gt;$B141+$D141,R$111&lt;$B141+$E141),$K141/($E141-$D141),0)))</f>
        <v>0</v>
      </c>
      <c r="S141" s="9">
        <f>IF(OR($C141="Annual",$D141=$E141),IF(AND($D141=$E141,S$111=$B141+$D141),$K141,IF(AND(S$111&gt;$B141+$D141,S$111&lt;=$B141+$E141), $K141/($E141-$D141),0)), IF(OR(S$111=$B141+$D141,S$111=$B141+$E141),$K141/(($E141-$D141)*2),IF(AND(S$111&gt;$B141+$D141,S$111&lt;$B141+$E141),$K141/($E141-$D141),0)))</f>
        <v>0</v>
      </c>
      <c r="T141" s="9">
        <f>IF(OR($C141="Annual",$D141=$E141),IF(AND($D141=$E141,T$111=$B141+$D141),$K141,IF(AND(T$111&gt;$B141+$D141,T$111&lt;=$B141+$E141), $K141/($E141-$D141),0)), IF(OR(T$111=$B141+$D141,T$111=$B141+$E141),$K141/(($E141-$D141)*2),IF(AND(T$111&gt;$B141+$D141,T$111&lt;$B141+$E141),$K141/($E141-$D141),0)))</f>
        <v>0</v>
      </c>
      <c r="U141" s="9"/>
      <c r="V141" s="9"/>
      <c r="W141" s="9"/>
      <c r="X141" s="9"/>
      <c r="Y141" s="9">
        <f t="shared" si="29"/>
        <v>0</v>
      </c>
      <c r="Z141" s="9">
        <f t="shared" ca="1" si="29"/>
        <v>1.6813610696238015</v>
      </c>
      <c r="AA141" s="9">
        <f t="shared" ca="1" si="29"/>
        <v>0.84068053481190075</v>
      </c>
    </row>
    <row r="142" spans="1:27">
      <c r="A142" s="8" t="str">
        <f>A141</f>
        <v>Type 1</v>
      </c>
      <c r="B142" s="7">
        <f>B141+1</f>
        <v>2022</v>
      </c>
      <c r="C142" s="7" t="str">
        <f>C141</f>
        <v>Annual</v>
      </c>
      <c r="D142" s="7">
        <f t="shared" si="30"/>
        <v>5</v>
      </c>
      <c r="E142" s="7">
        <f t="shared" si="30"/>
        <v>5</v>
      </c>
      <c r="F142" s="14">
        <f>$P$79</f>
        <v>1.2500000000000001E-2</v>
      </c>
      <c r="H142" s="9"/>
      <c r="I142" s="9"/>
      <c r="J142" s="9"/>
      <c r="K142" s="9"/>
      <c r="L142" s="9">
        <f ca="1">$F$79</f>
        <v>58.075344995365093</v>
      </c>
      <c r="M142" s="9">
        <f ca="1">L142-T142</f>
        <v>29.037672497682546</v>
      </c>
      <c r="N142" s="9"/>
      <c r="O142" s="9"/>
      <c r="P142" s="9"/>
      <c r="Q142" s="9"/>
      <c r="R142" s="9"/>
      <c r="S142" s="9">
        <f>IF(OR($C142="Annual",$D142=$E142),IF(AND($D142=$E142,S$111=$B142+$D142),$L142,IF(AND(S$111&gt;$B142+$D142,S$111&lt;=$B142+$E142), $L142/($E142-$D142),0)), IF(OR(S$111=$B142+$D142,S$111=$B142+$E142),$L142/(($E142-$D142)*2),IF(AND(S$111&gt;$B142+$D142,S$111&lt;$B142+$E142),$L142/($E142-$D142),0)))</f>
        <v>0</v>
      </c>
      <c r="T142" s="9">
        <f>IF(OR($C142="Annual",$D142=$E142),IF(AND($D142=$E142,T$111=$B142+$D142),$L142,IF(AND(T$111&gt;$B142+$D142,T$111&lt;=$B142+$E142), $L142/($E142-$D142),0)), IF(OR(T$111=$B142+$D142,T$111=$B142+$E142),$L142/(($E142-$D142)*2),IF(AND(T$111&gt;$B142+$D142,T$111&lt;$B142+$E142),$L142/($E142-$D142),0)))</f>
        <v>0</v>
      </c>
      <c r="U142" s="9"/>
      <c r="V142" s="9"/>
      <c r="W142" s="9"/>
      <c r="X142" s="9"/>
      <c r="Y142" s="9"/>
      <c r="Z142" s="9">
        <f t="shared" si="29"/>
        <v>0</v>
      </c>
      <c r="AA142" s="9">
        <f t="shared" ca="1" si="29"/>
        <v>2.1781884082324119</v>
      </c>
    </row>
    <row r="143" spans="1:27">
      <c r="A143" s="8" t="str">
        <f>A142</f>
        <v>Type 1</v>
      </c>
      <c r="B143" s="7">
        <f>B142+1</f>
        <v>2023</v>
      </c>
      <c r="C143" s="7" t="str">
        <f>C142</f>
        <v>Annual</v>
      </c>
      <c r="D143" s="7">
        <f t="shared" si="30"/>
        <v>5</v>
      </c>
      <c r="E143" s="7">
        <f t="shared" si="30"/>
        <v>5</v>
      </c>
      <c r="F143" s="14">
        <f>$Q$79</f>
        <v>1.2500000000000001E-2</v>
      </c>
      <c r="H143" s="9"/>
      <c r="I143" s="9"/>
      <c r="J143" s="9"/>
      <c r="K143" s="9"/>
      <c r="L143" s="9"/>
      <c r="M143" s="9">
        <f ca="1">$G$79</f>
        <v>47.650119783069698</v>
      </c>
      <c r="N143" s="9"/>
      <c r="O143" s="9"/>
      <c r="P143" s="9"/>
      <c r="Q143" s="9"/>
      <c r="R143" s="9"/>
      <c r="S143" s="9"/>
      <c r="T143" s="9">
        <f>IF(OR($C143="Annual",$D143=$E143),IF(AND($D143=$E143,T$111=$B143+$D143),$M143,IF(AND(T$111&gt;$B143+$D143,T$111&lt;=$B143+$E143), $M143/($E143-$D143),0)), IF(OR(T$111=$B143+$D143,T$111=$B143+$E143),$M143/(($E143-$D143)*2),IF(AND(T$111&gt;$B143+$D143,T$111&lt;$B143+$E143),$M143/($E143-$D143),0)))</f>
        <v>0</v>
      </c>
      <c r="U143" s="9"/>
      <c r="V143" s="9"/>
      <c r="W143" s="9"/>
      <c r="X143" s="9"/>
      <c r="Y143" s="9"/>
      <c r="Z143" s="9"/>
      <c r="AA143" s="9">
        <f t="shared" si="29"/>
        <v>0</v>
      </c>
    </row>
    <row r="144" spans="1:27">
      <c r="C144" s="281"/>
      <c r="F144" s="15"/>
      <c r="H144" s="10"/>
      <c r="I144" s="10"/>
      <c r="J144" s="10"/>
      <c r="K144" s="10"/>
      <c r="L144" s="10"/>
      <c r="M144" s="10"/>
      <c r="N144" s="10"/>
      <c r="O144" s="278"/>
      <c r="P144" s="10"/>
      <c r="Q144" s="10"/>
      <c r="R144" s="10"/>
      <c r="S144" s="10"/>
      <c r="T144" s="10"/>
      <c r="U144" s="10"/>
      <c r="V144" s="10"/>
      <c r="W144" s="10"/>
      <c r="X144" s="10"/>
      <c r="Y144" s="10"/>
      <c r="Z144" s="10"/>
      <c r="AA144" s="10"/>
    </row>
    <row r="145" spans="1:27">
      <c r="A145" s="8" t="str">
        <f>'Input 4 - Forecast'!A61</f>
        <v>Type 2</v>
      </c>
      <c r="B145" s="7">
        <f>B119</f>
        <v>2018</v>
      </c>
      <c r="C145" s="7" t="str">
        <f>$I80</f>
        <v>Annual</v>
      </c>
      <c r="D145" s="7">
        <f>$J80</f>
        <v>0</v>
      </c>
      <c r="E145" s="7">
        <f>$K80</f>
        <v>0</v>
      </c>
      <c r="F145" s="14">
        <f>$L$80</f>
        <v>0</v>
      </c>
      <c r="H145" s="9">
        <f>$B$80</f>
        <v>0</v>
      </c>
      <c r="I145" s="9">
        <f>H145-P145</f>
        <v>0</v>
      </c>
      <c r="J145" s="9">
        <f>I145-Q145</f>
        <v>0</v>
      </c>
      <c r="K145" s="9">
        <f>J145-R145</f>
        <v>0</v>
      </c>
      <c r="L145" s="9">
        <f>K145-S145</f>
        <v>0</v>
      </c>
      <c r="M145" s="9">
        <f>L145-T145</f>
        <v>0</v>
      </c>
      <c r="N145" s="9"/>
      <c r="O145" s="9">
        <f t="shared" ref="O145:T145" si="31">IF(OR($C145="Annual",$D145=$E145),IF(AND($D145=$E145,O$111=$B145+$D145),$H145,IF(AND(O$111&gt;$B145+$D145,O$111&lt;=$B145+$E145), $H145/($E145-$D145),0)), IF(OR(O$111=$B145+$D145,O$111=$B145+$E145),$H145/(($E145-$D145)*2),IF(AND(O$111&gt;$B145+$D145,O$111&lt;$B145+$E145),$H145/($E145-$D145),0)))</f>
        <v>0</v>
      </c>
      <c r="P145" s="9">
        <f t="shared" si="31"/>
        <v>0</v>
      </c>
      <c r="Q145" s="9">
        <f t="shared" si="31"/>
        <v>0</v>
      </c>
      <c r="R145" s="9">
        <f t="shared" si="31"/>
        <v>0</v>
      </c>
      <c r="S145" s="9">
        <f t="shared" si="31"/>
        <v>0</v>
      </c>
      <c r="T145" s="9">
        <f t="shared" si="31"/>
        <v>0</v>
      </c>
      <c r="U145" s="9"/>
      <c r="V145" s="9">
        <f>IF($C145="annual",IF(V$111=$B145,0,G145*$F145),IF(V$111-$B145=0,0,IF((V$111-$B145)&lt;$E145,AVERAGE(G145,H145)*$F145,IF((V$111-$B145)=$E145,G145*$F145/2,0))))</f>
        <v>0</v>
      </c>
      <c r="W145" s="9">
        <f t="shared" ref="W145:AA150" si="32">IF($C145="annual",IF(W$111=$B145,0,H145*$F145),IF(W$111-$B145=0,0,IF((W$111-$B145)&lt;$E145,AVERAGE(H145,I145)*$F145,IF((W$111-$B145)=$E145,H145*$F145/2,0))))</f>
        <v>0</v>
      </c>
      <c r="X145" s="9">
        <f t="shared" si="32"/>
        <v>0</v>
      </c>
      <c r="Y145" s="9">
        <f t="shared" si="32"/>
        <v>0</v>
      </c>
      <c r="Z145" s="9">
        <f t="shared" si="32"/>
        <v>0</v>
      </c>
      <c r="AA145" s="9">
        <f t="shared" si="32"/>
        <v>0</v>
      </c>
    </row>
    <row r="146" spans="1:27">
      <c r="A146" s="8" t="str">
        <f>A145</f>
        <v>Type 2</v>
      </c>
      <c r="B146" s="7">
        <f>B145+1</f>
        <v>2019</v>
      </c>
      <c r="C146" s="7" t="str">
        <f>C145</f>
        <v>Annual</v>
      </c>
      <c r="D146" s="7">
        <f t="shared" ref="D146:E150" si="33">D145</f>
        <v>0</v>
      </c>
      <c r="E146" s="7">
        <f t="shared" si="33"/>
        <v>0</v>
      </c>
      <c r="F146" s="14">
        <f>$M$80</f>
        <v>2.5000000000000001E-3</v>
      </c>
      <c r="H146" s="9"/>
      <c r="I146" s="9">
        <f ca="1">$C$80</f>
        <v>57.425127671071351</v>
      </c>
      <c r="J146" s="9">
        <f ca="1">I146-Q146</f>
        <v>38.283418447380896</v>
      </c>
      <c r="K146" s="9">
        <f ca="1">J146-R146</f>
        <v>19.141709223690444</v>
      </c>
      <c r="L146" s="9">
        <f ca="1">K146-S146</f>
        <v>0</v>
      </c>
      <c r="M146" s="9">
        <f ca="1">L146-T146</f>
        <v>0</v>
      </c>
      <c r="N146" s="9"/>
      <c r="O146" s="9"/>
      <c r="P146" s="9">
        <f ca="1">IF(OR($C146="Annual",$D146=$E146),IF(AND($D146=$E146,P$111=$B146+$D146),$I146,IF(AND(P$111&gt;$B146+$D146,P$111&lt;=$B146+$E146), $I146/($E146-$D146),0)), IF(OR(P$111=$B146+$D146,P$111=$B146+$E146),$I146/(($E146-$D146)*2),IF(AND(P$111&gt;$B146+$D146,P$111&lt;$B146+$E146),$I146/($E146-$D146),0)))</f>
        <v>0</v>
      </c>
      <c r="Q146" s="9">
        <f>IF(OR($C146="Annual",$D146=$E146),IF(AND($D146=$E146,Q$111=$B146+$D146),$I146,IF(AND(Q$111&gt;$B146+$D146,Q$111&lt;=$B146+$E146), $I146/($E146-$D146),0)), IF(OR(Q$111=$B146+$D146,Q$111=$B146+$E146),$I146/(($E146-$D146)*2),IF(AND(Q$111&gt;$B146+$D146,Q$111&lt;$B146+$E146),$I146/($E146-$D146),0)))</f>
        <v>0</v>
      </c>
      <c r="R146" s="9">
        <f>IF(OR($C146="Annual",$D146=$E146),IF(AND($D146=$E146,R$111=$B146+$D146),$I146,IF(AND(R$111&gt;$B146+$D146,R$111&lt;=$B146+$E146), $I146/($E146-$D146),0)), IF(OR(R$111=$B146+$D146,R$111=$B146+$E146),$I146/(($E146-$D146)*2),IF(AND(R$111&gt;$B146+$D146,R$111&lt;$B146+$E146),$I146/($E146-$D146),0)))</f>
        <v>0</v>
      </c>
      <c r="S146" s="9">
        <f>IF(OR($C146="Annual",$D146=$E146),IF(AND($D146=$E146,S$111=$B146+$D146),$I146,IF(AND(S$111&gt;$B146+$D146,S$111&lt;=$B146+$E146), $I146/($E146-$D146),0)), IF(OR(S$111=$B146+$D146,S$111=$B146+$E146),$I146/(($E146-$D146)*2),IF(AND(S$111&gt;$B146+$D146,S$111&lt;$B146+$E146),$I146/($E146-$D146),0)))</f>
        <v>0</v>
      </c>
      <c r="T146" s="9">
        <f>IF(OR($C146="Annual",$D146=$E146),IF(AND($D146=$E146,T$111=$B146+$D146),$I146,IF(AND(T$111&gt;$B146+$D146,T$111&lt;=$B146+$E146), $I146/($E146-$D146),0)), IF(OR(T$111=$B146+$D146,T$111=$B146+$E146),$I146/(($E146-$D146)*2),IF(AND(T$111&gt;$B146+$D146,T$111&lt;$B146+$E146),$I146/($E146-$D146),0)))</f>
        <v>0</v>
      </c>
      <c r="U146" s="9"/>
      <c r="V146" s="9"/>
      <c r="W146" s="9">
        <f t="shared" si="32"/>
        <v>0</v>
      </c>
      <c r="X146" s="9">
        <f t="shared" ca="1" si="32"/>
        <v>1.7188058526047543</v>
      </c>
      <c r="Y146" s="9">
        <f t="shared" ca="1" si="32"/>
        <v>1.1458705684031694</v>
      </c>
      <c r="Z146" s="9">
        <f t="shared" ca="1" si="32"/>
        <v>0.57293528420158457</v>
      </c>
      <c r="AA146" s="9">
        <f t="shared" ca="1" si="32"/>
        <v>0</v>
      </c>
    </row>
    <row r="147" spans="1:27">
      <c r="A147" s="8" t="str">
        <f>A146</f>
        <v>Type 2</v>
      </c>
      <c r="B147" s="7">
        <f>B146+1</f>
        <v>2020</v>
      </c>
      <c r="C147" s="7" t="str">
        <f>C146</f>
        <v>Annual</v>
      </c>
      <c r="D147" s="7">
        <f t="shared" si="33"/>
        <v>0</v>
      </c>
      <c r="E147" s="7">
        <f t="shared" si="33"/>
        <v>0</v>
      </c>
      <c r="F147" s="14">
        <f>$N$80</f>
        <v>2.5000000000000001E-3</v>
      </c>
      <c r="H147" s="9"/>
      <c r="I147" s="9"/>
      <c r="J147" s="9">
        <f ca="1">$D$80</f>
        <v>63.722150858403865</v>
      </c>
      <c r="K147" s="9">
        <f ca="1">J147-R147</f>
        <v>42.481433905602572</v>
      </c>
      <c r="L147" s="9">
        <f ca="1">K147-S147</f>
        <v>21.240716952801282</v>
      </c>
      <c r="M147" s="9">
        <f ca="1">L147-T147</f>
        <v>0</v>
      </c>
      <c r="N147" s="9"/>
      <c r="O147" s="9"/>
      <c r="P147" s="9"/>
      <c r="Q147" s="9">
        <f ca="1">IF(OR($C147="Annual",$D147=$E147),IF(AND($D147=$E147,Q$111=$B147+$D147),$J147,IF(AND(Q$111&gt;$B147+$D147,Q$111&lt;=$B147+$E147), $J147/($E147-$D147),0)), IF(OR(Q$111=$B147+$D147,Q$111=$B147+$E147),$J147/(($E147-$D147)*2),IF(AND(Q$111&gt;$B147+$D147,Q$111&lt;$B147+$E147),$J147/($E147-$D147),0)))</f>
        <v>0</v>
      </c>
      <c r="R147" s="9">
        <f>IF(OR($C147="Annual",$D147=$E147),IF(AND($D147=$E147,R$111=$B147+$D147),$J147,IF(AND(R$111&gt;$B147+$D147,R$111&lt;=$B147+$E147), $J147/($E147-$D147),0)), IF(OR(R$111=$B147+$D147,R$111=$B147+$E147),$J147/(($E147-$D147)*2),IF(AND(R$111&gt;$B147+$D147,R$111&lt;$B147+$E147),$J147/($E147-$D147),0)))</f>
        <v>0</v>
      </c>
      <c r="S147" s="9">
        <f>IF(OR($C147="Annual",$D147=$E147),IF(AND($D147=$E147,S$111=$B147+$D147),$J147,IF(AND(S$111&gt;$B147+$D147,S$111&lt;=$B147+$E147), $J147/($E147-$D147),0)), IF(OR(S$111=$B147+$D147,S$111=$B147+$E147),$J147/(($E147-$D147)*2),IF(AND(S$111&gt;$B147+$D147,S$111&lt;$B147+$E147),$J147/($E147-$D147),0)))</f>
        <v>0</v>
      </c>
      <c r="T147" s="9">
        <f>IF(OR($C147="Annual",$D147=$E147),IF(AND($D147=$E147,T$111=$B147+$D147),$J147,IF(AND(T$111&gt;$B147+$D147,T$111&lt;=$B147+$E147), $J147/($E147-$D147),0)), IF(OR(T$111=$B147+$D147,T$111=$B147+$E147),$J147/(($E147-$D147)*2),IF(AND(T$111&gt;$B147+$D147,T$111&lt;$B147+$E147),$J147/($E147-$D147),0)))</f>
        <v>0</v>
      </c>
      <c r="U147" s="9"/>
      <c r="V147" s="9"/>
      <c r="W147" s="9"/>
      <c r="X147" s="9">
        <f t="shared" si="32"/>
        <v>0</v>
      </c>
      <c r="Y147" s="9">
        <f t="shared" ca="1" si="32"/>
        <v>2.0972552901272139</v>
      </c>
      <c r="Z147" s="9">
        <f t="shared" ca="1" si="32"/>
        <v>1.3981701934181425</v>
      </c>
      <c r="AA147" s="9">
        <f t="shared" ca="1" si="32"/>
        <v>0.69908509670907115</v>
      </c>
    </row>
    <row r="148" spans="1:27">
      <c r="A148" s="8" t="str">
        <f>A147</f>
        <v>Type 2</v>
      </c>
      <c r="B148" s="7">
        <f>B147+1</f>
        <v>2021</v>
      </c>
      <c r="C148" s="7" t="str">
        <f>C147</f>
        <v>Annual</v>
      </c>
      <c r="D148" s="7">
        <f t="shared" si="33"/>
        <v>0</v>
      </c>
      <c r="E148" s="7">
        <f t="shared" si="33"/>
        <v>0</v>
      </c>
      <c r="F148" s="14">
        <f>$O$80</f>
        <v>2.5000000000000001E-3</v>
      </c>
      <c r="H148" s="9"/>
      <c r="I148" s="9"/>
      <c r="J148" s="9"/>
      <c r="K148" s="9">
        <f ca="1">$E$80</f>
        <v>54.281229043544904</v>
      </c>
      <c r="L148" s="9">
        <f ca="1">K148-S148</f>
        <v>36.187486029029941</v>
      </c>
      <c r="M148" s="9">
        <f ca="1">L148-T148</f>
        <v>18.093743014514974</v>
      </c>
      <c r="N148" s="9"/>
      <c r="O148" s="9"/>
      <c r="P148" s="9"/>
      <c r="Q148" s="9"/>
      <c r="R148" s="9">
        <f ca="1">IF(OR($C148="Annual",$D148=$E148),IF(AND($D148=$E148,R$111=$B148+$D148),$K148,IF(AND(R$111&gt;$B148+$D148,R$111&lt;=$B148+$E148), $K148/($E148-$D148),0)), IF(OR(R$111=$B148+$D148,R$111=$B148+$E148),$K148/(($E148-$D148)*2),IF(AND(R$111&gt;$B148+$D148,R$111&lt;$B148+$E148),$K148/($E148-$D148),0)))</f>
        <v>0</v>
      </c>
      <c r="S148" s="9">
        <f>IF(OR($C148="Annual",$D148=$E148),IF(AND($D148=$E148,S$111=$B148+$D148),$K148,IF(AND(S$111&gt;$B148+$D148,S$111&lt;=$B148+$E148), $K148/($E148-$D148),0)), IF(OR(S$111=$B148+$D148,S$111=$B148+$E148),$K148/(($E148-$D148)*2),IF(AND(S$111&gt;$B148+$D148,S$111&lt;$B148+$E148),$K148/($E148-$D148),0)))</f>
        <v>0</v>
      </c>
      <c r="T148" s="9">
        <f>IF(OR($C148="Annual",$D148=$E148),IF(AND($D148=$E148,T$111=$B148+$D148),$K148,IF(AND(T$111&gt;$B148+$D148,T$111&lt;=$B148+$E148), $K148/($E148-$D148),0)), IF(OR(T$111=$B148+$D148,T$111=$B148+$E148),$K148/(($E148-$D148)*2),IF(AND(T$111&gt;$B148+$D148,T$111&lt;$B148+$E148),$K148/($E148-$D148),0)))</f>
        <v>0</v>
      </c>
      <c r="U148" s="9"/>
      <c r="V148" s="9"/>
      <c r="W148" s="9"/>
      <c r="X148" s="9"/>
      <c r="Y148" s="9">
        <f t="shared" si="32"/>
        <v>0</v>
      </c>
      <c r="Z148" s="9">
        <f t="shared" ca="1" si="32"/>
        <v>1.921555508141487</v>
      </c>
      <c r="AA148" s="9">
        <f t="shared" ca="1" si="32"/>
        <v>1.2810370054276581</v>
      </c>
    </row>
    <row r="149" spans="1:27">
      <c r="A149" s="8" t="str">
        <f>A148</f>
        <v>Type 2</v>
      </c>
      <c r="B149" s="7">
        <f>B148+1</f>
        <v>2022</v>
      </c>
      <c r="C149" s="7" t="str">
        <f>C148</f>
        <v>Annual</v>
      </c>
      <c r="D149" s="7">
        <f t="shared" si="33"/>
        <v>0</v>
      </c>
      <c r="E149" s="7">
        <f t="shared" si="33"/>
        <v>0</v>
      </c>
      <c r="F149" s="14">
        <f>$P$80</f>
        <v>2.5000000000000001E-3</v>
      </c>
      <c r="H149" s="9"/>
      <c r="I149" s="9"/>
      <c r="J149" s="9"/>
      <c r="K149" s="9"/>
      <c r="L149" s="9">
        <f ca="1">$F$80</f>
        <v>65.33476311978572</v>
      </c>
      <c r="M149" s="9">
        <f ca="1">L149-T149</f>
        <v>43.556508746523818</v>
      </c>
      <c r="N149" s="9"/>
      <c r="O149" s="9"/>
      <c r="P149" s="9"/>
      <c r="Q149" s="9"/>
      <c r="R149" s="9"/>
      <c r="S149" s="9">
        <f ca="1">IF(OR($C149="Annual",$D149=$E149),IF(AND($D149=$E149,S$111=$B149+$D149),$L149,IF(AND(S$111&gt;$B149+$D149,S$111&lt;=$B149+$E149), $L149/($E149-$D149),0)), IF(OR(S$111=$B149+$D149,S$111=$B149+$E149),$L149/(($E149-$D149)*2),IF(AND(S$111&gt;$B149+$D149,S$111&lt;$B149+$E149),$L149/($E149-$D149),0)))</f>
        <v>0</v>
      </c>
      <c r="T149" s="9">
        <f>IF(OR($C149="Annual",$D149=$E149),IF(AND($D149=$E149,T$111=$B149+$D149),$L149,IF(AND(T$111&gt;$B149+$D149,T$111&lt;=$B149+$E149), $L149/($E149-$D149),0)), IF(OR(T$111=$B149+$D149,T$111=$B149+$E149),$L149/(($E149-$D149)*2),IF(AND(T$111&gt;$B149+$D149,T$111&lt;$B149+$E149),$L149/($E149-$D149),0)))</f>
        <v>0</v>
      </c>
      <c r="U149" s="9"/>
      <c r="V149" s="9"/>
      <c r="W149" s="9"/>
      <c r="X149" s="9"/>
      <c r="Y149" s="9"/>
      <c r="Z149" s="9">
        <f t="shared" si="32"/>
        <v>0</v>
      </c>
      <c r="AA149" s="9">
        <f t="shared" ca="1" si="32"/>
        <v>2.4504619592614629</v>
      </c>
    </row>
    <row r="150" spans="1:27">
      <c r="A150" s="8" t="str">
        <f>A149</f>
        <v>Type 2</v>
      </c>
      <c r="B150" s="7">
        <f>B149+1</f>
        <v>2023</v>
      </c>
      <c r="C150" s="7" t="str">
        <f>C149</f>
        <v>Annual</v>
      </c>
      <c r="D150" s="7">
        <f t="shared" si="33"/>
        <v>0</v>
      </c>
      <c r="E150" s="7">
        <f t="shared" si="33"/>
        <v>0</v>
      </c>
      <c r="F150" s="14">
        <f>$Q$80</f>
        <v>2.5000000000000001E-3</v>
      </c>
      <c r="H150" s="9"/>
      <c r="I150" s="9"/>
      <c r="J150" s="9"/>
      <c r="K150" s="9"/>
      <c r="L150" s="9"/>
      <c r="M150" s="9">
        <f ca="1">$G$80</f>
        <v>59.866029358486173</v>
      </c>
      <c r="N150" s="9"/>
      <c r="O150" s="9"/>
      <c r="P150" s="9"/>
      <c r="Q150" s="9"/>
      <c r="R150" s="9"/>
      <c r="S150" s="9"/>
      <c r="T150" s="9">
        <f ca="1">IF(OR($C150="Annual",$D150=$E150),IF(AND($D150=$E150,T$111=$B150+$D150),$M150,IF(AND(T$111&gt;$B150+$D150,T$111&lt;=$B150+$E150), $M150/($E150-$D150),0)), IF(OR(T$111=$B150+$D150,T$111=$B150+$E150),$M150/(($E150-$D150)*2),IF(AND(T$111&gt;$B150+$D150,T$111&lt;$B150+$E150),$M150/($E150-$D150),0)))</f>
        <v>0</v>
      </c>
      <c r="U150" s="9"/>
      <c r="V150" s="9"/>
      <c r="W150" s="9"/>
      <c r="X150" s="9"/>
      <c r="Y150" s="9"/>
      <c r="Z150" s="9"/>
      <c r="AA150" s="9">
        <f t="shared" si="32"/>
        <v>0</v>
      </c>
    </row>
    <row r="151" spans="1:27">
      <c r="C151" s="281"/>
      <c r="F151" s="15"/>
      <c r="H151" s="10"/>
      <c r="I151" s="10"/>
      <c r="J151" s="10"/>
      <c r="K151" s="10"/>
      <c r="L151" s="10"/>
      <c r="M151" s="10"/>
      <c r="N151" s="10"/>
      <c r="O151" s="278"/>
      <c r="P151" s="10"/>
      <c r="Q151" s="10"/>
      <c r="R151" s="10"/>
      <c r="S151" s="10"/>
      <c r="T151" s="10"/>
      <c r="U151" s="10"/>
      <c r="V151" s="10"/>
      <c r="W151" s="10"/>
      <c r="X151" s="10"/>
      <c r="Y151" s="10"/>
      <c r="Z151" s="10"/>
      <c r="AA151" s="10"/>
    </row>
    <row r="152" spans="1:27">
      <c r="A152" s="8" t="str">
        <f>'Input 4 - Forecast'!A62</f>
        <v>Type 3</v>
      </c>
      <c r="B152" s="7">
        <f>B119</f>
        <v>2018</v>
      </c>
      <c r="C152" s="7" t="str">
        <f>$I81</f>
        <v>Annual</v>
      </c>
      <c r="D152" s="7">
        <f>$J81</f>
        <v>0</v>
      </c>
      <c r="E152" s="7">
        <f>$K81</f>
        <v>0</v>
      </c>
      <c r="F152" s="14">
        <f>$L$81</f>
        <v>0</v>
      </c>
      <c r="H152" s="9">
        <f>$B$81</f>
        <v>0</v>
      </c>
      <c r="I152" s="9">
        <f>H152-P152</f>
        <v>0</v>
      </c>
      <c r="J152" s="9">
        <f>I152-Q152</f>
        <v>0</v>
      </c>
      <c r="K152" s="9">
        <f>J152-R152</f>
        <v>0</v>
      </c>
      <c r="L152" s="9">
        <f>K152-S152</f>
        <v>0</v>
      </c>
      <c r="M152" s="9">
        <f>L152-T152</f>
        <v>0</v>
      </c>
      <c r="N152" s="9"/>
      <c r="O152" s="9">
        <f t="shared" ref="O152:T152" si="34">IF(OR($C152="Annual",$D152=$E152),IF(AND($D152=$E152,O$111=$B152+$D152),$H152,IF(AND(O$111&gt;$B152+$D152,O$111&lt;=$B152+$E152), $H152/($E152-$D152),0)), IF(OR(O$111=$B152+$D152,O$111=$B152+$E152),$H152/(($E152-$D152)*2),IF(AND(O$111&gt;$B152+$D152,O$111&lt;$B152+$E152),$H152/($E152-$D152),0)))</f>
        <v>0</v>
      </c>
      <c r="P152" s="9">
        <f t="shared" si="34"/>
        <v>0</v>
      </c>
      <c r="Q152" s="9">
        <f t="shared" si="34"/>
        <v>0</v>
      </c>
      <c r="R152" s="9">
        <f t="shared" si="34"/>
        <v>0</v>
      </c>
      <c r="S152" s="9">
        <f t="shared" si="34"/>
        <v>0</v>
      </c>
      <c r="T152" s="9">
        <f t="shared" si="34"/>
        <v>0</v>
      </c>
      <c r="U152" s="9"/>
      <c r="V152" s="9">
        <f>IF($C152="annual",IF(V$111=$B152,0,G152*$F152),IF(V$111-$B152=0,0,IF((V$111-$B152)&lt;$E152,AVERAGE(G152,H152)*$F152,IF((V$111-$B152)=$E152,G152*$F152/2,0))))</f>
        <v>0</v>
      </c>
      <c r="W152" s="9">
        <f t="shared" ref="W152:AA157" si="35">IF($C152="annual",IF(W$111=$B152,0,H152*$F152),IF(W$111-$B152=0,0,IF((W$111-$B152)&lt;$E152,AVERAGE(H152,I152)*$F152,IF((W$111-$B152)=$E152,H152*$F152/2,0))))</f>
        <v>0</v>
      </c>
      <c r="X152" s="9">
        <f t="shared" si="35"/>
        <v>0</v>
      </c>
      <c r="Y152" s="9">
        <f t="shared" si="35"/>
        <v>0</v>
      </c>
      <c r="Z152" s="9">
        <f t="shared" si="35"/>
        <v>0</v>
      </c>
      <c r="AA152" s="9">
        <f t="shared" si="35"/>
        <v>0</v>
      </c>
    </row>
    <row r="153" spans="1:27">
      <c r="A153" s="8" t="str">
        <f>A152</f>
        <v>Type 3</v>
      </c>
      <c r="B153" s="7">
        <f>B152+1</f>
        <v>2019</v>
      </c>
      <c r="C153" s="7" t="str">
        <f>C152</f>
        <v>Annual</v>
      </c>
      <c r="D153" s="7">
        <f t="shared" ref="D153:E157" si="36">D152</f>
        <v>0</v>
      </c>
      <c r="E153" s="7">
        <f t="shared" si="36"/>
        <v>0</v>
      </c>
      <c r="F153" s="14">
        <f>$M$81</f>
        <v>2.5000000000000001E-3</v>
      </c>
      <c r="H153" s="9"/>
      <c r="I153" s="9">
        <f ca="1">$C$81</f>
        <v>73.376552024146733</v>
      </c>
      <c r="J153" s="9">
        <f ca="1">I153-Q153</f>
        <v>58.701241619317386</v>
      </c>
      <c r="K153" s="9">
        <f ca="1">J153-R153</f>
        <v>44.02593121448804</v>
      </c>
      <c r="L153" s="9">
        <f ca="1">K153-S153</f>
        <v>29.350620809658693</v>
      </c>
      <c r="M153" s="9">
        <f ca="1">L153-T153</f>
        <v>14.675310404829347</v>
      </c>
      <c r="N153" s="9"/>
      <c r="O153" s="9"/>
      <c r="P153" s="9">
        <f ca="1">IF(OR($C153="Annual",$D153=$E153),IF(AND($D153=$E153,P$111=$B153+$D153),$I153,IF(AND(P$111&gt;$B153+$D153,P$111&lt;=$B153+$E153), $I153/($E153-$D153),0)), IF(OR(P$111=$B153+$D153,P$111=$B153+$E153),$I153/(($E153-$D153)*2),IF(AND(P$111&gt;$B153+$D153,P$111&lt;$B153+$E153),$I153/($E153-$D153),0)))</f>
        <v>0</v>
      </c>
      <c r="Q153" s="9">
        <f>IF(OR($C153="Annual",$D153=$E153),IF(AND($D153=$E153,Q$111=$B153+$D153),$I153,IF(AND(Q$111&gt;$B153+$D153,Q$111&lt;=$B153+$E153), $I153/($E153-$D153),0)), IF(OR(Q$111=$B153+$D153,Q$111=$B153+$E153),$I153/(($E153-$D153)*2),IF(AND(Q$111&gt;$B153+$D153,Q$111&lt;$B153+$E153),$I153/($E153-$D153),0)))</f>
        <v>0</v>
      </c>
      <c r="R153" s="9">
        <f>IF(OR($C153="Annual",$D153=$E153),IF(AND($D153=$E153,R$111=$B153+$D153),$I153,IF(AND(R$111&gt;$B153+$D153,R$111&lt;=$B153+$E153), $I153/($E153-$D153),0)), IF(OR(R$111=$B153+$D153,R$111=$B153+$E153),$I153/(($E153-$D153)*2),IF(AND(R$111&gt;$B153+$D153,R$111&lt;$B153+$E153),$I153/($E153-$D153),0)))</f>
        <v>0</v>
      </c>
      <c r="S153" s="9">
        <f>IF(OR($C153="Annual",$D153=$E153),IF(AND($D153=$E153,S$111=$B153+$D153),$I153,IF(AND(S$111&gt;$B153+$D153,S$111&lt;=$B153+$E153), $I153/($E153-$D153),0)), IF(OR(S$111=$B153+$D153,S$111=$B153+$E153),$I153/(($E153-$D153)*2),IF(AND(S$111&gt;$B153+$D153,S$111&lt;$B153+$E153),$I153/($E153-$D153),0)))</f>
        <v>0</v>
      </c>
      <c r="T153" s="9">
        <f>IF(OR($C153="Annual",$D153=$E153),IF(AND($D153=$E153,T$111=$B153+$D153),$I153,IF(AND(T$111&gt;$B153+$D153,T$111&lt;=$B153+$E153), $I153/($E153-$D153),0)), IF(OR(T$111=$B153+$D153,T$111=$B153+$E153),$I153/(($E153-$D153)*2),IF(AND(T$111&gt;$B153+$D153,T$111&lt;$B153+$E153),$I153/($E153-$D153),0)))</f>
        <v>0</v>
      </c>
      <c r="U153" s="9"/>
      <c r="V153" s="9"/>
      <c r="W153" s="9">
        <f t="shared" si="35"/>
        <v>0</v>
      </c>
      <c r="X153" s="9">
        <f t="shared" ca="1" si="35"/>
        <v>2.9717503569779429</v>
      </c>
      <c r="Y153" s="9">
        <f t="shared" ca="1" si="35"/>
        <v>2.3774002855823544</v>
      </c>
      <c r="Z153" s="9">
        <f t="shared" ca="1" si="35"/>
        <v>1.7830502141867657</v>
      </c>
      <c r="AA153" s="9">
        <f t="shared" ca="1" si="35"/>
        <v>1.1887001427911772</v>
      </c>
    </row>
    <row r="154" spans="1:27">
      <c r="A154" s="8" t="str">
        <f>A153</f>
        <v>Type 3</v>
      </c>
      <c r="B154" s="7">
        <f>B153+1</f>
        <v>2020</v>
      </c>
      <c r="C154" s="7" t="str">
        <f>C153</f>
        <v>Annual</v>
      </c>
      <c r="D154" s="7">
        <f t="shared" si="36"/>
        <v>0</v>
      </c>
      <c r="E154" s="7">
        <f t="shared" si="36"/>
        <v>0</v>
      </c>
      <c r="F154" s="14">
        <f>$N$81</f>
        <v>2.5000000000000001E-3</v>
      </c>
      <c r="H154" s="9"/>
      <c r="I154" s="9"/>
      <c r="J154" s="9">
        <f ca="1">$D$81</f>
        <v>79.121670649184793</v>
      </c>
      <c r="K154" s="9">
        <f ca="1">J154-R154</f>
        <v>63.297336519347837</v>
      </c>
      <c r="L154" s="9">
        <f ca="1">K154-S154</f>
        <v>47.473002389510881</v>
      </c>
      <c r="M154" s="9">
        <f ca="1">L154-T154</f>
        <v>31.648668259673922</v>
      </c>
      <c r="N154" s="9"/>
      <c r="O154" s="9"/>
      <c r="P154" s="9"/>
      <c r="Q154" s="9">
        <f ca="1">IF(OR($C154="Annual",$D154=$E154),IF(AND($D154=$E154,Q$111=$B154+$D154),$J154,IF(AND(Q$111&gt;$B154+$D154,Q$111&lt;=$B154+$E154), $J154/($E154-$D154),0)), IF(OR(Q$111=$B154+$D154,Q$111=$B154+$E154),$J154/(($E154-$D154)*2),IF(AND(Q$111&gt;$B154+$D154,Q$111&lt;$B154+$E154),$J154/($E154-$D154),0)))</f>
        <v>0</v>
      </c>
      <c r="R154" s="9">
        <f>IF(OR($C154="Annual",$D154=$E154),IF(AND($D154=$E154,R$111=$B154+$D154),$J154,IF(AND(R$111&gt;$B154+$D154,R$111&lt;=$B154+$E154), $J154/($E154-$D154),0)), IF(OR(R$111=$B154+$D154,R$111=$B154+$E154),$J154/(($E154-$D154)*2),IF(AND(R$111&gt;$B154+$D154,R$111&lt;$B154+$E154),$J154/($E154-$D154),0)))</f>
        <v>0</v>
      </c>
      <c r="S154" s="9">
        <f>IF(OR($C154="Annual",$D154=$E154),IF(AND($D154=$E154,S$111=$B154+$D154),$J154,IF(AND(S$111&gt;$B154+$D154,S$111&lt;=$B154+$E154), $J154/($E154-$D154),0)), IF(OR(S$111=$B154+$D154,S$111=$B154+$E154),$J154/(($E154-$D154)*2),IF(AND(S$111&gt;$B154+$D154,S$111&lt;$B154+$E154),$J154/($E154-$D154),0)))</f>
        <v>0</v>
      </c>
      <c r="T154" s="9">
        <f>IF(OR($C154="Annual",$D154=$E154),IF(AND($D154=$E154,T$111=$B154+$D154),$J154,IF(AND(T$111&gt;$B154+$D154,T$111&lt;=$B154+$E154), $J154/($E154-$D154),0)), IF(OR(T$111=$B154+$D154,T$111=$B154+$E154),$J154/(($E154-$D154)*2),IF(AND(T$111&gt;$B154+$D154,T$111&lt;$B154+$E154),$J154/($E154-$D154),0)))</f>
        <v>0</v>
      </c>
      <c r="U154" s="9"/>
      <c r="V154" s="9"/>
      <c r="W154" s="9"/>
      <c r="X154" s="9">
        <f t="shared" si="35"/>
        <v>0</v>
      </c>
      <c r="Y154" s="9">
        <f t="shared" ca="1" si="35"/>
        <v>3.4417926732395383</v>
      </c>
      <c r="Z154" s="9">
        <f t="shared" ca="1" si="35"/>
        <v>2.7534341385916306</v>
      </c>
      <c r="AA154" s="9">
        <f t="shared" ca="1" si="35"/>
        <v>2.0650756039437232</v>
      </c>
    </row>
    <row r="155" spans="1:27">
      <c r="A155" s="8" t="str">
        <f>A154</f>
        <v>Type 3</v>
      </c>
      <c r="B155" s="7">
        <f>B154+1</f>
        <v>2021</v>
      </c>
      <c r="C155" s="7" t="str">
        <f>C154</f>
        <v>Annual</v>
      </c>
      <c r="D155" s="7">
        <f t="shared" si="36"/>
        <v>0</v>
      </c>
      <c r="E155" s="7">
        <f t="shared" si="36"/>
        <v>0</v>
      </c>
      <c r="F155" s="14">
        <f>$O$81</f>
        <v>2.5000000000000001E-3</v>
      </c>
      <c r="H155" s="9"/>
      <c r="I155" s="9"/>
      <c r="J155" s="9"/>
      <c r="K155" s="9">
        <f ca="1">$E$81</f>
        <v>65.137474852253888</v>
      </c>
      <c r="L155" s="9">
        <f ca="1">K155-S155</f>
        <v>52.109979881803113</v>
      </c>
      <c r="M155" s="9">
        <f ca="1">L155-T155</f>
        <v>39.082484911352338</v>
      </c>
      <c r="N155" s="9"/>
      <c r="O155" s="9"/>
      <c r="P155" s="9"/>
      <c r="Q155" s="9"/>
      <c r="R155" s="9">
        <f ca="1">IF(OR($C155="Annual",$D155=$E155),IF(AND($D155=$E155,R$111=$B155+$D155),$K155,IF(AND(R$111&gt;$B155+$D155,R$111&lt;=$B155+$E155), $K155/($E155-$D155),0)), IF(OR(R$111=$B155+$D155,R$111=$B155+$E155),$K155/(($E155-$D155)*2),IF(AND(R$111&gt;$B155+$D155,R$111&lt;$B155+$E155),$K155/($E155-$D155),0)))</f>
        <v>0</v>
      </c>
      <c r="S155" s="9">
        <f>IF(OR($C155="Annual",$D155=$E155),IF(AND($D155=$E155,S$111=$B155+$D155),$K155,IF(AND(S$111&gt;$B155+$D155,S$111&lt;=$B155+$E155), $K155/($E155-$D155),0)), IF(OR(S$111=$B155+$D155,S$111=$B155+$E155),$K155/(($E155-$D155)*2),IF(AND(S$111&gt;$B155+$D155,S$111&lt;$B155+$E155),$K155/($E155-$D155),0)))</f>
        <v>0</v>
      </c>
      <c r="T155" s="9">
        <f>IF(OR($C155="Annual",$D155=$E155),IF(AND($D155=$E155,T$111=$B155+$D155),$K155,IF(AND(T$111&gt;$B155+$D155,T$111&lt;=$B155+$E155), $K155/($E155-$D155),0)), IF(OR(T$111=$B155+$D155,T$111=$B155+$E155),$K155/(($E155-$D155)*2),IF(AND(T$111&gt;$B155+$D155,T$111&lt;$B155+$E155),$K155/($E155-$D155),0)))</f>
        <v>0</v>
      </c>
      <c r="U155" s="9"/>
      <c r="V155" s="9"/>
      <c r="W155" s="9"/>
      <c r="X155" s="9"/>
      <c r="Y155" s="9">
        <f t="shared" si="35"/>
        <v>0</v>
      </c>
      <c r="Z155" s="9">
        <f t="shared" ca="1" si="35"/>
        <v>2.8986176309252984</v>
      </c>
      <c r="AA155" s="9">
        <f t="shared" ca="1" si="35"/>
        <v>2.3188941047402389</v>
      </c>
    </row>
    <row r="156" spans="1:27">
      <c r="A156" s="8" t="str">
        <f>A155</f>
        <v>Type 3</v>
      </c>
      <c r="B156" s="7">
        <f>B155+1</f>
        <v>2022</v>
      </c>
      <c r="C156" s="7" t="str">
        <f>C155</f>
        <v>Annual</v>
      </c>
      <c r="D156" s="7">
        <f t="shared" si="36"/>
        <v>0</v>
      </c>
      <c r="E156" s="7">
        <f t="shared" si="36"/>
        <v>0</v>
      </c>
      <c r="F156" s="14">
        <f>$P$81</f>
        <v>2.5000000000000001E-3</v>
      </c>
      <c r="H156" s="9"/>
      <c r="I156" s="9"/>
      <c r="J156" s="9"/>
      <c r="K156" s="9"/>
      <c r="L156" s="9">
        <f ca="1">$F$81</f>
        <v>77.67577393130081</v>
      </c>
      <c r="M156" s="9">
        <f ca="1">L156-T156</f>
        <v>62.140619145040645</v>
      </c>
      <c r="N156" s="9"/>
      <c r="O156" s="9"/>
      <c r="P156" s="9"/>
      <c r="Q156" s="9"/>
      <c r="R156" s="9"/>
      <c r="S156" s="9">
        <f ca="1">IF(OR($C156="Annual",$D156=$E156),IF(AND($D156=$E156,S$111=$B156+$D156),$L156,IF(AND(S$111&gt;$B156+$D156,S$111&lt;=$B156+$E156), $L156/($E156-$D156),0)), IF(OR(S$111=$B156+$D156,S$111=$B156+$E156),$L156/(($E156-$D156)*2),IF(AND(S$111&gt;$B156+$D156,S$111&lt;$B156+$E156),$L156/($E156-$D156),0)))</f>
        <v>0</v>
      </c>
      <c r="T156" s="9">
        <f>IF(OR($C156="Annual",$D156=$E156),IF(AND($D156=$E156,T$111=$B156+$D156),$L156,IF(AND(T$111&gt;$B156+$D156,T$111&lt;=$B156+$E156), $L156/($E156-$D156),0)), IF(OR(T$111=$B156+$D156,T$111=$B156+$E156),$L156/(($E156-$D156)*2),IF(AND(T$111&gt;$B156+$D156,T$111&lt;$B156+$E156),$L156/($E156-$D156),0)))</f>
        <v>0</v>
      </c>
      <c r="U156" s="9"/>
      <c r="V156" s="9"/>
      <c r="W156" s="9"/>
      <c r="X156" s="9"/>
      <c r="Y156" s="9"/>
      <c r="Z156" s="9">
        <f t="shared" si="35"/>
        <v>0</v>
      </c>
      <c r="AA156" s="9">
        <f t="shared" ca="1" si="35"/>
        <v>3.5342477138741866</v>
      </c>
    </row>
    <row r="157" spans="1:27">
      <c r="A157" s="8" t="str">
        <f>A156</f>
        <v>Type 3</v>
      </c>
      <c r="B157" s="7">
        <f>B156+1</f>
        <v>2023</v>
      </c>
      <c r="C157" s="7" t="str">
        <f>C156</f>
        <v>Annual</v>
      </c>
      <c r="D157" s="7">
        <f t="shared" si="36"/>
        <v>0</v>
      </c>
      <c r="E157" s="7">
        <f t="shared" si="36"/>
        <v>0</v>
      </c>
      <c r="F157" s="14">
        <f>$Q$81</f>
        <v>2.5000000000000001E-3</v>
      </c>
      <c r="H157" s="9"/>
      <c r="I157" s="9"/>
      <c r="J157" s="9"/>
      <c r="K157" s="9"/>
      <c r="L157" s="9"/>
      <c r="M157" s="9">
        <f ca="1">$G$81</f>
        <v>86.551365114165947</v>
      </c>
      <c r="N157" s="9"/>
      <c r="O157" s="9"/>
      <c r="P157" s="9"/>
      <c r="Q157" s="9"/>
      <c r="R157" s="9"/>
      <c r="S157" s="9"/>
      <c r="T157" s="9">
        <f ca="1">IF(OR($C157="Annual",$D157=$E157),IF(AND($D157=$E157,T$111=$B157+$D157),$M157,IF(AND(T$111&gt;$B157+$D157,T$111&lt;=$B157+$E157), $M157/($E157-$D157),0)), IF(OR(T$111=$B157+$D157,T$111=$B157+$E157),$M157/(($E157-$D157)*2),IF(AND(T$111&gt;$B157+$D157,T$111&lt;$B157+$E157),$M157/($E157-$D157),0)))</f>
        <v>0</v>
      </c>
      <c r="U157" s="9"/>
      <c r="V157" s="9"/>
      <c r="W157" s="9"/>
      <c r="X157" s="9"/>
      <c r="Y157" s="9"/>
      <c r="Z157" s="9"/>
      <c r="AA157" s="9">
        <f t="shared" si="35"/>
        <v>0</v>
      </c>
    </row>
    <row r="158" spans="1:27">
      <c r="C158" s="281"/>
      <c r="F158" s="15"/>
      <c r="H158" s="10"/>
      <c r="I158" s="10"/>
      <c r="J158" s="10"/>
      <c r="K158" s="10"/>
      <c r="L158" s="10"/>
      <c r="M158" s="10"/>
      <c r="N158" s="10"/>
      <c r="O158" s="278"/>
      <c r="P158" s="10"/>
      <c r="Q158" s="10"/>
      <c r="R158" s="10"/>
      <c r="S158" s="10"/>
      <c r="T158" s="10"/>
      <c r="U158" s="10"/>
      <c r="V158" s="10"/>
      <c r="W158" s="10"/>
      <c r="X158" s="10"/>
      <c r="Y158" s="10"/>
      <c r="Z158" s="10"/>
      <c r="AA158" s="10"/>
    </row>
    <row r="159" spans="1:27">
      <c r="A159" s="8" t="str">
        <f>'Input 4 - Forecast'!A63</f>
        <v>Type 4</v>
      </c>
      <c r="B159" s="7">
        <f>B119</f>
        <v>2018</v>
      </c>
      <c r="C159" s="7" t="str">
        <f>$I82</f>
        <v>Annual</v>
      </c>
      <c r="D159" s="7">
        <f>$J82</f>
        <v>0</v>
      </c>
      <c r="E159" s="7">
        <f>$K82</f>
        <v>0</v>
      </c>
      <c r="F159" s="14">
        <f>$L$82</f>
        <v>0</v>
      </c>
      <c r="H159" s="9">
        <f>$B$82</f>
        <v>0</v>
      </c>
      <c r="I159" s="9">
        <f>H159-P159</f>
        <v>0</v>
      </c>
      <c r="J159" s="9">
        <f>I159-Q159</f>
        <v>0</v>
      </c>
      <c r="K159" s="9">
        <f>J159-R159</f>
        <v>0</v>
      </c>
      <c r="L159" s="9">
        <f>K159-S159</f>
        <v>0</v>
      </c>
      <c r="M159" s="9">
        <f>L159-T159</f>
        <v>0</v>
      </c>
      <c r="N159" s="9"/>
      <c r="O159" s="9">
        <f t="shared" ref="O159:T159" si="37">IF(OR($C159="Annual",$D159=$E159),IF(AND($D159=$E159,O$111=$B159+$D159),$H159,IF(AND(O$111&gt;$B159+$D159,O$111&lt;=$B159+$E159), $H159/($E159-$D159),0)), IF(OR(O$111=$B159+$D159,O$111=$B159+$E159),$H159/(($E159-$D159)*2),IF(AND(O$111&gt;$B159+$D159,O$111&lt;$B159+$E159),$H159/($E159-$D159),0)))</f>
        <v>0</v>
      </c>
      <c r="P159" s="9">
        <f t="shared" si="37"/>
        <v>0</v>
      </c>
      <c r="Q159" s="9">
        <f t="shared" si="37"/>
        <v>0</v>
      </c>
      <c r="R159" s="9">
        <f t="shared" si="37"/>
        <v>0</v>
      </c>
      <c r="S159" s="9">
        <f t="shared" si="37"/>
        <v>0</v>
      </c>
      <c r="T159" s="9">
        <f t="shared" si="37"/>
        <v>0</v>
      </c>
      <c r="U159" s="9"/>
      <c r="V159" s="9">
        <f>IF($C159="annual",IF(V$111=$B159,0,G159*$F159),IF(V$111-$B159=0,0,IF((V$111-$B159)&lt;$E159,AVERAGE(G159,H159)*$F159,IF((V$111-$B159)=$E159,G159*$F159/2,0))))</f>
        <v>0</v>
      </c>
      <c r="W159" s="9">
        <f t="shared" ref="W159:AA164" si="38">IF($C159="annual",IF(W$111=$B159,0,H159*$F159),IF(W$111-$B159=0,0,IF((W$111-$B159)&lt;$E159,AVERAGE(H159,I159)*$F159,IF((W$111-$B159)=$E159,H159*$F159/2,0))))</f>
        <v>0</v>
      </c>
      <c r="X159" s="9">
        <f t="shared" si="38"/>
        <v>0</v>
      </c>
      <c r="Y159" s="9">
        <f t="shared" si="38"/>
        <v>0</v>
      </c>
      <c r="Z159" s="9">
        <f t="shared" si="38"/>
        <v>0</v>
      </c>
      <c r="AA159" s="9">
        <f t="shared" si="38"/>
        <v>0</v>
      </c>
    </row>
    <row r="160" spans="1:27">
      <c r="A160" s="8" t="str">
        <f>A159</f>
        <v>Type 4</v>
      </c>
      <c r="B160" s="7">
        <f>B159+1</f>
        <v>2019</v>
      </c>
      <c r="C160" s="7" t="str">
        <f>C159</f>
        <v>Annual</v>
      </c>
      <c r="D160" s="7">
        <f t="shared" ref="D160:E164" si="39">D159</f>
        <v>0</v>
      </c>
      <c r="E160" s="7">
        <f t="shared" si="39"/>
        <v>0</v>
      </c>
      <c r="F160" s="14">
        <f>$M$82</f>
        <v>2.5000000000000001E-3</v>
      </c>
      <c r="H160" s="9"/>
      <c r="I160" s="9">
        <f ca="1">$C$82</f>
        <v>119.95471113512681</v>
      </c>
      <c r="J160" s="9">
        <f ca="1">I160-Q160</f>
        <v>107.95924002161414</v>
      </c>
      <c r="K160" s="9">
        <f ca="1">J160-R160</f>
        <v>95.963768908101457</v>
      </c>
      <c r="L160" s="9">
        <f ca="1">K160-S160</f>
        <v>83.968297794588779</v>
      </c>
      <c r="M160" s="9">
        <f ca="1">L160-T160</f>
        <v>71.9728266810761</v>
      </c>
      <c r="N160" s="9"/>
      <c r="O160" s="9"/>
      <c r="P160" s="9">
        <f ca="1">IF(OR($C160="Annual",$D160=$E160),IF(AND($D160=$E160,P$111=$B160+$D160),$I160,IF(AND(P$111&gt;$B160+$D160,P$111&lt;=$B160+$E160), $I160/($E160-$D160),0)), IF(OR(P$111=$B160+$D160,P$111=$B160+$E160),$I160/(($E160-$D160)*2),IF(AND(P$111&gt;$B160+$D160,P$111&lt;$B160+$E160),$I160/($E160-$D160),0)))</f>
        <v>0</v>
      </c>
      <c r="Q160" s="9">
        <f>IF(OR($C160="Annual",$D160=$E160),IF(AND($D160=$E160,Q$111=$B160+$D160),$I160,IF(AND(Q$111&gt;$B160+$D160,Q$111&lt;=$B160+$E160), $I160/($E160-$D160),0)), IF(OR(Q$111=$B160+$D160,Q$111=$B160+$E160),$I160/(($E160-$D160)*2),IF(AND(Q$111&gt;$B160+$D160,Q$111&lt;$B160+$E160),$I160/($E160-$D160),0)))</f>
        <v>0</v>
      </c>
      <c r="R160" s="9">
        <f>IF(OR($C160="Annual",$D160=$E160),IF(AND($D160=$E160,R$111=$B160+$D160),$I160,IF(AND(R$111&gt;$B160+$D160,R$111&lt;=$B160+$E160), $I160/($E160-$D160),0)), IF(OR(R$111=$B160+$D160,R$111=$B160+$E160),$I160/(($E160-$D160)*2),IF(AND(R$111&gt;$B160+$D160,R$111&lt;$B160+$E160),$I160/($E160-$D160),0)))</f>
        <v>0</v>
      </c>
      <c r="S160" s="9">
        <f>IF(OR($C160="Annual",$D160=$E160),IF(AND($D160=$E160,S$111=$B160+$D160),$I160,IF(AND(S$111&gt;$B160+$D160,S$111&lt;=$B160+$E160), $I160/($E160-$D160),0)), IF(OR(S$111=$B160+$D160,S$111=$B160+$E160),$I160/(($E160-$D160)*2),IF(AND(S$111&gt;$B160+$D160,S$111&lt;$B160+$E160),$I160/($E160-$D160),0)))</f>
        <v>0</v>
      </c>
      <c r="T160" s="9">
        <f>IF(OR($C160="Annual",$D160=$E160),IF(AND($D160=$E160,T$111=$B160+$D160),$I160,IF(AND(T$111&gt;$B160+$D160,T$111&lt;=$B160+$E160), $I160/($E160-$D160),0)), IF(OR(T$111=$B160+$D160,T$111=$B160+$E160),$I160/(($E160-$D160)*2),IF(AND(T$111&gt;$B160+$D160,T$111&lt;$B160+$E160),$I160/($E160-$D160),0)))</f>
        <v>0</v>
      </c>
      <c r="U160" s="9"/>
      <c r="V160" s="9"/>
      <c r="W160" s="9">
        <f t="shared" si="38"/>
        <v>0</v>
      </c>
      <c r="X160" s="9">
        <f t="shared" ca="1" si="38"/>
        <v>6.0577129123239049</v>
      </c>
      <c r="Y160" s="9">
        <f t="shared" ca="1" si="38"/>
        <v>5.4519416210915139</v>
      </c>
      <c r="Z160" s="9">
        <f t="shared" ca="1" si="38"/>
        <v>4.8461703298591239</v>
      </c>
      <c r="AA160" s="9">
        <f t="shared" ca="1" si="38"/>
        <v>4.2403990386267338</v>
      </c>
    </row>
    <row r="161" spans="1:27">
      <c r="A161" s="8" t="str">
        <f>A160</f>
        <v>Type 4</v>
      </c>
      <c r="B161" s="7">
        <f>B160+1</f>
        <v>2020</v>
      </c>
      <c r="C161" s="7" t="str">
        <f>C160</f>
        <v>Annual</v>
      </c>
      <c r="D161" s="7">
        <f t="shared" si="39"/>
        <v>0</v>
      </c>
      <c r="E161" s="7">
        <f t="shared" si="39"/>
        <v>0</v>
      </c>
      <c r="F161" s="14">
        <f>$N$82</f>
        <v>2.5000000000000001E-3</v>
      </c>
      <c r="H161" s="9"/>
      <c r="I161" s="9"/>
      <c r="J161" s="9">
        <f ca="1">$D$82</f>
        <v>120.80657766905732</v>
      </c>
      <c r="K161" s="9">
        <f ca="1">J161-R161</f>
        <v>108.72591990215159</v>
      </c>
      <c r="L161" s="9">
        <f ca="1">K161-S161</f>
        <v>96.645262135245858</v>
      </c>
      <c r="M161" s="9">
        <f ca="1">L161-T161</f>
        <v>84.564604368340127</v>
      </c>
      <c r="N161" s="9"/>
      <c r="O161" s="9"/>
      <c r="P161" s="9"/>
      <c r="Q161" s="9">
        <f ca="1">IF(OR($C161="Annual",$D161=$E161),IF(AND($D161=$E161,Q$111=$B161+$D161),$J161,IF(AND(Q$111&gt;$B161+$D161,Q$111&lt;=$B161+$E161), $J161/($E161-$D161),0)), IF(OR(Q$111=$B161+$D161,Q$111=$B161+$E161),$J161/(($E161-$D161)*2),IF(AND(Q$111&gt;$B161+$D161,Q$111&lt;$B161+$E161),$J161/($E161-$D161),0)))</f>
        <v>0</v>
      </c>
      <c r="R161" s="9">
        <f>IF(OR($C161="Annual",$D161=$E161),IF(AND($D161=$E161,R$111=$B161+$D161),$J161,IF(AND(R$111&gt;$B161+$D161,R$111&lt;=$B161+$E161), $J161/($E161-$D161),0)), IF(OR(R$111=$B161+$D161,R$111=$B161+$E161),$J161/(($E161-$D161)*2),IF(AND(R$111&gt;$B161+$D161,R$111&lt;$B161+$E161),$J161/($E161-$D161),0)))</f>
        <v>0</v>
      </c>
      <c r="S161" s="9">
        <f>IF(OR($C161="Annual",$D161=$E161),IF(AND($D161=$E161,S$111=$B161+$D161),$J161,IF(AND(S$111&gt;$B161+$D161,S$111&lt;=$B161+$E161), $J161/($E161-$D161),0)), IF(OR(S$111=$B161+$D161,S$111=$B161+$E161),$J161/(($E161-$D161)*2),IF(AND(S$111&gt;$B161+$D161,S$111&lt;$B161+$E161),$J161/($E161-$D161),0)))</f>
        <v>0</v>
      </c>
      <c r="T161" s="9">
        <f>IF(OR($C161="Annual",$D161=$E161),IF(AND($D161=$E161,T$111=$B161+$D161),$J161,IF(AND(T$111&gt;$B161+$D161,T$111&lt;=$B161+$E161), $J161/($E161-$D161),0)), IF(OR(T$111=$B161+$D161,T$111=$B161+$E161),$J161/(($E161-$D161)*2),IF(AND(T$111&gt;$B161+$D161,T$111&lt;$B161+$E161),$J161/($E161-$D161),0)))</f>
        <v>0</v>
      </c>
      <c r="U161" s="9"/>
      <c r="V161" s="9"/>
      <c r="W161" s="9"/>
      <c r="X161" s="9">
        <f t="shared" si="38"/>
        <v>0</v>
      </c>
      <c r="Y161" s="9">
        <f t="shared" ca="1" si="38"/>
        <v>6.4631519052945663</v>
      </c>
      <c r="Z161" s="9">
        <f t="shared" ca="1" si="38"/>
        <v>5.8168367147651097</v>
      </c>
      <c r="AA161" s="9">
        <f t="shared" ca="1" si="38"/>
        <v>5.170521524235653</v>
      </c>
    </row>
    <row r="162" spans="1:27">
      <c r="A162" s="8" t="str">
        <f>A161</f>
        <v>Type 4</v>
      </c>
      <c r="B162" s="7">
        <f>B161+1</f>
        <v>2021</v>
      </c>
      <c r="C162" s="7" t="str">
        <f>C161</f>
        <v>Annual</v>
      </c>
      <c r="D162" s="7">
        <f t="shared" si="39"/>
        <v>0</v>
      </c>
      <c r="E162" s="7">
        <f t="shared" si="39"/>
        <v>0</v>
      </c>
      <c r="F162" s="14">
        <f>$O$82</f>
        <v>2.5000000000000001E-3</v>
      </c>
      <c r="H162" s="9"/>
      <c r="I162" s="9"/>
      <c r="J162" s="9"/>
      <c r="K162" s="9">
        <f ca="1">$E$82</f>
        <v>122.13276534797605</v>
      </c>
      <c r="L162" s="9">
        <f ca="1">K162-S162</f>
        <v>109.91948881317845</v>
      </c>
      <c r="M162" s="9">
        <f ca="1">L162-T162</f>
        <v>97.706212278380846</v>
      </c>
      <c r="N162" s="9"/>
      <c r="O162" s="9"/>
      <c r="P162" s="9"/>
      <c r="Q162" s="9"/>
      <c r="R162" s="9">
        <f ca="1">IF(OR($C162="Annual",$D162=$E162),IF(AND($D162=$E162,R$111=$B162+$D162),$K162,IF(AND(R$111&gt;$B162+$D162,R$111&lt;=$B162+$E162), $K162/($E162-$D162),0)), IF(OR(R$111=$B162+$D162,R$111=$B162+$E162),$K162/(($E162-$D162)*2),IF(AND(R$111&gt;$B162+$D162,R$111&lt;$B162+$E162),$K162/($E162-$D162),0)))</f>
        <v>0</v>
      </c>
      <c r="S162" s="9">
        <f>IF(OR($C162="Annual",$D162=$E162),IF(AND($D162=$E162,S$111=$B162+$D162),$K162,IF(AND(S$111&gt;$B162+$D162,S$111&lt;=$B162+$E162), $K162/($E162-$D162),0)), IF(OR(S$111=$B162+$D162,S$111=$B162+$E162),$K162/(($E162-$D162)*2),IF(AND(S$111&gt;$B162+$D162,S$111&lt;$B162+$E162),$K162/($E162-$D162),0)))</f>
        <v>0</v>
      </c>
      <c r="T162" s="9">
        <f>IF(OR($C162="Annual",$D162=$E162),IF(AND($D162=$E162,T$111=$B162+$D162),$K162,IF(AND(T$111&gt;$B162+$D162,T$111&lt;=$B162+$E162), $K162/($E162-$D162),0)), IF(OR(T$111=$B162+$D162,T$111=$B162+$E162),$K162/(($E162-$D162)*2),IF(AND(T$111&gt;$B162+$D162,T$111&lt;$B162+$E162),$K162/($E162-$D162),0)))</f>
        <v>0</v>
      </c>
      <c r="U162" s="9"/>
      <c r="V162" s="9"/>
      <c r="W162" s="9"/>
      <c r="X162" s="9"/>
      <c r="Y162" s="9">
        <f t="shared" si="38"/>
        <v>0</v>
      </c>
      <c r="Z162" s="9">
        <f t="shared" ca="1" si="38"/>
        <v>6.6562357114646957</v>
      </c>
      <c r="AA162" s="9">
        <f t="shared" ca="1" si="38"/>
        <v>5.990612140318226</v>
      </c>
    </row>
    <row r="163" spans="1:27">
      <c r="A163" s="8" t="str">
        <f>A162</f>
        <v>Type 4</v>
      </c>
      <c r="B163" s="7">
        <f>B162+1</f>
        <v>2022</v>
      </c>
      <c r="C163" s="7" t="str">
        <f>C162</f>
        <v>Annual</v>
      </c>
      <c r="D163" s="7">
        <f t="shared" si="39"/>
        <v>0</v>
      </c>
      <c r="E163" s="7">
        <f t="shared" si="39"/>
        <v>0</v>
      </c>
      <c r="F163" s="14">
        <f>$P$82</f>
        <v>2.5000000000000001E-3</v>
      </c>
      <c r="H163" s="9"/>
      <c r="I163" s="9"/>
      <c r="J163" s="9"/>
      <c r="K163" s="9"/>
      <c r="L163" s="9">
        <f ca="1">$F$82</f>
        <v>130.66952623957144</v>
      </c>
      <c r="M163" s="9">
        <f ca="1">L163-T163</f>
        <v>117.60257361561429</v>
      </c>
      <c r="N163" s="9"/>
      <c r="O163" s="9"/>
      <c r="P163" s="9"/>
      <c r="Q163" s="9"/>
      <c r="R163" s="9"/>
      <c r="S163" s="9">
        <f ca="1">IF(OR($C163="Annual",$D163=$E163),IF(AND($D163=$E163,S$111=$B163+$D163),$L163,IF(AND(S$111&gt;$B163+$D163,S$111&lt;=$B163+$E163), $L163/($E163-$D163),0)), IF(OR(S$111=$B163+$D163,S$111=$B163+$E163),$L163/(($E163-$D163)*2),IF(AND(S$111&gt;$B163+$D163,S$111&lt;$B163+$E163),$L163/($E163-$D163),0)))</f>
        <v>0</v>
      </c>
      <c r="T163" s="9">
        <f>IF(OR($C163="Annual",$D163=$E163),IF(AND($D163=$E163,T$111=$B163+$D163),$L163,IF(AND(T$111&gt;$B163+$D163,T$111&lt;=$B163+$E163), $L163/($E163-$D163),0)), IF(OR(T$111=$B163+$D163,T$111=$B163+$E163),$L163/(($E163-$D163)*2),IF(AND(T$111&gt;$B163+$D163,T$111&lt;$B163+$E163),$L163/($E163-$D163),0)))</f>
        <v>0</v>
      </c>
      <c r="U163" s="9"/>
      <c r="V163" s="9"/>
      <c r="W163" s="9"/>
      <c r="X163" s="9"/>
      <c r="Y163" s="9"/>
      <c r="Z163" s="9">
        <f t="shared" si="38"/>
        <v>0</v>
      </c>
      <c r="AA163" s="9">
        <f t="shared" ca="1" si="38"/>
        <v>7.252158706296215</v>
      </c>
    </row>
    <row r="164" spans="1:27">
      <c r="A164" s="8" t="str">
        <f>A163</f>
        <v>Type 4</v>
      </c>
      <c r="B164" s="7">
        <f>B163+1</f>
        <v>2023</v>
      </c>
      <c r="C164" s="7" t="str">
        <f>C163</f>
        <v>Annual</v>
      </c>
      <c r="D164" s="7">
        <f t="shared" si="39"/>
        <v>0</v>
      </c>
      <c r="E164" s="7">
        <f t="shared" si="39"/>
        <v>0</v>
      </c>
      <c r="F164" s="14">
        <f>$Q$82</f>
        <v>2.5000000000000001E-3</v>
      </c>
      <c r="H164" s="9"/>
      <c r="I164" s="9"/>
      <c r="J164" s="9"/>
      <c r="K164" s="9"/>
      <c r="L164" s="9"/>
      <c r="M164" s="9">
        <f ca="1">$G$82</f>
        <v>140.60691083528764</v>
      </c>
      <c r="N164" s="9"/>
      <c r="O164" s="9"/>
      <c r="P164" s="9"/>
      <c r="Q164" s="9"/>
      <c r="R164" s="9"/>
      <c r="S164" s="9"/>
      <c r="T164" s="9">
        <f ca="1">IF(OR($C164="Annual",$D164=$E164),IF(AND($D164=$E164,T$111=$B164+$D164),$M164,IF(AND(T$111&gt;$B164+$D164,T$111&lt;=$B164+$E164), $M164/($E164-$D164),0)), IF(OR(T$111=$B164+$D164,T$111=$B164+$E164),$M164/(($E164-$D164)*2),IF(AND(T$111&gt;$B164+$D164,T$111&lt;$B164+$E164),$M164/($E164-$D164),0)))</f>
        <v>0</v>
      </c>
      <c r="U164" s="9"/>
      <c r="V164" s="9"/>
      <c r="W164" s="9"/>
      <c r="X164" s="9"/>
      <c r="Y164" s="9"/>
      <c r="Z164" s="9"/>
      <c r="AA164" s="9">
        <f t="shared" si="38"/>
        <v>0</v>
      </c>
    </row>
    <row r="165" spans="1:27">
      <c r="C165" s="281"/>
      <c r="F165" s="15"/>
      <c r="H165" s="10"/>
      <c r="I165" s="10"/>
      <c r="J165" s="10"/>
      <c r="K165" s="10"/>
      <c r="L165" s="10"/>
      <c r="M165" s="10"/>
      <c r="N165" s="10"/>
      <c r="O165" s="278"/>
      <c r="P165" s="10"/>
      <c r="Q165" s="10"/>
      <c r="R165" s="10"/>
      <c r="S165" s="10"/>
      <c r="T165" s="10"/>
      <c r="U165" s="10"/>
      <c r="V165" s="10"/>
      <c r="W165" s="10"/>
      <c r="X165" s="10"/>
      <c r="Y165" s="10"/>
      <c r="Z165" s="10"/>
      <c r="AA165" s="10"/>
    </row>
    <row r="166" spans="1:27" s="1150" customFormat="1">
      <c r="A166" s="1347" t="str">
        <f>'Input 4 - Forecast'!A64</f>
        <v>ZERO-COUPON BOND</v>
      </c>
      <c r="B166" s="1348">
        <f>B119</f>
        <v>2018</v>
      </c>
      <c r="C166" s="1348"/>
      <c r="D166" s="1348">
        <f>$J83</f>
        <v>0</v>
      </c>
      <c r="E166" s="1348">
        <f>$K83</f>
        <v>0</v>
      </c>
      <c r="F166" s="1349">
        <f>$L$83</f>
        <v>0</v>
      </c>
      <c r="H166" s="1350">
        <f>$B$83</f>
        <v>0</v>
      </c>
      <c r="I166" s="1350">
        <f>H166-P166</f>
        <v>0</v>
      </c>
      <c r="J166" s="1350">
        <f>I166-Q166</f>
        <v>0</v>
      </c>
      <c r="K166" s="1350">
        <f>J166-R166</f>
        <v>0</v>
      </c>
      <c r="L166" s="1350">
        <f>K166-S166</f>
        <v>0</v>
      </c>
      <c r="M166" s="1350">
        <f>L166-T166</f>
        <v>0</v>
      </c>
      <c r="N166" s="1350"/>
      <c r="O166" s="1350">
        <f t="shared" ref="O166:T166" si="40">IF($D166=$E166,IF(O$111=$B166+$E166,$H166,0),0)</f>
        <v>0</v>
      </c>
      <c r="P166" s="1350">
        <f t="shared" si="40"/>
        <v>0</v>
      </c>
      <c r="Q166" s="1350">
        <f t="shared" si="40"/>
        <v>0</v>
      </c>
      <c r="R166" s="1350">
        <f t="shared" si="40"/>
        <v>0</v>
      </c>
      <c r="S166" s="1350">
        <f t="shared" si="40"/>
        <v>0</v>
      </c>
      <c r="T166" s="1350">
        <f t="shared" si="40"/>
        <v>0</v>
      </c>
      <c r="U166" s="1350"/>
      <c r="V166" s="1350">
        <f t="shared" ref="V166:AA166" si="41">IF(V$111-$B166=$D166,$H166*(((1+$F166)^$D166)-1),0)</f>
        <v>0</v>
      </c>
      <c r="W166" s="1350">
        <f t="shared" si="41"/>
        <v>0</v>
      </c>
      <c r="X166" s="1350">
        <f t="shared" si="41"/>
        <v>0</v>
      </c>
      <c r="Y166" s="1350">
        <f t="shared" si="41"/>
        <v>0</v>
      </c>
      <c r="Z166" s="1350">
        <f t="shared" si="41"/>
        <v>0</v>
      </c>
      <c r="AA166" s="1350">
        <f t="shared" si="41"/>
        <v>0</v>
      </c>
    </row>
    <row r="167" spans="1:27" s="1150" customFormat="1">
      <c r="A167" s="1347" t="str">
        <f>A166</f>
        <v>ZERO-COUPON BOND</v>
      </c>
      <c r="B167" s="1348">
        <f>B166+1</f>
        <v>2019</v>
      </c>
      <c r="C167" s="1348"/>
      <c r="D167" s="1348">
        <f t="shared" ref="D167:E171" si="42">D166</f>
        <v>0</v>
      </c>
      <c r="E167" s="1348">
        <f t="shared" si="42"/>
        <v>0</v>
      </c>
      <c r="F167" s="1349">
        <f>$M$83</f>
        <v>2.5000000000000001E-3</v>
      </c>
      <c r="H167" s="1350"/>
      <c r="I167" s="1350">
        <f ca="1">$C$83</f>
        <v>0</v>
      </c>
      <c r="J167" s="1350">
        <f ca="1">I167-Q167</f>
        <v>0</v>
      </c>
      <c r="K167" s="1350">
        <f ca="1">J167-R167</f>
        <v>0</v>
      </c>
      <c r="L167" s="1350">
        <f ca="1">K167-S167</f>
        <v>0</v>
      </c>
      <c r="M167" s="1350">
        <f ca="1">L167-T167</f>
        <v>0</v>
      </c>
      <c r="N167" s="1350"/>
      <c r="O167" s="1351"/>
      <c r="P167" s="1350">
        <f ca="1">IF($D167=$E167,IF(P$111=$B167+$E167,$I167,0),0)</f>
        <v>0</v>
      </c>
      <c r="Q167" s="1350">
        <f>IF($D167=$E167,IF(Q$111=$B167+$E167,$I167,0),0)</f>
        <v>0</v>
      </c>
      <c r="R167" s="1350">
        <f>IF($D167=$E167,IF(R$111=$B167+$E167,$I167,0),0)</f>
        <v>0</v>
      </c>
      <c r="S167" s="1350">
        <f>IF($D167=$E167,IF(S$111=$B167+$E167,$I167,0),0)</f>
        <v>0</v>
      </c>
      <c r="T167" s="1350">
        <f>IF($D167=$E167,IF(T$111=$B167+$E167,$I167,0),0)</f>
        <v>0</v>
      </c>
      <c r="U167" s="1350"/>
      <c r="V167" s="1350"/>
      <c r="W167" s="1350">
        <f ca="1">IF(W$111-$B167=$D167,$I167*(((1+$F167)^$D167)-1),0)</f>
        <v>0</v>
      </c>
      <c r="X167" s="1350">
        <f>IF(X$111-$B167=$D167,$I167*(((1+$F167)^$D167)-1),0)</f>
        <v>0</v>
      </c>
      <c r="Y167" s="1350">
        <f>IF(Y$111-$B167=$D167,$I167*(((1+$F167)^$D167)-1),0)</f>
        <v>0</v>
      </c>
      <c r="Z167" s="1350">
        <f>IF(Z$111-$B167=$D167,$I167*(((1+$F167)^$D167)-1),0)</f>
        <v>0</v>
      </c>
      <c r="AA167" s="1350">
        <f>IF(AA$111-$B167=$D167,$I167*(((1+$F167)^$D167)-1),0)</f>
        <v>0</v>
      </c>
    </row>
    <row r="168" spans="1:27" s="1150" customFormat="1">
      <c r="A168" s="1347" t="str">
        <f>A167</f>
        <v>ZERO-COUPON BOND</v>
      </c>
      <c r="B168" s="1348">
        <f>B167+1</f>
        <v>2020</v>
      </c>
      <c r="C168" s="1348"/>
      <c r="D168" s="1348">
        <f t="shared" si="42"/>
        <v>0</v>
      </c>
      <c r="E168" s="1348">
        <f t="shared" si="42"/>
        <v>0</v>
      </c>
      <c r="F168" s="1349">
        <f>$N$83</f>
        <v>2.5000000000000001E-3</v>
      </c>
      <c r="H168" s="1350"/>
      <c r="I168" s="1350"/>
      <c r="J168" s="1350">
        <f ca="1">$D$83</f>
        <v>0</v>
      </c>
      <c r="K168" s="1350">
        <f ca="1">J168-R168</f>
        <v>0</v>
      </c>
      <c r="L168" s="1350">
        <f ca="1">K168-S168</f>
        <v>0</v>
      </c>
      <c r="M168" s="1350">
        <f ca="1">L168-T168</f>
        <v>0</v>
      </c>
      <c r="N168" s="1350"/>
      <c r="O168" s="1351"/>
      <c r="P168" s="1350"/>
      <c r="Q168" s="1350">
        <f ca="1">IF($D168=$E168,IF(Q$111=$B168+$E168,$J168,0),0)</f>
        <v>0</v>
      </c>
      <c r="R168" s="1350">
        <f>IF($D168=$E168,IF(R$111=$B168+$E168,$J168,0),0)</f>
        <v>0</v>
      </c>
      <c r="S168" s="1350">
        <f>IF($D168=$E168,IF(S$111=$B168+$E168,$J168,0),0)</f>
        <v>0</v>
      </c>
      <c r="T168" s="1350">
        <f>IF($D168=$E168,IF(T$111=$B168+$E168,$J168,0),0)</f>
        <v>0</v>
      </c>
      <c r="U168" s="1350"/>
      <c r="V168" s="1350"/>
      <c r="W168" s="1350"/>
      <c r="X168" s="1350">
        <f ca="1">IF(X$111-$B168=$D168,$J168*(((1+$F168)^$D168)-1),0)</f>
        <v>0</v>
      </c>
      <c r="Y168" s="1350">
        <f>IF(Y$111-$B168=$D168,$J168*(((1+$F168)^$D168)-1),0)</f>
        <v>0</v>
      </c>
      <c r="Z168" s="1350">
        <f>IF(Z$111-$B168=$D168,$J168*(((1+$F168)^$D168)-1),0)</f>
        <v>0</v>
      </c>
      <c r="AA168" s="1350">
        <f>IF(AA$111-$B168=$D168,$J168*(((1+$F168)^$D168)-1),0)</f>
        <v>0</v>
      </c>
    </row>
    <row r="169" spans="1:27" s="1150" customFormat="1">
      <c r="A169" s="1347" t="str">
        <f>A168</f>
        <v>ZERO-COUPON BOND</v>
      </c>
      <c r="B169" s="1348">
        <f>B168+1</f>
        <v>2021</v>
      </c>
      <c r="C169" s="1348"/>
      <c r="D169" s="1348">
        <f t="shared" si="42"/>
        <v>0</v>
      </c>
      <c r="E169" s="1348">
        <f t="shared" si="42"/>
        <v>0</v>
      </c>
      <c r="F169" s="1349">
        <f>$O$83</f>
        <v>2.5000000000000001E-3</v>
      </c>
      <c r="H169" s="1350"/>
      <c r="I169" s="1350"/>
      <c r="J169" s="1350"/>
      <c r="K169" s="1350">
        <f ca="1">$E$83</f>
        <v>0</v>
      </c>
      <c r="L169" s="1350">
        <f ca="1">K169-S169</f>
        <v>0</v>
      </c>
      <c r="M169" s="1350">
        <f ca="1">L169-T169</f>
        <v>0</v>
      </c>
      <c r="N169" s="1350"/>
      <c r="O169" s="1351"/>
      <c r="P169" s="1350"/>
      <c r="Q169" s="1350"/>
      <c r="R169" s="1350">
        <f ca="1">IF($D169=$E169,IF(R$111=$B169+$E169,$K169,0),0)</f>
        <v>0</v>
      </c>
      <c r="S169" s="1350">
        <f>IF($D169=$E169,IF(S$111=$B169+$E169,$K169,0),0)</f>
        <v>0</v>
      </c>
      <c r="T169" s="1350">
        <f>IF($D169=$E169,IF(T$111=$B169+$E169,$K169,0),0)</f>
        <v>0</v>
      </c>
      <c r="U169" s="1350"/>
      <c r="V169" s="1350"/>
      <c r="W169" s="1350"/>
      <c r="X169" s="1350"/>
      <c r="Y169" s="1350">
        <f ca="1">IF(Y$111-$B169=$D169,$K169*(((1+$F169)^$D169)-1),0)</f>
        <v>0</v>
      </c>
      <c r="Z169" s="1350">
        <f>IF(Z$111-$B169=$D169,$K169*(((1+$F169)^$D169)-1),0)</f>
        <v>0</v>
      </c>
      <c r="AA169" s="1350">
        <f>IF(AA$111-$B169=$D169,$K169*(((1+$F169)^$D169)-1),0)</f>
        <v>0</v>
      </c>
    </row>
    <row r="170" spans="1:27" s="1150" customFormat="1">
      <c r="A170" s="1347" t="str">
        <f>A169</f>
        <v>ZERO-COUPON BOND</v>
      </c>
      <c r="B170" s="1348">
        <f>B169+1</f>
        <v>2022</v>
      </c>
      <c r="C170" s="1348"/>
      <c r="D170" s="1348">
        <f t="shared" si="42"/>
        <v>0</v>
      </c>
      <c r="E170" s="1348">
        <f t="shared" si="42"/>
        <v>0</v>
      </c>
      <c r="F170" s="1349">
        <f>$P$83</f>
        <v>2.5000000000000001E-3</v>
      </c>
      <c r="H170" s="1350"/>
      <c r="I170" s="1350"/>
      <c r="J170" s="1350"/>
      <c r="K170" s="1350"/>
      <c r="L170" s="1350">
        <f ca="1">$F$83</f>
        <v>0</v>
      </c>
      <c r="M170" s="1350">
        <f ca="1">L170-T170</f>
        <v>0</v>
      </c>
      <c r="N170" s="1350"/>
      <c r="O170" s="1351"/>
      <c r="P170" s="1350"/>
      <c r="Q170" s="1350"/>
      <c r="R170" s="1350"/>
      <c r="S170" s="1350">
        <f ca="1">IF($D170=$E170,IF(S$111=$B170+$E170,$L170,0),0)</f>
        <v>0</v>
      </c>
      <c r="T170" s="1350">
        <f>IF($D170=$E170,IF(T$111=$B170+$E170,$L170,0),0)</f>
        <v>0</v>
      </c>
      <c r="U170" s="1350"/>
      <c r="V170" s="1350"/>
      <c r="W170" s="1350"/>
      <c r="X170" s="1350"/>
      <c r="Y170" s="1350"/>
      <c r="Z170" s="1350">
        <f ca="1">IF(Z$111-$B170=$D170,$L170*(((1+$F170)^$D170)-1),0)</f>
        <v>0</v>
      </c>
      <c r="AA170" s="1350">
        <f>IF(AA$111-$B170=$D170,$L170*(((1+$F170)^$D170)-1),0)</f>
        <v>0</v>
      </c>
    </row>
    <row r="171" spans="1:27" s="1150" customFormat="1">
      <c r="A171" s="1347" t="str">
        <f>A170</f>
        <v>ZERO-COUPON BOND</v>
      </c>
      <c r="B171" s="1348">
        <f>B170+1</f>
        <v>2023</v>
      </c>
      <c r="C171" s="1348"/>
      <c r="D171" s="1348">
        <f t="shared" si="42"/>
        <v>0</v>
      </c>
      <c r="E171" s="1348">
        <f t="shared" si="42"/>
        <v>0</v>
      </c>
      <c r="F171" s="1349">
        <f>$Q$83</f>
        <v>2.5000000000000001E-3</v>
      </c>
      <c r="H171" s="1350"/>
      <c r="I171" s="1350"/>
      <c r="J171" s="1350"/>
      <c r="K171" s="1350"/>
      <c r="L171" s="1350"/>
      <c r="M171" s="1350">
        <f ca="1">$G$83</f>
        <v>0</v>
      </c>
      <c r="N171" s="1350"/>
      <c r="O171" s="1351"/>
      <c r="P171" s="1350"/>
      <c r="Q171" s="1350"/>
      <c r="R171" s="1350"/>
      <c r="S171" s="1350"/>
      <c r="T171" s="1350">
        <f ca="1">IF($D171=$E171,IF(T$111=$B171+$E171,$M171,0),0)</f>
        <v>0</v>
      </c>
      <c r="U171" s="1350"/>
      <c r="V171" s="1350"/>
      <c r="W171" s="1350"/>
      <c r="X171" s="1350"/>
      <c r="Y171" s="1350"/>
      <c r="Z171" s="1350"/>
      <c r="AA171" s="1350">
        <f ca="1">IF(AA$111-$B171=$D171,$M171*(((1+$F171)^$D171)-1),0)</f>
        <v>0</v>
      </c>
    </row>
    <row r="172" spans="1:27" ht="15.75" thickBot="1">
      <c r="H172" s="10"/>
      <c r="I172" s="10"/>
      <c r="J172" s="10"/>
      <c r="K172" s="10"/>
      <c r="L172" s="10"/>
      <c r="M172" s="10"/>
      <c r="N172" s="10"/>
      <c r="O172" s="10"/>
      <c r="P172" s="10"/>
      <c r="Q172" s="10"/>
      <c r="R172" s="10"/>
      <c r="S172" s="10"/>
      <c r="T172" s="10"/>
      <c r="U172" s="10"/>
      <c r="V172" s="10"/>
      <c r="W172" s="10"/>
      <c r="X172" s="10"/>
      <c r="Y172" s="10"/>
      <c r="Z172" s="10"/>
      <c r="AA172" s="10"/>
    </row>
    <row r="173" spans="1:27" ht="15.75" thickBot="1">
      <c r="A173" s="12" t="str">
        <f>'Input 4 - Forecast'!A65</f>
        <v>Denominated in foreign currency</v>
      </c>
      <c r="B173" s="1999" t="s">
        <v>52</v>
      </c>
      <c r="C173" s="2000"/>
      <c r="D173" s="2000"/>
      <c r="E173" s="2000"/>
      <c r="F173" s="2000"/>
      <c r="G173" s="2000"/>
      <c r="H173" s="2000"/>
      <c r="I173" s="2000"/>
      <c r="J173" s="2000"/>
      <c r="K173" s="2000"/>
      <c r="L173" s="2000"/>
      <c r="M173" s="2000"/>
      <c r="N173" s="2000"/>
      <c r="O173" s="2000"/>
      <c r="P173" s="2000"/>
      <c r="Q173" s="2000"/>
      <c r="R173" s="2000"/>
      <c r="S173" s="2000"/>
      <c r="T173" s="2000"/>
      <c r="U173" s="2000"/>
      <c r="V173" s="2000"/>
      <c r="W173" s="2000"/>
      <c r="X173" s="2000"/>
      <c r="Y173" s="2000"/>
      <c r="Z173" s="2000"/>
      <c r="AA173" s="2001"/>
    </row>
    <row r="174" spans="1:27">
      <c r="H174" s="10"/>
      <c r="I174" s="10"/>
      <c r="J174" s="10"/>
      <c r="K174" s="10"/>
      <c r="L174" s="10"/>
      <c r="M174" s="10"/>
      <c r="N174" s="10"/>
      <c r="O174" s="10"/>
      <c r="P174" s="10"/>
      <c r="Q174" s="10"/>
      <c r="R174" s="10"/>
      <c r="S174" s="10"/>
      <c r="T174" s="10"/>
      <c r="U174" s="10"/>
      <c r="V174" s="10"/>
      <c r="W174" s="10"/>
      <c r="X174" s="10"/>
      <c r="Y174" s="10"/>
      <c r="Z174" s="10"/>
      <c r="AA174" s="10"/>
    </row>
    <row r="175" spans="1:27">
      <c r="A175" s="8" t="str">
        <f>'Input 4 - Forecast'!A66</f>
        <v>Type 6</v>
      </c>
      <c r="B175" s="7">
        <f>B119</f>
        <v>2018</v>
      </c>
      <c r="C175" s="7" t="str">
        <f>$I85</f>
        <v>Annual</v>
      </c>
      <c r="D175" s="7">
        <f>$J85</f>
        <v>0</v>
      </c>
      <c r="E175" s="7">
        <f>$K85</f>
        <v>0</v>
      </c>
      <c r="F175" s="14">
        <f>$L$85</f>
        <v>0</v>
      </c>
      <c r="H175" s="9">
        <f>$B$85/$B$31</f>
        <v>0</v>
      </c>
      <c r="I175" s="9">
        <f>H175-P175</f>
        <v>0</v>
      </c>
      <c r="J175" s="9">
        <f>I175-Q175</f>
        <v>0</v>
      </c>
      <c r="K175" s="9">
        <f>J175-R175</f>
        <v>0</v>
      </c>
      <c r="L175" s="9">
        <f>K175-S175</f>
        <v>0</v>
      </c>
      <c r="M175" s="9">
        <f>L175-T175</f>
        <v>0</v>
      </c>
      <c r="N175" s="9"/>
      <c r="O175" s="9">
        <f t="shared" ref="O175:T175" si="43">IF(OR($C175="Annual",$D175=$E175),IF(AND($D175=$E175,O$111=$B175+$D175),$H175,IF(AND(O$111&gt;$B175+$D175,O$111&lt;=$B175+$E175), $H175/($E175-$D175),0)), IF(OR(O$111=$B175+$D175,O$111=$B175+$E175),$H175/(($E175-$D175)*2),IF(AND(O$111&gt;$B175+$D175,O$111&lt;$B175+$E175),$H175/($E175-$D175),0)))</f>
        <v>0</v>
      </c>
      <c r="P175" s="9">
        <f t="shared" si="43"/>
        <v>0</v>
      </c>
      <c r="Q175" s="9">
        <f t="shared" si="43"/>
        <v>0</v>
      </c>
      <c r="R175" s="9">
        <f t="shared" si="43"/>
        <v>0</v>
      </c>
      <c r="S175" s="9">
        <f t="shared" si="43"/>
        <v>0</v>
      </c>
      <c r="T175" s="9">
        <f t="shared" si="43"/>
        <v>0</v>
      </c>
      <c r="U175" s="9"/>
      <c r="V175" s="9">
        <f>IF($C175="annual",IF(V$111=$B175,0,G175*$F175),IF(V$111-$B175=0,0,IF((V$111-$B175)&lt;$E175,AVERAGE(G175,H175)*$F175,IF((V$111-$B175)=$E175,G175*$F175/2,0))))</f>
        <v>0</v>
      </c>
      <c r="W175" s="9">
        <f t="shared" ref="W175:AA180" si="44">IF($C175="annual",IF(W$111=$B175,0,H175*$F175),IF(W$111-$B175=0,0,IF((W$111-$B175)&lt;$E175,AVERAGE(H175,I175)*$F175,IF((W$111-$B175)=$E175,H175*$F175/2,0))))</f>
        <v>0</v>
      </c>
      <c r="X175" s="9">
        <f t="shared" si="44"/>
        <v>0</v>
      </c>
      <c r="Y175" s="9">
        <f t="shared" si="44"/>
        <v>0</v>
      </c>
      <c r="Z175" s="9">
        <f t="shared" si="44"/>
        <v>0</v>
      </c>
      <c r="AA175" s="9">
        <f t="shared" si="44"/>
        <v>0</v>
      </c>
    </row>
    <row r="176" spans="1:27">
      <c r="A176" s="8" t="str">
        <f>A175</f>
        <v>Type 6</v>
      </c>
      <c r="B176" s="7">
        <f>B175+1</f>
        <v>2019</v>
      </c>
      <c r="C176" s="7" t="str">
        <f t="shared" ref="C176:D180" si="45">C175</f>
        <v>Annual</v>
      </c>
      <c r="D176" s="7">
        <f t="shared" si="45"/>
        <v>0</v>
      </c>
      <c r="E176" s="7">
        <f>E175</f>
        <v>0</v>
      </c>
      <c r="F176" s="14">
        <f>$M$85</f>
        <v>2.5000000000000001E-3</v>
      </c>
      <c r="H176" s="9"/>
      <c r="I176" s="9">
        <f ca="1">$C$85/$C$31</f>
        <v>0</v>
      </c>
      <c r="J176" s="9">
        <f ca="1">I176-Q176</f>
        <v>0</v>
      </c>
      <c r="K176" s="9">
        <f ca="1">J176-R176</f>
        <v>0</v>
      </c>
      <c r="L176" s="9">
        <f ca="1">K176-S176</f>
        <v>0</v>
      </c>
      <c r="M176" s="9">
        <f ca="1">L176-T176</f>
        <v>0</v>
      </c>
      <c r="N176" s="9"/>
      <c r="O176" s="9"/>
      <c r="P176" s="9">
        <f ca="1">IF(OR($C176="Annual",$D176=$E176),IF(AND($D176=$E176,P$111=$B176+$D176),$I176,IF(AND(P$111&gt;$B176+$D176,P$111&lt;=$B176+$E176), $I176/($E176-$D176),0)), IF(OR(P$111=$B176+$D176,P$111=$B176+$E176),$I176/(($E176-$D176)*2),IF(AND(P$111&gt;$B176+$D176,P$111&lt;$B176+$E176),$I176/($E176-$D176),0)))</f>
        <v>0</v>
      </c>
      <c r="Q176" s="9">
        <f>IF(OR($C176="Annual",$D176=$E176),IF(AND($D176=$E176,Q$111=$B176+$D176),$I176,IF(AND(Q$111&gt;$B176+$D176,Q$111&lt;=$B176+$E176), $I176/($E176-$D176),0)), IF(OR(Q$111=$B176+$D176,Q$111=$B176+$E176),$I176/(($E176-$D176)*2),IF(AND(Q$111&gt;$B176+$D176,Q$111&lt;$B176+$E176),$I176/($E176-$D176),0)))</f>
        <v>0</v>
      </c>
      <c r="R176" s="9">
        <f>IF(OR($C176="Annual",$D176=$E176),IF(AND($D176=$E176,R$111=$B176+$D176),$I176,IF(AND(R$111&gt;$B176+$D176,R$111&lt;=$B176+$E176), $I176/($E176-$D176),0)), IF(OR(R$111=$B176+$D176,R$111=$B176+$E176),$I176/(($E176-$D176)*2),IF(AND(R$111&gt;$B176+$D176,R$111&lt;$B176+$E176),$I176/($E176-$D176),0)))</f>
        <v>0</v>
      </c>
      <c r="S176" s="9">
        <f>IF(OR($C176="Annual",$D176=$E176),IF(AND($D176=$E176,S$111=$B176+$D176),$I176,IF(AND(S$111&gt;$B176+$D176,S$111&lt;=$B176+$E176), $I176/($E176-$D176),0)), IF(OR(S$111=$B176+$D176,S$111=$B176+$E176),$I176/(($E176-$D176)*2),IF(AND(S$111&gt;$B176+$D176,S$111&lt;$B176+$E176),$I176/($E176-$D176),0)))</f>
        <v>0</v>
      </c>
      <c r="T176" s="9">
        <f>IF(OR($C176="Annual",$D176=$E176),IF(AND($D176=$E176,T$111=$B176+$D176),$I176,IF(AND(T$111&gt;$B176+$D176,T$111&lt;=$B176+$E176), $I176/($E176-$D176),0)), IF(OR(T$111=$B176+$D176,T$111=$B176+$E176),$I176/(($E176-$D176)*2),IF(AND(T$111&gt;$B176+$D176,T$111&lt;$B176+$E176),$I176/($E176-$D176),0)))</f>
        <v>0</v>
      </c>
      <c r="U176" s="9"/>
      <c r="V176" s="9"/>
      <c r="W176" s="9">
        <f t="shared" si="44"/>
        <v>0</v>
      </c>
      <c r="X176" s="9">
        <f t="shared" ca="1" si="44"/>
        <v>0</v>
      </c>
      <c r="Y176" s="9">
        <f t="shared" ca="1" si="44"/>
        <v>0</v>
      </c>
      <c r="Z176" s="9">
        <f t="shared" ca="1" si="44"/>
        <v>0</v>
      </c>
      <c r="AA176" s="9">
        <f t="shared" ca="1" si="44"/>
        <v>0</v>
      </c>
    </row>
    <row r="177" spans="1:27">
      <c r="A177" s="8" t="str">
        <f>A176</f>
        <v>Type 6</v>
      </c>
      <c r="B177" s="7">
        <f>B176+1</f>
        <v>2020</v>
      </c>
      <c r="C177" s="7" t="str">
        <f t="shared" si="45"/>
        <v>Annual</v>
      </c>
      <c r="D177" s="7">
        <f t="shared" si="45"/>
        <v>0</v>
      </c>
      <c r="E177" s="7">
        <f>E176</f>
        <v>0</v>
      </c>
      <c r="F177" s="14">
        <f>$N$85</f>
        <v>2.5000000000000001E-3</v>
      </c>
      <c r="H177" s="9"/>
      <c r="I177" s="9"/>
      <c r="J177" s="9">
        <f ca="1">$D$85/$D$31</f>
        <v>0</v>
      </c>
      <c r="K177" s="9">
        <f ca="1">J177-R177</f>
        <v>0</v>
      </c>
      <c r="L177" s="9">
        <f ca="1">K177-S177</f>
        <v>0</v>
      </c>
      <c r="M177" s="9">
        <f ca="1">L177-T177</f>
        <v>0</v>
      </c>
      <c r="N177" s="9"/>
      <c r="O177" s="9"/>
      <c r="P177" s="9"/>
      <c r="Q177" s="9">
        <f ca="1">IF(OR($C177="Annual",$D177=$E177),IF(AND($D177=$E177,Q$111=$B177+$D177),$J177,IF(AND(Q$111&gt;$B177+$D177,Q$111&lt;=$B177+$E177), $J177/($E177-$D177),0)), IF(OR(Q$111=$B177+$D177,Q$111=$B177+$E177),$J177/(($E177-$D177)*2),IF(AND(Q$111&gt;$B177+$D177,Q$111&lt;$B177+$E177),$J177/($E177-$D177),0)))</f>
        <v>0</v>
      </c>
      <c r="R177" s="9">
        <f>IF(OR($C177="Annual",$D177=$E177),IF(AND($D177=$E177,R$111=$B177+$D177),$J177,IF(AND(R$111&gt;$B177+$D177,R$111&lt;=$B177+$E177), $J177/($E177-$D177),0)), IF(OR(R$111=$B177+$D177,R$111=$B177+$E177),$J177/(($E177-$D177)*2),IF(AND(R$111&gt;$B177+$D177,R$111&lt;$B177+$E177),$J177/($E177-$D177),0)))</f>
        <v>0</v>
      </c>
      <c r="S177" s="9">
        <f>IF(OR($C177="Annual",$D177=$E177),IF(AND($D177=$E177,S$111=$B177+$D177),$J177,IF(AND(S$111&gt;$B177+$D177,S$111&lt;=$B177+$E177), $J177/($E177-$D177),0)), IF(OR(S$111=$B177+$D177,S$111=$B177+$E177),$J177/(($E177-$D177)*2),IF(AND(S$111&gt;$B177+$D177,S$111&lt;$B177+$E177),$J177/($E177-$D177),0)))</f>
        <v>0</v>
      </c>
      <c r="T177" s="9">
        <f>IF(OR($C177="Annual",$D177=$E177),IF(AND($D177=$E177,T$111=$B177+$D177),$J177,IF(AND(T$111&gt;$B177+$D177,T$111&lt;=$B177+$E177), $J177/($E177-$D177),0)), IF(OR(T$111=$B177+$D177,T$111=$B177+$E177),$J177/(($E177-$D177)*2),IF(AND(T$111&gt;$B177+$D177,T$111&lt;$B177+$E177),$J177/($E177-$D177),0)))</f>
        <v>0</v>
      </c>
      <c r="U177" s="9"/>
      <c r="V177" s="9"/>
      <c r="W177" s="9"/>
      <c r="X177" s="9">
        <f t="shared" si="44"/>
        <v>0</v>
      </c>
      <c r="Y177" s="9">
        <f t="shared" ca="1" si="44"/>
        <v>0</v>
      </c>
      <c r="Z177" s="9">
        <f t="shared" ca="1" si="44"/>
        <v>0</v>
      </c>
      <c r="AA177" s="9">
        <f t="shared" ca="1" si="44"/>
        <v>0</v>
      </c>
    </row>
    <row r="178" spans="1:27">
      <c r="A178" s="8" t="str">
        <f>A177</f>
        <v>Type 6</v>
      </c>
      <c r="B178" s="7">
        <f>B177+1</f>
        <v>2021</v>
      </c>
      <c r="C178" s="7" t="str">
        <f t="shared" si="45"/>
        <v>Annual</v>
      </c>
      <c r="D178" s="7">
        <f t="shared" si="45"/>
        <v>0</v>
      </c>
      <c r="E178" s="7">
        <f>E177</f>
        <v>0</v>
      </c>
      <c r="F178" s="14">
        <f>$O$85</f>
        <v>2.5000000000000001E-3</v>
      </c>
      <c r="H178" s="9"/>
      <c r="I178" s="9"/>
      <c r="J178" s="9"/>
      <c r="K178" s="9">
        <f ca="1">$E$85/$E$31</f>
        <v>0</v>
      </c>
      <c r="L178" s="9">
        <f ca="1">K178-S178</f>
        <v>0</v>
      </c>
      <c r="M178" s="9">
        <f ca="1">L178-T178</f>
        <v>0</v>
      </c>
      <c r="N178" s="9"/>
      <c r="O178" s="9"/>
      <c r="P178" s="9"/>
      <c r="Q178" s="9"/>
      <c r="R178" s="9">
        <f ca="1">IF(OR($C178="Annual",$D178=$E178),IF(AND($D178=$E178,R$111=$B178+$D178),$K178,IF(AND(R$111&gt;$B178+$D178,R$111&lt;=$B178+$E178), $K178/($E178-$D178),0)), IF(OR(R$111=$B178+$D178,R$111=$B178+$E178),$K178/(($E178-$D178)*2),IF(AND(R$111&gt;$B178+$D178,R$111&lt;$B178+$E178),$K178/($E178-$D178),0)))</f>
        <v>0</v>
      </c>
      <c r="S178" s="9">
        <f>IF(OR($C178="Annual",$D178=$E178),IF(AND($D178=$E178,S$111=$B178+$D178),$K178,IF(AND(S$111&gt;$B178+$D178,S$111&lt;=$B178+$E178), $K178/($E178-$D178),0)), IF(OR(S$111=$B178+$D178,S$111=$B178+$E178),$K178/(($E178-$D178)*2),IF(AND(S$111&gt;$B178+$D178,S$111&lt;$B178+$E178),$K178/($E178-$D178),0)))</f>
        <v>0</v>
      </c>
      <c r="T178" s="9">
        <f>IF(OR($C178="Annual",$D178=$E178),IF(AND($D178=$E178,T$111=$B178+$D178),$K178,IF(AND(T$111&gt;$B178+$D178,T$111&lt;=$B178+$E178), $K178/($E178-$D178),0)), IF(OR(T$111=$B178+$D178,T$111=$B178+$E178),$K178/(($E178-$D178)*2),IF(AND(T$111&gt;$B178+$D178,T$111&lt;$B178+$E178),$K178/($E178-$D178),0)))</f>
        <v>0</v>
      </c>
      <c r="U178" s="9"/>
      <c r="V178" s="9"/>
      <c r="W178" s="9"/>
      <c r="X178" s="9"/>
      <c r="Y178" s="9">
        <f t="shared" si="44"/>
        <v>0</v>
      </c>
      <c r="Z178" s="9">
        <f t="shared" ca="1" si="44"/>
        <v>0</v>
      </c>
      <c r="AA178" s="9">
        <f t="shared" ca="1" si="44"/>
        <v>0</v>
      </c>
    </row>
    <row r="179" spans="1:27">
      <c r="A179" s="8" t="str">
        <f>A178</f>
        <v>Type 6</v>
      </c>
      <c r="B179" s="7">
        <f>B178+1</f>
        <v>2022</v>
      </c>
      <c r="C179" s="7" t="str">
        <f t="shared" si="45"/>
        <v>Annual</v>
      </c>
      <c r="D179" s="7">
        <f t="shared" si="45"/>
        <v>0</v>
      </c>
      <c r="E179" s="7">
        <f>E178</f>
        <v>0</v>
      </c>
      <c r="F179" s="14">
        <f>$P$85</f>
        <v>2.5000000000000001E-3</v>
      </c>
      <c r="H179" s="9"/>
      <c r="I179" s="9"/>
      <c r="J179" s="9"/>
      <c r="K179" s="9"/>
      <c r="L179" s="9">
        <f ca="1">$F$85/$F$31</f>
        <v>0</v>
      </c>
      <c r="M179" s="9">
        <f ca="1">L179-T179</f>
        <v>0</v>
      </c>
      <c r="N179" s="9"/>
      <c r="O179" s="9"/>
      <c r="P179" s="9"/>
      <c r="Q179" s="9"/>
      <c r="R179" s="9"/>
      <c r="S179" s="9">
        <f ca="1">IF(OR($C179="Annual",$D179=$E179),IF(AND($D179=$E179,S$111=$B179+$D179),$L179,IF(AND(S$111&gt;$B179+$D179,S$111&lt;=$B179+$E179), $L179/($E179-$D179),0)), IF(OR(S$111=$B179+$D179,S$111=$B179+$E179),$L179/(($E179-$D179)*2),IF(AND(S$111&gt;$B179+$D179,S$111&lt;$B179+$E179),$L179/($E179-$D179),0)))</f>
        <v>0</v>
      </c>
      <c r="T179" s="9">
        <f>IF(OR($C179="Annual",$D179=$E179),IF(AND($D179=$E179,T$111=$B179+$D179),$L179,IF(AND(T$111&gt;$B179+$D179,T$111&lt;=$B179+$E179), $L179/($E179-$D179),0)), IF(OR(T$111=$B179+$D179,T$111=$B179+$E179),$L179/(($E179-$D179)*2),IF(AND(T$111&gt;$B179+$D179,T$111&lt;$B179+$E179),$L179/($E179-$D179),0)))</f>
        <v>0</v>
      </c>
      <c r="U179" s="9"/>
      <c r="V179" s="9"/>
      <c r="W179" s="9"/>
      <c r="X179" s="9"/>
      <c r="Y179" s="9"/>
      <c r="Z179" s="9">
        <f t="shared" si="44"/>
        <v>0</v>
      </c>
      <c r="AA179" s="9">
        <f t="shared" ca="1" si="44"/>
        <v>0</v>
      </c>
    </row>
    <row r="180" spans="1:27">
      <c r="A180" s="8" t="str">
        <f>A179</f>
        <v>Type 6</v>
      </c>
      <c r="B180" s="7">
        <f>B179+1</f>
        <v>2023</v>
      </c>
      <c r="C180" s="7" t="str">
        <f t="shared" si="45"/>
        <v>Annual</v>
      </c>
      <c r="D180" s="7">
        <f t="shared" si="45"/>
        <v>0</v>
      </c>
      <c r="E180" s="7">
        <f>E179</f>
        <v>0</v>
      </c>
      <c r="F180" s="14">
        <f>$Q$85</f>
        <v>2.5000000000000001E-3</v>
      </c>
      <c r="H180" s="9"/>
      <c r="I180" s="9"/>
      <c r="J180" s="9"/>
      <c r="K180" s="9"/>
      <c r="L180" s="9"/>
      <c r="M180" s="9">
        <f ca="1">$G$85/$G$31</f>
        <v>0</v>
      </c>
      <c r="N180" s="9"/>
      <c r="O180" s="9"/>
      <c r="P180" s="9"/>
      <c r="Q180" s="9"/>
      <c r="R180" s="9"/>
      <c r="S180" s="9"/>
      <c r="T180" s="9">
        <f ca="1">IF(OR($C180="Annual",$D180=$E180),IF(AND($D180=$E180,T$111=$B180+$D180),$M180,IF(AND(T$111&gt;$B180+$D180,T$111&lt;=$B180+$E180), $M180/($E180-$D180),0)), IF(OR(T$111=$B180+$D180,T$111=$B180+$E180),$M180/(($E180-$D180)*2),IF(AND(T$111&gt;$B180+$D180,T$111&lt;$B180+$E180),$M180/($E180-$D180),0)))</f>
        <v>0</v>
      </c>
      <c r="U180" s="9"/>
      <c r="V180" s="9"/>
      <c r="W180" s="9"/>
      <c r="X180" s="9"/>
      <c r="Y180" s="9"/>
      <c r="Z180" s="9"/>
      <c r="AA180" s="9">
        <f t="shared" si="44"/>
        <v>0</v>
      </c>
    </row>
    <row r="181" spans="1:27">
      <c r="A181" s="8"/>
      <c r="B181" s="7"/>
      <c r="C181" s="7"/>
      <c r="D181" s="7"/>
      <c r="E181" s="7"/>
      <c r="F181" s="15"/>
      <c r="H181" s="9"/>
      <c r="I181" s="9"/>
      <c r="J181" s="9"/>
      <c r="K181" s="9"/>
      <c r="L181" s="9"/>
      <c r="M181" s="9"/>
      <c r="N181" s="9"/>
      <c r="O181" s="278"/>
      <c r="P181" s="10"/>
      <c r="Q181" s="10"/>
      <c r="R181" s="10"/>
      <c r="S181" s="10"/>
      <c r="T181" s="10"/>
      <c r="U181" s="9"/>
      <c r="V181" s="10"/>
      <c r="W181" s="10"/>
      <c r="X181" s="10"/>
      <c r="Y181" s="10"/>
      <c r="Z181" s="10"/>
      <c r="AA181" s="10"/>
    </row>
    <row r="182" spans="1:27">
      <c r="A182" s="8" t="str">
        <f>'Input 4 - Forecast'!A67</f>
        <v>Type 7</v>
      </c>
      <c r="B182" s="7">
        <f>B119</f>
        <v>2018</v>
      </c>
      <c r="C182" s="7" t="str">
        <f>$I86</f>
        <v>Annual</v>
      </c>
      <c r="D182" s="7">
        <f>$J86</f>
        <v>0</v>
      </c>
      <c r="E182" s="7">
        <f>$K86</f>
        <v>0</v>
      </c>
      <c r="F182" s="14">
        <f>$L$86</f>
        <v>0</v>
      </c>
      <c r="H182" s="9">
        <f>$B$86/$B$31</f>
        <v>0</v>
      </c>
      <c r="I182" s="9">
        <f>H182-P182</f>
        <v>0</v>
      </c>
      <c r="J182" s="9">
        <f>I182-Q182</f>
        <v>0</v>
      </c>
      <c r="K182" s="9">
        <f>J182-R182</f>
        <v>0</v>
      </c>
      <c r="L182" s="9">
        <f>K182-S182</f>
        <v>0</v>
      </c>
      <c r="M182" s="9">
        <f>L182-T182</f>
        <v>0</v>
      </c>
      <c r="N182" s="9"/>
      <c r="O182" s="9">
        <f t="shared" ref="O182:T182" si="46">IF(OR($C182="Annual",$D182=$E182),IF(AND($D182=$E182,O$111=$B182+$D182),$H182,IF(AND(O$111&gt;$B182+$D182,O$111&lt;=$B182+$E182), $H182/($E182-$D182),0)), IF(OR(O$111=$B182+$D182,O$111=$B182+$E182),$H182/(($E182-$D182)*2),IF(AND(O$111&gt;$B182+$D182,O$111&lt;$B182+$E182),$H182/($E182-$D182),0)))</f>
        <v>0</v>
      </c>
      <c r="P182" s="9">
        <f t="shared" si="46"/>
        <v>0</v>
      </c>
      <c r="Q182" s="9">
        <f t="shared" si="46"/>
        <v>0</v>
      </c>
      <c r="R182" s="9">
        <f t="shared" si="46"/>
        <v>0</v>
      </c>
      <c r="S182" s="9">
        <f t="shared" si="46"/>
        <v>0</v>
      </c>
      <c r="T182" s="9">
        <f t="shared" si="46"/>
        <v>0</v>
      </c>
      <c r="U182" s="9"/>
      <c r="V182" s="9">
        <f>IF($C182="annual",IF(V$111=$B182,0,G182*$F182),IF(V$111-$B182=0,0,IF((V$111-$B182)&lt;$E182,AVERAGE(G182,H182)*$F182,IF((V$111-$B182)=$E182,G182*$F182/2,0))))</f>
        <v>0</v>
      </c>
      <c r="W182" s="9">
        <f t="shared" ref="W182:AA187" si="47">IF($C182="annual",IF(W$111=$B182,0,H182*$F182),IF(W$111-$B182=0,0,IF((W$111-$B182)&lt;$E182,AVERAGE(H182,I182)*$F182,IF((W$111-$B182)=$E182,H182*$F182/2,0))))</f>
        <v>0</v>
      </c>
      <c r="X182" s="9">
        <f t="shared" si="47"/>
        <v>0</v>
      </c>
      <c r="Y182" s="9">
        <f t="shared" si="47"/>
        <v>0</v>
      </c>
      <c r="Z182" s="9">
        <f t="shared" si="47"/>
        <v>0</v>
      </c>
      <c r="AA182" s="9">
        <f t="shared" si="47"/>
        <v>0</v>
      </c>
    </row>
    <row r="183" spans="1:27">
      <c r="A183" s="8" t="str">
        <f>A182</f>
        <v>Type 7</v>
      </c>
      <c r="B183" s="7">
        <f>B182+1</f>
        <v>2019</v>
      </c>
      <c r="C183" s="7" t="str">
        <f>C182</f>
        <v>Annual</v>
      </c>
      <c r="D183" s="7">
        <f>D182</f>
        <v>0</v>
      </c>
      <c r="E183" s="7">
        <f>E182</f>
        <v>0</v>
      </c>
      <c r="F183" s="14">
        <f>$M$86</f>
        <v>2.5000000000000001E-3</v>
      </c>
      <c r="H183" s="9"/>
      <c r="I183" s="9">
        <f ca="1">$C$86/$C$31</f>
        <v>0</v>
      </c>
      <c r="J183" s="9">
        <f ca="1">I183-Q183</f>
        <v>0</v>
      </c>
      <c r="K183" s="9">
        <f ca="1">J183-R183</f>
        <v>0</v>
      </c>
      <c r="L183" s="9">
        <f ca="1">K183-S183</f>
        <v>0</v>
      </c>
      <c r="M183" s="9">
        <f ca="1">L183-T183</f>
        <v>0</v>
      </c>
      <c r="N183" s="9"/>
      <c r="O183" s="9"/>
      <c r="P183" s="9">
        <f ca="1">IF(OR($C183="Annual",$D183=$E183),IF(AND($D183=$E183,P$111=$B183+$D183),$I183,IF(AND(P$111&gt;$B183+$D183,P$111&lt;=$B183+$E183), $I183/($E183-$D183),0)), IF(OR(P$111=$B183+$D183,P$111=$B183+$E183),$I183/(($E183-$D183)*2),IF(AND(P$111&gt;$B183+$D183,P$111&lt;$B183+$E183),$I183/($E183-$D183),0)))</f>
        <v>0</v>
      </c>
      <c r="Q183" s="9">
        <f>IF(OR($C183="Annual",$D183=$E183),IF(AND($D183=$E183,Q$111=$B183+$D183),$I183,IF(AND(Q$111&gt;$B183+$D183,Q$111&lt;=$B183+$E183), $I183/($E183-$D183),0)), IF(OR(Q$111=$B183+$D183,Q$111=$B183+$E183),$I183/(($E183-$D183)*2),IF(AND(Q$111&gt;$B183+$D183,Q$111&lt;$B183+$E183),$I183/($E183-$D183),0)))</f>
        <v>0</v>
      </c>
      <c r="R183" s="9">
        <f>IF(OR($C183="Annual",$D183=$E183),IF(AND($D183=$E183,R$111=$B183+$D183),$I183,IF(AND(R$111&gt;$B183+$D183,R$111&lt;=$B183+$E183), $I183/($E183-$D183),0)), IF(OR(R$111=$B183+$D183,R$111=$B183+$E183),$I183/(($E183-$D183)*2),IF(AND(R$111&gt;$B183+$D183,R$111&lt;$B183+$E183),$I183/($E183-$D183),0)))</f>
        <v>0</v>
      </c>
      <c r="S183" s="9">
        <f>IF(OR($C183="Annual",$D183=$E183),IF(AND($D183=$E183,S$111=$B183+$D183),$I183,IF(AND(S$111&gt;$B183+$D183,S$111&lt;=$B183+$E183), $I183/($E183-$D183),0)), IF(OR(S$111=$B183+$D183,S$111=$B183+$E183),$I183/(($E183-$D183)*2),IF(AND(S$111&gt;$B183+$D183,S$111&lt;$B183+$E183),$I183/($E183-$D183),0)))</f>
        <v>0</v>
      </c>
      <c r="T183" s="9">
        <f>IF(OR($C183="Annual",$D183=$E183),IF(AND($D183=$E183,T$111=$B183+$D183),$I183,IF(AND(T$111&gt;$B183+$D183,T$111&lt;=$B183+$E183), $I183/($E183-$D183),0)), IF(OR(T$111=$B183+$D183,T$111=$B183+$E183),$I183/(($E183-$D183)*2),IF(AND(T$111&gt;$B183+$D183,T$111&lt;$B183+$E183),$I183/($E183-$D183),0)))</f>
        <v>0</v>
      </c>
      <c r="U183" s="9"/>
      <c r="V183" s="9"/>
      <c r="W183" s="9">
        <f t="shared" si="47"/>
        <v>0</v>
      </c>
      <c r="X183" s="9">
        <f t="shared" ca="1" si="47"/>
        <v>0</v>
      </c>
      <c r="Y183" s="9">
        <f t="shared" ca="1" si="47"/>
        <v>0</v>
      </c>
      <c r="Z183" s="9">
        <f t="shared" ca="1" si="47"/>
        <v>0</v>
      </c>
      <c r="AA183" s="9">
        <f t="shared" ca="1" si="47"/>
        <v>0</v>
      </c>
    </row>
    <row r="184" spans="1:27">
      <c r="A184" s="8" t="str">
        <f>A183</f>
        <v>Type 7</v>
      </c>
      <c r="B184" s="7">
        <f>B183+1</f>
        <v>2020</v>
      </c>
      <c r="C184" s="7" t="str">
        <f t="shared" ref="C184:D187" si="48">C183</f>
        <v>Annual</v>
      </c>
      <c r="D184" s="7">
        <f t="shared" si="48"/>
        <v>0</v>
      </c>
      <c r="E184" s="7">
        <f>E183</f>
        <v>0</v>
      </c>
      <c r="F184" s="14">
        <f>$N$86</f>
        <v>2.5000000000000001E-3</v>
      </c>
      <c r="H184" s="9"/>
      <c r="I184" s="9"/>
      <c r="J184" s="9">
        <f ca="1">$D$86/$D$31</f>
        <v>0</v>
      </c>
      <c r="K184" s="9">
        <f ca="1">J184-R184</f>
        <v>0</v>
      </c>
      <c r="L184" s="9">
        <f ca="1">K184-S184</f>
        <v>0</v>
      </c>
      <c r="M184" s="9">
        <f ca="1">L184-T184</f>
        <v>0</v>
      </c>
      <c r="N184" s="9"/>
      <c r="O184" s="9"/>
      <c r="P184" s="9"/>
      <c r="Q184" s="9">
        <f ca="1">IF(OR($C184="Annual",$D184=$E184),IF(AND($D184=$E184,Q$111=$B184+$D184),$J184,IF(AND(Q$111&gt;$B184+$D184,Q$111&lt;=$B184+$E184), $J184/($E184-$D184),0)), IF(OR(Q$111=$B184+$D184,Q$111=$B184+$E184),$J184/(($E184-$D184)*2),IF(AND(Q$111&gt;$B184+$D184,Q$111&lt;$B184+$E184),$J184/($E184-$D184),0)))</f>
        <v>0</v>
      </c>
      <c r="R184" s="9">
        <f>IF(OR($C184="Annual",$D184=$E184),IF(AND($D184=$E184,R$111=$B184+$D184),$J184,IF(AND(R$111&gt;$B184+$D184,R$111&lt;=$B184+$E184), $J184/($E184-$D184),0)), IF(OR(R$111=$B184+$D184,R$111=$B184+$E184),$J184/(($E184-$D184)*2),IF(AND(R$111&gt;$B184+$D184,R$111&lt;$B184+$E184),$J184/($E184-$D184),0)))</f>
        <v>0</v>
      </c>
      <c r="S184" s="9">
        <f>IF(OR($C184="Annual",$D184=$E184),IF(AND($D184=$E184,S$111=$B184+$D184),$J184,IF(AND(S$111&gt;$B184+$D184,S$111&lt;=$B184+$E184), $J184/($E184-$D184),0)), IF(OR(S$111=$B184+$D184,S$111=$B184+$E184),$J184/(($E184-$D184)*2),IF(AND(S$111&gt;$B184+$D184,S$111&lt;$B184+$E184),$J184/($E184-$D184),0)))</f>
        <v>0</v>
      </c>
      <c r="T184" s="9">
        <f>IF(OR($C184="Annual",$D184=$E184),IF(AND($D184=$E184,T$111=$B184+$D184),$J184,IF(AND(T$111&gt;$B184+$D184,T$111&lt;=$B184+$E184), $J184/($E184-$D184),0)), IF(OR(T$111=$B184+$D184,T$111=$B184+$E184),$J184/(($E184-$D184)*2),IF(AND(T$111&gt;$B184+$D184,T$111&lt;$B184+$E184),$J184/($E184-$D184),0)))</f>
        <v>0</v>
      </c>
      <c r="U184" s="9"/>
      <c r="V184" s="9"/>
      <c r="W184" s="9"/>
      <c r="X184" s="9">
        <f t="shared" si="47"/>
        <v>0</v>
      </c>
      <c r="Y184" s="9">
        <f t="shared" ca="1" si="47"/>
        <v>0</v>
      </c>
      <c r="Z184" s="9">
        <f t="shared" ca="1" si="47"/>
        <v>0</v>
      </c>
      <c r="AA184" s="9">
        <f t="shared" ca="1" si="47"/>
        <v>0</v>
      </c>
    </row>
    <row r="185" spans="1:27">
      <c r="A185" s="8" t="str">
        <f>A184</f>
        <v>Type 7</v>
      </c>
      <c r="B185" s="7">
        <f>B184+1</f>
        <v>2021</v>
      </c>
      <c r="C185" s="7" t="str">
        <f t="shared" si="48"/>
        <v>Annual</v>
      </c>
      <c r="D185" s="7">
        <f t="shared" si="48"/>
        <v>0</v>
      </c>
      <c r="E185" s="7">
        <f>E184</f>
        <v>0</v>
      </c>
      <c r="F185" s="14">
        <f>$O$86</f>
        <v>2.5000000000000001E-3</v>
      </c>
      <c r="H185" s="9"/>
      <c r="I185" s="9"/>
      <c r="J185" s="9"/>
      <c r="K185" s="9">
        <f ca="1">$E$86/$E$31</f>
        <v>0</v>
      </c>
      <c r="L185" s="9">
        <f ca="1">K185-S185</f>
        <v>0</v>
      </c>
      <c r="M185" s="9">
        <f ca="1">L185-T185</f>
        <v>0</v>
      </c>
      <c r="N185" s="9"/>
      <c r="O185" s="9"/>
      <c r="P185" s="9"/>
      <c r="Q185" s="9"/>
      <c r="R185" s="9">
        <f ca="1">IF(OR($C185="Annual",$D185=$E185),IF(AND($D185=$E185,R$111=$B185+$D185),$K185,IF(AND(R$111&gt;$B185+$D185,R$111&lt;=$B185+$E185), $K185/($E185-$D185),0)), IF(OR(R$111=$B185+$D185,R$111=$B185+$E185),$K185/(($E185-$D185)*2),IF(AND(R$111&gt;$B185+$D185,R$111&lt;$B185+$E185),$K185/($E185-$D185),0)))</f>
        <v>0</v>
      </c>
      <c r="S185" s="9">
        <f>IF(OR($C185="Annual",$D185=$E185),IF(AND($D185=$E185,S$111=$B185+$D185),$K185,IF(AND(S$111&gt;$B185+$D185,S$111&lt;=$B185+$E185), $K185/($E185-$D185),0)), IF(OR(S$111=$B185+$D185,S$111=$B185+$E185),$K185/(($E185-$D185)*2),IF(AND(S$111&gt;$B185+$D185,S$111&lt;$B185+$E185),$K185/($E185-$D185),0)))</f>
        <v>0</v>
      </c>
      <c r="T185" s="9">
        <f>IF(OR($C185="Annual",$D185=$E185),IF(AND($D185=$E185,T$111=$B185+$D185),$K185,IF(AND(T$111&gt;$B185+$D185,T$111&lt;=$B185+$E185), $K185/($E185-$D185),0)), IF(OR(T$111=$B185+$D185,T$111=$B185+$E185),$K185/(($E185-$D185)*2),IF(AND(T$111&gt;$B185+$D185,T$111&lt;$B185+$E185),$K185/($E185-$D185),0)))</f>
        <v>0</v>
      </c>
      <c r="U185" s="9"/>
      <c r="V185" s="9"/>
      <c r="W185" s="9"/>
      <c r="X185" s="9"/>
      <c r="Y185" s="9">
        <f t="shared" si="47"/>
        <v>0</v>
      </c>
      <c r="Z185" s="9">
        <f t="shared" ca="1" si="47"/>
        <v>0</v>
      </c>
      <c r="AA185" s="9">
        <f t="shared" ca="1" si="47"/>
        <v>0</v>
      </c>
    </row>
    <row r="186" spans="1:27">
      <c r="A186" s="8" t="str">
        <f>A185</f>
        <v>Type 7</v>
      </c>
      <c r="B186" s="7">
        <f>B185+1</f>
        <v>2022</v>
      </c>
      <c r="C186" s="7" t="str">
        <f t="shared" si="48"/>
        <v>Annual</v>
      </c>
      <c r="D186" s="7">
        <f t="shared" si="48"/>
        <v>0</v>
      </c>
      <c r="E186" s="7">
        <f>E185</f>
        <v>0</v>
      </c>
      <c r="F186" s="14">
        <f>$P$86</f>
        <v>2.5000000000000001E-3</v>
      </c>
      <c r="H186" s="9"/>
      <c r="I186" s="9"/>
      <c r="J186" s="9"/>
      <c r="K186" s="9"/>
      <c r="L186" s="9">
        <f ca="1">$F$86/$F$31</f>
        <v>0</v>
      </c>
      <c r="M186" s="9">
        <f ca="1">L186-T186</f>
        <v>0</v>
      </c>
      <c r="N186" s="9"/>
      <c r="O186" s="9"/>
      <c r="P186" s="9"/>
      <c r="Q186" s="9"/>
      <c r="R186" s="9"/>
      <c r="S186" s="9">
        <f ca="1">IF(OR($C186="Annual",$D186=$E186),IF(AND($D186=$E186,S$111=$B186+$D186),$L186,IF(AND(S$111&gt;$B186+$D186,S$111&lt;=$B186+$E186), $L186/($E186-$D186),0)), IF(OR(S$111=$B186+$D186,S$111=$B186+$E186),$L186/(($E186-$D186)*2),IF(AND(S$111&gt;$B186+$D186,S$111&lt;$B186+$E186),$L186/($E186-$D186),0)))</f>
        <v>0</v>
      </c>
      <c r="T186" s="9">
        <f>IF(OR($C186="Annual",$D186=$E186),IF(AND($D186=$E186,T$111=$B186+$D186),$L186,IF(AND(T$111&gt;$B186+$D186,T$111&lt;=$B186+$E186), $L186/($E186-$D186),0)), IF(OR(T$111=$B186+$D186,T$111=$B186+$E186),$L186/(($E186-$D186)*2),IF(AND(T$111&gt;$B186+$D186,T$111&lt;$B186+$E186),$L186/($E186-$D186),0)))</f>
        <v>0</v>
      </c>
      <c r="U186" s="9"/>
      <c r="V186" s="9"/>
      <c r="W186" s="9"/>
      <c r="X186" s="9"/>
      <c r="Y186" s="9"/>
      <c r="Z186" s="9">
        <f t="shared" si="47"/>
        <v>0</v>
      </c>
      <c r="AA186" s="9">
        <f t="shared" ca="1" si="47"/>
        <v>0</v>
      </c>
    </row>
    <row r="187" spans="1:27">
      <c r="A187" s="8" t="str">
        <f>A186</f>
        <v>Type 7</v>
      </c>
      <c r="B187" s="7">
        <f>B186+1</f>
        <v>2023</v>
      </c>
      <c r="C187" s="7" t="str">
        <f t="shared" si="48"/>
        <v>Annual</v>
      </c>
      <c r="D187" s="7">
        <f t="shared" si="48"/>
        <v>0</v>
      </c>
      <c r="E187" s="7">
        <f>E186</f>
        <v>0</v>
      </c>
      <c r="F187" s="14">
        <f>$Q$86</f>
        <v>2.5000000000000001E-3</v>
      </c>
      <c r="H187" s="9"/>
      <c r="I187" s="9"/>
      <c r="J187" s="9"/>
      <c r="K187" s="9"/>
      <c r="L187" s="9"/>
      <c r="M187" s="9">
        <f ca="1">$G$86/$G$31</f>
        <v>0</v>
      </c>
      <c r="N187" s="9"/>
      <c r="O187" s="9"/>
      <c r="P187" s="9"/>
      <c r="Q187" s="9"/>
      <c r="R187" s="9"/>
      <c r="S187" s="9"/>
      <c r="T187" s="9">
        <f ca="1">IF(OR($C187="Annual",$D187=$E187),IF(AND($D187=$E187,T$111=$B187+$D187),$M187,IF(AND(T$111&gt;$B187+$D187,T$111&lt;=$B187+$E187), $M187/($E187-$D187),0)), IF(OR(T$111=$B187+$D187,T$111=$B187+$E187),$M187/(($E187-$D187)*2),IF(AND(T$111&gt;$B187+$D187,T$111&lt;$B187+$E187),$M187/($E187-$D187),0)))</f>
        <v>0</v>
      </c>
      <c r="U187" s="9"/>
      <c r="V187" s="9"/>
      <c r="W187" s="9"/>
      <c r="X187" s="9"/>
      <c r="Y187" s="9"/>
      <c r="Z187" s="9"/>
      <c r="AA187" s="9">
        <f t="shared" si="47"/>
        <v>0</v>
      </c>
    </row>
    <row r="188" spans="1:27">
      <c r="A188" s="8"/>
      <c r="B188" s="7"/>
      <c r="C188" s="7"/>
      <c r="D188" s="7"/>
      <c r="E188" s="7"/>
      <c r="F188" s="15"/>
      <c r="H188" s="9"/>
      <c r="I188" s="9"/>
      <c r="J188" s="9"/>
      <c r="K188" s="9"/>
      <c r="L188" s="9"/>
      <c r="M188" s="9"/>
      <c r="N188" s="9"/>
      <c r="O188" s="278"/>
      <c r="P188" s="10"/>
      <c r="Q188" s="10"/>
      <c r="R188" s="10"/>
      <c r="S188" s="10"/>
      <c r="T188" s="10"/>
      <c r="U188" s="9"/>
      <c r="V188" s="10"/>
      <c r="W188" s="10"/>
      <c r="X188" s="10"/>
      <c r="Y188" s="10"/>
      <c r="Z188" s="10"/>
      <c r="AA188" s="10"/>
    </row>
    <row r="189" spans="1:27">
      <c r="A189" s="8" t="str">
        <f>'Input 4 - Forecast'!A68</f>
        <v>Type 8</v>
      </c>
      <c r="B189" s="7">
        <f>B119</f>
        <v>2018</v>
      </c>
      <c r="C189" s="7" t="str">
        <f>$I87</f>
        <v>Annual</v>
      </c>
      <c r="D189" s="7">
        <f>$J87</f>
        <v>0</v>
      </c>
      <c r="E189" s="7">
        <f>$K87</f>
        <v>0</v>
      </c>
      <c r="F189" s="14">
        <f>$L$87</f>
        <v>0</v>
      </c>
      <c r="H189" s="9">
        <f>$B$87/$B$31</f>
        <v>0</v>
      </c>
      <c r="I189" s="9">
        <f>H189-P189</f>
        <v>0</v>
      </c>
      <c r="J189" s="9">
        <f>I189-Q189</f>
        <v>0</v>
      </c>
      <c r="K189" s="9">
        <f>J189-R189</f>
        <v>0</v>
      </c>
      <c r="L189" s="9">
        <f>K189-S189</f>
        <v>0</v>
      </c>
      <c r="M189" s="9">
        <f>L189-T189</f>
        <v>0</v>
      </c>
      <c r="N189" s="9"/>
      <c r="O189" s="9">
        <f t="shared" ref="O189:T189" si="49">IF(OR($C189="Annual",$D189=$E189),IF(AND($D189=$E189,O$111=$B189+$D189),$H189,IF(AND(O$111&gt;$B189+$D189,O$111&lt;=$B189+$E189), $H189/($E189-$D189),0)), IF(OR(O$111=$B189+$D189,O$111=$B189+$E189),$H189/(($E189-$D189)*2),IF(AND(O$111&gt;$B189+$D189,O$111&lt;$B189+$E189),$H189/($E189-$D189),0)))</f>
        <v>0</v>
      </c>
      <c r="P189" s="9">
        <f t="shared" si="49"/>
        <v>0</v>
      </c>
      <c r="Q189" s="9">
        <f t="shared" si="49"/>
        <v>0</v>
      </c>
      <c r="R189" s="9">
        <f t="shared" si="49"/>
        <v>0</v>
      </c>
      <c r="S189" s="9">
        <f t="shared" si="49"/>
        <v>0</v>
      </c>
      <c r="T189" s="9">
        <f t="shared" si="49"/>
        <v>0</v>
      </c>
      <c r="U189" s="9"/>
      <c r="V189" s="9">
        <f>IF($C189="annual",IF(V$111=$B189,0,G189*$F189),IF(V$111-$B189=0,0,IF((V$111-$B189)&lt;$E189,AVERAGE(G189,H189)*$F189,IF((V$111-$B189)=$E189,G189*$F189/2,0))))</f>
        <v>0</v>
      </c>
      <c r="W189" s="9">
        <f t="shared" ref="W189:AA194" si="50">IF($C189="annual",IF(W$111=$B189,0,H189*$F189),IF(W$111-$B189=0,0,IF((W$111-$B189)&lt;$E189,AVERAGE(H189,I189)*$F189,IF((W$111-$B189)=$E189,H189*$F189/2,0))))</f>
        <v>0</v>
      </c>
      <c r="X189" s="9">
        <f t="shared" si="50"/>
        <v>0</v>
      </c>
      <c r="Y189" s="9">
        <f t="shared" si="50"/>
        <v>0</v>
      </c>
      <c r="Z189" s="9">
        <f t="shared" si="50"/>
        <v>0</v>
      </c>
      <c r="AA189" s="9">
        <f t="shared" si="50"/>
        <v>0</v>
      </c>
    </row>
    <row r="190" spans="1:27">
      <c r="A190" s="8" t="str">
        <f>A189</f>
        <v>Type 8</v>
      </c>
      <c r="B190" s="7">
        <f>B189+1</f>
        <v>2019</v>
      </c>
      <c r="C190" s="7" t="str">
        <f t="shared" ref="C190:D194" si="51">C189</f>
        <v>Annual</v>
      </c>
      <c r="D190" s="7">
        <f t="shared" si="51"/>
        <v>0</v>
      </c>
      <c r="E190" s="7">
        <f>E189</f>
        <v>0</v>
      </c>
      <c r="F190" s="14">
        <f>$M$87</f>
        <v>2.5000000000000001E-3</v>
      </c>
      <c r="H190" s="9"/>
      <c r="I190" s="9">
        <f ca="1">$C$87/$C$31</f>
        <v>0</v>
      </c>
      <c r="J190" s="9">
        <f ca="1">I190-Q190</f>
        <v>0</v>
      </c>
      <c r="K190" s="9">
        <f ca="1">J190-R190</f>
        <v>0</v>
      </c>
      <c r="L190" s="9">
        <f ca="1">K190-S190</f>
        <v>0</v>
      </c>
      <c r="M190" s="9">
        <f ca="1">L190-T190</f>
        <v>0</v>
      </c>
      <c r="N190" s="9"/>
      <c r="O190" s="9"/>
      <c r="P190" s="9">
        <f ca="1">IF(OR($C190="Annual",$D190=$E190),IF(AND($D190=$E190,P$111=$B190+$D190),$I190,IF(AND(P$111&gt;$B190+$D190,P$111&lt;=$B190+$E190), $I190/($E190-$D190),0)), IF(OR(P$111=$B190+$D190,P$111=$B190+$E190),$I190/(($E190-$D190)*2),IF(AND(P$111&gt;$B190+$D190,P$111&lt;$B190+$E190),$I190/($E190-$D190),0)))</f>
        <v>0</v>
      </c>
      <c r="Q190" s="9">
        <f>IF(OR($C190="Annual",$D190=$E190),IF(AND($D190=$E190,Q$111=$B190+$D190),$I190,IF(AND(Q$111&gt;$B190+$D190,Q$111&lt;=$B190+$E190), $I190/($E190-$D190),0)), IF(OR(Q$111=$B190+$D190,Q$111=$B190+$E190),$I190/(($E190-$D190)*2),IF(AND(Q$111&gt;$B190+$D190,Q$111&lt;$B190+$E190),$I190/($E190-$D190),0)))</f>
        <v>0</v>
      </c>
      <c r="R190" s="9">
        <f>IF(OR($C190="Annual",$D190=$E190),IF(AND($D190=$E190,R$111=$B190+$D190),$I190,IF(AND(R$111&gt;$B190+$D190,R$111&lt;=$B190+$E190), $I190/($E190-$D190),0)), IF(OR(R$111=$B190+$D190,R$111=$B190+$E190),$I190/(($E190-$D190)*2),IF(AND(R$111&gt;$B190+$D190,R$111&lt;$B190+$E190),$I190/($E190-$D190),0)))</f>
        <v>0</v>
      </c>
      <c r="S190" s="9">
        <f>IF(OR($C190="Annual",$D190=$E190),IF(AND($D190=$E190,S$111=$B190+$D190),$I190,IF(AND(S$111&gt;$B190+$D190,S$111&lt;=$B190+$E190), $I190/($E190-$D190),0)), IF(OR(S$111=$B190+$D190,S$111=$B190+$E190),$I190/(($E190-$D190)*2),IF(AND(S$111&gt;$B190+$D190,S$111&lt;$B190+$E190),$I190/($E190-$D190),0)))</f>
        <v>0</v>
      </c>
      <c r="T190" s="9">
        <f>IF(OR($C190="Annual",$D190=$E190),IF(AND($D190=$E190,T$111=$B190+$D190),$I190,IF(AND(T$111&gt;$B190+$D190,T$111&lt;=$B190+$E190), $I190/($E190-$D190),0)), IF(OR(T$111=$B190+$D190,T$111=$B190+$E190),$I190/(($E190-$D190)*2),IF(AND(T$111&gt;$B190+$D190,T$111&lt;$B190+$E190),$I190/($E190-$D190),0)))</f>
        <v>0</v>
      </c>
      <c r="U190" s="9"/>
      <c r="V190" s="9"/>
      <c r="W190" s="9">
        <f t="shared" si="50"/>
        <v>0</v>
      </c>
      <c r="X190" s="9">
        <f t="shared" ca="1" si="50"/>
        <v>0</v>
      </c>
      <c r="Y190" s="9">
        <f t="shared" ca="1" si="50"/>
        <v>0</v>
      </c>
      <c r="Z190" s="9">
        <f t="shared" ca="1" si="50"/>
        <v>0</v>
      </c>
      <c r="AA190" s="9">
        <f t="shared" ca="1" si="50"/>
        <v>0</v>
      </c>
    </row>
    <row r="191" spans="1:27">
      <c r="A191" s="8" t="str">
        <f>A190</f>
        <v>Type 8</v>
      </c>
      <c r="B191" s="7">
        <f>B190+1</f>
        <v>2020</v>
      </c>
      <c r="C191" s="7" t="str">
        <f t="shared" si="51"/>
        <v>Annual</v>
      </c>
      <c r="D191" s="7">
        <f t="shared" si="51"/>
        <v>0</v>
      </c>
      <c r="E191" s="7">
        <f>E190</f>
        <v>0</v>
      </c>
      <c r="F191" s="14">
        <f>$N$87</f>
        <v>2.5000000000000001E-3</v>
      </c>
      <c r="H191" s="9"/>
      <c r="I191" s="9"/>
      <c r="J191" s="9">
        <f ca="1">$D$87/$D$31</f>
        <v>0</v>
      </c>
      <c r="K191" s="9">
        <f ca="1">J191-R191</f>
        <v>0</v>
      </c>
      <c r="L191" s="9">
        <f ca="1">K191-S191</f>
        <v>0</v>
      </c>
      <c r="M191" s="9">
        <f ca="1">L191-T191</f>
        <v>0</v>
      </c>
      <c r="N191" s="9"/>
      <c r="O191" s="9"/>
      <c r="P191" s="9"/>
      <c r="Q191" s="9">
        <f ca="1">IF(OR($C191="Annual",$D191=$E191),IF(AND($D191=$E191,Q$111=$B191+$D191),$J191,IF(AND(Q$111&gt;$B191+$D191,Q$111&lt;=$B191+$E191), $J191/($E191-$D191),0)), IF(OR(Q$111=$B191+$D191,Q$111=$B191+$E191),$J191/(($E191-$D191)*2),IF(AND(Q$111&gt;$B191+$D191,Q$111&lt;$B191+$E191),$J191/($E191-$D191),0)))</f>
        <v>0</v>
      </c>
      <c r="R191" s="9">
        <f>IF(OR($C191="Annual",$D191=$E191),IF(AND($D191=$E191,R$111=$B191+$D191),$J191,IF(AND(R$111&gt;$B191+$D191,R$111&lt;=$B191+$E191), $J191/($E191-$D191),0)), IF(OR(R$111=$B191+$D191,R$111=$B191+$E191),$J191/(($E191-$D191)*2),IF(AND(R$111&gt;$B191+$D191,R$111&lt;$B191+$E191),$J191/($E191-$D191),0)))</f>
        <v>0</v>
      </c>
      <c r="S191" s="9">
        <f>IF(OR($C191="Annual",$D191=$E191),IF(AND($D191=$E191,S$111=$B191+$D191),$J191,IF(AND(S$111&gt;$B191+$D191,S$111&lt;=$B191+$E191), $J191/($E191-$D191),0)), IF(OR(S$111=$B191+$D191,S$111=$B191+$E191),$J191/(($E191-$D191)*2),IF(AND(S$111&gt;$B191+$D191,S$111&lt;$B191+$E191),$J191/($E191-$D191),0)))</f>
        <v>0</v>
      </c>
      <c r="T191" s="9">
        <f>IF(OR($C191="Annual",$D191=$E191),IF(AND($D191=$E191,T$111=$B191+$D191),$J191,IF(AND(T$111&gt;$B191+$D191,T$111&lt;=$B191+$E191), $J191/($E191-$D191),0)), IF(OR(T$111=$B191+$D191,T$111=$B191+$E191),$J191/(($E191-$D191)*2),IF(AND(T$111&gt;$B191+$D191,T$111&lt;$B191+$E191),$J191/($E191-$D191),0)))</f>
        <v>0</v>
      </c>
      <c r="U191" s="9"/>
      <c r="V191" s="9"/>
      <c r="W191" s="9"/>
      <c r="X191" s="9">
        <f t="shared" si="50"/>
        <v>0</v>
      </c>
      <c r="Y191" s="9">
        <f t="shared" ca="1" si="50"/>
        <v>0</v>
      </c>
      <c r="Z191" s="9">
        <f t="shared" ca="1" si="50"/>
        <v>0</v>
      </c>
      <c r="AA191" s="9">
        <f t="shared" ca="1" si="50"/>
        <v>0</v>
      </c>
    </row>
    <row r="192" spans="1:27">
      <c r="A192" s="8" t="str">
        <f>A191</f>
        <v>Type 8</v>
      </c>
      <c r="B192" s="7">
        <f>B191+1</f>
        <v>2021</v>
      </c>
      <c r="C192" s="7" t="str">
        <f t="shared" si="51"/>
        <v>Annual</v>
      </c>
      <c r="D192" s="7">
        <f t="shared" si="51"/>
        <v>0</v>
      </c>
      <c r="E192" s="7">
        <f>E191</f>
        <v>0</v>
      </c>
      <c r="F192" s="14">
        <f>$O$87</f>
        <v>2.5000000000000001E-3</v>
      </c>
      <c r="H192" s="9"/>
      <c r="I192" s="9"/>
      <c r="J192" s="9"/>
      <c r="K192" s="9">
        <f ca="1">$E$87/$E$31</f>
        <v>0</v>
      </c>
      <c r="L192" s="9">
        <f ca="1">K192-S192</f>
        <v>0</v>
      </c>
      <c r="M192" s="9">
        <f ca="1">L192-T192</f>
        <v>0</v>
      </c>
      <c r="N192" s="9"/>
      <c r="O192" s="9"/>
      <c r="P192" s="9"/>
      <c r="Q192" s="9"/>
      <c r="R192" s="9">
        <f ca="1">IF(OR($C192="Annual",$D192=$E192),IF(AND($D192=$E192,R$111=$B192+$D192),$K192,IF(AND(R$111&gt;$B192+$D192,R$111&lt;=$B192+$E192), $K192/($E192-$D192),0)), IF(OR(R$111=$B192+$D192,R$111=$B192+$E192),$K192/(($E192-$D192)*2),IF(AND(R$111&gt;$B192+$D192,R$111&lt;$B192+$E192),$K192/($E192-$D192),0)))</f>
        <v>0</v>
      </c>
      <c r="S192" s="9">
        <f>IF(OR($C192="Annual",$D192=$E192),IF(AND($D192=$E192,S$111=$B192+$D192),$K192,IF(AND(S$111&gt;$B192+$D192,S$111&lt;=$B192+$E192), $K192/($E192-$D192),0)), IF(OR(S$111=$B192+$D192,S$111=$B192+$E192),$K192/(($E192-$D192)*2),IF(AND(S$111&gt;$B192+$D192,S$111&lt;$B192+$E192),$K192/($E192-$D192),0)))</f>
        <v>0</v>
      </c>
      <c r="T192" s="9">
        <f>IF(OR($C192="Annual",$D192=$E192),IF(AND($D192=$E192,T$111=$B192+$D192),$K192,IF(AND(T$111&gt;$B192+$D192,T$111&lt;=$B192+$E192), $K192/($E192-$D192),0)), IF(OR(T$111=$B192+$D192,T$111=$B192+$E192),$K192/(($E192-$D192)*2),IF(AND(T$111&gt;$B192+$D192,T$111&lt;$B192+$E192),$K192/($E192-$D192),0)))</f>
        <v>0</v>
      </c>
      <c r="U192" s="9"/>
      <c r="V192" s="9"/>
      <c r="W192" s="9"/>
      <c r="X192" s="9"/>
      <c r="Y192" s="9">
        <f t="shared" si="50"/>
        <v>0</v>
      </c>
      <c r="Z192" s="9">
        <f t="shared" ca="1" si="50"/>
        <v>0</v>
      </c>
      <c r="AA192" s="9">
        <f t="shared" ca="1" si="50"/>
        <v>0</v>
      </c>
    </row>
    <row r="193" spans="1:27">
      <c r="A193" s="8" t="str">
        <f>A192</f>
        <v>Type 8</v>
      </c>
      <c r="B193" s="7">
        <f>B192+1</f>
        <v>2022</v>
      </c>
      <c r="C193" s="7" t="str">
        <f t="shared" si="51"/>
        <v>Annual</v>
      </c>
      <c r="D193" s="7">
        <f t="shared" si="51"/>
        <v>0</v>
      </c>
      <c r="E193" s="7">
        <f>E192</f>
        <v>0</v>
      </c>
      <c r="F193" s="14">
        <f>$P$87</f>
        <v>2.5000000000000001E-3</v>
      </c>
      <c r="H193" s="9"/>
      <c r="I193" s="9"/>
      <c r="J193" s="9"/>
      <c r="K193" s="9"/>
      <c r="L193" s="9">
        <f ca="1">$F$87/$F$31</f>
        <v>0</v>
      </c>
      <c r="M193" s="9">
        <f ca="1">L193-T193</f>
        <v>0</v>
      </c>
      <c r="N193" s="9"/>
      <c r="O193" s="9"/>
      <c r="P193" s="9"/>
      <c r="Q193" s="9"/>
      <c r="R193" s="9"/>
      <c r="S193" s="9">
        <f ca="1">IF(OR($C193="Annual",$D193=$E193),IF(AND($D193=$E193,S$111=$B193+$D193),$L193,IF(AND(S$111&gt;$B193+$D193,S$111&lt;=$B193+$E193), $L193/($E193-$D193),0)), IF(OR(S$111=$B193+$D193,S$111=$B193+$E193),$L193/(($E193-$D193)*2),IF(AND(S$111&gt;$B193+$D193,S$111&lt;$B193+$E193),$L193/($E193-$D193),0)))</f>
        <v>0</v>
      </c>
      <c r="T193" s="9">
        <f>IF(OR($C193="Annual",$D193=$E193),IF(AND($D193=$E193,T$111=$B193+$D193),$L193,IF(AND(T$111&gt;$B193+$D193,T$111&lt;=$B193+$E193), $L193/($E193-$D193),0)), IF(OR(T$111=$B193+$D193,T$111=$B193+$E193),$L193/(($E193-$D193)*2),IF(AND(T$111&gt;$B193+$D193,T$111&lt;$B193+$E193),$L193/($E193-$D193),0)))</f>
        <v>0</v>
      </c>
      <c r="U193" s="9"/>
      <c r="V193" s="9"/>
      <c r="W193" s="9"/>
      <c r="X193" s="9"/>
      <c r="Y193" s="9"/>
      <c r="Z193" s="9">
        <f t="shared" si="50"/>
        <v>0</v>
      </c>
      <c r="AA193" s="9">
        <f t="shared" ca="1" si="50"/>
        <v>0</v>
      </c>
    </row>
    <row r="194" spans="1:27">
      <c r="A194" s="8" t="str">
        <f>A193</f>
        <v>Type 8</v>
      </c>
      <c r="B194" s="7">
        <f>B193+1</f>
        <v>2023</v>
      </c>
      <c r="C194" s="7" t="str">
        <f t="shared" si="51"/>
        <v>Annual</v>
      </c>
      <c r="D194" s="7">
        <f t="shared" si="51"/>
        <v>0</v>
      </c>
      <c r="E194" s="7">
        <f>E193</f>
        <v>0</v>
      </c>
      <c r="F194" s="14">
        <f>$Q$87</f>
        <v>2.5000000000000001E-3</v>
      </c>
      <c r="H194" s="9"/>
      <c r="I194" s="9"/>
      <c r="J194" s="9"/>
      <c r="K194" s="9"/>
      <c r="L194" s="9"/>
      <c r="M194" s="9">
        <f ca="1">$G$87/$G$31</f>
        <v>0</v>
      </c>
      <c r="N194" s="9"/>
      <c r="O194" s="9"/>
      <c r="P194" s="9"/>
      <c r="Q194" s="9"/>
      <c r="R194" s="9"/>
      <c r="S194" s="9"/>
      <c r="T194" s="9">
        <f ca="1">IF(OR($C194="Annual",$D194=$E194),IF(AND($D194=$E194,T$111=$B194+$D194),$M194,IF(AND(T$111&gt;$B194+$D194,T$111&lt;=$B194+$E194), $M194/($E194-$D194),0)), IF(OR(T$111=$B194+$D194,T$111=$B194+$E194),$M194/(($E194-$D194)*2),IF(AND(T$111&gt;$B194+$D194,T$111&lt;$B194+$E194),$M194/($E194-$D194),0)))</f>
        <v>0</v>
      </c>
      <c r="U194" s="9"/>
      <c r="V194" s="9"/>
      <c r="W194" s="9"/>
      <c r="X194" s="9"/>
      <c r="Y194" s="9"/>
      <c r="Z194" s="9"/>
      <c r="AA194" s="9">
        <f t="shared" si="50"/>
        <v>0</v>
      </c>
    </row>
    <row r="195" spans="1:27">
      <c r="A195" s="8"/>
      <c r="B195" s="7"/>
      <c r="C195" s="7"/>
      <c r="D195" s="7"/>
      <c r="E195" s="7"/>
      <c r="F195" s="15"/>
      <c r="H195" s="9"/>
      <c r="I195" s="9"/>
      <c r="J195" s="9"/>
      <c r="K195" s="9"/>
      <c r="L195" s="9"/>
      <c r="M195" s="9"/>
      <c r="N195" s="9"/>
      <c r="O195" s="278"/>
      <c r="P195" s="10"/>
      <c r="Q195" s="10"/>
      <c r="R195" s="10"/>
      <c r="S195" s="10"/>
      <c r="T195" s="10"/>
      <c r="U195" s="9"/>
      <c r="V195" s="10"/>
      <c r="W195" s="10"/>
      <c r="X195" s="10"/>
      <c r="Y195" s="10"/>
      <c r="Z195" s="10"/>
      <c r="AA195" s="10"/>
    </row>
    <row r="196" spans="1:27">
      <c r="A196" s="8" t="str">
        <f>'Input 4 - Forecast'!A69</f>
        <v>Type 9</v>
      </c>
      <c r="B196" s="7">
        <f>B119</f>
        <v>2018</v>
      </c>
      <c r="C196" s="7" t="str">
        <f>$I88</f>
        <v>Annual</v>
      </c>
      <c r="D196" s="7">
        <f>$J88</f>
        <v>0</v>
      </c>
      <c r="E196" s="7">
        <f>$K88</f>
        <v>0</v>
      </c>
      <c r="F196" s="14">
        <f>$L$88</f>
        <v>0</v>
      </c>
      <c r="H196" s="9">
        <f>$B$88/$B$31</f>
        <v>0</v>
      </c>
      <c r="I196" s="9">
        <f>H196-P196</f>
        <v>0</v>
      </c>
      <c r="J196" s="9">
        <f>I196-Q196</f>
        <v>0</v>
      </c>
      <c r="K196" s="9">
        <f>J196-R196</f>
        <v>0</v>
      </c>
      <c r="L196" s="9">
        <f>K196-S196</f>
        <v>0</v>
      </c>
      <c r="M196" s="9">
        <f>L196-T196</f>
        <v>0</v>
      </c>
      <c r="N196" s="9"/>
      <c r="O196" s="9">
        <f t="shared" ref="O196:T196" si="52">IF(OR($C196="Annual",$D196=$E196),IF(AND($D196=$E196,O$111=$B196+$D196),$H196,IF(AND(O$111&gt;$B196+$D196,O$111&lt;=$B196+$E196), $H196/($E196-$D196),0)), IF(OR(O$111=$B196+$D196,O$111=$B196+$E196),$H196/(($E196-$D196)*2),IF(AND(O$111&gt;$B196+$D196,O$111&lt;$B196+$E196),$H196/($E196-$D196),0)))</f>
        <v>0</v>
      </c>
      <c r="P196" s="9">
        <f t="shared" si="52"/>
        <v>0</v>
      </c>
      <c r="Q196" s="9">
        <f t="shared" si="52"/>
        <v>0</v>
      </c>
      <c r="R196" s="9">
        <f t="shared" si="52"/>
        <v>0</v>
      </c>
      <c r="S196" s="9">
        <f t="shared" si="52"/>
        <v>0</v>
      </c>
      <c r="T196" s="9">
        <f t="shared" si="52"/>
        <v>0</v>
      </c>
      <c r="U196" s="9"/>
      <c r="V196" s="9">
        <f>IF($C196="annual",IF(V$111=$B196,0,G196*$F196),IF(V$111-$B196=0,0,IF((V$111-$B196)&lt;$E196,AVERAGE(G196,H196)*$F196,IF((V$111-$B196)=$E196,G196*$F196/2,0))))</f>
        <v>0</v>
      </c>
      <c r="W196" s="9">
        <f t="shared" ref="W196:AA201" si="53">IF($C196="annual",IF(W$111=$B196,0,H196*$F196),IF(W$111-$B196=0,0,IF((W$111-$B196)&lt;$E196,AVERAGE(H196,I196)*$F196,IF((W$111-$B196)=$E196,H196*$F196/2,0))))</f>
        <v>0</v>
      </c>
      <c r="X196" s="9">
        <f t="shared" si="53"/>
        <v>0</v>
      </c>
      <c r="Y196" s="9">
        <f t="shared" si="53"/>
        <v>0</v>
      </c>
      <c r="Z196" s="9">
        <f t="shared" si="53"/>
        <v>0</v>
      </c>
      <c r="AA196" s="9">
        <f t="shared" si="53"/>
        <v>0</v>
      </c>
    </row>
    <row r="197" spans="1:27">
      <c r="A197" s="8" t="str">
        <f>A196</f>
        <v>Type 9</v>
      </c>
      <c r="B197" s="7">
        <f>B196+1</f>
        <v>2019</v>
      </c>
      <c r="C197" s="7" t="str">
        <f t="shared" ref="C197:D201" si="54">C196</f>
        <v>Annual</v>
      </c>
      <c r="D197" s="7">
        <f t="shared" si="54"/>
        <v>0</v>
      </c>
      <c r="E197" s="7">
        <f>E196</f>
        <v>0</v>
      </c>
      <c r="F197" s="14">
        <f>$M$88</f>
        <v>2.5000000000000001E-3</v>
      </c>
      <c r="H197" s="9"/>
      <c r="I197" s="9">
        <f ca="1">$C$88/$C$31</f>
        <v>0</v>
      </c>
      <c r="J197" s="9">
        <f ca="1">I197-Q197</f>
        <v>0</v>
      </c>
      <c r="K197" s="9">
        <f ca="1">J197-R197</f>
        <v>0</v>
      </c>
      <c r="L197" s="9">
        <f ca="1">K197-S197</f>
        <v>0</v>
      </c>
      <c r="M197" s="9">
        <f ca="1">L197-T197</f>
        <v>0</v>
      </c>
      <c r="N197" s="9"/>
      <c r="O197" s="9"/>
      <c r="P197" s="9">
        <f ca="1">IF(OR($C197="Annual",$D197=$E197),IF(AND($D197=$E197,P$111=$B197+$D197),$I197,IF(AND(P$111&gt;$B197+$D197,P$111&lt;=$B197+$E197), $I197/($E197-$D197),0)), IF(OR(P$111=$B197+$D197,P$111=$B197+$E197),$I197/(($E197-$D197)*2),IF(AND(P$111&gt;$B197+$D197,P$111&lt;$B197+$E197),$I197/($E197-$D197),0)))</f>
        <v>0</v>
      </c>
      <c r="Q197" s="9">
        <f>IF(OR($C197="Annual",$D197=$E197),IF(AND($D197=$E197,Q$111=$B197+$D197),$I197,IF(AND(Q$111&gt;$B197+$D197,Q$111&lt;=$B197+$E197), $I197/($E197-$D197),0)), IF(OR(Q$111=$B197+$D197,Q$111=$B197+$E197),$I197/(($E197-$D197)*2),IF(AND(Q$111&gt;$B197+$D197,Q$111&lt;$B197+$E197),$I197/($E197-$D197),0)))</f>
        <v>0</v>
      </c>
      <c r="R197" s="9">
        <f>IF(OR($C197="Annual",$D197=$E197),IF(AND($D197=$E197,R$111=$B197+$D197),$I197,IF(AND(R$111&gt;$B197+$D197,R$111&lt;=$B197+$E197), $I197/($E197-$D197),0)), IF(OR(R$111=$B197+$D197,R$111=$B197+$E197),$I197/(($E197-$D197)*2),IF(AND(R$111&gt;$B197+$D197,R$111&lt;$B197+$E197),$I197/($E197-$D197),0)))</f>
        <v>0</v>
      </c>
      <c r="S197" s="9">
        <f>IF(OR($C197="Annual",$D197=$E197),IF(AND($D197=$E197,S$111=$B197+$D197),$I197,IF(AND(S$111&gt;$B197+$D197,S$111&lt;=$B197+$E197), $I197/($E197-$D197),0)), IF(OR(S$111=$B197+$D197,S$111=$B197+$E197),$I197/(($E197-$D197)*2),IF(AND(S$111&gt;$B197+$D197,S$111&lt;$B197+$E197),$I197/($E197-$D197),0)))</f>
        <v>0</v>
      </c>
      <c r="T197" s="9">
        <f>IF(OR($C197="Annual",$D197=$E197),IF(AND($D197=$E197,T$111=$B197+$D197),$I197,IF(AND(T$111&gt;$B197+$D197,T$111&lt;=$B197+$E197), $I197/($E197-$D197),0)), IF(OR(T$111=$B197+$D197,T$111=$B197+$E197),$I197/(($E197-$D197)*2),IF(AND(T$111&gt;$B197+$D197,T$111&lt;$B197+$E197),$I197/($E197-$D197),0)))</f>
        <v>0</v>
      </c>
      <c r="U197" s="9"/>
      <c r="V197" s="9"/>
      <c r="W197" s="9">
        <f t="shared" si="53"/>
        <v>0</v>
      </c>
      <c r="X197" s="9">
        <f t="shared" ca="1" si="53"/>
        <v>0</v>
      </c>
      <c r="Y197" s="9">
        <f t="shared" ca="1" si="53"/>
        <v>0</v>
      </c>
      <c r="Z197" s="9">
        <f t="shared" ca="1" si="53"/>
        <v>0</v>
      </c>
      <c r="AA197" s="9">
        <f t="shared" ca="1" si="53"/>
        <v>0</v>
      </c>
    </row>
    <row r="198" spans="1:27">
      <c r="A198" s="8" t="str">
        <f>A197</f>
        <v>Type 9</v>
      </c>
      <c r="B198" s="7">
        <f>B197+1</f>
        <v>2020</v>
      </c>
      <c r="C198" s="7" t="str">
        <f t="shared" si="54"/>
        <v>Annual</v>
      </c>
      <c r="D198" s="7">
        <f t="shared" si="54"/>
        <v>0</v>
      </c>
      <c r="E198" s="7">
        <f>E197</f>
        <v>0</v>
      </c>
      <c r="F198" s="14">
        <f>$N$88</f>
        <v>2.5000000000000001E-3</v>
      </c>
      <c r="H198" s="9"/>
      <c r="I198" s="9"/>
      <c r="J198" s="9">
        <f ca="1">$D$88/$D$31</f>
        <v>0</v>
      </c>
      <c r="K198" s="9">
        <f ca="1">J198-R198</f>
        <v>0</v>
      </c>
      <c r="L198" s="9">
        <f ca="1">K198-S198</f>
        <v>0</v>
      </c>
      <c r="M198" s="9">
        <f ca="1">L198-T198</f>
        <v>0</v>
      </c>
      <c r="N198" s="9"/>
      <c r="O198" s="9"/>
      <c r="P198" s="9"/>
      <c r="Q198" s="9">
        <f ca="1">IF(OR($C198="Annual",$D198=$E198),IF(AND($D198=$E198,Q$111=$B198+$D198),$J198,IF(AND(Q$111&gt;$B198+$D198,Q$111&lt;=$B198+$E198), $J198/($E198-$D198),0)), IF(OR(Q$111=$B198+$D198,Q$111=$B198+$E198),$J198/(($E198-$D198)*2),IF(AND(Q$111&gt;$B198+$D198,Q$111&lt;$B198+$E198),$J198/($E198-$D198),0)))</f>
        <v>0</v>
      </c>
      <c r="R198" s="9">
        <f>IF(OR($C198="Annual",$D198=$E198),IF(AND($D198=$E198,R$111=$B198+$D198),$J198,IF(AND(R$111&gt;$B198+$D198,R$111&lt;=$B198+$E198), $J198/($E198-$D198),0)), IF(OR(R$111=$B198+$D198,R$111=$B198+$E198),$J198/(($E198-$D198)*2),IF(AND(R$111&gt;$B198+$D198,R$111&lt;$B198+$E198),$J198/($E198-$D198),0)))</f>
        <v>0</v>
      </c>
      <c r="S198" s="9">
        <f>IF(OR($C198="Annual",$D198=$E198),IF(AND($D198=$E198,S$111=$B198+$D198),$J198,IF(AND(S$111&gt;$B198+$D198,S$111&lt;=$B198+$E198), $J198/($E198-$D198),0)), IF(OR(S$111=$B198+$D198,S$111=$B198+$E198),$J198/(($E198-$D198)*2),IF(AND(S$111&gt;$B198+$D198,S$111&lt;$B198+$E198),$J198/($E198-$D198),0)))</f>
        <v>0</v>
      </c>
      <c r="T198" s="9">
        <f>IF(OR($C198="Annual",$D198=$E198),IF(AND($D198=$E198,T$111=$B198+$D198),$J198,IF(AND(T$111&gt;$B198+$D198,T$111&lt;=$B198+$E198), $J198/($E198-$D198),0)), IF(OR(T$111=$B198+$D198,T$111=$B198+$E198),$J198/(($E198-$D198)*2),IF(AND(T$111&gt;$B198+$D198,T$111&lt;$B198+$E198),$J198/($E198-$D198),0)))</f>
        <v>0</v>
      </c>
      <c r="U198" s="9"/>
      <c r="V198" s="9"/>
      <c r="W198" s="9"/>
      <c r="X198" s="9">
        <f t="shared" si="53"/>
        <v>0</v>
      </c>
      <c r="Y198" s="9">
        <f t="shared" ca="1" si="53"/>
        <v>0</v>
      </c>
      <c r="Z198" s="9">
        <f t="shared" ca="1" si="53"/>
        <v>0</v>
      </c>
      <c r="AA198" s="9">
        <f t="shared" ca="1" si="53"/>
        <v>0</v>
      </c>
    </row>
    <row r="199" spans="1:27">
      <c r="A199" s="8" t="str">
        <f>A198</f>
        <v>Type 9</v>
      </c>
      <c r="B199" s="7">
        <f>B198+1</f>
        <v>2021</v>
      </c>
      <c r="C199" s="7" t="str">
        <f t="shared" si="54"/>
        <v>Annual</v>
      </c>
      <c r="D199" s="7">
        <f t="shared" si="54"/>
        <v>0</v>
      </c>
      <c r="E199" s="7">
        <f>E198</f>
        <v>0</v>
      </c>
      <c r="F199" s="14">
        <f>$O$88</f>
        <v>2.5000000000000001E-3</v>
      </c>
      <c r="H199" s="9"/>
      <c r="I199" s="9"/>
      <c r="J199" s="9"/>
      <c r="K199" s="9">
        <f ca="1">$E$88/$E$31</f>
        <v>0</v>
      </c>
      <c r="L199" s="9">
        <f ca="1">K199-S199</f>
        <v>0</v>
      </c>
      <c r="M199" s="9">
        <f ca="1">L199-T199</f>
        <v>0</v>
      </c>
      <c r="N199" s="9"/>
      <c r="O199" s="9"/>
      <c r="P199" s="9"/>
      <c r="Q199" s="9"/>
      <c r="R199" s="9">
        <f ca="1">IF(OR($C199="Annual",$D199=$E199),IF(AND($D199=$E199,R$111=$B199+$D199),$K199,IF(AND(R$111&gt;$B199+$D199,R$111&lt;=$B199+$E199), $K199/($E199-$D199),0)), IF(OR(R$111=$B199+$D199,R$111=$B199+$E199),$K199/(($E199-$D199)*2),IF(AND(R$111&gt;$B199+$D199,R$111&lt;$B199+$E199),$K199/($E199-$D199),0)))</f>
        <v>0</v>
      </c>
      <c r="S199" s="9">
        <f>IF(OR($C199="Annual",$D199=$E199),IF(AND($D199=$E199,S$111=$B199+$D199),$K199,IF(AND(S$111&gt;$B199+$D199,S$111&lt;=$B199+$E199), $K199/($E199-$D199),0)), IF(OR(S$111=$B199+$D199,S$111=$B199+$E199),$K199/(($E199-$D199)*2),IF(AND(S$111&gt;$B199+$D199,S$111&lt;$B199+$E199),$K199/($E199-$D199),0)))</f>
        <v>0</v>
      </c>
      <c r="T199" s="9">
        <f>IF(OR($C199="Annual",$D199=$E199),IF(AND($D199=$E199,T$111=$B199+$D199),$K199,IF(AND(T$111&gt;$B199+$D199,T$111&lt;=$B199+$E199), $K199/($E199-$D199),0)), IF(OR(T$111=$B199+$D199,T$111=$B199+$E199),$K199/(($E199-$D199)*2),IF(AND(T$111&gt;$B199+$D199,T$111&lt;$B199+$E199),$K199/($E199-$D199),0)))</f>
        <v>0</v>
      </c>
      <c r="U199" s="9"/>
      <c r="V199" s="9"/>
      <c r="W199" s="9"/>
      <c r="X199" s="9"/>
      <c r="Y199" s="9">
        <f t="shared" si="53"/>
        <v>0</v>
      </c>
      <c r="Z199" s="9">
        <f t="shared" ca="1" si="53"/>
        <v>0</v>
      </c>
      <c r="AA199" s="9">
        <f t="shared" ca="1" si="53"/>
        <v>0</v>
      </c>
    </row>
    <row r="200" spans="1:27">
      <c r="A200" s="8" t="str">
        <f>A199</f>
        <v>Type 9</v>
      </c>
      <c r="B200" s="7">
        <f>B199+1</f>
        <v>2022</v>
      </c>
      <c r="C200" s="7" t="str">
        <f t="shared" si="54"/>
        <v>Annual</v>
      </c>
      <c r="D200" s="7">
        <f t="shared" si="54"/>
        <v>0</v>
      </c>
      <c r="E200" s="7">
        <f>E199</f>
        <v>0</v>
      </c>
      <c r="F200" s="14">
        <f>$P$88</f>
        <v>2.5000000000000001E-3</v>
      </c>
      <c r="H200" s="9"/>
      <c r="I200" s="9"/>
      <c r="J200" s="9"/>
      <c r="K200" s="9"/>
      <c r="L200" s="9">
        <f ca="1">$F$88/$F$31</f>
        <v>0</v>
      </c>
      <c r="M200" s="9">
        <f ca="1">L200-T200</f>
        <v>0</v>
      </c>
      <c r="N200" s="9"/>
      <c r="O200" s="9"/>
      <c r="P200" s="9"/>
      <c r="Q200" s="9"/>
      <c r="R200" s="9"/>
      <c r="S200" s="9">
        <f ca="1">IF(OR($C200="Annual",$D200=$E200),IF(AND($D200=$E200,S$111=$B200+$D200),$L200,IF(AND(S$111&gt;$B200+$D200,S$111&lt;=$B200+$E200), $L200/($E200-$D200),0)), IF(OR(S$111=$B200+$D200,S$111=$B200+$E200),$L200/(($E200-$D200)*2),IF(AND(S$111&gt;$B200+$D200,S$111&lt;$B200+$E200),$L200/($E200-$D200),0)))</f>
        <v>0</v>
      </c>
      <c r="T200" s="9">
        <f>IF(OR($C200="Annual",$D200=$E200),IF(AND($D200=$E200,T$111=$B200+$D200),$L200,IF(AND(T$111&gt;$B200+$D200,T$111&lt;=$B200+$E200), $L200/($E200-$D200),0)), IF(OR(T$111=$B200+$D200,T$111=$B200+$E200),$L200/(($E200-$D200)*2),IF(AND(T$111&gt;$B200+$D200,T$111&lt;$B200+$E200),$L200/($E200-$D200),0)))</f>
        <v>0</v>
      </c>
      <c r="U200" s="9"/>
      <c r="V200" s="9"/>
      <c r="W200" s="9"/>
      <c r="X200" s="9"/>
      <c r="Y200" s="9"/>
      <c r="Z200" s="9">
        <f t="shared" si="53"/>
        <v>0</v>
      </c>
      <c r="AA200" s="9">
        <f t="shared" ca="1" si="53"/>
        <v>0</v>
      </c>
    </row>
    <row r="201" spans="1:27">
      <c r="A201" s="8" t="str">
        <f>A200</f>
        <v>Type 9</v>
      </c>
      <c r="B201" s="7">
        <f>B200+1</f>
        <v>2023</v>
      </c>
      <c r="C201" s="7" t="str">
        <f t="shared" si="54"/>
        <v>Annual</v>
      </c>
      <c r="D201" s="7">
        <f t="shared" si="54"/>
        <v>0</v>
      </c>
      <c r="E201" s="7">
        <f>E200</f>
        <v>0</v>
      </c>
      <c r="F201" s="14">
        <f>$Q$88</f>
        <v>2.5000000000000001E-3</v>
      </c>
      <c r="H201" s="9"/>
      <c r="I201" s="9"/>
      <c r="J201" s="9"/>
      <c r="K201" s="9"/>
      <c r="L201" s="9"/>
      <c r="M201" s="9">
        <f ca="1">$G$88/$G$31</f>
        <v>0</v>
      </c>
      <c r="N201" s="9"/>
      <c r="O201" s="9"/>
      <c r="P201" s="9"/>
      <c r="Q201" s="9"/>
      <c r="R201" s="9"/>
      <c r="S201" s="9"/>
      <c r="T201" s="9">
        <f ca="1">IF(OR($C201="Annual",$D201=$E201),IF(AND($D201=$E201,T$111=$B201+$D201),$M201,IF(AND(T$111&gt;$B201+$D201,T$111&lt;=$B201+$E201), $M201/($E201-$D201),0)), IF(OR(T$111=$B201+$D201,T$111=$B201+$E201),$M201/(($E201-$D201)*2),IF(AND(T$111&gt;$B201+$D201,T$111&lt;$B201+$E201),$M201/($E201-$D201),0)))</f>
        <v>0</v>
      </c>
      <c r="U201" s="9"/>
      <c r="V201" s="9"/>
      <c r="W201" s="9"/>
      <c r="X201" s="9"/>
      <c r="Y201" s="9"/>
      <c r="Z201" s="9"/>
      <c r="AA201" s="9">
        <f t="shared" si="53"/>
        <v>0</v>
      </c>
    </row>
    <row r="202" spans="1:27">
      <c r="A202" s="8"/>
      <c r="B202" s="7"/>
      <c r="C202" s="7"/>
      <c r="D202" s="7"/>
      <c r="E202" s="7"/>
      <c r="F202" s="15"/>
      <c r="H202" s="9"/>
      <c r="I202" s="9"/>
      <c r="J202" s="9"/>
      <c r="K202" s="9"/>
      <c r="L202" s="9"/>
      <c r="M202" s="9"/>
      <c r="N202" s="9"/>
      <c r="O202" s="278"/>
      <c r="P202" s="10"/>
      <c r="Q202" s="10"/>
      <c r="R202" s="10"/>
      <c r="S202" s="10"/>
      <c r="T202" s="10"/>
      <c r="U202" s="9"/>
      <c r="V202" s="10"/>
      <c r="W202" s="10"/>
      <c r="X202" s="10"/>
      <c r="Y202" s="10"/>
      <c r="Z202" s="10"/>
      <c r="AA202" s="10"/>
    </row>
    <row r="203" spans="1:27" s="1150" customFormat="1">
      <c r="A203" s="1347" t="str">
        <f>'Input 4 - Forecast'!A70</f>
        <v>ZERO-COUPON BOND</v>
      </c>
      <c r="B203" s="1348">
        <f>B119</f>
        <v>2018</v>
      </c>
      <c r="C203" s="1348"/>
      <c r="D203" s="1348">
        <f>$J89</f>
        <v>0</v>
      </c>
      <c r="E203" s="1348">
        <f>$K89</f>
        <v>0</v>
      </c>
      <c r="F203" s="1349">
        <f>$L$89</f>
        <v>0</v>
      </c>
      <c r="H203" s="1350">
        <f>$B$89/$B$31</f>
        <v>0</v>
      </c>
      <c r="I203" s="1350">
        <f>H203-P203</f>
        <v>0</v>
      </c>
      <c r="J203" s="1350">
        <f>I203-Q203</f>
        <v>0</v>
      </c>
      <c r="K203" s="1350">
        <f>J203-R203</f>
        <v>0</v>
      </c>
      <c r="L203" s="1350">
        <f>K203-S203</f>
        <v>0</v>
      </c>
      <c r="M203" s="1350">
        <f>L203-T203</f>
        <v>0</v>
      </c>
      <c r="N203" s="1350"/>
      <c r="O203" s="1350">
        <f t="shared" ref="O203:T203" si="55">IF($D203=$E203,IF(O$111=$B203+$E203,$H203,0),0)</f>
        <v>0</v>
      </c>
      <c r="P203" s="1350">
        <f t="shared" si="55"/>
        <v>0</v>
      </c>
      <c r="Q203" s="1350">
        <f t="shared" si="55"/>
        <v>0</v>
      </c>
      <c r="R203" s="1350">
        <f t="shared" si="55"/>
        <v>0</v>
      </c>
      <c r="S203" s="1350">
        <f t="shared" si="55"/>
        <v>0</v>
      </c>
      <c r="T203" s="1350">
        <f t="shared" si="55"/>
        <v>0</v>
      </c>
      <c r="U203" s="1350"/>
      <c r="V203" s="1350">
        <f t="shared" ref="V203:AA203" si="56">IF(V$111-$B203=$D203,$H203*(((1+$F203)^$D203)-1),0)</f>
        <v>0</v>
      </c>
      <c r="W203" s="1350">
        <f t="shared" si="56"/>
        <v>0</v>
      </c>
      <c r="X203" s="1350">
        <f t="shared" si="56"/>
        <v>0</v>
      </c>
      <c r="Y203" s="1350">
        <f t="shared" si="56"/>
        <v>0</v>
      </c>
      <c r="Z203" s="1350">
        <f t="shared" si="56"/>
        <v>0</v>
      </c>
      <c r="AA203" s="1350">
        <f t="shared" si="56"/>
        <v>0</v>
      </c>
    </row>
    <row r="204" spans="1:27" s="1150" customFormat="1">
      <c r="A204" s="1347" t="str">
        <f>A203</f>
        <v>ZERO-COUPON BOND</v>
      </c>
      <c r="B204" s="1348">
        <f>B203+1</f>
        <v>2019</v>
      </c>
      <c r="C204" s="1348"/>
      <c r="D204" s="1348">
        <f t="shared" ref="D204:E208" si="57">D203</f>
        <v>0</v>
      </c>
      <c r="E204" s="1348">
        <f t="shared" si="57"/>
        <v>0</v>
      </c>
      <c r="F204" s="1349">
        <f>$M$89</f>
        <v>2.5000000000000001E-3</v>
      </c>
      <c r="H204" s="1350"/>
      <c r="I204" s="1350">
        <f ca="1">$C$89/$C$31</f>
        <v>0</v>
      </c>
      <c r="J204" s="1350">
        <f ca="1">I204-Q204</f>
        <v>0</v>
      </c>
      <c r="K204" s="1350">
        <f ca="1">J204-R204</f>
        <v>0</v>
      </c>
      <c r="L204" s="1350">
        <f ca="1">K204-S204</f>
        <v>0</v>
      </c>
      <c r="M204" s="1350">
        <f ca="1">L204-T204</f>
        <v>0</v>
      </c>
      <c r="N204" s="1350"/>
      <c r="O204" s="1351"/>
      <c r="P204" s="1350">
        <f ca="1">IF($D204=$E204,IF(P$111=$B204+$E204,$I204,0),0)</f>
        <v>0</v>
      </c>
      <c r="Q204" s="1350">
        <f>IF($D204=$E204,IF(Q$111=$B204+$E204,$I204,0),0)</f>
        <v>0</v>
      </c>
      <c r="R204" s="1350">
        <f>IF($D204=$E204,IF(R$111=$B204+$E204,$I204,0),0)</f>
        <v>0</v>
      </c>
      <c r="S204" s="1350">
        <f>IF($D204=$E204,IF(S$111=$B204+$E204,$I204,0),0)</f>
        <v>0</v>
      </c>
      <c r="T204" s="1350">
        <f>IF($D204=$E204,IF(T$111=$B204+$E204,$I204,0),0)</f>
        <v>0</v>
      </c>
      <c r="U204" s="1350"/>
      <c r="V204" s="1350"/>
      <c r="W204" s="1350">
        <f ca="1">IF(W$111-$B204=$D204,$I204*(((1+$F204)^$D204)-1),0)</f>
        <v>0</v>
      </c>
      <c r="X204" s="1350">
        <f>IF(X$111-$B204=$D204,$I204*(((1+$F204)^$D204)-1),0)</f>
        <v>0</v>
      </c>
      <c r="Y204" s="1350">
        <f>IF(Y$111-$B204=$D204,$I204*(((1+$F204)^$D204)-1),0)</f>
        <v>0</v>
      </c>
      <c r="Z204" s="1350">
        <f>IF(Z$111-$B204=$D204,$I204*(((1+$F204)^$D204)-1),0)</f>
        <v>0</v>
      </c>
      <c r="AA204" s="1350">
        <f>IF(AA$111-$B204=$D204,$I204*(((1+$F204)^$D204)-1),0)</f>
        <v>0</v>
      </c>
    </row>
    <row r="205" spans="1:27" s="1150" customFormat="1">
      <c r="A205" s="1347" t="str">
        <f>A204</f>
        <v>ZERO-COUPON BOND</v>
      </c>
      <c r="B205" s="1348">
        <f>B204+1</f>
        <v>2020</v>
      </c>
      <c r="C205" s="1348"/>
      <c r="D205" s="1348">
        <f t="shared" si="57"/>
        <v>0</v>
      </c>
      <c r="E205" s="1348">
        <f t="shared" si="57"/>
        <v>0</v>
      </c>
      <c r="F205" s="1349">
        <f>$N$89</f>
        <v>2.5000000000000001E-3</v>
      </c>
      <c r="H205" s="1350"/>
      <c r="I205" s="1350"/>
      <c r="J205" s="1350">
        <f ca="1">$D$89/$D$31</f>
        <v>0</v>
      </c>
      <c r="K205" s="1350">
        <f ca="1">J205-R205</f>
        <v>0</v>
      </c>
      <c r="L205" s="1350">
        <f ca="1">K205-S205</f>
        <v>0</v>
      </c>
      <c r="M205" s="1350">
        <f ca="1">L205-T205</f>
        <v>0</v>
      </c>
      <c r="N205" s="1350"/>
      <c r="O205" s="1351"/>
      <c r="P205" s="1350"/>
      <c r="Q205" s="1350">
        <f ca="1">IF($D205=$E205,IF(Q$111=$B205+$E205,$J205,0),0)</f>
        <v>0</v>
      </c>
      <c r="R205" s="1350">
        <f>IF($D205=$E205,IF(R$111=$B205+$E205,$J205,0),0)</f>
        <v>0</v>
      </c>
      <c r="S205" s="1350">
        <f>IF($D205=$E205,IF(S$111=$B205+$E205,$J205,0),0)</f>
        <v>0</v>
      </c>
      <c r="T205" s="1350">
        <f>IF($D205=$E205,IF(T$111=$B205+$E205,$J205,0),0)</f>
        <v>0</v>
      </c>
      <c r="U205" s="1350"/>
      <c r="V205" s="1350"/>
      <c r="W205" s="1350"/>
      <c r="X205" s="1350">
        <f ca="1">IF(X$111-$B205=$D205,$J205*(((1+$F205)^$D205)-1),0)</f>
        <v>0</v>
      </c>
      <c r="Y205" s="1350">
        <f>IF(Y$111-$B205=$D205,$J205*(((1+$F205)^$D205)-1),0)</f>
        <v>0</v>
      </c>
      <c r="Z205" s="1350">
        <f>IF(Z$111-$B205=$D205,$J205*(((1+$F205)^$D205)-1),0)</f>
        <v>0</v>
      </c>
      <c r="AA205" s="1350">
        <f>IF(AA$111-$B205=$D205,$J205*(((1+$F205)^$D205)-1),0)</f>
        <v>0</v>
      </c>
    </row>
    <row r="206" spans="1:27" s="1150" customFormat="1">
      <c r="A206" s="1347" t="str">
        <f>A205</f>
        <v>ZERO-COUPON BOND</v>
      </c>
      <c r="B206" s="1348">
        <f>B205+1</f>
        <v>2021</v>
      </c>
      <c r="C206" s="1348"/>
      <c r="D206" s="1348">
        <f t="shared" si="57"/>
        <v>0</v>
      </c>
      <c r="E206" s="1348">
        <f t="shared" si="57"/>
        <v>0</v>
      </c>
      <c r="F206" s="1349">
        <f>$O$89</f>
        <v>2.5000000000000001E-3</v>
      </c>
      <c r="H206" s="1350"/>
      <c r="I206" s="1350"/>
      <c r="J206" s="1350"/>
      <c r="K206" s="1350">
        <f ca="1">$E$89/$E$31</f>
        <v>0</v>
      </c>
      <c r="L206" s="1350">
        <f ca="1">K206-S206</f>
        <v>0</v>
      </c>
      <c r="M206" s="1350">
        <f ca="1">L206-T206</f>
        <v>0</v>
      </c>
      <c r="N206" s="1350"/>
      <c r="O206" s="1351"/>
      <c r="P206" s="1350"/>
      <c r="Q206" s="1350"/>
      <c r="R206" s="1350">
        <f ca="1">IF($D206=$E206,IF(R$111=$B206+$E206,$K206,0),0)</f>
        <v>0</v>
      </c>
      <c r="S206" s="1350">
        <f>IF($D206=$E206,IF(S$111=$B206+$E206,$K206,0),0)</f>
        <v>0</v>
      </c>
      <c r="T206" s="1350">
        <f>IF($D206=$E206,IF(T$111=$B206+$E206,$K206,0),0)</f>
        <v>0</v>
      </c>
      <c r="U206" s="1350"/>
      <c r="V206" s="1350"/>
      <c r="W206" s="1350"/>
      <c r="X206" s="1350"/>
      <c r="Y206" s="1350">
        <f ca="1">IF(Y$111-$B206=$D206,$K206*(((1+$F206)^$D206)-1),0)</f>
        <v>0</v>
      </c>
      <c r="Z206" s="1350">
        <f>IF(Z$111-$B206=$D206,$K206*(((1+$F206)^$D206)-1),0)</f>
        <v>0</v>
      </c>
      <c r="AA206" s="1350">
        <f>IF(AA$111-$B206=$D206,$K206*(((1+$F206)^$D206)-1),0)</f>
        <v>0</v>
      </c>
    </row>
    <row r="207" spans="1:27" s="1150" customFormat="1">
      <c r="A207" s="1347" t="str">
        <f>A206</f>
        <v>ZERO-COUPON BOND</v>
      </c>
      <c r="B207" s="1348">
        <f>B206+1</f>
        <v>2022</v>
      </c>
      <c r="C207" s="1348"/>
      <c r="D207" s="1348">
        <f t="shared" si="57"/>
        <v>0</v>
      </c>
      <c r="E207" s="1348">
        <f t="shared" si="57"/>
        <v>0</v>
      </c>
      <c r="F207" s="1349">
        <f>$P$89</f>
        <v>2.5000000000000001E-3</v>
      </c>
      <c r="H207" s="1350"/>
      <c r="I207" s="1350"/>
      <c r="J207" s="1350"/>
      <c r="K207" s="1350"/>
      <c r="L207" s="1350">
        <f ca="1">$F$89/$F$31</f>
        <v>0</v>
      </c>
      <c r="M207" s="1350">
        <f ca="1">L207-T207</f>
        <v>0</v>
      </c>
      <c r="N207" s="1350"/>
      <c r="O207" s="1351"/>
      <c r="P207" s="1350"/>
      <c r="Q207" s="1350"/>
      <c r="R207" s="1350"/>
      <c r="S207" s="1350">
        <f ca="1">IF($D207=$E207,IF(S$111=$B207+$E207,$L207,0),0)</f>
        <v>0</v>
      </c>
      <c r="T207" s="1350">
        <f>IF($D207=$E207,IF(T$111=$B207+$E207,$L207,0),0)</f>
        <v>0</v>
      </c>
      <c r="U207" s="1350"/>
      <c r="V207" s="1350"/>
      <c r="W207" s="1350"/>
      <c r="X207" s="1350"/>
      <c r="Y207" s="1350"/>
      <c r="Z207" s="1350">
        <f ca="1">IF(Z$111-$B207=$D207,$L207*(((1+$F207)^$D207)-1),0)</f>
        <v>0</v>
      </c>
      <c r="AA207" s="1350">
        <f>IF(AA$111-$B207=$D207,$L207*(((1+$F207)^$D207)-1),0)</f>
        <v>0</v>
      </c>
    </row>
    <row r="208" spans="1:27" s="1150" customFormat="1">
      <c r="A208" s="1347" t="str">
        <f>A207</f>
        <v>ZERO-COUPON BOND</v>
      </c>
      <c r="B208" s="1348">
        <f>B207+1</f>
        <v>2023</v>
      </c>
      <c r="C208" s="1348"/>
      <c r="D208" s="1348">
        <f t="shared" si="57"/>
        <v>0</v>
      </c>
      <c r="E208" s="1348">
        <f t="shared" si="57"/>
        <v>0</v>
      </c>
      <c r="F208" s="1349">
        <f>$Q$89</f>
        <v>2.5000000000000001E-3</v>
      </c>
      <c r="H208" s="1350"/>
      <c r="I208" s="1350"/>
      <c r="J208" s="1350"/>
      <c r="K208" s="1350"/>
      <c r="L208" s="1350"/>
      <c r="M208" s="1350">
        <f ca="1">$G$89/$G$31</f>
        <v>0</v>
      </c>
      <c r="N208" s="1350"/>
      <c r="O208" s="1351"/>
      <c r="P208" s="1350"/>
      <c r="Q208" s="1350"/>
      <c r="R208" s="1350"/>
      <c r="S208" s="1350"/>
      <c r="T208" s="1350">
        <f ca="1">IF($D208=$E208,IF(T$111=$B208+$E208,$M208,0),0)</f>
        <v>0</v>
      </c>
      <c r="U208" s="1350"/>
      <c r="V208" s="1350"/>
      <c r="W208" s="1350"/>
      <c r="X208" s="1350"/>
      <c r="Y208" s="1350"/>
      <c r="Z208" s="1350"/>
      <c r="AA208" s="1350">
        <f ca="1">IF(AA$111-$B208=$D208,$M208*(((1+$F208)^$D208)-1),0)</f>
        <v>0</v>
      </c>
    </row>
    <row r="209" spans="1:27">
      <c r="A209" s="17"/>
      <c r="B209" s="7"/>
      <c r="D209" s="7"/>
      <c r="E209" s="7"/>
      <c r="F209" s="7"/>
    </row>
    <row r="210" spans="1:27">
      <c r="A210" s="20" t="str">
        <f>'Input 4 - Forecast'!A71</f>
        <v>New Issuance of External Debt (new debt) 1/</v>
      </c>
    </row>
    <row r="211" spans="1:27" customFormat="1" ht="15.75" thickBot="1">
      <c r="A211" s="21" t="str">
        <f>'Input 4 - Forecast'!A72</f>
        <v>Short-term debt 2/</v>
      </c>
      <c r="B211" s="18"/>
      <c r="C211" s="6"/>
      <c r="D211" s="13"/>
      <c r="E211" s="13"/>
      <c r="F211" s="13"/>
      <c r="G211" s="13"/>
      <c r="H211" s="13"/>
      <c r="I211" s="13"/>
      <c r="J211" s="17"/>
      <c r="K211" s="19"/>
      <c r="L211" s="19"/>
      <c r="M211" s="19"/>
      <c r="N211" s="19"/>
      <c r="O211" s="19"/>
      <c r="P211" s="19"/>
      <c r="Q211" s="19"/>
      <c r="R211" s="19"/>
    </row>
    <row r="212" spans="1:27" customFormat="1" ht="15.75" thickBot="1">
      <c r="A212" s="22" t="str">
        <f>'Input 4 - Forecast'!A73</f>
        <v>Denominated in local currency</v>
      </c>
      <c r="B212" s="1999" t="s">
        <v>51</v>
      </c>
      <c r="C212" s="2000"/>
      <c r="D212" s="2000"/>
      <c r="E212" s="2000"/>
      <c r="F212" s="2000"/>
      <c r="G212" s="2000"/>
      <c r="H212" s="2000"/>
      <c r="I212" s="2000"/>
      <c r="J212" s="2000"/>
      <c r="K212" s="2000"/>
      <c r="L212" s="2000"/>
      <c r="M212" s="2000"/>
      <c r="N212" s="2000"/>
      <c r="O212" s="2000"/>
      <c r="P212" s="2000"/>
      <c r="Q212" s="2000"/>
      <c r="R212" s="2000"/>
      <c r="S212" s="2000"/>
      <c r="T212" s="2000"/>
      <c r="U212" s="2000"/>
      <c r="V212" s="2000"/>
      <c r="W212" s="2000"/>
      <c r="X212" s="2000"/>
      <c r="Y212" s="2000"/>
      <c r="Z212" s="2000"/>
      <c r="AA212" s="2001"/>
    </row>
    <row r="213" spans="1:27">
      <c r="F213" s="15"/>
      <c r="H213" s="10"/>
      <c r="I213" s="10"/>
      <c r="J213" s="10"/>
      <c r="K213" s="10"/>
      <c r="L213" s="10"/>
      <c r="M213" s="10"/>
      <c r="N213" s="10"/>
      <c r="O213" s="10"/>
      <c r="P213" s="10"/>
      <c r="Q213" s="10"/>
      <c r="R213" s="10"/>
      <c r="S213" s="10"/>
      <c r="T213" s="10"/>
      <c r="U213" s="10"/>
      <c r="V213" s="10"/>
      <c r="W213" s="10"/>
      <c r="X213" s="10"/>
      <c r="Y213" s="10"/>
      <c r="Z213" s="10"/>
      <c r="AA213" s="10"/>
    </row>
    <row r="214" spans="1:27" customFormat="1">
      <c r="A214" s="23"/>
      <c r="B214" s="7">
        <f>B119</f>
        <v>2018</v>
      </c>
      <c r="C214" s="13" t="str">
        <f>$I92</f>
        <v>Semi-annual</v>
      </c>
      <c r="D214" s="13">
        <f>$J92</f>
        <v>0</v>
      </c>
      <c r="E214" s="13">
        <f>$K92</f>
        <v>0</v>
      </c>
      <c r="F214" s="14">
        <f>$L$92</f>
        <v>0</v>
      </c>
      <c r="G214" s="13"/>
      <c r="H214" s="9">
        <f>$B$92</f>
        <v>0</v>
      </c>
      <c r="I214" s="9">
        <f>H214-P214</f>
        <v>0</v>
      </c>
      <c r="J214" s="9">
        <f>I214-Q214</f>
        <v>0</v>
      </c>
      <c r="K214" s="9">
        <f>J214-R214</f>
        <v>0</v>
      </c>
      <c r="L214" s="9">
        <f>K214-S214</f>
        <v>0</v>
      </c>
      <c r="M214" s="9">
        <f>L214-T214</f>
        <v>0</v>
      </c>
      <c r="N214" s="9"/>
      <c r="O214" s="9">
        <v>0</v>
      </c>
      <c r="P214" s="9">
        <f>H214</f>
        <v>0</v>
      </c>
      <c r="Q214" s="9">
        <v>0</v>
      </c>
      <c r="R214" s="9">
        <v>0</v>
      </c>
      <c r="S214" s="9">
        <v>0</v>
      </c>
      <c r="T214" s="9">
        <v>0</v>
      </c>
      <c r="U214" s="9"/>
      <c r="V214" s="9">
        <f>IF($C214="annual",IF(V$111=$B214,0,G214*$F214),IF(V$111-$B214=0,0,IF((V$111-$B214)&lt;$E214,AVERAGE(G214,H214)*$F214,IF((V$111-$B214)=$E214,G214*$F214/2,0))))</f>
        <v>0</v>
      </c>
      <c r="W214" s="9">
        <f t="shared" ref="W214:AA219" si="58">IF($C214="annual",IF(W$111=$B214,0,H214*$F214),IF(W$111-$B214=0,0,IF((W$111-$B214)&lt;$E214,AVERAGE(H214,I214)*$F214,IF((W$111-$B214)=$E214,H214*$F214/2,0))))</f>
        <v>0</v>
      </c>
      <c r="X214" s="9">
        <f t="shared" si="58"/>
        <v>0</v>
      </c>
      <c r="Y214" s="9">
        <f t="shared" si="58"/>
        <v>0</v>
      </c>
      <c r="Z214" s="9">
        <f t="shared" si="58"/>
        <v>0</v>
      </c>
      <c r="AA214" s="9">
        <f t="shared" si="58"/>
        <v>0</v>
      </c>
    </row>
    <row r="215" spans="1:27" customFormat="1">
      <c r="A215" s="23"/>
      <c r="B215" s="7">
        <f>B214+1</f>
        <v>2019</v>
      </c>
      <c r="C215" s="13" t="str">
        <f>C214</f>
        <v>Semi-annual</v>
      </c>
      <c r="D215" s="13">
        <f>D214</f>
        <v>0</v>
      </c>
      <c r="E215" s="13">
        <f>E214</f>
        <v>0</v>
      </c>
      <c r="F215" s="14">
        <f>$M$92</f>
        <v>2.5000000000000001E-3</v>
      </c>
      <c r="G215" s="13"/>
      <c r="H215" s="9"/>
      <c r="I215" s="9">
        <f ca="1">$C$92</f>
        <v>0</v>
      </c>
      <c r="J215" s="9">
        <f ca="1">I215-Q215</f>
        <v>0</v>
      </c>
      <c r="K215" s="9">
        <f ca="1">J215-R215</f>
        <v>0</v>
      </c>
      <c r="L215" s="9">
        <f ca="1">K215-S215</f>
        <v>0</v>
      </c>
      <c r="M215" s="9">
        <f ca="1">L215-T215</f>
        <v>0</v>
      </c>
      <c r="N215" s="9"/>
      <c r="O215" s="9"/>
      <c r="P215" s="9">
        <v>0</v>
      </c>
      <c r="Q215" s="9">
        <f ca="1">I215</f>
        <v>0</v>
      </c>
      <c r="R215" s="9">
        <v>0</v>
      </c>
      <c r="S215" s="9">
        <v>0</v>
      </c>
      <c r="T215" s="9">
        <v>0</v>
      </c>
      <c r="U215" s="9"/>
      <c r="V215" s="9"/>
      <c r="W215" s="9">
        <f t="shared" si="58"/>
        <v>0</v>
      </c>
      <c r="X215" s="9">
        <f t="shared" si="58"/>
        <v>0</v>
      </c>
      <c r="Y215" s="9">
        <f t="shared" si="58"/>
        <v>0</v>
      </c>
      <c r="Z215" s="9">
        <f t="shared" si="58"/>
        <v>0</v>
      </c>
      <c r="AA215" s="9">
        <f t="shared" si="58"/>
        <v>0</v>
      </c>
    </row>
    <row r="216" spans="1:27" customFormat="1">
      <c r="A216" s="23"/>
      <c r="B216" s="7">
        <f>B215+1</f>
        <v>2020</v>
      </c>
      <c r="C216" s="13" t="str">
        <f>C215</f>
        <v>Semi-annual</v>
      </c>
      <c r="D216" s="13">
        <f t="shared" ref="D216:E219" si="59">D215</f>
        <v>0</v>
      </c>
      <c r="E216" s="13">
        <f t="shared" si="59"/>
        <v>0</v>
      </c>
      <c r="F216" s="14">
        <f>$N$92</f>
        <v>2.5000000000000001E-3</v>
      </c>
      <c r="G216" s="13"/>
      <c r="H216" s="9"/>
      <c r="I216" s="9"/>
      <c r="J216" s="9">
        <f ca="1">$D$92</f>
        <v>0</v>
      </c>
      <c r="K216" s="9">
        <f ca="1">J216-R216</f>
        <v>0</v>
      </c>
      <c r="L216" s="9">
        <f ca="1">K216-S216</f>
        <v>0</v>
      </c>
      <c r="M216" s="9">
        <f ca="1">L216-T216</f>
        <v>0</v>
      </c>
      <c r="N216" s="9"/>
      <c r="O216" s="9"/>
      <c r="P216" s="9"/>
      <c r="Q216" s="9">
        <v>0</v>
      </c>
      <c r="R216" s="9">
        <f ca="1">J216</f>
        <v>0</v>
      </c>
      <c r="S216" s="9">
        <v>0</v>
      </c>
      <c r="T216" s="9">
        <v>0</v>
      </c>
      <c r="U216" s="9"/>
      <c r="V216" s="9"/>
      <c r="W216" s="9"/>
      <c r="X216" s="9">
        <f t="shared" si="58"/>
        <v>0</v>
      </c>
      <c r="Y216" s="9">
        <f t="shared" si="58"/>
        <v>0</v>
      </c>
      <c r="Z216" s="9">
        <f t="shared" si="58"/>
        <v>0</v>
      </c>
      <c r="AA216" s="9">
        <f t="shared" si="58"/>
        <v>0</v>
      </c>
    </row>
    <row r="217" spans="1:27" customFormat="1">
      <c r="A217" s="23"/>
      <c r="B217" s="7">
        <f>B216+1</f>
        <v>2021</v>
      </c>
      <c r="C217" s="13" t="str">
        <f>C216</f>
        <v>Semi-annual</v>
      </c>
      <c r="D217" s="13">
        <f t="shared" si="59"/>
        <v>0</v>
      </c>
      <c r="E217" s="13">
        <f t="shared" si="59"/>
        <v>0</v>
      </c>
      <c r="F217" s="14">
        <f>$O$92</f>
        <v>2.5000000000000001E-3</v>
      </c>
      <c r="G217" s="13"/>
      <c r="H217" s="9"/>
      <c r="I217" s="9"/>
      <c r="J217" s="9"/>
      <c r="K217" s="9">
        <f ca="1">$E$92</f>
        <v>0</v>
      </c>
      <c r="L217" s="9">
        <f ca="1">K217-S217</f>
        <v>0</v>
      </c>
      <c r="M217" s="9">
        <f ca="1">L217-T217</f>
        <v>0</v>
      </c>
      <c r="N217" s="9"/>
      <c r="O217" s="9"/>
      <c r="P217" s="9"/>
      <c r="Q217" s="9"/>
      <c r="R217" s="9">
        <v>0</v>
      </c>
      <c r="S217" s="9">
        <f ca="1">K217</f>
        <v>0</v>
      </c>
      <c r="T217" s="9">
        <v>0</v>
      </c>
      <c r="U217" s="9"/>
      <c r="V217" s="9"/>
      <c r="W217" s="9"/>
      <c r="X217" s="9"/>
      <c r="Y217" s="9">
        <f t="shared" si="58"/>
        <v>0</v>
      </c>
      <c r="Z217" s="9">
        <f t="shared" si="58"/>
        <v>0</v>
      </c>
      <c r="AA217" s="9">
        <f t="shared" si="58"/>
        <v>0</v>
      </c>
    </row>
    <row r="218" spans="1:27" customFormat="1">
      <c r="A218" s="23"/>
      <c r="B218" s="7">
        <f>B217+1</f>
        <v>2022</v>
      </c>
      <c r="C218" s="13" t="str">
        <f>C217</f>
        <v>Semi-annual</v>
      </c>
      <c r="D218" s="13">
        <f t="shared" si="59"/>
        <v>0</v>
      </c>
      <c r="E218" s="13">
        <f t="shared" si="59"/>
        <v>0</v>
      </c>
      <c r="F218" s="14">
        <f>$P$92</f>
        <v>2.5000000000000001E-3</v>
      </c>
      <c r="G218" s="13"/>
      <c r="H218" s="9"/>
      <c r="I218" s="9"/>
      <c r="J218" s="9"/>
      <c r="K218" s="9"/>
      <c r="L218" s="9">
        <f ca="1">$F$92</f>
        <v>0</v>
      </c>
      <c r="M218" s="9">
        <f ca="1">L218-T218</f>
        <v>0</v>
      </c>
      <c r="N218" s="9"/>
      <c r="O218" s="9"/>
      <c r="P218" s="9"/>
      <c r="Q218" s="9"/>
      <c r="R218" s="9"/>
      <c r="S218" s="9">
        <v>0</v>
      </c>
      <c r="T218" s="9">
        <f ca="1">L218</f>
        <v>0</v>
      </c>
      <c r="U218" s="9"/>
      <c r="V218" s="9"/>
      <c r="W218" s="9"/>
      <c r="X218" s="9"/>
      <c r="Y218" s="9"/>
      <c r="Z218" s="9">
        <f t="shared" si="58"/>
        <v>0</v>
      </c>
      <c r="AA218" s="9">
        <f t="shared" si="58"/>
        <v>0</v>
      </c>
    </row>
    <row r="219" spans="1:27" customFormat="1">
      <c r="A219" s="23"/>
      <c r="B219" s="7">
        <f>B218+1</f>
        <v>2023</v>
      </c>
      <c r="C219" s="13" t="str">
        <f>C218</f>
        <v>Semi-annual</v>
      </c>
      <c r="D219" s="13">
        <f t="shared" si="59"/>
        <v>0</v>
      </c>
      <c r="E219" s="13">
        <f t="shared" si="59"/>
        <v>0</v>
      </c>
      <c r="F219" s="14">
        <f>$Q$92</f>
        <v>2.5000000000000001E-3</v>
      </c>
      <c r="G219" s="13"/>
      <c r="H219" s="9"/>
      <c r="I219" s="9"/>
      <c r="J219" s="9"/>
      <c r="K219" s="9"/>
      <c r="L219" s="9"/>
      <c r="M219" s="9">
        <f ca="1">$G$92</f>
        <v>0</v>
      </c>
      <c r="N219" s="9"/>
      <c r="O219" s="9"/>
      <c r="P219" s="9"/>
      <c r="Q219" s="9"/>
      <c r="R219" s="9"/>
      <c r="S219" s="9"/>
      <c r="T219" s="9">
        <v>0</v>
      </c>
      <c r="U219" s="9"/>
      <c r="V219" s="9"/>
      <c r="W219" s="9"/>
      <c r="X219" s="9"/>
      <c r="Y219" s="9"/>
      <c r="Z219" s="9"/>
      <c r="AA219" s="9">
        <f t="shared" si="58"/>
        <v>0</v>
      </c>
    </row>
    <row r="220" spans="1:27" ht="15.75" thickBot="1">
      <c r="B220" s="7"/>
      <c r="F220" s="15"/>
      <c r="H220" s="10"/>
      <c r="I220" s="10"/>
      <c r="J220" s="10"/>
      <c r="K220" s="10"/>
      <c r="L220" s="10"/>
      <c r="M220" s="10"/>
      <c r="N220" s="10"/>
      <c r="O220" s="10"/>
      <c r="P220" s="10"/>
      <c r="Q220" s="10"/>
      <c r="R220" s="10"/>
      <c r="S220" s="10"/>
      <c r="T220" s="10"/>
      <c r="U220" s="10"/>
      <c r="V220" s="10"/>
      <c r="W220" s="10"/>
      <c r="X220" s="10"/>
      <c r="Y220" s="10"/>
      <c r="Z220" s="10"/>
      <c r="AA220" s="10"/>
    </row>
    <row r="221" spans="1:27" customFormat="1" ht="15.75" thickBot="1">
      <c r="A221" s="22" t="str">
        <f>'Input 4 - Forecast'!A82</f>
        <v>Denominated in foreign currency</v>
      </c>
      <c r="B221" s="1999" t="s">
        <v>52</v>
      </c>
      <c r="C221" s="2000"/>
      <c r="D221" s="2000"/>
      <c r="E221" s="2000"/>
      <c r="F221" s="2000"/>
      <c r="G221" s="2000"/>
      <c r="H221" s="2000"/>
      <c r="I221" s="2000"/>
      <c r="J221" s="2000"/>
      <c r="K221" s="2000"/>
      <c r="L221" s="2000"/>
      <c r="M221" s="2000"/>
      <c r="N221" s="2000"/>
      <c r="O221" s="2000"/>
      <c r="P221" s="2000"/>
      <c r="Q221" s="2000"/>
      <c r="R221" s="2000"/>
      <c r="S221" s="2000"/>
      <c r="T221" s="2000"/>
      <c r="U221" s="2000"/>
      <c r="V221" s="2000"/>
      <c r="W221" s="2000"/>
      <c r="X221" s="2000"/>
      <c r="Y221" s="2000"/>
      <c r="Z221" s="2000"/>
      <c r="AA221" s="2001"/>
    </row>
    <row r="222" spans="1:27">
      <c r="F222" s="15"/>
      <c r="H222" s="10"/>
      <c r="I222" s="10"/>
      <c r="J222" s="10"/>
      <c r="K222" s="10"/>
      <c r="L222" s="10"/>
      <c r="M222" s="10"/>
      <c r="N222" s="10"/>
      <c r="O222" s="10"/>
      <c r="P222" s="10"/>
      <c r="Q222" s="10"/>
      <c r="R222" s="10"/>
      <c r="S222" s="10"/>
      <c r="T222" s="10"/>
      <c r="U222" s="10"/>
      <c r="V222" s="10"/>
      <c r="W222" s="10"/>
      <c r="X222" s="10"/>
      <c r="Y222" s="10"/>
      <c r="Z222" s="10"/>
      <c r="AA222" s="10"/>
    </row>
    <row r="223" spans="1:27" customFormat="1">
      <c r="A223" s="23"/>
      <c r="B223" s="7">
        <f>B119</f>
        <v>2018</v>
      </c>
      <c r="C223" s="13" t="str">
        <f>$I93</f>
        <v>Semi-annual</v>
      </c>
      <c r="D223" s="13">
        <f>$J93</f>
        <v>0</v>
      </c>
      <c r="E223" s="13">
        <f>$K93</f>
        <v>0</v>
      </c>
      <c r="F223" s="14">
        <f>$L$93</f>
        <v>0</v>
      </c>
      <c r="G223" s="13"/>
      <c r="H223" s="9">
        <f>$B$93/$B$31</f>
        <v>0</v>
      </c>
      <c r="I223" s="9">
        <f>H223-P223</f>
        <v>0</v>
      </c>
      <c r="J223" s="9">
        <f>I223-Q223</f>
        <v>0</v>
      </c>
      <c r="K223" s="9">
        <f>J223-R223</f>
        <v>0</v>
      </c>
      <c r="L223" s="9">
        <f>K223-S223</f>
        <v>0</v>
      </c>
      <c r="M223" s="9">
        <f>L223-T223</f>
        <v>0</v>
      </c>
      <c r="N223" s="9"/>
      <c r="O223" s="9">
        <v>0</v>
      </c>
      <c r="P223" s="9">
        <f>H223</f>
        <v>0</v>
      </c>
      <c r="Q223" s="9">
        <v>0</v>
      </c>
      <c r="R223" s="9">
        <v>0</v>
      </c>
      <c r="S223" s="9">
        <v>0</v>
      </c>
      <c r="T223" s="9">
        <v>0</v>
      </c>
      <c r="U223" s="9"/>
      <c r="V223" s="9">
        <f>IF($C223="annual",IF(V$111=$B223,0,G223*$F223),IF(V$111-$B223=0,0,IF((V$111-$B223)&lt;$E223,AVERAGE(G223,H223)*$F223,IF((V$111-$B223)=$E223,G223*$F223/2,0))))</f>
        <v>0</v>
      </c>
      <c r="W223" s="9">
        <f t="shared" ref="W223:AA228" si="60">IF($C223="annual",IF(W$111=$B223,0,H223*$F223),IF(W$111-$B223=0,0,IF((W$111-$B223)&lt;$E223,AVERAGE(H223,I223)*$F223,IF((W$111-$B223)=$E223,H223*$F223/2,0))))</f>
        <v>0</v>
      </c>
      <c r="X223" s="9">
        <f t="shared" si="60"/>
        <v>0</v>
      </c>
      <c r="Y223" s="9">
        <f t="shared" si="60"/>
        <v>0</v>
      </c>
      <c r="Z223" s="9">
        <f t="shared" si="60"/>
        <v>0</v>
      </c>
      <c r="AA223" s="9">
        <f t="shared" si="60"/>
        <v>0</v>
      </c>
    </row>
    <row r="224" spans="1:27" customFormat="1">
      <c r="A224" s="23"/>
      <c r="B224" s="7">
        <f>B223+1</f>
        <v>2019</v>
      </c>
      <c r="C224" s="13" t="str">
        <f>C223</f>
        <v>Semi-annual</v>
      </c>
      <c r="D224" s="13">
        <f>D223</f>
        <v>0</v>
      </c>
      <c r="E224" s="13">
        <f>E223</f>
        <v>0</v>
      </c>
      <c r="F224" s="14">
        <f>$M$93</f>
        <v>2.5000000000000001E-3</v>
      </c>
      <c r="G224" s="13"/>
      <c r="H224" s="9"/>
      <c r="I224" s="9">
        <f ca="1">$C$93/$C$31</f>
        <v>0</v>
      </c>
      <c r="J224" s="9">
        <f ca="1">I224-Q224</f>
        <v>0</v>
      </c>
      <c r="K224" s="9">
        <f ca="1">J224-R224</f>
        <v>0</v>
      </c>
      <c r="L224" s="9">
        <f ca="1">K224-S224</f>
        <v>0</v>
      </c>
      <c r="M224" s="9">
        <f ca="1">L224-T224</f>
        <v>0</v>
      </c>
      <c r="N224" s="9"/>
      <c r="O224" s="9"/>
      <c r="P224" s="9">
        <v>0</v>
      </c>
      <c r="Q224" s="9">
        <f ca="1">I224</f>
        <v>0</v>
      </c>
      <c r="R224" s="9">
        <v>0</v>
      </c>
      <c r="S224" s="9">
        <v>0</v>
      </c>
      <c r="T224" s="9">
        <v>0</v>
      </c>
      <c r="U224" s="9"/>
      <c r="V224" s="9"/>
      <c r="W224" s="9">
        <f t="shared" si="60"/>
        <v>0</v>
      </c>
      <c r="X224" s="9">
        <f t="shared" si="60"/>
        <v>0</v>
      </c>
      <c r="Y224" s="9">
        <f t="shared" si="60"/>
        <v>0</v>
      </c>
      <c r="Z224" s="9">
        <f t="shared" si="60"/>
        <v>0</v>
      </c>
      <c r="AA224" s="9">
        <f t="shared" si="60"/>
        <v>0</v>
      </c>
    </row>
    <row r="225" spans="1:27" customFormat="1">
      <c r="A225" s="23"/>
      <c r="B225" s="7">
        <f>B224+1</f>
        <v>2020</v>
      </c>
      <c r="C225" s="13" t="str">
        <f>C224</f>
        <v>Semi-annual</v>
      </c>
      <c r="D225" s="13">
        <f t="shared" ref="D225:E228" si="61">D224</f>
        <v>0</v>
      </c>
      <c r="E225" s="13">
        <f t="shared" si="61"/>
        <v>0</v>
      </c>
      <c r="F225" s="14">
        <f>$N$93</f>
        <v>2.5000000000000001E-3</v>
      </c>
      <c r="G225" s="13"/>
      <c r="H225" s="9"/>
      <c r="I225" s="9"/>
      <c r="J225" s="9">
        <f ca="1">$D$93/$D$31</f>
        <v>0</v>
      </c>
      <c r="K225" s="9">
        <f ca="1">J225-R225</f>
        <v>0</v>
      </c>
      <c r="L225" s="9">
        <f ca="1">K225-S225</f>
        <v>0</v>
      </c>
      <c r="M225" s="9">
        <f ca="1">L225-T225</f>
        <v>0</v>
      </c>
      <c r="N225" s="9"/>
      <c r="O225" s="9"/>
      <c r="P225" s="9"/>
      <c r="Q225" s="9">
        <v>0</v>
      </c>
      <c r="R225" s="9">
        <f ca="1">J225</f>
        <v>0</v>
      </c>
      <c r="S225" s="9">
        <v>0</v>
      </c>
      <c r="T225" s="9">
        <v>0</v>
      </c>
      <c r="U225" s="9"/>
      <c r="V225" s="9"/>
      <c r="W225" s="9"/>
      <c r="X225" s="9">
        <f t="shared" si="60"/>
        <v>0</v>
      </c>
      <c r="Y225" s="9">
        <f t="shared" si="60"/>
        <v>0</v>
      </c>
      <c r="Z225" s="9">
        <f t="shared" si="60"/>
        <v>0</v>
      </c>
      <c r="AA225" s="9">
        <f t="shared" si="60"/>
        <v>0</v>
      </c>
    </row>
    <row r="226" spans="1:27" customFormat="1">
      <c r="A226" s="23"/>
      <c r="B226" s="7">
        <f>B225+1</f>
        <v>2021</v>
      </c>
      <c r="C226" s="13" t="str">
        <f>C225</f>
        <v>Semi-annual</v>
      </c>
      <c r="D226" s="13">
        <f t="shared" si="61"/>
        <v>0</v>
      </c>
      <c r="E226" s="13">
        <f t="shared" si="61"/>
        <v>0</v>
      </c>
      <c r="F226" s="14">
        <f>$O$93</f>
        <v>2.5000000000000001E-3</v>
      </c>
      <c r="G226" s="13"/>
      <c r="H226" s="9"/>
      <c r="I226" s="9"/>
      <c r="J226" s="9"/>
      <c r="K226" s="9">
        <f ca="1">$E$93/$E$31</f>
        <v>0</v>
      </c>
      <c r="L226" s="9">
        <f ca="1">K226-S226</f>
        <v>0</v>
      </c>
      <c r="M226" s="9">
        <f ca="1">L226-T226</f>
        <v>0</v>
      </c>
      <c r="N226" s="9"/>
      <c r="O226" s="9"/>
      <c r="P226" s="9"/>
      <c r="Q226" s="9"/>
      <c r="R226" s="9">
        <v>0</v>
      </c>
      <c r="S226" s="9">
        <f ca="1">K226</f>
        <v>0</v>
      </c>
      <c r="T226" s="9">
        <v>0</v>
      </c>
      <c r="U226" s="9"/>
      <c r="V226" s="9"/>
      <c r="W226" s="9"/>
      <c r="X226" s="9"/>
      <c r="Y226" s="9">
        <f t="shared" si="60"/>
        <v>0</v>
      </c>
      <c r="Z226" s="9">
        <f t="shared" si="60"/>
        <v>0</v>
      </c>
      <c r="AA226" s="9">
        <f t="shared" si="60"/>
        <v>0</v>
      </c>
    </row>
    <row r="227" spans="1:27" customFormat="1">
      <c r="A227" s="23"/>
      <c r="B227" s="7">
        <f>B226+1</f>
        <v>2022</v>
      </c>
      <c r="C227" s="13" t="str">
        <f>C226</f>
        <v>Semi-annual</v>
      </c>
      <c r="D227" s="13">
        <f t="shared" si="61"/>
        <v>0</v>
      </c>
      <c r="E227" s="13">
        <f t="shared" si="61"/>
        <v>0</v>
      </c>
      <c r="F227" s="14">
        <f>$P$93</f>
        <v>2.5000000000000001E-3</v>
      </c>
      <c r="G227" s="13"/>
      <c r="H227" s="9"/>
      <c r="I227" s="9"/>
      <c r="J227" s="9"/>
      <c r="K227" s="9"/>
      <c r="L227" s="9">
        <f ca="1">$F$93/$F$31</f>
        <v>0</v>
      </c>
      <c r="M227" s="9">
        <f ca="1">L227-T227</f>
        <v>0</v>
      </c>
      <c r="N227" s="9"/>
      <c r="O227" s="9"/>
      <c r="P227" s="9"/>
      <c r="Q227" s="9"/>
      <c r="R227" s="9"/>
      <c r="S227" s="9">
        <v>0</v>
      </c>
      <c r="T227" s="9">
        <f ca="1">L227</f>
        <v>0</v>
      </c>
      <c r="U227" s="9"/>
      <c r="V227" s="9"/>
      <c r="W227" s="9"/>
      <c r="X227" s="9"/>
      <c r="Y227" s="9"/>
      <c r="Z227" s="9">
        <f t="shared" si="60"/>
        <v>0</v>
      </c>
      <c r="AA227" s="9">
        <f t="shared" si="60"/>
        <v>0</v>
      </c>
    </row>
    <row r="228" spans="1:27" customFormat="1">
      <c r="A228" s="23"/>
      <c r="B228" s="7">
        <f>B227+1</f>
        <v>2023</v>
      </c>
      <c r="C228" s="13" t="str">
        <f>C227</f>
        <v>Semi-annual</v>
      </c>
      <c r="D228" s="13">
        <f t="shared" si="61"/>
        <v>0</v>
      </c>
      <c r="E228" s="13">
        <f t="shared" si="61"/>
        <v>0</v>
      </c>
      <c r="F228" s="14">
        <f>$Q$93</f>
        <v>2.5000000000000001E-3</v>
      </c>
      <c r="G228" s="13"/>
      <c r="H228" s="9"/>
      <c r="I228" s="9"/>
      <c r="J228" s="9"/>
      <c r="K228" s="9"/>
      <c r="L228" s="9"/>
      <c r="M228" s="9">
        <f ca="1">$G$93/$G$31</f>
        <v>0</v>
      </c>
      <c r="N228" s="9"/>
      <c r="O228" s="9"/>
      <c r="P228" s="9"/>
      <c r="Q228" s="9"/>
      <c r="R228" s="9"/>
      <c r="S228" s="9"/>
      <c r="T228" s="9">
        <v>0</v>
      </c>
      <c r="U228" s="9"/>
      <c r="V228" s="9"/>
      <c r="W228" s="9"/>
      <c r="X228" s="9"/>
      <c r="Y228" s="9"/>
      <c r="Z228" s="9"/>
      <c r="AA228" s="9">
        <f t="shared" si="60"/>
        <v>0</v>
      </c>
    </row>
    <row r="230" spans="1:27" ht="15.75" thickBot="1">
      <c r="A230" s="11" t="str">
        <f>'Input 4 - Forecast'!A75</f>
        <v>Long-term debt 3/</v>
      </c>
    </row>
    <row r="231" spans="1:27" ht="15.75" thickBot="1">
      <c r="A231" s="12" t="str">
        <f>'Input 4 - Forecast'!A76</f>
        <v>Denominated in local currency</v>
      </c>
      <c r="B231" s="1999" t="s">
        <v>51</v>
      </c>
      <c r="C231" s="2000"/>
      <c r="D231" s="2000"/>
      <c r="E231" s="2000"/>
      <c r="F231" s="2000"/>
      <c r="G231" s="2000"/>
      <c r="H231" s="2000"/>
      <c r="I231" s="2000"/>
      <c r="J231" s="2000"/>
      <c r="K231" s="2000"/>
      <c r="L231" s="2000"/>
      <c r="M231" s="2000"/>
      <c r="N231" s="2000"/>
      <c r="O231" s="2000"/>
      <c r="P231" s="2000"/>
      <c r="Q231" s="2000"/>
      <c r="R231" s="2000"/>
      <c r="S231" s="2000"/>
      <c r="T231" s="2000"/>
      <c r="U231" s="2000"/>
      <c r="V231" s="2000"/>
      <c r="W231" s="2000"/>
      <c r="X231" s="2000"/>
      <c r="Y231" s="2000"/>
      <c r="Z231" s="2000"/>
      <c r="AA231" s="2001"/>
    </row>
    <row r="233" spans="1:27">
      <c r="A233" s="8" t="str">
        <f>'Input 4 - Forecast'!A77</f>
        <v>Type 11</v>
      </c>
      <c r="B233" s="7">
        <f>B119</f>
        <v>2018</v>
      </c>
      <c r="C233" s="7" t="str">
        <f>$I96</f>
        <v>Annual</v>
      </c>
      <c r="D233" s="7">
        <f>$J96</f>
        <v>10</v>
      </c>
      <c r="E233" s="7">
        <f>$K96</f>
        <v>10</v>
      </c>
      <c r="F233" s="14">
        <f>$L$96</f>
        <v>1.125E-2</v>
      </c>
      <c r="H233" s="9">
        <f>$B$96</f>
        <v>499.99798625313935</v>
      </c>
      <c r="I233" s="9">
        <f>H233-P233</f>
        <v>499.99798625313935</v>
      </c>
      <c r="J233" s="9">
        <f>I233-Q233</f>
        <v>499.99798625313935</v>
      </c>
      <c r="K233" s="9">
        <f>J233-R233</f>
        <v>499.99798625313935</v>
      </c>
      <c r="L233" s="9">
        <f>K233-S233</f>
        <v>499.99798625313935</v>
      </c>
      <c r="M233" s="9">
        <f>L233-T233</f>
        <v>499.99798625313935</v>
      </c>
      <c r="N233" s="9"/>
      <c r="O233" s="9">
        <f t="shared" ref="O233:T233" si="62">IF(OR($C233="Annual",$D233=$E233),IF(AND($D233=$E233,O$111=$B233+$D233),$H233,IF(AND(O$111&gt;$B233+$D233,O$111&lt;=$B233+$E233), $H233/($E233-$D233),0)), IF(OR(O$111=$B233+$D233,O$111=$B233+$E233),$H233/(($E233-$D233)*2),IF(AND(O$111&gt;$B233+$D233,O$111&lt;$B233+$E233),$H233/($E233-$D233),0)))</f>
        <v>0</v>
      </c>
      <c r="P233" s="9">
        <f t="shared" si="62"/>
        <v>0</v>
      </c>
      <c r="Q233" s="9">
        <f t="shared" si="62"/>
        <v>0</v>
      </c>
      <c r="R233" s="9">
        <f t="shared" si="62"/>
        <v>0</v>
      </c>
      <c r="S233" s="9">
        <f t="shared" si="62"/>
        <v>0</v>
      </c>
      <c r="T233" s="9">
        <f t="shared" si="62"/>
        <v>0</v>
      </c>
      <c r="U233" s="9"/>
      <c r="V233" s="9">
        <f>IF($C233="annual",IF(V$111=$B233,0,G233*$F233),IF(V$111-$B233=0,0,IF((V$111-$B233)&lt;$E233,AVERAGE(G233,H233)*$F233,IF((V$111-$B233)=$E233,G233*$F233/2,0))))</f>
        <v>0</v>
      </c>
      <c r="W233" s="9">
        <f t="shared" ref="W233:AA238" si="63">IF($C233="annual",IF(W$111=$B233,0,H233*$F233),IF(W$111-$B233=0,0,IF((W$111-$B233)&lt;$E233,AVERAGE(H233,I233)*$F233,IF((W$111-$B233)=$E233,H233*$F233/2,0))))</f>
        <v>5.6249773453478173</v>
      </c>
      <c r="X233" s="9">
        <f t="shared" si="63"/>
        <v>5.6249773453478173</v>
      </c>
      <c r="Y233" s="9">
        <f t="shared" si="63"/>
        <v>5.6249773453478173</v>
      </c>
      <c r="Z233" s="9">
        <f t="shared" si="63"/>
        <v>5.6249773453478173</v>
      </c>
      <c r="AA233" s="9">
        <f t="shared" si="63"/>
        <v>5.6249773453478173</v>
      </c>
    </row>
    <row r="234" spans="1:27">
      <c r="A234" s="8" t="str">
        <f>A233</f>
        <v>Type 11</v>
      </c>
      <c r="B234" s="7">
        <f>B233+1</f>
        <v>2019</v>
      </c>
      <c r="C234" s="7" t="str">
        <f>C233</f>
        <v>Annual</v>
      </c>
      <c r="D234" s="7">
        <f t="shared" ref="D234:E238" si="64">D233</f>
        <v>10</v>
      </c>
      <c r="E234" s="7">
        <f t="shared" si="64"/>
        <v>10</v>
      </c>
      <c r="F234" s="14">
        <f>$M$96</f>
        <v>2.1249999999999998E-2</v>
      </c>
      <c r="H234" s="9"/>
      <c r="I234" s="9">
        <f ca="1">$C$96</f>
        <v>0</v>
      </c>
      <c r="J234" s="9">
        <f ca="1">I234-Q234</f>
        <v>0</v>
      </c>
      <c r="K234" s="9">
        <f ca="1">J234-R234</f>
        <v>0</v>
      </c>
      <c r="L234" s="9">
        <f ca="1">K234-S234</f>
        <v>0</v>
      </c>
      <c r="M234" s="9">
        <f ca="1">L234-T234</f>
        <v>0</v>
      </c>
      <c r="N234" s="9"/>
      <c r="O234" s="9"/>
      <c r="P234" s="9">
        <f>IF(OR($C234="Annual",$D234=$E234),IF(AND($D234=$E234,P$111=$B234+$D234),$I234,IF(AND(P$111&gt;$B234+$D234,P$111&lt;=$B234+$E234), $I234/($E234-$D234),0)), IF(OR(P$111=$B234+$D234,P$111=$B234+$E234),$I234/(($E234-$D234)*2),IF(AND(P$111&gt;$B234+$D234,P$111&lt;$B234+$E234),$I234/($E234-$D234),0)))</f>
        <v>0</v>
      </c>
      <c r="Q234" s="9">
        <f>IF(OR($C234="Annual",$D234=$E234),IF(AND($D234=$E234,Q$111=$B234+$D234),$I234,IF(AND(Q$111&gt;$B234+$D234,Q$111&lt;=$B234+$E234), $I234/($E234-$D234),0)), IF(OR(Q$111=$B234+$D234,Q$111=$B234+$E234),$I234/(($E234-$D234)*2),IF(AND(Q$111&gt;$B234+$D234,Q$111&lt;$B234+$E234),$I234/($E234-$D234),0)))</f>
        <v>0</v>
      </c>
      <c r="R234" s="9">
        <f>IF(OR($C234="Annual",$D234=$E234),IF(AND($D234=$E234,R$111=$B234+$D234),$I234,IF(AND(R$111&gt;$B234+$D234,R$111&lt;=$B234+$E234), $I234/($E234-$D234),0)), IF(OR(R$111=$B234+$D234,R$111=$B234+$E234),$I234/(($E234-$D234)*2),IF(AND(R$111&gt;$B234+$D234,R$111&lt;$B234+$E234),$I234/($E234-$D234),0)))</f>
        <v>0</v>
      </c>
      <c r="S234" s="9">
        <f>IF(OR($C234="Annual",$D234=$E234),IF(AND($D234=$E234,S$111=$B234+$D234),$I234,IF(AND(S$111&gt;$B234+$D234,S$111&lt;=$B234+$E234), $I234/($E234-$D234),0)), IF(OR(S$111=$B234+$D234,S$111=$B234+$E234),$I234/(($E234-$D234)*2),IF(AND(S$111&gt;$B234+$D234,S$111&lt;$B234+$E234),$I234/($E234-$D234),0)))</f>
        <v>0</v>
      </c>
      <c r="T234" s="9">
        <f>IF(OR($C234="Annual",$D234=$E234),IF(AND($D234=$E234,T$111=$B234+$D234),$I234,IF(AND(T$111&gt;$B234+$D234,T$111&lt;=$B234+$E234), $I234/($E234-$D234),0)), IF(OR(T$111=$B234+$D234,T$111=$B234+$E234),$I234/(($E234-$D234)*2),IF(AND(T$111&gt;$B234+$D234,T$111&lt;$B234+$E234),$I234/($E234-$D234),0)))</f>
        <v>0</v>
      </c>
      <c r="U234" s="9"/>
      <c r="V234" s="9"/>
      <c r="W234" s="9">
        <f t="shared" si="63"/>
        <v>0</v>
      </c>
      <c r="X234" s="9">
        <f t="shared" ca="1" si="63"/>
        <v>0</v>
      </c>
      <c r="Y234" s="9">
        <f t="shared" ca="1" si="63"/>
        <v>0</v>
      </c>
      <c r="Z234" s="9">
        <f t="shared" ca="1" si="63"/>
        <v>0</v>
      </c>
      <c r="AA234" s="9">
        <f t="shared" ca="1" si="63"/>
        <v>0</v>
      </c>
    </row>
    <row r="235" spans="1:27">
      <c r="A235" s="8" t="str">
        <f>A234</f>
        <v>Type 11</v>
      </c>
      <c r="B235" s="7">
        <f>B234+1</f>
        <v>2020</v>
      </c>
      <c r="C235" s="7" t="str">
        <f>C234</f>
        <v>Annual</v>
      </c>
      <c r="D235" s="7">
        <f t="shared" si="64"/>
        <v>10</v>
      </c>
      <c r="E235" s="7">
        <f t="shared" si="64"/>
        <v>10</v>
      </c>
      <c r="F235" s="14">
        <f>$N$96</f>
        <v>2.4499999999999997E-2</v>
      </c>
      <c r="H235" s="9"/>
      <c r="I235" s="9"/>
      <c r="J235" s="9">
        <f ca="1">$D$96</f>
        <v>0</v>
      </c>
      <c r="K235" s="9">
        <f ca="1">J235-R235</f>
        <v>0</v>
      </c>
      <c r="L235" s="9">
        <f ca="1">K235-S235</f>
        <v>0</v>
      </c>
      <c r="M235" s="9">
        <f ca="1">L235-T235</f>
        <v>0</v>
      </c>
      <c r="N235" s="9"/>
      <c r="O235" s="9"/>
      <c r="P235" s="9"/>
      <c r="Q235" s="9">
        <f>IF(OR($C235="Annual",$D235=$E235),IF(AND($D235=$E235,Q$111=$B235+$D235),$J235,IF(AND(Q$111&gt;$B235+$D235,Q$111&lt;=$B235+$E235), $J235/($E235-$D235),0)), IF(OR(Q$111=$B235+$D235,Q$111=$B235+$E235),$J235/(($E235-$D235)*2),IF(AND(Q$111&gt;$B235+$D235,Q$111&lt;$B235+$E235),$J235/($E235-$D235),0)))</f>
        <v>0</v>
      </c>
      <c r="R235" s="9">
        <f>IF(OR($C235="Annual",$D235=$E235),IF(AND($D235=$E235,R$111=$B235+$D235),$J235,IF(AND(R$111&gt;$B235+$D235,R$111&lt;=$B235+$E235), $J235/($E235-$D235),0)), IF(OR(R$111=$B235+$D235,R$111=$B235+$E235),$J235/(($E235-$D235)*2),IF(AND(R$111&gt;$B235+$D235,R$111&lt;$B235+$E235),$J235/($E235-$D235),0)))</f>
        <v>0</v>
      </c>
      <c r="S235" s="9">
        <f>IF(OR($C235="Annual",$D235=$E235),IF(AND($D235=$E235,S$111=$B235+$D235),$J235,IF(AND(S$111&gt;$B235+$D235,S$111&lt;=$B235+$E235), $J235/($E235-$D235),0)), IF(OR(S$111=$B235+$D235,S$111=$B235+$E235),$J235/(($E235-$D235)*2),IF(AND(S$111&gt;$B235+$D235,S$111&lt;$B235+$E235),$J235/($E235-$D235),0)))</f>
        <v>0</v>
      </c>
      <c r="T235" s="9">
        <f>IF(OR($C235="Annual",$D235=$E235),IF(AND($D235=$E235,T$111=$B235+$D235),$J235,IF(AND(T$111&gt;$B235+$D235,T$111&lt;=$B235+$E235), $J235/($E235-$D235),0)), IF(OR(T$111=$B235+$D235,T$111=$B235+$E235),$J235/(($E235-$D235)*2),IF(AND(T$111&gt;$B235+$D235,T$111&lt;$B235+$E235),$J235/($E235-$D235),0)))</f>
        <v>0</v>
      </c>
      <c r="U235" s="9"/>
      <c r="V235" s="9"/>
      <c r="W235" s="9"/>
      <c r="X235" s="9">
        <f t="shared" si="63"/>
        <v>0</v>
      </c>
      <c r="Y235" s="9">
        <f t="shared" ca="1" si="63"/>
        <v>0</v>
      </c>
      <c r="Z235" s="9">
        <f t="shared" ca="1" si="63"/>
        <v>0</v>
      </c>
      <c r="AA235" s="9">
        <f t="shared" ca="1" si="63"/>
        <v>0</v>
      </c>
    </row>
    <row r="236" spans="1:27">
      <c r="A236" s="8" t="str">
        <f>A235</f>
        <v>Type 11</v>
      </c>
      <c r="B236" s="7">
        <f>B235+1</f>
        <v>2021</v>
      </c>
      <c r="C236" s="7" t="str">
        <f>C235</f>
        <v>Annual</v>
      </c>
      <c r="D236" s="7">
        <f t="shared" si="64"/>
        <v>10</v>
      </c>
      <c r="E236" s="7">
        <f t="shared" si="64"/>
        <v>10</v>
      </c>
      <c r="F236" s="14">
        <f>$O$96</f>
        <v>2.4499999999999997E-2</v>
      </c>
      <c r="H236" s="9"/>
      <c r="I236" s="9"/>
      <c r="J236" s="9"/>
      <c r="K236" s="9">
        <f ca="1">$E$96</f>
        <v>0</v>
      </c>
      <c r="L236" s="9">
        <f ca="1">K236-S236</f>
        <v>0</v>
      </c>
      <c r="M236" s="9">
        <f ca="1">L236-T236</f>
        <v>0</v>
      </c>
      <c r="N236" s="9"/>
      <c r="O236" s="9"/>
      <c r="P236" s="9"/>
      <c r="Q236" s="9"/>
      <c r="R236" s="9">
        <f>IF(OR($C236="Annual",$D236=$E236),IF(AND($D236=$E236,R$111=$B236+$D236),$K236,IF(AND(R$111&gt;$B236+$D236,R$111&lt;=$B236+$E236), $K236/($E236-$D236),0)), IF(OR(R$111=$B236+$D236,R$111=$B236+$E236),$K236/(($E236-$D236)*2),IF(AND(R$111&gt;$B236+$D236,R$111&lt;$B236+$E236),$K236/($E236-$D236),0)))</f>
        <v>0</v>
      </c>
      <c r="S236" s="9">
        <f>IF(OR($C236="Annual",$D236=$E236),IF(AND($D236=$E236,S$111=$B236+$D236),$K236,IF(AND(S$111&gt;$B236+$D236,S$111&lt;=$B236+$E236), $K236/($E236-$D236),0)), IF(OR(S$111=$B236+$D236,S$111=$B236+$E236),$K236/(($E236-$D236)*2),IF(AND(S$111&gt;$B236+$D236,S$111&lt;$B236+$E236),$K236/($E236-$D236),0)))</f>
        <v>0</v>
      </c>
      <c r="T236" s="9">
        <f>IF(OR($C236="Annual",$D236=$E236),IF(AND($D236=$E236,T$111=$B236+$D236),$K236,IF(AND(T$111&gt;$B236+$D236,T$111&lt;=$B236+$E236), $K236/($E236-$D236),0)), IF(OR(T$111=$B236+$D236,T$111=$B236+$E236),$K236/(($E236-$D236)*2),IF(AND(T$111&gt;$B236+$D236,T$111&lt;$B236+$E236),$K236/($E236-$D236),0)))</f>
        <v>0</v>
      </c>
      <c r="U236" s="9"/>
      <c r="V236" s="9"/>
      <c r="W236" s="9"/>
      <c r="X236" s="9"/>
      <c r="Y236" s="9">
        <f t="shared" si="63"/>
        <v>0</v>
      </c>
      <c r="Z236" s="9">
        <f t="shared" ca="1" si="63"/>
        <v>0</v>
      </c>
      <c r="AA236" s="9">
        <f t="shared" ca="1" si="63"/>
        <v>0</v>
      </c>
    </row>
    <row r="237" spans="1:27">
      <c r="A237" s="8" t="str">
        <f>A236</f>
        <v>Type 11</v>
      </c>
      <c r="B237" s="7">
        <f>B236+1</f>
        <v>2022</v>
      </c>
      <c r="C237" s="7" t="str">
        <f>C236</f>
        <v>Annual</v>
      </c>
      <c r="D237" s="7">
        <f t="shared" si="64"/>
        <v>10</v>
      </c>
      <c r="E237" s="7">
        <f t="shared" si="64"/>
        <v>10</v>
      </c>
      <c r="F237" s="14">
        <f>$P$96</f>
        <v>2.4499999999999997E-2</v>
      </c>
      <c r="H237" s="9"/>
      <c r="I237" s="9"/>
      <c r="J237" s="9"/>
      <c r="K237" s="9"/>
      <c r="L237" s="9">
        <f ca="1">$F$96</f>
        <v>0</v>
      </c>
      <c r="M237" s="9">
        <f ca="1">L237-T237</f>
        <v>0</v>
      </c>
      <c r="N237" s="9"/>
      <c r="O237" s="9"/>
      <c r="P237" s="9"/>
      <c r="Q237" s="9"/>
      <c r="R237" s="9"/>
      <c r="S237" s="9">
        <f>IF(OR($C237="Annual",$D237=$E237),IF(AND($D237=$E237,S$111=$B237+$D237),$L237,IF(AND(S$111&gt;$B237+$D237,S$111&lt;=$B237+$E237), $L237/($E237-$D237),0)), IF(OR(S$111=$B237+$D237,S$111=$B237+$E237),$L237/(($E237-$D237)*2),IF(AND(S$111&gt;$B237+$D237,S$111&lt;$B237+$E237),$L237/($E237-$D237),0)))</f>
        <v>0</v>
      </c>
      <c r="T237" s="9">
        <f>IF(OR($C237="Annual",$D237=$E237),IF(AND($D237=$E237,T$111=$B237+$D237),$L237,IF(AND(T$111&gt;$B237+$D237,T$111&lt;=$B237+$E237), $L237/($E237-$D237),0)), IF(OR(T$111=$B237+$D237,T$111=$B237+$E237),$L237/(($E237-$D237)*2),IF(AND(T$111&gt;$B237+$D237,T$111&lt;$B237+$E237),$L237/($E237-$D237),0)))</f>
        <v>0</v>
      </c>
      <c r="U237" s="9"/>
      <c r="V237" s="9"/>
      <c r="W237" s="9"/>
      <c r="X237" s="9"/>
      <c r="Y237" s="9"/>
      <c r="Z237" s="9">
        <f t="shared" si="63"/>
        <v>0</v>
      </c>
      <c r="AA237" s="9">
        <f t="shared" ca="1" si="63"/>
        <v>0</v>
      </c>
    </row>
    <row r="238" spans="1:27">
      <c r="A238" s="8" t="str">
        <f>A237</f>
        <v>Type 11</v>
      </c>
      <c r="B238" s="7">
        <f>B237+1</f>
        <v>2023</v>
      </c>
      <c r="C238" s="7" t="str">
        <f>C237</f>
        <v>Annual</v>
      </c>
      <c r="D238" s="7">
        <f t="shared" si="64"/>
        <v>10</v>
      </c>
      <c r="E238" s="7">
        <f t="shared" si="64"/>
        <v>10</v>
      </c>
      <c r="F238" s="14">
        <f>$Q$96</f>
        <v>2.4499999999999997E-2</v>
      </c>
      <c r="H238" s="9"/>
      <c r="I238" s="9"/>
      <c r="J238" s="9"/>
      <c r="K238" s="9"/>
      <c r="L238" s="9"/>
      <c r="M238" s="9">
        <f ca="1">$G$96</f>
        <v>0</v>
      </c>
      <c r="N238" s="9"/>
      <c r="O238" s="9"/>
      <c r="P238" s="9"/>
      <c r="Q238" s="9"/>
      <c r="R238" s="9"/>
      <c r="S238" s="9"/>
      <c r="T238" s="9">
        <f>IF(OR($C238="Annual",$D238=$E238),IF(AND($D238=$E238,T$111=$B238+$D238),$M238,IF(AND(T$111&gt;$B238+$D238,T$111&lt;=$B238+$E238), $M238/($E238-$D238),0)), IF(OR(T$111=$B238+$D238,T$111=$B238+$E238),$M238/(($E238-$D238)*2),IF(AND(T$111&gt;$B238+$D238,T$111&lt;$B238+$E238),$M238/($E238-$D238),0)))</f>
        <v>0</v>
      </c>
      <c r="U238" s="9"/>
      <c r="V238" s="9"/>
      <c r="W238" s="9"/>
      <c r="X238" s="9"/>
      <c r="Y238" s="9"/>
      <c r="Z238" s="9"/>
      <c r="AA238" s="9">
        <f t="shared" si="63"/>
        <v>0</v>
      </c>
    </row>
    <row r="239" spans="1:27">
      <c r="C239" s="281"/>
      <c r="F239" s="15"/>
      <c r="H239" s="10"/>
      <c r="I239" s="10"/>
      <c r="J239" s="10"/>
      <c r="K239" s="10"/>
      <c r="L239" s="10"/>
      <c r="M239" s="10"/>
      <c r="N239" s="10"/>
      <c r="O239" s="278"/>
      <c r="P239" s="10"/>
      <c r="Q239" s="10"/>
      <c r="R239" s="10"/>
      <c r="S239" s="10"/>
      <c r="T239" s="10"/>
      <c r="U239" s="10"/>
      <c r="V239" s="10"/>
      <c r="W239" s="10"/>
      <c r="X239" s="10"/>
      <c r="Y239" s="10"/>
      <c r="Z239" s="10"/>
      <c r="AA239" s="10"/>
    </row>
    <row r="240" spans="1:27">
      <c r="A240" s="8" t="str">
        <f>'Input 4 - Forecast'!A78</f>
        <v>Type 12</v>
      </c>
      <c r="B240" s="7">
        <f>B119</f>
        <v>2018</v>
      </c>
      <c r="C240" s="7" t="str">
        <f>$I97</f>
        <v>Annual</v>
      </c>
      <c r="D240" s="7">
        <f>$J97</f>
        <v>30</v>
      </c>
      <c r="E240" s="7">
        <f>$K97</f>
        <v>30</v>
      </c>
      <c r="F240" s="14">
        <f>$L$97</f>
        <v>2.2499999999999999E-2</v>
      </c>
      <c r="H240" s="9">
        <f>$B$97</f>
        <v>499.99798625313935</v>
      </c>
      <c r="I240" s="9">
        <f>H240-P240</f>
        <v>499.99798625313935</v>
      </c>
      <c r="J240" s="9">
        <f>I240-Q240</f>
        <v>499.99798625313935</v>
      </c>
      <c r="K240" s="9">
        <f>J240-R240</f>
        <v>499.99798625313935</v>
      </c>
      <c r="L240" s="9">
        <f>K240-S240</f>
        <v>499.99798625313935</v>
      </c>
      <c r="M240" s="9">
        <f>L240-T240</f>
        <v>499.99798625313935</v>
      </c>
      <c r="N240" s="9"/>
      <c r="O240" s="9">
        <f t="shared" ref="O240:T240" si="65">IF(OR($C240="Annual",$D240=$E240),IF(AND($D240=$E240,O$111=$B240+$D240),$H240,IF(AND(O$111&gt;$B240+$D240,O$111&lt;=$B240+$E240), $H240/($E240-$D240),0)), IF(OR(O$111=$B240+$D240,O$111=$B240+$E240),$H240/(($E240-$D240)*2),IF(AND(O$111&gt;$B240+$D240,O$111&lt;$B240+$E240),$H240/($E240-$D240),0)))</f>
        <v>0</v>
      </c>
      <c r="P240" s="9">
        <f t="shared" si="65"/>
        <v>0</v>
      </c>
      <c r="Q240" s="9">
        <f t="shared" si="65"/>
        <v>0</v>
      </c>
      <c r="R240" s="9">
        <f t="shared" si="65"/>
        <v>0</v>
      </c>
      <c r="S240" s="9">
        <f t="shared" si="65"/>
        <v>0</v>
      </c>
      <c r="T240" s="9">
        <f t="shared" si="65"/>
        <v>0</v>
      </c>
      <c r="U240" s="9"/>
      <c r="V240" s="9">
        <f>IF($C240="annual",IF(V$111=$B240,0,G240*$F240),IF(V$111-$B240=0,0,IF((V$111-$B240)&lt;$E240,AVERAGE(G240,H240)*$F240,IF((V$111-$B240)=$E240,G240*$F240/2,0))))</f>
        <v>0</v>
      </c>
      <c r="W240" s="9">
        <f t="shared" ref="W240:AA245" si="66">IF($C240="annual",IF(W$111=$B240,0,H240*$F240),IF(W$111-$B240=0,0,IF((W$111-$B240)&lt;$E240,AVERAGE(H240,I240)*$F240,IF((W$111-$B240)=$E240,H240*$F240/2,0))))</f>
        <v>11.249954690695635</v>
      </c>
      <c r="X240" s="9">
        <f t="shared" si="66"/>
        <v>11.249954690695635</v>
      </c>
      <c r="Y240" s="9">
        <f t="shared" si="66"/>
        <v>11.249954690695635</v>
      </c>
      <c r="Z240" s="9">
        <f t="shared" si="66"/>
        <v>11.249954690695635</v>
      </c>
      <c r="AA240" s="9">
        <f t="shared" si="66"/>
        <v>11.249954690695635</v>
      </c>
    </row>
    <row r="241" spans="1:27">
      <c r="A241" s="8" t="str">
        <f>A240</f>
        <v>Type 12</v>
      </c>
      <c r="B241" s="7">
        <f>B240+1</f>
        <v>2019</v>
      </c>
      <c r="C241" s="7" t="str">
        <f>C240</f>
        <v>Annual</v>
      </c>
      <c r="D241" s="7">
        <f>D240</f>
        <v>30</v>
      </c>
      <c r="E241" s="7">
        <f>E240</f>
        <v>30</v>
      </c>
      <c r="F241" s="14">
        <f>$M$97</f>
        <v>2.5000000000000001E-3</v>
      </c>
      <c r="H241" s="9"/>
      <c r="I241" s="9">
        <f ca="1">$C$97</f>
        <v>0</v>
      </c>
      <c r="J241" s="9">
        <f ca="1">I241-Q241</f>
        <v>0</v>
      </c>
      <c r="K241" s="9">
        <f ca="1">J241-R241</f>
        <v>0</v>
      </c>
      <c r="L241" s="9">
        <f ca="1">K241-S241</f>
        <v>0</v>
      </c>
      <c r="M241" s="9">
        <f ca="1">L241-T241</f>
        <v>0</v>
      </c>
      <c r="N241" s="9"/>
      <c r="O241" s="9"/>
      <c r="P241" s="9">
        <f>IF(OR($C241="Annual",$D241=$E241),IF(AND($D241=$E241,P$111=$B241+$D241),$I241,IF(AND(P$111&gt;$B241+$D241,P$111&lt;=$B241+$E241), $I241/($E241-$D241),0)), IF(OR(P$111=$B241+$D241,P$111=$B241+$E241),$I241/(($E241-$D241)*2),IF(AND(P$111&gt;$B241+$D241,P$111&lt;$B241+$E241),$I241/($E241-$D241),0)))</f>
        <v>0</v>
      </c>
      <c r="Q241" s="9">
        <f>IF(OR($C241="Annual",$D241=$E241),IF(AND($D241=$E241,Q$111=$B241+$D241),$I241,IF(AND(Q$111&gt;$B241+$D241,Q$111&lt;=$B241+$E241), $I241/($E241-$D241),0)), IF(OR(Q$111=$B241+$D241,Q$111=$B241+$E241),$I241/(($E241-$D241)*2),IF(AND(Q$111&gt;$B241+$D241,Q$111&lt;$B241+$E241),$I241/($E241-$D241),0)))</f>
        <v>0</v>
      </c>
      <c r="R241" s="9">
        <f>IF(OR($C241="Annual",$D241=$E241),IF(AND($D241=$E241,R$111=$B241+$D241),$I241,IF(AND(R$111&gt;$B241+$D241,R$111&lt;=$B241+$E241), $I241/($E241-$D241),0)), IF(OR(R$111=$B241+$D241,R$111=$B241+$E241),$I241/(($E241-$D241)*2),IF(AND(R$111&gt;$B241+$D241,R$111&lt;$B241+$E241),$I241/($E241-$D241),0)))</f>
        <v>0</v>
      </c>
      <c r="S241" s="9">
        <f>IF(OR($C241="Annual",$D241=$E241),IF(AND($D241=$E241,S$111=$B241+$D241),$I241,IF(AND(S$111&gt;$B241+$D241,S$111&lt;=$B241+$E241), $I241/($E241-$D241),0)), IF(OR(S$111=$B241+$D241,S$111=$B241+$E241),$I241/(($E241-$D241)*2),IF(AND(S$111&gt;$B241+$D241,S$111&lt;$B241+$E241),$I241/($E241-$D241),0)))</f>
        <v>0</v>
      </c>
      <c r="T241" s="9">
        <f>IF(OR($C241="Annual",$D241=$E241),IF(AND($D241=$E241,T$111=$B241+$D241),$I241,IF(AND(T$111&gt;$B241+$D241,T$111&lt;=$B241+$E241), $I241/($E241-$D241),0)), IF(OR(T$111=$B241+$D241,T$111=$B241+$E241),$I241/(($E241-$D241)*2),IF(AND(T$111&gt;$B241+$D241,T$111&lt;$B241+$E241),$I241/($E241-$D241),0)))</f>
        <v>0</v>
      </c>
      <c r="U241" s="9"/>
      <c r="V241" s="9"/>
      <c r="W241" s="9">
        <f t="shared" si="66"/>
        <v>0</v>
      </c>
      <c r="X241" s="9">
        <f t="shared" ca="1" si="66"/>
        <v>0</v>
      </c>
      <c r="Y241" s="9">
        <f t="shared" ca="1" si="66"/>
        <v>0</v>
      </c>
      <c r="Z241" s="9">
        <f t="shared" ca="1" si="66"/>
        <v>0</v>
      </c>
      <c r="AA241" s="9">
        <f t="shared" ca="1" si="66"/>
        <v>0</v>
      </c>
    </row>
    <row r="242" spans="1:27">
      <c r="A242" s="8" t="str">
        <f>A241</f>
        <v>Type 12</v>
      </c>
      <c r="B242" s="7">
        <f>B241+1</f>
        <v>2020</v>
      </c>
      <c r="C242" s="7" t="str">
        <f>C241</f>
        <v>Annual</v>
      </c>
      <c r="D242" s="7">
        <f t="shared" ref="D242:E245" si="67">D241</f>
        <v>30</v>
      </c>
      <c r="E242" s="7">
        <f t="shared" si="67"/>
        <v>30</v>
      </c>
      <c r="F242" s="14">
        <f>$N$97</f>
        <v>2.5000000000000001E-3</v>
      </c>
      <c r="H242" s="9"/>
      <c r="I242" s="9"/>
      <c r="J242" s="9">
        <f ca="1">$D$97</f>
        <v>0</v>
      </c>
      <c r="K242" s="9">
        <f ca="1">J242-R242</f>
        <v>0</v>
      </c>
      <c r="L242" s="9">
        <f ca="1">K242-S242</f>
        <v>0</v>
      </c>
      <c r="M242" s="9">
        <f ca="1">L242-T242</f>
        <v>0</v>
      </c>
      <c r="N242" s="9"/>
      <c r="O242" s="9"/>
      <c r="P242" s="9"/>
      <c r="Q242" s="9">
        <f>IF(OR($C242="Annual",$D242=$E242),IF(AND($D242=$E242,Q$111=$B242+$D242),$J242,IF(AND(Q$111&gt;$B242+$D242,Q$111&lt;=$B242+$E242), $J242/($E242-$D242),0)), IF(OR(Q$111=$B242+$D242,Q$111=$B242+$E242),$J242/(($E242-$D242)*2),IF(AND(Q$111&gt;$B242+$D242,Q$111&lt;$B242+$E242),$J242/($E242-$D242),0)))</f>
        <v>0</v>
      </c>
      <c r="R242" s="9">
        <f>IF(OR($C242="Annual",$D242=$E242),IF(AND($D242=$E242,R$111=$B242+$D242),$J242,IF(AND(R$111&gt;$B242+$D242,R$111&lt;=$B242+$E242), $J242/($E242-$D242),0)), IF(OR(R$111=$B242+$D242,R$111=$B242+$E242),$J242/(($E242-$D242)*2),IF(AND(R$111&gt;$B242+$D242,R$111&lt;$B242+$E242),$J242/($E242-$D242),0)))</f>
        <v>0</v>
      </c>
      <c r="S242" s="9">
        <f>IF(OR($C242="Annual",$D242=$E242),IF(AND($D242=$E242,S$111=$B242+$D242),$J242,IF(AND(S$111&gt;$B242+$D242,S$111&lt;=$B242+$E242), $J242/($E242-$D242),0)), IF(OR(S$111=$B242+$D242,S$111=$B242+$E242),$J242/(($E242-$D242)*2),IF(AND(S$111&gt;$B242+$D242,S$111&lt;$B242+$E242),$J242/($E242-$D242),0)))</f>
        <v>0</v>
      </c>
      <c r="T242" s="9">
        <f>IF(OR($C242="Annual",$D242=$E242),IF(AND($D242=$E242,T$111=$B242+$D242),$J242,IF(AND(T$111&gt;$B242+$D242,T$111&lt;=$B242+$E242), $J242/($E242-$D242),0)), IF(OR(T$111=$B242+$D242,T$111=$B242+$E242),$J242/(($E242-$D242)*2),IF(AND(T$111&gt;$B242+$D242,T$111&lt;$B242+$E242),$J242/($E242-$D242),0)))</f>
        <v>0</v>
      </c>
      <c r="U242" s="9"/>
      <c r="V242" s="9"/>
      <c r="W242" s="9"/>
      <c r="X242" s="9">
        <f t="shared" si="66"/>
        <v>0</v>
      </c>
      <c r="Y242" s="9">
        <f t="shared" ca="1" si="66"/>
        <v>0</v>
      </c>
      <c r="Z242" s="9">
        <f t="shared" ca="1" si="66"/>
        <v>0</v>
      </c>
      <c r="AA242" s="9">
        <f t="shared" ca="1" si="66"/>
        <v>0</v>
      </c>
    </row>
    <row r="243" spans="1:27">
      <c r="A243" s="8" t="str">
        <f>A242</f>
        <v>Type 12</v>
      </c>
      <c r="B243" s="7">
        <f>B242+1</f>
        <v>2021</v>
      </c>
      <c r="C243" s="7" t="str">
        <f>C242</f>
        <v>Annual</v>
      </c>
      <c r="D243" s="7">
        <f t="shared" si="67"/>
        <v>30</v>
      </c>
      <c r="E243" s="7">
        <f t="shared" si="67"/>
        <v>30</v>
      </c>
      <c r="F243" s="14">
        <f>$O$97</f>
        <v>2.5000000000000001E-3</v>
      </c>
      <c r="H243" s="9"/>
      <c r="I243" s="9"/>
      <c r="J243" s="9"/>
      <c r="K243" s="9">
        <f ca="1">$E$97</f>
        <v>0</v>
      </c>
      <c r="L243" s="9">
        <f ca="1">K243-S243</f>
        <v>0</v>
      </c>
      <c r="M243" s="9">
        <f ca="1">L243-T243</f>
        <v>0</v>
      </c>
      <c r="N243" s="9"/>
      <c r="O243" s="9"/>
      <c r="P243" s="9"/>
      <c r="Q243" s="9"/>
      <c r="R243" s="9">
        <f>IF(OR($C243="Annual",$D243=$E243),IF(AND($D243=$E243,R$111=$B243+$D243),$K243,IF(AND(R$111&gt;$B243+$D243,R$111&lt;=$B243+$E243), $K243/($E243-$D243),0)), IF(OR(R$111=$B243+$D243,R$111=$B243+$E243),$K243/(($E243-$D243)*2),IF(AND(R$111&gt;$B243+$D243,R$111&lt;$B243+$E243),$K243/($E243-$D243),0)))</f>
        <v>0</v>
      </c>
      <c r="S243" s="9">
        <f>IF(OR($C243="Annual",$D243=$E243),IF(AND($D243=$E243,S$111=$B243+$D243),$K243,IF(AND(S$111&gt;$B243+$D243,S$111&lt;=$B243+$E243), $K243/($E243-$D243),0)), IF(OR(S$111=$B243+$D243,S$111=$B243+$E243),$K243/(($E243-$D243)*2),IF(AND(S$111&gt;$B243+$D243,S$111&lt;$B243+$E243),$K243/($E243-$D243),0)))</f>
        <v>0</v>
      </c>
      <c r="T243" s="9">
        <f>IF(OR($C243="Annual",$D243=$E243),IF(AND($D243=$E243,T$111=$B243+$D243),$K243,IF(AND(T$111&gt;$B243+$D243,T$111&lt;=$B243+$E243), $K243/($E243-$D243),0)), IF(OR(T$111=$B243+$D243,T$111=$B243+$E243),$K243/(($E243-$D243)*2),IF(AND(T$111&gt;$B243+$D243,T$111&lt;$B243+$E243),$K243/($E243-$D243),0)))</f>
        <v>0</v>
      </c>
      <c r="U243" s="9"/>
      <c r="V243" s="9"/>
      <c r="W243" s="9"/>
      <c r="X243" s="9"/>
      <c r="Y243" s="9">
        <f t="shared" si="66"/>
        <v>0</v>
      </c>
      <c r="Z243" s="9">
        <f t="shared" ca="1" si="66"/>
        <v>0</v>
      </c>
      <c r="AA243" s="9">
        <f t="shared" ca="1" si="66"/>
        <v>0</v>
      </c>
    </row>
    <row r="244" spans="1:27">
      <c r="A244" s="8" t="str">
        <f>A243</f>
        <v>Type 12</v>
      </c>
      <c r="B244" s="7">
        <f>B243+1</f>
        <v>2022</v>
      </c>
      <c r="C244" s="7" t="str">
        <f>C243</f>
        <v>Annual</v>
      </c>
      <c r="D244" s="7">
        <f t="shared" si="67"/>
        <v>30</v>
      </c>
      <c r="E244" s="7">
        <f t="shared" si="67"/>
        <v>30</v>
      </c>
      <c r="F244" s="14">
        <f>$P$97</f>
        <v>2.5000000000000001E-3</v>
      </c>
      <c r="H244" s="9"/>
      <c r="I244" s="9"/>
      <c r="J244" s="9"/>
      <c r="K244" s="9"/>
      <c r="L244" s="9">
        <f ca="1">$F$97</f>
        <v>0</v>
      </c>
      <c r="M244" s="9">
        <f ca="1">L244-T244</f>
        <v>0</v>
      </c>
      <c r="N244" s="9"/>
      <c r="O244" s="9"/>
      <c r="P244" s="9"/>
      <c r="Q244" s="9"/>
      <c r="R244" s="9"/>
      <c r="S244" s="9">
        <f>IF(OR($C244="Annual",$D244=$E244),IF(AND($D244=$E244,S$111=$B244+$D244),$L244,IF(AND(S$111&gt;$B244+$D244,S$111&lt;=$B244+$E244), $L244/($E244-$D244),0)), IF(OR(S$111=$B244+$D244,S$111=$B244+$E244),$L244/(($E244-$D244)*2),IF(AND(S$111&gt;$B244+$D244,S$111&lt;$B244+$E244),$L244/($E244-$D244),0)))</f>
        <v>0</v>
      </c>
      <c r="T244" s="9">
        <f>IF(OR($C244="Annual",$D244=$E244),IF(AND($D244=$E244,T$111=$B244+$D244),$L244,IF(AND(T$111&gt;$B244+$D244,T$111&lt;=$B244+$E244), $L244/($E244-$D244),0)), IF(OR(T$111=$B244+$D244,T$111=$B244+$E244),$L244/(($E244-$D244)*2),IF(AND(T$111&gt;$B244+$D244,T$111&lt;$B244+$E244),$L244/($E244-$D244),0)))</f>
        <v>0</v>
      </c>
      <c r="U244" s="9"/>
      <c r="V244" s="9"/>
      <c r="W244" s="9"/>
      <c r="X244" s="9"/>
      <c r="Y244" s="9"/>
      <c r="Z244" s="9">
        <f t="shared" si="66"/>
        <v>0</v>
      </c>
      <c r="AA244" s="9">
        <f t="shared" ca="1" si="66"/>
        <v>0</v>
      </c>
    </row>
    <row r="245" spans="1:27">
      <c r="A245" s="8" t="str">
        <f>A244</f>
        <v>Type 12</v>
      </c>
      <c r="B245" s="7">
        <f>B244+1</f>
        <v>2023</v>
      </c>
      <c r="C245" s="7" t="str">
        <f>C244</f>
        <v>Annual</v>
      </c>
      <c r="D245" s="7">
        <f t="shared" si="67"/>
        <v>30</v>
      </c>
      <c r="E245" s="7">
        <f t="shared" si="67"/>
        <v>30</v>
      </c>
      <c r="F245" s="14">
        <f>$Q$97</f>
        <v>2.5000000000000001E-3</v>
      </c>
      <c r="H245" s="9"/>
      <c r="I245" s="9"/>
      <c r="J245" s="9"/>
      <c r="K245" s="9"/>
      <c r="L245" s="9"/>
      <c r="M245" s="9">
        <f ca="1">$G$97</f>
        <v>0</v>
      </c>
      <c r="N245" s="9"/>
      <c r="O245" s="9"/>
      <c r="P245" s="9"/>
      <c r="Q245" s="9"/>
      <c r="R245" s="9"/>
      <c r="S245" s="9"/>
      <c r="T245" s="9">
        <f>IF(OR($C245="Annual",$D245=$E245),IF(AND($D245=$E245,T$111=$B245+$D245),$M245,IF(AND(T$111&gt;$B245+$D245,T$111&lt;=$B245+$E245), $M245/($E245-$D245),0)), IF(OR(T$111=$B245+$D245,T$111=$B245+$E245),$M245/(($E245-$D245)*2),IF(AND(T$111&gt;$B245+$D245,T$111&lt;$B245+$E245),$M245/($E245-$D245),0)))</f>
        <v>0</v>
      </c>
      <c r="U245" s="9"/>
      <c r="V245" s="9"/>
      <c r="W245" s="9"/>
      <c r="X245" s="9"/>
      <c r="Y245" s="9"/>
      <c r="Z245" s="9"/>
      <c r="AA245" s="9">
        <f t="shared" si="66"/>
        <v>0</v>
      </c>
    </row>
    <row r="246" spans="1:27">
      <c r="C246" s="281"/>
      <c r="F246" s="15"/>
      <c r="H246" s="10"/>
      <c r="I246" s="10"/>
      <c r="J246" s="10"/>
      <c r="K246" s="10"/>
      <c r="L246" s="10"/>
      <c r="M246" s="10"/>
      <c r="N246" s="10"/>
      <c r="O246" s="278"/>
      <c r="P246" s="10"/>
      <c r="Q246" s="10"/>
      <c r="R246" s="10"/>
      <c r="S246" s="10"/>
      <c r="T246" s="10"/>
      <c r="U246" s="10"/>
      <c r="V246" s="10"/>
      <c r="W246" s="10"/>
      <c r="X246" s="10"/>
      <c r="Y246" s="10"/>
      <c r="Z246" s="10"/>
      <c r="AA246" s="10"/>
    </row>
    <row r="247" spans="1:27">
      <c r="A247" s="8" t="str">
        <f>'Input 4 - Forecast'!A79</f>
        <v>Type 13</v>
      </c>
      <c r="B247" s="7">
        <f>B119</f>
        <v>2018</v>
      </c>
      <c r="C247" s="7" t="str">
        <f>$I98</f>
        <v>Annual</v>
      </c>
      <c r="D247" s="7">
        <f>$J98</f>
        <v>0</v>
      </c>
      <c r="E247" s="7">
        <f>$K98</f>
        <v>0</v>
      </c>
      <c r="F247" s="14">
        <f>$L$98</f>
        <v>0</v>
      </c>
      <c r="H247" s="9">
        <f>$B$98</f>
        <v>0</v>
      </c>
      <c r="I247" s="9">
        <f>H247-P247</f>
        <v>0</v>
      </c>
      <c r="J247" s="9">
        <f>I247-Q247</f>
        <v>0</v>
      </c>
      <c r="K247" s="9">
        <f>J247-R247</f>
        <v>0</v>
      </c>
      <c r="L247" s="9">
        <f>K247-S247</f>
        <v>0</v>
      </c>
      <c r="M247" s="9">
        <f>L247-T247</f>
        <v>0</v>
      </c>
      <c r="N247" s="9"/>
      <c r="O247" s="9">
        <f t="shared" ref="O247:T247" si="68">IF(OR($C247="Annual",$D247=$E247),IF(AND($D247=$E247,O$111=$B247+$D247),$H247,IF(AND(O$111&gt;$B247+$D247,O$111&lt;=$B247+$E247), $H247/($E247-$D247),0)), IF(OR(O$111=$B247+$D247,O$111=$B247+$E247),$H247/(($E247-$D247)*2),IF(AND(O$111&gt;$B247+$D247,O$111&lt;$B247+$E247),$H247/($E247-$D247),0)))</f>
        <v>0</v>
      </c>
      <c r="P247" s="9">
        <f t="shared" si="68"/>
        <v>0</v>
      </c>
      <c r="Q247" s="9">
        <f t="shared" si="68"/>
        <v>0</v>
      </c>
      <c r="R247" s="9">
        <f t="shared" si="68"/>
        <v>0</v>
      </c>
      <c r="S247" s="9">
        <f t="shared" si="68"/>
        <v>0</v>
      </c>
      <c r="T247" s="9">
        <f t="shared" si="68"/>
        <v>0</v>
      </c>
      <c r="U247" s="9"/>
      <c r="V247" s="9">
        <f>IF($C247="annual",IF(V$111=$B247,0,G247*$F247),IF(V$111-$B247=0,0,IF((V$111-$B247)&lt;$E247,AVERAGE(G247,H247)*$F247,IF((V$111-$B247)=$E247,G247*$F247/2,0))))</f>
        <v>0</v>
      </c>
      <c r="W247" s="9">
        <f t="shared" ref="W247:AA252" si="69">IF($C247="annual",IF(W$111=$B247,0,H247*$F247),IF(W$111-$B247=0,0,IF((W$111-$B247)&lt;$E247,AVERAGE(H247,I247)*$F247,IF((W$111-$B247)=$E247,H247*$F247/2,0))))</f>
        <v>0</v>
      </c>
      <c r="X247" s="9">
        <f t="shared" si="69"/>
        <v>0</v>
      </c>
      <c r="Y247" s="9">
        <f t="shared" si="69"/>
        <v>0</v>
      </c>
      <c r="Z247" s="9">
        <f t="shared" si="69"/>
        <v>0</v>
      </c>
      <c r="AA247" s="9">
        <f t="shared" si="69"/>
        <v>0</v>
      </c>
    </row>
    <row r="248" spans="1:27">
      <c r="A248" s="8" t="str">
        <f>A247</f>
        <v>Type 13</v>
      </c>
      <c r="B248" s="7">
        <f>B247+1</f>
        <v>2019</v>
      </c>
      <c r="C248" s="7" t="str">
        <f>C247</f>
        <v>Annual</v>
      </c>
      <c r="D248" s="7">
        <f t="shared" ref="D248:E252" si="70">D247</f>
        <v>0</v>
      </c>
      <c r="E248" s="7">
        <f t="shared" si="70"/>
        <v>0</v>
      </c>
      <c r="F248" s="14">
        <f>$M$98</f>
        <v>2.5000000000000001E-3</v>
      </c>
      <c r="H248" s="9"/>
      <c r="I248" s="9">
        <f ca="1">$C$98</f>
        <v>0</v>
      </c>
      <c r="J248" s="9">
        <f ca="1">I248-Q248</f>
        <v>0</v>
      </c>
      <c r="K248" s="9">
        <f ca="1">J248-R248</f>
        <v>0</v>
      </c>
      <c r="L248" s="9">
        <f ca="1">K248-S248</f>
        <v>0</v>
      </c>
      <c r="M248" s="9">
        <f ca="1">L248-T248</f>
        <v>0</v>
      </c>
      <c r="N248" s="9"/>
      <c r="O248" s="9"/>
      <c r="P248" s="9">
        <f ca="1">IF(OR($C248="Annual",$D248=$E248),IF(AND($D248=$E248,P$111=$B248+$D248),$I248,IF(AND(P$111&gt;$B248+$D248,P$111&lt;=$B248+$E248), $I248/($E248-$D248),0)), IF(OR(P$111=$B248+$D248,P$111=$B248+$E248),$I248/(($E248-$D248)*2),IF(AND(P$111&gt;$B248+$D248,P$111&lt;$B248+$E248),$I248/($E248-$D248),0)))</f>
        <v>0</v>
      </c>
      <c r="Q248" s="9">
        <f>IF(OR($C248="Annual",$D248=$E248),IF(AND($D248=$E248,Q$111=$B248+$D248),$I248,IF(AND(Q$111&gt;$B248+$D248,Q$111&lt;=$B248+$E248), $I248/($E248-$D248),0)), IF(OR(Q$111=$B248+$D248,Q$111=$B248+$E248),$I248/(($E248-$D248)*2),IF(AND(Q$111&gt;$B248+$D248,Q$111&lt;$B248+$E248),$I248/($E248-$D248),0)))</f>
        <v>0</v>
      </c>
      <c r="R248" s="9">
        <f>IF(OR($C248="Annual",$D248=$E248),IF(AND($D248=$E248,R$111=$B248+$D248),$I248,IF(AND(R$111&gt;$B248+$D248,R$111&lt;=$B248+$E248), $I248/($E248-$D248),0)), IF(OR(R$111=$B248+$D248,R$111=$B248+$E248),$I248/(($E248-$D248)*2),IF(AND(R$111&gt;$B248+$D248,R$111&lt;$B248+$E248),$I248/($E248-$D248),0)))</f>
        <v>0</v>
      </c>
      <c r="S248" s="9">
        <f>IF(OR($C248="Annual",$D248=$E248),IF(AND($D248=$E248,S$111=$B248+$D248),$I248,IF(AND(S$111&gt;$B248+$D248,S$111&lt;=$B248+$E248), $I248/($E248-$D248),0)), IF(OR(S$111=$B248+$D248,S$111=$B248+$E248),$I248/(($E248-$D248)*2),IF(AND(S$111&gt;$B248+$D248,S$111&lt;$B248+$E248),$I248/($E248-$D248),0)))</f>
        <v>0</v>
      </c>
      <c r="T248" s="9">
        <f>IF(OR($C248="Annual",$D248=$E248),IF(AND($D248=$E248,T$111=$B248+$D248),$I248,IF(AND(T$111&gt;$B248+$D248,T$111&lt;=$B248+$E248), $I248/($E248-$D248),0)), IF(OR(T$111=$B248+$D248,T$111=$B248+$E248),$I248/(($E248-$D248)*2),IF(AND(T$111&gt;$B248+$D248,T$111&lt;$B248+$E248),$I248/($E248-$D248),0)))</f>
        <v>0</v>
      </c>
      <c r="U248" s="9"/>
      <c r="V248" s="9"/>
      <c r="W248" s="9">
        <f t="shared" si="69"/>
        <v>0</v>
      </c>
      <c r="X248" s="9">
        <f t="shared" ca="1" si="69"/>
        <v>0</v>
      </c>
      <c r="Y248" s="9">
        <f t="shared" ca="1" si="69"/>
        <v>0</v>
      </c>
      <c r="Z248" s="9">
        <f t="shared" ca="1" si="69"/>
        <v>0</v>
      </c>
      <c r="AA248" s="9">
        <f t="shared" ca="1" si="69"/>
        <v>0</v>
      </c>
    </row>
    <row r="249" spans="1:27">
      <c r="A249" s="8" t="str">
        <f>A248</f>
        <v>Type 13</v>
      </c>
      <c r="B249" s="7">
        <f>B248+1</f>
        <v>2020</v>
      </c>
      <c r="C249" s="7" t="str">
        <f>C248</f>
        <v>Annual</v>
      </c>
      <c r="D249" s="7">
        <f t="shared" si="70"/>
        <v>0</v>
      </c>
      <c r="E249" s="7">
        <f t="shared" si="70"/>
        <v>0</v>
      </c>
      <c r="F249" s="14">
        <f>$N$98</f>
        <v>2.5000000000000001E-3</v>
      </c>
      <c r="H249" s="9"/>
      <c r="I249" s="9"/>
      <c r="J249" s="9">
        <f ca="1">$D$98</f>
        <v>0</v>
      </c>
      <c r="K249" s="9">
        <f ca="1">J249-R249</f>
        <v>0</v>
      </c>
      <c r="L249" s="9">
        <f ca="1">K249-S249</f>
        <v>0</v>
      </c>
      <c r="M249" s="9">
        <f ca="1">L249-T249</f>
        <v>0</v>
      </c>
      <c r="N249" s="9"/>
      <c r="O249" s="9"/>
      <c r="P249" s="9"/>
      <c r="Q249" s="9">
        <f ca="1">IF(OR($C249="Annual",$D249=$E249),IF(AND($D249=$E249,Q$111=$B249+$D249),$J249,IF(AND(Q$111&gt;$B249+$D249,Q$111&lt;=$B249+$E249), $J249/($E249-$D249),0)), IF(OR(Q$111=$B249+$D249,Q$111=$B249+$E249),$J249/(($E249-$D249)*2),IF(AND(Q$111&gt;$B249+$D249,Q$111&lt;$B249+$E249),$J249/($E249-$D249),0)))</f>
        <v>0</v>
      </c>
      <c r="R249" s="9">
        <f>IF(OR($C249="Annual",$D249=$E249),IF(AND($D249=$E249,R$111=$B249+$D249),$J249,IF(AND(R$111&gt;$B249+$D249,R$111&lt;=$B249+$E249), $J249/($E249-$D249),0)), IF(OR(R$111=$B249+$D249,R$111=$B249+$E249),$J249/(($E249-$D249)*2),IF(AND(R$111&gt;$B249+$D249,R$111&lt;$B249+$E249),$J249/($E249-$D249),0)))</f>
        <v>0</v>
      </c>
      <c r="S249" s="9">
        <f>IF(OR($C249="Annual",$D249=$E249),IF(AND($D249=$E249,S$111=$B249+$D249),$J249,IF(AND(S$111&gt;$B249+$D249,S$111&lt;=$B249+$E249), $J249/($E249-$D249),0)), IF(OR(S$111=$B249+$D249,S$111=$B249+$E249),$J249/(($E249-$D249)*2),IF(AND(S$111&gt;$B249+$D249,S$111&lt;$B249+$E249),$J249/($E249-$D249),0)))</f>
        <v>0</v>
      </c>
      <c r="T249" s="9">
        <f>IF(OR($C249="Annual",$D249=$E249),IF(AND($D249=$E249,T$111=$B249+$D249),$J249,IF(AND(T$111&gt;$B249+$D249,T$111&lt;=$B249+$E249), $J249/($E249-$D249),0)), IF(OR(T$111=$B249+$D249,T$111=$B249+$E249),$J249/(($E249-$D249)*2),IF(AND(T$111&gt;$B249+$D249,T$111&lt;$B249+$E249),$J249/($E249-$D249),0)))</f>
        <v>0</v>
      </c>
      <c r="U249" s="9"/>
      <c r="V249" s="9"/>
      <c r="W249" s="9"/>
      <c r="X249" s="9">
        <f t="shared" si="69"/>
        <v>0</v>
      </c>
      <c r="Y249" s="9">
        <f t="shared" ca="1" si="69"/>
        <v>0</v>
      </c>
      <c r="Z249" s="9">
        <f t="shared" ca="1" si="69"/>
        <v>0</v>
      </c>
      <c r="AA249" s="9">
        <f t="shared" ca="1" si="69"/>
        <v>0</v>
      </c>
    </row>
    <row r="250" spans="1:27">
      <c r="A250" s="8" t="str">
        <f>A249</f>
        <v>Type 13</v>
      </c>
      <c r="B250" s="7">
        <f>B249+1</f>
        <v>2021</v>
      </c>
      <c r="C250" s="7" t="str">
        <f>C249</f>
        <v>Annual</v>
      </c>
      <c r="D250" s="7">
        <f t="shared" si="70"/>
        <v>0</v>
      </c>
      <c r="E250" s="7">
        <f t="shared" si="70"/>
        <v>0</v>
      </c>
      <c r="F250" s="14">
        <f>$O$98</f>
        <v>2.5000000000000001E-3</v>
      </c>
      <c r="H250" s="9"/>
      <c r="I250" s="9"/>
      <c r="J250" s="9"/>
      <c r="K250" s="9">
        <f ca="1">$E$98</f>
        <v>0</v>
      </c>
      <c r="L250" s="9">
        <f ca="1">K250-S250</f>
        <v>0</v>
      </c>
      <c r="M250" s="9">
        <f ca="1">L250-T250</f>
        <v>0</v>
      </c>
      <c r="N250" s="9"/>
      <c r="O250" s="9"/>
      <c r="P250" s="9"/>
      <c r="Q250" s="9"/>
      <c r="R250" s="9">
        <f ca="1">IF(OR($C250="Annual",$D250=$E250),IF(AND($D250=$E250,R$111=$B250+$D250),$K250,IF(AND(R$111&gt;$B250+$D250,R$111&lt;=$B250+$E250), $K250/($E250-$D250),0)), IF(OR(R$111=$B250+$D250,R$111=$B250+$E250),$K250/(($E250-$D250)*2),IF(AND(R$111&gt;$B250+$D250,R$111&lt;$B250+$E250),$K250/($E250-$D250),0)))</f>
        <v>0</v>
      </c>
      <c r="S250" s="9">
        <f>IF(OR($C250="Annual",$D250=$E250),IF(AND($D250=$E250,S$111=$B250+$D250),$K250,IF(AND(S$111&gt;$B250+$D250,S$111&lt;=$B250+$E250), $K250/($E250-$D250),0)), IF(OR(S$111=$B250+$D250,S$111=$B250+$E250),$K250/(($E250-$D250)*2),IF(AND(S$111&gt;$B250+$D250,S$111&lt;$B250+$E250),$K250/($E250-$D250),0)))</f>
        <v>0</v>
      </c>
      <c r="T250" s="9">
        <f>IF(OR($C250="Annual",$D250=$E250),IF(AND($D250=$E250,T$111=$B250+$D250),$K250,IF(AND(T$111&gt;$B250+$D250,T$111&lt;=$B250+$E250), $K250/($E250-$D250),0)), IF(OR(T$111=$B250+$D250,T$111=$B250+$E250),$K250/(($E250-$D250)*2),IF(AND(T$111&gt;$B250+$D250,T$111&lt;$B250+$E250),$K250/($E250-$D250),0)))</f>
        <v>0</v>
      </c>
      <c r="U250" s="9"/>
      <c r="V250" s="9"/>
      <c r="W250" s="9"/>
      <c r="X250" s="9"/>
      <c r="Y250" s="9">
        <f t="shared" si="69"/>
        <v>0</v>
      </c>
      <c r="Z250" s="9">
        <f t="shared" ca="1" si="69"/>
        <v>0</v>
      </c>
      <c r="AA250" s="9">
        <f t="shared" ca="1" si="69"/>
        <v>0</v>
      </c>
    </row>
    <row r="251" spans="1:27">
      <c r="A251" s="8" t="str">
        <f>A250</f>
        <v>Type 13</v>
      </c>
      <c r="B251" s="7">
        <f>B250+1</f>
        <v>2022</v>
      </c>
      <c r="C251" s="7" t="str">
        <f>C250</f>
        <v>Annual</v>
      </c>
      <c r="D251" s="7">
        <f t="shared" si="70"/>
        <v>0</v>
      </c>
      <c r="E251" s="7">
        <f t="shared" si="70"/>
        <v>0</v>
      </c>
      <c r="F251" s="14">
        <f>$P$98</f>
        <v>2.5000000000000001E-3</v>
      </c>
      <c r="H251" s="9"/>
      <c r="I251" s="9"/>
      <c r="J251" s="9"/>
      <c r="K251" s="9"/>
      <c r="L251" s="9">
        <f ca="1">$F$98</f>
        <v>0</v>
      </c>
      <c r="M251" s="9">
        <f ca="1">L251-T251</f>
        <v>0</v>
      </c>
      <c r="N251" s="9"/>
      <c r="O251" s="9"/>
      <c r="P251" s="9"/>
      <c r="Q251" s="9"/>
      <c r="R251" s="9"/>
      <c r="S251" s="9">
        <f ca="1">IF(OR($C251="Annual",$D251=$E251),IF(AND($D251=$E251,S$111=$B251+$D251),$L251,IF(AND(S$111&gt;$B251+$D251,S$111&lt;=$B251+$E251), $L251/($E251-$D251),0)), IF(OR(S$111=$B251+$D251,S$111=$B251+$E251),$L251/(($E251-$D251)*2),IF(AND(S$111&gt;$B251+$D251,S$111&lt;$B251+$E251),$L251/($E251-$D251),0)))</f>
        <v>0</v>
      </c>
      <c r="T251" s="9">
        <f>IF(OR($C251="Annual",$D251=$E251),IF(AND($D251=$E251,T$111=$B251+$D251),$L251,IF(AND(T$111&gt;$B251+$D251,T$111&lt;=$B251+$E251), $L251/($E251-$D251),0)), IF(OR(T$111=$B251+$D251,T$111=$B251+$E251),$L251/(($E251-$D251)*2),IF(AND(T$111&gt;$B251+$D251,T$111&lt;$B251+$E251),$L251/($E251-$D251),0)))</f>
        <v>0</v>
      </c>
      <c r="U251" s="9"/>
      <c r="V251" s="9"/>
      <c r="W251" s="9"/>
      <c r="X251" s="9"/>
      <c r="Y251" s="9"/>
      <c r="Z251" s="9">
        <f t="shared" si="69"/>
        <v>0</v>
      </c>
      <c r="AA251" s="9">
        <f t="shared" ca="1" si="69"/>
        <v>0</v>
      </c>
    </row>
    <row r="252" spans="1:27">
      <c r="A252" s="8" t="str">
        <f>A251</f>
        <v>Type 13</v>
      </c>
      <c r="B252" s="7">
        <f>B251+1</f>
        <v>2023</v>
      </c>
      <c r="C252" s="7" t="str">
        <f>C251</f>
        <v>Annual</v>
      </c>
      <c r="D252" s="7">
        <f t="shared" si="70"/>
        <v>0</v>
      </c>
      <c r="E252" s="7">
        <f t="shared" si="70"/>
        <v>0</v>
      </c>
      <c r="F252" s="14">
        <f>$Q$98</f>
        <v>2.5000000000000001E-3</v>
      </c>
      <c r="H252" s="9"/>
      <c r="I252" s="9"/>
      <c r="J252" s="9"/>
      <c r="K252" s="9"/>
      <c r="L252" s="9"/>
      <c r="M252" s="9">
        <f ca="1">$G$98</f>
        <v>0</v>
      </c>
      <c r="N252" s="9"/>
      <c r="O252" s="9"/>
      <c r="P252" s="9"/>
      <c r="Q252" s="9"/>
      <c r="R252" s="9"/>
      <c r="S252" s="9"/>
      <c r="T252" s="9">
        <f ca="1">IF(OR($C252="Annual",$D252=$E252),IF(AND($D252=$E252,T$111=$B252+$D252),$M252,IF(AND(T$111&gt;$B252+$D252,T$111&lt;=$B252+$E252), $M252/($E252-$D252),0)), IF(OR(T$111=$B252+$D252,T$111=$B252+$E252),$M252/(($E252-$D252)*2),IF(AND(T$111&gt;$B252+$D252,T$111&lt;$B252+$E252),$M252/($E252-$D252),0)))</f>
        <v>0</v>
      </c>
      <c r="U252" s="9"/>
      <c r="V252" s="9"/>
      <c r="W252" s="9"/>
      <c r="X252" s="9"/>
      <c r="Y252" s="9"/>
      <c r="Z252" s="9"/>
      <c r="AA252" s="9">
        <f t="shared" si="69"/>
        <v>0</v>
      </c>
    </row>
    <row r="253" spans="1:27">
      <c r="C253" s="281"/>
      <c r="F253" s="15"/>
      <c r="H253" s="10"/>
      <c r="I253" s="10"/>
      <c r="J253" s="10"/>
      <c r="K253" s="10"/>
      <c r="L253" s="10"/>
      <c r="M253" s="10"/>
      <c r="N253" s="10"/>
      <c r="O253" s="278"/>
      <c r="P253" s="10"/>
      <c r="Q253" s="10"/>
      <c r="R253" s="10"/>
      <c r="S253" s="10"/>
      <c r="T253" s="10"/>
      <c r="U253" s="10"/>
      <c r="V253" s="10"/>
      <c r="W253" s="10"/>
      <c r="X253" s="10"/>
      <c r="Y253" s="10"/>
      <c r="Z253" s="10"/>
      <c r="AA253" s="10"/>
    </row>
    <row r="254" spans="1:27">
      <c r="A254" s="8" t="str">
        <f>'Input 4 - Forecast'!A80</f>
        <v>Type 14</v>
      </c>
      <c r="B254" s="7">
        <f>B119</f>
        <v>2018</v>
      </c>
      <c r="C254" s="7" t="str">
        <f>$I99</f>
        <v>Annual</v>
      </c>
      <c r="D254" s="7">
        <f>$J99</f>
        <v>0</v>
      </c>
      <c r="E254" s="7">
        <f>$K99</f>
        <v>0</v>
      </c>
      <c r="F254" s="14">
        <f>$L$99</f>
        <v>0</v>
      </c>
      <c r="H254" s="9">
        <f>$B$99</f>
        <v>0</v>
      </c>
      <c r="I254" s="9">
        <f>H254-P254</f>
        <v>0</v>
      </c>
      <c r="J254" s="9">
        <f>I254-Q254</f>
        <v>0</v>
      </c>
      <c r="K254" s="9">
        <f>J254-R254</f>
        <v>0</v>
      </c>
      <c r="L254" s="9">
        <f>K254-S254</f>
        <v>0</v>
      </c>
      <c r="M254" s="9">
        <f>L254-T254</f>
        <v>0</v>
      </c>
      <c r="N254" s="9"/>
      <c r="O254" s="9">
        <f t="shared" ref="O254:T254" si="71">IF(OR($C254="Annual",$D254=$E254),IF(AND($D254=$E254,O$111=$B254+$D254),$H254,IF(AND(O$111&gt;$B254+$D254,O$111&lt;=$B254+$E254), $H254/($E254-$D254),0)), IF(OR(O$111=$B254+$D254,O$111=$B254+$E254),$H254/(($E254-$D254)*2),IF(AND(O$111&gt;$B254+$D254,O$111&lt;$B254+$E254),$H254/($E254-$D254),0)))</f>
        <v>0</v>
      </c>
      <c r="P254" s="9">
        <f t="shared" si="71"/>
        <v>0</v>
      </c>
      <c r="Q254" s="9">
        <f t="shared" si="71"/>
        <v>0</v>
      </c>
      <c r="R254" s="9">
        <f t="shared" si="71"/>
        <v>0</v>
      </c>
      <c r="S254" s="9">
        <f t="shared" si="71"/>
        <v>0</v>
      </c>
      <c r="T254" s="9">
        <f t="shared" si="71"/>
        <v>0</v>
      </c>
      <c r="U254" s="9"/>
      <c r="V254" s="9">
        <f>IF($C254="annual",IF(V$111=$B254,0,G254*$F254),IF(V$111-$B254=0,0,IF((V$111-$B254)&lt;$E254,AVERAGE(G254,H254)*$F254,IF((V$111-$B254)=$E254,G254*$F254/2,0))))</f>
        <v>0</v>
      </c>
      <c r="W254" s="9">
        <f t="shared" ref="W254:AA259" si="72">IF($C254="annual",IF(W$111=$B254,0,H254*$F254),IF(W$111-$B254=0,0,IF((W$111-$B254)&lt;$E254,AVERAGE(H254,I254)*$F254,IF((W$111-$B254)=$E254,H254*$F254/2,0))))</f>
        <v>0</v>
      </c>
      <c r="X254" s="9">
        <f t="shared" si="72"/>
        <v>0</v>
      </c>
      <c r="Y254" s="9">
        <f t="shared" si="72"/>
        <v>0</v>
      </c>
      <c r="Z254" s="9">
        <f t="shared" si="72"/>
        <v>0</v>
      </c>
      <c r="AA254" s="9">
        <f t="shared" si="72"/>
        <v>0</v>
      </c>
    </row>
    <row r="255" spans="1:27">
      <c r="A255" s="8" t="str">
        <f>A254</f>
        <v>Type 14</v>
      </c>
      <c r="B255" s="7">
        <f>B254+1</f>
        <v>2019</v>
      </c>
      <c r="C255" s="7" t="str">
        <f>C254</f>
        <v>Annual</v>
      </c>
      <c r="D255" s="7">
        <f t="shared" ref="D255:E259" si="73">D254</f>
        <v>0</v>
      </c>
      <c r="E255" s="7">
        <f t="shared" si="73"/>
        <v>0</v>
      </c>
      <c r="F255" s="14">
        <f>$M$99</f>
        <v>2.5000000000000001E-3</v>
      </c>
      <c r="H255" s="9"/>
      <c r="I255" s="9">
        <f ca="1">$C$99</f>
        <v>0</v>
      </c>
      <c r="J255" s="9">
        <f ca="1">I255-Q255</f>
        <v>0</v>
      </c>
      <c r="K255" s="9">
        <f ca="1">J255-R255</f>
        <v>0</v>
      </c>
      <c r="L255" s="9">
        <f ca="1">K255-S255</f>
        <v>0</v>
      </c>
      <c r="M255" s="9">
        <f ca="1">L255-T255</f>
        <v>0</v>
      </c>
      <c r="N255" s="9"/>
      <c r="O255" s="9"/>
      <c r="P255" s="9">
        <f ca="1">IF(OR($C255="Annual",$D255=$E255),IF(AND($D255=$E255,P$111=$B255+$D255),$I255,IF(AND(P$111&gt;$B255+$D255,P$111&lt;=$B255+$E255), $I255/($E255-$D255),0)), IF(OR(P$111=$B255+$D255,P$111=$B255+$E255),$I255/(($E255-$D255)*2),IF(AND(P$111&gt;$B255+$D255,P$111&lt;$B255+$E255),$I255/($E255-$D255),0)))</f>
        <v>0</v>
      </c>
      <c r="Q255" s="9">
        <f>IF(OR($C255="Annual",$D255=$E255),IF(AND($D255=$E255,Q$111=$B255+$D255),$I255,IF(AND(Q$111&gt;$B255+$D255,Q$111&lt;=$B255+$E255), $I255/($E255-$D255),0)), IF(OR(Q$111=$B255+$D255,Q$111=$B255+$E255),$I255/(($E255-$D255)*2),IF(AND(Q$111&gt;$B255+$D255,Q$111&lt;$B255+$E255),$I255/($E255-$D255),0)))</f>
        <v>0</v>
      </c>
      <c r="R255" s="9">
        <f>IF(OR($C255="Annual",$D255=$E255),IF(AND($D255=$E255,R$111=$B255+$D255),$I255,IF(AND(R$111&gt;$B255+$D255,R$111&lt;=$B255+$E255), $I255/($E255-$D255),0)), IF(OR(R$111=$B255+$D255,R$111=$B255+$E255),$I255/(($E255-$D255)*2),IF(AND(R$111&gt;$B255+$D255,R$111&lt;$B255+$E255),$I255/($E255-$D255),0)))</f>
        <v>0</v>
      </c>
      <c r="S255" s="9">
        <f>IF(OR($C255="Annual",$D255=$E255),IF(AND($D255=$E255,S$111=$B255+$D255),$I255,IF(AND(S$111&gt;$B255+$D255,S$111&lt;=$B255+$E255), $I255/($E255-$D255),0)), IF(OR(S$111=$B255+$D255,S$111=$B255+$E255),$I255/(($E255-$D255)*2),IF(AND(S$111&gt;$B255+$D255,S$111&lt;$B255+$E255),$I255/($E255-$D255),0)))</f>
        <v>0</v>
      </c>
      <c r="T255" s="9">
        <f>IF(OR($C255="Annual",$D255=$E255),IF(AND($D255=$E255,T$111=$B255+$D255),$I255,IF(AND(T$111&gt;$B255+$D255,T$111&lt;=$B255+$E255), $I255/($E255-$D255),0)), IF(OR(T$111=$B255+$D255,T$111=$B255+$E255),$I255/(($E255-$D255)*2),IF(AND(T$111&gt;$B255+$D255,T$111&lt;$B255+$E255),$I255/($E255-$D255),0)))</f>
        <v>0</v>
      </c>
      <c r="U255" s="9"/>
      <c r="V255" s="9"/>
      <c r="W255" s="9">
        <f t="shared" si="72"/>
        <v>0</v>
      </c>
      <c r="X255" s="9">
        <f t="shared" ca="1" si="72"/>
        <v>0</v>
      </c>
      <c r="Y255" s="9">
        <f t="shared" ca="1" si="72"/>
        <v>0</v>
      </c>
      <c r="Z255" s="9">
        <f t="shared" ca="1" si="72"/>
        <v>0</v>
      </c>
      <c r="AA255" s="9">
        <f t="shared" ca="1" si="72"/>
        <v>0</v>
      </c>
    </row>
    <row r="256" spans="1:27">
      <c r="A256" s="8" t="str">
        <f>A255</f>
        <v>Type 14</v>
      </c>
      <c r="B256" s="7">
        <f>B255+1</f>
        <v>2020</v>
      </c>
      <c r="C256" s="7" t="str">
        <f>C255</f>
        <v>Annual</v>
      </c>
      <c r="D256" s="7">
        <f t="shared" si="73"/>
        <v>0</v>
      </c>
      <c r="E256" s="7">
        <f t="shared" si="73"/>
        <v>0</v>
      </c>
      <c r="F256" s="14">
        <f>$N$99</f>
        <v>2.5000000000000001E-3</v>
      </c>
      <c r="H256" s="9"/>
      <c r="I256" s="9"/>
      <c r="J256" s="9">
        <f ca="1">$D$99</f>
        <v>0</v>
      </c>
      <c r="K256" s="9">
        <f ca="1">J256-R256</f>
        <v>0</v>
      </c>
      <c r="L256" s="9">
        <f ca="1">K256-S256</f>
        <v>0</v>
      </c>
      <c r="M256" s="9">
        <f ca="1">L256-T256</f>
        <v>0</v>
      </c>
      <c r="N256" s="9"/>
      <c r="O256" s="9"/>
      <c r="P256" s="9"/>
      <c r="Q256" s="9">
        <f ca="1">IF(OR($C256="Annual",$D256=$E256),IF(AND($D256=$E256,Q$111=$B256+$D256),$J256,IF(AND(Q$111&gt;$B256+$D256,Q$111&lt;=$B256+$E256), $J256/($E256-$D256),0)), IF(OR(Q$111=$B256+$D256,Q$111=$B256+$E256),$J256/(($E256-$D256)*2),IF(AND(Q$111&gt;$B256+$D256,Q$111&lt;$B256+$E256),$J256/($E256-$D256),0)))</f>
        <v>0</v>
      </c>
      <c r="R256" s="9">
        <f>IF(OR($C256="Annual",$D256=$E256),IF(AND($D256=$E256,R$111=$B256+$D256),$J256,IF(AND(R$111&gt;$B256+$D256,R$111&lt;=$B256+$E256), $J256/($E256-$D256),0)), IF(OR(R$111=$B256+$D256,R$111=$B256+$E256),$J256/(($E256-$D256)*2),IF(AND(R$111&gt;$B256+$D256,R$111&lt;$B256+$E256),$J256/($E256-$D256),0)))</f>
        <v>0</v>
      </c>
      <c r="S256" s="9">
        <f>IF(OR($C256="Annual",$D256=$E256),IF(AND($D256=$E256,S$111=$B256+$D256),$J256,IF(AND(S$111&gt;$B256+$D256,S$111&lt;=$B256+$E256), $J256/($E256-$D256),0)), IF(OR(S$111=$B256+$D256,S$111=$B256+$E256),$J256/(($E256-$D256)*2),IF(AND(S$111&gt;$B256+$D256,S$111&lt;$B256+$E256),$J256/($E256-$D256),0)))</f>
        <v>0</v>
      </c>
      <c r="T256" s="9">
        <f>IF(OR($C256="Annual",$D256=$E256),IF(AND($D256=$E256,T$111=$B256+$D256),$J256,IF(AND(T$111&gt;$B256+$D256,T$111&lt;=$B256+$E256), $J256/($E256-$D256),0)), IF(OR(T$111=$B256+$D256,T$111=$B256+$E256),$J256/(($E256-$D256)*2),IF(AND(T$111&gt;$B256+$D256,T$111&lt;$B256+$E256),$J256/($E256-$D256),0)))</f>
        <v>0</v>
      </c>
      <c r="U256" s="9"/>
      <c r="V256" s="9"/>
      <c r="W256" s="9"/>
      <c r="X256" s="9">
        <f t="shared" si="72"/>
        <v>0</v>
      </c>
      <c r="Y256" s="9">
        <f t="shared" ca="1" si="72"/>
        <v>0</v>
      </c>
      <c r="Z256" s="9">
        <f t="shared" ca="1" si="72"/>
        <v>0</v>
      </c>
      <c r="AA256" s="9">
        <f t="shared" ca="1" si="72"/>
        <v>0</v>
      </c>
    </row>
    <row r="257" spans="1:27">
      <c r="A257" s="8" t="str">
        <f>A256</f>
        <v>Type 14</v>
      </c>
      <c r="B257" s="7">
        <f>B256+1</f>
        <v>2021</v>
      </c>
      <c r="C257" s="7" t="str">
        <f>C256</f>
        <v>Annual</v>
      </c>
      <c r="D257" s="7">
        <f t="shared" si="73"/>
        <v>0</v>
      </c>
      <c r="E257" s="7">
        <f t="shared" si="73"/>
        <v>0</v>
      </c>
      <c r="F257" s="14">
        <f>$O$99</f>
        <v>2.5000000000000001E-3</v>
      </c>
      <c r="H257" s="9"/>
      <c r="I257" s="9"/>
      <c r="J257" s="9"/>
      <c r="K257" s="9">
        <f ca="1">$E$99</f>
        <v>0</v>
      </c>
      <c r="L257" s="9">
        <f ca="1">K257-S257</f>
        <v>0</v>
      </c>
      <c r="M257" s="9">
        <f ca="1">L257-T257</f>
        <v>0</v>
      </c>
      <c r="N257" s="9"/>
      <c r="O257" s="9"/>
      <c r="P257" s="9"/>
      <c r="Q257" s="9"/>
      <c r="R257" s="9">
        <f ca="1">IF(OR($C257="Annual",$D257=$E257),IF(AND($D257=$E257,R$111=$B257+$D257),$K257,IF(AND(R$111&gt;$B257+$D257,R$111&lt;=$B257+$E257), $K257/($E257-$D257),0)), IF(OR(R$111=$B257+$D257,R$111=$B257+$E257),$K257/(($E257-$D257)*2),IF(AND(R$111&gt;$B257+$D257,R$111&lt;$B257+$E257),$K257/($E257-$D257),0)))</f>
        <v>0</v>
      </c>
      <c r="S257" s="9">
        <f>IF(OR($C257="Annual",$D257=$E257),IF(AND($D257=$E257,S$111=$B257+$D257),$K257,IF(AND(S$111&gt;$B257+$D257,S$111&lt;=$B257+$E257), $K257/($E257-$D257),0)), IF(OR(S$111=$B257+$D257,S$111=$B257+$E257),$K257/(($E257-$D257)*2),IF(AND(S$111&gt;$B257+$D257,S$111&lt;$B257+$E257),$K257/($E257-$D257),0)))</f>
        <v>0</v>
      </c>
      <c r="T257" s="9">
        <f>IF(OR($C257="Annual",$D257=$E257),IF(AND($D257=$E257,T$111=$B257+$D257),$K257,IF(AND(T$111&gt;$B257+$D257,T$111&lt;=$B257+$E257), $K257/($E257-$D257),0)), IF(OR(T$111=$B257+$D257,T$111=$B257+$E257),$K257/(($E257-$D257)*2),IF(AND(T$111&gt;$B257+$D257,T$111&lt;$B257+$E257),$K257/($E257-$D257),0)))</f>
        <v>0</v>
      </c>
      <c r="U257" s="9"/>
      <c r="V257" s="9"/>
      <c r="W257" s="9"/>
      <c r="X257" s="9"/>
      <c r="Y257" s="9">
        <f t="shared" si="72"/>
        <v>0</v>
      </c>
      <c r="Z257" s="9">
        <f t="shared" ca="1" si="72"/>
        <v>0</v>
      </c>
      <c r="AA257" s="9">
        <f t="shared" ca="1" si="72"/>
        <v>0</v>
      </c>
    </row>
    <row r="258" spans="1:27">
      <c r="A258" s="8" t="str">
        <f>A257</f>
        <v>Type 14</v>
      </c>
      <c r="B258" s="7">
        <f>B257+1</f>
        <v>2022</v>
      </c>
      <c r="C258" s="7" t="str">
        <f>C257</f>
        <v>Annual</v>
      </c>
      <c r="D258" s="7">
        <f t="shared" si="73"/>
        <v>0</v>
      </c>
      <c r="E258" s="7">
        <f t="shared" si="73"/>
        <v>0</v>
      </c>
      <c r="F258" s="14">
        <f>$P$99</f>
        <v>2.5000000000000001E-3</v>
      </c>
      <c r="H258" s="9"/>
      <c r="I258" s="9"/>
      <c r="J258" s="9"/>
      <c r="K258" s="9"/>
      <c r="L258" s="9">
        <f ca="1">$F$99</f>
        <v>0</v>
      </c>
      <c r="M258" s="9">
        <f ca="1">L258-T258</f>
        <v>0</v>
      </c>
      <c r="N258" s="9"/>
      <c r="O258" s="9"/>
      <c r="P258" s="9"/>
      <c r="Q258" s="9"/>
      <c r="R258" s="9"/>
      <c r="S258" s="9">
        <f ca="1">IF(OR($C258="Annual",$D258=$E258),IF(AND($D258=$E258,S$111=$B258+$D258),$L258,IF(AND(S$111&gt;$B258+$D258,S$111&lt;=$B258+$E258), $L258/($E258-$D258),0)), IF(OR(S$111=$B258+$D258,S$111=$B258+$E258),$L258/(($E258-$D258)*2),IF(AND(S$111&gt;$B258+$D258,S$111&lt;$B258+$E258),$L258/($E258-$D258),0)))</f>
        <v>0</v>
      </c>
      <c r="T258" s="9">
        <f>IF(OR($C258="Annual",$D258=$E258),IF(AND($D258=$E258,T$111=$B258+$D258),$L258,IF(AND(T$111&gt;$B258+$D258,T$111&lt;=$B258+$E258), $L258/($E258-$D258),0)), IF(OR(T$111=$B258+$D258,T$111=$B258+$E258),$L258/(($E258-$D258)*2),IF(AND(T$111&gt;$B258+$D258,T$111&lt;$B258+$E258),$L258/($E258-$D258),0)))</f>
        <v>0</v>
      </c>
      <c r="U258" s="9"/>
      <c r="V258" s="9"/>
      <c r="W258" s="9"/>
      <c r="X258" s="9"/>
      <c r="Y258" s="9"/>
      <c r="Z258" s="9">
        <f t="shared" si="72"/>
        <v>0</v>
      </c>
      <c r="AA258" s="9">
        <f t="shared" ca="1" si="72"/>
        <v>0</v>
      </c>
    </row>
    <row r="259" spans="1:27">
      <c r="A259" s="8" t="str">
        <f>A258</f>
        <v>Type 14</v>
      </c>
      <c r="B259" s="7">
        <f>B258+1</f>
        <v>2023</v>
      </c>
      <c r="C259" s="7" t="str">
        <f>C258</f>
        <v>Annual</v>
      </c>
      <c r="D259" s="7">
        <f t="shared" si="73"/>
        <v>0</v>
      </c>
      <c r="E259" s="7">
        <f t="shared" si="73"/>
        <v>0</v>
      </c>
      <c r="F259" s="14">
        <f>$Q$99</f>
        <v>2.5000000000000001E-3</v>
      </c>
      <c r="H259" s="9"/>
      <c r="I259" s="9"/>
      <c r="J259" s="9"/>
      <c r="K259" s="9"/>
      <c r="L259" s="9"/>
      <c r="M259" s="9">
        <f ca="1">$G$99</f>
        <v>0</v>
      </c>
      <c r="N259" s="9"/>
      <c r="O259" s="9"/>
      <c r="P259" s="9"/>
      <c r="Q259" s="9"/>
      <c r="R259" s="9"/>
      <c r="S259" s="9"/>
      <c r="T259" s="9">
        <f ca="1">IF(OR($C259="Annual",$D259=$E259),IF(AND($D259=$E259,T$111=$B259+$D259),$M259,IF(AND(T$111&gt;$B259+$D259,T$111&lt;=$B259+$E259), $M259/($E259-$D259),0)), IF(OR(T$111=$B259+$D259,T$111=$B259+$E259),$M259/(($E259-$D259)*2),IF(AND(T$111&gt;$B259+$D259,T$111&lt;$B259+$E259),$M259/($E259-$D259),0)))</f>
        <v>0</v>
      </c>
      <c r="U259" s="9"/>
      <c r="V259" s="9"/>
      <c r="W259" s="9"/>
      <c r="X259" s="9"/>
      <c r="Y259" s="9"/>
      <c r="Z259" s="9"/>
      <c r="AA259" s="9">
        <f t="shared" si="72"/>
        <v>0</v>
      </c>
    </row>
    <row r="260" spans="1:27">
      <c r="C260" s="281"/>
      <c r="F260" s="15"/>
      <c r="H260" s="10"/>
      <c r="I260" s="10"/>
      <c r="J260" s="10"/>
      <c r="K260" s="10"/>
      <c r="L260" s="10"/>
      <c r="M260" s="10"/>
      <c r="N260" s="10"/>
      <c r="O260" s="278"/>
      <c r="P260" s="10"/>
      <c r="Q260" s="10"/>
      <c r="R260" s="10"/>
      <c r="S260" s="10"/>
      <c r="T260" s="10"/>
      <c r="U260" s="10"/>
      <c r="V260" s="10"/>
      <c r="W260" s="10"/>
      <c r="X260" s="10"/>
      <c r="Y260" s="10"/>
      <c r="Z260" s="10"/>
      <c r="AA260" s="10"/>
    </row>
    <row r="261" spans="1:27" s="1150" customFormat="1">
      <c r="A261" s="1347" t="str">
        <f>'Input 4 - Forecast'!A81</f>
        <v>ZERO-COUPON BOND</v>
      </c>
      <c r="B261" s="1348">
        <f>B119</f>
        <v>2018</v>
      </c>
      <c r="C261" s="1348"/>
      <c r="D261" s="1348">
        <f>$J100</f>
        <v>0</v>
      </c>
      <c r="E261" s="1348">
        <f>$K100</f>
        <v>0</v>
      </c>
      <c r="F261" s="1349">
        <f>$L$100</f>
        <v>0</v>
      </c>
      <c r="H261" s="1350">
        <f>$B$100</f>
        <v>0</v>
      </c>
      <c r="I261" s="1350">
        <f>H261-P261</f>
        <v>0</v>
      </c>
      <c r="J261" s="1350">
        <f>I261-Q261</f>
        <v>0</v>
      </c>
      <c r="K261" s="1350">
        <f>J261-R261</f>
        <v>0</v>
      </c>
      <c r="L261" s="1350">
        <f>K261-S261</f>
        <v>0</v>
      </c>
      <c r="M261" s="1350">
        <f>L261-T261</f>
        <v>0</v>
      </c>
      <c r="N261" s="1350"/>
      <c r="O261" s="1350">
        <f t="shared" ref="O261:T261" si="74">IF($D261=$E261,IF(O$111=$B261+$E261,$H261,0),0)</f>
        <v>0</v>
      </c>
      <c r="P261" s="1350">
        <f t="shared" si="74"/>
        <v>0</v>
      </c>
      <c r="Q261" s="1350">
        <f t="shared" si="74"/>
        <v>0</v>
      </c>
      <c r="R261" s="1350">
        <f t="shared" si="74"/>
        <v>0</v>
      </c>
      <c r="S261" s="1350">
        <f t="shared" si="74"/>
        <v>0</v>
      </c>
      <c r="T261" s="1350">
        <f t="shared" si="74"/>
        <v>0</v>
      </c>
      <c r="U261" s="1350"/>
      <c r="V261" s="1350">
        <f t="shared" ref="V261:AA261" si="75">IF(V$111-$B261=$D261,$H261*(((1+$F261)^$D261)-1),0)</f>
        <v>0</v>
      </c>
      <c r="W261" s="1350">
        <f t="shared" si="75"/>
        <v>0</v>
      </c>
      <c r="X261" s="1350">
        <f t="shared" si="75"/>
        <v>0</v>
      </c>
      <c r="Y261" s="1350">
        <f t="shared" si="75"/>
        <v>0</v>
      </c>
      <c r="Z261" s="1350">
        <f t="shared" si="75"/>
        <v>0</v>
      </c>
      <c r="AA261" s="1350">
        <f t="shared" si="75"/>
        <v>0</v>
      </c>
    </row>
    <row r="262" spans="1:27" s="1150" customFormat="1">
      <c r="A262" s="1347" t="str">
        <f>A261</f>
        <v>ZERO-COUPON BOND</v>
      </c>
      <c r="B262" s="1348">
        <f>B261+1</f>
        <v>2019</v>
      </c>
      <c r="C262" s="1348"/>
      <c r="D262" s="1348">
        <f t="shared" ref="D262:E266" si="76">D261</f>
        <v>0</v>
      </c>
      <c r="E262" s="1348">
        <f t="shared" si="76"/>
        <v>0</v>
      </c>
      <c r="F262" s="1349">
        <f>$M$100</f>
        <v>2.5000000000000001E-3</v>
      </c>
      <c r="H262" s="1350"/>
      <c r="I262" s="1350">
        <f ca="1">$C$100</f>
        <v>0</v>
      </c>
      <c r="J262" s="1350">
        <f ca="1">I262-Q262</f>
        <v>0</v>
      </c>
      <c r="K262" s="1350">
        <f ca="1">J262-R262</f>
        <v>0</v>
      </c>
      <c r="L262" s="1350">
        <f ca="1">K262-S262</f>
        <v>0</v>
      </c>
      <c r="M262" s="1350">
        <f ca="1">L262-T262</f>
        <v>0</v>
      </c>
      <c r="N262" s="1350"/>
      <c r="O262" s="1351"/>
      <c r="P262" s="1350">
        <f ca="1">IF($D262=$E262,IF(P$111=$B262+$E262,$I262,0),0)</f>
        <v>0</v>
      </c>
      <c r="Q262" s="1350">
        <f>IF($D262=$E262,IF(Q$111=$B262+$E262,$I262,0),0)</f>
        <v>0</v>
      </c>
      <c r="R262" s="1350">
        <f>IF($D262=$E262,IF(R$111=$B262+$E262,$I262,0),0)</f>
        <v>0</v>
      </c>
      <c r="S262" s="1350">
        <f>IF($D262=$E262,IF(S$111=$B262+$E262,$I262,0),0)</f>
        <v>0</v>
      </c>
      <c r="T262" s="1350">
        <f>IF($D262=$E262,IF(T$111=$B262+$E262,$I262,0),0)</f>
        <v>0</v>
      </c>
      <c r="U262" s="1350"/>
      <c r="V262" s="1350"/>
      <c r="W262" s="1350">
        <f ca="1">IF(W$111-$B262=$D262,$I262*(((1+$F262)^$D262)-1),0)</f>
        <v>0</v>
      </c>
      <c r="X262" s="1350">
        <f>IF(X$111-$B262=$D262,$I262*(((1+$F262)^$D262)-1),0)</f>
        <v>0</v>
      </c>
      <c r="Y262" s="1350">
        <f>IF(Y$111-$B262=$D262,$I262*(((1+$F262)^$D262)-1),0)</f>
        <v>0</v>
      </c>
      <c r="Z262" s="1350">
        <f>IF(Z$111-$B262=$D262,$I262*(((1+$F262)^$D262)-1),0)</f>
        <v>0</v>
      </c>
      <c r="AA262" s="1350">
        <f>IF(AA$111-$B262=$D262,$I262*(((1+$F262)^$D262)-1),0)</f>
        <v>0</v>
      </c>
    </row>
    <row r="263" spans="1:27" s="1150" customFormat="1">
      <c r="A263" s="1347" t="str">
        <f>A262</f>
        <v>ZERO-COUPON BOND</v>
      </c>
      <c r="B263" s="1348">
        <f>B262+1</f>
        <v>2020</v>
      </c>
      <c r="C263" s="1348"/>
      <c r="D263" s="1348">
        <f t="shared" si="76"/>
        <v>0</v>
      </c>
      <c r="E263" s="1348">
        <f t="shared" si="76"/>
        <v>0</v>
      </c>
      <c r="F263" s="1349">
        <f>$N$100</f>
        <v>2.5000000000000001E-3</v>
      </c>
      <c r="H263" s="1350"/>
      <c r="I263" s="1350"/>
      <c r="J263" s="1350">
        <f ca="1">$D$100</f>
        <v>0</v>
      </c>
      <c r="K263" s="1350">
        <f ca="1">J263-R263</f>
        <v>0</v>
      </c>
      <c r="L263" s="1350">
        <f ca="1">K263-S263</f>
        <v>0</v>
      </c>
      <c r="M263" s="1350">
        <f ca="1">L263-T263</f>
        <v>0</v>
      </c>
      <c r="N263" s="1350"/>
      <c r="O263" s="1351"/>
      <c r="P263" s="1350"/>
      <c r="Q263" s="1350">
        <f ca="1">IF($D263=$E263,IF(Q$111=$B263+$E263,$J263,0),0)</f>
        <v>0</v>
      </c>
      <c r="R263" s="1350">
        <f>IF($D263=$E263,IF(R$111=$B263+$E263,$J263,0),0)</f>
        <v>0</v>
      </c>
      <c r="S263" s="1350">
        <f>IF($D263=$E263,IF(S$111=$B263+$E263,$J263,0),0)</f>
        <v>0</v>
      </c>
      <c r="T263" s="1350">
        <f>IF($D263=$E263,IF(T$111=$B263+$E263,$J263,0),0)</f>
        <v>0</v>
      </c>
      <c r="U263" s="1350"/>
      <c r="V263" s="1350"/>
      <c r="W263" s="1350"/>
      <c r="X263" s="1350">
        <f ca="1">IF(X$111-$B263=$D263,$J263*(((1+$F263)^$D263)-1),0)</f>
        <v>0</v>
      </c>
      <c r="Y263" s="1350">
        <f>IF(Y$111-$B263=$D263,$J263*(((1+$F263)^$D263)-1),0)</f>
        <v>0</v>
      </c>
      <c r="Z263" s="1350">
        <f>IF(Z$111-$B263=$D263,$J263*(((1+$F263)^$D263)-1),0)</f>
        <v>0</v>
      </c>
      <c r="AA263" s="1350">
        <f>IF(AA$111-$B263=$D263,$J263*(((1+$F263)^$D263)-1),0)</f>
        <v>0</v>
      </c>
    </row>
    <row r="264" spans="1:27" s="1150" customFormat="1">
      <c r="A264" s="1347" t="str">
        <f>A263</f>
        <v>ZERO-COUPON BOND</v>
      </c>
      <c r="B264" s="1348">
        <f>B263+1</f>
        <v>2021</v>
      </c>
      <c r="C264" s="1348"/>
      <c r="D264" s="1348">
        <f t="shared" si="76"/>
        <v>0</v>
      </c>
      <c r="E264" s="1348">
        <f t="shared" si="76"/>
        <v>0</v>
      </c>
      <c r="F264" s="1349">
        <f>$O$100</f>
        <v>2.5000000000000001E-3</v>
      </c>
      <c r="H264" s="1350"/>
      <c r="I264" s="1350"/>
      <c r="J264" s="1350"/>
      <c r="K264" s="1350">
        <f ca="1">$E$100</f>
        <v>0</v>
      </c>
      <c r="L264" s="1350">
        <f ca="1">K264-S264</f>
        <v>0</v>
      </c>
      <c r="M264" s="1350">
        <f ca="1">L264-T264</f>
        <v>0</v>
      </c>
      <c r="N264" s="1350"/>
      <c r="O264" s="1351"/>
      <c r="P264" s="1350"/>
      <c r="Q264" s="1350"/>
      <c r="R264" s="1350">
        <f ca="1">IF($D264=$E264,IF(R$111=$B264+$E264,$K264,0),0)</f>
        <v>0</v>
      </c>
      <c r="S264" s="1350">
        <f>IF($D264=$E264,IF(S$111=$B264+$E264,$K264,0),0)</f>
        <v>0</v>
      </c>
      <c r="T264" s="1350">
        <f>IF($D264=$E264,IF(T$111=$B264+$E264,$K264,0),0)</f>
        <v>0</v>
      </c>
      <c r="U264" s="1350"/>
      <c r="V264" s="1350"/>
      <c r="W264" s="1350"/>
      <c r="X264" s="1350"/>
      <c r="Y264" s="1350">
        <f ca="1">IF(Y$111-$B264=$D264,$K264*(((1+$F264)^$D264)-1),0)</f>
        <v>0</v>
      </c>
      <c r="Z264" s="1350">
        <f>IF(Z$111-$B264=$D264,$K264*(((1+$F264)^$D264)-1),0)</f>
        <v>0</v>
      </c>
      <c r="AA264" s="1350">
        <f>IF(AA$111-$B264=$D264,$K264*(((1+$F264)^$D264)-1),0)</f>
        <v>0</v>
      </c>
    </row>
    <row r="265" spans="1:27" s="1150" customFormat="1">
      <c r="A265" s="1347" t="str">
        <f>A264</f>
        <v>ZERO-COUPON BOND</v>
      </c>
      <c r="B265" s="1348">
        <f>B264+1</f>
        <v>2022</v>
      </c>
      <c r="C265" s="1348"/>
      <c r="D265" s="1348">
        <f t="shared" si="76"/>
        <v>0</v>
      </c>
      <c r="E265" s="1348">
        <f t="shared" si="76"/>
        <v>0</v>
      </c>
      <c r="F265" s="1349">
        <f>$P$100</f>
        <v>2.5000000000000001E-3</v>
      </c>
      <c r="H265" s="1350"/>
      <c r="I265" s="1350"/>
      <c r="J265" s="1350"/>
      <c r="K265" s="1350"/>
      <c r="L265" s="1350">
        <f ca="1">$F$100</f>
        <v>0</v>
      </c>
      <c r="M265" s="1350">
        <f ca="1">L265-T265</f>
        <v>0</v>
      </c>
      <c r="N265" s="1350"/>
      <c r="O265" s="1351"/>
      <c r="P265" s="1350"/>
      <c r="Q265" s="1350"/>
      <c r="R265" s="1350"/>
      <c r="S265" s="1350">
        <f ca="1">IF($D265=$E265,IF(S$111=$B265+$E265,$L265,0),0)</f>
        <v>0</v>
      </c>
      <c r="T265" s="1350">
        <f>IF($D265=$E265,IF(T$111=$B265+$E265,$L265,0),0)</f>
        <v>0</v>
      </c>
      <c r="U265" s="1350"/>
      <c r="V265" s="1350"/>
      <c r="W265" s="1350"/>
      <c r="X265" s="1350"/>
      <c r="Y265" s="1350"/>
      <c r="Z265" s="1350">
        <f ca="1">IF(Z$111-$B265=$D265,$L265*(((1+$F265)^$D265)-1),0)</f>
        <v>0</v>
      </c>
      <c r="AA265" s="1350">
        <f>IF(AA$111-$B265=$D265,$L265*(((1+$F265)^$D265)-1),0)</f>
        <v>0</v>
      </c>
    </row>
    <row r="266" spans="1:27" s="1150" customFormat="1">
      <c r="A266" s="1347" t="str">
        <f>A265</f>
        <v>ZERO-COUPON BOND</v>
      </c>
      <c r="B266" s="1348">
        <f>B265+1</f>
        <v>2023</v>
      </c>
      <c r="C266" s="1348"/>
      <c r="D266" s="1348">
        <f t="shared" si="76"/>
        <v>0</v>
      </c>
      <c r="E266" s="1348">
        <f t="shared" si="76"/>
        <v>0</v>
      </c>
      <c r="F266" s="1349">
        <f>$Q$100</f>
        <v>2.5000000000000001E-3</v>
      </c>
      <c r="H266" s="1350"/>
      <c r="I266" s="1350"/>
      <c r="J266" s="1350"/>
      <c r="K266" s="1350"/>
      <c r="L266" s="1350"/>
      <c r="M266" s="1350">
        <f ca="1">$G$100</f>
        <v>0</v>
      </c>
      <c r="N266" s="1350"/>
      <c r="O266" s="1351"/>
      <c r="P266" s="1350"/>
      <c r="Q266" s="1350"/>
      <c r="R266" s="1350"/>
      <c r="S266" s="1350"/>
      <c r="T266" s="1350">
        <f ca="1">IF($D266=$E266,IF(T$111=$B266+$E266,$M266,0),0)</f>
        <v>0</v>
      </c>
      <c r="U266" s="1350"/>
      <c r="V266" s="1350"/>
      <c r="W266" s="1350"/>
      <c r="X266" s="1350"/>
      <c r="Y266" s="1350"/>
      <c r="Z266" s="1350"/>
      <c r="AA266" s="1350">
        <f ca="1">IF(AA$111-$B266=$D266,$M266*(((1+$F266)^$D266)-1),0)</f>
        <v>0</v>
      </c>
    </row>
    <row r="267" spans="1:27" ht="15.75" thickBot="1">
      <c r="H267" s="10"/>
      <c r="I267" s="10"/>
      <c r="J267" s="10"/>
      <c r="K267" s="10"/>
      <c r="L267" s="10"/>
      <c r="M267" s="10"/>
      <c r="N267" s="10"/>
      <c r="O267" s="10"/>
      <c r="P267" s="10"/>
      <c r="Q267" s="10"/>
      <c r="R267" s="10"/>
      <c r="S267" s="10"/>
      <c r="T267" s="10"/>
      <c r="U267" s="10"/>
      <c r="V267" s="10"/>
      <c r="W267" s="10"/>
      <c r="X267" s="10"/>
      <c r="Y267" s="10"/>
      <c r="Z267" s="10"/>
      <c r="AA267" s="10"/>
    </row>
    <row r="268" spans="1:27" ht="15.75" thickBot="1">
      <c r="A268" s="12" t="str">
        <f>'Input 4 - Forecast'!A82</f>
        <v>Denominated in foreign currency</v>
      </c>
      <c r="B268" s="1999" t="s">
        <v>52</v>
      </c>
      <c r="C268" s="2000"/>
      <c r="D268" s="2000"/>
      <c r="E268" s="2000"/>
      <c r="F268" s="2000"/>
      <c r="G268" s="2000"/>
      <c r="H268" s="2000"/>
      <c r="I268" s="2000"/>
      <c r="J268" s="2000"/>
      <c r="K268" s="2000"/>
      <c r="L268" s="2000"/>
      <c r="M268" s="2000"/>
      <c r="N268" s="2000"/>
      <c r="O268" s="2000"/>
      <c r="P268" s="2000"/>
      <c r="Q268" s="2000"/>
      <c r="R268" s="2000"/>
      <c r="S268" s="2000"/>
      <c r="T268" s="2000"/>
      <c r="U268" s="2000"/>
      <c r="V268" s="2000"/>
      <c r="W268" s="2000"/>
      <c r="X268" s="2000"/>
      <c r="Y268" s="2000"/>
      <c r="Z268" s="2000"/>
      <c r="AA268" s="2001"/>
    </row>
    <row r="269" spans="1:27">
      <c r="H269" s="10"/>
      <c r="I269" s="10"/>
      <c r="J269" s="10"/>
      <c r="K269" s="10"/>
      <c r="L269" s="10"/>
      <c r="M269" s="10"/>
      <c r="N269" s="10"/>
      <c r="O269" s="10"/>
      <c r="P269" s="10"/>
      <c r="Q269" s="10"/>
      <c r="R269" s="10"/>
      <c r="S269" s="10"/>
      <c r="T269" s="10"/>
      <c r="U269" s="10"/>
      <c r="V269" s="10"/>
      <c r="W269" s="10"/>
      <c r="X269" s="10"/>
      <c r="Y269" s="10"/>
      <c r="Z269" s="10"/>
      <c r="AA269" s="10"/>
    </row>
    <row r="270" spans="1:27">
      <c r="A270" s="8" t="str">
        <f>'Input 4 - Forecast'!A83</f>
        <v>Type 16</v>
      </c>
      <c r="B270" s="7">
        <f>B119</f>
        <v>2018</v>
      </c>
      <c r="C270" s="7" t="str">
        <f>$I102</f>
        <v>Annual</v>
      </c>
      <c r="D270" s="7">
        <f>$J102</f>
        <v>0</v>
      </c>
      <c r="E270" s="7">
        <f>$K102</f>
        <v>0</v>
      </c>
      <c r="F270" s="14">
        <f>$L$102</f>
        <v>0</v>
      </c>
      <c r="H270" s="9">
        <f>$B$102/$B$31</f>
        <v>0</v>
      </c>
      <c r="I270" s="9">
        <f>H270-P270</f>
        <v>0</v>
      </c>
      <c r="J270" s="9">
        <f>I270-Q270</f>
        <v>0</v>
      </c>
      <c r="K270" s="9">
        <f>J270-R270</f>
        <v>0</v>
      </c>
      <c r="L270" s="9">
        <f>K270-S270</f>
        <v>0</v>
      </c>
      <c r="M270" s="9">
        <f>L270-T270</f>
        <v>0</v>
      </c>
      <c r="N270" s="9"/>
      <c r="O270" s="9">
        <f t="shared" ref="O270:T270" si="77">IF(OR($C270="Annual",$D270=$E270),IF(AND($D270=$E270,O$111=$B270+$D270),$H270,IF(AND(O$111&gt;$B270+$D270,O$111&lt;=$B270+$E270), $H270/($E270-$D270),0)), IF(OR(O$111=$B270+$D270,O$111=$B270+$E270),$H270/(($E270-$D270)*2),IF(AND(O$111&gt;$B270+$D270,O$111&lt;$B270+$E270),$H270/($E270-$D270),0)))</f>
        <v>0</v>
      </c>
      <c r="P270" s="9">
        <f t="shared" si="77"/>
        <v>0</v>
      </c>
      <c r="Q270" s="9">
        <f t="shared" si="77"/>
        <v>0</v>
      </c>
      <c r="R270" s="9">
        <f t="shared" si="77"/>
        <v>0</v>
      </c>
      <c r="S270" s="9">
        <f t="shared" si="77"/>
        <v>0</v>
      </c>
      <c r="T270" s="9">
        <f t="shared" si="77"/>
        <v>0</v>
      </c>
      <c r="U270" s="9"/>
      <c r="V270" s="9">
        <f>IF($C270="annual",IF(V$111=$B270,0,G270*$F270),IF(V$111-$B270=0,0,IF((V$111-$B270)&lt;$E270,AVERAGE(G270,H270)*$F270,IF((V$111-$B270)=$E270,G270*$F270/2,0))))</f>
        <v>0</v>
      </c>
      <c r="W270" s="9">
        <f t="shared" ref="W270:AA275" si="78">IF($C270="annual",IF(W$111=$B270,0,H270*$F270),IF(W$111-$B270=0,0,IF((W$111-$B270)&lt;$E270,AVERAGE(H270,I270)*$F270,IF((W$111-$B270)=$E270,H270*$F270/2,0))))</f>
        <v>0</v>
      </c>
      <c r="X270" s="9">
        <f t="shared" si="78"/>
        <v>0</v>
      </c>
      <c r="Y270" s="9">
        <f t="shared" si="78"/>
        <v>0</v>
      </c>
      <c r="Z270" s="9">
        <f t="shared" si="78"/>
        <v>0</v>
      </c>
      <c r="AA270" s="9">
        <f t="shared" si="78"/>
        <v>0</v>
      </c>
    </row>
    <row r="271" spans="1:27">
      <c r="A271" s="8" t="str">
        <f>A270</f>
        <v>Type 16</v>
      </c>
      <c r="B271" s="7">
        <f>B270+1</f>
        <v>2019</v>
      </c>
      <c r="C271" s="7" t="str">
        <f>C270</f>
        <v>Annual</v>
      </c>
      <c r="D271" s="7">
        <f t="shared" ref="D271:E275" si="79">D270</f>
        <v>0</v>
      </c>
      <c r="E271" s="7">
        <f t="shared" si="79"/>
        <v>0</v>
      </c>
      <c r="F271" s="14">
        <f>$M$102</f>
        <v>2.5000000000000001E-3</v>
      </c>
      <c r="H271" s="9"/>
      <c r="I271" s="9">
        <f ca="1">$C$102/$C$31</f>
        <v>0</v>
      </c>
      <c r="J271" s="9">
        <f ca="1">I271-Q271</f>
        <v>0</v>
      </c>
      <c r="K271" s="9">
        <f ca="1">J271-R271</f>
        <v>0</v>
      </c>
      <c r="L271" s="9">
        <f ca="1">K271-S271</f>
        <v>0</v>
      </c>
      <c r="M271" s="9">
        <f ca="1">L271-T271</f>
        <v>0</v>
      </c>
      <c r="N271" s="9"/>
      <c r="O271" s="9"/>
      <c r="P271" s="9">
        <f ca="1">IF(OR($C271="Annual",$D271=$E271),IF(AND($D271=$E271,P$111=$B271+$D271),$I271,IF(AND(P$111&gt;$B271+$D271,P$111&lt;=$B271+$E271), $I271/($E271-$D271),0)), IF(OR(P$111=$B271+$D271,P$111=$B271+$E271),$I271/(($E271-$D271)*2),IF(AND(P$111&gt;$B271+$D271,P$111&lt;$B271+$E271),$I271/($E271-$D271),0)))</f>
        <v>0</v>
      </c>
      <c r="Q271" s="9">
        <f>IF(OR($C271="Annual",$D271=$E271),IF(AND($D271=$E271,Q$111=$B271+$D271),$I271,IF(AND(Q$111&gt;$B271+$D271,Q$111&lt;=$B271+$E271), $I271/($E271-$D271),0)), IF(OR(Q$111=$B271+$D271,Q$111=$B271+$E271),$I271/(($E271-$D271)*2),IF(AND(Q$111&gt;$B271+$D271,Q$111&lt;$B271+$E271),$I271/($E271-$D271),0)))</f>
        <v>0</v>
      </c>
      <c r="R271" s="9">
        <f>IF(OR($C271="Annual",$D271=$E271),IF(AND($D271=$E271,R$111=$B271+$D271),$I271,IF(AND(R$111&gt;$B271+$D271,R$111&lt;=$B271+$E271), $I271/($E271-$D271),0)), IF(OR(R$111=$B271+$D271,R$111=$B271+$E271),$I271/(($E271-$D271)*2),IF(AND(R$111&gt;$B271+$D271,R$111&lt;$B271+$E271),$I271/($E271-$D271),0)))</f>
        <v>0</v>
      </c>
      <c r="S271" s="9">
        <f>IF(OR($C271="Annual",$D271=$E271),IF(AND($D271=$E271,S$111=$B271+$D271),$I271,IF(AND(S$111&gt;$B271+$D271,S$111&lt;=$B271+$E271), $I271/($E271-$D271),0)), IF(OR(S$111=$B271+$D271,S$111=$B271+$E271),$I271/(($E271-$D271)*2),IF(AND(S$111&gt;$B271+$D271,S$111&lt;$B271+$E271),$I271/($E271-$D271),0)))</f>
        <v>0</v>
      </c>
      <c r="T271" s="9">
        <f>IF(OR($C271="Annual",$D271=$E271),IF(AND($D271=$E271,T$111=$B271+$D271),$I271,IF(AND(T$111&gt;$B271+$D271,T$111&lt;=$B271+$E271), $I271/($E271-$D271),0)), IF(OR(T$111=$B271+$D271,T$111=$B271+$E271),$I271/(($E271-$D271)*2),IF(AND(T$111&gt;$B271+$D271,T$111&lt;$B271+$E271),$I271/($E271-$D271),0)))</f>
        <v>0</v>
      </c>
      <c r="U271" s="9"/>
      <c r="V271" s="9"/>
      <c r="W271" s="9">
        <f t="shared" si="78"/>
        <v>0</v>
      </c>
      <c r="X271" s="9">
        <f t="shared" ca="1" si="78"/>
        <v>0</v>
      </c>
      <c r="Y271" s="9">
        <f t="shared" ca="1" si="78"/>
        <v>0</v>
      </c>
      <c r="Z271" s="9">
        <f t="shared" ca="1" si="78"/>
        <v>0</v>
      </c>
      <c r="AA271" s="9">
        <f t="shared" ca="1" si="78"/>
        <v>0</v>
      </c>
    </row>
    <row r="272" spans="1:27">
      <c r="A272" s="8" t="str">
        <f>A271</f>
        <v>Type 16</v>
      </c>
      <c r="B272" s="7">
        <f>B271+1</f>
        <v>2020</v>
      </c>
      <c r="C272" s="7" t="str">
        <f>C271</f>
        <v>Annual</v>
      </c>
      <c r="D272" s="7">
        <f t="shared" si="79"/>
        <v>0</v>
      </c>
      <c r="E272" s="7">
        <f t="shared" si="79"/>
        <v>0</v>
      </c>
      <c r="F272" s="14">
        <f>$N$102</f>
        <v>2.5000000000000001E-3</v>
      </c>
      <c r="H272" s="9"/>
      <c r="I272" s="9"/>
      <c r="J272" s="9">
        <f ca="1">$D$102/$D$31</f>
        <v>0</v>
      </c>
      <c r="K272" s="9">
        <f ca="1">J272-R272</f>
        <v>0</v>
      </c>
      <c r="L272" s="9">
        <f ca="1">K272-S272</f>
        <v>0</v>
      </c>
      <c r="M272" s="9">
        <f ca="1">L272-T272</f>
        <v>0</v>
      </c>
      <c r="N272" s="9"/>
      <c r="O272" s="9"/>
      <c r="P272" s="9"/>
      <c r="Q272" s="9">
        <f ca="1">IF(OR($C272="Annual",$D272=$E272),IF(AND($D272=$E272,Q$111=$B272+$D272),$J272,IF(AND(Q$111&gt;$B272+$D272,Q$111&lt;=$B272+$E272), $J272/($E272-$D272),0)), IF(OR(Q$111=$B272+$D272,Q$111=$B272+$E272),$J272/(($E272-$D272)*2),IF(AND(Q$111&gt;$B272+$D272,Q$111&lt;$B272+$E272),$J272/($E272-$D272),0)))</f>
        <v>0</v>
      </c>
      <c r="R272" s="9">
        <f>IF(OR($C272="Annual",$D272=$E272),IF(AND($D272=$E272,R$111=$B272+$D272),$J272,IF(AND(R$111&gt;$B272+$D272,R$111&lt;=$B272+$E272), $J272/($E272-$D272),0)), IF(OR(R$111=$B272+$D272,R$111=$B272+$E272),$J272/(($E272-$D272)*2),IF(AND(R$111&gt;$B272+$D272,R$111&lt;$B272+$E272),$J272/($E272-$D272),0)))</f>
        <v>0</v>
      </c>
      <c r="S272" s="9">
        <f>IF(OR($C272="Annual",$D272=$E272),IF(AND($D272=$E272,S$111=$B272+$D272),$J272,IF(AND(S$111&gt;$B272+$D272,S$111&lt;=$B272+$E272), $J272/($E272-$D272),0)), IF(OR(S$111=$B272+$D272,S$111=$B272+$E272),$J272/(($E272-$D272)*2),IF(AND(S$111&gt;$B272+$D272,S$111&lt;$B272+$E272),$J272/($E272-$D272),0)))</f>
        <v>0</v>
      </c>
      <c r="T272" s="9">
        <f>IF(OR($C272="Annual",$D272=$E272),IF(AND($D272=$E272,T$111=$B272+$D272),$J272,IF(AND(T$111&gt;$B272+$D272,T$111&lt;=$B272+$E272), $J272/($E272-$D272),0)), IF(OR(T$111=$B272+$D272,T$111=$B272+$E272),$J272/(($E272-$D272)*2),IF(AND(T$111&gt;$B272+$D272,T$111&lt;$B272+$E272),$J272/($E272-$D272),0)))</f>
        <v>0</v>
      </c>
      <c r="U272" s="9"/>
      <c r="V272" s="9"/>
      <c r="W272" s="9"/>
      <c r="X272" s="9">
        <f t="shared" si="78"/>
        <v>0</v>
      </c>
      <c r="Y272" s="9">
        <f t="shared" ca="1" si="78"/>
        <v>0</v>
      </c>
      <c r="Z272" s="9">
        <f t="shared" ca="1" si="78"/>
        <v>0</v>
      </c>
      <c r="AA272" s="9">
        <f t="shared" ca="1" si="78"/>
        <v>0</v>
      </c>
    </row>
    <row r="273" spans="1:27">
      <c r="A273" s="8" t="str">
        <f>A272</f>
        <v>Type 16</v>
      </c>
      <c r="B273" s="7">
        <f>B272+1</f>
        <v>2021</v>
      </c>
      <c r="C273" s="7" t="str">
        <f>C272</f>
        <v>Annual</v>
      </c>
      <c r="D273" s="7">
        <f t="shared" si="79"/>
        <v>0</v>
      </c>
      <c r="E273" s="7">
        <f t="shared" si="79"/>
        <v>0</v>
      </c>
      <c r="F273" s="14">
        <f>$O$102</f>
        <v>2.5000000000000001E-3</v>
      </c>
      <c r="H273" s="9"/>
      <c r="I273" s="9"/>
      <c r="J273" s="9"/>
      <c r="K273" s="9">
        <f ca="1">$E$102/$E$31</f>
        <v>0</v>
      </c>
      <c r="L273" s="9">
        <f ca="1">K273-S273</f>
        <v>0</v>
      </c>
      <c r="M273" s="9">
        <f ca="1">L273-T273</f>
        <v>0</v>
      </c>
      <c r="N273" s="9"/>
      <c r="O273" s="9"/>
      <c r="P273" s="9"/>
      <c r="Q273" s="9"/>
      <c r="R273" s="9">
        <f ca="1">IF(OR($C273="Annual",$D273=$E273),IF(AND($D273=$E273,R$111=$B273+$D273),$K273,IF(AND(R$111&gt;$B273+$D273,R$111&lt;=$B273+$E273), $K273/($E273-$D273),0)), IF(OR(R$111=$B273+$D273,R$111=$B273+$E273),$K273/(($E273-$D273)*2),IF(AND(R$111&gt;$B273+$D273,R$111&lt;$B273+$E273),$K273/($E273-$D273),0)))</f>
        <v>0</v>
      </c>
      <c r="S273" s="9">
        <f>IF(OR($C273="Annual",$D273=$E273),IF(AND($D273=$E273,S$111=$B273+$D273),$K273,IF(AND(S$111&gt;$B273+$D273,S$111&lt;=$B273+$E273), $K273/($E273-$D273),0)), IF(OR(S$111=$B273+$D273,S$111=$B273+$E273),$K273/(($E273-$D273)*2),IF(AND(S$111&gt;$B273+$D273,S$111&lt;$B273+$E273),$K273/($E273-$D273),0)))</f>
        <v>0</v>
      </c>
      <c r="T273" s="9">
        <f>IF(OR($C273="Annual",$D273=$E273),IF(AND($D273=$E273,T$111=$B273+$D273),$K273,IF(AND(T$111&gt;$B273+$D273,T$111&lt;=$B273+$E273), $K273/($E273-$D273),0)), IF(OR(T$111=$B273+$D273,T$111=$B273+$E273),$K273/(($E273-$D273)*2),IF(AND(T$111&gt;$B273+$D273,T$111&lt;$B273+$E273),$K273/($E273-$D273),0)))</f>
        <v>0</v>
      </c>
      <c r="U273" s="9"/>
      <c r="V273" s="9"/>
      <c r="W273" s="9"/>
      <c r="X273" s="9"/>
      <c r="Y273" s="9">
        <f t="shared" si="78"/>
        <v>0</v>
      </c>
      <c r="Z273" s="9">
        <f t="shared" ca="1" si="78"/>
        <v>0</v>
      </c>
      <c r="AA273" s="9">
        <f t="shared" ca="1" si="78"/>
        <v>0</v>
      </c>
    </row>
    <row r="274" spans="1:27">
      <c r="A274" s="8" t="str">
        <f>A273</f>
        <v>Type 16</v>
      </c>
      <c r="B274" s="7">
        <f>B273+1</f>
        <v>2022</v>
      </c>
      <c r="C274" s="7" t="str">
        <f>C273</f>
        <v>Annual</v>
      </c>
      <c r="D274" s="7">
        <f t="shared" si="79"/>
        <v>0</v>
      </c>
      <c r="E274" s="7">
        <f t="shared" si="79"/>
        <v>0</v>
      </c>
      <c r="F274" s="14">
        <f>$P$102</f>
        <v>2.5000000000000001E-3</v>
      </c>
      <c r="H274" s="9"/>
      <c r="I274" s="9"/>
      <c r="J274" s="9"/>
      <c r="K274" s="9"/>
      <c r="L274" s="9">
        <f ca="1">$F$102/$F$31</f>
        <v>0</v>
      </c>
      <c r="M274" s="9">
        <f ca="1">L274-T274</f>
        <v>0</v>
      </c>
      <c r="N274" s="9"/>
      <c r="O274" s="9"/>
      <c r="P274" s="9"/>
      <c r="Q274" s="9"/>
      <c r="R274" s="9"/>
      <c r="S274" s="9">
        <f ca="1">IF(OR($C274="Annual",$D274=$E274),IF(AND($D274=$E274,S$111=$B274+$D274),$L274,IF(AND(S$111&gt;$B274+$D274,S$111&lt;=$B274+$E274), $L274/($E274-$D274),0)), IF(OR(S$111=$B274+$D274,S$111=$B274+$E274),$L274/(($E274-$D274)*2),IF(AND(S$111&gt;$B274+$D274,S$111&lt;$B274+$E274),$L274/($E274-$D274),0)))</f>
        <v>0</v>
      </c>
      <c r="T274" s="9">
        <f>IF(OR($C274="Annual",$D274=$E274),IF(AND($D274=$E274,T$111=$B274+$D274),$L274,IF(AND(T$111&gt;$B274+$D274,T$111&lt;=$B274+$E274), $L274/($E274-$D274),0)), IF(OR(T$111=$B274+$D274,T$111=$B274+$E274),$L274/(($E274-$D274)*2),IF(AND(T$111&gt;$B274+$D274,T$111&lt;$B274+$E274),$L274/($E274-$D274),0)))</f>
        <v>0</v>
      </c>
      <c r="U274" s="9"/>
      <c r="V274" s="9"/>
      <c r="W274" s="9"/>
      <c r="X274" s="9"/>
      <c r="Y274" s="9"/>
      <c r="Z274" s="9">
        <f t="shared" si="78"/>
        <v>0</v>
      </c>
      <c r="AA274" s="9">
        <f t="shared" ca="1" si="78"/>
        <v>0</v>
      </c>
    </row>
    <row r="275" spans="1:27">
      <c r="A275" s="8" t="str">
        <f>A274</f>
        <v>Type 16</v>
      </c>
      <c r="B275" s="7">
        <f>B274+1</f>
        <v>2023</v>
      </c>
      <c r="C275" s="7" t="str">
        <f>C274</f>
        <v>Annual</v>
      </c>
      <c r="D275" s="7">
        <f t="shared" si="79"/>
        <v>0</v>
      </c>
      <c r="E275" s="7">
        <f t="shared" si="79"/>
        <v>0</v>
      </c>
      <c r="F275" s="14">
        <f>$Q$102</f>
        <v>2.5000000000000001E-3</v>
      </c>
      <c r="H275" s="9"/>
      <c r="I275" s="9"/>
      <c r="J275" s="9"/>
      <c r="K275" s="9"/>
      <c r="L275" s="9"/>
      <c r="M275" s="9">
        <f ca="1">$G$102/$G$31</f>
        <v>0</v>
      </c>
      <c r="N275" s="9"/>
      <c r="O275" s="9"/>
      <c r="P275" s="9"/>
      <c r="Q275" s="9"/>
      <c r="R275" s="9"/>
      <c r="S275" s="9"/>
      <c r="T275" s="9">
        <f ca="1">IF(OR($C275="Annual",$D275=$E275),IF(AND($D275=$E275,T$111=$B275+$D275),$M275,IF(AND(T$111&gt;$B275+$D275,T$111&lt;=$B275+$E275), $M275/($E275-$D275),0)), IF(OR(T$111=$B275+$D275,T$111=$B275+$E275),$M275/(($E275-$D275)*2),IF(AND(T$111&gt;$B275+$D275,T$111&lt;$B275+$E275),$M275/($E275-$D275),0)))</f>
        <v>0</v>
      </c>
      <c r="U275" s="9"/>
      <c r="V275" s="9"/>
      <c r="W275" s="9"/>
      <c r="X275" s="9"/>
      <c r="Y275" s="9"/>
      <c r="Z275" s="9"/>
      <c r="AA275" s="9">
        <f t="shared" si="78"/>
        <v>0</v>
      </c>
    </row>
    <row r="276" spans="1:27">
      <c r="A276" s="8"/>
      <c r="B276" s="7"/>
      <c r="C276" s="7"/>
      <c r="D276" s="7"/>
      <c r="E276" s="7"/>
      <c r="F276" s="15"/>
      <c r="H276" s="9"/>
      <c r="I276" s="9"/>
      <c r="J276" s="9"/>
      <c r="K276" s="9"/>
      <c r="L276" s="9"/>
      <c r="M276" s="9"/>
      <c r="N276" s="9"/>
      <c r="O276" s="278"/>
      <c r="P276" s="10"/>
      <c r="Q276" s="10"/>
      <c r="R276" s="10"/>
      <c r="S276" s="10"/>
      <c r="T276" s="10"/>
      <c r="U276" s="9"/>
      <c r="V276" s="10"/>
      <c r="W276" s="10"/>
      <c r="X276" s="10"/>
      <c r="Y276" s="10"/>
      <c r="Z276" s="10"/>
      <c r="AA276" s="10"/>
    </row>
    <row r="277" spans="1:27">
      <c r="A277" s="8" t="str">
        <f>'Input 4 - Forecast'!A84</f>
        <v>Type 17</v>
      </c>
      <c r="B277" s="7">
        <f>B119</f>
        <v>2018</v>
      </c>
      <c r="C277" s="7" t="str">
        <f>$I103</f>
        <v>Annual</v>
      </c>
      <c r="D277" s="7">
        <f>$J103</f>
        <v>0</v>
      </c>
      <c r="E277" s="7">
        <f>$K103</f>
        <v>0</v>
      </c>
      <c r="F277" s="14">
        <f>$L$103</f>
        <v>0</v>
      </c>
      <c r="H277" s="9">
        <f>$B$103/$B$31</f>
        <v>0</v>
      </c>
      <c r="I277" s="9">
        <f>H277-P277</f>
        <v>0</v>
      </c>
      <c r="J277" s="9">
        <f>I277-Q277</f>
        <v>0</v>
      </c>
      <c r="K277" s="9">
        <f>J277-R277</f>
        <v>0</v>
      </c>
      <c r="L277" s="9">
        <f>K277-S277</f>
        <v>0</v>
      </c>
      <c r="M277" s="9">
        <f>L277-T277</f>
        <v>0</v>
      </c>
      <c r="N277" s="9"/>
      <c r="O277" s="9">
        <f t="shared" ref="O277:T277" si="80">IF(OR($C277="Annual",$D277=$E277),IF(AND($D277=$E277,O$111=$B277+$D277),$H277,IF(AND(O$111&gt;$B277+$D277,O$111&lt;=$B277+$E277), $H277/($E277-$D277),0)), IF(OR(O$111=$B277+$D277,O$111=$B277+$E277),$H277/(($E277-$D277)*2),IF(AND(O$111&gt;$B277+$D277,O$111&lt;$B277+$E277),$H277/($E277-$D277),0)))</f>
        <v>0</v>
      </c>
      <c r="P277" s="9">
        <f t="shared" si="80"/>
        <v>0</v>
      </c>
      <c r="Q277" s="9">
        <f t="shared" si="80"/>
        <v>0</v>
      </c>
      <c r="R277" s="9">
        <f t="shared" si="80"/>
        <v>0</v>
      </c>
      <c r="S277" s="9">
        <f t="shared" si="80"/>
        <v>0</v>
      </c>
      <c r="T277" s="9">
        <f t="shared" si="80"/>
        <v>0</v>
      </c>
      <c r="U277" s="9"/>
      <c r="V277" s="9">
        <f>IF($C277="annual",IF(V$111=$B277,0,G277*$F277),IF(V$111-$B277=0,0,IF((V$111-$B277)&lt;$E277,AVERAGE(G277,H277)*$F277,IF((V$111-$B277)=$E277,G277*$F277/2,0))))</f>
        <v>0</v>
      </c>
      <c r="W277" s="9">
        <f t="shared" ref="W277:AA282" si="81">IF($C277="annual",IF(W$111=$B277,0,H277*$F277),IF(W$111-$B277=0,0,IF((W$111-$B277)&lt;$E277,AVERAGE(H277,I277)*$F277,IF((W$111-$B277)=$E277,H277*$F277/2,0))))</f>
        <v>0</v>
      </c>
      <c r="X277" s="9">
        <f t="shared" si="81"/>
        <v>0</v>
      </c>
      <c r="Y277" s="9">
        <f t="shared" si="81"/>
        <v>0</v>
      </c>
      <c r="Z277" s="9">
        <f t="shared" si="81"/>
        <v>0</v>
      </c>
      <c r="AA277" s="9">
        <f t="shared" si="81"/>
        <v>0</v>
      </c>
    </row>
    <row r="278" spans="1:27">
      <c r="A278" s="8" t="str">
        <f>A277</f>
        <v>Type 17</v>
      </c>
      <c r="B278" s="7">
        <f>B277+1</f>
        <v>2019</v>
      </c>
      <c r="C278" s="7" t="str">
        <f>C277</f>
        <v>Annual</v>
      </c>
      <c r="D278" s="7">
        <f t="shared" ref="D278:E282" si="82">D277</f>
        <v>0</v>
      </c>
      <c r="E278" s="7">
        <f t="shared" si="82"/>
        <v>0</v>
      </c>
      <c r="F278" s="14">
        <f>$M$103</f>
        <v>2.5000000000000001E-3</v>
      </c>
      <c r="H278" s="9"/>
      <c r="I278" s="9">
        <f ca="1">$C$103/$C$31</f>
        <v>0</v>
      </c>
      <c r="J278" s="9">
        <f ca="1">I278-Q278</f>
        <v>0</v>
      </c>
      <c r="K278" s="9">
        <f ca="1">J278-R278</f>
        <v>0</v>
      </c>
      <c r="L278" s="9">
        <f ca="1">K278-S278</f>
        <v>0</v>
      </c>
      <c r="M278" s="9">
        <f ca="1">L278-T278</f>
        <v>0</v>
      </c>
      <c r="N278" s="9"/>
      <c r="O278" s="9"/>
      <c r="P278" s="9">
        <f ca="1">IF(OR($C278="Annual",$D278=$E278),IF(AND($D278=$E278,P$111=$B278+$D278),$I278,IF(AND(P$111&gt;$B278+$D278,P$111&lt;=$B278+$E278), $I278/($E278-$D278),0)), IF(OR(P$111=$B278+$D278,P$111=$B278+$E278),$I278/(($E278-$D278)*2),IF(AND(P$111&gt;$B278+$D278,P$111&lt;$B278+$E278),$I278/($E278-$D278),0)))</f>
        <v>0</v>
      </c>
      <c r="Q278" s="9">
        <f>IF(OR($C278="Annual",$D278=$E278),IF(AND($D278=$E278,Q$111=$B278+$D278),$I278,IF(AND(Q$111&gt;$B278+$D278,Q$111&lt;=$B278+$E278), $I278/($E278-$D278),0)), IF(OR(Q$111=$B278+$D278,Q$111=$B278+$E278),$I278/(($E278-$D278)*2),IF(AND(Q$111&gt;$B278+$D278,Q$111&lt;$B278+$E278),$I278/($E278-$D278),0)))</f>
        <v>0</v>
      </c>
      <c r="R278" s="9">
        <f>IF(OR($C278="Annual",$D278=$E278),IF(AND($D278=$E278,R$111=$B278+$D278),$I278,IF(AND(R$111&gt;$B278+$D278,R$111&lt;=$B278+$E278), $I278/($E278-$D278),0)), IF(OR(R$111=$B278+$D278,R$111=$B278+$E278),$I278/(($E278-$D278)*2),IF(AND(R$111&gt;$B278+$D278,R$111&lt;$B278+$E278),$I278/($E278-$D278),0)))</f>
        <v>0</v>
      </c>
      <c r="S278" s="9">
        <f>IF(OR($C278="Annual",$D278=$E278),IF(AND($D278=$E278,S$111=$B278+$D278),$I278,IF(AND(S$111&gt;$B278+$D278,S$111&lt;=$B278+$E278), $I278/($E278-$D278),0)), IF(OR(S$111=$B278+$D278,S$111=$B278+$E278),$I278/(($E278-$D278)*2),IF(AND(S$111&gt;$B278+$D278,S$111&lt;$B278+$E278),$I278/($E278-$D278),0)))</f>
        <v>0</v>
      </c>
      <c r="T278" s="9">
        <f>IF(OR($C278="Annual",$D278=$E278),IF(AND($D278=$E278,T$111=$B278+$D278),$I278,IF(AND(T$111&gt;$B278+$D278,T$111&lt;=$B278+$E278), $I278/($E278-$D278),0)), IF(OR(T$111=$B278+$D278,T$111=$B278+$E278),$I278/(($E278-$D278)*2),IF(AND(T$111&gt;$B278+$D278,T$111&lt;$B278+$E278),$I278/($E278-$D278),0)))</f>
        <v>0</v>
      </c>
      <c r="U278" s="9"/>
      <c r="V278" s="9"/>
      <c r="W278" s="9">
        <f t="shared" si="81"/>
        <v>0</v>
      </c>
      <c r="X278" s="9">
        <f t="shared" ca="1" si="81"/>
        <v>0</v>
      </c>
      <c r="Y278" s="9">
        <f t="shared" ca="1" si="81"/>
        <v>0</v>
      </c>
      <c r="Z278" s="9">
        <f t="shared" ca="1" si="81"/>
        <v>0</v>
      </c>
      <c r="AA278" s="9">
        <f t="shared" ca="1" si="81"/>
        <v>0</v>
      </c>
    </row>
    <row r="279" spans="1:27">
      <c r="A279" s="8" t="str">
        <f>A278</f>
        <v>Type 17</v>
      </c>
      <c r="B279" s="7">
        <f>B278+1</f>
        <v>2020</v>
      </c>
      <c r="C279" s="7" t="str">
        <f>C278</f>
        <v>Annual</v>
      </c>
      <c r="D279" s="7">
        <f t="shared" si="82"/>
        <v>0</v>
      </c>
      <c r="E279" s="7">
        <f t="shared" si="82"/>
        <v>0</v>
      </c>
      <c r="F279" s="14">
        <f>$N$103</f>
        <v>2.5000000000000001E-3</v>
      </c>
      <c r="H279" s="9"/>
      <c r="I279" s="9"/>
      <c r="J279" s="9">
        <f ca="1">$D$103/$D$31</f>
        <v>0</v>
      </c>
      <c r="K279" s="9">
        <f ca="1">J279-R279</f>
        <v>0</v>
      </c>
      <c r="L279" s="9">
        <f ca="1">K279-S279</f>
        <v>0</v>
      </c>
      <c r="M279" s="9">
        <f ca="1">L279-T279</f>
        <v>0</v>
      </c>
      <c r="N279" s="9"/>
      <c r="O279" s="9"/>
      <c r="P279" s="9"/>
      <c r="Q279" s="9">
        <f ca="1">IF(OR($C279="Annual",$D279=$E279),IF(AND($D279=$E279,Q$111=$B279+$D279),$J279,IF(AND(Q$111&gt;$B279+$D279,Q$111&lt;=$B279+$E279), $J279/($E279-$D279),0)), IF(OR(Q$111=$B279+$D279,Q$111=$B279+$E279),$J279/(($E279-$D279)*2),IF(AND(Q$111&gt;$B279+$D279,Q$111&lt;$B279+$E279),$J279/($E279-$D279),0)))</f>
        <v>0</v>
      </c>
      <c r="R279" s="9">
        <f>IF(OR($C279="Annual",$D279=$E279),IF(AND($D279=$E279,R$111=$B279+$D279),$J279,IF(AND(R$111&gt;$B279+$D279,R$111&lt;=$B279+$E279), $J279/($E279-$D279),0)), IF(OR(R$111=$B279+$D279,R$111=$B279+$E279),$J279/(($E279-$D279)*2),IF(AND(R$111&gt;$B279+$D279,R$111&lt;$B279+$E279),$J279/($E279-$D279),0)))</f>
        <v>0</v>
      </c>
      <c r="S279" s="9">
        <f>IF(OR($C279="Annual",$D279=$E279),IF(AND($D279=$E279,S$111=$B279+$D279),$J279,IF(AND(S$111&gt;$B279+$D279,S$111&lt;=$B279+$E279), $J279/($E279-$D279),0)), IF(OR(S$111=$B279+$D279,S$111=$B279+$E279),$J279/(($E279-$D279)*2),IF(AND(S$111&gt;$B279+$D279,S$111&lt;$B279+$E279),$J279/($E279-$D279),0)))</f>
        <v>0</v>
      </c>
      <c r="T279" s="9">
        <f>IF(OR($C279="Annual",$D279=$E279),IF(AND($D279=$E279,T$111=$B279+$D279),$J279,IF(AND(T$111&gt;$B279+$D279,T$111&lt;=$B279+$E279), $J279/($E279-$D279),0)), IF(OR(T$111=$B279+$D279,T$111=$B279+$E279),$J279/(($E279-$D279)*2),IF(AND(T$111&gt;$B279+$D279,T$111&lt;$B279+$E279),$J279/($E279-$D279),0)))</f>
        <v>0</v>
      </c>
      <c r="U279" s="9"/>
      <c r="V279" s="9"/>
      <c r="W279" s="9"/>
      <c r="X279" s="9">
        <f t="shared" si="81"/>
        <v>0</v>
      </c>
      <c r="Y279" s="9">
        <f t="shared" ca="1" si="81"/>
        <v>0</v>
      </c>
      <c r="Z279" s="9">
        <f t="shared" ca="1" si="81"/>
        <v>0</v>
      </c>
      <c r="AA279" s="9">
        <f t="shared" ca="1" si="81"/>
        <v>0</v>
      </c>
    </row>
    <row r="280" spans="1:27">
      <c r="A280" s="8" t="str">
        <f>A279</f>
        <v>Type 17</v>
      </c>
      <c r="B280" s="7">
        <f>B279+1</f>
        <v>2021</v>
      </c>
      <c r="C280" s="7" t="str">
        <f>C279</f>
        <v>Annual</v>
      </c>
      <c r="D280" s="7">
        <f t="shared" si="82"/>
        <v>0</v>
      </c>
      <c r="E280" s="7">
        <f t="shared" si="82"/>
        <v>0</v>
      </c>
      <c r="F280" s="14">
        <f>$O$103</f>
        <v>2.5000000000000001E-3</v>
      </c>
      <c r="H280" s="9"/>
      <c r="I280" s="9"/>
      <c r="J280" s="9"/>
      <c r="K280" s="9">
        <f ca="1">$E$103/$E$31</f>
        <v>0</v>
      </c>
      <c r="L280" s="9">
        <f ca="1">K280-S280</f>
        <v>0</v>
      </c>
      <c r="M280" s="9">
        <f ca="1">L280-T280</f>
        <v>0</v>
      </c>
      <c r="N280" s="9"/>
      <c r="O280" s="9"/>
      <c r="P280" s="9"/>
      <c r="Q280" s="9"/>
      <c r="R280" s="9">
        <f ca="1">IF(OR($C280="Annual",$D280=$E280),IF(AND($D280=$E280,R$111=$B280+$D280),$K280,IF(AND(R$111&gt;$B280+$D280,R$111&lt;=$B280+$E280), $K280/($E280-$D280),0)), IF(OR(R$111=$B280+$D280,R$111=$B280+$E280),$K280/(($E280-$D280)*2),IF(AND(R$111&gt;$B280+$D280,R$111&lt;$B280+$E280),$K280/($E280-$D280),0)))</f>
        <v>0</v>
      </c>
      <c r="S280" s="9">
        <f>IF(OR($C280="Annual",$D280=$E280),IF(AND($D280=$E280,S$111=$B280+$D280),$K280,IF(AND(S$111&gt;$B280+$D280,S$111&lt;=$B280+$E280), $K280/($E280-$D280),0)), IF(OR(S$111=$B280+$D280,S$111=$B280+$E280),$K280/(($E280-$D280)*2),IF(AND(S$111&gt;$B280+$D280,S$111&lt;$B280+$E280),$K280/($E280-$D280),0)))</f>
        <v>0</v>
      </c>
      <c r="T280" s="9">
        <f>IF(OR($C280="Annual",$D280=$E280),IF(AND($D280=$E280,T$111=$B280+$D280),$K280,IF(AND(T$111&gt;$B280+$D280,T$111&lt;=$B280+$E280), $K280/($E280-$D280),0)), IF(OR(T$111=$B280+$D280,T$111=$B280+$E280),$K280/(($E280-$D280)*2),IF(AND(T$111&gt;$B280+$D280,T$111&lt;$B280+$E280),$K280/($E280-$D280),0)))</f>
        <v>0</v>
      </c>
      <c r="U280" s="9"/>
      <c r="V280" s="9"/>
      <c r="W280" s="9"/>
      <c r="X280" s="9"/>
      <c r="Y280" s="9">
        <f t="shared" si="81"/>
        <v>0</v>
      </c>
      <c r="Z280" s="9">
        <f t="shared" ca="1" si="81"/>
        <v>0</v>
      </c>
      <c r="AA280" s="9">
        <f t="shared" ca="1" si="81"/>
        <v>0</v>
      </c>
    </row>
    <row r="281" spans="1:27">
      <c r="A281" s="8" t="str">
        <f>A280</f>
        <v>Type 17</v>
      </c>
      <c r="B281" s="7">
        <f>B280+1</f>
        <v>2022</v>
      </c>
      <c r="C281" s="7" t="str">
        <f>C280</f>
        <v>Annual</v>
      </c>
      <c r="D281" s="7">
        <f t="shared" si="82"/>
        <v>0</v>
      </c>
      <c r="E281" s="7">
        <f t="shared" si="82"/>
        <v>0</v>
      </c>
      <c r="F281" s="14">
        <f>$P$103</f>
        <v>2.5000000000000001E-3</v>
      </c>
      <c r="H281" s="9"/>
      <c r="I281" s="9"/>
      <c r="J281" s="9"/>
      <c r="K281" s="9"/>
      <c r="L281" s="9">
        <f ca="1">$F$103/$F$31</f>
        <v>0</v>
      </c>
      <c r="M281" s="9">
        <f ca="1">L281-T281</f>
        <v>0</v>
      </c>
      <c r="N281" s="9"/>
      <c r="O281" s="9"/>
      <c r="P281" s="9"/>
      <c r="Q281" s="9"/>
      <c r="R281" s="9"/>
      <c r="S281" s="9">
        <f ca="1">IF(OR($C281="Annual",$D281=$E281),IF(AND($D281=$E281,S$111=$B281+$D281),$L281,IF(AND(S$111&gt;$B281+$D281,S$111&lt;=$B281+$E281), $L281/($E281-$D281),0)), IF(OR(S$111=$B281+$D281,S$111=$B281+$E281),$L281/(($E281-$D281)*2),IF(AND(S$111&gt;$B281+$D281,S$111&lt;$B281+$E281),$L281/($E281-$D281),0)))</f>
        <v>0</v>
      </c>
      <c r="T281" s="9">
        <f>IF(OR($C281="Annual",$D281=$E281),IF(AND($D281=$E281,T$111=$B281+$D281),$L281,IF(AND(T$111&gt;$B281+$D281,T$111&lt;=$B281+$E281), $L281/($E281-$D281),0)), IF(OR(T$111=$B281+$D281,T$111=$B281+$E281),$L281/(($E281-$D281)*2),IF(AND(T$111&gt;$B281+$D281,T$111&lt;$B281+$E281),$L281/($E281-$D281),0)))</f>
        <v>0</v>
      </c>
      <c r="U281" s="9"/>
      <c r="V281" s="9"/>
      <c r="W281" s="9"/>
      <c r="X281" s="9"/>
      <c r="Y281" s="9"/>
      <c r="Z281" s="9">
        <f t="shared" si="81"/>
        <v>0</v>
      </c>
      <c r="AA281" s="9">
        <f t="shared" ca="1" si="81"/>
        <v>0</v>
      </c>
    </row>
    <row r="282" spans="1:27">
      <c r="A282" s="8" t="str">
        <f>A281</f>
        <v>Type 17</v>
      </c>
      <c r="B282" s="7">
        <f>B281+1</f>
        <v>2023</v>
      </c>
      <c r="C282" s="7" t="str">
        <f>C281</f>
        <v>Annual</v>
      </c>
      <c r="D282" s="7">
        <f t="shared" si="82"/>
        <v>0</v>
      </c>
      <c r="E282" s="7">
        <f t="shared" si="82"/>
        <v>0</v>
      </c>
      <c r="F282" s="14">
        <f>$Q$103</f>
        <v>2.5000000000000001E-3</v>
      </c>
      <c r="H282" s="9"/>
      <c r="I282" s="9"/>
      <c r="J282" s="9"/>
      <c r="K282" s="9"/>
      <c r="L282" s="9"/>
      <c r="M282" s="9">
        <f ca="1">$G$103/$G$31</f>
        <v>0</v>
      </c>
      <c r="N282" s="9"/>
      <c r="O282" s="9"/>
      <c r="P282" s="9"/>
      <c r="Q282" s="9"/>
      <c r="R282" s="9"/>
      <c r="S282" s="9"/>
      <c r="T282" s="9">
        <f ca="1">IF(OR($C282="Annual",$D282=$E282),IF(AND($D282=$E282,T$111=$B282+$D282),$M282,IF(AND(T$111&gt;$B282+$D282,T$111&lt;=$B282+$E282), $M282/($E282-$D282),0)), IF(OR(T$111=$B282+$D282,T$111=$B282+$E282),$M282/(($E282-$D282)*2),IF(AND(T$111&gt;$B282+$D282,T$111&lt;$B282+$E282),$M282/($E282-$D282),0)))</f>
        <v>0</v>
      </c>
      <c r="U282" s="9"/>
      <c r="V282" s="9"/>
      <c r="W282" s="9"/>
      <c r="X282" s="9"/>
      <c r="Y282" s="9"/>
      <c r="Z282" s="9"/>
      <c r="AA282" s="9">
        <f t="shared" si="81"/>
        <v>0</v>
      </c>
    </row>
    <row r="283" spans="1:27">
      <c r="A283" s="8"/>
      <c r="B283" s="7"/>
      <c r="C283" s="7"/>
      <c r="D283" s="7"/>
      <c r="E283" s="7"/>
      <c r="F283" s="15"/>
      <c r="H283" s="9"/>
      <c r="I283" s="9"/>
      <c r="J283" s="9"/>
      <c r="K283" s="9"/>
      <c r="L283" s="9"/>
      <c r="M283" s="9"/>
      <c r="N283" s="9"/>
      <c r="O283" s="278"/>
      <c r="P283" s="10"/>
      <c r="Q283" s="10"/>
      <c r="R283" s="10"/>
      <c r="S283" s="10"/>
      <c r="T283" s="10"/>
      <c r="U283" s="9"/>
      <c r="V283" s="10"/>
      <c r="W283" s="10"/>
      <c r="X283" s="10"/>
      <c r="Y283" s="10"/>
      <c r="Z283" s="10"/>
      <c r="AA283" s="10"/>
    </row>
    <row r="284" spans="1:27">
      <c r="A284" s="8" t="str">
        <f>'Input 4 - Forecast'!A85</f>
        <v>Type 18</v>
      </c>
      <c r="B284" s="7">
        <f>B119</f>
        <v>2018</v>
      </c>
      <c r="C284" s="7" t="str">
        <f>$I104</f>
        <v>Annual</v>
      </c>
      <c r="D284" s="7">
        <f>$J104</f>
        <v>0</v>
      </c>
      <c r="E284" s="7">
        <f>$K104</f>
        <v>0</v>
      </c>
      <c r="F284" s="14">
        <f>$L$104</f>
        <v>0</v>
      </c>
      <c r="H284" s="9">
        <f>$B$104/$B$31</f>
        <v>0</v>
      </c>
      <c r="I284" s="9">
        <f>H284-P284</f>
        <v>0</v>
      </c>
      <c r="J284" s="9">
        <f>I284-Q284</f>
        <v>0</v>
      </c>
      <c r="K284" s="9">
        <f>J284-R284</f>
        <v>0</v>
      </c>
      <c r="L284" s="9">
        <f>K284-S284</f>
        <v>0</v>
      </c>
      <c r="M284" s="9">
        <f>L284-T284</f>
        <v>0</v>
      </c>
      <c r="N284" s="9"/>
      <c r="O284" s="9">
        <f t="shared" ref="O284:T284" si="83">IF(OR($C284="Annual",$D284=$E284),IF(AND($D284=$E284,O$111=$B284+$D284),$H284,IF(AND(O$111&gt;$B284+$D284,O$111&lt;=$B284+$E284), $H284/($E284-$D284),0)), IF(OR(O$111=$B284+$D284,O$111=$B284+$E284),$H284/(($E284-$D284)*2),IF(AND(O$111&gt;$B284+$D284,O$111&lt;$B284+$E284),$H284/($E284-$D284),0)))</f>
        <v>0</v>
      </c>
      <c r="P284" s="9">
        <f t="shared" si="83"/>
        <v>0</v>
      </c>
      <c r="Q284" s="9">
        <f t="shared" si="83"/>
        <v>0</v>
      </c>
      <c r="R284" s="9">
        <f t="shared" si="83"/>
        <v>0</v>
      </c>
      <c r="S284" s="9">
        <f t="shared" si="83"/>
        <v>0</v>
      </c>
      <c r="T284" s="9">
        <f t="shared" si="83"/>
        <v>0</v>
      </c>
      <c r="U284" s="9"/>
      <c r="V284" s="9">
        <f>IF($C284="annual",IF(V$111=$B284,0,G284*$F284),IF(V$111-$B284=0,0,IF((V$111-$B284)&lt;$E284,AVERAGE(G284,H284)*$F284,IF((V$111-$B284)=$E284,G284*$F284/2,0))))</f>
        <v>0</v>
      </c>
      <c r="W284" s="9">
        <f t="shared" ref="W284:AA289" si="84">IF($C284="annual",IF(W$111=$B284,0,H284*$F284),IF(W$111-$B284=0,0,IF((W$111-$B284)&lt;$E284,AVERAGE(H284,I284)*$F284,IF((W$111-$B284)=$E284,H284*$F284/2,0))))</f>
        <v>0</v>
      </c>
      <c r="X284" s="9">
        <f t="shared" si="84"/>
        <v>0</v>
      </c>
      <c r="Y284" s="9">
        <f t="shared" si="84"/>
        <v>0</v>
      </c>
      <c r="Z284" s="9">
        <f t="shared" si="84"/>
        <v>0</v>
      </c>
      <c r="AA284" s="9">
        <f t="shared" si="84"/>
        <v>0</v>
      </c>
    </row>
    <row r="285" spans="1:27">
      <c r="A285" s="8" t="str">
        <f>A284</f>
        <v>Type 18</v>
      </c>
      <c r="B285" s="7">
        <f>B284+1</f>
        <v>2019</v>
      </c>
      <c r="C285" s="7" t="str">
        <f>C284</f>
        <v>Annual</v>
      </c>
      <c r="D285" s="7">
        <f t="shared" ref="D285:E289" si="85">D284</f>
        <v>0</v>
      </c>
      <c r="E285" s="7">
        <f t="shared" si="85"/>
        <v>0</v>
      </c>
      <c r="F285" s="14">
        <f>$M$104</f>
        <v>2.5000000000000001E-3</v>
      </c>
      <c r="H285" s="9"/>
      <c r="I285" s="9">
        <f ca="1">$C$104/$C$31</f>
        <v>0</v>
      </c>
      <c r="J285" s="9">
        <f ca="1">I285-Q285</f>
        <v>0</v>
      </c>
      <c r="K285" s="9">
        <f ca="1">J285-R285</f>
        <v>0</v>
      </c>
      <c r="L285" s="9">
        <f ca="1">K285-S285</f>
        <v>0</v>
      </c>
      <c r="M285" s="9">
        <f ca="1">L285-T285</f>
        <v>0</v>
      </c>
      <c r="N285" s="9"/>
      <c r="O285" s="9"/>
      <c r="P285" s="9">
        <f ca="1">IF(OR($C285="Annual",$D285=$E285),IF(AND($D285=$E285,P$111=$B285+$D285),$I285,IF(AND(P$111&gt;$B285+$D285,P$111&lt;=$B285+$E285), $I285/($E285-$D285),0)), IF(OR(P$111=$B285+$D285,P$111=$B285+$E285),$I285/(($E285-$D285)*2),IF(AND(P$111&gt;$B285+$D285,P$111&lt;$B285+$E285),$I285/($E285-$D285),0)))</f>
        <v>0</v>
      </c>
      <c r="Q285" s="9">
        <f>IF(OR($C285="Annual",$D285=$E285),IF(AND($D285=$E285,Q$111=$B285+$D285),$I285,IF(AND(Q$111&gt;$B285+$D285,Q$111&lt;=$B285+$E285), $I285/($E285-$D285),0)), IF(OR(Q$111=$B285+$D285,Q$111=$B285+$E285),$I285/(($E285-$D285)*2),IF(AND(Q$111&gt;$B285+$D285,Q$111&lt;$B285+$E285),$I285/($E285-$D285),0)))</f>
        <v>0</v>
      </c>
      <c r="R285" s="9">
        <f>IF(OR($C285="Annual",$D285=$E285),IF(AND($D285=$E285,R$111=$B285+$D285),$I285,IF(AND(R$111&gt;$B285+$D285,R$111&lt;=$B285+$E285), $I285/($E285-$D285),0)), IF(OR(R$111=$B285+$D285,R$111=$B285+$E285),$I285/(($E285-$D285)*2),IF(AND(R$111&gt;$B285+$D285,R$111&lt;$B285+$E285),$I285/($E285-$D285),0)))</f>
        <v>0</v>
      </c>
      <c r="S285" s="9">
        <f>IF(OR($C285="Annual",$D285=$E285),IF(AND($D285=$E285,S$111=$B285+$D285),$I285,IF(AND(S$111&gt;$B285+$D285,S$111&lt;=$B285+$E285), $I285/($E285-$D285),0)), IF(OR(S$111=$B285+$D285,S$111=$B285+$E285),$I285/(($E285-$D285)*2),IF(AND(S$111&gt;$B285+$D285,S$111&lt;$B285+$E285),$I285/($E285-$D285),0)))</f>
        <v>0</v>
      </c>
      <c r="T285" s="9">
        <f>IF(OR($C285="Annual",$D285=$E285),IF(AND($D285=$E285,T$111=$B285+$D285),$I285,IF(AND(T$111&gt;$B285+$D285,T$111&lt;=$B285+$E285), $I285/($E285-$D285),0)), IF(OR(T$111=$B285+$D285,T$111=$B285+$E285),$I285/(($E285-$D285)*2),IF(AND(T$111&gt;$B285+$D285,T$111&lt;$B285+$E285),$I285/($E285-$D285),0)))</f>
        <v>0</v>
      </c>
      <c r="U285" s="9"/>
      <c r="V285" s="9"/>
      <c r="W285" s="9">
        <f t="shared" si="84"/>
        <v>0</v>
      </c>
      <c r="X285" s="9">
        <f t="shared" ca="1" si="84"/>
        <v>0</v>
      </c>
      <c r="Y285" s="9">
        <f t="shared" ca="1" si="84"/>
        <v>0</v>
      </c>
      <c r="Z285" s="9">
        <f t="shared" ca="1" si="84"/>
        <v>0</v>
      </c>
      <c r="AA285" s="9">
        <f t="shared" ca="1" si="84"/>
        <v>0</v>
      </c>
    </row>
    <row r="286" spans="1:27">
      <c r="A286" s="8" t="str">
        <f>A285</f>
        <v>Type 18</v>
      </c>
      <c r="B286" s="7">
        <f>B285+1</f>
        <v>2020</v>
      </c>
      <c r="C286" s="7" t="str">
        <f>C285</f>
        <v>Annual</v>
      </c>
      <c r="D286" s="7">
        <f t="shared" si="85"/>
        <v>0</v>
      </c>
      <c r="E286" s="7">
        <f t="shared" si="85"/>
        <v>0</v>
      </c>
      <c r="F286" s="14">
        <f>$N$104</f>
        <v>2.5000000000000001E-3</v>
      </c>
      <c r="H286" s="9"/>
      <c r="I286" s="9"/>
      <c r="J286" s="9">
        <f ca="1">$D$104/$D$31</f>
        <v>0</v>
      </c>
      <c r="K286" s="9">
        <f ca="1">J286-R286</f>
        <v>0</v>
      </c>
      <c r="L286" s="9">
        <f ca="1">K286-S286</f>
        <v>0</v>
      </c>
      <c r="M286" s="9">
        <f ca="1">L286-T286</f>
        <v>0</v>
      </c>
      <c r="N286" s="9"/>
      <c r="O286" s="9"/>
      <c r="P286" s="9"/>
      <c r="Q286" s="9">
        <f ca="1">IF(OR($C286="Annual",$D286=$E286),IF(AND($D286=$E286,Q$111=$B286+$D286),$J286,IF(AND(Q$111&gt;$B286+$D286,Q$111&lt;=$B286+$E286), $J286/($E286-$D286),0)), IF(OR(Q$111=$B286+$D286,Q$111=$B286+$E286),$J286/(($E286-$D286)*2),IF(AND(Q$111&gt;$B286+$D286,Q$111&lt;$B286+$E286),$J286/($E286-$D286),0)))</f>
        <v>0</v>
      </c>
      <c r="R286" s="9">
        <f>IF(OR($C286="Annual",$D286=$E286),IF(AND($D286=$E286,R$111=$B286+$D286),$J286,IF(AND(R$111&gt;$B286+$D286,R$111&lt;=$B286+$E286), $J286/($E286-$D286),0)), IF(OR(R$111=$B286+$D286,R$111=$B286+$E286),$J286/(($E286-$D286)*2),IF(AND(R$111&gt;$B286+$D286,R$111&lt;$B286+$E286),$J286/($E286-$D286),0)))</f>
        <v>0</v>
      </c>
      <c r="S286" s="9">
        <f>IF(OR($C286="Annual",$D286=$E286),IF(AND($D286=$E286,S$111=$B286+$D286),$J286,IF(AND(S$111&gt;$B286+$D286,S$111&lt;=$B286+$E286), $J286/($E286-$D286),0)), IF(OR(S$111=$B286+$D286,S$111=$B286+$E286),$J286/(($E286-$D286)*2),IF(AND(S$111&gt;$B286+$D286,S$111&lt;$B286+$E286),$J286/($E286-$D286),0)))</f>
        <v>0</v>
      </c>
      <c r="T286" s="9">
        <f>IF(OR($C286="Annual",$D286=$E286),IF(AND($D286=$E286,T$111=$B286+$D286),$J286,IF(AND(T$111&gt;$B286+$D286,T$111&lt;=$B286+$E286), $J286/($E286-$D286),0)), IF(OR(T$111=$B286+$D286,T$111=$B286+$E286),$J286/(($E286-$D286)*2),IF(AND(T$111&gt;$B286+$D286,T$111&lt;$B286+$E286),$J286/($E286-$D286),0)))</f>
        <v>0</v>
      </c>
      <c r="U286" s="9"/>
      <c r="V286" s="9"/>
      <c r="W286" s="9"/>
      <c r="X286" s="9">
        <f t="shared" si="84"/>
        <v>0</v>
      </c>
      <c r="Y286" s="9">
        <f t="shared" ca="1" si="84"/>
        <v>0</v>
      </c>
      <c r="Z286" s="9">
        <f t="shared" ca="1" si="84"/>
        <v>0</v>
      </c>
      <c r="AA286" s="9">
        <f t="shared" ca="1" si="84"/>
        <v>0</v>
      </c>
    </row>
    <row r="287" spans="1:27">
      <c r="A287" s="8" t="str">
        <f>A286</f>
        <v>Type 18</v>
      </c>
      <c r="B287" s="7">
        <f>B286+1</f>
        <v>2021</v>
      </c>
      <c r="C287" s="7" t="str">
        <f>C286</f>
        <v>Annual</v>
      </c>
      <c r="D287" s="7">
        <f t="shared" si="85"/>
        <v>0</v>
      </c>
      <c r="E287" s="7">
        <f t="shared" si="85"/>
        <v>0</v>
      </c>
      <c r="F287" s="14">
        <f>$O$104</f>
        <v>2.5000000000000001E-3</v>
      </c>
      <c r="H287" s="9"/>
      <c r="I287" s="9"/>
      <c r="J287" s="9"/>
      <c r="K287" s="9">
        <f ca="1">$E$104/$E$31</f>
        <v>0</v>
      </c>
      <c r="L287" s="9">
        <f ca="1">K287-S287</f>
        <v>0</v>
      </c>
      <c r="M287" s="9">
        <f ca="1">L287-T287</f>
        <v>0</v>
      </c>
      <c r="N287" s="9"/>
      <c r="O287" s="9"/>
      <c r="P287" s="9"/>
      <c r="Q287" s="9"/>
      <c r="R287" s="9">
        <f ca="1">IF(OR($C287="Annual",$D287=$E287),IF(AND($D287=$E287,R$111=$B287+$D287),$K287,IF(AND(R$111&gt;$B287+$D287,R$111&lt;=$B287+$E287), $K287/($E287-$D287),0)), IF(OR(R$111=$B287+$D287,R$111=$B287+$E287),$K287/(($E287-$D287)*2),IF(AND(R$111&gt;$B287+$D287,R$111&lt;$B287+$E287),$K287/($E287-$D287),0)))</f>
        <v>0</v>
      </c>
      <c r="S287" s="9">
        <f>IF(OR($C287="Annual",$D287=$E287),IF(AND($D287=$E287,S$111=$B287+$D287),$K287,IF(AND(S$111&gt;$B287+$D287,S$111&lt;=$B287+$E287), $K287/($E287-$D287),0)), IF(OR(S$111=$B287+$D287,S$111=$B287+$E287),$K287/(($E287-$D287)*2),IF(AND(S$111&gt;$B287+$D287,S$111&lt;$B287+$E287),$K287/($E287-$D287),0)))</f>
        <v>0</v>
      </c>
      <c r="T287" s="9">
        <f>IF(OR($C287="Annual",$D287=$E287),IF(AND($D287=$E287,T$111=$B287+$D287),$K287,IF(AND(T$111&gt;$B287+$D287,T$111&lt;=$B287+$E287), $K287/($E287-$D287),0)), IF(OR(T$111=$B287+$D287,T$111=$B287+$E287),$K287/(($E287-$D287)*2),IF(AND(T$111&gt;$B287+$D287,T$111&lt;$B287+$E287),$K287/($E287-$D287),0)))</f>
        <v>0</v>
      </c>
      <c r="U287" s="9"/>
      <c r="V287" s="9"/>
      <c r="W287" s="9"/>
      <c r="X287" s="9"/>
      <c r="Y287" s="9">
        <f t="shared" si="84"/>
        <v>0</v>
      </c>
      <c r="Z287" s="9">
        <f t="shared" ca="1" si="84"/>
        <v>0</v>
      </c>
      <c r="AA287" s="9">
        <f t="shared" ca="1" si="84"/>
        <v>0</v>
      </c>
    </row>
    <row r="288" spans="1:27">
      <c r="A288" s="8" t="str">
        <f>A287</f>
        <v>Type 18</v>
      </c>
      <c r="B288" s="7">
        <f>B287+1</f>
        <v>2022</v>
      </c>
      <c r="C288" s="7" t="str">
        <f>C287</f>
        <v>Annual</v>
      </c>
      <c r="D288" s="7">
        <f t="shared" si="85"/>
        <v>0</v>
      </c>
      <c r="E288" s="7">
        <f t="shared" si="85"/>
        <v>0</v>
      </c>
      <c r="F288" s="14">
        <f>$P$104</f>
        <v>2.5000000000000001E-3</v>
      </c>
      <c r="H288" s="9"/>
      <c r="I288" s="9"/>
      <c r="J288" s="9"/>
      <c r="K288" s="9"/>
      <c r="L288" s="9">
        <f ca="1">$F$104/$F$31</f>
        <v>0</v>
      </c>
      <c r="M288" s="9">
        <f ca="1">L288-T288</f>
        <v>0</v>
      </c>
      <c r="N288" s="9"/>
      <c r="O288" s="9"/>
      <c r="P288" s="9"/>
      <c r="Q288" s="9"/>
      <c r="R288" s="9"/>
      <c r="S288" s="9">
        <f ca="1">IF(OR($C288="Annual",$D288=$E288),IF(AND($D288=$E288,S$111=$B288+$D288),$L288,IF(AND(S$111&gt;$B288+$D288,S$111&lt;=$B288+$E288), $L288/($E288-$D288),0)), IF(OR(S$111=$B288+$D288,S$111=$B288+$E288),$L288/(($E288-$D288)*2),IF(AND(S$111&gt;$B288+$D288,S$111&lt;$B288+$E288),$L288/($E288-$D288),0)))</f>
        <v>0</v>
      </c>
      <c r="T288" s="9">
        <f>IF(OR($C288="Annual",$D288=$E288),IF(AND($D288=$E288,T$111=$B288+$D288),$L288,IF(AND(T$111&gt;$B288+$D288,T$111&lt;=$B288+$E288), $L288/($E288-$D288),0)), IF(OR(T$111=$B288+$D288,T$111=$B288+$E288),$L288/(($E288-$D288)*2),IF(AND(T$111&gt;$B288+$D288,T$111&lt;$B288+$E288),$L288/($E288-$D288),0)))</f>
        <v>0</v>
      </c>
      <c r="U288" s="9"/>
      <c r="V288" s="9"/>
      <c r="W288" s="9"/>
      <c r="X288" s="9"/>
      <c r="Y288" s="9"/>
      <c r="Z288" s="9">
        <f t="shared" si="84"/>
        <v>0</v>
      </c>
      <c r="AA288" s="9">
        <f t="shared" ca="1" si="84"/>
        <v>0</v>
      </c>
    </row>
    <row r="289" spans="1:27">
      <c r="A289" s="8" t="str">
        <f>A288</f>
        <v>Type 18</v>
      </c>
      <c r="B289" s="7">
        <f>B288+1</f>
        <v>2023</v>
      </c>
      <c r="C289" s="7" t="str">
        <f>C288</f>
        <v>Annual</v>
      </c>
      <c r="D289" s="7">
        <f t="shared" si="85"/>
        <v>0</v>
      </c>
      <c r="E289" s="7">
        <f t="shared" si="85"/>
        <v>0</v>
      </c>
      <c r="F289" s="14">
        <f>$Q$104</f>
        <v>2.5000000000000001E-3</v>
      </c>
      <c r="H289" s="9"/>
      <c r="I289" s="9"/>
      <c r="J289" s="9"/>
      <c r="K289" s="9"/>
      <c r="L289" s="9"/>
      <c r="M289" s="9">
        <f ca="1">$G$104/$G$31</f>
        <v>0</v>
      </c>
      <c r="N289" s="9"/>
      <c r="O289" s="9"/>
      <c r="P289" s="9"/>
      <c r="Q289" s="9"/>
      <c r="R289" s="9"/>
      <c r="S289" s="9"/>
      <c r="T289" s="9">
        <f ca="1">IF(OR($C289="Annual",$D289=$E289),IF(AND($D289=$E289,T$111=$B289+$D289),$M289,IF(AND(T$111&gt;$B289+$D289,T$111&lt;=$B289+$E289), $M289/($E289-$D289),0)), IF(OR(T$111=$B289+$D289,T$111=$B289+$E289),$M289/(($E289-$D289)*2),IF(AND(T$111&gt;$B289+$D289,T$111&lt;$B289+$E289),$M289/($E289-$D289),0)))</f>
        <v>0</v>
      </c>
      <c r="U289" s="9"/>
      <c r="V289" s="9"/>
      <c r="W289" s="9"/>
      <c r="X289" s="9"/>
      <c r="Y289" s="9"/>
      <c r="Z289" s="9"/>
      <c r="AA289" s="9">
        <f t="shared" si="84"/>
        <v>0</v>
      </c>
    </row>
    <row r="290" spans="1:27">
      <c r="A290" s="8"/>
      <c r="B290" s="7"/>
      <c r="C290" s="7"/>
      <c r="D290" s="7"/>
      <c r="E290" s="7"/>
      <c r="F290" s="15"/>
      <c r="H290" s="9"/>
      <c r="I290" s="9"/>
      <c r="J290" s="9"/>
      <c r="K290" s="9"/>
      <c r="L290" s="9"/>
      <c r="M290" s="9"/>
      <c r="N290" s="9"/>
      <c r="O290" s="278"/>
      <c r="P290" s="10"/>
      <c r="Q290" s="10"/>
      <c r="R290" s="10"/>
      <c r="S290" s="10"/>
      <c r="T290" s="10"/>
      <c r="U290" s="9"/>
      <c r="V290" s="10"/>
      <c r="W290" s="10"/>
      <c r="X290" s="10"/>
      <c r="Y290" s="10"/>
      <c r="Z290" s="10"/>
      <c r="AA290" s="10"/>
    </row>
    <row r="291" spans="1:27">
      <c r="A291" s="8" t="str">
        <f>'Input 4 - Forecast'!A86</f>
        <v>Type 19</v>
      </c>
      <c r="B291" s="7">
        <f>B119</f>
        <v>2018</v>
      </c>
      <c r="C291" s="7" t="str">
        <f>$I105</f>
        <v>Annual</v>
      </c>
      <c r="D291" s="7">
        <f>$J105</f>
        <v>0</v>
      </c>
      <c r="E291" s="7">
        <f>$K105</f>
        <v>0</v>
      </c>
      <c r="F291" s="14">
        <f>$L$105</f>
        <v>0</v>
      </c>
      <c r="H291" s="9">
        <f>$B$105/$B$31</f>
        <v>0</v>
      </c>
      <c r="I291" s="9">
        <f>H291-P291</f>
        <v>0</v>
      </c>
      <c r="J291" s="9">
        <f>I291-Q291</f>
        <v>0</v>
      </c>
      <c r="K291" s="9">
        <f>J291-R291</f>
        <v>0</v>
      </c>
      <c r="L291" s="9">
        <f>K291-S291</f>
        <v>0</v>
      </c>
      <c r="M291" s="9">
        <f>L291-T291</f>
        <v>0</v>
      </c>
      <c r="N291" s="9"/>
      <c r="O291" s="9">
        <f t="shared" ref="O291:T291" si="86">IF(OR($C291="Annual",$D291=$E291),IF(AND($D291=$E291,O$111=$B291+$D291),$H291,IF(AND(O$111&gt;$B291+$D291,O$111&lt;=$B291+$E291), $H291/($E291-$D291),0)), IF(OR(O$111=$B291+$D291,O$111=$B291+$E291),$H291/(($E291-$D291)*2),IF(AND(O$111&gt;$B291+$D291,O$111&lt;$B291+$E291),$H291/($E291-$D291),0)))</f>
        <v>0</v>
      </c>
      <c r="P291" s="9">
        <f t="shared" si="86"/>
        <v>0</v>
      </c>
      <c r="Q291" s="9">
        <f t="shared" si="86"/>
        <v>0</v>
      </c>
      <c r="R291" s="9">
        <f t="shared" si="86"/>
        <v>0</v>
      </c>
      <c r="S291" s="9">
        <f t="shared" si="86"/>
        <v>0</v>
      </c>
      <c r="T291" s="9">
        <f t="shared" si="86"/>
        <v>0</v>
      </c>
      <c r="U291" s="9"/>
      <c r="V291" s="9">
        <f>IF($C291="annual",IF(V$111=$B291,0,G291*$F291),IF(V$111-$B291=0,0,IF((V$111-$B291)&lt;$E291,AVERAGE(G291,H291)*$F291,IF((V$111-$B291)=$E291,G291*$F291/2,0))))</f>
        <v>0</v>
      </c>
      <c r="W291" s="9">
        <f t="shared" ref="W291:AA296" si="87">IF($C291="annual",IF(W$111=$B291,0,H291*$F291),IF(W$111-$B291=0,0,IF((W$111-$B291)&lt;$E291,AVERAGE(H291,I291)*$F291,IF((W$111-$B291)=$E291,H291*$F291/2,0))))</f>
        <v>0</v>
      </c>
      <c r="X291" s="9">
        <f t="shared" si="87"/>
        <v>0</v>
      </c>
      <c r="Y291" s="9">
        <f t="shared" si="87"/>
        <v>0</v>
      </c>
      <c r="Z291" s="9">
        <f t="shared" si="87"/>
        <v>0</v>
      </c>
      <c r="AA291" s="9">
        <f t="shared" si="87"/>
        <v>0</v>
      </c>
    </row>
    <row r="292" spans="1:27">
      <c r="A292" s="8" t="str">
        <f>A291</f>
        <v>Type 19</v>
      </c>
      <c r="B292" s="7">
        <f>B291+1</f>
        <v>2019</v>
      </c>
      <c r="C292" s="7" t="str">
        <f>C291</f>
        <v>Annual</v>
      </c>
      <c r="D292" s="7">
        <f t="shared" ref="D292:E296" si="88">D291</f>
        <v>0</v>
      </c>
      <c r="E292" s="7">
        <f t="shared" si="88"/>
        <v>0</v>
      </c>
      <c r="F292" s="14">
        <f>$M$105</f>
        <v>2.5000000000000001E-3</v>
      </c>
      <c r="H292" s="9"/>
      <c r="I292" s="9">
        <f ca="1">$C$105/$C$31</f>
        <v>0</v>
      </c>
      <c r="J292" s="9">
        <f ca="1">I292-Q292</f>
        <v>0</v>
      </c>
      <c r="K292" s="9">
        <f ca="1">J292-R292</f>
        <v>0</v>
      </c>
      <c r="L292" s="9">
        <f ca="1">K292-S292</f>
        <v>0</v>
      </c>
      <c r="M292" s="9">
        <f ca="1">L292-T292</f>
        <v>0</v>
      </c>
      <c r="N292" s="9"/>
      <c r="O292" s="9"/>
      <c r="P292" s="9">
        <f ca="1">IF(OR($C292="Annual",$D292=$E292),IF(AND($D292=$E292,P$111=$B292+$D292),$I292,IF(AND(P$111&gt;$B292+$D292,P$111&lt;=$B292+$E292), $I292/($E292-$D292),0)), IF(OR(P$111=$B292+$D292,P$111=$B292+$E292),$I292/(($E292-$D292)*2),IF(AND(P$111&gt;$B292+$D292,P$111&lt;$B292+$E292),$I292/($E292-$D292),0)))</f>
        <v>0</v>
      </c>
      <c r="Q292" s="9">
        <f>IF(OR($C292="Annual",$D292=$E292),IF(AND($D292=$E292,Q$111=$B292+$D292),$I292,IF(AND(Q$111&gt;$B292+$D292,Q$111&lt;=$B292+$E292), $I292/($E292-$D292),0)), IF(OR(Q$111=$B292+$D292,Q$111=$B292+$E292),$I292/(($E292-$D292)*2),IF(AND(Q$111&gt;$B292+$D292,Q$111&lt;$B292+$E292),$I292/($E292-$D292),0)))</f>
        <v>0</v>
      </c>
      <c r="R292" s="9">
        <f>IF(OR($C292="Annual",$D292=$E292),IF(AND($D292=$E292,R$111=$B292+$D292),$I292,IF(AND(R$111&gt;$B292+$D292,R$111&lt;=$B292+$E292), $I292/($E292-$D292),0)), IF(OR(R$111=$B292+$D292,R$111=$B292+$E292),$I292/(($E292-$D292)*2),IF(AND(R$111&gt;$B292+$D292,R$111&lt;$B292+$E292),$I292/($E292-$D292),0)))</f>
        <v>0</v>
      </c>
      <c r="S292" s="9">
        <f>IF(OR($C292="Annual",$D292=$E292),IF(AND($D292=$E292,S$111=$B292+$D292),$I292,IF(AND(S$111&gt;$B292+$D292,S$111&lt;=$B292+$E292), $I292/($E292-$D292),0)), IF(OR(S$111=$B292+$D292,S$111=$B292+$E292),$I292/(($E292-$D292)*2),IF(AND(S$111&gt;$B292+$D292,S$111&lt;$B292+$E292),$I292/($E292-$D292),0)))</f>
        <v>0</v>
      </c>
      <c r="T292" s="9">
        <f>IF(OR($C292="Annual",$D292=$E292),IF(AND($D292=$E292,T$111=$B292+$D292),$I292,IF(AND(T$111&gt;$B292+$D292,T$111&lt;=$B292+$E292), $I292/($E292-$D292),0)), IF(OR(T$111=$B292+$D292,T$111=$B292+$E292),$I292/(($E292-$D292)*2),IF(AND(T$111&gt;$B292+$D292,T$111&lt;$B292+$E292),$I292/($E292-$D292),0)))</f>
        <v>0</v>
      </c>
      <c r="U292" s="9"/>
      <c r="V292" s="9"/>
      <c r="W292" s="9">
        <f t="shared" si="87"/>
        <v>0</v>
      </c>
      <c r="X292" s="9">
        <f t="shared" ca="1" si="87"/>
        <v>0</v>
      </c>
      <c r="Y292" s="9">
        <f t="shared" ca="1" si="87"/>
        <v>0</v>
      </c>
      <c r="Z292" s="9">
        <f t="shared" ca="1" si="87"/>
        <v>0</v>
      </c>
      <c r="AA292" s="9">
        <f t="shared" ca="1" si="87"/>
        <v>0</v>
      </c>
    </row>
    <row r="293" spans="1:27">
      <c r="A293" s="8" t="str">
        <f>A292</f>
        <v>Type 19</v>
      </c>
      <c r="B293" s="7">
        <f>B292+1</f>
        <v>2020</v>
      </c>
      <c r="C293" s="7" t="str">
        <f>C292</f>
        <v>Annual</v>
      </c>
      <c r="D293" s="7">
        <f t="shared" si="88"/>
        <v>0</v>
      </c>
      <c r="E293" s="7">
        <f t="shared" si="88"/>
        <v>0</v>
      </c>
      <c r="F293" s="14">
        <f>$N$105</f>
        <v>2.5000000000000001E-3</v>
      </c>
      <c r="H293" s="9"/>
      <c r="I293" s="9"/>
      <c r="J293" s="9">
        <f ca="1">$D$105/$D$31</f>
        <v>0</v>
      </c>
      <c r="K293" s="9">
        <f ca="1">J293-R293</f>
        <v>0</v>
      </c>
      <c r="L293" s="9">
        <f ca="1">K293-S293</f>
        <v>0</v>
      </c>
      <c r="M293" s="9">
        <f ca="1">L293-T293</f>
        <v>0</v>
      </c>
      <c r="N293" s="9"/>
      <c r="O293" s="9"/>
      <c r="P293" s="9"/>
      <c r="Q293" s="9">
        <f ca="1">IF(OR($C293="Annual",$D293=$E293),IF(AND($D293=$E293,Q$111=$B293+$D293),$J293,IF(AND(Q$111&gt;$B293+$D293,Q$111&lt;=$B293+$E293), $J293/($E293-$D293),0)), IF(OR(Q$111=$B293+$D293,Q$111=$B293+$E293),$J293/(($E293-$D293)*2),IF(AND(Q$111&gt;$B293+$D293,Q$111&lt;$B293+$E293),$J293/($E293-$D293),0)))</f>
        <v>0</v>
      </c>
      <c r="R293" s="9">
        <f>IF(OR($C293="Annual",$D293=$E293),IF(AND($D293=$E293,R$111=$B293+$D293),$J293,IF(AND(R$111&gt;$B293+$D293,R$111&lt;=$B293+$E293), $J293/($E293-$D293),0)), IF(OR(R$111=$B293+$D293,R$111=$B293+$E293),$J293/(($E293-$D293)*2),IF(AND(R$111&gt;$B293+$D293,R$111&lt;$B293+$E293),$J293/($E293-$D293),0)))</f>
        <v>0</v>
      </c>
      <c r="S293" s="9">
        <f>IF(OR($C293="Annual",$D293=$E293),IF(AND($D293=$E293,S$111=$B293+$D293),$J293,IF(AND(S$111&gt;$B293+$D293,S$111&lt;=$B293+$E293), $J293/($E293-$D293),0)), IF(OR(S$111=$B293+$D293,S$111=$B293+$E293),$J293/(($E293-$D293)*2),IF(AND(S$111&gt;$B293+$D293,S$111&lt;$B293+$E293),$J293/($E293-$D293),0)))</f>
        <v>0</v>
      </c>
      <c r="T293" s="9">
        <f>IF(OR($C293="Annual",$D293=$E293),IF(AND($D293=$E293,T$111=$B293+$D293),$J293,IF(AND(T$111&gt;$B293+$D293,T$111&lt;=$B293+$E293), $J293/($E293-$D293),0)), IF(OR(T$111=$B293+$D293,T$111=$B293+$E293),$J293/(($E293-$D293)*2),IF(AND(T$111&gt;$B293+$D293,T$111&lt;$B293+$E293),$J293/($E293-$D293),0)))</f>
        <v>0</v>
      </c>
      <c r="U293" s="9"/>
      <c r="V293" s="9"/>
      <c r="W293" s="9"/>
      <c r="X293" s="9">
        <f t="shared" si="87"/>
        <v>0</v>
      </c>
      <c r="Y293" s="9">
        <f t="shared" ca="1" si="87"/>
        <v>0</v>
      </c>
      <c r="Z293" s="9">
        <f t="shared" ca="1" si="87"/>
        <v>0</v>
      </c>
      <c r="AA293" s="9">
        <f t="shared" ca="1" si="87"/>
        <v>0</v>
      </c>
    </row>
    <row r="294" spans="1:27">
      <c r="A294" s="8" t="str">
        <f>A293</f>
        <v>Type 19</v>
      </c>
      <c r="B294" s="7">
        <f>B293+1</f>
        <v>2021</v>
      </c>
      <c r="C294" s="7" t="str">
        <f>C293</f>
        <v>Annual</v>
      </c>
      <c r="D294" s="7">
        <f t="shared" si="88"/>
        <v>0</v>
      </c>
      <c r="E294" s="7">
        <f t="shared" si="88"/>
        <v>0</v>
      </c>
      <c r="F294" s="14">
        <f>$O$105</f>
        <v>2.5000000000000001E-3</v>
      </c>
      <c r="H294" s="9"/>
      <c r="I294" s="9"/>
      <c r="J294" s="9"/>
      <c r="K294" s="9">
        <f ca="1">$E$105/$E$31</f>
        <v>0</v>
      </c>
      <c r="L294" s="9">
        <f ca="1">K294-S294</f>
        <v>0</v>
      </c>
      <c r="M294" s="9">
        <f ca="1">L294-T294</f>
        <v>0</v>
      </c>
      <c r="N294" s="9"/>
      <c r="O294" s="9"/>
      <c r="P294" s="9"/>
      <c r="Q294" s="9"/>
      <c r="R294" s="9">
        <f ca="1">IF(OR($C294="Annual",$D294=$E294),IF(AND($D294=$E294,R$111=$B294+$D294),$K294,IF(AND(R$111&gt;$B294+$D294,R$111&lt;=$B294+$E294), $K294/($E294-$D294),0)), IF(OR(R$111=$B294+$D294,R$111=$B294+$E294),$K294/(($E294-$D294)*2),IF(AND(R$111&gt;$B294+$D294,R$111&lt;$B294+$E294),$K294/($E294-$D294),0)))</f>
        <v>0</v>
      </c>
      <c r="S294" s="9">
        <f>IF(OR($C294="Annual",$D294=$E294),IF(AND($D294=$E294,S$111=$B294+$D294),$K294,IF(AND(S$111&gt;$B294+$D294,S$111&lt;=$B294+$E294), $K294/($E294-$D294),0)), IF(OR(S$111=$B294+$D294,S$111=$B294+$E294),$K294/(($E294-$D294)*2),IF(AND(S$111&gt;$B294+$D294,S$111&lt;$B294+$E294),$K294/($E294-$D294),0)))</f>
        <v>0</v>
      </c>
      <c r="T294" s="9">
        <f>IF(OR($C294="Annual",$D294=$E294),IF(AND($D294=$E294,T$111=$B294+$D294),$K294,IF(AND(T$111&gt;$B294+$D294,T$111&lt;=$B294+$E294), $K294/($E294-$D294),0)), IF(OR(T$111=$B294+$D294,T$111=$B294+$E294),$K294/(($E294-$D294)*2),IF(AND(T$111&gt;$B294+$D294,T$111&lt;$B294+$E294),$K294/($E294-$D294),0)))</f>
        <v>0</v>
      </c>
      <c r="U294" s="9"/>
      <c r="V294" s="9"/>
      <c r="W294" s="9"/>
      <c r="X294" s="9"/>
      <c r="Y294" s="9">
        <f t="shared" si="87"/>
        <v>0</v>
      </c>
      <c r="Z294" s="9">
        <f t="shared" ca="1" si="87"/>
        <v>0</v>
      </c>
      <c r="AA294" s="9">
        <f t="shared" ca="1" si="87"/>
        <v>0</v>
      </c>
    </row>
    <row r="295" spans="1:27">
      <c r="A295" s="8" t="str">
        <f>A294</f>
        <v>Type 19</v>
      </c>
      <c r="B295" s="7">
        <f>B294+1</f>
        <v>2022</v>
      </c>
      <c r="C295" s="7" t="str">
        <f>C294</f>
        <v>Annual</v>
      </c>
      <c r="D295" s="7">
        <f t="shared" si="88"/>
        <v>0</v>
      </c>
      <c r="E295" s="7">
        <f t="shared" si="88"/>
        <v>0</v>
      </c>
      <c r="F295" s="14">
        <f>$P$105</f>
        <v>2.5000000000000001E-3</v>
      </c>
      <c r="H295" s="9"/>
      <c r="I295" s="9"/>
      <c r="J295" s="9"/>
      <c r="K295" s="9"/>
      <c r="L295" s="9">
        <f ca="1">$F$105/$F$31</f>
        <v>0</v>
      </c>
      <c r="M295" s="9">
        <f ca="1">L295-T295</f>
        <v>0</v>
      </c>
      <c r="N295" s="9"/>
      <c r="O295" s="9"/>
      <c r="P295" s="9"/>
      <c r="Q295" s="9"/>
      <c r="R295" s="9"/>
      <c r="S295" s="9">
        <f ca="1">IF(OR($C295="Annual",$D295=$E295),IF(AND($D295=$E295,S$111=$B295+$D295),$L295,IF(AND(S$111&gt;$B295+$D295,S$111&lt;=$B295+$E295), $L295/($E295-$D295),0)), IF(OR(S$111=$B295+$D295,S$111=$B295+$E295),$L295/(($E295-$D295)*2),IF(AND(S$111&gt;$B295+$D295,S$111&lt;$B295+$E295),$L295/($E295-$D295),0)))</f>
        <v>0</v>
      </c>
      <c r="T295" s="9">
        <f>IF(OR($C295="Annual",$D295=$E295),IF(AND($D295=$E295,T$111=$B295+$D295),$L295,IF(AND(T$111&gt;$B295+$D295,T$111&lt;=$B295+$E295), $L295/($E295-$D295),0)), IF(OR(T$111=$B295+$D295,T$111=$B295+$E295),$L295/(($E295-$D295)*2),IF(AND(T$111&gt;$B295+$D295,T$111&lt;$B295+$E295),$L295/($E295-$D295),0)))</f>
        <v>0</v>
      </c>
      <c r="U295" s="9"/>
      <c r="V295" s="9"/>
      <c r="W295" s="9"/>
      <c r="X295" s="9"/>
      <c r="Y295" s="9"/>
      <c r="Z295" s="9">
        <f t="shared" si="87"/>
        <v>0</v>
      </c>
      <c r="AA295" s="9">
        <f t="shared" ca="1" si="87"/>
        <v>0</v>
      </c>
    </row>
    <row r="296" spans="1:27">
      <c r="A296" s="8" t="str">
        <f>A295</f>
        <v>Type 19</v>
      </c>
      <c r="B296" s="7">
        <f>B295+1</f>
        <v>2023</v>
      </c>
      <c r="C296" s="7" t="str">
        <f>C295</f>
        <v>Annual</v>
      </c>
      <c r="D296" s="7">
        <f t="shared" si="88"/>
        <v>0</v>
      </c>
      <c r="E296" s="7">
        <f t="shared" si="88"/>
        <v>0</v>
      </c>
      <c r="F296" s="14">
        <f>$Q$105</f>
        <v>2.5000000000000001E-3</v>
      </c>
      <c r="H296" s="9"/>
      <c r="I296" s="9"/>
      <c r="J296" s="9"/>
      <c r="K296" s="9"/>
      <c r="L296" s="9"/>
      <c r="M296" s="9">
        <f ca="1">$G$105/$G$31</f>
        <v>0</v>
      </c>
      <c r="N296" s="9"/>
      <c r="O296" s="9"/>
      <c r="P296" s="9"/>
      <c r="Q296" s="9"/>
      <c r="R296" s="9"/>
      <c r="S296" s="9"/>
      <c r="T296" s="9">
        <f ca="1">IF(OR($C296="Annual",$D296=$E296),IF(AND($D296=$E296,T$111=$B296+$D296),$M296,IF(AND(T$111&gt;$B296+$D296,T$111&lt;=$B296+$E296), $M296/($E296-$D296),0)), IF(OR(T$111=$B296+$D296,T$111=$B296+$E296),$M296/(($E296-$D296)*2),IF(AND(T$111&gt;$B296+$D296,T$111&lt;$B296+$E296),$M296/($E296-$D296),0)))</f>
        <v>0</v>
      </c>
      <c r="U296" s="9"/>
      <c r="V296" s="9"/>
      <c r="W296" s="9"/>
      <c r="X296" s="9"/>
      <c r="Y296" s="9"/>
      <c r="Z296" s="9"/>
      <c r="AA296" s="9">
        <f t="shared" si="87"/>
        <v>0</v>
      </c>
    </row>
    <row r="297" spans="1:27">
      <c r="A297" s="8"/>
      <c r="B297" s="7"/>
      <c r="C297" s="7"/>
      <c r="D297" s="7"/>
      <c r="E297" s="7"/>
      <c r="F297" s="15"/>
      <c r="H297" s="9"/>
      <c r="I297" s="9"/>
      <c r="J297" s="9"/>
      <c r="K297" s="9"/>
      <c r="L297" s="9"/>
      <c r="M297" s="9"/>
      <c r="N297" s="9"/>
      <c r="O297" s="278"/>
      <c r="P297" s="10"/>
      <c r="Q297" s="10"/>
      <c r="R297" s="10"/>
      <c r="S297" s="10"/>
      <c r="T297" s="10"/>
      <c r="U297" s="9"/>
      <c r="V297" s="10"/>
      <c r="W297" s="10"/>
      <c r="X297" s="10"/>
      <c r="Y297" s="10"/>
      <c r="Z297" s="10"/>
      <c r="AA297" s="10"/>
    </row>
    <row r="298" spans="1:27" s="1150" customFormat="1">
      <c r="A298" s="1347" t="str">
        <f>'Input 4 - Forecast'!A87</f>
        <v>ZERO-COUPON BOND</v>
      </c>
      <c r="B298" s="1348">
        <f>B119</f>
        <v>2018</v>
      </c>
      <c r="C298" s="1348"/>
      <c r="D298" s="1348">
        <f>$J106</f>
        <v>0</v>
      </c>
      <c r="E298" s="1348">
        <f>$K106</f>
        <v>0</v>
      </c>
      <c r="F298" s="1349">
        <f>$L$106</f>
        <v>0</v>
      </c>
      <c r="H298" s="1350">
        <f>$B$106/$B$31</f>
        <v>0</v>
      </c>
      <c r="I298" s="1350">
        <f>H298-P298</f>
        <v>0</v>
      </c>
      <c r="J298" s="1350">
        <f>I298-Q298</f>
        <v>0</v>
      </c>
      <c r="K298" s="1350">
        <f>J298-R298</f>
        <v>0</v>
      </c>
      <c r="L298" s="1350">
        <f>K298-S298</f>
        <v>0</v>
      </c>
      <c r="M298" s="1350">
        <f>L298-T298</f>
        <v>0</v>
      </c>
      <c r="N298" s="1350"/>
      <c r="O298" s="1350">
        <f t="shared" ref="O298:T298" si="89">IF($D298=$E298,IF(O$111=$B298+$E298,$H298,0),0)</f>
        <v>0</v>
      </c>
      <c r="P298" s="1350">
        <f t="shared" si="89"/>
        <v>0</v>
      </c>
      <c r="Q298" s="1350">
        <f t="shared" si="89"/>
        <v>0</v>
      </c>
      <c r="R298" s="1350">
        <f t="shared" si="89"/>
        <v>0</v>
      </c>
      <c r="S298" s="1350">
        <f t="shared" si="89"/>
        <v>0</v>
      </c>
      <c r="T298" s="1350">
        <f t="shared" si="89"/>
        <v>0</v>
      </c>
      <c r="U298" s="1350"/>
      <c r="V298" s="1350">
        <f t="shared" ref="V298:AA298" si="90">IF(V$111-$B298=$D298,$H298*(((1+$F298)^$D298)-1),0)</f>
        <v>0</v>
      </c>
      <c r="W298" s="1350">
        <f t="shared" si="90"/>
        <v>0</v>
      </c>
      <c r="X298" s="1350">
        <f t="shared" si="90"/>
        <v>0</v>
      </c>
      <c r="Y298" s="1350">
        <f t="shared" si="90"/>
        <v>0</v>
      </c>
      <c r="Z298" s="1350">
        <f t="shared" si="90"/>
        <v>0</v>
      </c>
      <c r="AA298" s="1350">
        <f t="shared" si="90"/>
        <v>0</v>
      </c>
    </row>
    <row r="299" spans="1:27" s="1150" customFormat="1">
      <c r="A299" s="1347" t="str">
        <f>A298</f>
        <v>ZERO-COUPON BOND</v>
      </c>
      <c r="B299" s="1348">
        <f>B298+1</f>
        <v>2019</v>
      </c>
      <c r="C299" s="1348"/>
      <c r="D299" s="1348">
        <f t="shared" ref="D299:E303" si="91">D298</f>
        <v>0</v>
      </c>
      <c r="E299" s="1348">
        <f t="shared" si="91"/>
        <v>0</v>
      </c>
      <c r="F299" s="1349">
        <f>$M$106</f>
        <v>2.5000000000000001E-3</v>
      </c>
      <c r="H299" s="1350"/>
      <c r="I299" s="1350">
        <f ca="1">$C$106/$C$31</f>
        <v>0</v>
      </c>
      <c r="J299" s="1350">
        <f ca="1">I299-Q299</f>
        <v>0</v>
      </c>
      <c r="K299" s="1350">
        <f ca="1">J299-R299</f>
        <v>0</v>
      </c>
      <c r="L299" s="1350">
        <f ca="1">K299-S299</f>
        <v>0</v>
      </c>
      <c r="M299" s="1350">
        <f ca="1">L299-T299</f>
        <v>0</v>
      </c>
      <c r="N299" s="1350"/>
      <c r="O299" s="1351"/>
      <c r="P299" s="1350">
        <f ca="1">IF($D299=$E299,IF(P$111=$B299+$E299,$I299,0),0)</f>
        <v>0</v>
      </c>
      <c r="Q299" s="1350">
        <f>IF($D299=$E299,IF(Q$111=$B299+$E299,$I299,0),0)</f>
        <v>0</v>
      </c>
      <c r="R299" s="1350">
        <f>IF($D299=$E299,IF(R$111=$B299+$E299,$I299,0),0)</f>
        <v>0</v>
      </c>
      <c r="S299" s="1350">
        <f>IF($D299=$E299,IF(S$111=$B299+$E299,$I299,0),0)</f>
        <v>0</v>
      </c>
      <c r="T299" s="1350">
        <f>IF($D299=$E299,IF(T$111=$B299+$E299,$I299,0),0)</f>
        <v>0</v>
      </c>
      <c r="U299" s="1350"/>
      <c r="V299" s="1350"/>
      <c r="W299" s="1350">
        <f ca="1">IF(W$111-$B299=$D299,$I299*(((1+$F299)^$D299)-1),0)</f>
        <v>0</v>
      </c>
      <c r="X299" s="1350">
        <f>IF(X$111-$B299=$D299,$I299*(((1+$F299)^$D299)-1),0)</f>
        <v>0</v>
      </c>
      <c r="Y299" s="1350">
        <f>IF(Y$111-$B299=$D299,$I299*(((1+$F299)^$D299)-1),0)</f>
        <v>0</v>
      </c>
      <c r="Z299" s="1350">
        <f>IF(Z$111-$B299=$D299,$I299*(((1+$F299)^$D299)-1),0)</f>
        <v>0</v>
      </c>
      <c r="AA299" s="1350">
        <f>IF(AA$111-$B299=$D299,$I299*(((1+$F299)^$D299)-1),0)</f>
        <v>0</v>
      </c>
    </row>
    <row r="300" spans="1:27" s="1150" customFormat="1">
      <c r="A300" s="1347" t="str">
        <f>A299</f>
        <v>ZERO-COUPON BOND</v>
      </c>
      <c r="B300" s="1348">
        <f>B299+1</f>
        <v>2020</v>
      </c>
      <c r="C300" s="1348"/>
      <c r="D300" s="1348">
        <f t="shared" si="91"/>
        <v>0</v>
      </c>
      <c r="E300" s="1348">
        <f t="shared" si="91"/>
        <v>0</v>
      </c>
      <c r="F300" s="1349">
        <f>$N$106</f>
        <v>2.5000000000000001E-3</v>
      </c>
      <c r="H300" s="1350"/>
      <c r="I300" s="1350"/>
      <c r="J300" s="1350">
        <f ca="1">$D$106/$D$31</f>
        <v>0</v>
      </c>
      <c r="K300" s="1350">
        <f ca="1">J300-R300</f>
        <v>0</v>
      </c>
      <c r="L300" s="1350">
        <f ca="1">K300-S300</f>
        <v>0</v>
      </c>
      <c r="M300" s="1350">
        <f ca="1">L300-T300</f>
        <v>0</v>
      </c>
      <c r="N300" s="1350"/>
      <c r="O300" s="1351"/>
      <c r="P300" s="1350"/>
      <c r="Q300" s="1350">
        <f ca="1">IF($D300=$E300,IF(Q$111=$B300+$E300,$J300,0),0)</f>
        <v>0</v>
      </c>
      <c r="R300" s="1350">
        <f>IF($D300=$E300,IF(R$111=$B300+$E300,$J300,0),0)</f>
        <v>0</v>
      </c>
      <c r="S300" s="1350">
        <f>IF($D300=$E300,IF(S$111=$B300+$E300,$J300,0),0)</f>
        <v>0</v>
      </c>
      <c r="T300" s="1350">
        <f>IF($D300=$E300,IF(T$111=$B300+$E300,$J300,0),0)</f>
        <v>0</v>
      </c>
      <c r="U300" s="1350"/>
      <c r="V300" s="1350"/>
      <c r="W300" s="1350"/>
      <c r="X300" s="1350">
        <f ca="1">IF(X$111-$B300=$D300,$J300*(((1+$F300)^$D300)-1),0)</f>
        <v>0</v>
      </c>
      <c r="Y300" s="1350">
        <f>IF(Y$111-$B300=$D300,$J300*(((1+$F300)^$D300)-1),0)</f>
        <v>0</v>
      </c>
      <c r="Z300" s="1350">
        <f>IF(Z$111-$B300=$D300,$J300*(((1+$F300)^$D300)-1),0)</f>
        <v>0</v>
      </c>
      <c r="AA300" s="1350">
        <f>IF(AA$111-$B300=$D300,$J300*(((1+$F300)^$D300)-1),0)</f>
        <v>0</v>
      </c>
    </row>
    <row r="301" spans="1:27" s="1150" customFormat="1">
      <c r="A301" s="1347" t="str">
        <f>A300</f>
        <v>ZERO-COUPON BOND</v>
      </c>
      <c r="B301" s="1348">
        <f>B300+1</f>
        <v>2021</v>
      </c>
      <c r="C301" s="1348"/>
      <c r="D301" s="1348">
        <f t="shared" si="91"/>
        <v>0</v>
      </c>
      <c r="E301" s="1348">
        <f t="shared" si="91"/>
        <v>0</v>
      </c>
      <c r="F301" s="1349">
        <f>$O$106</f>
        <v>2.5000000000000001E-3</v>
      </c>
      <c r="H301" s="1350"/>
      <c r="I301" s="1350"/>
      <c r="J301" s="1350"/>
      <c r="K301" s="1350">
        <f ca="1">$E$106/$E$31</f>
        <v>0</v>
      </c>
      <c r="L301" s="1350">
        <f ca="1">K301-S301</f>
        <v>0</v>
      </c>
      <c r="M301" s="1350">
        <f ca="1">L301-T301</f>
        <v>0</v>
      </c>
      <c r="N301" s="1350"/>
      <c r="O301" s="1351"/>
      <c r="P301" s="1350"/>
      <c r="Q301" s="1350"/>
      <c r="R301" s="1350">
        <f ca="1">IF($D301=$E301,IF(R$111=$B301+$E301,$K301,0),0)</f>
        <v>0</v>
      </c>
      <c r="S301" s="1350">
        <f>IF($D301=$E301,IF(S$111=$B301+$E301,$K301,0),0)</f>
        <v>0</v>
      </c>
      <c r="T301" s="1350">
        <f>IF($D301=$E301,IF(T$111=$B301+$E301,$K301,0),0)</f>
        <v>0</v>
      </c>
      <c r="U301" s="1350"/>
      <c r="V301" s="1350"/>
      <c r="W301" s="1350"/>
      <c r="X301" s="1350"/>
      <c r="Y301" s="1350">
        <f ca="1">IF(Y$111-$B301=$D301,$K301*(((1+$F301)^$D301)-1),0)</f>
        <v>0</v>
      </c>
      <c r="Z301" s="1350">
        <f>IF(Z$111-$B301=$D301,$K301*(((1+$F301)^$D301)-1),0)</f>
        <v>0</v>
      </c>
      <c r="AA301" s="1350">
        <f>IF(AA$111-$B301=$D301,$K301*(((1+$F301)^$D301)-1),0)</f>
        <v>0</v>
      </c>
    </row>
    <row r="302" spans="1:27" s="1150" customFormat="1">
      <c r="A302" s="1347" t="str">
        <f>A301</f>
        <v>ZERO-COUPON BOND</v>
      </c>
      <c r="B302" s="1348">
        <f>B301+1</f>
        <v>2022</v>
      </c>
      <c r="C302" s="1348"/>
      <c r="D302" s="1348">
        <f t="shared" si="91"/>
        <v>0</v>
      </c>
      <c r="E302" s="1348">
        <f t="shared" si="91"/>
        <v>0</v>
      </c>
      <c r="F302" s="1349">
        <f>$P$106</f>
        <v>2.5000000000000001E-3</v>
      </c>
      <c r="H302" s="1350"/>
      <c r="I302" s="1350"/>
      <c r="J302" s="1350"/>
      <c r="K302" s="1350"/>
      <c r="L302" s="1350">
        <f ca="1">$F$106/$F$31</f>
        <v>0</v>
      </c>
      <c r="M302" s="1350">
        <f ca="1">L302-T302</f>
        <v>0</v>
      </c>
      <c r="N302" s="1350"/>
      <c r="O302" s="1351"/>
      <c r="P302" s="1350"/>
      <c r="Q302" s="1350"/>
      <c r="R302" s="1350"/>
      <c r="S302" s="1350">
        <f ca="1">IF($D302=$E302,IF(S$111=$B302+$E302,$L302,0),0)</f>
        <v>0</v>
      </c>
      <c r="T302" s="1350">
        <f>IF($D302=$E302,IF(T$111=$B302+$E302,$L302,0),0)</f>
        <v>0</v>
      </c>
      <c r="U302" s="1350"/>
      <c r="V302" s="1350"/>
      <c r="W302" s="1350"/>
      <c r="X302" s="1350"/>
      <c r="Y302" s="1350"/>
      <c r="Z302" s="1350">
        <f ca="1">IF(Z$111-$B302=$D302,$L302*(((1+$F302)^$D302)-1),0)</f>
        <v>0</v>
      </c>
      <c r="AA302" s="1350">
        <f>IF(AA$111-$B302=$D302,$L302*(((1+$F302)^$D302)-1),0)</f>
        <v>0</v>
      </c>
    </row>
    <row r="303" spans="1:27" s="1150" customFormat="1">
      <c r="A303" s="1347" t="str">
        <f>A302</f>
        <v>ZERO-COUPON BOND</v>
      </c>
      <c r="B303" s="1348">
        <f>B302+1</f>
        <v>2023</v>
      </c>
      <c r="C303" s="1348"/>
      <c r="D303" s="1348">
        <f t="shared" si="91"/>
        <v>0</v>
      </c>
      <c r="E303" s="1348">
        <f t="shared" si="91"/>
        <v>0</v>
      </c>
      <c r="F303" s="1349">
        <f>$Q$106</f>
        <v>2.5000000000000001E-3</v>
      </c>
      <c r="H303" s="1350"/>
      <c r="I303" s="1350"/>
      <c r="J303" s="1350"/>
      <c r="K303" s="1350"/>
      <c r="L303" s="1350"/>
      <c r="M303" s="1350">
        <f ca="1">$G$106/$G$31</f>
        <v>0</v>
      </c>
      <c r="N303" s="1350"/>
      <c r="O303" s="1351"/>
      <c r="P303" s="1350"/>
      <c r="Q303" s="1350"/>
      <c r="R303" s="1350"/>
      <c r="S303" s="1350"/>
      <c r="T303" s="1350">
        <f ca="1">IF($D303=$E303,IF(T$111=$B303+$E303,$M303,0),0)</f>
        <v>0</v>
      </c>
      <c r="U303" s="1350"/>
      <c r="V303" s="1350"/>
      <c r="W303" s="1350"/>
      <c r="X303" s="1350"/>
      <c r="Y303" s="1350"/>
      <c r="Z303" s="1350"/>
      <c r="AA303" s="1350">
        <f ca="1">IF(AA$111-$B303=$D303,$M303*(((1+$F303)^$D303)-1),0)</f>
        <v>0</v>
      </c>
    </row>
    <row r="304" spans="1:27" ht="15.75" thickBot="1">
      <c r="H304" s="10"/>
      <c r="I304" s="10"/>
      <c r="J304" s="10"/>
      <c r="K304" s="10"/>
      <c r="L304" s="10"/>
      <c r="M304" s="10"/>
      <c r="N304" s="10"/>
      <c r="O304" s="10"/>
      <c r="P304" s="10"/>
      <c r="Q304" s="10"/>
      <c r="R304" s="10"/>
      <c r="S304" s="10"/>
      <c r="T304" s="10"/>
      <c r="U304" s="10"/>
      <c r="V304" s="10"/>
      <c r="W304" s="10"/>
      <c r="X304" s="10"/>
      <c r="Y304" s="10"/>
      <c r="Z304" s="10"/>
      <c r="AA304" s="10"/>
    </row>
    <row r="305" spans="1:27" ht="15.75" thickBot="1">
      <c r="B305" s="1999" t="s">
        <v>51</v>
      </c>
      <c r="C305" s="2000"/>
      <c r="D305" s="2000"/>
      <c r="E305" s="2000"/>
      <c r="F305" s="2000"/>
      <c r="G305" s="2000"/>
      <c r="H305" s="2000"/>
      <c r="I305" s="2000"/>
      <c r="J305" s="2000"/>
      <c r="K305" s="2000"/>
      <c r="L305" s="2000"/>
      <c r="M305" s="2000"/>
      <c r="N305" s="2000"/>
      <c r="O305" s="2000"/>
      <c r="P305" s="2000"/>
      <c r="Q305" s="2000"/>
      <c r="R305" s="2000"/>
      <c r="S305" s="2000"/>
      <c r="T305" s="2000"/>
      <c r="U305" s="2000"/>
      <c r="V305" s="2000"/>
      <c r="W305" s="2000"/>
      <c r="X305" s="2000"/>
      <c r="Y305" s="2000"/>
      <c r="Z305" s="2000"/>
      <c r="AA305" s="2001"/>
    </row>
    <row r="306" spans="1:27">
      <c r="H306" s="10"/>
      <c r="I306" s="10"/>
      <c r="J306" s="10"/>
      <c r="K306" s="10"/>
      <c r="L306" s="10"/>
      <c r="M306" s="10"/>
      <c r="N306" s="10"/>
      <c r="O306" s="10"/>
      <c r="P306" s="10"/>
      <c r="Q306" s="10"/>
      <c r="R306" s="10"/>
      <c r="S306" s="10"/>
      <c r="T306" s="10"/>
      <c r="U306" s="10"/>
      <c r="V306" s="10"/>
      <c r="W306" s="10"/>
      <c r="X306" s="10"/>
      <c r="Y306" s="10"/>
      <c r="Z306" s="10"/>
      <c r="AA306" s="10"/>
    </row>
    <row r="307" spans="1:27">
      <c r="A307" s="16" t="str">
        <f>'Input 4 - Forecast'!A89</f>
        <v>Domestic Residual Financing (annual payments, no interest or amortization in current year)</v>
      </c>
      <c r="B307" s="7">
        <f>B119</f>
        <v>2018</v>
      </c>
      <c r="C307" s="7"/>
      <c r="D307" s="7">
        <f>$J108</f>
        <v>1</v>
      </c>
      <c r="E307" s="7">
        <f>$K108</f>
        <v>1</v>
      </c>
      <c r="F307" s="14">
        <f>$L$108</f>
        <v>0</v>
      </c>
      <c r="H307" s="9">
        <f>$B$108</f>
        <v>-267.59452840452661</v>
      </c>
      <c r="I307" s="9">
        <f>H307-P307</f>
        <v>0</v>
      </c>
      <c r="J307" s="9">
        <f>I307-Q307</f>
        <v>0</v>
      </c>
      <c r="K307" s="9">
        <f>J307-R307</f>
        <v>0</v>
      </c>
      <c r="L307" s="9">
        <f>K307-S307</f>
        <v>0</v>
      </c>
      <c r="M307" s="9">
        <f>L307-T307</f>
        <v>0</v>
      </c>
      <c r="N307" s="9"/>
      <c r="O307" s="9">
        <v>0</v>
      </c>
      <c r="P307" s="9">
        <f>H307</f>
        <v>-267.59452840452661</v>
      </c>
      <c r="Q307" s="9">
        <v>0</v>
      </c>
      <c r="R307" s="9">
        <v>0</v>
      </c>
      <c r="S307" s="9">
        <v>0</v>
      </c>
      <c r="T307" s="9">
        <v>0</v>
      </c>
      <c r="U307" s="9"/>
      <c r="V307" s="9">
        <v>0</v>
      </c>
      <c r="W307" s="9">
        <f>H307*$F307</f>
        <v>0</v>
      </c>
      <c r="X307" s="9">
        <f t="shared" ref="X307:AA309" si="92">I307*$F307</f>
        <v>0</v>
      </c>
      <c r="Y307" s="9">
        <f t="shared" si="92"/>
        <v>0</v>
      </c>
      <c r="Z307" s="9">
        <f t="shared" si="92"/>
        <v>0</v>
      </c>
      <c r="AA307" s="9">
        <f t="shared" si="92"/>
        <v>0</v>
      </c>
    </row>
    <row r="308" spans="1:27">
      <c r="B308" s="7">
        <f>B307+1</f>
        <v>2019</v>
      </c>
      <c r="C308" s="7"/>
      <c r="D308" s="7">
        <f t="shared" ref="D308:E312" si="93">D307</f>
        <v>1</v>
      </c>
      <c r="E308" s="7">
        <f t="shared" si="93"/>
        <v>1</v>
      </c>
      <c r="F308" s="14">
        <f>$M$108</f>
        <v>2.5000000000000001E-3</v>
      </c>
      <c r="H308" s="9"/>
      <c r="I308" s="9">
        <f ca="1">$C$108</f>
        <v>2307.6994569340227</v>
      </c>
      <c r="J308" s="9">
        <f ca="1">I308-Q308</f>
        <v>0</v>
      </c>
      <c r="K308" s="9">
        <f ca="1">J308-R308</f>
        <v>0</v>
      </c>
      <c r="L308" s="9">
        <f ca="1">K308-S308</f>
        <v>0</v>
      </c>
      <c r="M308" s="9">
        <f ca="1">L308-T308</f>
        <v>0</v>
      </c>
      <c r="O308" s="9"/>
      <c r="P308" s="9">
        <v>0</v>
      </c>
      <c r="Q308" s="9">
        <f ca="1">I308</f>
        <v>2307.6994569340227</v>
      </c>
      <c r="R308" s="9">
        <v>0</v>
      </c>
      <c r="S308" s="9">
        <v>0</v>
      </c>
      <c r="T308" s="9">
        <v>0</v>
      </c>
      <c r="V308" s="9"/>
      <c r="W308" s="9">
        <v>0</v>
      </c>
      <c r="X308" s="9">
        <f ca="1">I308*$F308</f>
        <v>80.769480992690802</v>
      </c>
      <c r="Y308" s="9">
        <f t="shared" ca="1" si="92"/>
        <v>0</v>
      </c>
      <c r="Z308" s="9">
        <f t="shared" ca="1" si="92"/>
        <v>0</v>
      </c>
      <c r="AA308" s="9">
        <f t="shared" ca="1" si="92"/>
        <v>0</v>
      </c>
    </row>
    <row r="309" spans="1:27">
      <c r="B309" s="7">
        <f>B308+1</f>
        <v>2020</v>
      </c>
      <c r="C309" s="7"/>
      <c r="D309" s="7">
        <f t="shared" si="93"/>
        <v>1</v>
      </c>
      <c r="E309" s="7">
        <f t="shared" si="93"/>
        <v>1</v>
      </c>
      <c r="F309" s="14">
        <f>$N$108</f>
        <v>2.5000000000000001E-3</v>
      </c>
      <c r="H309" s="9"/>
      <c r="I309" s="9"/>
      <c r="J309" s="9">
        <f ca="1">$D$108</f>
        <v>4384.1833962376941</v>
      </c>
      <c r="K309" s="9">
        <f ca="1">J309-R309</f>
        <v>0</v>
      </c>
      <c r="L309" s="9">
        <f ca="1">K309-S309</f>
        <v>0</v>
      </c>
      <c r="M309" s="9">
        <f ca="1">L309-T309</f>
        <v>0</v>
      </c>
      <c r="O309" s="9"/>
      <c r="P309" s="9"/>
      <c r="Q309" s="9">
        <v>0</v>
      </c>
      <c r="R309" s="9">
        <f ca="1">J309</f>
        <v>4384.1833962376941</v>
      </c>
      <c r="S309" s="9">
        <v>0</v>
      </c>
      <c r="T309" s="9">
        <v>0</v>
      </c>
      <c r="V309" s="9"/>
      <c r="W309" s="9"/>
      <c r="X309" s="9">
        <v>0</v>
      </c>
      <c r="Y309" s="9">
        <f ca="1">J309*$F309</f>
        <v>153.44641886831931</v>
      </c>
      <c r="Z309" s="9">
        <f t="shared" ca="1" si="92"/>
        <v>0</v>
      </c>
      <c r="AA309" s="9">
        <f t="shared" ca="1" si="92"/>
        <v>0</v>
      </c>
    </row>
    <row r="310" spans="1:27">
      <c r="B310" s="7">
        <f>B309+1</f>
        <v>2021</v>
      </c>
      <c r="C310" s="7"/>
      <c r="D310" s="7">
        <f t="shared" si="93"/>
        <v>1</v>
      </c>
      <c r="E310" s="7">
        <f t="shared" si="93"/>
        <v>1</v>
      </c>
      <c r="F310" s="14">
        <f>$O$108</f>
        <v>2.5000000000000001E-3</v>
      </c>
      <c r="H310" s="9"/>
      <c r="I310" s="9"/>
      <c r="J310" s="9"/>
      <c r="K310" s="9">
        <f ca="1">$E$108</f>
        <v>6604.3071267439936</v>
      </c>
      <c r="L310" s="9">
        <f ca="1">K310-S310</f>
        <v>0</v>
      </c>
      <c r="M310" s="9">
        <f ca="1">L310-T310</f>
        <v>0</v>
      </c>
      <c r="O310" s="9"/>
      <c r="P310" s="9"/>
      <c r="Q310" s="9"/>
      <c r="R310" s="9">
        <v>0</v>
      </c>
      <c r="S310" s="9">
        <f ca="1">K310</f>
        <v>6604.3071267439936</v>
      </c>
      <c r="T310" s="9">
        <v>0</v>
      </c>
      <c r="V310" s="9"/>
      <c r="W310" s="9"/>
      <c r="X310" s="9"/>
      <c r="Y310" s="9">
        <v>0</v>
      </c>
      <c r="Z310" s="9">
        <f ca="1">K310*$F310</f>
        <v>247.66151725289978</v>
      </c>
      <c r="AA310" s="9">
        <f ca="1">L310*$F310</f>
        <v>0</v>
      </c>
    </row>
    <row r="311" spans="1:27">
      <c r="B311" s="7">
        <f>B310+1</f>
        <v>2022</v>
      </c>
      <c r="C311" s="7"/>
      <c r="D311" s="7">
        <f t="shared" si="93"/>
        <v>1</v>
      </c>
      <c r="E311" s="7">
        <f t="shared" si="93"/>
        <v>1</v>
      </c>
      <c r="F311" s="14">
        <f>$P$108</f>
        <v>2.5000000000000001E-3</v>
      </c>
      <c r="H311" s="9"/>
      <c r="I311" s="9"/>
      <c r="J311" s="9"/>
      <c r="K311" s="9"/>
      <c r="L311" s="9">
        <f ca="1">$F$108</f>
        <v>7793.2208442816573</v>
      </c>
      <c r="M311" s="9">
        <f ca="1">L311-T311</f>
        <v>0</v>
      </c>
      <c r="O311" s="9"/>
      <c r="P311" s="9"/>
      <c r="Q311" s="9"/>
      <c r="R311" s="9"/>
      <c r="S311" s="9">
        <v>0</v>
      </c>
      <c r="T311" s="9">
        <f ca="1">L311</f>
        <v>7793.2208442816573</v>
      </c>
      <c r="V311" s="9"/>
      <c r="W311" s="9"/>
      <c r="X311" s="9"/>
      <c r="Y311" s="9"/>
      <c r="Z311" s="9">
        <v>0</v>
      </c>
      <c r="AA311" s="9">
        <f ca="1">L311*$F311</f>
        <v>292.24578166056222</v>
      </c>
    </row>
    <row r="312" spans="1:27">
      <c r="B312" s="7">
        <f>B311+1</f>
        <v>2023</v>
      </c>
      <c r="C312" s="7"/>
      <c r="D312" s="7">
        <f t="shared" si="93"/>
        <v>1</v>
      </c>
      <c r="E312" s="7">
        <f t="shared" si="93"/>
        <v>1</v>
      </c>
      <c r="F312" s="14">
        <f>$Q$108</f>
        <v>2.5000000000000001E-3</v>
      </c>
      <c r="H312" s="9"/>
      <c r="I312" s="9"/>
      <c r="J312" s="9"/>
      <c r="K312" s="9"/>
      <c r="L312" s="9"/>
      <c r="M312" s="9">
        <f ca="1">$G$108</f>
        <v>8785.0323032572196</v>
      </c>
      <c r="O312" s="9"/>
      <c r="P312" s="9"/>
      <c r="Q312" s="9"/>
      <c r="R312" s="9"/>
      <c r="S312" s="9"/>
      <c r="T312" s="9">
        <v>0</v>
      </c>
      <c r="V312" s="9"/>
      <c r="W312" s="9"/>
      <c r="X312" s="9"/>
      <c r="Y312" s="9"/>
      <c r="Z312" s="9"/>
      <c r="AA312" s="9">
        <v>0</v>
      </c>
    </row>
    <row r="313" spans="1:27">
      <c r="B313" s="7"/>
      <c r="D313" s="7"/>
      <c r="E313" s="14"/>
      <c r="G313" s="9"/>
      <c r="H313" s="9"/>
      <c r="I313" s="9"/>
      <c r="J313" s="9"/>
      <c r="K313" s="9"/>
      <c r="L313" s="9"/>
      <c r="N313" s="89"/>
      <c r="O313" s="9"/>
      <c r="P313" s="9"/>
      <c r="Q313" s="9"/>
      <c r="R313" s="9"/>
      <c r="S313" s="9"/>
      <c r="U313" s="9"/>
      <c r="V313" s="9"/>
      <c r="W313" s="9"/>
      <c r="X313" s="9"/>
      <c r="Y313" s="9"/>
      <c r="Z313" s="9"/>
    </row>
    <row r="314" spans="1:27">
      <c r="B314" s="7"/>
      <c r="C314" s="7"/>
      <c r="D314" s="7"/>
      <c r="E314" s="14"/>
      <c r="G314" s="9"/>
      <c r="H314" s="9"/>
      <c r="I314" s="9"/>
      <c r="J314" s="9"/>
      <c r="K314" s="9"/>
      <c r="L314" s="9"/>
      <c r="N314" s="89"/>
      <c r="O314" s="9"/>
      <c r="P314" s="9"/>
      <c r="Q314" s="9"/>
      <c r="R314" s="9"/>
      <c r="S314" s="9"/>
      <c r="U314" s="9"/>
      <c r="V314" s="9"/>
      <c r="W314" s="9"/>
      <c r="X314" s="9"/>
      <c r="Y314" s="9"/>
      <c r="Z314" s="9"/>
    </row>
    <row r="315" spans="1:27">
      <c r="A315" s="8"/>
      <c r="B315" s="7"/>
    </row>
  </sheetData>
  <mergeCells count="14">
    <mergeCell ref="B231:AA231"/>
    <mergeCell ref="B268:AA268"/>
    <mergeCell ref="B305:AA305"/>
    <mergeCell ref="B126:AA126"/>
    <mergeCell ref="B136:AA136"/>
    <mergeCell ref="B173:AA173"/>
    <mergeCell ref="B212:AA212"/>
    <mergeCell ref="B221:AA221"/>
    <mergeCell ref="B117:AA117"/>
    <mergeCell ref="B73:G73"/>
    <mergeCell ref="H112:M112"/>
    <mergeCell ref="O112:T112"/>
    <mergeCell ref="V112:AA112"/>
    <mergeCell ref="B112:F112"/>
  </mergeCells>
  <pageMargins left="0.7" right="0.7" top="0.75" bottom="0.75" header="0.3" footer="0.3"/>
  <legacyDrawing r:id="rId1"/>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5">
    <tabColor rgb="FFEA7500"/>
  </sheetPr>
  <dimension ref="A1:AA315"/>
  <sheetViews>
    <sheetView zoomScale="80" zoomScaleNormal="80" workbookViewId="0"/>
  </sheetViews>
  <sheetFormatPr defaultColWidth="9.140625" defaultRowHeight="15"/>
  <cols>
    <col min="1" max="1" width="79.28515625" style="281" customWidth="1"/>
    <col min="2" max="3" width="15.42578125" style="281" customWidth="1"/>
    <col min="4" max="19" width="10.7109375" style="281" customWidth="1"/>
    <col min="20" max="20" width="10.5703125" style="281" customWidth="1"/>
    <col min="21" max="21" width="5.7109375" style="281" customWidth="1"/>
    <col min="22" max="26" width="13.5703125" style="281" customWidth="1"/>
    <col min="27" max="16384" width="9.140625" style="281"/>
  </cols>
  <sheetData>
    <row r="1" spans="1:19" s="284" customFormat="1" ht="15.75" thickBot="1">
      <c r="B1" s="1"/>
      <c r="C1" s="1"/>
      <c r="D1" s="1"/>
      <c r="E1" s="60"/>
      <c r="F1" s="60"/>
      <c r="G1" s="60"/>
      <c r="H1" s="60"/>
      <c r="I1" s="60"/>
      <c r="J1" s="60"/>
      <c r="K1" s="60"/>
      <c r="L1" s="1"/>
      <c r="M1" s="1"/>
      <c r="N1" s="1"/>
      <c r="O1" s="1"/>
      <c r="P1" s="1"/>
      <c r="Q1" s="1"/>
      <c r="R1" s="1"/>
      <c r="S1" s="1"/>
    </row>
    <row r="2" spans="1:19" s="284" customFormat="1" ht="30.75" thickBot="1">
      <c r="A2" s="1466" t="str">
        <f>IF(ISBLANK(Custom2Name), "Customized shock 2",Custom2Name)</f>
        <v>Customized shock 2</v>
      </c>
      <c r="B2" s="118" t="s">
        <v>16</v>
      </c>
      <c r="C2" s="1"/>
      <c r="D2" s="1"/>
      <c r="E2" s="1"/>
      <c r="F2" s="1"/>
      <c r="G2" s="1"/>
    </row>
    <row r="3" spans="1:19" s="284" customFormat="1">
      <c r="A3" s="17"/>
      <c r="B3" s="225">
        <f>FirstYear</f>
        <v>2018</v>
      </c>
      <c r="C3" s="226">
        <f>B3+1</f>
        <v>2019</v>
      </c>
      <c r="D3" s="226">
        <f>C3+1</f>
        <v>2020</v>
      </c>
      <c r="E3" s="226">
        <f>D3+1</f>
        <v>2021</v>
      </c>
      <c r="F3" s="226">
        <f>E3+1</f>
        <v>2022</v>
      </c>
      <c r="G3" s="227">
        <f>F3+1</f>
        <v>2023</v>
      </c>
    </row>
    <row r="4" spans="1:19" s="284" customFormat="1">
      <c r="A4" s="17"/>
      <c r="B4" s="168"/>
      <c r="C4" s="62"/>
      <c r="D4" s="62"/>
      <c r="E4" s="62"/>
      <c r="F4" s="62"/>
      <c r="G4" s="169"/>
    </row>
    <row r="5" spans="1:19" s="284" customFormat="1">
      <c r="A5" s="63" t="s">
        <v>62</v>
      </c>
      <c r="B5" s="170">
        <f t="shared" ref="B5:G5" si="0">B7+B13</f>
        <v>10948.652288728241</v>
      </c>
      <c r="C5" s="171">
        <f t="shared" ca="1" si="0"/>
        <v>12805.89277324827</v>
      </c>
      <c r="D5" s="171">
        <f t="shared" ca="1" si="0"/>
        <v>14815.738407875298</v>
      </c>
      <c r="E5" s="171">
        <f t="shared" ca="1" si="0"/>
        <v>16804.823659551083</v>
      </c>
      <c r="F5" s="171">
        <f t="shared" ca="1" si="0"/>
        <v>19012.157041124032</v>
      </c>
      <c r="G5" s="172">
        <f t="shared" ca="1" si="0"/>
        <v>21391.691354785515</v>
      </c>
    </row>
    <row r="6" spans="1:19" s="284" customFormat="1">
      <c r="A6" s="18" t="s">
        <v>1026</v>
      </c>
      <c r="B6" s="170" t="str">
        <f>'Baseline debt'!P8</f>
        <v/>
      </c>
      <c r="C6" s="171" t="str">
        <f>'Baseline debt'!Q8</f>
        <v/>
      </c>
      <c r="D6" s="171" t="str">
        <f>'Baseline debt'!R8</f>
        <v/>
      </c>
      <c r="E6" s="171" t="str">
        <f>'Baseline debt'!S8</f>
        <v/>
      </c>
      <c r="F6" s="171" t="str">
        <f>'Baseline debt'!T8</f>
        <v/>
      </c>
      <c r="G6" s="172" t="str">
        <f>'Baseline debt'!U8</f>
        <v/>
      </c>
    </row>
    <row r="7" spans="1:19" s="284" customFormat="1">
      <c r="A7" s="21" t="s">
        <v>70</v>
      </c>
      <c r="B7" s="170">
        <f t="shared" ref="B7:G7" si="1">B8+B9</f>
        <v>9886.2521736994167</v>
      </c>
      <c r="C7" s="171">
        <f t="shared" si="1"/>
        <v>8910.6988594887644</v>
      </c>
      <c r="D7" s="171">
        <f t="shared" si="1"/>
        <v>7603.6701863278031</v>
      </c>
      <c r="E7" s="171">
        <f t="shared" si="1"/>
        <v>6150.6557892545252</v>
      </c>
      <c r="F7" s="171">
        <f t="shared" si="1"/>
        <v>5844.6400886862239</v>
      </c>
      <c r="G7" s="172">
        <f t="shared" si="1"/>
        <v>5585.3532924462243</v>
      </c>
    </row>
    <row r="8" spans="1:19" s="284" customFormat="1">
      <c r="A8" s="18" t="s">
        <v>72</v>
      </c>
      <c r="B8" s="170">
        <f>'Baseline debt'!P11</f>
        <v>9879.101789236136</v>
      </c>
      <c r="C8" s="171">
        <f>'Baseline debt'!Q11</f>
        <v>8904.2169986260087</v>
      </c>
      <c r="D8" s="171">
        <f>'Baseline debt'!R11</f>
        <v>8210.6547722760079</v>
      </c>
      <c r="E8" s="171">
        <f>'Baseline debt'!S11</f>
        <v>7110.6102222407098</v>
      </c>
      <c r="F8" s="171">
        <f>'Baseline debt'!T11</f>
        <v>6804.9355125304046</v>
      </c>
      <c r="G8" s="172">
        <f>'Baseline debt'!U11</f>
        <v>6545.648716290405</v>
      </c>
    </row>
    <row r="9" spans="1:19" s="284" customFormat="1">
      <c r="A9" s="18" t="s">
        <v>63</v>
      </c>
      <c r="B9" s="170">
        <f>'Baseline debt'!P13/'Baseline debt'!P$73*B32</f>
        <v>7.1503844632814992</v>
      </c>
      <c r="C9" s="171">
        <f>'Baseline debt'!Q13/'Baseline debt'!Q$73*C32</f>
        <v>6.481860862754961</v>
      </c>
      <c r="D9" s="171">
        <f>'Baseline debt'!R13/'Baseline debt'!R$73*D32</f>
        <v>-606.98458594820488</v>
      </c>
      <c r="E9" s="171">
        <f>'Baseline debt'!S13/'Baseline debt'!S$73*E32</f>
        <v>-959.954432986185</v>
      </c>
      <c r="F9" s="171">
        <f>'Baseline debt'!T13/'Baseline debt'!T$73*F32</f>
        <v>-960.29542384418096</v>
      </c>
      <c r="G9" s="172">
        <f>'Baseline debt'!U13/'Baseline debt'!U$73*G32</f>
        <v>-960.29542384418096</v>
      </c>
    </row>
    <row r="10" spans="1:19" s="284" customFormat="1">
      <c r="A10" s="18" t="s">
        <v>60</v>
      </c>
      <c r="B10" s="170">
        <v>0</v>
      </c>
      <c r="C10" s="171">
        <v>0</v>
      </c>
      <c r="D10" s="171">
        <v>0</v>
      </c>
      <c r="E10" s="171">
        <v>0</v>
      </c>
      <c r="F10" s="171">
        <v>0</v>
      </c>
      <c r="G10" s="172">
        <v>0</v>
      </c>
    </row>
    <row r="11" spans="1:19" s="284" customFormat="1">
      <c r="A11" s="18" t="s">
        <v>73</v>
      </c>
      <c r="B11" s="170">
        <f t="shared" ref="B11:G11" si="2">B8+B9</f>
        <v>9886.2521736994167</v>
      </c>
      <c r="C11" s="171">
        <f t="shared" si="2"/>
        <v>8910.6988594887644</v>
      </c>
      <c r="D11" s="171">
        <f t="shared" si="2"/>
        <v>7603.6701863278031</v>
      </c>
      <c r="E11" s="171">
        <f t="shared" si="2"/>
        <v>6150.6557892545252</v>
      </c>
      <c r="F11" s="171">
        <f t="shared" si="2"/>
        <v>5844.6400886862239</v>
      </c>
      <c r="G11" s="172">
        <f t="shared" si="2"/>
        <v>5585.3532924462243</v>
      </c>
    </row>
    <row r="12" spans="1:19" s="284" customFormat="1">
      <c r="A12" s="17"/>
      <c r="B12" s="170"/>
      <c r="C12" s="171"/>
      <c r="D12" s="171"/>
      <c r="E12" s="171"/>
      <c r="F12" s="171"/>
      <c r="G12" s="172"/>
    </row>
    <row r="13" spans="1:19" s="284" customFormat="1">
      <c r="A13" s="21" t="s">
        <v>71</v>
      </c>
      <c r="B13" s="170">
        <f t="shared" ref="B13:G13" si="3">B14+B15</f>
        <v>1062.4001150288241</v>
      </c>
      <c r="C13" s="171">
        <f t="shared" ca="1" si="3"/>
        <v>3894.19277324827</v>
      </c>
      <c r="D13" s="171">
        <f t="shared" ca="1" si="3"/>
        <v>7180.0384078752977</v>
      </c>
      <c r="E13" s="171">
        <f t="shared" ca="1" si="3"/>
        <v>10604.123659551082</v>
      </c>
      <c r="F13" s="171">
        <f t="shared" ca="1" si="3"/>
        <v>13117.457041124029</v>
      </c>
      <c r="G13" s="172">
        <f t="shared" ca="1" si="3"/>
        <v>15505.991354785514</v>
      </c>
    </row>
    <row r="14" spans="1:19" s="284" customFormat="1">
      <c r="A14" s="18" t="s">
        <v>72</v>
      </c>
      <c r="B14" s="170">
        <f t="shared" ref="B14:G14" si="4">SUM(H119:H124,H138:H171,H214:H219,H233:H266,H307:H312)</f>
        <v>1062.4001150288241</v>
      </c>
      <c r="C14" s="171">
        <f t="shared" ca="1" si="4"/>
        <v>3894.19277324827</v>
      </c>
      <c r="D14" s="171">
        <f t="shared" ca="1" si="4"/>
        <v>7180.0384078752977</v>
      </c>
      <c r="E14" s="171">
        <f t="shared" ca="1" si="4"/>
        <v>10604.123659551082</v>
      </c>
      <c r="F14" s="171">
        <f t="shared" ca="1" si="4"/>
        <v>13117.457041124029</v>
      </c>
      <c r="G14" s="172">
        <f t="shared" ca="1" si="4"/>
        <v>15505.991354785514</v>
      </c>
    </row>
    <row r="15" spans="1:19" s="284" customFormat="1">
      <c r="A15" s="18" t="s">
        <v>63</v>
      </c>
      <c r="B15" s="170">
        <f t="shared" ref="B15:G15" si="5">SUM(H128:H133,H175:H208,H223:H228,H270:H303)*B32</f>
        <v>0</v>
      </c>
      <c r="C15" s="171">
        <f t="shared" ca="1" si="5"/>
        <v>0</v>
      </c>
      <c r="D15" s="171">
        <f t="shared" ca="1" si="5"/>
        <v>0</v>
      </c>
      <c r="E15" s="171">
        <f t="shared" ca="1" si="5"/>
        <v>0</v>
      </c>
      <c r="F15" s="171">
        <f t="shared" ca="1" si="5"/>
        <v>0</v>
      </c>
      <c r="G15" s="172">
        <f t="shared" ca="1" si="5"/>
        <v>0</v>
      </c>
    </row>
    <row r="16" spans="1:19" s="284" customFormat="1">
      <c r="A16" s="18" t="s">
        <v>60</v>
      </c>
      <c r="B16" s="170">
        <f t="shared" ref="B16:G16" si="6">SUM(H119:H124,H214:H219,H307:H312)+SUM(H128:H133,H223:H228)*B32</f>
        <v>-267.59452840452661</v>
      </c>
      <c r="C16" s="171">
        <f t="shared" ca="1" si="6"/>
        <v>3325.3024447628081</v>
      </c>
      <c r="D16" s="171">
        <f t="shared" ca="1" si="6"/>
        <v>6316.52986325657</v>
      </c>
      <c r="E16" s="171">
        <f t="shared" ca="1" si="6"/>
        <v>9565.4485541456288</v>
      </c>
      <c r="F16" s="171">
        <f t="shared" ca="1" si="6"/>
        <v>11868.751131284254</v>
      </c>
      <c r="G16" s="172">
        <f t="shared" ca="1" si="6"/>
        <v>14072.208143671343</v>
      </c>
    </row>
    <row r="17" spans="1:17" s="284" customFormat="1">
      <c r="A17" s="18" t="s">
        <v>73</v>
      </c>
      <c r="B17" s="170">
        <f t="shared" ref="B17:G17" si="7">B14+B15-B16</f>
        <v>1329.9946434333506</v>
      </c>
      <c r="C17" s="171">
        <f t="shared" ca="1" si="7"/>
        <v>568.89032848546185</v>
      </c>
      <c r="D17" s="171">
        <f t="shared" ca="1" si="7"/>
        <v>863.50854461872768</v>
      </c>
      <c r="E17" s="171">
        <f t="shared" ca="1" si="7"/>
        <v>1038.675105405453</v>
      </c>
      <c r="F17" s="171">
        <f t="shared" ca="1" si="7"/>
        <v>1248.7059098397749</v>
      </c>
      <c r="G17" s="172">
        <f t="shared" ca="1" si="7"/>
        <v>1433.7832111141706</v>
      </c>
    </row>
    <row r="18" spans="1:17" s="284" customFormat="1" ht="6.75" customHeight="1">
      <c r="A18" s="17"/>
      <c r="B18" s="170"/>
      <c r="C18" s="171"/>
      <c r="D18" s="171"/>
      <c r="E18" s="171"/>
      <c r="F18" s="171"/>
      <c r="G18" s="172"/>
    </row>
    <row r="19" spans="1:17" s="284" customFormat="1">
      <c r="A19" s="20" t="s">
        <v>74</v>
      </c>
      <c r="B19" s="170">
        <f t="shared" ref="B19:G19" si="8">B63</f>
        <v>1062.4001150288241</v>
      </c>
      <c r="C19" s="171">
        <f t="shared" ca="1" si="8"/>
        <v>3718.185579909677</v>
      </c>
      <c r="D19" s="171">
        <f t="shared" ca="1" si="8"/>
        <v>6752.937850645927</v>
      </c>
      <c r="E19" s="171">
        <f t="shared" ca="1" si="8"/>
        <v>9971.4965183801505</v>
      </c>
      <c r="F19" s="171">
        <f t="shared" ca="1" si="8"/>
        <v>12360.176324176329</v>
      </c>
      <c r="G19" s="172">
        <f t="shared" ca="1" si="8"/>
        <v>14594.283277246721</v>
      </c>
    </row>
    <row r="20" spans="1:17" s="284" customFormat="1">
      <c r="A20" s="18" t="s">
        <v>55</v>
      </c>
      <c r="B20" s="170">
        <f t="shared" ref="B20:G20" si="9">B49-B47</f>
        <v>15.437150622194167</v>
      </c>
      <c r="C20" s="171">
        <f t="shared" si="9"/>
        <v>1539.8193028420392</v>
      </c>
      <c r="D20" s="171">
        <f t="shared" si="9"/>
        <v>1528.9383782217865</v>
      </c>
      <c r="E20" s="171">
        <f t="shared" si="9"/>
        <v>1626.9773107536676</v>
      </c>
      <c r="F20" s="171">
        <f t="shared" si="9"/>
        <v>1467.6099746144046</v>
      </c>
      <c r="G20" s="172">
        <f t="shared" si="9"/>
        <v>1531.3776280113998</v>
      </c>
    </row>
    <row r="21" spans="1:17" s="284" customFormat="1">
      <c r="A21" s="18" t="s">
        <v>1172</v>
      </c>
      <c r="B21" s="170">
        <f>B48</f>
        <v>48.271190640000007</v>
      </c>
      <c r="C21" s="171">
        <v>0</v>
      </c>
      <c r="D21" s="171">
        <v>0</v>
      </c>
      <c r="E21" s="171">
        <v>0</v>
      </c>
      <c r="F21" s="171">
        <v>0</v>
      </c>
      <c r="G21" s="172">
        <v>0</v>
      </c>
    </row>
    <row r="22" spans="1:17" s="284" customFormat="1">
      <c r="A22" s="23" t="s">
        <v>102</v>
      </c>
      <c r="B22" s="170">
        <f t="shared" ref="B22:G22" si="10">B23+B24</f>
        <v>1095.234155046629</v>
      </c>
      <c r="C22" s="171">
        <f t="shared" ca="1" si="10"/>
        <v>2190.8804037295163</v>
      </c>
      <c r="D22" s="171">
        <f t="shared" ca="1" si="10"/>
        <v>5152.2555419579558</v>
      </c>
      <c r="E22" s="171">
        <f t="shared" ca="1" si="10"/>
        <v>8298.850792508314</v>
      </c>
      <c r="F22" s="171">
        <f t="shared" ca="1" si="10"/>
        <v>10612.331854135948</v>
      </c>
      <c r="G22" s="172">
        <f t="shared" ca="1" si="10"/>
        <v>12767.859280701728</v>
      </c>
    </row>
    <row r="23" spans="1:17" s="284" customFormat="1">
      <c r="A23" s="228" t="s">
        <v>1173</v>
      </c>
      <c r="B23" s="170">
        <f t="shared" ref="B23:G23" si="11">SUM(B50:B51,B58:B59)</f>
        <v>210.95965861346764</v>
      </c>
      <c r="C23" s="171">
        <f t="shared" ca="1" si="11"/>
        <v>272.737797096664</v>
      </c>
      <c r="D23" s="171">
        <f t="shared" ca="1" si="11"/>
        <v>409.16332593905702</v>
      </c>
      <c r="E23" s="171">
        <f t="shared" ca="1" si="11"/>
        <v>316.43952580394847</v>
      </c>
      <c r="F23" s="171">
        <f t="shared" ca="1" si="11"/>
        <v>459.48891153256631</v>
      </c>
      <c r="G23" s="172">
        <f t="shared" ca="1" si="11"/>
        <v>553.11031711649161</v>
      </c>
    </row>
    <row r="24" spans="1:17" s="284" customFormat="1">
      <c r="A24" s="228" t="s">
        <v>1174</v>
      </c>
      <c r="B24" s="170">
        <f t="shared" ref="B24:G24" si="12">SUM(B53:B54,B60:B61)</f>
        <v>884.2744964331614</v>
      </c>
      <c r="C24" s="171">
        <f t="shared" ca="1" si="12"/>
        <v>1918.1426066328522</v>
      </c>
      <c r="D24" s="171">
        <f t="shared" ca="1" si="12"/>
        <v>4743.0922160188984</v>
      </c>
      <c r="E24" s="171">
        <f t="shared" ca="1" si="12"/>
        <v>7982.4112667043664</v>
      </c>
      <c r="F24" s="171">
        <f t="shared" ca="1" si="12"/>
        <v>10152.842942603382</v>
      </c>
      <c r="G24" s="172">
        <f t="shared" ca="1" si="12"/>
        <v>12214.748963585236</v>
      </c>
    </row>
    <row r="25" spans="1:17" s="284" customFormat="1" ht="15" customHeight="1">
      <c r="A25" s="63" t="s">
        <v>304</v>
      </c>
      <c r="B25" s="271">
        <f>'Baseline debt'!P64</f>
        <v>1.9586439007071743E-2</v>
      </c>
      <c r="C25" s="176">
        <f ca="1">IF(Guarantees="Yes",IF(ISNUMBER(C23/(B5-B6)),C23/(B5-B6),""),IF(ISNUMBER(C23/B5),C23/B5,""))</f>
        <v>2.4781166566290192E-2</v>
      </c>
      <c r="D25" s="176">
        <f ca="1">IF(Guarantees="Yes",IF(ISNUMBER(D23/(C5-C6)),D23/(C5-C6),""),IF(ISNUMBER(D23/C5),D23/C5,""))</f>
        <v>3.1951175383398978E-2</v>
      </c>
      <c r="E25" s="176">
        <f ca="1">IF(Guarantees="Yes",IF(ISNUMBER(E23/(D5-D6)),E23/(D5-D6),""),IF(ISNUMBER(E23/D5),E23/D5,""))</f>
        <v>2.1358336459001273E-2</v>
      </c>
      <c r="F25" s="176">
        <f ca="1">IF(Guarantees="Yes",IF(ISNUMBER(F23/(E5-E6)),F23/(E5-E6),""),IF(ISNUMBER(F23/E5),F23/E5,""))</f>
        <v>2.7342679747276857E-2</v>
      </c>
      <c r="G25" s="177">
        <f ca="1">IF(Guarantees="Yes",IF(ISNUMBER(G23/(F5-F6)),G23/(F5-F6),""),IF(ISNUMBER(G23/F5),G23/F5,""))</f>
        <v>2.9092454681501557E-2</v>
      </c>
    </row>
    <row r="26" spans="1:17" s="284" customFormat="1">
      <c r="A26" s="20" t="s">
        <v>77</v>
      </c>
      <c r="B26" s="173">
        <f>'Input 5 - Scenario Design'!E123</f>
        <v>4.7697166816344838E-2</v>
      </c>
      <c r="C26" s="174">
        <f>'Input 5 - Scenario Design'!F123</f>
        <v>2.168643457487663E-2</v>
      </c>
      <c r="D26" s="174">
        <f>'Input 5 - Scenario Design'!G123</f>
        <v>1.9947102444823901E-2</v>
      </c>
      <c r="E26" s="174">
        <f>'Input 5 - Scenario Design'!H123</f>
        <v>1.8871442593204175E-2</v>
      </c>
      <c r="F26" s="174">
        <f>'Input 5 - Scenario Design'!I123</f>
        <v>1.9330236947075148E-2</v>
      </c>
      <c r="G26" s="175">
        <f>'Input 5 - Scenario Design'!J123</f>
        <v>1.8000000000000023E-2</v>
      </c>
    </row>
    <row r="27" spans="1:17" s="284" customFormat="1">
      <c r="A27" s="20" t="s">
        <v>78</v>
      </c>
      <c r="B27" s="173">
        <f>'Input 5 - Scenario Design'!E124</f>
        <v>4.2122999157540031E-2</v>
      </c>
      <c r="C27" s="174">
        <f>'Input 5 - Scenario Design'!F124</f>
        <v>3.085754504401117E-2</v>
      </c>
      <c r="D27" s="174">
        <f>'Input 5 - Scenario Design'!G124</f>
        <v>2.7938359016816516E-2</v>
      </c>
      <c r="E27" s="174">
        <f>'Input 5 - Scenario Design'!H124</f>
        <v>2.5315565708619037E-2</v>
      </c>
      <c r="F27" s="174">
        <f>'Input 5 - Scenario Design'!I124</f>
        <v>2.4647711698661201E-2</v>
      </c>
      <c r="G27" s="175">
        <f>'Input 5 - Scenario Design'!J124</f>
        <v>2.5000000000000133E-2</v>
      </c>
    </row>
    <row r="28" spans="1:17" s="284" customFormat="1">
      <c r="A28" s="20" t="s">
        <v>828</v>
      </c>
      <c r="B28" s="173">
        <f>'Input 5 - Scenario Design'!E125</f>
        <v>0.36781832970756889</v>
      </c>
      <c r="C28" s="174">
        <f>'Input 5 - Scenario Design'!F125</f>
        <v>0.30899708650221952</v>
      </c>
      <c r="D28" s="174">
        <f>'Input 5 - Scenario Design'!G125</f>
        <v>0.30663219049317714</v>
      </c>
      <c r="E28" s="174">
        <f>'Input 5 - Scenario Design'!H125</f>
        <v>0.30111135216456819</v>
      </c>
      <c r="F28" s="174">
        <f>'Input 5 - Scenario Design'!I125</f>
        <v>0.29585635256377735</v>
      </c>
      <c r="G28" s="175">
        <f>'Input 5 - Scenario Design'!J125</f>
        <v>0.29585635256377735</v>
      </c>
    </row>
    <row r="29" spans="1:17" s="284" customFormat="1">
      <c r="A29" s="20" t="s">
        <v>80</v>
      </c>
      <c r="B29" s="173">
        <f>'Input 5 - Scenario Design'!E126</f>
        <v>0.36834134844430905</v>
      </c>
      <c r="C29" s="174">
        <f>'Input 5 - Scenario Design'!F126</f>
        <v>0.35853110754106615</v>
      </c>
      <c r="D29" s="174">
        <f>'Input 5 - Scenario Design'!G126</f>
        <v>0.35354366520139902</v>
      </c>
      <c r="E29" s="174">
        <f>'Input 5 - Scenario Design'!H126</f>
        <v>0.34889657983921007</v>
      </c>
      <c r="F29" s="174">
        <f>'Input 5 - Scenario Design'!I126</f>
        <v>0.33712624493397764</v>
      </c>
      <c r="G29" s="175">
        <f>'Input 5 - Scenario Design'!J126</f>
        <v>0.33712624493397758</v>
      </c>
    </row>
    <row r="30" spans="1:17" s="284" customFormat="1">
      <c r="A30" s="20" t="s">
        <v>147</v>
      </c>
      <c r="B30" s="173">
        <f>'Input 5 - Scenario Design'!E127</f>
        <v>-5.2301873674015509E-4</v>
      </c>
      <c r="C30" s="176">
        <f>'Input 5 - Scenario Design'!F127</f>
        <v>4.6597896115335713E-4</v>
      </c>
      <c r="D30" s="176">
        <f>'Input 5 - Scenario Design'!G127</f>
        <v>3.0885252917781103E-3</v>
      </c>
      <c r="E30" s="176">
        <f>'Input 5 - Scenario Design'!H127</f>
        <v>2.2147723253581053E-3</v>
      </c>
      <c r="F30" s="176">
        <f>'Input 5 - Scenario Design'!I127</f>
        <v>8.7301076297996993E-3</v>
      </c>
      <c r="G30" s="177">
        <f>'Input 5 - Scenario Design'!J127</f>
        <v>8.7301076297997549E-3</v>
      </c>
    </row>
    <row r="31" spans="1:17" ht="15" customHeight="1">
      <c r="A31" s="20" t="s">
        <v>1129</v>
      </c>
      <c r="B31" s="229">
        <f>'Input 5 - Scenario Design'!E128</f>
        <v>1.18</v>
      </c>
      <c r="C31" s="230">
        <f>'Input 5 - Scenario Design'!F128</f>
        <v>1.1399999999999999</v>
      </c>
      <c r="D31" s="230">
        <f>'Input 5 - Scenario Design'!G128</f>
        <v>1.1399999999999999</v>
      </c>
      <c r="E31" s="230">
        <f>'Input 5 - Scenario Design'!H128</f>
        <v>1.1399999999999999</v>
      </c>
      <c r="F31" s="230">
        <f>'Input 5 - Scenario Design'!I128</f>
        <v>1.1399999999999999</v>
      </c>
      <c r="G31" s="231">
        <f>'Input 5 - Scenario Design'!J128</f>
        <v>1.1399999999999999</v>
      </c>
      <c r="I31" s="188"/>
      <c r="J31" s="188"/>
      <c r="K31" s="188"/>
      <c r="L31" s="188"/>
      <c r="M31" s="188"/>
      <c r="N31" s="188"/>
      <c r="O31" s="188"/>
      <c r="P31" s="188"/>
      <c r="Q31" s="189"/>
    </row>
    <row r="32" spans="1:17" s="284" customFormat="1">
      <c r="A32" s="20" t="s">
        <v>1130</v>
      </c>
      <c r="B32" s="229">
        <f>'Input 5 - Scenario Design'!E129</f>
        <v>1.18</v>
      </c>
      <c r="C32" s="230">
        <f>'Input 5 - Scenario Design'!F129</f>
        <v>1.1399999999999999</v>
      </c>
      <c r="D32" s="230">
        <f>'Input 5 - Scenario Design'!G129</f>
        <v>1.1399999999999999</v>
      </c>
      <c r="E32" s="230">
        <f>'Input 5 - Scenario Design'!H129</f>
        <v>1.1399999999999999</v>
      </c>
      <c r="F32" s="230">
        <f>'Input 5 - Scenario Design'!I129</f>
        <v>1.1399999999999999</v>
      </c>
      <c r="G32" s="231">
        <f>'Input 5 - Scenario Design'!J129</f>
        <v>1.1399999999999999</v>
      </c>
    </row>
    <row r="33" spans="1:17" s="284" customFormat="1">
      <c r="A33" s="20" t="s">
        <v>89</v>
      </c>
      <c r="B33" s="233">
        <f>'Input 5 - Scenario Design'!E130</f>
        <v>0</v>
      </c>
      <c r="C33" s="232">
        <f>'Input 5 - Scenario Design'!F130</f>
        <v>25</v>
      </c>
      <c r="D33" s="232">
        <f>'Input 5 - Scenario Design'!G130</f>
        <v>25</v>
      </c>
      <c r="E33" s="232">
        <f>'Input 5 - Scenario Design'!H130</f>
        <v>25</v>
      </c>
      <c r="F33" s="232">
        <f>'Input 5 - Scenario Design'!I130</f>
        <v>25</v>
      </c>
      <c r="G33" s="234">
        <f>'Input 5 - Scenario Design'!J130</f>
        <v>25</v>
      </c>
    </row>
    <row r="34" spans="1:17" s="284" customFormat="1">
      <c r="A34" s="20" t="s">
        <v>92</v>
      </c>
      <c r="B34" s="173">
        <f t="shared" ref="B34:G34" si="13">(1+B26)*(1+B27)-1</f>
        <v>9.1829313691506709E-2</v>
      </c>
      <c r="C34" s="174">
        <f t="shared" si="13"/>
        <v>5.3213169750625955E-2</v>
      </c>
      <c r="D34" s="174">
        <f t="shared" si="13"/>
        <v>4.8442750771089171E-2</v>
      </c>
      <c r="E34" s="174">
        <f t="shared" si="13"/>
        <v>4.4664749546807991E-2</v>
      </c>
      <c r="F34" s="174">
        <f t="shared" si="13"/>
        <v>4.4454394753074666E-2</v>
      </c>
      <c r="G34" s="175">
        <f t="shared" si="13"/>
        <v>4.3450000000000211E-2</v>
      </c>
    </row>
    <row r="35" spans="1:17" ht="15" customHeight="1">
      <c r="A35" s="20" t="s">
        <v>10</v>
      </c>
      <c r="B35" s="190">
        <f>'Input 2 - Data'!P7*(1+B34)</f>
        <v>29515.482979464068</v>
      </c>
      <c r="C35" s="13">
        <f>B35*(1+C34)</f>
        <v>31086.095385522</v>
      </c>
      <c r="D35" s="13">
        <f>C35*(1+D34)</f>
        <v>32591.991356729148</v>
      </c>
      <c r="E35" s="13">
        <f>D35*(1+E34)</f>
        <v>34047.704487909185</v>
      </c>
      <c r="F35" s="13">
        <f>E35*(1+F34)</f>
        <v>35561.274583650731</v>
      </c>
      <c r="G35" s="191">
        <f>F35*(1+G34)</f>
        <v>37106.411964310362</v>
      </c>
      <c r="I35" s="188"/>
      <c r="J35" s="188"/>
      <c r="K35" s="188"/>
      <c r="L35" s="188"/>
      <c r="M35" s="188"/>
      <c r="N35" s="188"/>
      <c r="O35" s="188"/>
      <c r="P35" s="188"/>
      <c r="Q35" s="189"/>
    </row>
    <row r="36" spans="1:17" s="284" customFormat="1" ht="6" customHeight="1">
      <c r="A36" s="20"/>
      <c r="B36" s="170"/>
      <c r="C36" s="171"/>
      <c r="D36" s="171"/>
      <c r="E36" s="171"/>
      <c r="F36" s="171"/>
      <c r="G36" s="172"/>
    </row>
    <row r="37" spans="1:17" s="284" customFormat="1">
      <c r="A37" s="20" t="s">
        <v>96</v>
      </c>
      <c r="B37" s="178">
        <f t="shared" ref="B37:G37" si="14">B5/B35</f>
        <v>0.37094606570883371</v>
      </c>
      <c r="C37" s="179">
        <f t="shared" ca="1" si="14"/>
        <v>0.41923163009491721</v>
      </c>
      <c r="D37" s="179">
        <f t="shared" ca="1" si="14"/>
        <v>0.46279446981641476</v>
      </c>
      <c r="E37" s="179">
        <f t="shared" ca="1" si="14"/>
        <v>0.50234258814106847</v>
      </c>
      <c r="F37" s="179">
        <f t="shared" ca="1" si="14"/>
        <v>0.54387439406106863</v>
      </c>
      <c r="G37" s="180">
        <f t="shared" ca="1" si="14"/>
        <v>0.58561679531290989</v>
      </c>
    </row>
    <row r="38" spans="1:17" s="284" customFormat="1">
      <c r="A38" s="20" t="s">
        <v>100</v>
      </c>
      <c r="B38" s="178">
        <f t="shared" ref="B38:G38" si="15">B22/B35</f>
        <v>3.7107105982600995E-2</v>
      </c>
      <c r="C38" s="179">
        <f t="shared" ca="1" si="15"/>
        <v>7.1723727448137722E-2</v>
      </c>
      <c r="D38" s="179">
        <f t="shared" ca="1" si="15"/>
        <v>0.160939354236416</v>
      </c>
      <c r="E38" s="179">
        <f t="shared" ca="1" si="15"/>
        <v>0.24807556866779698</v>
      </c>
      <c r="F38" s="179">
        <f t="shared" ca="1" si="15"/>
        <v>0.30358341477290512</v>
      </c>
      <c r="G38" s="180">
        <f t="shared" ca="1" si="15"/>
        <v>0.34953163407988552</v>
      </c>
    </row>
    <row r="39" spans="1:17" s="284" customFormat="1">
      <c r="A39" s="20" t="s">
        <v>98</v>
      </c>
      <c r="B39" s="178">
        <f t="shared" ref="B39:G39" si="16">B19/B35</f>
        <v>3.5994671534530134E-2</v>
      </c>
      <c r="C39" s="179">
        <f t="shared" ca="1" si="16"/>
        <v>0.12172372744813773</v>
      </c>
      <c r="D39" s="179">
        <f t="shared" ca="1" si="16"/>
        <v>0.21093935423641597</v>
      </c>
      <c r="E39" s="179">
        <f t="shared" ca="1" si="16"/>
        <v>0.298075568667797</v>
      </c>
      <c r="F39" s="179">
        <f t="shared" ca="1" si="16"/>
        <v>0.35358341477290517</v>
      </c>
      <c r="G39" s="180">
        <f t="shared" ca="1" si="16"/>
        <v>0.39953163407988557</v>
      </c>
    </row>
    <row r="40" spans="1:17" s="284" customFormat="1">
      <c r="A40" s="20" t="s">
        <v>1175</v>
      </c>
      <c r="B40" s="178">
        <f>B5/(B47+B48)</f>
        <v>1.0040391596609757</v>
      </c>
      <c r="C40" s="179">
        <f ca="1">C5/C47</f>
        <v>-8.3846326018983444</v>
      </c>
      <c r="D40" s="179">
        <f ca="1">D5/D47</f>
        <v>-9.2558893963282944</v>
      </c>
      <c r="E40" s="179">
        <f ca="1">E5/E47</f>
        <v>-10.046851762821369</v>
      </c>
      <c r="F40" s="179">
        <f ca="1">F5/F47</f>
        <v>-10.877487881221372</v>
      </c>
      <c r="G40" s="180">
        <f ca="1">G5/G47</f>
        <v>-11.712335906258199</v>
      </c>
    </row>
    <row r="41" spans="1:17" s="284" customFormat="1">
      <c r="A41" s="20" t="s">
        <v>1176</v>
      </c>
      <c r="B41" s="178">
        <f>B22/(B47+B48)</f>
        <v>0.10043774810504542</v>
      </c>
      <c r="C41" s="179">
        <f ca="1">C22/C47</f>
        <v>-1.4344745489627544</v>
      </c>
      <c r="D41" s="179">
        <f ca="1">D22/D47</f>
        <v>-3.2187870847283202</v>
      </c>
      <c r="E41" s="179">
        <f ca="1">E22/E47</f>
        <v>-4.9615113733559397</v>
      </c>
      <c r="F41" s="179">
        <f ca="1">F22/F47</f>
        <v>-6.0716682954581023</v>
      </c>
      <c r="G41" s="180">
        <f ca="1">G22/G47</f>
        <v>-6.9906326815977105</v>
      </c>
    </row>
    <row r="42" spans="1:17" s="284" customFormat="1">
      <c r="A42" s="20" t="s">
        <v>99</v>
      </c>
      <c r="B42" s="178">
        <f>B19/(B47+B48)</f>
        <v>9.7426723453025818E-2</v>
      </c>
      <c r="C42" s="179">
        <f ca="1">C19/C47</f>
        <v>-2.4344745489627546</v>
      </c>
      <c r="D42" s="179">
        <f ca="1">D19/D47</f>
        <v>-4.2187870847283193</v>
      </c>
      <c r="E42" s="179">
        <f ca="1">E19/E47</f>
        <v>-5.9615113733559397</v>
      </c>
      <c r="F42" s="179">
        <f ca="1">F19/F47</f>
        <v>-7.0716682954581023</v>
      </c>
      <c r="G42" s="180">
        <f ca="1">G19/G47</f>
        <v>-7.9906326815977105</v>
      </c>
    </row>
    <row r="43" spans="1:17" ht="6" customHeight="1" thickBot="1">
      <c r="A43" s="17"/>
      <c r="B43" s="181"/>
      <c r="C43" s="182"/>
      <c r="D43" s="182"/>
      <c r="E43" s="182"/>
      <c r="F43" s="182"/>
      <c r="G43" s="183"/>
    </row>
    <row r="44" spans="1:17" ht="6" customHeight="1" thickBot="1">
      <c r="B44" s="7"/>
      <c r="C44" s="7"/>
      <c r="D44" s="7"/>
      <c r="E44" s="7"/>
      <c r="F44" s="7"/>
      <c r="G44" s="7"/>
      <c r="I44" s="184"/>
      <c r="J44" s="184"/>
      <c r="K44" s="184"/>
      <c r="L44" s="184"/>
      <c r="M44" s="184"/>
      <c r="N44" s="184"/>
      <c r="O44" s="184"/>
      <c r="P44" s="184"/>
    </row>
    <row r="45" spans="1:17" ht="15.75" thickBot="1">
      <c r="B45" s="1389">
        <f>FirstYear</f>
        <v>2018</v>
      </c>
      <c r="C45" s="1390">
        <f>B45+1</f>
        <v>2019</v>
      </c>
      <c r="D45" s="1390">
        <f>C45+1</f>
        <v>2020</v>
      </c>
      <c r="E45" s="1390">
        <f>D45+1</f>
        <v>2021</v>
      </c>
      <c r="F45" s="1390">
        <f>E45+1</f>
        <v>2022</v>
      </c>
      <c r="G45" s="1391">
        <f>F45+1</f>
        <v>2023</v>
      </c>
      <c r="I45" s="184"/>
      <c r="J45" s="184"/>
      <c r="K45" s="184"/>
      <c r="L45" s="184"/>
      <c r="M45" s="184"/>
      <c r="N45" s="184"/>
      <c r="O45" s="184"/>
      <c r="P45" s="184"/>
    </row>
    <row r="46" spans="1:17" ht="6" customHeight="1" thickBot="1">
      <c r="B46" s="195"/>
      <c r="C46" s="195"/>
      <c r="D46" s="195"/>
      <c r="E46" s="195"/>
      <c r="F46" s="195"/>
      <c r="G46" s="195"/>
      <c r="I46" s="188"/>
      <c r="J46" s="188"/>
      <c r="K46" s="188"/>
      <c r="L46" s="188"/>
      <c r="M46" s="188"/>
      <c r="N46" s="188"/>
      <c r="O46" s="188"/>
      <c r="P46" s="188"/>
      <c r="Q46" s="189"/>
    </row>
    <row r="47" spans="1:17" ht="15" customHeight="1">
      <c r="A47" s="1384" t="s">
        <v>830</v>
      </c>
      <c r="B47" s="185">
        <f t="shared" ref="B47:G47" si="17">B28*B$35</f>
        <v>10856.335650018653</v>
      </c>
      <c r="C47" s="186">
        <f t="shared" si="17"/>
        <v>9605.5129048563886</v>
      </c>
      <c r="D47" s="186">
        <f t="shared" si="17"/>
        <v>9993.753702248554</v>
      </c>
      <c r="E47" s="186">
        <f t="shared" si="17"/>
        <v>10252.150336453971</v>
      </c>
      <c r="F47" s="186">
        <f t="shared" si="17"/>
        <v>10521.028990837865</v>
      </c>
      <c r="G47" s="187">
        <f t="shared" si="17"/>
        <v>10978.167700489772</v>
      </c>
      <c r="I47" s="188"/>
      <c r="J47" s="188"/>
      <c r="K47" s="188"/>
      <c r="L47" s="188"/>
      <c r="M47" s="188"/>
      <c r="N47" s="188"/>
      <c r="O47" s="188"/>
      <c r="P47" s="188"/>
      <c r="Q47" s="189"/>
    </row>
    <row r="48" spans="1:17" ht="15" customHeight="1">
      <c r="A48" s="1383" t="s">
        <v>824</v>
      </c>
      <c r="B48" s="190">
        <f>'Input 4 - Forecast'!C21</f>
        <v>48.271190640000007</v>
      </c>
      <c r="C48" s="13">
        <f>'Input 4 - Forecast'!D21</f>
        <v>51.337460912386192</v>
      </c>
      <c r="D48" s="13">
        <f>'Input 4 - Forecast'!E21</f>
        <v>54.35210618984911</v>
      </c>
      <c r="E48" s="13">
        <f>'Input 4 - Forecast'!F21</f>
        <v>57.337010005215234</v>
      </c>
      <c r="F48" s="13">
        <f>'Input 4 - Forecast'!G21</f>
        <v>60.473394442922938</v>
      </c>
      <c r="G48" s="191">
        <f>'Input 4 - Forecast'!H21</f>
        <v>63.71294897394791</v>
      </c>
      <c r="I48" s="188"/>
      <c r="J48" s="188"/>
      <c r="K48" s="188"/>
      <c r="L48" s="188"/>
      <c r="M48" s="188"/>
      <c r="N48" s="188"/>
      <c r="O48" s="188"/>
      <c r="P48" s="188"/>
      <c r="Q48" s="189"/>
    </row>
    <row r="49" spans="1:17" ht="15" customHeight="1">
      <c r="A49" s="5" t="s">
        <v>69</v>
      </c>
      <c r="B49" s="190">
        <f t="shared" ref="B49:G49" si="18">B29*B$35</f>
        <v>10871.772800640847</v>
      </c>
      <c r="C49" s="13">
        <f t="shared" si="18"/>
        <v>11145.332207698428</v>
      </c>
      <c r="D49" s="13">
        <f t="shared" si="18"/>
        <v>11522.69208047034</v>
      </c>
      <c r="E49" s="13">
        <f t="shared" si="18"/>
        <v>11879.127647207639</v>
      </c>
      <c r="F49" s="13">
        <f t="shared" si="18"/>
        <v>11988.63896545227</v>
      </c>
      <c r="G49" s="191">
        <f t="shared" si="18"/>
        <v>12509.545328501172</v>
      </c>
      <c r="I49" s="188"/>
      <c r="J49" s="188"/>
      <c r="K49" s="188"/>
      <c r="L49" s="188"/>
      <c r="M49" s="188"/>
      <c r="N49" s="188"/>
      <c r="O49" s="188"/>
      <c r="P49" s="188"/>
      <c r="Q49" s="189"/>
    </row>
    <row r="50" spans="1:17" ht="15" customHeight="1">
      <c r="A50" s="3" t="s">
        <v>66</v>
      </c>
      <c r="B50" s="190">
        <f>'Input 4 - Forecast'!C24</f>
        <v>174.85657659911266</v>
      </c>
      <c r="C50" s="13">
        <f>'Input 4 - Forecast'!D24</f>
        <v>162.29082986591305</v>
      </c>
      <c r="D50" s="13">
        <f>'Input 4 - Forecast'!E24</f>
        <v>139.59781983027952</v>
      </c>
      <c r="E50" s="13">
        <f>'Input 4 - Forecast'!F24</f>
        <v>135.40250794027952</v>
      </c>
      <c r="F50" s="13">
        <f>'Input 4 - Forecast'!G24</f>
        <v>103.26669278984103</v>
      </c>
      <c r="G50" s="191">
        <f>'Input 4 - Forecast'!H24</f>
        <v>95.657544050000013</v>
      </c>
      <c r="I50" s="197" t="s">
        <v>87</v>
      </c>
      <c r="J50" s="188"/>
      <c r="K50" s="188"/>
      <c r="L50" s="188"/>
      <c r="M50" s="188"/>
      <c r="N50" s="188"/>
      <c r="O50" s="188"/>
      <c r="P50" s="188"/>
      <c r="Q50" s="189"/>
    </row>
    <row r="51" spans="1:17" ht="15" customHeight="1" thickBot="1">
      <c r="A51" s="198" t="s">
        <v>65</v>
      </c>
      <c r="B51" s="192">
        <f>('Input 4 - Forecast'!C25/'Input 4 - Forecast'!C$17)*B31</f>
        <v>36.103082014354982</v>
      </c>
      <c r="C51" s="193">
        <f>('Input 4 - Forecast'!D25/'Input 4 - Forecast'!D$17)*C31</f>
        <v>36.793459074872004</v>
      </c>
      <c r="D51" s="193">
        <f>('Input 4 - Forecast'!E25/'Input 4 - Forecast'!E$17)*D31</f>
        <v>28.352366134432003</v>
      </c>
      <c r="E51" s="193">
        <f>('Input 4 - Forecast'!F25/'Input 4 - Forecast'!F$17)*E31</f>
        <v>10.689095726641995</v>
      </c>
      <c r="F51" s="193">
        <f>('Input 4 - Forecast'!G25/'Input 4 - Forecast'!G$17)*F31</f>
        <v>0.23301181859500275</v>
      </c>
      <c r="G51" s="194">
        <f>('Input 4 - Forecast'!H25/'Input 4 - Forecast'!H$17)*G31</f>
        <v>0.22278209171348351</v>
      </c>
      <c r="I51" s="197" t="s">
        <v>85</v>
      </c>
      <c r="J51" s="188"/>
      <c r="K51" s="188"/>
      <c r="L51" s="188"/>
      <c r="M51" s="188"/>
      <c r="N51" s="188"/>
      <c r="O51" s="188"/>
      <c r="P51" s="188"/>
      <c r="Q51" s="189"/>
    </row>
    <row r="52" spans="1:17" ht="6" customHeight="1" thickBot="1">
      <c r="B52" s="195"/>
      <c r="C52" s="195"/>
      <c r="D52" s="195"/>
      <c r="E52" s="195"/>
      <c r="F52" s="195"/>
      <c r="G52" s="195"/>
      <c r="I52" s="199"/>
      <c r="J52" s="199"/>
      <c r="K52" s="199"/>
      <c r="L52" s="199"/>
      <c r="M52" s="199"/>
      <c r="N52" s="199"/>
      <c r="O52" s="199"/>
      <c r="P52" s="199"/>
    </row>
    <row r="53" spans="1:17">
      <c r="A53" s="196" t="s">
        <v>67</v>
      </c>
      <c r="B53" s="185">
        <f>'Input 4 - Forecast'!C27</f>
        <v>880.82751076386637</v>
      </c>
      <c r="C53" s="186">
        <f>'Input 4 - Forecast'!D27</f>
        <v>974.88479061012663</v>
      </c>
      <c r="D53" s="186">
        <f>'Input 4 - Forecast'!E27</f>
        <v>693.56222634999995</v>
      </c>
      <c r="E53" s="186">
        <f>'Input 4 - Forecast'!F27</f>
        <v>1100.0445500352976</v>
      </c>
      <c r="F53" s="186">
        <f>'Input 4 - Forecast'!G27</f>
        <v>305.67470971030548</v>
      </c>
      <c r="G53" s="187">
        <f>'Input 4 - Forecast'!H27</f>
        <v>259.28679624</v>
      </c>
      <c r="I53" s="197" t="s">
        <v>88</v>
      </c>
      <c r="J53" s="199"/>
      <c r="K53" s="199"/>
      <c r="L53" s="199"/>
      <c r="M53" s="199"/>
      <c r="N53" s="199"/>
      <c r="O53" s="199"/>
      <c r="P53" s="199"/>
    </row>
    <row r="54" spans="1:17" ht="15.75" thickBot="1">
      <c r="A54" s="198" t="s">
        <v>68</v>
      </c>
      <c r="B54" s="192">
        <f>('Input 4 - Forecast'!C28/'Input 4 - Forecast'!C$17)*B31</f>
        <v>3.4469856692949747</v>
      </c>
      <c r="C54" s="193">
        <f>('Input 4 - Forecast'!D28/'Input 4 - Forecast'!D$17)*C31</f>
        <v>0.42613768651699502</v>
      </c>
      <c r="D54" s="193">
        <f>('Input 4 - Forecast'!E28/'Input 4 - Forecast'!E$17)*D31</f>
        <v>613.46644681095995</v>
      </c>
      <c r="E54" s="193">
        <f>('Input 4 - Forecast'!F28/'Input 4 - Forecast'!F$17)*E31</f>
        <v>352.96984703798012</v>
      </c>
      <c r="F54" s="193">
        <f>('Input 4 - Forecast'!G28/'Input 4 - Forecast'!G$17)*F31</f>
        <v>0.34099085799599038</v>
      </c>
      <c r="G54" s="194">
        <f>('Input 4 - Forecast'!H28/'Input 4 - Forecast'!H$17)*G31</f>
        <v>0</v>
      </c>
      <c r="I54" s="197" t="s">
        <v>86</v>
      </c>
      <c r="J54" s="199"/>
      <c r="K54" s="199"/>
      <c r="L54" s="199"/>
      <c r="M54" s="199"/>
      <c r="N54" s="199"/>
      <c r="O54" s="199"/>
      <c r="P54" s="199"/>
    </row>
    <row r="55" spans="1:17" ht="15.75" thickBot="1">
      <c r="B55" s="195"/>
      <c r="C55" s="195"/>
      <c r="D55" s="195"/>
      <c r="E55" s="195"/>
      <c r="F55" s="195"/>
      <c r="G55" s="195"/>
      <c r="I55" s="199"/>
      <c r="J55" s="199"/>
      <c r="K55" s="199"/>
      <c r="L55" s="199"/>
      <c r="M55" s="199"/>
      <c r="N55" s="199"/>
      <c r="O55" s="199"/>
      <c r="P55" s="199"/>
    </row>
    <row r="56" spans="1:17" ht="15.75" thickBot="1">
      <c r="A56" s="200" t="s">
        <v>5</v>
      </c>
      <c r="B56" s="201">
        <f>'Input 4 - Forecast'!C30</f>
        <v>0</v>
      </c>
      <c r="C56" s="202">
        <f>'Input 4 - Forecast'!D30</f>
        <v>0</v>
      </c>
      <c r="D56" s="202">
        <f>'Input 4 - Forecast'!E30</f>
        <v>0</v>
      </c>
      <c r="E56" s="202">
        <f>'Input 4 - Forecast'!F30</f>
        <v>0</v>
      </c>
      <c r="F56" s="202">
        <f>'Input 4 - Forecast'!G30</f>
        <v>0</v>
      </c>
      <c r="G56" s="203">
        <f>'Input 4 - Forecast'!H30</f>
        <v>0</v>
      </c>
      <c r="I56" s="199"/>
      <c r="J56" s="199"/>
      <c r="K56" s="199"/>
      <c r="L56" s="199"/>
      <c r="M56" s="199"/>
      <c r="N56" s="199"/>
      <c r="O56" s="199"/>
      <c r="P56" s="199"/>
    </row>
    <row r="57" spans="1:17" ht="15.75" thickBot="1">
      <c r="B57" s="195"/>
      <c r="C57" s="195"/>
      <c r="D57" s="195"/>
      <c r="E57" s="195"/>
      <c r="F57" s="195"/>
      <c r="G57" s="195"/>
      <c r="I57" s="199"/>
      <c r="J57" s="199"/>
      <c r="K57" s="199"/>
      <c r="L57" s="199"/>
      <c r="M57" s="199"/>
      <c r="N57" s="199"/>
      <c r="O57" s="199"/>
      <c r="P57" s="199"/>
    </row>
    <row r="58" spans="1:17">
      <c r="A58" s="196" t="s">
        <v>47</v>
      </c>
      <c r="B58" s="185">
        <f>'Input 4 - Forecast'!C32</f>
        <v>0</v>
      </c>
      <c r="C58" s="186">
        <f ca="1">SUM(W119:W124,W138:W171,W214:W219,W233:W266,W307:W312)+Baseline!W282</f>
        <v>34.440056379275418</v>
      </c>
      <c r="D58" s="186">
        <f ca="1">SUM(X119:X124,X138:X171,X214:X219,X233:X266,X307:X312)+Baseline!X282</f>
        <v>134.16332593905702</v>
      </c>
      <c r="E58" s="186">
        <f ca="1">SUM(Y119:Y124,Y138:Y171,Y214:Y219,Y233:Y266,Y307:Y312)+Baseline!Y282</f>
        <v>253.12987396394848</v>
      </c>
      <c r="F58" s="186">
        <f ca="1">SUM(Z119:Z124,Z138:Z171,Z214:Z219,Z233:Z266,Z307:Z312)+Baseline!Z282</f>
        <v>400.56422185256633</v>
      </c>
      <c r="G58" s="187">
        <f ca="1">SUM(AA119:AA124,AA138:AA171,AA214:AA219,AA233:AA266,AA307:AA312)+Baseline!AA282</f>
        <v>498.54227159649167</v>
      </c>
      <c r="I58" s="199"/>
      <c r="J58" s="199"/>
      <c r="K58" s="199"/>
      <c r="L58" s="199"/>
      <c r="M58" s="199"/>
      <c r="N58" s="199"/>
      <c r="O58" s="199"/>
      <c r="P58" s="199"/>
    </row>
    <row r="59" spans="1:17">
      <c r="A59" s="5" t="s">
        <v>48</v>
      </c>
      <c r="B59" s="190">
        <f>'Input 4 - Forecast'!C33</f>
        <v>0</v>
      </c>
      <c r="C59" s="13">
        <f ca="1">SUM(W128:W133,W175:W210,W223:W229,W270:W303,Baseline!W283)*C31</f>
        <v>0</v>
      </c>
      <c r="D59" s="13">
        <f ca="1">SUM(X128:X133,X175:X210,X223:X229,X270:X303,Baseline!X283)*D31</f>
        <v>0</v>
      </c>
      <c r="E59" s="13">
        <f ca="1">SUM(Y128:Y133,Y175:Y210,Y223:Y229,Y270:Y303,Baseline!Y283)*E31</f>
        <v>0</v>
      </c>
      <c r="F59" s="13">
        <f ca="1">SUM(Z128:Z133,Z175:Z210,Z223:Z229,Z270:Z303,Baseline!Z283)*F31</f>
        <v>0</v>
      </c>
      <c r="G59" s="191">
        <f ca="1">SUM(AA128:AA133,AA175:AA210,AA223:AA229,AA270:AA303,Baseline!AA283)*G31</f>
        <v>0</v>
      </c>
      <c r="I59" s="199"/>
      <c r="J59" s="199"/>
      <c r="K59" s="199"/>
      <c r="L59" s="199"/>
      <c r="M59" s="199"/>
      <c r="N59" s="199"/>
      <c r="O59" s="199"/>
      <c r="P59" s="199"/>
    </row>
    <row r="60" spans="1:17">
      <c r="A60" s="5" t="s">
        <v>49</v>
      </c>
      <c r="B60" s="190">
        <f>'Input 4 - Forecast'!C34</f>
        <v>0</v>
      </c>
      <c r="C60" s="13">
        <f ca="1">SUM(P119:P124,P138:P171,P214:P219,P233:P266,P307:P312)</f>
        <v>934.00594810140706</v>
      </c>
      <c r="D60" s="13">
        <f ca="1">SUM(Q119:Q124,Q138:Q171,Q214:Q219,Q233:Q266,Q307:Q312)</f>
        <v>3467.0922160188984</v>
      </c>
      <c r="E60" s="13">
        <f ca="1">SUM(R119:R124,R138:R171,R214:R219,R233:R266,R307:R312)</f>
        <v>6547.4112667043664</v>
      </c>
      <c r="F60" s="13">
        <f ca="1">SUM(S119:S124,S138:S171,S214:S219,S233:S266,S307:S312)</f>
        <v>9846.8429426033817</v>
      </c>
      <c r="G60" s="191">
        <f ca="1">SUM(T119:T124,T138:T171,T214:T219,T233:T266,T307:T312)</f>
        <v>12205.748963585236</v>
      </c>
      <c r="I60" s="199"/>
      <c r="J60" s="199"/>
      <c r="K60" s="199"/>
      <c r="L60" s="199"/>
      <c r="M60" s="199"/>
      <c r="N60" s="199"/>
      <c r="O60" s="199"/>
      <c r="P60" s="199"/>
    </row>
    <row r="61" spans="1:17" ht="15.75" thickBot="1">
      <c r="A61" s="198" t="s">
        <v>50</v>
      </c>
      <c r="B61" s="192">
        <f>'Input 4 - Forecast'!C35</f>
        <v>0</v>
      </c>
      <c r="C61" s="193">
        <f ca="1">SUM(P128:P134,P175:P210,P223:P229,P270:P303)*C31</f>
        <v>0</v>
      </c>
      <c r="D61" s="193">
        <f ca="1">SUM(Q128:Q134,Q175:Q210,Q223:Q229,Q270:Q303)*D31</f>
        <v>0</v>
      </c>
      <c r="E61" s="193">
        <f ca="1">SUM(R128:R134,R175:R210,R223:R229,R270:R303)*E31</f>
        <v>0</v>
      </c>
      <c r="F61" s="193">
        <f ca="1">SUM(S128:S134,S175:S210,S223:S229,S270:S303)*F31</f>
        <v>0</v>
      </c>
      <c r="G61" s="194">
        <f ca="1">SUM(T128:T134,T175:T210,T223:T229,T270:T303)*G31</f>
        <v>0</v>
      </c>
      <c r="I61" s="199"/>
      <c r="J61" s="199"/>
      <c r="K61" s="199"/>
      <c r="L61" s="199"/>
      <c r="M61" s="199"/>
      <c r="N61" s="199"/>
      <c r="O61" s="199"/>
      <c r="P61" s="199"/>
    </row>
    <row r="62" spans="1:17" ht="15.75" thickBot="1">
      <c r="B62" s="195"/>
      <c r="C62" s="195"/>
      <c r="D62" s="195"/>
      <c r="E62" s="195"/>
      <c r="F62" s="195"/>
      <c r="G62" s="195"/>
      <c r="I62" s="199"/>
      <c r="J62" s="199"/>
      <c r="K62" s="199"/>
      <c r="L62" s="199"/>
      <c r="M62" s="199"/>
      <c r="N62" s="199"/>
      <c r="O62" s="199"/>
      <c r="P62" s="199"/>
    </row>
    <row r="63" spans="1:17" ht="15.75" thickBot="1">
      <c r="A63" s="200" t="s">
        <v>4</v>
      </c>
      <c r="B63" s="1386">
        <f t="shared" ref="B63:G63" si="19">SUM(B49:B51,B53:B54,B56,B58:B61)-SUM(B47:B48)</f>
        <v>1062.4001150288241</v>
      </c>
      <c r="C63" s="1386">
        <f t="shared" ca="1" si="19"/>
        <v>3718.185579909677</v>
      </c>
      <c r="D63" s="1386">
        <f t="shared" ca="1" si="19"/>
        <v>6752.937850645927</v>
      </c>
      <c r="E63" s="1386">
        <f t="shared" ca="1" si="19"/>
        <v>9971.4965183801505</v>
      </c>
      <c r="F63" s="1386">
        <f t="shared" ca="1" si="19"/>
        <v>12360.176324176329</v>
      </c>
      <c r="G63" s="1387">
        <f t="shared" ca="1" si="19"/>
        <v>14594.283277246721</v>
      </c>
      <c r="I63" s="199"/>
      <c r="J63" s="199"/>
      <c r="L63" s="199"/>
      <c r="M63" s="199"/>
      <c r="N63" s="199"/>
      <c r="O63" s="199"/>
      <c r="P63" s="199"/>
    </row>
    <row r="64" spans="1:17" ht="15.75" thickBot="1">
      <c r="B64" s="195"/>
      <c r="C64" s="195"/>
      <c r="D64" s="195"/>
      <c r="E64" s="195"/>
      <c r="F64" s="195"/>
      <c r="G64" s="195"/>
      <c r="I64" s="199"/>
      <c r="J64" s="199"/>
      <c r="K64" s="199"/>
      <c r="L64" s="199"/>
      <c r="M64" s="199"/>
      <c r="N64" s="199"/>
      <c r="O64" s="199"/>
      <c r="P64" s="199"/>
    </row>
    <row r="65" spans="1:17">
      <c r="A65" s="1816" t="s">
        <v>1137</v>
      </c>
      <c r="B65" s="186">
        <f>'Input 4 - Forecast'!C39</f>
        <v>0</v>
      </c>
      <c r="C65" s="186">
        <f>'Input 4 - Forecast'!D39</f>
        <v>0</v>
      </c>
      <c r="D65" s="186">
        <f>'Input 4 - Forecast'!E39</f>
        <v>0</v>
      </c>
      <c r="E65" s="186">
        <f>'Input 4 - Forecast'!F39</f>
        <v>0</v>
      </c>
      <c r="F65" s="186">
        <f>'Input 4 - Forecast'!G39</f>
        <v>0</v>
      </c>
      <c r="G65" s="187">
        <f>'Input 4 - Forecast'!H39</f>
        <v>0</v>
      </c>
      <c r="I65" s="199"/>
      <c r="J65" s="199"/>
      <c r="K65" s="199"/>
      <c r="L65" s="199"/>
      <c r="M65" s="199"/>
      <c r="N65" s="199"/>
      <c r="O65" s="199"/>
      <c r="P65" s="199"/>
    </row>
    <row r="66" spans="1:17">
      <c r="A66" s="1817" t="s">
        <v>1138</v>
      </c>
      <c r="B66" s="13">
        <f>('Input 4 - Forecast'!C40/'Input 4 - Forecast'!C$17)*'Input 5 - Scenario Design'!E$48</f>
        <v>0</v>
      </c>
      <c r="C66" s="13">
        <f>('Input 4 - Forecast'!D40/'Input 4 - Forecast'!D$17)*'Input 5 - Scenario Design'!F$48</f>
        <v>0</v>
      </c>
      <c r="D66" s="13">
        <f>('Input 4 - Forecast'!E40/'Input 4 - Forecast'!E$17)*'Input 5 - Scenario Design'!G$48</f>
        <v>0</v>
      </c>
      <c r="E66" s="13">
        <f>('Input 4 - Forecast'!F40/'Input 4 - Forecast'!F$17)*'Input 5 - Scenario Design'!H$48</f>
        <v>0</v>
      </c>
      <c r="F66" s="13">
        <f>('Input 4 - Forecast'!G40/'Input 4 - Forecast'!G$17)*'Input 5 - Scenario Design'!I$48</f>
        <v>0</v>
      </c>
      <c r="G66" s="191">
        <f>('Input 4 - Forecast'!H40/'Input 4 - Forecast'!H$17)*'Input 5 - Scenario Design'!J$48</f>
        <v>0</v>
      </c>
      <c r="I66" s="197" t="s">
        <v>90</v>
      </c>
      <c r="J66" s="199"/>
      <c r="K66" s="199"/>
      <c r="L66" s="199"/>
      <c r="M66" s="199"/>
      <c r="N66" s="199"/>
      <c r="O66" s="199"/>
      <c r="P66" s="199"/>
    </row>
    <row r="67" spans="1:17">
      <c r="A67" s="1817" t="s">
        <v>8</v>
      </c>
      <c r="B67" s="13">
        <f>('Input 4 - Forecast'!C41/'Input 4 - Forecast'!C$17)*'Input 5 - Scenario Design'!E$48</f>
        <v>0</v>
      </c>
      <c r="C67" s="13">
        <f>('Input 4 - Forecast'!D41/'Input 4 - Forecast'!D$17)*'Input 5 - Scenario Design'!F$48</f>
        <v>0</v>
      </c>
      <c r="D67" s="13">
        <f>('Input 4 - Forecast'!E41/'Input 4 - Forecast'!E$17)*'Input 5 - Scenario Design'!G$48</f>
        <v>0</v>
      </c>
      <c r="E67" s="13">
        <f>('Input 4 - Forecast'!F41/'Input 4 - Forecast'!F$17)*'Input 5 - Scenario Design'!H$48</f>
        <v>0</v>
      </c>
      <c r="F67" s="13">
        <f>('Input 4 - Forecast'!G41/'Input 4 - Forecast'!G$17)*'Input 5 - Scenario Design'!I$48</f>
        <v>0</v>
      </c>
      <c r="G67" s="191">
        <f>('Input 4 - Forecast'!H41/'Input 4 - Forecast'!H$17)*'Input 5 - Scenario Design'!J$48</f>
        <v>0</v>
      </c>
      <c r="I67" s="197" t="s">
        <v>91</v>
      </c>
      <c r="J67" s="199"/>
      <c r="K67" s="199"/>
      <c r="L67" s="199"/>
      <c r="M67" s="199"/>
      <c r="N67" s="199"/>
      <c r="O67" s="199"/>
      <c r="P67" s="199"/>
    </row>
    <row r="68" spans="1:17">
      <c r="A68" s="1817" t="str">
        <f>'Input 2 - Data'!D31</f>
        <v>Please specify (1) (e.g., privatization receipts) (+ reduces financing needs)</v>
      </c>
      <c r="B68" s="13">
        <f>'Input 4 - Forecast'!C42</f>
        <v>0</v>
      </c>
      <c r="C68" s="13">
        <f>'Input 4 - Forecast'!D42</f>
        <v>0</v>
      </c>
      <c r="D68" s="13">
        <f>'Input 4 - Forecast'!E42</f>
        <v>0</v>
      </c>
      <c r="E68" s="13">
        <f>'Input 4 - Forecast'!F42</f>
        <v>0</v>
      </c>
      <c r="F68" s="13">
        <f>'Input 4 - Forecast'!G42</f>
        <v>0</v>
      </c>
      <c r="G68" s="191">
        <f>'Input 4 - Forecast'!H42</f>
        <v>0</v>
      </c>
      <c r="I68" s="199"/>
      <c r="J68" s="199"/>
      <c r="K68" s="199"/>
      <c r="L68" s="199"/>
      <c r="M68" s="199"/>
      <c r="N68" s="199"/>
      <c r="O68" s="199"/>
      <c r="P68" s="199"/>
    </row>
    <row r="69" spans="1:17" ht="15.75" thickBot="1">
      <c r="A69" s="1818" t="str">
        <f>'Input 2 - Data'!D32</f>
        <v>Please specify (2) (e.g., other debt flows) (+ increases financing needs)</v>
      </c>
      <c r="B69" s="193">
        <f>'Input 4 - Forecast'!C43</f>
        <v>0</v>
      </c>
      <c r="C69" s="193">
        <f>'Input 4 - Forecast'!D43</f>
        <v>0</v>
      </c>
      <c r="D69" s="193">
        <f>'Input 4 - Forecast'!E43</f>
        <v>0</v>
      </c>
      <c r="E69" s="193">
        <f>'Input 4 - Forecast'!F43</f>
        <v>0</v>
      </c>
      <c r="F69" s="193">
        <f>'Input 4 - Forecast'!G43</f>
        <v>0</v>
      </c>
      <c r="G69" s="194">
        <f>'Input 4 - Forecast'!H43</f>
        <v>0</v>
      </c>
      <c r="I69" s="199"/>
      <c r="J69" s="199"/>
      <c r="K69" s="199"/>
      <c r="L69" s="199"/>
      <c r="M69" s="199"/>
      <c r="N69" s="199"/>
      <c r="O69" s="199"/>
      <c r="P69" s="199"/>
    </row>
    <row r="70" spans="1:17" ht="15.75" thickBot="1">
      <c r="B70" s="195"/>
      <c r="C70" s="195"/>
      <c r="D70" s="195"/>
      <c r="E70" s="195"/>
      <c r="F70" s="195"/>
      <c r="G70" s="195"/>
      <c r="I70" s="235"/>
      <c r="J70" s="235"/>
      <c r="K70" s="199"/>
      <c r="L70" s="199"/>
      <c r="M70" s="199"/>
      <c r="N70" s="199"/>
      <c r="O70" s="199"/>
      <c r="P70" s="199"/>
    </row>
    <row r="71" spans="1:17" ht="16.5" customHeight="1" thickBot="1">
      <c r="A71" s="200" t="s">
        <v>1141</v>
      </c>
      <c r="B71" s="202">
        <f t="shared" ref="B71:G71" si="20">B63-B65-B66-B67-B68+B69</f>
        <v>1062.4001150288241</v>
      </c>
      <c r="C71" s="202">
        <f t="shared" ca="1" si="20"/>
        <v>3718.185579909677</v>
      </c>
      <c r="D71" s="202">
        <f t="shared" ca="1" si="20"/>
        <v>6752.937850645927</v>
      </c>
      <c r="E71" s="202">
        <f t="shared" ca="1" si="20"/>
        <v>9971.4965183801505</v>
      </c>
      <c r="F71" s="202">
        <f t="shared" ca="1" si="20"/>
        <v>12360.176324176329</v>
      </c>
      <c r="G71" s="203">
        <f t="shared" ca="1" si="20"/>
        <v>14594.283277246721</v>
      </c>
      <c r="I71" s="236"/>
      <c r="J71" s="236"/>
    </row>
    <row r="72" spans="1:17" ht="15.75" thickBot="1">
      <c r="A72" s="4"/>
      <c r="B72" s="13"/>
      <c r="C72" s="13"/>
      <c r="D72" s="13"/>
      <c r="E72" s="13"/>
      <c r="F72" s="13"/>
      <c r="G72" s="13"/>
      <c r="I72" s="184"/>
      <c r="J72" s="184"/>
      <c r="K72" s="184"/>
      <c r="L72" s="184"/>
      <c r="M72" s="184"/>
      <c r="N72" s="184"/>
      <c r="O72" s="184"/>
      <c r="P72" s="184"/>
    </row>
    <row r="73" spans="1:17" ht="82.5" customHeight="1" thickBot="1">
      <c r="A73" s="2" t="s">
        <v>1177</v>
      </c>
      <c r="B73" s="2041" t="s">
        <v>1181</v>
      </c>
      <c r="C73" s="2042"/>
      <c r="D73" s="2042"/>
      <c r="E73" s="2042"/>
      <c r="F73" s="2042"/>
      <c r="G73" s="2043"/>
      <c r="I73" s="204" t="s">
        <v>459</v>
      </c>
      <c r="J73" s="204" t="s">
        <v>38</v>
      </c>
      <c r="K73" s="205" t="s">
        <v>39</v>
      </c>
      <c r="L73" s="204" t="str">
        <f t="shared" ref="L73:Q73" si="21">CONCATENATE("Interest Rate on debt issued in ",B45)</f>
        <v>Interest Rate on debt issued in 2018</v>
      </c>
      <c r="M73" s="204" t="str">
        <f t="shared" si="21"/>
        <v>Interest Rate on debt issued in 2019</v>
      </c>
      <c r="N73" s="204" t="str">
        <f t="shared" si="21"/>
        <v>Interest Rate on debt issued in 2020</v>
      </c>
      <c r="O73" s="204" t="str">
        <f t="shared" si="21"/>
        <v>Interest Rate on debt issued in 2021</v>
      </c>
      <c r="P73" s="204" t="str">
        <f t="shared" si="21"/>
        <v>Interest Rate on debt issued in 2022</v>
      </c>
      <c r="Q73" s="204" t="str">
        <f t="shared" si="21"/>
        <v>Interest Rate on debt issued in 2023</v>
      </c>
    </row>
    <row r="74" spans="1:17">
      <c r="A74" s="206" t="s">
        <v>13</v>
      </c>
      <c r="B74" s="185"/>
      <c r="C74" s="186"/>
      <c r="D74" s="186"/>
      <c r="E74" s="186"/>
      <c r="F74" s="186"/>
      <c r="G74" s="187"/>
      <c r="I74" s="207"/>
      <c r="J74" s="207"/>
      <c r="K74" s="208"/>
      <c r="L74" s="208"/>
      <c r="M74" s="208"/>
      <c r="N74" s="208"/>
      <c r="O74" s="208"/>
      <c r="P74" s="208"/>
      <c r="Q74" s="209"/>
    </row>
    <row r="75" spans="1:17" ht="30">
      <c r="A75" s="210" t="s">
        <v>0</v>
      </c>
      <c r="B75" s="190">
        <f>('Input 4 - Forecast'!C56/'Input 4 - Forecast'!C$45)*MAX(B$71,0)</f>
        <v>0</v>
      </c>
      <c r="C75" s="13">
        <f ca="1">('Input 4 - Forecast'!D56/'Input 4 - Forecast'!D$45)*MAX(C$71,0)</f>
        <v>256.26502551696416</v>
      </c>
      <c r="D75" s="13">
        <f ca="1">('Input 4 - Forecast'!E56/'Input 4 - Forecast'!E$45)*MAX(D$71,0)</f>
        <v>276.18443460097615</v>
      </c>
      <c r="E75" s="13">
        <f ca="1">('Input 4 - Forecast'!F56/'Input 4 - Forecast'!F$45)*MAX(E$71,0)</f>
        <v>287.85559905827529</v>
      </c>
      <c r="F75" s="13">
        <f ca="1">('Input 4 - Forecast'!G56/'Input 4 - Forecast'!G$45)*MAX(F$71,0)</f>
        <v>324.74925219563886</v>
      </c>
      <c r="G75" s="191">
        <f ca="1">('Input 4 - Forecast'!H56/'Input 4 - Forecast'!H$45)*MAX(G$71,0)</f>
        <v>368.00319302474293</v>
      </c>
      <c r="I75" s="211" t="str">
        <f>'Input 4 - Forecast'!J56</f>
        <v>Semi-annual</v>
      </c>
      <c r="J75" s="211">
        <f>'Input 4 - Forecast'!K56</f>
        <v>0</v>
      </c>
      <c r="K75" s="19">
        <f>'Input 4 - Forecast'!L56</f>
        <v>0</v>
      </c>
      <c r="L75" s="212">
        <f>'Input 4 - Forecast'!M56+B$33/10000</f>
        <v>0</v>
      </c>
      <c r="M75" s="212">
        <f>'Input 4 - Forecast'!N56+C$33/10000</f>
        <v>2.5000000000000001E-3</v>
      </c>
      <c r="N75" s="212">
        <f>'Input 4 - Forecast'!O56+D$33/10000</f>
        <v>2.5000000000000001E-3</v>
      </c>
      <c r="O75" s="212">
        <f>'Input 4 - Forecast'!P56+E$33/10000</f>
        <v>2.5000000000000001E-3</v>
      </c>
      <c r="P75" s="212">
        <f>'Input 4 - Forecast'!Q56+F$33/10000</f>
        <v>2.5000000000000001E-3</v>
      </c>
      <c r="Q75" s="213">
        <f>'Input 4 - Forecast'!R56+G$33/10000</f>
        <v>2.5000000000000001E-3</v>
      </c>
    </row>
    <row r="76" spans="1:17" ht="30">
      <c r="A76" s="210" t="s">
        <v>1</v>
      </c>
      <c r="B76" s="190">
        <f>('Input 4 - Forecast'!C57/'Input 4 - Forecast'!C$45)*MAX(B$71,0)</f>
        <v>0</v>
      </c>
      <c r="C76" s="13">
        <f ca="1">('Input 4 - Forecast'!D57/'Input 4 - Forecast'!D$45)*MAX(C$71,0)</f>
        <v>0</v>
      </c>
      <c r="D76" s="13">
        <f ca="1">('Input 4 - Forecast'!E57/'Input 4 - Forecast'!E$45)*MAX(D$71,0)</f>
        <v>0</v>
      </c>
      <c r="E76" s="13">
        <f ca="1">('Input 4 - Forecast'!F57/'Input 4 - Forecast'!F$45)*MAX(E$71,0)</f>
        <v>0</v>
      </c>
      <c r="F76" s="13">
        <f ca="1">('Input 4 - Forecast'!G57/'Input 4 - Forecast'!G$45)*MAX(F$71,0)</f>
        <v>0</v>
      </c>
      <c r="G76" s="191">
        <f ca="1">('Input 4 - Forecast'!H57/'Input 4 - Forecast'!H$45)*MAX(G$71,0)</f>
        <v>0</v>
      </c>
      <c r="I76" s="211" t="str">
        <f>'Input 4 - Forecast'!J57</f>
        <v>Semi-annual</v>
      </c>
      <c r="J76" s="211">
        <f>'Input 4 - Forecast'!K57</f>
        <v>0</v>
      </c>
      <c r="K76" s="19">
        <f>'Input 4 - Forecast'!L57</f>
        <v>0</v>
      </c>
      <c r="L76" s="212">
        <f>'Input 4 - Forecast'!M57+B$33/10000</f>
        <v>0</v>
      </c>
      <c r="M76" s="212">
        <f>'Input 4 - Forecast'!N57+C$33/10000</f>
        <v>2.5000000000000001E-3</v>
      </c>
      <c r="N76" s="212">
        <f>'Input 4 - Forecast'!O57+D$33/10000</f>
        <v>2.5000000000000001E-3</v>
      </c>
      <c r="O76" s="212">
        <f>'Input 4 - Forecast'!P57+E$33/10000</f>
        <v>2.5000000000000001E-3</v>
      </c>
      <c r="P76" s="212">
        <f>'Input 4 - Forecast'!Q57+F$33/10000</f>
        <v>2.5000000000000001E-3</v>
      </c>
      <c r="Q76" s="213">
        <f>'Input 4 - Forecast'!R57+G$33/10000</f>
        <v>2.5000000000000001E-3</v>
      </c>
    </row>
    <row r="77" spans="1:17">
      <c r="A77" s="206" t="s">
        <v>14</v>
      </c>
      <c r="B77" s="190"/>
      <c r="C77" s="13"/>
      <c r="D77" s="13"/>
      <c r="E77" s="13"/>
      <c r="F77" s="13"/>
      <c r="G77" s="191"/>
      <c r="I77" s="211"/>
      <c r="J77" s="211"/>
      <c r="K77" s="19"/>
      <c r="L77" s="19"/>
      <c r="M77" s="19"/>
      <c r="N77" s="19"/>
      <c r="O77" s="19"/>
      <c r="P77" s="19"/>
      <c r="Q77" s="214"/>
    </row>
    <row r="78" spans="1:17">
      <c r="A78" s="210" t="s">
        <v>0</v>
      </c>
      <c r="B78" s="190"/>
      <c r="C78" s="13"/>
      <c r="D78" s="13"/>
      <c r="E78" s="13"/>
      <c r="F78" s="13"/>
      <c r="G78" s="191"/>
      <c r="I78" s="211"/>
      <c r="J78" s="211"/>
      <c r="K78" s="19"/>
      <c r="L78" s="19"/>
      <c r="M78" s="19"/>
      <c r="N78" s="19"/>
      <c r="O78" s="19"/>
      <c r="P78" s="19"/>
      <c r="Q78" s="214"/>
    </row>
    <row r="79" spans="1:17">
      <c r="A79" s="215" t="s">
        <v>18</v>
      </c>
      <c r="B79" s="190">
        <f>('Input 4 - Forecast'!C60/'Input 4 - Forecast'!C$45)*MAX(B$71,0)</f>
        <v>329.998670927072</v>
      </c>
      <c r="C79" s="13">
        <f ca="1">('Input 4 - Forecast'!D60/'Input 4 - Forecast'!D$45)*MAX(C$71,0)</f>
        <v>59.399178099958583</v>
      </c>
      <c r="D79" s="13">
        <f ca="1">('Input 4 - Forecast'!E60/'Input 4 - Forecast'!E$45)*MAX(D$71,0)</f>
        <v>73.161439629397648</v>
      </c>
      <c r="E79" s="13">
        <f ca="1">('Input 4 - Forecast'!F60/'Input 4 - Forecast'!F$45)*MAX(E$71,0)</f>
        <v>66.721496470461162</v>
      </c>
      <c r="F79" s="13">
        <f ca="1">('Input 4 - Forecast'!G60/'Input 4 - Forecast'!G$45)*MAX(F$71,0)</f>
        <v>86.02629197235467</v>
      </c>
      <c r="G79" s="191">
        <f ca="1">('Input 4 - Forecast'!H60/'Input 4 - Forecast'!H$45)*MAX(G$71,0)</f>
        <v>74.331770776520926</v>
      </c>
      <c r="I79" s="211" t="str">
        <f>'Input 4 - Forecast'!J60</f>
        <v>Annual</v>
      </c>
      <c r="J79" s="211">
        <f>'Input 4 - Forecast'!K60</f>
        <v>5</v>
      </c>
      <c r="K79" s="19">
        <f>'Input 4 - Forecast'!L60</f>
        <v>5</v>
      </c>
      <c r="L79" s="212">
        <f>'Input 4 - Forecast'!M60+B$33/10000</f>
        <v>5.0000000000000001E-3</v>
      </c>
      <c r="M79" s="212">
        <f>'Input 4 - Forecast'!N60+C$33/10000</f>
        <v>7.4999999999999997E-3</v>
      </c>
      <c r="N79" s="212">
        <f>'Input 4 - Forecast'!O60+D$33/10000</f>
        <v>1.2500000000000001E-2</v>
      </c>
      <c r="O79" s="212">
        <f>'Input 4 - Forecast'!P60+E$33/10000</f>
        <v>1.2500000000000001E-2</v>
      </c>
      <c r="P79" s="212">
        <f>'Input 4 - Forecast'!Q60+F$33/10000</f>
        <v>1.2500000000000001E-2</v>
      </c>
      <c r="Q79" s="213">
        <f>'Input 4 - Forecast'!R60+G$33/10000</f>
        <v>1.2500000000000001E-2</v>
      </c>
    </row>
    <row r="80" spans="1:17">
      <c r="A80" s="215" t="s">
        <v>19</v>
      </c>
      <c r="B80" s="190">
        <f>('Input 4 - Forecast'!C61/'Input 4 - Forecast'!C$45)*MAX(B$71,0)</f>
        <v>0</v>
      </c>
      <c r="C80" s="13">
        <f ca="1">('Input 4 - Forecast'!D61/'Input 4 - Forecast'!D$45)*MAX(C$71,0)</f>
        <v>76.370371842803891</v>
      </c>
      <c r="D80" s="13">
        <f ca="1">('Input 4 - Forecast'!E61/'Input 4 - Forecast'!E$45)*MAX(D$71,0)</f>
        <v>87.793727555277187</v>
      </c>
      <c r="E80" s="13">
        <f ca="1">('Input 4 - Forecast'!F61/'Input 4 - Forecast'!F$45)*MAX(E$71,0)</f>
        <v>76.253138823384177</v>
      </c>
      <c r="F80" s="13">
        <f ca="1">('Input 4 - Forecast'!G61/'Input 4 - Forecast'!G$45)*MAX(F$71,0)</f>
        <v>96.77957846889899</v>
      </c>
      <c r="G80" s="191">
        <f ca="1">('Input 4 - Forecast'!H61/'Input 4 - Forecast'!H$45)*MAX(G$71,0)</f>
        <v>93.387970310130314</v>
      </c>
      <c r="I80" s="211" t="str">
        <f>'Input 4 - Forecast'!J61</f>
        <v>Annual</v>
      </c>
      <c r="J80" s="211">
        <f>'Input 4 - Forecast'!K61</f>
        <v>0</v>
      </c>
      <c r="K80" s="19">
        <f>'Input 4 - Forecast'!L61</f>
        <v>0</v>
      </c>
      <c r="L80" s="212">
        <f>'Input 4 - Forecast'!M61+B$33/10000</f>
        <v>0</v>
      </c>
      <c r="M80" s="212">
        <f>'Input 4 - Forecast'!N61+C$33/10000</f>
        <v>2.5000000000000001E-3</v>
      </c>
      <c r="N80" s="212">
        <f>'Input 4 - Forecast'!O61+D$33/10000</f>
        <v>2.5000000000000001E-3</v>
      </c>
      <c r="O80" s="212">
        <f>'Input 4 - Forecast'!P61+E$33/10000</f>
        <v>2.5000000000000001E-3</v>
      </c>
      <c r="P80" s="212">
        <f>'Input 4 - Forecast'!Q61+F$33/10000</f>
        <v>2.5000000000000001E-3</v>
      </c>
      <c r="Q80" s="213">
        <f>'Input 4 - Forecast'!R61+G$33/10000</f>
        <v>2.5000000000000001E-3</v>
      </c>
    </row>
    <row r="81" spans="1:17">
      <c r="A81" s="215" t="s">
        <v>20</v>
      </c>
      <c r="B81" s="190">
        <f>('Input 4 - Forecast'!C62/'Input 4 - Forecast'!C$45)*MAX(B$71,0)</f>
        <v>0</v>
      </c>
      <c r="C81" s="13">
        <f ca="1">('Input 4 - Forecast'!D62/'Input 4 - Forecast'!D$45)*MAX(C$71,0)</f>
        <v>97.584364021360528</v>
      </c>
      <c r="D81" s="13">
        <f ca="1">('Input 4 - Forecast'!E62/'Input 4 - Forecast'!E$45)*MAX(D$71,0)</f>
        <v>109.01054504780249</v>
      </c>
      <c r="E81" s="13">
        <f ca="1">('Input 4 - Forecast'!F62/'Input 4 - Forecast'!F$45)*MAX(E$71,0)</f>
        <v>91.503766588061026</v>
      </c>
      <c r="F81" s="13">
        <f ca="1">('Input 4 - Forecast'!G62/'Input 4 - Forecast'!G$45)*MAX(F$71,0)</f>
        <v>115.06016551302437</v>
      </c>
      <c r="G81" s="191">
        <f ca="1">('Input 4 - Forecast'!H62/'Input 4 - Forecast'!H$45)*MAX(G$71,0)</f>
        <v>135.01574101702488</v>
      </c>
      <c r="I81" s="211" t="str">
        <f>'Input 4 - Forecast'!J62</f>
        <v>Annual</v>
      </c>
      <c r="J81" s="211">
        <f>'Input 4 - Forecast'!K62</f>
        <v>0</v>
      </c>
      <c r="K81" s="19">
        <f>'Input 4 - Forecast'!L62</f>
        <v>0</v>
      </c>
      <c r="L81" s="212">
        <f>'Input 4 - Forecast'!M62+B$33/10000</f>
        <v>0</v>
      </c>
      <c r="M81" s="212">
        <f>'Input 4 - Forecast'!N62+C$33/10000</f>
        <v>2.5000000000000001E-3</v>
      </c>
      <c r="N81" s="212">
        <f>'Input 4 - Forecast'!O62+D$33/10000</f>
        <v>2.5000000000000001E-3</v>
      </c>
      <c r="O81" s="212">
        <f>'Input 4 - Forecast'!P62+E$33/10000</f>
        <v>2.5000000000000001E-3</v>
      </c>
      <c r="P81" s="212">
        <f>'Input 4 - Forecast'!Q62+F$33/10000</f>
        <v>2.5000000000000001E-3</v>
      </c>
      <c r="Q81" s="213">
        <f>'Input 4 - Forecast'!R62+G$33/10000</f>
        <v>2.5000000000000001E-3</v>
      </c>
    </row>
    <row r="82" spans="1:17">
      <c r="A82" s="215" t="s">
        <v>21</v>
      </c>
      <c r="B82" s="190">
        <f>('Input 4 - Forecast'!C63/'Input 4 - Forecast'!C$45)*MAX(B$71,0)</f>
        <v>0</v>
      </c>
      <c r="C82" s="13">
        <f ca="1">('Input 4 - Forecast'!D63/'Input 4 - Forecast'!D$45)*MAX(C$71,0)</f>
        <v>159.52922118274589</v>
      </c>
      <c r="D82" s="13">
        <f ca="1">('Input 4 - Forecast'!E63/'Input 4 - Forecast'!E$45)*MAX(D$71,0)</f>
        <v>166.44227515687965</v>
      </c>
      <c r="E82" s="13">
        <f ca="1">('Input 4 - Forecast'!F63/'Input 4 - Forecast'!F$45)*MAX(E$71,0)</f>
        <v>171.56956235261444</v>
      </c>
      <c r="F82" s="13">
        <f ca="1">('Input 4 - Forecast'!G63/'Input 4 - Forecast'!G$45)*MAX(F$71,0)</f>
        <v>193.55915693779798</v>
      </c>
      <c r="G82" s="191">
        <f ca="1">('Input 4 - Forecast'!H63/'Input 4 - Forecast'!H$45)*MAX(G$71,0)</f>
        <v>219.33965147170107</v>
      </c>
      <c r="I82" s="211" t="str">
        <f>'Input 4 - Forecast'!J63</f>
        <v>Annual</v>
      </c>
      <c r="J82" s="211">
        <f>'Input 4 - Forecast'!K63</f>
        <v>0</v>
      </c>
      <c r="K82" s="19">
        <f>'Input 4 - Forecast'!L63</f>
        <v>0</v>
      </c>
      <c r="L82" s="212">
        <f>'Input 4 - Forecast'!M63+B$33/10000</f>
        <v>0</v>
      </c>
      <c r="M82" s="212">
        <f>'Input 4 - Forecast'!N63+C$33/10000</f>
        <v>2.5000000000000001E-3</v>
      </c>
      <c r="N82" s="212">
        <f>'Input 4 - Forecast'!O63+D$33/10000</f>
        <v>2.5000000000000001E-3</v>
      </c>
      <c r="O82" s="212">
        <f>'Input 4 - Forecast'!P63+E$33/10000</f>
        <v>2.5000000000000001E-3</v>
      </c>
      <c r="P82" s="212">
        <f>'Input 4 - Forecast'!Q63+F$33/10000</f>
        <v>2.5000000000000001E-3</v>
      </c>
      <c r="Q82" s="213">
        <f>'Input 4 - Forecast'!R63+G$33/10000</f>
        <v>2.5000000000000001E-3</v>
      </c>
    </row>
    <row r="83" spans="1:17">
      <c r="A83" s="215" t="s">
        <v>22</v>
      </c>
      <c r="B83" s="190">
        <f>('Input 4 - Forecast'!C64/'Input 4 - Forecast'!C$45)*MAX(B$71,0)</f>
        <v>0</v>
      </c>
      <c r="C83" s="13">
        <f ca="1">('Input 4 - Forecast'!D64/'Input 4 - Forecast'!D$45)*MAX(C$71,0)</f>
        <v>0</v>
      </c>
      <c r="D83" s="13">
        <f ca="1">('Input 4 - Forecast'!E64/'Input 4 - Forecast'!E$45)*MAX(D$71,0)</f>
        <v>0</v>
      </c>
      <c r="E83" s="13">
        <f ca="1">('Input 4 - Forecast'!F64/'Input 4 - Forecast'!F$45)*MAX(E$71,0)</f>
        <v>0</v>
      </c>
      <c r="F83" s="13">
        <f ca="1">('Input 4 - Forecast'!G64/'Input 4 - Forecast'!G$45)*MAX(F$71,0)</f>
        <v>0</v>
      </c>
      <c r="G83" s="191">
        <f ca="1">('Input 4 - Forecast'!H64/'Input 4 - Forecast'!H$45)*MAX(G$71,0)</f>
        <v>0</v>
      </c>
      <c r="I83" s="211"/>
      <c r="J83" s="211">
        <f>'Input 4 - Forecast'!K64</f>
        <v>0</v>
      </c>
      <c r="K83" s="19">
        <f>'Input 4 - Forecast'!L64</f>
        <v>0</v>
      </c>
      <c r="L83" s="212">
        <f>'Input 4 - Forecast'!M64+B$33/10000</f>
        <v>0</v>
      </c>
      <c r="M83" s="212">
        <f>'Input 4 - Forecast'!N64+C$33/10000</f>
        <v>2.5000000000000001E-3</v>
      </c>
      <c r="N83" s="212">
        <f>'Input 4 - Forecast'!O64+D$33/10000</f>
        <v>2.5000000000000001E-3</v>
      </c>
      <c r="O83" s="212">
        <f>'Input 4 - Forecast'!P64+E$33/10000</f>
        <v>2.5000000000000001E-3</v>
      </c>
      <c r="P83" s="212">
        <f>'Input 4 - Forecast'!Q64+F$33/10000</f>
        <v>2.5000000000000001E-3</v>
      </c>
      <c r="Q83" s="213">
        <f>'Input 4 - Forecast'!R64+G$33/10000</f>
        <v>2.5000000000000001E-3</v>
      </c>
    </row>
    <row r="84" spans="1:17">
      <c r="A84" s="210" t="s">
        <v>1</v>
      </c>
      <c r="B84" s="190"/>
      <c r="C84" s="13"/>
      <c r="D84" s="13"/>
      <c r="E84" s="13"/>
      <c r="F84" s="13"/>
      <c r="G84" s="191"/>
      <c r="I84" s="211"/>
      <c r="J84" s="211"/>
      <c r="K84" s="19"/>
      <c r="L84" s="19"/>
      <c r="M84" s="19"/>
      <c r="N84" s="19"/>
      <c r="O84" s="19"/>
      <c r="P84" s="19"/>
      <c r="Q84" s="214"/>
    </row>
    <row r="85" spans="1:17">
      <c r="A85" s="215" t="s">
        <v>23</v>
      </c>
      <c r="B85" s="190">
        <f>('Input 4 - Forecast'!C66/'Input 4 - Forecast'!C$45)*MAX(B$71,0)</f>
        <v>0</v>
      </c>
      <c r="C85" s="13">
        <f ca="1">('Input 4 - Forecast'!D66/'Input 4 - Forecast'!D$45)*MAX(C$71,0)</f>
        <v>0</v>
      </c>
      <c r="D85" s="13">
        <f ca="1">('Input 4 - Forecast'!E66/'Input 4 - Forecast'!E$45)*MAX(D$71,0)</f>
        <v>0</v>
      </c>
      <c r="E85" s="13">
        <f ca="1">('Input 4 - Forecast'!F66/'Input 4 - Forecast'!F$45)*MAX(E$71,0)</f>
        <v>0</v>
      </c>
      <c r="F85" s="13">
        <f ca="1">('Input 4 - Forecast'!G66/'Input 4 - Forecast'!G$45)*MAX(F$71,0)</f>
        <v>0</v>
      </c>
      <c r="G85" s="191">
        <f ca="1">('Input 4 - Forecast'!H66/'Input 4 - Forecast'!H$45)*MAX(G$71,0)</f>
        <v>0</v>
      </c>
      <c r="I85" s="211" t="str">
        <f>'Input 4 - Forecast'!J66</f>
        <v>Annual</v>
      </c>
      <c r="J85" s="211">
        <f>'Input 4 - Forecast'!K66</f>
        <v>0</v>
      </c>
      <c r="K85" s="19">
        <f>'Input 4 - Forecast'!L66</f>
        <v>0</v>
      </c>
      <c r="L85" s="212">
        <f>'Input 4 - Forecast'!M66+B$33/10000</f>
        <v>0</v>
      </c>
      <c r="M85" s="212">
        <f>'Input 4 - Forecast'!N66+C$33/10000</f>
        <v>2.5000000000000001E-3</v>
      </c>
      <c r="N85" s="212">
        <f>'Input 4 - Forecast'!O66+D$33/10000</f>
        <v>2.5000000000000001E-3</v>
      </c>
      <c r="O85" s="212">
        <f>'Input 4 - Forecast'!P66+E$33/10000</f>
        <v>2.5000000000000001E-3</v>
      </c>
      <c r="P85" s="212">
        <f>'Input 4 - Forecast'!Q66+F$33/10000</f>
        <v>2.5000000000000001E-3</v>
      </c>
      <c r="Q85" s="213">
        <f>'Input 4 - Forecast'!R66+G$33/10000</f>
        <v>2.5000000000000001E-3</v>
      </c>
    </row>
    <row r="86" spans="1:17">
      <c r="A86" s="215" t="s">
        <v>24</v>
      </c>
      <c r="B86" s="190">
        <f>('Input 4 - Forecast'!C67/'Input 4 - Forecast'!C$45)*MAX(B$71,0)</f>
        <v>0</v>
      </c>
      <c r="C86" s="13">
        <f ca="1">('Input 4 - Forecast'!D67/'Input 4 - Forecast'!D$45)*MAX(C$71,0)</f>
        <v>0</v>
      </c>
      <c r="D86" s="13">
        <f ca="1">('Input 4 - Forecast'!E67/'Input 4 - Forecast'!E$45)*MAX(D$71,0)</f>
        <v>0</v>
      </c>
      <c r="E86" s="13">
        <f ca="1">('Input 4 - Forecast'!F67/'Input 4 - Forecast'!F$45)*MAX(E$71,0)</f>
        <v>0</v>
      </c>
      <c r="F86" s="13">
        <f ca="1">('Input 4 - Forecast'!G67/'Input 4 - Forecast'!G$45)*MAX(F$71,0)</f>
        <v>0</v>
      </c>
      <c r="G86" s="191">
        <f ca="1">('Input 4 - Forecast'!H67/'Input 4 - Forecast'!H$45)*MAX(G$71,0)</f>
        <v>0</v>
      </c>
      <c r="I86" s="211" t="str">
        <f>'Input 4 - Forecast'!J67</f>
        <v>Annual</v>
      </c>
      <c r="J86" s="211">
        <f>'Input 4 - Forecast'!K67</f>
        <v>0</v>
      </c>
      <c r="K86" s="19">
        <f>'Input 4 - Forecast'!L67</f>
        <v>0</v>
      </c>
      <c r="L86" s="212">
        <f>'Input 4 - Forecast'!M67+B$33/10000</f>
        <v>0</v>
      </c>
      <c r="M86" s="212">
        <f>'Input 4 - Forecast'!N67+C$33/10000</f>
        <v>2.5000000000000001E-3</v>
      </c>
      <c r="N86" s="212">
        <f>'Input 4 - Forecast'!O67+D$33/10000</f>
        <v>2.5000000000000001E-3</v>
      </c>
      <c r="O86" s="212">
        <f>'Input 4 - Forecast'!P67+E$33/10000</f>
        <v>2.5000000000000001E-3</v>
      </c>
      <c r="P86" s="212">
        <f>'Input 4 - Forecast'!Q67+F$33/10000</f>
        <v>2.5000000000000001E-3</v>
      </c>
      <c r="Q86" s="213">
        <f>'Input 4 - Forecast'!R67+G$33/10000</f>
        <v>2.5000000000000001E-3</v>
      </c>
    </row>
    <row r="87" spans="1:17">
      <c r="A87" s="215" t="s">
        <v>25</v>
      </c>
      <c r="B87" s="190">
        <f>('Input 4 - Forecast'!C68/'Input 4 - Forecast'!C$45)*MAX(B$71,0)</f>
        <v>0</v>
      </c>
      <c r="C87" s="13">
        <f ca="1">('Input 4 - Forecast'!D68/'Input 4 - Forecast'!D$45)*MAX(C$71,0)</f>
        <v>0</v>
      </c>
      <c r="D87" s="13">
        <f ca="1">('Input 4 - Forecast'!E68/'Input 4 - Forecast'!E$45)*MAX(D$71,0)</f>
        <v>0</v>
      </c>
      <c r="E87" s="13">
        <f ca="1">('Input 4 - Forecast'!F68/'Input 4 - Forecast'!F$45)*MAX(E$71,0)</f>
        <v>0</v>
      </c>
      <c r="F87" s="13">
        <f ca="1">('Input 4 - Forecast'!G68/'Input 4 - Forecast'!G$45)*MAX(F$71,0)</f>
        <v>0</v>
      </c>
      <c r="G87" s="191">
        <f ca="1">('Input 4 - Forecast'!H68/'Input 4 - Forecast'!H$45)*MAX(G$71,0)</f>
        <v>0</v>
      </c>
      <c r="I87" s="211" t="str">
        <f>'Input 4 - Forecast'!J68</f>
        <v>Annual</v>
      </c>
      <c r="J87" s="211">
        <f>'Input 4 - Forecast'!K68</f>
        <v>0</v>
      </c>
      <c r="K87" s="19">
        <f>'Input 4 - Forecast'!L68</f>
        <v>0</v>
      </c>
      <c r="L87" s="212">
        <f>'Input 4 - Forecast'!M68+B$33/10000</f>
        <v>0</v>
      </c>
      <c r="M87" s="212">
        <f>'Input 4 - Forecast'!N68+C$33/10000</f>
        <v>2.5000000000000001E-3</v>
      </c>
      <c r="N87" s="212">
        <f>'Input 4 - Forecast'!O68+D$33/10000</f>
        <v>2.5000000000000001E-3</v>
      </c>
      <c r="O87" s="212">
        <f>'Input 4 - Forecast'!P68+E$33/10000</f>
        <v>2.5000000000000001E-3</v>
      </c>
      <c r="P87" s="212">
        <f>'Input 4 - Forecast'!Q68+F$33/10000</f>
        <v>2.5000000000000001E-3</v>
      </c>
      <c r="Q87" s="213">
        <f>'Input 4 - Forecast'!R68+G$33/10000</f>
        <v>2.5000000000000001E-3</v>
      </c>
    </row>
    <row r="88" spans="1:17">
      <c r="A88" s="215" t="s">
        <v>26</v>
      </c>
      <c r="B88" s="190">
        <f>('Input 4 - Forecast'!C69/'Input 4 - Forecast'!C$45)*MAX(B$71,0)</f>
        <v>0</v>
      </c>
      <c r="C88" s="13">
        <f ca="1">('Input 4 - Forecast'!D69/'Input 4 - Forecast'!D$45)*MAX(C$71,0)</f>
        <v>0</v>
      </c>
      <c r="D88" s="13">
        <f ca="1">('Input 4 - Forecast'!E69/'Input 4 - Forecast'!E$45)*MAX(D$71,0)</f>
        <v>0</v>
      </c>
      <c r="E88" s="13">
        <f ca="1">('Input 4 - Forecast'!F69/'Input 4 - Forecast'!F$45)*MAX(E$71,0)</f>
        <v>0</v>
      </c>
      <c r="F88" s="13">
        <f ca="1">('Input 4 - Forecast'!G69/'Input 4 - Forecast'!G$45)*MAX(F$71,0)</f>
        <v>0</v>
      </c>
      <c r="G88" s="191">
        <f ca="1">('Input 4 - Forecast'!H69/'Input 4 - Forecast'!H$45)*MAX(G$71,0)</f>
        <v>0</v>
      </c>
      <c r="I88" s="211" t="str">
        <f>'Input 4 - Forecast'!J69</f>
        <v>Annual</v>
      </c>
      <c r="J88" s="211">
        <f>'Input 4 - Forecast'!K69</f>
        <v>0</v>
      </c>
      <c r="K88" s="19">
        <f>'Input 4 - Forecast'!L69</f>
        <v>0</v>
      </c>
      <c r="L88" s="212">
        <f>'Input 4 - Forecast'!M69+B$33/10000</f>
        <v>0</v>
      </c>
      <c r="M88" s="212">
        <f>'Input 4 - Forecast'!N69+C$33/10000</f>
        <v>2.5000000000000001E-3</v>
      </c>
      <c r="N88" s="212">
        <f>'Input 4 - Forecast'!O69+D$33/10000</f>
        <v>2.5000000000000001E-3</v>
      </c>
      <c r="O88" s="212">
        <f>'Input 4 - Forecast'!P69+E$33/10000</f>
        <v>2.5000000000000001E-3</v>
      </c>
      <c r="P88" s="212">
        <f>'Input 4 - Forecast'!Q69+F$33/10000</f>
        <v>2.5000000000000001E-3</v>
      </c>
      <c r="Q88" s="213">
        <f>'Input 4 - Forecast'!R69+G$33/10000</f>
        <v>2.5000000000000001E-3</v>
      </c>
    </row>
    <row r="89" spans="1:17">
      <c r="A89" s="215" t="s">
        <v>27</v>
      </c>
      <c r="B89" s="190">
        <f>('Input 4 - Forecast'!C70/'Input 4 - Forecast'!C$45)*MAX(B$71,0)</f>
        <v>0</v>
      </c>
      <c r="C89" s="13">
        <f ca="1">('Input 4 - Forecast'!D70/'Input 4 - Forecast'!D$45)*MAX(C$71,0)</f>
        <v>0</v>
      </c>
      <c r="D89" s="13">
        <f ca="1">('Input 4 - Forecast'!E70/'Input 4 - Forecast'!E$45)*MAX(D$71,0)</f>
        <v>0</v>
      </c>
      <c r="E89" s="13">
        <f ca="1">('Input 4 - Forecast'!F70/'Input 4 - Forecast'!F$45)*MAX(E$71,0)</f>
        <v>0</v>
      </c>
      <c r="F89" s="13">
        <f ca="1">('Input 4 - Forecast'!G70/'Input 4 - Forecast'!G$45)*MAX(F$71,0)</f>
        <v>0</v>
      </c>
      <c r="G89" s="191">
        <f ca="1">('Input 4 - Forecast'!H70/'Input 4 - Forecast'!H$45)*MAX(G$71,0)</f>
        <v>0</v>
      </c>
      <c r="I89" s="211"/>
      <c r="J89" s="211">
        <f>'Input 4 - Forecast'!K70</f>
        <v>0</v>
      </c>
      <c r="K89" s="19">
        <f>'Input 4 - Forecast'!L70</f>
        <v>0</v>
      </c>
      <c r="L89" s="212">
        <f>'Input 4 - Forecast'!M70+B$33/10000</f>
        <v>0</v>
      </c>
      <c r="M89" s="212">
        <f>'Input 4 - Forecast'!N70+C$33/10000</f>
        <v>2.5000000000000001E-3</v>
      </c>
      <c r="N89" s="212">
        <f>'Input 4 - Forecast'!O70+D$33/10000</f>
        <v>2.5000000000000001E-3</v>
      </c>
      <c r="O89" s="212">
        <f>'Input 4 - Forecast'!P70+E$33/10000</f>
        <v>2.5000000000000001E-3</v>
      </c>
      <c r="P89" s="212">
        <f>'Input 4 - Forecast'!Q70+F$33/10000</f>
        <v>2.5000000000000001E-3</v>
      </c>
      <c r="Q89" s="213">
        <f>'Input 4 - Forecast'!R70+G$33/10000</f>
        <v>2.5000000000000001E-3</v>
      </c>
    </row>
    <row r="90" spans="1:17">
      <c r="A90" s="3" t="s">
        <v>1178</v>
      </c>
      <c r="B90" s="190"/>
      <c r="C90" s="13"/>
      <c r="D90" s="13"/>
      <c r="E90" s="13"/>
      <c r="F90" s="13"/>
      <c r="G90" s="191"/>
      <c r="I90" s="211"/>
      <c r="J90" s="211"/>
      <c r="K90" s="19"/>
      <c r="L90" s="19"/>
      <c r="M90" s="19"/>
      <c r="N90" s="19"/>
      <c r="O90" s="19"/>
      <c r="P90" s="19"/>
      <c r="Q90" s="214"/>
    </row>
    <row r="91" spans="1:17">
      <c r="A91" s="206" t="s">
        <v>13</v>
      </c>
      <c r="B91" s="190"/>
      <c r="C91" s="13"/>
      <c r="D91" s="13"/>
      <c r="E91" s="13"/>
      <c r="F91" s="13"/>
      <c r="G91" s="191"/>
      <c r="I91" s="211"/>
      <c r="J91" s="211"/>
      <c r="K91" s="19"/>
      <c r="L91" s="19"/>
      <c r="M91" s="19"/>
      <c r="N91" s="19"/>
      <c r="O91" s="19"/>
      <c r="P91" s="19"/>
      <c r="Q91" s="214"/>
    </row>
    <row r="92" spans="1:17" ht="30">
      <c r="A92" s="210" t="s">
        <v>0</v>
      </c>
      <c r="B92" s="190">
        <f>('Input 4 - Forecast'!C73/'Input 4 - Forecast'!C$45)*MAX(B$71,0)</f>
        <v>0</v>
      </c>
      <c r="C92" s="13">
        <f ca="1">('Input 4 - Forecast'!D73/'Input 4 - Forecast'!D$45)*MAX(C$71,0)</f>
        <v>0</v>
      </c>
      <c r="D92" s="13">
        <f ca="1">('Input 4 - Forecast'!E73/'Input 4 - Forecast'!E$45)*MAX(D$71,0)</f>
        <v>0</v>
      </c>
      <c r="E92" s="13">
        <f ca="1">('Input 4 - Forecast'!F73/'Input 4 - Forecast'!F$45)*MAX(E$71,0)</f>
        <v>0</v>
      </c>
      <c r="F92" s="13">
        <f ca="1">('Input 4 - Forecast'!G73/'Input 4 - Forecast'!G$45)*MAX(F$71,0)</f>
        <v>0</v>
      </c>
      <c r="G92" s="191">
        <f ca="1">('Input 4 - Forecast'!H73/'Input 4 - Forecast'!H$45)*MAX(G$71,0)</f>
        <v>0</v>
      </c>
      <c r="I92" s="211" t="str">
        <f>'Input 4 - Forecast'!J73</f>
        <v>Semi-annual</v>
      </c>
      <c r="J92" s="211">
        <f>'Input 4 - Forecast'!K73</f>
        <v>0</v>
      </c>
      <c r="K92" s="19">
        <f>'Input 4 - Forecast'!L73</f>
        <v>0</v>
      </c>
      <c r="L92" s="212">
        <f>'Input 4 - Forecast'!M73+B$33/10000</f>
        <v>0</v>
      </c>
      <c r="M92" s="212">
        <f>'Input 4 - Forecast'!N73+C$33/10000</f>
        <v>2.5000000000000001E-3</v>
      </c>
      <c r="N92" s="212">
        <f>'Input 4 - Forecast'!O73+D$33/10000</f>
        <v>2.5000000000000001E-3</v>
      </c>
      <c r="O92" s="212">
        <f>'Input 4 - Forecast'!P73+E$33/10000</f>
        <v>2.5000000000000001E-3</v>
      </c>
      <c r="P92" s="212">
        <f>'Input 4 - Forecast'!Q73+F$33/10000</f>
        <v>2.5000000000000001E-3</v>
      </c>
      <c r="Q92" s="213">
        <f>'Input 4 - Forecast'!R73+G$33/10000</f>
        <v>2.5000000000000001E-3</v>
      </c>
    </row>
    <row r="93" spans="1:17" ht="30">
      <c r="A93" s="210" t="s">
        <v>1</v>
      </c>
      <c r="B93" s="190">
        <f>('Input 4 - Forecast'!C74/'Input 4 - Forecast'!C$45)*MAX(B$71,0)</f>
        <v>0</v>
      </c>
      <c r="C93" s="13">
        <f ca="1">('Input 4 - Forecast'!D74/'Input 4 - Forecast'!D$45)*MAX(C$71,0)</f>
        <v>0</v>
      </c>
      <c r="D93" s="13">
        <f ca="1">('Input 4 - Forecast'!E74/'Input 4 - Forecast'!E$45)*MAX(D$71,0)</f>
        <v>0</v>
      </c>
      <c r="E93" s="13">
        <f ca="1">('Input 4 - Forecast'!F74/'Input 4 - Forecast'!F$45)*MAX(E$71,0)</f>
        <v>0</v>
      </c>
      <c r="F93" s="13">
        <f ca="1">('Input 4 - Forecast'!G74/'Input 4 - Forecast'!G$45)*MAX(F$71,0)</f>
        <v>0</v>
      </c>
      <c r="G93" s="191">
        <f ca="1">('Input 4 - Forecast'!H74/'Input 4 - Forecast'!H$45)*MAX(G$71,0)</f>
        <v>0</v>
      </c>
      <c r="I93" s="211" t="str">
        <f>'Input 4 - Forecast'!J74</f>
        <v>Semi-annual</v>
      </c>
      <c r="J93" s="211">
        <f>'Input 4 - Forecast'!K74</f>
        <v>0</v>
      </c>
      <c r="K93" s="19">
        <f>'Input 4 - Forecast'!L74</f>
        <v>0</v>
      </c>
      <c r="L93" s="212">
        <f>'Input 4 - Forecast'!M74+B$33/10000</f>
        <v>0</v>
      </c>
      <c r="M93" s="212">
        <f>'Input 4 - Forecast'!N74+C$33/10000</f>
        <v>2.5000000000000001E-3</v>
      </c>
      <c r="N93" s="212">
        <f>'Input 4 - Forecast'!O74+D$33/10000</f>
        <v>2.5000000000000001E-3</v>
      </c>
      <c r="O93" s="212">
        <f>'Input 4 - Forecast'!P74+E$33/10000</f>
        <v>2.5000000000000001E-3</v>
      </c>
      <c r="P93" s="212">
        <f>'Input 4 - Forecast'!Q74+F$33/10000</f>
        <v>2.5000000000000001E-3</v>
      </c>
      <c r="Q93" s="213">
        <f>'Input 4 - Forecast'!R74+G$33/10000</f>
        <v>2.5000000000000001E-3</v>
      </c>
    </row>
    <row r="94" spans="1:17">
      <c r="A94" s="206" t="s">
        <v>14</v>
      </c>
      <c r="B94" s="190"/>
      <c r="C94" s="13"/>
      <c r="D94" s="13"/>
      <c r="E94" s="13"/>
      <c r="F94" s="13"/>
      <c r="G94" s="191"/>
      <c r="I94" s="211"/>
      <c r="J94" s="211"/>
      <c r="K94" s="19"/>
      <c r="L94" s="19"/>
      <c r="M94" s="19"/>
      <c r="N94" s="19"/>
      <c r="O94" s="19"/>
      <c r="P94" s="19"/>
      <c r="Q94" s="214"/>
    </row>
    <row r="95" spans="1:17">
      <c r="A95" s="210" t="s">
        <v>0</v>
      </c>
      <c r="B95" s="190"/>
      <c r="C95" s="13"/>
      <c r="D95" s="13"/>
      <c r="E95" s="13"/>
      <c r="F95" s="13"/>
      <c r="G95" s="191"/>
      <c r="I95" s="211"/>
      <c r="J95" s="211"/>
      <c r="K95" s="19"/>
      <c r="L95" s="19"/>
      <c r="M95" s="19"/>
      <c r="N95" s="19"/>
      <c r="O95" s="19"/>
      <c r="P95" s="19"/>
      <c r="Q95" s="214"/>
    </row>
    <row r="96" spans="1:17">
      <c r="A96" s="215" t="s">
        <v>28</v>
      </c>
      <c r="B96" s="190">
        <f>('Input 4 - Forecast'!C77/'Input 4 - Forecast'!C$45)*MAX(B$71,0)</f>
        <v>499.99798625313935</v>
      </c>
      <c r="C96" s="13">
        <f ca="1">('Input 4 - Forecast'!D77/'Input 4 - Forecast'!D$45)*MAX(C$71,0)</f>
        <v>0</v>
      </c>
      <c r="D96" s="13">
        <f ca="1">('Input 4 - Forecast'!E77/'Input 4 - Forecast'!E$45)*MAX(D$71,0)</f>
        <v>0</v>
      </c>
      <c r="E96" s="13">
        <f ca="1">('Input 4 - Forecast'!F77/'Input 4 - Forecast'!F$45)*MAX(E$71,0)</f>
        <v>0</v>
      </c>
      <c r="F96" s="13">
        <f ca="1">('Input 4 - Forecast'!G77/'Input 4 - Forecast'!G$45)*MAX(F$71,0)</f>
        <v>0</v>
      </c>
      <c r="G96" s="191">
        <f ca="1">('Input 4 - Forecast'!H77/'Input 4 - Forecast'!H$45)*MAX(G$71,0)</f>
        <v>0</v>
      </c>
      <c r="I96" s="211" t="str">
        <f>'Input 4 - Forecast'!J77</f>
        <v>Annual</v>
      </c>
      <c r="J96" s="211">
        <f>'Input 4 - Forecast'!K77</f>
        <v>10</v>
      </c>
      <c r="K96" s="19">
        <f>'Input 4 - Forecast'!L77</f>
        <v>10</v>
      </c>
      <c r="L96" s="212">
        <f>'Input 4 - Forecast'!M77+B$33/10000</f>
        <v>1.125E-2</v>
      </c>
      <c r="M96" s="212">
        <f>'Input 4 - Forecast'!N77+C$33/10000</f>
        <v>2.1249999999999998E-2</v>
      </c>
      <c r="N96" s="212">
        <f>'Input 4 - Forecast'!O77+D$33/10000</f>
        <v>2.4499999999999997E-2</v>
      </c>
      <c r="O96" s="212">
        <f>'Input 4 - Forecast'!P77+E$33/10000</f>
        <v>2.4499999999999997E-2</v>
      </c>
      <c r="P96" s="212">
        <f>'Input 4 - Forecast'!Q77+F$33/10000</f>
        <v>2.4499999999999997E-2</v>
      </c>
      <c r="Q96" s="213">
        <f>'Input 4 - Forecast'!R77+G$33/10000</f>
        <v>2.4499999999999997E-2</v>
      </c>
    </row>
    <row r="97" spans="1:27">
      <c r="A97" s="215" t="s">
        <v>29</v>
      </c>
      <c r="B97" s="190">
        <f>('Input 4 - Forecast'!C78/'Input 4 - Forecast'!C$45)*MAX(B$71,0)</f>
        <v>499.99798625313935</v>
      </c>
      <c r="C97" s="13">
        <f ca="1">('Input 4 - Forecast'!D78/'Input 4 - Forecast'!D$45)*MAX(C$71,0)</f>
        <v>0</v>
      </c>
      <c r="D97" s="13">
        <f ca="1">('Input 4 - Forecast'!E78/'Input 4 - Forecast'!E$45)*MAX(D$71,0)</f>
        <v>0</v>
      </c>
      <c r="E97" s="13">
        <f ca="1">('Input 4 - Forecast'!F78/'Input 4 - Forecast'!F$45)*MAX(E$71,0)</f>
        <v>0</v>
      </c>
      <c r="F97" s="13">
        <f ca="1">('Input 4 - Forecast'!G78/'Input 4 - Forecast'!G$45)*MAX(F$71,0)</f>
        <v>0</v>
      </c>
      <c r="G97" s="191">
        <f ca="1">('Input 4 - Forecast'!H78/'Input 4 - Forecast'!H$45)*MAX(G$71,0)</f>
        <v>0</v>
      </c>
      <c r="I97" s="211" t="str">
        <f>'Input 4 - Forecast'!J78</f>
        <v>Annual</v>
      </c>
      <c r="J97" s="211">
        <f>'Input 4 - Forecast'!K78</f>
        <v>30</v>
      </c>
      <c r="K97" s="19">
        <f>'Input 4 - Forecast'!L78</f>
        <v>30</v>
      </c>
      <c r="L97" s="212">
        <f>'Input 4 - Forecast'!M78+B$33/10000</f>
        <v>2.2499999999999999E-2</v>
      </c>
      <c r="M97" s="212">
        <f>'Input 4 - Forecast'!N78+C$33/10000</f>
        <v>2.5000000000000001E-3</v>
      </c>
      <c r="N97" s="212">
        <f>'Input 4 - Forecast'!O78+D$33/10000</f>
        <v>2.5000000000000001E-3</v>
      </c>
      <c r="O97" s="212">
        <f>'Input 4 - Forecast'!P78+E$33/10000</f>
        <v>2.5000000000000001E-3</v>
      </c>
      <c r="P97" s="212">
        <f>'Input 4 - Forecast'!Q78+F$33/10000</f>
        <v>2.5000000000000001E-3</v>
      </c>
      <c r="Q97" s="213">
        <f>'Input 4 - Forecast'!R78+G$33/10000</f>
        <v>2.5000000000000001E-3</v>
      </c>
    </row>
    <row r="98" spans="1:27">
      <c r="A98" s="215" t="s">
        <v>30</v>
      </c>
      <c r="B98" s="190">
        <f>('Input 4 - Forecast'!C79/'Input 4 - Forecast'!C$45)*MAX(B$71,0)</f>
        <v>0</v>
      </c>
      <c r="C98" s="13">
        <f ca="1">('Input 4 - Forecast'!D79/'Input 4 - Forecast'!D$45)*MAX(C$71,0)</f>
        <v>0</v>
      </c>
      <c r="D98" s="13">
        <f ca="1">('Input 4 - Forecast'!E79/'Input 4 - Forecast'!E$45)*MAX(D$71,0)</f>
        <v>0</v>
      </c>
      <c r="E98" s="13">
        <f ca="1">('Input 4 - Forecast'!F79/'Input 4 - Forecast'!F$45)*MAX(E$71,0)</f>
        <v>0</v>
      </c>
      <c r="F98" s="13">
        <f ca="1">('Input 4 - Forecast'!G79/'Input 4 - Forecast'!G$45)*MAX(F$71,0)</f>
        <v>0</v>
      </c>
      <c r="G98" s="191">
        <f ca="1">('Input 4 - Forecast'!H79/'Input 4 - Forecast'!H$45)*MAX(G$71,0)</f>
        <v>0</v>
      </c>
      <c r="I98" s="211" t="str">
        <f>'Input 4 - Forecast'!J79</f>
        <v>Annual</v>
      </c>
      <c r="J98" s="211">
        <f>'Input 4 - Forecast'!K79</f>
        <v>0</v>
      </c>
      <c r="K98" s="19">
        <f>'Input 4 - Forecast'!L79</f>
        <v>0</v>
      </c>
      <c r="L98" s="212">
        <f>'Input 4 - Forecast'!M79+B$33/10000</f>
        <v>0</v>
      </c>
      <c r="M98" s="212">
        <f>'Input 4 - Forecast'!N79+C$33/10000</f>
        <v>2.5000000000000001E-3</v>
      </c>
      <c r="N98" s="212">
        <f>'Input 4 - Forecast'!O79+D$33/10000</f>
        <v>2.5000000000000001E-3</v>
      </c>
      <c r="O98" s="212">
        <f>'Input 4 - Forecast'!P79+E$33/10000</f>
        <v>2.5000000000000001E-3</v>
      </c>
      <c r="P98" s="212">
        <f>'Input 4 - Forecast'!Q79+F$33/10000</f>
        <v>2.5000000000000001E-3</v>
      </c>
      <c r="Q98" s="213">
        <f>'Input 4 - Forecast'!R79+G$33/10000</f>
        <v>2.5000000000000001E-3</v>
      </c>
    </row>
    <row r="99" spans="1:27">
      <c r="A99" s="215" t="s">
        <v>31</v>
      </c>
      <c r="B99" s="190">
        <f>('Input 4 - Forecast'!C80/'Input 4 - Forecast'!C$45)*MAX(B$71,0)</f>
        <v>0</v>
      </c>
      <c r="C99" s="13">
        <f ca="1">('Input 4 - Forecast'!D80/'Input 4 - Forecast'!D$45)*MAX(C$71,0)</f>
        <v>0</v>
      </c>
      <c r="D99" s="13">
        <f ca="1">('Input 4 - Forecast'!E80/'Input 4 - Forecast'!E$45)*MAX(D$71,0)</f>
        <v>0</v>
      </c>
      <c r="E99" s="13">
        <f ca="1">('Input 4 - Forecast'!F80/'Input 4 - Forecast'!F$45)*MAX(E$71,0)</f>
        <v>0</v>
      </c>
      <c r="F99" s="13">
        <f ca="1">('Input 4 - Forecast'!G80/'Input 4 - Forecast'!G$45)*MAX(F$71,0)</f>
        <v>0</v>
      </c>
      <c r="G99" s="191">
        <f ca="1">('Input 4 - Forecast'!H80/'Input 4 - Forecast'!H$45)*MAX(G$71,0)</f>
        <v>0</v>
      </c>
      <c r="I99" s="211" t="str">
        <f>'Input 4 - Forecast'!J80</f>
        <v>Annual</v>
      </c>
      <c r="J99" s="211">
        <f>'Input 4 - Forecast'!K80</f>
        <v>0</v>
      </c>
      <c r="K99" s="19">
        <f>'Input 4 - Forecast'!L80</f>
        <v>0</v>
      </c>
      <c r="L99" s="212">
        <f>'Input 4 - Forecast'!M80+B$33/10000</f>
        <v>0</v>
      </c>
      <c r="M99" s="212">
        <f>'Input 4 - Forecast'!N80+C$33/10000</f>
        <v>2.5000000000000001E-3</v>
      </c>
      <c r="N99" s="212">
        <f>'Input 4 - Forecast'!O80+D$33/10000</f>
        <v>2.5000000000000001E-3</v>
      </c>
      <c r="O99" s="212">
        <f>'Input 4 - Forecast'!P80+E$33/10000</f>
        <v>2.5000000000000001E-3</v>
      </c>
      <c r="P99" s="212">
        <f>'Input 4 - Forecast'!Q80+F$33/10000</f>
        <v>2.5000000000000001E-3</v>
      </c>
      <c r="Q99" s="213">
        <f>'Input 4 - Forecast'!R80+G$33/10000</f>
        <v>2.5000000000000001E-3</v>
      </c>
    </row>
    <row r="100" spans="1:27">
      <c r="A100" s="215" t="s">
        <v>32</v>
      </c>
      <c r="B100" s="190">
        <f>('Input 4 - Forecast'!C81/'Input 4 - Forecast'!C$45)*MAX(B$71,0)</f>
        <v>0</v>
      </c>
      <c r="C100" s="13">
        <f ca="1">('Input 4 - Forecast'!D81/'Input 4 - Forecast'!D$45)*MAX(C$71,0)</f>
        <v>0</v>
      </c>
      <c r="D100" s="13">
        <f ca="1">('Input 4 - Forecast'!E81/'Input 4 - Forecast'!E$45)*MAX(D$71,0)</f>
        <v>0</v>
      </c>
      <c r="E100" s="13">
        <f ca="1">('Input 4 - Forecast'!F81/'Input 4 - Forecast'!F$45)*MAX(E$71,0)</f>
        <v>0</v>
      </c>
      <c r="F100" s="13">
        <f ca="1">('Input 4 - Forecast'!G81/'Input 4 - Forecast'!G$45)*MAX(F$71,0)</f>
        <v>0</v>
      </c>
      <c r="G100" s="191">
        <f ca="1">('Input 4 - Forecast'!H81/'Input 4 - Forecast'!H$45)*MAX(G$71,0)</f>
        <v>0</v>
      </c>
      <c r="I100" s="211"/>
      <c r="J100" s="211">
        <f>'Input 4 - Forecast'!K81</f>
        <v>0</v>
      </c>
      <c r="K100" s="19">
        <f>'Input 4 - Forecast'!L81</f>
        <v>0</v>
      </c>
      <c r="L100" s="212">
        <f>'Input 4 - Forecast'!M81+B$33/10000</f>
        <v>0</v>
      </c>
      <c r="M100" s="212">
        <f>'Input 4 - Forecast'!N81+C$33/10000</f>
        <v>2.5000000000000001E-3</v>
      </c>
      <c r="N100" s="212">
        <f>'Input 4 - Forecast'!O81+D$33/10000</f>
        <v>2.5000000000000001E-3</v>
      </c>
      <c r="O100" s="212">
        <f>'Input 4 - Forecast'!P81+E$33/10000</f>
        <v>2.5000000000000001E-3</v>
      </c>
      <c r="P100" s="212">
        <f>'Input 4 - Forecast'!Q81+F$33/10000</f>
        <v>2.5000000000000001E-3</v>
      </c>
      <c r="Q100" s="213">
        <f>'Input 4 - Forecast'!R81+G$33/10000</f>
        <v>2.5000000000000001E-3</v>
      </c>
    </row>
    <row r="101" spans="1:27">
      <c r="A101" s="210" t="s">
        <v>1</v>
      </c>
      <c r="B101" s="190"/>
      <c r="C101" s="13"/>
      <c r="D101" s="13"/>
      <c r="E101" s="13"/>
      <c r="F101" s="13"/>
      <c r="G101" s="191"/>
      <c r="I101" s="211"/>
      <c r="J101" s="211"/>
      <c r="K101" s="19"/>
      <c r="L101" s="19"/>
      <c r="M101" s="19"/>
      <c r="N101" s="19"/>
      <c r="O101" s="19"/>
      <c r="P101" s="19"/>
      <c r="Q101" s="214"/>
    </row>
    <row r="102" spans="1:27">
      <c r="A102" s="215" t="s">
        <v>33</v>
      </c>
      <c r="B102" s="190">
        <f>('Input 4 - Forecast'!C83/'Input 4 - Forecast'!C$45)*MAX(B$71,0)</f>
        <v>0</v>
      </c>
      <c r="C102" s="13">
        <f ca="1">('Input 4 - Forecast'!D83/'Input 4 - Forecast'!D$45)*MAX(C$71,0)</f>
        <v>0</v>
      </c>
      <c r="D102" s="13">
        <f ca="1">('Input 4 - Forecast'!E83/'Input 4 - Forecast'!E$45)*MAX(D$71,0)</f>
        <v>0</v>
      </c>
      <c r="E102" s="13">
        <f ca="1">('Input 4 - Forecast'!F83/'Input 4 - Forecast'!F$45)*MAX(E$71,0)</f>
        <v>0</v>
      </c>
      <c r="F102" s="13">
        <f ca="1">('Input 4 - Forecast'!G83/'Input 4 - Forecast'!G$45)*MAX(F$71,0)</f>
        <v>0</v>
      </c>
      <c r="G102" s="191">
        <f ca="1">('Input 4 - Forecast'!H83/'Input 4 - Forecast'!H$45)*MAX(G$71,0)</f>
        <v>0</v>
      </c>
      <c r="I102" s="211" t="str">
        <f>'Input 4 - Forecast'!J83</f>
        <v>Annual</v>
      </c>
      <c r="J102" s="211">
        <f>'Input 4 - Forecast'!K83</f>
        <v>0</v>
      </c>
      <c r="K102" s="19">
        <f>'Input 4 - Forecast'!L83</f>
        <v>0</v>
      </c>
      <c r="L102" s="212">
        <f>'Input 4 - Forecast'!M83+B$33/10000</f>
        <v>0</v>
      </c>
      <c r="M102" s="212">
        <f>'Input 4 - Forecast'!N83+C$33/10000</f>
        <v>2.5000000000000001E-3</v>
      </c>
      <c r="N102" s="212">
        <f>'Input 4 - Forecast'!O83+D$33/10000</f>
        <v>2.5000000000000001E-3</v>
      </c>
      <c r="O102" s="212">
        <f>'Input 4 - Forecast'!P83+E$33/10000</f>
        <v>2.5000000000000001E-3</v>
      </c>
      <c r="P102" s="212">
        <f>'Input 4 - Forecast'!Q83+F$33/10000</f>
        <v>2.5000000000000001E-3</v>
      </c>
      <c r="Q102" s="213">
        <f>'Input 4 - Forecast'!R83+G$33/10000</f>
        <v>2.5000000000000001E-3</v>
      </c>
    </row>
    <row r="103" spans="1:27">
      <c r="A103" s="215" t="s">
        <v>34</v>
      </c>
      <c r="B103" s="190">
        <f>('Input 4 - Forecast'!C84/'Input 4 - Forecast'!C$45)*MAX(B$71,0)</f>
        <v>0</v>
      </c>
      <c r="C103" s="13">
        <f ca="1">('Input 4 - Forecast'!D84/'Input 4 - Forecast'!D$45)*MAX(C$71,0)</f>
        <v>0</v>
      </c>
      <c r="D103" s="13">
        <f ca="1">('Input 4 - Forecast'!E84/'Input 4 - Forecast'!E$45)*MAX(D$71,0)</f>
        <v>0</v>
      </c>
      <c r="E103" s="13">
        <f ca="1">('Input 4 - Forecast'!F84/'Input 4 - Forecast'!F$45)*MAX(E$71,0)</f>
        <v>0</v>
      </c>
      <c r="F103" s="13">
        <f ca="1">('Input 4 - Forecast'!G84/'Input 4 - Forecast'!G$45)*MAX(F$71,0)</f>
        <v>0</v>
      </c>
      <c r="G103" s="191">
        <f ca="1">('Input 4 - Forecast'!H84/'Input 4 - Forecast'!H$45)*MAX(G$71,0)</f>
        <v>0</v>
      </c>
      <c r="I103" s="211" t="str">
        <f>'Input 4 - Forecast'!J84</f>
        <v>Annual</v>
      </c>
      <c r="J103" s="211">
        <f>'Input 4 - Forecast'!K84</f>
        <v>0</v>
      </c>
      <c r="K103" s="19">
        <f>'Input 4 - Forecast'!L84</f>
        <v>0</v>
      </c>
      <c r="L103" s="212">
        <f>'Input 4 - Forecast'!M84+B$33/10000</f>
        <v>0</v>
      </c>
      <c r="M103" s="212">
        <f>'Input 4 - Forecast'!N84+C$33/10000</f>
        <v>2.5000000000000001E-3</v>
      </c>
      <c r="N103" s="212">
        <f>'Input 4 - Forecast'!O84+D$33/10000</f>
        <v>2.5000000000000001E-3</v>
      </c>
      <c r="O103" s="212">
        <f>'Input 4 - Forecast'!P84+E$33/10000</f>
        <v>2.5000000000000001E-3</v>
      </c>
      <c r="P103" s="212">
        <f>'Input 4 - Forecast'!Q84+F$33/10000</f>
        <v>2.5000000000000001E-3</v>
      </c>
      <c r="Q103" s="213">
        <f>'Input 4 - Forecast'!R84+G$33/10000</f>
        <v>2.5000000000000001E-3</v>
      </c>
    </row>
    <row r="104" spans="1:27">
      <c r="A104" s="215" t="s">
        <v>35</v>
      </c>
      <c r="B104" s="190">
        <f>('Input 4 - Forecast'!C85/'Input 4 - Forecast'!C$45)*MAX(B$71,0)</f>
        <v>0</v>
      </c>
      <c r="C104" s="13">
        <f ca="1">('Input 4 - Forecast'!D85/'Input 4 - Forecast'!D$45)*MAX(C$71,0)</f>
        <v>0</v>
      </c>
      <c r="D104" s="13">
        <f ca="1">('Input 4 - Forecast'!E85/'Input 4 - Forecast'!E$45)*MAX(D$71,0)</f>
        <v>0</v>
      </c>
      <c r="E104" s="13">
        <f ca="1">('Input 4 - Forecast'!F85/'Input 4 - Forecast'!F$45)*MAX(E$71,0)</f>
        <v>0</v>
      </c>
      <c r="F104" s="13">
        <f ca="1">('Input 4 - Forecast'!G85/'Input 4 - Forecast'!G$45)*MAX(F$71,0)</f>
        <v>0</v>
      </c>
      <c r="G104" s="191">
        <f ca="1">('Input 4 - Forecast'!H85/'Input 4 - Forecast'!H$45)*MAX(G$71,0)</f>
        <v>0</v>
      </c>
      <c r="I104" s="211" t="str">
        <f>'Input 4 - Forecast'!J85</f>
        <v>Annual</v>
      </c>
      <c r="J104" s="211">
        <f>'Input 4 - Forecast'!K85</f>
        <v>0</v>
      </c>
      <c r="K104" s="19">
        <f>'Input 4 - Forecast'!L85</f>
        <v>0</v>
      </c>
      <c r="L104" s="212">
        <f>'Input 4 - Forecast'!M85+B$33/10000</f>
        <v>0</v>
      </c>
      <c r="M104" s="212">
        <f>'Input 4 - Forecast'!N85+C$33/10000</f>
        <v>2.5000000000000001E-3</v>
      </c>
      <c r="N104" s="212">
        <f>'Input 4 - Forecast'!O85+D$33/10000</f>
        <v>2.5000000000000001E-3</v>
      </c>
      <c r="O104" s="212">
        <f>'Input 4 - Forecast'!P85+E$33/10000</f>
        <v>2.5000000000000001E-3</v>
      </c>
      <c r="P104" s="212">
        <f>'Input 4 - Forecast'!Q85+F$33/10000</f>
        <v>2.5000000000000001E-3</v>
      </c>
      <c r="Q104" s="213">
        <f>'Input 4 - Forecast'!R85+G$33/10000</f>
        <v>2.5000000000000001E-3</v>
      </c>
    </row>
    <row r="105" spans="1:27">
      <c r="A105" s="215" t="s">
        <v>36</v>
      </c>
      <c r="B105" s="190">
        <f>('Input 4 - Forecast'!C86/'Input 4 - Forecast'!C$45)*MAX(B$71,0)</f>
        <v>0</v>
      </c>
      <c r="C105" s="13">
        <f ca="1">('Input 4 - Forecast'!D86/'Input 4 - Forecast'!D$45)*MAX(C$71,0)</f>
        <v>0</v>
      </c>
      <c r="D105" s="13">
        <f ca="1">('Input 4 - Forecast'!E86/'Input 4 - Forecast'!E$45)*MAX(D$71,0)</f>
        <v>0</v>
      </c>
      <c r="E105" s="13">
        <f ca="1">('Input 4 - Forecast'!F86/'Input 4 - Forecast'!F$45)*MAX(E$71,0)</f>
        <v>0</v>
      </c>
      <c r="F105" s="13">
        <f ca="1">('Input 4 - Forecast'!G86/'Input 4 - Forecast'!G$45)*MAX(F$71,0)</f>
        <v>0</v>
      </c>
      <c r="G105" s="191">
        <f ca="1">('Input 4 - Forecast'!H86/'Input 4 - Forecast'!H$45)*MAX(G$71,0)</f>
        <v>0</v>
      </c>
      <c r="I105" s="211" t="str">
        <f>'Input 4 - Forecast'!J86</f>
        <v>Annual</v>
      </c>
      <c r="J105" s="211">
        <f>'Input 4 - Forecast'!K86</f>
        <v>0</v>
      </c>
      <c r="K105" s="19">
        <f>'Input 4 - Forecast'!L86</f>
        <v>0</v>
      </c>
      <c r="L105" s="212">
        <f>'Input 4 - Forecast'!M86+B$33/10000</f>
        <v>0</v>
      </c>
      <c r="M105" s="212">
        <f>'Input 4 - Forecast'!N86+C$33/10000</f>
        <v>2.5000000000000001E-3</v>
      </c>
      <c r="N105" s="212">
        <f>'Input 4 - Forecast'!O86+D$33/10000</f>
        <v>2.5000000000000001E-3</v>
      </c>
      <c r="O105" s="212">
        <f>'Input 4 - Forecast'!P86+E$33/10000</f>
        <v>2.5000000000000001E-3</v>
      </c>
      <c r="P105" s="212">
        <f>'Input 4 - Forecast'!Q86+F$33/10000</f>
        <v>2.5000000000000001E-3</v>
      </c>
      <c r="Q105" s="213">
        <f>'Input 4 - Forecast'!R86+G$33/10000</f>
        <v>2.5000000000000001E-3</v>
      </c>
    </row>
    <row r="106" spans="1:27" ht="15.75" thickBot="1">
      <c r="A106" s="216" t="s">
        <v>37</v>
      </c>
      <c r="B106" s="192">
        <f>('Input 4 - Forecast'!C87/'Input 4 - Forecast'!C$45)*MAX(B$71,0)</f>
        <v>0</v>
      </c>
      <c r="C106" s="193">
        <f ca="1">('Input 4 - Forecast'!D87/'Input 4 - Forecast'!D$45)*MAX(C$71,0)</f>
        <v>0</v>
      </c>
      <c r="D106" s="193">
        <f ca="1">('Input 4 - Forecast'!E87/'Input 4 - Forecast'!E$45)*MAX(D$71,0)</f>
        <v>0</v>
      </c>
      <c r="E106" s="193">
        <f ca="1">('Input 4 - Forecast'!F87/'Input 4 - Forecast'!F$45)*MAX(E$71,0)</f>
        <v>0</v>
      </c>
      <c r="F106" s="193">
        <f ca="1">('Input 4 - Forecast'!G87/'Input 4 - Forecast'!G$45)*MAX(F$71,0)</f>
        <v>0</v>
      </c>
      <c r="G106" s="194">
        <f ca="1">('Input 4 - Forecast'!H87/'Input 4 - Forecast'!H$45)*MAX(G$71,0)</f>
        <v>0</v>
      </c>
      <c r="I106" s="217"/>
      <c r="J106" s="217">
        <f>'Input 4 - Forecast'!K87</f>
        <v>0</v>
      </c>
      <c r="K106" s="218">
        <f>'Input 4 - Forecast'!L87</f>
        <v>0</v>
      </c>
      <c r="L106" s="219">
        <f>'Input 4 - Forecast'!M87+B$33/10000</f>
        <v>0</v>
      </c>
      <c r="M106" s="219">
        <f>'Input 4 - Forecast'!N87+C$33/10000</f>
        <v>2.5000000000000001E-3</v>
      </c>
      <c r="N106" s="219">
        <f>'Input 4 - Forecast'!O87+D$33/10000</f>
        <v>2.5000000000000001E-3</v>
      </c>
      <c r="O106" s="219">
        <f>'Input 4 - Forecast'!P87+E$33/10000</f>
        <v>2.5000000000000001E-3</v>
      </c>
      <c r="P106" s="219">
        <f>'Input 4 - Forecast'!Q87+F$33/10000</f>
        <v>2.5000000000000001E-3</v>
      </c>
      <c r="Q106" s="220">
        <f>'Input 4 - Forecast'!R87+G$33/10000</f>
        <v>2.5000000000000001E-3</v>
      </c>
    </row>
    <row r="107" spans="1:27" ht="15.75" thickBot="1">
      <c r="B107" s="195"/>
      <c r="C107" s="195"/>
      <c r="D107" s="195"/>
      <c r="E107" s="195"/>
      <c r="F107" s="195"/>
      <c r="G107" s="195"/>
      <c r="I107" s="184"/>
      <c r="J107" s="184"/>
      <c r="K107" s="184"/>
      <c r="L107" s="184"/>
      <c r="M107" s="184"/>
      <c r="N107" s="184"/>
      <c r="O107" s="184"/>
      <c r="P107" s="184"/>
      <c r="Q107" s="184"/>
    </row>
    <row r="108" spans="1:27" ht="15.75" thickBot="1">
      <c r="A108" s="200" t="s">
        <v>1179</v>
      </c>
      <c r="B108" s="201">
        <f>('Input 4 - Forecast'!C89/'Input 4 - Forecast'!C$45)*MAX(B$71,0)</f>
        <v>-267.59452840452661</v>
      </c>
      <c r="C108" s="202">
        <f ca="1">('Input 4 - Forecast'!D89/'Input 4 - Forecast'!D$45)*MAX(C$71,0)</f>
        <v>3069.0374192458439</v>
      </c>
      <c r="D108" s="202">
        <f ca="1">('Input 4 - Forecast'!E89/'Input 4 - Forecast'!E$45)*MAX(D$71,0)</f>
        <v>6040.3454286555934</v>
      </c>
      <c r="E108" s="202">
        <f ca="1">('Input 4 - Forecast'!F89/'Input 4 - Forecast'!F$45)*MAX(E$71,0)</f>
        <v>9277.5929550873534</v>
      </c>
      <c r="F108" s="202">
        <f ca="1">('Input 4 - Forecast'!G89/'Input 4 - Forecast'!G$45)*MAX(F$71,0)</f>
        <v>11544.001879088615</v>
      </c>
      <c r="G108" s="203">
        <f ca="1">('Input 4 - Forecast'!H89/'Input 4 - Forecast'!H$45)*MAX(G$71,0)</f>
        <v>13704.204950646601</v>
      </c>
      <c r="I108" s="221"/>
      <c r="J108" s="221">
        <f>'Input 4 - Forecast'!K89</f>
        <v>1</v>
      </c>
      <c r="K108" s="222">
        <f>'Input 4 - Forecast'!L89</f>
        <v>1</v>
      </c>
      <c r="L108" s="223">
        <f>'Input 4 - Forecast'!M89+B$33/10000</f>
        <v>0</v>
      </c>
      <c r="M108" s="223">
        <f>'Input 4 - Forecast'!N89+C$33/10000</f>
        <v>2.5000000000000001E-3</v>
      </c>
      <c r="N108" s="223">
        <f>'Input 4 - Forecast'!O89+D$33/10000</f>
        <v>2.5000000000000001E-3</v>
      </c>
      <c r="O108" s="223">
        <f>'Input 4 - Forecast'!P89+E$33/10000</f>
        <v>2.5000000000000001E-3</v>
      </c>
      <c r="P108" s="223">
        <f>'Input 4 - Forecast'!Q89+F$33/10000</f>
        <v>2.5000000000000001E-3</v>
      </c>
      <c r="Q108" s="224">
        <f>'Input 4 - Forecast'!R89+G$33/10000</f>
        <v>2.5000000000000001E-3</v>
      </c>
    </row>
    <row r="109" spans="1:27">
      <c r="B109" s="7"/>
      <c r="C109" s="7"/>
      <c r="D109" s="7"/>
      <c r="E109" s="7"/>
      <c r="F109" s="7"/>
      <c r="G109" s="7"/>
      <c r="I109" s="184"/>
      <c r="J109" s="184"/>
      <c r="K109" s="184"/>
      <c r="L109" s="184"/>
      <c r="M109" s="184"/>
      <c r="N109" s="184"/>
      <c r="O109" s="184"/>
      <c r="P109" s="184"/>
    </row>
    <row r="111" spans="1:27" ht="15.75" thickBot="1">
      <c r="H111" s="7">
        <f>'Input 4 - Forecast'!C9</f>
        <v>2018</v>
      </c>
      <c r="I111" s="7">
        <f>H111+1</f>
        <v>2019</v>
      </c>
      <c r="J111" s="7">
        <f>I111+1</f>
        <v>2020</v>
      </c>
      <c r="K111" s="7">
        <f>J111+1</f>
        <v>2021</v>
      </c>
      <c r="L111" s="7">
        <f>K111+1</f>
        <v>2022</v>
      </c>
      <c r="M111" s="7">
        <f>L111+1</f>
        <v>2023</v>
      </c>
      <c r="O111" s="7">
        <f t="shared" ref="O111:T111" si="22">H111</f>
        <v>2018</v>
      </c>
      <c r="P111" s="7">
        <f t="shared" si="22"/>
        <v>2019</v>
      </c>
      <c r="Q111" s="7">
        <f t="shared" si="22"/>
        <v>2020</v>
      </c>
      <c r="R111" s="7">
        <f t="shared" si="22"/>
        <v>2021</v>
      </c>
      <c r="S111" s="7">
        <f t="shared" si="22"/>
        <v>2022</v>
      </c>
      <c r="T111" s="7">
        <f t="shared" si="22"/>
        <v>2023</v>
      </c>
      <c r="V111" s="7">
        <f t="shared" ref="V111:AA111" si="23">O111</f>
        <v>2018</v>
      </c>
      <c r="W111" s="7">
        <f t="shared" si="23"/>
        <v>2019</v>
      </c>
      <c r="X111" s="7">
        <f t="shared" si="23"/>
        <v>2020</v>
      </c>
      <c r="Y111" s="7">
        <f t="shared" si="23"/>
        <v>2021</v>
      </c>
      <c r="Z111" s="7">
        <f t="shared" si="23"/>
        <v>2022</v>
      </c>
      <c r="AA111" s="7">
        <f t="shared" si="23"/>
        <v>2023</v>
      </c>
    </row>
    <row r="112" spans="1:27" ht="15.75" thickBot="1">
      <c r="B112" s="2009" t="s">
        <v>44</v>
      </c>
      <c r="C112" s="2010"/>
      <c r="D112" s="2010"/>
      <c r="E112" s="2010"/>
      <c r="F112" s="2011"/>
      <c r="H112" s="2012" t="s">
        <v>40</v>
      </c>
      <c r="I112" s="2013"/>
      <c r="J112" s="2013"/>
      <c r="K112" s="2013"/>
      <c r="L112" s="2013"/>
      <c r="M112" s="2014"/>
      <c r="O112" s="2015" t="s">
        <v>46</v>
      </c>
      <c r="P112" s="2016"/>
      <c r="Q112" s="2016"/>
      <c r="R112" s="2016"/>
      <c r="S112" s="2016"/>
      <c r="T112" s="2017"/>
      <c r="V112" s="1996" t="s">
        <v>42</v>
      </c>
      <c r="W112" s="1997"/>
      <c r="X112" s="1997"/>
      <c r="Y112" s="1997"/>
      <c r="Z112" s="1997"/>
      <c r="AA112" s="1998"/>
    </row>
    <row r="113" spans="1:27">
      <c r="B113" s="7" t="s">
        <v>45</v>
      </c>
      <c r="C113" s="281" t="s">
        <v>462</v>
      </c>
      <c r="D113" s="7" t="s">
        <v>43</v>
      </c>
      <c r="E113" s="7" t="s">
        <v>39</v>
      </c>
      <c r="F113" s="7" t="s">
        <v>41</v>
      </c>
    </row>
    <row r="114" spans="1:27">
      <c r="A114" s="17"/>
      <c r="B114" s="7"/>
      <c r="C114" s="7"/>
      <c r="D114" s="7"/>
      <c r="E114" s="7"/>
    </row>
    <row r="115" spans="1:27">
      <c r="A115" s="20" t="str">
        <f>'Input 4 - Forecast'!A50</f>
        <v>Issuance of New Debt to Fill Fiscal Needs</v>
      </c>
    </row>
    <row r="116" spans="1:27" s="284" customFormat="1" ht="15.75" thickBot="1">
      <c r="A116" s="21" t="str">
        <f>'Input 4 - Forecast'!A55</f>
        <v>Short-term debt 2/</v>
      </c>
      <c r="B116" s="18"/>
      <c r="C116" s="13"/>
      <c r="D116" s="13"/>
      <c r="E116" s="13"/>
      <c r="F116" s="13"/>
      <c r="G116" s="13"/>
      <c r="H116" s="13"/>
      <c r="I116" s="17"/>
      <c r="J116" s="19"/>
      <c r="K116" s="19"/>
      <c r="L116" s="19"/>
      <c r="M116" s="19"/>
      <c r="N116" s="19"/>
      <c r="O116" s="19"/>
      <c r="P116" s="19"/>
      <c r="Q116" s="19"/>
    </row>
    <row r="117" spans="1:27" s="284" customFormat="1" ht="15.75" thickBot="1">
      <c r="A117" s="22" t="str">
        <f>'Input 4 - Forecast'!A56</f>
        <v>Denominated in local currency</v>
      </c>
      <c r="B117" s="1999" t="s">
        <v>51</v>
      </c>
      <c r="C117" s="2000"/>
      <c r="D117" s="2000"/>
      <c r="E117" s="2000"/>
      <c r="F117" s="2000"/>
      <c r="G117" s="2000"/>
      <c r="H117" s="2000"/>
      <c r="I117" s="2000"/>
      <c r="J117" s="2000"/>
      <c r="K117" s="2000"/>
      <c r="L117" s="2000"/>
      <c r="M117" s="2000"/>
      <c r="N117" s="2000"/>
      <c r="O117" s="2000"/>
      <c r="P117" s="2000"/>
      <c r="Q117" s="2000"/>
      <c r="R117" s="2000"/>
      <c r="S117" s="2000"/>
      <c r="T117" s="2000"/>
      <c r="U117" s="2000"/>
      <c r="V117" s="2000"/>
      <c r="W117" s="2000"/>
      <c r="X117" s="2000"/>
      <c r="Y117" s="2000"/>
      <c r="Z117" s="2000"/>
      <c r="AA117" s="2001"/>
    </row>
    <row r="118" spans="1:27">
      <c r="F118" s="15"/>
      <c r="H118" s="10"/>
      <c r="I118" s="10"/>
      <c r="J118" s="10"/>
      <c r="K118" s="10"/>
      <c r="L118" s="10"/>
      <c r="M118" s="10"/>
      <c r="N118" s="10"/>
      <c r="O118" s="10"/>
      <c r="P118" s="10"/>
      <c r="Q118" s="10"/>
      <c r="R118" s="10"/>
      <c r="S118" s="10"/>
      <c r="T118" s="10"/>
      <c r="U118" s="10"/>
      <c r="V118" s="10"/>
      <c r="W118" s="10"/>
      <c r="X118" s="10"/>
      <c r="Y118" s="10"/>
      <c r="Z118" s="10"/>
      <c r="AA118" s="10"/>
    </row>
    <row r="119" spans="1:27" s="284" customFormat="1">
      <c r="A119" s="23"/>
      <c r="B119" s="7">
        <f>'Input 4 - Forecast'!C9</f>
        <v>2018</v>
      </c>
      <c r="C119" s="13" t="str">
        <f>$I75</f>
        <v>Semi-annual</v>
      </c>
      <c r="D119" s="13">
        <f>$J75</f>
        <v>0</v>
      </c>
      <c r="E119" s="13">
        <f>$K75</f>
        <v>0</v>
      </c>
      <c r="F119" s="14">
        <f>$L$75</f>
        <v>0</v>
      </c>
      <c r="G119" s="13"/>
      <c r="H119" s="9">
        <f>$B$75</f>
        <v>0</v>
      </c>
      <c r="I119" s="9">
        <f>H119-P119</f>
        <v>0</v>
      </c>
      <c r="J119" s="9">
        <f>I119-Q119</f>
        <v>0</v>
      </c>
      <c r="K119" s="9">
        <f>J119-R119</f>
        <v>0</v>
      </c>
      <c r="L119" s="9">
        <f>K119-S119</f>
        <v>0</v>
      </c>
      <c r="M119" s="9">
        <f>L119-T119</f>
        <v>0</v>
      </c>
      <c r="N119" s="9"/>
      <c r="O119" s="9">
        <v>0</v>
      </c>
      <c r="P119" s="9">
        <f>H119</f>
        <v>0</v>
      </c>
      <c r="Q119" s="9">
        <v>0</v>
      </c>
      <c r="R119" s="9">
        <v>0</v>
      </c>
      <c r="S119" s="9">
        <v>0</v>
      </c>
      <c r="T119" s="9">
        <v>0</v>
      </c>
      <c r="U119" s="9"/>
      <c r="V119" s="9">
        <f>IF($C119="annual",IF(V$111=$B119,0,G119*$F119),IF(V$111-$B119=0,0,IF((V$111-$B119)&lt;$E119,AVERAGE(G119,H119)*$F119,IF((V$111-$B119)=$E119,G119*$F119/2,0))))</f>
        <v>0</v>
      </c>
      <c r="W119" s="9">
        <f t="shared" ref="W119:AA124" si="24">IF($C119="annual",IF(W$111=$B119,0,H119*$F119),IF(W$111-$B119=0,0,IF((W$111-$B119)&lt;$E119,AVERAGE(H119,I119)*$F119,IF((W$111-$B119)=$E119,H119*$F119/2,0))))</f>
        <v>0</v>
      </c>
      <c r="X119" s="9">
        <f t="shared" si="24"/>
        <v>0</v>
      </c>
      <c r="Y119" s="9">
        <f t="shared" si="24"/>
        <v>0</v>
      </c>
      <c r="Z119" s="9">
        <f t="shared" si="24"/>
        <v>0</v>
      </c>
      <c r="AA119" s="9">
        <f t="shared" si="24"/>
        <v>0</v>
      </c>
    </row>
    <row r="120" spans="1:27" s="284" customFormat="1">
      <c r="A120" s="23"/>
      <c r="B120" s="7">
        <f>B119+1</f>
        <v>2019</v>
      </c>
      <c r="C120" s="13" t="str">
        <f>C119</f>
        <v>Semi-annual</v>
      </c>
      <c r="D120" s="13">
        <f>D119</f>
        <v>0</v>
      </c>
      <c r="E120" s="13">
        <f>E119</f>
        <v>0</v>
      </c>
      <c r="F120" s="14">
        <f>$M$75</f>
        <v>2.5000000000000001E-3</v>
      </c>
      <c r="G120" s="13"/>
      <c r="H120" s="9"/>
      <c r="I120" s="9">
        <f ca="1">$C$75</f>
        <v>256.26502551696416</v>
      </c>
      <c r="J120" s="9">
        <f ca="1">I120-Q120</f>
        <v>0</v>
      </c>
      <c r="K120" s="9">
        <f ca="1">J120-R120</f>
        <v>0</v>
      </c>
      <c r="L120" s="9">
        <f ca="1">K120-S120</f>
        <v>0</v>
      </c>
      <c r="M120" s="9">
        <f ca="1">L120-T120</f>
        <v>0</v>
      </c>
      <c r="N120" s="9"/>
      <c r="O120" s="9"/>
      <c r="P120" s="9">
        <v>0</v>
      </c>
      <c r="Q120" s="9">
        <f ca="1">I120</f>
        <v>256.26502551696416</v>
      </c>
      <c r="R120" s="9">
        <v>0</v>
      </c>
      <c r="S120" s="9">
        <v>0</v>
      </c>
      <c r="T120" s="9">
        <v>0</v>
      </c>
      <c r="U120" s="9"/>
      <c r="V120" s="9"/>
      <c r="W120" s="9">
        <f t="shared" si="24"/>
        <v>0</v>
      </c>
      <c r="X120" s="9">
        <f t="shared" si="24"/>
        <v>0</v>
      </c>
      <c r="Y120" s="9">
        <f t="shared" si="24"/>
        <v>0</v>
      </c>
      <c r="Z120" s="9">
        <f t="shared" si="24"/>
        <v>0</v>
      </c>
      <c r="AA120" s="9">
        <f t="shared" si="24"/>
        <v>0</v>
      </c>
    </row>
    <row r="121" spans="1:27" s="284" customFormat="1">
      <c r="A121" s="23"/>
      <c r="B121" s="7">
        <f>B120+1</f>
        <v>2020</v>
      </c>
      <c r="C121" s="13" t="str">
        <f t="shared" ref="C121:E124" si="25">C120</f>
        <v>Semi-annual</v>
      </c>
      <c r="D121" s="13">
        <f t="shared" si="25"/>
        <v>0</v>
      </c>
      <c r="E121" s="13">
        <f t="shared" si="25"/>
        <v>0</v>
      </c>
      <c r="F121" s="14">
        <f>$N$75</f>
        <v>2.5000000000000001E-3</v>
      </c>
      <c r="G121" s="13"/>
      <c r="H121" s="9"/>
      <c r="I121" s="9"/>
      <c r="J121" s="9">
        <f ca="1">$D$75</f>
        <v>276.18443460097615</v>
      </c>
      <c r="K121" s="9">
        <f ca="1">J121-R121</f>
        <v>0</v>
      </c>
      <c r="L121" s="9">
        <f ca="1">K121-S121</f>
        <v>0</v>
      </c>
      <c r="M121" s="9">
        <f ca="1">L121-T121</f>
        <v>0</v>
      </c>
      <c r="N121" s="9"/>
      <c r="O121" s="9"/>
      <c r="P121" s="9"/>
      <c r="Q121" s="9">
        <v>0</v>
      </c>
      <c r="R121" s="9">
        <f ca="1">J121</f>
        <v>276.18443460097615</v>
      </c>
      <c r="S121" s="9">
        <v>0</v>
      </c>
      <c r="T121" s="9">
        <v>0</v>
      </c>
      <c r="U121" s="9"/>
      <c r="V121" s="9"/>
      <c r="W121" s="9"/>
      <c r="X121" s="9">
        <f t="shared" si="24"/>
        <v>0</v>
      </c>
      <c r="Y121" s="9">
        <f t="shared" si="24"/>
        <v>0</v>
      </c>
      <c r="Z121" s="9">
        <f t="shared" si="24"/>
        <v>0</v>
      </c>
      <c r="AA121" s="9">
        <f t="shared" si="24"/>
        <v>0</v>
      </c>
    </row>
    <row r="122" spans="1:27" s="284" customFormat="1">
      <c r="A122" s="23"/>
      <c r="B122" s="7">
        <f>B121+1</f>
        <v>2021</v>
      </c>
      <c r="C122" s="13" t="str">
        <f t="shared" si="25"/>
        <v>Semi-annual</v>
      </c>
      <c r="D122" s="13">
        <f t="shared" si="25"/>
        <v>0</v>
      </c>
      <c r="E122" s="13">
        <f t="shared" si="25"/>
        <v>0</v>
      </c>
      <c r="F122" s="14">
        <f>$O$75</f>
        <v>2.5000000000000001E-3</v>
      </c>
      <c r="G122" s="13"/>
      <c r="H122" s="9"/>
      <c r="I122" s="9"/>
      <c r="J122" s="9"/>
      <c r="K122" s="9">
        <f ca="1">$E$75</f>
        <v>287.85559905827529</v>
      </c>
      <c r="L122" s="9">
        <f ca="1">K122-S122</f>
        <v>0</v>
      </c>
      <c r="M122" s="9">
        <f ca="1">L122-T122</f>
        <v>0</v>
      </c>
      <c r="N122" s="9"/>
      <c r="O122" s="9"/>
      <c r="P122" s="9"/>
      <c r="Q122" s="9"/>
      <c r="R122" s="9">
        <v>0</v>
      </c>
      <c r="S122" s="9">
        <f ca="1">K122</f>
        <v>287.85559905827529</v>
      </c>
      <c r="T122" s="9">
        <v>0</v>
      </c>
      <c r="U122" s="9"/>
      <c r="V122" s="9"/>
      <c r="W122" s="9"/>
      <c r="X122" s="9"/>
      <c r="Y122" s="9">
        <f t="shared" si="24"/>
        <v>0</v>
      </c>
      <c r="Z122" s="9">
        <f t="shared" si="24"/>
        <v>0</v>
      </c>
      <c r="AA122" s="9">
        <f t="shared" si="24"/>
        <v>0</v>
      </c>
    </row>
    <row r="123" spans="1:27" s="284" customFormat="1">
      <c r="A123" s="23"/>
      <c r="B123" s="7">
        <f>B122+1</f>
        <v>2022</v>
      </c>
      <c r="C123" s="13" t="str">
        <f t="shared" si="25"/>
        <v>Semi-annual</v>
      </c>
      <c r="D123" s="13">
        <f t="shared" si="25"/>
        <v>0</v>
      </c>
      <c r="E123" s="13">
        <f t="shared" si="25"/>
        <v>0</v>
      </c>
      <c r="F123" s="14">
        <f>$P$75</f>
        <v>2.5000000000000001E-3</v>
      </c>
      <c r="G123" s="13"/>
      <c r="H123" s="9"/>
      <c r="I123" s="9"/>
      <c r="J123" s="9"/>
      <c r="K123" s="9"/>
      <c r="L123" s="9">
        <f ca="1">$F$75</f>
        <v>324.74925219563886</v>
      </c>
      <c r="M123" s="9">
        <f ca="1">L123-T123</f>
        <v>0</v>
      </c>
      <c r="N123" s="9"/>
      <c r="O123" s="9"/>
      <c r="P123" s="9"/>
      <c r="Q123" s="9"/>
      <c r="R123" s="9"/>
      <c r="S123" s="9">
        <v>0</v>
      </c>
      <c r="T123" s="9">
        <f ca="1">L123</f>
        <v>324.74925219563886</v>
      </c>
      <c r="U123" s="9"/>
      <c r="V123" s="9"/>
      <c r="W123" s="9"/>
      <c r="X123" s="9"/>
      <c r="Y123" s="9"/>
      <c r="Z123" s="9">
        <f t="shared" si="24"/>
        <v>0</v>
      </c>
      <c r="AA123" s="9">
        <f t="shared" si="24"/>
        <v>0</v>
      </c>
    </row>
    <row r="124" spans="1:27" s="284" customFormat="1">
      <c r="A124" s="23"/>
      <c r="B124" s="7">
        <f>B123+1</f>
        <v>2023</v>
      </c>
      <c r="C124" s="13" t="str">
        <f t="shared" si="25"/>
        <v>Semi-annual</v>
      </c>
      <c r="D124" s="13">
        <f t="shared" si="25"/>
        <v>0</v>
      </c>
      <c r="E124" s="13">
        <f t="shared" si="25"/>
        <v>0</v>
      </c>
      <c r="F124" s="14">
        <f>$Q$75</f>
        <v>2.5000000000000001E-3</v>
      </c>
      <c r="G124" s="13"/>
      <c r="H124" s="9"/>
      <c r="I124" s="9"/>
      <c r="J124" s="9"/>
      <c r="K124" s="9"/>
      <c r="L124" s="9"/>
      <c r="M124" s="9">
        <f ca="1">$G$75</f>
        <v>368.00319302474293</v>
      </c>
      <c r="N124" s="9"/>
      <c r="O124" s="9"/>
      <c r="P124" s="9"/>
      <c r="Q124" s="9"/>
      <c r="R124" s="9"/>
      <c r="S124" s="9"/>
      <c r="T124" s="9">
        <v>0</v>
      </c>
      <c r="U124" s="9"/>
      <c r="V124" s="9"/>
      <c r="W124" s="9"/>
      <c r="X124" s="9"/>
      <c r="Y124" s="9"/>
      <c r="Z124" s="9"/>
      <c r="AA124" s="9">
        <f t="shared" si="24"/>
        <v>0</v>
      </c>
    </row>
    <row r="125" spans="1:27" ht="15.75" thickBot="1">
      <c r="F125" s="15"/>
      <c r="H125" s="10"/>
      <c r="I125" s="10"/>
      <c r="J125" s="10"/>
      <c r="K125" s="10"/>
      <c r="L125" s="10"/>
      <c r="M125" s="10"/>
      <c r="N125" s="10"/>
      <c r="O125" s="10"/>
      <c r="P125" s="10"/>
      <c r="Q125" s="10"/>
      <c r="R125" s="10"/>
      <c r="S125" s="10"/>
      <c r="T125" s="10"/>
      <c r="U125" s="10"/>
      <c r="V125" s="10"/>
      <c r="W125" s="10"/>
      <c r="X125" s="10"/>
      <c r="Y125" s="10"/>
      <c r="Z125" s="10"/>
      <c r="AA125" s="10"/>
    </row>
    <row r="126" spans="1:27" s="284" customFormat="1" ht="15.75" thickBot="1">
      <c r="A126" s="22" t="str">
        <f>'Input 4 - Forecast'!A65</f>
        <v>Denominated in foreign currency</v>
      </c>
      <c r="B126" s="1999" t="s">
        <v>52</v>
      </c>
      <c r="C126" s="2000"/>
      <c r="D126" s="2000"/>
      <c r="E126" s="2000"/>
      <c r="F126" s="2000"/>
      <c r="G126" s="2000"/>
      <c r="H126" s="2000"/>
      <c r="I126" s="2000"/>
      <c r="J126" s="2000"/>
      <c r="K126" s="2000"/>
      <c r="L126" s="2000"/>
      <c r="M126" s="2000"/>
      <c r="N126" s="2000"/>
      <c r="O126" s="2000"/>
      <c r="P126" s="2000"/>
      <c r="Q126" s="2000"/>
      <c r="R126" s="2000"/>
      <c r="S126" s="2000"/>
      <c r="T126" s="2000"/>
      <c r="U126" s="2000"/>
      <c r="V126" s="2000"/>
      <c r="W126" s="2000"/>
      <c r="X126" s="2000"/>
      <c r="Y126" s="2000"/>
      <c r="Z126" s="2000"/>
      <c r="AA126" s="2001"/>
    </row>
    <row r="127" spans="1:27">
      <c r="F127" s="15"/>
      <c r="H127" s="10"/>
      <c r="I127" s="10"/>
      <c r="J127" s="10"/>
      <c r="K127" s="10"/>
      <c r="L127" s="10"/>
      <c r="M127" s="10"/>
      <c r="N127" s="10"/>
      <c r="O127" s="10"/>
      <c r="P127" s="10"/>
      <c r="Q127" s="10"/>
      <c r="R127" s="10"/>
      <c r="S127" s="10"/>
      <c r="T127" s="10"/>
      <c r="U127" s="10"/>
      <c r="V127" s="10"/>
      <c r="W127" s="10"/>
      <c r="X127" s="10"/>
      <c r="Y127" s="10"/>
      <c r="Z127" s="10"/>
      <c r="AA127" s="10"/>
    </row>
    <row r="128" spans="1:27" s="284" customFormat="1">
      <c r="A128" s="23"/>
      <c r="B128" s="7">
        <f>B119</f>
        <v>2018</v>
      </c>
      <c r="C128" s="13" t="str">
        <f>$I76</f>
        <v>Semi-annual</v>
      </c>
      <c r="D128" s="13">
        <f>$J76</f>
        <v>0</v>
      </c>
      <c r="E128" s="13">
        <f>$K76</f>
        <v>0</v>
      </c>
      <c r="F128" s="14">
        <f>$L$76</f>
        <v>0</v>
      </c>
      <c r="G128" s="13"/>
      <c r="H128" s="9">
        <f>$B$76/$B$31</f>
        <v>0</v>
      </c>
      <c r="I128" s="9">
        <f>H128-P128</f>
        <v>0</v>
      </c>
      <c r="J128" s="9">
        <f>I128-Q128</f>
        <v>0</v>
      </c>
      <c r="K128" s="9">
        <f>J128-R128</f>
        <v>0</v>
      </c>
      <c r="L128" s="9">
        <f>K128-S128</f>
        <v>0</v>
      </c>
      <c r="M128" s="9">
        <f>L128-T128</f>
        <v>0</v>
      </c>
      <c r="N128" s="9"/>
      <c r="O128" s="9">
        <v>0</v>
      </c>
      <c r="P128" s="9">
        <f>H128</f>
        <v>0</v>
      </c>
      <c r="Q128" s="9">
        <v>0</v>
      </c>
      <c r="R128" s="9">
        <v>0</v>
      </c>
      <c r="S128" s="9">
        <v>0</v>
      </c>
      <c r="T128" s="9">
        <v>0</v>
      </c>
      <c r="U128" s="9"/>
      <c r="V128" s="9">
        <f>IF($C128="annual",IF(V$111=$B128,0,G128*$F128),IF(V$111-$B128=0,0,IF((V$111-$B128)&lt;$E128,AVERAGE(G128,H128)*$F128,IF((V$111-$B128)=$E128,G128*$F128/2,0))))</f>
        <v>0</v>
      </c>
      <c r="W128" s="9">
        <f t="shared" ref="W128:AA133" si="26">IF($C128="annual",IF(W$111=$B128,0,H128*$F128),IF(W$111-$B128=0,0,IF((W$111-$B128)&lt;$E128,AVERAGE(H128,I128)*$F128,IF((W$111-$B128)=$E128,H128*$F128/2,0))))</f>
        <v>0</v>
      </c>
      <c r="X128" s="9">
        <f t="shared" si="26"/>
        <v>0</v>
      </c>
      <c r="Y128" s="9">
        <f t="shared" si="26"/>
        <v>0</v>
      </c>
      <c r="Z128" s="9">
        <f t="shared" si="26"/>
        <v>0</v>
      </c>
      <c r="AA128" s="9">
        <f t="shared" si="26"/>
        <v>0</v>
      </c>
    </row>
    <row r="129" spans="1:27" s="284" customFormat="1">
      <c r="A129" s="23"/>
      <c r="B129" s="7">
        <f>B128+1</f>
        <v>2019</v>
      </c>
      <c r="C129" s="13" t="str">
        <f>C128</f>
        <v>Semi-annual</v>
      </c>
      <c r="D129" s="13">
        <f>D128</f>
        <v>0</v>
      </c>
      <c r="E129" s="13">
        <f>E128</f>
        <v>0</v>
      </c>
      <c r="F129" s="14">
        <f>$M$76</f>
        <v>2.5000000000000001E-3</v>
      </c>
      <c r="G129" s="13"/>
      <c r="H129" s="9"/>
      <c r="I129" s="9">
        <f ca="1">$C$76/$C$31</f>
        <v>0</v>
      </c>
      <c r="J129" s="9">
        <f ca="1">I129-Q129</f>
        <v>0</v>
      </c>
      <c r="K129" s="9">
        <f ca="1">J129-R129</f>
        <v>0</v>
      </c>
      <c r="L129" s="9">
        <f ca="1">K129-S129</f>
        <v>0</v>
      </c>
      <c r="M129" s="9">
        <f ca="1">L129-T129</f>
        <v>0</v>
      </c>
      <c r="N129" s="9"/>
      <c r="O129" s="9"/>
      <c r="P129" s="9">
        <v>0</v>
      </c>
      <c r="Q129" s="9">
        <f ca="1">I129</f>
        <v>0</v>
      </c>
      <c r="R129" s="9">
        <v>0</v>
      </c>
      <c r="S129" s="9">
        <v>0</v>
      </c>
      <c r="T129" s="9">
        <v>0</v>
      </c>
      <c r="U129" s="9"/>
      <c r="V129" s="9"/>
      <c r="W129" s="9">
        <f t="shared" si="26"/>
        <v>0</v>
      </c>
      <c r="X129" s="9">
        <f t="shared" si="26"/>
        <v>0</v>
      </c>
      <c r="Y129" s="9">
        <f t="shared" si="26"/>
        <v>0</v>
      </c>
      <c r="Z129" s="9">
        <f t="shared" si="26"/>
        <v>0</v>
      </c>
      <c r="AA129" s="9">
        <f t="shared" si="26"/>
        <v>0</v>
      </c>
    </row>
    <row r="130" spans="1:27" s="284" customFormat="1">
      <c r="A130" s="23"/>
      <c r="B130" s="7">
        <f>B129+1</f>
        <v>2020</v>
      </c>
      <c r="C130" s="13" t="str">
        <f t="shared" ref="C130:E133" si="27">C129</f>
        <v>Semi-annual</v>
      </c>
      <c r="D130" s="13">
        <f t="shared" si="27"/>
        <v>0</v>
      </c>
      <c r="E130" s="13">
        <f t="shared" si="27"/>
        <v>0</v>
      </c>
      <c r="F130" s="14">
        <f>$N$76</f>
        <v>2.5000000000000001E-3</v>
      </c>
      <c r="G130" s="13"/>
      <c r="H130" s="9"/>
      <c r="I130" s="9"/>
      <c r="J130" s="9">
        <f ca="1">$D$76/$D$31</f>
        <v>0</v>
      </c>
      <c r="K130" s="9">
        <f ca="1">J130-R130</f>
        <v>0</v>
      </c>
      <c r="L130" s="9">
        <f ca="1">K130-S130</f>
        <v>0</v>
      </c>
      <c r="M130" s="9">
        <f ca="1">L130-T130</f>
        <v>0</v>
      </c>
      <c r="N130" s="9"/>
      <c r="O130" s="9"/>
      <c r="P130" s="9"/>
      <c r="Q130" s="9">
        <v>0</v>
      </c>
      <c r="R130" s="9">
        <f ca="1">J130</f>
        <v>0</v>
      </c>
      <c r="S130" s="9">
        <v>0</v>
      </c>
      <c r="T130" s="9">
        <v>0</v>
      </c>
      <c r="U130" s="9"/>
      <c r="V130" s="9"/>
      <c r="W130" s="9"/>
      <c r="X130" s="9">
        <f t="shared" si="26"/>
        <v>0</v>
      </c>
      <c r="Y130" s="9">
        <f t="shared" si="26"/>
        <v>0</v>
      </c>
      <c r="Z130" s="9">
        <f t="shared" si="26"/>
        <v>0</v>
      </c>
      <c r="AA130" s="9">
        <f t="shared" si="26"/>
        <v>0</v>
      </c>
    </row>
    <row r="131" spans="1:27" s="284" customFormat="1">
      <c r="A131" s="23"/>
      <c r="B131" s="7">
        <f>B130+1</f>
        <v>2021</v>
      </c>
      <c r="C131" s="13" t="str">
        <f t="shared" si="27"/>
        <v>Semi-annual</v>
      </c>
      <c r="D131" s="13">
        <f t="shared" si="27"/>
        <v>0</v>
      </c>
      <c r="E131" s="13">
        <f t="shared" si="27"/>
        <v>0</v>
      </c>
      <c r="F131" s="14">
        <f>$O$76</f>
        <v>2.5000000000000001E-3</v>
      </c>
      <c r="G131" s="13"/>
      <c r="H131" s="9"/>
      <c r="I131" s="9"/>
      <c r="J131" s="9"/>
      <c r="K131" s="9">
        <f ca="1">$E$76/$E$31</f>
        <v>0</v>
      </c>
      <c r="L131" s="9">
        <f ca="1">K131-S131</f>
        <v>0</v>
      </c>
      <c r="M131" s="9">
        <f ca="1">L131-T131</f>
        <v>0</v>
      </c>
      <c r="N131" s="9"/>
      <c r="O131" s="9"/>
      <c r="P131" s="9"/>
      <c r="Q131" s="9"/>
      <c r="R131" s="9">
        <v>0</v>
      </c>
      <c r="S131" s="9">
        <f ca="1">K131</f>
        <v>0</v>
      </c>
      <c r="T131" s="9">
        <v>0</v>
      </c>
      <c r="U131" s="9"/>
      <c r="V131" s="9"/>
      <c r="W131" s="9"/>
      <c r="X131" s="9"/>
      <c r="Y131" s="9">
        <f t="shared" si="26"/>
        <v>0</v>
      </c>
      <c r="Z131" s="9">
        <f t="shared" si="26"/>
        <v>0</v>
      </c>
      <c r="AA131" s="9">
        <f t="shared" si="26"/>
        <v>0</v>
      </c>
    </row>
    <row r="132" spans="1:27" s="284" customFormat="1">
      <c r="A132" s="23"/>
      <c r="B132" s="7">
        <f>B131+1</f>
        <v>2022</v>
      </c>
      <c r="C132" s="13" t="str">
        <f t="shared" si="27"/>
        <v>Semi-annual</v>
      </c>
      <c r="D132" s="13">
        <f t="shared" si="27"/>
        <v>0</v>
      </c>
      <c r="E132" s="13">
        <f t="shared" si="27"/>
        <v>0</v>
      </c>
      <c r="F132" s="14">
        <f>$P$76</f>
        <v>2.5000000000000001E-3</v>
      </c>
      <c r="G132" s="13"/>
      <c r="H132" s="9"/>
      <c r="I132" s="9"/>
      <c r="J132" s="9"/>
      <c r="K132" s="9"/>
      <c r="L132" s="9">
        <f ca="1">$F$76/$F$31</f>
        <v>0</v>
      </c>
      <c r="M132" s="9">
        <f ca="1">L132-T132</f>
        <v>0</v>
      </c>
      <c r="N132" s="9"/>
      <c r="O132" s="9"/>
      <c r="P132" s="9"/>
      <c r="Q132" s="9"/>
      <c r="R132" s="9"/>
      <c r="S132" s="9">
        <v>0</v>
      </c>
      <c r="T132" s="9">
        <f ca="1">L132</f>
        <v>0</v>
      </c>
      <c r="U132" s="9"/>
      <c r="V132" s="9"/>
      <c r="W132" s="9"/>
      <c r="X132" s="9"/>
      <c r="Y132" s="9"/>
      <c r="Z132" s="9">
        <f t="shared" si="26"/>
        <v>0</v>
      </c>
      <c r="AA132" s="9">
        <f t="shared" si="26"/>
        <v>0</v>
      </c>
    </row>
    <row r="133" spans="1:27" s="284" customFormat="1">
      <c r="A133" s="23"/>
      <c r="B133" s="7">
        <f>B132+1</f>
        <v>2023</v>
      </c>
      <c r="C133" s="13" t="str">
        <f t="shared" si="27"/>
        <v>Semi-annual</v>
      </c>
      <c r="D133" s="13">
        <f t="shared" si="27"/>
        <v>0</v>
      </c>
      <c r="E133" s="13">
        <f t="shared" si="27"/>
        <v>0</v>
      </c>
      <c r="F133" s="14">
        <f>$Q$76</f>
        <v>2.5000000000000001E-3</v>
      </c>
      <c r="G133" s="13"/>
      <c r="H133" s="9"/>
      <c r="I133" s="9"/>
      <c r="J133" s="9"/>
      <c r="K133" s="9"/>
      <c r="L133" s="9"/>
      <c r="M133" s="9">
        <f ca="1">$G$76/$G$31</f>
        <v>0</v>
      </c>
      <c r="N133" s="9"/>
      <c r="O133" s="9"/>
      <c r="P133" s="9"/>
      <c r="Q133" s="9"/>
      <c r="R133" s="9"/>
      <c r="S133" s="9"/>
      <c r="T133" s="9">
        <v>0</v>
      </c>
      <c r="U133" s="9"/>
      <c r="V133" s="9"/>
      <c r="W133" s="9"/>
      <c r="X133" s="9"/>
      <c r="Y133" s="9"/>
      <c r="Z133" s="9"/>
      <c r="AA133" s="9">
        <f t="shared" si="26"/>
        <v>0</v>
      </c>
    </row>
    <row r="135" spans="1:27" ht="15.75" thickBot="1">
      <c r="A135" s="11" t="str">
        <f>'Input 4 - Forecast'!A58</f>
        <v>Long-term debt 3/</v>
      </c>
    </row>
    <row r="136" spans="1:27" ht="15.75" thickBot="1">
      <c r="A136" s="12" t="str">
        <f>'Input 4 - Forecast'!A59</f>
        <v>Denominated in local currency</v>
      </c>
      <c r="B136" s="1999" t="s">
        <v>51</v>
      </c>
      <c r="C136" s="2000"/>
      <c r="D136" s="2000"/>
      <c r="E136" s="2000"/>
      <c r="F136" s="2000"/>
      <c r="G136" s="2000"/>
      <c r="H136" s="2000"/>
      <c r="I136" s="2000"/>
      <c r="J136" s="2000"/>
      <c r="K136" s="2000"/>
      <c r="L136" s="2000"/>
      <c r="M136" s="2000"/>
      <c r="N136" s="2000"/>
      <c r="O136" s="2000"/>
      <c r="P136" s="2000"/>
      <c r="Q136" s="2000"/>
      <c r="R136" s="2000"/>
      <c r="S136" s="2000"/>
      <c r="T136" s="2000"/>
      <c r="U136" s="2000"/>
      <c r="V136" s="2000"/>
      <c r="W136" s="2000"/>
      <c r="X136" s="2000"/>
      <c r="Y136" s="2000"/>
      <c r="Z136" s="2000"/>
      <c r="AA136" s="2001"/>
    </row>
    <row r="138" spans="1:27">
      <c r="A138" s="8" t="str">
        <f>'Input 4 - Forecast'!A60</f>
        <v>Type 1</v>
      </c>
      <c r="B138" s="7">
        <f>B119</f>
        <v>2018</v>
      </c>
      <c r="C138" s="7" t="str">
        <f>$I79</f>
        <v>Annual</v>
      </c>
      <c r="D138" s="7">
        <f>$J79</f>
        <v>5</v>
      </c>
      <c r="E138" s="7">
        <f>$K79</f>
        <v>5</v>
      </c>
      <c r="F138" s="14">
        <f>$L$79</f>
        <v>5.0000000000000001E-3</v>
      </c>
      <c r="H138" s="9">
        <f>$B$79</f>
        <v>329.998670927072</v>
      </c>
      <c r="I138" s="9">
        <f>H138-P138</f>
        <v>329.998670927072</v>
      </c>
      <c r="J138" s="9">
        <f>I138-Q138</f>
        <v>329.998670927072</v>
      </c>
      <c r="K138" s="9">
        <f>J138-R138</f>
        <v>329.998670927072</v>
      </c>
      <c r="L138" s="9">
        <f>K138-S138</f>
        <v>329.998670927072</v>
      </c>
      <c r="M138" s="9">
        <f>L138-T138</f>
        <v>0</v>
      </c>
      <c r="N138" s="9"/>
      <c r="O138" s="9">
        <f t="shared" ref="O138:T138" si="28">IF(OR($C138="Annual",$D138=$E138),IF(AND($D138=$E138,O$111=$B138+$D138),$H138,IF(AND(O$111&gt;$B138+$D138,O$111&lt;=$B138+$E138), $H138/($E138-$D138),0)), IF(OR(O$111=$B138+$D138,O$111=$B138+$E138),$H138/(($E138-$D138)*2),IF(AND(O$111&gt;$B138+$D138,O$111&lt;$B138+$E138),$H138/($E138-$D138),0)))</f>
        <v>0</v>
      </c>
      <c r="P138" s="9">
        <f t="shared" si="28"/>
        <v>0</v>
      </c>
      <c r="Q138" s="9">
        <f t="shared" si="28"/>
        <v>0</v>
      </c>
      <c r="R138" s="9">
        <f t="shared" si="28"/>
        <v>0</v>
      </c>
      <c r="S138" s="9">
        <f t="shared" si="28"/>
        <v>0</v>
      </c>
      <c r="T138" s="9">
        <f t="shared" si="28"/>
        <v>329.998670927072</v>
      </c>
      <c r="U138" s="9"/>
      <c r="V138" s="9">
        <f>IF($C138="annual",IF(V$111=$B138,0,G138*$F138),IF(V$111-$B138=0,0,IF((V$111-$B138)&lt;$E138,AVERAGE(G138,H138)*$F138,IF((V$111-$B138)=$E138,G138*$F138/2,0))))</f>
        <v>0</v>
      </c>
      <c r="W138" s="9">
        <f t="shared" ref="W138:AA143" si="29">IF($C138="annual",IF(W$111=$B138,0,H138*$F138),IF(W$111-$B138=0,0,IF((W$111-$B138)&lt;$E138,AVERAGE(H138,I138)*$F138,IF((W$111-$B138)=$E138,H138*$F138/2,0))))</f>
        <v>1.64999335463536</v>
      </c>
      <c r="X138" s="9">
        <f t="shared" si="29"/>
        <v>1.64999335463536</v>
      </c>
      <c r="Y138" s="9">
        <f t="shared" si="29"/>
        <v>1.64999335463536</v>
      </c>
      <c r="Z138" s="9">
        <f t="shared" si="29"/>
        <v>1.64999335463536</v>
      </c>
      <c r="AA138" s="9">
        <f t="shared" si="29"/>
        <v>1.64999335463536</v>
      </c>
    </row>
    <row r="139" spans="1:27">
      <c r="A139" s="8" t="str">
        <f>A138</f>
        <v>Type 1</v>
      </c>
      <c r="B139" s="7">
        <f>B138+1</f>
        <v>2019</v>
      </c>
      <c r="C139" s="7" t="str">
        <f>C138</f>
        <v>Annual</v>
      </c>
      <c r="D139" s="7">
        <f>D138</f>
        <v>5</v>
      </c>
      <c r="E139" s="7">
        <f>E138</f>
        <v>5</v>
      </c>
      <c r="F139" s="14">
        <f>$M$79</f>
        <v>7.4999999999999997E-3</v>
      </c>
      <c r="H139" s="9"/>
      <c r="I139" s="9">
        <f ca="1">$C$79</f>
        <v>59.399178099958583</v>
      </c>
      <c r="J139" s="9">
        <f ca="1">I139-Q139</f>
        <v>29.699589049979291</v>
      </c>
      <c r="K139" s="9">
        <f ca="1">J139-R139</f>
        <v>0</v>
      </c>
      <c r="L139" s="9">
        <f ca="1">K139-S139</f>
        <v>0</v>
      </c>
      <c r="M139" s="9">
        <f ca="1">L139-T139</f>
        <v>0</v>
      </c>
      <c r="N139" s="9"/>
      <c r="O139" s="9"/>
      <c r="P139" s="9">
        <f>IF(OR($C139="Annual",$D139=$E139),IF(AND($D139=$E139,P$111=$B139+$D139),$I139,IF(AND(P$111&gt;$B139+$D139,P$111&lt;=$B139+$E139), $I139/($E139-$D139),0)), IF(OR(P$111=$B139+$D139,P$111=$B139+$E139),$I139/(($E139-$D139)*2),IF(AND(P$111&gt;$B139+$D139,P$111&lt;$B139+$E139),$I139/($E139-$D139),0)))</f>
        <v>0</v>
      </c>
      <c r="Q139" s="9">
        <f>IF(OR($C139="Annual",$D139=$E139),IF(AND($D139=$E139,Q$111=$B139+$D139),$I139,IF(AND(Q$111&gt;$B139+$D139,Q$111&lt;=$B139+$E139), $I139/($E139-$D139),0)), IF(OR(Q$111=$B139+$D139,Q$111=$B139+$E139),$I139/(($E139-$D139)*2),IF(AND(Q$111&gt;$B139+$D139,Q$111&lt;$B139+$E139),$I139/($E139-$D139),0)))</f>
        <v>0</v>
      </c>
      <c r="R139" s="9">
        <f>IF(OR($C139="Annual",$D139=$E139),IF(AND($D139=$E139,R$111=$B139+$D139),$I139,IF(AND(R$111&gt;$B139+$D139,R$111&lt;=$B139+$E139), $I139/($E139-$D139),0)), IF(OR(R$111=$B139+$D139,R$111=$B139+$E139),$I139/(($E139-$D139)*2),IF(AND(R$111&gt;$B139+$D139,R$111&lt;$B139+$E139),$I139/($E139-$D139),0)))</f>
        <v>0</v>
      </c>
      <c r="S139" s="9">
        <f>IF(OR($C139="Annual",$D139=$E139),IF(AND($D139=$E139,S$111=$B139+$D139),$I139,IF(AND(S$111&gt;$B139+$D139,S$111&lt;=$B139+$E139), $I139/($E139-$D139),0)), IF(OR(S$111=$B139+$D139,S$111=$B139+$E139),$I139/(($E139-$D139)*2),IF(AND(S$111&gt;$B139+$D139,S$111&lt;$B139+$E139),$I139/($E139-$D139),0)))</f>
        <v>0</v>
      </c>
      <c r="T139" s="9">
        <f>IF(OR($C139="Annual",$D139=$E139),IF(AND($D139=$E139,T$111=$B139+$D139),$I139,IF(AND(T$111&gt;$B139+$D139,T$111&lt;=$B139+$E139), $I139/($E139-$D139),0)), IF(OR(T$111=$B139+$D139,T$111=$B139+$E139),$I139/(($E139-$D139)*2),IF(AND(T$111&gt;$B139+$D139,T$111&lt;$B139+$E139),$I139/($E139-$D139),0)))</f>
        <v>0</v>
      </c>
      <c r="U139" s="9"/>
      <c r="V139" s="9"/>
      <c r="W139" s="9">
        <f t="shared" si="29"/>
        <v>0</v>
      </c>
      <c r="X139" s="9">
        <f t="shared" ca="1" si="29"/>
        <v>1.7778916495043853</v>
      </c>
      <c r="Y139" s="9">
        <f t="shared" ca="1" si="29"/>
        <v>0.88894582475219264</v>
      </c>
      <c r="Z139" s="9">
        <f t="shared" ca="1" si="29"/>
        <v>0</v>
      </c>
      <c r="AA139" s="9">
        <f t="shared" ca="1" si="29"/>
        <v>0</v>
      </c>
    </row>
    <row r="140" spans="1:27">
      <c r="A140" s="8" t="str">
        <f>A139</f>
        <v>Type 1</v>
      </c>
      <c r="B140" s="7">
        <f>B139+1</f>
        <v>2020</v>
      </c>
      <c r="C140" s="7" t="str">
        <f t="shared" ref="C140:E143" si="30">C139</f>
        <v>Annual</v>
      </c>
      <c r="D140" s="7">
        <f t="shared" si="30"/>
        <v>5</v>
      </c>
      <c r="E140" s="7">
        <f t="shared" si="30"/>
        <v>5</v>
      </c>
      <c r="F140" s="14">
        <f>$N$79</f>
        <v>1.2500000000000001E-2</v>
      </c>
      <c r="H140" s="9"/>
      <c r="I140" s="9"/>
      <c r="J140" s="9">
        <f ca="1">$D$79</f>
        <v>73.161439629397648</v>
      </c>
      <c r="K140" s="9">
        <f ca="1">J140-R140</f>
        <v>36.580719814698824</v>
      </c>
      <c r="L140" s="9">
        <f ca="1">K140-S140</f>
        <v>0</v>
      </c>
      <c r="M140" s="9">
        <f ca="1">L140-T140</f>
        <v>0</v>
      </c>
      <c r="N140" s="9"/>
      <c r="O140" s="9"/>
      <c r="P140" s="9"/>
      <c r="Q140" s="9">
        <f>IF(OR($C140="Annual",$D140=$E140),IF(AND($D140=$E140,Q$111=$B140+$D140),$J140,IF(AND(Q$111&gt;$B140+$D140,Q$111&lt;=$B140+$E140), $J140/($E140-$D140),0)), IF(OR(Q$111=$B140+$D140,Q$111=$B140+$E140),$J140/(($E140-$D140)*2),IF(AND(Q$111&gt;$B140+$D140,Q$111&lt;$B140+$E140),$J140/($E140-$D140),0)))</f>
        <v>0</v>
      </c>
      <c r="R140" s="9">
        <f>IF(OR($C140="Annual",$D140=$E140),IF(AND($D140=$E140,R$111=$B140+$D140),$J140,IF(AND(R$111&gt;$B140+$D140,R$111&lt;=$B140+$E140), $J140/($E140-$D140),0)), IF(OR(R$111=$B140+$D140,R$111=$B140+$E140),$J140/(($E140-$D140)*2),IF(AND(R$111&gt;$B140+$D140,R$111&lt;$B140+$E140),$J140/($E140-$D140),0)))</f>
        <v>0</v>
      </c>
      <c r="S140" s="9">
        <f>IF(OR($C140="Annual",$D140=$E140),IF(AND($D140=$E140,S$111=$B140+$D140),$J140,IF(AND(S$111&gt;$B140+$D140,S$111&lt;=$B140+$E140), $J140/($E140-$D140),0)), IF(OR(S$111=$B140+$D140,S$111=$B140+$E140),$J140/(($E140-$D140)*2),IF(AND(S$111&gt;$B140+$D140,S$111&lt;$B140+$E140),$J140/($E140-$D140),0)))</f>
        <v>0</v>
      </c>
      <c r="T140" s="9">
        <f>IF(OR($C140="Annual",$D140=$E140),IF(AND($D140=$E140,T$111=$B140+$D140),$J140,IF(AND(T$111&gt;$B140+$D140,T$111&lt;=$B140+$E140), $J140/($E140-$D140),0)), IF(OR(T$111=$B140+$D140,T$111=$B140+$E140),$J140/(($E140-$D140)*2),IF(AND(T$111&gt;$B140+$D140,T$111&lt;$B140+$E140),$J140/($E140-$D140),0)))</f>
        <v>0</v>
      </c>
      <c r="U140" s="9"/>
      <c r="V140" s="9"/>
      <c r="W140" s="9"/>
      <c r="X140" s="9">
        <f t="shared" si="29"/>
        <v>0</v>
      </c>
      <c r="Y140" s="9">
        <f t="shared" ca="1" si="29"/>
        <v>2.4079258818025462</v>
      </c>
      <c r="Z140" s="9">
        <f t="shared" ca="1" si="29"/>
        <v>1.2039629409012731</v>
      </c>
      <c r="AA140" s="9">
        <f t="shared" ca="1" si="29"/>
        <v>0</v>
      </c>
    </row>
    <row r="141" spans="1:27">
      <c r="A141" s="8" t="str">
        <f>A140</f>
        <v>Type 1</v>
      </c>
      <c r="B141" s="7">
        <f>B140+1</f>
        <v>2021</v>
      </c>
      <c r="C141" s="7" t="str">
        <f t="shared" si="30"/>
        <v>Annual</v>
      </c>
      <c r="D141" s="7">
        <f t="shared" si="30"/>
        <v>5</v>
      </c>
      <c r="E141" s="7">
        <f t="shared" si="30"/>
        <v>5</v>
      </c>
      <c r="F141" s="14">
        <f>$O$79</f>
        <v>1.2500000000000001E-2</v>
      </c>
      <c r="H141" s="9"/>
      <c r="I141" s="9"/>
      <c r="J141" s="9"/>
      <c r="K141" s="9">
        <f ca="1">$E$79</f>
        <v>66.721496470461162</v>
      </c>
      <c r="L141" s="9">
        <f ca="1">K141-S141</f>
        <v>33.360748235230581</v>
      </c>
      <c r="M141" s="9">
        <f ca="1">L141-T141</f>
        <v>0</v>
      </c>
      <c r="N141" s="9"/>
      <c r="O141" s="9"/>
      <c r="P141" s="9"/>
      <c r="Q141" s="9"/>
      <c r="R141" s="9">
        <f>IF(OR($C141="Annual",$D141=$E141),IF(AND($D141=$E141,R$111=$B141+$D141),$K141,IF(AND(R$111&gt;$B141+$D141,R$111&lt;=$B141+$E141), $K141/($E141-$D141),0)), IF(OR(R$111=$B141+$D141,R$111=$B141+$E141),$K141/(($E141-$D141)*2),IF(AND(R$111&gt;$B141+$D141,R$111&lt;$B141+$E141),$K141/($E141-$D141),0)))</f>
        <v>0</v>
      </c>
      <c r="S141" s="9">
        <f>IF(OR($C141="Annual",$D141=$E141),IF(AND($D141=$E141,S$111=$B141+$D141),$K141,IF(AND(S$111&gt;$B141+$D141,S$111&lt;=$B141+$E141), $K141/($E141-$D141),0)), IF(OR(S$111=$B141+$D141,S$111=$B141+$E141),$K141/(($E141-$D141)*2),IF(AND(S$111&gt;$B141+$D141,S$111&lt;$B141+$E141),$K141/($E141-$D141),0)))</f>
        <v>0</v>
      </c>
      <c r="T141" s="9">
        <f>IF(OR($C141="Annual",$D141=$E141),IF(AND($D141=$E141,T$111=$B141+$D141),$K141,IF(AND(T$111&gt;$B141+$D141,T$111&lt;=$B141+$E141), $K141/($E141-$D141),0)), IF(OR(T$111=$B141+$D141,T$111=$B141+$E141),$K141/(($E141-$D141)*2),IF(AND(T$111&gt;$B141+$D141,T$111&lt;$B141+$E141),$K141/($E141-$D141),0)))</f>
        <v>0</v>
      </c>
      <c r="U141" s="9"/>
      <c r="V141" s="9"/>
      <c r="W141" s="9"/>
      <c r="X141" s="9"/>
      <c r="Y141" s="9">
        <f t="shared" si="29"/>
        <v>0</v>
      </c>
      <c r="Z141" s="9">
        <f t="shared" ca="1" si="29"/>
        <v>2.3619409750543219</v>
      </c>
      <c r="AA141" s="9">
        <f t="shared" ca="1" si="29"/>
        <v>1.1809704875271609</v>
      </c>
    </row>
    <row r="142" spans="1:27">
      <c r="A142" s="8" t="str">
        <f>A141</f>
        <v>Type 1</v>
      </c>
      <c r="B142" s="7">
        <f>B141+1</f>
        <v>2022</v>
      </c>
      <c r="C142" s="7" t="str">
        <f t="shared" si="30"/>
        <v>Annual</v>
      </c>
      <c r="D142" s="7">
        <f t="shared" si="30"/>
        <v>5</v>
      </c>
      <c r="E142" s="7">
        <f t="shared" si="30"/>
        <v>5</v>
      </c>
      <c r="F142" s="14">
        <f>$P$79</f>
        <v>1.2500000000000001E-2</v>
      </c>
      <c r="H142" s="9"/>
      <c r="I142" s="9"/>
      <c r="J142" s="9"/>
      <c r="K142" s="9"/>
      <c r="L142" s="9">
        <f ca="1">$F$79</f>
        <v>86.02629197235467</v>
      </c>
      <c r="M142" s="9">
        <f ca="1">L142-T142</f>
        <v>43.013145986177335</v>
      </c>
      <c r="N142" s="9"/>
      <c r="O142" s="9"/>
      <c r="P142" s="9"/>
      <c r="Q142" s="9"/>
      <c r="R142" s="9"/>
      <c r="S142" s="9">
        <f>IF(OR($C142="Annual",$D142=$E142),IF(AND($D142=$E142,S$111=$B142+$D142),$L142,IF(AND(S$111&gt;$B142+$D142,S$111&lt;=$B142+$E142), $L142/($E142-$D142),0)), IF(OR(S$111=$B142+$D142,S$111=$B142+$E142),$L142/(($E142-$D142)*2),IF(AND(S$111&gt;$B142+$D142,S$111&lt;$B142+$E142),$L142/($E142-$D142),0)))</f>
        <v>0</v>
      </c>
      <c r="T142" s="9">
        <f>IF(OR($C142="Annual",$D142=$E142),IF(AND($D142=$E142,T$111=$B142+$D142),$L142,IF(AND(T$111&gt;$B142+$D142,T$111&lt;=$B142+$E142), $L142/($E142-$D142),0)), IF(OR(T$111=$B142+$D142,T$111=$B142+$E142),$L142/(($E142-$D142)*2),IF(AND(T$111&gt;$B142+$D142,T$111&lt;$B142+$E142),$L142/($E142-$D142),0)))</f>
        <v>0</v>
      </c>
      <c r="U142" s="9"/>
      <c r="V142" s="9"/>
      <c r="W142" s="9"/>
      <c r="X142" s="9"/>
      <c r="Y142" s="9"/>
      <c r="Z142" s="9">
        <f t="shared" si="29"/>
        <v>0</v>
      </c>
      <c r="AA142" s="9">
        <f t="shared" ca="1" si="29"/>
        <v>3.2265236132881272</v>
      </c>
    </row>
    <row r="143" spans="1:27">
      <c r="A143" s="8" t="str">
        <f>A142</f>
        <v>Type 1</v>
      </c>
      <c r="B143" s="7">
        <f>B142+1</f>
        <v>2023</v>
      </c>
      <c r="C143" s="7" t="str">
        <f t="shared" si="30"/>
        <v>Annual</v>
      </c>
      <c r="D143" s="7">
        <f t="shared" si="30"/>
        <v>5</v>
      </c>
      <c r="E143" s="7">
        <f t="shared" si="30"/>
        <v>5</v>
      </c>
      <c r="F143" s="14">
        <f>$Q$79</f>
        <v>1.2500000000000001E-2</v>
      </c>
      <c r="H143" s="9"/>
      <c r="I143" s="9"/>
      <c r="J143" s="9"/>
      <c r="K143" s="9"/>
      <c r="L143" s="9"/>
      <c r="M143" s="9">
        <f ca="1">$G$79</f>
        <v>74.331770776520926</v>
      </c>
      <c r="N143" s="9"/>
      <c r="O143" s="9"/>
      <c r="P143" s="9"/>
      <c r="Q143" s="9"/>
      <c r="R143" s="9"/>
      <c r="S143" s="9"/>
      <c r="T143" s="9">
        <f>IF(OR($C143="Annual",$D143=$E143),IF(AND($D143=$E143,T$111=$B143+$D143),$M143,IF(AND(T$111&gt;$B143+$D143,T$111&lt;=$B143+$E143), $M143/($E143-$D143),0)), IF(OR(T$111=$B143+$D143,T$111=$B143+$E143),$M143/(($E143-$D143)*2),IF(AND(T$111&gt;$B143+$D143,T$111&lt;$B143+$E143),$M143/($E143-$D143),0)))</f>
        <v>0</v>
      </c>
      <c r="U143" s="9"/>
      <c r="V143" s="9"/>
      <c r="W143" s="9"/>
      <c r="X143" s="9"/>
      <c r="Y143" s="9"/>
      <c r="Z143" s="9"/>
      <c r="AA143" s="9">
        <f t="shared" si="29"/>
        <v>0</v>
      </c>
    </row>
    <row r="144" spans="1:27">
      <c r="F144" s="15"/>
      <c r="H144" s="10"/>
      <c r="I144" s="10"/>
      <c r="J144" s="10"/>
      <c r="K144" s="10"/>
      <c r="L144" s="10"/>
      <c r="M144" s="10"/>
      <c r="N144" s="10"/>
      <c r="O144" s="278"/>
      <c r="P144" s="10"/>
      <c r="Q144" s="10"/>
      <c r="R144" s="10"/>
      <c r="S144" s="10"/>
      <c r="T144" s="10"/>
      <c r="U144" s="10"/>
      <c r="V144" s="10"/>
      <c r="W144" s="10"/>
      <c r="X144" s="10"/>
      <c r="Y144" s="10"/>
      <c r="Z144" s="10"/>
      <c r="AA144" s="10"/>
    </row>
    <row r="145" spans="1:27">
      <c r="A145" s="8" t="str">
        <f>'Input 4 - Forecast'!A61</f>
        <v>Type 2</v>
      </c>
      <c r="B145" s="7">
        <f>B119</f>
        <v>2018</v>
      </c>
      <c r="C145" s="7" t="str">
        <f>$I80</f>
        <v>Annual</v>
      </c>
      <c r="D145" s="7">
        <f>$J80</f>
        <v>0</v>
      </c>
      <c r="E145" s="7">
        <f>$K80</f>
        <v>0</v>
      </c>
      <c r="F145" s="14">
        <f>$L$80</f>
        <v>0</v>
      </c>
      <c r="H145" s="9">
        <f>$B$80</f>
        <v>0</v>
      </c>
      <c r="I145" s="9">
        <f>H145-P145</f>
        <v>0</v>
      </c>
      <c r="J145" s="9">
        <f>I145-Q145</f>
        <v>0</v>
      </c>
      <c r="K145" s="9">
        <f>J145-R145</f>
        <v>0</v>
      </c>
      <c r="L145" s="9">
        <f>K145-S145</f>
        <v>0</v>
      </c>
      <c r="M145" s="9">
        <f>L145-T145</f>
        <v>0</v>
      </c>
      <c r="N145" s="9"/>
      <c r="O145" s="9">
        <f t="shared" ref="O145:T145" si="31">IF(OR($C145="Annual",$D145=$E145),IF(AND($D145=$E145,O$111=$B145+$D145),$H145,IF(AND(O$111&gt;$B145+$D145,O$111&lt;=$B145+$E145), $H145/($E145-$D145),0)), IF(OR(O$111=$B145+$D145,O$111=$B145+$E145),$H145/(($E145-$D145)*2),IF(AND(O$111&gt;$B145+$D145,O$111&lt;$B145+$E145),$H145/($E145-$D145),0)))</f>
        <v>0</v>
      </c>
      <c r="P145" s="9">
        <f t="shared" si="31"/>
        <v>0</v>
      </c>
      <c r="Q145" s="9">
        <f t="shared" si="31"/>
        <v>0</v>
      </c>
      <c r="R145" s="9">
        <f t="shared" si="31"/>
        <v>0</v>
      </c>
      <c r="S145" s="9">
        <f t="shared" si="31"/>
        <v>0</v>
      </c>
      <c r="T145" s="9">
        <f t="shared" si="31"/>
        <v>0</v>
      </c>
      <c r="U145" s="9"/>
      <c r="V145" s="9">
        <f>IF($C145="annual",IF(V$111=$B145,0,G145*$F145),IF(V$111-$B145=0,0,IF((V$111-$B145)&lt;$E145,AVERAGE(G145,H145)*$F145,IF((V$111-$B145)=$E145,G145*$F145/2,0))))</f>
        <v>0</v>
      </c>
      <c r="W145" s="9">
        <f t="shared" ref="W145:AA150" si="32">IF($C145="annual",IF(W$111=$B145,0,H145*$F145),IF(W$111-$B145=0,0,IF((W$111-$B145)&lt;$E145,AVERAGE(H145,I145)*$F145,IF((W$111-$B145)=$E145,H145*$F145/2,0))))</f>
        <v>0</v>
      </c>
      <c r="X145" s="9">
        <f t="shared" si="32"/>
        <v>0</v>
      </c>
      <c r="Y145" s="9">
        <f t="shared" si="32"/>
        <v>0</v>
      </c>
      <c r="Z145" s="9">
        <f t="shared" si="32"/>
        <v>0</v>
      </c>
      <c r="AA145" s="9">
        <f t="shared" si="32"/>
        <v>0</v>
      </c>
    </row>
    <row r="146" spans="1:27">
      <c r="A146" s="8" t="str">
        <f>A145</f>
        <v>Type 2</v>
      </c>
      <c r="B146" s="7">
        <f>B145+1</f>
        <v>2019</v>
      </c>
      <c r="C146" s="7" t="str">
        <f t="shared" ref="C146:E150" si="33">C145</f>
        <v>Annual</v>
      </c>
      <c r="D146" s="7">
        <f t="shared" si="33"/>
        <v>0</v>
      </c>
      <c r="E146" s="7">
        <f t="shared" si="33"/>
        <v>0</v>
      </c>
      <c r="F146" s="14">
        <f>$M$80</f>
        <v>2.5000000000000001E-3</v>
      </c>
      <c r="H146" s="9"/>
      <c r="I146" s="9">
        <f ca="1">$C$80</f>
        <v>76.370371842803891</v>
      </c>
      <c r="J146" s="9">
        <f ca="1">I146-Q146</f>
        <v>50.913581228535932</v>
      </c>
      <c r="K146" s="9">
        <f ca="1">J146-R146</f>
        <v>25.45679061426797</v>
      </c>
      <c r="L146" s="9">
        <f ca="1">K146-S146</f>
        <v>0</v>
      </c>
      <c r="M146" s="9">
        <f ca="1">L146-T146</f>
        <v>0</v>
      </c>
      <c r="N146" s="9"/>
      <c r="O146" s="9"/>
      <c r="P146" s="9">
        <f ca="1">IF(OR($C146="Annual",$D146=$E146),IF(AND($D146=$E146,P$111=$B146+$D146),$I146,IF(AND(P$111&gt;$B146+$D146,P$111&lt;=$B146+$E146), $I146/($E146-$D146),0)), IF(OR(P$111=$B146+$D146,P$111=$B146+$E146),$I146/(($E146-$D146)*2),IF(AND(P$111&gt;$B146+$D146,P$111&lt;$B146+$E146),$I146/($E146-$D146),0)))</f>
        <v>0</v>
      </c>
      <c r="Q146" s="9">
        <f>IF(OR($C146="Annual",$D146=$E146),IF(AND($D146=$E146,Q$111=$B146+$D146),$I146,IF(AND(Q$111&gt;$B146+$D146,Q$111&lt;=$B146+$E146), $I146/($E146-$D146),0)), IF(OR(Q$111=$B146+$D146,Q$111=$B146+$E146),$I146/(($E146-$D146)*2),IF(AND(Q$111&gt;$B146+$D146,Q$111&lt;$B146+$E146),$I146/($E146-$D146),0)))</f>
        <v>0</v>
      </c>
      <c r="R146" s="9">
        <f>IF(OR($C146="Annual",$D146=$E146),IF(AND($D146=$E146,R$111=$B146+$D146),$I146,IF(AND(R$111&gt;$B146+$D146,R$111&lt;=$B146+$E146), $I146/($E146-$D146),0)), IF(OR(R$111=$B146+$D146,R$111=$B146+$E146),$I146/(($E146-$D146)*2),IF(AND(R$111&gt;$B146+$D146,R$111&lt;$B146+$E146),$I146/($E146-$D146),0)))</f>
        <v>0</v>
      </c>
      <c r="S146" s="9">
        <f>IF(OR($C146="Annual",$D146=$E146),IF(AND($D146=$E146,S$111=$B146+$D146),$I146,IF(AND(S$111&gt;$B146+$D146,S$111&lt;=$B146+$E146), $I146/($E146-$D146),0)), IF(OR(S$111=$B146+$D146,S$111=$B146+$E146),$I146/(($E146-$D146)*2),IF(AND(S$111&gt;$B146+$D146,S$111&lt;$B146+$E146),$I146/($E146-$D146),0)))</f>
        <v>0</v>
      </c>
      <c r="T146" s="9">
        <f>IF(OR($C146="Annual",$D146=$E146),IF(AND($D146=$E146,T$111=$B146+$D146),$I146,IF(AND(T$111&gt;$B146+$D146,T$111&lt;=$B146+$E146), $I146/($E146-$D146),0)), IF(OR(T$111=$B146+$D146,T$111=$B146+$E146),$I146/(($E146-$D146)*2),IF(AND(T$111&gt;$B146+$D146,T$111&lt;$B146+$E146),$I146/($E146-$D146),0)))</f>
        <v>0</v>
      </c>
      <c r="U146" s="9"/>
      <c r="V146" s="9"/>
      <c r="W146" s="9">
        <f t="shared" si="32"/>
        <v>0</v>
      </c>
      <c r="X146" s="9">
        <f t="shared" ca="1" si="32"/>
        <v>2.2858606922199241</v>
      </c>
      <c r="Y146" s="9">
        <f t="shared" ca="1" si="32"/>
        <v>1.5239071281466161</v>
      </c>
      <c r="Z146" s="9">
        <f t="shared" ca="1" si="32"/>
        <v>0.76195356407330816</v>
      </c>
      <c r="AA146" s="9">
        <f t="shared" ca="1" si="32"/>
        <v>0</v>
      </c>
    </row>
    <row r="147" spans="1:27">
      <c r="A147" s="8" t="str">
        <f>A146</f>
        <v>Type 2</v>
      </c>
      <c r="B147" s="7">
        <f>B146+1</f>
        <v>2020</v>
      </c>
      <c r="C147" s="7" t="str">
        <f t="shared" si="33"/>
        <v>Annual</v>
      </c>
      <c r="D147" s="7">
        <f t="shared" si="33"/>
        <v>0</v>
      </c>
      <c r="E147" s="7">
        <f t="shared" si="33"/>
        <v>0</v>
      </c>
      <c r="F147" s="14">
        <f>$N$80</f>
        <v>2.5000000000000001E-3</v>
      </c>
      <c r="H147" s="9"/>
      <c r="I147" s="9"/>
      <c r="J147" s="9">
        <f ca="1">$D$80</f>
        <v>87.793727555277187</v>
      </c>
      <c r="K147" s="9">
        <f ca="1">J147-R147</f>
        <v>58.529151703518124</v>
      </c>
      <c r="L147" s="9">
        <f ca="1">K147-S147</f>
        <v>29.264575851759062</v>
      </c>
      <c r="M147" s="9">
        <f ca="1">L147-T147</f>
        <v>0</v>
      </c>
      <c r="N147" s="9"/>
      <c r="O147" s="9"/>
      <c r="P147" s="9"/>
      <c r="Q147" s="9">
        <f ca="1">IF(OR($C147="Annual",$D147=$E147),IF(AND($D147=$E147,Q$111=$B147+$D147),$J147,IF(AND(Q$111&gt;$B147+$D147,Q$111&lt;=$B147+$E147), $J147/($E147-$D147),0)), IF(OR(Q$111=$B147+$D147,Q$111=$B147+$E147),$J147/(($E147-$D147)*2),IF(AND(Q$111&gt;$B147+$D147,Q$111&lt;$B147+$E147),$J147/($E147-$D147),0)))</f>
        <v>0</v>
      </c>
      <c r="R147" s="9">
        <f>IF(OR($C147="Annual",$D147=$E147),IF(AND($D147=$E147,R$111=$B147+$D147),$J147,IF(AND(R$111&gt;$B147+$D147,R$111&lt;=$B147+$E147), $J147/($E147-$D147),0)), IF(OR(R$111=$B147+$D147,R$111=$B147+$E147),$J147/(($E147-$D147)*2),IF(AND(R$111&gt;$B147+$D147,R$111&lt;$B147+$E147),$J147/($E147-$D147),0)))</f>
        <v>0</v>
      </c>
      <c r="S147" s="9">
        <f>IF(OR($C147="Annual",$D147=$E147),IF(AND($D147=$E147,S$111=$B147+$D147),$J147,IF(AND(S$111&gt;$B147+$D147,S$111&lt;=$B147+$E147), $J147/($E147-$D147),0)), IF(OR(S$111=$B147+$D147,S$111=$B147+$E147),$J147/(($E147-$D147)*2),IF(AND(S$111&gt;$B147+$D147,S$111&lt;$B147+$E147),$J147/($E147-$D147),0)))</f>
        <v>0</v>
      </c>
      <c r="T147" s="9">
        <f>IF(OR($C147="Annual",$D147=$E147),IF(AND($D147=$E147,T$111=$B147+$D147),$J147,IF(AND(T$111&gt;$B147+$D147,T$111&lt;=$B147+$E147), $J147/($E147-$D147),0)), IF(OR(T$111=$B147+$D147,T$111=$B147+$E147),$J147/(($E147-$D147)*2),IF(AND(T$111&gt;$B147+$D147,T$111&lt;$B147+$E147),$J147/($E147-$D147),0)))</f>
        <v>0</v>
      </c>
      <c r="U147" s="9"/>
      <c r="V147" s="9"/>
      <c r="W147" s="9"/>
      <c r="X147" s="9">
        <f t="shared" si="32"/>
        <v>0</v>
      </c>
      <c r="Y147" s="9">
        <f t="shared" ca="1" si="32"/>
        <v>2.8895110581630559</v>
      </c>
      <c r="Z147" s="9">
        <f t="shared" ca="1" si="32"/>
        <v>1.9263407054420372</v>
      </c>
      <c r="AA147" s="9">
        <f t="shared" ca="1" si="32"/>
        <v>0.96317035272101859</v>
      </c>
    </row>
    <row r="148" spans="1:27">
      <c r="A148" s="8" t="str">
        <f>A147</f>
        <v>Type 2</v>
      </c>
      <c r="B148" s="7">
        <f>B147+1</f>
        <v>2021</v>
      </c>
      <c r="C148" s="7" t="str">
        <f t="shared" si="33"/>
        <v>Annual</v>
      </c>
      <c r="D148" s="7">
        <f t="shared" si="33"/>
        <v>0</v>
      </c>
      <c r="E148" s="7">
        <f t="shared" si="33"/>
        <v>0</v>
      </c>
      <c r="F148" s="14">
        <f>$O$80</f>
        <v>2.5000000000000001E-3</v>
      </c>
      <c r="H148" s="9"/>
      <c r="I148" s="9"/>
      <c r="J148" s="9"/>
      <c r="K148" s="9">
        <f ca="1">$E$80</f>
        <v>76.253138823384177</v>
      </c>
      <c r="L148" s="9">
        <f ca="1">K148-S148</f>
        <v>50.835425882256118</v>
      </c>
      <c r="M148" s="9">
        <f ca="1">L148-T148</f>
        <v>25.417712941128059</v>
      </c>
      <c r="N148" s="9"/>
      <c r="O148" s="9"/>
      <c r="P148" s="9"/>
      <c r="Q148" s="9"/>
      <c r="R148" s="9">
        <f ca="1">IF(OR($C148="Annual",$D148=$E148),IF(AND($D148=$E148,R$111=$B148+$D148),$K148,IF(AND(R$111&gt;$B148+$D148,R$111&lt;=$B148+$E148), $K148/($E148-$D148),0)), IF(OR(R$111=$B148+$D148,R$111=$B148+$E148),$K148/(($E148-$D148)*2),IF(AND(R$111&gt;$B148+$D148,R$111&lt;$B148+$E148),$K148/($E148-$D148),0)))</f>
        <v>0</v>
      </c>
      <c r="S148" s="9">
        <f>IF(OR($C148="Annual",$D148=$E148),IF(AND($D148=$E148,S$111=$B148+$D148),$K148,IF(AND(S$111&gt;$B148+$D148,S$111&lt;=$B148+$E148), $K148/($E148-$D148),0)), IF(OR(S$111=$B148+$D148,S$111=$B148+$E148),$K148/(($E148-$D148)*2),IF(AND(S$111&gt;$B148+$D148,S$111&lt;$B148+$E148),$K148/($E148-$D148),0)))</f>
        <v>0</v>
      </c>
      <c r="T148" s="9">
        <f>IF(OR($C148="Annual",$D148=$E148),IF(AND($D148=$E148,T$111=$B148+$D148),$K148,IF(AND(T$111&gt;$B148+$D148,T$111&lt;=$B148+$E148), $K148/($E148-$D148),0)), IF(OR(T$111=$B148+$D148,T$111=$B148+$E148),$K148/(($E148-$D148)*2),IF(AND(T$111&gt;$B148+$D148,T$111&lt;$B148+$E148),$K148/($E148-$D148),0)))</f>
        <v>0</v>
      </c>
      <c r="U148" s="9"/>
      <c r="V148" s="9"/>
      <c r="W148" s="9"/>
      <c r="X148" s="9"/>
      <c r="Y148" s="9">
        <f t="shared" si="32"/>
        <v>0</v>
      </c>
      <c r="Z148" s="9">
        <f t="shared" ca="1" si="32"/>
        <v>2.6993611143477962</v>
      </c>
      <c r="AA148" s="9">
        <f t="shared" ca="1" si="32"/>
        <v>1.7995740762318642</v>
      </c>
    </row>
    <row r="149" spans="1:27">
      <c r="A149" s="8" t="str">
        <f>A148</f>
        <v>Type 2</v>
      </c>
      <c r="B149" s="7">
        <f>B148+1</f>
        <v>2022</v>
      </c>
      <c r="C149" s="7" t="str">
        <f t="shared" si="33"/>
        <v>Annual</v>
      </c>
      <c r="D149" s="7">
        <f t="shared" si="33"/>
        <v>0</v>
      </c>
      <c r="E149" s="7">
        <f t="shared" si="33"/>
        <v>0</v>
      </c>
      <c r="F149" s="14">
        <f>$P$80</f>
        <v>2.5000000000000001E-3</v>
      </c>
      <c r="H149" s="9"/>
      <c r="I149" s="9"/>
      <c r="J149" s="9"/>
      <c r="K149" s="9"/>
      <c r="L149" s="9">
        <f ca="1">$F$80</f>
        <v>96.77957846889899</v>
      </c>
      <c r="M149" s="9">
        <f ca="1">L149-T149</f>
        <v>64.519718979266003</v>
      </c>
      <c r="N149" s="9"/>
      <c r="O149" s="9"/>
      <c r="P149" s="9"/>
      <c r="Q149" s="9"/>
      <c r="R149" s="9"/>
      <c r="S149" s="9">
        <f ca="1">IF(OR($C149="Annual",$D149=$E149),IF(AND($D149=$E149,S$111=$B149+$D149),$L149,IF(AND(S$111&gt;$B149+$D149,S$111&lt;=$B149+$E149), $L149/($E149-$D149),0)), IF(OR(S$111=$B149+$D149,S$111=$B149+$E149),$L149/(($E149-$D149)*2),IF(AND(S$111&gt;$B149+$D149,S$111&lt;$B149+$E149),$L149/($E149-$D149),0)))</f>
        <v>0</v>
      </c>
      <c r="T149" s="9">
        <f>IF(OR($C149="Annual",$D149=$E149),IF(AND($D149=$E149,T$111=$B149+$D149),$L149,IF(AND(T$111&gt;$B149+$D149,T$111&lt;=$B149+$E149), $L149/($E149-$D149),0)), IF(OR(T$111=$B149+$D149,T$111=$B149+$E149),$L149/(($E149-$D149)*2),IF(AND(T$111&gt;$B149+$D149,T$111&lt;$B149+$E149),$L149/($E149-$D149),0)))</f>
        <v>0</v>
      </c>
      <c r="U149" s="9"/>
      <c r="V149" s="9"/>
      <c r="W149" s="9"/>
      <c r="X149" s="9"/>
      <c r="Y149" s="9"/>
      <c r="Z149" s="9">
        <f t="shared" si="32"/>
        <v>0</v>
      </c>
      <c r="AA149" s="9">
        <f t="shared" ca="1" si="32"/>
        <v>3.6298390649491425</v>
      </c>
    </row>
    <row r="150" spans="1:27">
      <c r="A150" s="8" t="str">
        <f>A149</f>
        <v>Type 2</v>
      </c>
      <c r="B150" s="7">
        <f>B149+1</f>
        <v>2023</v>
      </c>
      <c r="C150" s="7" t="str">
        <f t="shared" si="33"/>
        <v>Annual</v>
      </c>
      <c r="D150" s="7">
        <f t="shared" si="33"/>
        <v>0</v>
      </c>
      <c r="E150" s="7">
        <f t="shared" si="33"/>
        <v>0</v>
      </c>
      <c r="F150" s="14">
        <f>$Q$80</f>
        <v>2.5000000000000001E-3</v>
      </c>
      <c r="H150" s="9"/>
      <c r="I150" s="9"/>
      <c r="J150" s="9"/>
      <c r="K150" s="9"/>
      <c r="L150" s="9"/>
      <c r="M150" s="9">
        <f ca="1">$G$80</f>
        <v>93.387970310130314</v>
      </c>
      <c r="N150" s="9"/>
      <c r="O150" s="9"/>
      <c r="P150" s="9"/>
      <c r="Q150" s="9"/>
      <c r="R150" s="9"/>
      <c r="S150" s="9"/>
      <c r="T150" s="9">
        <f ca="1">IF(OR($C150="Annual",$D150=$E150),IF(AND($D150=$E150,T$111=$B150+$D150),$M150,IF(AND(T$111&gt;$B150+$D150,T$111&lt;=$B150+$E150), $M150/($E150-$D150),0)), IF(OR(T$111=$B150+$D150,T$111=$B150+$E150),$M150/(($E150-$D150)*2),IF(AND(T$111&gt;$B150+$D150,T$111&lt;$B150+$E150),$M150/($E150-$D150),0)))</f>
        <v>0</v>
      </c>
      <c r="U150" s="9"/>
      <c r="V150" s="9"/>
      <c r="W150" s="9"/>
      <c r="X150" s="9"/>
      <c r="Y150" s="9"/>
      <c r="Z150" s="9"/>
      <c r="AA150" s="9">
        <f t="shared" si="32"/>
        <v>0</v>
      </c>
    </row>
    <row r="151" spans="1:27">
      <c r="F151" s="15"/>
      <c r="H151" s="10"/>
      <c r="I151" s="10"/>
      <c r="J151" s="10"/>
      <c r="K151" s="10"/>
      <c r="L151" s="10"/>
      <c r="M151" s="10"/>
      <c r="N151" s="10"/>
      <c r="O151" s="278"/>
      <c r="P151" s="10"/>
      <c r="Q151" s="10"/>
      <c r="R151" s="10"/>
      <c r="S151" s="10"/>
      <c r="T151" s="10"/>
      <c r="U151" s="10"/>
      <c r="V151" s="10"/>
      <c r="W151" s="10"/>
      <c r="X151" s="10"/>
      <c r="Y151" s="10"/>
      <c r="Z151" s="10"/>
      <c r="AA151" s="10"/>
    </row>
    <row r="152" spans="1:27">
      <c r="A152" s="8" t="str">
        <f>'Input 4 - Forecast'!A62</f>
        <v>Type 3</v>
      </c>
      <c r="B152" s="7">
        <f>B119</f>
        <v>2018</v>
      </c>
      <c r="C152" s="7" t="str">
        <f>$I81</f>
        <v>Annual</v>
      </c>
      <c r="D152" s="7">
        <f>$J81</f>
        <v>0</v>
      </c>
      <c r="E152" s="7">
        <f>$K81</f>
        <v>0</v>
      </c>
      <c r="F152" s="14">
        <f>$L$81</f>
        <v>0</v>
      </c>
      <c r="H152" s="9">
        <f>$B$81</f>
        <v>0</v>
      </c>
      <c r="I152" s="9">
        <f>H152-P152</f>
        <v>0</v>
      </c>
      <c r="J152" s="9">
        <f>I152-Q152</f>
        <v>0</v>
      </c>
      <c r="K152" s="9">
        <f>J152-R152</f>
        <v>0</v>
      </c>
      <c r="L152" s="9">
        <f>K152-S152</f>
        <v>0</v>
      </c>
      <c r="M152" s="9">
        <f>L152-T152</f>
        <v>0</v>
      </c>
      <c r="N152" s="9"/>
      <c r="O152" s="9">
        <f t="shared" ref="O152:T152" si="34">IF(OR($C152="Annual",$D152=$E152),IF(AND($D152=$E152,O$111=$B152+$D152),$H152,IF(AND(O$111&gt;$B152+$D152,O$111&lt;=$B152+$E152), $H152/($E152-$D152),0)), IF(OR(O$111=$B152+$D152,O$111=$B152+$E152),$H152/(($E152-$D152)*2),IF(AND(O$111&gt;$B152+$D152,O$111&lt;$B152+$E152),$H152/($E152-$D152),0)))</f>
        <v>0</v>
      </c>
      <c r="P152" s="9">
        <f t="shared" si="34"/>
        <v>0</v>
      </c>
      <c r="Q152" s="9">
        <f t="shared" si="34"/>
        <v>0</v>
      </c>
      <c r="R152" s="9">
        <f t="shared" si="34"/>
        <v>0</v>
      </c>
      <c r="S152" s="9">
        <f t="shared" si="34"/>
        <v>0</v>
      </c>
      <c r="T152" s="9">
        <f t="shared" si="34"/>
        <v>0</v>
      </c>
      <c r="U152" s="9"/>
      <c r="V152" s="9">
        <f>IF($C152="annual",IF(V$111=$B152,0,G152*$F152),IF(V$111-$B152=0,0,IF((V$111-$B152)&lt;$E152,AVERAGE(G152,H152)*$F152,IF((V$111-$B152)=$E152,G152*$F152/2,0))))</f>
        <v>0</v>
      </c>
      <c r="W152" s="9">
        <f t="shared" ref="W152:AA157" si="35">IF($C152="annual",IF(W$111=$B152,0,H152*$F152),IF(W$111-$B152=0,0,IF((W$111-$B152)&lt;$E152,AVERAGE(H152,I152)*$F152,IF((W$111-$B152)=$E152,H152*$F152/2,0))))</f>
        <v>0</v>
      </c>
      <c r="X152" s="9">
        <f t="shared" si="35"/>
        <v>0</v>
      </c>
      <c r="Y152" s="9">
        <f t="shared" si="35"/>
        <v>0</v>
      </c>
      <c r="Z152" s="9">
        <f t="shared" si="35"/>
        <v>0</v>
      </c>
      <c r="AA152" s="9">
        <f t="shared" si="35"/>
        <v>0</v>
      </c>
    </row>
    <row r="153" spans="1:27">
      <c r="A153" s="8" t="str">
        <f>A152</f>
        <v>Type 3</v>
      </c>
      <c r="B153" s="7">
        <f>B152+1</f>
        <v>2019</v>
      </c>
      <c r="C153" s="7" t="str">
        <f t="shared" ref="C153:E157" si="36">C152</f>
        <v>Annual</v>
      </c>
      <c r="D153" s="7">
        <f t="shared" si="36"/>
        <v>0</v>
      </c>
      <c r="E153" s="7">
        <f t="shared" si="36"/>
        <v>0</v>
      </c>
      <c r="F153" s="14">
        <f>$M$81</f>
        <v>2.5000000000000001E-3</v>
      </c>
      <c r="H153" s="9"/>
      <c r="I153" s="9">
        <f ca="1">$C$81</f>
        <v>97.584364021360528</v>
      </c>
      <c r="J153" s="9">
        <f ca="1">I153-Q153</f>
        <v>78.067491217088417</v>
      </c>
      <c r="K153" s="9">
        <f ca="1">J153-R153</f>
        <v>58.550618412816313</v>
      </c>
      <c r="L153" s="9">
        <f ca="1">K153-S153</f>
        <v>39.033745608544208</v>
      </c>
      <c r="M153" s="9">
        <f ca="1">L153-T153</f>
        <v>19.516872804272104</v>
      </c>
      <c r="N153" s="9"/>
      <c r="O153" s="9"/>
      <c r="P153" s="9">
        <f ca="1">IF(OR($C153="Annual",$D153=$E153),IF(AND($D153=$E153,P$111=$B153+$D153),$I153,IF(AND(P$111&gt;$B153+$D153,P$111&lt;=$B153+$E153), $I153/($E153-$D153),0)), IF(OR(P$111=$B153+$D153,P$111=$B153+$E153),$I153/(($E153-$D153)*2),IF(AND(P$111&gt;$B153+$D153,P$111&lt;$B153+$E153),$I153/($E153-$D153),0)))</f>
        <v>0</v>
      </c>
      <c r="Q153" s="9">
        <f>IF(OR($C153="Annual",$D153=$E153),IF(AND($D153=$E153,Q$111=$B153+$D153),$I153,IF(AND(Q$111&gt;$B153+$D153,Q$111&lt;=$B153+$E153), $I153/($E153-$D153),0)), IF(OR(Q$111=$B153+$D153,Q$111=$B153+$E153),$I153/(($E153-$D153)*2),IF(AND(Q$111&gt;$B153+$D153,Q$111&lt;$B153+$E153),$I153/($E153-$D153),0)))</f>
        <v>0</v>
      </c>
      <c r="R153" s="9">
        <f>IF(OR($C153="Annual",$D153=$E153),IF(AND($D153=$E153,R$111=$B153+$D153),$I153,IF(AND(R$111&gt;$B153+$D153,R$111&lt;=$B153+$E153), $I153/($E153-$D153),0)), IF(OR(R$111=$B153+$D153,R$111=$B153+$E153),$I153/(($E153-$D153)*2),IF(AND(R$111&gt;$B153+$D153,R$111&lt;$B153+$E153),$I153/($E153-$D153),0)))</f>
        <v>0</v>
      </c>
      <c r="S153" s="9">
        <f>IF(OR($C153="Annual",$D153=$E153),IF(AND($D153=$E153,S$111=$B153+$D153),$I153,IF(AND(S$111&gt;$B153+$D153,S$111&lt;=$B153+$E153), $I153/($E153-$D153),0)), IF(OR(S$111=$B153+$D153,S$111=$B153+$E153),$I153/(($E153-$D153)*2),IF(AND(S$111&gt;$B153+$D153,S$111&lt;$B153+$E153),$I153/($E153-$D153),0)))</f>
        <v>0</v>
      </c>
      <c r="T153" s="9">
        <f>IF(OR($C153="Annual",$D153=$E153),IF(AND($D153=$E153,T$111=$B153+$D153),$I153,IF(AND(T$111&gt;$B153+$D153,T$111&lt;=$B153+$E153), $I153/($E153-$D153),0)), IF(OR(T$111=$B153+$D153,T$111=$B153+$E153),$I153/(($E153-$D153)*2),IF(AND(T$111&gt;$B153+$D153,T$111&lt;$B153+$E153),$I153/($E153-$D153),0)))</f>
        <v>0</v>
      </c>
      <c r="U153" s="9"/>
      <c r="V153" s="9"/>
      <c r="W153" s="9">
        <f t="shared" si="35"/>
        <v>0</v>
      </c>
      <c r="X153" s="9">
        <f t="shared" ca="1" si="35"/>
        <v>3.9521667428651015</v>
      </c>
      <c r="Y153" s="9">
        <f t="shared" ca="1" si="35"/>
        <v>3.1617333942920811</v>
      </c>
      <c r="Z153" s="9">
        <f t="shared" ca="1" si="35"/>
        <v>2.3713000457190607</v>
      </c>
      <c r="AA153" s="9">
        <f t="shared" ca="1" si="35"/>
        <v>1.5808666971460406</v>
      </c>
    </row>
    <row r="154" spans="1:27">
      <c r="A154" s="8" t="str">
        <f>A153</f>
        <v>Type 3</v>
      </c>
      <c r="B154" s="7">
        <f>B153+1</f>
        <v>2020</v>
      </c>
      <c r="C154" s="7" t="str">
        <f t="shared" si="36"/>
        <v>Annual</v>
      </c>
      <c r="D154" s="7">
        <f t="shared" si="36"/>
        <v>0</v>
      </c>
      <c r="E154" s="7">
        <f t="shared" si="36"/>
        <v>0</v>
      </c>
      <c r="F154" s="14">
        <f>$N$81</f>
        <v>2.5000000000000001E-3</v>
      </c>
      <c r="H154" s="9"/>
      <c r="I154" s="9"/>
      <c r="J154" s="9">
        <f ca="1">$D$81</f>
        <v>109.01054504780249</v>
      </c>
      <c r="K154" s="9">
        <f ca="1">J154-R154</f>
        <v>87.208436038241999</v>
      </c>
      <c r="L154" s="9">
        <f ca="1">K154-S154</f>
        <v>65.406327028681503</v>
      </c>
      <c r="M154" s="9">
        <f ca="1">L154-T154</f>
        <v>43.604218019121006</v>
      </c>
      <c r="N154" s="9"/>
      <c r="O154" s="9"/>
      <c r="P154" s="9"/>
      <c r="Q154" s="9">
        <f ca="1">IF(OR($C154="Annual",$D154=$E154),IF(AND($D154=$E154,Q$111=$B154+$D154),$J154,IF(AND(Q$111&gt;$B154+$D154,Q$111&lt;=$B154+$E154), $J154/($E154-$D154),0)), IF(OR(Q$111=$B154+$D154,Q$111=$B154+$E154),$J154/(($E154-$D154)*2),IF(AND(Q$111&gt;$B154+$D154,Q$111&lt;$B154+$E154),$J154/($E154-$D154),0)))</f>
        <v>0</v>
      </c>
      <c r="R154" s="9">
        <f>IF(OR($C154="Annual",$D154=$E154),IF(AND($D154=$E154,R$111=$B154+$D154),$J154,IF(AND(R$111&gt;$B154+$D154,R$111&lt;=$B154+$E154), $J154/($E154-$D154),0)), IF(OR(R$111=$B154+$D154,R$111=$B154+$E154),$J154/(($E154-$D154)*2),IF(AND(R$111&gt;$B154+$D154,R$111&lt;$B154+$E154),$J154/($E154-$D154),0)))</f>
        <v>0</v>
      </c>
      <c r="S154" s="9">
        <f>IF(OR($C154="Annual",$D154=$E154),IF(AND($D154=$E154,S$111=$B154+$D154),$J154,IF(AND(S$111&gt;$B154+$D154,S$111&lt;=$B154+$E154), $J154/($E154-$D154),0)), IF(OR(S$111=$B154+$D154,S$111=$B154+$E154),$J154/(($E154-$D154)*2),IF(AND(S$111&gt;$B154+$D154,S$111&lt;$B154+$E154),$J154/($E154-$D154),0)))</f>
        <v>0</v>
      </c>
      <c r="T154" s="9">
        <f>IF(OR($C154="Annual",$D154=$E154),IF(AND($D154=$E154,T$111=$B154+$D154),$J154,IF(AND(T$111&gt;$B154+$D154,T$111&lt;=$B154+$E154), $J154/($E154-$D154),0)), IF(OR(T$111=$B154+$D154,T$111=$B154+$E154),$J154/(($E154-$D154)*2),IF(AND(T$111&gt;$B154+$D154,T$111&lt;$B154+$E154),$J154/($E154-$D154),0)))</f>
        <v>0</v>
      </c>
      <c r="U154" s="9"/>
      <c r="V154" s="9"/>
      <c r="W154" s="9"/>
      <c r="X154" s="9">
        <f t="shared" si="35"/>
        <v>0</v>
      </c>
      <c r="Y154" s="9">
        <f t="shared" ca="1" si="35"/>
        <v>4.741958709579408</v>
      </c>
      <c r="Z154" s="9">
        <f t="shared" ca="1" si="35"/>
        <v>3.7935669676635269</v>
      </c>
      <c r="AA154" s="9">
        <f t="shared" ca="1" si="35"/>
        <v>2.8451752257476453</v>
      </c>
    </row>
    <row r="155" spans="1:27">
      <c r="A155" s="8" t="str">
        <f>A154</f>
        <v>Type 3</v>
      </c>
      <c r="B155" s="7">
        <f>B154+1</f>
        <v>2021</v>
      </c>
      <c r="C155" s="7" t="str">
        <f t="shared" si="36"/>
        <v>Annual</v>
      </c>
      <c r="D155" s="7">
        <f t="shared" si="36"/>
        <v>0</v>
      </c>
      <c r="E155" s="7">
        <f t="shared" si="36"/>
        <v>0</v>
      </c>
      <c r="F155" s="14">
        <f>$O$81</f>
        <v>2.5000000000000001E-3</v>
      </c>
      <c r="H155" s="9"/>
      <c r="I155" s="9"/>
      <c r="J155" s="9"/>
      <c r="K155" s="9">
        <f ca="1">$E$81</f>
        <v>91.503766588061026</v>
      </c>
      <c r="L155" s="9">
        <f ca="1">K155-S155</f>
        <v>73.203013270448821</v>
      </c>
      <c r="M155" s="9">
        <f ca="1">L155-T155</f>
        <v>54.902259952836616</v>
      </c>
      <c r="N155" s="9"/>
      <c r="O155" s="9"/>
      <c r="P155" s="9"/>
      <c r="Q155" s="9"/>
      <c r="R155" s="9">
        <f ca="1">IF(OR($C155="Annual",$D155=$E155),IF(AND($D155=$E155,R$111=$B155+$D155),$K155,IF(AND(R$111&gt;$B155+$D155,R$111&lt;=$B155+$E155), $K155/($E155-$D155),0)), IF(OR(R$111=$B155+$D155,R$111=$B155+$E155),$K155/(($E155-$D155)*2),IF(AND(R$111&gt;$B155+$D155,R$111&lt;$B155+$E155),$K155/($E155-$D155),0)))</f>
        <v>0</v>
      </c>
      <c r="S155" s="9">
        <f>IF(OR($C155="Annual",$D155=$E155),IF(AND($D155=$E155,S$111=$B155+$D155),$K155,IF(AND(S$111&gt;$B155+$D155,S$111&lt;=$B155+$E155), $K155/($E155-$D155),0)), IF(OR(S$111=$B155+$D155,S$111=$B155+$E155),$K155/(($E155-$D155)*2),IF(AND(S$111&gt;$B155+$D155,S$111&lt;$B155+$E155),$K155/($E155-$D155),0)))</f>
        <v>0</v>
      </c>
      <c r="T155" s="9">
        <f>IF(OR($C155="Annual",$D155=$E155),IF(AND($D155=$E155,T$111=$B155+$D155),$K155,IF(AND(T$111&gt;$B155+$D155,T$111&lt;=$B155+$E155), $K155/($E155-$D155),0)), IF(OR(T$111=$B155+$D155,T$111=$B155+$E155),$K155/(($E155-$D155)*2),IF(AND(T$111&gt;$B155+$D155,T$111&lt;$B155+$E155),$K155/($E155-$D155),0)))</f>
        <v>0</v>
      </c>
      <c r="U155" s="9"/>
      <c r="V155" s="9"/>
      <c r="W155" s="9"/>
      <c r="X155" s="9"/>
      <c r="Y155" s="9">
        <f t="shared" si="35"/>
        <v>0</v>
      </c>
      <c r="Z155" s="9">
        <f t="shared" ca="1" si="35"/>
        <v>4.0719176131687158</v>
      </c>
      <c r="AA155" s="9">
        <f t="shared" ca="1" si="35"/>
        <v>3.257534090534973</v>
      </c>
    </row>
    <row r="156" spans="1:27">
      <c r="A156" s="8" t="str">
        <f>A155</f>
        <v>Type 3</v>
      </c>
      <c r="B156" s="7">
        <f>B155+1</f>
        <v>2022</v>
      </c>
      <c r="C156" s="7" t="str">
        <f t="shared" si="36"/>
        <v>Annual</v>
      </c>
      <c r="D156" s="7">
        <f t="shared" si="36"/>
        <v>0</v>
      </c>
      <c r="E156" s="7">
        <f t="shared" si="36"/>
        <v>0</v>
      </c>
      <c r="F156" s="14">
        <f>$P$81</f>
        <v>2.5000000000000001E-3</v>
      </c>
      <c r="H156" s="9"/>
      <c r="I156" s="9"/>
      <c r="J156" s="9"/>
      <c r="K156" s="9"/>
      <c r="L156" s="9">
        <f ca="1">$F$81</f>
        <v>115.06016551302437</v>
      </c>
      <c r="M156" s="9">
        <f ca="1">L156-T156</f>
        <v>92.048132410419498</v>
      </c>
      <c r="N156" s="9"/>
      <c r="O156" s="9"/>
      <c r="P156" s="9"/>
      <c r="Q156" s="9"/>
      <c r="R156" s="9"/>
      <c r="S156" s="9">
        <f ca="1">IF(OR($C156="Annual",$D156=$E156),IF(AND($D156=$E156,S$111=$B156+$D156),$L156,IF(AND(S$111&gt;$B156+$D156,S$111&lt;=$B156+$E156), $L156/($E156-$D156),0)), IF(OR(S$111=$B156+$D156,S$111=$B156+$E156),$L156/(($E156-$D156)*2),IF(AND(S$111&gt;$B156+$D156,S$111&lt;$B156+$E156),$L156/($E156-$D156),0)))</f>
        <v>0</v>
      </c>
      <c r="T156" s="9">
        <f>IF(OR($C156="Annual",$D156=$E156),IF(AND($D156=$E156,T$111=$B156+$D156),$L156,IF(AND(T$111&gt;$B156+$D156,T$111&lt;=$B156+$E156), $L156/($E156-$D156),0)), IF(OR(T$111=$B156+$D156,T$111=$B156+$E156),$L156/(($E156-$D156)*2),IF(AND(T$111&gt;$B156+$D156,T$111&lt;$B156+$E156),$L156/($E156-$D156),0)))</f>
        <v>0</v>
      </c>
      <c r="U156" s="9"/>
      <c r="V156" s="9"/>
      <c r="W156" s="9"/>
      <c r="X156" s="9"/>
      <c r="Y156" s="9"/>
      <c r="Z156" s="9">
        <f t="shared" si="35"/>
        <v>0</v>
      </c>
      <c r="AA156" s="9">
        <f t="shared" ca="1" si="35"/>
        <v>5.2352375308426087</v>
      </c>
    </row>
    <row r="157" spans="1:27">
      <c r="A157" s="8" t="str">
        <f>A156</f>
        <v>Type 3</v>
      </c>
      <c r="B157" s="7">
        <f>B156+1</f>
        <v>2023</v>
      </c>
      <c r="C157" s="7" t="str">
        <f t="shared" si="36"/>
        <v>Annual</v>
      </c>
      <c r="D157" s="7">
        <f t="shared" si="36"/>
        <v>0</v>
      </c>
      <c r="E157" s="7">
        <f t="shared" si="36"/>
        <v>0</v>
      </c>
      <c r="F157" s="14">
        <f>$Q$81</f>
        <v>2.5000000000000001E-3</v>
      </c>
      <c r="H157" s="9"/>
      <c r="I157" s="9"/>
      <c r="J157" s="9"/>
      <c r="K157" s="9"/>
      <c r="L157" s="9"/>
      <c r="M157" s="9">
        <f ca="1">$G$81</f>
        <v>135.01574101702488</v>
      </c>
      <c r="N157" s="9"/>
      <c r="O157" s="9"/>
      <c r="P157" s="9"/>
      <c r="Q157" s="9"/>
      <c r="R157" s="9"/>
      <c r="S157" s="9"/>
      <c r="T157" s="9">
        <f ca="1">IF(OR($C157="Annual",$D157=$E157),IF(AND($D157=$E157,T$111=$B157+$D157),$M157,IF(AND(T$111&gt;$B157+$D157,T$111&lt;=$B157+$E157), $M157/($E157-$D157),0)), IF(OR(T$111=$B157+$D157,T$111=$B157+$E157),$M157/(($E157-$D157)*2),IF(AND(T$111&gt;$B157+$D157,T$111&lt;$B157+$E157),$M157/($E157-$D157),0)))</f>
        <v>0</v>
      </c>
      <c r="U157" s="9"/>
      <c r="V157" s="9"/>
      <c r="W157" s="9"/>
      <c r="X157" s="9"/>
      <c r="Y157" s="9"/>
      <c r="Z157" s="9"/>
      <c r="AA157" s="9">
        <f t="shared" si="35"/>
        <v>0</v>
      </c>
    </row>
    <row r="158" spans="1:27">
      <c r="F158" s="15"/>
      <c r="H158" s="10"/>
      <c r="I158" s="10"/>
      <c r="J158" s="10"/>
      <c r="K158" s="10"/>
      <c r="L158" s="10"/>
      <c r="M158" s="10"/>
      <c r="N158" s="10"/>
      <c r="O158" s="278"/>
      <c r="P158" s="10"/>
      <c r="Q158" s="10"/>
      <c r="R158" s="10"/>
      <c r="S158" s="10"/>
      <c r="T158" s="10"/>
      <c r="U158" s="10"/>
      <c r="V158" s="10"/>
      <c r="W158" s="10"/>
      <c r="X158" s="10"/>
      <c r="Y158" s="10"/>
      <c r="Z158" s="10"/>
      <c r="AA158" s="10"/>
    </row>
    <row r="159" spans="1:27">
      <c r="A159" s="8" t="str">
        <f>'Input 4 - Forecast'!A63</f>
        <v>Type 4</v>
      </c>
      <c r="B159" s="7">
        <f>B119</f>
        <v>2018</v>
      </c>
      <c r="C159" s="7" t="str">
        <f>$I82</f>
        <v>Annual</v>
      </c>
      <c r="D159" s="7">
        <f>$J82</f>
        <v>0</v>
      </c>
      <c r="E159" s="7">
        <f>$K82</f>
        <v>0</v>
      </c>
      <c r="F159" s="14">
        <f>$L$82</f>
        <v>0</v>
      </c>
      <c r="H159" s="9">
        <f>$B$82</f>
        <v>0</v>
      </c>
      <c r="I159" s="9">
        <f>H159-P159</f>
        <v>0</v>
      </c>
      <c r="J159" s="9">
        <f>I159-Q159</f>
        <v>0</v>
      </c>
      <c r="K159" s="9">
        <f>J159-R159</f>
        <v>0</v>
      </c>
      <c r="L159" s="9">
        <f>K159-S159</f>
        <v>0</v>
      </c>
      <c r="M159" s="9">
        <f>L159-T159</f>
        <v>0</v>
      </c>
      <c r="N159" s="9"/>
      <c r="O159" s="9">
        <f t="shared" ref="O159:T159" si="37">IF(OR($C159="Annual",$D159=$E159),IF(AND($D159=$E159,O$111=$B159+$D159),$H159,IF(AND(O$111&gt;$B159+$D159,O$111&lt;=$B159+$E159), $H159/($E159-$D159),0)), IF(OR(O$111=$B159+$D159,O$111=$B159+$E159),$H159/(($E159-$D159)*2),IF(AND(O$111&gt;$B159+$D159,O$111&lt;$B159+$E159),$H159/($E159-$D159),0)))</f>
        <v>0</v>
      </c>
      <c r="P159" s="9">
        <f t="shared" si="37"/>
        <v>0</v>
      </c>
      <c r="Q159" s="9">
        <f t="shared" si="37"/>
        <v>0</v>
      </c>
      <c r="R159" s="9">
        <f t="shared" si="37"/>
        <v>0</v>
      </c>
      <c r="S159" s="9">
        <f t="shared" si="37"/>
        <v>0</v>
      </c>
      <c r="T159" s="9">
        <f t="shared" si="37"/>
        <v>0</v>
      </c>
      <c r="U159" s="9"/>
      <c r="V159" s="9">
        <f>IF($C159="annual",IF(V$111=$B159,0,G159*$F159),IF(V$111-$B159=0,0,IF((V$111-$B159)&lt;$E159,AVERAGE(G159,H159)*$F159,IF((V$111-$B159)=$E159,G159*$F159/2,0))))</f>
        <v>0</v>
      </c>
      <c r="W159" s="9">
        <f t="shared" ref="W159:AA164" si="38">IF($C159="annual",IF(W$111=$B159,0,H159*$F159),IF(W$111-$B159=0,0,IF((W$111-$B159)&lt;$E159,AVERAGE(H159,I159)*$F159,IF((W$111-$B159)=$E159,H159*$F159/2,0))))</f>
        <v>0</v>
      </c>
      <c r="X159" s="9">
        <f t="shared" si="38"/>
        <v>0</v>
      </c>
      <c r="Y159" s="9">
        <f t="shared" si="38"/>
        <v>0</v>
      </c>
      <c r="Z159" s="9">
        <f t="shared" si="38"/>
        <v>0</v>
      </c>
      <c r="AA159" s="9">
        <f t="shared" si="38"/>
        <v>0</v>
      </c>
    </row>
    <row r="160" spans="1:27">
      <c r="A160" s="8" t="str">
        <f>A159</f>
        <v>Type 4</v>
      </c>
      <c r="B160" s="7">
        <f>B159+1</f>
        <v>2019</v>
      </c>
      <c r="C160" s="7" t="str">
        <f t="shared" ref="C160:E164" si="39">C159</f>
        <v>Annual</v>
      </c>
      <c r="D160" s="7">
        <f t="shared" si="39"/>
        <v>0</v>
      </c>
      <c r="E160" s="7">
        <f t="shared" si="39"/>
        <v>0</v>
      </c>
      <c r="F160" s="14">
        <f>$M$82</f>
        <v>2.5000000000000001E-3</v>
      </c>
      <c r="H160" s="9"/>
      <c r="I160" s="9">
        <f ca="1">$C$82</f>
        <v>159.52922118274589</v>
      </c>
      <c r="J160" s="9">
        <f ca="1">I160-Q160</f>
        <v>143.5762990644713</v>
      </c>
      <c r="K160" s="9">
        <f ca="1">J160-R160</f>
        <v>127.62337694619671</v>
      </c>
      <c r="L160" s="9">
        <f ca="1">K160-S160</f>
        <v>111.67045482792213</v>
      </c>
      <c r="M160" s="9">
        <f ca="1">L160-T160</f>
        <v>95.717532709647543</v>
      </c>
      <c r="N160" s="9"/>
      <c r="O160" s="9"/>
      <c r="P160" s="9">
        <f ca="1">IF(OR($C160="Annual",$D160=$E160),IF(AND($D160=$E160,P$111=$B160+$D160),$I160,IF(AND(P$111&gt;$B160+$D160,P$111&lt;=$B160+$E160), $I160/($E160-$D160),0)), IF(OR(P$111=$B160+$D160,P$111=$B160+$E160),$I160/(($E160-$D160)*2),IF(AND(P$111&gt;$B160+$D160,P$111&lt;$B160+$E160),$I160/($E160-$D160),0)))</f>
        <v>0</v>
      </c>
      <c r="Q160" s="9">
        <f>IF(OR($C160="Annual",$D160=$E160),IF(AND($D160=$E160,Q$111=$B160+$D160),$I160,IF(AND(Q$111&gt;$B160+$D160,Q$111&lt;=$B160+$E160), $I160/($E160-$D160),0)), IF(OR(Q$111=$B160+$D160,Q$111=$B160+$E160),$I160/(($E160-$D160)*2),IF(AND(Q$111&gt;$B160+$D160,Q$111&lt;$B160+$E160),$I160/($E160-$D160),0)))</f>
        <v>0</v>
      </c>
      <c r="R160" s="9">
        <f>IF(OR($C160="Annual",$D160=$E160),IF(AND($D160=$E160,R$111=$B160+$D160),$I160,IF(AND(R$111&gt;$B160+$D160,R$111&lt;=$B160+$E160), $I160/($E160-$D160),0)), IF(OR(R$111=$B160+$D160,R$111=$B160+$E160),$I160/(($E160-$D160)*2),IF(AND(R$111&gt;$B160+$D160,R$111&lt;$B160+$E160),$I160/($E160-$D160),0)))</f>
        <v>0</v>
      </c>
      <c r="S160" s="9">
        <f>IF(OR($C160="Annual",$D160=$E160),IF(AND($D160=$E160,S$111=$B160+$D160),$I160,IF(AND(S$111&gt;$B160+$D160,S$111&lt;=$B160+$E160), $I160/($E160-$D160),0)), IF(OR(S$111=$B160+$D160,S$111=$B160+$E160),$I160/(($E160-$D160)*2),IF(AND(S$111&gt;$B160+$D160,S$111&lt;$B160+$E160),$I160/($E160-$D160),0)))</f>
        <v>0</v>
      </c>
      <c r="T160" s="9">
        <f>IF(OR($C160="Annual",$D160=$E160),IF(AND($D160=$E160,T$111=$B160+$D160),$I160,IF(AND(T$111&gt;$B160+$D160,T$111&lt;=$B160+$E160), $I160/($E160-$D160),0)), IF(OR(T$111=$B160+$D160,T$111=$B160+$E160),$I160/(($E160-$D160)*2),IF(AND(T$111&gt;$B160+$D160,T$111&lt;$B160+$E160),$I160/($E160-$D160),0)))</f>
        <v>0</v>
      </c>
      <c r="U160" s="9"/>
      <c r="V160" s="9"/>
      <c r="W160" s="9">
        <f t="shared" si="38"/>
        <v>0</v>
      </c>
      <c r="X160" s="9">
        <f t="shared" ca="1" si="38"/>
        <v>8.0562256697286685</v>
      </c>
      <c r="Y160" s="9">
        <f t="shared" ca="1" si="38"/>
        <v>7.2506031027558011</v>
      </c>
      <c r="Z160" s="9">
        <f t="shared" ca="1" si="38"/>
        <v>6.4449805357829346</v>
      </c>
      <c r="AA160" s="9">
        <f t="shared" ca="1" si="38"/>
        <v>5.6393579688100681</v>
      </c>
    </row>
    <row r="161" spans="1:27">
      <c r="A161" s="8" t="str">
        <f>A160</f>
        <v>Type 4</v>
      </c>
      <c r="B161" s="7">
        <f>B160+1</f>
        <v>2020</v>
      </c>
      <c r="C161" s="7" t="str">
        <f t="shared" si="39"/>
        <v>Annual</v>
      </c>
      <c r="D161" s="7">
        <f t="shared" si="39"/>
        <v>0</v>
      </c>
      <c r="E161" s="7">
        <f t="shared" si="39"/>
        <v>0</v>
      </c>
      <c r="F161" s="14">
        <f>$N$82</f>
        <v>2.5000000000000001E-3</v>
      </c>
      <c r="H161" s="9"/>
      <c r="I161" s="9"/>
      <c r="J161" s="9">
        <f ca="1">$D$82</f>
        <v>166.44227515687965</v>
      </c>
      <c r="K161" s="9">
        <f ca="1">J161-R161</f>
        <v>149.79804764119169</v>
      </c>
      <c r="L161" s="9">
        <f ca="1">K161-S161</f>
        <v>133.15382012550373</v>
      </c>
      <c r="M161" s="9">
        <f ca="1">L161-T161</f>
        <v>116.50959260981577</v>
      </c>
      <c r="N161" s="9"/>
      <c r="O161" s="9"/>
      <c r="P161" s="9"/>
      <c r="Q161" s="9">
        <f ca="1">IF(OR($C161="Annual",$D161=$E161),IF(AND($D161=$E161,Q$111=$B161+$D161),$J161,IF(AND(Q$111&gt;$B161+$D161,Q$111&lt;=$B161+$E161), $J161/($E161-$D161),0)), IF(OR(Q$111=$B161+$D161,Q$111=$B161+$E161),$J161/(($E161-$D161)*2),IF(AND(Q$111&gt;$B161+$D161,Q$111&lt;$B161+$E161),$J161/($E161-$D161),0)))</f>
        <v>0</v>
      </c>
      <c r="R161" s="9">
        <f>IF(OR($C161="Annual",$D161=$E161),IF(AND($D161=$E161,R$111=$B161+$D161),$J161,IF(AND(R$111&gt;$B161+$D161,R$111&lt;=$B161+$E161), $J161/($E161-$D161),0)), IF(OR(R$111=$B161+$D161,R$111=$B161+$E161),$J161/(($E161-$D161)*2),IF(AND(R$111&gt;$B161+$D161,R$111&lt;$B161+$E161),$J161/($E161-$D161),0)))</f>
        <v>0</v>
      </c>
      <c r="S161" s="9">
        <f>IF(OR($C161="Annual",$D161=$E161),IF(AND($D161=$E161,S$111=$B161+$D161),$J161,IF(AND(S$111&gt;$B161+$D161,S$111&lt;=$B161+$E161), $J161/($E161-$D161),0)), IF(OR(S$111=$B161+$D161,S$111=$B161+$E161),$J161/(($E161-$D161)*2),IF(AND(S$111&gt;$B161+$D161,S$111&lt;$B161+$E161),$J161/($E161-$D161),0)))</f>
        <v>0</v>
      </c>
      <c r="T161" s="9">
        <f>IF(OR($C161="Annual",$D161=$E161),IF(AND($D161=$E161,T$111=$B161+$D161),$J161,IF(AND(T$111&gt;$B161+$D161,T$111&lt;=$B161+$E161), $J161/($E161-$D161),0)), IF(OR(T$111=$B161+$D161,T$111=$B161+$E161),$J161/(($E161-$D161)*2),IF(AND(T$111&gt;$B161+$D161,T$111&lt;$B161+$E161),$J161/($E161-$D161),0)))</f>
        <v>0</v>
      </c>
      <c r="U161" s="9"/>
      <c r="V161" s="9"/>
      <c r="W161" s="9"/>
      <c r="X161" s="9">
        <f t="shared" si="38"/>
        <v>0</v>
      </c>
      <c r="Y161" s="9">
        <f t="shared" ca="1" si="38"/>
        <v>8.9046617208930616</v>
      </c>
      <c r="Z161" s="9">
        <f t="shared" ca="1" si="38"/>
        <v>8.0141955488037553</v>
      </c>
      <c r="AA161" s="9">
        <f t="shared" ca="1" si="38"/>
        <v>7.1237293767144489</v>
      </c>
    </row>
    <row r="162" spans="1:27">
      <c r="A162" s="8" t="str">
        <f>A161</f>
        <v>Type 4</v>
      </c>
      <c r="B162" s="7">
        <f>B161+1</f>
        <v>2021</v>
      </c>
      <c r="C162" s="7" t="str">
        <f t="shared" si="39"/>
        <v>Annual</v>
      </c>
      <c r="D162" s="7">
        <f t="shared" si="39"/>
        <v>0</v>
      </c>
      <c r="E162" s="7">
        <f t="shared" si="39"/>
        <v>0</v>
      </c>
      <c r="F162" s="14">
        <f>$O$82</f>
        <v>2.5000000000000001E-3</v>
      </c>
      <c r="H162" s="9"/>
      <c r="I162" s="9"/>
      <c r="J162" s="9"/>
      <c r="K162" s="9">
        <f ca="1">$E$82</f>
        <v>171.56956235261444</v>
      </c>
      <c r="L162" s="9">
        <f ca="1">K162-S162</f>
        <v>154.41260611735299</v>
      </c>
      <c r="M162" s="9">
        <f ca="1">L162-T162</f>
        <v>137.25564988209155</v>
      </c>
      <c r="N162" s="9"/>
      <c r="O162" s="9"/>
      <c r="P162" s="9"/>
      <c r="Q162" s="9"/>
      <c r="R162" s="9">
        <f ca="1">IF(OR($C162="Annual",$D162=$E162),IF(AND($D162=$E162,R$111=$B162+$D162),$K162,IF(AND(R$111&gt;$B162+$D162,R$111&lt;=$B162+$E162), $K162/($E162-$D162),0)), IF(OR(R$111=$B162+$D162,R$111=$B162+$E162),$K162/(($E162-$D162)*2),IF(AND(R$111&gt;$B162+$D162,R$111&lt;$B162+$E162),$K162/($E162-$D162),0)))</f>
        <v>0</v>
      </c>
      <c r="S162" s="9">
        <f>IF(OR($C162="Annual",$D162=$E162),IF(AND($D162=$E162,S$111=$B162+$D162),$K162,IF(AND(S$111&gt;$B162+$D162,S$111&lt;=$B162+$E162), $K162/($E162-$D162),0)), IF(OR(S$111=$B162+$D162,S$111=$B162+$E162),$K162/(($E162-$D162)*2),IF(AND(S$111&gt;$B162+$D162,S$111&lt;$B162+$E162),$K162/($E162-$D162),0)))</f>
        <v>0</v>
      </c>
      <c r="T162" s="9">
        <f>IF(OR($C162="Annual",$D162=$E162),IF(AND($D162=$E162,T$111=$B162+$D162),$K162,IF(AND(T$111&gt;$B162+$D162,T$111&lt;=$B162+$E162), $K162/($E162-$D162),0)), IF(OR(T$111=$B162+$D162,T$111=$B162+$E162),$K162/(($E162-$D162)*2),IF(AND(T$111&gt;$B162+$D162,T$111&lt;$B162+$E162),$K162/($E162-$D162),0)))</f>
        <v>0</v>
      </c>
      <c r="U162" s="9"/>
      <c r="V162" s="9"/>
      <c r="W162" s="9"/>
      <c r="X162" s="9"/>
      <c r="Y162" s="9">
        <f t="shared" si="38"/>
        <v>0</v>
      </c>
      <c r="Z162" s="9">
        <f t="shared" ca="1" si="38"/>
        <v>9.3505411482174878</v>
      </c>
      <c r="AA162" s="9">
        <f t="shared" ca="1" si="38"/>
        <v>8.4154870333957383</v>
      </c>
    </row>
    <row r="163" spans="1:27">
      <c r="A163" s="8" t="str">
        <f>A162</f>
        <v>Type 4</v>
      </c>
      <c r="B163" s="7">
        <f>B162+1</f>
        <v>2022</v>
      </c>
      <c r="C163" s="7" t="str">
        <f t="shared" si="39"/>
        <v>Annual</v>
      </c>
      <c r="D163" s="7">
        <f t="shared" si="39"/>
        <v>0</v>
      </c>
      <c r="E163" s="7">
        <f t="shared" si="39"/>
        <v>0</v>
      </c>
      <c r="F163" s="14">
        <f>$P$82</f>
        <v>2.5000000000000001E-3</v>
      </c>
      <c r="H163" s="9"/>
      <c r="I163" s="9"/>
      <c r="J163" s="9"/>
      <c r="K163" s="9"/>
      <c r="L163" s="9">
        <f ca="1">$F$82</f>
        <v>193.55915693779798</v>
      </c>
      <c r="M163" s="9">
        <f ca="1">L163-T163</f>
        <v>174.20324124401819</v>
      </c>
      <c r="N163" s="9"/>
      <c r="O163" s="9"/>
      <c r="P163" s="9"/>
      <c r="Q163" s="9"/>
      <c r="R163" s="9"/>
      <c r="S163" s="9">
        <f ca="1">IF(OR($C163="Annual",$D163=$E163),IF(AND($D163=$E163,S$111=$B163+$D163),$L163,IF(AND(S$111&gt;$B163+$D163,S$111&lt;=$B163+$E163), $L163/($E163-$D163),0)), IF(OR(S$111=$B163+$D163,S$111=$B163+$E163),$L163/(($E163-$D163)*2),IF(AND(S$111&gt;$B163+$D163,S$111&lt;$B163+$E163),$L163/($E163-$D163),0)))</f>
        <v>0</v>
      </c>
      <c r="T163" s="9">
        <f>IF(OR($C163="Annual",$D163=$E163),IF(AND($D163=$E163,T$111=$B163+$D163),$L163,IF(AND(T$111&gt;$B163+$D163,T$111&lt;=$B163+$E163), $L163/($E163-$D163),0)), IF(OR(T$111=$B163+$D163,T$111=$B163+$E163),$L163/(($E163-$D163)*2),IF(AND(T$111&gt;$B163+$D163,T$111&lt;$B163+$E163),$L163/($E163-$D163),0)))</f>
        <v>0</v>
      </c>
      <c r="U163" s="9"/>
      <c r="V163" s="9"/>
      <c r="W163" s="9"/>
      <c r="X163" s="9"/>
      <c r="Y163" s="9"/>
      <c r="Z163" s="9">
        <f t="shared" si="38"/>
        <v>0</v>
      </c>
      <c r="AA163" s="9">
        <f t="shared" ca="1" si="38"/>
        <v>10.742533210047789</v>
      </c>
    </row>
    <row r="164" spans="1:27">
      <c r="A164" s="8" t="str">
        <f>A163</f>
        <v>Type 4</v>
      </c>
      <c r="B164" s="7">
        <f>B163+1</f>
        <v>2023</v>
      </c>
      <c r="C164" s="7" t="str">
        <f t="shared" si="39"/>
        <v>Annual</v>
      </c>
      <c r="D164" s="7">
        <f t="shared" si="39"/>
        <v>0</v>
      </c>
      <c r="E164" s="7">
        <f t="shared" si="39"/>
        <v>0</v>
      </c>
      <c r="F164" s="14">
        <f>$Q$82</f>
        <v>2.5000000000000001E-3</v>
      </c>
      <c r="H164" s="9"/>
      <c r="I164" s="9"/>
      <c r="J164" s="9"/>
      <c r="K164" s="9"/>
      <c r="L164" s="9"/>
      <c r="M164" s="9">
        <f ca="1">$G$82</f>
        <v>219.33965147170107</v>
      </c>
      <c r="N164" s="9"/>
      <c r="O164" s="9"/>
      <c r="P164" s="9"/>
      <c r="Q164" s="9"/>
      <c r="R164" s="9"/>
      <c r="S164" s="9"/>
      <c r="T164" s="9">
        <f ca="1">IF(OR($C164="Annual",$D164=$E164),IF(AND($D164=$E164,T$111=$B164+$D164),$M164,IF(AND(T$111&gt;$B164+$D164,T$111&lt;=$B164+$E164), $M164/($E164-$D164),0)), IF(OR(T$111=$B164+$D164,T$111=$B164+$E164),$M164/(($E164-$D164)*2),IF(AND(T$111&gt;$B164+$D164,T$111&lt;$B164+$E164),$M164/($E164-$D164),0)))</f>
        <v>0</v>
      </c>
      <c r="U164" s="9"/>
      <c r="V164" s="9"/>
      <c r="W164" s="9"/>
      <c r="X164" s="9"/>
      <c r="Y164" s="9"/>
      <c r="Z164" s="9"/>
      <c r="AA164" s="9">
        <f t="shared" si="38"/>
        <v>0</v>
      </c>
    </row>
    <row r="165" spans="1:27">
      <c r="F165" s="15"/>
      <c r="H165" s="10"/>
      <c r="I165" s="10"/>
      <c r="J165" s="10"/>
      <c r="K165" s="10"/>
      <c r="L165" s="10"/>
      <c r="M165" s="10"/>
      <c r="N165" s="10"/>
      <c r="O165" s="278"/>
      <c r="P165" s="10"/>
      <c r="Q165" s="10"/>
      <c r="R165" s="10"/>
      <c r="S165" s="10"/>
      <c r="T165" s="10"/>
      <c r="U165" s="10"/>
      <c r="V165" s="10"/>
      <c r="W165" s="10"/>
      <c r="X165" s="10"/>
      <c r="Y165" s="10"/>
      <c r="Z165" s="10"/>
      <c r="AA165" s="10"/>
    </row>
    <row r="166" spans="1:27" s="1150" customFormat="1">
      <c r="A166" s="1347" t="str">
        <f>'Input 4 - Forecast'!A64</f>
        <v>ZERO-COUPON BOND</v>
      </c>
      <c r="B166" s="1348">
        <f>B119</f>
        <v>2018</v>
      </c>
      <c r="C166" s="1348"/>
      <c r="D166" s="1348">
        <f>$J83</f>
        <v>0</v>
      </c>
      <c r="E166" s="1348">
        <f>$K83</f>
        <v>0</v>
      </c>
      <c r="F166" s="1349">
        <f>$L$83</f>
        <v>0</v>
      </c>
      <c r="H166" s="1350">
        <f>$B$83</f>
        <v>0</v>
      </c>
      <c r="I166" s="1350">
        <f>H166-P166</f>
        <v>0</v>
      </c>
      <c r="J166" s="1350">
        <f>I166-Q166</f>
        <v>0</v>
      </c>
      <c r="K166" s="1350">
        <f>J166-R166</f>
        <v>0</v>
      </c>
      <c r="L166" s="1350">
        <f>K166-S166</f>
        <v>0</v>
      </c>
      <c r="M166" s="1350">
        <f>L166-T166</f>
        <v>0</v>
      </c>
      <c r="N166" s="1350"/>
      <c r="O166" s="1350">
        <f t="shared" ref="O166:T166" si="40">IF($D166=$E166,IF(O$111=$B166+$E166,$H166,0),0)</f>
        <v>0</v>
      </c>
      <c r="P166" s="1350">
        <f t="shared" si="40"/>
        <v>0</v>
      </c>
      <c r="Q166" s="1350">
        <f t="shared" si="40"/>
        <v>0</v>
      </c>
      <c r="R166" s="1350">
        <f t="shared" si="40"/>
        <v>0</v>
      </c>
      <c r="S166" s="1350">
        <f t="shared" si="40"/>
        <v>0</v>
      </c>
      <c r="T166" s="1350">
        <f t="shared" si="40"/>
        <v>0</v>
      </c>
      <c r="U166" s="1350"/>
      <c r="V166" s="1350">
        <f t="shared" ref="V166:AA166" si="41">IF(V$111-$B166=$D166,$H166*(((1+$F166)^$D166)-1),0)</f>
        <v>0</v>
      </c>
      <c r="W166" s="1350">
        <f t="shared" si="41"/>
        <v>0</v>
      </c>
      <c r="X166" s="1350">
        <f t="shared" si="41"/>
        <v>0</v>
      </c>
      <c r="Y166" s="1350">
        <f t="shared" si="41"/>
        <v>0</v>
      </c>
      <c r="Z166" s="1350">
        <f t="shared" si="41"/>
        <v>0</v>
      </c>
      <c r="AA166" s="1350">
        <f t="shared" si="41"/>
        <v>0</v>
      </c>
    </row>
    <row r="167" spans="1:27" s="1150" customFormat="1">
      <c r="A167" s="1347" t="str">
        <f>A166</f>
        <v>ZERO-COUPON BOND</v>
      </c>
      <c r="B167" s="1348">
        <f>B166+1</f>
        <v>2019</v>
      </c>
      <c r="C167" s="1348"/>
      <c r="D167" s="1348">
        <f t="shared" ref="D167:E171" si="42">D166</f>
        <v>0</v>
      </c>
      <c r="E167" s="1348">
        <f t="shared" si="42"/>
        <v>0</v>
      </c>
      <c r="F167" s="1349">
        <f>$M$83</f>
        <v>2.5000000000000001E-3</v>
      </c>
      <c r="H167" s="1350"/>
      <c r="I167" s="1350">
        <f ca="1">$C$83</f>
        <v>0</v>
      </c>
      <c r="J167" s="1350">
        <f ca="1">I167-Q167</f>
        <v>0</v>
      </c>
      <c r="K167" s="1350">
        <f ca="1">J167-R167</f>
        <v>0</v>
      </c>
      <c r="L167" s="1350">
        <f ca="1">K167-S167</f>
        <v>0</v>
      </c>
      <c r="M167" s="1350">
        <f ca="1">L167-T167</f>
        <v>0</v>
      </c>
      <c r="N167" s="1350"/>
      <c r="O167" s="1351"/>
      <c r="P167" s="1350">
        <f ca="1">IF($D167=$E167,IF(P$111=$B167+$E167,$I167,0),0)</f>
        <v>0</v>
      </c>
      <c r="Q167" s="1350">
        <f>IF($D167=$E167,IF(Q$111=$B167+$E167,$I167,0),0)</f>
        <v>0</v>
      </c>
      <c r="R167" s="1350">
        <f>IF($D167=$E167,IF(R$111=$B167+$E167,$I167,0),0)</f>
        <v>0</v>
      </c>
      <c r="S167" s="1350">
        <f>IF($D167=$E167,IF(S$111=$B167+$E167,$I167,0),0)</f>
        <v>0</v>
      </c>
      <c r="T167" s="1350">
        <f>IF($D167=$E167,IF(T$111=$B167+$E167,$I167,0),0)</f>
        <v>0</v>
      </c>
      <c r="U167" s="1350"/>
      <c r="V167" s="1350"/>
      <c r="W167" s="1350">
        <f ca="1">IF(W$111-$B167=$D167,$I167*(((1+$F167)^$D167)-1),0)</f>
        <v>0</v>
      </c>
      <c r="X167" s="1350">
        <f>IF(X$111-$B167=$D167,$I167*(((1+$F167)^$D167)-1),0)</f>
        <v>0</v>
      </c>
      <c r="Y167" s="1350">
        <f>IF(Y$111-$B167=$D167,$I167*(((1+$F167)^$D167)-1),0)</f>
        <v>0</v>
      </c>
      <c r="Z167" s="1350">
        <f>IF(Z$111-$B167=$D167,$I167*(((1+$F167)^$D167)-1),0)</f>
        <v>0</v>
      </c>
      <c r="AA167" s="1350">
        <f>IF(AA$111-$B167=$D167,$I167*(((1+$F167)^$D167)-1),0)</f>
        <v>0</v>
      </c>
    </row>
    <row r="168" spans="1:27" s="1150" customFormat="1">
      <c r="A168" s="1347" t="str">
        <f>A167</f>
        <v>ZERO-COUPON BOND</v>
      </c>
      <c r="B168" s="1348">
        <f>B167+1</f>
        <v>2020</v>
      </c>
      <c r="C168" s="1348"/>
      <c r="D168" s="1348">
        <f t="shared" si="42"/>
        <v>0</v>
      </c>
      <c r="E168" s="1348">
        <f t="shared" si="42"/>
        <v>0</v>
      </c>
      <c r="F168" s="1349">
        <f>$N$83</f>
        <v>2.5000000000000001E-3</v>
      </c>
      <c r="H168" s="1350"/>
      <c r="I168" s="1350"/>
      <c r="J168" s="1350">
        <f ca="1">$D$83</f>
        <v>0</v>
      </c>
      <c r="K168" s="1350">
        <f ca="1">J168-R168</f>
        <v>0</v>
      </c>
      <c r="L168" s="1350">
        <f ca="1">K168-S168</f>
        <v>0</v>
      </c>
      <c r="M168" s="1350">
        <f ca="1">L168-T168</f>
        <v>0</v>
      </c>
      <c r="N168" s="1350"/>
      <c r="O168" s="1351"/>
      <c r="P168" s="1350"/>
      <c r="Q168" s="1350">
        <f ca="1">IF($D168=$E168,IF(Q$111=$B168+$E168,$J168,0),0)</f>
        <v>0</v>
      </c>
      <c r="R168" s="1350">
        <f>IF($D168=$E168,IF(R$111=$B168+$E168,$J168,0),0)</f>
        <v>0</v>
      </c>
      <c r="S168" s="1350">
        <f>IF($D168=$E168,IF(S$111=$B168+$E168,$J168,0),0)</f>
        <v>0</v>
      </c>
      <c r="T168" s="1350">
        <f>IF($D168=$E168,IF(T$111=$B168+$E168,$J168,0),0)</f>
        <v>0</v>
      </c>
      <c r="U168" s="1350"/>
      <c r="V168" s="1350"/>
      <c r="W168" s="1350"/>
      <c r="X168" s="1350">
        <f ca="1">IF(X$111-$B168=$D168,$J168*(((1+$F168)^$D168)-1),0)</f>
        <v>0</v>
      </c>
      <c r="Y168" s="1350">
        <f>IF(Y$111-$B168=$D168,$J168*(((1+$F168)^$D168)-1),0)</f>
        <v>0</v>
      </c>
      <c r="Z168" s="1350">
        <f>IF(Z$111-$B168=$D168,$J168*(((1+$F168)^$D168)-1),0)</f>
        <v>0</v>
      </c>
      <c r="AA168" s="1350">
        <f>IF(AA$111-$B168=$D168,$J168*(((1+$F168)^$D168)-1),0)</f>
        <v>0</v>
      </c>
    </row>
    <row r="169" spans="1:27" s="1150" customFormat="1">
      <c r="A169" s="1347" t="str">
        <f>A168</f>
        <v>ZERO-COUPON BOND</v>
      </c>
      <c r="B169" s="1348">
        <f>B168+1</f>
        <v>2021</v>
      </c>
      <c r="C169" s="1348"/>
      <c r="D169" s="1348">
        <f t="shared" si="42"/>
        <v>0</v>
      </c>
      <c r="E169" s="1348">
        <f t="shared" si="42"/>
        <v>0</v>
      </c>
      <c r="F169" s="1349">
        <f>$O$83</f>
        <v>2.5000000000000001E-3</v>
      </c>
      <c r="H169" s="1350"/>
      <c r="I169" s="1350"/>
      <c r="J169" s="1350"/>
      <c r="K169" s="1350">
        <f ca="1">$E$83</f>
        <v>0</v>
      </c>
      <c r="L169" s="1350">
        <f ca="1">K169-S169</f>
        <v>0</v>
      </c>
      <c r="M169" s="1350">
        <f ca="1">L169-T169</f>
        <v>0</v>
      </c>
      <c r="N169" s="1350"/>
      <c r="O169" s="1351"/>
      <c r="P169" s="1350"/>
      <c r="Q169" s="1350"/>
      <c r="R169" s="1350">
        <f ca="1">IF($D169=$E169,IF(R$111=$B169+$E169,$K169,0),0)</f>
        <v>0</v>
      </c>
      <c r="S169" s="1350">
        <f>IF($D169=$E169,IF(S$111=$B169+$E169,$K169,0),0)</f>
        <v>0</v>
      </c>
      <c r="T169" s="1350">
        <f>IF($D169=$E169,IF(T$111=$B169+$E169,$K169,0),0)</f>
        <v>0</v>
      </c>
      <c r="U169" s="1350"/>
      <c r="V169" s="1350"/>
      <c r="W169" s="1350"/>
      <c r="X169" s="1350"/>
      <c r="Y169" s="1350">
        <f ca="1">IF(Y$111-$B169=$D169,$K169*(((1+$F169)^$D169)-1),0)</f>
        <v>0</v>
      </c>
      <c r="Z169" s="1350">
        <f>IF(Z$111-$B169=$D169,$K169*(((1+$F169)^$D169)-1),0)</f>
        <v>0</v>
      </c>
      <c r="AA169" s="1350">
        <f>IF(AA$111-$B169=$D169,$K169*(((1+$F169)^$D169)-1),0)</f>
        <v>0</v>
      </c>
    </row>
    <row r="170" spans="1:27" s="1150" customFormat="1">
      <c r="A170" s="1347" t="str">
        <f>A169</f>
        <v>ZERO-COUPON BOND</v>
      </c>
      <c r="B170" s="1348">
        <f>B169+1</f>
        <v>2022</v>
      </c>
      <c r="C170" s="1348"/>
      <c r="D170" s="1348">
        <f t="shared" si="42"/>
        <v>0</v>
      </c>
      <c r="E170" s="1348">
        <f t="shared" si="42"/>
        <v>0</v>
      </c>
      <c r="F170" s="1349">
        <f>$P$83</f>
        <v>2.5000000000000001E-3</v>
      </c>
      <c r="H170" s="1350"/>
      <c r="I170" s="1350"/>
      <c r="J170" s="1350"/>
      <c r="K170" s="1350"/>
      <c r="L170" s="1350">
        <f ca="1">$F$83</f>
        <v>0</v>
      </c>
      <c r="M170" s="1350">
        <f ca="1">L170-T170</f>
        <v>0</v>
      </c>
      <c r="N170" s="1350"/>
      <c r="O170" s="1351"/>
      <c r="P170" s="1350"/>
      <c r="Q170" s="1350"/>
      <c r="R170" s="1350"/>
      <c r="S170" s="1350">
        <f ca="1">IF($D170=$E170,IF(S$111=$B170+$E170,$L170,0),0)</f>
        <v>0</v>
      </c>
      <c r="T170" s="1350">
        <f>IF($D170=$E170,IF(T$111=$B170+$E170,$L170,0),0)</f>
        <v>0</v>
      </c>
      <c r="U170" s="1350"/>
      <c r="V170" s="1350"/>
      <c r="W170" s="1350"/>
      <c r="X170" s="1350"/>
      <c r="Y170" s="1350"/>
      <c r="Z170" s="1350">
        <f ca="1">IF(Z$111-$B170=$D170,$L170*(((1+$F170)^$D170)-1),0)</f>
        <v>0</v>
      </c>
      <c r="AA170" s="1350">
        <f>IF(AA$111-$B170=$D170,$L170*(((1+$F170)^$D170)-1),0)</f>
        <v>0</v>
      </c>
    </row>
    <row r="171" spans="1:27" s="1150" customFormat="1">
      <c r="A171" s="1347" t="str">
        <f>A170</f>
        <v>ZERO-COUPON BOND</v>
      </c>
      <c r="B171" s="1348">
        <f>B170+1</f>
        <v>2023</v>
      </c>
      <c r="C171" s="1348"/>
      <c r="D171" s="1348">
        <f t="shared" si="42"/>
        <v>0</v>
      </c>
      <c r="E171" s="1348">
        <f t="shared" si="42"/>
        <v>0</v>
      </c>
      <c r="F171" s="1349">
        <f>$Q$83</f>
        <v>2.5000000000000001E-3</v>
      </c>
      <c r="H171" s="1350"/>
      <c r="I171" s="1350"/>
      <c r="J171" s="1350"/>
      <c r="K171" s="1350"/>
      <c r="L171" s="1350"/>
      <c r="M171" s="1350">
        <f ca="1">$G$83</f>
        <v>0</v>
      </c>
      <c r="N171" s="1350"/>
      <c r="O171" s="1351"/>
      <c r="P171" s="1350"/>
      <c r="Q171" s="1350"/>
      <c r="R171" s="1350"/>
      <c r="S171" s="1350"/>
      <c r="T171" s="1350">
        <f ca="1">IF($D171=$E171,IF(T$111=$B171+$E171,$M171,0),0)</f>
        <v>0</v>
      </c>
      <c r="U171" s="1350"/>
      <c r="V171" s="1350"/>
      <c r="W171" s="1350"/>
      <c r="X171" s="1350"/>
      <c r="Y171" s="1350"/>
      <c r="Z171" s="1350"/>
      <c r="AA171" s="1350">
        <f ca="1">IF(AA$111-$B171=$D171,$M171*(((1+$F171)^$D171)-1),0)</f>
        <v>0</v>
      </c>
    </row>
    <row r="172" spans="1:27" ht="15.75" thickBot="1">
      <c r="H172" s="10"/>
      <c r="I172" s="10"/>
      <c r="J172" s="10"/>
      <c r="K172" s="10"/>
      <c r="L172" s="10"/>
      <c r="M172" s="10"/>
      <c r="N172" s="10"/>
      <c r="O172" s="10"/>
      <c r="P172" s="10"/>
      <c r="Q172" s="10"/>
      <c r="R172" s="10"/>
      <c r="S172" s="10"/>
      <c r="T172" s="10"/>
      <c r="U172" s="10"/>
      <c r="V172" s="10"/>
      <c r="W172" s="10"/>
      <c r="X172" s="10"/>
      <c r="Y172" s="10"/>
      <c r="Z172" s="10"/>
      <c r="AA172" s="10"/>
    </row>
    <row r="173" spans="1:27" ht="15.75" thickBot="1">
      <c r="A173" s="12" t="str">
        <f>'Input 4 - Forecast'!A65</f>
        <v>Denominated in foreign currency</v>
      </c>
      <c r="B173" s="1999" t="s">
        <v>52</v>
      </c>
      <c r="C173" s="2000"/>
      <c r="D173" s="2000"/>
      <c r="E173" s="2000"/>
      <c r="F173" s="2000"/>
      <c r="G173" s="2000"/>
      <c r="H173" s="2000"/>
      <c r="I173" s="2000"/>
      <c r="J173" s="2000"/>
      <c r="K173" s="2000"/>
      <c r="L173" s="2000"/>
      <c r="M173" s="2000"/>
      <c r="N173" s="2000"/>
      <c r="O173" s="2000"/>
      <c r="P173" s="2000"/>
      <c r="Q173" s="2000"/>
      <c r="R173" s="2000"/>
      <c r="S173" s="2000"/>
      <c r="T173" s="2000"/>
      <c r="U173" s="2000"/>
      <c r="V173" s="2000"/>
      <c r="W173" s="2000"/>
      <c r="X173" s="2000"/>
      <c r="Y173" s="2000"/>
      <c r="Z173" s="2000"/>
      <c r="AA173" s="2001"/>
    </row>
    <row r="174" spans="1:27">
      <c r="H174" s="10"/>
      <c r="I174" s="10"/>
      <c r="J174" s="10"/>
      <c r="K174" s="10"/>
      <c r="L174" s="10"/>
      <c r="M174" s="10"/>
      <c r="N174" s="10"/>
      <c r="O174" s="10"/>
      <c r="P174" s="10"/>
      <c r="Q174" s="10"/>
      <c r="R174" s="10"/>
      <c r="S174" s="10"/>
      <c r="T174" s="10"/>
      <c r="U174" s="10"/>
      <c r="V174" s="10"/>
      <c r="W174" s="10"/>
      <c r="X174" s="10"/>
      <c r="Y174" s="10"/>
      <c r="Z174" s="10"/>
      <c r="AA174" s="10"/>
    </row>
    <row r="175" spans="1:27">
      <c r="A175" s="8" t="str">
        <f>'Input 4 - Forecast'!A66</f>
        <v>Type 6</v>
      </c>
      <c r="B175" s="7">
        <f>B119</f>
        <v>2018</v>
      </c>
      <c r="C175" s="7" t="str">
        <f>$I85</f>
        <v>Annual</v>
      </c>
      <c r="D175" s="7">
        <f>$J85</f>
        <v>0</v>
      </c>
      <c r="E175" s="7">
        <f>$K85</f>
        <v>0</v>
      </c>
      <c r="F175" s="14">
        <f>$L$85</f>
        <v>0</v>
      </c>
      <c r="H175" s="9">
        <f>$B$85/$B$31</f>
        <v>0</v>
      </c>
      <c r="I175" s="9">
        <f>H175-P175</f>
        <v>0</v>
      </c>
      <c r="J175" s="9">
        <f>I175-Q175</f>
        <v>0</v>
      </c>
      <c r="K175" s="9">
        <f>J175-R175</f>
        <v>0</v>
      </c>
      <c r="L175" s="9">
        <f>K175-S175</f>
        <v>0</v>
      </c>
      <c r="M175" s="9">
        <f>L175-T175</f>
        <v>0</v>
      </c>
      <c r="N175" s="9"/>
      <c r="O175" s="9">
        <f t="shared" ref="O175:T175" si="43">IF(OR($C175="Annual",$D175=$E175),IF(AND($D175=$E175,O$111=$B175+$D175),$H175,IF(AND(O$111&gt;$B175+$D175,O$111&lt;=$B175+$E175), $H175/($E175-$D175),0)), IF(OR(O$111=$B175+$D175,O$111=$B175+$E175),$H175/(($E175-$D175)*2),IF(AND(O$111&gt;$B175+$D175,O$111&lt;$B175+$E175),$H175/($E175-$D175),0)))</f>
        <v>0</v>
      </c>
      <c r="P175" s="9">
        <f t="shared" si="43"/>
        <v>0</v>
      </c>
      <c r="Q175" s="9">
        <f t="shared" si="43"/>
        <v>0</v>
      </c>
      <c r="R175" s="9">
        <f t="shared" si="43"/>
        <v>0</v>
      </c>
      <c r="S175" s="9">
        <f t="shared" si="43"/>
        <v>0</v>
      </c>
      <c r="T175" s="9">
        <f t="shared" si="43"/>
        <v>0</v>
      </c>
      <c r="U175" s="9"/>
      <c r="V175" s="9">
        <f>IF($C175="annual",IF(V$111=$B175,0,G175*$F175),IF(V$111-$B175=0,0,IF((V$111-$B175)&lt;$E175,AVERAGE(G175,H175)*$F175,IF((V$111-$B175)=$E175,G175*$F175/2,0))))</f>
        <v>0</v>
      </c>
      <c r="W175" s="9">
        <f t="shared" ref="W175:AA180" si="44">IF($C175="annual",IF(W$111=$B175,0,H175*$F175),IF(W$111-$B175=0,0,IF((W$111-$B175)&lt;$E175,AVERAGE(H175,I175)*$F175,IF((W$111-$B175)=$E175,H175*$F175/2,0))))</f>
        <v>0</v>
      </c>
      <c r="X175" s="9">
        <f t="shared" si="44"/>
        <v>0</v>
      </c>
      <c r="Y175" s="9">
        <f t="shared" si="44"/>
        <v>0</v>
      </c>
      <c r="Z175" s="9">
        <f t="shared" si="44"/>
        <v>0</v>
      </c>
      <c r="AA175" s="9">
        <f t="shared" si="44"/>
        <v>0</v>
      </c>
    </row>
    <row r="176" spans="1:27">
      <c r="A176" s="8" t="str">
        <f>A175</f>
        <v>Type 6</v>
      </c>
      <c r="B176" s="7">
        <f>B175+1</f>
        <v>2019</v>
      </c>
      <c r="C176" s="7" t="str">
        <f t="shared" ref="C176:E180" si="45">C175</f>
        <v>Annual</v>
      </c>
      <c r="D176" s="7">
        <f t="shared" si="45"/>
        <v>0</v>
      </c>
      <c r="E176" s="7">
        <f t="shared" si="45"/>
        <v>0</v>
      </c>
      <c r="F176" s="14">
        <f>$M$85</f>
        <v>2.5000000000000001E-3</v>
      </c>
      <c r="H176" s="9"/>
      <c r="I176" s="9">
        <f ca="1">$C$85/$C$31</f>
        <v>0</v>
      </c>
      <c r="J176" s="9">
        <f ca="1">I176-Q176</f>
        <v>0</v>
      </c>
      <c r="K176" s="9">
        <f ca="1">J176-R176</f>
        <v>0</v>
      </c>
      <c r="L176" s="9">
        <f ca="1">K176-S176</f>
        <v>0</v>
      </c>
      <c r="M176" s="9">
        <f ca="1">L176-T176</f>
        <v>0</v>
      </c>
      <c r="N176" s="9"/>
      <c r="O176" s="9"/>
      <c r="P176" s="9">
        <f ca="1">IF(OR($C176="Annual",$D176=$E176),IF(AND($D176=$E176,P$111=$B176+$D176),$I176,IF(AND(P$111&gt;$B176+$D176,P$111&lt;=$B176+$E176), $I176/($E176-$D176),0)), IF(OR(P$111=$B176+$D176,P$111=$B176+$E176),$I176/(($E176-$D176)*2),IF(AND(P$111&gt;$B176+$D176,P$111&lt;$B176+$E176),$I176/($E176-$D176),0)))</f>
        <v>0</v>
      </c>
      <c r="Q176" s="9">
        <f>IF(OR($C176="Annual",$D176=$E176),IF(AND($D176=$E176,Q$111=$B176+$D176),$I176,IF(AND(Q$111&gt;$B176+$D176,Q$111&lt;=$B176+$E176), $I176/($E176-$D176),0)), IF(OR(Q$111=$B176+$D176,Q$111=$B176+$E176),$I176/(($E176-$D176)*2),IF(AND(Q$111&gt;$B176+$D176,Q$111&lt;$B176+$E176),$I176/($E176-$D176),0)))</f>
        <v>0</v>
      </c>
      <c r="R176" s="9">
        <f>IF(OR($C176="Annual",$D176=$E176),IF(AND($D176=$E176,R$111=$B176+$D176),$I176,IF(AND(R$111&gt;$B176+$D176,R$111&lt;=$B176+$E176), $I176/($E176-$D176),0)), IF(OR(R$111=$B176+$D176,R$111=$B176+$E176),$I176/(($E176-$D176)*2),IF(AND(R$111&gt;$B176+$D176,R$111&lt;$B176+$E176),$I176/($E176-$D176),0)))</f>
        <v>0</v>
      </c>
      <c r="S176" s="9">
        <f>IF(OR($C176="Annual",$D176=$E176),IF(AND($D176=$E176,S$111=$B176+$D176),$I176,IF(AND(S$111&gt;$B176+$D176,S$111&lt;=$B176+$E176), $I176/($E176-$D176),0)), IF(OR(S$111=$B176+$D176,S$111=$B176+$E176),$I176/(($E176-$D176)*2),IF(AND(S$111&gt;$B176+$D176,S$111&lt;$B176+$E176),$I176/($E176-$D176),0)))</f>
        <v>0</v>
      </c>
      <c r="T176" s="9">
        <f>IF(OR($C176="Annual",$D176=$E176),IF(AND($D176=$E176,T$111=$B176+$D176),$I176,IF(AND(T$111&gt;$B176+$D176,T$111&lt;=$B176+$E176), $I176/($E176-$D176),0)), IF(OR(T$111=$B176+$D176,T$111=$B176+$E176),$I176/(($E176-$D176)*2),IF(AND(T$111&gt;$B176+$D176,T$111&lt;$B176+$E176),$I176/($E176-$D176),0)))</f>
        <v>0</v>
      </c>
      <c r="U176" s="9"/>
      <c r="V176" s="9"/>
      <c r="W176" s="9">
        <f t="shared" si="44"/>
        <v>0</v>
      </c>
      <c r="X176" s="9">
        <f t="shared" ca="1" si="44"/>
        <v>0</v>
      </c>
      <c r="Y176" s="9">
        <f t="shared" ca="1" si="44"/>
        <v>0</v>
      </c>
      <c r="Z176" s="9">
        <f t="shared" ca="1" si="44"/>
        <v>0</v>
      </c>
      <c r="AA176" s="9">
        <f t="shared" ca="1" si="44"/>
        <v>0</v>
      </c>
    </row>
    <row r="177" spans="1:27">
      <c r="A177" s="8" t="str">
        <f>A176</f>
        <v>Type 6</v>
      </c>
      <c r="B177" s="7">
        <f>B176+1</f>
        <v>2020</v>
      </c>
      <c r="C177" s="7" t="str">
        <f t="shared" si="45"/>
        <v>Annual</v>
      </c>
      <c r="D177" s="7">
        <f t="shared" si="45"/>
        <v>0</v>
      </c>
      <c r="E177" s="7">
        <f t="shared" si="45"/>
        <v>0</v>
      </c>
      <c r="F177" s="14">
        <f>$N$85</f>
        <v>2.5000000000000001E-3</v>
      </c>
      <c r="H177" s="9"/>
      <c r="I177" s="9"/>
      <c r="J177" s="9">
        <f ca="1">$D$85/$D$31</f>
        <v>0</v>
      </c>
      <c r="K177" s="9">
        <f ca="1">J177-R177</f>
        <v>0</v>
      </c>
      <c r="L177" s="9">
        <f ca="1">K177-S177</f>
        <v>0</v>
      </c>
      <c r="M177" s="9">
        <f ca="1">L177-T177</f>
        <v>0</v>
      </c>
      <c r="N177" s="9"/>
      <c r="O177" s="9"/>
      <c r="P177" s="9"/>
      <c r="Q177" s="9">
        <f ca="1">IF(OR($C177="Annual",$D177=$E177),IF(AND($D177=$E177,Q$111=$B177+$D177),$J177,IF(AND(Q$111&gt;$B177+$D177,Q$111&lt;=$B177+$E177), $J177/($E177-$D177),0)), IF(OR(Q$111=$B177+$D177,Q$111=$B177+$E177),$J177/(($E177-$D177)*2),IF(AND(Q$111&gt;$B177+$D177,Q$111&lt;$B177+$E177),$J177/($E177-$D177),0)))</f>
        <v>0</v>
      </c>
      <c r="R177" s="9">
        <f>IF(OR($C177="Annual",$D177=$E177),IF(AND($D177=$E177,R$111=$B177+$D177),$J177,IF(AND(R$111&gt;$B177+$D177,R$111&lt;=$B177+$E177), $J177/($E177-$D177),0)), IF(OR(R$111=$B177+$D177,R$111=$B177+$E177),$J177/(($E177-$D177)*2),IF(AND(R$111&gt;$B177+$D177,R$111&lt;$B177+$E177),$J177/($E177-$D177),0)))</f>
        <v>0</v>
      </c>
      <c r="S177" s="9">
        <f>IF(OR($C177="Annual",$D177=$E177),IF(AND($D177=$E177,S$111=$B177+$D177),$J177,IF(AND(S$111&gt;$B177+$D177,S$111&lt;=$B177+$E177), $J177/($E177-$D177),0)), IF(OR(S$111=$B177+$D177,S$111=$B177+$E177),$J177/(($E177-$D177)*2),IF(AND(S$111&gt;$B177+$D177,S$111&lt;$B177+$E177),$J177/($E177-$D177),0)))</f>
        <v>0</v>
      </c>
      <c r="T177" s="9">
        <f>IF(OR($C177="Annual",$D177=$E177),IF(AND($D177=$E177,T$111=$B177+$D177),$J177,IF(AND(T$111&gt;$B177+$D177,T$111&lt;=$B177+$E177), $J177/($E177-$D177),0)), IF(OR(T$111=$B177+$D177,T$111=$B177+$E177),$J177/(($E177-$D177)*2),IF(AND(T$111&gt;$B177+$D177,T$111&lt;$B177+$E177),$J177/($E177-$D177),0)))</f>
        <v>0</v>
      </c>
      <c r="U177" s="9"/>
      <c r="V177" s="9"/>
      <c r="W177" s="9"/>
      <c r="X177" s="9">
        <f t="shared" si="44"/>
        <v>0</v>
      </c>
      <c r="Y177" s="9">
        <f t="shared" ca="1" si="44"/>
        <v>0</v>
      </c>
      <c r="Z177" s="9">
        <f t="shared" ca="1" si="44"/>
        <v>0</v>
      </c>
      <c r="AA177" s="9">
        <f t="shared" ca="1" si="44"/>
        <v>0</v>
      </c>
    </row>
    <row r="178" spans="1:27">
      <c r="A178" s="8" t="str">
        <f>A177</f>
        <v>Type 6</v>
      </c>
      <c r="B178" s="7">
        <f>B177+1</f>
        <v>2021</v>
      </c>
      <c r="C178" s="7" t="str">
        <f t="shared" si="45"/>
        <v>Annual</v>
      </c>
      <c r="D178" s="7">
        <f t="shared" si="45"/>
        <v>0</v>
      </c>
      <c r="E178" s="7">
        <f t="shared" si="45"/>
        <v>0</v>
      </c>
      <c r="F178" s="14">
        <f>$O$85</f>
        <v>2.5000000000000001E-3</v>
      </c>
      <c r="H178" s="9"/>
      <c r="I178" s="9"/>
      <c r="J178" s="9"/>
      <c r="K178" s="9">
        <f ca="1">$E$85/$E$31</f>
        <v>0</v>
      </c>
      <c r="L178" s="9">
        <f ca="1">K178-S178</f>
        <v>0</v>
      </c>
      <c r="M178" s="9">
        <f ca="1">L178-T178</f>
        <v>0</v>
      </c>
      <c r="N178" s="9"/>
      <c r="O178" s="9"/>
      <c r="P178" s="9"/>
      <c r="Q178" s="9"/>
      <c r="R178" s="9">
        <f ca="1">IF(OR($C178="Annual",$D178=$E178),IF(AND($D178=$E178,R$111=$B178+$D178),$K178,IF(AND(R$111&gt;$B178+$D178,R$111&lt;=$B178+$E178), $K178/($E178-$D178),0)), IF(OR(R$111=$B178+$D178,R$111=$B178+$E178),$K178/(($E178-$D178)*2),IF(AND(R$111&gt;$B178+$D178,R$111&lt;$B178+$E178),$K178/($E178-$D178),0)))</f>
        <v>0</v>
      </c>
      <c r="S178" s="9">
        <f>IF(OR($C178="Annual",$D178=$E178),IF(AND($D178=$E178,S$111=$B178+$D178),$K178,IF(AND(S$111&gt;$B178+$D178,S$111&lt;=$B178+$E178), $K178/($E178-$D178),0)), IF(OR(S$111=$B178+$D178,S$111=$B178+$E178),$K178/(($E178-$D178)*2),IF(AND(S$111&gt;$B178+$D178,S$111&lt;$B178+$E178),$K178/($E178-$D178),0)))</f>
        <v>0</v>
      </c>
      <c r="T178" s="9">
        <f>IF(OR($C178="Annual",$D178=$E178),IF(AND($D178=$E178,T$111=$B178+$D178),$K178,IF(AND(T$111&gt;$B178+$D178,T$111&lt;=$B178+$E178), $K178/($E178-$D178),0)), IF(OR(T$111=$B178+$D178,T$111=$B178+$E178),$K178/(($E178-$D178)*2),IF(AND(T$111&gt;$B178+$D178,T$111&lt;$B178+$E178),$K178/($E178-$D178),0)))</f>
        <v>0</v>
      </c>
      <c r="U178" s="9"/>
      <c r="V178" s="9"/>
      <c r="W178" s="9"/>
      <c r="X178" s="9"/>
      <c r="Y178" s="9">
        <f t="shared" si="44"/>
        <v>0</v>
      </c>
      <c r="Z178" s="9">
        <f t="shared" ca="1" si="44"/>
        <v>0</v>
      </c>
      <c r="AA178" s="9">
        <f t="shared" ca="1" si="44"/>
        <v>0</v>
      </c>
    </row>
    <row r="179" spans="1:27">
      <c r="A179" s="8" t="str">
        <f>A178</f>
        <v>Type 6</v>
      </c>
      <c r="B179" s="7">
        <f>B178+1</f>
        <v>2022</v>
      </c>
      <c r="C179" s="7" t="str">
        <f t="shared" si="45"/>
        <v>Annual</v>
      </c>
      <c r="D179" s="7">
        <f t="shared" si="45"/>
        <v>0</v>
      </c>
      <c r="E179" s="7">
        <f t="shared" si="45"/>
        <v>0</v>
      </c>
      <c r="F179" s="14">
        <f>$P$85</f>
        <v>2.5000000000000001E-3</v>
      </c>
      <c r="H179" s="9"/>
      <c r="I179" s="9"/>
      <c r="J179" s="9"/>
      <c r="K179" s="9"/>
      <c r="L179" s="9">
        <f ca="1">$F$85/$F$31</f>
        <v>0</v>
      </c>
      <c r="M179" s="9">
        <f ca="1">L179-T179</f>
        <v>0</v>
      </c>
      <c r="N179" s="9"/>
      <c r="O179" s="9"/>
      <c r="P179" s="9"/>
      <c r="Q179" s="9"/>
      <c r="R179" s="9"/>
      <c r="S179" s="9">
        <f ca="1">IF(OR($C179="Annual",$D179=$E179),IF(AND($D179=$E179,S$111=$B179+$D179),$L179,IF(AND(S$111&gt;$B179+$D179,S$111&lt;=$B179+$E179), $L179/($E179-$D179),0)), IF(OR(S$111=$B179+$D179,S$111=$B179+$E179),$L179/(($E179-$D179)*2),IF(AND(S$111&gt;$B179+$D179,S$111&lt;$B179+$E179),$L179/($E179-$D179),0)))</f>
        <v>0</v>
      </c>
      <c r="T179" s="9">
        <f>IF(OR($C179="Annual",$D179=$E179),IF(AND($D179=$E179,T$111=$B179+$D179),$L179,IF(AND(T$111&gt;$B179+$D179,T$111&lt;=$B179+$E179), $L179/($E179-$D179),0)), IF(OR(T$111=$B179+$D179,T$111=$B179+$E179),$L179/(($E179-$D179)*2),IF(AND(T$111&gt;$B179+$D179,T$111&lt;$B179+$E179),$L179/($E179-$D179),0)))</f>
        <v>0</v>
      </c>
      <c r="U179" s="9"/>
      <c r="V179" s="9"/>
      <c r="W179" s="9"/>
      <c r="X179" s="9"/>
      <c r="Y179" s="9"/>
      <c r="Z179" s="9">
        <f t="shared" si="44"/>
        <v>0</v>
      </c>
      <c r="AA179" s="9">
        <f t="shared" ca="1" si="44"/>
        <v>0</v>
      </c>
    </row>
    <row r="180" spans="1:27">
      <c r="A180" s="8" t="str">
        <f>A179</f>
        <v>Type 6</v>
      </c>
      <c r="B180" s="7">
        <f>B179+1</f>
        <v>2023</v>
      </c>
      <c r="C180" s="7" t="str">
        <f t="shared" si="45"/>
        <v>Annual</v>
      </c>
      <c r="D180" s="7">
        <f t="shared" si="45"/>
        <v>0</v>
      </c>
      <c r="E180" s="7">
        <f t="shared" si="45"/>
        <v>0</v>
      </c>
      <c r="F180" s="14">
        <f>$Q$85</f>
        <v>2.5000000000000001E-3</v>
      </c>
      <c r="H180" s="9"/>
      <c r="I180" s="9"/>
      <c r="J180" s="9"/>
      <c r="K180" s="9"/>
      <c r="L180" s="9"/>
      <c r="M180" s="9">
        <f ca="1">$G$85/$G$31</f>
        <v>0</v>
      </c>
      <c r="N180" s="9"/>
      <c r="O180" s="9"/>
      <c r="P180" s="9"/>
      <c r="Q180" s="9"/>
      <c r="R180" s="9"/>
      <c r="S180" s="9"/>
      <c r="T180" s="9">
        <f ca="1">IF(OR($C180="Annual",$D180=$E180),IF(AND($D180=$E180,T$111=$B180+$D180),$M180,IF(AND(T$111&gt;$B180+$D180,T$111&lt;=$B180+$E180), $M180/($E180-$D180),0)), IF(OR(T$111=$B180+$D180,T$111=$B180+$E180),$M180/(($E180-$D180)*2),IF(AND(T$111&gt;$B180+$D180,T$111&lt;$B180+$E180),$M180/($E180-$D180),0)))</f>
        <v>0</v>
      </c>
      <c r="U180" s="9"/>
      <c r="V180" s="9"/>
      <c r="W180" s="9"/>
      <c r="X180" s="9"/>
      <c r="Y180" s="9"/>
      <c r="Z180" s="9"/>
      <c r="AA180" s="9">
        <f t="shared" si="44"/>
        <v>0</v>
      </c>
    </row>
    <row r="181" spans="1:27">
      <c r="A181" s="8"/>
      <c r="B181" s="7"/>
      <c r="C181" s="7"/>
      <c r="D181" s="7"/>
      <c r="E181" s="7"/>
      <c r="F181" s="15"/>
      <c r="H181" s="9"/>
      <c r="I181" s="9"/>
      <c r="J181" s="9"/>
      <c r="K181" s="9"/>
      <c r="L181" s="9"/>
      <c r="M181" s="9"/>
      <c r="N181" s="9"/>
      <c r="O181" s="278"/>
      <c r="P181" s="10"/>
      <c r="Q181" s="10"/>
      <c r="R181" s="10"/>
      <c r="S181" s="10"/>
      <c r="T181" s="10"/>
      <c r="U181" s="9"/>
      <c r="V181" s="10"/>
      <c r="W181" s="10"/>
      <c r="X181" s="10"/>
      <c r="Y181" s="10"/>
      <c r="Z181" s="10"/>
      <c r="AA181" s="10"/>
    </row>
    <row r="182" spans="1:27">
      <c r="A182" s="8" t="str">
        <f>'Input 4 - Forecast'!A67</f>
        <v>Type 7</v>
      </c>
      <c r="B182" s="7">
        <f>B119</f>
        <v>2018</v>
      </c>
      <c r="C182" s="7" t="str">
        <f>$I86</f>
        <v>Annual</v>
      </c>
      <c r="D182" s="7">
        <f>$J86</f>
        <v>0</v>
      </c>
      <c r="E182" s="7">
        <f>$K86</f>
        <v>0</v>
      </c>
      <c r="F182" s="14">
        <f>$L$86</f>
        <v>0</v>
      </c>
      <c r="H182" s="9">
        <f>$B$86/$B$31</f>
        <v>0</v>
      </c>
      <c r="I182" s="9">
        <f>H182-P182</f>
        <v>0</v>
      </c>
      <c r="J182" s="9">
        <f>I182-Q182</f>
        <v>0</v>
      </c>
      <c r="K182" s="9">
        <f>J182-R182</f>
        <v>0</v>
      </c>
      <c r="L182" s="9">
        <f>K182-S182</f>
        <v>0</v>
      </c>
      <c r="M182" s="9">
        <f>L182-T182</f>
        <v>0</v>
      </c>
      <c r="N182" s="9"/>
      <c r="O182" s="9">
        <f t="shared" ref="O182:T182" si="46">IF(OR($C182="Annual",$D182=$E182),IF(AND($D182=$E182,O$111=$B182+$D182),$H182,IF(AND(O$111&gt;$B182+$D182,O$111&lt;=$B182+$E182), $H182/($E182-$D182),0)), IF(OR(O$111=$B182+$D182,O$111=$B182+$E182),$H182/(($E182-$D182)*2),IF(AND(O$111&gt;$B182+$D182,O$111&lt;$B182+$E182),$H182/($E182-$D182),0)))</f>
        <v>0</v>
      </c>
      <c r="P182" s="9">
        <f t="shared" si="46"/>
        <v>0</v>
      </c>
      <c r="Q182" s="9">
        <f t="shared" si="46"/>
        <v>0</v>
      </c>
      <c r="R182" s="9">
        <f t="shared" si="46"/>
        <v>0</v>
      </c>
      <c r="S182" s="9">
        <f t="shared" si="46"/>
        <v>0</v>
      </c>
      <c r="T182" s="9">
        <f t="shared" si="46"/>
        <v>0</v>
      </c>
      <c r="U182" s="9"/>
      <c r="V182" s="9">
        <f>IF($C182="annual",IF(V$111=$B182,0,G182*$F182),IF(V$111-$B182=0,0,IF((V$111-$B182)&lt;$E182,AVERAGE(G182,H182)*$F182,IF((V$111-$B182)=$E182,G182*$F182/2,0))))</f>
        <v>0</v>
      </c>
      <c r="W182" s="9">
        <f t="shared" ref="W182:AA187" si="47">IF($C182="annual",IF(W$111=$B182,0,H182*$F182),IF(W$111-$B182=0,0,IF((W$111-$B182)&lt;$E182,AVERAGE(H182,I182)*$F182,IF((W$111-$B182)=$E182,H182*$F182/2,0))))</f>
        <v>0</v>
      </c>
      <c r="X182" s="9">
        <f t="shared" si="47"/>
        <v>0</v>
      </c>
      <c r="Y182" s="9">
        <f t="shared" si="47"/>
        <v>0</v>
      </c>
      <c r="Z182" s="9">
        <f t="shared" si="47"/>
        <v>0</v>
      </c>
      <c r="AA182" s="9">
        <f t="shared" si="47"/>
        <v>0</v>
      </c>
    </row>
    <row r="183" spans="1:27">
      <c r="A183" s="8" t="str">
        <f>A182</f>
        <v>Type 7</v>
      </c>
      <c r="B183" s="7">
        <f>B182+1</f>
        <v>2019</v>
      </c>
      <c r="C183" s="7" t="str">
        <f>C182</f>
        <v>Annual</v>
      </c>
      <c r="D183" s="7">
        <f>D182</f>
        <v>0</v>
      </c>
      <c r="E183" s="7">
        <f>E182</f>
        <v>0</v>
      </c>
      <c r="F183" s="14">
        <f>$M$86</f>
        <v>2.5000000000000001E-3</v>
      </c>
      <c r="H183" s="9"/>
      <c r="I183" s="9">
        <f ca="1">$C$86/$C$31</f>
        <v>0</v>
      </c>
      <c r="J183" s="9">
        <f ca="1">I183-Q183</f>
        <v>0</v>
      </c>
      <c r="K183" s="9">
        <f ca="1">J183-R183</f>
        <v>0</v>
      </c>
      <c r="L183" s="9">
        <f ca="1">K183-S183</f>
        <v>0</v>
      </c>
      <c r="M183" s="9">
        <f ca="1">L183-T183</f>
        <v>0</v>
      </c>
      <c r="N183" s="9"/>
      <c r="O183" s="9"/>
      <c r="P183" s="9">
        <f ca="1">IF(OR($C183="Annual",$D183=$E183),IF(AND($D183=$E183,P$111=$B183+$D183),$I183,IF(AND(P$111&gt;$B183+$D183,P$111&lt;=$B183+$E183), $I183/($E183-$D183),0)), IF(OR(P$111=$B183+$D183,P$111=$B183+$E183),$I183/(($E183-$D183)*2),IF(AND(P$111&gt;$B183+$D183,P$111&lt;$B183+$E183),$I183/($E183-$D183),0)))</f>
        <v>0</v>
      </c>
      <c r="Q183" s="9">
        <f>IF(OR($C183="Annual",$D183=$E183),IF(AND($D183=$E183,Q$111=$B183+$D183),$I183,IF(AND(Q$111&gt;$B183+$D183,Q$111&lt;=$B183+$E183), $I183/($E183-$D183),0)), IF(OR(Q$111=$B183+$D183,Q$111=$B183+$E183),$I183/(($E183-$D183)*2),IF(AND(Q$111&gt;$B183+$D183,Q$111&lt;$B183+$E183),$I183/($E183-$D183),0)))</f>
        <v>0</v>
      </c>
      <c r="R183" s="9">
        <f>IF(OR($C183="Annual",$D183=$E183),IF(AND($D183=$E183,R$111=$B183+$D183),$I183,IF(AND(R$111&gt;$B183+$D183,R$111&lt;=$B183+$E183), $I183/($E183-$D183),0)), IF(OR(R$111=$B183+$D183,R$111=$B183+$E183),$I183/(($E183-$D183)*2),IF(AND(R$111&gt;$B183+$D183,R$111&lt;$B183+$E183),$I183/($E183-$D183),0)))</f>
        <v>0</v>
      </c>
      <c r="S183" s="9">
        <f>IF(OR($C183="Annual",$D183=$E183),IF(AND($D183=$E183,S$111=$B183+$D183),$I183,IF(AND(S$111&gt;$B183+$D183,S$111&lt;=$B183+$E183), $I183/($E183-$D183),0)), IF(OR(S$111=$B183+$D183,S$111=$B183+$E183),$I183/(($E183-$D183)*2),IF(AND(S$111&gt;$B183+$D183,S$111&lt;$B183+$E183),$I183/($E183-$D183),0)))</f>
        <v>0</v>
      </c>
      <c r="T183" s="9">
        <f>IF(OR($C183="Annual",$D183=$E183),IF(AND($D183=$E183,T$111=$B183+$D183),$I183,IF(AND(T$111&gt;$B183+$D183,T$111&lt;=$B183+$E183), $I183/($E183-$D183),0)), IF(OR(T$111=$B183+$D183,T$111=$B183+$E183),$I183/(($E183-$D183)*2),IF(AND(T$111&gt;$B183+$D183,T$111&lt;$B183+$E183),$I183/($E183-$D183),0)))</f>
        <v>0</v>
      </c>
      <c r="U183" s="9"/>
      <c r="V183" s="9"/>
      <c r="W183" s="9">
        <f t="shared" si="47"/>
        <v>0</v>
      </c>
      <c r="X183" s="9">
        <f t="shared" ca="1" si="47"/>
        <v>0</v>
      </c>
      <c r="Y183" s="9">
        <f t="shared" ca="1" si="47"/>
        <v>0</v>
      </c>
      <c r="Z183" s="9">
        <f t="shared" ca="1" si="47"/>
        <v>0</v>
      </c>
      <c r="AA183" s="9">
        <f t="shared" ca="1" si="47"/>
        <v>0</v>
      </c>
    </row>
    <row r="184" spans="1:27">
      <c r="A184" s="8" t="str">
        <f>A183</f>
        <v>Type 7</v>
      </c>
      <c r="B184" s="7">
        <f>B183+1</f>
        <v>2020</v>
      </c>
      <c r="C184" s="7" t="str">
        <f t="shared" ref="C184:E187" si="48">C183</f>
        <v>Annual</v>
      </c>
      <c r="D184" s="7">
        <f t="shared" si="48"/>
        <v>0</v>
      </c>
      <c r="E184" s="7">
        <f t="shared" si="48"/>
        <v>0</v>
      </c>
      <c r="F184" s="14">
        <f>$N$86</f>
        <v>2.5000000000000001E-3</v>
      </c>
      <c r="H184" s="9"/>
      <c r="I184" s="9"/>
      <c r="J184" s="9">
        <f ca="1">$D$86/$D$31</f>
        <v>0</v>
      </c>
      <c r="K184" s="9">
        <f ca="1">J184-R184</f>
        <v>0</v>
      </c>
      <c r="L184" s="9">
        <f ca="1">K184-S184</f>
        <v>0</v>
      </c>
      <c r="M184" s="9">
        <f ca="1">L184-T184</f>
        <v>0</v>
      </c>
      <c r="N184" s="9"/>
      <c r="O184" s="9"/>
      <c r="P184" s="9"/>
      <c r="Q184" s="9">
        <f ca="1">IF(OR($C184="Annual",$D184=$E184),IF(AND($D184=$E184,Q$111=$B184+$D184),$J184,IF(AND(Q$111&gt;$B184+$D184,Q$111&lt;=$B184+$E184), $J184/($E184-$D184),0)), IF(OR(Q$111=$B184+$D184,Q$111=$B184+$E184),$J184/(($E184-$D184)*2),IF(AND(Q$111&gt;$B184+$D184,Q$111&lt;$B184+$E184),$J184/($E184-$D184),0)))</f>
        <v>0</v>
      </c>
      <c r="R184" s="9">
        <f>IF(OR($C184="Annual",$D184=$E184),IF(AND($D184=$E184,R$111=$B184+$D184),$J184,IF(AND(R$111&gt;$B184+$D184,R$111&lt;=$B184+$E184), $J184/($E184-$D184),0)), IF(OR(R$111=$B184+$D184,R$111=$B184+$E184),$J184/(($E184-$D184)*2),IF(AND(R$111&gt;$B184+$D184,R$111&lt;$B184+$E184),$J184/($E184-$D184),0)))</f>
        <v>0</v>
      </c>
      <c r="S184" s="9">
        <f>IF(OR($C184="Annual",$D184=$E184),IF(AND($D184=$E184,S$111=$B184+$D184),$J184,IF(AND(S$111&gt;$B184+$D184,S$111&lt;=$B184+$E184), $J184/($E184-$D184),0)), IF(OR(S$111=$B184+$D184,S$111=$B184+$E184),$J184/(($E184-$D184)*2),IF(AND(S$111&gt;$B184+$D184,S$111&lt;$B184+$E184),$J184/($E184-$D184),0)))</f>
        <v>0</v>
      </c>
      <c r="T184" s="9">
        <f>IF(OR($C184="Annual",$D184=$E184),IF(AND($D184=$E184,T$111=$B184+$D184),$J184,IF(AND(T$111&gt;$B184+$D184,T$111&lt;=$B184+$E184), $J184/($E184-$D184),0)), IF(OR(T$111=$B184+$D184,T$111=$B184+$E184),$J184/(($E184-$D184)*2),IF(AND(T$111&gt;$B184+$D184,T$111&lt;$B184+$E184),$J184/($E184-$D184),0)))</f>
        <v>0</v>
      </c>
      <c r="U184" s="9"/>
      <c r="V184" s="9"/>
      <c r="W184" s="9"/>
      <c r="X184" s="9">
        <f t="shared" si="47"/>
        <v>0</v>
      </c>
      <c r="Y184" s="9">
        <f t="shared" ca="1" si="47"/>
        <v>0</v>
      </c>
      <c r="Z184" s="9">
        <f t="shared" ca="1" si="47"/>
        <v>0</v>
      </c>
      <c r="AA184" s="9">
        <f t="shared" ca="1" si="47"/>
        <v>0</v>
      </c>
    </row>
    <row r="185" spans="1:27">
      <c r="A185" s="8" t="str">
        <f>A184</f>
        <v>Type 7</v>
      </c>
      <c r="B185" s="7">
        <f>B184+1</f>
        <v>2021</v>
      </c>
      <c r="C185" s="7" t="str">
        <f t="shared" si="48"/>
        <v>Annual</v>
      </c>
      <c r="D185" s="7">
        <f t="shared" si="48"/>
        <v>0</v>
      </c>
      <c r="E185" s="7">
        <f t="shared" si="48"/>
        <v>0</v>
      </c>
      <c r="F185" s="14">
        <f>$O$86</f>
        <v>2.5000000000000001E-3</v>
      </c>
      <c r="H185" s="9"/>
      <c r="I185" s="9"/>
      <c r="J185" s="9"/>
      <c r="K185" s="9">
        <f ca="1">$E$86/$E$31</f>
        <v>0</v>
      </c>
      <c r="L185" s="9">
        <f ca="1">K185-S185</f>
        <v>0</v>
      </c>
      <c r="M185" s="9">
        <f ca="1">L185-T185</f>
        <v>0</v>
      </c>
      <c r="N185" s="9"/>
      <c r="O185" s="9"/>
      <c r="P185" s="9"/>
      <c r="Q185" s="9"/>
      <c r="R185" s="9">
        <f ca="1">IF(OR($C185="Annual",$D185=$E185),IF(AND($D185=$E185,R$111=$B185+$D185),$K185,IF(AND(R$111&gt;$B185+$D185,R$111&lt;=$B185+$E185), $K185/($E185-$D185),0)), IF(OR(R$111=$B185+$D185,R$111=$B185+$E185),$K185/(($E185-$D185)*2),IF(AND(R$111&gt;$B185+$D185,R$111&lt;$B185+$E185),$K185/($E185-$D185),0)))</f>
        <v>0</v>
      </c>
      <c r="S185" s="9">
        <f>IF(OR($C185="Annual",$D185=$E185),IF(AND($D185=$E185,S$111=$B185+$D185),$K185,IF(AND(S$111&gt;$B185+$D185,S$111&lt;=$B185+$E185), $K185/($E185-$D185),0)), IF(OR(S$111=$B185+$D185,S$111=$B185+$E185),$K185/(($E185-$D185)*2),IF(AND(S$111&gt;$B185+$D185,S$111&lt;$B185+$E185),$K185/($E185-$D185),0)))</f>
        <v>0</v>
      </c>
      <c r="T185" s="9">
        <f>IF(OR($C185="Annual",$D185=$E185),IF(AND($D185=$E185,T$111=$B185+$D185),$K185,IF(AND(T$111&gt;$B185+$D185,T$111&lt;=$B185+$E185), $K185/($E185-$D185),0)), IF(OR(T$111=$B185+$D185,T$111=$B185+$E185),$K185/(($E185-$D185)*2),IF(AND(T$111&gt;$B185+$D185,T$111&lt;$B185+$E185),$K185/($E185-$D185),0)))</f>
        <v>0</v>
      </c>
      <c r="U185" s="9"/>
      <c r="V185" s="9"/>
      <c r="W185" s="9"/>
      <c r="X185" s="9"/>
      <c r="Y185" s="9">
        <f t="shared" si="47"/>
        <v>0</v>
      </c>
      <c r="Z185" s="9">
        <f t="shared" ca="1" si="47"/>
        <v>0</v>
      </c>
      <c r="AA185" s="9">
        <f t="shared" ca="1" si="47"/>
        <v>0</v>
      </c>
    </row>
    <row r="186" spans="1:27">
      <c r="A186" s="8" t="str">
        <f>A185</f>
        <v>Type 7</v>
      </c>
      <c r="B186" s="7">
        <f>B185+1</f>
        <v>2022</v>
      </c>
      <c r="C186" s="7" t="str">
        <f t="shared" si="48"/>
        <v>Annual</v>
      </c>
      <c r="D186" s="7">
        <f t="shared" si="48"/>
        <v>0</v>
      </c>
      <c r="E186" s="7">
        <f t="shared" si="48"/>
        <v>0</v>
      </c>
      <c r="F186" s="14">
        <f>$P$86</f>
        <v>2.5000000000000001E-3</v>
      </c>
      <c r="H186" s="9"/>
      <c r="I186" s="9"/>
      <c r="J186" s="9"/>
      <c r="K186" s="9"/>
      <c r="L186" s="9">
        <f ca="1">$F$86/$F$31</f>
        <v>0</v>
      </c>
      <c r="M186" s="9">
        <f ca="1">L186-T186</f>
        <v>0</v>
      </c>
      <c r="N186" s="9"/>
      <c r="O186" s="9"/>
      <c r="P186" s="9"/>
      <c r="Q186" s="9"/>
      <c r="R186" s="9"/>
      <c r="S186" s="9">
        <f ca="1">IF(OR($C186="Annual",$D186=$E186),IF(AND($D186=$E186,S$111=$B186+$D186),$L186,IF(AND(S$111&gt;$B186+$D186,S$111&lt;=$B186+$E186), $L186/($E186-$D186),0)), IF(OR(S$111=$B186+$D186,S$111=$B186+$E186),$L186/(($E186-$D186)*2),IF(AND(S$111&gt;$B186+$D186,S$111&lt;$B186+$E186),$L186/($E186-$D186),0)))</f>
        <v>0</v>
      </c>
      <c r="T186" s="9">
        <f>IF(OR($C186="Annual",$D186=$E186),IF(AND($D186=$E186,T$111=$B186+$D186),$L186,IF(AND(T$111&gt;$B186+$D186,T$111&lt;=$B186+$E186), $L186/($E186-$D186),0)), IF(OR(T$111=$B186+$D186,T$111=$B186+$E186),$L186/(($E186-$D186)*2),IF(AND(T$111&gt;$B186+$D186,T$111&lt;$B186+$E186),$L186/($E186-$D186),0)))</f>
        <v>0</v>
      </c>
      <c r="U186" s="9"/>
      <c r="V186" s="9"/>
      <c r="W186" s="9"/>
      <c r="X186" s="9"/>
      <c r="Y186" s="9"/>
      <c r="Z186" s="9">
        <f t="shared" si="47"/>
        <v>0</v>
      </c>
      <c r="AA186" s="9">
        <f t="shared" ca="1" si="47"/>
        <v>0</v>
      </c>
    </row>
    <row r="187" spans="1:27">
      <c r="A187" s="8" t="str">
        <f>A186</f>
        <v>Type 7</v>
      </c>
      <c r="B187" s="7">
        <f>B186+1</f>
        <v>2023</v>
      </c>
      <c r="C187" s="7" t="str">
        <f t="shared" si="48"/>
        <v>Annual</v>
      </c>
      <c r="D187" s="7">
        <f t="shared" si="48"/>
        <v>0</v>
      </c>
      <c r="E187" s="7">
        <f t="shared" si="48"/>
        <v>0</v>
      </c>
      <c r="F187" s="14">
        <f>$Q$86</f>
        <v>2.5000000000000001E-3</v>
      </c>
      <c r="H187" s="9"/>
      <c r="I187" s="9"/>
      <c r="J187" s="9"/>
      <c r="K187" s="9"/>
      <c r="L187" s="9"/>
      <c r="M187" s="9">
        <f ca="1">$G$86/$G$31</f>
        <v>0</v>
      </c>
      <c r="N187" s="9"/>
      <c r="O187" s="9"/>
      <c r="P187" s="9"/>
      <c r="Q187" s="9"/>
      <c r="R187" s="9"/>
      <c r="S187" s="9"/>
      <c r="T187" s="9">
        <f ca="1">IF(OR($C187="Annual",$D187=$E187),IF(AND($D187=$E187,T$111=$B187+$D187),$M187,IF(AND(T$111&gt;$B187+$D187,T$111&lt;=$B187+$E187), $M187/($E187-$D187),0)), IF(OR(T$111=$B187+$D187,T$111=$B187+$E187),$M187/(($E187-$D187)*2),IF(AND(T$111&gt;$B187+$D187,T$111&lt;$B187+$E187),$M187/($E187-$D187),0)))</f>
        <v>0</v>
      </c>
      <c r="U187" s="9"/>
      <c r="V187" s="9"/>
      <c r="W187" s="9"/>
      <c r="X187" s="9"/>
      <c r="Y187" s="9"/>
      <c r="Z187" s="9"/>
      <c r="AA187" s="9">
        <f t="shared" si="47"/>
        <v>0</v>
      </c>
    </row>
    <row r="188" spans="1:27">
      <c r="A188" s="8"/>
      <c r="B188" s="7"/>
      <c r="C188" s="7"/>
      <c r="D188" s="7"/>
      <c r="E188" s="7"/>
      <c r="F188" s="15"/>
      <c r="H188" s="9"/>
      <c r="I188" s="9"/>
      <c r="J188" s="9"/>
      <c r="K188" s="9"/>
      <c r="L188" s="9"/>
      <c r="M188" s="9"/>
      <c r="N188" s="9"/>
      <c r="O188" s="278"/>
      <c r="P188" s="10"/>
      <c r="Q188" s="10"/>
      <c r="R188" s="10"/>
      <c r="S188" s="10"/>
      <c r="T188" s="10"/>
      <c r="U188" s="9"/>
      <c r="V188" s="10"/>
      <c r="W188" s="10"/>
      <c r="X188" s="10"/>
      <c r="Y188" s="10"/>
      <c r="Z188" s="10"/>
      <c r="AA188" s="10"/>
    </row>
    <row r="189" spans="1:27">
      <c r="A189" s="8" t="str">
        <f>'Input 4 - Forecast'!A68</f>
        <v>Type 8</v>
      </c>
      <c r="B189" s="7">
        <f>B119</f>
        <v>2018</v>
      </c>
      <c r="C189" s="7" t="str">
        <f>$I87</f>
        <v>Annual</v>
      </c>
      <c r="D189" s="7">
        <f>$J87</f>
        <v>0</v>
      </c>
      <c r="E189" s="7">
        <f>$K87</f>
        <v>0</v>
      </c>
      <c r="F189" s="14">
        <f>$L$87</f>
        <v>0</v>
      </c>
      <c r="H189" s="9">
        <f>$B$87/$B$31</f>
        <v>0</v>
      </c>
      <c r="I189" s="9">
        <f>H189-P189</f>
        <v>0</v>
      </c>
      <c r="J189" s="9">
        <f>I189-Q189</f>
        <v>0</v>
      </c>
      <c r="K189" s="9">
        <f>J189-R189</f>
        <v>0</v>
      </c>
      <c r="L189" s="9">
        <f>K189-S189</f>
        <v>0</v>
      </c>
      <c r="M189" s="9">
        <f>L189-T189</f>
        <v>0</v>
      </c>
      <c r="N189" s="9"/>
      <c r="O189" s="9">
        <f t="shared" ref="O189:T189" si="49">IF(OR($C189="Annual",$D189=$E189),IF(AND($D189=$E189,O$111=$B189+$D189),$H189,IF(AND(O$111&gt;$B189+$D189,O$111&lt;=$B189+$E189), $H189/($E189-$D189),0)), IF(OR(O$111=$B189+$D189,O$111=$B189+$E189),$H189/(($E189-$D189)*2),IF(AND(O$111&gt;$B189+$D189,O$111&lt;$B189+$E189),$H189/($E189-$D189),0)))</f>
        <v>0</v>
      </c>
      <c r="P189" s="9">
        <f t="shared" si="49"/>
        <v>0</v>
      </c>
      <c r="Q189" s="9">
        <f t="shared" si="49"/>
        <v>0</v>
      </c>
      <c r="R189" s="9">
        <f t="shared" si="49"/>
        <v>0</v>
      </c>
      <c r="S189" s="9">
        <f t="shared" si="49"/>
        <v>0</v>
      </c>
      <c r="T189" s="9">
        <f t="shared" si="49"/>
        <v>0</v>
      </c>
      <c r="U189" s="9"/>
      <c r="V189" s="9">
        <f>IF($C189="annual",IF(V$111=$B189,0,G189*$F189),IF(V$111-$B189=0,0,IF((V$111-$B189)&lt;$E189,AVERAGE(G189,H189)*$F189,IF((V$111-$B189)=$E189,G189*$F189/2,0))))</f>
        <v>0</v>
      </c>
      <c r="W189" s="9">
        <f t="shared" ref="W189:AA194" si="50">IF($C189="annual",IF(W$111=$B189,0,H189*$F189),IF(W$111-$B189=0,0,IF((W$111-$B189)&lt;$E189,AVERAGE(H189,I189)*$F189,IF((W$111-$B189)=$E189,H189*$F189/2,0))))</f>
        <v>0</v>
      </c>
      <c r="X189" s="9">
        <f t="shared" si="50"/>
        <v>0</v>
      </c>
      <c r="Y189" s="9">
        <f t="shared" si="50"/>
        <v>0</v>
      </c>
      <c r="Z189" s="9">
        <f t="shared" si="50"/>
        <v>0</v>
      </c>
      <c r="AA189" s="9">
        <f t="shared" si="50"/>
        <v>0</v>
      </c>
    </row>
    <row r="190" spans="1:27">
      <c r="A190" s="8" t="str">
        <f>A189</f>
        <v>Type 8</v>
      </c>
      <c r="B190" s="7">
        <f>B189+1</f>
        <v>2019</v>
      </c>
      <c r="C190" s="7" t="str">
        <f t="shared" ref="C190:E194" si="51">C189</f>
        <v>Annual</v>
      </c>
      <c r="D190" s="7">
        <f t="shared" si="51"/>
        <v>0</v>
      </c>
      <c r="E190" s="7">
        <f t="shared" si="51"/>
        <v>0</v>
      </c>
      <c r="F190" s="14">
        <f>$M$87</f>
        <v>2.5000000000000001E-3</v>
      </c>
      <c r="H190" s="9"/>
      <c r="I190" s="9">
        <f ca="1">$C$87/$C$31</f>
        <v>0</v>
      </c>
      <c r="J190" s="9">
        <f ca="1">I190-Q190</f>
        <v>0</v>
      </c>
      <c r="K190" s="9">
        <f ca="1">J190-R190</f>
        <v>0</v>
      </c>
      <c r="L190" s="9">
        <f ca="1">K190-S190</f>
        <v>0</v>
      </c>
      <c r="M190" s="9">
        <f ca="1">L190-T190</f>
        <v>0</v>
      </c>
      <c r="N190" s="9"/>
      <c r="O190" s="9"/>
      <c r="P190" s="9">
        <f ca="1">IF(OR($C190="Annual",$D190=$E190),IF(AND($D190=$E190,P$111=$B190+$D190),$I190,IF(AND(P$111&gt;$B190+$D190,P$111&lt;=$B190+$E190), $I190/($E190-$D190),0)), IF(OR(P$111=$B190+$D190,P$111=$B190+$E190),$I190/(($E190-$D190)*2),IF(AND(P$111&gt;$B190+$D190,P$111&lt;$B190+$E190),$I190/($E190-$D190),0)))</f>
        <v>0</v>
      </c>
      <c r="Q190" s="9">
        <f>IF(OR($C190="Annual",$D190=$E190),IF(AND($D190=$E190,Q$111=$B190+$D190),$I190,IF(AND(Q$111&gt;$B190+$D190,Q$111&lt;=$B190+$E190), $I190/($E190-$D190),0)), IF(OR(Q$111=$B190+$D190,Q$111=$B190+$E190),$I190/(($E190-$D190)*2),IF(AND(Q$111&gt;$B190+$D190,Q$111&lt;$B190+$E190),$I190/($E190-$D190),0)))</f>
        <v>0</v>
      </c>
      <c r="R190" s="9">
        <f>IF(OR($C190="Annual",$D190=$E190),IF(AND($D190=$E190,R$111=$B190+$D190),$I190,IF(AND(R$111&gt;$B190+$D190,R$111&lt;=$B190+$E190), $I190/($E190-$D190),0)), IF(OR(R$111=$B190+$D190,R$111=$B190+$E190),$I190/(($E190-$D190)*2),IF(AND(R$111&gt;$B190+$D190,R$111&lt;$B190+$E190),$I190/($E190-$D190),0)))</f>
        <v>0</v>
      </c>
      <c r="S190" s="9">
        <f>IF(OR($C190="Annual",$D190=$E190),IF(AND($D190=$E190,S$111=$B190+$D190),$I190,IF(AND(S$111&gt;$B190+$D190,S$111&lt;=$B190+$E190), $I190/($E190-$D190),0)), IF(OR(S$111=$B190+$D190,S$111=$B190+$E190),$I190/(($E190-$D190)*2),IF(AND(S$111&gt;$B190+$D190,S$111&lt;$B190+$E190),$I190/($E190-$D190),0)))</f>
        <v>0</v>
      </c>
      <c r="T190" s="9">
        <f>IF(OR($C190="Annual",$D190=$E190),IF(AND($D190=$E190,T$111=$B190+$D190),$I190,IF(AND(T$111&gt;$B190+$D190,T$111&lt;=$B190+$E190), $I190/($E190-$D190),0)), IF(OR(T$111=$B190+$D190,T$111=$B190+$E190),$I190/(($E190-$D190)*2),IF(AND(T$111&gt;$B190+$D190,T$111&lt;$B190+$E190),$I190/($E190-$D190),0)))</f>
        <v>0</v>
      </c>
      <c r="U190" s="9"/>
      <c r="V190" s="9"/>
      <c r="W190" s="9">
        <f t="shared" si="50"/>
        <v>0</v>
      </c>
      <c r="X190" s="9">
        <f t="shared" ca="1" si="50"/>
        <v>0</v>
      </c>
      <c r="Y190" s="9">
        <f t="shared" ca="1" si="50"/>
        <v>0</v>
      </c>
      <c r="Z190" s="9">
        <f t="shared" ca="1" si="50"/>
        <v>0</v>
      </c>
      <c r="AA190" s="9">
        <f t="shared" ca="1" si="50"/>
        <v>0</v>
      </c>
    </row>
    <row r="191" spans="1:27">
      <c r="A191" s="8" t="str">
        <f>A190</f>
        <v>Type 8</v>
      </c>
      <c r="B191" s="7">
        <f>B190+1</f>
        <v>2020</v>
      </c>
      <c r="C191" s="7" t="str">
        <f t="shared" si="51"/>
        <v>Annual</v>
      </c>
      <c r="D191" s="7">
        <f t="shared" si="51"/>
        <v>0</v>
      </c>
      <c r="E191" s="7">
        <f t="shared" si="51"/>
        <v>0</v>
      </c>
      <c r="F191" s="14">
        <f>$N$87</f>
        <v>2.5000000000000001E-3</v>
      </c>
      <c r="H191" s="9"/>
      <c r="I191" s="9"/>
      <c r="J191" s="9">
        <f ca="1">$D$87/$D$31</f>
        <v>0</v>
      </c>
      <c r="K191" s="9">
        <f ca="1">J191-R191</f>
        <v>0</v>
      </c>
      <c r="L191" s="9">
        <f ca="1">K191-S191</f>
        <v>0</v>
      </c>
      <c r="M191" s="9">
        <f ca="1">L191-T191</f>
        <v>0</v>
      </c>
      <c r="N191" s="9"/>
      <c r="O191" s="9"/>
      <c r="P191" s="9"/>
      <c r="Q191" s="9">
        <f ca="1">IF(OR($C191="Annual",$D191=$E191),IF(AND($D191=$E191,Q$111=$B191+$D191),$J191,IF(AND(Q$111&gt;$B191+$D191,Q$111&lt;=$B191+$E191), $J191/($E191-$D191),0)), IF(OR(Q$111=$B191+$D191,Q$111=$B191+$E191),$J191/(($E191-$D191)*2),IF(AND(Q$111&gt;$B191+$D191,Q$111&lt;$B191+$E191),$J191/($E191-$D191),0)))</f>
        <v>0</v>
      </c>
      <c r="R191" s="9">
        <f>IF(OR($C191="Annual",$D191=$E191),IF(AND($D191=$E191,R$111=$B191+$D191),$J191,IF(AND(R$111&gt;$B191+$D191,R$111&lt;=$B191+$E191), $J191/($E191-$D191),0)), IF(OR(R$111=$B191+$D191,R$111=$B191+$E191),$J191/(($E191-$D191)*2),IF(AND(R$111&gt;$B191+$D191,R$111&lt;$B191+$E191),$J191/($E191-$D191),0)))</f>
        <v>0</v>
      </c>
      <c r="S191" s="9">
        <f>IF(OR($C191="Annual",$D191=$E191),IF(AND($D191=$E191,S$111=$B191+$D191),$J191,IF(AND(S$111&gt;$B191+$D191,S$111&lt;=$B191+$E191), $J191/($E191-$D191),0)), IF(OR(S$111=$B191+$D191,S$111=$B191+$E191),$J191/(($E191-$D191)*2),IF(AND(S$111&gt;$B191+$D191,S$111&lt;$B191+$E191),$J191/($E191-$D191),0)))</f>
        <v>0</v>
      </c>
      <c r="T191" s="9">
        <f>IF(OR($C191="Annual",$D191=$E191),IF(AND($D191=$E191,T$111=$B191+$D191),$J191,IF(AND(T$111&gt;$B191+$D191,T$111&lt;=$B191+$E191), $J191/($E191-$D191),0)), IF(OR(T$111=$B191+$D191,T$111=$B191+$E191),$J191/(($E191-$D191)*2),IF(AND(T$111&gt;$B191+$D191,T$111&lt;$B191+$E191),$J191/($E191-$D191),0)))</f>
        <v>0</v>
      </c>
      <c r="U191" s="9"/>
      <c r="V191" s="9"/>
      <c r="W191" s="9"/>
      <c r="X191" s="9">
        <f t="shared" si="50"/>
        <v>0</v>
      </c>
      <c r="Y191" s="9">
        <f t="shared" ca="1" si="50"/>
        <v>0</v>
      </c>
      <c r="Z191" s="9">
        <f t="shared" ca="1" si="50"/>
        <v>0</v>
      </c>
      <c r="AA191" s="9">
        <f t="shared" ca="1" si="50"/>
        <v>0</v>
      </c>
    </row>
    <row r="192" spans="1:27">
      <c r="A192" s="8" t="str">
        <f>A191</f>
        <v>Type 8</v>
      </c>
      <c r="B192" s="7">
        <f>B191+1</f>
        <v>2021</v>
      </c>
      <c r="C192" s="7" t="str">
        <f t="shared" si="51"/>
        <v>Annual</v>
      </c>
      <c r="D192" s="7">
        <f t="shared" si="51"/>
        <v>0</v>
      </c>
      <c r="E192" s="7">
        <f t="shared" si="51"/>
        <v>0</v>
      </c>
      <c r="F192" s="14">
        <f>$O$87</f>
        <v>2.5000000000000001E-3</v>
      </c>
      <c r="H192" s="9"/>
      <c r="I192" s="9"/>
      <c r="J192" s="9"/>
      <c r="K192" s="9">
        <f ca="1">$E$87/$E$31</f>
        <v>0</v>
      </c>
      <c r="L192" s="9">
        <f ca="1">K192-S192</f>
        <v>0</v>
      </c>
      <c r="M192" s="9">
        <f ca="1">L192-T192</f>
        <v>0</v>
      </c>
      <c r="N192" s="9"/>
      <c r="O192" s="9"/>
      <c r="P192" s="9"/>
      <c r="Q192" s="9"/>
      <c r="R192" s="9">
        <f ca="1">IF(OR($C192="Annual",$D192=$E192),IF(AND($D192=$E192,R$111=$B192+$D192),$K192,IF(AND(R$111&gt;$B192+$D192,R$111&lt;=$B192+$E192), $K192/($E192-$D192),0)), IF(OR(R$111=$B192+$D192,R$111=$B192+$E192),$K192/(($E192-$D192)*2),IF(AND(R$111&gt;$B192+$D192,R$111&lt;$B192+$E192),$K192/($E192-$D192),0)))</f>
        <v>0</v>
      </c>
      <c r="S192" s="9">
        <f>IF(OR($C192="Annual",$D192=$E192),IF(AND($D192=$E192,S$111=$B192+$D192),$K192,IF(AND(S$111&gt;$B192+$D192,S$111&lt;=$B192+$E192), $K192/($E192-$D192),0)), IF(OR(S$111=$B192+$D192,S$111=$B192+$E192),$K192/(($E192-$D192)*2),IF(AND(S$111&gt;$B192+$D192,S$111&lt;$B192+$E192),$K192/($E192-$D192),0)))</f>
        <v>0</v>
      </c>
      <c r="T192" s="9">
        <f>IF(OR($C192="Annual",$D192=$E192),IF(AND($D192=$E192,T$111=$B192+$D192),$K192,IF(AND(T$111&gt;$B192+$D192,T$111&lt;=$B192+$E192), $K192/($E192-$D192),0)), IF(OR(T$111=$B192+$D192,T$111=$B192+$E192),$K192/(($E192-$D192)*2),IF(AND(T$111&gt;$B192+$D192,T$111&lt;$B192+$E192),$K192/($E192-$D192),0)))</f>
        <v>0</v>
      </c>
      <c r="U192" s="9"/>
      <c r="V192" s="9"/>
      <c r="W192" s="9"/>
      <c r="X192" s="9"/>
      <c r="Y192" s="9">
        <f t="shared" si="50"/>
        <v>0</v>
      </c>
      <c r="Z192" s="9">
        <f t="shared" ca="1" si="50"/>
        <v>0</v>
      </c>
      <c r="AA192" s="9">
        <f t="shared" ca="1" si="50"/>
        <v>0</v>
      </c>
    </row>
    <row r="193" spans="1:27">
      <c r="A193" s="8" t="str">
        <f>A192</f>
        <v>Type 8</v>
      </c>
      <c r="B193" s="7">
        <f>B192+1</f>
        <v>2022</v>
      </c>
      <c r="C193" s="7" t="str">
        <f t="shared" si="51"/>
        <v>Annual</v>
      </c>
      <c r="D193" s="7">
        <f t="shared" si="51"/>
        <v>0</v>
      </c>
      <c r="E193" s="7">
        <f t="shared" si="51"/>
        <v>0</v>
      </c>
      <c r="F193" s="14">
        <f>$P$87</f>
        <v>2.5000000000000001E-3</v>
      </c>
      <c r="H193" s="9"/>
      <c r="I193" s="9"/>
      <c r="J193" s="9"/>
      <c r="K193" s="9"/>
      <c r="L193" s="9">
        <f ca="1">$F$87/$F$31</f>
        <v>0</v>
      </c>
      <c r="M193" s="9">
        <f ca="1">L193-T193</f>
        <v>0</v>
      </c>
      <c r="N193" s="9"/>
      <c r="O193" s="9"/>
      <c r="P193" s="9"/>
      <c r="Q193" s="9"/>
      <c r="R193" s="9"/>
      <c r="S193" s="9">
        <f ca="1">IF(OR($C193="Annual",$D193=$E193),IF(AND($D193=$E193,S$111=$B193+$D193),$L193,IF(AND(S$111&gt;$B193+$D193,S$111&lt;=$B193+$E193), $L193/($E193-$D193),0)), IF(OR(S$111=$B193+$D193,S$111=$B193+$E193),$L193/(($E193-$D193)*2),IF(AND(S$111&gt;$B193+$D193,S$111&lt;$B193+$E193),$L193/($E193-$D193),0)))</f>
        <v>0</v>
      </c>
      <c r="T193" s="9">
        <f>IF(OR($C193="Annual",$D193=$E193),IF(AND($D193=$E193,T$111=$B193+$D193),$L193,IF(AND(T$111&gt;$B193+$D193,T$111&lt;=$B193+$E193), $L193/($E193-$D193),0)), IF(OR(T$111=$B193+$D193,T$111=$B193+$E193),$L193/(($E193-$D193)*2),IF(AND(T$111&gt;$B193+$D193,T$111&lt;$B193+$E193),$L193/($E193-$D193),0)))</f>
        <v>0</v>
      </c>
      <c r="U193" s="9"/>
      <c r="V193" s="9"/>
      <c r="W193" s="9"/>
      <c r="X193" s="9"/>
      <c r="Y193" s="9"/>
      <c r="Z193" s="9">
        <f t="shared" si="50"/>
        <v>0</v>
      </c>
      <c r="AA193" s="9">
        <f t="shared" ca="1" si="50"/>
        <v>0</v>
      </c>
    </row>
    <row r="194" spans="1:27">
      <c r="A194" s="8" t="str">
        <f>A193</f>
        <v>Type 8</v>
      </c>
      <c r="B194" s="7">
        <f>B193+1</f>
        <v>2023</v>
      </c>
      <c r="C194" s="7" t="str">
        <f t="shared" si="51"/>
        <v>Annual</v>
      </c>
      <c r="D194" s="7">
        <f t="shared" si="51"/>
        <v>0</v>
      </c>
      <c r="E194" s="7">
        <f t="shared" si="51"/>
        <v>0</v>
      </c>
      <c r="F194" s="14">
        <f>$Q$87</f>
        <v>2.5000000000000001E-3</v>
      </c>
      <c r="H194" s="9"/>
      <c r="I194" s="9"/>
      <c r="J194" s="9"/>
      <c r="K194" s="9"/>
      <c r="L194" s="9"/>
      <c r="M194" s="9">
        <f ca="1">$G$87/$G$31</f>
        <v>0</v>
      </c>
      <c r="N194" s="9"/>
      <c r="O194" s="9"/>
      <c r="P194" s="9"/>
      <c r="Q194" s="9"/>
      <c r="R194" s="9"/>
      <c r="S194" s="9"/>
      <c r="T194" s="9">
        <f ca="1">IF(OR($C194="Annual",$D194=$E194),IF(AND($D194=$E194,T$111=$B194+$D194),$M194,IF(AND(T$111&gt;$B194+$D194,T$111&lt;=$B194+$E194), $M194/($E194-$D194),0)), IF(OR(T$111=$B194+$D194,T$111=$B194+$E194),$M194/(($E194-$D194)*2),IF(AND(T$111&gt;$B194+$D194,T$111&lt;$B194+$E194),$M194/($E194-$D194),0)))</f>
        <v>0</v>
      </c>
      <c r="U194" s="9"/>
      <c r="V194" s="9"/>
      <c r="W194" s="9"/>
      <c r="X194" s="9"/>
      <c r="Y194" s="9"/>
      <c r="Z194" s="9"/>
      <c r="AA194" s="9">
        <f t="shared" si="50"/>
        <v>0</v>
      </c>
    </row>
    <row r="195" spans="1:27">
      <c r="A195" s="8"/>
      <c r="B195" s="7"/>
      <c r="C195" s="7"/>
      <c r="D195" s="7"/>
      <c r="E195" s="7"/>
      <c r="F195" s="15"/>
      <c r="H195" s="9"/>
      <c r="I195" s="9"/>
      <c r="J195" s="9"/>
      <c r="K195" s="9"/>
      <c r="L195" s="9"/>
      <c r="M195" s="9"/>
      <c r="N195" s="9"/>
      <c r="O195" s="278"/>
      <c r="P195" s="10"/>
      <c r="Q195" s="10"/>
      <c r="R195" s="10"/>
      <c r="S195" s="10"/>
      <c r="T195" s="10"/>
      <c r="U195" s="9"/>
      <c r="V195" s="10"/>
      <c r="W195" s="10"/>
      <c r="X195" s="10"/>
      <c r="Y195" s="10"/>
      <c r="Z195" s="10"/>
      <c r="AA195" s="10"/>
    </row>
    <row r="196" spans="1:27">
      <c r="A196" s="8" t="str">
        <f>'Input 4 - Forecast'!A69</f>
        <v>Type 9</v>
      </c>
      <c r="B196" s="7">
        <f>B119</f>
        <v>2018</v>
      </c>
      <c r="C196" s="7" t="str">
        <f>$I88</f>
        <v>Annual</v>
      </c>
      <c r="D196" s="7">
        <f>$J88</f>
        <v>0</v>
      </c>
      <c r="E196" s="7">
        <f>$K88</f>
        <v>0</v>
      </c>
      <c r="F196" s="14">
        <f>$L$88</f>
        <v>0</v>
      </c>
      <c r="H196" s="9">
        <f>$B$88/$B$31</f>
        <v>0</v>
      </c>
      <c r="I196" s="9">
        <f>H196-P196</f>
        <v>0</v>
      </c>
      <c r="J196" s="9">
        <f>I196-Q196</f>
        <v>0</v>
      </c>
      <c r="K196" s="9">
        <f>J196-R196</f>
        <v>0</v>
      </c>
      <c r="L196" s="9">
        <f>K196-S196</f>
        <v>0</v>
      </c>
      <c r="M196" s="9">
        <f>L196-T196</f>
        <v>0</v>
      </c>
      <c r="N196" s="9"/>
      <c r="O196" s="9">
        <f t="shared" ref="O196:T196" si="52">IF(OR($C196="Annual",$D196=$E196),IF(AND($D196=$E196,O$111=$B196+$D196),$H196,IF(AND(O$111&gt;$B196+$D196,O$111&lt;=$B196+$E196), $H196/($E196-$D196),0)), IF(OR(O$111=$B196+$D196,O$111=$B196+$E196),$H196/(($E196-$D196)*2),IF(AND(O$111&gt;$B196+$D196,O$111&lt;$B196+$E196),$H196/($E196-$D196),0)))</f>
        <v>0</v>
      </c>
      <c r="P196" s="9">
        <f t="shared" si="52"/>
        <v>0</v>
      </c>
      <c r="Q196" s="9">
        <f t="shared" si="52"/>
        <v>0</v>
      </c>
      <c r="R196" s="9">
        <f t="shared" si="52"/>
        <v>0</v>
      </c>
      <c r="S196" s="9">
        <f t="shared" si="52"/>
        <v>0</v>
      </c>
      <c r="T196" s="9">
        <f t="shared" si="52"/>
        <v>0</v>
      </c>
      <c r="U196" s="9"/>
      <c r="V196" s="9">
        <f>IF($C196="annual",IF(V$111=$B196,0,G196*$F196),IF(V$111-$B196=0,0,IF((V$111-$B196)&lt;$E196,AVERAGE(G196,H196)*$F196,IF((V$111-$B196)=$E196,G196*$F196/2,0))))</f>
        <v>0</v>
      </c>
      <c r="W196" s="9">
        <f t="shared" ref="W196:AA201" si="53">IF($C196="annual",IF(W$111=$B196,0,H196*$F196),IF(W$111-$B196=0,0,IF((W$111-$B196)&lt;$E196,AVERAGE(H196,I196)*$F196,IF((W$111-$B196)=$E196,H196*$F196/2,0))))</f>
        <v>0</v>
      </c>
      <c r="X196" s="9">
        <f t="shared" si="53"/>
        <v>0</v>
      </c>
      <c r="Y196" s="9">
        <f t="shared" si="53"/>
        <v>0</v>
      </c>
      <c r="Z196" s="9">
        <f t="shared" si="53"/>
        <v>0</v>
      </c>
      <c r="AA196" s="9">
        <f t="shared" si="53"/>
        <v>0</v>
      </c>
    </row>
    <row r="197" spans="1:27">
      <c r="A197" s="8" t="str">
        <f>A196</f>
        <v>Type 9</v>
      </c>
      <c r="B197" s="7">
        <f>B196+1</f>
        <v>2019</v>
      </c>
      <c r="C197" s="7" t="str">
        <f t="shared" ref="C197:E201" si="54">C196</f>
        <v>Annual</v>
      </c>
      <c r="D197" s="7">
        <f t="shared" si="54"/>
        <v>0</v>
      </c>
      <c r="E197" s="7">
        <f t="shared" si="54"/>
        <v>0</v>
      </c>
      <c r="F197" s="14">
        <f>$M$88</f>
        <v>2.5000000000000001E-3</v>
      </c>
      <c r="H197" s="9"/>
      <c r="I197" s="9">
        <f ca="1">$C$88/$C$31</f>
        <v>0</v>
      </c>
      <c r="J197" s="9">
        <f ca="1">I197-Q197</f>
        <v>0</v>
      </c>
      <c r="K197" s="9">
        <f ca="1">J197-R197</f>
        <v>0</v>
      </c>
      <c r="L197" s="9">
        <f ca="1">K197-S197</f>
        <v>0</v>
      </c>
      <c r="M197" s="9">
        <f ca="1">L197-T197</f>
        <v>0</v>
      </c>
      <c r="N197" s="9"/>
      <c r="O197" s="9"/>
      <c r="P197" s="9">
        <f ca="1">IF(OR($C197="Annual",$D197=$E197),IF(AND($D197=$E197,P$111=$B197+$D197),$I197,IF(AND(P$111&gt;$B197+$D197,P$111&lt;=$B197+$E197), $I197/($E197-$D197),0)), IF(OR(P$111=$B197+$D197,P$111=$B197+$E197),$I197/(($E197-$D197)*2),IF(AND(P$111&gt;$B197+$D197,P$111&lt;$B197+$E197),$I197/($E197-$D197),0)))</f>
        <v>0</v>
      </c>
      <c r="Q197" s="9">
        <f>IF(OR($C197="Annual",$D197=$E197),IF(AND($D197=$E197,Q$111=$B197+$D197),$I197,IF(AND(Q$111&gt;$B197+$D197,Q$111&lt;=$B197+$E197), $I197/($E197-$D197),0)), IF(OR(Q$111=$B197+$D197,Q$111=$B197+$E197),$I197/(($E197-$D197)*2),IF(AND(Q$111&gt;$B197+$D197,Q$111&lt;$B197+$E197),$I197/($E197-$D197),0)))</f>
        <v>0</v>
      </c>
      <c r="R197" s="9">
        <f>IF(OR($C197="Annual",$D197=$E197),IF(AND($D197=$E197,R$111=$B197+$D197),$I197,IF(AND(R$111&gt;$B197+$D197,R$111&lt;=$B197+$E197), $I197/($E197-$D197),0)), IF(OR(R$111=$B197+$D197,R$111=$B197+$E197),$I197/(($E197-$D197)*2),IF(AND(R$111&gt;$B197+$D197,R$111&lt;$B197+$E197),$I197/($E197-$D197),0)))</f>
        <v>0</v>
      </c>
      <c r="S197" s="9">
        <f>IF(OR($C197="Annual",$D197=$E197),IF(AND($D197=$E197,S$111=$B197+$D197),$I197,IF(AND(S$111&gt;$B197+$D197,S$111&lt;=$B197+$E197), $I197/($E197-$D197),0)), IF(OR(S$111=$B197+$D197,S$111=$B197+$E197),$I197/(($E197-$D197)*2),IF(AND(S$111&gt;$B197+$D197,S$111&lt;$B197+$E197),$I197/($E197-$D197),0)))</f>
        <v>0</v>
      </c>
      <c r="T197" s="9">
        <f>IF(OR($C197="Annual",$D197=$E197),IF(AND($D197=$E197,T$111=$B197+$D197),$I197,IF(AND(T$111&gt;$B197+$D197,T$111&lt;=$B197+$E197), $I197/($E197-$D197),0)), IF(OR(T$111=$B197+$D197,T$111=$B197+$E197),$I197/(($E197-$D197)*2),IF(AND(T$111&gt;$B197+$D197,T$111&lt;$B197+$E197),$I197/($E197-$D197),0)))</f>
        <v>0</v>
      </c>
      <c r="U197" s="9"/>
      <c r="V197" s="9"/>
      <c r="W197" s="9">
        <f t="shared" si="53"/>
        <v>0</v>
      </c>
      <c r="X197" s="9">
        <f t="shared" ca="1" si="53"/>
        <v>0</v>
      </c>
      <c r="Y197" s="9">
        <f t="shared" ca="1" si="53"/>
        <v>0</v>
      </c>
      <c r="Z197" s="9">
        <f t="shared" ca="1" si="53"/>
        <v>0</v>
      </c>
      <c r="AA197" s="9">
        <f t="shared" ca="1" si="53"/>
        <v>0</v>
      </c>
    </row>
    <row r="198" spans="1:27">
      <c r="A198" s="8" t="str">
        <f>A197</f>
        <v>Type 9</v>
      </c>
      <c r="B198" s="7">
        <f>B197+1</f>
        <v>2020</v>
      </c>
      <c r="C198" s="7" t="str">
        <f t="shared" si="54"/>
        <v>Annual</v>
      </c>
      <c r="D198" s="7">
        <f t="shared" si="54"/>
        <v>0</v>
      </c>
      <c r="E198" s="7">
        <f t="shared" si="54"/>
        <v>0</v>
      </c>
      <c r="F198" s="14">
        <f>$N$88</f>
        <v>2.5000000000000001E-3</v>
      </c>
      <c r="H198" s="9"/>
      <c r="I198" s="9"/>
      <c r="J198" s="9">
        <f ca="1">$D$88/$D$31</f>
        <v>0</v>
      </c>
      <c r="K198" s="9">
        <f ca="1">J198-R198</f>
        <v>0</v>
      </c>
      <c r="L198" s="9">
        <f ca="1">K198-S198</f>
        <v>0</v>
      </c>
      <c r="M198" s="9">
        <f ca="1">L198-T198</f>
        <v>0</v>
      </c>
      <c r="N198" s="9"/>
      <c r="O198" s="9"/>
      <c r="P198" s="9"/>
      <c r="Q198" s="9">
        <f ca="1">IF(OR($C198="Annual",$D198=$E198),IF(AND($D198=$E198,Q$111=$B198+$D198),$J198,IF(AND(Q$111&gt;$B198+$D198,Q$111&lt;=$B198+$E198), $J198/($E198-$D198),0)), IF(OR(Q$111=$B198+$D198,Q$111=$B198+$E198),$J198/(($E198-$D198)*2),IF(AND(Q$111&gt;$B198+$D198,Q$111&lt;$B198+$E198),$J198/($E198-$D198),0)))</f>
        <v>0</v>
      </c>
      <c r="R198" s="9">
        <f>IF(OR($C198="Annual",$D198=$E198),IF(AND($D198=$E198,R$111=$B198+$D198),$J198,IF(AND(R$111&gt;$B198+$D198,R$111&lt;=$B198+$E198), $J198/($E198-$D198),0)), IF(OR(R$111=$B198+$D198,R$111=$B198+$E198),$J198/(($E198-$D198)*2),IF(AND(R$111&gt;$B198+$D198,R$111&lt;$B198+$E198),$J198/($E198-$D198),0)))</f>
        <v>0</v>
      </c>
      <c r="S198" s="9">
        <f>IF(OR($C198="Annual",$D198=$E198),IF(AND($D198=$E198,S$111=$B198+$D198),$J198,IF(AND(S$111&gt;$B198+$D198,S$111&lt;=$B198+$E198), $J198/($E198-$D198),0)), IF(OR(S$111=$B198+$D198,S$111=$B198+$E198),$J198/(($E198-$D198)*2),IF(AND(S$111&gt;$B198+$D198,S$111&lt;$B198+$E198),$J198/($E198-$D198),0)))</f>
        <v>0</v>
      </c>
      <c r="T198" s="9">
        <f>IF(OR($C198="Annual",$D198=$E198),IF(AND($D198=$E198,T$111=$B198+$D198),$J198,IF(AND(T$111&gt;$B198+$D198,T$111&lt;=$B198+$E198), $J198/($E198-$D198),0)), IF(OR(T$111=$B198+$D198,T$111=$B198+$E198),$J198/(($E198-$D198)*2),IF(AND(T$111&gt;$B198+$D198,T$111&lt;$B198+$E198),$J198/($E198-$D198),0)))</f>
        <v>0</v>
      </c>
      <c r="U198" s="9"/>
      <c r="V198" s="9"/>
      <c r="W198" s="9"/>
      <c r="X198" s="9">
        <f t="shared" si="53"/>
        <v>0</v>
      </c>
      <c r="Y198" s="9">
        <f t="shared" ca="1" si="53"/>
        <v>0</v>
      </c>
      <c r="Z198" s="9">
        <f t="shared" ca="1" si="53"/>
        <v>0</v>
      </c>
      <c r="AA198" s="9">
        <f t="shared" ca="1" si="53"/>
        <v>0</v>
      </c>
    </row>
    <row r="199" spans="1:27">
      <c r="A199" s="8" t="str">
        <f>A198</f>
        <v>Type 9</v>
      </c>
      <c r="B199" s="7">
        <f>B198+1</f>
        <v>2021</v>
      </c>
      <c r="C199" s="7" t="str">
        <f t="shared" si="54"/>
        <v>Annual</v>
      </c>
      <c r="D199" s="7">
        <f t="shared" si="54"/>
        <v>0</v>
      </c>
      <c r="E199" s="7">
        <f t="shared" si="54"/>
        <v>0</v>
      </c>
      <c r="F199" s="14">
        <f>$O$88</f>
        <v>2.5000000000000001E-3</v>
      </c>
      <c r="H199" s="9"/>
      <c r="I199" s="9"/>
      <c r="J199" s="9"/>
      <c r="K199" s="9">
        <f ca="1">$E$88/$E$31</f>
        <v>0</v>
      </c>
      <c r="L199" s="9">
        <f ca="1">K199-S199</f>
        <v>0</v>
      </c>
      <c r="M199" s="9">
        <f ca="1">L199-T199</f>
        <v>0</v>
      </c>
      <c r="N199" s="9"/>
      <c r="O199" s="9"/>
      <c r="P199" s="9"/>
      <c r="Q199" s="9"/>
      <c r="R199" s="9">
        <f ca="1">IF(OR($C199="Annual",$D199=$E199),IF(AND($D199=$E199,R$111=$B199+$D199),$K199,IF(AND(R$111&gt;$B199+$D199,R$111&lt;=$B199+$E199), $K199/($E199-$D199),0)), IF(OR(R$111=$B199+$D199,R$111=$B199+$E199),$K199/(($E199-$D199)*2),IF(AND(R$111&gt;$B199+$D199,R$111&lt;$B199+$E199),$K199/($E199-$D199),0)))</f>
        <v>0</v>
      </c>
      <c r="S199" s="9">
        <f>IF(OR($C199="Annual",$D199=$E199),IF(AND($D199=$E199,S$111=$B199+$D199),$K199,IF(AND(S$111&gt;$B199+$D199,S$111&lt;=$B199+$E199), $K199/($E199-$D199),0)), IF(OR(S$111=$B199+$D199,S$111=$B199+$E199),$K199/(($E199-$D199)*2),IF(AND(S$111&gt;$B199+$D199,S$111&lt;$B199+$E199),$K199/($E199-$D199),0)))</f>
        <v>0</v>
      </c>
      <c r="T199" s="9">
        <f>IF(OR($C199="Annual",$D199=$E199),IF(AND($D199=$E199,T$111=$B199+$D199),$K199,IF(AND(T$111&gt;$B199+$D199,T$111&lt;=$B199+$E199), $K199/($E199-$D199),0)), IF(OR(T$111=$B199+$D199,T$111=$B199+$E199),$K199/(($E199-$D199)*2),IF(AND(T$111&gt;$B199+$D199,T$111&lt;$B199+$E199),$K199/($E199-$D199),0)))</f>
        <v>0</v>
      </c>
      <c r="U199" s="9"/>
      <c r="V199" s="9"/>
      <c r="W199" s="9"/>
      <c r="X199" s="9"/>
      <c r="Y199" s="9">
        <f t="shared" si="53"/>
        <v>0</v>
      </c>
      <c r="Z199" s="9">
        <f t="shared" ca="1" si="53"/>
        <v>0</v>
      </c>
      <c r="AA199" s="9">
        <f t="shared" ca="1" si="53"/>
        <v>0</v>
      </c>
    </row>
    <row r="200" spans="1:27">
      <c r="A200" s="8" t="str">
        <f>A199</f>
        <v>Type 9</v>
      </c>
      <c r="B200" s="7">
        <f>B199+1</f>
        <v>2022</v>
      </c>
      <c r="C200" s="7" t="str">
        <f t="shared" si="54"/>
        <v>Annual</v>
      </c>
      <c r="D200" s="7">
        <f t="shared" si="54"/>
        <v>0</v>
      </c>
      <c r="E200" s="7">
        <f t="shared" si="54"/>
        <v>0</v>
      </c>
      <c r="F200" s="14">
        <f>$P$88</f>
        <v>2.5000000000000001E-3</v>
      </c>
      <c r="H200" s="9"/>
      <c r="I200" s="9"/>
      <c r="J200" s="9"/>
      <c r="K200" s="9"/>
      <c r="L200" s="9">
        <f ca="1">$F$88/$F$31</f>
        <v>0</v>
      </c>
      <c r="M200" s="9">
        <f ca="1">L200-T200</f>
        <v>0</v>
      </c>
      <c r="N200" s="9"/>
      <c r="O200" s="9"/>
      <c r="P200" s="9"/>
      <c r="Q200" s="9"/>
      <c r="R200" s="9"/>
      <c r="S200" s="9">
        <f ca="1">IF(OR($C200="Annual",$D200=$E200),IF(AND($D200=$E200,S$111=$B200+$D200),$L200,IF(AND(S$111&gt;$B200+$D200,S$111&lt;=$B200+$E200), $L200/($E200-$D200),0)), IF(OR(S$111=$B200+$D200,S$111=$B200+$E200),$L200/(($E200-$D200)*2),IF(AND(S$111&gt;$B200+$D200,S$111&lt;$B200+$E200),$L200/($E200-$D200),0)))</f>
        <v>0</v>
      </c>
      <c r="T200" s="9">
        <f>IF(OR($C200="Annual",$D200=$E200),IF(AND($D200=$E200,T$111=$B200+$D200),$L200,IF(AND(T$111&gt;$B200+$D200,T$111&lt;=$B200+$E200), $L200/($E200-$D200),0)), IF(OR(T$111=$B200+$D200,T$111=$B200+$E200),$L200/(($E200-$D200)*2),IF(AND(T$111&gt;$B200+$D200,T$111&lt;$B200+$E200),$L200/($E200-$D200),0)))</f>
        <v>0</v>
      </c>
      <c r="U200" s="9"/>
      <c r="V200" s="9"/>
      <c r="W200" s="9"/>
      <c r="X200" s="9"/>
      <c r="Y200" s="9"/>
      <c r="Z200" s="9">
        <f t="shared" si="53"/>
        <v>0</v>
      </c>
      <c r="AA200" s="9">
        <f t="shared" ca="1" si="53"/>
        <v>0</v>
      </c>
    </row>
    <row r="201" spans="1:27">
      <c r="A201" s="8" t="str">
        <f>A200</f>
        <v>Type 9</v>
      </c>
      <c r="B201" s="7">
        <f>B200+1</f>
        <v>2023</v>
      </c>
      <c r="C201" s="7" t="str">
        <f t="shared" si="54"/>
        <v>Annual</v>
      </c>
      <c r="D201" s="7">
        <f t="shared" si="54"/>
        <v>0</v>
      </c>
      <c r="E201" s="7">
        <f t="shared" si="54"/>
        <v>0</v>
      </c>
      <c r="F201" s="14">
        <f>$Q$88</f>
        <v>2.5000000000000001E-3</v>
      </c>
      <c r="H201" s="9"/>
      <c r="I201" s="9"/>
      <c r="J201" s="9"/>
      <c r="K201" s="9"/>
      <c r="L201" s="9"/>
      <c r="M201" s="9">
        <f ca="1">$G$88/$G$31</f>
        <v>0</v>
      </c>
      <c r="N201" s="9"/>
      <c r="O201" s="9"/>
      <c r="P201" s="9"/>
      <c r="Q201" s="9"/>
      <c r="R201" s="9"/>
      <c r="S201" s="9"/>
      <c r="T201" s="9">
        <f ca="1">IF(OR($C201="Annual",$D201=$E201),IF(AND($D201=$E201,T$111=$B201+$D201),$M201,IF(AND(T$111&gt;$B201+$D201,T$111&lt;=$B201+$E201), $M201/($E201-$D201),0)), IF(OR(T$111=$B201+$D201,T$111=$B201+$E201),$M201/(($E201-$D201)*2),IF(AND(T$111&gt;$B201+$D201,T$111&lt;$B201+$E201),$M201/($E201-$D201),0)))</f>
        <v>0</v>
      </c>
      <c r="U201" s="9"/>
      <c r="V201" s="9"/>
      <c r="W201" s="9"/>
      <c r="X201" s="9"/>
      <c r="Y201" s="9"/>
      <c r="Z201" s="9"/>
      <c r="AA201" s="9">
        <f t="shared" si="53"/>
        <v>0</v>
      </c>
    </row>
    <row r="202" spans="1:27">
      <c r="A202" s="8"/>
      <c r="B202" s="7"/>
      <c r="C202" s="7"/>
      <c r="D202" s="7"/>
      <c r="E202" s="7"/>
      <c r="F202" s="15"/>
      <c r="H202" s="9"/>
      <c r="I202" s="9"/>
      <c r="J202" s="9"/>
      <c r="K202" s="9"/>
      <c r="L202" s="9"/>
      <c r="M202" s="9"/>
      <c r="N202" s="9"/>
      <c r="O202" s="278"/>
      <c r="P202" s="10"/>
      <c r="Q202" s="10"/>
      <c r="R202" s="10"/>
      <c r="S202" s="10"/>
      <c r="T202" s="10"/>
      <c r="U202" s="9"/>
      <c r="V202" s="10"/>
      <c r="W202" s="10"/>
      <c r="X202" s="10"/>
      <c r="Y202" s="10"/>
      <c r="Z202" s="10"/>
      <c r="AA202" s="10"/>
    </row>
    <row r="203" spans="1:27" s="1150" customFormat="1">
      <c r="A203" s="1347" t="str">
        <f>'Input 4 - Forecast'!A70</f>
        <v>ZERO-COUPON BOND</v>
      </c>
      <c r="B203" s="1348">
        <f>B119</f>
        <v>2018</v>
      </c>
      <c r="C203" s="1348"/>
      <c r="D203" s="1348">
        <f>$J89</f>
        <v>0</v>
      </c>
      <c r="E203" s="1348">
        <f>$K89</f>
        <v>0</v>
      </c>
      <c r="F203" s="1349">
        <f>$L$89</f>
        <v>0</v>
      </c>
      <c r="H203" s="1350">
        <f>$B$89/$B$31</f>
        <v>0</v>
      </c>
      <c r="I203" s="1350">
        <f>H203-P203</f>
        <v>0</v>
      </c>
      <c r="J203" s="1350">
        <f>I203-Q203</f>
        <v>0</v>
      </c>
      <c r="K203" s="1350">
        <f>J203-R203</f>
        <v>0</v>
      </c>
      <c r="L203" s="1350">
        <f>K203-S203</f>
        <v>0</v>
      </c>
      <c r="M203" s="1350">
        <f>L203-T203</f>
        <v>0</v>
      </c>
      <c r="N203" s="1350"/>
      <c r="O203" s="1350">
        <f t="shared" ref="O203:T203" si="55">IF($D203=$E203,IF(O$111=$B203+$E203,$H203,0),0)</f>
        <v>0</v>
      </c>
      <c r="P203" s="1350">
        <f t="shared" si="55"/>
        <v>0</v>
      </c>
      <c r="Q203" s="1350">
        <f t="shared" si="55"/>
        <v>0</v>
      </c>
      <c r="R203" s="1350">
        <f t="shared" si="55"/>
        <v>0</v>
      </c>
      <c r="S203" s="1350">
        <f t="shared" si="55"/>
        <v>0</v>
      </c>
      <c r="T203" s="1350">
        <f t="shared" si="55"/>
        <v>0</v>
      </c>
      <c r="U203" s="1350"/>
      <c r="V203" s="1350">
        <f t="shared" ref="V203:AA203" si="56">IF(V$111-$B203=$D203,$H203*(((1+$F203)^$D203)-1),0)</f>
        <v>0</v>
      </c>
      <c r="W203" s="1350">
        <f t="shared" si="56"/>
        <v>0</v>
      </c>
      <c r="X203" s="1350">
        <f t="shared" si="56"/>
        <v>0</v>
      </c>
      <c r="Y203" s="1350">
        <f t="shared" si="56"/>
        <v>0</v>
      </c>
      <c r="Z203" s="1350">
        <f t="shared" si="56"/>
        <v>0</v>
      </c>
      <c r="AA203" s="1350">
        <f t="shared" si="56"/>
        <v>0</v>
      </c>
    </row>
    <row r="204" spans="1:27" s="1150" customFormat="1">
      <c r="A204" s="1347" t="str">
        <f>A203</f>
        <v>ZERO-COUPON BOND</v>
      </c>
      <c r="B204" s="1348">
        <f>B203+1</f>
        <v>2019</v>
      </c>
      <c r="C204" s="1348"/>
      <c r="D204" s="1348">
        <f t="shared" ref="D204:E208" si="57">D203</f>
        <v>0</v>
      </c>
      <c r="E204" s="1348">
        <f t="shared" si="57"/>
        <v>0</v>
      </c>
      <c r="F204" s="1349">
        <f>$M$89</f>
        <v>2.5000000000000001E-3</v>
      </c>
      <c r="H204" s="1350"/>
      <c r="I204" s="1350">
        <f ca="1">$C$89/$C$31</f>
        <v>0</v>
      </c>
      <c r="J204" s="1350">
        <f ca="1">I204-Q204</f>
        <v>0</v>
      </c>
      <c r="K204" s="1350">
        <f ca="1">J204-R204</f>
        <v>0</v>
      </c>
      <c r="L204" s="1350">
        <f ca="1">K204-S204</f>
        <v>0</v>
      </c>
      <c r="M204" s="1350">
        <f ca="1">L204-T204</f>
        <v>0</v>
      </c>
      <c r="N204" s="1350"/>
      <c r="O204" s="1351"/>
      <c r="P204" s="1350">
        <f ca="1">IF($D204=$E204,IF(P$111=$B204+$E204,$I204,0),0)</f>
        <v>0</v>
      </c>
      <c r="Q204" s="1350">
        <f>IF($D204=$E204,IF(Q$111=$B204+$E204,$I204,0),0)</f>
        <v>0</v>
      </c>
      <c r="R204" s="1350">
        <f>IF($D204=$E204,IF(R$111=$B204+$E204,$I204,0),0)</f>
        <v>0</v>
      </c>
      <c r="S204" s="1350">
        <f>IF($D204=$E204,IF(S$111=$B204+$E204,$I204,0),0)</f>
        <v>0</v>
      </c>
      <c r="T204" s="1350">
        <f>IF($D204=$E204,IF(T$111=$B204+$E204,$I204,0),0)</f>
        <v>0</v>
      </c>
      <c r="U204" s="1350"/>
      <c r="V204" s="1350"/>
      <c r="W204" s="1350">
        <f ca="1">IF(W$111-$B204=$D204,$I204*(((1+$F204)^$D204)-1),0)</f>
        <v>0</v>
      </c>
      <c r="X204" s="1350">
        <f>IF(X$111-$B204=$D204,$I204*(((1+$F204)^$D204)-1),0)</f>
        <v>0</v>
      </c>
      <c r="Y204" s="1350">
        <f>IF(Y$111-$B204=$D204,$I204*(((1+$F204)^$D204)-1),0)</f>
        <v>0</v>
      </c>
      <c r="Z204" s="1350">
        <f>IF(Z$111-$B204=$D204,$I204*(((1+$F204)^$D204)-1),0)</f>
        <v>0</v>
      </c>
      <c r="AA204" s="1350">
        <f>IF(AA$111-$B204=$D204,$I204*(((1+$F204)^$D204)-1),0)</f>
        <v>0</v>
      </c>
    </row>
    <row r="205" spans="1:27" s="1150" customFormat="1">
      <c r="A205" s="1347" t="str">
        <f>A204</f>
        <v>ZERO-COUPON BOND</v>
      </c>
      <c r="B205" s="1348">
        <f>B204+1</f>
        <v>2020</v>
      </c>
      <c r="C205" s="1348"/>
      <c r="D205" s="1348">
        <f t="shared" si="57"/>
        <v>0</v>
      </c>
      <c r="E205" s="1348">
        <f t="shared" si="57"/>
        <v>0</v>
      </c>
      <c r="F205" s="1349">
        <f>$N$89</f>
        <v>2.5000000000000001E-3</v>
      </c>
      <c r="H205" s="1350"/>
      <c r="I205" s="1350"/>
      <c r="J205" s="1350">
        <f ca="1">$D$89/$D$31</f>
        <v>0</v>
      </c>
      <c r="K205" s="1350">
        <f ca="1">J205-R205</f>
        <v>0</v>
      </c>
      <c r="L205" s="1350">
        <f ca="1">K205-S205</f>
        <v>0</v>
      </c>
      <c r="M205" s="1350">
        <f ca="1">L205-T205</f>
        <v>0</v>
      </c>
      <c r="N205" s="1350"/>
      <c r="O205" s="1351"/>
      <c r="P205" s="1350"/>
      <c r="Q205" s="1350">
        <f ca="1">IF($D205=$E205,IF(Q$111=$B205+$E205,$J205,0),0)</f>
        <v>0</v>
      </c>
      <c r="R205" s="1350">
        <f>IF($D205=$E205,IF(R$111=$B205+$E205,$J205,0),0)</f>
        <v>0</v>
      </c>
      <c r="S205" s="1350">
        <f>IF($D205=$E205,IF(S$111=$B205+$E205,$J205,0),0)</f>
        <v>0</v>
      </c>
      <c r="T205" s="1350">
        <f>IF($D205=$E205,IF(T$111=$B205+$E205,$J205,0),0)</f>
        <v>0</v>
      </c>
      <c r="U205" s="1350"/>
      <c r="V205" s="1350"/>
      <c r="W205" s="1350"/>
      <c r="X205" s="1350">
        <f ca="1">IF(X$111-$B205=$D205,$J205*(((1+$F205)^$D205)-1),0)</f>
        <v>0</v>
      </c>
      <c r="Y205" s="1350">
        <f>IF(Y$111-$B205=$D205,$J205*(((1+$F205)^$D205)-1),0)</f>
        <v>0</v>
      </c>
      <c r="Z205" s="1350">
        <f>IF(Z$111-$B205=$D205,$J205*(((1+$F205)^$D205)-1),0)</f>
        <v>0</v>
      </c>
      <c r="AA205" s="1350">
        <f>IF(AA$111-$B205=$D205,$J205*(((1+$F205)^$D205)-1),0)</f>
        <v>0</v>
      </c>
    </row>
    <row r="206" spans="1:27" s="1150" customFormat="1">
      <c r="A206" s="1347" t="str">
        <f>A205</f>
        <v>ZERO-COUPON BOND</v>
      </c>
      <c r="B206" s="1348">
        <f>B205+1</f>
        <v>2021</v>
      </c>
      <c r="C206" s="1348"/>
      <c r="D206" s="1348">
        <f t="shared" si="57"/>
        <v>0</v>
      </c>
      <c r="E206" s="1348">
        <f t="shared" si="57"/>
        <v>0</v>
      </c>
      <c r="F206" s="1349">
        <f>$O$89</f>
        <v>2.5000000000000001E-3</v>
      </c>
      <c r="H206" s="1350"/>
      <c r="I206" s="1350"/>
      <c r="J206" s="1350"/>
      <c r="K206" s="1350">
        <f ca="1">$E$89/$E$31</f>
        <v>0</v>
      </c>
      <c r="L206" s="1350">
        <f ca="1">K206-S206</f>
        <v>0</v>
      </c>
      <c r="M206" s="1350">
        <f ca="1">L206-T206</f>
        <v>0</v>
      </c>
      <c r="N206" s="1350"/>
      <c r="O206" s="1351"/>
      <c r="P206" s="1350"/>
      <c r="Q206" s="1350"/>
      <c r="R206" s="1350">
        <f ca="1">IF($D206=$E206,IF(R$111=$B206+$E206,$K206,0),0)</f>
        <v>0</v>
      </c>
      <c r="S206" s="1350">
        <f>IF($D206=$E206,IF(S$111=$B206+$E206,$K206,0),0)</f>
        <v>0</v>
      </c>
      <c r="T206" s="1350">
        <f>IF($D206=$E206,IF(T$111=$B206+$E206,$K206,0),0)</f>
        <v>0</v>
      </c>
      <c r="U206" s="1350"/>
      <c r="V206" s="1350"/>
      <c r="W206" s="1350"/>
      <c r="X206" s="1350"/>
      <c r="Y206" s="1350">
        <f ca="1">IF(Y$111-$B206=$D206,$K206*(((1+$F206)^$D206)-1),0)</f>
        <v>0</v>
      </c>
      <c r="Z206" s="1350">
        <f>IF(Z$111-$B206=$D206,$K206*(((1+$F206)^$D206)-1),0)</f>
        <v>0</v>
      </c>
      <c r="AA206" s="1350">
        <f>IF(AA$111-$B206=$D206,$K206*(((1+$F206)^$D206)-1),0)</f>
        <v>0</v>
      </c>
    </row>
    <row r="207" spans="1:27" s="1150" customFormat="1">
      <c r="A207" s="1347" t="str">
        <f>A206</f>
        <v>ZERO-COUPON BOND</v>
      </c>
      <c r="B207" s="1348">
        <f>B206+1</f>
        <v>2022</v>
      </c>
      <c r="C207" s="1348"/>
      <c r="D207" s="1348">
        <f t="shared" si="57"/>
        <v>0</v>
      </c>
      <c r="E207" s="1348">
        <f t="shared" si="57"/>
        <v>0</v>
      </c>
      <c r="F207" s="1349">
        <f>$P$89</f>
        <v>2.5000000000000001E-3</v>
      </c>
      <c r="H207" s="1350"/>
      <c r="I207" s="1350"/>
      <c r="J207" s="1350"/>
      <c r="K207" s="1350"/>
      <c r="L207" s="1350">
        <f ca="1">$F$89/$F$31</f>
        <v>0</v>
      </c>
      <c r="M207" s="1350">
        <f ca="1">L207-T207</f>
        <v>0</v>
      </c>
      <c r="N207" s="1350"/>
      <c r="O207" s="1351"/>
      <c r="P207" s="1350"/>
      <c r="Q207" s="1350"/>
      <c r="R207" s="1350"/>
      <c r="S207" s="1350">
        <f ca="1">IF($D207=$E207,IF(S$111=$B207+$E207,$L207,0),0)</f>
        <v>0</v>
      </c>
      <c r="T207" s="1350">
        <f>IF($D207=$E207,IF(T$111=$B207+$E207,$L207,0),0)</f>
        <v>0</v>
      </c>
      <c r="U207" s="1350"/>
      <c r="V207" s="1350"/>
      <c r="W207" s="1350"/>
      <c r="X207" s="1350"/>
      <c r="Y207" s="1350"/>
      <c r="Z207" s="1350">
        <f ca="1">IF(Z$111-$B207=$D207,$L207*(((1+$F207)^$D207)-1),0)</f>
        <v>0</v>
      </c>
      <c r="AA207" s="1350">
        <f>IF(AA$111-$B207=$D207,$L207*(((1+$F207)^$D207)-1),0)</f>
        <v>0</v>
      </c>
    </row>
    <row r="208" spans="1:27" s="1150" customFormat="1">
      <c r="A208" s="1347" t="str">
        <f>A207</f>
        <v>ZERO-COUPON BOND</v>
      </c>
      <c r="B208" s="1348">
        <f>B207+1</f>
        <v>2023</v>
      </c>
      <c r="C208" s="1348"/>
      <c r="D208" s="1348">
        <f t="shared" si="57"/>
        <v>0</v>
      </c>
      <c r="E208" s="1348">
        <f t="shared" si="57"/>
        <v>0</v>
      </c>
      <c r="F208" s="1349">
        <f>$Q$89</f>
        <v>2.5000000000000001E-3</v>
      </c>
      <c r="H208" s="1350"/>
      <c r="I208" s="1350"/>
      <c r="J208" s="1350"/>
      <c r="K208" s="1350"/>
      <c r="L208" s="1350"/>
      <c r="M208" s="1350">
        <f ca="1">$G$89/$G$31</f>
        <v>0</v>
      </c>
      <c r="N208" s="1350"/>
      <c r="O208" s="1351"/>
      <c r="P208" s="1350"/>
      <c r="Q208" s="1350"/>
      <c r="R208" s="1350"/>
      <c r="S208" s="1350"/>
      <c r="T208" s="1350">
        <f ca="1">IF($D208=$E208,IF(T$111=$B208+$E208,$M208,0),0)</f>
        <v>0</v>
      </c>
      <c r="U208" s="1350"/>
      <c r="V208" s="1350"/>
      <c r="W208" s="1350"/>
      <c r="X208" s="1350"/>
      <c r="Y208" s="1350"/>
      <c r="Z208" s="1350"/>
      <c r="AA208" s="1350">
        <f ca="1">IF(AA$111-$B208=$D208,$M208*(((1+$F208)^$D208)-1),0)</f>
        <v>0</v>
      </c>
    </row>
    <row r="209" spans="1:27">
      <c r="A209" s="17"/>
      <c r="B209" s="7"/>
      <c r="D209" s="7"/>
      <c r="E209" s="7"/>
      <c r="F209" s="7"/>
    </row>
    <row r="210" spans="1:27">
      <c r="A210" s="20" t="str">
        <f>'Input 4 - Forecast'!A71</f>
        <v>New Issuance of External Debt (new debt) 1/</v>
      </c>
    </row>
    <row r="211" spans="1:27" s="284" customFormat="1" ht="15.75" thickBot="1">
      <c r="A211" s="21" t="str">
        <f>'Input 4 - Forecast'!A72</f>
        <v>Short-term debt 2/</v>
      </c>
      <c r="B211" s="18"/>
      <c r="C211" s="281"/>
      <c r="D211" s="13"/>
      <c r="E211" s="13"/>
      <c r="F211" s="13"/>
      <c r="G211" s="13"/>
      <c r="H211" s="13"/>
      <c r="I211" s="13"/>
      <c r="J211" s="17"/>
      <c r="K211" s="19"/>
      <c r="L211" s="19"/>
      <c r="M211" s="19"/>
      <c r="N211" s="19"/>
      <c r="O211" s="19"/>
      <c r="P211" s="19"/>
      <c r="Q211" s="19"/>
      <c r="R211" s="19"/>
    </row>
    <row r="212" spans="1:27" s="284" customFormat="1" ht="15.75" thickBot="1">
      <c r="A212" s="22" t="str">
        <f>'Input 4 - Forecast'!A73</f>
        <v>Denominated in local currency</v>
      </c>
      <c r="B212" s="1999" t="s">
        <v>51</v>
      </c>
      <c r="C212" s="2000"/>
      <c r="D212" s="2000"/>
      <c r="E212" s="2000"/>
      <c r="F212" s="2000"/>
      <c r="G212" s="2000"/>
      <c r="H212" s="2000"/>
      <c r="I212" s="2000"/>
      <c r="J212" s="2000"/>
      <c r="K212" s="2000"/>
      <c r="L212" s="2000"/>
      <c r="M212" s="2000"/>
      <c r="N212" s="2000"/>
      <c r="O212" s="2000"/>
      <c r="P212" s="2000"/>
      <c r="Q212" s="2000"/>
      <c r="R212" s="2000"/>
      <c r="S212" s="2000"/>
      <c r="T212" s="2000"/>
      <c r="U212" s="2000"/>
      <c r="V212" s="2000"/>
      <c r="W212" s="2000"/>
      <c r="X212" s="2000"/>
      <c r="Y212" s="2000"/>
      <c r="Z212" s="2000"/>
      <c r="AA212" s="2001"/>
    </row>
    <row r="213" spans="1:27">
      <c r="F213" s="15"/>
      <c r="H213" s="10"/>
      <c r="I213" s="10"/>
      <c r="J213" s="10"/>
      <c r="K213" s="10"/>
      <c r="L213" s="10"/>
      <c r="M213" s="10"/>
      <c r="N213" s="10"/>
      <c r="O213" s="10"/>
      <c r="P213" s="10"/>
      <c r="Q213" s="10"/>
      <c r="R213" s="10"/>
      <c r="S213" s="10"/>
      <c r="T213" s="10"/>
      <c r="U213" s="10"/>
      <c r="V213" s="10"/>
      <c r="W213" s="10"/>
      <c r="X213" s="10"/>
      <c r="Y213" s="10"/>
      <c r="Z213" s="10"/>
      <c r="AA213" s="10"/>
    </row>
    <row r="214" spans="1:27" s="284" customFormat="1">
      <c r="A214" s="23"/>
      <c r="B214" s="7">
        <f>B119</f>
        <v>2018</v>
      </c>
      <c r="C214" s="13" t="str">
        <f>$I92</f>
        <v>Semi-annual</v>
      </c>
      <c r="D214" s="13">
        <f>$J92</f>
        <v>0</v>
      </c>
      <c r="E214" s="13">
        <f>$K92</f>
        <v>0</v>
      </c>
      <c r="F214" s="14">
        <f>$L$92</f>
        <v>0</v>
      </c>
      <c r="G214" s="13"/>
      <c r="H214" s="9">
        <f>$B$92</f>
        <v>0</v>
      </c>
      <c r="I214" s="9">
        <f>H214-P214</f>
        <v>0</v>
      </c>
      <c r="J214" s="9">
        <f>I214-Q214</f>
        <v>0</v>
      </c>
      <c r="K214" s="9">
        <f>J214-R214</f>
        <v>0</v>
      </c>
      <c r="L214" s="9">
        <f>K214-S214</f>
        <v>0</v>
      </c>
      <c r="M214" s="9">
        <f>L214-T214</f>
        <v>0</v>
      </c>
      <c r="N214" s="9"/>
      <c r="O214" s="9">
        <v>0</v>
      </c>
      <c r="P214" s="9">
        <f>H214</f>
        <v>0</v>
      </c>
      <c r="Q214" s="9">
        <v>0</v>
      </c>
      <c r="R214" s="9">
        <v>0</v>
      </c>
      <c r="S214" s="9">
        <v>0</v>
      </c>
      <c r="T214" s="9">
        <v>0</v>
      </c>
      <c r="U214" s="9"/>
      <c r="V214" s="9">
        <f>IF($C214="annual",IF(V$111=$B214,0,G214*$F214),IF(V$111-$B214=0,0,IF((V$111-$B214)&lt;$E214,AVERAGE(G214,H214)*$F214,IF((V$111-$B214)=$E214,G214*$F214/2,0))))</f>
        <v>0</v>
      </c>
      <c r="W214" s="9">
        <f t="shared" ref="W214:AA219" si="58">IF($C214="annual",IF(W$111=$B214,0,H214*$F214),IF(W$111-$B214=0,0,IF((W$111-$B214)&lt;$E214,AVERAGE(H214,I214)*$F214,IF((W$111-$B214)=$E214,H214*$F214/2,0))))</f>
        <v>0</v>
      </c>
      <c r="X214" s="9">
        <f t="shared" si="58"/>
        <v>0</v>
      </c>
      <c r="Y214" s="9">
        <f t="shared" si="58"/>
        <v>0</v>
      </c>
      <c r="Z214" s="9">
        <f t="shared" si="58"/>
        <v>0</v>
      </c>
      <c r="AA214" s="9">
        <f t="shared" si="58"/>
        <v>0</v>
      </c>
    </row>
    <row r="215" spans="1:27" s="284" customFormat="1">
      <c r="A215" s="23"/>
      <c r="B215" s="7">
        <f>B214+1</f>
        <v>2019</v>
      </c>
      <c r="C215" s="13" t="str">
        <f>C214</f>
        <v>Semi-annual</v>
      </c>
      <c r="D215" s="13">
        <f>D214</f>
        <v>0</v>
      </c>
      <c r="E215" s="13">
        <f>E214</f>
        <v>0</v>
      </c>
      <c r="F215" s="14">
        <f>$M$92</f>
        <v>2.5000000000000001E-3</v>
      </c>
      <c r="G215" s="13"/>
      <c r="H215" s="9"/>
      <c r="I215" s="9">
        <f ca="1">$C$92</f>
        <v>0</v>
      </c>
      <c r="J215" s="9">
        <f ca="1">I215-Q215</f>
        <v>0</v>
      </c>
      <c r="K215" s="9">
        <f ca="1">J215-R215</f>
        <v>0</v>
      </c>
      <c r="L215" s="9">
        <f ca="1">K215-S215</f>
        <v>0</v>
      </c>
      <c r="M215" s="9">
        <f ca="1">L215-T215</f>
        <v>0</v>
      </c>
      <c r="N215" s="9"/>
      <c r="O215" s="9"/>
      <c r="P215" s="9">
        <v>0</v>
      </c>
      <c r="Q215" s="9">
        <f ca="1">I215</f>
        <v>0</v>
      </c>
      <c r="R215" s="9">
        <v>0</v>
      </c>
      <c r="S215" s="9">
        <v>0</v>
      </c>
      <c r="T215" s="9">
        <v>0</v>
      </c>
      <c r="U215" s="9"/>
      <c r="V215" s="9"/>
      <c r="W215" s="9">
        <f t="shared" si="58"/>
        <v>0</v>
      </c>
      <c r="X215" s="9">
        <f t="shared" si="58"/>
        <v>0</v>
      </c>
      <c r="Y215" s="9">
        <f t="shared" si="58"/>
        <v>0</v>
      </c>
      <c r="Z215" s="9">
        <f t="shared" si="58"/>
        <v>0</v>
      </c>
      <c r="AA215" s="9">
        <f t="shared" si="58"/>
        <v>0</v>
      </c>
    </row>
    <row r="216" spans="1:27" s="284" customFormat="1">
      <c r="A216" s="23"/>
      <c r="B216" s="7">
        <f>B215+1</f>
        <v>2020</v>
      </c>
      <c r="C216" s="13" t="str">
        <f t="shared" ref="C216:E219" si="59">C215</f>
        <v>Semi-annual</v>
      </c>
      <c r="D216" s="13">
        <f t="shared" si="59"/>
        <v>0</v>
      </c>
      <c r="E216" s="13">
        <f t="shared" si="59"/>
        <v>0</v>
      </c>
      <c r="F216" s="14">
        <f>$N$92</f>
        <v>2.5000000000000001E-3</v>
      </c>
      <c r="G216" s="13"/>
      <c r="H216" s="9"/>
      <c r="I216" s="9"/>
      <c r="J216" s="9">
        <f ca="1">$D$92</f>
        <v>0</v>
      </c>
      <c r="K216" s="9">
        <f ca="1">J216-R216</f>
        <v>0</v>
      </c>
      <c r="L216" s="9">
        <f ca="1">K216-S216</f>
        <v>0</v>
      </c>
      <c r="M216" s="9">
        <f ca="1">L216-T216</f>
        <v>0</v>
      </c>
      <c r="N216" s="9"/>
      <c r="O216" s="9"/>
      <c r="P216" s="9"/>
      <c r="Q216" s="9">
        <v>0</v>
      </c>
      <c r="R216" s="9">
        <f ca="1">J216</f>
        <v>0</v>
      </c>
      <c r="S216" s="9">
        <v>0</v>
      </c>
      <c r="T216" s="9">
        <v>0</v>
      </c>
      <c r="U216" s="9"/>
      <c r="V216" s="9"/>
      <c r="W216" s="9"/>
      <c r="X216" s="9">
        <f t="shared" si="58"/>
        <v>0</v>
      </c>
      <c r="Y216" s="9">
        <f t="shared" si="58"/>
        <v>0</v>
      </c>
      <c r="Z216" s="9">
        <f t="shared" si="58"/>
        <v>0</v>
      </c>
      <c r="AA216" s="9">
        <f t="shared" si="58"/>
        <v>0</v>
      </c>
    </row>
    <row r="217" spans="1:27" s="284" customFormat="1">
      <c r="A217" s="23"/>
      <c r="B217" s="7">
        <f>B216+1</f>
        <v>2021</v>
      </c>
      <c r="C217" s="13" t="str">
        <f t="shared" si="59"/>
        <v>Semi-annual</v>
      </c>
      <c r="D217" s="13">
        <f t="shared" si="59"/>
        <v>0</v>
      </c>
      <c r="E217" s="13">
        <f t="shared" si="59"/>
        <v>0</v>
      </c>
      <c r="F217" s="14">
        <f>$O$92</f>
        <v>2.5000000000000001E-3</v>
      </c>
      <c r="G217" s="13"/>
      <c r="H217" s="9"/>
      <c r="I217" s="9"/>
      <c r="J217" s="9"/>
      <c r="K217" s="9">
        <f ca="1">$E$92</f>
        <v>0</v>
      </c>
      <c r="L217" s="9">
        <f ca="1">K217-S217</f>
        <v>0</v>
      </c>
      <c r="M217" s="9">
        <f ca="1">L217-T217</f>
        <v>0</v>
      </c>
      <c r="N217" s="9"/>
      <c r="O217" s="9"/>
      <c r="P217" s="9"/>
      <c r="Q217" s="9"/>
      <c r="R217" s="9">
        <v>0</v>
      </c>
      <c r="S217" s="9">
        <f ca="1">K217</f>
        <v>0</v>
      </c>
      <c r="T217" s="9">
        <v>0</v>
      </c>
      <c r="U217" s="9"/>
      <c r="V217" s="9"/>
      <c r="W217" s="9"/>
      <c r="X217" s="9"/>
      <c r="Y217" s="9">
        <f t="shared" si="58"/>
        <v>0</v>
      </c>
      <c r="Z217" s="9">
        <f t="shared" si="58"/>
        <v>0</v>
      </c>
      <c r="AA217" s="9">
        <f t="shared" si="58"/>
        <v>0</v>
      </c>
    </row>
    <row r="218" spans="1:27" s="284" customFormat="1">
      <c r="A218" s="23"/>
      <c r="B218" s="7">
        <f>B217+1</f>
        <v>2022</v>
      </c>
      <c r="C218" s="13" t="str">
        <f t="shared" si="59"/>
        <v>Semi-annual</v>
      </c>
      <c r="D218" s="13">
        <f t="shared" si="59"/>
        <v>0</v>
      </c>
      <c r="E218" s="13">
        <f t="shared" si="59"/>
        <v>0</v>
      </c>
      <c r="F218" s="14">
        <f>$P$92</f>
        <v>2.5000000000000001E-3</v>
      </c>
      <c r="G218" s="13"/>
      <c r="H218" s="9"/>
      <c r="I218" s="9"/>
      <c r="J218" s="9"/>
      <c r="K218" s="9"/>
      <c r="L218" s="9">
        <f ca="1">$F$92</f>
        <v>0</v>
      </c>
      <c r="M218" s="9">
        <f ca="1">L218-T218</f>
        <v>0</v>
      </c>
      <c r="N218" s="9"/>
      <c r="O218" s="9"/>
      <c r="P218" s="9"/>
      <c r="Q218" s="9"/>
      <c r="R218" s="9"/>
      <c r="S218" s="9">
        <v>0</v>
      </c>
      <c r="T218" s="9">
        <f ca="1">L218</f>
        <v>0</v>
      </c>
      <c r="U218" s="9"/>
      <c r="V218" s="9"/>
      <c r="W218" s="9"/>
      <c r="X218" s="9"/>
      <c r="Y218" s="9"/>
      <c r="Z218" s="9">
        <f t="shared" si="58"/>
        <v>0</v>
      </c>
      <c r="AA218" s="9">
        <f t="shared" si="58"/>
        <v>0</v>
      </c>
    </row>
    <row r="219" spans="1:27" s="284" customFormat="1">
      <c r="A219" s="23"/>
      <c r="B219" s="7">
        <f>B218+1</f>
        <v>2023</v>
      </c>
      <c r="C219" s="13" t="str">
        <f t="shared" si="59"/>
        <v>Semi-annual</v>
      </c>
      <c r="D219" s="13">
        <f t="shared" si="59"/>
        <v>0</v>
      </c>
      <c r="E219" s="13">
        <f t="shared" si="59"/>
        <v>0</v>
      </c>
      <c r="F219" s="14">
        <f>$Q$92</f>
        <v>2.5000000000000001E-3</v>
      </c>
      <c r="G219" s="13"/>
      <c r="H219" s="9"/>
      <c r="I219" s="9"/>
      <c r="J219" s="9"/>
      <c r="K219" s="9"/>
      <c r="L219" s="9"/>
      <c r="M219" s="9">
        <f ca="1">$G$92</f>
        <v>0</v>
      </c>
      <c r="N219" s="9"/>
      <c r="O219" s="9"/>
      <c r="P219" s="9"/>
      <c r="Q219" s="9"/>
      <c r="R219" s="9"/>
      <c r="S219" s="9"/>
      <c r="T219" s="9">
        <v>0</v>
      </c>
      <c r="U219" s="9"/>
      <c r="V219" s="9"/>
      <c r="W219" s="9"/>
      <c r="X219" s="9"/>
      <c r="Y219" s="9"/>
      <c r="Z219" s="9"/>
      <c r="AA219" s="9">
        <f t="shared" si="58"/>
        <v>0</v>
      </c>
    </row>
    <row r="220" spans="1:27" ht="15.75" thickBot="1">
      <c r="B220" s="7"/>
      <c r="F220" s="15"/>
      <c r="H220" s="10"/>
      <c r="I220" s="10"/>
      <c r="J220" s="10"/>
      <c r="K220" s="10"/>
      <c r="L220" s="10"/>
      <c r="M220" s="10"/>
      <c r="N220" s="10"/>
      <c r="O220" s="10"/>
      <c r="P220" s="10"/>
      <c r="Q220" s="10"/>
      <c r="R220" s="10"/>
      <c r="S220" s="10"/>
      <c r="T220" s="10"/>
      <c r="U220" s="10"/>
      <c r="V220" s="10"/>
      <c r="W220" s="10"/>
      <c r="X220" s="10"/>
      <c r="Y220" s="10"/>
      <c r="Z220" s="10"/>
      <c r="AA220" s="10"/>
    </row>
    <row r="221" spans="1:27" s="284" customFormat="1" ht="15.75" thickBot="1">
      <c r="A221" s="22" t="str">
        <f>'Input 4 - Forecast'!A82</f>
        <v>Denominated in foreign currency</v>
      </c>
      <c r="B221" s="1999" t="s">
        <v>52</v>
      </c>
      <c r="C221" s="2000"/>
      <c r="D221" s="2000"/>
      <c r="E221" s="2000"/>
      <c r="F221" s="2000"/>
      <c r="G221" s="2000"/>
      <c r="H221" s="2000"/>
      <c r="I221" s="2000"/>
      <c r="J221" s="2000"/>
      <c r="K221" s="2000"/>
      <c r="L221" s="2000"/>
      <c r="M221" s="2000"/>
      <c r="N221" s="2000"/>
      <c r="O221" s="2000"/>
      <c r="P221" s="2000"/>
      <c r="Q221" s="2000"/>
      <c r="R221" s="2000"/>
      <c r="S221" s="2000"/>
      <c r="T221" s="2000"/>
      <c r="U221" s="2000"/>
      <c r="V221" s="2000"/>
      <c r="W221" s="2000"/>
      <c r="X221" s="2000"/>
      <c r="Y221" s="2000"/>
      <c r="Z221" s="2000"/>
      <c r="AA221" s="2001"/>
    </row>
    <row r="222" spans="1:27">
      <c r="F222" s="15"/>
      <c r="H222" s="10"/>
      <c r="I222" s="10"/>
      <c r="J222" s="10"/>
      <c r="K222" s="10"/>
      <c r="L222" s="10"/>
      <c r="M222" s="10"/>
      <c r="N222" s="10"/>
      <c r="O222" s="10"/>
      <c r="P222" s="10"/>
      <c r="Q222" s="10"/>
      <c r="R222" s="10"/>
      <c r="S222" s="10"/>
      <c r="T222" s="10"/>
      <c r="U222" s="10"/>
      <c r="V222" s="10"/>
      <c r="W222" s="10"/>
      <c r="X222" s="10"/>
      <c r="Y222" s="10"/>
      <c r="Z222" s="10"/>
      <c r="AA222" s="10"/>
    </row>
    <row r="223" spans="1:27" s="284" customFormat="1">
      <c r="A223" s="23"/>
      <c r="B223" s="7">
        <f>B119</f>
        <v>2018</v>
      </c>
      <c r="C223" s="13" t="str">
        <f>$I93</f>
        <v>Semi-annual</v>
      </c>
      <c r="D223" s="13">
        <f>$J93</f>
        <v>0</v>
      </c>
      <c r="E223" s="13">
        <f>$K93</f>
        <v>0</v>
      </c>
      <c r="F223" s="14">
        <f>$L$93</f>
        <v>0</v>
      </c>
      <c r="G223" s="13"/>
      <c r="H223" s="9">
        <f>$B$93/$B$31</f>
        <v>0</v>
      </c>
      <c r="I223" s="9">
        <f>H223-P223</f>
        <v>0</v>
      </c>
      <c r="J223" s="9">
        <f>I223-Q223</f>
        <v>0</v>
      </c>
      <c r="K223" s="9">
        <f>J223-R223</f>
        <v>0</v>
      </c>
      <c r="L223" s="9">
        <f>K223-S223</f>
        <v>0</v>
      </c>
      <c r="M223" s="9">
        <f>L223-T223</f>
        <v>0</v>
      </c>
      <c r="N223" s="9"/>
      <c r="O223" s="9">
        <v>0</v>
      </c>
      <c r="P223" s="9">
        <f>H223</f>
        <v>0</v>
      </c>
      <c r="Q223" s="9">
        <v>0</v>
      </c>
      <c r="R223" s="9">
        <v>0</v>
      </c>
      <c r="S223" s="9">
        <v>0</v>
      </c>
      <c r="T223" s="9">
        <v>0</v>
      </c>
      <c r="U223" s="9"/>
      <c r="V223" s="9">
        <f>IF($C223="annual",IF(V$111=$B223,0,G223*$F223),IF(V$111-$B223=0,0,IF((V$111-$B223)&lt;$E223,AVERAGE(G223,H223)*$F223,IF((V$111-$B223)=$E223,G223*$F223/2,0))))</f>
        <v>0</v>
      </c>
      <c r="W223" s="9">
        <f t="shared" ref="W223:AA228" si="60">IF($C223="annual",IF(W$111=$B223,0,H223*$F223),IF(W$111-$B223=0,0,IF((W$111-$B223)&lt;$E223,AVERAGE(H223,I223)*$F223,IF((W$111-$B223)=$E223,H223*$F223/2,0))))</f>
        <v>0</v>
      </c>
      <c r="X223" s="9">
        <f t="shared" si="60"/>
        <v>0</v>
      </c>
      <c r="Y223" s="9">
        <f t="shared" si="60"/>
        <v>0</v>
      </c>
      <c r="Z223" s="9">
        <f t="shared" si="60"/>
        <v>0</v>
      </c>
      <c r="AA223" s="9">
        <f t="shared" si="60"/>
        <v>0</v>
      </c>
    </row>
    <row r="224" spans="1:27" s="284" customFormat="1">
      <c r="A224" s="23"/>
      <c r="B224" s="7">
        <f>B223+1</f>
        <v>2019</v>
      </c>
      <c r="C224" s="13" t="str">
        <f>C223</f>
        <v>Semi-annual</v>
      </c>
      <c r="D224" s="13">
        <f>D223</f>
        <v>0</v>
      </c>
      <c r="E224" s="13">
        <f>E223</f>
        <v>0</v>
      </c>
      <c r="F224" s="14">
        <f>$M$93</f>
        <v>2.5000000000000001E-3</v>
      </c>
      <c r="G224" s="13"/>
      <c r="H224" s="9"/>
      <c r="I224" s="9">
        <f ca="1">$C$93/$C$31</f>
        <v>0</v>
      </c>
      <c r="J224" s="9">
        <f ca="1">I224-Q224</f>
        <v>0</v>
      </c>
      <c r="K224" s="9">
        <f ca="1">J224-R224</f>
        <v>0</v>
      </c>
      <c r="L224" s="9">
        <f ca="1">K224-S224</f>
        <v>0</v>
      </c>
      <c r="M224" s="9">
        <f ca="1">L224-T224</f>
        <v>0</v>
      </c>
      <c r="N224" s="9"/>
      <c r="O224" s="9"/>
      <c r="P224" s="9">
        <v>0</v>
      </c>
      <c r="Q224" s="9">
        <f ca="1">I224</f>
        <v>0</v>
      </c>
      <c r="R224" s="9">
        <v>0</v>
      </c>
      <c r="S224" s="9">
        <v>0</v>
      </c>
      <c r="T224" s="9">
        <v>0</v>
      </c>
      <c r="U224" s="9"/>
      <c r="V224" s="9"/>
      <c r="W224" s="9">
        <f t="shared" si="60"/>
        <v>0</v>
      </c>
      <c r="X224" s="9">
        <f t="shared" si="60"/>
        <v>0</v>
      </c>
      <c r="Y224" s="9">
        <f t="shared" si="60"/>
        <v>0</v>
      </c>
      <c r="Z224" s="9">
        <f t="shared" si="60"/>
        <v>0</v>
      </c>
      <c r="AA224" s="9">
        <f t="shared" si="60"/>
        <v>0</v>
      </c>
    </row>
    <row r="225" spans="1:27" s="284" customFormat="1">
      <c r="A225" s="23"/>
      <c r="B225" s="7">
        <f>B224+1</f>
        <v>2020</v>
      </c>
      <c r="C225" s="13" t="str">
        <f t="shared" ref="C225:E228" si="61">C224</f>
        <v>Semi-annual</v>
      </c>
      <c r="D225" s="13">
        <f t="shared" si="61"/>
        <v>0</v>
      </c>
      <c r="E225" s="13">
        <f t="shared" si="61"/>
        <v>0</v>
      </c>
      <c r="F225" s="14">
        <f>$N$93</f>
        <v>2.5000000000000001E-3</v>
      </c>
      <c r="G225" s="13"/>
      <c r="H225" s="9"/>
      <c r="I225" s="9"/>
      <c r="J225" s="9">
        <f ca="1">$D$93/$D$31</f>
        <v>0</v>
      </c>
      <c r="K225" s="9">
        <f ca="1">J225-R225</f>
        <v>0</v>
      </c>
      <c r="L225" s="9">
        <f ca="1">K225-S225</f>
        <v>0</v>
      </c>
      <c r="M225" s="9">
        <f ca="1">L225-T225</f>
        <v>0</v>
      </c>
      <c r="N225" s="9"/>
      <c r="O225" s="9"/>
      <c r="P225" s="9"/>
      <c r="Q225" s="9">
        <v>0</v>
      </c>
      <c r="R225" s="9">
        <f ca="1">J225</f>
        <v>0</v>
      </c>
      <c r="S225" s="9">
        <v>0</v>
      </c>
      <c r="T225" s="9">
        <v>0</v>
      </c>
      <c r="U225" s="9"/>
      <c r="V225" s="9"/>
      <c r="W225" s="9"/>
      <c r="X225" s="9">
        <f t="shared" si="60"/>
        <v>0</v>
      </c>
      <c r="Y225" s="9">
        <f t="shared" si="60"/>
        <v>0</v>
      </c>
      <c r="Z225" s="9">
        <f t="shared" si="60"/>
        <v>0</v>
      </c>
      <c r="AA225" s="9">
        <f t="shared" si="60"/>
        <v>0</v>
      </c>
    </row>
    <row r="226" spans="1:27" s="284" customFormat="1">
      <c r="A226" s="23"/>
      <c r="B226" s="7">
        <f>B225+1</f>
        <v>2021</v>
      </c>
      <c r="C226" s="13" t="str">
        <f t="shared" si="61"/>
        <v>Semi-annual</v>
      </c>
      <c r="D226" s="13">
        <f t="shared" si="61"/>
        <v>0</v>
      </c>
      <c r="E226" s="13">
        <f t="shared" si="61"/>
        <v>0</v>
      </c>
      <c r="F226" s="14">
        <f>$O$93</f>
        <v>2.5000000000000001E-3</v>
      </c>
      <c r="G226" s="13"/>
      <c r="H226" s="9"/>
      <c r="I226" s="9"/>
      <c r="J226" s="9"/>
      <c r="K226" s="9">
        <f ca="1">$E$93/$E$31</f>
        <v>0</v>
      </c>
      <c r="L226" s="9">
        <f ca="1">K226-S226</f>
        <v>0</v>
      </c>
      <c r="M226" s="9">
        <f ca="1">L226-T226</f>
        <v>0</v>
      </c>
      <c r="N226" s="9"/>
      <c r="O226" s="9"/>
      <c r="P226" s="9"/>
      <c r="Q226" s="9"/>
      <c r="R226" s="9">
        <v>0</v>
      </c>
      <c r="S226" s="9">
        <f ca="1">K226</f>
        <v>0</v>
      </c>
      <c r="T226" s="9">
        <v>0</v>
      </c>
      <c r="U226" s="9"/>
      <c r="V226" s="9"/>
      <c r="W226" s="9"/>
      <c r="X226" s="9"/>
      <c r="Y226" s="9">
        <f t="shared" si="60"/>
        <v>0</v>
      </c>
      <c r="Z226" s="9">
        <f t="shared" si="60"/>
        <v>0</v>
      </c>
      <c r="AA226" s="9">
        <f t="shared" si="60"/>
        <v>0</v>
      </c>
    </row>
    <row r="227" spans="1:27" s="284" customFormat="1">
      <c r="A227" s="23"/>
      <c r="B227" s="7">
        <f>B226+1</f>
        <v>2022</v>
      </c>
      <c r="C227" s="13" t="str">
        <f t="shared" si="61"/>
        <v>Semi-annual</v>
      </c>
      <c r="D227" s="13">
        <f t="shared" si="61"/>
        <v>0</v>
      </c>
      <c r="E227" s="13">
        <f t="shared" si="61"/>
        <v>0</v>
      </c>
      <c r="F227" s="14">
        <f>$P$93</f>
        <v>2.5000000000000001E-3</v>
      </c>
      <c r="G227" s="13"/>
      <c r="H227" s="9"/>
      <c r="I227" s="9"/>
      <c r="J227" s="9"/>
      <c r="K227" s="9"/>
      <c r="L227" s="9">
        <f ca="1">$F$93/$F$31</f>
        <v>0</v>
      </c>
      <c r="M227" s="9">
        <f ca="1">L227-T227</f>
        <v>0</v>
      </c>
      <c r="N227" s="9"/>
      <c r="O227" s="9"/>
      <c r="P227" s="9"/>
      <c r="Q227" s="9"/>
      <c r="R227" s="9"/>
      <c r="S227" s="9">
        <v>0</v>
      </c>
      <c r="T227" s="9">
        <f ca="1">L227</f>
        <v>0</v>
      </c>
      <c r="U227" s="9"/>
      <c r="V227" s="9"/>
      <c r="W227" s="9"/>
      <c r="X227" s="9"/>
      <c r="Y227" s="9"/>
      <c r="Z227" s="9">
        <f t="shared" si="60"/>
        <v>0</v>
      </c>
      <c r="AA227" s="9">
        <f t="shared" si="60"/>
        <v>0</v>
      </c>
    </row>
    <row r="228" spans="1:27" s="284" customFormat="1">
      <c r="A228" s="23"/>
      <c r="B228" s="7">
        <f>B227+1</f>
        <v>2023</v>
      </c>
      <c r="C228" s="13" t="str">
        <f t="shared" si="61"/>
        <v>Semi-annual</v>
      </c>
      <c r="D228" s="13">
        <f t="shared" si="61"/>
        <v>0</v>
      </c>
      <c r="E228" s="13">
        <f t="shared" si="61"/>
        <v>0</v>
      </c>
      <c r="F228" s="14">
        <f>$Q$93</f>
        <v>2.5000000000000001E-3</v>
      </c>
      <c r="G228" s="13"/>
      <c r="H228" s="9"/>
      <c r="I228" s="9"/>
      <c r="J228" s="9"/>
      <c r="K228" s="9"/>
      <c r="L228" s="9"/>
      <c r="M228" s="9">
        <f ca="1">$G$93/$G$31</f>
        <v>0</v>
      </c>
      <c r="N228" s="9"/>
      <c r="O228" s="9"/>
      <c r="P228" s="9"/>
      <c r="Q228" s="9"/>
      <c r="R228" s="9"/>
      <c r="S228" s="9"/>
      <c r="T228" s="9">
        <v>0</v>
      </c>
      <c r="U228" s="9"/>
      <c r="V228" s="9"/>
      <c r="W228" s="9"/>
      <c r="X228" s="9"/>
      <c r="Y228" s="9"/>
      <c r="Z228" s="9"/>
      <c r="AA228" s="9">
        <f t="shared" si="60"/>
        <v>0</v>
      </c>
    </row>
    <row r="230" spans="1:27" ht="15.75" thickBot="1">
      <c r="A230" s="11" t="str">
        <f>'Input 4 - Forecast'!A75</f>
        <v>Long-term debt 3/</v>
      </c>
    </row>
    <row r="231" spans="1:27" ht="15.75" thickBot="1">
      <c r="A231" s="12" t="str">
        <f>'Input 4 - Forecast'!A76</f>
        <v>Denominated in local currency</v>
      </c>
      <c r="B231" s="1999" t="s">
        <v>51</v>
      </c>
      <c r="C231" s="2000"/>
      <c r="D231" s="2000"/>
      <c r="E231" s="2000"/>
      <c r="F231" s="2000"/>
      <c r="G231" s="2000"/>
      <c r="H231" s="2000"/>
      <c r="I231" s="2000"/>
      <c r="J231" s="2000"/>
      <c r="K231" s="2000"/>
      <c r="L231" s="2000"/>
      <c r="M231" s="2000"/>
      <c r="N231" s="2000"/>
      <c r="O231" s="2000"/>
      <c r="P231" s="2000"/>
      <c r="Q231" s="2000"/>
      <c r="R231" s="2000"/>
      <c r="S231" s="2000"/>
      <c r="T231" s="2000"/>
      <c r="U231" s="2000"/>
      <c r="V231" s="2000"/>
      <c r="W231" s="2000"/>
      <c r="X231" s="2000"/>
      <c r="Y231" s="2000"/>
      <c r="Z231" s="2000"/>
      <c r="AA231" s="2001"/>
    </row>
    <row r="233" spans="1:27">
      <c r="A233" s="8" t="str">
        <f>'Input 4 - Forecast'!A77</f>
        <v>Type 11</v>
      </c>
      <c r="B233" s="7">
        <f>B119</f>
        <v>2018</v>
      </c>
      <c r="C233" s="7" t="str">
        <f>$I96</f>
        <v>Annual</v>
      </c>
      <c r="D233" s="7">
        <f>$J96</f>
        <v>10</v>
      </c>
      <c r="E233" s="7">
        <f>$K96</f>
        <v>10</v>
      </c>
      <c r="F233" s="14">
        <f>$L$96</f>
        <v>1.125E-2</v>
      </c>
      <c r="H233" s="9">
        <f>$B$96</f>
        <v>499.99798625313935</v>
      </c>
      <c r="I233" s="9">
        <f>H233-P233</f>
        <v>499.99798625313935</v>
      </c>
      <c r="J233" s="9">
        <f>I233-Q233</f>
        <v>499.99798625313935</v>
      </c>
      <c r="K233" s="9">
        <f>J233-R233</f>
        <v>499.99798625313935</v>
      </c>
      <c r="L233" s="9">
        <f>K233-S233</f>
        <v>499.99798625313935</v>
      </c>
      <c r="M233" s="9">
        <f>L233-T233</f>
        <v>499.99798625313935</v>
      </c>
      <c r="N233" s="9"/>
      <c r="O233" s="9">
        <f t="shared" ref="O233:T233" si="62">IF(OR($C233="Annual",$D233=$E233),IF(AND($D233=$E233,O$111=$B233+$D233),$H233,IF(AND(O$111&gt;$B233+$D233,O$111&lt;=$B233+$E233), $H233/($E233-$D233),0)), IF(OR(O$111=$B233+$D233,O$111=$B233+$E233),$H233/(($E233-$D233)*2),IF(AND(O$111&gt;$B233+$D233,O$111&lt;$B233+$E233),$H233/($E233-$D233),0)))</f>
        <v>0</v>
      </c>
      <c r="P233" s="9">
        <f t="shared" si="62"/>
        <v>0</v>
      </c>
      <c r="Q233" s="9">
        <f t="shared" si="62"/>
        <v>0</v>
      </c>
      <c r="R233" s="9">
        <f t="shared" si="62"/>
        <v>0</v>
      </c>
      <c r="S233" s="9">
        <f t="shared" si="62"/>
        <v>0</v>
      </c>
      <c r="T233" s="9">
        <f t="shared" si="62"/>
        <v>0</v>
      </c>
      <c r="U233" s="9"/>
      <c r="V233" s="9">
        <f>IF($C233="annual",IF(V$111=$B233,0,G233*$F233),IF(V$111-$B233=0,0,IF((V$111-$B233)&lt;$E233,AVERAGE(G233,H233)*$F233,IF((V$111-$B233)=$E233,G233*$F233/2,0))))</f>
        <v>0</v>
      </c>
      <c r="W233" s="9">
        <f t="shared" ref="W233:AA238" si="63">IF($C233="annual",IF(W$111=$B233,0,H233*$F233),IF(W$111-$B233=0,0,IF((W$111-$B233)&lt;$E233,AVERAGE(H233,I233)*$F233,IF((W$111-$B233)=$E233,H233*$F233/2,0))))</f>
        <v>5.6249773453478173</v>
      </c>
      <c r="X233" s="9">
        <f t="shared" si="63"/>
        <v>5.6249773453478173</v>
      </c>
      <c r="Y233" s="9">
        <f t="shared" si="63"/>
        <v>5.6249773453478173</v>
      </c>
      <c r="Z233" s="9">
        <f t="shared" si="63"/>
        <v>5.6249773453478173</v>
      </c>
      <c r="AA233" s="9">
        <f t="shared" si="63"/>
        <v>5.6249773453478173</v>
      </c>
    </row>
    <row r="234" spans="1:27">
      <c r="A234" s="8" t="str">
        <f>A233</f>
        <v>Type 11</v>
      </c>
      <c r="B234" s="7">
        <f>B233+1</f>
        <v>2019</v>
      </c>
      <c r="C234" s="7" t="str">
        <f t="shared" ref="C234:E238" si="64">C233</f>
        <v>Annual</v>
      </c>
      <c r="D234" s="7">
        <f t="shared" si="64"/>
        <v>10</v>
      </c>
      <c r="E234" s="7">
        <f t="shared" si="64"/>
        <v>10</v>
      </c>
      <c r="F234" s="14">
        <f>$M$96</f>
        <v>2.1249999999999998E-2</v>
      </c>
      <c r="H234" s="9"/>
      <c r="I234" s="9">
        <f ca="1">$C$96</f>
        <v>0</v>
      </c>
      <c r="J234" s="9">
        <f ca="1">I234-Q234</f>
        <v>0</v>
      </c>
      <c r="K234" s="9">
        <f ca="1">J234-R234</f>
        <v>0</v>
      </c>
      <c r="L234" s="9">
        <f ca="1">K234-S234</f>
        <v>0</v>
      </c>
      <c r="M234" s="9">
        <f ca="1">L234-T234</f>
        <v>0</v>
      </c>
      <c r="N234" s="9"/>
      <c r="O234" s="9"/>
      <c r="P234" s="9">
        <f>IF(OR($C234="Annual",$D234=$E234),IF(AND($D234=$E234,P$111=$B234+$D234),$I234,IF(AND(P$111&gt;$B234+$D234,P$111&lt;=$B234+$E234), $I234/($E234-$D234),0)), IF(OR(P$111=$B234+$D234,P$111=$B234+$E234),$I234/(($E234-$D234)*2),IF(AND(P$111&gt;$B234+$D234,P$111&lt;$B234+$E234),$I234/($E234-$D234),0)))</f>
        <v>0</v>
      </c>
      <c r="Q234" s="9">
        <f>IF(OR($C234="Annual",$D234=$E234),IF(AND($D234=$E234,Q$111=$B234+$D234),$I234,IF(AND(Q$111&gt;$B234+$D234,Q$111&lt;=$B234+$E234), $I234/($E234-$D234),0)), IF(OR(Q$111=$B234+$D234,Q$111=$B234+$E234),$I234/(($E234-$D234)*2),IF(AND(Q$111&gt;$B234+$D234,Q$111&lt;$B234+$E234),$I234/($E234-$D234),0)))</f>
        <v>0</v>
      </c>
      <c r="R234" s="9">
        <f>IF(OR($C234="Annual",$D234=$E234),IF(AND($D234=$E234,R$111=$B234+$D234),$I234,IF(AND(R$111&gt;$B234+$D234,R$111&lt;=$B234+$E234), $I234/($E234-$D234),0)), IF(OR(R$111=$B234+$D234,R$111=$B234+$E234),$I234/(($E234-$D234)*2),IF(AND(R$111&gt;$B234+$D234,R$111&lt;$B234+$E234),$I234/($E234-$D234),0)))</f>
        <v>0</v>
      </c>
      <c r="S234" s="9">
        <f>IF(OR($C234="Annual",$D234=$E234),IF(AND($D234=$E234,S$111=$B234+$D234),$I234,IF(AND(S$111&gt;$B234+$D234,S$111&lt;=$B234+$E234), $I234/($E234-$D234),0)), IF(OR(S$111=$B234+$D234,S$111=$B234+$E234),$I234/(($E234-$D234)*2),IF(AND(S$111&gt;$B234+$D234,S$111&lt;$B234+$E234),$I234/($E234-$D234),0)))</f>
        <v>0</v>
      </c>
      <c r="T234" s="9">
        <f>IF(OR($C234="Annual",$D234=$E234),IF(AND($D234=$E234,T$111=$B234+$D234),$I234,IF(AND(T$111&gt;$B234+$D234,T$111&lt;=$B234+$E234), $I234/($E234-$D234),0)), IF(OR(T$111=$B234+$D234,T$111=$B234+$E234),$I234/(($E234-$D234)*2),IF(AND(T$111&gt;$B234+$D234,T$111&lt;$B234+$E234),$I234/($E234-$D234),0)))</f>
        <v>0</v>
      </c>
      <c r="U234" s="9"/>
      <c r="V234" s="9"/>
      <c r="W234" s="9">
        <f t="shared" si="63"/>
        <v>0</v>
      </c>
      <c r="X234" s="9">
        <f t="shared" ca="1" si="63"/>
        <v>0</v>
      </c>
      <c r="Y234" s="9">
        <f t="shared" ca="1" si="63"/>
        <v>0</v>
      </c>
      <c r="Z234" s="9">
        <f t="shared" ca="1" si="63"/>
        <v>0</v>
      </c>
      <c r="AA234" s="9">
        <f t="shared" ca="1" si="63"/>
        <v>0</v>
      </c>
    </row>
    <row r="235" spans="1:27">
      <c r="A235" s="8" t="str">
        <f>A234</f>
        <v>Type 11</v>
      </c>
      <c r="B235" s="7">
        <f>B234+1</f>
        <v>2020</v>
      </c>
      <c r="C235" s="7" t="str">
        <f t="shared" si="64"/>
        <v>Annual</v>
      </c>
      <c r="D235" s="7">
        <f t="shared" si="64"/>
        <v>10</v>
      </c>
      <c r="E235" s="7">
        <f t="shared" si="64"/>
        <v>10</v>
      </c>
      <c r="F235" s="14">
        <f>$N$96</f>
        <v>2.4499999999999997E-2</v>
      </c>
      <c r="H235" s="9"/>
      <c r="I235" s="9"/>
      <c r="J235" s="9">
        <f ca="1">$D$96</f>
        <v>0</v>
      </c>
      <c r="K235" s="9">
        <f ca="1">J235-R235</f>
        <v>0</v>
      </c>
      <c r="L235" s="9">
        <f ca="1">K235-S235</f>
        <v>0</v>
      </c>
      <c r="M235" s="9">
        <f ca="1">L235-T235</f>
        <v>0</v>
      </c>
      <c r="N235" s="9"/>
      <c r="O235" s="9"/>
      <c r="P235" s="9"/>
      <c r="Q235" s="9">
        <f>IF(OR($C235="Annual",$D235=$E235),IF(AND($D235=$E235,Q$111=$B235+$D235),$J235,IF(AND(Q$111&gt;$B235+$D235,Q$111&lt;=$B235+$E235), $J235/($E235-$D235),0)), IF(OR(Q$111=$B235+$D235,Q$111=$B235+$E235),$J235/(($E235-$D235)*2),IF(AND(Q$111&gt;$B235+$D235,Q$111&lt;$B235+$E235),$J235/($E235-$D235),0)))</f>
        <v>0</v>
      </c>
      <c r="R235" s="9">
        <f>IF(OR($C235="Annual",$D235=$E235),IF(AND($D235=$E235,R$111=$B235+$D235),$J235,IF(AND(R$111&gt;$B235+$D235,R$111&lt;=$B235+$E235), $J235/($E235-$D235),0)), IF(OR(R$111=$B235+$D235,R$111=$B235+$E235),$J235/(($E235-$D235)*2),IF(AND(R$111&gt;$B235+$D235,R$111&lt;$B235+$E235),$J235/($E235-$D235),0)))</f>
        <v>0</v>
      </c>
      <c r="S235" s="9">
        <f>IF(OR($C235="Annual",$D235=$E235),IF(AND($D235=$E235,S$111=$B235+$D235),$J235,IF(AND(S$111&gt;$B235+$D235,S$111&lt;=$B235+$E235), $J235/($E235-$D235),0)), IF(OR(S$111=$B235+$D235,S$111=$B235+$E235),$J235/(($E235-$D235)*2),IF(AND(S$111&gt;$B235+$D235,S$111&lt;$B235+$E235),$J235/($E235-$D235),0)))</f>
        <v>0</v>
      </c>
      <c r="T235" s="9">
        <f>IF(OR($C235="Annual",$D235=$E235),IF(AND($D235=$E235,T$111=$B235+$D235),$J235,IF(AND(T$111&gt;$B235+$D235,T$111&lt;=$B235+$E235), $J235/($E235-$D235),0)), IF(OR(T$111=$B235+$D235,T$111=$B235+$E235),$J235/(($E235-$D235)*2),IF(AND(T$111&gt;$B235+$D235,T$111&lt;$B235+$E235),$J235/($E235-$D235),0)))</f>
        <v>0</v>
      </c>
      <c r="U235" s="9"/>
      <c r="V235" s="9"/>
      <c r="W235" s="9"/>
      <c r="X235" s="9">
        <f t="shared" si="63"/>
        <v>0</v>
      </c>
      <c r="Y235" s="9">
        <f t="shared" ca="1" si="63"/>
        <v>0</v>
      </c>
      <c r="Z235" s="9">
        <f t="shared" ca="1" si="63"/>
        <v>0</v>
      </c>
      <c r="AA235" s="9">
        <f t="shared" ca="1" si="63"/>
        <v>0</v>
      </c>
    </row>
    <row r="236" spans="1:27">
      <c r="A236" s="8" t="str">
        <f>A235</f>
        <v>Type 11</v>
      </c>
      <c r="B236" s="7">
        <f>B235+1</f>
        <v>2021</v>
      </c>
      <c r="C236" s="7" t="str">
        <f t="shared" si="64"/>
        <v>Annual</v>
      </c>
      <c r="D236" s="7">
        <f t="shared" si="64"/>
        <v>10</v>
      </c>
      <c r="E236" s="7">
        <f t="shared" si="64"/>
        <v>10</v>
      </c>
      <c r="F236" s="14">
        <f>$O$96</f>
        <v>2.4499999999999997E-2</v>
      </c>
      <c r="H236" s="9"/>
      <c r="I236" s="9"/>
      <c r="J236" s="9"/>
      <c r="K236" s="9">
        <f ca="1">$E$96</f>
        <v>0</v>
      </c>
      <c r="L236" s="9">
        <f ca="1">K236-S236</f>
        <v>0</v>
      </c>
      <c r="M236" s="9">
        <f ca="1">L236-T236</f>
        <v>0</v>
      </c>
      <c r="N236" s="9"/>
      <c r="O236" s="9"/>
      <c r="P236" s="9"/>
      <c r="Q236" s="9"/>
      <c r="R236" s="9">
        <f>IF(OR($C236="Annual",$D236=$E236),IF(AND($D236=$E236,R$111=$B236+$D236),$K236,IF(AND(R$111&gt;$B236+$D236,R$111&lt;=$B236+$E236), $K236/($E236-$D236),0)), IF(OR(R$111=$B236+$D236,R$111=$B236+$E236),$K236/(($E236-$D236)*2),IF(AND(R$111&gt;$B236+$D236,R$111&lt;$B236+$E236),$K236/($E236-$D236),0)))</f>
        <v>0</v>
      </c>
      <c r="S236" s="9">
        <f>IF(OR($C236="Annual",$D236=$E236),IF(AND($D236=$E236,S$111=$B236+$D236),$K236,IF(AND(S$111&gt;$B236+$D236,S$111&lt;=$B236+$E236), $K236/($E236-$D236),0)), IF(OR(S$111=$B236+$D236,S$111=$B236+$E236),$K236/(($E236-$D236)*2),IF(AND(S$111&gt;$B236+$D236,S$111&lt;$B236+$E236),$K236/($E236-$D236),0)))</f>
        <v>0</v>
      </c>
      <c r="T236" s="9">
        <f>IF(OR($C236="Annual",$D236=$E236),IF(AND($D236=$E236,T$111=$B236+$D236),$K236,IF(AND(T$111&gt;$B236+$D236,T$111&lt;=$B236+$E236), $K236/($E236-$D236),0)), IF(OR(T$111=$B236+$D236,T$111=$B236+$E236),$K236/(($E236-$D236)*2),IF(AND(T$111&gt;$B236+$D236,T$111&lt;$B236+$E236),$K236/($E236-$D236),0)))</f>
        <v>0</v>
      </c>
      <c r="U236" s="9"/>
      <c r="V236" s="9"/>
      <c r="W236" s="9"/>
      <c r="X236" s="9"/>
      <c r="Y236" s="9">
        <f t="shared" si="63"/>
        <v>0</v>
      </c>
      <c r="Z236" s="9">
        <f t="shared" ca="1" si="63"/>
        <v>0</v>
      </c>
      <c r="AA236" s="9">
        <f t="shared" ca="1" si="63"/>
        <v>0</v>
      </c>
    </row>
    <row r="237" spans="1:27">
      <c r="A237" s="8" t="str">
        <f>A236</f>
        <v>Type 11</v>
      </c>
      <c r="B237" s="7">
        <f>B236+1</f>
        <v>2022</v>
      </c>
      <c r="C237" s="7" t="str">
        <f t="shared" si="64"/>
        <v>Annual</v>
      </c>
      <c r="D237" s="7">
        <f t="shared" si="64"/>
        <v>10</v>
      </c>
      <c r="E237" s="7">
        <f t="shared" si="64"/>
        <v>10</v>
      </c>
      <c r="F237" s="14">
        <f>$P$96</f>
        <v>2.4499999999999997E-2</v>
      </c>
      <c r="H237" s="9"/>
      <c r="I237" s="9"/>
      <c r="J237" s="9"/>
      <c r="K237" s="9"/>
      <c r="L237" s="9">
        <f ca="1">$F$96</f>
        <v>0</v>
      </c>
      <c r="M237" s="9">
        <f ca="1">L237-T237</f>
        <v>0</v>
      </c>
      <c r="N237" s="9"/>
      <c r="O237" s="9"/>
      <c r="P237" s="9"/>
      <c r="Q237" s="9"/>
      <c r="R237" s="9"/>
      <c r="S237" s="9">
        <f>IF(OR($C237="Annual",$D237=$E237),IF(AND($D237=$E237,S$111=$B237+$D237),$L237,IF(AND(S$111&gt;$B237+$D237,S$111&lt;=$B237+$E237), $L237/($E237-$D237),0)), IF(OR(S$111=$B237+$D237,S$111=$B237+$E237),$L237/(($E237-$D237)*2),IF(AND(S$111&gt;$B237+$D237,S$111&lt;$B237+$E237),$L237/($E237-$D237),0)))</f>
        <v>0</v>
      </c>
      <c r="T237" s="9">
        <f>IF(OR($C237="Annual",$D237=$E237),IF(AND($D237=$E237,T$111=$B237+$D237),$L237,IF(AND(T$111&gt;$B237+$D237,T$111&lt;=$B237+$E237), $L237/($E237-$D237),0)), IF(OR(T$111=$B237+$D237,T$111=$B237+$E237),$L237/(($E237-$D237)*2),IF(AND(T$111&gt;$B237+$D237,T$111&lt;$B237+$E237),$L237/($E237-$D237),0)))</f>
        <v>0</v>
      </c>
      <c r="U237" s="9"/>
      <c r="V237" s="9"/>
      <c r="W237" s="9"/>
      <c r="X237" s="9"/>
      <c r="Y237" s="9"/>
      <c r="Z237" s="9">
        <f t="shared" si="63"/>
        <v>0</v>
      </c>
      <c r="AA237" s="9">
        <f t="shared" ca="1" si="63"/>
        <v>0</v>
      </c>
    </row>
    <row r="238" spans="1:27">
      <c r="A238" s="8" t="str">
        <f>A237</f>
        <v>Type 11</v>
      </c>
      <c r="B238" s="7">
        <f>B237+1</f>
        <v>2023</v>
      </c>
      <c r="C238" s="7" t="str">
        <f t="shared" si="64"/>
        <v>Annual</v>
      </c>
      <c r="D238" s="7">
        <f t="shared" si="64"/>
        <v>10</v>
      </c>
      <c r="E238" s="7">
        <f t="shared" si="64"/>
        <v>10</v>
      </c>
      <c r="F238" s="14">
        <f>$Q$96</f>
        <v>2.4499999999999997E-2</v>
      </c>
      <c r="H238" s="9"/>
      <c r="I238" s="9"/>
      <c r="J238" s="9"/>
      <c r="K238" s="9"/>
      <c r="L238" s="9"/>
      <c r="M238" s="9">
        <f ca="1">$G$96</f>
        <v>0</v>
      </c>
      <c r="N238" s="9"/>
      <c r="O238" s="9"/>
      <c r="P238" s="9"/>
      <c r="Q238" s="9"/>
      <c r="R238" s="9"/>
      <c r="S238" s="9"/>
      <c r="T238" s="9">
        <f>IF(OR($C238="Annual",$D238=$E238),IF(AND($D238=$E238,T$111=$B238+$D238),$M238,IF(AND(T$111&gt;$B238+$D238,T$111&lt;=$B238+$E238), $M238/($E238-$D238),0)), IF(OR(T$111=$B238+$D238,T$111=$B238+$E238),$M238/(($E238-$D238)*2),IF(AND(T$111&gt;$B238+$D238,T$111&lt;$B238+$E238),$M238/($E238-$D238),0)))</f>
        <v>0</v>
      </c>
      <c r="U238" s="9"/>
      <c r="V238" s="9"/>
      <c r="W238" s="9"/>
      <c r="X238" s="9"/>
      <c r="Y238" s="9"/>
      <c r="Z238" s="9"/>
      <c r="AA238" s="9">
        <f t="shared" si="63"/>
        <v>0</v>
      </c>
    </row>
    <row r="239" spans="1:27">
      <c r="F239" s="15"/>
      <c r="H239" s="10"/>
      <c r="I239" s="10"/>
      <c r="J239" s="10"/>
      <c r="K239" s="10"/>
      <c r="L239" s="10"/>
      <c r="M239" s="10"/>
      <c r="N239" s="10"/>
      <c r="O239" s="278"/>
      <c r="P239" s="10"/>
      <c r="Q239" s="10"/>
      <c r="R239" s="10"/>
      <c r="S239" s="10"/>
      <c r="T239" s="10"/>
      <c r="U239" s="10"/>
      <c r="V239" s="10"/>
      <c r="W239" s="10"/>
      <c r="X239" s="10"/>
      <c r="Y239" s="10"/>
      <c r="Z239" s="10"/>
      <c r="AA239" s="10"/>
    </row>
    <row r="240" spans="1:27">
      <c r="A240" s="8" t="str">
        <f>'Input 4 - Forecast'!A78</f>
        <v>Type 12</v>
      </c>
      <c r="B240" s="7">
        <f>B119</f>
        <v>2018</v>
      </c>
      <c r="C240" s="7" t="str">
        <f>$I97</f>
        <v>Annual</v>
      </c>
      <c r="D240" s="7">
        <f>$J97</f>
        <v>30</v>
      </c>
      <c r="E240" s="7">
        <f>$K97</f>
        <v>30</v>
      </c>
      <c r="F240" s="14">
        <f>$L$97</f>
        <v>2.2499999999999999E-2</v>
      </c>
      <c r="H240" s="9">
        <f>$B$97</f>
        <v>499.99798625313935</v>
      </c>
      <c r="I240" s="9">
        <f>H240-P240</f>
        <v>499.99798625313935</v>
      </c>
      <c r="J240" s="9">
        <f>I240-Q240</f>
        <v>499.99798625313935</v>
      </c>
      <c r="K240" s="9">
        <f>J240-R240</f>
        <v>499.99798625313935</v>
      </c>
      <c r="L240" s="9">
        <f>K240-S240</f>
        <v>499.99798625313935</v>
      </c>
      <c r="M240" s="9">
        <f>L240-T240</f>
        <v>499.99798625313935</v>
      </c>
      <c r="N240" s="9"/>
      <c r="O240" s="9">
        <f t="shared" ref="O240:T240" si="65">IF(OR($C240="Annual",$D240=$E240),IF(AND($D240=$E240,O$111=$B240+$D240),$H240,IF(AND(O$111&gt;$B240+$D240,O$111&lt;=$B240+$E240), $H240/($E240-$D240),0)), IF(OR(O$111=$B240+$D240,O$111=$B240+$E240),$H240/(($E240-$D240)*2),IF(AND(O$111&gt;$B240+$D240,O$111&lt;$B240+$E240),$H240/($E240-$D240),0)))</f>
        <v>0</v>
      </c>
      <c r="P240" s="9">
        <f t="shared" si="65"/>
        <v>0</v>
      </c>
      <c r="Q240" s="9">
        <f t="shared" si="65"/>
        <v>0</v>
      </c>
      <c r="R240" s="9">
        <f t="shared" si="65"/>
        <v>0</v>
      </c>
      <c r="S240" s="9">
        <f t="shared" si="65"/>
        <v>0</v>
      </c>
      <c r="T240" s="9">
        <f t="shared" si="65"/>
        <v>0</v>
      </c>
      <c r="U240" s="9"/>
      <c r="V240" s="9">
        <f>IF($C240="annual",IF(V$111=$B240,0,G240*$F240),IF(V$111-$B240=0,0,IF((V$111-$B240)&lt;$E240,AVERAGE(G240,H240)*$F240,IF((V$111-$B240)=$E240,G240*$F240/2,0))))</f>
        <v>0</v>
      </c>
      <c r="W240" s="9">
        <f t="shared" ref="W240:AA245" si="66">IF($C240="annual",IF(W$111=$B240,0,H240*$F240),IF(W$111-$B240=0,0,IF((W$111-$B240)&lt;$E240,AVERAGE(H240,I240)*$F240,IF((W$111-$B240)=$E240,H240*$F240/2,0))))</f>
        <v>11.249954690695635</v>
      </c>
      <c r="X240" s="9">
        <f t="shared" si="66"/>
        <v>11.249954690695635</v>
      </c>
      <c r="Y240" s="9">
        <f t="shared" si="66"/>
        <v>11.249954690695635</v>
      </c>
      <c r="Z240" s="9">
        <f t="shared" si="66"/>
        <v>11.249954690695635</v>
      </c>
      <c r="AA240" s="9">
        <f t="shared" si="66"/>
        <v>11.249954690695635</v>
      </c>
    </row>
    <row r="241" spans="1:27">
      <c r="A241" s="8" t="str">
        <f>A240</f>
        <v>Type 12</v>
      </c>
      <c r="B241" s="7">
        <f>B240+1</f>
        <v>2019</v>
      </c>
      <c r="C241" s="7" t="str">
        <f>C240</f>
        <v>Annual</v>
      </c>
      <c r="D241" s="7">
        <f>D240</f>
        <v>30</v>
      </c>
      <c r="E241" s="7">
        <f>E240</f>
        <v>30</v>
      </c>
      <c r="F241" s="14">
        <f>$M$97</f>
        <v>2.5000000000000001E-3</v>
      </c>
      <c r="H241" s="9"/>
      <c r="I241" s="9">
        <f ca="1">$C$97</f>
        <v>0</v>
      </c>
      <c r="J241" s="9">
        <f ca="1">I241-Q241</f>
        <v>0</v>
      </c>
      <c r="K241" s="9">
        <f ca="1">J241-R241</f>
        <v>0</v>
      </c>
      <c r="L241" s="9">
        <f ca="1">K241-S241</f>
        <v>0</v>
      </c>
      <c r="M241" s="9">
        <f ca="1">L241-T241</f>
        <v>0</v>
      </c>
      <c r="N241" s="9"/>
      <c r="O241" s="9"/>
      <c r="P241" s="9">
        <f>IF(OR($C241="Annual",$D241=$E241),IF(AND($D241=$E241,P$111=$B241+$D241),$I241,IF(AND(P$111&gt;$B241+$D241,P$111&lt;=$B241+$E241), $I241/($E241-$D241),0)), IF(OR(P$111=$B241+$D241,P$111=$B241+$E241),$I241/(($E241-$D241)*2),IF(AND(P$111&gt;$B241+$D241,P$111&lt;$B241+$E241),$I241/($E241-$D241),0)))</f>
        <v>0</v>
      </c>
      <c r="Q241" s="9">
        <f>IF(OR($C241="Annual",$D241=$E241),IF(AND($D241=$E241,Q$111=$B241+$D241),$I241,IF(AND(Q$111&gt;$B241+$D241,Q$111&lt;=$B241+$E241), $I241/($E241-$D241),0)), IF(OR(Q$111=$B241+$D241,Q$111=$B241+$E241),$I241/(($E241-$D241)*2),IF(AND(Q$111&gt;$B241+$D241,Q$111&lt;$B241+$E241),$I241/($E241-$D241),0)))</f>
        <v>0</v>
      </c>
      <c r="R241" s="9">
        <f>IF(OR($C241="Annual",$D241=$E241),IF(AND($D241=$E241,R$111=$B241+$D241),$I241,IF(AND(R$111&gt;$B241+$D241,R$111&lt;=$B241+$E241), $I241/($E241-$D241),0)), IF(OR(R$111=$B241+$D241,R$111=$B241+$E241),$I241/(($E241-$D241)*2),IF(AND(R$111&gt;$B241+$D241,R$111&lt;$B241+$E241),$I241/($E241-$D241),0)))</f>
        <v>0</v>
      </c>
      <c r="S241" s="9">
        <f>IF(OR($C241="Annual",$D241=$E241),IF(AND($D241=$E241,S$111=$B241+$D241),$I241,IF(AND(S$111&gt;$B241+$D241,S$111&lt;=$B241+$E241), $I241/($E241-$D241),0)), IF(OR(S$111=$B241+$D241,S$111=$B241+$E241),$I241/(($E241-$D241)*2),IF(AND(S$111&gt;$B241+$D241,S$111&lt;$B241+$E241),$I241/($E241-$D241),0)))</f>
        <v>0</v>
      </c>
      <c r="T241" s="9">
        <f>IF(OR($C241="Annual",$D241=$E241),IF(AND($D241=$E241,T$111=$B241+$D241),$I241,IF(AND(T$111&gt;$B241+$D241,T$111&lt;=$B241+$E241), $I241/($E241-$D241),0)), IF(OR(T$111=$B241+$D241,T$111=$B241+$E241),$I241/(($E241-$D241)*2),IF(AND(T$111&gt;$B241+$D241,T$111&lt;$B241+$E241),$I241/($E241-$D241),0)))</f>
        <v>0</v>
      </c>
      <c r="U241" s="9"/>
      <c r="V241" s="9"/>
      <c r="W241" s="9">
        <f t="shared" si="66"/>
        <v>0</v>
      </c>
      <c r="X241" s="9">
        <f t="shared" ca="1" si="66"/>
        <v>0</v>
      </c>
      <c r="Y241" s="9">
        <f t="shared" ca="1" si="66"/>
        <v>0</v>
      </c>
      <c r="Z241" s="9">
        <f t="shared" ca="1" si="66"/>
        <v>0</v>
      </c>
      <c r="AA241" s="9">
        <f t="shared" ca="1" si="66"/>
        <v>0</v>
      </c>
    </row>
    <row r="242" spans="1:27">
      <c r="A242" s="8" t="str">
        <f>A241</f>
        <v>Type 12</v>
      </c>
      <c r="B242" s="7">
        <f>B241+1</f>
        <v>2020</v>
      </c>
      <c r="C242" s="7" t="str">
        <f t="shared" ref="C242:E245" si="67">C241</f>
        <v>Annual</v>
      </c>
      <c r="D242" s="7">
        <f t="shared" si="67"/>
        <v>30</v>
      </c>
      <c r="E242" s="7">
        <f t="shared" si="67"/>
        <v>30</v>
      </c>
      <c r="F242" s="14">
        <f>$N$97</f>
        <v>2.5000000000000001E-3</v>
      </c>
      <c r="H242" s="9"/>
      <c r="I242" s="9"/>
      <c r="J242" s="9">
        <f ca="1">$D$97</f>
        <v>0</v>
      </c>
      <c r="K242" s="9">
        <f ca="1">J242-R242</f>
        <v>0</v>
      </c>
      <c r="L242" s="9">
        <f ca="1">K242-S242</f>
        <v>0</v>
      </c>
      <c r="M242" s="9">
        <f ca="1">L242-T242</f>
        <v>0</v>
      </c>
      <c r="N242" s="9"/>
      <c r="O242" s="9"/>
      <c r="P242" s="9"/>
      <c r="Q242" s="9">
        <f>IF(OR($C242="Annual",$D242=$E242),IF(AND($D242=$E242,Q$111=$B242+$D242),$J242,IF(AND(Q$111&gt;$B242+$D242,Q$111&lt;=$B242+$E242), $J242/($E242-$D242),0)), IF(OR(Q$111=$B242+$D242,Q$111=$B242+$E242),$J242/(($E242-$D242)*2),IF(AND(Q$111&gt;$B242+$D242,Q$111&lt;$B242+$E242),$J242/($E242-$D242),0)))</f>
        <v>0</v>
      </c>
      <c r="R242" s="9">
        <f>IF(OR($C242="Annual",$D242=$E242),IF(AND($D242=$E242,R$111=$B242+$D242),$J242,IF(AND(R$111&gt;$B242+$D242,R$111&lt;=$B242+$E242), $J242/($E242-$D242),0)), IF(OR(R$111=$B242+$D242,R$111=$B242+$E242),$J242/(($E242-$D242)*2),IF(AND(R$111&gt;$B242+$D242,R$111&lt;$B242+$E242),$J242/($E242-$D242),0)))</f>
        <v>0</v>
      </c>
      <c r="S242" s="9">
        <f>IF(OR($C242="Annual",$D242=$E242),IF(AND($D242=$E242,S$111=$B242+$D242),$J242,IF(AND(S$111&gt;$B242+$D242,S$111&lt;=$B242+$E242), $J242/($E242-$D242),0)), IF(OR(S$111=$B242+$D242,S$111=$B242+$E242),$J242/(($E242-$D242)*2),IF(AND(S$111&gt;$B242+$D242,S$111&lt;$B242+$E242),$J242/($E242-$D242),0)))</f>
        <v>0</v>
      </c>
      <c r="T242" s="9">
        <f>IF(OR($C242="Annual",$D242=$E242),IF(AND($D242=$E242,T$111=$B242+$D242),$J242,IF(AND(T$111&gt;$B242+$D242,T$111&lt;=$B242+$E242), $J242/($E242-$D242),0)), IF(OR(T$111=$B242+$D242,T$111=$B242+$E242),$J242/(($E242-$D242)*2),IF(AND(T$111&gt;$B242+$D242,T$111&lt;$B242+$E242),$J242/($E242-$D242),0)))</f>
        <v>0</v>
      </c>
      <c r="U242" s="9"/>
      <c r="V242" s="9"/>
      <c r="W242" s="9"/>
      <c r="X242" s="9">
        <f t="shared" si="66"/>
        <v>0</v>
      </c>
      <c r="Y242" s="9">
        <f t="shared" ca="1" si="66"/>
        <v>0</v>
      </c>
      <c r="Z242" s="9">
        <f t="shared" ca="1" si="66"/>
        <v>0</v>
      </c>
      <c r="AA242" s="9">
        <f t="shared" ca="1" si="66"/>
        <v>0</v>
      </c>
    </row>
    <row r="243" spans="1:27">
      <c r="A243" s="8" t="str">
        <f>A242</f>
        <v>Type 12</v>
      </c>
      <c r="B243" s="7">
        <f>B242+1</f>
        <v>2021</v>
      </c>
      <c r="C243" s="7" t="str">
        <f t="shared" si="67"/>
        <v>Annual</v>
      </c>
      <c r="D243" s="7">
        <f t="shared" si="67"/>
        <v>30</v>
      </c>
      <c r="E243" s="7">
        <f t="shared" si="67"/>
        <v>30</v>
      </c>
      <c r="F243" s="14">
        <f>$O$97</f>
        <v>2.5000000000000001E-3</v>
      </c>
      <c r="H243" s="9"/>
      <c r="I243" s="9"/>
      <c r="J243" s="9"/>
      <c r="K243" s="9">
        <f ca="1">$E$97</f>
        <v>0</v>
      </c>
      <c r="L243" s="9">
        <f ca="1">K243-S243</f>
        <v>0</v>
      </c>
      <c r="M243" s="9">
        <f ca="1">L243-T243</f>
        <v>0</v>
      </c>
      <c r="N243" s="9"/>
      <c r="O243" s="9"/>
      <c r="P243" s="9"/>
      <c r="Q243" s="9"/>
      <c r="R243" s="9">
        <f>IF(OR($C243="Annual",$D243=$E243),IF(AND($D243=$E243,R$111=$B243+$D243),$K243,IF(AND(R$111&gt;$B243+$D243,R$111&lt;=$B243+$E243), $K243/($E243-$D243),0)), IF(OR(R$111=$B243+$D243,R$111=$B243+$E243),$K243/(($E243-$D243)*2),IF(AND(R$111&gt;$B243+$D243,R$111&lt;$B243+$E243),$K243/($E243-$D243),0)))</f>
        <v>0</v>
      </c>
      <c r="S243" s="9">
        <f>IF(OR($C243="Annual",$D243=$E243),IF(AND($D243=$E243,S$111=$B243+$D243),$K243,IF(AND(S$111&gt;$B243+$D243,S$111&lt;=$B243+$E243), $K243/($E243-$D243),0)), IF(OR(S$111=$B243+$D243,S$111=$B243+$E243),$K243/(($E243-$D243)*2),IF(AND(S$111&gt;$B243+$D243,S$111&lt;$B243+$E243),$K243/($E243-$D243),0)))</f>
        <v>0</v>
      </c>
      <c r="T243" s="9">
        <f>IF(OR($C243="Annual",$D243=$E243),IF(AND($D243=$E243,T$111=$B243+$D243),$K243,IF(AND(T$111&gt;$B243+$D243,T$111&lt;=$B243+$E243), $K243/($E243-$D243),0)), IF(OR(T$111=$B243+$D243,T$111=$B243+$E243),$K243/(($E243-$D243)*2),IF(AND(T$111&gt;$B243+$D243,T$111&lt;$B243+$E243),$K243/($E243-$D243),0)))</f>
        <v>0</v>
      </c>
      <c r="U243" s="9"/>
      <c r="V243" s="9"/>
      <c r="W243" s="9"/>
      <c r="X243" s="9"/>
      <c r="Y243" s="9">
        <f t="shared" si="66"/>
        <v>0</v>
      </c>
      <c r="Z243" s="9">
        <f t="shared" ca="1" si="66"/>
        <v>0</v>
      </c>
      <c r="AA243" s="9">
        <f t="shared" ca="1" si="66"/>
        <v>0</v>
      </c>
    </row>
    <row r="244" spans="1:27">
      <c r="A244" s="8" t="str">
        <f>A243</f>
        <v>Type 12</v>
      </c>
      <c r="B244" s="7">
        <f>B243+1</f>
        <v>2022</v>
      </c>
      <c r="C244" s="7" t="str">
        <f t="shared" si="67"/>
        <v>Annual</v>
      </c>
      <c r="D244" s="7">
        <f t="shared" si="67"/>
        <v>30</v>
      </c>
      <c r="E244" s="7">
        <f t="shared" si="67"/>
        <v>30</v>
      </c>
      <c r="F244" s="14">
        <f>$P$97</f>
        <v>2.5000000000000001E-3</v>
      </c>
      <c r="H244" s="9"/>
      <c r="I244" s="9"/>
      <c r="J244" s="9"/>
      <c r="K244" s="9"/>
      <c r="L244" s="9">
        <f ca="1">$F$97</f>
        <v>0</v>
      </c>
      <c r="M244" s="9">
        <f ca="1">L244-T244</f>
        <v>0</v>
      </c>
      <c r="N244" s="9"/>
      <c r="O244" s="9"/>
      <c r="P244" s="9"/>
      <c r="Q244" s="9"/>
      <c r="R244" s="9"/>
      <c r="S244" s="9">
        <f>IF(OR($C244="Annual",$D244=$E244),IF(AND($D244=$E244,S$111=$B244+$D244),$L244,IF(AND(S$111&gt;$B244+$D244,S$111&lt;=$B244+$E244), $L244/($E244-$D244),0)), IF(OR(S$111=$B244+$D244,S$111=$B244+$E244),$L244/(($E244-$D244)*2),IF(AND(S$111&gt;$B244+$D244,S$111&lt;$B244+$E244),$L244/($E244-$D244),0)))</f>
        <v>0</v>
      </c>
      <c r="T244" s="9">
        <f>IF(OR($C244="Annual",$D244=$E244),IF(AND($D244=$E244,T$111=$B244+$D244),$L244,IF(AND(T$111&gt;$B244+$D244,T$111&lt;=$B244+$E244), $L244/($E244-$D244),0)), IF(OR(T$111=$B244+$D244,T$111=$B244+$E244),$L244/(($E244-$D244)*2),IF(AND(T$111&gt;$B244+$D244,T$111&lt;$B244+$E244),$L244/($E244-$D244),0)))</f>
        <v>0</v>
      </c>
      <c r="U244" s="9"/>
      <c r="V244" s="9"/>
      <c r="W244" s="9"/>
      <c r="X244" s="9"/>
      <c r="Y244" s="9"/>
      <c r="Z244" s="9">
        <f t="shared" si="66"/>
        <v>0</v>
      </c>
      <c r="AA244" s="9">
        <f t="shared" ca="1" si="66"/>
        <v>0</v>
      </c>
    </row>
    <row r="245" spans="1:27">
      <c r="A245" s="8" t="str">
        <f>A244</f>
        <v>Type 12</v>
      </c>
      <c r="B245" s="7">
        <f>B244+1</f>
        <v>2023</v>
      </c>
      <c r="C245" s="7" t="str">
        <f t="shared" si="67"/>
        <v>Annual</v>
      </c>
      <c r="D245" s="7">
        <f t="shared" si="67"/>
        <v>30</v>
      </c>
      <c r="E245" s="7">
        <f t="shared" si="67"/>
        <v>30</v>
      </c>
      <c r="F245" s="14">
        <f>$Q$97</f>
        <v>2.5000000000000001E-3</v>
      </c>
      <c r="H245" s="9"/>
      <c r="I245" s="9"/>
      <c r="J245" s="9"/>
      <c r="K245" s="9"/>
      <c r="L245" s="9"/>
      <c r="M245" s="9">
        <f ca="1">$G$97</f>
        <v>0</v>
      </c>
      <c r="N245" s="9"/>
      <c r="O245" s="9"/>
      <c r="P245" s="9"/>
      <c r="Q245" s="9"/>
      <c r="R245" s="9"/>
      <c r="S245" s="9"/>
      <c r="T245" s="9">
        <f>IF(OR($C245="Annual",$D245=$E245),IF(AND($D245=$E245,T$111=$B245+$D245),$M245,IF(AND(T$111&gt;$B245+$D245,T$111&lt;=$B245+$E245), $M245/($E245-$D245),0)), IF(OR(T$111=$B245+$D245,T$111=$B245+$E245),$M245/(($E245-$D245)*2),IF(AND(T$111&gt;$B245+$D245,T$111&lt;$B245+$E245),$M245/($E245-$D245),0)))</f>
        <v>0</v>
      </c>
      <c r="U245" s="9"/>
      <c r="V245" s="9"/>
      <c r="W245" s="9"/>
      <c r="X245" s="9"/>
      <c r="Y245" s="9"/>
      <c r="Z245" s="9"/>
      <c r="AA245" s="9">
        <f t="shared" si="66"/>
        <v>0</v>
      </c>
    </row>
    <row r="246" spans="1:27">
      <c r="F246" s="15"/>
      <c r="H246" s="10"/>
      <c r="I246" s="10"/>
      <c r="J246" s="10"/>
      <c r="K246" s="10"/>
      <c r="L246" s="10"/>
      <c r="M246" s="10"/>
      <c r="N246" s="10"/>
      <c r="O246" s="278"/>
      <c r="P246" s="10"/>
      <c r="Q246" s="10"/>
      <c r="R246" s="10"/>
      <c r="S246" s="10"/>
      <c r="T246" s="10"/>
      <c r="U246" s="10"/>
      <c r="V246" s="10"/>
      <c r="W246" s="10"/>
      <c r="X246" s="10"/>
      <c r="Y246" s="10"/>
      <c r="Z246" s="10"/>
      <c r="AA246" s="10"/>
    </row>
    <row r="247" spans="1:27">
      <c r="A247" s="8" t="str">
        <f>'Input 4 - Forecast'!A79</f>
        <v>Type 13</v>
      </c>
      <c r="B247" s="7">
        <f>B119</f>
        <v>2018</v>
      </c>
      <c r="C247" s="7" t="str">
        <f>$I98</f>
        <v>Annual</v>
      </c>
      <c r="D247" s="7">
        <f>$J98</f>
        <v>0</v>
      </c>
      <c r="E247" s="7">
        <f>$K98</f>
        <v>0</v>
      </c>
      <c r="F247" s="14">
        <f>$L$98</f>
        <v>0</v>
      </c>
      <c r="H247" s="9">
        <f>$B$98</f>
        <v>0</v>
      </c>
      <c r="I247" s="9">
        <f>H247-P247</f>
        <v>0</v>
      </c>
      <c r="J247" s="9">
        <f>I247-Q247</f>
        <v>0</v>
      </c>
      <c r="K247" s="9">
        <f>J247-R247</f>
        <v>0</v>
      </c>
      <c r="L247" s="9">
        <f>K247-S247</f>
        <v>0</v>
      </c>
      <c r="M247" s="9">
        <f>L247-T247</f>
        <v>0</v>
      </c>
      <c r="N247" s="9"/>
      <c r="O247" s="9">
        <f t="shared" ref="O247:T247" si="68">IF(OR($C247="Annual",$D247=$E247),IF(AND($D247=$E247,O$111=$B247+$D247),$H247,IF(AND(O$111&gt;$B247+$D247,O$111&lt;=$B247+$E247), $H247/($E247-$D247),0)), IF(OR(O$111=$B247+$D247,O$111=$B247+$E247),$H247/(($E247-$D247)*2),IF(AND(O$111&gt;$B247+$D247,O$111&lt;$B247+$E247),$H247/($E247-$D247),0)))</f>
        <v>0</v>
      </c>
      <c r="P247" s="9">
        <f t="shared" si="68"/>
        <v>0</v>
      </c>
      <c r="Q247" s="9">
        <f t="shared" si="68"/>
        <v>0</v>
      </c>
      <c r="R247" s="9">
        <f t="shared" si="68"/>
        <v>0</v>
      </c>
      <c r="S247" s="9">
        <f t="shared" si="68"/>
        <v>0</v>
      </c>
      <c r="T247" s="9">
        <f t="shared" si="68"/>
        <v>0</v>
      </c>
      <c r="U247" s="9"/>
      <c r="V247" s="9">
        <f>IF($C247="annual",IF(V$111=$B247,0,G247*$F247),IF(V$111-$B247=0,0,IF((V$111-$B247)&lt;$E247,AVERAGE(G247,H247)*$F247,IF((V$111-$B247)=$E247,G247*$F247/2,0))))</f>
        <v>0</v>
      </c>
      <c r="W247" s="9">
        <f t="shared" ref="W247:AA252" si="69">IF($C247="annual",IF(W$111=$B247,0,H247*$F247),IF(W$111-$B247=0,0,IF((W$111-$B247)&lt;$E247,AVERAGE(H247,I247)*$F247,IF((W$111-$B247)=$E247,H247*$F247/2,0))))</f>
        <v>0</v>
      </c>
      <c r="X247" s="9">
        <f t="shared" si="69"/>
        <v>0</v>
      </c>
      <c r="Y247" s="9">
        <f t="shared" si="69"/>
        <v>0</v>
      </c>
      <c r="Z247" s="9">
        <f t="shared" si="69"/>
        <v>0</v>
      </c>
      <c r="AA247" s="9">
        <f t="shared" si="69"/>
        <v>0</v>
      </c>
    </row>
    <row r="248" spans="1:27">
      <c r="A248" s="8" t="str">
        <f>A247</f>
        <v>Type 13</v>
      </c>
      <c r="B248" s="7">
        <f>B247+1</f>
        <v>2019</v>
      </c>
      <c r="C248" s="7" t="str">
        <f t="shared" ref="C248:E252" si="70">C247</f>
        <v>Annual</v>
      </c>
      <c r="D248" s="7">
        <f t="shared" si="70"/>
        <v>0</v>
      </c>
      <c r="E248" s="7">
        <f t="shared" si="70"/>
        <v>0</v>
      </c>
      <c r="F248" s="14">
        <f>$M$98</f>
        <v>2.5000000000000001E-3</v>
      </c>
      <c r="H248" s="9"/>
      <c r="I248" s="9">
        <f ca="1">$C$98</f>
        <v>0</v>
      </c>
      <c r="J248" s="9">
        <f ca="1">I248-Q248</f>
        <v>0</v>
      </c>
      <c r="K248" s="9">
        <f ca="1">J248-R248</f>
        <v>0</v>
      </c>
      <c r="L248" s="9">
        <f ca="1">K248-S248</f>
        <v>0</v>
      </c>
      <c r="M248" s="9">
        <f ca="1">L248-T248</f>
        <v>0</v>
      </c>
      <c r="N248" s="9"/>
      <c r="O248" s="9"/>
      <c r="P248" s="9">
        <f ca="1">IF(OR($C248="Annual",$D248=$E248),IF(AND($D248=$E248,P$111=$B248+$D248),$I248,IF(AND(P$111&gt;$B248+$D248,P$111&lt;=$B248+$E248), $I248/($E248-$D248),0)), IF(OR(P$111=$B248+$D248,P$111=$B248+$E248),$I248/(($E248-$D248)*2),IF(AND(P$111&gt;$B248+$D248,P$111&lt;$B248+$E248),$I248/($E248-$D248),0)))</f>
        <v>0</v>
      </c>
      <c r="Q248" s="9">
        <f>IF(OR($C248="Annual",$D248=$E248),IF(AND($D248=$E248,Q$111=$B248+$D248),$I248,IF(AND(Q$111&gt;$B248+$D248,Q$111&lt;=$B248+$E248), $I248/($E248-$D248),0)), IF(OR(Q$111=$B248+$D248,Q$111=$B248+$E248),$I248/(($E248-$D248)*2),IF(AND(Q$111&gt;$B248+$D248,Q$111&lt;$B248+$E248),$I248/($E248-$D248),0)))</f>
        <v>0</v>
      </c>
      <c r="R248" s="9">
        <f>IF(OR($C248="Annual",$D248=$E248),IF(AND($D248=$E248,R$111=$B248+$D248),$I248,IF(AND(R$111&gt;$B248+$D248,R$111&lt;=$B248+$E248), $I248/($E248-$D248),0)), IF(OR(R$111=$B248+$D248,R$111=$B248+$E248),$I248/(($E248-$D248)*2),IF(AND(R$111&gt;$B248+$D248,R$111&lt;$B248+$E248),$I248/($E248-$D248),0)))</f>
        <v>0</v>
      </c>
      <c r="S248" s="9">
        <f>IF(OR($C248="Annual",$D248=$E248),IF(AND($D248=$E248,S$111=$B248+$D248),$I248,IF(AND(S$111&gt;$B248+$D248,S$111&lt;=$B248+$E248), $I248/($E248-$D248),0)), IF(OR(S$111=$B248+$D248,S$111=$B248+$E248),$I248/(($E248-$D248)*2),IF(AND(S$111&gt;$B248+$D248,S$111&lt;$B248+$E248),$I248/($E248-$D248),0)))</f>
        <v>0</v>
      </c>
      <c r="T248" s="9">
        <f>IF(OR($C248="Annual",$D248=$E248),IF(AND($D248=$E248,T$111=$B248+$D248),$I248,IF(AND(T$111&gt;$B248+$D248,T$111&lt;=$B248+$E248), $I248/($E248-$D248),0)), IF(OR(T$111=$B248+$D248,T$111=$B248+$E248),$I248/(($E248-$D248)*2),IF(AND(T$111&gt;$B248+$D248,T$111&lt;$B248+$E248),$I248/($E248-$D248),0)))</f>
        <v>0</v>
      </c>
      <c r="U248" s="9"/>
      <c r="V248" s="9"/>
      <c r="W248" s="9">
        <f t="shared" si="69"/>
        <v>0</v>
      </c>
      <c r="X248" s="9">
        <f t="shared" ca="1" si="69"/>
        <v>0</v>
      </c>
      <c r="Y248" s="9">
        <f t="shared" ca="1" si="69"/>
        <v>0</v>
      </c>
      <c r="Z248" s="9">
        <f t="shared" ca="1" si="69"/>
        <v>0</v>
      </c>
      <c r="AA248" s="9">
        <f t="shared" ca="1" si="69"/>
        <v>0</v>
      </c>
    </row>
    <row r="249" spans="1:27">
      <c r="A249" s="8" t="str">
        <f>A248</f>
        <v>Type 13</v>
      </c>
      <c r="B249" s="7">
        <f>B248+1</f>
        <v>2020</v>
      </c>
      <c r="C249" s="7" t="str">
        <f t="shared" si="70"/>
        <v>Annual</v>
      </c>
      <c r="D249" s="7">
        <f t="shared" si="70"/>
        <v>0</v>
      </c>
      <c r="E249" s="7">
        <f t="shared" si="70"/>
        <v>0</v>
      </c>
      <c r="F249" s="14">
        <f>$N$98</f>
        <v>2.5000000000000001E-3</v>
      </c>
      <c r="H249" s="9"/>
      <c r="I249" s="9"/>
      <c r="J249" s="9">
        <f ca="1">$D$98</f>
        <v>0</v>
      </c>
      <c r="K249" s="9">
        <f ca="1">J249-R249</f>
        <v>0</v>
      </c>
      <c r="L249" s="9">
        <f ca="1">K249-S249</f>
        <v>0</v>
      </c>
      <c r="M249" s="9">
        <f ca="1">L249-T249</f>
        <v>0</v>
      </c>
      <c r="N249" s="9"/>
      <c r="O249" s="9"/>
      <c r="P249" s="9"/>
      <c r="Q249" s="9">
        <f ca="1">IF(OR($C249="Annual",$D249=$E249),IF(AND($D249=$E249,Q$111=$B249+$D249),$J249,IF(AND(Q$111&gt;$B249+$D249,Q$111&lt;=$B249+$E249), $J249/($E249-$D249),0)), IF(OR(Q$111=$B249+$D249,Q$111=$B249+$E249),$J249/(($E249-$D249)*2),IF(AND(Q$111&gt;$B249+$D249,Q$111&lt;$B249+$E249),$J249/($E249-$D249),0)))</f>
        <v>0</v>
      </c>
      <c r="R249" s="9">
        <f>IF(OR($C249="Annual",$D249=$E249),IF(AND($D249=$E249,R$111=$B249+$D249),$J249,IF(AND(R$111&gt;$B249+$D249,R$111&lt;=$B249+$E249), $J249/($E249-$D249),0)), IF(OR(R$111=$B249+$D249,R$111=$B249+$E249),$J249/(($E249-$D249)*2),IF(AND(R$111&gt;$B249+$D249,R$111&lt;$B249+$E249),$J249/($E249-$D249),0)))</f>
        <v>0</v>
      </c>
      <c r="S249" s="9">
        <f>IF(OR($C249="Annual",$D249=$E249),IF(AND($D249=$E249,S$111=$B249+$D249),$J249,IF(AND(S$111&gt;$B249+$D249,S$111&lt;=$B249+$E249), $J249/($E249-$D249),0)), IF(OR(S$111=$B249+$D249,S$111=$B249+$E249),$J249/(($E249-$D249)*2),IF(AND(S$111&gt;$B249+$D249,S$111&lt;$B249+$E249),$J249/($E249-$D249),0)))</f>
        <v>0</v>
      </c>
      <c r="T249" s="9">
        <f>IF(OR($C249="Annual",$D249=$E249),IF(AND($D249=$E249,T$111=$B249+$D249),$J249,IF(AND(T$111&gt;$B249+$D249,T$111&lt;=$B249+$E249), $J249/($E249-$D249),0)), IF(OR(T$111=$B249+$D249,T$111=$B249+$E249),$J249/(($E249-$D249)*2),IF(AND(T$111&gt;$B249+$D249,T$111&lt;$B249+$E249),$J249/($E249-$D249),0)))</f>
        <v>0</v>
      </c>
      <c r="U249" s="9"/>
      <c r="V249" s="9"/>
      <c r="W249" s="9"/>
      <c r="X249" s="9">
        <f t="shared" si="69"/>
        <v>0</v>
      </c>
      <c r="Y249" s="9">
        <f t="shared" ca="1" si="69"/>
        <v>0</v>
      </c>
      <c r="Z249" s="9">
        <f t="shared" ca="1" si="69"/>
        <v>0</v>
      </c>
      <c r="AA249" s="9">
        <f t="shared" ca="1" si="69"/>
        <v>0</v>
      </c>
    </row>
    <row r="250" spans="1:27">
      <c r="A250" s="8" t="str">
        <f>A249</f>
        <v>Type 13</v>
      </c>
      <c r="B250" s="7">
        <f>B249+1</f>
        <v>2021</v>
      </c>
      <c r="C250" s="7" t="str">
        <f t="shared" si="70"/>
        <v>Annual</v>
      </c>
      <c r="D250" s="7">
        <f t="shared" si="70"/>
        <v>0</v>
      </c>
      <c r="E250" s="7">
        <f t="shared" si="70"/>
        <v>0</v>
      </c>
      <c r="F250" s="14">
        <f>$O$98</f>
        <v>2.5000000000000001E-3</v>
      </c>
      <c r="H250" s="9"/>
      <c r="I250" s="9"/>
      <c r="J250" s="9"/>
      <c r="K250" s="9">
        <f ca="1">$E$98</f>
        <v>0</v>
      </c>
      <c r="L250" s="9">
        <f ca="1">K250-S250</f>
        <v>0</v>
      </c>
      <c r="M250" s="9">
        <f ca="1">L250-T250</f>
        <v>0</v>
      </c>
      <c r="N250" s="9"/>
      <c r="O250" s="9"/>
      <c r="P250" s="9"/>
      <c r="Q250" s="9"/>
      <c r="R250" s="9">
        <f ca="1">IF(OR($C250="Annual",$D250=$E250),IF(AND($D250=$E250,R$111=$B250+$D250),$K250,IF(AND(R$111&gt;$B250+$D250,R$111&lt;=$B250+$E250), $K250/($E250-$D250),0)), IF(OR(R$111=$B250+$D250,R$111=$B250+$E250),$K250/(($E250-$D250)*2),IF(AND(R$111&gt;$B250+$D250,R$111&lt;$B250+$E250),$K250/($E250-$D250),0)))</f>
        <v>0</v>
      </c>
      <c r="S250" s="9">
        <f>IF(OR($C250="Annual",$D250=$E250),IF(AND($D250=$E250,S$111=$B250+$D250),$K250,IF(AND(S$111&gt;$B250+$D250,S$111&lt;=$B250+$E250), $K250/($E250-$D250),0)), IF(OR(S$111=$B250+$D250,S$111=$B250+$E250),$K250/(($E250-$D250)*2),IF(AND(S$111&gt;$B250+$D250,S$111&lt;$B250+$E250),$K250/($E250-$D250),0)))</f>
        <v>0</v>
      </c>
      <c r="T250" s="9">
        <f>IF(OR($C250="Annual",$D250=$E250),IF(AND($D250=$E250,T$111=$B250+$D250),$K250,IF(AND(T$111&gt;$B250+$D250,T$111&lt;=$B250+$E250), $K250/($E250-$D250),0)), IF(OR(T$111=$B250+$D250,T$111=$B250+$E250),$K250/(($E250-$D250)*2),IF(AND(T$111&gt;$B250+$D250,T$111&lt;$B250+$E250),$K250/($E250-$D250),0)))</f>
        <v>0</v>
      </c>
      <c r="U250" s="9"/>
      <c r="V250" s="9"/>
      <c r="W250" s="9"/>
      <c r="X250" s="9"/>
      <c r="Y250" s="9">
        <f t="shared" si="69"/>
        <v>0</v>
      </c>
      <c r="Z250" s="9">
        <f t="shared" ca="1" si="69"/>
        <v>0</v>
      </c>
      <c r="AA250" s="9">
        <f t="shared" ca="1" si="69"/>
        <v>0</v>
      </c>
    </row>
    <row r="251" spans="1:27">
      <c r="A251" s="8" t="str">
        <f>A250</f>
        <v>Type 13</v>
      </c>
      <c r="B251" s="7">
        <f>B250+1</f>
        <v>2022</v>
      </c>
      <c r="C251" s="7" t="str">
        <f t="shared" si="70"/>
        <v>Annual</v>
      </c>
      <c r="D251" s="7">
        <f t="shared" si="70"/>
        <v>0</v>
      </c>
      <c r="E251" s="7">
        <f t="shared" si="70"/>
        <v>0</v>
      </c>
      <c r="F251" s="14">
        <f>$P$98</f>
        <v>2.5000000000000001E-3</v>
      </c>
      <c r="H251" s="9"/>
      <c r="I251" s="9"/>
      <c r="J251" s="9"/>
      <c r="K251" s="9"/>
      <c r="L251" s="9">
        <f ca="1">$F$98</f>
        <v>0</v>
      </c>
      <c r="M251" s="9">
        <f ca="1">L251-T251</f>
        <v>0</v>
      </c>
      <c r="N251" s="9"/>
      <c r="O251" s="9"/>
      <c r="P251" s="9"/>
      <c r="Q251" s="9"/>
      <c r="R251" s="9"/>
      <c r="S251" s="9">
        <f ca="1">IF(OR($C251="Annual",$D251=$E251),IF(AND($D251=$E251,S$111=$B251+$D251),$L251,IF(AND(S$111&gt;$B251+$D251,S$111&lt;=$B251+$E251), $L251/($E251-$D251),0)), IF(OR(S$111=$B251+$D251,S$111=$B251+$E251),$L251/(($E251-$D251)*2),IF(AND(S$111&gt;$B251+$D251,S$111&lt;$B251+$E251),$L251/($E251-$D251),0)))</f>
        <v>0</v>
      </c>
      <c r="T251" s="9">
        <f>IF(OR($C251="Annual",$D251=$E251),IF(AND($D251=$E251,T$111=$B251+$D251),$L251,IF(AND(T$111&gt;$B251+$D251,T$111&lt;=$B251+$E251), $L251/($E251-$D251),0)), IF(OR(T$111=$B251+$D251,T$111=$B251+$E251),$L251/(($E251-$D251)*2),IF(AND(T$111&gt;$B251+$D251,T$111&lt;$B251+$E251),$L251/($E251-$D251),0)))</f>
        <v>0</v>
      </c>
      <c r="U251" s="9"/>
      <c r="V251" s="9"/>
      <c r="W251" s="9"/>
      <c r="X251" s="9"/>
      <c r="Y251" s="9"/>
      <c r="Z251" s="9">
        <f t="shared" si="69"/>
        <v>0</v>
      </c>
      <c r="AA251" s="9">
        <f t="shared" ca="1" si="69"/>
        <v>0</v>
      </c>
    </row>
    <row r="252" spans="1:27">
      <c r="A252" s="8" t="str">
        <f>A251</f>
        <v>Type 13</v>
      </c>
      <c r="B252" s="7">
        <f>B251+1</f>
        <v>2023</v>
      </c>
      <c r="C252" s="7" t="str">
        <f t="shared" si="70"/>
        <v>Annual</v>
      </c>
      <c r="D252" s="7">
        <f t="shared" si="70"/>
        <v>0</v>
      </c>
      <c r="E252" s="7">
        <f t="shared" si="70"/>
        <v>0</v>
      </c>
      <c r="F252" s="14">
        <f>$Q$98</f>
        <v>2.5000000000000001E-3</v>
      </c>
      <c r="H252" s="9"/>
      <c r="I252" s="9"/>
      <c r="J252" s="9"/>
      <c r="K252" s="9"/>
      <c r="L252" s="9"/>
      <c r="M252" s="9">
        <f ca="1">$G$98</f>
        <v>0</v>
      </c>
      <c r="N252" s="9"/>
      <c r="O252" s="9"/>
      <c r="P252" s="9"/>
      <c r="Q252" s="9"/>
      <c r="R252" s="9"/>
      <c r="S252" s="9"/>
      <c r="T252" s="9">
        <f ca="1">IF(OR($C252="Annual",$D252=$E252),IF(AND($D252=$E252,T$111=$B252+$D252),$M252,IF(AND(T$111&gt;$B252+$D252,T$111&lt;=$B252+$E252), $M252/($E252-$D252),0)), IF(OR(T$111=$B252+$D252,T$111=$B252+$E252),$M252/(($E252-$D252)*2),IF(AND(T$111&gt;$B252+$D252,T$111&lt;$B252+$E252),$M252/($E252-$D252),0)))</f>
        <v>0</v>
      </c>
      <c r="U252" s="9"/>
      <c r="V252" s="9"/>
      <c r="W252" s="9"/>
      <c r="X252" s="9"/>
      <c r="Y252" s="9"/>
      <c r="Z252" s="9"/>
      <c r="AA252" s="9">
        <f t="shared" si="69"/>
        <v>0</v>
      </c>
    </row>
    <row r="253" spans="1:27">
      <c r="F253" s="15"/>
      <c r="H253" s="10"/>
      <c r="I253" s="10"/>
      <c r="J253" s="10"/>
      <c r="K253" s="10"/>
      <c r="L253" s="10"/>
      <c r="M253" s="10"/>
      <c r="N253" s="10"/>
      <c r="O253" s="278"/>
      <c r="P253" s="10"/>
      <c r="Q253" s="10"/>
      <c r="R253" s="10"/>
      <c r="S253" s="10"/>
      <c r="T253" s="10"/>
      <c r="U253" s="10"/>
      <c r="V253" s="10"/>
      <c r="W253" s="10"/>
      <c r="X253" s="10"/>
      <c r="Y253" s="10"/>
      <c r="Z253" s="10"/>
      <c r="AA253" s="10"/>
    </row>
    <row r="254" spans="1:27">
      <c r="A254" s="8" t="str">
        <f>'Input 4 - Forecast'!A80</f>
        <v>Type 14</v>
      </c>
      <c r="B254" s="7">
        <f>B119</f>
        <v>2018</v>
      </c>
      <c r="C254" s="7" t="str">
        <f>$I99</f>
        <v>Annual</v>
      </c>
      <c r="D254" s="7">
        <f>$J99</f>
        <v>0</v>
      </c>
      <c r="E254" s="7">
        <f>$K99</f>
        <v>0</v>
      </c>
      <c r="F254" s="14">
        <f>$L$99</f>
        <v>0</v>
      </c>
      <c r="H254" s="9">
        <f>$B$99</f>
        <v>0</v>
      </c>
      <c r="I254" s="9">
        <f>H254-P254</f>
        <v>0</v>
      </c>
      <c r="J254" s="9">
        <f>I254-Q254</f>
        <v>0</v>
      </c>
      <c r="K254" s="9">
        <f>J254-R254</f>
        <v>0</v>
      </c>
      <c r="L254" s="9">
        <f>K254-S254</f>
        <v>0</v>
      </c>
      <c r="M254" s="9">
        <f>L254-T254</f>
        <v>0</v>
      </c>
      <c r="N254" s="9"/>
      <c r="O254" s="9">
        <f t="shared" ref="O254:T254" si="71">IF(OR($C254="Annual",$D254=$E254),IF(AND($D254=$E254,O$111=$B254+$D254),$H254,IF(AND(O$111&gt;$B254+$D254,O$111&lt;=$B254+$E254), $H254/($E254-$D254),0)), IF(OR(O$111=$B254+$D254,O$111=$B254+$E254),$H254/(($E254-$D254)*2),IF(AND(O$111&gt;$B254+$D254,O$111&lt;$B254+$E254),$H254/($E254-$D254),0)))</f>
        <v>0</v>
      </c>
      <c r="P254" s="9">
        <f t="shared" si="71"/>
        <v>0</v>
      </c>
      <c r="Q254" s="9">
        <f t="shared" si="71"/>
        <v>0</v>
      </c>
      <c r="R254" s="9">
        <f t="shared" si="71"/>
        <v>0</v>
      </c>
      <c r="S254" s="9">
        <f t="shared" si="71"/>
        <v>0</v>
      </c>
      <c r="T254" s="9">
        <f t="shared" si="71"/>
        <v>0</v>
      </c>
      <c r="U254" s="9"/>
      <c r="V254" s="9">
        <f>IF($C254="annual",IF(V$111=$B254,0,G254*$F254),IF(V$111-$B254=0,0,IF((V$111-$B254)&lt;$E254,AVERAGE(G254,H254)*$F254,IF((V$111-$B254)=$E254,G254*$F254/2,0))))</f>
        <v>0</v>
      </c>
      <c r="W254" s="9">
        <f t="shared" ref="W254:AA259" si="72">IF($C254="annual",IF(W$111=$B254,0,H254*$F254),IF(W$111-$B254=0,0,IF((W$111-$B254)&lt;$E254,AVERAGE(H254,I254)*$F254,IF((W$111-$B254)=$E254,H254*$F254/2,0))))</f>
        <v>0</v>
      </c>
      <c r="X254" s="9">
        <f t="shared" si="72"/>
        <v>0</v>
      </c>
      <c r="Y254" s="9">
        <f t="shared" si="72"/>
        <v>0</v>
      </c>
      <c r="Z254" s="9">
        <f t="shared" si="72"/>
        <v>0</v>
      </c>
      <c r="AA254" s="9">
        <f t="shared" si="72"/>
        <v>0</v>
      </c>
    </row>
    <row r="255" spans="1:27">
      <c r="A255" s="8" t="str">
        <f>A254</f>
        <v>Type 14</v>
      </c>
      <c r="B255" s="7">
        <f>B254+1</f>
        <v>2019</v>
      </c>
      <c r="C255" s="7" t="str">
        <f t="shared" ref="C255:E259" si="73">C254</f>
        <v>Annual</v>
      </c>
      <c r="D255" s="7">
        <f t="shared" si="73"/>
        <v>0</v>
      </c>
      <c r="E255" s="7">
        <f t="shared" si="73"/>
        <v>0</v>
      </c>
      <c r="F255" s="14">
        <f>$M$99</f>
        <v>2.5000000000000001E-3</v>
      </c>
      <c r="H255" s="9"/>
      <c r="I255" s="9">
        <f ca="1">$C$99</f>
        <v>0</v>
      </c>
      <c r="J255" s="9">
        <f ca="1">I255-Q255</f>
        <v>0</v>
      </c>
      <c r="K255" s="9">
        <f ca="1">J255-R255</f>
        <v>0</v>
      </c>
      <c r="L255" s="9">
        <f ca="1">K255-S255</f>
        <v>0</v>
      </c>
      <c r="M255" s="9">
        <f ca="1">L255-T255</f>
        <v>0</v>
      </c>
      <c r="N255" s="9"/>
      <c r="O255" s="9"/>
      <c r="P255" s="9">
        <f ca="1">IF(OR($C255="Annual",$D255=$E255),IF(AND($D255=$E255,P$111=$B255+$D255),$I255,IF(AND(P$111&gt;$B255+$D255,P$111&lt;=$B255+$E255), $I255/($E255-$D255),0)), IF(OR(P$111=$B255+$D255,P$111=$B255+$E255),$I255/(($E255-$D255)*2),IF(AND(P$111&gt;$B255+$D255,P$111&lt;$B255+$E255),$I255/($E255-$D255),0)))</f>
        <v>0</v>
      </c>
      <c r="Q255" s="9">
        <f>IF(OR($C255="Annual",$D255=$E255),IF(AND($D255=$E255,Q$111=$B255+$D255),$I255,IF(AND(Q$111&gt;$B255+$D255,Q$111&lt;=$B255+$E255), $I255/($E255-$D255),0)), IF(OR(Q$111=$B255+$D255,Q$111=$B255+$E255),$I255/(($E255-$D255)*2),IF(AND(Q$111&gt;$B255+$D255,Q$111&lt;$B255+$E255),$I255/($E255-$D255),0)))</f>
        <v>0</v>
      </c>
      <c r="R255" s="9">
        <f>IF(OR($C255="Annual",$D255=$E255),IF(AND($D255=$E255,R$111=$B255+$D255),$I255,IF(AND(R$111&gt;$B255+$D255,R$111&lt;=$B255+$E255), $I255/($E255-$D255),0)), IF(OR(R$111=$B255+$D255,R$111=$B255+$E255),$I255/(($E255-$D255)*2),IF(AND(R$111&gt;$B255+$D255,R$111&lt;$B255+$E255),$I255/($E255-$D255),0)))</f>
        <v>0</v>
      </c>
      <c r="S255" s="9">
        <f>IF(OR($C255="Annual",$D255=$E255),IF(AND($D255=$E255,S$111=$B255+$D255),$I255,IF(AND(S$111&gt;$B255+$D255,S$111&lt;=$B255+$E255), $I255/($E255-$D255),0)), IF(OR(S$111=$B255+$D255,S$111=$B255+$E255),$I255/(($E255-$D255)*2),IF(AND(S$111&gt;$B255+$D255,S$111&lt;$B255+$E255),$I255/($E255-$D255),0)))</f>
        <v>0</v>
      </c>
      <c r="T255" s="9">
        <f>IF(OR($C255="Annual",$D255=$E255),IF(AND($D255=$E255,T$111=$B255+$D255),$I255,IF(AND(T$111&gt;$B255+$D255,T$111&lt;=$B255+$E255), $I255/($E255-$D255),0)), IF(OR(T$111=$B255+$D255,T$111=$B255+$E255),$I255/(($E255-$D255)*2),IF(AND(T$111&gt;$B255+$D255,T$111&lt;$B255+$E255),$I255/($E255-$D255),0)))</f>
        <v>0</v>
      </c>
      <c r="U255" s="9"/>
      <c r="V255" s="9"/>
      <c r="W255" s="9">
        <f t="shared" si="72"/>
        <v>0</v>
      </c>
      <c r="X255" s="9">
        <f t="shared" ca="1" si="72"/>
        <v>0</v>
      </c>
      <c r="Y255" s="9">
        <f t="shared" ca="1" si="72"/>
        <v>0</v>
      </c>
      <c r="Z255" s="9">
        <f t="shared" ca="1" si="72"/>
        <v>0</v>
      </c>
      <c r="AA255" s="9">
        <f t="shared" ca="1" si="72"/>
        <v>0</v>
      </c>
    </row>
    <row r="256" spans="1:27">
      <c r="A256" s="8" t="str">
        <f>A255</f>
        <v>Type 14</v>
      </c>
      <c r="B256" s="7">
        <f>B255+1</f>
        <v>2020</v>
      </c>
      <c r="C256" s="7" t="str">
        <f t="shared" si="73"/>
        <v>Annual</v>
      </c>
      <c r="D256" s="7">
        <f t="shared" si="73"/>
        <v>0</v>
      </c>
      <c r="E256" s="7">
        <f t="shared" si="73"/>
        <v>0</v>
      </c>
      <c r="F256" s="14">
        <f>$N$99</f>
        <v>2.5000000000000001E-3</v>
      </c>
      <c r="H256" s="9"/>
      <c r="I256" s="9"/>
      <c r="J256" s="9">
        <f ca="1">$D$99</f>
        <v>0</v>
      </c>
      <c r="K256" s="9">
        <f ca="1">J256-R256</f>
        <v>0</v>
      </c>
      <c r="L256" s="9">
        <f ca="1">K256-S256</f>
        <v>0</v>
      </c>
      <c r="M256" s="9">
        <f ca="1">L256-T256</f>
        <v>0</v>
      </c>
      <c r="N256" s="9"/>
      <c r="O256" s="9"/>
      <c r="P256" s="9"/>
      <c r="Q256" s="9">
        <f ca="1">IF(OR($C256="Annual",$D256=$E256),IF(AND($D256=$E256,Q$111=$B256+$D256),$J256,IF(AND(Q$111&gt;$B256+$D256,Q$111&lt;=$B256+$E256), $J256/($E256-$D256),0)), IF(OR(Q$111=$B256+$D256,Q$111=$B256+$E256),$J256/(($E256-$D256)*2),IF(AND(Q$111&gt;$B256+$D256,Q$111&lt;$B256+$E256),$J256/($E256-$D256),0)))</f>
        <v>0</v>
      </c>
      <c r="R256" s="9">
        <f>IF(OR($C256="Annual",$D256=$E256),IF(AND($D256=$E256,R$111=$B256+$D256),$J256,IF(AND(R$111&gt;$B256+$D256,R$111&lt;=$B256+$E256), $J256/($E256-$D256),0)), IF(OR(R$111=$B256+$D256,R$111=$B256+$E256),$J256/(($E256-$D256)*2),IF(AND(R$111&gt;$B256+$D256,R$111&lt;$B256+$E256),$J256/($E256-$D256),0)))</f>
        <v>0</v>
      </c>
      <c r="S256" s="9">
        <f>IF(OR($C256="Annual",$D256=$E256),IF(AND($D256=$E256,S$111=$B256+$D256),$J256,IF(AND(S$111&gt;$B256+$D256,S$111&lt;=$B256+$E256), $J256/($E256-$D256),0)), IF(OR(S$111=$B256+$D256,S$111=$B256+$E256),$J256/(($E256-$D256)*2),IF(AND(S$111&gt;$B256+$D256,S$111&lt;$B256+$E256),$J256/($E256-$D256),0)))</f>
        <v>0</v>
      </c>
      <c r="T256" s="9">
        <f>IF(OR($C256="Annual",$D256=$E256),IF(AND($D256=$E256,T$111=$B256+$D256),$J256,IF(AND(T$111&gt;$B256+$D256,T$111&lt;=$B256+$E256), $J256/($E256-$D256),0)), IF(OR(T$111=$B256+$D256,T$111=$B256+$E256),$J256/(($E256-$D256)*2),IF(AND(T$111&gt;$B256+$D256,T$111&lt;$B256+$E256),$J256/($E256-$D256),0)))</f>
        <v>0</v>
      </c>
      <c r="U256" s="9"/>
      <c r="V256" s="9"/>
      <c r="W256" s="9"/>
      <c r="X256" s="9">
        <f t="shared" si="72"/>
        <v>0</v>
      </c>
      <c r="Y256" s="9">
        <f t="shared" ca="1" si="72"/>
        <v>0</v>
      </c>
      <c r="Z256" s="9">
        <f t="shared" ca="1" si="72"/>
        <v>0</v>
      </c>
      <c r="AA256" s="9">
        <f t="shared" ca="1" si="72"/>
        <v>0</v>
      </c>
    </row>
    <row r="257" spans="1:27">
      <c r="A257" s="8" t="str">
        <f>A256</f>
        <v>Type 14</v>
      </c>
      <c r="B257" s="7">
        <f>B256+1</f>
        <v>2021</v>
      </c>
      <c r="C257" s="7" t="str">
        <f t="shared" si="73"/>
        <v>Annual</v>
      </c>
      <c r="D257" s="7">
        <f t="shared" si="73"/>
        <v>0</v>
      </c>
      <c r="E257" s="7">
        <f t="shared" si="73"/>
        <v>0</v>
      </c>
      <c r="F257" s="14">
        <f>$O$99</f>
        <v>2.5000000000000001E-3</v>
      </c>
      <c r="H257" s="9"/>
      <c r="I257" s="9"/>
      <c r="J257" s="9"/>
      <c r="K257" s="9">
        <f ca="1">$E$99</f>
        <v>0</v>
      </c>
      <c r="L257" s="9">
        <f ca="1">K257-S257</f>
        <v>0</v>
      </c>
      <c r="M257" s="9">
        <f ca="1">L257-T257</f>
        <v>0</v>
      </c>
      <c r="N257" s="9"/>
      <c r="O257" s="9"/>
      <c r="P257" s="9"/>
      <c r="Q257" s="9"/>
      <c r="R257" s="9">
        <f ca="1">IF(OR($C257="Annual",$D257=$E257),IF(AND($D257=$E257,R$111=$B257+$D257),$K257,IF(AND(R$111&gt;$B257+$D257,R$111&lt;=$B257+$E257), $K257/($E257-$D257),0)), IF(OR(R$111=$B257+$D257,R$111=$B257+$E257),$K257/(($E257-$D257)*2),IF(AND(R$111&gt;$B257+$D257,R$111&lt;$B257+$E257),$K257/($E257-$D257),0)))</f>
        <v>0</v>
      </c>
      <c r="S257" s="9">
        <f>IF(OR($C257="Annual",$D257=$E257),IF(AND($D257=$E257,S$111=$B257+$D257),$K257,IF(AND(S$111&gt;$B257+$D257,S$111&lt;=$B257+$E257), $K257/($E257-$D257),0)), IF(OR(S$111=$B257+$D257,S$111=$B257+$E257),$K257/(($E257-$D257)*2),IF(AND(S$111&gt;$B257+$D257,S$111&lt;$B257+$E257),$K257/($E257-$D257),0)))</f>
        <v>0</v>
      </c>
      <c r="T257" s="9">
        <f>IF(OR($C257="Annual",$D257=$E257),IF(AND($D257=$E257,T$111=$B257+$D257),$K257,IF(AND(T$111&gt;$B257+$D257,T$111&lt;=$B257+$E257), $K257/($E257-$D257),0)), IF(OR(T$111=$B257+$D257,T$111=$B257+$E257),$K257/(($E257-$D257)*2),IF(AND(T$111&gt;$B257+$D257,T$111&lt;$B257+$E257),$K257/($E257-$D257),0)))</f>
        <v>0</v>
      </c>
      <c r="U257" s="9"/>
      <c r="V257" s="9"/>
      <c r="W257" s="9"/>
      <c r="X257" s="9"/>
      <c r="Y257" s="9">
        <f t="shared" si="72"/>
        <v>0</v>
      </c>
      <c r="Z257" s="9">
        <f t="shared" ca="1" si="72"/>
        <v>0</v>
      </c>
      <c r="AA257" s="9">
        <f t="shared" ca="1" si="72"/>
        <v>0</v>
      </c>
    </row>
    <row r="258" spans="1:27">
      <c r="A258" s="8" t="str">
        <f>A257</f>
        <v>Type 14</v>
      </c>
      <c r="B258" s="7">
        <f>B257+1</f>
        <v>2022</v>
      </c>
      <c r="C258" s="7" t="str">
        <f t="shared" si="73"/>
        <v>Annual</v>
      </c>
      <c r="D258" s="7">
        <f t="shared" si="73"/>
        <v>0</v>
      </c>
      <c r="E258" s="7">
        <f t="shared" si="73"/>
        <v>0</v>
      </c>
      <c r="F258" s="14">
        <f>$P$99</f>
        <v>2.5000000000000001E-3</v>
      </c>
      <c r="H258" s="9"/>
      <c r="I258" s="9"/>
      <c r="J258" s="9"/>
      <c r="K258" s="9"/>
      <c r="L258" s="9">
        <f ca="1">$F$99</f>
        <v>0</v>
      </c>
      <c r="M258" s="9">
        <f ca="1">L258-T258</f>
        <v>0</v>
      </c>
      <c r="N258" s="9"/>
      <c r="O258" s="9"/>
      <c r="P258" s="9"/>
      <c r="Q258" s="9"/>
      <c r="R258" s="9"/>
      <c r="S258" s="9">
        <f ca="1">IF(OR($C258="Annual",$D258=$E258),IF(AND($D258=$E258,S$111=$B258+$D258),$L258,IF(AND(S$111&gt;$B258+$D258,S$111&lt;=$B258+$E258), $L258/($E258-$D258),0)), IF(OR(S$111=$B258+$D258,S$111=$B258+$E258),$L258/(($E258-$D258)*2),IF(AND(S$111&gt;$B258+$D258,S$111&lt;$B258+$E258),$L258/($E258-$D258),0)))</f>
        <v>0</v>
      </c>
      <c r="T258" s="9">
        <f>IF(OR($C258="Annual",$D258=$E258),IF(AND($D258=$E258,T$111=$B258+$D258),$L258,IF(AND(T$111&gt;$B258+$D258,T$111&lt;=$B258+$E258), $L258/($E258-$D258),0)), IF(OR(T$111=$B258+$D258,T$111=$B258+$E258),$L258/(($E258-$D258)*2),IF(AND(T$111&gt;$B258+$D258,T$111&lt;$B258+$E258),$L258/($E258-$D258),0)))</f>
        <v>0</v>
      </c>
      <c r="U258" s="9"/>
      <c r="V258" s="9"/>
      <c r="W258" s="9"/>
      <c r="X258" s="9"/>
      <c r="Y258" s="9"/>
      <c r="Z258" s="9">
        <f t="shared" si="72"/>
        <v>0</v>
      </c>
      <c r="AA258" s="9">
        <f t="shared" ca="1" si="72"/>
        <v>0</v>
      </c>
    </row>
    <row r="259" spans="1:27">
      <c r="A259" s="8" t="str">
        <f>A258</f>
        <v>Type 14</v>
      </c>
      <c r="B259" s="7">
        <f>B258+1</f>
        <v>2023</v>
      </c>
      <c r="C259" s="7" t="str">
        <f t="shared" si="73"/>
        <v>Annual</v>
      </c>
      <c r="D259" s="7">
        <f t="shared" si="73"/>
        <v>0</v>
      </c>
      <c r="E259" s="7">
        <f t="shared" si="73"/>
        <v>0</v>
      </c>
      <c r="F259" s="14">
        <f>$Q$99</f>
        <v>2.5000000000000001E-3</v>
      </c>
      <c r="H259" s="9"/>
      <c r="I259" s="9"/>
      <c r="J259" s="9"/>
      <c r="K259" s="9"/>
      <c r="L259" s="9"/>
      <c r="M259" s="9">
        <f ca="1">$G$99</f>
        <v>0</v>
      </c>
      <c r="N259" s="9"/>
      <c r="O259" s="9"/>
      <c r="P259" s="9"/>
      <c r="Q259" s="9"/>
      <c r="R259" s="9"/>
      <c r="S259" s="9"/>
      <c r="T259" s="9">
        <f ca="1">IF(OR($C259="Annual",$D259=$E259),IF(AND($D259=$E259,T$111=$B259+$D259),$M259,IF(AND(T$111&gt;$B259+$D259,T$111&lt;=$B259+$E259), $M259/($E259-$D259),0)), IF(OR(T$111=$B259+$D259,T$111=$B259+$E259),$M259/(($E259-$D259)*2),IF(AND(T$111&gt;$B259+$D259,T$111&lt;$B259+$E259),$M259/($E259-$D259),0)))</f>
        <v>0</v>
      </c>
      <c r="U259" s="9"/>
      <c r="V259" s="9"/>
      <c r="W259" s="9"/>
      <c r="X259" s="9"/>
      <c r="Y259" s="9"/>
      <c r="Z259" s="9"/>
      <c r="AA259" s="9">
        <f t="shared" si="72"/>
        <v>0</v>
      </c>
    </row>
    <row r="260" spans="1:27">
      <c r="F260" s="15"/>
      <c r="H260" s="10"/>
      <c r="I260" s="10"/>
      <c r="J260" s="10"/>
      <c r="K260" s="10"/>
      <c r="L260" s="10"/>
      <c r="M260" s="10"/>
      <c r="N260" s="10"/>
      <c r="O260" s="278"/>
      <c r="P260" s="10"/>
      <c r="Q260" s="10"/>
      <c r="R260" s="10"/>
      <c r="S260" s="10"/>
      <c r="T260" s="10"/>
      <c r="U260" s="10"/>
      <c r="V260" s="10"/>
      <c r="W260" s="10"/>
      <c r="X260" s="10"/>
      <c r="Y260" s="10"/>
      <c r="Z260" s="10"/>
      <c r="AA260" s="10"/>
    </row>
    <row r="261" spans="1:27" s="1150" customFormat="1">
      <c r="A261" s="1347" t="str">
        <f>'Input 4 - Forecast'!A81</f>
        <v>ZERO-COUPON BOND</v>
      </c>
      <c r="B261" s="1348">
        <f>B119</f>
        <v>2018</v>
      </c>
      <c r="C261" s="1348"/>
      <c r="D261" s="1348">
        <f>$J100</f>
        <v>0</v>
      </c>
      <c r="E261" s="1348">
        <f>$K100</f>
        <v>0</v>
      </c>
      <c r="F261" s="1349">
        <f>$L$100</f>
        <v>0</v>
      </c>
      <c r="H261" s="1350">
        <f>$B$100</f>
        <v>0</v>
      </c>
      <c r="I261" s="1350">
        <f>H261-P261</f>
        <v>0</v>
      </c>
      <c r="J261" s="1350">
        <f>I261-Q261</f>
        <v>0</v>
      </c>
      <c r="K261" s="1350">
        <f>J261-R261</f>
        <v>0</v>
      </c>
      <c r="L261" s="1350">
        <f>K261-S261</f>
        <v>0</v>
      </c>
      <c r="M261" s="1350">
        <f>L261-T261</f>
        <v>0</v>
      </c>
      <c r="N261" s="1350"/>
      <c r="O261" s="1350">
        <f t="shared" ref="O261:T261" si="74">IF($D261=$E261,IF(O$111=$B261+$E261,$H261,0),0)</f>
        <v>0</v>
      </c>
      <c r="P261" s="1350">
        <f t="shared" si="74"/>
        <v>0</v>
      </c>
      <c r="Q261" s="1350">
        <f t="shared" si="74"/>
        <v>0</v>
      </c>
      <c r="R261" s="1350">
        <f t="shared" si="74"/>
        <v>0</v>
      </c>
      <c r="S261" s="1350">
        <f t="shared" si="74"/>
        <v>0</v>
      </c>
      <c r="T261" s="1350">
        <f t="shared" si="74"/>
        <v>0</v>
      </c>
      <c r="U261" s="1350"/>
      <c r="V261" s="1350">
        <f t="shared" ref="V261:AA261" si="75">IF(V$111-$B261=$D261,$H261*(((1+$F261)^$D261)-1),0)</f>
        <v>0</v>
      </c>
      <c r="W261" s="1350">
        <f t="shared" si="75"/>
        <v>0</v>
      </c>
      <c r="X261" s="1350">
        <f t="shared" si="75"/>
        <v>0</v>
      </c>
      <c r="Y261" s="1350">
        <f t="shared" si="75"/>
        <v>0</v>
      </c>
      <c r="Z261" s="1350">
        <f t="shared" si="75"/>
        <v>0</v>
      </c>
      <c r="AA261" s="1350">
        <f t="shared" si="75"/>
        <v>0</v>
      </c>
    </row>
    <row r="262" spans="1:27" s="1150" customFormat="1">
      <c r="A262" s="1347" t="str">
        <f>A261</f>
        <v>ZERO-COUPON BOND</v>
      </c>
      <c r="B262" s="1348">
        <f>B261+1</f>
        <v>2019</v>
      </c>
      <c r="C262" s="1348"/>
      <c r="D262" s="1348">
        <f t="shared" ref="D262:E266" si="76">D261</f>
        <v>0</v>
      </c>
      <c r="E262" s="1348">
        <f t="shared" si="76"/>
        <v>0</v>
      </c>
      <c r="F262" s="1349">
        <f>$M$100</f>
        <v>2.5000000000000001E-3</v>
      </c>
      <c r="H262" s="1350"/>
      <c r="I262" s="1350">
        <f ca="1">$C$100</f>
        <v>0</v>
      </c>
      <c r="J262" s="1350">
        <f ca="1">I262-Q262</f>
        <v>0</v>
      </c>
      <c r="K262" s="1350">
        <f ca="1">J262-R262</f>
        <v>0</v>
      </c>
      <c r="L262" s="1350">
        <f ca="1">K262-S262</f>
        <v>0</v>
      </c>
      <c r="M262" s="1350">
        <f ca="1">L262-T262</f>
        <v>0</v>
      </c>
      <c r="N262" s="1350"/>
      <c r="O262" s="1351"/>
      <c r="P262" s="1350">
        <f ca="1">IF($D262=$E262,IF(P$111=$B262+$E262,$I262,0),0)</f>
        <v>0</v>
      </c>
      <c r="Q262" s="1350">
        <f>IF($D262=$E262,IF(Q$111=$B262+$E262,$I262,0),0)</f>
        <v>0</v>
      </c>
      <c r="R262" s="1350">
        <f>IF($D262=$E262,IF(R$111=$B262+$E262,$I262,0),0)</f>
        <v>0</v>
      </c>
      <c r="S262" s="1350">
        <f>IF($D262=$E262,IF(S$111=$B262+$E262,$I262,0),0)</f>
        <v>0</v>
      </c>
      <c r="T262" s="1350">
        <f>IF($D262=$E262,IF(T$111=$B262+$E262,$I262,0),0)</f>
        <v>0</v>
      </c>
      <c r="U262" s="1350"/>
      <c r="V262" s="1350"/>
      <c r="W262" s="1350">
        <f ca="1">IF(W$111-$B262=$D262,$I262*(((1+$F262)^$D262)-1),0)</f>
        <v>0</v>
      </c>
      <c r="X262" s="1350">
        <f>IF(X$111-$B262=$D262,$I262*(((1+$F262)^$D262)-1),0)</f>
        <v>0</v>
      </c>
      <c r="Y262" s="1350">
        <f>IF(Y$111-$B262=$D262,$I262*(((1+$F262)^$D262)-1),0)</f>
        <v>0</v>
      </c>
      <c r="Z262" s="1350">
        <f>IF(Z$111-$B262=$D262,$I262*(((1+$F262)^$D262)-1),0)</f>
        <v>0</v>
      </c>
      <c r="AA262" s="1350">
        <f>IF(AA$111-$B262=$D262,$I262*(((1+$F262)^$D262)-1),0)</f>
        <v>0</v>
      </c>
    </row>
    <row r="263" spans="1:27" s="1150" customFormat="1">
      <c r="A263" s="1347" t="str">
        <f>A262</f>
        <v>ZERO-COUPON BOND</v>
      </c>
      <c r="B263" s="1348">
        <f>B262+1</f>
        <v>2020</v>
      </c>
      <c r="C263" s="1348"/>
      <c r="D263" s="1348">
        <f t="shared" si="76"/>
        <v>0</v>
      </c>
      <c r="E263" s="1348">
        <f t="shared" si="76"/>
        <v>0</v>
      </c>
      <c r="F263" s="1349">
        <f>$N$100</f>
        <v>2.5000000000000001E-3</v>
      </c>
      <c r="H263" s="1350"/>
      <c r="I263" s="1350"/>
      <c r="J263" s="1350">
        <f ca="1">$D$100</f>
        <v>0</v>
      </c>
      <c r="K263" s="1350">
        <f ca="1">J263-R263</f>
        <v>0</v>
      </c>
      <c r="L263" s="1350">
        <f ca="1">K263-S263</f>
        <v>0</v>
      </c>
      <c r="M263" s="1350">
        <f ca="1">L263-T263</f>
        <v>0</v>
      </c>
      <c r="N263" s="1350"/>
      <c r="O263" s="1351"/>
      <c r="P263" s="1350"/>
      <c r="Q263" s="1350">
        <f ca="1">IF($D263=$E263,IF(Q$111=$B263+$E263,$J263,0),0)</f>
        <v>0</v>
      </c>
      <c r="R263" s="1350">
        <f>IF($D263=$E263,IF(R$111=$B263+$E263,$J263,0),0)</f>
        <v>0</v>
      </c>
      <c r="S263" s="1350">
        <f>IF($D263=$E263,IF(S$111=$B263+$E263,$J263,0),0)</f>
        <v>0</v>
      </c>
      <c r="T263" s="1350">
        <f>IF($D263=$E263,IF(T$111=$B263+$E263,$J263,0),0)</f>
        <v>0</v>
      </c>
      <c r="U263" s="1350"/>
      <c r="V263" s="1350"/>
      <c r="W263" s="1350"/>
      <c r="X263" s="1350">
        <f ca="1">IF(X$111-$B263=$D263,$J263*(((1+$F263)^$D263)-1),0)</f>
        <v>0</v>
      </c>
      <c r="Y263" s="1350">
        <f>IF(Y$111-$B263=$D263,$J263*(((1+$F263)^$D263)-1),0)</f>
        <v>0</v>
      </c>
      <c r="Z263" s="1350">
        <f>IF(Z$111-$B263=$D263,$J263*(((1+$F263)^$D263)-1),0)</f>
        <v>0</v>
      </c>
      <c r="AA263" s="1350">
        <f>IF(AA$111-$B263=$D263,$J263*(((1+$F263)^$D263)-1),0)</f>
        <v>0</v>
      </c>
    </row>
    <row r="264" spans="1:27" s="1150" customFormat="1">
      <c r="A264" s="1347" t="str">
        <f>A263</f>
        <v>ZERO-COUPON BOND</v>
      </c>
      <c r="B264" s="1348">
        <f>B263+1</f>
        <v>2021</v>
      </c>
      <c r="C264" s="1348"/>
      <c r="D264" s="1348">
        <f t="shared" si="76"/>
        <v>0</v>
      </c>
      <c r="E264" s="1348">
        <f t="shared" si="76"/>
        <v>0</v>
      </c>
      <c r="F264" s="1349">
        <f>$O$100</f>
        <v>2.5000000000000001E-3</v>
      </c>
      <c r="H264" s="1350"/>
      <c r="I264" s="1350"/>
      <c r="J264" s="1350"/>
      <c r="K264" s="1350">
        <f ca="1">$E$100</f>
        <v>0</v>
      </c>
      <c r="L264" s="1350">
        <f ca="1">K264-S264</f>
        <v>0</v>
      </c>
      <c r="M264" s="1350">
        <f ca="1">L264-T264</f>
        <v>0</v>
      </c>
      <c r="N264" s="1350"/>
      <c r="O264" s="1351"/>
      <c r="P264" s="1350"/>
      <c r="Q264" s="1350"/>
      <c r="R264" s="1350">
        <f ca="1">IF($D264=$E264,IF(R$111=$B264+$E264,$K264,0),0)</f>
        <v>0</v>
      </c>
      <c r="S264" s="1350">
        <f>IF($D264=$E264,IF(S$111=$B264+$E264,$K264,0),0)</f>
        <v>0</v>
      </c>
      <c r="T264" s="1350">
        <f>IF($D264=$E264,IF(T$111=$B264+$E264,$K264,0),0)</f>
        <v>0</v>
      </c>
      <c r="U264" s="1350"/>
      <c r="V264" s="1350"/>
      <c r="W264" s="1350"/>
      <c r="X264" s="1350"/>
      <c r="Y264" s="1350">
        <f ca="1">IF(Y$111-$B264=$D264,$K264*(((1+$F264)^$D264)-1),0)</f>
        <v>0</v>
      </c>
      <c r="Z264" s="1350">
        <f>IF(Z$111-$B264=$D264,$K264*(((1+$F264)^$D264)-1),0)</f>
        <v>0</v>
      </c>
      <c r="AA264" s="1350">
        <f>IF(AA$111-$B264=$D264,$K264*(((1+$F264)^$D264)-1),0)</f>
        <v>0</v>
      </c>
    </row>
    <row r="265" spans="1:27" s="1150" customFormat="1">
      <c r="A265" s="1347" t="str">
        <f>A264</f>
        <v>ZERO-COUPON BOND</v>
      </c>
      <c r="B265" s="1348">
        <f>B264+1</f>
        <v>2022</v>
      </c>
      <c r="C265" s="1348"/>
      <c r="D265" s="1348">
        <f t="shared" si="76"/>
        <v>0</v>
      </c>
      <c r="E265" s="1348">
        <f t="shared" si="76"/>
        <v>0</v>
      </c>
      <c r="F265" s="1349">
        <f>$P$100</f>
        <v>2.5000000000000001E-3</v>
      </c>
      <c r="H265" s="1350"/>
      <c r="I265" s="1350"/>
      <c r="J265" s="1350"/>
      <c r="K265" s="1350"/>
      <c r="L265" s="1350">
        <f ca="1">$F$100</f>
        <v>0</v>
      </c>
      <c r="M265" s="1350">
        <f ca="1">L265-T265</f>
        <v>0</v>
      </c>
      <c r="N265" s="1350"/>
      <c r="O265" s="1351"/>
      <c r="P265" s="1350"/>
      <c r="Q265" s="1350"/>
      <c r="R265" s="1350"/>
      <c r="S265" s="1350">
        <f ca="1">IF($D265=$E265,IF(S$111=$B265+$E265,$L265,0),0)</f>
        <v>0</v>
      </c>
      <c r="T265" s="1350">
        <f>IF($D265=$E265,IF(T$111=$B265+$E265,$L265,0),0)</f>
        <v>0</v>
      </c>
      <c r="U265" s="1350"/>
      <c r="V265" s="1350"/>
      <c r="W265" s="1350"/>
      <c r="X265" s="1350"/>
      <c r="Y265" s="1350"/>
      <c r="Z265" s="1350">
        <f ca="1">IF(Z$111-$B265=$D265,$L265*(((1+$F265)^$D265)-1),0)</f>
        <v>0</v>
      </c>
      <c r="AA265" s="1350">
        <f>IF(AA$111-$B265=$D265,$L265*(((1+$F265)^$D265)-1),0)</f>
        <v>0</v>
      </c>
    </row>
    <row r="266" spans="1:27" s="1150" customFormat="1">
      <c r="A266" s="1347" t="str">
        <f>A265</f>
        <v>ZERO-COUPON BOND</v>
      </c>
      <c r="B266" s="1348">
        <f>B265+1</f>
        <v>2023</v>
      </c>
      <c r="C266" s="1348"/>
      <c r="D266" s="1348">
        <f t="shared" si="76"/>
        <v>0</v>
      </c>
      <c r="E266" s="1348">
        <f t="shared" si="76"/>
        <v>0</v>
      </c>
      <c r="F266" s="1349">
        <f>$Q$100</f>
        <v>2.5000000000000001E-3</v>
      </c>
      <c r="H266" s="1350"/>
      <c r="I266" s="1350"/>
      <c r="J266" s="1350"/>
      <c r="K266" s="1350"/>
      <c r="L266" s="1350"/>
      <c r="M266" s="1350">
        <f ca="1">$G$100</f>
        <v>0</v>
      </c>
      <c r="N266" s="1350"/>
      <c r="O266" s="1351"/>
      <c r="P266" s="1350"/>
      <c r="Q266" s="1350"/>
      <c r="R266" s="1350"/>
      <c r="S266" s="1350"/>
      <c r="T266" s="1350">
        <f ca="1">IF($D266=$E266,IF(T$111=$B266+$E266,$M266,0),0)</f>
        <v>0</v>
      </c>
      <c r="U266" s="1350"/>
      <c r="V266" s="1350"/>
      <c r="W266" s="1350"/>
      <c r="X266" s="1350"/>
      <c r="Y266" s="1350"/>
      <c r="Z266" s="1350"/>
      <c r="AA266" s="1350">
        <f ca="1">IF(AA$111-$B266=$D266,$M266*(((1+$F266)^$D266)-1),0)</f>
        <v>0</v>
      </c>
    </row>
    <row r="267" spans="1:27" ht="15.75" thickBot="1">
      <c r="H267" s="10"/>
      <c r="I267" s="10"/>
      <c r="J267" s="10"/>
      <c r="K267" s="10"/>
      <c r="L267" s="10"/>
      <c r="M267" s="10"/>
      <c r="N267" s="10"/>
      <c r="O267" s="10"/>
      <c r="P267" s="10"/>
      <c r="Q267" s="10"/>
      <c r="R267" s="10"/>
      <c r="S267" s="10"/>
      <c r="T267" s="10"/>
      <c r="U267" s="10"/>
      <c r="V267" s="10"/>
      <c r="W267" s="10"/>
      <c r="X267" s="10"/>
      <c r="Y267" s="10"/>
      <c r="Z267" s="10"/>
      <c r="AA267" s="10"/>
    </row>
    <row r="268" spans="1:27" ht="15.75" thickBot="1">
      <c r="A268" s="12" t="str">
        <f>'Input 4 - Forecast'!A82</f>
        <v>Denominated in foreign currency</v>
      </c>
      <c r="B268" s="1999" t="s">
        <v>52</v>
      </c>
      <c r="C268" s="2000"/>
      <c r="D268" s="2000"/>
      <c r="E268" s="2000"/>
      <c r="F268" s="2000"/>
      <c r="G268" s="2000"/>
      <c r="H268" s="2000"/>
      <c r="I268" s="2000"/>
      <c r="J268" s="2000"/>
      <c r="K268" s="2000"/>
      <c r="L268" s="2000"/>
      <c r="M268" s="2000"/>
      <c r="N268" s="2000"/>
      <c r="O268" s="2000"/>
      <c r="P268" s="2000"/>
      <c r="Q268" s="2000"/>
      <c r="R268" s="2000"/>
      <c r="S268" s="2000"/>
      <c r="T268" s="2000"/>
      <c r="U268" s="2000"/>
      <c r="V268" s="2000"/>
      <c r="W268" s="2000"/>
      <c r="X268" s="2000"/>
      <c r="Y268" s="2000"/>
      <c r="Z268" s="2000"/>
      <c r="AA268" s="2001"/>
    </row>
    <row r="269" spans="1:27">
      <c r="H269" s="10"/>
      <c r="I269" s="10"/>
      <c r="J269" s="10"/>
      <c r="K269" s="10"/>
      <c r="L269" s="10"/>
      <c r="M269" s="10"/>
      <c r="N269" s="10"/>
      <c r="O269" s="10"/>
      <c r="P269" s="10"/>
      <c r="Q269" s="10"/>
      <c r="R269" s="10"/>
      <c r="S269" s="10"/>
      <c r="T269" s="10"/>
      <c r="U269" s="10"/>
      <c r="V269" s="10"/>
      <c r="W269" s="10"/>
      <c r="X269" s="10"/>
      <c r="Y269" s="10"/>
      <c r="Z269" s="10"/>
      <c r="AA269" s="10"/>
    </row>
    <row r="270" spans="1:27">
      <c r="A270" s="8" t="str">
        <f>'Input 4 - Forecast'!A83</f>
        <v>Type 16</v>
      </c>
      <c r="B270" s="7">
        <f>B119</f>
        <v>2018</v>
      </c>
      <c r="C270" s="7" t="str">
        <f>$I102</f>
        <v>Annual</v>
      </c>
      <c r="D270" s="7">
        <f>$J102</f>
        <v>0</v>
      </c>
      <c r="E270" s="7">
        <f>$K102</f>
        <v>0</v>
      </c>
      <c r="F270" s="14">
        <f>$L$102</f>
        <v>0</v>
      </c>
      <c r="H270" s="9">
        <f>$B$102/$B$31</f>
        <v>0</v>
      </c>
      <c r="I270" s="9">
        <f>H270-P270</f>
        <v>0</v>
      </c>
      <c r="J270" s="9">
        <f>I270-Q270</f>
        <v>0</v>
      </c>
      <c r="K270" s="9">
        <f>J270-R270</f>
        <v>0</v>
      </c>
      <c r="L270" s="9">
        <f>K270-S270</f>
        <v>0</v>
      </c>
      <c r="M270" s="9">
        <f>L270-T270</f>
        <v>0</v>
      </c>
      <c r="N270" s="9"/>
      <c r="O270" s="9">
        <f t="shared" ref="O270:T270" si="77">IF(OR($C270="Annual",$D270=$E270),IF(AND($D270=$E270,O$111=$B270+$D270),$H270,IF(AND(O$111&gt;$B270+$D270,O$111&lt;=$B270+$E270), $H270/($E270-$D270),0)), IF(OR(O$111=$B270+$D270,O$111=$B270+$E270),$H270/(($E270-$D270)*2),IF(AND(O$111&gt;$B270+$D270,O$111&lt;$B270+$E270),$H270/($E270-$D270),0)))</f>
        <v>0</v>
      </c>
      <c r="P270" s="9">
        <f t="shared" si="77"/>
        <v>0</v>
      </c>
      <c r="Q270" s="9">
        <f t="shared" si="77"/>
        <v>0</v>
      </c>
      <c r="R270" s="9">
        <f t="shared" si="77"/>
        <v>0</v>
      </c>
      <c r="S270" s="9">
        <f t="shared" si="77"/>
        <v>0</v>
      </c>
      <c r="T270" s="9">
        <f t="shared" si="77"/>
        <v>0</v>
      </c>
      <c r="U270" s="9"/>
      <c r="V270" s="9">
        <f>IF($C270="annual",IF(V$111=$B270,0,G270*$F270),IF(V$111-$B270=0,0,IF((V$111-$B270)&lt;$E270,AVERAGE(G270,H270)*$F270,IF((V$111-$B270)=$E270,G270*$F270/2,0))))</f>
        <v>0</v>
      </c>
      <c r="W270" s="9">
        <f t="shared" ref="W270:AA275" si="78">IF($C270="annual",IF(W$111=$B270,0,H270*$F270),IF(W$111-$B270=0,0,IF((W$111-$B270)&lt;$E270,AVERAGE(H270,I270)*$F270,IF((W$111-$B270)=$E270,H270*$F270/2,0))))</f>
        <v>0</v>
      </c>
      <c r="X270" s="9">
        <f t="shared" si="78"/>
        <v>0</v>
      </c>
      <c r="Y270" s="9">
        <f t="shared" si="78"/>
        <v>0</v>
      </c>
      <c r="Z270" s="9">
        <f t="shared" si="78"/>
        <v>0</v>
      </c>
      <c r="AA270" s="9">
        <f t="shared" si="78"/>
        <v>0</v>
      </c>
    </row>
    <row r="271" spans="1:27">
      <c r="A271" s="8" t="str">
        <f>A270</f>
        <v>Type 16</v>
      </c>
      <c r="B271" s="7">
        <f>B270+1</f>
        <v>2019</v>
      </c>
      <c r="C271" s="7" t="str">
        <f t="shared" ref="C271:E275" si="79">C270</f>
        <v>Annual</v>
      </c>
      <c r="D271" s="7">
        <f t="shared" si="79"/>
        <v>0</v>
      </c>
      <c r="E271" s="7">
        <f t="shared" si="79"/>
        <v>0</v>
      </c>
      <c r="F271" s="14">
        <f>$M$102</f>
        <v>2.5000000000000001E-3</v>
      </c>
      <c r="H271" s="9"/>
      <c r="I271" s="9">
        <f ca="1">$C$102/$C$31</f>
        <v>0</v>
      </c>
      <c r="J271" s="9">
        <f ca="1">I271-Q271</f>
        <v>0</v>
      </c>
      <c r="K271" s="9">
        <f ca="1">J271-R271</f>
        <v>0</v>
      </c>
      <c r="L271" s="9">
        <f ca="1">K271-S271</f>
        <v>0</v>
      </c>
      <c r="M271" s="9">
        <f ca="1">L271-T271</f>
        <v>0</v>
      </c>
      <c r="N271" s="9"/>
      <c r="O271" s="9"/>
      <c r="P271" s="9">
        <f ca="1">IF(OR($C271="Annual",$D271=$E271),IF(AND($D271=$E271,P$111=$B271+$D271),$I271,IF(AND(P$111&gt;$B271+$D271,P$111&lt;=$B271+$E271), $I271/($E271-$D271),0)), IF(OR(P$111=$B271+$D271,P$111=$B271+$E271),$I271/(($E271-$D271)*2),IF(AND(P$111&gt;$B271+$D271,P$111&lt;$B271+$E271),$I271/($E271-$D271),0)))</f>
        <v>0</v>
      </c>
      <c r="Q271" s="9">
        <f>IF(OR($C271="Annual",$D271=$E271),IF(AND($D271=$E271,Q$111=$B271+$D271),$I271,IF(AND(Q$111&gt;$B271+$D271,Q$111&lt;=$B271+$E271), $I271/($E271-$D271),0)), IF(OR(Q$111=$B271+$D271,Q$111=$B271+$E271),$I271/(($E271-$D271)*2),IF(AND(Q$111&gt;$B271+$D271,Q$111&lt;$B271+$E271),$I271/($E271-$D271),0)))</f>
        <v>0</v>
      </c>
      <c r="R271" s="9">
        <f>IF(OR($C271="Annual",$D271=$E271),IF(AND($D271=$E271,R$111=$B271+$D271),$I271,IF(AND(R$111&gt;$B271+$D271,R$111&lt;=$B271+$E271), $I271/($E271-$D271),0)), IF(OR(R$111=$B271+$D271,R$111=$B271+$E271),$I271/(($E271-$D271)*2),IF(AND(R$111&gt;$B271+$D271,R$111&lt;$B271+$E271),$I271/($E271-$D271),0)))</f>
        <v>0</v>
      </c>
      <c r="S271" s="9">
        <f>IF(OR($C271="Annual",$D271=$E271),IF(AND($D271=$E271,S$111=$B271+$D271),$I271,IF(AND(S$111&gt;$B271+$D271,S$111&lt;=$B271+$E271), $I271/($E271-$D271),0)), IF(OR(S$111=$B271+$D271,S$111=$B271+$E271),$I271/(($E271-$D271)*2),IF(AND(S$111&gt;$B271+$D271,S$111&lt;$B271+$E271),$I271/($E271-$D271),0)))</f>
        <v>0</v>
      </c>
      <c r="T271" s="9">
        <f>IF(OR($C271="Annual",$D271=$E271),IF(AND($D271=$E271,T$111=$B271+$D271),$I271,IF(AND(T$111&gt;$B271+$D271,T$111&lt;=$B271+$E271), $I271/($E271-$D271),0)), IF(OR(T$111=$B271+$D271,T$111=$B271+$E271),$I271/(($E271-$D271)*2),IF(AND(T$111&gt;$B271+$D271,T$111&lt;$B271+$E271),$I271/($E271-$D271),0)))</f>
        <v>0</v>
      </c>
      <c r="U271" s="9"/>
      <c r="V271" s="9"/>
      <c r="W271" s="9">
        <f t="shared" si="78"/>
        <v>0</v>
      </c>
      <c r="X271" s="9">
        <f t="shared" ca="1" si="78"/>
        <v>0</v>
      </c>
      <c r="Y271" s="9">
        <f t="shared" ca="1" si="78"/>
        <v>0</v>
      </c>
      <c r="Z271" s="9">
        <f t="shared" ca="1" si="78"/>
        <v>0</v>
      </c>
      <c r="AA271" s="9">
        <f t="shared" ca="1" si="78"/>
        <v>0</v>
      </c>
    </row>
    <row r="272" spans="1:27">
      <c r="A272" s="8" t="str">
        <f>A271</f>
        <v>Type 16</v>
      </c>
      <c r="B272" s="7">
        <f>B271+1</f>
        <v>2020</v>
      </c>
      <c r="C272" s="7" t="str">
        <f t="shared" si="79"/>
        <v>Annual</v>
      </c>
      <c r="D272" s="7">
        <f t="shared" si="79"/>
        <v>0</v>
      </c>
      <c r="E272" s="7">
        <f t="shared" si="79"/>
        <v>0</v>
      </c>
      <c r="F272" s="14">
        <f>$N$102</f>
        <v>2.5000000000000001E-3</v>
      </c>
      <c r="H272" s="9"/>
      <c r="I272" s="9"/>
      <c r="J272" s="9">
        <f ca="1">$D$102/$D$31</f>
        <v>0</v>
      </c>
      <c r="K272" s="9">
        <f ca="1">J272-R272</f>
        <v>0</v>
      </c>
      <c r="L272" s="9">
        <f ca="1">K272-S272</f>
        <v>0</v>
      </c>
      <c r="M272" s="9">
        <f ca="1">L272-T272</f>
        <v>0</v>
      </c>
      <c r="N272" s="9"/>
      <c r="O272" s="9"/>
      <c r="P272" s="9"/>
      <c r="Q272" s="9">
        <f ca="1">IF(OR($C272="Annual",$D272=$E272),IF(AND($D272=$E272,Q$111=$B272+$D272),$J272,IF(AND(Q$111&gt;$B272+$D272,Q$111&lt;=$B272+$E272), $J272/($E272-$D272),0)), IF(OR(Q$111=$B272+$D272,Q$111=$B272+$E272),$J272/(($E272-$D272)*2),IF(AND(Q$111&gt;$B272+$D272,Q$111&lt;$B272+$E272),$J272/($E272-$D272),0)))</f>
        <v>0</v>
      </c>
      <c r="R272" s="9">
        <f>IF(OR($C272="Annual",$D272=$E272),IF(AND($D272=$E272,R$111=$B272+$D272),$J272,IF(AND(R$111&gt;$B272+$D272,R$111&lt;=$B272+$E272), $J272/($E272-$D272),0)), IF(OR(R$111=$B272+$D272,R$111=$B272+$E272),$J272/(($E272-$D272)*2),IF(AND(R$111&gt;$B272+$D272,R$111&lt;$B272+$E272),$J272/($E272-$D272),0)))</f>
        <v>0</v>
      </c>
      <c r="S272" s="9">
        <f>IF(OR($C272="Annual",$D272=$E272),IF(AND($D272=$E272,S$111=$B272+$D272),$J272,IF(AND(S$111&gt;$B272+$D272,S$111&lt;=$B272+$E272), $J272/($E272-$D272),0)), IF(OR(S$111=$B272+$D272,S$111=$B272+$E272),$J272/(($E272-$D272)*2),IF(AND(S$111&gt;$B272+$D272,S$111&lt;$B272+$E272),$J272/($E272-$D272),0)))</f>
        <v>0</v>
      </c>
      <c r="T272" s="9">
        <f>IF(OR($C272="Annual",$D272=$E272),IF(AND($D272=$E272,T$111=$B272+$D272),$J272,IF(AND(T$111&gt;$B272+$D272,T$111&lt;=$B272+$E272), $J272/($E272-$D272),0)), IF(OR(T$111=$B272+$D272,T$111=$B272+$E272),$J272/(($E272-$D272)*2),IF(AND(T$111&gt;$B272+$D272,T$111&lt;$B272+$E272),$J272/($E272-$D272),0)))</f>
        <v>0</v>
      </c>
      <c r="U272" s="9"/>
      <c r="V272" s="9"/>
      <c r="W272" s="9"/>
      <c r="X272" s="9">
        <f t="shared" si="78"/>
        <v>0</v>
      </c>
      <c r="Y272" s="9">
        <f t="shared" ca="1" si="78"/>
        <v>0</v>
      </c>
      <c r="Z272" s="9">
        <f t="shared" ca="1" si="78"/>
        <v>0</v>
      </c>
      <c r="AA272" s="9">
        <f t="shared" ca="1" si="78"/>
        <v>0</v>
      </c>
    </row>
    <row r="273" spans="1:27">
      <c r="A273" s="8" t="str">
        <f>A272</f>
        <v>Type 16</v>
      </c>
      <c r="B273" s="7">
        <f>B272+1</f>
        <v>2021</v>
      </c>
      <c r="C273" s="7" t="str">
        <f t="shared" si="79"/>
        <v>Annual</v>
      </c>
      <c r="D273" s="7">
        <f t="shared" si="79"/>
        <v>0</v>
      </c>
      <c r="E273" s="7">
        <f t="shared" si="79"/>
        <v>0</v>
      </c>
      <c r="F273" s="14">
        <f>$O$102</f>
        <v>2.5000000000000001E-3</v>
      </c>
      <c r="H273" s="9"/>
      <c r="I273" s="9"/>
      <c r="J273" s="9"/>
      <c r="K273" s="9">
        <f ca="1">$E$102/$E$31</f>
        <v>0</v>
      </c>
      <c r="L273" s="9">
        <f ca="1">K273-S273</f>
        <v>0</v>
      </c>
      <c r="M273" s="9">
        <f ca="1">L273-T273</f>
        <v>0</v>
      </c>
      <c r="N273" s="9"/>
      <c r="O273" s="9"/>
      <c r="P273" s="9"/>
      <c r="Q273" s="9"/>
      <c r="R273" s="9">
        <f ca="1">IF(OR($C273="Annual",$D273=$E273),IF(AND($D273=$E273,R$111=$B273+$D273),$K273,IF(AND(R$111&gt;$B273+$D273,R$111&lt;=$B273+$E273), $K273/($E273-$D273),0)), IF(OR(R$111=$B273+$D273,R$111=$B273+$E273),$K273/(($E273-$D273)*2),IF(AND(R$111&gt;$B273+$D273,R$111&lt;$B273+$E273),$K273/($E273-$D273),0)))</f>
        <v>0</v>
      </c>
      <c r="S273" s="9">
        <f>IF(OR($C273="Annual",$D273=$E273),IF(AND($D273=$E273,S$111=$B273+$D273),$K273,IF(AND(S$111&gt;$B273+$D273,S$111&lt;=$B273+$E273), $K273/($E273-$D273),0)), IF(OR(S$111=$B273+$D273,S$111=$B273+$E273),$K273/(($E273-$D273)*2),IF(AND(S$111&gt;$B273+$D273,S$111&lt;$B273+$E273),$K273/($E273-$D273),0)))</f>
        <v>0</v>
      </c>
      <c r="T273" s="9">
        <f>IF(OR($C273="Annual",$D273=$E273),IF(AND($D273=$E273,T$111=$B273+$D273),$K273,IF(AND(T$111&gt;$B273+$D273,T$111&lt;=$B273+$E273), $K273/($E273-$D273),0)), IF(OR(T$111=$B273+$D273,T$111=$B273+$E273),$K273/(($E273-$D273)*2),IF(AND(T$111&gt;$B273+$D273,T$111&lt;$B273+$E273),$K273/($E273-$D273),0)))</f>
        <v>0</v>
      </c>
      <c r="U273" s="9"/>
      <c r="V273" s="9"/>
      <c r="W273" s="9"/>
      <c r="X273" s="9"/>
      <c r="Y273" s="9">
        <f t="shared" si="78"/>
        <v>0</v>
      </c>
      <c r="Z273" s="9">
        <f t="shared" ca="1" si="78"/>
        <v>0</v>
      </c>
      <c r="AA273" s="9">
        <f t="shared" ca="1" si="78"/>
        <v>0</v>
      </c>
    </row>
    <row r="274" spans="1:27">
      <c r="A274" s="8" t="str">
        <f>A273</f>
        <v>Type 16</v>
      </c>
      <c r="B274" s="7">
        <f>B273+1</f>
        <v>2022</v>
      </c>
      <c r="C274" s="7" t="str">
        <f t="shared" si="79"/>
        <v>Annual</v>
      </c>
      <c r="D274" s="7">
        <f t="shared" si="79"/>
        <v>0</v>
      </c>
      <c r="E274" s="7">
        <f t="shared" si="79"/>
        <v>0</v>
      </c>
      <c r="F274" s="14">
        <f>$P$102</f>
        <v>2.5000000000000001E-3</v>
      </c>
      <c r="H274" s="9"/>
      <c r="I274" s="9"/>
      <c r="J274" s="9"/>
      <c r="K274" s="9"/>
      <c r="L274" s="9">
        <f ca="1">$F$102/$F$31</f>
        <v>0</v>
      </c>
      <c r="M274" s="9">
        <f ca="1">L274-T274</f>
        <v>0</v>
      </c>
      <c r="N274" s="9"/>
      <c r="O274" s="9"/>
      <c r="P274" s="9"/>
      <c r="Q274" s="9"/>
      <c r="R274" s="9"/>
      <c r="S274" s="9">
        <f ca="1">IF(OR($C274="Annual",$D274=$E274),IF(AND($D274=$E274,S$111=$B274+$D274),$L274,IF(AND(S$111&gt;$B274+$D274,S$111&lt;=$B274+$E274), $L274/($E274-$D274),0)), IF(OR(S$111=$B274+$D274,S$111=$B274+$E274),$L274/(($E274-$D274)*2),IF(AND(S$111&gt;$B274+$D274,S$111&lt;$B274+$E274),$L274/($E274-$D274),0)))</f>
        <v>0</v>
      </c>
      <c r="T274" s="9">
        <f>IF(OR($C274="Annual",$D274=$E274),IF(AND($D274=$E274,T$111=$B274+$D274),$L274,IF(AND(T$111&gt;$B274+$D274,T$111&lt;=$B274+$E274), $L274/($E274-$D274),0)), IF(OR(T$111=$B274+$D274,T$111=$B274+$E274),$L274/(($E274-$D274)*2),IF(AND(T$111&gt;$B274+$D274,T$111&lt;$B274+$E274),$L274/($E274-$D274),0)))</f>
        <v>0</v>
      </c>
      <c r="U274" s="9"/>
      <c r="V274" s="9"/>
      <c r="W274" s="9"/>
      <c r="X274" s="9"/>
      <c r="Y274" s="9"/>
      <c r="Z274" s="9">
        <f t="shared" si="78"/>
        <v>0</v>
      </c>
      <c r="AA274" s="9">
        <f t="shared" ca="1" si="78"/>
        <v>0</v>
      </c>
    </row>
    <row r="275" spans="1:27">
      <c r="A275" s="8" t="str">
        <f>A274</f>
        <v>Type 16</v>
      </c>
      <c r="B275" s="7">
        <f>B274+1</f>
        <v>2023</v>
      </c>
      <c r="C275" s="7" t="str">
        <f t="shared" si="79"/>
        <v>Annual</v>
      </c>
      <c r="D275" s="7">
        <f t="shared" si="79"/>
        <v>0</v>
      </c>
      <c r="E275" s="7">
        <f t="shared" si="79"/>
        <v>0</v>
      </c>
      <c r="F275" s="14">
        <f>$Q$102</f>
        <v>2.5000000000000001E-3</v>
      </c>
      <c r="H275" s="9"/>
      <c r="I275" s="9"/>
      <c r="J275" s="9"/>
      <c r="K275" s="9"/>
      <c r="L275" s="9"/>
      <c r="M275" s="9">
        <f ca="1">$G$102/$G$31</f>
        <v>0</v>
      </c>
      <c r="N275" s="9"/>
      <c r="O275" s="9"/>
      <c r="P275" s="9"/>
      <c r="Q275" s="9"/>
      <c r="R275" s="9"/>
      <c r="S275" s="9"/>
      <c r="T275" s="9">
        <f ca="1">IF(OR($C275="Annual",$D275=$E275),IF(AND($D275=$E275,T$111=$B275+$D275),$M275,IF(AND(T$111&gt;$B275+$D275,T$111&lt;=$B275+$E275), $M275/($E275-$D275),0)), IF(OR(T$111=$B275+$D275,T$111=$B275+$E275),$M275/(($E275-$D275)*2),IF(AND(T$111&gt;$B275+$D275,T$111&lt;$B275+$E275),$M275/($E275-$D275),0)))</f>
        <v>0</v>
      </c>
      <c r="U275" s="9"/>
      <c r="V275" s="9"/>
      <c r="W275" s="9"/>
      <c r="X275" s="9"/>
      <c r="Y275" s="9"/>
      <c r="Z275" s="9"/>
      <c r="AA275" s="9">
        <f t="shared" si="78"/>
        <v>0</v>
      </c>
    </row>
    <row r="276" spans="1:27">
      <c r="A276" s="8"/>
      <c r="B276" s="7"/>
      <c r="C276" s="7"/>
      <c r="D276" s="7"/>
      <c r="E276" s="7"/>
      <c r="F276" s="15"/>
      <c r="H276" s="9"/>
      <c r="I276" s="9"/>
      <c r="J276" s="9"/>
      <c r="K276" s="9"/>
      <c r="L276" s="9"/>
      <c r="M276" s="9"/>
      <c r="N276" s="9"/>
      <c r="O276" s="278"/>
      <c r="P276" s="10"/>
      <c r="Q276" s="10"/>
      <c r="R276" s="10"/>
      <c r="S276" s="10"/>
      <c r="T276" s="10"/>
      <c r="U276" s="9"/>
      <c r="V276" s="10"/>
      <c r="W276" s="10"/>
      <c r="X276" s="10"/>
      <c r="Y276" s="10"/>
      <c r="Z276" s="10"/>
      <c r="AA276" s="10"/>
    </row>
    <row r="277" spans="1:27">
      <c r="A277" s="8" t="str">
        <f>'Input 4 - Forecast'!A84</f>
        <v>Type 17</v>
      </c>
      <c r="B277" s="7">
        <f>B119</f>
        <v>2018</v>
      </c>
      <c r="C277" s="7" t="str">
        <f>$I103</f>
        <v>Annual</v>
      </c>
      <c r="D277" s="7">
        <f>$J103</f>
        <v>0</v>
      </c>
      <c r="E277" s="7">
        <f>$K103</f>
        <v>0</v>
      </c>
      <c r="F277" s="14">
        <f>$L$103</f>
        <v>0</v>
      </c>
      <c r="H277" s="9">
        <f>$B$103/$B$31</f>
        <v>0</v>
      </c>
      <c r="I277" s="9">
        <f>H277-P277</f>
        <v>0</v>
      </c>
      <c r="J277" s="9">
        <f>I277-Q277</f>
        <v>0</v>
      </c>
      <c r="K277" s="9">
        <f>J277-R277</f>
        <v>0</v>
      </c>
      <c r="L277" s="9">
        <f>K277-S277</f>
        <v>0</v>
      </c>
      <c r="M277" s="9">
        <f>L277-T277</f>
        <v>0</v>
      </c>
      <c r="N277" s="9"/>
      <c r="O277" s="9">
        <f t="shared" ref="O277:T277" si="80">IF(OR($C277="Annual",$D277=$E277),IF(AND($D277=$E277,O$111=$B277+$D277),$H277,IF(AND(O$111&gt;$B277+$D277,O$111&lt;=$B277+$E277), $H277/($E277-$D277),0)), IF(OR(O$111=$B277+$D277,O$111=$B277+$E277),$H277/(($E277-$D277)*2),IF(AND(O$111&gt;$B277+$D277,O$111&lt;$B277+$E277),$H277/($E277-$D277),0)))</f>
        <v>0</v>
      </c>
      <c r="P277" s="9">
        <f t="shared" si="80"/>
        <v>0</v>
      </c>
      <c r="Q277" s="9">
        <f t="shared" si="80"/>
        <v>0</v>
      </c>
      <c r="R277" s="9">
        <f t="shared" si="80"/>
        <v>0</v>
      </c>
      <c r="S277" s="9">
        <f t="shared" si="80"/>
        <v>0</v>
      </c>
      <c r="T277" s="9">
        <f t="shared" si="80"/>
        <v>0</v>
      </c>
      <c r="U277" s="9"/>
      <c r="V277" s="9">
        <f>IF($C277="annual",IF(V$111=$B277,0,G277*$F277),IF(V$111-$B277=0,0,IF((V$111-$B277)&lt;$E277,AVERAGE(G277,H277)*$F277,IF((V$111-$B277)=$E277,G277*$F277/2,0))))</f>
        <v>0</v>
      </c>
      <c r="W277" s="9">
        <f t="shared" ref="W277:AA282" si="81">IF($C277="annual",IF(W$111=$B277,0,H277*$F277),IF(W$111-$B277=0,0,IF((W$111-$B277)&lt;$E277,AVERAGE(H277,I277)*$F277,IF((W$111-$B277)=$E277,H277*$F277/2,0))))</f>
        <v>0</v>
      </c>
      <c r="X277" s="9">
        <f t="shared" si="81"/>
        <v>0</v>
      </c>
      <c r="Y277" s="9">
        <f t="shared" si="81"/>
        <v>0</v>
      </c>
      <c r="Z277" s="9">
        <f t="shared" si="81"/>
        <v>0</v>
      </c>
      <c r="AA277" s="9">
        <f t="shared" si="81"/>
        <v>0</v>
      </c>
    </row>
    <row r="278" spans="1:27">
      <c r="A278" s="8" t="str">
        <f>A277</f>
        <v>Type 17</v>
      </c>
      <c r="B278" s="7">
        <f>B277+1</f>
        <v>2019</v>
      </c>
      <c r="C278" s="7" t="str">
        <f t="shared" ref="C278:E282" si="82">C277</f>
        <v>Annual</v>
      </c>
      <c r="D278" s="7">
        <f t="shared" si="82"/>
        <v>0</v>
      </c>
      <c r="E278" s="7">
        <f t="shared" si="82"/>
        <v>0</v>
      </c>
      <c r="F278" s="14">
        <f>$M$103</f>
        <v>2.5000000000000001E-3</v>
      </c>
      <c r="H278" s="9"/>
      <c r="I278" s="9">
        <f ca="1">$C$103/$C$31</f>
        <v>0</v>
      </c>
      <c r="J278" s="9">
        <f ca="1">I278-Q278</f>
        <v>0</v>
      </c>
      <c r="K278" s="9">
        <f ca="1">J278-R278</f>
        <v>0</v>
      </c>
      <c r="L278" s="9">
        <f ca="1">K278-S278</f>
        <v>0</v>
      </c>
      <c r="M278" s="9">
        <f ca="1">L278-T278</f>
        <v>0</v>
      </c>
      <c r="N278" s="9"/>
      <c r="O278" s="9"/>
      <c r="P278" s="9">
        <f ca="1">IF(OR($C278="Annual",$D278=$E278),IF(AND($D278=$E278,P$111=$B278+$D278),$I278,IF(AND(P$111&gt;$B278+$D278,P$111&lt;=$B278+$E278), $I278/($E278-$D278),0)), IF(OR(P$111=$B278+$D278,P$111=$B278+$E278),$I278/(($E278-$D278)*2),IF(AND(P$111&gt;$B278+$D278,P$111&lt;$B278+$E278),$I278/($E278-$D278),0)))</f>
        <v>0</v>
      </c>
      <c r="Q278" s="9">
        <f>IF(OR($C278="Annual",$D278=$E278),IF(AND($D278=$E278,Q$111=$B278+$D278),$I278,IF(AND(Q$111&gt;$B278+$D278,Q$111&lt;=$B278+$E278), $I278/($E278-$D278),0)), IF(OR(Q$111=$B278+$D278,Q$111=$B278+$E278),$I278/(($E278-$D278)*2),IF(AND(Q$111&gt;$B278+$D278,Q$111&lt;$B278+$E278),$I278/($E278-$D278),0)))</f>
        <v>0</v>
      </c>
      <c r="R278" s="9">
        <f>IF(OR($C278="Annual",$D278=$E278),IF(AND($D278=$E278,R$111=$B278+$D278),$I278,IF(AND(R$111&gt;$B278+$D278,R$111&lt;=$B278+$E278), $I278/($E278-$D278),0)), IF(OR(R$111=$B278+$D278,R$111=$B278+$E278),$I278/(($E278-$D278)*2),IF(AND(R$111&gt;$B278+$D278,R$111&lt;$B278+$E278),$I278/($E278-$D278),0)))</f>
        <v>0</v>
      </c>
      <c r="S278" s="9">
        <f>IF(OR($C278="Annual",$D278=$E278),IF(AND($D278=$E278,S$111=$B278+$D278),$I278,IF(AND(S$111&gt;$B278+$D278,S$111&lt;=$B278+$E278), $I278/($E278-$D278),0)), IF(OR(S$111=$B278+$D278,S$111=$B278+$E278),$I278/(($E278-$D278)*2),IF(AND(S$111&gt;$B278+$D278,S$111&lt;$B278+$E278),$I278/($E278-$D278),0)))</f>
        <v>0</v>
      </c>
      <c r="T278" s="9">
        <f>IF(OR($C278="Annual",$D278=$E278),IF(AND($D278=$E278,T$111=$B278+$D278),$I278,IF(AND(T$111&gt;$B278+$D278,T$111&lt;=$B278+$E278), $I278/($E278-$D278),0)), IF(OR(T$111=$B278+$D278,T$111=$B278+$E278),$I278/(($E278-$D278)*2),IF(AND(T$111&gt;$B278+$D278,T$111&lt;$B278+$E278),$I278/($E278-$D278),0)))</f>
        <v>0</v>
      </c>
      <c r="U278" s="9"/>
      <c r="V278" s="9"/>
      <c r="W278" s="9">
        <f t="shared" si="81"/>
        <v>0</v>
      </c>
      <c r="X278" s="9">
        <f t="shared" ca="1" si="81"/>
        <v>0</v>
      </c>
      <c r="Y278" s="9">
        <f t="shared" ca="1" si="81"/>
        <v>0</v>
      </c>
      <c r="Z278" s="9">
        <f t="shared" ca="1" si="81"/>
        <v>0</v>
      </c>
      <c r="AA278" s="9">
        <f t="shared" ca="1" si="81"/>
        <v>0</v>
      </c>
    </row>
    <row r="279" spans="1:27">
      <c r="A279" s="8" t="str">
        <f>A278</f>
        <v>Type 17</v>
      </c>
      <c r="B279" s="7">
        <f>B278+1</f>
        <v>2020</v>
      </c>
      <c r="C279" s="7" t="str">
        <f t="shared" si="82"/>
        <v>Annual</v>
      </c>
      <c r="D279" s="7">
        <f t="shared" si="82"/>
        <v>0</v>
      </c>
      <c r="E279" s="7">
        <f t="shared" si="82"/>
        <v>0</v>
      </c>
      <c r="F279" s="14">
        <f>$N$103</f>
        <v>2.5000000000000001E-3</v>
      </c>
      <c r="H279" s="9"/>
      <c r="I279" s="9"/>
      <c r="J279" s="9">
        <f ca="1">$D$103/$D$31</f>
        <v>0</v>
      </c>
      <c r="K279" s="9">
        <f ca="1">J279-R279</f>
        <v>0</v>
      </c>
      <c r="L279" s="9">
        <f ca="1">K279-S279</f>
        <v>0</v>
      </c>
      <c r="M279" s="9">
        <f ca="1">L279-T279</f>
        <v>0</v>
      </c>
      <c r="N279" s="9"/>
      <c r="O279" s="9"/>
      <c r="P279" s="9"/>
      <c r="Q279" s="9">
        <f ca="1">IF(OR($C279="Annual",$D279=$E279),IF(AND($D279=$E279,Q$111=$B279+$D279),$J279,IF(AND(Q$111&gt;$B279+$D279,Q$111&lt;=$B279+$E279), $J279/($E279-$D279),0)), IF(OR(Q$111=$B279+$D279,Q$111=$B279+$E279),$J279/(($E279-$D279)*2),IF(AND(Q$111&gt;$B279+$D279,Q$111&lt;$B279+$E279),$J279/($E279-$D279),0)))</f>
        <v>0</v>
      </c>
      <c r="R279" s="9">
        <f>IF(OR($C279="Annual",$D279=$E279),IF(AND($D279=$E279,R$111=$B279+$D279),$J279,IF(AND(R$111&gt;$B279+$D279,R$111&lt;=$B279+$E279), $J279/($E279-$D279),0)), IF(OR(R$111=$B279+$D279,R$111=$B279+$E279),$J279/(($E279-$D279)*2),IF(AND(R$111&gt;$B279+$D279,R$111&lt;$B279+$E279),$J279/($E279-$D279),0)))</f>
        <v>0</v>
      </c>
      <c r="S279" s="9">
        <f>IF(OR($C279="Annual",$D279=$E279),IF(AND($D279=$E279,S$111=$B279+$D279),$J279,IF(AND(S$111&gt;$B279+$D279,S$111&lt;=$B279+$E279), $J279/($E279-$D279),0)), IF(OR(S$111=$B279+$D279,S$111=$B279+$E279),$J279/(($E279-$D279)*2),IF(AND(S$111&gt;$B279+$D279,S$111&lt;$B279+$E279),$J279/($E279-$D279),0)))</f>
        <v>0</v>
      </c>
      <c r="T279" s="9">
        <f>IF(OR($C279="Annual",$D279=$E279),IF(AND($D279=$E279,T$111=$B279+$D279),$J279,IF(AND(T$111&gt;$B279+$D279,T$111&lt;=$B279+$E279), $J279/($E279-$D279),0)), IF(OR(T$111=$B279+$D279,T$111=$B279+$E279),$J279/(($E279-$D279)*2),IF(AND(T$111&gt;$B279+$D279,T$111&lt;$B279+$E279),$J279/($E279-$D279),0)))</f>
        <v>0</v>
      </c>
      <c r="U279" s="9"/>
      <c r="V279" s="9"/>
      <c r="W279" s="9"/>
      <c r="X279" s="9">
        <f t="shared" si="81"/>
        <v>0</v>
      </c>
      <c r="Y279" s="9">
        <f t="shared" ca="1" si="81"/>
        <v>0</v>
      </c>
      <c r="Z279" s="9">
        <f t="shared" ca="1" si="81"/>
        <v>0</v>
      </c>
      <c r="AA279" s="9">
        <f t="shared" ca="1" si="81"/>
        <v>0</v>
      </c>
    </row>
    <row r="280" spans="1:27">
      <c r="A280" s="8" t="str">
        <f>A279</f>
        <v>Type 17</v>
      </c>
      <c r="B280" s="7">
        <f>B279+1</f>
        <v>2021</v>
      </c>
      <c r="C280" s="7" t="str">
        <f t="shared" si="82"/>
        <v>Annual</v>
      </c>
      <c r="D280" s="7">
        <f t="shared" si="82"/>
        <v>0</v>
      </c>
      <c r="E280" s="7">
        <f t="shared" si="82"/>
        <v>0</v>
      </c>
      <c r="F280" s="14">
        <f>$O$103</f>
        <v>2.5000000000000001E-3</v>
      </c>
      <c r="H280" s="9"/>
      <c r="I280" s="9"/>
      <c r="J280" s="9"/>
      <c r="K280" s="9">
        <f ca="1">$E$103/$E$31</f>
        <v>0</v>
      </c>
      <c r="L280" s="9">
        <f ca="1">K280-S280</f>
        <v>0</v>
      </c>
      <c r="M280" s="9">
        <f ca="1">L280-T280</f>
        <v>0</v>
      </c>
      <c r="N280" s="9"/>
      <c r="O280" s="9"/>
      <c r="P280" s="9"/>
      <c r="Q280" s="9"/>
      <c r="R280" s="9">
        <f ca="1">IF(OR($C280="Annual",$D280=$E280),IF(AND($D280=$E280,R$111=$B280+$D280),$K280,IF(AND(R$111&gt;$B280+$D280,R$111&lt;=$B280+$E280), $K280/($E280-$D280),0)), IF(OR(R$111=$B280+$D280,R$111=$B280+$E280),$K280/(($E280-$D280)*2),IF(AND(R$111&gt;$B280+$D280,R$111&lt;$B280+$E280),$K280/($E280-$D280),0)))</f>
        <v>0</v>
      </c>
      <c r="S280" s="9">
        <f>IF(OR($C280="Annual",$D280=$E280),IF(AND($D280=$E280,S$111=$B280+$D280),$K280,IF(AND(S$111&gt;$B280+$D280,S$111&lt;=$B280+$E280), $K280/($E280-$D280),0)), IF(OR(S$111=$B280+$D280,S$111=$B280+$E280),$K280/(($E280-$D280)*2),IF(AND(S$111&gt;$B280+$D280,S$111&lt;$B280+$E280),$K280/($E280-$D280),0)))</f>
        <v>0</v>
      </c>
      <c r="T280" s="9">
        <f>IF(OR($C280="Annual",$D280=$E280),IF(AND($D280=$E280,T$111=$B280+$D280),$K280,IF(AND(T$111&gt;$B280+$D280,T$111&lt;=$B280+$E280), $K280/($E280-$D280),0)), IF(OR(T$111=$B280+$D280,T$111=$B280+$E280),$K280/(($E280-$D280)*2),IF(AND(T$111&gt;$B280+$D280,T$111&lt;$B280+$E280),$K280/($E280-$D280),0)))</f>
        <v>0</v>
      </c>
      <c r="U280" s="9"/>
      <c r="V280" s="9"/>
      <c r="W280" s="9"/>
      <c r="X280" s="9"/>
      <c r="Y280" s="9">
        <f t="shared" si="81"/>
        <v>0</v>
      </c>
      <c r="Z280" s="9">
        <f t="shared" ca="1" si="81"/>
        <v>0</v>
      </c>
      <c r="AA280" s="9">
        <f t="shared" ca="1" si="81"/>
        <v>0</v>
      </c>
    </row>
    <row r="281" spans="1:27">
      <c r="A281" s="8" t="str">
        <f>A280</f>
        <v>Type 17</v>
      </c>
      <c r="B281" s="7">
        <f>B280+1</f>
        <v>2022</v>
      </c>
      <c r="C281" s="7" t="str">
        <f t="shared" si="82"/>
        <v>Annual</v>
      </c>
      <c r="D281" s="7">
        <f t="shared" si="82"/>
        <v>0</v>
      </c>
      <c r="E281" s="7">
        <f t="shared" si="82"/>
        <v>0</v>
      </c>
      <c r="F281" s="14">
        <f>$P$103</f>
        <v>2.5000000000000001E-3</v>
      </c>
      <c r="H281" s="9"/>
      <c r="I281" s="9"/>
      <c r="J281" s="9"/>
      <c r="K281" s="9"/>
      <c r="L281" s="9">
        <f ca="1">$F$103/$F$31</f>
        <v>0</v>
      </c>
      <c r="M281" s="9">
        <f ca="1">L281-T281</f>
        <v>0</v>
      </c>
      <c r="N281" s="9"/>
      <c r="O281" s="9"/>
      <c r="P281" s="9"/>
      <c r="Q281" s="9"/>
      <c r="R281" s="9"/>
      <c r="S281" s="9">
        <f ca="1">IF(OR($C281="Annual",$D281=$E281),IF(AND($D281=$E281,S$111=$B281+$D281),$L281,IF(AND(S$111&gt;$B281+$D281,S$111&lt;=$B281+$E281), $L281/($E281-$D281),0)), IF(OR(S$111=$B281+$D281,S$111=$B281+$E281),$L281/(($E281-$D281)*2),IF(AND(S$111&gt;$B281+$D281,S$111&lt;$B281+$E281),$L281/($E281-$D281),0)))</f>
        <v>0</v>
      </c>
      <c r="T281" s="9">
        <f>IF(OR($C281="Annual",$D281=$E281),IF(AND($D281=$E281,T$111=$B281+$D281),$L281,IF(AND(T$111&gt;$B281+$D281,T$111&lt;=$B281+$E281), $L281/($E281-$D281),0)), IF(OR(T$111=$B281+$D281,T$111=$B281+$E281),$L281/(($E281-$D281)*2),IF(AND(T$111&gt;$B281+$D281,T$111&lt;$B281+$E281),$L281/($E281-$D281),0)))</f>
        <v>0</v>
      </c>
      <c r="U281" s="9"/>
      <c r="V281" s="9"/>
      <c r="W281" s="9"/>
      <c r="X281" s="9"/>
      <c r="Y281" s="9"/>
      <c r="Z281" s="9">
        <f t="shared" si="81"/>
        <v>0</v>
      </c>
      <c r="AA281" s="9">
        <f t="shared" ca="1" si="81"/>
        <v>0</v>
      </c>
    </row>
    <row r="282" spans="1:27">
      <c r="A282" s="8" t="str">
        <f>A281</f>
        <v>Type 17</v>
      </c>
      <c r="B282" s="7">
        <f>B281+1</f>
        <v>2023</v>
      </c>
      <c r="C282" s="7" t="str">
        <f t="shared" si="82"/>
        <v>Annual</v>
      </c>
      <c r="D282" s="7">
        <f t="shared" si="82"/>
        <v>0</v>
      </c>
      <c r="E282" s="7">
        <f t="shared" si="82"/>
        <v>0</v>
      </c>
      <c r="F282" s="14">
        <f>$Q$103</f>
        <v>2.5000000000000001E-3</v>
      </c>
      <c r="H282" s="9"/>
      <c r="I282" s="9"/>
      <c r="J282" s="9"/>
      <c r="K282" s="9"/>
      <c r="L282" s="9"/>
      <c r="M282" s="9">
        <f ca="1">$G$103/$G$31</f>
        <v>0</v>
      </c>
      <c r="N282" s="9"/>
      <c r="O282" s="9"/>
      <c r="P282" s="9"/>
      <c r="Q282" s="9"/>
      <c r="R282" s="9"/>
      <c r="S282" s="9"/>
      <c r="T282" s="9">
        <f ca="1">IF(OR($C282="Annual",$D282=$E282),IF(AND($D282=$E282,T$111=$B282+$D282),$M282,IF(AND(T$111&gt;$B282+$D282,T$111&lt;=$B282+$E282), $M282/($E282-$D282),0)), IF(OR(T$111=$B282+$D282,T$111=$B282+$E282),$M282/(($E282-$D282)*2),IF(AND(T$111&gt;$B282+$D282,T$111&lt;$B282+$E282),$M282/($E282-$D282),0)))</f>
        <v>0</v>
      </c>
      <c r="U282" s="9"/>
      <c r="V282" s="9"/>
      <c r="W282" s="9"/>
      <c r="X282" s="9"/>
      <c r="Y282" s="9"/>
      <c r="Z282" s="9"/>
      <c r="AA282" s="9">
        <f t="shared" si="81"/>
        <v>0</v>
      </c>
    </row>
    <row r="283" spans="1:27">
      <c r="A283" s="8"/>
      <c r="B283" s="7"/>
      <c r="C283" s="7"/>
      <c r="D283" s="7"/>
      <c r="E283" s="7"/>
      <c r="F283" s="15"/>
      <c r="H283" s="9"/>
      <c r="I283" s="9"/>
      <c r="J283" s="9"/>
      <c r="K283" s="9"/>
      <c r="L283" s="9"/>
      <c r="M283" s="9"/>
      <c r="N283" s="9"/>
      <c r="O283" s="278"/>
      <c r="P283" s="10"/>
      <c r="Q283" s="10"/>
      <c r="R283" s="10"/>
      <c r="S283" s="10"/>
      <c r="T283" s="10"/>
      <c r="U283" s="9"/>
      <c r="V283" s="10"/>
      <c r="W283" s="10"/>
      <c r="X283" s="10"/>
      <c r="Y283" s="10"/>
      <c r="Z283" s="10"/>
      <c r="AA283" s="10"/>
    </row>
    <row r="284" spans="1:27">
      <c r="A284" s="8" t="str">
        <f>'Input 4 - Forecast'!A85</f>
        <v>Type 18</v>
      </c>
      <c r="B284" s="7">
        <f>B119</f>
        <v>2018</v>
      </c>
      <c r="C284" s="7" t="str">
        <f>$I104</f>
        <v>Annual</v>
      </c>
      <c r="D284" s="7">
        <f>$J104</f>
        <v>0</v>
      </c>
      <c r="E284" s="7">
        <f>$K104</f>
        <v>0</v>
      </c>
      <c r="F284" s="14">
        <f>$L$104</f>
        <v>0</v>
      </c>
      <c r="H284" s="9">
        <f>$B$104/$B$31</f>
        <v>0</v>
      </c>
      <c r="I284" s="9">
        <f>H284-P284</f>
        <v>0</v>
      </c>
      <c r="J284" s="9">
        <f>I284-Q284</f>
        <v>0</v>
      </c>
      <c r="K284" s="9">
        <f>J284-R284</f>
        <v>0</v>
      </c>
      <c r="L284" s="9">
        <f>K284-S284</f>
        <v>0</v>
      </c>
      <c r="M284" s="9">
        <f>L284-T284</f>
        <v>0</v>
      </c>
      <c r="N284" s="9"/>
      <c r="O284" s="9">
        <f t="shared" ref="O284:T284" si="83">IF(OR($C284="Annual",$D284=$E284),IF(AND($D284=$E284,O$111=$B284+$D284),$H284,IF(AND(O$111&gt;$B284+$D284,O$111&lt;=$B284+$E284), $H284/($E284-$D284),0)), IF(OR(O$111=$B284+$D284,O$111=$B284+$E284),$H284/(($E284-$D284)*2),IF(AND(O$111&gt;$B284+$D284,O$111&lt;$B284+$E284),$H284/($E284-$D284),0)))</f>
        <v>0</v>
      </c>
      <c r="P284" s="9">
        <f t="shared" si="83"/>
        <v>0</v>
      </c>
      <c r="Q284" s="9">
        <f t="shared" si="83"/>
        <v>0</v>
      </c>
      <c r="R284" s="9">
        <f t="shared" si="83"/>
        <v>0</v>
      </c>
      <c r="S284" s="9">
        <f t="shared" si="83"/>
        <v>0</v>
      </c>
      <c r="T284" s="9">
        <f t="shared" si="83"/>
        <v>0</v>
      </c>
      <c r="U284" s="9"/>
      <c r="V284" s="9">
        <f>IF($C284="annual",IF(V$111=$B284,0,G284*$F284),IF(V$111-$B284=0,0,IF((V$111-$B284)&lt;$E284,AVERAGE(G284,H284)*$F284,IF((V$111-$B284)=$E284,G284*$F284/2,0))))</f>
        <v>0</v>
      </c>
      <c r="W284" s="9">
        <f t="shared" ref="W284:AA289" si="84">IF($C284="annual",IF(W$111=$B284,0,H284*$F284),IF(W$111-$B284=0,0,IF((W$111-$B284)&lt;$E284,AVERAGE(H284,I284)*$F284,IF((W$111-$B284)=$E284,H284*$F284/2,0))))</f>
        <v>0</v>
      </c>
      <c r="X284" s="9">
        <f t="shared" si="84"/>
        <v>0</v>
      </c>
      <c r="Y284" s="9">
        <f t="shared" si="84"/>
        <v>0</v>
      </c>
      <c r="Z284" s="9">
        <f t="shared" si="84"/>
        <v>0</v>
      </c>
      <c r="AA284" s="9">
        <f t="shared" si="84"/>
        <v>0</v>
      </c>
    </row>
    <row r="285" spans="1:27">
      <c r="A285" s="8" t="str">
        <f>A284</f>
        <v>Type 18</v>
      </c>
      <c r="B285" s="7">
        <f>B284+1</f>
        <v>2019</v>
      </c>
      <c r="C285" s="7" t="str">
        <f t="shared" ref="C285:E289" si="85">C284</f>
        <v>Annual</v>
      </c>
      <c r="D285" s="7">
        <f t="shared" si="85"/>
        <v>0</v>
      </c>
      <c r="E285" s="7">
        <f t="shared" si="85"/>
        <v>0</v>
      </c>
      <c r="F285" s="14">
        <f>$M$104</f>
        <v>2.5000000000000001E-3</v>
      </c>
      <c r="H285" s="9"/>
      <c r="I285" s="9">
        <f ca="1">$C$104/$C$31</f>
        <v>0</v>
      </c>
      <c r="J285" s="9">
        <f ca="1">I285-Q285</f>
        <v>0</v>
      </c>
      <c r="K285" s="9">
        <f ca="1">J285-R285</f>
        <v>0</v>
      </c>
      <c r="L285" s="9">
        <f ca="1">K285-S285</f>
        <v>0</v>
      </c>
      <c r="M285" s="9">
        <f ca="1">L285-T285</f>
        <v>0</v>
      </c>
      <c r="N285" s="9"/>
      <c r="O285" s="9"/>
      <c r="P285" s="9">
        <f ca="1">IF(OR($C285="Annual",$D285=$E285),IF(AND($D285=$E285,P$111=$B285+$D285),$I285,IF(AND(P$111&gt;$B285+$D285,P$111&lt;=$B285+$E285), $I285/($E285-$D285),0)), IF(OR(P$111=$B285+$D285,P$111=$B285+$E285),$I285/(($E285-$D285)*2),IF(AND(P$111&gt;$B285+$D285,P$111&lt;$B285+$E285),$I285/($E285-$D285),0)))</f>
        <v>0</v>
      </c>
      <c r="Q285" s="9">
        <f>IF(OR($C285="Annual",$D285=$E285),IF(AND($D285=$E285,Q$111=$B285+$D285),$I285,IF(AND(Q$111&gt;$B285+$D285,Q$111&lt;=$B285+$E285), $I285/($E285-$D285),0)), IF(OR(Q$111=$B285+$D285,Q$111=$B285+$E285),$I285/(($E285-$D285)*2),IF(AND(Q$111&gt;$B285+$D285,Q$111&lt;$B285+$E285),$I285/($E285-$D285),0)))</f>
        <v>0</v>
      </c>
      <c r="R285" s="9">
        <f>IF(OR($C285="Annual",$D285=$E285),IF(AND($D285=$E285,R$111=$B285+$D285),$I285,IF(AND(R$111&gt;$B285+$D285,R$111&lt;=$B285+$E285), $I285/($E285-$D285),0)), IF(OR(R$111=$B285+$D285,R$111=$B285+$E285),$I285/(($E285-$D285)*2),IF(AND(R$111&gt;$B285+$D285,R$111&lt;$B285+$E285),$I285/($E285-$D285),0)))</f>
        <v>0</v>
      </c>
      <c r="S285" s="9">
        <f>IF(OR($C285="Annual",$D285=$E285),IF(AND($D285=$E285,S$111=$B285+$D285),$I285,IF(AND(S$111&gt;$B285+$D285,S$111&lt;=$B285+$E285), $I285/($E285-$D285),0)), IF(OR(S$111=$B285+$D285,S$111=$B285+$E285),$I285/(($E285-$D285)*2),IF(AND(S$111&gt;$B285+$D285,S$111&lt;$B285+$E285),$I285/($E285-$D285),0)))</f>
        <v>0</v>
      </c>
      <c r="T285" s="9">
        <f>IF(OR($C285="Annual",$D285=$E285),IF(AND($D285=$E285,T$111=$B285+$D285),$I285,IF(AND(T$111&gt;$B285+$D285,T$111&lt;=$B285+$E285), $I285/($E285-$D285),0)), IF(OR(T$111=$B285+$D285,T$111=$B285+$E285),$I285/(($E285-$D285)*2),IF(AND(T$111&gt;$B285+$D285,T$111&lt;$B285+$E285),$I285/($E285-$D285),0)))</f>
        <v>0</v>
      </c>
      <c r="U285" s="9"/>
      <c r="V285" s="9"/>
      <c r="W285" s="9">
        <f t="shared" si="84"/>
        <v>0</v>
      </c>
      <c r="X285" s="9">
        <f t="shared" ca="1" si="84"/>
        <v>0</v>
      </c>
      <c r="Y285" s="9">
        <f t="shared" ca="1" si="84"/>
        <v>0</v>
      </c>
      <c r="Z285" s="9">
        <f t="shared" ca="1" si="84"/>
        <v>0</v>
      </c>
      <c r="AA285" s="9">
        <f t="shared" ca="1" si="84"/>
        <v>0</v>
      </c>
    </row>
    <row r="286" spans="1:27">
      <c r="A286" s="8" t="str">
        <f>A285</f>
        <v>Type 18</v>
      </c>
      <c r="B286" s="7">
        <f>B285+1</f>
        <v>2020</v>
      </c>
      <c r="C286" s="7" t="str">
        <f t="shared" si="85"/>
        <v>Annual</v>
      </c>
      <c r="D286" s="7">
        <f t="shared" si="85"/>
        <v>0</v>
      </c>
      <c r="E286" s="7">
        <f t="shared" si="85"/>
        <v>0</v>
      </c>
      <c r="F286" s="14">
        <f>$N$104</f>
        <v>2.5000000000000001E-3</v>
      </c>
      <c r="H286" s="9"/>
      <c r="I286" s="9"/>
      <c r="J286" s="9">
        <f ca="1">$D$104/$D$31</f>
        <v>0</v>
      </c>
      <c r="K286" s="9">
        <f ca="1">J286-R286</f>
        <v>0</v>
      </c>
      <c r="L286" s="9">
        <f ca="1">K286-S286</f>
        <v>0</v>
      </c>
      <c r="M286" s="9">
        <f ca="1">L286-T286</f>
        <v>0</v>
      </c>
      <c r="N286" s="9"/>
      <c r="O286" s="9"/>
      <c r="P286" s="9"/>
      <c r="Q286" s="9">
        <f ca="1">IF(OR($C286="Annual",$D286=$E286),IF(AND($D286=$E286,Q$111=$B286+$D286),$J286,IF(AND(Q$111&gt;$B286+$D286,Q$111&lt;=$B286+$E286), $J286/($E286-$D286),0)), IF(OR(Q$111=$B286+$D286,Q$111=$B286+$E286),$J286/(($E286-$D286)*2),IF(AND(Q$111&gt;$B286+$D286,Q$111&lt;$B286+$E286),$J286/($E286-$D286),0)))</f>
        <v>0</v>
      </c>
      <c r="R286" s="9">
        <f>IF(OR($C286="Annual",$D286=$E286),IF(AND($D286=$E286,R$111=$B286+$D286),$J286,IF(AND(R$111&gt;$B286+$D286,R$111&lt;=$B286+$E286), $J286/($E286-$D286),0)), IF(OR(R$111=$B286+$D286,R$111=$B286+$E286),$J286/(($E286-$D286)*2),IF(AND(R$111&gt;$B286+$D286,R$111&lt;$B286+$E286),$J286/($E286-$D286),0)))</f>
        <v>0</v>
      </c>
      <c r="S286" s="9">
        <f>IF(OR($C286="Annual",$D286=$E286),IF(AND($D286=$E286,S$111=$B286+$D286),$J286,IF(AND(S$111&gt;$B286+$D286,S$111&lt;=$B286+$E286), $J286/($E286-$D286),0)), IF(OR(S$111=$B286+$D286,S$111=$B286+$E286),$J286/(($E286-$D286)*2),IF(AND(S$111&gt;$B286+$D286,S$111&lt;$B286+$E286),$J286/($E286-$D286),0)))</f>
        <v>0</v>
      </c>
      <c r="T286" s="9">
        <f>IF(OR($C286="Annual",$D286=$E286),IF(AND($D286=$E286,T$111=$B286+$D286),$J286,IF(AND(T$111&gt;$B286+$D286,T$111&lt;=$B286+$E286), $J286/($E286-$D286),0)), IF(OR(T$111=$B286+$D286,T$111=$B286+$E286),$J286/(($E286-$D286)*2),IF(AND(T$111&gt;$B286+$D286,T$111&lt;$B286+$E286),$J286/($E286-$D286),0)))</f>
        <v>0</v>
      </c>
      <c r="U286" s="9"/>
      <c r="V286" s="9"/>
      <c r="W286" s="9"/>
      <c r="X286" s="9">
        <f t="shared" si="84"/>
        <v>0</v>
      </c>
      <c r="Y286" s="9">
        <f t="shared" ca="1" si="84"/>
        <v>0</v>
      </c>
      <c r="Z286" s="9">
        <f t="shared" ca="1" si="84"/>
        <v>0</v>
      </c>
      <c r="AA286" s="9">
        <f t="shared" ca="1" si="84"/>
        <v>0</v>
      </c>
    </row>
    <row r="287" spans="1:27">
      <c r="A287" s="8" t="str">
        <f>A286</f>
        <v>Type 18</v>
      </c>
      <c r="B287" s="7">
        <f>B286+1</f>
        <v>2021</v>
      </c>
      <c r="C287" s="7" t="str">
        <f t="shared" si="85"/>
        <v>Annual</v>
      </c>
      <c r="D287" s="7">
        <f t="shared" si="85"/>
        <v>0</v>
      </c>
      <c r="E287" s="7">
        <f t="shared" si="85"/>
        <v>0</v>
      </c>
      <c r="F287" s="14">
        <f>$O$104</f>
        <v>2.5000000000000001E-3</v>
      </c>
      <c r="H287" s="9"/>
      <c r="I287" s="9"/>
      <c r="J287" s="9"/>
      <c r="K287" s="9">
        <f ca="1">$E$104/$E$31</f>
        <v>0</v>
      </c>
      <c r="L287" s="9">
        <f ca="1">K287-S287</f>
        <v>0</v>
      </c>
      <c r="M287" s="9">
        <f ca="1">L287-T287</f>
        <v>0</v>
      </c>
      <c r="N287" s="9"/>
      <c r="O287" s="9"/>
      <c r="P287" s="9"/>
      <c r="Q287" s="9"/>
      <c r="R287" s="9">
        <f ca="1">IF(OR($C287="Annual",$D287=$E287),IF(AND($D287=$E287,R$111=$B287+$D287),$K287,IF(AND(R$111&gt;$B287+$D287,R$111&lt;=$B287+$E287), $K287/($E287-$D287),0)), IF(OR(R$111=$B287+$D287,R$111=$B287+$E287),$K287/(($E287-$D287)*2),IF(AND(R$111&gt;$B287+$D287,R$111&lt;$B287+$E287),$K287/($E287-$D287),0)))</f>
        <v>0</v>
      </c>
      <c r="S287" s="9">
        <f>IF(OR($C287="Annual",$D287=$E287),IF(AND($D287=$E287,S$111=$B287+$D287),$K287,IF(AND(S$111&gt;$B287+$D287,S$111&lt;=$B287+$E287), $K287/($E287-$D287),0)), IF(OR(S$111=$B287+$D287,S$111=$B287+$E287),$K287/(($E287-$D287)*2),IF(AND(S$111&gt;$B287+$D287,S$111&lt;$B287+$E287),$K287/($E287-$D287),0)))</f>
        <v>0</v>
      </c>
      <c r="T287" s="9">
        <f>IF(OR($C287="Annual",$D287=$E287),IF(AND($D287=$E287,T$111=$B287+$D287),$K287,IF(AND(T$111&gt;$B287+$D287,T$111&lt;=$B287+$E287), $K287/($E287-$D287),0)), IF(OR(T$111=$B287+$D287,T$111=$B287+$E287),$K287/(($E287-$D287)*2),IF(AND(T$111&gt;$B287+$D287,T$111&lt;$B287+$E287),$K287/($E287-$D287),0)))</f>
        <v>0</v>
      </c>
      <c r="U287" s="9"/>
      <c r="V287" s="9"/>
      <c r="W287" s="9"/>
      <c r="X287" s="9"/>
      <c r="Y287" s="9">
        <f t="shared" si="84"/>
        <v>0</v>
      </c>
      <c r="Z287" s="9">
        <f t="shared" ca="1" si="84"/>
        <v>0</v>
      </c>
      <c r="AA287" s="9">
        <f t="shared" ca="1" si="84"/>
        <v>0</v>
      </c>
    </row>
    <row r="288" spans="1:27">
      <c r="A288" s="8" t="str">
        <f>A287</f>
        <v>Type 18</v>
      </c>
      <c r="B288" s="7">
        <f>B287+1</f>
        <v>2022</v>
      </c>
      <c r="C288" s="7" t="str">
        <f t="shared" si="85"/>
        <v>Annual</v>
      </c>
      <c r="D288" s="7">
        <f t="shared" si="85"/>
        <v>0</v>
      </c>
      <c r="E288" s="7">
        <f t="shared" si="85"/>
        <v>0</v>
      </c>
      <c r="F288" s="14">
        <f>$P$104</f>
        <v>2.5000000000000001E-3</v>
      </c>
      <c r="H288" s="9"/>
      <c r="I288" s="9"/>
      <c r="J288" s="9"/>
      <c r="K288" s="9"/>
      <c r="L288" s="9">
        <f ca="1">$F$104/$F$31</f>
        <v>0</v>
      </c>
      <c r="M288" s="9">
        <f ca="1">L288-T288</f>
        <v>0</v>
      </c>
      <c r="N288" s="9"/>
      <c r="O288" s="9"/>
      <c r="P288" s="9"/>
      <c r="Q288" s="9"/>
      <c r="R288" s="9"/>
      <c r="S288" s="9">
        <f ca="1">IF(OR($C288="Annual",$D288=$E288),IF(AND($D288=$E288,S$111=$B288+$D288),$L288,IF(AND(S$111&gt;$B288+$D288,S$111&lt;=$B288+$E288), $L288/($E288-$D288),0)), IF(OR(S$111=$B288+$D288,S$111=$B288+$E288),$L288/(($E288-$D288)*2),IF(AND(S$111&gt;$B288+$D288,S$111&lt;$B288+$E288),$L288/($E288-$D288),0)))</f>
        <v>0</v>
      </c>
      <c r="T288" s="9">
        <f>IF(OR($C288="Annual",$D288=$E288),IF(AND($D288=$E288,T$111=$B288+$D288),$L288,IF(AND(T$111&gt;$B288+$D288,T$111&lt;=$B288+$E288), $L288/($E288-$D288),0)), IF(OR(T$111=$B288+$D288,T$111=$B288+$E288),$L288/(($E288-$D288)*2),IF(AND(T$111&gt;$B288+$D288,T$111&lt;$B288+$E288),$L288/($E288-$D288),0)))</f>
        <v>0</v>
      </c>
      <c r="U288" s="9"/>
      <c r="V288" s="9"/>
      <c r="W288" s="9"/>
      <c r="X288" s="9"/>
      <c r="Y288" s="9"/>
      <c r="Z288" s="9">
        <f t="shared" si="84"/>
        <v>0</v>
      </c>
      <c r="AA288" s="9">
        <f t="shared" ca="1" si="84"/>
        <v>0</v>
      </c>
    </row>
    <row r="289" spans="1:27">
      <c r="A289" s="8" t="str">
        <f>A288</f>
        <v>Type 18</v>
      </c>
      <c r="B289" s="7">
        <f>B288+1</f>
        <v>2023</v>
      </c>
      <c r="C289" s="7" t="str">
        <f t="shared" si="85"/>
        <v>Annual</v>
      </c>
      <c r="D289" s="7">
        <f t="shared" si="85"/>
        <v>0</v>
      </c>
      <c r="E289" s="7">
        <f t="shared" si="85"/>
        <v>0</v>
      </c>
      <c r="F289" s="14">
        <f>$Q$104</f>
        <v>2.5000000000000001E-3</v>
      </c>
      <c r="H289" s="9"/>
      <c r="I289" s="9"/>
      <c r="J289" s="9"/>
      <c r="K289" s="9"/>
      <c r="L289" s="9"/>
      <c r="M289" s="9">
        <f ca="1">$G$104/$G$31</f>
        <v>0</v>
      </c>
      <c r="N289" s="9"/>
      <c r="O289" s="9"/>
      <c r="P289" s="9"/>
      <c r="Q289" s="9"/>
      <c r="R289" s="9"/>
      <c r="S289" s="9"/>
      <c r="T289" s="9">
        <f ca="1">IF(OR($C289="Annual",$D289=$E289),IF(AND($D289=$E289,T$111=$B289+$D289),$M289,IF(AND(T$111&gt;$B289+$D289,T$111&lt;=$B289+$E289), $M289/($E289-$D289),0)), IF(OR(T$111=$B289+$D289,T$111=$B289+$E289),$M289/(($E289-$D289)*2),IF(AND(T$111&gt;$B289+$D289,T$111&lt;$B289+$E289),$M289/($E289-$D289),0)))</f>
        <v>0</v>
      </c>
      <c r="U289" s="9"/>
      <c r="V289" s="9"/>
      <c r="W289" s="9"/>
      <c r="X289" s="9"/>
      <c r="Y289" s="9"/>
      <c r="Z289" s="9"/>
      <c r="AA289" s="9">
        <f t="shared" si="84"/>
        <v>0</v>
      </c>
    </row>
    <row r="290" spans="1:27">
      <c r="A290" s="8"/>
      <c r="B290" s="7"/>
      <c r="C290" s="7"/>
      <c r="D290" s="7"/>
      <c r="E290" s="7"/>
      <c r="F290" s="15"/>
      <c r="H290" s="9"/>
      <c r="I290" s="9"/>
      <c r="J290" s="9"/>
      <c r="K290" s="9"/>
      <c r="L290" s="9"/>
      <c r="M290" s="9"/>
      <c r="N290" s="9"/>
      <c r="O290" s="278"/>
      <c r="P290" s="10"/>
      <c r="Q290" s="10"/>
      <c r="R290" s="10"/>
      <c r="S290" s="10"/>
      <c r="T290" s="10"/>
      <c r="U290" s="9"/>
      <c r="V290" s="10"/>
      <c r="W290" s="10"/>
      <c r="X290" s="10"/>
      <c r="Y290" s="10"/>
      <c r="Z290" s="10"/>
      <c r="AA290" s="10"/>
    </row>
    <row r="291" spans="1:27">
      <c r="A291" s="8" t="str">
        <f>'Input 4 - Forecast'!A86</f>
        <v>Type 19</v>
      </c>
      <c r="B291" s="7">
        <f>B119</f>
        <v>2018</v>
      </c>
      <c r="C291" s="7" t="str">
        <f>$I105</f>
        <v>Annual</v>
      </c>
      <c r="D291" s="7">
        <f>$J105</f>
        <v>0</v>
      </c>
      <c r="E291" s="7">
        <f>$K105</f>
        <v>0</v>
      </c>
      <c r="F291" s="14">
        <f>$L$105</f>
        <v>0</v>
      </c>
      <c r="H291" s="9">
        <f>$B$105/$B$31</f>
        <v>0</v>
      </c>
      <c r="I291" s="9">
        <f>H291-P291</f>
        <v>0</v>
      </c>
      <c r="J291" s="9">
        <f>I291-Q291</f>
        <v>0</v>
      </c>
      <c r="K291" s="9">
        <f>J291-R291</f>
        <v>0</v>
      </c>
      <c r="L291" s="9">
        <f>K291-S291</f>
        <v>0</v>
      </c>
      <c r="M291" s="9">
        <f>L291-T291</f>
        <v>0</v>
      </c>
      <c r="N291" s="9"/>
      <c r="O291" s="9">
        <f t="shared" ref="O291:T291" si="86">IF(OR($C291="Annual",$D291=$E291),IF(AND($D291=$E291,O$111=$B291+$D291),$H291,IF(AND(O$111&gt;$B291+$D291,O$111&lt;=$B291+$E291), $H291/($E291-$D291),0)), IF(OR(O$111=$B291+$D291,O$111=$B291+$E291),$H291/(($E291-$D291)*2),IF(AND(O$111&gt;$B291+$D291,O$111&lt;$B291+$E291),$H291/($E291-$D291),0)))</f>
        <v>0</v>
      </c>
      <c r="P291" s="9">
        <f t="shared" si="86"/>
        <v>0</v>
      </c>
      <c r="Q291" s="9">
        <f t="shared" si="86"/>
        <v>0</v>
      </c>
      <c r="R291" s="9">
        <f t="shared" si="86"/>
        <v>0</v>
      </c>
      <c r="S291" s="9">
        <f t="shared" si="86"/>
        <v>0</v>
      </c>
      <c r="T291" s="9">
        <f t="shared" si="86"/>
        <v>0</v>
      </c>
      <c r="U291" s="9"/>
      <c r="V291" s="9">
        <f>IF($C291="annual",IF(V$111=$B291,0,G291*$F291),IF(V$111-$B291=0,0,IF((V$111-$B291)&lt;$E291,AVERAGE(G291,H291)*$F291,IF((V$111-$B291)=$E291,G291*$F291/2,0))))</f>
        <v>0</v>
      </c>
      <c r="W291" s="9">
        <f t="shared" ref="W291:AA296" si="87">IF($C291="annual",IF(W$111=$B291,0,H291*$F291),IF(W$111-$B291=0,0,IF((W$111-$B291)&lt;$E291,AVERAGE(H291,I291)*$F291,IF((W$111-$B291)=$E291,H291*$F291/2,0))))</f>
        <v>0</v>
      </c>
      <c r="X291" s="9">
        <f t="shared" si="87"/>
        <v>0</v>
      </c>
      <c r="Y291" s="9">
        <f t="shared" si="87"/>
        <v>0</v>
      </c>
      <c r="Z291" s="9">
        <f t="shared" si="87"/>
        <v>0</v>
      </c>
      <c r="AA291" s="9">
        <f t="shared" si="87"/>
        <v>0</v>
      </c>
    </row>
    <row r="292" spans="1:27">
      <c r="A292" s="8" t="str">
        <f>A291</f>
        <v>Type 19</v>
      </c>
      <c r="B292" s="7">
        <f>B291+1</f>
        <v>2019</v>
      </c>
      <c r="C292" s="7" t="str">
        <f t="shared" ref="C292:E296" si="88">C291</f>
        <v>Annual</v>
      </c>
      <c r="D292" s="7">
        <f t="shared" si="88"/>
        <v>0</v>
      </c>
      <c r="E292" s="7">
        <f t="shared" si="88"/>
        <v>0</v>
      </c>
      <c r="F292" s="14">
        <f>$M$105</f>
        <v>2.5000000000000001E-3</v>
      </c>
      <c r="H292" s="9"/>
      <c r="I292" s="9">
        <f ca="1">$C$105/$C$31</f>
        <v>0</v>
      </c>
      <c r="J292" s="9">
        <f ca="1">I292-Q292</f>
        <v>0</v>
      </c>
      <c r="K292" s="9">
        <f ca="1">J292-R292</f>
        <v>0</v>
      </c>
      <c r="L292" s="9">
        <f ca="1">K292-S292</f>
        <v>0</v>
      </c>
      <c r="M292" s="9">
        <f ca="1">L292-T292</f>
        <v>0</v>
      </c>
      <c r="N292" s="9"/>
      <c r="O292" s="9"/>
      <c r="P292" s="9">
        <f ca="1">IF(OR($C292="Annual",$D292=$E292),IF(AND($D292=$E292,P$111=$B292+$D292),$I292,IF(AND(P$111&gt;$B292+$D292,P$111&lt;=$B292+$E292), $I292/($E292-$D292),0)), IF(OR(P$111=$B292+$D292,P$111=$B292+$E292),$I292/(($E292-$D292)*2),IF(AND(P$111&gt;$B292+$D292,P$111&lt;$B292+$E292),$I292/($E292-$D292),0)))</f>
        <v>0</v>
      </c>
      <c r="Q292" s="9">
        <f>IF(OR($C292="Annual",$D292=$E292),IF(AND($D292=$E292,Q$111=$B292+$D292),$I292,IF(AND(Q$111&gt;$B292+$D292,Q$111&lt;=$B292+$E292), $I292/($E292-$D292),0)), IF(OR(Q$111=$B292+$D292,Q$111=$B292+$E292),$I292/(($E292-$D292)*2),IF(AND(Q$111&gt;$B292+$D292,Q$111&lt;$B292+$E292),$I292/($E292-$D292),0)))</f>
        <v>0</v>
      </c>
      <c r="R292" s="9">
        <f>IF(OR($C292="Annual",$D292=$E292),IF(AND($D292=$E292,R$111=$B292+$D292),$I292,IF(AND(R$111&gt;$B292+$D292,R$111&lt;=$B292+$E292), $I292/($E292-$D292),0)), IF(OR(R$111=$B292+$D292,R$111=$B292+$E292),$I292/(($E292-$D292)*2),IF(AND(R$111&gt;$B292+$D292,R$111&lt;$B292+$E292),$I292/($E292-$D292),0)))</f>
        <v>0</v>
      </c>
      <c r="S292" s="9">
        <f>IF(OR($C292="Annual",$D292=$E292),IF(AND($D292=$E292,S$111=$B292+$D292),$I292,IF(AND(S$111&gt;$B292+$D292,S$111&lt;=$B292+$E292), $I292/($E292-$D292),0)), IF(OR(S$111=$B292+$D292,S$111=$B292+$E292),$I292/(($E292-$D292)*2),IF(AND(S$111&gt;$B292+$D292,S$111&lt;$B292+$E292),$I292/($E292-$D292),0)))</f>
        <v>0</v>
      </c>
      <c r="T292" s="9">
        <f>IF(OR($C292="Annual",$D292=$E292),IF(AND($D292=$E292,T$111=$B292+$D292),$I292,IF(AND(T$111&gt;$B292+$D292,T$111&lt;=$B292+$E292), $I292/($E292-$D292),0)), IF(OR(T$111=$B292+$D292,T$111=$B292+$E292),$I292/(($E292-$D292)*2),IF(AND(T$111&gt;$B292+$D292,T$111&lt;$B292+$E292),$I292/($E292-$D292),0)))</f>
        <v>0</v>
      </c>
      <c r="U292" s="9"/>
      <c r="V292" s="9"/>
      <c r="W292" s="9">
        <f t="shared" si="87"/>
        <v>0</v>
      </c>
      <c r="X292" s="9">
        <f t="shared" ca="1" si="87"/>
        <v>0</v>
      </c>
      <c r="Y292" s="9">
        <f t="shared" ca="1" si="87"/>
        <v>0</v>
      </c>
      <c r="Z292" s="9">
        <f t="shared" ca="1" si="87"/>
        <v>0</v>
      </c>
      <c r="AA292" s="9">
        <f t="shared" ca="1" si="87"/>
        <v>0</v>
      </c>
    </row>
    <row r="293" spans="1:27">
      <c r="A293" s="8" t="str">
        <f>A292</f>
        <v>Type 19</v>
      </c>
      <c r="B293" s="7">
        <f>B292+1</f>
        <v>2020</v>
      </c>
      <c r="C293" s="7" t="str">
        <f t="shared" si="88"/>
        <v>Annual</v>
      </c>
      <c r="D293" s="7">
        <f t="shared" si="88"/>
        <v>0</v>
      </c>
      <c r="E293" s="7">
        <f t="shared" si="88"/>
        <v>0</v>
      </c>
      <c r="F293" s="14">
        <f>$N$105</f>
        <v>2.5000000000000001E-3</v>
      </c>
      <c r="H293" s="9"/>
      <c r="I293" s="9"/>
      <c r="J293" s="9">
        <f ca="1">$D$105/$D$31</f>
        <v>0</v>
      </c>
      <c r="K293" s="9">
        <f ca="1">J293-R293</f>
        <v>0</v>
      </c>
      <c r="L293" s="9">
        <f ca="1">K293-S293</f>
        <v>0</v>
      </c>
      <c r="M293" s="9">
        <f ca="1">L293-T293</f>
        <v>0</v>
      </c>
      <c r="N293" s="9"/>
      <c r="O293" s="9"/>
      <c r="P293" s="9"/>
      <c r="Q293" s="9">
        <f ca="1">IF(OR($C293="Annual",$D293=$E293),IF(AND($D293=$E293,Q$111=$B293+$D293),$J293,IF(AND(Q$111&gt;$B293+$D293,Q$111&lt;=$B293+$E293), $J293/($E293-$D293),0)), IF(OR(Q$111=$B293+$D293,Q$111=$B293+$E293),$J293/(($E293-$D293)*2),IF(AND(Q$111&gt;$B293+$D293,Q$111&lt;$B293+$E293),$J293/($E293-$D293),0)))</f>
        <v>0</v>
      </c>
      <c r="R293" s="9">
        <f>IF(OR($C293="Annual",$D293=$E293),IF(AND($D293=$E293,R$111=$B293+$D293),$J293,IF(AND(R$111&gt;$B293+$D293,R$111&lt;=$B293+$E293), $J293/($E293-$D293),0)), IF(OR(R$111=$B293+$D293,R$111=$B293+$E293),$J293/(($E293-$D293)*2),IF(AND(R$111&gt;$B293+$D293,R$111&lt;$B293+$E293),$J293/($E293-$D293),0)))</f>
        <v>0</v>
      </c>
      <c r="S293" s="9">
        <f>IF(OR($C293="Annual",$D293=$E293),IF(AND($D293=$E293,S$111=$B293+$D293),$J293,IF(AND(S$111&gt;$B293+$D293,S$111&lt;=$B293+$E293), $J293/($E293-$D293),0)), IF(OR(S$111=$B293+$D293,S$111=$B293+$E293),$J293/(($E293-$D293)*2),IF(AND(S$111&gt;$B293+$D293,S$111&lt;$B293+$E293),$J293/($E293-$D293),0)))</f>
        <v>0</v>
      </c>
      <c r="T293" s="9">
        <f>IF(OR($C293="Annual",$D293=$E293),IF(AND($D293=$E293,T$111=$B293+$D293),$J293,IF(AND(T$111&gt;$B293+$D293,T$111&lt;=$B293+$E293), $J293/($E293-$D293),0)), IF(OR(T$111=$B293+$D293,T$111=$B293+$E293),$J293/(($E293-$D293)*2),IF(AND(T$111&gt;$B293+$D293,T$111&lt;$B293+$E293),$J293/($E293-$D293),0)))</f>
        <v>0</v>
      </c>
      <c r="U293" s="9"/>
      <c r="V293" s="9"/>
      <c r="W293" s="9"/>
      <c r="X293" s="9">
        <f t="shared" si="87"/>
        <v>0</v>
      </c>
      <c r="Y293" s="9">
        <f t="shared" ca="1" si="87"/>
        <v>0</v>
      </c>
      <c r="Z293" s="9">
        <f t="shared" ca="1" si="87"/>
        <v>0</v>
      </c>
      <c r="AA293" s="9">
        <f t="shared" ca="1" si="87"/>
        <v>0</v>
      </c>
    </row>
    <row r="294" spans="1:27">
      <c r="A294" s="8" t="str">
        <f>A293</f>
        <v>Type 19</v>
      </c>
      <c r="B294" s="7">
        <f>B293+1</f>
        <v>2021</v>
      </c>
      <c r="C294" s="7" t="str">
        <f t="shared" si="88"/>
        <v>Annual</v>
      </c>
      <c r="D294" s="7">
        <f t="shared" si="88"/>
        <v>0</v>
      </c>
      <c r="E294" s="7">
        <f t="shared" si="88"/>
        <v>0</v>
      </c>
      <c r="F294" s="14">
        <f>$O$105</f>
        <v>2.5000000000000001E-3</v>
      </c>
      <c r="H294" s="9"/>
      <c r="I294" s="9"/>
      <c r="J294" s="9"/>
      <c r="K294" s="9">
        <f ca="1">$E$105/$E$31</f>
        <v>0</v>
      </c>
      <c r="L294" s="9">
        <f ca="1">K294-S294</f>
        <v>0</v>
      </c>
      <c r="M294" s="9">
        <f ca="1">L294-T294</f>
        <v>0</v>
      </c>
      <c r="N294" s="9"/>
      <c r="O294" s="9"/>
      <c r="P294" s="9"/>
      <c r="Q294" s="9"/>
      <c r="R294" s="9">
        <f ca="1">IF(OR($C294="Annual",$D294=$E294),IF(AND($D294=$E294,R$111=$B294+$D294),$K294,IF(AND(R$111&gt;$B294+$D294,R$111&lt;=$B294+$E294), $K294/($E294-$D294),0)), IF(OR(R$111=$B294+$D294,R$111=$B294+$E294),$K294/(($E294-$D294)*2),IF(AND(R$111&gt;$B294+$D294,R$111&lt;$B294+$E294),$K294/($E294-$D294),0)))</f>
        <v>0</v>
      </c>
      <c r="S294" s="9">
        <f>IF(OR($C294="Annual",$D294=$E294),IF(AND($D294=$E294,S$111=$B294+$D294),$K294,IF(AND(S$111&gt;$B294+$D294,S$111&lt;=$B294+$E294), $K294/($E294-$D294),0)), IF(OR(S$111=$B294+$D294,S$111=$B294+$E294),$K294/(($E294-$D294)*2),IF(AND(S$111&gt;$B294+$D294,S$111&lt;$B294+$E294),$K294/($E294-$D294),0)))</f>
        <v>0</v>
      </c>
      <c r="T294" s="9">
        <f>IF(OR($C294="Annual",$D294=$E294),IF(AND($D294=$E294,T$111=$B294+$D294),$K294,IF(AND(T$111&gt;$B294+$D294,T$111&lt;=$B294+$E294), $K294/($E294-$D294),0)), IF(OR(T$111=$B294+$D294,T$111=$B294+$E294),$K294/(($E294-$D294)*2),IF(AND(T$111&gt;$B294+$D294,T$111&lt;$B294+$E294),$K294/($E294-$D294),0)))</f>
        <v>0</v>
      </c>
      <c r="U294" s="9"/>
      <c r="V294" s="9"/>
      <c r="W294" s="9"/>
      <c r="X294" s="9"/>
      <c r="Y294" s="9">
        <f t="shared" si="87"/>
        <v>0</v>
      </c>
      <c r="Z294" s="9">
        <f t="shared" ca="1" si="87"/>
        <v>0</v>
      </c>
      <c r="AA294" s="9">
        <f t="shared" ca="1" si="87"/>
        <v>0</v>
      </c>
    </row>
    <row r="295" spans="1:27">
      <c r="A295" s="8" t="str">
        <f>A294</f>
        <v>Type 19</v>
      </c>
      <c r="B295" s="7">
        <f>B294+1</f>
        <v>2022</v>
      </c>
      <c r="C295" s="7" t="str">
        <f t="shared" si="88"/>
        <v>Annual</v>
      </c>
      <c r="D295" s="7">
        <f t="shared" si="88"/>
        <v>0</v>
      </c>
      <c r="E295" s="7">
        <f t="shared" si="88"/>
        <v>0</v>
      </c>
      <c r="F295" s="14">
        <f>$P$105</f>
        <v>2.5000000000000001E-3</v>
      </c>
      <c r="H295" s="9"/>
      <c r="I295" s="9"/>
      <c r="J295" s="9"/>
      <c r="K295" s="9"/>
      <c r="L295" s="9">
        <f ca="1">$F$105/$F$31</f>
        <v>0</v>
      </c>
      <c r="M295" s="9">
        <f ca="1">L295-T295</f>
        <v>0</v>
      </c>
      <c r="N295" s="9"/>
      <c r="O295" s="9"/>
      <c r="P295" s="9"/>
      <c r="Q295" s="9"/>
      <c r="R295" s="9"/>
      <c r="S295" s="9">
        <f ca="1">IF(OR($C295="Annual",$D295=$E295),IF(AND($D295=$E295,S$111=$B295+$D295),$L295,IF(AND(S$111&gt;$B295+$D295,S$111&lt;=$B295+$E295), $L295/($E295-$D295),0)), IF(OR(S$111=$B295+$D295,S$111=$B295+$E295),$L295/(($E295-$D295)*2),IF(AND(S$111&gt;$B295+$D295,S$111&lt;$B295+$E295),$L295/($E295-$D295),0)))</f>
        <v>0</v>
      </c>
      <c r="T295" s="9">
        <f>IF(OR($C295="Annual",$D295=$E295),IF(AND($D295=$E295,T$111=$B295+$D295),$L295,IF(AND(T$111&gt;$B295+$D295,T$111&lt;=$B295+$E295), $L295/($E295-$D295),0)), IF(OR(T$111=$B295+$D295,T$111=$B295+$E295),$L295/(($E295-$D295)*2),IF(AND(T$111&gt;$B295+$D295,T$111&lt;$B295+$E295),$L295/($E295-$D295),0)))</f>
        <v>0</v>
      </c>
      <c r="U295" s="9"/>
      <c r="V295" s="9"/>
      <c r="W295" s="9"/>
      <c r="X295" s="9"/>
      <c r="Y295" s="9"/>
      <c r="Z295" s="9">
        <f t="shared" si="87"/>
        <v>0</v>
      </c>
      <c r="AA295" s="9">
        <f t="shared" ca="1" si="87"/>
        <v>0</v>
      </c>
    </row>
    <row r="296" spans="1:27">
      <c r="A296" s="8" t="str">
        <f>A295</f>
        <v>Type 19</v>
      </c>
      <c r="B296" s="7">
        <f>B295+1</f>
        <v>2023</v>
      </c>
      <c r="C296" s="7" t="str">
        <f t="shared" si="88"/>
        <v>Annual</v>
      </c>
      <c r="D296" s="7">
        <f t="shared" si="88"/>
        <v>0</v>
      </c>
      <c r="E296" s="7">
        <f t="shared" si="88"/>
        <v>0</v>
      </c>
      <c r="F296" s="14">
        <f>$Q$105</f>
        <v>2.5000000000000001E-3</v>
      </c>
      <c r="H296" s="9"/>
      <c r="I296" s="9"/>
      <c r="J296" s="9"/>
      <c r="K296" s="9"/>
      <c r="L296" s="9"/>
      <c r="M296" s="9">
        <f ca="1">$G$105/$G$31</f>
        <v>0</v>
      </c>
      <c r="N296" s="9"/>
      <c r="O296" s="9"/>
      <c r="P296" s="9"/>
      <c r="Q296" s="9"/>
      <c r="R296" s="9"/>
      <c r="S296" s="9"/>
      <c r="T296" s="9">
        <f ca="1">IF(OR($C296="Annual",$D296=$E296),IF(AND($D296=$E296,T$111=$B296+$D296),$M296,IF(AND(T$111&gt;$B296+$D296,T$111&lt;=$B296+$E296), $M296/($E296-$D296),0)), IF(OR(T$111=$B296+$D296,T$111=$B296+$E296),$M296/(($E296-$D296)*2),IF(AND(T$111&gt;$B296+$D296,T$111&lt;$B296+$E296),$M296/($E296-$D296),0)))</f>
        <v>0</v>
      </c>
      <c r="U296" s="9"/>
      <c r="V296" s="9"/>
      <c r="W296" s="9"/>
      <c r="X296" s="9"/>
      <c r="Y296" s="9"/>
      <c r="Z296" s="9"/>
      <c r="AA296" s="9">
        <f t="shared" si="87"/>
        <v>0</v>
      </c>
    </row>
    <row r="297" spans="1:27">
      <c r="A297" s="8"/>
      <c r="B297" s="7"/>
      <c r="C297" s="7"/>
      <c r="D297" s="7"/>
      <c r="E297" s="7"/>
      <c r="F297" s="15"/>
      <c r="H297" s="9"/>
      <c r="I297" s="9"/>
      <c r="J297" s="9"/>
      <c r="K297" s="9"/>
      <c r="L297" s="9"/>
      <c r="M297" s="9"/>
      <c r="N297" s="9"/>
      <c r="O297" s="278"/>
      <c r="P297" s="10"/>
      <c r="Q297" s="10"/>
      <c r="R297" s="10"/>
      <c r="S297" s="10"/>
      <c r="T297" s="10"/>
      <c r="U297" s="9"/>
      <c r="V297" s="10"/>
      <c r="W297" s="10"/>
      <c r="X297" s="10"/>
      <c r="Y297" s="10"/>
      <c r="Z297" s="10"/>
      <c r="AA297" s="10"/>
    </row>
    <row r="298" spans="1:27" s="1150" customFormat="1">
      <c r="A298" s="1347" t="str">
        <f>'Input 4 - Forecast'!A87</f>
        <v>ZERO-COUPON BOND</v>
      </c>
      <c r="B298" s="1348">
        <f>B119</f>
        <v>2018</v>
      </c>
      <c r="C298" s="1348"/>
      <c r="D298" s="1348">
        <f>$J106</f>
        <v>0</v>
      </c>
      <c r="E298" s="1348">
        <f>$K106</f>
        <v>0</v>
      </c>
      <c r="F298" s="1349">
        <f>$L$106</f>
        <v>0</v>
      </c>
      <c r="H298" s="1350">
        <f>$B$106/$B$31</f>
        <v>0</v>
      </c>
      <c r="I298" s="1350">
        <f>H298-P298</f>
        <v>0</v>
      </c>
      <c r="J298" s="1350">
        <f>I298-Q298</f>
        <v>0</v>
      </c>
      <c r="K298" s="1350">
        <f>J298-R298</f>
        <v>0</v>
      </c>
      <c r="L298" s="1350">
        <f>K298-S298</f>
        <v>0</v>
      </c>
      <c r="M298" s="1350">
        <f>L298-T298</f>
        <v>0</v>
      </c>
      <c r="N298" s="1350"/>
      <c r="O298" s="1350">
        <f t="shared" ref="O298:T298" si="89">IF($D298=$E298,IF(O$111=$B298+$E298,$H298,0),0)</f>
        <v>0</v>
      </c>
      <c r="P298" s="1350">
        <f t="shared" si="89"/>
        <v>0</v>
      </c>
      <c r="Q298" s="1350">
        <f t="shared" si="89"/>
        <v>0</v>
      </c>
      <c r="R298" s="1350">
        <f t="shared" si="89"/>
        <v>0</v>
      </c>
      <c r="S298" s="1350">
        <f t="shared" si="89"/>
        <v>0</v>
      </c>
      <c r="T298" s="1350">
        <f t="shared" si="89"/>
        <v>0</v>
      </c>
      <c r="U298" s="1350"/>
      <c r="V298" s="1350">
        <f t="shared" ref="V298:AA298" si="90">IF(V$111-$B298=$D298,$H298*(((1+$F298)^$D298)-1),0)</f>
        <v>0</v>
      </c>
      <c r="W298" s="1350">
        <f t="shared" si="90"/>
        <v>0</v>
      </c>
      <c r="X298" s="1350">
        <f t="shared" si="90"/>
        <v>0</v>
      </c>
      <c r="Y298" s="1350">
        <f t="shared" si="90"/>
        <v>0</v>
      </c>
      <c r="Z298" s="1350">
        <f t="shared" si="90"/>
        <v>0</v>
      </c>
      <c r="AA298" s="1350">
        <f t="shared" si="90"/>
        <v>0</v>
      </c>
    </row>
    <row r="299" spans="1:27" s="1150" customFormat="1">
      <c r="A299" s="1347" t="str">
        <f>A298</f>
        <v>ZERO-COUPON BOND</v>
      </c>
      <c r="B299" s="1348">
        <f>B298+1</f>
        <v>2019</v>
      </c>
      <c r="C299" s="1348"/>
      <c r="D299" s="1348">
        <f t="shared" ref="D299:E303" si="91">D298</f>
        <v>0</v>
      </c>
      <c r="E299" s="1348">
        <f t="shared" si="91"/>
        <v>0</v>
      </c>
      <c r="F299" s="1349">
        <f>$M$106</f>
        <v>2.5000000000000001E-3</v>
      </c>
      <c r="H299" s="1350"/>
      <c r="I299" s="1350">
        <f ca="1">$C$106/$C$31</f>
        <v>0</v>
      </c>
      <c r="J299" s="1350">
        <f ca="1">I299-Q299</f>
        <v>0</v>
      </c>
      <c r="K299" s="1350">
        <f ca="1">J299-R299</f>
        <v>0</v>
      </c>
      <c r="L299" s="1350">
        <f ca="1">K299-S299</f>
        <v>0</v>
      </c>
      <c r="M299" s="1350">
        <f ca="1">L299-T299</f>
        <v>0</v>
      </c>
      <c r="N299" s="1350"/>
      <c r="O299" s="1351"/>
      <c r="P299" s="1350">
        <f ca="1">IF($D299=$E299,IF(P$111=$B299+$E299,$I299,0),0)</f>
        <v>0</v>
      </c>
      <c r="Q299" s="1350">
        <f>IF($D299=$E299,IF(Q$111=$B299+$E299,$I299,0),0)</f>
        <v>0</v>
      </c>
      <c r="R299" s="1350">
        <f>IF($D299=$E299,IF(R$111=$B299+$E299,$I299,0),0)</f>
        <v>0</v>
      </c>
      <c r="S299" s="1350">
        <f>IF($D299=$E299,IF(S$111=$B299+$E299,$I299,0),0)</f>
        <v>0</v>
      </c>
      <c r="T299" s="1350">
        <f>IF($D299=$E299,IF(T$111=$B299+$E299,$I299,0),0)</f>
        <v>0</v>
      </c>
      <c r="U299" s="1350"/>
      <c r="V299" s="1350"/>
      <c r="W299" s="1350">
        <f ca="1">IF(W$111-$B299=$D299,$I299*(((1+$F299)^$D299)-1),0)</f>
        <v>0</v>
      </c>
      <c r="X299" s="1350">
        <f>IF(X$111-$B299=$D299,$I299*(((1+$F299)^$D299)-1),0)</f>
        <v>0</v>
      </c>
      <c r="Y299" s="1350">
        <f>IF(Y$111-$B299=$D299,$I299*(((1+$F299)^$D299)-1),0)</f>
        <v>0</v>
      </c>
      <c r="Z299" s="1350">
        <f>IF(Z$111-$B299=$D299,$I299*(((1+$F299)^$D299)-1),0)</f>
        <v>0</v>
      </c>
      <c r="AA299" s="1350">
        <f>IF(AA$111-$B299=$D299,$I299*(((1+$F299)^$D299)-1),0)</f>
        <v>0</v>
      </c>
    </row>
    <row r="300" spans="1:27" s="1150" customFormat="1">
      <c r="A300" s="1347" t="str">
        <f>A299</f>
        <v>ZERO-COUPON BOND</v>
      </c>
      <c r="B300" s="1348">
        <f>B299+1</f>
        <v>2020</v>
      </c>
      <c r="C300" s="1348"/>
      <c r="D300" s="1348">
        <f t="shared" si="91"/>
        <v>0</v>
      </c>
      <c r="E300" s="1348">
        <f t="shared" si="91"/>
        <v>0</v>
      </c>
      <c r="F300" s="1349">
        <f>$N$106</f>
        <v>2.5000000000000001E-3</v>
      </c>
      <c r="H300" s="1350"/>
      <c r="I300" s="1350"/>
      <c r="J300" s="1350">
        <f ca="1">$D$106/$D$31</f>
        <v>0</v>
      </c>
      <c r="K300" s="1350">
        <f ca="1">J300-R300</f>
        <v>0</v>
      </c>
      <c r="L300" s="1350">
        <f ca="1">K300-S300</f>
        <v>0</v>
      </c>
      <c r="M300" s="1350">
        <f ca="1">L300-T300</f>
        <v>0</v>
      </c>
      <c r="N300" s="1350"/>
      <c r="O300" s="1351"/>
      <c r="P300" s="1350"/>
      <c r="Q300" s="1350">
        <f ca="1">IF($D300=$E300,IF(Q$111=$B300+$E300,$J300,0),0)</f>
        <v>0</v>
      </c>
      <c r="R300" s="1350">
        <f>IF($D300=$E300,IF(R$111=$B300+$E300,$J300,0),0)</f>
        <v>0</v>
      </c>
      <c r="S300" s="1350">
        <f>IF($D300=$E300,IF(S$111=$B300+$E300,$J300,0),0)</f>
        <v>0</v>
      </c>
      <c r="T300" s="1350">
        <f>IF($D300=$E300,IF(T$111=$B300+$E300,$J300,0),0)</f>
        <v>0</v>
      </c>
      <c r="U300" s="1350"/>
      <c r="V300" s="1350"/>
      <c r="W300" s="1350"/>
      <c r="X300" s="1350">
        <f ca="1">IF(X$111-$B300=$D300,$J300*(((1+$F300)^$D300)-1),0)</f>
        <v>0</v>
      </c>
      <c r="Y300" s="1350">
        <f>IF(Y$111-$B300=$D300,$J300*(((1+$F300)^$D300)-1),0)</f>
        <v>0</v>
      </c>
      <c r="Z300" s="1350">
        <f>IF(Z$111-$B300=$D300,$J300*(((1+$F300)^$D300)-1),0)</f>
        <v>0</v>
      </c>
      <c r="AA300" s="1350">
        <f>IF(AA$111-$B300=$D300,$J300*(((1+$F300)^$D300)-1),0)</f>
        <v>0</v>
      </c>
    </row>
    <row r="301" spans="1:27" s="1150" customFormat="1">
      <c r="A301" s="1347" t="str">
        <f>A300</f>
        <v>ZERO-COUPON BOND</v>
      </c>
      <c r="B301" s="1348">
        <f>B300+1</f>
        <v>2021</v>
      </c>
      <c r="C301" s="1348"/>
      <c r="D301" s="1348">
        <f t="shared" si="91"/>
        <v>0</v>
      </c>
      <c r="E301" s="1348">
        <f t="shared" si="91"/>
        <v>0</v>
      </c>
      <c r="F301" s="1349">
        <f>$O$106</f>
        <v>2.5000000000000001E-3</v>
      </c>
      <c r="H301" s="1350"/>
      <c r="I301" s="1350"/>
      <c r="J301" s="1350"/>
      <c r="K301" s="1350">
        <f ca="1">$E$106/$E$31</f>
        <v>0</v>
      </c>
      <c r="L301" s="1350">
        <f ca="1">K301-S301</f>
        <v>0</v>
      </c>
      <c r="M301" s="1350">
        <f ca="1">L301-T301</f>
        <v>0</v>
      </c>
      <c r="N301" s="1350"/>
      <c r="O301" s="1351"/>
      <c r="P301" s="1350"/>
      <c r="Q301" s="1350"/>
      <c r="R301" s="1350">
        <f ca="1">IF($D301=$E301,IF(R$111=$B301+$E301,$K301,0),0)</f>
        <v>0</v>
      </c>
      <c r="S301" s="1350">
        <f>IF($D301=$E301,IF(S$111=$B301+$E301,$K301,0),0)</f>
        <v>0</v>
      </c>
      <c r="T301" s="1350">
        <f>IF($D301=$E301,IF(T$111=$B301+$E301,$K301,0),0)</f>
        <v>0</v>
      </c>
      <c r="U301" s="1350"/>
      <c r="V301" s="1350"/>
      <c r="W301" s="1350"/>
      <c r="X301" s="1350"/>
      <c r="Y301" s="1350">
        <f ca="1">IF(Y$111-$B301=$D301,$K301*(((1+$F301)^$D301)-1),0)</f>
        <v>0</v>
      </c>
      <c r="Z301" s="1350">
        <f>IF(Z$111-$B301=$D301,$K301*(((1+$F301)^$D301)-1),0)</f>
        <v>0</v>
      </c>
      <c r="AA301" s="1350">
        <f>IF(AA$111-$B301=$D301,$K301*(((1+$F301)^$D301)-1),0)</f>
        <v>0</v>
      </c>
    </row>
    <row r="302" spans="1:27" s="1150" customFormat="1">
      <c r="A302" s="1347" t="str">
        <f>A301</f>
        <v>ZERO-COUPON BOND</v>
      </c>
      <c r="B302" s="1348">
        <f>B301+1</f>
        <v>2022</v>
      </c>
      <c r="C302" s="1348"/>
      <c r="D302" s="1348">
        <f t="shared" si="91"/>
        <v>0</v>
      </c>
      <c r="E302" s="1348">
        <f t="shared" si="91"/>
        <v>0</v>
      </c>
      <c r="F302" s="1349">
        <f>$P$106</f>
        <v>2.5000000000000001E-3</v>
      </c>
      <c r="H302" s="1350"/>
      <c r="I302" s="1350"/>
      <c r="J302" s="1350"/>
      <c r="K302" s="1350"/>
      <c r="L302" s="1350">
        <f ca="1">$F$106/$F$31</f>
        <v>0</v>
      </c>
      <c r="M302" s="1350">
        <f ca="1">L302-T302</f>
        <v>0</v>
      </c>
      <c r="N302" s="1350"/>
      <c r="O302" s="1351"/>
      <c r="P302" s="1350"/>
      <c r="Q302" s="1350"/>
      <c r="R302" s="1350"/>
      <c r="S302" s="1350">
        <f ca="1">IF($D302=$E302,IF(S$111=$B302+$E302,$L302,0),0)</f>
        <v>0</v>
      </c>
      <c r="T302" s="1350">
        <f>IF($D302=$E302,IF(T$111=$B302+$E302,$L302,0),0)</f>
        <v>0</v>
      </c>
      <c r="U302" s="1350"/>
      <c r="V302" s="1350"/>
      <c r="W302" s="1350"/>
      <c r="X302" s="1350"/>
      <c r="Y302" s="1350"/>
      <c r="Z302" s="1350">
        <f ca="1">IF(Z$111-$B302=$D302,$L302*(((1+$F302)^$D302)-1),0)</f>
        <v>0</v>
      </c>
      <c r="AA302" s="1350">
        <f>IF(AA$111-$B302=$D302,$L302*(((1+$F302)^$D302)-1),0)</f>
        <v>0</v>
      </c>
    </row>
    <row r="303" spans="1:27" s="1150" customFormat="1">
      <c r="A303" s="1347" t="str">
        <f>A302</f>
        <v>ZERO-COUPON BOND</v>
      </c>
      <c r="B303" s="1348">
        <f>B302+1</f>
        <v>2023</v>
      </c>
      <c r="C303" s="1348"/>
      <c r="D303" s="1348">
        <f t="shared" si="91"/>
        <v>0</v>
      </c>
      <c r="E303" s="1348">
        <f t="shared" si="91"/>
        <v>0</v>
      </c>
      <c r="F303" s="1349">
        <f>$Q$106</f>
        <v>2.5000000000000001E-3</v>
      </c>
      <c r="H303" s="1350"/>
      <c r="I303" s="1350"/>
      <c r="J303" s="1350"/>
      <c r="K303" s="1350"/>
      <c r="L303" s="1350"/>
      <c r="M303" s="1350">
        <f ca="1">$G$106/$G$31</f>
        <v>0</v>
      </c>
      <c r="N303" s="1350"/>
      <c r="O303" s="1351"/>
      <c r="P303" s="1350"/>
      <c r="Q303" s="1350"/>
      <c r="R303" s="1350"/>
      <c r="S303" s="1350"/>
      <c r="T303" s="1350">
        <f ca="1">IF($D303=$E303,IF(T$111=$B303+$E303,$M303,0),0)</f>
        <v>0</v>
      </c>
      <c r="U303" s="1350"/>
      <c r="V303" s="1350"/>
      <c r="W303" s="1350"/>
      <c r="X303" s="1350"/>
      <c r="Y303" s="1350"/>
      <c r="Z303" s="1350"/>
      <c r="AA303" s="1350">
        <f ca="1">IF(AA$111-$B303=$D303,$M303*(((1+$F303)^$D303)-1),0)</f>
        <v>0</v>
      </c>
    </row>
    <row r="304" spans="1:27" ht="15.75" thickBot="1">
      <c r="H304" s="10"/>
      <c r="I304" s="10"/>
      <c r="J304" s="10"/>
      <c r="K304" s="10"/>
      <c r="L304" s="10"/>
      <c r="M304" s="10"/>
      <c r="N304" s="10"/>
      <c r="O304" s="10"/>
      <c r="P304" s="10"/>
      <c r="Q304" s="10"/>
      <c r="R304" s="10"/>
      <c r="S304" s="10"/>
      <c r="T304" s="10"/>
      <c r="U304" s="10"/>
      <c r="V304" s="10"/>
      <c r="W304" s="10"/>
      <c r="X304" s="10"/>
      <c r="Y304" s="10"/>
      <c r="Z304" s="10"/>
      <c r="AA304" s="10"/>
    </row>
    <row r="305" spans="1:27" ht="15.75" thickBot="1">
      <c r="B305" s="1999" t="s">
        <v>51</v>
      </c>
      <c r="C305" s="2000"/>
      <c r="D305" s="2000"/>
      <c r="E305" s="2000"/>
      <c r="F305" s="2000"/>
      <c r="G305" s="2000"/>
      <c r="H305" s="2000"/>
      <c r="I305" s="2000"/>
      <c r="J305" s="2000"/>
      <c r="K305" s="2000"/>
      <c r="L305" s="2000"/>
      <c r="M305" s="2000"/>
      <c r="N305" s="2000"/>
      <c r="O305" s="2000"/>
      <c r="P305" s="2000"/>
      <c r="Q305" s="2000"/>
      <c r="R305" s="2000"/>
      <c r="S305" s="2000"/>
      <c r="T305" s="2000"/>
      <c r="U305" s="2000"/>
      <c r="V305" s="2000"/>
      <c r="W305" s="2000"/>
      <c r="X305" s="2000"/>
      <c r="Y305" s="2000"/>
      <c r="Z305" s="2000"/>
      <c r="AA305" s="2001"/>
    </row>
    <row r="306" spans="1:27">
      <c r="H306" s="10"/>
      <c r="I306" s="10"/>
      <c r="J306" s="10"/>
      <c r="K306" s="10"/>
      <c r="L306" s="10"/>
      <c r="M306" s="10"/>
      <c r="N306" s="10"/>
      <c r="O306" s="10"/>
      <c r="P306" s="10"/>
      <c r="Q306" s="10"/>
      <c r="R306" s="10"/>
      <c r="S306" s="10"/>
      <c r="T306" s="10"/>
      <c r="U306" s="10"/>
      <c r="V306" s="10"/>
      <c r="W306" s="10"/>
      <c r="X306" s="10"/>
      <c r="Y306" s="10"/>
      <c r="Z306" s="10"/>
      <c r="AA306" s="10"/>
    </row>
    <row r="307" spans="1:27">
      <c r="A307" s="16" t="str">
        <f>'Input 4 - Forecast'!A89</f>
        <v>Domestic Residual Financing (annual payments, no interest or amortization in current year)</v>
      </c>
      <c r="B307" s="7">
        <f>B119</f>
        <v>2018</v>
      </c>
      <c r="C307" s="7"/>
      <c r="D307" s="7">
        <f>$J108</f>
        <v>1</v>
      </c>
      <c r="E307" s="7">
        <f>$K108</f>
        <v>1</v>
      </c>
      <c r="F307" s="14">
        <f>$L$108</f>
        <v>0</v>
      </c>
      <c r="H307" s="9">
        <f>$B$108</f>
        <v>-267.59452840452661</v>
      </c>
      <c r="I307" s="9">
        <f>H307-P307</f>
        <v>0</v>
      </c>
      <c r="J307" s="9">
        <f>I307-Q307</f>
        <v>0</v>
      </c>
      <c r="K307" s="9">
        <f>J307-R307</f>
        <v>0</v>
      </c>
      <c r="L307" s="9">
        <f>K307-S307</f>
        <v>0</v>
      </c>
      <c r="M307" s="9">
        <f>L307-T307</f>
        <v>0</v>
      </c>
      <c r="N307" s="9"/>
      <c r="O307" s="9">
        <v>0</v>
      </c>
      <c r="P307" s="9">
        <f>H307</f>
        <v>-267.59452840452661</v>
      </c>
      <c r="Q307" s="9">
        <v>0</v>
      </c>
      <c r="R307" s="9">
        <v>0</v>
      </c>
      <c r="S307" s="9">
        <v>0</v>
      </c>
      <c r="T307" s="9">
        <v>0</v>
      </c>
      <c r="U307" s="9"/>
      <c r="V307" s="9">
        <v>0</v>
      </c>
      <c r="W307" s="9">
        <f>H307*$F307</f>
        <v>0</v>
      </c>
      <c r="X307" s="9">
        <f t="shared" ref="X307:AA309" si="92">I307*$F307</f>
        <v>0</v>
      </c>
      <c r="Y307" s="9">
        <f t="shared" si="92"/>
        <v>0</v>
      </c>
      <c r="Z307" s="9">
        <f t="shared" si="92"/>
        <v>0</v>
      </c>
      <c r="AA307" s="9">
        <f t="shared" si="92"/>
        <v>0</v>
      </c>
    </row>
    <row r="308" spans="1:27">
      <c r="B308" s="7">
        <f>B307+1</f>
        <v>2019</v>
      </c>
      <c r="C308" s="7"/>
      <c r="D308" s="7">
        <f t="shared" ref="D308:E312" si="93">D307</f>
        <v>1</v>
      </c>
      <c r="E308" s="7">
        <f t="shared" si="93"/>
        <v>1</v>
      </c>
      <c r="F308" s="14">
        <f>$M$108</f>
        <v>2.5000000000000001E-3</v>
      </c>
      <c r="H308" s="9"/>
      <c r="I308" s="9">
        <f ca="1">$C$108</f>
        <v>3069.0374192458439</v>
      </c>
      <c r="J308" s="9">
        <f ca="1">I308-Q308</f>
        <v>0</v>
      </c>
      <c r="K308" s="9">
        <f ca="1">J308-R308</f>
        <v>0</v>
      </c>
      <c r="L308" s="9">
        <f ca="1">K308-S308</f>
        <v>0</v>
      </c>
      <c r="M308" s="9">
        <f ca="1">L308-T308</f>
        <v>0</v>
      </c>
      <c r="O308" s="9"/>
      <c r="P308" s="9">
        <v>0</v>
      </c>
      <c r="Q308" s="9">
        <f ca="1">I308</f>
        <v>3069.0374192458439</v>
      </c>
      <c r="R308" s="9">
        <v>0</v>
      </c>
      <c r="S308" s="9">
        <v>0</v>
      </c>
      <c r="T308" s="9">
        <v>0</v>
      </c>
      <c r="V308" s="9"/>
      <c r="W308" s="9">
        <v>0</v>
      </c>
      <c r="X308" s="9">
        <f ca="1">I308*$F308</f>
        <v>107.41630967360454</v>
      </c>
      <c r="Y308" s="9">
        <f t="shared" ca="1" si="92"/>
        <v>0</v>
      </c>
      <c r="Z308" s="9">
        <f t="shared" ca="1" si="92"/>
        <v>0</v>
      </c>
      <c r="AA308" s="9">
        <f t="shared" ca="1" si="92"/>
        <v>0</v>
      </c>
    </row>
    <row r="309" spans="1:27">
      <c r="B309" s="7">
        <f>B308+1</f>
        <v>2020</v>
      </c>
      <c r="C309" s="7"/>
      <c r="D309" s="7">
        <f t="shared" si="93"/>
        <v>1</v>
      </c>
      <c r="E309" s="7">
        <f t="shared" si="93"/>
        <v>1</v>
      </c>
      <c r="F309" s="14">
        <f>$N$108</f>
        <v>2.5000000000000001E-3</v>
      </c>
      <c r="H309" s="9"/>
      <c r="I309" s="9"/>
      <c r="J309" s="9">
        <f ca="1">$D$108</f>
        <v>6040.3454286555934</v>
      </c>
      <c r="K309" s="9">
        <f ca="1">J309-R309</f>
        <v>0</v>
      </c>
      <c r="L309" s="9">
        <f ca="1">K309-S309</f>
        <v>0</v>
      </c>
      <c r="M309" s="9">
        <f ca="1">L309-T309</f>
        <v>0</v>
      </c>
      <c r="O309" s="9"/>
      <c r="P309" s="9"/>
      <c r="Q309" s="9">
        <v>0</v>
      </c>
      <c r="R309" s="9">
        <f ca="1">J309</f>
        <v>6040.3454286555934</v>
      </c>
      <c r="S309" s="9">
        <v>0</v>
      </c>
      <c r="T309" s="9">
        <v>0</v>
      </c>
      <c r="V309" s="9"/>
      <c r="W309" s="9"/>
      <c r="X309" s="9">
        <v>0</v>
      </c>
      <c r="Y309" s="9">
        <f ca="1">J309*$F309</f>
        <v>211.4120900029458</v>
      </c>
      <c r="Z309" s="9">
        <f t="shared" ca="1" si="92"/>
        <v>0</v>
      </c>
      <c r="AA309" s="9">
        <f t="shared" ca="1" si="92"/>
        <v>0</v>
      </c>
    </row>
    <row r="310" spans="1:27">
      <c r="B310" s="7">
        <f>B309+1</f>
        <v>2021</v>
      </c>
      <c r="C310" s="7"/>
      <c r="D310" s="7">
        <f t="shared" si="93"/>
        <v>1</v>
      </c>
      <c r="E310" s="7">
        <f t="shared" si="93"/>
        <v>1</v>
      </c>
      <c r="F310" s="14">
        <f>$O$108</f>
        <v>2.5000000000000001E-3</v>
      </c>
      <c r="H310" s="9"/>
      <c r="I310" s="9"/>
      <c r="J310" s="9"/>
      <c r="K310" s="9">
        <f ca="1">$E$108</f>
        <v>9277.5929550873534</v>
      </c>
      <c r="L310" s="9">
        <f ca="1">K310-S310</f>
        <v>0</v>
      </c>
      <c r="M310" s="9">
        <f ca="1">L310-T310</f>
        <v>0</v>
      </c>
      <c r="O310" s="9"/>
      <c r="P310" s="9"/>
      <c r="Q310" s="9"/>
      <c r="R310" s="9">
        <v>0</v>
      </c>
      <c r="S310" s="9">
        <f ca="1">K310</f>
        <v>9277.5929550873534</v>
      </c>
      <c r="T310" s="9">
        <v>0</v>
      </c>
      <c r="V310" s="9"/>
      <c r="W310" s="9"/>
      <c r="X310" s="9"/>
      <c r="Y310" s="9">
        <v>0</v>
      </c>
      <c r="Z310" s="9">
        <f ca="1">K310*$F310</f>
        <v>347.90973581577583</v>
      </c>
      <c r="AA310" s="9">
        <f ca="1">L310*$F310</f>
        <v>0</v>
      </c>
    </row>
    <row r="311" spans="1:27">
      <c r="B311" s="7">
        <f>B310+1</f>
        <v>2022</v>
      </c>
      <c r="C311" s="7"/>
      <c r="D311" s="7">
        <f t="shared" si="93"/>
        <v>1</v>
      </c>
      <c r="E311" s="7">
        <f t="shared" si="93"/>
        <v>1</v>
      </c>
      <c r="F311" s="14">
        <f>$P$108</f>
        <v>2.5000000000000001E-3</v>
      </c>
      <c r="H311" s="9"/>
      <c r="I311" s="9"/>
      <c r="J311" s="9"/>
      <c r="K311" s="9"/>
      <c r="L311" s="9">
        <f ca="1">$F$108</f>
        <v>11544.001879088615</v>
      </c>
      <c r="M311" s="9">
        <f ca="1">L311-T311</f>
        <v>0</v>
      </c>
      <c r="O311" s="9"/>
      <c r="P311" s="9"/>
      <c r="Q311" s="9"/>
      <c r="R311" s="9"/>
      <c r="S311" s="9">
        <v>0</v>
      </c>
      <c r="T311" s="9">
        <f ca="1">L311</f>
        <v>11544.001879088615</v>
      </c>
      <c r="V311" s="9"/>
      <c r="W311" s="9"/>
      <c r="X311" s="9"/>
      <c r="Y311" s="9"/>
      <c r="Z311" s="9">
        <v>0</v>
      </c>
      <c r="AA311" s="9">
        <f ca="1">L311*$F311</f>
        <v>432.90007046582315</v>
      </c>
    </row>
    <row r="312" spans="1:27">
      <c r="B312" s="7">
        <f>B311+1</f>
        <v>2023</v>
      </c>
      <c r="C312" s="7"/>
      <c r="D312" s="7">
        <f t="shared" si="93"/>
        <v>1</v>
      </c>
      <c r="E312" s="7">
        <f t="shared" si="93"/>
        <v>1</v>
      </c>
      <c r="F312" s="14">
        <f>$Q$108</f>
        <v>2.5000000000000001E-3</v>
      </c>
      <c r="H312" s="9"/>
      <c r="I312" s="9"/>
      <c r="J312" s="9"/>
      <c r="K312" s="9"/>
      <c r="L312" s="9"/>
      <c r="M312" s="9">
        <f ca="1">$G$108</f>
        <v>13704.204950646601</v>
      </c>
      <c r="O312" s="9"/>
      <c r="P312" s="9"/>
      <c r="Q312" s="9"/>
      <c r="R312" s="9"/>
      <c r="S312" s="9"/>
      <c r="T312" s="9">
        <v>0</v>
      </c>
      <c r="V312" s="9"/>
      <c r="W312" s="9"/>
      <c r="X312" s="9"/>
      <c r="Y312" s="9"/>
      <c r="Z312" s="9"/>
      <c r="AA312" s="9">
        <v>0</v>
      </c>
    </row>
    <row r="313" spans="1:27">
      <c r="B313" s="7"/>
      <c r="D313" s="7"/>
      <c r="E313" s="14"/>
      <c r="G313" s="9"/>
      <c r="H313" s="9"/>
      <c r="I313" s="9"/>
      <c r="J313" s="9"/>
      <c r="K313" s="9"/>
      <c r="L313" s="9"/>
      <c r="N313" s="89"/>
      <c r="O313" s="9"/>
      <c r="P313" s="9"/>
      <c r="Q313" s="9"/>
      <c r="R313" s="9"/>
      <c r="S313" s="9"/>
      <c r="U313" s="9"/>
      <c r="V313" s="9"/>
      <c r="W313" s="9"/>
      <c r="X313" s="9"/>
      <c r="Y313" s="9"/>
      <c r="Z313" s="9"/>
    </row>
    <row r="314" spans="1:27">
      <c r="B314" s="7"/>
      <c r="C314" s="7"/>
      <c r="D314" s="7"/>
      <c r="E314" s="14"/>
      <c r="G314" s="9"/>
      <c r="H314" s="9"/>
      <c r="I314" s="9"/>
      <c r="J314" s="9"/>
      <c r="K314" s="9"/>
      <c r="L314" s="9"/>
      <c r="N314" s="89"/>
      <c r="O314" s="9"/>
      <c r="P314" s="9"/>
      <c r="Q314" s="9"/>
      <c r="R314" s="9"/>
      <c r="S314" s="9"/>
      <c r="U314" s="9"/>
      <c r="V314" s="9"/>
      <c r="W314" s="9"/>
      <c r="X314" s="9"/>
      <c r="Y314" s="9"/>
      <c r="Z314" s="9"/>
    </row>
    <row r="315" spans="1:27">
      <c r="A315" s="8"/>
      <c r="B315" s="7"/>
    </row>
  </sheetData>
  <mergeCells count="14">
    <mergeCell ref="B268:AA268"/>
    <mergeCell ref="B305:AA305"/>
    <mergeCell ref="B126:AA126"/>
    <mergeCell ref="B136:AA136"/>
    <mergeCell ref="B173:AA173"/>
    <mergeCell ref="B212:AA212"/>
    <mergeCell ref="B221:AA221"/>
    <mergeCell ref="B231:AA231"/>
    <mergeCell ref="B117:AA117"/>
    <mergeCell ref="B73:G73"/>
    <mergeCell ref="B112:F112"/>
    <mergeCell ref="H112:M112"/>
    <mergeCell ref="O112:T112"/>
    <mergeCell ref="V112:AA112"/>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FFFF00"/>
    <pageSetUpPr autoPageBreaks="0"/>
  </sheetPr>
  <dimension ref="A1:V124"/>
  <sheetViews>
    <sheetView zoomScale="70" zoomScaleNormal="70" workbookViewId="0">
      <pane ySplit="1" topLeftCell="A2" activePane="bottomLeft" state="frozen"/>
      <selection activeCell="A107" sqref="A107:XFD137"/>
      <selection pane="bottomLeft" activeCell="A2" sqref="A2"/>
    </sheetView>
  </sheetViews>
  <sheetFormatPr defaultColWidth="9.140625" defaultRowHeight="15.75"/>
  <cols>
    <col min="1" max="1" width="19.85546875" style="516" customWidth="1"/>
    <col min="2" max="2" width="14" style="516" customWidth="1"/>
    <col min="3" max="3" width="52" style="308" customWidth="1"/>
    <col min="4" max="4" width="73.28515625" style="288" customWidth="1"/>
    <col min="5" max="22" width="11.7109375" style="288" customWidth="1"/>
    <col min="23" max="23" width="9.140625" style="288" customWidth="1"/>
    <col min="24" max="16384" width="9.140625" style="288"/>
  </cols>
  <sheetData>
    <row r="1" spans="1:22" s="1733" customFormat="1" ht="32.25" customHeight="1">
      <c r="A1" s="1907" t="s">
        <v>1147</v>
      </c>
      <c r="B1" s="1907"/>
      <c r="C1" s="1907"/>
      <c r="D1" s="1907"/>
      <c r="E1" s="96"/>
      <c r="F1" s="96"/>
      <c r="G1" s="96"/>
      <c r="H1" s="96"/>
      <c r="I1" s="96"/>
      <c r="J1" s="96"/>
      <c r="K1" s="96"/>
      <c r="L1" s="96"/>
      <c r="M1" s="96"/>
      <c r="N1" s="96"/>
      <c r="O1" s="96"/>
    </row>
    <row r="2" spans="1:22" s="516" customFormat="1" ht="39.950000000000003" customHeight="1" thickBot="1">
      <c r="C2" s="357"/>
      <c r="Q2" s="460" t="s">
        <v>16</v>
      </c>
    </row>
    <row r="3" spans="1:22" s="533" customFormat="1" ht="39.950000000000003" customHeight="1" thickBot="1">
      <c r="A3" s="1726" t="s">
        <v>168</v>
      </c>
      <c r="B3" s="1727" t="s">
        <v>282</v>
      </c>
      <c r="C3" s="1727" t="s">
        <v>1042</v>
      </c>
      <c r="D3" s="1728" t="s">
        <v>765</v>
      </c>
      <c r="E3" s="544">
        <f t="shared" ref="E3:O3" si="0">F3-1</f>
        <v>2006</v>
      </c>
      <c r="F3" s="545">
        <f t="shared" si="0"/>
        <v>2007</v>
      </c>
      <c r="G3" s="545">
        <f t="shared" si="0"/>
        <v>2008</v>
      </c>
      <c r="H3" s="545">
        <f t="shared" si="0"/>
        <v>2009</v>
      </c>
      <c r="I3" s="545">
        <f t="shared" si="0"/>
        <v>2010</v>
      </c>
      <c r="J3" s="545">
        <f t="shared" si="0"/>
        <v>2011</v>
      </c>
      <c r="K3" s="545">
        <f t="shared" si="0"/>
        <v>2012</v>
      </c>
      <c r="L3" s="545">
        <f t="shared" si="0"/>
        <v>2013</v>
      </c>
      <c r="M3" s="545">
        <f t="shared" si="0"/>
        <v>2014</v>
      </c>
      <c r="N3" s="545">
        <f t="shared" si="0"/>
        <v>2015</v>
      </c>
      <c r="O3" s="545">
        <f t="shared" si="0"/>
        <v>2016</v>
      </c>
      <c r="P3" s="546">
        <f>Q3-1</f>
        <v>2017</v>
      </c>
      <c r="Q3" s="292">
        <f>FirstYear</f>
        <v>2018</v>
      </c>
      <c r="R3" s="547">
        <f>Q3+1</f>
        <v>2019</v>
      </c>
      <c r="S3" s="548">
        <f>R3+1</f>
        <v>2020</v>
      </c>
      <c r="T3" s="548">
        <f>S3+1</f>
        <v>2021</v>
      </c>
      <c r="U3" s="548">
        <f>T3+1</f>
        <v>2022</v>
      </c>
      <c r="V3" s="549">
        <f>U3+1</f>
        <v>2023</v>
      </c>
    </row>
    <row r="4" spans="1:22" s="424" customFormat="1" ht="5.0999999999999996" customHeight="1" thickBot="1">
      <c r="C4" s="1714"/>
      <c r="D4" s="362"/>
      <c r="E4" s="517"/>
      <c r="F4" s="517"/>
      <c r="G4" s="517"/>
      <c r="H4" s="517"/>
      <c r="I4" s="517"/>
      <c r="J4" s="517"/>
      <c r="K4" s="517"/>
      <c r="L4" s="517"/>
      <c r="M4" s="517"/>
      <c r="N4" s="517"/>
      <c r="O4" s="517"/>
      <c r="P4" s="517"/>
      <c r="Q4" s="517"/>
      <c r="R4" s="517"/>
      <c r="S4" s="517"/>
      <c r="T4" s="517"/>
      <c r="U4" s="517"/>
      <c r="V4" s="517"/>
    </row>
    <row r="5" spans="1:22" s="516" customFormat="1">
      <c r="A5" s="538" t="s">
        <v>283</v>
      </c>
      <c r="B5" s="534" t="str">
        <f>Scale</f>
        <v>Millions</v>
      </c>
      <c r="C5" s="1729"/>
      <c r="D5" s="1736" t="s">
        <v>338</v>
      </c>
      <c r="E5" s="1715">
        <v>20565.664000000001</v>
      </c>
      <c r="F5" s="1716">
        <v>22617.967000000001</v>
      </c>
      <c r="G5" s="1716">
        <v>21815.562000000002</v>
      </c>
      <c r="H5" s="1716">
        <v>18673.752</v>
      </c>
      <c r="I5" s="1716">
        <v>17937.881000000001</v>
      </c>
      <c r="J5" s="1716">
        <v>19082.501</v>
      </c>
      <c r="K5" s="1716">
        <v>19852.409</v>
      </c>
      <c r="L5" s="1716">
        <v>20334.793000000001</v>
      </c>
      <c r="M5" s="1716">
        <v>20712.663</v>
      </c>
      <c r="N5" s="1716">
        <v>21328.182000000001</v>
      </c>
      <c r="O5" s="1716">
        <v>21768.476999999999</v>
      </c>
      <c r="P5" s="1716">
        <v>22777.768</v>
      </c>
      <c r="Q5" s="1715">
        <v>23864.203000000001</v>
      </c>
      <c r="R5" s="1716">
        <v>24620.374507041077</v>
      </c>
      <c r="S5" s="1716">
        <v>25357.683384633368</v>
      </c>
      <c r="T5" s="1716">
        <v>26089.796284769458</v>
      </c>
      <c r="U5" s="1716">
        <v>26855.016191702667</v>
      </c>
      <c r="V5" s="1717">
        <v>27606.956645070342</v>
      </c>
    </row>
    <row r="6" spans="1:22" s="516" customFormat="1">
      <c r="A6" s="539" t="s">
        <v>341</v>
      </c>
      <c r="B6" s="424" t="s">
        <v>340</v>
      </c>
      <c r="C6" s="1730"/>
      <c r="D6" s="1737" t="s">
        <v>1133</v>
      </c>
      <c r="E6" s="1718">
        <v>83.2</v>
      </c>
      <c r="F6" s="1719">
        <v>99.9</v>
      </c>
      <c r="G6" s="1719">
        <v>111.60000000000001</v>
      </c>
      <c r="H6" s="1719">
        <v>100.8</v>
      </c>
      <c r="I6" s="1719">
        <v>100</v>
      </c>
      <c r="J6" s="1719">
        <v>106.4</v>
      </c>
      <c r="K6" s="1719">
        <v>110.2</v>
      </c>
      <c r="L6" s="1719">
        <v>112.1</v>
      </c>
      <c r="M6" s="1719">
        <v>113.99999999999999</v>
      </c>
      <c r="N6" s="1719">
        <v>113.99999999999999</v>
      </c>
      <c r="O6" s="1719">
        <v>114.99999999999999</v>
      </c>
      <c r="P6" s="1719">
        <v>118.7</v>
      </c>
      <c r="Q6" s="1718">
        <v>123.70000000000002</v>
      </c>
      <c r="R6" s="1719">
        <v>127.51707832194421</v>
      </c>
      <c r="S6" s="1719">
        <v>131.07969623687819</v>
      </c>
      <c r="T6" s="1719">
        <v>134.39805290002872</v>
      </c>
      <c r="U6" s="1719">
        <v>137.71065736077003</v>
      </c>
      <c r="V6" s="1720">
        <v>141.15342379478929</v>
      </c>
    </row>
    <row r="7" spans="1:22" s="516" customFormat="1">
      <c r="A7" s="539" t="s">
        <v>283</v>
      </c>
      <c r="B7" s="424" t="str">
        <f>Scale</f>
        <v>Millions</v>
      </c>
      <c r="C7" s="1730"/>
      <c r="D7" s="1737" t="s">
        <v>756</v>
      </c>
      <c r="E7" s="1718">
        <v>17101.855</v>
      </c>
      <c r="F7" s="1719">
        <v>22592.012999999999</v>
      </c>
      <c r="G7" s="1719">
        <v>24351.235000000001</v>
      </c>
      <c r="H7" s="1719">
        <v>18826.593000000001</v>
      </c>
      <c r="I7" s="1719">
        <v>17937.881000000001</v>
      </c>
      <c r="J7" s="1719">
        <v>20302.760999999999</v>
      </c>
      <c r="K7" s="1719">
        <v>21885.613000000001</v>
      </c>
      <c r="L7" s="1719">
        <v>22786.588</v>
      </c>
      <c r="M7" s="1719">
        <v>23618.163</v>
      </c>
      <c r="N7" s="1719">
        <v>24320.324000000001</v>
      </c>
      <c r="O7" s="1719">
        <v>25037.682000000001</v>
      </c>
      <c r="P7" s="1719">
        <v>27033.056</v>
      </c>
      <c r="Q7" s="1718">
        <v>29523.664000000001</v>
      </c>
      <c r="R7" s="1719">
        <v>31399.058662009902</v>
      </c>
      <c r="S7" s="1719">
        <v>33242.878403577437</v>
      </c>
      <c r="T7" s="1719">
        <v>35068.507648449682</v>
      </c>
      <c r="U7" s="1719">
        <v>36986.785592001797</v>
      </c>
      <c r="V7" s="1720">
        <f>V5*(V6/100)</f>
        <v>38968.164510059883</v>
      </c>
    </row>
    <row r="8" spans="1:22" s="516" customFormat="1" ht="32.25" thickBot="1">
      <c r="A8" s="537" t="s">
        <v>283</v>
      </c>
      <c r="B8" s="536" t="str">
        <f>Scale</f>
        <v>Millions</v>
      </c>
      <c r="C8" s="1731" t="s">
        <v>1195</v>
      </c>
      <c r="D8" s="1738" t="s">
        <v>757</v>
      </c>
      <c r="E8" s="1771"/>
      <c r="F8" s="1772"/>
      <c r="G8" s="1772"/>
      <c r="H8" s="1772"/>
      <c r="I8" s="1772"/>
      <c r="J8" s="1772"/>
      <c r="K8" s="1772"/>
      <c r="L8" s="1772"/>
      <c r="M8" s="1772"/>
      <c r="N8" s="1772"/>
      <c r="O8" s="1772"/>
      <c r="P8" s="1772"/>
      <c r="Q8" s="1771"/>
      <c r="R8" s="1772"/>
      <c r="S8" s="1772"/>
      <c r="T8" s="1772"/>
      <c r="U8" s="1772"/>
      <c r="V8" s="1773"/>
    </row>
    <row r="9" spans="1:22" s="424" customFormat="1" ht="5.0999999999999996" customHeight="1" thickBot="1">
      <c r="C9" s="1730"/>
      <c r="D9" s="1739"/>
      <c r="E9" s="517"/>
      <c r="F9" s="517"/>
      <c r="G9" s="517"/>
      <c r="H9" s="517"/>
      <c r="I9" s="517"/>
      <c r="J9" s="517"/>
      <c r="K9" s="517"/>
      <c r="L9" s="517"/>
      <c r="M9" s="517"/>
      <c r="N9" s="517"/>
      <c r="O9" s="517"/>
      <c r="P9" s="517"/>
      <c r="Q9" s="517"/>
      <c r="R9" s="517"/>
      <c r="S9" s="517"/>
      <c r="T9" s="517"/>
      <c r="U9" s="517"/>
      <c r="V9" s="517"/>
    </row>
    <row r="10" spans="1:22" s="516" customFormat="1">
      <c r="A10" s="196" t="s">
        <v>352</v>
      </c>
      <c r="B10" s="543" t="str">
        <f>Scale</f>
        <v>Millions</v>
      </c>
      <c r="C10" s="1729" t="s">
        <v>1148</v>
      </c>
      <c r="D10" s="1736" t="s">
        <v>353</v>
      </c>
      <c r="E10" s="1751"/>
      <c r="F10" s="1751"/>
      <c r="G10" s="1751"/>
      <c r="H10" s="1751"/>
      <c r="I10" s="1751"/>
      <c r="J10" s="1751"/>
      <c r="K10" s="1751"/>
      <c r="L10" s="1751"/>
      <c r="M10" s="1751"/>
      <c r="N10" s="1751"/>
      <c r="O10" s="522"/>
      <c r="P10" s="522"/>
      <c r="Q10" s="1799"/>
      <c r="R10" s="1752"/>
      <c r="S10" s="1752"/>
      <c r="T10" s="1752"/>
      <c r="U10" s="1752"/>
      <c r="V10" s="1753"/>
    </row>
    <row r="11" spans="1:22" s="516" customFormat="1">
      <c r="A11" s="5" t="s">
        <v>342</v>
      </c>
      <c r="B11" s="424" t="s">
        <v>340</v>
      </c>
      <c r="C11" s="1730"/>
      <c r="D11" s="1737" t="s">
        <v>1134</v>
      </c>
      <c r="E11" s="1719">
        <v>1.2556</v>
      </c>
      <c r="F11" s="1719">
        <v>1.3705000000000001</v>
      </c>
      <c r="G11" s="1719">
        <v>1.4708000000000001</v>
      </c>
      <c r="H11" s="1719">
        <v>1.3948</v>
      </c>
      <c r="I11" s="1719">
        <v>1.3257000000000001</v>
      </c>
      <c r="J11" s="1719">
        <v>1.3919999999999999</v>
      </c>
      <c r="K11" s="1719">
        <v>1.2847999999999999</v>
      </c>
      <c r="L11" s="1719">
        <v>1.3281000000000001</v>
      </c>
      <c r="M11" s="1719">
        <v>1.3285</v>
      </c>
      <c r="N11" s="1719">
        <v>1.1094999999999999</v>
      </c>
      <c r="O11" s="1719">
        <v>1.1069</v>
      </c>
      <c r="P11" s="1719">
        <v>1.1296999999999999</v>
      </c>
      <c r="Q11" s="1718">
        <v>1.18</v>
      </c>
      <c r="R11" s="1719">
        <v>1.1399999999999999</v>
      </c>
      <c r="S11" s="1719">
        <v>1.1399999999999999</v>
      </c>
      <c r="T11" s="1719">
        <v>1.1399999999999999</v>
      </c>
      <c r="U11" s="1719">
        <v>1.1399999999999999</v>
      </c>
      <c r="V11" s="1720">
        <v>1.1399999999999999</v>
      </c>
    </row>
    <row r="12" spans="1:22" s="516" customFormat="1">
      <c r="A12" s="539" t="s">
        <v>342</v>
      </c>
      <c r="B12" s="424" t="s">
        <v>340</v>
      </c>
      <c r="C12" s="1730"/>
      <c r="D12" s="1737" t="s">
        <v>1135</v>
      </c>
      <c r="E12" s="1719">
        <v>1.3169999999999999</v>
      </c>
      <c r="F12" s="1719">
        <v>1.4721</v>
      </c>
      <c r="G12" s="1719">
        <v>1.3916999999999999</v>
      </c>
      <c r="H12" s="1719">
        <v>1.4406000000000001</v>
      </c>
      <c r="I12" s="1719">
        <v>1.3362000000000001</v>
      </c>
      <c r="J12" s="1719">
        <v>1.2939000000000001</v>
      </c>
      <c r="K12" s="1719">
        <v>1.3193999999999999</v>
      </c>
      <c r="L12" s="1719">
        <v>1.3791</v>
      </c>
      <c r="M12" s="1719">
        <v>1.2141</v>
      </c>
      <c r="N12" s="1719">
        <v>1.0887</v>
      </c>
      <c r="O12" s="1719">
        <v>1.0541</v>
      </c>
      <c r="P12" s="1719">
        <v>1.1993</v>
      </c>
      <c r="Q12" s="1718">
        <v>1.18</v>
      </c>
      <c r="R12" s="1719">
        <v>1.1399999999999999</v>
      </c>
      <c r="S12" s="1719">
        <v>1.1399999999999999</v>
      </c>
      <c r="T12" s="1719">
        <v>1.1399999999999999</v>
      </c>
      <c r="U12" s="1719">
        <v>1.1399999999999999</v>
      </c>
      <c r="V12" s="1720">
        <v>1.1399999999999999</v>
      </c>
    </row>
    <row r="13" spans="1:22" s="516" customFormat="1" ht="16.5" thickBot="1">
      <c r="A13" s="537" t="s">
        <v>341</v>
      </c>
      <c r="B13" s="536" t="s">
        <v>340</v>
      </c>
      <c r="C13" s="1731" t="s">
        <v>1148</v>
      </c>
      <c r="D13" s="1738" t="s">
        <v>1136</v>
      </c>
      <c r="E13" s="523"/>
      <c r="F13" s="523"/>
      <c r="G13" s="523"/>
      <c r="H13" s="523"/>
      <c r="I13" s="523"/>
      <c r="J13" s="523"/>
      <c r="K13" s="523"/>
      <c r="L13" s="523"/>
      <c r="M13" s="523"/>
      <c r="N13" s="523"/>
      <c r="O13" s="523"/>
      <c r="P13" s="523"/>
      <c r="Q13" s="1863"/>
      <c r="R13" s="1864"/>
      <c r="S13" s="1864"/>
      <c r="T13" s="1864"/>
      <c r="U13" s="1864"/>
      <c r="V13" s="1865"/>
    </row>
    <row r="14" spans="1:22" s="424" customFormat="1" ht="5.0999999999999996" customHeight="1" thickBot="1">
      <c r="C14" s="1730"/>
      <c r="D14" s="1739"/>
      <c r="E14" s="517"/>
      <c r="F14" s="517"/>
      <c r="G14" s="517"/>
      <c r="H14" s="517"/>
      <c r="I14" s="517"/>
      <c r="J14" s="517"/>
      <c r="K14" s="517"/>
      <c r="L14" s="517"/>
      <c r="M14" s="517"/>
      <c r="N14" s="517"/>
      <c r="O14" s="517"/>
      <c r="P14" s="517"/>
      <c r="Q14" s="517"/>
      <c r="R14" s="517"/>
      <c r="S14" s="517"/>
      <c r="T14" s="517"/>
      <c r="U14" s="517"/>
      <c r="V14" s="517"/>
    </row>
    <row r="15" spans="1:22" s="516" customFormat="1">
      <c r="A15" s="538" t="s">
        <v>283</v>
      </c>
      <c r="B15" s="534" t="str">
        <f t="shared" ref="B15:B35" si="1">Scale</f>
        <v>Millions</v>
      </c>
      <c r="C15" s="1729"/>
      <c r="D15" s="1736" t="s">
        <v>3</v>
      </c>
      <c r="E15" s="522">
        <f>SUM(E16:E17)</f>
        <v>6079.6</v>
      </c>
      <c r="F15" s="522">
        <f t="shared" ref="F15:V15" si="2">SUM(F16:F17)</f>
        <v>7563.1</v>
      </c>
      <c r="G15" s="522">
        <f t="shared" si="2"/>
        <v>8143.5</v>
      </c>
      <c r="H15" s="522">
        <f t="shared" si="2"/>
        <v>6598.1</v>
      </c>
      <c r="I15" s="522">
        <f t="shared" si="2"/>
        <v>6604.3</v>
      </c>
      <c r="J15" s="522">
        <f t="shared" si="2"/>
        <v>7342.4</v>
      </c>
      <c r="K15" s="522">
        <f t="shared" si="2"/>
        <v>8045.4</v>
      </c>
      <c r="L15" s="522">
        <f t="shared" si="2"/>
        <v>8332.4</v>
      </c>
      <c r="M15" s="522">
        <f t="shared" si="2"/>
        <v>8648.9</v>
      </c>
      <c r="N15" s="522">
        <f t="shared" si="2"/>
        <v>8964.7000000000007</v>
      </c>
      <c r="O15" s="522">
        <f t="shared" si="2"/>
        <v>9275</v>
      </c>
      <c r="P15" s="522">
        <f t="shared" si="2"/>
        <v>10064.299999999999</v>
      </c>
      <c r="Q15" s="1800">
        <f t="shared" si="2"/>
        <v>10907.615969967483</v>
      </c>
      <c r="R15" s="1797">
        <f t="shared" si="2"/>
        <v>11323.50803948622</v>
      </c>
      <c r="S15" s="1797">
        <f t="shared" si="2"/>
        <v>11909.832649556003</v>
      </c>
      <c r="T15" s="1797">
        <f t="shared" si="2"/>
        <v>12370.288148845884</v>
      </c>
      <c r="U15" s="1797">
        <f t="shared" si="2"/>
        <v>12852.588152351136</v>
      </c>
      <c r="V15" s="1798">
        <f t="shared" si="2"/>
        <v>13541.100192528495</v>
      </c>
    </row>
    <row r="16" spans="1:22" s="516" customFormat="1" ht="18" customHeight="1">
      <c r="A16" s="539" t="s">
        <v>283</v>
      </c>
      <c r="B16" s="424" t="str">
        <f t="shared" ref="B16:B32" si="3">Scale</f>
        <v>Millions</v>
      </c>
      <c r="C16" s="1714"/>
      <c r="D16" s="1724" t="s">
        <v>830</v>
      </c>
      <c r="E16" s="1718">
        <v>6060.5</v>
      </c>
      <c r="F16" s="1719">
        <v>7530.1</v>
      </c>
      <c r="G16" s="1719">
        <v>8068.9</v>
      </c>
      <c r="H16" s="1719">
        <v>6492.3</v>
      </c>
      <c r="I16" s="1719">
        <v>6521.5</v>
      </c>
      <c r="J16" s="1719">
        <v>7249.5999999999995</v>
      </c>
      <c r="K16" s="1719">
        <v>7979.4</v>
      </c>
      <c r="L16" s="1719">
        <v>8262.4</v>
      </c>
      <c r="M16" s="1719">
        <v>8571.1999999999989</v>
      </c>
      <c r="N16" s="1719">
        <v>8899.9000000000015</v>
      </c>
      <c r="O16" s="1719">
        <v>9226.2000000000007</v>
      </c>
      <c r="P16" s="1719">
        <v>10020.099999999999</v>
      </c>
      <c r="Q16" s="1718">
        <v>10859.344779327483</v>
      </c>
      <c r="R16" s="1719">
        <v>11272.170578573834</v>
      </c>
      <c r="S16" s="1719">
        <v>11855.480543366153</v>
      </c>
      <c r="T16" s="1719">
        <v>12312.951138840668</v>
      </c>
      <c r="U16" s="1719">
        <v>12792.114757908214</v>
      </c>
      <c r="V16" s="1720">
        <v>13477.387243554547</v>
      </c>
    </row>
    <row r="17" spans="1:22" s="516" customFormat="1">
      <c r="A17" s="539" t="s">
        <v>283</v>
      </c>
      <c r="B17" s="424" t="str">
        <f t="shared" si="1"/>
        <v>Millions</v>
      </c>
      <c r="C17" s="1730" t="s">
        <v>1166</v>
      </c>
      <c r="D17" s="1793" t="s">
        <v>1159</v>
      </c>
      <c r="E17" s="1795">
        <v>19.100000000000001</v>
      </c>
      <c r="F17" s="1774">
        <v>33</v>
      </c>
      <c r="G17" s="1774">
        <v>74.599999999999994</v>
      </c>
      <c r="H17" s="1774">
        <v>105.8</v>
      </c>
      <c r="I17" s="1774">
        <v>82.8</v>
      </c>
      <c r="J17" s="1774">
        <v>92.8</v>
      </c>
      <c r="K17" s="1774">
        <v>66</v>
      </c>
      <c r="L17" s="1774">
        <v>70</v>
      </c>
      <c r="M17" s="1774">
        <v>77.7</v>
      </c>
      <c r="N17" s="1774">
        <v>64.8</v>
      </c>
      <c r="O17" s="1774">
        <v>48.8</v>
      </c>
      <c r="P17" s="1775">
        <v>44.2</v>
      </c>
      <c r="Q17" s="1801">
        <f>Q7/100*0.1635</f>
        <v>48.271190640000007</v>
      </c>
      <c r="R17" s="1775">
        <f t="shared" ref="R17:V17" si="4">R7/100*0.1635</f>
        <v>51.337460912386192</v>
      </c>
      <c r="S17" s="1775">
        <f t="shared" si="4"/>
        <v>54.35210618984911</v>
      </c>
      <c r="T17" s="1775">
        <f t="shared" si="4"/>
        <v>57.337010005215234</v>
      </c>
      <c r="U17" s="1775">
        <f t="shared" si="4"/>
        <v>60.473394442922938</v>
      </c>
      <c r="V17" s="1776">
        <f t="shared" si="4"/>
        <v>63.71294897394791</v>
      </c>
    </row>
    <row r="18" spans="1:22" s="516" customFormat="1">
      <c r="A18" s="424" t="s">
        <v>283</v>
      </c>
      <c r="B18" s="424" t="str">
        <f t="shared" si="1"/>
        <v>Millions</v>
      </c>
      <c r="C18" s="1730"/>
      <c r="D18" s="1739" t="s">
        <v>345</v>
      </c>
      <c r="E18" s="1794">
        <f>SUM(E19:E20)</f>
        <v>6236.7</v>
      </c>
      <c r="F18" s="517">
        <f t="shared" ref="F18:P18" si="5">SUM(F19:F20)</f>
        <v>7758.7</v>
      </c>
      <c r="G18" s="517">
        <f t="shared" si="5"/>
        <v>9301.4</v>
      </c>
      <c r="H18" s="517">
        <f t="shared" si="5"/>
        <v>8600.6999999999989</v>
      </c>
      <c r="I18" s="517">
        <f t="shared" si="5"/>
        <v>8472.9</v>
      </c>
      <c r="J18" s="517">
        <f t="shared" si="5"/>
        <v>8576.4000000000015</v>
      </c>
      <c r="K18" s="517">
        <f t="shared" si="5"/>
        <v>8674.5999999999985</v>
      </c>
      <c r="L18" s="517">
        <f t="shared" si="5"/>
        <v>8935.1</v>
      </c>
      <c r="M18" s="517">
        <f t="shared" si="5"/>
        <v>9339.3000000000011</v>
      </c>
      <c r="N18" s="517">
        <f t="shared" si="5"/>
        <v>9620.9000000000015</v>
      </c>
      <c r="O18" s="517">
        <f t="shared" si="5"/>
        <v>9514.2999999999993</v>
      </c>
      <c r="P18" s="518">
        <f t="shared" si="5"/>
        <v>10470.300000000001</v>
      </c>
      <c r="Q18" s="1811"/>
      <c r="R18" s="1808"/>
      <c r="S18" s="1808"/>
      <c r="T18" s="1808"/>
      <c r="U18" s="1808"/>
      <c r="V18" s="1809"/>
    </row>
    <row r="19" spans="1:22" s="516" customFormat="1" ht="18" customHeight="1">
      <c r="A19" s="539" t="s">
        <v>283</v>
      </c>
      <c r="B19" s="424" t="str">
        <f t="shared" si="3"/>
        <v>Millions</v>
      </c>
      <c r="C19" s="1714"/>
      <c r="D19" s="1724" t="s">
        <v>2</v>
      </c>
      <c r="E19" s="1718">
        <v>6163</v>
      </c>
      <c r="F19" s="1719">
        <v>7678.9</v>
      </c>
      <c r="G19" s="1719">
        <v>9167.2999999999993</v>
      </c>
      <c r="H19" s="1719">
        <v>8316.2999999999993</v>
      </c>
      <c r="I19" s="1719">
        <v>8162.3</v>
      </c>
      <c r="J19" s="1719">
        <v>8216.7000000000007</v>
      </c>
      <c r="K19" s="1719">
        <v>8309.2999999999993</v>
      </c>
      <c r="L19" s="1719">
        <v>8596.5</v>
      </c>
      <c r="M19" s="1719">
        <v>9001.2000000000007</v>
      </c>
      <c r="N19" s="1719">
        <v>9296.2000000000007</v>
      </c>
      <c r="O19" s="1719">
        <v>9258.7999999999993</v>
      </c>
      <c r="P19" s="1719">
        <v>10220.1</v>
      </c>
      <c r="Q19" s="1718">
        <v>10874.786208776703</v>
      </c>
      <c r="R19" s="1719">
        <v>11257.539277837317</v>
      </c>
      <c r="S19" s="1719">
        <v>11752.809072645199</v>
      </c>
      <c r="T19" s="1719">
        <v>12235.282378609274</v>
      </c>
      <c r="U19" s="1719">
        <v>12469.216138809714</v>
      </c>
      <c r="V19" s="1720">
        <v>13137.190973245981</v>
      </c>
    </row>
    <row r="20" spans="1:22" s="1388" customFormat="1">
      <c r="A20" s="1479" t="s">
        <v>283</v>
      </c>
      <c r="B20" s="776" t="str">
        <f t="shared" si="1"/>
        <v>Millions</v>
      </c>
      <c r="C20" s="1732"/>
      <c r="D20" s="1787" t="s">
        <v>1160</v>
      </c>
      <c r="E20" s="1721">
        <v>73.7</v>
      </c>
      <c r="F20" s="1721">
        <v>79.8</v>
      </c>
      <c r="G20" s="1721">
        <v>134.1</v>
      </c>
      <c r="H20" s="1721">
        <v>284.39999999999998</v>
      </c>
      <c r="I20" s="1721">
        <v>310.60000000000002</v>
      </c>
      <c r="J20" s="1721">
        <v>359.7</v>
      </c>
      <c r="K20" s="1721">
        <v>365.3</v>
      </c>
      <c r="L20" s="1721">
        <v>338.6</v>
      </c>
      <c r="M20" s="1721">
        <v>338.1</v>
      </c>
      <c r="N20" s="1721">
        <v>324.7</v>
      </c>
      <c r="O20" s="1721">
        <v>255.5</v>
      </c>
      <c r="P20" s="1721">
        <v>250.2</v>
      </c>
      <c r="Q20" s="1802"/>
      <c r="R20" s="1723"/>
      <c r="S20" s="1723"/>
      <c r="T20" s="1723"/>
      <c r="U20" s="1723"/>
      <c r="V20" s="1796"/>
    </row>
    <row r="21" spans="1:22" s="1388" customFormat="1" ht="47.25">
      <c r="A21" s="1479" t="s">
        <v>283</v>
      </c>
      <c r="B21" s="776" t="str">
        <f t="shared" si="1"/>
        <v>Millions</v>
      </c>
      <c r="C21" s="1732" t="s">
        <v>1044</v>
      </c>
      <c r="D21" s="1792" t="s">
        <v>1162</v>
      </c>
      <c r="E21" s="1777">
        <v>73.7</v>
      </c>
      <c r="F21" s="1777">
        <v>79.8</v>
      </c>
      <c r="G21" s="1777">
        <v>134.1</v>
      </c>
      <c r="H21" s="1777">
        <v>284.39999999999998</v>
      </c>
      <c r="I21" s="1777">
        <v>310.60000000000002</v>
      </c>
      <c r="J21" s="1777">
        <v>359.7</v>
      </c>
      <c r="K21" s="1777">
        <v>365.3</v>
      </c>
      <c r="L21" s="1777">
        <v>338.6</v>
      </c>
      <c r="M21" s="1777">
        <v>338.1</v>
      </c>
      <c r="N21" s="1777">
        <v>324.7</v>
      </c>
      <c r="O21" s="1777">
        <v>255.5</v>
      </c>
      <c r="P21" s="1777">
        <v>250.2</v>
      </c>
      <c r="Q21" s="1807"/>
      <c r="R21" s="1808"/>
      <c r="S21" s="1808"/>
      <c r="T21" s="1808"/>
      <c r="U21" s="1808"/>
      <c r="V21" s="1809"/>
    </row>
    <row r="22" spans="1:22" s="1388" customFormat="1" ht="47.25">
      <c r="A22" s="1479" t="s">
        <v>283</v>
      </c>
      <c r="B22" s="776" t="str">
        <f t="shared" si="1"/>
        <v>Millions</v>
      </c>
      <c r="C22" s="1732" t="s">
        <v>1044</v>
      </c>
      <c r="D22" s="1792" t="s">
        <v>1163</v>
      </c>
      <c r="E22" s="1777">
        <v>0</v>
      </c>
      <c r="F22" s="1777">
        <v>0</v>
      </c>
      <c r="G22" s="1777">
        <v>0</v>
      </c>
      <c r="H22" s="1777">
        <v>0</v>
      </c>
      <c r="I22" s="1777">
        <v>0</v>
      </c>
      <c r="J22" s="1777">
        <v>0</v>
      </c>
      <c r="K22" s="1777">
        <v>0</v>
      </c>
      <c r="L22" s="1777">
        <v>0</v>
      </c>
      <c r="M22" s="1777">
        <v>0</v>
      </c>
      <c r="N22" s="1777">
        <v>0</v>
      </c>
      <c r="O22" s="1777">
        <v>0</v>
      </c>
      <c r="P22" s="1777">
        <v>0</v>
      </c>
      <c r="Q22" s="1807"/>
      <c r="R22" s="1808"/>
      <c r="S22" s="1808"/>
      <c r="T22" s="1808"/>
      <c r="U22" s="1808"/>
      <c r="V22" s="1809"/>
    </row>
    <row r="23" spans="1:22" s="424" customFormat="1" ht="18" customHeight="1">
      <c r="A23" s="539" t="s">
        <v>283</v>
      </c>
      <c r="B23" s="424" t="str">
        <f t="shared" si="3"/>
        <v>Millions</v>
      </c>
      <c r="C23" s="1714"/>
      <c r="D23" s="1714" t="s">
        <v>1161</v>
      </c>
      <c r="E23" s="1718">
        <v>1.474</v>
      </c>
      <c r="F23" s="1719">
        <v>1.5959999999999999</v>
      </c>
      <c r="G23" s="1719">
        <v>2.6819999999999999</v>
      </c>
      <c r="H23" s="1719">
        <v>5.6879999999999997</v>
      </c>
      <c r="I23" s="1719">
        <v>6.2120000000000006</v>
      </c>
      <c r="J23" s="1719">
        <v>7.194</v>
      </c>
      <c r="K23" s="1719">
        <v>7.306</v>
      </c>
      <c r="L23" s="1719">
        <v>6.7720000000000002</v>
      </c>
      <c r="M23" s="1719">
        <v>6.7620000000000005</v>
      </c>
      <c r="N23" s="1719">
        <v>6.4939999999999998</v>
      </c>
      <c r="O23" s="1719">
        <v>5.1100000000000003</v>
      </c>
      <c r="P23" s="1719">
        <v>5.0039999999999996</v>
      </c>
      <c r="Q23" s="1802"/>
      <c r="R23" s="1723"/>
      <c r="S23" s="1723"/>
      <c r="T23" s="1723"/>
      <c r="U23" s="1723"/>
      <c r="V23" s="1812"/>
    </row>
    <row r="24" spans="1:22" s="516" customFormat="1" ht="31.5">
      <c r="A24" s="539" t="s">
        <v>283</v>
      </c>
      <c r="B24" s="424" t="str">
        <f t="shared" si="1"/>
        <v>Millions</v>
      </c>
      <c r="C24" s="1730"/>
      <c r="D24" s="1737" t="s">
        <v>1167</v>
      </c>
      <c r="E24" s="517">
        <f t="shared" ref="E24:P24" si="6">SUM(E20,E23)</f>
        <v>75.174000000000007</v>
      </c>
      <c r="F24" s="517">
        <f t="shared" si="6"/>
        <v>81.396000000000001</v>
      </c>
      <c r="G24" s="517">
        <f t="shared" si="6"/>
        <v>136.78199999999998</v>
      </c>
      <c r="H24" s="517">
        <f t="shared" si="6"/>
        <v>290.08799999999997</v>
      </c>
      <c r="I24" s="517">
        <f t="shared" si="6"/>
        <v>316.81200000000001</v>
      </c>
      <c r="J24" s="517">
        <f t="shared" si="6"/>
        <v>366.89400000000001</v>
      </c>
      <c r="K24" s="517">
        <f t="shared" si="6"/>
        <v>372.60599999999999</v>
      </c>
      <c r="L24" s="517">
        <f t="shared" si="6"/>
        <v>345.37200000000001</v>
      </c>
      <c r="M24" s="517">
        <f t="shared" si="6"/>
        <v>344.86200000000002</v>
      </c>
      <c r="N24" s="517">
        <f t="shared" si="6"/>
        <v>331.19399999999996</v>
      </c>
      <c r="O24" s="517">
        <f t="shared" si="6"/>
        <v>260.61</v>
      </c>
      <c r="P24" s="517">
        <f t="shared" si="6"/>
        <v>255.20399999999998</v>
      </c>
      <c r="Q24" s="1807"/>
      <c r="R24" s="1808"/>
      <c r="S24" s="1808"/>
      <c r="T24" s="1808"/>
      <c r="U24" s="1808"/>
      <c r="V24" s="1809"/>
    </row>
    <row r="25" spans="1:22" s="516" customFormat="1">
      <c r="A25" s="539" t="s">
        <v>283</v>
      </c>
      <c r="B25" s="424" t="str">
        <f t="shared" si="1"/>
        <v>Millions</v>
      </c>
      <c r="C25" s="1730"/>
      <c r="D25" s="1737" t="s">
        <v>832</v>
      </c>
      <c r="E25" s="1719">
        <v>-255.1206078886589</v>
      </c>
      <c r="F25" s="1719">
        <v>-423.52302144727526</v>
      </c>
      <c r="G25" s="1719">
        <v>-1864.4084347244029</v>
      </c>
      <c r="H25" s="1719">
        <v>-684.13217143136217</v>
      </c>
      <c r="I25" s="1719">
        <v>-553.78996311068215</v>
      </c>
      <c r="J25" s="1719">
        <v>-267.58592418042679</v>
      </c>
      <c r="K25" s="1719">
        <v>365.99778823136944</v>
      </c>
      <c r="L25" s="1719">
        <v>-13.923376867402524</v>
      </c>
      <c r="M25" s="1719">
        <v>-121.10265748360233</v>
      </c>
      <c r="N25" s="1719">
        <v>44.627538659671941</v>
      </c>
      <c r="O25" s="1719">
        <v>315.356712172117</v>
      </c>
      <c r="P25" s="1719">
        <v>-26.362366108218861</v>
      </c>
      <c r="Q25" s="368">
        <v>-200.94064433278885</v>
      </c>
      <c r="R25" s="369">
        <v>-159.00627201032091</v>
      </c>
      <c r="S25" s="369">
        <v>73.382742892522813</v>
      </c>
      <c r="T25" s="369">
        <v>95.129498552100387</v>
      </c>
      <c r="U25" s="369">
        <v>128.13677480337722</v>
      </c>
      <c r="V25" s="370">
        <v>128.33594767993949</v>
      </c>
    </row>
    <row r="26" spans="1:22" s="516" customFormat="1" ht="16.5" thickBot="1">
      <c r="A26" s="539" t="s">
        <v>283</v>
      </c>
      <c r="B26" s="424" t="str">
        <f t="shared" si="1"/>
        <v>Millions</v>
      </c>
      <c r="C26" s="1730" t="s">
        <v>1166</v>
      </c>
      <c r="D26" s="1737" t="s">
        <v>5</v>
      </c>
      <c r="E26" s="1774">
        <v>0</v>
      </c>
      <c r="F26" s="1774">
        <v>0</v>
      </c>
      <c r="G26" s="1774">
        <v>0</v>
      </c>
      <c r="H26" s="1774">
        <v>0</v>
      </c>
      <c r="I26" s="1774">
        <v>0</v>
      </c>
      <c r="J26" s="1774">
        <v>0</v>
      </c>
      <c r="K26" s="1774">
        <v>0</v>
      </c>
      <c r="L26" s="1774">
        <v>0</v>
      </c>
      <c r="M26" s="1774">
        <v>0</v>
      </c>
      <c r="N26" s="1774">
        <v>0</v>
      </c>
      <c r="O26" s="1774">
        <v>0</v>
      </c>
      <c r="P26" s="1774">
        <v>0</v>
      </c>
      <c r="Q26" s="1803">
        <v>0</v>
      </c>
      <c r="R26" s="1775">
        <v>0</v>
      </c>
      <c r="S26" s="1775">
        <v>0</v>
      </c>
      <c r="T26" s="1775">
        <v>0</v>
      </c>
      <c r="U26" s="1775">
        <v>0</v>
      </c>
      <c r="V26" s="1776">
        <v>0</v>
      </c>
    </row>
    <row r="27" spans="1:22" s="424" customFormat="1" ht="5.0999999999999996" customHeight="1" thickBot="1">
      <c r="A27" s="1788"/>
      <c r="B27" s="1788"/>
      <c r="C27" s="1789"/>
      <c r="D27" s="1790"/>
      <c r="E27" s="1791"/>
      <c r="F27" s="1791"/>
      <c r="G27" s="1791"/>
      <c r="H27" s="1791"/>
      <c r="I27" s="1791"/>
      <c r="J27" s="1791"/>
      <c r="K27" s="1791"/>
      <c r="L27" s="1791"/>
      <c r="M27" s="1791"/>
      <c r="N27" s="1791"/>
      <c r="O27" s="1791"/>
      <c r="P27" s="1791"/>
      <c r="Q27" s="1791"/>
      <c r="R27" s="1791"/>
      <c r="S27" s="1791"/>
      <c r="T27" s="1791"/>
      <c r="U27" s="1791"/>
      <c r="V27" s="1791"/>
    </row>
    <row r="28" spans="1:22" s="516" customFormat="1" ht="18" customHeight="1">
      <c r="A28" s="539" t="s">
        <v>283</v>
      </c>
      <c r="B28" s="424" t="str">
        <f t="shared" si="3"/>
        <v>Millions</v>
      </c>
      <c r="C28" s="1730" t="s">
        <v>1166</v>
      </c>
      <c r="D28" s="1737" t="s">
        <v>1137</v>
      </c>
      <c r="E28" s="1723"/>
      <c r="F28" s="1723"/>
      <c r="G28" s="1723"/>
      <c r="H28" s="1723"/>
      <c r="I28" s="1723"/>
      <c r="J28" s="1723"/>
      <c r="K28" s="1723"/>
      <c r="L28" s="1723"/>
      <c r="M28" s="1723"/>
      <c r="N28" s="1723"/>
      <c r="O28" s="1723"/>
      <c r="P28" s="1774">
        <v>0</v>
      </c>
      <c r="Q28" s="1804">
        <v>0</v>
      </c>
      <c r="R28" s="1775">
        <v>0</v>
      </c>
      <c r="S28" s="1775">
        <v>0</v>
      </c>
      <c r="T28" s="1775">
        <v>0</v>
      </c>
      <c r="U28" s="1775">
        <v>0</v>
      </c>
      <c r="V28" s="1776">
        <v>0</v>
      </c>
    </row>
    <row r="29" spans="1:22" s="516" customFormat="1" ht="18" customHeight="1">
      <c r="A29" s="539" t="s">
        <v>283</v>
      </c>
      <c r="B29" s="424" t="str">
        <f t="shared" si="3"/>
        <v>Millions</v>
      </c>
      <c r="C29" s="1730" t="s">
        <v>1166</v>
      </c>
      <c r="D29" s="1737" t="s">
        <v>1138</v>
      </c>
      <c r="E29" s="1723"/>
      <c r="F29" s="1723"/>
      <c r="G29" s="1723"/>
      <c r="H29" s="1723"/>
      <c r="I29" s="1723"/>
      <c r="J29" s="1723"/>
      <c r="K29" s="1723"/>
      <c r="L29" s="1723"/>
      <c r="M29" s="1723"/>
      <c r="N29" s="1723"/>
      <c r="O29" s="1723"/>
      <c r="P29" s="1774">
        <v>0</v>
      </c>
      <c r="Q29" s="1801">
        <v>0</v>
      </c>
      <c r="R29" s="1775">
        <v>0</v>
      </c>
      <c r="S29" s="1775">
        <v>0</v>
      </c>
      <c r="T29" s="1775">
        <v>0</v>
      </c>
      <c r="U29" s="1775">
        <v>0</v>
      </c>
      <c r="V29" s="1776">
        <v>0</v>
      </c>
    </row>
    <row r="30" spans="1:22" s="516" customFormat="1" ht="18" customHeight="1">
      <c r="A30" s="539" t="s">
        <v>283</v>
      </c>
      <c r="B30" s="424" t="str">
        <f t="shared" si="3"/>
        <v>Millions</v>
      </c>
      <c r="C30" s="1730" t="s">
        <v>1166</v>
      </c>
      <c r="D30" s="1737" t="s">
        <v>8</v>
      </c>
      <c r="E30" s="1723"/>
      <c r="F30" s="1723"/>
      <c r="G30" s="1723"/>
      <c r="H30" s="1723"/>
      <c r="I30" s="1723"/>
      <c r="J30" s="1723"/>
      <c r="K30" s="1723"/>
      <c r="L30" s="1723"/>
      <c r="M30" s="1723"/>
      <c r="N30" s="1723"/>
      <c r="O30" s="1723"/>
      <c r="P30" s="1774">
        <v>0</v>
      </c>
      <c r="Q30" s="1801">
        <v>0</v>
      </c>
      <c r="R30" s="1775">
        <v>0</v>
      </c>
      <c r="S30" s="1775">
        <v>0</v>
      </c>
      <c r="T30" s="1775">
        <v>0</v>
      </c>
      <c r="U30" s="1775">
        <v>0</v>
      </c>
      <c r="V30" s="1776">
        <v>0</v>
      </c>
    </row>
    <row r="31" spans="1:22" s="516" customFormat="1" ht="18" customHeight="1">
      <c r="A31" s="539" t="s">
        <v>283</v>
      </c>
      <c r="B31" s="424" t="str">
        <f t="shared" si="3"/>
        <v>Millions</v>
      </c>
      <c r="C31" s="1730" t="s">
        <v>1166</v>
      </c>
      <c r="D31" s="1759" t="s">
        <v>1190</v>
      </c>
      <c r="E31" s="1774">
        <v>0</v>
      </c>
      <c r="F31" s="1774">
        <v>0</v>
      </c>
      <c r="G31" s="1774">
        <v>0</v>
      </c>
      <c r="H31" s="1774">
        <v>0</v>
      </c>
      <c r="I31" s="1774">
        <v>0</v>
      </c>
      <c r="J31" s="1774">
        <v>0</v>
      </c>
      <c r="K31" s="1774">
        <v>0</v>
      </c>
      <c r="L31" s="1774">
        <v>0</v>
      </c>
      <c r="M31" s="1774">
        <v>0</v>
      </c>
      <c r="N31" s="1774">
        <v>0</v>
      </c>
      <c r="O31" s="1774">
        <v>0</v>
      </c>
      <c r="P31" s="1774">
        <v>0</v>
      </c>
      <c r="Q31" s="1801">
        <v>0</v>
      </c>
      <c r="R31" s="1775">
        <v>0</v>
      </c>
      <c r="S31" s="1775">
        <v>0</v>
      </c>
      <c r="T31" s="1775">
        <v>0</v>
      </c>
      <c r="U31" s="1775">
        <v>0</v>
      </c>
      <c r="V31" s="1776">
        <v>0</v>
      </c>
    </row>
    <row r="32" spans="1:22" s="516" customFormat="1" ht="18" customHeight="1">
      <c r="A32" s="539" t="s">
        <v>283</v>
      </c>
      <c r="B32" s="424" t="str">
        <f t="shared" si="3"/>
        <v>Millions</v>
      </c>
      <c r="C32" s="1730" t="s">
        <v>1166</v>
      </c>
      <c r="D32" s="1759" t="s">
        <v>1191</v>
      </c>
      <c r="E32" s="1774">
        <v>0</v>
      </c>
      <c r="F32" s="1774">
        <v>0</v>
      </c>
      <c r="G32" s="1774">
        <v>0</v>
      </c>
      <c r="H32" s="1774">
        <v>0</v>
      </c>
      <c r="I32" s="1774">
        <v>0</v>
      </c>
      <c r="J32" s="1774">
        <v>0</v>
      </c>
      <c r="K32" s="1774">
        <v>0</v>
      </c>
      <c r="L32" s="1774">
        <v>0</v>
      </c>
      <c r="M32" s="1774">
        <v>0</v>
      </c>
      <c r="N32" s="1774">
        <v>0</v>
      </c>
      <c r="O32" s="1774">
        <v>0</v>
      </c>
      <c r="P32" s="1774">
        <v>0</v>
      </c>
      <c r="Q32" s="1801">
        <v>0</v>
      </c>
      <c r="R32" s="1775">
        <v>0</v>
      </c>
      <c r="S32" s="1775">
        <v>0</v>
      </c>
      <c r="T32" s="1775">
        <v>0</v>
      </c>
      <c r="U32" s="1775">
        <v>0</v>
      </c>
      <c r="V32" s="1776">
        <v>0</v>
      </c>
    </row>
    <row r="33" spans="1:22" s="516" customFormat="1">
      <c r="A33" s="539" t="s">
        <v>283</v>
      </c>
      <c r="B33" s="424" t="str">
        <f t="shared" si="1"/>
        <v>Millions</v>
      </c>
      <c r="C33" s="1730" t="s">
        <v>1045</v>
      </c>
      <c r="D33" s="1737" t="s">
        <v>463</v>
      </c>
      <c r="E33" s="1774">
        <v>0</v>
      </c>
      <c r="F33" s="1774">
        <v>0</v>
      </c>
      <c r="G33" s="1774">
        <v>0</v>
      </c>
      <c r="H33" s="1774">
        <v>0</v>
      </c>
      <c r="I33" s="1774">
        <v>0</v>
      </c>
      <c r="J33" s="1774">
        <v>0</v>
      </c>
      <c r="K33" s="1774">
        <v>0</v>
      </c>
      <c r="L33" s="1774">
        <v>0</v>
      </c>
      <c r="M33" s="1774">
        <v>0</v>
      </c>
      <c r="N33" s="1774">
        <v>0</v>
      </c>
      <c r="O33" s="1774">
        <v>0</v>
      </c>
      <c r="P33" s="1774">
        <v>0</v>
      </c>
      <c r="Q33" s="1801">
        <v>0</v>
      </c>
      <c r="R33" s="1775">
        <v>0</v>
      </c>
      <c r="S33" s="1775">
        <v>0</v>
      </c>
      <c r="T33" s="1775">
        <v>0</v>
      </c>
      <c r="U33" s="1775">
        <v>0</v>
      </c>
      <c r="V33" s="1776">
        <v>0</v>
      </c>
    </row>
    <row r="34" spans="1:22" s="516" customFormat="1">
      <c r="A34" s="5" t="s">
        <v>352</v>
      </c>
      <c r="B34" s="17" t="str">
        <f t="shared" si="1"/>
        <v>Millions</v>
      </c>
      <c r="C34" s="1730" t="s">
        <v>1043</v>
      </c>
      <c r="D34" s="1737" t="s">
        <v>973</v>
      </c>
      <c r="E34" s="1723"/>
      <c r="F34" s="1723"/>
      <c r="G34" s="1723"/>
      <c r="H34" s="1723"/>
      <c r="I34" s="1723"/>
      <c r="J34" s="1723"/>
      <c r="K34" s="1723"/>
      <c r="L34" s="1723"/>
      <c r="M34" s="1723"/>
      <c r="N34" s="1723"/>
      <c r="O34" s="517"/>
      <c r="P34" s="517"/>
      <c r="Q34" s="1805"/>
      <c r="R34" s="1755"/>
      <c r="S34" s="1755"/>
      <c r="T34" s="1755"/>
      <c r="U34" s="1755"/>
      <c r="V34" s="1756"/>
    </row>
    <row r="35" spans="1:22" s="516" customFormat="1" ht="16.5" thickBot="1">
      <c r="A35" s="198" t="s">
        <v>352</v>
      </c>
      <c r="B35" s="535" t="str">
        <f t="shared" si="1"/>
        <v>Millions</v>
      </c>
      <c r="C35" s="1731" t="s">
        <v>1043</v>
      </c>
      <c r="D35" s="1738" t="s">
        <v>354</v>
      </c>
      <c r="E35" s="1754"/>
      <c r="F35" s="1754"/>
      <c r="G35" s="1754"/>
      <c r="H35" s="1754"/>
      <c r="I35" s="1754"/>
      <c r="J35" s="1754"/>
      <c r="K35" s="1754"/>
      <c r="L35" s="1754"/>
      <c r="M35" s="1754"/>
      <c r="N35" s="1754"/>
      <c r="O35" s="523"/>
      <c r="P35" s="523"/>
      <c r="Q35" s="1806"/>
      <c r="R35" s="1757"/>
      <c r="S35" s="1757"/>
      <c r="T35" s="1757"/>
      <c r="U35" s="1757"/>
      <c r="V35" s="1758"/>
    </row>
    <row r="36" spans="1:22" s="516" customFormat="1" ht="4.7" customHeight="1">
      <c r="C36" s="357"/>
    </row>
    <row r="37" spans="1:22" s="516" customFormat="1" ht="18" customHeight="1">
      <c r="A37" s="424"/>
      <c r="B37" s="424"/>
      <c r="C37" s="1714"/>
      <c r="Q37" s="768"/>
      <c r="R37" s="768"/>
      <c r="S37" s="768"/>
      <c r="T37" s="768"/>
      <c r="U37" s="768"/>
      <c r="V37" s="768"/>
    </row>
    <row r="38" spans="1:22">
      <c r="A38" s="863"/>
      <c r="B38" s="863"/>
      <c r="C38" s="1725"/>
      <c r="D38" s="864"/>
      <c r="E38" s="768"/>
      <c r="F38" s="768"/>
      <c r="G38" s="768"/>
      <c r="H38" s="768"/>
      <c r="I38" s="768"/>
      <c r="J38" s="768"/>
      <c r="K38" s="768"/>
      <c r="L38" s="768"/>
      <c r="M38" s="768"/>
      <c r="N38" s="768"/>
      <c r="O38" s="768"/>
      <c r="P38" s="768"/>
      <c r="Q38" s="768"/>
      <c r="R38" s="768"/>
      <c r="S38" s="768"/>
      <c r="T38" s="768"/>
      <c r="U38" s="768"/>
      <c r="V38" s="768"/>
    </row>
    <row r="39" spans="1:22">
      <c r="A39" s="863"/>
      <c r="B39" s="863"/>
      <c r="C39" s="1725"/>
      <c r="D39" s="864"/>
      <c r="E39" s="768"/>
      <c r="F39" s="768"/>
      <c r="G39" s="768"/>
      <c r="H39" s="768"/>
      <c r="I39" s="768"/>
      <c r="J39" s="768"/>
      <c r="K39" s="768"/>
      <c r="L39" s="768"/>
      <c r="M39" s="768"/>
      <c r="N39" s="768"/>
      <c r="O39" s="768"/>
      <c r="P39" s="768"/>
      <c r="Q39" s="768"/>
      <c r="R39" s="768"/>
      <c r="S39" s="768"/>
      <c r="T39" s="768"/>
      <c r="U39" s="768"/>
      <c r="V39" s="768"/>
    </row>
    <row r="40" spans="1:22">
      <c r="A40" s="863"/>
      <c r="B40" s="863"/>
      <c r="C40" s="1725"/>
      <c r="D40" s="864"/>
      <c r="E40" s="768"/>
      <c r="F40" s="768"/>
      <c r="G40" s="768"/>
      <c r="H40" s="768"/>
      <c r="I40" s="768"/>
      <c r="J40" s="768"/>
      <c r="K40" s="768"/>
      <c r="L40" s="768"/>
      <c r="M40" s="768"/>
      <c r="N40" s="768"/>
      <c r="O40" s="768"/>
      <c r="P40" s="768"/>
      <c r="Q40" s="768"/>
      <c r="R40" s="768"/>
      <c r="S40" s="768"/>
      <c r="T40" s="768"/>
      <c r="U40" s="768"/>
      <c r="V40" s="768"/>
    </row>
    <row r="41" spans="1:22">
      <c r="A41" s="863"/>
      <c r="B41" s="863"/>
      <c r="C41" s="1725"/>
      <c r="D41" s="864"/>
      <c r="E41" s="768"/>
      <c r="F41" s="768"/>
      <c r="G41" s="768"/>
      <c r="H41" s="768"/>
      <c r="I41" s="768"/>
      <c r="J41" s="768"/>
      <c r="K41" s="768"/>
      <c r="L41" s="768"/>
      <c r="M41" s="768"/>
      <c r="N41" s="768"/>
      <c r="O41" s="768"/>
      <c r="P41" s="768"/>
      <c r="Q41" s="768"/>
      <c r="R41" s="768"/>
      <c r="S41" s="768"/>
      <c r="T41" s="768"/>
      <c r="U41" s="768"/>
      <c r="V41" s="768"/>
    </row>
    <row r="42" spans="1:22">
      <c r="A42" s="863"/>
      <c r="B42" s="863"/>
      <c r="C42" s="1725"/>
      <c r="D42" s="864"/>
      <c r="E42" s="768"/>
      <c r="F42" s="768"/>
      <c r="G42" s="768"/>
      <c r="H42" s="768"/>
      <c r="I42" s="768"/>
      <c r="J42" s="768"/>
      <c r="K42" s="768"/>
      <c r="L42" s="768"/>
      <c r="M42" s="768"/>
      <c r="N42" s="768"/>
      <c r="O42" s="768"/>
      <c r="P42" s="768"/>
      <c r="Q42" s="768"/>
      <c r="R42" s="768"/>
      <c r="S42" s="768"/>
      <c r="T42" s="768"/>
      <c r="U42" s="768"/>
      <c r="V42" s="768"/>
    </row>
    <row r="43" spans="1:22">
      <c r="A43" s="863"/>
      <c r="B43" s="863"/>
      <c r="C43" s="1725"/>
      <c r="D43" s="864"/>
      <c r="E43" s="768"/>
      <c r="F43" s="768"/>
      <c r="G43" s="768"/>
      <c r="H43" s="768"/>
      <c r="I43" s="768"/>
      <c r="J43" s="768"/>
      <c r="K43" s="768"/>
      <c r="L43" s="768"/>
      <c r="M43" s="768"/>
      <c r="N43" s="768"/>
      <c r="O43" s="768"/>
      <c r="P43" s="768"/>
      <c r="Q43" s="1338"/>
      <c r="R43" s="768"/>
      <c r="S43" s="768"/>
      <c r="T43" s="768"/>
      <c r="U43" s="768"/>
      <c r="V43" s="768"/>
    </row>
    <row r="44" spans="1:22">
      <c r="A44" s="863"/>
      <c r="B44" s="863"/>
      <c r="C44" s="1725"/>
      <c r="D44" s="864"/>
      <c r="E44" s="768"/>
      <c r="F44" s="768"/>
      <c r="G44" s="768"/>
      <c r="H44" s="768"/>
      <c r="I44" s="768"/>
      <c r="J44" s="768"/>
      <c r="K44" s="768"/>
      <c r="L44" s="768"/>
      <c r="M44" s="768"/>
      <c r="N44" s="768"/>
      <c r="O44" s="768"/>
      <c r="P44" s="768"/>
      <c r="Q44" s="768"/>
      <c r="R44" s="768"/>
      <c r="S44" s="768"/>
      <c r="T44" s="768"/>
      <c r="U44" s="768"/>
      <c r="V44" s="768"/>
    </row>
    <row r="45" spans="1:22">
      <c r="A45" s="863"/>
      <c r="B45" s="863"/>
      <c r="C45" s="1725"/>
      <c r="D45" s="864"/>
      <c r="E45" s="768"/>
      <c r="F45" s="768"/>
      <c r="G45" s="768"/>
      <c r="H45" s="768"/>
      <c r="I45" s="768"/>
      <c r="J45" s="768"/>
      <c r="K45" s="768"/>
      <c r="L45" s="768"/>
      <c r="M45" s="768"/>
      <c r="N45" s="768"/>
      <c r="O45" s="768"/>
      <c r="P45" s="768"/>
      <c r="Q45" s="768"/>
      <c r="R45" s="768"/>
      <c r="S45" s="768"/>
      <c r="T45" s="768"/>
      <c r="U45" s="768"/>
      <c r="V45" s="768"/>
    </row>
    <row r="46" spans="1:22">
      <c r="A46" s="863"/>
      <c r="B46" s="863"/>
      <c r="C46" s="1725"/>
      <c r="D46" s="864"/>
      <c r="E46" s="768"/>
      <c r="F46" s="768"/>
      <c r="G46" s="768"/>
      <c r="H46" s="768"/>
      <c r="I46" s="768"/>
      <c r="J46" s="768"/>
      <c r="K46" s="768"/>
      <c r="L46" s="768"/>
      <c r="M46" s="768"/>
      <c r="N46" s="768"/>
      <c r="O46" s="768"/>
      <c r="P46" s="768"/>
      <c r="Q46" s="768"/>
      <c r="R46" s="768"/>
      <c r="S46" s="768"/>
      <c r="T46" s="768"/>
      <c r="U46" s="768"/>
      <c r="V46" s="768"/>
    </row>
    <row r="47" spans="1:22">
      <c r="A47" s="863"/>
      <c r="B47" s="863"/>
      <c r="C47" s="1725"/>
      <c r="D47" s="864"/>
      <c r="E47" s="768"/>
      <c r="F47" s="768"/>
      <c r="G47" s="768"/>
      <c r="H47" s="768"/>
      <c r="I47" s="768"/>
      <c r="J47" s="768"/>
      <c r="K47" s="768"/>
      <c r="L47" s="768"/>
      <c r="M47" s="768"/>
      <c r="N47" s="768"/>
      <c r="O47" s="768"/>
      <c r="P47" s="768"/>
      <c r="Q47" s="768"/>
      <c r="R47" s="768"/>
      <c r="S47" s="768"/>
      <c r="T47" s="768"/>
      <c r="U47" s="768"/>
      <c r="V47" s="768"/>
    </row>
    <row r="48" spans="1:22">
      <c r="A48" s="863"/>
      <c r="B48" s="863"/>
      <c r="C48" s="1725"/>
      <c r="D48" s="864"/>
      <c r="E48" s="768"/>
      <c r="F48" s="768"/>
      <c r="G48" s="768"/>
      <c r="H48" s="768"/>
      <c r="I48" s="768"/>
      <c r="J48" s="768"/>
      <c r="K48" s="768"/>
      <c r="L48" s="768"/>
      <c r="M48" s="768"/>
      <c r="N48" s="768"/>
      <c r="O48" s="768"/>
      <c r="P48" s="768"/>
      <c r="Q48" s="768"/>
      <c r="R48" s="768"/>
      <c r="S48" s="768"/>
      <c r="T48" s="768"/>
      <c r="U48" s="768"/>
      <c r="V48" s="768"/>
    </row>
    <row r="49" spans="1:22">
      <c r="A49" s="863"/>
      <c r="B49" s="863"/>
      <c r="C49" s="1725"/>
      <c r="D49" s="864"/>
      <c r="E49" s="768"/>
      <c r="F49" s="768"/>
      <c r="G49" s="768"/>
      <c r="H49" s="768"/>
      <c r="I49" s="768"/>
      <c r="J49" s="768"/>
      <c r="K49" s="768"/>
      <c r="L49" s="768"/>
      <c r="M49" s="768"/>
      <c r="N49" s="768"/>
      <c r="O49" s="768"/>
      <c r="P49" s="768"/>
      <c r="Q49" s="768"/>
      <c r="R49" s="768"/>
      <c r="S49" s="768"/>
      <c r="T49" s="768"/>
      <c r="U49" s="768"/>
      <c r="V49" s="768"/>
    </row>
    <row r="50" spans="1:22">
      <c r="A50" s="863"/>
      <c r="B50" s="863"/>
      <c r="C50" s="1725"/>
      <c r="D50" s="864"/>
      <c r="E50" s="768"/>
      <c r="F50" s="768"/>
      <c r="G50" s="768"/>
      <c r="H50" s="768"/>
      <c r="I50" s="768"/>
      <c r="J50" s="768"/>
      <c r="K50" s="768"/>
      <c r="L50" s="768"/>
      <c r="M50" s="768"/>
      <c r="N50" s="768"/>
      <c r="O50" s="768"/>
      <c r="P50" s="768"/>
      <c r="Q50" s="768"/>
      <c r="R50" s="768"/>
      <c r="S50" s="768"/>
      <c r="T50" s="768"/>
      <c r="U50" s="768"/>
      <c r="V50" s="768"/>
    </row>
    <row r="51" spans="1:22">
      <c r="A51" s="863"/>
      <c r="B51" s="863"/>
      <c r="C51" s="1725"/>
      <c r="D51" s="864"/>
      <c r="E51" s="768"/>
      <c r="F51" s="768"/>
      <c r="G51" s="768"/>
      <c r="H51" s="768"/>
      <c r="I51" s="768"/>
      <c r="J51" s="768"/>
      <c r="K51" s="768"/>
      <c r="L51" s="768"/>
      <c r="M51" s="768"/>
      <c r="N51" s="768"/>
      <c r="O51" s="768"/>
      <c r="P51" s="768"/>
      <c r="Q51" s="768"/>
      <c r="R51" s="768"/>
      <c r="S51" s="768"/>
      <c r="T51" s="768"/>
      <c r="U51" s="768"/>
      <c r="V51" s="768"/>
    </row>
    <row r="52" spans="1:22">
      <c r="A52" s="863"/>
      <c r="B52" s="863"/>
      <c r="C52" s="1725"/>
      <c r="D52" s="864"/>
      <c r="E52" s="768"/>
      <c r="F52" s="768"/>
      <c r="G52" s="768"/>
      <c r="H52" s="768"/>
      <c r="I52" s="768"/>
      <c r="J52" s="768"/>
      <c r="K52" s="768"/>
      <c r="L52" s="768"/>
      <c r="M52" s="768"/>
      <c r="N52" s="768"/>
      <c r="O52" s="768"/>
      <c r="P52" s="768"/>
      <c r="Q52" s="768"/>
      <c r="R52" s="768"/>
      <c r="S52" s="768"/>
      <c r="T52" s="768"/>
      <c r="U52" s="768"/>
      <c r="V52" s="768"/>
    </row>
    <row r="53" spans="1:22">
      <c r="A53" s="863"/>
      <c r="B53" s="863"/>
      <c r="C53" s="1725"/>
      <c r="D53" s="864"/>
      <c r="E53" s="768"/>
      <c r="F53" s="768"/>
      <c r="G53" s="768"/>
      <c r="H53" s="768"/>
      <c r="I53" s="768"/>
      <c r="J53" s="768"/>
      <c r="K53" s="768"/>
      <c r="L53" s="768"/>
      <c r="M53" s="768"/>
      <c r="N53" s="768"/>
      <c r="O53" s="768"/>
      <c r="P53" s="768"/>
      <c r="Q53" s="768"/>
      <c r="R53" s="768"/>
      <c r="S53" s="768"/>
      <c r="T53" s="768"/>
      <c r="U53" s="768"/>
      <c r="V53" s="768"/>
    </row>
    <row r="54" spans="1:22">
      <c r="A54" s="863"/>
      <c r="B54" s="863"/>
      <c r="C54" s="1725"/>
      <c r="D54" s="864"/>
      <c r="E54" s="768"/>
      <c r="F54" s="768"/>
      <c r="G54" s="768"/>
      <c r="H54" s="768"/>
      <c r="I54" s="768"/>
      <c r="J54" s="768"/>
      <c r="K54" s="768"/>
      <c r="L54" s="768"/>
      <c r="M54" s="768"/>
      <c r="N54" s="768"/>
      <c r="O54" s="768"/>
      <c r="P54" s="768"/>
      <c r="Q54" s="768"/>
      <c r="R54" s="768"/>
      <c r="S54" s="768"/>
      <c r="T54" s="768"/>
      <c r="U54" s="768"/>
      <c r="V54" s="768"/>
    </row>
    <row r="55" spans="1:22">
      <c r="A55" s="863"/>
      <c r="B55" s="863"/>
      <c r="C55" s="1725"/>
      <c r="D55" s="864"/>
      <c r="E55" s="768"/>
      <c r="F55" s="768"/>
      <c r="G55" s="768"/>
      <c r="H55" s="768"/>
      <c r="I55" s="768"/>
      <c r="J55" s="768"/>
      <c r="K55" s="768"/>
      <c r="L55" s="768"/>
      <c r="M55" s="768"/>
      <c r="N55" s="768"/>
      <c r="O55" s="768"/>
      <c r="P55" s="768"/>
      <c r="Q55" s="768"/>
      <c r="R55" s="768"/>
      <c r="S55" s="768"/>
      <c r="T55" s="768"/>
      <c r="U55" s="768"/>
      <c r="V55" s="768"/>
    </row>
    <row r="56" spans="1:22">
      <c r="A56" s="863"/>
      <c r="B56" s="863"/>
      <c r="C56" s="1725"/>
      <c r="D56" s="864"/>
      <c r="E56" s="768"/>
      <c r="F56" s="768"/>
      <c r="G56" s="768"/>
      <c r="H56" s="768"/>
      <c r="I56" s="768"/>
      <c r="J56" s="768"/>
      <c r="K56" s="768"/>
      <c r="L56" s="768"/>
      <c r="M56" s="768"/>
      <c r="N56" s="768"/>
      <c r="O56" s="768"/>
      <c r="P56" s="768"/>
      <c r="Q56" s="768"/>
      <c r="R56" s="768"/>
      <c r="S56" s="768"/>
      <c r="T56" s="768"/>
      <c r="U56" s="768"/>
      <c r="V56" s="768"/>
    </row>
    <row r="57" spans="1:22">
      <c r="A57" s="863"/>
      <c r="B57" s="863"/>
      <c r="C57" s="1725"/>
      <c r="D57" s="864"/>
      <c r="E57" s="768"/>
      <c r="F57" s="768"/>
      <c r="G57" s="768"/>
      <c r="H57" s="768"/>
      <c r="I57" s="768"/>
      <c r="J57" s="768"/>
      <c r="K57" s="768"/>
      <c r="L57" s="768"/>
      <c r="M57" s="768"/>
      <c r="N57" s="768"/>
      <c r="O57" s="768"/>
      <c r="P57" s="768"/>
      <c r="Q57" s="768"/>
      <c r="R57" s="768"/>
      <c r="S57" s="768"/>
      <c r="T57" s="768"/>
      <c r="U57" s="768"/>
      <c r="V57" s="768"/>
    </row>
    <row r="58" spans="1:22">
      <c r="A58" s="863"/>
      <c r="B58" s="863"/>
      <c r="C58" s="1725"/>
      <c r="D58" s="864"/>
      <c r="E58" s="768"/>
      <c r="F58" s="768"/>
      <c r="G58" s="768"/>
      <c r="H58" s="768"/>
      <c r="I58" s="768"/>
      <c r="J58" s="768"/>
      <c r="K58" s="768"/>
      <c r="L58" s="768"/>
      <c r="M58" s="768"/>
      <c r="N58" s="768"/>
      <c r="O58" s="768"/>
      <c r="P58" s="768"/>
      <c r="Q58" s="768"/>
      <c r="R58" s="768"/>
      <c r="S58" s="768"/>
      <c r="T58" s="768"/>
      <c r="U58" s="768"/>
      <c r="V58" s="768"/>
    </row>
    <row r="59" spans="1:22">
      <c r="A59" s="863"/>
      <c r="B59" s="863"/>
      <c r="C59" s="1725"/>
      <c r="D59" s="864"/>
      <c r="E59" s="768"/>
      <c r="F59" s="768"/>
      <c r="G59" s="768"/>
      <c r="H59" s="768"/>
      <c r="I59" s="768"/>
      <c r="J59" s="768"/>
      <c r="K59" s="768"/>
      <c r="L59" s="768"/>
      <c r="M59" s="768"/>
      <c r="N59" s="768"/>
      <c r="O59" s="768"/>
      <c r="P59" s="768"/>
      <c r="Q59" s="768"/>
      <c r="R59" s="768"/>
      <c r="S59" s="768"/>
      <c r="T59" s="768"/>
      <c r="U59" s="768"/>
      <c r="V59" s="768"/>
    </row>
    <row r="60" spans="1:22">
      <c r="A60" s="863"/>
      <c r="B60" s="863"/>
      <c r="C60" s="1725"/>
      <c r="D60" s="864"/>
      <c r="E60" s="768"/>
      <c r="F60" s="768"/>
      <c r="G60" s="768"/>
      <c r="H60" s="768"/>
      <c r="I60" s="768"/>
      <c r="J60" s="768"/>
      <c r="K60" s="768"/>
      <c r="L60" s="768"/>
      <c r="M60" s="768"/>
      <c r="N60" s="768"/>
      <c r="O60" s="768"/>
      <c r="P60" s="768"/>
      <c r="Q60" s="768"/>
      <c r="R60" s="768"/>
      <c r="S60" s="768"/>
      <c r="T60" s="768"/>
      <c r="U60" s="768"/>
      <c r="V60" s="768"/>
    </row>
    <row r="61" spans="1:22">
      <c r="A61" s="863"/>
      <c r="B61" s="863"/>
      <c r="C61" s="1725"/>
      <c r="D61" s="864"/>
      <c r="E61" s="768"/>
      <c r="F61" s="768"/>
      <c r="G61" s="768"/>
      <c r="H61" s="768"/>
      <c r="I61" s="768"/>
      <c r="J61" s="768"/>
      <c r="K61" s="768"/>
      <c r="L61" s="768"/>
      <c r="M61" s="768"/>
      <c r="N61" s="768"/>
      <c r="O61" s="768"/>
      <c r="P61" s="768"/>
      <c r="Q61" s="768"/>
      <c r="R61" s="768"/>
      <c r="S61" s="768"/>
      <c r="T61" s="768"/>
      <c r="U61" s="768"/>
      <c r="V61" s="768"/>
    </row>
    <row r="62" spans="1:22">
      <c r="A62" s="863"/>
      <c r="B62" s="863"/>
      <c r="C62" s="1725"/>
      <c r="D62" s="864"/>
      <c r="E62" s="768"/>
      <c r="F62" s="768"/>
      <c r="G62" s="768"/>
      <c r="H62" s="768"/>
      <c r="I62" s="768"/>
      <c r="J62" s="768"/>
      <c r="K62" s="768"/>
      <c r="L62" s="768"/>
      <c r="M62" s="768"/>
      <c r="N62" s="768"/>
      <c r="O62" s="768"/>
      <c r="P62" s="768"/>
      <c r="Q62" s="768"/>
      <c r="R62" s="768"/>
      <c r="S62" s="768"/>
      <c r="T62" s="768"/>
      <c r="U62" s="768"/>
      <c r="V62" s="768"/>
    </row>
    <row r="63" spans="1:22">
      <c r="A63" s="863"/>
      <c r="B63" s="863"/>
      <c r="C63" s="1725"/>
      <c r="D63" s="864"/>
      <c r="E63" s="768"/>
      <c r="F63" s="768"/>
      <c r="G63" s="768"/>
      <c r="H63" s="768"/>
      <c r="I63" s="768"/>
      <c r="J63" s="768"/>
      <c r="K63" s="768"/>
      <c r="L63" s="768"/>
      <c r="M63" s="768"/>
      <c r="N63" s="768"/>
      <c r="O63" s="768"/>
      <c r="P63" s="768"/>
      <c r="Q63" s="768"/>
      <c r="R63" s="768"/>
      <c r="S63" s="768"/>
      <c r="T63" s="768"/>
      <c r="U63" s="768"/>
      <c r="V63" s="768"/>
    </row>
    <row r="64" spans="1:22">
      <c r="A64" s="863"/>
      <c r="B64" s="863"/>
      <c r="C64" s="1725"/>
      <c r="D64" s="864"/>
      <c r="E64" s="768"/>
      <c r="F64" s="768"/>
      <c r="G64" s="768"/>
      <c r="H64" s="768"/>
      <c r="I64" s="768"/>
      <c r="J64" s="768"/>
      <c r="K64" s="768"/>
      <c r="L64" s="768"/>
      <c r="M64" s="768"/>
      <c r="N64" s="768"/>
      <c r="O64" s="768"/>
      <c r="P64" s="768"/>
      <c r="Q64" s="768"/>
      <c r="R64" s="768"/>
      <c r="S64" s="768"/>
      <c r="T64" s="768"/>
      <c r="U64" s="768"/>
      <c r="V64" s="768"/>
    </row>
    <row r="65" spans="1:22">
      <c r="A65" s="863"/>
      <c r="B65" s="863"/>
      <c r="C65" s="1725"/>
      <c r="D65" s="864"/>
      <c r="E65" s="768"/>
      <c r="F65" s="768"/>
      <c r="G65" s="768"/>
      <c r="H65" s="768"/>
      <c r="I65" s="768"/>
      <c r="J65" s="768"/>
      <c r="K65" s="768"/>
      <c r="L65" s="768"/>
      <c r="M65" s="768"/>
      <c r="N65" s="768"/>
      <c r="O65" s="768"/>
      <c r="P65" s="768"/>
      <c r="Q65" s="768"/>
      <c r="R65" s="768"/>
      <c r="S65" s="768"/>
      <c r="T65" s="768"/>
      <c r="U65" s="768"/>
      <c r="V65" s="768"/>
    </row>
    <row r="66" spans="1:22">
      <c r="A66" s="863"/>
      <c r="B66" s="863"/>
      <c r="C66" s="1725"/>
      <c r="D66" s="864"/>
      <c r="E66" s="768"/>
      <c r="F66" s="768"/>
      <c r="G66" s="768"/>
      <c r="H66" s="768"/>
      <c r="I66" s="768"/>
      <c r="J66" s="768"/>
      <c r="K66" s="768"/>
      <c r="L66" s="768"/>
      <c r="M66" s="768"/>
      <c r="N66" s="768"/>
      <c r="O66" s="768"/>
      <c r="P66" s="768"/>
      <c r="Q66" s="768"/>
      <c r="R66" s="768"/>
      <c r="S66" s="768"/>
      <c r="T66" s="768"/>
      <c r="U66" s="768"/>
      <c r="V66" s="768"/>
    </row>
    <row r="67" spans="1:22">
      <c r="A67" s="863"/>
      <c r="B67" s="863"/>
      <c r="C67" s="1725"/>
      <c r="D67" s="864"/>
      <c r="E67" s="768"/>
      <c r="F67" s="768"/>
      <c r="G67" s="768"/>
      <c r="H67" s="768"/>
      <c r="I67" s="768"/>
      <c r="J67" s="768"/>
      <c r="K67" s="768"/>
      <c r="L67" s="768"/>
      <c r="M67" s="768"/>
      <c r="N67" s="768"/>
      <c r="O67" s="768"/>
      <c r="P67" s="768"/>
      <c r="Q67" s="768"/>
      <c r="R67" s="768"/>
      <c r="S67" s="768"/>
      <c r="T67" s="768"/>
      <c r="U67" s="768"/>
      <c r="V67" s="768"/>
    </row>
    <row r="68" spans="1:22">
      <c r="A68" s="863"/>
      <c r="B68" s="863"/>
      <c r="C68" s="1725"/>
      <c r="D68" s="864"/>
      <c r="E68" s="768"/>
      <c r="F68" s="768"/>
      <c r="G68" s="768"/>
      <c r="H68" s="768"/>
      <c r="I68" s="768"/>
      <c r="J68" s="768"/>
      <c r="K68" s="768"/>
      <c r="L68" s="768"/>
      <c r="M68" s="768"/>
      <c r="N68" s="768"/>
      <c r="O68" s="768"/>
      <c r="P68" s="768"/>
      <c r="Q68" s="768"/>
      <c r="R68" s="768"/>
      <c r="S68" s="768"/>
      <c r="T68" s="768"/>
      <c r="U68" s="768"/>
      <c r="V68" s="768"/>
    </row>
    <row r="69" spans="1:22">
      <c r="E69" s="768"/>
      <c r="F69" s="768"/>
      <c r="G69" s="768"/>
      <c r="H69" s="768"/>
      <c r="I69" s="768"/>
      <c r="J69" s="768"/>
      <c r="K69" s="768"/>
      <c r="L69" s="768"/>
      <c r="M69" s="768"/>
      <c r="N69" s="768"/>
      <c r="O69" s="768"/>
      <c r="P69" s="768"/>
      <c r="Q69" s="768"/>
      <c r="R69" s="768"/>
      <c r="S69" s="768"/>
      <c r="T69" s="768"/>
      <c r="U69" s="768"/>
      <c r="V69" s="768"/>
    </row>
    <row r="70" spans="1:22">
      <c r="E70" s="768"/>
      <c r="F70" s="768"/>
      <c r="G70" s="768"/>
      <c r="H70" s="768"/>
      <c r="I70" s="768"/>
      <c r="J70" s="768"/>
      <c r="K70" s="768"/>
      <c r="L70" s="768"/>
      <c r="M70" s="768"/>
      <c r="N70" s="768"/>
      <c r="O70" s="768"/>
      <c r="P70" s="768"/>
      <c r="Q70" s="768"/>
      <c r="R70" s="768"/>
      <c r="S70" s="768"/>
      <c r="T70" s="768"/>
      <c r="U70" s="768"/>
      <c r="V70" s="768"/>
    </row>
    <row r="71" spans="1:22">
      <c r="E71" s="768"/>
      <c r="F71" s="768"/>
      <c r="G71" s="768"/>
      <c r="H71" s="768"/>
      <c r="I71" s="768"/>
      <c r="J71" s="768"/>
      <c r="K71" s="768"/>
      <c r="L71" s="768"/>
      <c r="M71" s="768"/>
      <c r="N71" s="768"/>
      <c r="O71" s="768"/>
      <c r="P71" s="768"/>
      <c r="Q71" s="768"/>
      <c r="R71" s="768"/>
      <c r="S71" s="768"/>
      <c r="T71" s="768"/>
      <c r="U71" s="768"/>
      <c r="V71" s="768"/>
    </row>
    <row r="72" spans="1:22">
      <c r="E72" s="768"/>
      <c r="F72" s="768"/>
      <c r="G72" s="768"/>
      <c r="H72" s="768"/>
      <c r="I72" s="768"/>
      <c r="J72" s="768"/>
      <c r="K72" s="768"/>
      <c r="L72" s="768"/>
      <c r="M72" s="768"/>
      <c r="N72" s="768"/>
      <c r="O72" s="768"/>
      <c r="P72" s="768"/>
      <c r="Q72" s="768"/>
      <c r="R72" s="768"/>
      <c r="S72" s="768"/>
      <c r="T72" s="768"/>
      <c r="U72" s="768"/>
      <c r="V72" s="768"/>
    </row>
    <row r="73" spans="1:22">
      <c r="E73" s="768"/>
      <c r="F73" s="768"/>
      <c r="G73" s="768"/>
      <c r="H73" s="768"/>
      <c r="I73" s="768"/>
      <c r="J73" s="768"/>
      <c r="K73" s="768"/>
      <c r="L73" s="768"/>
      <c r="M73" s="768"/>
      <c r="N73" s="768"/>
      <c r="O73" s="768"/>
      <c r="P73" s="768"/>
      <c r="Q73" s="768"/>
      <c r="R73" s="768"/>
      <c r="S73" s="768"/>
      <c r="T73" s="768"/>
      <c r="U73" s="768"/>
      <c r="V73" s="768"/>
    </row>
    <row r="74" spans="1:22">
      <c r="E74" s="768"/>
      <c r="F74" s="768"/>
      <c r="G74" s="768"/>
      <c r="H74" s="768"/>
      <c r="I74" s="768"/>
      <c r="J74" s="768"/>
      <c r="K74" s="768"/>
      <c r="L74" s="768"/>
      <c r="M74" s="768"/>
      <c r="N74" s="768"/>
      <c r="O74" s="768"/>
      <c r="P74" s="768"/>
      <c r="Q74" s="768"/>
      <c r="R74" s="768"/>
      <c r="S74" s="768"/>
      <c r="T74" s="768"/>
      <c r="U74" s="768"/>
      <c r="V74" s="768"/>
    </row>
    <row r="75" spans="1:22">
      <c r="E75" s="768"/>
      <c r="F75" s="768"/>
      <c r="G75" s="768"/>
      <c r="H75" s="768"/>
      <c r="I75" s="768"/>
      <c r="J75" s="768"/>
      <c r="K75" s="768"/>
      <c r="L75" s="768"/>
      <c r="M75" s="768"/>
      <c r="N75" s="768"/>
      <c r="O75" s="768"/>
      <c r="P75" s="768"/>
      <c r="Q75" s="768"/>
      <c r="R75" s="768"/>
      <c r="S75" s="768"/>
      <c r="T75" s="768"/>
      <c r="U75" s="768"/>
      <c r="V75" s="768"/>
    </row>
    <row r="76" spans="1:22">
      <c r="E76" s="768"/>
      <c r="F76" s="768"/>
      <c r="G76" s="768"/>
      <c r="H76" s="768"/>
      <c r="I76" s="768"/>
      <c r="J76" s="768"/>
      <c r="K76" s="768"/>
      <c r="L76" s="768"/>
      <c r="M76" s="768"/>
      <c r="N76" s="768"/>
      <c r="O76" s="768"/>
      <c r="P76" s="768"/>
      <c r="Q76" s="768"/>
      <c r="R76" s="768"/>
      <c r="S76" s="768"/>
      <c r="T76" s="768"/>
      <c r="U76" s="768"/>
      <c r="V76" s="768"/>
    </row>
    <row r="77" spans="1:22">
      <c r="E77" s="768"/>
      <c r="F77" s="768"/>
      <c r="G77" s="768"/>
      <c r="H77" s="768"/>
      <c r="I77" s="768"/>
      <c r="J77" s="768"/>
      <c r="K77" s="768"/>
      <c r="L77" s="768"/>
      <c r="M77" s="768"/>
      <c r="N77" s="768"/>
      <c r="O77" s="768"/>
      <c r="P77" s="768"/>
      <c r="Q77" s="768"/>
      <c r="R77" s="768"/>
      <c r="S77" s="768"/>
      <c r="T77" s="768"/>
      <c r="U77" s="768"/>
      <c r="V77" s="768"/>
    </row>
    <row r="78" spans="1:22">
      <c r="E78" s="768"/>
      <c r="F78" s="768"/>
      <c r="G78" s="768"/>
      <c r="H78" s="768"/>
      <c r="I78" s="768"/>
      <c r="J78" s="768"/>
      <c r="K78" s="768"/>
      <c r="L78" s="768"/>
      <c r="M78" s="768"/>
      <c r="N78" s="768"/>
      <c r="O78" s="768"/>
      <c r="P78" s="768"/>
      <c r="Q78" s="768"/>
      <c r="R78" s="768"/>
      <c r="S78" s="768"/>
      <c r="T78" s="768"/>
      <c r="U78" s="768"/>
      <c r="V78" s="768"/>
    </row>
    <row r="79" spans="1:22">
      <c r="E79" s="768"/>
      <c r="F79" s="768"/>
      <c r="G79" s="768"/>
      <c r="H79" s="768"/>
      <c r="I79" s="768"/>
      <c r="J79" s="768"/>
      <c r="K79" s="768"/>
      <c r="L79" s="768"/>
      <c r="M79" s="768"/>
      <c r="N79" s="768"/>
      <c r="O79" s="768"/>
      <c r="P79" s="768"/>
      <c r="Q79" s="768"/>
      <c r="R79" s="768"/>
      <c r="S79" s="768"/>
      <c r="T79" s="768"/>
      <c r="U79" s="768"/>
      <c r="V79" s="768"/>
    </row>
    <row r="80" spans="1:22">
      <c r="E80" s="768"/>
      <c r="F80" s="768"/>
      <c r="G80" s="768"/>
      <c r="H80" s="768"/>
      <c r="I80" s="768"/>
      <c r="J80" s="768"/>
      <c r="K80" s="768"/>
      <c r="L80" s="768"/>
      <c r="M80" s="768"/>
      <c r="N80" s="768"/>
      <c r="O80" s="768"/>
      <c r="P80" s="768"/>
      <c r="Q80" s="768"/>
      <c r="R80" s="768"/>
      <c r="S80" s="768"/>
      <c r="T80" s="768"/>
      <c r="U80" s="768"/>
      <c r="V80" s="768"/>
    </row>
    <row r="81" spans="5:22">
      <c r="E81" s="768"/>
      <c r="F81" s="768"/>
      <c r="G81" s="768"/>
      <c r="H81" s="768"/>
      <c r="I81" s="768"/>
      <c r="J81" s="768"/>
      <c r="K81" s="768"/>
      <c r="L81" s="768"/>
      <c r="M81" s="768"/>
      <c r="N81" s="768"/>
      <c r="O81" s="768"/>
      <c r="P81" s="768"/>
      <c r="Q81" s="768"/>
      <c r="R81" s="768"/>
      <c r="S81" s="768"/>
      <c r="T81" s="768"/>
      <c r="U81" s="768"/>
      <c r="V81" s="768"/>
    </row>
    <row r="82" spans="5:22">
      <c r="E82" s="768"/>
      <c r="F82" s="768"/>
      <c r="G82" s="768"/>
      <c r="H82" s="768"/>
      <c r="I82" s="768"/>
      <c r="J82" s="768"/>
      <c r="K82" s="768"/>
      <c r="L82" s="768"/>
      <c r="M82" s="768"/>
      <c r="N82" s="768"/>
      <c r="O82" s="768"/>
      <c r="P82" s="768"/>
      <c r="Q82" s="768"/>
      <c r="R82" s="768"/>
      <c r="S82" s="768"/>
      <c r="T82" s="768"/>
      <c r="U82" s="768"/>
      <c r="V82" s="768"/>
    </row>
    <row r="83" spans="5:22">
      <c r="E83" s="768"/>
      <c r="F83" s="768"/>
      <c r="G83" s="768"/>
      <c r="H83" s="768"/>
      <c r="I83" s="768"/>
      <c r="J83" s="768"/>
      <c r="K83" s="768"/>
      <c r="L83" s="768"/>
      <c r="M83" s="768"/>
      <c r="N83" s="768"/>
      <c r="O83" s="768"/>
      <c r="P83" s="768"/>
      <c r="Q83" s="768"/>
      <c r="R83" s="768"/>
      <c r="S83" s="768"/>
      <c r="T83" s="768"/>
      <c r="U83" s="768"/>
      <c r="V83" s="768"/>
    </row>
    <row r="84" spans="5:22">
      <c r="E84" s="768"/>
      <c r="F84" s="768"/>
      <c r="G84" s="768"/>
      <c r="H84" s="768"/>
      <c r="I84" s="768"/>
      <c r="J84" s="768"/>
      <c r="K84" s="768"/>
      <c r="L84" s="768"/>
      <c r="M84" s="768"/>
      <c r="N84" s="768"/>
      <c r="O84" s="768"/>
      <c r="P84" s="768"/>
      <c r="Q84" s="768"/>
      <c r="R84" s="768"/>
      <c r="S84" s="768"/>
      <c r="T84" s="768"/>
      <c r="U84" s="768"/>
      <c r="V84" s="768"/>
    </row>
    <row r="85" spans="5:22">
      <c r="E85" s="768"/>
      <c r="F85" s="768"/>
      <c r="G85" s="768"/>
      <c r="H85" s="768"/>
      <c r="I85" s="768"/>
      <c r="J85" s="768"/>
      <c r="K85" s="768"/>
      <c r="L85" s="768"/>
      <c r="M85" s="768"/>
      <c r="N85" s="768"/>
      <c r="O85" s="768"/>
      <c r="P85" s="768"/>
      <c r="Q85" s="768"/>
      <c r="R85" s="768"/>
      <c r="S85" s="768"/>
      <c r="T85" s="768"/>
      <c r="U85" s="768"/>
      <c r="V85" s="768"/>
    </row>
    <row r="86" spans="5:22">
      <c r="E86" s="768"/>
      <c r="F86" s="768"/>
      <c r="G86" s="768"/>
      <c r="H86" s="768"/>
      <c r="I86" s="768"/>
      <c r="J86" s="768"/>
      <c r="K86" s="768"/>
      <c r="L86" s="768"/>
      <c r="M86" s="768"/>
      <c r="N86" s="768"/>
      <c r="O86" s="768"/>
      <c r="P86" s="768"/>
      <c r="Q86" s="768"/>
      <c r="R86" s="768"/>
      <c r="S86" s="768"/>
      <c r="T86" s="768"/>
      <c r="U86" s="768"/>
      <c r="V86" s="768"/>
    </row>
    <row r="87" spans="5:22">
      <c r="E87" s="768"/>
      <c r="F87" s="768"/>
      <c r="G87" s="768"/>
      <c r="H87" s="768"/>
      <c r="I87" s="768"/>
      <c r="J87" s="768"/>
      <c r="K87" s="768"/>
      <c r="L87" s="768"/>
      <c r="M87" s="768"/>
      <c r="N87" s="768"/>
      <c r="O87" s="768"/>
      <c r="P87" s="768"/>
      <c r="Q87" s="768"/>
      <c r="R87" s="768"/>
      <c r="S87" s="768"/>
      <c r="T87" s="768"/>
      <c r="U87" s="768"/>
      <c r="V87" s="768"/>
    </row>
    <row r="88" spans="5:22">
      <c r="E88" s="768"/>
      <c r="F88" s="768"/>
      <c r="G88" s="768"/>
      <c r="H88" s="768"/>
      <c r="I88" s="768"/>
      <c r="J88" s="768"/>
      <c r="K88" s="768"/>
      <c r="L88" s="768"/>
      <c r="M88" s="768"/>
      <c r="N88" s="768"/>
      <c r="O88" s="768"/>
      <c r="P88" s="768"/>
      <c r="Q88" s="768"/>
      <c r="R88" s="768"/>
      <c r="S88" s="768"/>
      <c r="T88" s="768"/>
      <c r="U88" s="768"/>
      <c r="V88" s="768"/>
    </row>
    <row r="89" spans="5:22">
      <c r="E89" s="768"/>
      <c r="F89" s="768"/>
      <c r="G89" s="768"/>
      <c r="H89" s="768"/>
      <c r="I89" s="768"/>
      <c r="J89" s="768"/>
      <c r="K89" s="768"/>
      <c r="L89" s="768"/>
      <c r="M89" s="768"/>
      <c r="N89" s="768"/>
      <c r="O89" s="768"/>
      <c r="P89" s="768"/>
      <c r="Q89" s="768"/>
      <c r="R89" s="768"/>
      <c r="S89" s="768"/>
      <c r="T89" s="768"/>
      <c r="U89" s="768"/>
      <c r="V89" s="768"/>
    </row>
    <row r="90" spans="5:22">
      <c r="E90" s="768"/>
      <c r="F90" s="768"/>
      <c r="G90" s="768"/>
      <c r="H90" s="768"/>
      <c r="I90" s="768"/>
      <c r="J90" s="768"/>
      <c r="K90" s="768"/>
      <c r="L90" s="768"/>
      <c r="M90" s="768"/>
      <c r="N90" s="768"/>
      <c r="O90" s="768"/>
      <c r="P90" s="768"/>
      <c r="Q90" s="768"/>
      <c r="R90" s="768"/>
      <c r="S90" s="768"/>
      <c r="T90" s="768"/>
      <c r="U90" s="768"/>
      <c r="V90" s="768"/>
    </row>
    <row r="91" spans="5:22">
      <c r="E91" s="768"/>
      <c r="F91" s="768"/>
      <c r="G91" s="768"/>
      <c r="H91" s="768"/>
      <c r="I91" s="768"/>
      <c r="J91" s="768"/>
      <c r="K91" s="768"/>
      <c r="L91" s="768"/>
      <c r="M91" s="768"/>
      <c r="N91" s="768"/>
      <c r="O91" s="768"/>
      <c r="P91" s="768"/>
      <c r="Q91" s="768"/>
      <c r="R91" s="768"/>
      <c r="S91" s="768"/>
      <c r="T91" s="768"/>
      <c r="U91" s="768"/>
      <c r="V91" s="768"/>
    </row>
    <row r="92" spans="5:22">
      <c r="E92" s="768"/>
      <c r="F92" s="768"/>
      <c r="G92" s="768"/>
      <c r="H92" s="768"/>
      <c r="I92" s="768"/>
      <c r="J92" s="768"/>
      <c r="K92" s="768"/>
      <c r="L92" s="768"/>
      <c r="M92" s="768"/>
      <c r="N92" s="768"/>
      <c r="O92" s="768"/>
      <c r="P92" s="768"/>
      <c r="Q92" s="768"/>
      <c r="R92" s="768"/>
      <c r="S92" s="768"/>
      <c r="T92" s="768"/>
      <c r="U92" s="768"/>
      <c r="V92" s="768"/>
    </row>
    <row r="93" spans="5:22">
      <c r="E93" s="768"/>
      <c r="F93" s="768"/>
      <c r="G93" s="768"/>
      <c r="H93" s="768"/>
      <c r="I93" s="768"/>
      <c r="J93" s="768"/>
      <c r="K93" s="768"/>
      <c r="L93" s="768"/>
      <c r="M93" s="768"/>
      <c r="N93" s="768"/>
      <c r="O93" s="768"/>
      <c r="P93" s="768"/>
      <c r="Q93" s="768"/>
      <c r="R93" s="768"/>
      <c r="S93" s="768"/>
      <c r="T93" s="768"/>
      <c r="U93" s="768"/>
      <c r="V93" s="768"/>
    </row>
    <row r="94" spans="5:22">
      <c r="E94" s="768"/>
      <c r="F94" s="768"/>
      <c r="G94" s="768"/>
      <c r="H94" s="768"/>
      <c r="I94" s="768"/>
      <c r="J94" s="768"/>
      <c r="K94" s="768"/>
      <c r="L94" s="768"/>
      <c r="M94" s="768"/>
      <c r="N94" s="768"/>
      <c r="O94" s="768"/>
      <c r="P94" s="768"/>
      <c r="Q94" s="768"/>
      <c r="R94" s="768"/>
      <c r="S94" s="768"/>
      <c r="T94" s="768"/>
      <c r="U94" s="768"/>
      <c r="V94" s="768"/>
    </row>
    <row r="95" spans="5:22">
      <c r="E95" s="768"/>
      <c r="F95" s="768"/>
      <c r="G95" s="768"/>
      <c r="H95" s="768"/>
      <c r="I95" s="768"/>
      <c r="J95" s="768"/>
      <c r="K95" s="768"/>
      <c r="L95" s="768"/>
      <c r="M95" s="768"/>
      <c r="N95" s="768"/>
      <c r="O95" s="768"/>
      <c r="P95" s="768"/>
      <c r="Q95" s="768"/>
      <c r="R95" s="768"/>
      <c r="S95" s="768"/>
      <c r="T95" s="768"/>
      <c r="U95" s="768"/>
      <c r="V95" s="768"/>
    </row>
    <row r="96" spans="5:22">
      <c r="E96" s="768"/>
      <c r="F96" s="768"/>
      <c r="G96" s="768"/>
      <c r="H96" s="768"/>
      <c r="I96" s="768"/>
      <c r="J96" s="768"/>
      <c r="K96" s="768"/>
      <c r="L96" s="768"/>
      <c r="M96" s="768"/>
      <c r="N96" s="768"/>
      <c r="O96" s="768"/>
      <c r="P96" s="768"/>
      <c r="Q96" s="768"/>
      <c r="R96" s="768"/>
      <c r="S96" s="768"/>
      <c r="T96" s="768"/>
      <c r="U96" s="768"/>
      <c r="V96" s="768"/>
    </row>
    <row r="97" spans="5:22">
      <c r="E97" s="768"/>
      <c r="F97" s="768"/>
      <c r="G97" s="768"/>
      <c r="H97" s="768"/>
      <c r="I97" s="768"/>
      <c r="J97" s="768"/>
      <c r="K97" s="768"/>
      <c r="L97" s="768"/>
      <c r="M97" s="768"/>
      <c r="N97" s="768"/>
      <c r="O97" s="768"/>
      <c r="P97" s="768"/>
      <c r="Q97" s="768"/>
      <c r="R97" s="768"/>
      <c r="S97" s="768"/>
      <c r="T97" s="768"/>
      <c r="U97" s="768"/>
      <c r="V97" s="768"/>
    </row>
    <row r="98" spans="5:22">
      <c r="E98" s="768"/>
      <c r="F98" s="768"/>
      <c r="G98" s="768"/>
      <c r="H98" s="768"/>
      <c r="I98" s="768"/>
      <c r="J98" s="768"/>
      <c r="K98" s="768"/>
      <c r="L98" s="768"/>
      <c r="M98" s="768"/>
      <c r="N98" s="768"/>
      <c r="O98" s="768"/>
      <c r="P98" s="768"/>
      <c r="Q98" s="768"/>
      <c r="R98" s="768"/>
      <c r="S98" s="768"/>
      <c r="T98" s="768"/>
      <c r="U98" s="768"/>
      <c r="V98" s="768"/>
    </row>
    <row r="99" spans="5:22">
      <c r="E99" s="768"/>
      <c r="F99" s="768"/>
      <c r="G99" s="768"/>
      <c r="H99" s="768"/>
      <c r="I99" s="768"/>
      <c r="J99" s="768"/>
      <c r="K99" s="768"/>
      <c r="L99" s="768"/>
      <c r="M99" s="768"/>
      <c r="N99" s="768"/>
      <c r="O99" s="768"/>
      <c r="P99" s="768"/>
      <c r="Q99" s="768"/>
      <c r="R99" s="768"/>
      <c r="S99" s="768"/>
      <c r="T99" s="768"/>
      <c r="U99" s="768"/>
      <c r="V99" s="768"/>
    </row>
    <row r="100" spans="5:22">
      <c r="E100" s="768"/>
      <c r="F100" s="768"/>
      <c r="G100" s="768"/>
      <c r="H100" s="768"/>
      <c r="I100" s="768"/>
      <c r="J100" s="768"/>
      <c r="K100" s="768"/>
      <c r="L100" s="768"/>
      <c r="M100" s="768"/>
      <c r="N100" s="768"/>
      <c r="O100" s="768"/>
      <c r="P100" s="768"/>
      <c r="Q100" s="768"/>
      <c r="R100" s="768"/>
      <c r="S100" s="768"/>
      <c r="T100" s="768"/>
      <c r="U100" s="768"/>
      <c r="V100" s="768"/>
    </row>
    <row r="101" spans="5:22">
      <c r="E101" s="768"/>
      <c r="F101" s="768"/>
      <c r="G101" s="768"/>
      <c r="H101" s="768"/>
      <c r="I101" s="768"/>
      <c r="J101" s="768"/>
      <c r="K101" s="768"/>
      <c r="L101" s="768"/>
      <c r="M101" s="768"/>
      <c r="N101" s="768"/>
      <c r="O101" s="768"/>
      <c r="P101" s="768"/>
      <c r="Q101" s="768"/>
      <c r="R101" s="768"/>
      <c r="S101" s="768"/>
      <c r="T101" s="768"/>
      <c r="U101" s="768"/>
      <c r="V101" s="768"/>
    </row>
    <row r="102" spans="5:22">
      <c r="E102" s="768"/>
      <c r="F102" s="768"/>
      <c r="G102" s="768"/>
      <c r="H102" s="768"/>
      <c r="I102" s="768"/>
      <c r="J102" s="768"/>
      <c r="K102" s="768"/>
      <c r="L102" s="768"/>
      <c r="M102" s="768"/>
      <c r="N102" s="768"/>
      <c r="O102" s="768"/>
      <c r="P102" s="768"/>
      <c r="Q102" s="768"/>
      <c r="R102" s="768"/>
      <c r="S102" s="768"/>
      <c r="T102" s="768"/>
      <c r="U102" s="768"/>
      <c r="V102" s="768"/>
    </row>
    <row r="103" spans="5:22">
      <c r="E103" s="768"/>
      <c r="F103" s="768"/>
      <c r="G103" s="768"/>
      <c r="H103" s="768"/>
      <c r="I103" s="768"/>
      <c r="J103" s="768"/>
      <c r="K103" s="768"/>
      <c r="L103" s="768"/>
      <c r="M103" s="768"/>
      <c r="N103" s="768"/>
      <c r="O103" s="768"/>
      <c r="P103" s="768"/>
      <c r="Q103" s="768"/>
      <c r="R103" s="768"/>
      <c r="S103" s="768"/>
      <c r="T103" s="768"/>
      <c r="U103" s="768"/>
      <c r="V103" s="768"/>
    </row>
    <row r="104" spans="5:22">
      <c r="E104" s="768"/>
      <c r="F104" s="768"/>
      <c r="G104" s="768"/>
      <c r="H104" s="768"/>
      <c r="I104" s="768"/>
      <c r="J104" s="768"/>
      <c r="K104" s="768"/>
      <c r="L104" s="768"/>
      <c r="M104" s="768"/>
      <c r="N104" s="768"/>
      <c r="O104" s="768"/>
      <c r="P104" s="768"/>
      <c r="Q104" s="768"/>
      <c r="R104" s="768"/>
      <c r="S104" s="768"/>
      <c r="T104" s="768"/>
      <c r="U104" s="768"/>
      <c r="V104" s="768"/>
    </row>
    <row r="105" spans="5:22">
      <c r="E105" s="768"/>
      <c r="F105" s="768"/>
      <c r="G105" s="768"/>
      <c r="H105" s="768"/>
      <c r="I105" s="768"/>
      <c r="J105" s="768"/>
      <c r="K105" s="768"/>
      <c r="L105" s="768"/>
      <c r="M105" s="768"/>
      <c r="N105" s="768"/>
      <c r="O105" s="768"/>
      <c r="P105" s="768"/>
      <c r="Q105" s="768"/>
      <c r="R105" s="768"/>
      <c r="S105" s="768"/>
      <c r="T105" s="768"/>
      <c r="U105" s="768"/>
      <c r="V105" s="768"/>
    </row>
    <row r="106" spans="5:22">
      <c r="E106" s="768"/>
      <c r="F106" s="768"/>
      <c r="G106" s="768"/>
      <c r="H106" s="768"/>
      <c r="I106" s="768"/>
      <c r="J106" s="768"/>
      <c r="K106" s="768"/>
      <c r="L106" s="768"/>
      <c r="M106" s="768"/>
      <c r="N106" s="768"/>
      <c r="O106" s="768"/>
      <c r="P106" s="768"/>
      <c r="Q106" s="768"/>
      <c r="R106" s="768"/>
      <c r="S106" s="768"/>
      <c r="T106" s="768"/>
      <c r="U106" s="768"/>
      <c r="V106" s="768"/>
    </row>
    <row r="107" spans="5:22">
      <c r="E107" s="768"/>
      <c r="F107" s="768"/>
      <c r="G107" s="768"/>
      <c r="H107" s="768"/>
      <c r="I107" s="768"/>
      <c r="J107" s="768"/>
      <c r="K107" s="768"/>
      <c r="L107" s="768"/>
      <c r="M107" s="768"/>
      <c r="N107" s="768"/>
      <c r="O107" s="768"/>
      <c r="P107" s="768"/>
      <c r="Q107" s="768"/>
      <c r="R107" s="768"/>
      <c r="S107" s="768"/>
      <c r="T107" s="768"/>
      <c r="U107" s="768"/>
      <c r="V107" s="768"/>
    </row>
    <row r="108" spans="5:22">
      <c r="E108" s="768"/>
      <c r="F108" s="768"/>
      <c r="G108" s="768"/>
      <c r="H108" s="768"/>
      <c r="I108" s="768"/>
      <c r="J108" s="768"/>
      <c r="K108" s="768"/>
      <c r="L108" s="768"/>
      <c r="M108" s="768"/>
      <c r="N108" s="768"/>
      <c r="O108" s="768"/>
      <c r="P108" s="768"/>
      <c r="Q108" s="768"/>
      <c r="R108" s="768"/>
      <c r="S108" s="768"/>
      <c r="T108" s="768"/>
      <c r="U108" s="768"/>
      <c r="V108" s="768"/>
    </row>
    <row r="109" spans="5:22">
      <c r="E109" s="768"/>
      <c r="F109" s="768"/>
      <c r="G109" s="768"/>
      <c r="H109" s="768"/>
      <c r="I109" s="768"/>
      <c r="J109" s="768"/>
      <c r="K109" s="768"/>
      <c r="L109" s="768"/>
      <c r="M109" s="768"/>
      <c r="N109" s="768"/>
      <c r="O109" s="768"/>
      <c r="P109" s="768"/>
      <c r="Q109" s="768"/>
      <c r="R109" s="768"/>
      <c r="S109" s="768"/>
      <c r="T109" s="768"/>
      <c r="U109" s="768"/>
      <c r="V109" s="768"/>
    </row>
    <row r="110" spans="5:22">
      <c r="E110" s="768"/>
      <c r="F110" s="768"/>
      <c r="G110" s="768"/>
      <c r="H110" s="768"/>
      <c r="I110" s="768"/>
      <c r="J110" s="768"/>
      <c r="K110" s="768"/>
      <c r="L110" s="768"/>
      <c r="M110" s="768"/>
      <c r="N110" s="768"/>
      <c r="O110" s="768"/>
      <c r="P110" s="768"/>
      <c r="Q110" s="768"/>
      <c r="R110" s="768"/>
      <c r="S110" s="768"/>
      <c r="T110" s="768"/>
      <c r="U110" s="768"/>
      <c r="V110" s="768"/>
    </row>
    <row r="111" spans="5:22">
      <c r="E111" s="768"/>
      <c r="F111" s="768"/>
      <c r="G111" s="768"/>
      <c r="H111" s="768"/>
      <c r="I111" s="768"/>
      <c r="J111" s="768"/>
      <c r="K111" s="768"/>
      <c r="L111" s="768"/>
      <c r="M111" s="768"/>
      <c r="N111" s="768"/>
      <c r="O111" s="768"/>
      <c r="P111" s="768"/>
      <c r="Q111" s="768"/>
      <c r="R111" s="768"/>
      <c r="S111" s="768"/>
      <c r="T111" s="768"/>
      <c r="U111" s="768"/>
      <c r="V111" s="768"/>
    </row>
    <row r="112" spans="5:22">
      <c r="E112" s="768"/>
      <c r="F112" s="768"/>
      <c r="G112" s="768"/>
      <c r="H112" s="768"/>
      <c r="I112" s="768"/>
      <c r="J112" s="768"/>
      <c r="K112" s="768"/>
      <c r="L112" s="768"/>
      <c r="M112" s="768"/>
      <c r="N112" s="768"/>
      <c r="O112" s="768"/>
      <c r="P112" s="768"/>
      <c r="Q112" s="768"/>
      <c r="R112" s="768"/>
      <c r="S112" s="768"/>
      <c r="T112" s="768"/>
      <c r="U112" s="768"/>
      <c r="V112" s="768"/>
    </row>
    <row r="113" spans="5:22">
      <c r="E113" s="768"/>
      <c r="F113" s="768"/>
      <c r="G113" s="768"/>
      <c r="H113" s="768"/>
      <c r="I113" s="768"/>
      <c r="J113" s="768"/>
      <c r="K113" s="768"/>
      <c r="L113" s="768"/>
      <c r="M113" s="768"/>
      <c r="N113" s="768"/>
      <c r="O113" s="768"/>
      <c r="P113" s="768"/>
      <c r="Q113" s="768"/>
      <c r="R113" s="768"/>
      <c r="S113" s="768"/>
      <c r="T113" s="768"/>
      <c r="U113" s="768"/>
      <c r="V113" s="768"/>
    </row>
    <row r="114" spans="5:22">
      <c r="E114" s="768"/>
      <c r="F114" s="768"/>
      <c r="G114" s="768"/>
      <c r="H114" s="768"/>
      <c r="I114" s="768"/>
      <c r="J114" s="768"/>
      <c r="K114" s="768"/>
      <c r="L114" s="768"/>
      <c r="M114" s="768"/>
      <c r="N114" s="768"/>
      <c r="O114" s="768"/>
      <c r="P114" s="768"/>
      <c r="Q114" s="768"/>
      <c r="R114" s="768"/>
      <c r="S114" s="768"/>
      <c r="T114" s="768"/>
      <c r="U114" s="768"/>
      <c r="V114" s="768"/>
    </row>
    <row r="115" spans="5:22">
      <c r="E115" s="768"/>
      <c r="F115" s="768"/>
      <c r="G115" s="768"/>
      <c r="H115" s="768"/>
      <c r="I115" s="768"/>
      <c r="J115" s="768"/>
      <c r="K115" s="768"/>
      <c r="L115" s="768"/>
      <c r="M115" s="768"/>
      <c r="N115" s="768"/>
      <c r="O115" s="768"/>
      <c r="P115" s="768"/>
      <c r="Q115" s="768"/>
      <c r="R115" s="768"/>
      <c r="S115" s="768"/>
      <c r="T115" s="768"/>
      <c r="U115" s="768"/>
      <c r="V115" s="768"/>
    </row>
    <row r="116" spans="5:22">
      <c r="E116" s="768"/>
      <c r="F116" s="768"/>
      <c r="G116" s="768"/>
      <c r="H116" s="768"/>
      <c r="I116" s="768"/>
      <c r="J116" s="768"/>
      <c r="K116" s="768"/>
      <c r="L116" s="768"/>
      <c r="M116" s="768"/>
      <c r="N116" s="768"/>
      <c r="O116" s="768"/>
      <c r="P116" s="768"/>
      <c r="Q116" s="768"/>
      <c r="R116" s="768"/>
      <c r="S116" s="768"/>
      <c r="T116" s="768"/>
      <c r="U116" s="768"/>
      <c r="V116" s="768"/>
    </row>
    <row r="117" spans="5:22">
      <c r="E117" s="768"/>
      <c r="F117" s="768"/>
      <c r="G117" s="768"/>
      <c r="H117" s="768"/>
      <c r="I117" s="768"/>
      <c r="J117" s="768"/>
      <c r="K117" s="768"/>
      <c r="L117" s="768"/>
      <c r="M117" s="768"/>
      <c r="N117" s="768"/>
      <c r="O117" s="768"/>
      <c r="P117" s="768"/>
      <c r="Q117" s="768"/>
      <c r="R117" s="768"/>
      <c r="S117" s="768"/>
      <c r="T117" s="768"/>
      <c r="U117" s="768"/>
      <c r="V117" s="768"/>
    </row>
    <row r="118" spans="5:22">
      <c r="E118" s="768"/>
      <c r="F118" s="768"/>
      <c r="G118" s="768"/>
      <c r="H118" s="768"/>
      <c r="I118" s="768"/>
      <c r="J118" s="768"/>
      <c r="K118" s="768"/>
      <c r="L118" s="768"/>
      <c r="M118" s="768"/>
      <c r="N118" s="768"/>
      <c r="O118" s="768"/>
      <c r="P118" s="768"/>
      <c r="Q118" s="768"/>
      <c r="R118" s="768"/>
      <c r="S118" s="768"/>
      <c r="T118" s="768"/>
      <c r="U118" s="768"/>
      <c r="V118" s="768"/>
    </row>
    <row r="119" spans="5:22">
      <c r="E119" s="768"/>
      <c r="F119" s="768"/>
      <c r="G119" s="768"/>
      <c r="H119" s="768"/>
      <c r="I119" s="768"/>
      <c r="J119" s="768"/>
      <c r="K119" s="768"/>
      <c r="L119" s="768"/>
      <c r="M119" s="768"/>
      <c r="N119" s="768"/>
      <c r="O119" s="768"/>
      <c r="P119" s="768"/>
      <c r="Q119" s="768"/>
      <c r="R119" s="768"/>
      <c r="S119" s="768"/>
      <c r="T119" s="768"/>
      <c r="U119" s="768"/>
      <c r="V119" s="768"/>
    </row>
    <row r="120" spans="5:22">
      <c r="E120" s="768"/>
      <c r="F120" s="768"/>
      <c r="G120" s="768"/>
      <c r="H120" s="768"/>
      <c r="I120" s="768"/>
      <c r="J120" s="768"/>
      <c r="K120" s="768"/>
      <c r="L120" s="768"/>
      <c r="M120" s="768"/>
      <c r="N120" s="768"/>
      <c r="O120" s="768"/>
      <c r="P120" s="768"/>
      <c r="Q120" s="768"/>
      <c r="R120" s="768"/>
      <c r="S120" s="768"/>
      <c r="T120" s="768"/>
      <c r="U120" s="768"/>
      <c r="V120" s="768"/>
    </row>
    <row r="121" spans="5:22">
      <c r="E121" s="768"/>
      <c r="F121" s="768"/>
      <c r="G121" s="768"/>
      <c r="H121" s="768"/>
      <c r="I121" s="768"/>
      <c r="J121" s="768"/>
      <c r="K121" s="768"/>
      <c r="L121" s="768"/>
      <c r="M121" s="768"/>
      <c r="N121" s="768"/>
      <c r="O121" s="768"/>
      <c r="P121" s="768"/>
      <c r="Q121" s="768"/>
      <c r="R121" s="768"/>
      <c r="S121" s="768"/>
      <c r="T121" s="768"/>
      <c r="U121" s="768"/>
      <c r="V121" s="768"/>
    </row>
    <row r="122" spans="5:22">
      <c r="E122" s="768"/>
      <c r="F122" s="768"/>
      <c r="G122" s="768"/>
      <c r="H122" s="768"/>
      <c r="I122" s="768"/>
      <c r="J122" s="768"/>
      <c r="K122" s="768"/>
      <c r="L122" s="768"/>
      <c r="M122" s="768"/>
      <c r="N122" s="768"/>
      <c r="O122" s="768"/>
      <c r="P122" s="768"/>
      <c r="Q122" s="768"/>
      <c r="R122" s="768"/>
      <c r="S122" s="768"/>
      <c r="T122" s="768"/>
      <c r="U122" s="768"/>
      <c r="V122" s="768"/>
    </row>
    <row r="123" spans="5:22">
      <c r="E123" s="768"/>
      <c r="F123" s="768"/>
      <c r="G123" s="768"/>
      <c r="H123" s="768"/>
      <c r="I123" s="768"/>
      <c r="J123" s="768"/>
      <c r="K123" s="768"/>
      <c r="L123" s="768"/>
      <c r="M123" s="768"/>
      <c r="N123" s="768"/>
      <c r="O123" s="768"/>
      <c r="P123" s="768"/>
      <c r="Q123" s="768"/>
      <c r="R123" s="768"/>
      <c r="S123" s="768"/>
      <c r="T123" s="768"/>
      <c r="U123" s="768"/>
      <c r="V123" s="768"/>
    </row>
    <row r="124" spans="5:22">
      <c r="E124" s="768"/>
      <c r="F124" s="768"/>
      <c r="G124" s="768"/>
      <c r="H124" s="768"/>
      <c r="I124" s="768"/>
      <c r="J124" s="768"/>
      <c r="K124" s="768"/>
      <c r="L124" s="768"/>
      <c r="M124" s="768"/>
      <c r="N124" s="768"/>
      <c r="O124" s="768"/>
      <c r="P124" s="768"/>
      <c r="Q124" s="768"/>
      <c r="R124" s="768"/>
      <c r="S124" s="768"/>
      <c r="T124" s="768"/>
      <c r="U124" s="768"/>
      <c r="V124" s="768"/>
    </row>
  </sheetData>
  <mergeCells count="1">
    <mergeCell ref="A1:D1"/>
  </mergeCells>
  <conditionalFormatting sqref="E8:V8">
    <cfRule type="expression" dxfId="82" priority="3">
      <formula>DebttoPotentialGDP="Yes"</formula>
    </cfRule>
  </conditionalFormatting>
  <conditionalFormatting sqref="O34:P35 E25:V25 O10:P10 E13:P13">
    <cfRule type="expression" dxfId="81" priority="2">
      <formula>ScrutinyClassification_Final="Higher"</formula>
    </cfRule>
  </conditionalFormatting>
  <conditionalFormatting sqref="E33:V33">
    <cfRule type="expression" dxfId="80" priority="1">
      <formula>NetDebt="Yes"</formula>
    </cfRule>
  </conditionalFormatting>
  <dataValidations count="1">
    <dataValidation operator="greaterThan" allowBlank="1" showInputMessage="1" showErrorMessage="1" error="Please make sure there are no blanks or errors in any of the cells." sqref="E23:V23 E18:O18 E26:V26 E33:P35 E24:U24 E14:P15 E27:P27 E28:V32 E19:V19 E16:V17 F4:P7 E4:E12 F9:P12 F8:V8 E25:P25 E21:P22" xr:uid="{00000000-0002-0000-0200-000000000000}"/>
  </dataValidations>
  <pageMargins left="0.7" right="0.7" top="0.75" bottom="0.75" header="0.3" footer="0.3"/>
  <pageSetup orientation="portrait" r:id="rId1"/>
  <ignoredErrors>
    <ignoredError sqref="E15:V15 E18:P18" formulaRange="1"/>
  </ignoredError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FFFF00"/>
  </sheetPr>
  <dimension ref="A1:AC44"/>
  <sheetViews>
    <sheetView zoomScale="80" zoomScaleNormal="80" workbookViewId="0">
      <pane ySplit="3" topLeftCell="A4" activePane="bottomLeft" state="frozen"/>
      <selection activeCell="A107" sqref="A107:XFD137"/>
      <selection pane="bottomLeft" activeCell="A4" sqref="A4"/>
    </sheetView>
  </sheetViews>
  <sheetFormatPr defaultRowHeight="15"/>
  <cols>
    <col min="1" max="1" width="64.42578125" customWidth="1"/>
    <col min="2" max="2" width="15.7109375" style="284" customWidth="1"/>
    <col min="3" max="3" width="9.140625" customWidth="1"/>
  </cols>
  <sheetData>
    <row r="1" spans="1:29" s="97" customFormat="1" ht="32.25" customHeight="1">
      <c r="A1" s="1907" t="s">
        <v>943</v>
      </c>
      <c r="B1" s="1907"/>
      <c r="C1" s="1907"/>
      <c r="D1" s="96"/>
      <c r="E1" s="96"/>
      <c r="F1" s="96"/>
      <c r="G1" s="96"/>
      <c r="H1" s="96"/>
      <c r="I1" s="96"/>
      <c r="J1" s="96"/>
      <c r="K1" s="96"/>
      <c r="L1" s="96"/>
      <c r="M1" s="96"/>
      <c r="N1" s="96"/>
      <c r="O1" s="96"/>
    </row>
    <row r="2" spans="1:29" s="25" customFormat="1" ht="6" customHeight="1" thickBot="1">
      <c r="D2" s="289"/>
      <c r="E2" s="289"/>
      <c r="F2" s="289"/>
      <c r="G2" s="289"/>
      <c r="H2" s="289"/>
      <c r="I2" s="289"/>
      <c r="K2" s="27"/>
      <c r="L2" s="27"/>
      <c r="M2" s="27"/>
      <c r="N2" s="27"/>
      <c r="O2" s="27"/>
    </row>
    <row r="3" spans="1:29" s="308" customFormat="1" ht="30.2" customHeight="1" thickBot="1">
      <c r="A3" s="891" t="s">
        <v>526</v>
      </c>
      <c r="B3" s="1163"/>
      <c r="C3" s="420">
        <f t="shared" ref="C3:K3" si="0">D3-1</f>
        <v>2006</v>
      </c>
      <c r="D3" s="420">
        <f t="shared" si="0"/>
        <v>2007</v>
      </c>
      <c r="E3" s="420">
        <f t="shared" si="0"/>
        <v>2008</v>
      </c>
      <c r="F3" s="420">
        <f t="shared" si="0"/>
        <v>2009</v>
      </c>
      <c r="G3" s="420">
        <f t="shared" si="0"/>
        <v>2010</v>
      </c>
      <c r="H3" s="420">
        <f t="shared" si="0"/>
        <v>2011</v>
      </c>
      <c r="I3" s="420">
        <f t="shared" si="0"/>
        <v>2012</v>
      </c>
      <c r="J3" s="420">
        <f t="shared" si="0"/>
        <v>2013</v>
      </c>
      <c r="K3" s="420">
        <f t="shared" si="0"/>
        <v>2014</v>
      </c>
      <c r="L3" s="420">
        <f>M3-1</f>
        <v>2015</v>
      </c>
      <c r="M3" s="420">
        <f>N3-1</f>
        <v>2016</v>
      </c>
      <c r="N3" s="420">
        <f>FirstYear-1</f>
        <v>2017</v>
      </c>
      <c r="O3" s="1810">
        <f>FirstYear</f>
        <v>2018</v>
      </c>
      <c r="P3" s="291"/>
      <c r="Q3" s="291"/>
      <c r="R3" s="291"/>
      <c r="S3" s="291"/>
      <c r="T3" s="291"/>
      <c r="U3" s="291"/>
      <c r="V3" s="291"/>
      <c r="W3" s="291"/>
      <c r="X3" s="291"/>
      <c r="Y3" s="291"/>
      <c r="Z3" s="291"/>
      <c r="AA3" s="291"/>
      <c r="AB3" s="291"/>
      <c r="AC3" s="291"/>
    </row>
    <row r="4" spans="1:29" s="308" customFormat="1" ht="6" customHeight="1">
      <c r="A4" s="1625"/>
      <c r="B4" s="556"/>
      <c r="C4" s="726"/>
      <c r="D4" s="726"/>
      <c r="E4" s="726"/>
      <c r="F4" s="726"/>
      <c r="G4" s="726"/>
      <c r="H4" s="726"/>
      <c r="I4" s="726"/>
      <c r="J4" s="726"/>
      <c r="K4" s="726"/>
      <c r="L4" s="726"/>
      <c r="M4" s="726"/>
      <c r="N4" s="727"/>
      <c r="O4" s="291"/>
      <c r="P4" s="291"/>
      <c r="Q4" s="291"/>
      <c r="R4" s="291"/>
      <c r="S4" s="291"/>
      <c r="T4" s="291"/>
      <c r="U4" s="291"/>
      <c r="V4" s="291"/>
      <c r="W4" s="291"/>
    </row>
    <row r="5" spans="1:29" s="1626" customFormat="1" ht="16.5" thickBot="1">
      <c r="A5" s="723" t="s">
        <v>1126</v>
      </c>
      <c r="B5" s="1339" t="str">
        <f>Scale&amp;" LCU"</f>
        <v>Millions LCU</v>
      </c>
      <c r="C5" s="725">
        <f t="shared" ref="C5:N5" si="1">C11+C13</f>
        <v>1698.6910000000003</v>
      </c>
      <c r="D5" s="726">
        <f t="shared" si="1"/>
        <v>1904.5160000000001</v>
      </c>
      <c r="E5" s="726">
        <f t="shared" si="1"/>
        <v>4545.8819999999996</v>
      </c>
      <c r="F5" s="726">
        <f t="shared" si="1"/>
        <v>6887.857</v>
      </c>
      <c r="G5" s="726">
        <f t="shared" si="1"/>
        <v>8508.4940000000006</v>
      </c>
      <c r="H5" s="726">
        <f t="shared" si="1"/>
        <v>8666.9719999999998</v>
      </c>
      <c r="I5" s="726">
        <f t="shared" si="1"/>
        <v>9020.0460000000003</v>
      </c>
      <c r="J5" s="726">
        <f t="shared" si="1"/>
        <v>8892.7170000000006</v>
      </c>
      <c r="K5" s="726">
        <f t="shared" si="1"/>
        <v>9660.0619999999999</v>
      </c>
      <c r="L5" s="726">
        <f t="shared" si="1"/>
        <v>8898.7849999999999</v>
      </c>
      <c r="M5" s="726">
        <f t="shared" si="1"/>
        <v>10057</v>
      </c>
      <c r="N5" s="727">
        <f t="shared" si="1"/>
        <v>10770.7</v>
      </c>
      <c r="O5" s="123"/>
      <c r="P5" s="123"/>
      <c r="Q5" s="123"/>
      <c r="R5" s="123"/>
      <c r="S5" s="123"/>
      <c r="T5" s="123"/>
      <c r="U5" s="123"/>
      <c r="V5" s="123"/>
      <c r="W5" s="123"/>
      <c r="X5" s="123"/>
      <c r="Y5" s="123"/>
      <c r="Z5" s="123"/>
      <c r="AA5" s="123"/>
      <c r="AB5" s="123"/>
      <c r="AC5" s="123"/>
    </row>
    <row r="6" spans="1:29" s="308" customFormat="1" ht="16.5" thickBot="1">
      <c r="A6" s="1629" t="str">
        <f>IF(Guarantees="Yes","of which: public guarantees","")</f>
        <v/>
      </c>
      <c r="B6" s="1339" t="str">
        <f>IF(Guarantees="Yes",Scale&amp;" LCU","")</f>
        <v/>
      </c>
      <c r="C6" s="1627" t="str">
        <f t="shared" ref="C6:O6" si="2">IF(Guarantees="Yes",SUM(C12,C14),"")</f>
        <v/>
      </c>
      <c r="D6" s="1628" t="str">
        <f t="shared" si="2"/>
        <v/>
      </c>
      <c r="E6" s="1628" t="str">
        <f t="shared" si="2"/>
        <v/>
      </c>
      <c r="F6" s="1628" t="str">
        <f t="shared" si="2"/>
        <v/>
      </c>
      <c r="G6" s="1628" t="str">
        <f t="shared" si="2"/>
        <v/>
      </c>
      <c r="H6" s="1628" t="str">
        <f t="shared" si="2"/>
        <v/>
      </c>
      <c r="I6" s="1628" t="str">
        <f t="shared" si="2"/>
        <v/>
      </c>
      <c r="J6" s="1628" t="str">
        <f t="shared" si="2"/>
        <v/>
      </c>
      <c r="K6" s="1628" t="str">
        <f t="shared" si="2"/>
        <v/>
      </c>
      <c r="L6" s="1628" t="str">
        <f t="shared" si="2"/>
        <v/>
      </c>
      <c r="M6" s="1628" t="str">
        <f t="shared" si="2"/>
        <v/>
      </c>
      <c r="N6" s="1628" t="str">
        <f t="shared" si="2"/>
        <v/>
      </c>
      <c r="O6" s="1709" t="str">
        <f t="shared" si="2"/>
        <v/>
      </c>
      <c r="P6" s="291"/>
      <c r="Q6" s="291"/>
      <c r="R6" s="291"/>
      <c r="S6" s="291"/>
      <c r="T6" s="291"/>
      <c r="U6" s="291"/>
      <c r="V6" s="291"/>
      <c r="W6" s="291"/>
      <c r="X6" s="291"/>
      <c r="Y6" s="291"/>
      <c r="Z6" s="291"/>
      <c r="AA6" s="291"/>
      <c r="AB6" s="291"/>
      <c r="AC6" s="291"/>
    </row>
    <row r="7" spans="1:29" s="291" customFormat="1" ht="6" customHeight="1">
      <c r="A7" s="723"/>
      <c r="B7" s="1339"/>
      <c r="C7" s="725"/>
      <c r="D7" s="726"/>
      <c r="E7" s="726"/>
      <c r="F7" s="726"/>
      <c r="G7" s="726"/>
      <c r="H7" s="726"/>
      <c r="I7" s="726"/>
      <c r="J7" s="726"/>
      <c r="K7" s="726"/>
      <c r="L7" s="726"/>
      <c r="M7" s="726"/>
      <c r="N7" s="727"/>
    </row>
    <row r="8" spans="1:29" s="308" customFormat="1" ht="15.75">
      <c r="A8" s="1623" t="s">
        <v>432</v>
      </c>
      <c r="B8" s="556" t="str">
        <f>Scale&amp;" LCU"</f>
        <v>Millions LCU</v>
      </c>
      <c r="C8" s="607">
        <v>111.55799999999999</v>
      </c>
      <c r="D8" s="1267">
        <v>145.13299999999998</v>
      </c>
      <c r="E8" s="1267">
        <v>1626.5609999999999</v>
      </c>
      <c r="F8" s="1267">
        <v>1002.93</v>
      </c>
      <c r="G8" s="1267">
        <v>880.52499999999998</v>
      </c>
      <c r="H8" s="1267">
        <v>805.98399999999992</v>
      </c>
      <c r="I8" s="1267">
        <v>550.85199999999998</v>
      </c>
      <c r="J8" s="1267">
        <v>458.42400000000004</v>
      </c>
      <c r="K8" s="1267">
        <v>512.33000000000004</v>
      </c>
      <c r="L8" s="1267">
        <v>426.07299999999998</v>
      </c>
      <c r="M8" s="1267">
        <v>410.79</v>
      </c>
      <c r="N8" s="359">
        <v>921.55500000000006</v>
      </c>
      <c r="O8" s="291"/>
      <c r="P8" s="291"/>
      <c r="Q8" s="291"/>
      <c r="R8" s="291"/>
      <c r="S8" s="291"/>
      <c r="T8" s="291"/>
      <c r="U8" s="291"/>
      <c r="V8" s="291"/>
      <c r="W8" s="291"/>
      <c r="X8" s="291"/>
      <c r="Y8" s="291"/>
      <c r="Z8" s="291"/>
      <c r="AA8" s="291"/>
      <c r="AB8" s="291"/>
      <c r="AC8" s="291"/>
    </row>
    <row r="9" spans="1:29" s="308" customFormat="1" ht="15.75">
      <c r="A9" s="1623" t="str">
        <f>IF(Guarantees="Yes","Long-term debt, incl. guarantees 2/","Long-term debt 2/")</f>
        <v>Long-term debt 2/</v>
      </c>
      <c r="B9" s="556" t="str">
        <f>Scale&amp;" LCU"</f>
        <v>Millions LCU</v>
      </c>
      <c r="C9" s="607">
        <v>1522.9690000000001</v>
      </c>
      <c r="D9" s="1267">
        <v>1672.748</v>
      </c>
      <c r="E9" s="1267">
        <v>2800.2080000000005</v>
      </c>
      <c r="F9" s="1267">
        <v>5735.7719999999999</v>
      </c>
      <c r="G9" s="1267">
        <v>7521.01</v>
      </c>
      <c r="H9" s="1267">
        <v>7856.7880000000005</v>
      </c>
      <c r="I9" s="1267">
        <v>8469.1939999999995</v>
      </c>
      <c r="J9" s="1267">
        <v>8434.2909999999993</v>
      </c>
      <c r="K9" s="1267">
        <v>9156.2170000000006</v>
      </c>
      <c r="L9" s="1267">
        <v>8527.271999999999</v>
      </c>
      <c r="M9" s="1267">
        <v>9680.8319999999985</v>
      </c>
      <c r="N9" s="359">
        <v>9885.2510000000002</v>
      </c>
      <c r="O9" s="291"/>
      <c r="P9" s="291"/>
      <c r="Q9" s="291"/>
      <c r="R9" s="291"/>
      <c r="S9" s="291"/>
      <c r="T9" s="291"/>
      <c r="U9" s="291"/>
      <c r="V9" s="291"/>
      <c r="W9" s="291"/>
      <c r="X9" s="291"/>
      <c r="Y9" s="291"/>
      <c r="Z9" s="291"/>
      <c r="AA9" s="291"/>
      <c r="AB9" s="291"/>
      <c r="AC9" s="291"/>
    </row>
    <row r="10" spans="1:29" s="291" customFormat="1" ht="6" customHeight="1">
      <c r="A10" s="723"/>
      <c r="B10" s="1339"/>
      <c r="C10" s="725"/>
      <c r="D10" s="726"/>
      <c r="E10" s="726"/>
      <c r="F10" s="726"/>
      <c r="G10" s="726"/>
      <c r="H10" s="726"/>
      <c r="I10" s="726"/>
      <c r="J10" s="726"/>
      <c r="K10" s="726"/>
      <c r="L10" s="726"/>
      <c r="M10" s="726"/>
      <c r="N10" s="727"/>
    </row>
    <row r="11" spans="1:29" s="308" customFormat="1" ht="16.5" thickBot="1">
      <c r="A11" s="1623" t="str">
        <f>IF(Guarantees="Yes","Denominated in local currency, incl. guarantees","Denominated in local currency")</f>
        <v>Denominated in local currency</v>
      </c>
      <c r="B11" s="556" t="str">
        <f>Scale&amp;" LCU"</f>
        <v>Millions LCU</v>
      </c>
      <c r="C11" s="607">
        <v>1650.4141945179597</v>
      </c>
      <c r="D11" s="1267">
        <v>1864.8490786392792</v>
      </c>
      <c r="E11" s="1267">
        <v>3921.8232297027334</v>
      </c>
      <c r="F11" s="1267">
        <v>6043.1173834781821</v>
      </c>
      <c r="G11" s="1267">
        <v>7340.1836152554633</v>
      </c>
      <c r="H11" s="1267">
        <v>7196.5341723837655</v>
      </c>
      <c r="I11" s="1267">
        <v>6949.307939317363</v>
      </c>
      <c r="J11" s="1267">
        <v>6809.49389085435</v>
      </c>
      <c r="K11" s="1267">
        <v>7614.0315758832057</v>
      </c>
      <c r="L11" s="1267">
        <v>7325.8220000000001</v>
      </c>
      <c r="M11" s="1267">
        <v>10026.829</v>
      </c>
      <c r="N11" s="359">
        <v>10759.929300000002</v>
      </c>
      <c r="O11" s="291"/>
      <c r="P11" s="291"/>
      <c r="Q11" s="291"/>
      <c r="R11" s="291"/>
      <c r="S11" s="291"/>
      <c r="T11" s="291"/>
      <c r="U11" s="291"/>
      <c r="V11" s="291"/>
      <c r="W11" s="291"/>
      <c r="X11" s="291"/>
      <c r="Y11" s="291"/>
      <c r="Z11" s="291"/>
      <c r="AA11" s="291"/>
      <c r="AB11" s="291"/>
      <c r="AC11" s="291"/>
    </row>
    <row r="12" spans="1:29" s="308" customFormat="1" ht="16.5" thickBot="1">
      <c r="A12" s="1735" t="str">
        <f>IF(Guarantees="Yes","of which: public guarantees","")</f>
        <v/>
      </c>
      <c r="B12" s="556" t="str">
        <f>IF(Guarantees="Yes",Scale&amp;" LCU","")</f>
        <v/>
      </c>
      <c r="C12" s="725"/>
      <c r="D12" s="726"/>
      <c r="E12" s="726"/>
      <c r="F12" s="726"/>
      <c r="G12" s="726"/>
      <c r="H12" s="726"/>
      <c r="I12" s="726"/>
      <c r="J12" s="726"/>
      <c r="K12" s="726"/>
      <c r="L12" s="726"/>
      <c r="M12" s="726"/>
      <c r="N12" s="726"/>
      <c r="O12" s="1710"/>
      <c r="P12" s="291"/>
      <c r="Q12" s="291"/>
      <c r="R12" s="291"/>
      <c r="S12" s="291"/>
      <c r="T12" s="291"/>
      <c r="U12" s="291"/>
      <c r="V12" s="291"/>
      <c r="W12" s="291"/>
      <c r="X12" s="291"/>
      <c r="Y12" s="291"/>
      <c r="Z12" s="291"/>
      <c r="AA12" s="291"/>
      <c r="AB12" s="291"/>
      <c r="AC12" s="291"/>
    </row>
    <row r="13" spans="1:29" s="308" customFormat="1" ht="16.5" thickBot="1">
      <c r="A13" s="1623" t="str">
        <f>IF(Guarantees="Yes","Denominated in foreign currency, incl. guarantees","Denominated in foreign currency")</f>
        <v>Denominated in foreign currency</v>
      </c>
      <c r="B13" s="556" t="str">
        <f>Scale&amp;" LCU"</f>
        <v>Millions LCU</v>
      </c>
      <c r="C13" s="607">
        <v>48.276805482040515</v>
      </c>
      <c r="D13" s="1267">
        <v>39.666921360720771</v>
      </c>
      <c r="E13" s="1267">
        <v>624.05877029726639</v>
      </c>
      <c r="F13" s="1267">
        <v>844.73961652181833</v>
      </c>
      <c r="G13" s="1267">
        <v>1168.3103847445375</v>
      </c>
      <c r="H13" s="1267">
        <v>1470.4378276162342</v>
      </c>
      <c r="I13" s="1267">
        <v>2070.7380606826368</v>
      </c>
      <c r="J13" s="1267">
        <v>2083.2231091456511</v>
      </c>
      <c r="K13" s="1267">
        <v>2046.0304241167942</v>
      </c>
      <c r="L13" s="1267">
        <v>1572.963</v>
      </c>
      <c r="M13" s="1267">
        <v>30.171000000000276</v>
      </c>
      <c r="N13" s="359">
        <v>10.770699999999124</v>
      </c>
      <c r="O13" s="291"/>
      <c r="P13" s="291"/>
      <c r="Q13" s="291"/>
      <c r="R13" s="291"/>
      <c r="S13" s="291"/>
      <c r="T13" s="291"/>
      <c r="U13" s="291"/>
      <c r="V13" s="291"/>
      <c r="W13" s="291"/>
      <c r="X13" s="291"/>
      <c r="Y13" s="291"/>
      <c r="Z13" s="291"/>
      <c r="AA13" s="291"/>
      <c r="AB13" s="291"/>
      <c r="AC13" s="291"/>
    </row>
    <row r="14" spans="1:29" s="308" customFormat="1" ht="16.5" thickBot="1">
      <c r="A14" s="1734" t="str">
        <f>IF(Guarantees="Yes","of which: public guarantees","")</f>
        <v/>
      </c>
      <c r="B14" s="556" t="str">
        <f>IF(Guarantees="Yes",Scale&amp;" LCU","")</f>
        <v/>
      </c>
      <c r="C14" s="725"/>
      <c r="D14" s="726"/>
      <c r="E14" s="726"/>
      <c r="F14" s="726"/>
      <c r="G14" s="726"/>
      <c r="H14" s="726"/>
      <c r="I14" s="726"/>
      <c r="J14" s="726"/>
      <c r="K14" s="726"/>
      <c r="L14" s="726"/>
      <c r="M14" s="726"/>
      <c r="N14" s="726"/>
      <c r="O14" s="1710"/>
      <c r="P14" s="291"/>
      <c r="Q14" s="291"/>
      <c r="R14" s="291"/>
      <c r="S14" s="291"/>
      <c r="T14" s="291"/>
      <c r="U14" s="291"/>
      <c r="V14" s="291"/>
      <c r="W14" s="291"/>
      <c r="X14" s="291"/>
      <c r="Y14" s="291"/>
      <c r="Z14" s="291"/>
      <c r="AA14" s="291"/>
      <c r="AB14" s="291"/>
      <c r="AC14" s="291"/>
    </row>
    <row r="15" spans="1:29" s="291" customFormat="1" ht="6" customHeight="1">
      <c r="A15" s="723"/>
      <c r="B15" s="1339"/>
      <c r="C15" s="725"/>
      <c r="D15" s="726"/>
      <c r="E15" s="726"/>
      <c r="F15" s="726"/>
      <c r="G15" s="726"/>
      <c r="H15" s="726"/>
      <c r="I15" s="726"/>
      <c r="J15" s="726"/>
      <c r="K15" s="726"/>
      <c r="L15" s="726"/>
      <c r="M15" s="726"/>
      <c r="N15" s="727"/>
    </row>
    <row r="16" spans="1:29" s="308" customFormat="1" ht="15.75">
      <c r="A16" s="1623" t="str">
        <f>IF(Guarantees="Yes","Domestic debt (held by residents), including guarantees 3/","Domestic debt (held by residents) 3/")</f>
        <v>Domestic debt (held by residents) 3/</v>
      </c>
      <c r="B16" s="556" t="str">
        <f>Scale&amp;" LCU"</f>
        <v>Millions LCU</v>
      </c>
      <c r="C16" s="725"/>
      <c r="D16" s="726"/>
      <c r="E16" s="726"/>
      <c r="F16" s="726"/>
      <c r="G16" s="726"/>
      <c r="H16" s="726"/>
      <c r="I16" s="726"/>
      <c r="J16" s="726"/>
      <c r="K16" s="726"/>
      <c r="L16" s="726"/>
      <c r="M16" s="726"/>
      <c r="N16" s="359">
        <f>N5-N17</f>
        <v>3489.7068000000008</v>
      </c>
      <c r="O16" s="291"/>
      <c r="P16" s="291"/>
      <c r="Q16" s="291"/>
      <c r="R16" s="291"/>
      <c r="S16" s="291"/>
      <c r="T16" s="291"/>
      <c r="U16" s="291"/>
      <c r="V16" s="291"/>
      <c r="W16" s="291"/>
      <c r="X16" s="291"/>
      <c r="Y16" s="291"/>
      <c r="Z16" s="291"/>
      <c r="AA16" s="291"/>
      <c r="AB16" s="291"/>
      <c r="AC16" s="291"/>
    </row>
    <row r="17" spans="1:29" s="308" customFormat="1" ht="15.75">
      <c r="A17" s="1623" t="str">
        <f>IF(Guarantees="Yes","External debt (held by non-residents), including guarantees 3/", "External debt (held by non-residents) 3/")</f>
        <v>External debt (held by non-residents) 3/</v>
      </c>
      <c r="B17" s="556" t="str">
        <f>Scale&amp;" LCU"</f>
        <v>Millions LCU</v>
      </c>
      <c r="C17" s="725"/>
      <c r="D17" s="726"/>
      <c r="E17" s="726"/>
      <c r="F17" s="726"/>
      <c r="G17" s="726"/>
      <c r="H17" s="726"/>
      <c r="I17" s="726"/>
      <c r="J17" s="726"/>
      <c r="K17" s="726"/>
      <c r="L17" s="726"/>
      <c r="M17" s="726"/>
      <c r="N17" s="359">
        <f>N5/100*67.6</f>
        <v>7280.9931999999999</v>
      </c>
      <c r="O17" s="291"/>
      <c r="P17" s="291"/>
      <c r="Q17" s="291"/>
      <c r="R17" s="291"/>
      <c r="S17" s="291"/>
      <c r="T17" s="291"/>
      <c r="U17" s="291"/>
      <c r="V17" s="291"/>
      <c r="W17" s="291"/>
      <c r="X17" s="291"/>
      <c r="Y17" s="291"/>
      <c r="Z17" s="291"/>
      <c r="AA17" s="291"/>
      <c r="AB17" s="291"/>
      <c r="AC17" s="291"/>
    </row>
    <row r="18" spans="1:29" s="291" customFormat="1" ht="6" customHeight="1" thickBot="1">
      <c r="A18" s="361"/>
      <c r="B18" s="1624"/>
      <c r="C18" s="361"/>
      <c r="D18" s="321"/>
      <c r="E18" s="321"/>
      <c r="F18" s="321"/>
      <c r="G18" s="321"/>
      <c r="H18" s="321"/>
      <c r="I18" s="321"/>
      <c r="J18" s="321"/>
      <c r="K18" s="321"/>
      <c r="L18" s="321"/>
      <c r="M18" s="321"/>
      <c r="N18" s="334"/>
    </row>
    <row r="19" spans="1:29" s="308" customFormat="1" ht="30.2" customHeight="1" thickBot="1">
      <c r="A19" s="891" t="s">
        <v>874</v>
      </c>
      <c r="B19" s="1163"/>
      <c r="C19" s="420">
        <f t="shared" ref="C19:M19" si="3">D19-1</f>
        <v>2006</v>
      </c>
      <c r="D19" s="420">
        <f t="shared" si="3"/>
        <v>2007</v>
      </c>
      <c r="E19" s="420">
        <f t="shared" si="3"/>
        <v>2008</v>
      </c>
      <c r="F19" s="420">
        <f t="shared" si="3"/>
        <v>2009</v>
      </c>
      <c r="G19" s="420">
        <f t="shared" si="3"/>
        <v>2010</v>
      </c>
      <c r="H19" s="420">
        <f t="shared" si="3"/>
        <v>2011</v>
      </c>
      <c r="I19" s="420">
        <f t="shared" si="3"/>
        <v>2012</v>
      </c>
      <c r="J19" s="420">
        <f t="shared" si="3"/>
        <v>2013</v>
      </c>
      <c r="K19" s="420">
        <f t="shared" si="3"/>
        <v>2014</v>
      </c>
      <c r="L19" s="420">
        <f t="shared" si="3"/>
        <v>2015</v>
      </c>
      <c r="M19" s="420">
        <f t="shared" si="3"/>
        <v>2016</v>
      </c>
      <c r="N19" s="421">
        <f>FirstYear-1</f>
        <v>2017</v>
      </c>
      <c r="O19" s="291"/>
      <c r="P19" s="291"/>
      <c r="Q19" s="291"/>
      <c r="R19" s="291"/>
      <c r="S19" s="291"/>
      <c r="T19" s="291"/>
      <c r="U19" s="291"/>
      <c r="V19" s="291"/>
      <c r="W19" s="291"/>
      <c r="X19" s="291"/>
      <c r="Y19" s="291"/>
      <c r="Z19" s="291"/>
      <c r="AA19" s="291"/>
      <c r="AB19" s="291"/>
      <c r="AC19" s="291"/>
    </row>
    <row r="20" spans="1:29" s="291" customFormat="1" ht="15.75">
      <c r="A20" s="724" t="s">
        <v>974</v>
      </c>
      <c r="B20" s="724" t="s">
        <v>465</v>
      </c>
      <c r="C20" s="41"/>
      <c r="D20" s="102"/>
      <c r="E20" s="102"/>
      <c r="F20" s="102"/>
      <c r="G20" s="102"/>
      <c r="H20" s="102"/>
      <c r="I20" s="102"/>
      <c r="J20" s="102"/>
      <c r="K20" s="102"/>
      <c r="L20" s="102"/>
      <c r="M20" s="102"/>
      <c r="N20" s="877">
        <f>N23+N22</f>
        <v>81.883454094128311</v>
      </c>
    </row>
    <row r="21" spans="1:29" s="291" customFormat="1" ht="6" customHeight="1">
      <c r="A21" s="314"/>
      <c r="B21" s="1339"/>
      <c r="C21" s="725"/>
      <c r="D21" s="726"/>
      <c r="E21" s="726"/>
      <c r="F21" s="726"/>
      <c r="G21" s="726"/>
      <c r="H21" s="726"/>
      <c r="I21" s="726"/>
      <c r="J21" s="726"/>
      <c r="K21" s="726"/>
      <c r="L21" s="726"/>
      <c r="M21" s="726"/>
      <c r="N21" s="727"/>
    </row>
    <row r="22" spans="1:29" s="291" customFormat="1" ht="15.75">
      <c r="A22" s="555" t="s">
        <v>313</v>
      </c>
      <c r="B22" s="556" t="s">
        <v>465</v>
      </c>
      <c r="C22" s="314"/>
      <c r="D22" s="123"/>
      <c r="E22" s="123"/>
      <c r="F22" s="123"/>
      <c r="G22" s="123"/>
      <c r="H22" s="123"/>
      <c r="I22" s="123"/>
      <c r="J22" s="123"/>
      <c r="K22" s="1267">
        <v>61.943428877173886</v>
      </c>
      <c r="L22" s="1267">
        <v>60.082258772539376</v>
      </c>
      <c r="M22" s="1267">
        <v>60.105004928171859</v>
      </c>
      <c r="N22" s="359">
        <v>53.062073337176528</v>
      </c>
    </row>
    <row r="23" spans="1:29" s="291" customFormat="1" ht="15.75">
      <c r="A23" s="1500" t="s">
        <v>873</v>
      </c>
      <c r="B23" s="556" t="s">
        <v>465</v>
      </c>
      <c r="C23" s="314"/>
      <c r="D23" s="123"/>
      <c r="E23" s="123"/>
      <c r="F23" s="123"/>
      <c r="G23" s="123"/>
      <c r="H23" s="123"/>
      <c r="I23" s="123"/>
      <c r="J23" s="123"/>
      <c r="K23" s="726"/>
      <c r="L23" s="726"/>
      <c r="M23" s="726"/>
      <c r="N23" s="359">
        <v>28.821380756951786</v>
      </c>
    </row>
    <row r="24" spans="1:29" s="291" customFormat="1" ht="6" customHeight="1">
      <c r="A24" s="314"/>
      <c r="B24" s="1339"/>
      <c r="C24" s="725"/>
      <c r="D24" s="726"/>
      <c r="E24" s="726"/>
      <c r="F24" s="726"/>
      <c r="G24" s="726"/>
      <c r="H24" s="726"/>
      <c r="I24" s="726"/>
      <c r="J24" s="726"/>
      <c r="K24" s="726"/>
      <c r="L24" s="726"/>
      <c r="M24" s="726"/>
      <c r="N24" s="727"/>
    </row>
    <row r="25" spans="1:29" s="291" customFormat="1" ht="15.75">
      <c r="A25" s="556" t="s">
        <v>416</v>
      </c>
      <c r="B25" s="556" t="s">
        <v>1143</v>
      </c>
      <c r="C25" s="314"/>
      <c r="D25" s="123"/>
      <c r="E25" s="123"/>
      <c r="F25" s="123"/>
      <c r="G25" s="123"/>
      <c r="H25" s="123"/>
      <c r="I25" s="123"/>
      <c r="J25" s="123"/>
      <c r="K25" s="123"/>
      <c r="L25" s="123"/>
      <c r="M25" s="123"/>
      <c r="N25" s="1827">
        <v>0.747</v>
      </c>
    </row>
    <row r="26" spans="1:29" s="123" customFormat="1" ht="6" customHeight="1" thickBot="1">
      <c r="A26" s="314"/>
      <c r="B26" s="1339"/>
      <c r="C26" s="725"/>
      <c r="D26" s="726"/>
      <c r="E26" s="726"/>
      <c r="F26" s="726"/>
      <c r="G26" s="726"/>
      <c r="H26" s="726"/>
      <c r="I26" s="726"/>
      <c r="J26" s="726"/>
      <c r="K26" s="726"/>
      <c r="L26" s="726"/>
      <c r="M26" s="726"/>
      <c r="N26" s="727"/>
    </row>
    <row r="27" spans="1:29" s="291" customFormat="1" ht="16.5" thickBot="1">
      <c r="A27" s="1501" t="s">
        <v>835</v>
      </c>
      <c r="B27" s="1164" t="str">
        <f>Scale&amp;" LCU"</f>
        <v>Millions LCU</v>
      </c>
      <c r="C27" s="1607">
        <f>'Input 2 - Data'!E7</f>
        <v>17101.855</v>
      </c>
      <c r="D27" s="1607">
        <f>'Input 2 - Data'!F7</f>
        <v>22592.012999999999</v>
      </c>
      <c r="E27" s="1607">
        <f>'Input 2 - Data'!G7</f>
        <v>24351.235000000001</v>
      </c>
      <c r="F27" s="1607">
        <f>'Input 2 - Data'!H7</f>
        <v>18826.593000000001</v>
      </c>
      <c r="G27" s="1607">
        <f>'Input 2 - Data'!I7</f>
        <v>17937.881000000001</v>
      </c>
      <c r="H27" s="1607">
        <f>'Input 2 - Data'!J7</f>
        <v>20302.760999999999</v>
      </c>
      <c r="I27" s="1607">
        <f>'Input 2 - Data'!K7</f>
        <v>21885.613000000001</v>
      </c>
      <c r="J27" s="1607">
        <f>'Input 2 - Data'!L7</f>
        <v>22786.588</v>
      </c>
      <c r="K27" s="1607">
        <f>'Input 2 - Data'!M7</f>
        <v>23618.163</v>
      </c>
      <c r="L27" s="1607">
        <f>'Input 2 - Data'!N7</f>
        <v>24320.324000000001</v>
      </c>
      <c r="M27" s="1607">
        <f>'Input 2 - Data'!O7</f>
        <v>25037.682000000001</v>
      </c>
      <c r="N27" s="1608">
        <f>'Input 2 - Data'!P7</f>
        <v>27033.056</v>
      </c>
    </row>
    <row r="28" spans="1:29" s="291" customFormat="1" ht="15.75"/>
    <row r="29" spans="1:29" s="291" customFormat="1" ht="15.75">
      <c r="A29" s="291" t="s">
        <v>433</v>
      </c>
      <c r="C29" s="1343"/>
      <c r="D29" s="1343"/>
      <c r="E29" s="1343"/>
      <c r="F29" s="1343"/>
      <c r="G29" s="1343"/>
      <c r="H29" s="1343"/>
      <c r="I29" s="1343"/>
      <c r="J29" s="1343"/>
      <c r="K29" s="1343"/>
      <c r="L29" s="1343"/>
      <c r="M29" s="1343"/>
      <c r="N29" s="1343"/>
    </row>
    <row r="30" spans="1:29" s="291" customFormat="1" ht="15.75">
      <c r="A30" s="291" t="s">
        <v>434</v>
      </c>
    </row>
    <row r="31" spans="1:29" s="25" customFormat="1" ht="15.75">
      <c r="A31" s="529" t="s">
        <v>435</v>
      </c>
      <c r="B31" s="529"/>
      <c r="C31" s="291"/>
      <c r="D31" s="291"/>
      <c r="E31" s="291"/>
      <c r="F31" s="291"/>
      <c r="G31" s="291"/>
      <c r="H31" s="291"/>
      <c r="I31" s="291"/>
      <c r="J31" s="291"/>
      <c r="K31" s="291"/>
      <c r="L31" s="291"/>
      <c r="M31" s="291"/>
      <c r="N31" s="291"/>
    </row>
    <row r="32" spans="1:29" s="25" customFormat="1"/>
    <row r="33" s="25" customFormat="1"/>
    <row r="34" s="25" customFormat="1"/>
    <row r="35" s="25" customFormat="1"/>
    <row r="36" s="25" customFormat="1"/>
    <row r="37" s="25" customFormat="1"/>
    <row r="38" s="25" customFormat="1"/>
    <row r="39" s="25" customFormat="1"/>
    <row r="40" s="25" customFormat="1"/>
    <row r="41" s="25" customFormat="1"/>
    <row r="42" s="25" customFormat="1"/>
    <row r="43" s="25" customFormat="1"/>
    <row r="44" s="25" customFormat="1"/>
  </sheetData>
  <mergeCells count="1">
    <mergeCell ref="A1:C1"/>
  </mergeCells>
  <conditionalFormatting sqref="C12:N12 C14:G14 J14:N14">
    <cfRule type="expression" dxfId="79" priority="3">
      <formula>Guarantees="Yes"</formula>
    </cfRule>
  </conditionalFormatting>
  <conditionalFormatting sqref="O12 O14">
    <cfRule type="expression" dxfId="78" priority="2">
      <formula>Guarantees="Yes"</formula>
    </cfRule>
  </conditionalFormatting>
  <conditionalFormatting sqref="H14:I17">
    <cfRule type="expression" dxfId="77" priority="1">
      <formula>Guarantees="Yes"</formula>
    </cfRule>
  </conditionalFormatting>
  <dataValidations count="1">
    <dataValidation operator="greaterThan" allowBlank="1" showInputMessage="1" showErrorMessage="1" error="Please make sure there are no blanks or errors in any of the cells." sqref="K22:N22 N16:N17 N25 N11:N14 N4 C5:N5 N6:O6" xr:uid="{00000000-0002-0000-0300-000000000000}"/>
  </dataValidations>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FFFF00"/>
  </sheetPr>
  <dimension ref="A1:S102"/>
  <sheetViews>
    <sheetView zoomScale="70" zoomScaleNormal="70" workbookViewId="0">
      <selection sqref="A1:G1"/>
    </sheetView>
  </sheetViews>
  <sheetFormatPr defaultColWidth="9.140625" defaultRowHeight="15"/>
  <cols>
    <col min="1" max="1" width="86.7109375" style="25" customWidth="1"/>
    <col min="2" max="2" width="12.7109375" style="25" customWidth="1"/>
    <col min="3" max="3" width="18" style="26" customWidth="1"/>
    <col min="4" max="8" width="14.5703125" style="26" customWidth="1"/>
    <col min="9" max="9" width="6.7109375" style="25" customWidth="1"/>
    <col min="10" max="10" width="15.28515625" style="25" customWidth="1"/>
    <col min="11" max="11" width="8.5703125" style="27" customWidth="1"/>
    <col min="12" max="12" width="8.85546875" style="27" customWidth="1"/>
    <col min="13" max="13" width="18.42578125" style="27" customWidth="1"/>
    <col min="14" max="16" width="14.5703125" style="27" customWidth="1"/>
    <col min="17" max="17" width="25.85546875" style="27" customWidth="1"/>
    <col min="18" max="18" width="14.5703125" style="27" customWidth="1"/>
    <col min="19" max="16384" width="9.140625" style="25"/>
  </cols>
  <sheetData>
    <row r="1" spans="1:19" s="94" customFormat="1" ht="48.95" customHeight="1">
      <c r="A1" s="1911" t="s">
        <v>1119</v>
      </c>
      <c r="B1" s="1911"/>
      <c r="C1" s="1911"/>
      <c r="D1" s="1911"/>
      <c r="E1" s="1911"/>
      <c r="F1" s="1911"/>
      <c r="G1" s="1911"/>
      <c r="H1" s="1740"/>
      <c r="I1" s="1740"/>
      <c r="J1" s="1740"/>
      <c r="K1" s="1740"/>
      <c r="L1" s="1740"/>
      <c r="M1" s="1740"/>
      <c r="N1" s="93"/>
      <c r="O1" s="93"/>
      <c r="P1" s="93"/>
      <c r="Q1" s="93"/>
      <c r="R1" s="93"/>
    </row>
    <row r="2" spans="1:19" s="364" customFormat="1" ht="18" customHeight="1">
      <c r="A2" s="1912" t="s">
        <v>988</v>
      </c>
      <c r="B2" s="1912"/>
      <c r="C2" s="1912"/>
      <c r="D2" s="1912"/>
      <c r="E2" s="1912"/>
      <c r="F2" s="1912"/>
      <c r="G2" s="1912"/>
      <c r="H2" s="93"/>
      <c r="I2" s="93"/>
      <c r="J2" s="94"/>
      <c r="K2" s="94"/>
      <c r="L2" s="363"/>
      <c r="M2" s="363"/>
      <c r="N2" s="363"/>
      <c r="O2" s="363"/>
      <c r="P2" s="363"/>
      <c r="Q2" s="363"/>
      <c r="R2" s="363"/>
    </row>
    <row r="3" spans="1:19" s="364" customFormat="1" ht="54.75" customHeight="1">
      <c r="A3" s="1913" t="s">
        <v>1197</v>
      </c>
      <c r="B3" s="1913"/>
      <c r="C3" s="1913"/>
      <c r="D3" s="1913"/>
      <c r="E3" s="1913"/>
      <c r="F3" s="1913"/>
      <c r="G3" s="1913"/>
      <c r="H3" s="830"/>
      <c r="I3" s="830"/>
      <c r="J3" s="830"/>
      <c r="K3" s="830"/>
      <c r="L3" s="830"/>
      <c r="M3" s="830"/>
      <c r="N3" s="830"/>
      <c r="O3" s="830"/>
      <c r="P3" s="363"/>
      <c r="Q3" s="363"/>
      <c r="R3" s="363"/>
    </row>
    <row r="4" spans="1:19" s="542" customFormat="1" ht="48.95" customHeight="1">
      <c r="A4" s="1913" t="s">
        <v>1194</v>
      </c>
      <c r="B4" s="1913"/>
      <c r="C4" s="1913"/>
      <c r="D4" s="1913"/>
      <c r="E4" s="1913"/>
      <c r="F4" s="1913"/>
      <c r="G4" s="1913"/>
      <c r="H4" s="540"/>
      <c r="I4" s="540"/>
      <c r="J4" s="540"/>
      <c r="K4" s="540"/>
      <c r="L4" s="540"/>
      <c r="M4" s="540"/>
      <c r="N4" s="875"/>
      <c r="O4" s="875"/>
      <c r="P4" s="876"/>
      <c r="Q4" s="876"/>
      <c r="R4" s="876"/>
    </row>
    <row r="5" spans="1:19" s="542" customFormat="1" ht="3.2" customHeight="1">
      <c r="A5" s="1914"/>
      <c r="B5" s="1914"/>
      <c r="C5" s="1914"/>
      <c r="D5" s="1914"/>
      <c r="E5" s="1914"/>
      <c r="F5" s="1914"/>
      <c r="G5" s="1914"/>
      <c r="H5" s="813"/>
      <c r="I5" s="813"/>
      <c r="J5" s="813"/>
      <c r="K5" s="813"/>
      <c r="L5" s="813"/>
      <c r="M5" s="813"/>
      <c r="N5" s="813"/>
      <c r="O5" s="813"/>
      <c r="P5" s="1368"/>
      <c r="Q5" s="1368"/>
      <c r="R5" s="1368"/>
    </row>
    <row r="6" spans="1:19" s="97" customFormat="1" ht="3.2" customHeight="1">
      <c r="A6" s="1915"/>
      <c r="B6" s="1915"/>
      <c r="C6" s="1915"/>
      <c r="D6" s="1915"/>
      <c r="E6" s="1915"/>
      <c r="F6" s="1915"/>
      <c r="G6" s="1915"/>
      <c r="H6" s="837"/>
      <c r="I6" s="837"/>
      <c r="J6" s="837"/>
      <c r="K6" s="837"/>
      <c r="L6" s="837"/>
      <c r="M6" s="837"/>
      <c r="N6" s="837"/>
      <c r="O6" s="837"/>
      <c r="P6" s="837"/>
      <c r="Q6" s="837"/>
      <c r="R6" s="837"/>
    </row>
    <row r="7" spans="1:19" s="291" customFormat="1" ht="3.2" customHeight="1" thickBot="1">
      <c r="C7" s="365"/>
      <c r="D7" s="365"/>
      <c r="E7" s="365"/>
      <c r="F7" s="365"/>
      <c r="G7" s="365"/>
      <c r="H7" s="365"/>
      <c r="K7" s="358"/>
      <c r="L7" s="358"/>
      <c r="M7" s="358"/>
      <c r="N7" s="358"/>
      <c r="O7" s="358"/>
      <c r="P7" s="358"/>
      <c r="Q7" s="358"/>
      <c r="R7" s="358"/>
    </row>
    <row r="8" spans="1:19" s="291" customFormat="1" ht="33" customHeight="1" thickBot="1">
      <c r="C8" s="366" t="s">
        <v>16</v>
      </c>
      <c r="D8" s="365"/>
      <c r="E8" s="365"/>
      <c r="F8" s="365"/>
      <c r="G8" s="365"/>
      <c r="H8" s="365"/>
      <c r="J8" s="123"/>
      <c r="K8" s="391"/>
      <c r="L8" s="391"/>
      <c r="M8" s="1461"/>
      <c r="N8" s="391"/>
      <c r="O8" s="391"/>
      <c r="P8" s="391"/>
      <c r="Q8" s="391"/>
      <c r="R8" s="391"/>
    </row>
    <row r="9" spans="1:19" s="291" customFormat="1" ht="15" customHeight="1" thickBot="1">
      <c r="C9" s="292">
        <f>FirstYear</f>
        <v>2018</v>
      </c>
      <c r="D9" s="293">
        <f>C9+1</f>
        <v>2019</v>
      </c>
      <c r="E9" s="294">
        <f>D9+1</f>
        <v>2020</v>
      </c>
      <c r="F9" s="294">
        <f>E9+1</f>
        <v>2021</v>
      </c>
      <c r="G9" s="294">
        <f>F9+1</f>
        <v>2022</v>
      </c>
      <c r="H9" s="295">
        <f>G9+1</f>
        <v>2023</v>
      </c>
      <c r="J9" s="123"/>
      <c r="K9" s="391"/>
      <c r="L9" s="391"/>
      <c r="M9" s="718"/>
      <c r="N9" s="718"/>
      <c r="O9" s="718"/>
      <c r="P9" s="718"/>
      <c r="Q9" s="718"/>
      <c r="R9" s="718"/>
    </row>
    <row r="10" spans="1:19" s="291" customFormat="1" ht="6" customHeight="1">
      <c r="C10" s="365"/>
      <c r="D10" s="365"/>
      <c r="E10" s="365"/>
      <c r="F10" s="365"/>
      <c r="G10" s="365"/>
      <c r="H10" s="365"/>
      <c r="J10" s="123"/>
      <c r="K10" s="391"/>
      <c r="L10" s="391"/>
      <c r="M10" s="123"/>
      <c r="N10" s="123"/>
      <c r="O10" s="123"/>
      <c r="P10" s="123"/>
      <c r="Q10" s="123"/>
      <c r="R10" s="123"/>
    </row>
    <row r="11" spans="1:19" s="291" customFormat="1" ht="6" customHeight="1" thickBot="1">
      <c r="C11" s="365"/>
      <c r="D11" s="365"/>
      <c r="E11" s="365"/>
      <c r="F11" s="365"/>
      <c r="G11" s="365"/>
      <c r="H11" s="365"/>
      <c r="J11" s="123"/>
      <c r="K11" s="391"/>
      <c r="L11" s="391"/>
      <c r="M11" s="123"/>
      <c r="N11" s="123"/>
      <c r="O11" s="123"/>
      <c r="P11" s="123"/>
      <c r="Q11" s="123"/>
      <c r="R11" s="123"/>
    </row>
    <row r="12" spans="1:19" s="291" customFormat="1" ht="30.2" customHeight="1" thickBot="1">
      <c r="A12" s="1908" t="s">
        <v>525</v>
      </c>
      <c r="B12" s="1909"/>
      <c r="C12" s="1909"/>
      <c r="D12" s="1909"/>
      <c r="E12" s="1909"/>
      <c r="F12" s="1909"/>
      <c r="G12" s="1909"/>
      <c r="H12" s="1910"/>
      <c r="J12" s="1321"/>
      <c r="K12" s="391"/>
      <c r="L12" s="391"/>
      <c r="M12" s="123"/>
      <c r="N12" s="123"/>
      <c r="O12" s="123"/>
      <c r="P12" s="123"/>
      <c r="Q12" s="123"/>
      <c r="R12" s="123"/>
    </row>
    <row r="13" spans="1:19" s="291" customFormat="1" ht="6" customHeight="1" thickBot="1">
      <c r="C13" s="372"/>
      <c r="D13" s="372"/>
      <c r="E13" s="372"/>
      <c r="F13" s="372"/>
      <c r="G13" s="372"/>
      <c r="H13" s="372"/>
      <c r="J13" s="123"/>
      <c r="K13" s="391"/>
      <c r="L13" s="391"/>
      <c r="M13" s="123"/>
      <c r="N13" s="123"/>
      <c r="O13" s="123"/>
      <c r="P13" s="123"/>
      <c r="Q13" s="123"/>
      <c r="R13" s="123"/>
      <c r="S13" s="832"/>
    </row>
    <row r="14" spans="1:19" s="291" customFormat="1" ht="15" customHeight="1">
      <c r="A14" s="367" t="s">
        <v>9</v>
      </c>
      <c r="B14" s="367" t="str">
        <f>Scale&amp;" LCU"</f>
        <v>Millions LCU</v>
      </c>
      <c r="C14" s="375">
        <f>'Input 2 - Data'!Q5</f>
        <v>23864.203000000001</v>
      </c>
      <c r="D14" s="376">
        <f>'Input 2 - Data'!R5</f>
        <v>24620.374507041077</v>
      </c>
      <c r="E14" s="376">
        <f>'Input 2 - Data'!S5</f>
        <v>25357.683384633368</v>
      </c>
      <c r="F14" s="376">
        <f>'Input 2 - Data'!T5</f>
        <v>26089.796284769458</v>
      </c>
      <c r="G14" s="376">
        <f>'Input 2 - Data'!U5</f>
        <v>26855.016191702667</v>
      </c>
      <c r="H14" s="377">
        <f>'Input 2 - Data'!V5</f>
        <v>27606.956645070342</v>
      </c>
      <c r="J14" s="1741"/>
      <c r="K14" s="1742"/>
      <c r="L14" s="1742"/>
      <c r="M14" s="1741"/>
      <c r="N14" s="1741"/>
      <c r="O14" s="1741"/>
      <c r="P14" s="1741"/>
      <c r="Q14" s="1741"/>
      <c r="R14" s="1741"/>
    </row>
    <row r="15" spans="1:19" s="291" customFormat="1" ht="15" customHeight="1">
      <c r="A15" s="360" t="s">
        <v>1128</v>
      </c>
      <c r="B15" s="360" t="s">
        <v>543</v>
      </c>
      <c r="C15" s="378">
        <f>'Input 2 - Data'!Q6</f>
        <v>123.70000000000002</v>
      </c>
      <c r="D15" s="379">
        <f>'Input 2 - Data'!R6</f>
        <v>127.51707832194421</v>
      </c>
      <c r="E15" s="379">
        <f>'Input 2 - Data'!S6</f>
        <v>131.07969623687819</v>
      </c>
      <c r="F15" s="379">
        <f>'Input 2 - Data'!T6</f>
        <v>134.39805290002872</v>
      </c>
      <c r="G15" s="379">
        <f>'Input 2 - Data'!U6</f>
        <v>137.71065736077003</v>
      </c>
      <c r="H15" s="380">
        <f>'Input 2 - Data'!V6</f>
        <v>141.15342379478929</v>
      </c>
      <c r="J15" s="123"/>
      <c r="K15" s="391"/>
      <c r="L15" s="391"/>
      <c r="M15" s="123"/>
      <c r="N15" s="123"/>
      <c r="O15" s="123"/>
      <c r="P15" s="123"/>
      <c r="Q15" s="123"/>
      <c r="R15" s="123"/>
    </row>
    <row r="16" spans="1:19" s="291" customFormat="1" ht="15" customHeight="1">
      <c r="A16" s="360" t="s">
        <v>10</v>
      </c>
      <c r="B16" s="360" t="str">
        <f>Scale&amp;" LCU"</f>
        <v>Millions LCU</v>
      </c>
      <c r="C16" s="378">
        <f>'Input 2 - Data'!Q7</f>
        <v>29523.664000000001</v>
      </c>
      <c r="D16" s="379">
        <f>'Input 2 - Data'!R7</f>
        <v>31399.058662009902</v>
      </c>
      <c r="E16" s="379">
        <f>'Input 2 - Data'!S7</f>
        <v>33242.878403577437</v>
      </c>
      <c r="F16" s="379">
        <f>'Input 2 - Data'!T7</f>
        <v>35068.507648449682</v>
      </c>
      <c r="G16" s="379">
        <f>'Input 2 - Data'!U7</f>
        <v>36986.785592001797</v>
      </c>
      <c r="H16" s="380">
        <f>'Input 2 - Data'!V7</f>
        <v>38968.164510059883</v>
      </c>
      <c r="J16" s="123"/>
      <c r="K16" s="391"/>
      <c r="L16" s="391"/>
      <c r="M16" s="1663"/>
      <c r="N16" s="1663"/>
      <c r="O16" s="1663"/>
      <c r="P16" s="1663"/>
      <c r="Q16" s="1663"/>
      <c r="R16" s="1663"/>
      <c r="S16" s="290"/>
    </row>
    <row r="17" spans="1:19" s="291" customFormat="1" ht="15" customHeight="1">
      <c r="A17" s="360" t="s">
        <v>1129</v>
      </c>
      <c r="B17" s="360" t="s">
        <v>542</v>
      </c>
      <c r="C17" s="505">
        <f>'Input 2 - Data'!Q11</f>
        <v>1.18</v>
      </c>
      <c r="D17" s="506">
        <f>'Input 2 - Data'!R11</f>
        <v>1.1399999999999999</v>
      </c>
      <c r="E17" s="506">
        <f>'Input 2 - Data'!S11</f>
        <v>1.1399999999999999</v>
      </c>
      <c r="F17" s="506">
        <f>'Input 2 - Data'!T11</f>
        <v>1.1399999999999999</v>
      </c>
      <c r="G17" s="506">
        <f>'Input 2 - Data'!U11</f>
        <v>1.1399999999999999</v>
      </c>
      <c r="H17" s="507">
        <f>'Input 2 - Data'!V11</f>
        <v>1.1399999999999999</v>
      </c>
      <c r="J17" s="123"/>
      <c r="K17" s="391"/>
      <c r="L17" s="391"/>
      <c r="M17" s="1663"/>
      <c r="N17" s="1663"/>
      <c r="O17" s="1663"/>
      <c r="P17" s="1663"/>
      <c r="Q17" s="1663"/>
      <c r="R17" s="1663"/>
      <c r="S17" s="290"/>
    </row>
    <row r="18" spans="1:19" s="291" customFormat="1" ht="15.75" customHeight="1" thickBot="1">
      <c r="A18" s="371" t="s">
        <v>1130</v>
      </c>
      <c r="B18" s="371" t="s">
        <v>542</v>
      </c>
      <c r="C18" s="508">
        <f>'Input 2 - Data'!Q12</f>
        <v>1.18</v>
      </c>
      <c r="D18" s="509">
        <f>'Input 2 - Data'!R12</f>
        <v>1.1399999999999999</v>
      </c>
      <c r="E18" s="509">
        <f>'Input 2 - Data'!S12</f>
        <v>1.1399999999999999</v>
      </c>
      <c r="F18" s="509">
        <f>'Input 2 - Data'!T12</f>
        <v>1.1399999999999999</v>
      </c>
      <c r="G18" s="509">
        <f>'Input 2 - Data'!U12</f>
        <v>1.1399999999999999</v>
      </c>
      <c r="H18" s="510">
        <f>'Input 2 - Data'!V12</f>
        <v>1.1399999999999999</v>
      </c>
      <c r="J18" s="123"/>
      <c r="K18" s="391"/>
      <c r="L18" s="391"/>
      <c r="M18" s="1662"/>
      <c r="N18" s="1662"/>
      <c r="O18" s="1662"/>
      <c r="P18" s="1662"/>
      <c r="Q18" s="1662"/>
      <c r="R18" s="1662"/>
      <c r="S18" s="290"/>
    </row>
    <row r="19" spans="1:19" s="291" customFormat="1" ht="6" customHeight="1" thickBot="1">
      <c r="C19" s="372"/>
      <c r="D19" s="372"/>
      <c r="E19" s="372"/>
      <c r="F19" s="372"/>
      <c r="G19" s="372"/>
      <c r="H19" s="372"/>
      <c r="J19" s="123"/>
      <c r="K19" s="391"/>
      <c r="L19" s="391"/>
      <c r="M19" s="1662"/>
      <c r="N19" s="1662"/>
      <c r="O19" s="1662"/>
      <c r="P19" s="1662"/>
      <c r="Q19" s="1662"/>
      <c r="R19" s="1662"/>
      <c r="S19" s="290"/>
    </row>
    <row r="20" spans="1:19" s="291" customFormat="1" ht="15" customHeight="1">
      <c r="A20" s="373" t="s">
        <v>830</v>
      </c>
      <c r="B20" s="373" t="str">
        <f>Scale&amp;" LCU"</f>
        <v>Millions LCU</v>
      </c>
      <c r="C20" s="375">
        <f>'Input 2 - Data'!Q16</f>
        <v>10859.344779327483</v>
      </c>
      <c r="D20" s="376">
        <f>'Input 2 - Data'!R16</f>
        <v>11272.170578573834</v>
      </c>
      <c r="E20" s="376">
        <f>'Input 2 - Data'!S16</f>
        <v>11855.480543366153</v>
      </c>
      <c r="F20" s="376">
        <f>'Input 2 - Data'!T16</f>
        <v>12312.951138840668</v>
      </c>
      <c r="G20" s="376">
        <f>'Input 2 - Data'!U16</f>
        <v>12792.114757908214</v>
      </c>
      <c r="H20" s="377">
        <f>'Input 2 - Data'!V16</f>
        <v>13477.387243554547</v>
      </c>
      <c r="J20" s="123"/>
      <c r="K20" s="391"/>
      <c r="L20" s="391"/>
      <c r="M20" s="1662"/>
      <c r="N20" s="1662"/>
      <c r="O20" s="1662"/>
      <c r="P20" s="1662"/>
      <c r="Q20" s="1662"/>
      <c r="R20" s="1662"/>
      <c r="S20" s="290"/>
    </row>
    <row r="21" spans="1:19" s="291" customFormat="1" ht="15" customHeight="1">
      <c r="A21" s="314" t="s">
        <v>824</v>
      </c>
      <c r="B21" s="314" t="str">
        <f>Scale&amp;" LCU"</f>
        <v>Millions LCU</v>
      </c>
      <c r="C21" s="378">
        <f>'Input 2 - Data'!Q17</f>
        <v>48.271190640000007</v>
      </c>
      <c r="D21" s="379">
        <f>'Input 2 - Data'!R17</f>
        <v>51.337460912386192</v>
      </c>
      <c r="E21" s="379">
        <f>'Input 2 - Data'!S17</f>
        <v>54.35210618984911</v>
      </c>
      <c r="F21" s="379">
        <f>'Input 2 - Data'!T17</f>
        <v>57.337010005215234</v>
      </c>
      <c r="G21" s="379">
        <f>'Input 2 - Data'!U17</f>
        <v>60.473394442922938</v>
      </c>
      <c r="H21" s="380">
        <f>'Input 2 - Data'!V17</f>
        <v>63.71294897394791</v>
      </c>
      <c r="I21" s="1866"/>
      <c r="J21" s="1867"/>
      <c r="K21" s="1868"/>
      <c r="L21" s="1868"/>
      <c r="M21" s="1868"/>
      <c r="N21" s="1868"/>
      <c r="O21" s="1868"/>
      <c r="P21" s="1868"/>
      <c r="Q21" s="1868"/>
      <c r="R21" s="1869"/>
      <c r="S21" s="1370"/>
    </row>
    <row r="22" spans="1:19" s="291" customFormat="1" ht="15" customHeight="1" thickBot="1">
      <c r="A22" s="361" t="s">
        <v>69</v>
      </c>
      <c r="B22" s="361" t="str">
        <f>Scale&amp;" LCU"</f>
        <v>Millions LCU</v>
      </c>
      <c r="C22" s="381">
        <f>'Input 2 - Data'!Q19</f>
        <v>10874.786208776703</v>
      </c>
      <c r="D22" s="382">
        <f>'Input 2 - Data'!R19</f>
        <v>11257.539277837317</v>
      </c>
      <c r="E22" s="382">
        <f>'Input 2 - Data'!S19</f>
        <v>11752.809072645199</v>
      </c>
      <c r="F22" s="382">
        <f>'Input 2 - Data'!T19</f>
        <v>12235.282378609274</v>
      </c>
      <c r="G22" s="382">
        <f>'Input 2 - Data'!U19</f>
        <v>12469.216138809714</v>
      </c>
      <c r="H22" s="383">
        <f>'Input 2 - Data'!V19</f>
        <v>13137.190973245981</v>
      </c>
      <c r="I22" s="1866"/>
      <c r="J22" s="1870"/>
      <c r="K22" s="1871">
        <v>2018</v>
      </c>
      <c r="L22" s="1871">
        <v>2019</v>
      </c>
      <c r="M22" s="1871">
        <v>2020</v>
      </c>
      <c r="N22" s="1871">
        <v>2021</v>
      </c>
      <c r="O22" s="1871">
        <v>2022</v>
      </c>
      <c r="P22" s="1871">
        <v>2023</v>
      </c>
      <c r="Q22" s="1871"/>
      <c r="R22" s="1872"/>
      <c r="S22" s="290"/>
    </row>
    <row r="23" spans="1:19" s="291" customFormat="1" ht="6" customHeight="1" thickBot="1">
      <c r="C23" s="372"/>
      <c r="D23" s="372"/>
      <c r="E23" s="372"/>
      <c r="F23" s="372"/>
      <c r="G23" s="372"/>
      <c r="H23" s="372"/>
      <c r="I23" s="1866"/>
      <c r="J23" s="1867"/>
      <c r="K23" s="1868"/>
      <c r="L23" s="1868"/>
      <c r="M23" s="1868"/>
      <c r="N23" s="1868"/>
      <c r="O23" s="1868"/>
      <c r="P23" s="1868"/>
      <c r="Q23" s="1868"/>
      <c r="R23" s="1868"/>
    </row>
    <row r="24" spans="1:19" s="291" customFormat="1" ht="15" customHeight="1">
      <c r="A24" s="367" t="s">
        <v>456</v>
      </c>
      <c r="B24" s="373" t="str">
        <f>Scale&amp;" LCU"</f>
        <v>Millions LCU</v>
      </c>
      <c r="C24" s="1846">
        <f>K34</f>
        <v>174.85657659911266</v>
      </c>
      <c r="D24" s="1847">
        <f t="shared" ref="D24:H24" si="0">L34</f>
        <v>162.29082986591305</v>
      </c>
      <c r="E24" s="1847">
        <f t="shared" si="0"/>
        <v>139.59781983027952</v>
      </c>
      <c r="F24" s="1847">
        <f t="shared" si="0"/>
        <v>135.40250794027952</v>
      </c>
      <c r="G24" s="1847">
        <f t="shared" si="0"/>
        <v>103.26669278984103</v>
      </c>
      <c r="H24" s="1848">
        <f t="shared" si="0"/>
        <v>95.657544050000013</v>
      </c>
      <c r="I24" s="1866"/>
      <c r="J24" s="1867" t="s">
        <v>2541</v>
      </c>
      <c r="K24" s="1873">
        <f>156.69933205</f>
        <v>156.69933205000001</v>
      </c>
      <c r="L24" s="1873">
        <v>148.08857140000001</v>
      </c>
      <c r="M24" s="1873">
        <v>128.37109339</v>
      </c>
      <c r="N24" s="1873">
        <v>124.87876900000001</v>
      </c>
      <c r="O24" s="1873">
        <v>98.511956609999999</v>
      </c>
      <c r="P24" s="1873">
        <v>94.87700000000001</v>
      </c>
      <c r="Q24" s="1874" t="s">
        <v>2546</v>
      </c>
      <c r="R24" s="1875"/>
      <c r="S24" s="290"/>
    </row>
    <row r="25" spans="1:19" s="291" customFormat="1" ht="15" customHeight="1" thickBot="1">
      <c r="A25" s="361" t="s">
        <v>455</v>
      </c>
      <c r="B25" s="361" t="str">
        <f>Scale&amp;" LCU"</f>
        <v>Millions LCU</v>
      </c>
      <c r="C25" s="1849">
        <f>K35</f>
        <v>36.103082014354982</v>
      </c>
      <c r="D25" s="1850">
        <f t="shared" ref="D25:H25" si="1">L35</f>
        <v>36.793459074872004</v>
      </c>
      <c r="E25" s="1850">
        <f t="shared" si="1"/>
        <v>28.352366134432003</v>
      </c>
      <c r="F25" s="1850">
        <f t="shared" si="1"/>
        <v>10.689095726641995</v>
      </c>
      <c r="G25" s="1850">
        <f t="shared" si="1"/>
        <v>0.23301181859500275</v>
      </c>
      <c r="H25" s="1851">
        <f t="shared" si="1"/>
        <v>0.22278209171348351</v>
      </c>
      <c r="I25" s="1866"/>
      <c r="J25" s="1867"/>
      <c r="K25" s="1873">
        <f>192.802414064355-K24</f>
        <v>36.103082014354982</v>
      </c>
      <c r="L25" s="1873">
        <f>184.882030474872-L24</f>
        <v>36.793459074872004</v>
      </c>
      <c r="M25" s="1873">
        <f>156.723459524432-M24</f>
        <v>28.352366134432003</v>
      </c>
      <c r="N25" s="1873">
        <f>135.567864726642-N24</f>
        <v>10.689095726641995</v>
      </c>
      <c r="O25" s="1873">
        <f>98.744968428595-O24</f>
        <v>0.23301181859500275</v>
      </c>
      <c r="P25" s="1873">
        <f>95.0997820917135-P24</f>
        <v>0.22278209171348351</v>
      </c>
      <c r="Q25" s="1874" t="s">
        <v>2547</v>
      </c>
      <c r="R25" s="1875"/>
      <c r="S25" s="290"/>
    </row>
    <row r="26" spans="1:19" s="291" customFormat="1" ht="6" customHeight="1" thickBot="1">
      <c r="A26" s="1664"/>
      <c r="B26" s="1664"/>
      <c r="C26" s="384"/>
      <c r="D26" s="384"/>
      <c r="E26" s="384"/>
      <c r="F26" s="384"/>
      <c r="G26" s="384"/>
      <c r="H26" s="384"/>
      <c r="I26" s="1866"/>
      <c r="J26" s="1867"/>
      <c r="K26" s="1869"/>
      <c r="L26" s="1869"/>
      <c r="M26" s="1873"/>
      <c r="N26" s="1875"/>
      <c r="O26" s="1875"/>
      <c r="P26" s="1875"/>
      <c r="Q26" s="1875"/>
      <c r="R26" s="1875"/>
      <c r="S26" s="1632"/>
    </row>
    <row r="27" spans="1:19" s="291" customFormat="1" ht="15.75">
      <c r="A27" s="373" t="s">
        <v>457</v>
      </c>
      <c r="B27" s="373" t="str">
        <f>Scale&amp;" LCU"</f>
        <v>Millions LCU</v>
      </c>
      <c r="C27" s="1852">
        <f>K37</f>
        <v>880.82751076386637</v>
      </c>
      <c r="D27" s="1853">
        <f t="shared" ref="D27:H27" si="2">L37</f>
        <v>974.88479061012663</v>
      </c>
      <c r="E27" s="1853">
        <f t="shared" si="2"/>
        <v>693.56222634999995</v>
      </c>
      <c r="F27" s="1853">
        <f t="shared" si="2"/>
        <v>1100.0445500352976</v>
      </c>
      <c r="G27" s="1853">
        <f t="shared" si="2"/>
        <v>305.67470971030548</v>
      </c>
      <c r="H27" s="1854">
        <f t="shared" si="2"/>
        <v>259.28679624</v>
      </c>
      <c r="I27" s="1866"/>
      <c r="J27" s="1867"/>
      <c r="K27" s="1873">
        <v>508.54362828000001</v>
      </c>
      <c r="L27" s="1873">
        <v>598.76938586000006</v>
      </c>
      <c r="M27" s="1873">
        <v>579.09022634999997</v>
      </c>
      <c r="N27" s="1873">
        <v>1008.4258638399999</v>
      </c>
      <c r="O27" s="1873">
        <v>82.700844380000007</v>
      </c>
      <c r="P27" s="1873">
        <v>7.4835832799999995</v>
      </c>
      <c r="Q27" s="1876" t="s">
        <v>2548</v>
      </c>
      <c r="R27" s="1877"/>
    </row>
    <row r="28" spans="1:19" s="291" customFormat="1" ht="16.5" thickBot="1">
      <c r="A28" s="361" t="s">
        <v>458</v>
      </c>
      <c r="B28" s="361" t="str">
        <f>Scale&amp;" LCU"</f>
        <v>Millions LCU</v>
      </c>
      <c r="C28" s="1855">
        <f>K39</f>
        <v>3.4469856692949747</v>
      </c>
      <c r="D28" s="1856">
        <f t="shared" ref="D28:H28" si="3">L39</f>
        <v>0.42613768651699502</v>
      </c>
      <c r="E28" s="1856">
        <f t="shared" si="3"/>
        <v>613.46644681095995</v>
      </c>
      <c r="F28" s="1856">
        <f t="shared" si="3"/>
        <v>352.96984703798012</v>
      </c>
      <c r="G28" s="1856">
        <f t="shared" si="3"/>
        <v>0.34099085799599038</v>
      </c>
      <c r="H28" s="1857">
        <f t="shared" si="3"/>
        <v>0</v>
      </c>
      <c r="I28" s="1866"/>
      <c r="J28" s="1867"/>
      <c r="K28" s="1873">
        <f>511.990613949295-K27</f>
        <v>3.4469856692949747</v>
      </c>
      <c r="L28" s="1873">
        <f>599.195523546517-L27</f>
        <v>0.42613768651699502</v>
      </c>
      <c r="M28" s="1873">
        <f>1192.55667316096-M27</f>
        <v>613.46644681095995</v>
      </c>
      <c r="N28" s="1873">
        <f>1361.39571087798-N27</f>
        <v>352.96984703798012</v>
      </c>
      <c r="O28" s="1873">
        <f>83.041835237996-O27</f>
        <v>0.34099085799599038</v>
      </c>
      <c r="P28" s="1873">
        <f>7.48358328-P27</f>
        <v>0</v>
      </c>
      <c r="Q28" s="1876" t="s">
        <v>2549</v>
      </c>
      <c r="R28" s="1877"/>
    </row>
    <row r="29" spans="1:19" s="291" customFormat="1" ht="6" customHeight="1" thickBot="1">
      <c r="C29" s="372"/>
      <c r="D29" s="372"/>
      <c r="E29" s="372"/>
      <c r="F29" s="372"/>
      <c r="G29" s="372"/>
      <c r="H29" s="372"/>
      <c r="I29" s="1866"/>
      <c r="J29" s="1867"/>
      <c r="K29" s="1868"/>
      <c r="L29" s="1867"/>
      <c r="M29" s="1867"/>
      <c r="N29" s="1867"/>
      <c r="O29" s="1867"/>
      <c r="P29" s="1867"/>
      <c r="Q29" s="1867"/>
      <c r="R29" s="1867"/>
    </row>
    <row r="30" spans="1:19" s="291" customFormat="1" ht="16.5" customHeight="1" thickBot="1">
      <c r="A30" s="374" t="s">
        <v>5</v>
      </c>
      <c r="B30" s="374" t="str">
        <f>Scale&amp;" LCU"</f>
        <v>Millions LCU</v>
      </c>
      <c r="C30" s="392">
        <f>'Input 2 - Data'!Q26</f>
        <v>0</v>
      </c>
      <c r="D30" s="384">
        <f>'Input 2 - Data'!R26</f>
        <v>0</v>
      </c>
      <c r="E30" s="384">
        <f>'Input 2 - Data'!S26</f>
        <v>0</v>
      </c>
      <c r="F30" s="384">
        <f>'Input 2 - Data'!T26</f>
        <v>0</v>
      </c>
      <c r="G30" s="384">
        <f>'Input 2 - Data'!U26</f>
        <v>0</v>
      </c>
      <c r="H30" s="385">
        <f>'Input 2 - Data'!V26</f>
        <v>0</v>
      </c>
      <c r="I30" s="1866"/>
      <c r="J30" s="1878" t="s">
        <v>2542</v>
      </c>
      <c r="K30" s="1873">
        <v>18.15724454911264</v>
      </c>
      <c r="L30" s="1873">
        <v>14.202258465913058</v>
      </c>
      <c r="M30" s="1873">
        <v>11.22672644027951</v>
      </c>
      <c r="N30" s="1873">
        <v>10.523738940279509</v>
      </c>
      <c r="O30" s="1873">
        <v>4.7547361798410366</v>
      </c>
      <c r="P30" s="1873">
        <v>0.78054405000000004</v>
      </c>
      <c r="Q30" s="1867" t="s">
        <v>2546</v>
      </c>
      <c r="R30" s="1867"/>
    </row>
    <row r="31" spans="1:19" s="291" customFormat="1" ht="6" customHeight="1" thickBot="1">
      <c r="C31" s="372"/>
      <c r="D31" s="372"/>
      <c r="E31" s="372"/>
      <c r="F31" s="372"/>
      <c r="G31" s="372"/>
      <c r="H31" s="372"/>
      <c r="I31" s="1866"/>
      <c r="J31" s="1867"/>
      <c r="K31" s="1873"/>
      <c r="L31" s="1873"/>
      <c r="M31" s="1873"/>
      <c r="N31" s="1873"/>
      <c r="O31" s="1873"/>
      <c r="P31" s="1873"/>
      <c r="Q31" s="1868"/>
      <c r="R31" s="1868"/>
    </row>
    <row r="32" spans="1:19" s="291" customFormat="1" ht="15.75" customHeight="1">
      <c r="A32" s="373" t="s">
        <v>317</v>
      </c>
      <c r="B32" s="373" t="str">
        <f>Scale&amp;" LCU"</f>
        <v>Millions LCU</v>
      </c>
      <c r="C32" s="814">
        <f>Baseline!B22</f>
        <v>0</v>
      </c>
      <c r="D32" s="376">
        <f>Baseline!C22</f>
        <v>18.524999999999999</v>
      </c>
      <c r="E32" s="376">
        <f>Baseline!D22</f>
        <v>39.375</v>
      </c>
      <c r="F32" s="376">
        <f>Baseline!E22</f>
        <v>80.174999999999997</v>
      </c>
      <c r="G32" s="376">
        <f>Baseline!F22</f>
        <v>103.175</v>
      </c>
      <c r="H32" s="377">
        <f>Baseline!G22</f>
        <v>116.425</v>
      </c>
      <c r="I32" s="1866"/>
      <c r="J32" s="1879"/>
      <c r="K32" s="1873">
        <v>372.28388248386636</v>
      </c>
      <c r="L32" s="1873">
        <v>376.11540475012663</v>
      </c>
      <c r="M32" s="1873">
        <v>114.47199999999999</v>
      </c>
      <c r="N32" s="1873">
        <v>91.618686195297684</v>
      </c>
      <c r="O32" s="1873">
        <v>222.97386533030544</v>
      </c>
      <c r="P32" s="1873">
        <v>251.80321296</v>
      </c>
      <c r="Q32" s="1876" t="s">
        <v>2548</v>
      </c>
      <c r="R32" s="1873"/>
    </row>
    <row r="33" spans="1:18" s="291" customFormat="1" ht="15.75">
      <c r="A33" s="314" t="s">
        <v>318</v>
      </c>
      <c r="B33" s="314" t="str">
        <f>Scale&amp;" LCU"</f>
        <v>Millions LCU</v>
      </c>
      <c r="C33" s="815">
        <f>Baseline!B23</f>
        <v>0</v>
      </c>
      <c r="D33" s="379">
        <f>Baseline!C23</f>
        <v>0</v>
      </c>
      <c r="E33" s="379">
        <f>Baseline!D23</f>
        <v>0</v>
      </c>
      <c r="F33" s="379">
        <f>Baseline!E23</f>
        <v>0</v>
      </c>
      <c r="G33" s="379">
        <f>Baseline!F23</f>
        <v>0</v>
      </c>
      <c r="H33" s="380">
        <f>Baseline!G23</f>
        <v>0</v>
      </c>
      <c r="I33" s="1866"/>
      <c r="J33" s="1880"/>
      <c r="K33" s="1867"/>
      <c r="L33" s="1867"/>
      <c r="M33" s="1873"/>
      <c r="N33" s="1873"/>
      <c r="O33" s="1873"/>
      <c r="P33" s="1873"/>
      <c r="Q33" s="1873"/>
      <c r="R33" s="1873"/>
    </row>
    <row r="34" spans="1:18" s="291" customFormat="1" ht="15.75" customHeight="1">
      <c r="A34" s="314" t="s">
        <v>319</v>
      </c>
      <c r="B34" s="314" t="str">
        <f>Scale&amp;" LCU"</f>
        <v>Millions LCU</v>
      </c>
      <c r="C34" s="815">
        <f>Baseline!B24</f>
        <v>0</v>
      </c>
      <c r="D34" s="379">
        <f>Baseline!C24</f>
        <v>-267.59560614415022</v>
      </c>
      <c r="E34" s="379">
        <f>Baseline!D24</f>
        <v>-560.64415055562313</v>
      </c>
      <c r="F34" s="379">
        <f>Baseline!E24</f>
        <v>-1123.313868340756</v>
      </c>
      <c r="G34" s="379">
        <f>Baseline!F24</f>
        <v>-679.03863783716588</v>
      </c>
      <c r="H34" s="380">
        <f>Baseline!G24</f>
        <v>-944.72024620185221</v>
      </c>
      <c r="I34" s="1866" t="s">
        <v>2543</v>
      </c>
      <c r="J34" s="1882" t="s">
        <v>2544</v>
      </c>
      <c r="K34" s="1873">
        <f>K24+K30</f>
        <v>174.85657659911266</v>
      </c>
      <c r="L34" s="1873">
        <f t="shared" ref="L34:P34" si="4">L24+L30</f>
        <v>162.29082986591305</v>
      </c>
      <c r="M34" s="1873">
        <f t="shared" si="4"/>
        <v>139.59781983027952</v>
      </c>
      <c r="N34" s="1873">
        <f t="shared" si="4"/>
        <v>135.40250794027952</v>
      </c>
      <c r="O34" s="1873">
        <f t="shared" si="4"/>
        <v>103.26669278984103</v>
      </c>
      <c r="P34" s="1873">
        <f t="shared" si="4"/>
        <v>95.657544050000013</v>
      </c>
      <c r="Q34" s="1874" t="s">
        <v>2546</v>
      </c>
      <c r="R34" s="1873"/>
    </row>
    <row r="35" spans="1:18" s="291" customFormat="1" ht="16.5" thickBot="1">
      <c r="A35" s="361" t="s">
        <v>320</v>
      </c>
      <c r="B35" s="361" t="str">
        <f>Scale&amp;" LCU"</f>
        <v>Millions LCU</v>
      </c>
      <c r="C35" s="816">
        <f>Baseline!B25</f>
        <v>0</v>
      </c>
      <c r="D35" s="382">
        <f>Baseline!C25</f>
        <v>0</v>
      </c>
      <c r="E35" s="382">
        <f>Baseline!D25</f>
        <v>0</v>
      </c>
      <c r="F35" s="382">
        <f>Baseline!E25</f>
        <v>0</v>
      </c>
      <c r="G35" s="382">
        <f>Baseline!F25</f>
        <v>0</v>
      </c>
      <c r="H35" s="383">
        <f>Baseline!G25</f>
        <v>0</v>
      </c>
      <c r="I35" s="1866"/>
      <c r="J35" s="1880"/>
      <c r="K35" s="1873">
        <f>K25</f>
        <v>36.103082014354982</v>
      </c>
      <c r="L35" s="1873">
        <f t="shared" ref="L35:P35" si="5">L25</f>
        <v>36.793459074872004</v>
      </c>
      <c r="M35" s="1873">
        <f t="shared" si="5"/>
        <v>28.352366134432003</v>
      </c>
      <c r="N35" s="1873">
        <f t="shared" si="5"/>
        <v>10.689095726641995</v>
      </c>
      <c r="O35" s="1873">
        <f t="shared" si="5"/>
        <v>0.23301181859500275</v>
      </c>
      <c r="P35" s="1873">
        <f t="shared" si="5"/>
        <v>0.22278209171348351</v>
      </c>
      <c r="Q35" s="1874" t="s">
        <v>2547</v>
      </c>
      <c r="R35" s="1873"/>
    </row>
    <row r="36" spans="1:18" s="291" customFormat="1" ht="6" customHeight="1" thickBot="1">
      <c r="C36" s="372"/>
      <c r="D36" s="372"/>
      <c r="E36" s="372"/>
      <c r="F36" s="372"/>
      <c r="G36" s="372"/>
      <c r="H36" s="372"/>
      <c r="I36" s="1866"/>
      <c r="J36" s="1867"/>
      <c r="K36" s="1873"/>
      <c r="L36" s="1873"/>
      <c r="M36" s="1873"/>
      <c r="N36" s="1873"/>
      <c r="O36" s="1873"/>
      <c r="P36" s="1873"/>
      <c r="Q36" s="1868"/>
      <c r="R36" s="1868"/>
    </row>
    <row r="37" spans="1:18" s="291" customFormat="1" ht="16.5" thickBot="1">
      <c r="A37" s="374" t="s">
        <v>4</v>
      </c>
      <c r="B37" s="374" t="str">
        <f>Scale&amp;" LCU"</f>
        <v>Millions LCU</v>
      </c>
      <c r="C37" s="384">
        <f t="shared" ref="C37:H37" si="6">SUM(C22:C25,C27:C28,C30,C32:C35)-SUM(C20:C21)</f>
        <v>1062.4043938558498</v>
      </c>
      <c r="D37" s="384">
        <f t="shared" si="6"/>
        <v>859.35584944437687</v>
      </c>
      <c r="E37" s="384">
        <f t="shared" si="6"/>
        <v>796.68613165924398</v>
      </c>
      <c r="F37" s="384">
        <f t="shared" si="6"/>
        <v>420.96136216283412</v>
      </c>
      <c r="G37" s="384">
        <f>SUM(G22:G25,G27:G28,G30,G32:G35)-SUM(G20:G21)</f>
        <v>-549.72024620185221</v>
      </c>
      <c r="H37" s="385">
        <f t="shared" si="6"/>
        <v>-877.03734310265281</v>
      </c>
      <c r="I37" s="1866"/>
      <c r="J37" s="340" t="s">
        <v>2545</v>
      </c>
      <c r="K37" s="1873">
        <f>K27+K32</f>
        <v>880.82751076386637</v>
      </c>
      <c r="L37" s="1873">
        <f t="shared" ref="L37:P37" si="7">L27+L32</f>
        <v>974.88479061012663</v>
      </c>
      <c r="M37" s="1873">
        <f t="shared" si="7"/>
        <v>693.56222634999995</v>
      </c>
      <c r="N37" s="1873">
        <f t="shared" si="7"/>
        <v>1100.0445500352976</v>
      </c>
      <c r="O37" s="1873">
        <f t="shared" si="7"/>
        <v>305.67470971030548</v>
      </c>
      <c r="P37" s="1873">
        <f t="shared" si="7"/>
        <v>259.28679624</v>
      </c>
      <c r="Q37" s="1876" t="s">
        <v>2548</v>
      </c>
      <c r="R37" s="1868"/>
    </row>
    <row r="38" spans="1:18" s="291" customFormat="1" ht="6" customHeight="1" thickBot="1">
      <c r="C38" s="372"/>
      <c r="D38" s="372"/>
      <c r="E38" s="372"/>
      <c r="F38" s="372"/>
      <c r="G38" s="372"/>
      <c r="H38" s="372"/>
      <c r="I38" s="1866"/>
      <c r="J38" s="1867"/>
      <c r="K38" s="1873"/>
      <c r="L38" s="1873"/>
      <c r="M38" s="1873"/>
      <c r="N38" s="1873"/>
      <c r="O38" s="1873"/>
      <c r="P38" s="1873"/>
      <c r="Q38" s="1876"/>
      <c r="R38" s="1881"/>
    </row>
    <row r="39" spans="1:18" s="291" customFormat="1" ht="15.75">
      <c r="A39" s="367" t="s">
        <v>1131</v>
      </c>
      <c r="B39" s="367" t="str">
        <f>Scale&amp;" LCU"</f>
        <v>Millions LCU</v>
      </c>
      <c r="C39" s="375">
        <f>'Input 2 - Data'!Q28</f>
        <v>0</v>
      </c>
      <c r="D39" s="376">
        <f>'Input 2 - Data'!R28</f>
        <v>0</v>
      </c>
      <c r="E39" s="376">
        <f>'Input 2 - Data'!S28</f>
        <v>0</v>
      </c>
      <c r="F39" s="376">
        <f>'Input 2 - Data'!T28</f>
        <v>0</v>
      </c>
      <c r="G39" s="376">
        <f>'Input 2 - Data'!U28</f>
        <v>0</v>
      </c>
      <c r="H39" s="377">
        <f>'Input 2 - Data'!V28</f>
        <v>0</v>
      </c>
      <c r="I39" s="1866"/>
      <c r="J39" s="1867"/>
      <c r="K39" s="1873">
        <f>K28</f>
        <v>3.4469856692949747</v>
      </c>
      <c r="L39" s="1873">
        <f t="shared" ref="L39:P39" si="8">L28</f>
        <v>0.42613768651699502</v>
      </c>
      <c r="M39" s="1873">
        <f t="shared" si="8"/>
        <v>613.46644681095995</v>
      </c>
      <c r="N39" s="1873">
        <f t="shared" si="8"/>
        <v>352.96984703798012</v>
      </c>
      <c r="O39" s="1873">
        <f t="shared" si="8"/>
        <v>0.34099085799599038</v>
      </c>
      <c r="P39" s="1873">
        <f t="shared" si="8"/>
        <v>0</v>
      </c>
      <c r="Q39" s="1876" t="s">
        <v>2549</v>
      </c>
      <c r="R39" s="1881"/>
    </row>
    <row r="40" spans="1:18" s="291" customFormat="1" ht="15.75">
      <c r="A40" s="360" t="s">
        <v>1132</v>
      </c>
      <c r="B40" s="360" t="str">
        <f>Scale&amp;" LCU"</f>
        <v>Millions LCU</v>
      </c>
      <c r="C40" s="378">
        <f>'Input 2 - Data'!Q29</f>
        <v>0</v>
      </c>
      <c r="D40" s="379">
        <f>'Input 2 - Data'!R29</f>
        <v>0</v>
      </c>
      <c r="E40" s="379">
        <f>'Input 2 - Data'!S29</f>
        <v>0</v>
      </c>
      <c r="F40" s="379">
        <f>'Input 2 - Data'!T29</f>
        <v>0</v>
      </c>
      <c r="G40" s="379">
        <f>'Input 2 - Data'!U29</f>
        <v>0</v>
      </c>
      <c r="H40" s="380">
        <f>'Input 2 - Data'!V29</f>
        <v>0</v>
      </c>
      <c r="I40" s="1866"/>
      <c r="J40" s="1866"/>
      <c r="K40" s="1881"/>
      <c r="L40" s="1881"/>
      <c r="M40" s="1881"/>
      <c r="N40" s="1881"/>
      <c r="O40" s="1881"/>
      <c r="P40" s="1881"/>
      <c r="Q40" s="1881"/>
      <c r="R40" s="1881"/>
    </row>
    <row r="41" spans="1:18" s="291" customFormat="1" ht="15.75">
      <c r="A41" s="360" t="s">
        <v>989</v>
      </c>
      <c r="B41" s="360" t="str">
        <f>Scale&amp;" LCU"</f>
        <v>Millions LCU</v>
      </c>
      <c r="C41" s="378">
        <f>'Input 2 - Data'!Q30</f>
        <v>0</v>
      </c>
      <c r="D41" s="379">
        <f>'Input 2 - Data'!R30</f>
        <v>0</v>
      </c>
      <c r="E41" s="379">
        <f>'Input 2 - Data'!S30</f>
        <v>0</v>
      </c>
      <c r="F41" s="379">
        <f>'Input 2 - Data'!T30</f>
        <v>0</v>
      </c>
      <c r="G41" s="379">
        <f>'Input 2 - Data'!U30</f>
        <v>0</v>
      </c>
      <c r="H41" s="380">
        <f>'Input 2 - Data'!V30</f>
        <v>0</v>
      </c>
      <c r="K41" s="358"/>
      <c r="L41" s="358"/>
      <c r="M41" s="358"/>
      <c r="N41" s="358"/>
      <c r="O41" s="358"/>
      <c r="P41" s="358"/>
      <c r="Q41" s="358"/>
      <c r="R41" s="358"/>
    </row>
    <row r="42" spans="1:18" s="291" customFormat="1" ht="15.75">
      <c r="A42" s="360" t="str">
        <f>'Input 2 - Data'!D31</f>
        <v>Please specify (1) (e.g., privatization receipts) (+ reduces financing needs)</v>
      </c>
      <c r="B42" s="360" t="str">
        <f>Scale&amp;" LCU"</f>
        <v>Millions LCU</v>
      </c>
      <c r="C42" s="378">
        <f>'Input 2 - Data'!Q31</f>
        <v>0</v>
      </c>
      <c r="D42" s="379">
        <f>'Input 2 - Data'!R31</f>
        <v>0</v>
      </c>
      <c r="E42" s="379">
        <f>'Input 2 - Data'!S31</f>
        <v>0</v>
      </c>
      <c r="F42" s="379">
        <f>'Input 2 - Data'!T31</f>
        <v>0</v>
      </c>
      <c r="G42" s="379">
        <f>'Input 2 - Data'!U31</f>
        <v>0</v>
      </c>
      <c r="H42" s="380">
        <f>'Input 2 - Data'!V31</f>
        <v>0</v>
      </c>
      <c r="K42" s="358"/>
      <c r="L42" s="358"/>
      <c r="M42" s="358"/>
      <c r="N42" s="358"/>
      <c r="O42" s="358"/>
      <c r="P42" s="358"/>
      <c r="Q42" s="358"/>
      <c r="R42" s="358"/>
    </row>
    <row r="43" spans="1:18" s="291" customFormat="1" ht="16.5" thickBot="1">
      <c r="A43" s="371" t="str">
        <f>'Input 2 - Data'!D32</f>
        <v>Please specify (2) (e.g., other debt flows) (+ increases financing needs)</v>
      </c>
      <c r="B43" s="371" t="str">
        <f>Scale&amp;" LCU"</f>
        <v>Millions LCU</v>
      </c>
      <c r="C43" s="381">
        <f>'Input 2 - Data'!Q32</f>
        <v>0</v>
      </c>
      <c r="D43" s="382">
        <f>'Input 2 - Data'!R32</f>
        <v>0</v>
      </c>
      <c r="E43" s="382">
        <f>'Input 2 - Data'!S32</f>
        <v>0</v>
      </c>
      <c r="F43" s="382">
        <f>'Input 2 - Data'!T32</f>
        <v>0</v>
      </c>
      <c r="G43" s="382">
        <f>'Input 2 - Data'!U32</f>
        <v>0</v>
      </c>
      <c r="H43" s="383">
        <f>'Input 2 - Data'!V32</f>
        <v>0</v>
      </c>
      <c r="K43" s="358"/>
      <c r="L43" s="358"/>
      <c r="M43" s="358"/>
      <c r="N43" s="358"/>
      <c r="O43" s="358"/>
      <c r="P43" s="358"/>
      <c r="Q43" s="358"/>
      <c r="R43" s="358"/>
    </row>
    <row r="44" spans="1:18" s="291" customFormat="1" ht="6" customHeight="1" thickBot="1">
      <c r="C44" s="372"/>
      <c r="D44" s="372"/>
      <c r="E44" s="372"/>
      <c r="F44" s="372"/>
      <c r="G44" s="372"/>
      <c r="H44" s="372"/>
      <c r="K44" s="358"/>
      <c r="L44" s="358"/>
      <c r="M44" s="358"/>
      <c r="N44" s="358"/>
      <c r="O44" s="358"/>
      <c r="P44" s="358"/>
      <c r="Q44" s="358"/>
      <c r="R44" s="358"/>
    </row>
    <row r="45" spans="1:18" s="291" customFormat="1" ht="16.5" thickBot="1">
      <c r="A45" s="1164" t="s">
        <v>977</v>
      </c>
      <c r="B45" s="1164" t="str">
        <f>Scale&amp;" LCU"</f>
        <v>Millions LCU</v>
      </c>
      <c r="C45" s="384">
        <f t="shared" ref="C45:G45" si="9">C37-C39-C40-C41-C42+C43</f>
        <v>1062.4043938558498</v>
      </c>
      <c r="D45" s="384">
        <f>D37-D39-D40-D41-D42+D43</f>
        <v>859.35584944437687</v>
      </c>
      <c r="E45" s="384">
        <f t="shared" si="9"/>
        <v>796.68613165924398</v>
      </c>
      <c r="F45" s="384">
        <f t="shared" si="9"/>
        <v>420.96136216283412</v>
      </c>
      <c r="G45" s="384">
        <f t="shared" si="9"/>
        <v>-549.72024620185221</v>
      </c>
      <c r="H45" s="385">
        <f>H37-H39-H40-H41-H42+H43</f>
        <v>-877.03734310265281</v>
      </c>
      <c r="K45" s="358"/>
      <c r="L45" s="358"/>
      <c r="M45" s="358"/>
      <c r="N45" s="358"/>
      <c r="O45" s="358"/>
      <c r="P45" s="358"/>
      <c r="Q45" s="358"/>
      <c r="R45" s="358"/>
    </row>
    <row r="46" spans="1:18" ht="6" customHeight="1" thickBot="1">
      <c r="A46" s="115"/>
      <c r="B46" s="447"/>
      <c r="C46" s="34"/>
      <c r="D46" s="34"/>
      <c r="E46" s="34"/>
      <c r="F46" s="34"/>
      <c r="G46" s="34"/>
      <c r="H46" s="34"/>
      <c r="M46" s="1883"/>
      <c r="N46" s="1883"/>
    </row>
    <row r="47" spans="1:18" ht="33" customHeight="1" thickBot="1">
      <c r="A47" s="447"/>
      <c r="B47" s="447"/>
      <c r="C47" s="366" t="s">
        <v>16</v>
      </c>
      <c r="D47" s="34"/>
      <c r="E47" s="34"/>
      <c r="F47" s="34"/>
      <c r="G47" s="34"/>
      <c r="H47" s="34"/>
      <c r="M47" s="1883">
        <f>C60/C59*100</f>
        <v>100</v>
      </c>
      <c r="N47" s="1883">
        <f>D60/D59*100</f>
        <v>100</v>
      </c>
    </row>
    <row r="48" spans="1:18" ht="15" customHeight="1" thickBot="1">
      <c r="A48" s="447"/>
      <c r="B48" s="447"/>
      <c r="C48" s="292">
        <f>FirstYear</f>
        <v>2018</v>
      </c>
      <c r="D48" s="293">
        <f>C48+1</f>
        <v>2019</v>
      </c>
      <c r="E48" s="294">
        <f>D48+1</f>
        <v>2020</v>
      </c>
      <c r="F48" s="294">
        <f>E48+1</f>
        <v>2021</v>
      </c>
      <c r="G48" s="294">
        <f>F48+1</f>
        <v>2022</v>
      </c>
      <c r="H48" s="295">
        <f>G48+1</f>
        <v>2023</v>
      </c>
    </row>
    <row r="49" spans="1:19" s="291" customFormat="1" ht="6" customHeight="1" thickBot="1">
      <c r="C49" s="372"/>
      <c r="D49" s="372"/>
      <c r="E49" s="372"/>
      <c r="F49" s="372"/>
      <c r="G49" s="372"/>
      <c r="H49" s="372"/>
      <c r="K49" s="358"/>
      <c r="L49" s="358"/>
      <c r="M49" s="358"/>
      <c r="N49" s="358"/>
      <c r="O49" s="358"/>
      <c r="P49" s="358"/>
      <c r="Q49" s="358"/>
      <c r="R49" s="832"/>
      <c r="S49" s="832"/>
    </row>
    <row r="50" spans="1:19" ht="50.1" customHeight="1" thickBot="1">
      <c r="A50" s="1908" t="s">
        <v>524</v>
      </c>
      <c r="B50" s="1909"/>
      <c r="C50" s="1909"/>
      <c r="D50" s="1909"/>
      <c r="E50" s="1909"/>
      <c r="F50" s="1909"/>
      <c r="G50" s="1909"/>
      <c r="H50" s="1910"/>
      <c r="J50" s="855" t="s">
        <v>459</v>
      </c>
      <c r="K50" s="855" t="s">
        <v>38</v>
      </c>
      <c r="L50" s="856" t="s">
        <v>39</v>
      </c>
      <c r="M50" s="855" t="str">
        <f t="shared" ref="M50:R50" si="10">CONCATENATE("Interest Rate on debt issued in ",C9)</f>
        <v>Interest Rate on debt issued in 2018</v>
      </c>
      <c r="N50" s="855" t="str">
        <f t="shared" si="10"/>
        <v>Interest Rate on debt issued in 2019</v>
      </c>
      <c r="O50" s="855" t="str">
        <f t="shared" si="10"/>
        <v>Interest Rate on debt issued in 2020</v>
      </c>
      <c r="P50" s="855" t="str">
        <f t="shared" si="10"/>
        <v>Interest Rate on debt issued in 2021</v>
      </c>
      <c r="Q50" s="855" t="str">
        <f t="shared" si="10"/>
        <v>Interest Rate on debt issued in 2022</v>
      </c>
      <c r="R50" s="855" t="str">
        <f t="shared" si="10"/>
        <v>Interest Rate on debt issued in 2023</v>
      </c>
    </row>
    <row r="51" spans="1:19" ht="6" customHeight="1" thickBot="1">
      <c r="C51" s="25"/>
      <c r="D51" s="25"/>
      <c r="E51" s="25"/>
      <c r="F51" s="25"/>
      <c r="G51" s="25"/>
      <c r="H51" s="25"/>
      <c r="K51" s="25"/>
      <c r="L51" s="25"/>
      <c r="M51" s="25"/>
      <c r="N51" s="25"/>
      <c r="O51" s="25"/>
      <c r="P51" s="25"/>
      <c r="Q51" s="25"/>
      <c r="R51" s="25"/>
    </row>
    <row r="52" spans="1:19" ht="15.75" customHeight="1" thickBot="1">
      <c r="A52" s="274" t="s">
        <v>987</v>
      </c>
      <c r="B52" s="1164" t="str">
        <f>Scale&amp;" LCU"</f>
        <v>Millions LCU</v>
      </c>
      <c r="C52" s="46">
        <f t="shared" ref="C52:H52" si="11">C54+C71</f>
        <v>1330</v>
      </c>
      <c r="D52" s="1621">
        <f t="shared" si="11"/>
        <v>1420</v>
      </c>
      <c r="E52" s="1621">
        <f t="shared" si="11"/>
        <v>1920</v>
      </c>
      <c r="F52" s="1621">
        <f t="shared" si="11"/>
        <v>1100</v>
      </c>
      <c r="G52" s="1621">
        <f t="shared" si="11"/>
        <v>725</v>
      </c>
      <c r="H52" s="1622">
        <f t="shared" si="11"/>
        <v>750</v>
      </c>
      <c r="K52" s="25"/>
      <c r="L52" s="25"/>
      <c r="M52" s="25"/>
      <c r="N52" s="25"/>
      <c r="O52" s="25"/>
      <c r="P52" s="25"/>
      <c r="Q52" s="25"/>
      <c r="R52" s="25"/>
    </row>
    <row r="53" spans="1:19" ht="6" customHeight="1" thickBot="1">
      <c r="C53" s="25"/>
      <c r="D53" s="25"/>
      <c r="E53" s="25"/>
      <c r="F53" s="25"/>
      <c r="G53" s="25"/>
      <c r="H53" s="25"/>
      <c r="K53" s="25"/>
      <c r="L53" s="25"/>
      <c r="M53" s="25"/>
      <c r="N53" s="25"/>
      <c r="O53" s="25"/>
      <c r="P53" s="25"/>
      <c r="Q53" s="25"/>
      <c r="R53" s="25"/>
    </row>
    <row r="54" spans="1:19" s="291" customFormat="1" ht="15.75">
      <c r="A54" s="1616" t="s">
        <v>1139</v>
      </c>
      <c r="B54" s="367" t="str">
        <f t="shared" ref="B54:B87" si="12">Scale&amp;" LCU"</f>
        <v>Millions LCU</v>
      </c>
      <c r="C54" s="375">
        <f t="shared" ref="C54:H54" si="13">C55+C58</f>
        <v>330</v>
      </c>
      <c r="D54" s="376">
        <f t="shared" si="13"/>
        <v>420</v>
      </c>
      <c r="E54" s="376">
        <f t="shared" si="13"/>
        <v>120</v>
      </c>
      <c r="F54" s="376">
        <f t="shared" si="13"/>
        <v>100</v>
      </c>
      <c r="G54" s="376">
        <f t="shared" si="13"/>
        <v>225</v>
      </c>
      <c r="H54" s="377">
        <f t="shared" si="13"/>
        <v>250</v>
      </c>
      <c r="J54" s="386"/>
      <c r="K54" s="387"/>
      <c r="L54" s="387"/>
      <c r="M54" s="833"/>
      <c r="N54" s="833"/>
      <c r="O54" s="833"/>
      <c r="P54" s="833"/>
      <c r="Q54" s="833"/>
      <c r="R54" s="834"/>
    </row>
    <row r="55" spans="1:19" s="123" customFormat="1" ht="15.75">
      <c r="A55" s="554" t="s">
        <v>13</v>
      </c>
      <c r="B55" s="1165" t="str">
        <f t="shared" si="12"/>
        <v>Millions LCU</v>
      </c>
      <c r="C55" s="378">
        <f t="shared" ref="C55:H55" si="14">C56+C57</f>
        <v>0</v>
      </c>
      <c r="D55" s="379">
        <f t="shared" si="14"/>
        <v>0</v>
      </c>
      <c r="E55" s="379">
        <f t="shared" si="14"/>
        <v>0</v>
      </c>
      <c r="F55" s="379">
        <f t="shared" si="14"/>
        <v>0</v>
      </c>
      <c r="G55" s="379">
        <f t="shared" si="14"/>
        <v>0</v>
      </c>
      <c r="H55" s="380">
        <f t="shared" si="14"/>
        <v>0</v>
      </c>
      <c r="J55" s="390"/>
      <c r="K55" s="391"/>
      <c r="L55" s="391"/>
      <c r="M55" s="391"/>
      <c r="N55" s="391"/>
      <c r="O55" s="391"/>
      <c r="P55" s="391"/>
      <c r="Q55" s="391"/>
      <c r="R55" s="812"/>
    </row>
    <row r="56" spans="1:19" s="291" customFormat="1" ht="15.75">
      <c r="A56" s="1617" t="s">
        <v>0</v>
      </c>
      <c r="B56" s="1165" t="str">
        <f t="shared" si="12"/>
        <v>Millions LCU</v>
      </c>
      <c r="C56" s="368">
        <v>0</v>
      </c>
      <c r="D56" s="369">
        <v>0</v>
      </c>
      <c r="E56" s="369">
        <v>0</v>
      </c>
      <c r="F56" s="369">
        <v>0</v>
      </c>
      <c r="G56" s="369">
        <v>0</v>
      </c>
      <c r="H56" s="370">
        <v>0</v>
      </c>
      <c r="J56" s="388" t="s">
        <v>460</v>
      </c>
      <c r="K56" s="389">
        <v>0</v>
      </c>
      <c r="L56" s="389"/>
      <c r="M56" s="646"/>
      <c r="N56" s="646"/>
      <c r="O56" s="646"/>
      <c r="P56" s="646"/>
      <c r="Q56" s="646"/>
      <c r="R56" s="647"/>
    </row>
    <row r="57" spans="1:19" s="291" customFormat="1" ht="15.75">
      <c r="A57" s="1617" t="s">
        <v>1</v>
      </c>
      <c r="B57" s="1165" t="str">
        <f t="shared" si="12"/>
        <v>Millions LCU</v>
      </c>
      <c r="C57" s="368">
        <v>0</v>
      </c>
      <c r="D57" s="369">
        <v>0</v>
      </c>
      <c r="E57" s="369">
        <v>0</v>
      </c>
      <c r="F57" s="369">
        <v>0</v>
      </c>
      <c r="G57" s="369">
        <v>0</v>
      </c>
      <c r="H57" s="370">
        <v>0</v>
      </c>
      <c r="J57" s="388" t="s">
        <v>460</v>
      </c>
      <c r="K57" s="389">
        <v>0</v>
      </c>
      <c r="L57" s="389">
        <v>0</v>
      </c>
      <c r="M57" s="646"/>
      <c r="N57" s="646"/>
      <c r="O57" s="646"/>
      <c r="P57" s="646"/>
      <c r="Q57" s="646"/>
      <c r="R57" s="647"/>
    </row>
    <row r="58" spans="1:19" s="291" customFormat="1" ht="15.75">
      <c r="A58" s="554" t="s">
        <v>14</v>
      </c>
      <c r="B58" s="1165" t="str">
        <f t="shared" si="12"/>
        <v>Millions LCU</v>
      </c>
      <c r="C58" s="378">
        <f t="shared" ref="C58:H58" si="15">C59+C65</f>
        <v>330</v>
      </c>
      <c r="D58" s="379">
        <f t="shared" si="15"/>
        <v>420</v>
      </c>
      <c r="E58" s="379">
        <f t="shared" si="15"/>
        <v>120</v>
      </c>
      <c r="F58" s="379">
        <f t="shared" si="15"/>
        <v>100</v>
      </c>
      <c r="G58" s="379">
        <f t="shared" si="15"/>
        <v>225</v>
      </c>
      <c r="H58" s="380">
        <f t="shared" si="15"/>
        <v>250</v>
      </c>
      <c r="J58" s="390"/>
      <c r="K58" s="391"/>
      <c r="L58" s="391"/>
      <c r="M58" s="648"/>
      <c r="N58" s="648"/>
      <c r="O58" s="648"/>
      <c r="P58" s="648"/>
      <c r="Q58" s="648"/>
      <c r="R58" s="649"/>
    </row>
    <row r="59" spans="1:19" s="291" customFormat="1" ht="15.75">
      <c r="A59" s="1617" t="s">
        <v>0</v>
      </c>
      <c r="B59" s="1165" t="str">
        <f t="shared" si="12"/>
        <v>Millions LCU</v>
      </c>
      <c r="C59" s="378">
        <f t="shared" ref="C59:H59" si="16">SUM(C60:C64)</f>
        <v>330</v>
      </c>
      <c r="D59" s="379">
        <f t="shared" si="16"/>
        <v>420</v>
      </c>
      <c r="E59" s="379">
        <f t="shared" si="16"/>
        <v>120</v>
      </c>
      <c r="F59" s="379">
        <f t="shared" si="16"/>
        <v>100</v>
      </c>
      <c r="G59" s="379">
        <f t="shared" si="16"/>
        <v>225</v>
      </c>
      <c r="H59" s="380">
        <f t="shared" si="16"/>
        <v>250</v>
      </c>
      <c r="J59" s="390"/>
      <c r="K59" s="391"/>
      <c r="L59" s="391"/>
      <c r="M59" s="648"/>
      <c r="N59" s="648"/>
      <c r="O59" s="648"/>
      <c r="P59" s="648"/>
      <c r="Q59" s="648"/>
      <c r="R59" s="649"/>
    </row>
    <row r="60" spans="1:19" s="291" customFormat="1" ht="15.75">
      <c r="A60" s="1618" t="s">
        <v>18</v>
      </c>
      <c r="B60" s="1165" t="str">
        <f t="shared" si="12"/>
        <v>Millions LCU</v>
      </c>
      <c r="C60" s="368">
        <v>330</v>
      </c>
      <c r="D60" s="369">
        <v>420</v>
      </c>
      <c r="E60" s="369">
        <v>120</v>
      </c>
      <c r="F60" s="369">
        <v>100</v>
      </c>
      <c r="G60" s="369">
        <v>225</v>
      </c>
      <c r="H60" s="370">
        <v>250</v>
      </c>
      <c r="J60" s="388" t="s">
        <v>461</v>
      </c>
      <c r="K60" s="389">
        <f>L60</f>
        <v>5</v>
      </c>
      <c r="L60" s="389">
        <v>5</v>
      </c>
      <c r="M60" s="646">
        <v>5.0000000000000001E-3</v>
      </c>
      <c r="N60" s="646">
        <v>5.0000000000000001E-3</v>
      </c>
      <c r="O60" s="646">
        <v>0.01</v>
      </c>
      <c r="P60" s="646">
        <v>0.01</v>
      </c>
      <c r="Q60" s="646">
        <v>0.01</v>
      </c>
      <c r="R60" s="647">
        <v>0.01</v>
      </c>
    </row>
    <row r="61" spans="1:19" s="291" customFormat="1" ht="15.75">
      <c r="A61" s="1618" t="s">
        <v>19</v>
      </c>
      <c r="B61" s="1165" t="str">
        <f t="shared" si="12"/>
        <v>Millions LCU</v>
      </c>
      <c r="C61" s="368">
        <v>0</v>
      </c>
      <c r="D61" s="369">
        <v>0</v>
      </c>
      <c r="E61" s="369">
        <v>0</v>
      </c>
      <c r="F61" s="369">
        <v>0</v>
      </c>
      <c r="G61" s="369">
        <v>0</v>
      </c>
      <c r="H61" s="370">
        <v>0</v>
      </c>
      <c r="J61" s="388" t="s">
        <v>461</v>
      </c>
      <c r="K61" s="389">
        <v>0</v>
      </c>
      <c r="L61" s="389"/>
      <c r="M61" s="646"/>
      <c r="N61" s="646"/>
      <c r="O61" s="646"/>
      <c r="P61" s="646"/>
      <c r="Q61" s="646"/>
      <c r="R61" s="647"/>
    </row>
    <row r="62" spans="1:19" s="291" customFormat="1" ht="15.75">
      <c r="A62" s="1618" t="s">
        <v>20</v>
      </c>
      <c r="B62" s="1165" t="str">
        <f t="shared" si="12"/>
        <v>Millions LCU</v>
      </c>
      <c r="C62" s="1831">
        <v>0</v>
      </c>
      <c r="D62" s="1832">
        <v>0</v>
      </c>
      <c r="E62" s="1832">
        <v>0</v>
      </c>
      <c r="F62" s="1832">
        <v>0</v>
      </c>
      <c r="G62" s="1832">
        <v>0</v>
      </c>
      <c r="H62" s="1833">
        <v>0</v>
      </c>
      <c r="J62" s="388" t="s">
        <v>461</v>
      </c>
      <c r="K62" s="389">
        <v>0</v>
      </c>
      <c r="L62" s="389"/>
      <c r="M62" s="646"/>
      <c r="N62" s="646"/>
      <c r="O62" s="646"/>
      <c r="P62" s="646"/>
      <c r="Q62" s="646"/>
      <c r="R62" s="647"/>
    </row>
    <row r="63" spans="1:19" s="291" customFormat="1" ht="15.75">
      <c r="A63" s="1618" t="s">
        <v>21</v>
      </c>
      <c r="B63" s="1165" t="str">
        <f t="shared" si="12"/>
        <v>Millions LCU</v>
      </c>
      <c r="C63" s="368">
        <v>0</v>
      </c>
      <c r="D63" s="369">
        <v>0</v>
      </c>
      <c r="E63" s="369">
        <v>0</v>
      </c>
      <c r="F63" s="369">
        <v>0</v>
      </c>
      <c r="G63" s="369">
        <v>0</v>
      </c>
      <c r="H63" s="370">
        <v>0</v>
      </c>
      <c r="J63" s="388" t="s">
        <v>461</v>
      </c>
      <c r="K63" s="389">
        <v>0</v>
      </c>
      <c r="L63" s="389"/>
      <c r="M63" s="646"/>
      <c r="N63" s="646"/>
      <c r="O63" s="646"/>
      <c r="P63" s="646"/>
      <c r="Q63" s="646"/>
      <c r="R63" s="647"/>
    </row>
    <row r="64" spans="1:19" s="291" customFormat="1" ht="15.75">
      <c r="A64" s="1619" t="s">
        <v>374</v>
      </c>
      <c r="B64" s="1165" t="str">
        <f t="shared" si="12"/>
        <v>Millions LCU</v>
      </c>
      <c r="C64" s="559">
        <v>0</v>
      </c>
      <c r="D64" s="560">
        <v>0</v>
      </c>
      <c r="E64" s="560">
        <v>0</v>
      </c>
      <c r="F64" s="560">
        <v>0</v>
      </c>
      <c r="G64" s="560">
        <v>0</v>
      </c>
      <c r="H64" s="561">
        <v>0</v>
      </c>
      <c r="I64" s="562"/>
      <c r="J64" s="390"/>
      <c r="K64" s="1344">
        <f>L64</f>
        <v>0</v>
      </c>
      <c r="L64" s="552"/>
      <c r="M64" s="650"/>
      <c r="N64" s="650"/>
      <c r="O64" s="650"/>
      <c r="P64" s="650"/>
      <c r="Q64" s="650"/>
      <c r="R64" s="651"/>
    </row>
    <row r="65" spans="1:18" s="291" customFormat="1" ht="15.75">
      <c r="A65" s="1617" t="s">
        <v>1</v>
      </c>
      <c r="B65" s="1165" t="str">
        <f t="shared" si="12"/>
        <v>Millions LCU</v>
      </c>
      <c r="C65" s="378">
        <f t="shared" ref="C65:H65" si="17">SUM(C66:C70)</f>
        <v>0</v>
      </c>
      <c r="D65" s="379">
        <f t="shared" si="17"/>
        <v>0</v>
      </c>
      <c r="E65" s="379">
        <f t="shared" si="17"/>
        <v>0</v>
      </c>
      <c r="F65" s="379">
        <f t="shared" si="17"/>
        <v>0</v>
      </c>
      <c r="G65" s="379">
        <f t="shared" si="17"/>
        <v>0</v>
      </c>
      <c r="H65" s="380">
        <f t="shared" si="17"/>
        <v>0</v>
      </c>
      <c r="J65" s="390"/>
      <c r="K65" s="391"/>
      <c r="L65" s="391"/>
      <c r="M65" s="648"/>
      <c r="N65" s="648"/>
      <c r="O65" s="648"/>
      <c r="P65" s="648"/>
      <c r="Q65" s="648"/>
      <c r="R65" s="649"/>
    </row>
    <row r="66" spans="1:18" s="291" customFormat="1" ht="15.75">
      <c r="A66" s="1618" t="s">
        <v>23</v>
      </c>
      <c r="B66" s="1165" t="str">
        <f t="shared" si="12"/>
        <v>Millions LCU</v>
      </c>
      <c r="C66" s="368">
        <v>0</v>
      </c>
      <c r="D66" s="369">
        <v>0</v>
      </c>
      <c r="E66" s="369">
        <v>0</v>
      </c>
      <c r="F66" s="369">
        <v>0</v>
      </c>
      <c r="G66" s="369">
        <v>0</v>
      </c>
      <c r="H66" s="370">
        <v>0</v>
      </c>
      <c r="J66" s="388" t="s">
        <v>461</v>
      </c>
      <c r="K66" s="389">
        <v>0</v>
      </c>
      <c r="L66" s="389">
        <v>0</v>
      </c>
      <c r="M66" s="646"/>
      <c r="N66" s="646"/>
      <c r="O66" s="646"/>
      <c r="P66" s="646"/>
      <c r="Q66" s="646"/>
      <c r="R66" s="647"/>
    </row>
    <row r="67" spans="1:18" s="291" customFormat="1" ht="15.75">
      <c r="A67" s="1618" t="s">
        <v>24</v>
      </c>
      <c r="B67" s="1165" t="str">
        <f t="shared" si="12"/>
        <v>Millions LCU</v>
      </c>
      <c r="C67" s="368">
        <v>0</v>
      </c>
      <c r="D67" s="369">
        <v>0</v>
      </c>
      <c r="E67" s="369">
        <v>0</v>
      </c>
      <c r="F67" s="369">
        <v>0</v>
      </c>
      <c r="G67" s="369">
        <v>0</v>
      </c>
      <c r="H67" s="370">
        <v>0</v>
      </c>
      <c r="J67" s="388" t="s">
        <v>461</v>
      </c>
      <c r="K67" s="389">
        <v>0</v>
      </c>
      <c r="L67" s="389">
        <v>0</v>
      </c>
      <c r="M67" s="646"/>
      <c r="N67" s="646"/>
      <c r="O67" s="646"/>
      <c r="P67" s="646"/>
      <c r="Q67" s="646"/>
      <c r="R67" s="647"/>
    </row>
    <row r="68" spans="1:18" s="291" customFormat="1" ht="15.75">
      <c r="A68" s="1618" t="s">
        <v>25</v>
      </c>
      <c r="B68" s="1165" t="str">
        <f t="shared" si="12"/>
        <v>Millions LCU</v>
      </c>
      <c r="C68" s="368">
        <v>0</v>
      </c>
      <c r="D68" s="369">
        <v>0</v>
      </c>
      <c r="E68" s="369">
        <v>0</v>
      </c>
      <c r="F68" s="369">
        <v>0</v>
      </c>
      <c r="G68" s="369">
        <v>0</v>
      </c>
      <c r="H68" s="370">
        <v>0</v>
      </c>
      <c r="J68" s="388" t="s">
        <v>461</v>
      </c>
      <c r="K68" s="389">
        <v>0</v>
      </c>
      <c r="L68" s="389">
        <v>0</v>
      </c>
      <c r="M68" s="646"/>
      <c r="N68" s="646"/>
      <c r="O68" s="646"/>
      <c r="P68" s="646"/>
      <c r="Q68" s="646"/>
      <c r="R68" s="647"/>
    </row>
    <row r="69" spans="1:18" s="291" customFormat="1" ht="15.75">
      <c r="A69" s="1618" t="s">
        <v>26</v>
      </c>
      <c r="B69" s="1165" t="str">
        <f t="shared" si="12"/>
        <v>Millions LCU</v>
      </c>
      <c r="C69" s="368">
        <v>0</v>
      </c>
      <c r="D69" s="369">
        <v>0</v>
      </c>
      <c r="E69" s="369">
        <v>0</v>
      </c>
      <c r="F69" s="369">
        <v>0</v>
      </c>
      <c r="G69" s="369">
        <v>0</v>
      </c>
      <c r="H69" s="370">
        <v>0</v>
      </c>
      <c r="J69" s="388" t="s">
        <v>461</v>
      </c>
      <c r="K69" s="389">
        <v>0</v>
      </c>
      <c r="L69" s="389">
        <v>0</v>
      </c>
      <c r="M69" s="646"/>
      <c r="N69" s="646"/>
      <c r="O69" s="646"/>
      <c r="P69" s="646"/>
      <c r="Q69" s="646"/>
      <c r="R69" s="647"/>
    </row>
    <row r="70" spans="1:18" s="291" customFormat="1" ht="16.5" thickBot="1">
      <c r="A70" s="1620" t="s">
        <v>374</v>
      </c>
      <c r="B70" s="1166" t="str">
        <f t="shared" si="12"/>
        <v>Millions LCU</v>
      </c>
      <c r="C70" s="559">
        <v>0</v>
      </c>
      <c r="D70" s="560">
        <v>0</v>
      </c>
      <c r="E70" s="560">
        <v>0</v>
      </c>
      <c r="F70" s="560">
        <v>0</v>
      </c>
      <c r="G70" s="560">
        <v>0</v>
      </c>
      <c r="H70" s="561">
        <v>0</v>
      </c>
      <c r="J70" s="1369"/>
      <c r="K70" s="1345">
        <f>L70</f>
        <v>0</v>
      </c>
      <c r="L70" s="553">
        <v>0</v>
      </c>
      <c r="M70" s="652"/>
      <c r="N70" s="652"/>
      <c r="O70" s="652"/>
      <c r="P70" s="652"/>
      <c r="Q70" s="652"/>
      <c r="R70" s="653"/>
    </row>
    <row r="71" spans="1:18" s="291" customFormat="1" ht="15.75">
      <c r="A71" s="1616" t="s">
        <v>1140</v>
      </c>
      <c r="B71" s="1165" t="str">
        <f t="shared" si="12"/>
        <v>Millions LCU</v>
      </c>
      <c r="C71" s="375">
        <f t="shared" ref="C71:H71" si="18">C72+C75</f>
        <v>1000</v>
      </c>
      <c r="D71" s="376">
        <f t="shared" si="18"/>
        <v>1000</v>
      </c>
      <c r="E71" s="376">
        <f t="shared" si="18"/>
        <v>1800</v>
      </c>
      <c r="F71" s="376">
        <f t="shared" si="18"/>
        <v>1000</v>
      </c>
      <c r="G71" s="376">
        <f t="shared" si="18"/>
        <v>500</v>
      </c>
      <c r="H71" s="377">
        <f t="shared" si="18"/>
        <v>500</v>
      </c>
      <c r="J71" s="390"/>
      <c r="K71" s="391"/>
      <c r="L71" s="391"/>
      <c r="M71" s="648"/>
      <c r="N71" s="648"/>
      <c r="O71" s="648"/>
      <c r="P71" s="648"/>
      <c r="Q71" s="648"/>
      <c r="R71" s="649"/>
    </row>
    <row r="72" spans="1:18" s="291" customFormat="1" ht="15.75">
      <c r="A72" s="554" t="s">
        <v>13</v>
      </c>
      <c r="B72" s="1165" t="str">
        <f t="shared" si="12"/>
        <v>Millions LCU</v>
      </c>
      <c r="C72" s="378">
        <f t="shared" ref="C72:H72" si="19">C73+C74</f>
        <v>0</v>
      </c>
      <c r="D72" s="379">
        <f t="shared" si="19"/>
        <v>0</v>
      </c>
      <c r="E72" s="379">
        <f t="shared" si="19"/>
        <v>0</v>
      </c>
      <c r="F72" s="379">
        <f t="shared" si="19"/>
        <v>0</v>
      </c>
      <c r="G72" s="379">
        <f t="shared" si="19"/>
        <v>0</v>
      </c>
      <c r="H72" s="380">
        <f t="shared" si="19"/>
        <v>0</v>
      </c>
      <c r="J72" s="390"/>
      <c r="K72" s="391"/>
      <c r="L72" s="391"/>
      <c r="M72" s="648"/>
      <c r="N72" s="648"/>
      <c r="O72" s="648"/>
      <c r="P72" s="648"/>
      <c r="Q72" s="648"/>
      <c r="R72" s="649"/>
    </row>
    <row r="73" spans="1:18" s="291" customFormat="1" ht="15.75">
      <c r="A73" s="1617" t="s">
        <v>0</v>
      </c>
      <c r="B73" s="1165" t="str">
        <f t="shared" si="12"/>
        <v>Millions LCU</v>
      </c>
      <c r="C73" s="368">
        <v>0</v>
      </c>
      <c r="D73" s="369">
        <v>0</v>
      </c>
      <c r="E73" s="369">
        <v>0</v>
      </c>
      <c r="F73" s="369">
        <v>0</v>
      </c>
      <c r="G73" s="369">
        <v>0</v>
      </c>
      <c r="H73" s="370">
        <v>0</v>
      </c>
      <c r="J73" s="388" t="s">
        <v>460</v>
      </c>
      <c r="K73" s="389">
        <v>0</v>
      </c>
      <c r="L73" s="389">
        <v>0</v>
      </c>
      <c r="M73" s="646"/>
      <c r="N73" s="646"/>
      <c r="O73" s="646"/>
      <c r="P73" s="646"/>
      <c r="Q73" s="646"/>
      <c r="R73" s="647"/>
    </row>
    <row r="74" spans="1:18" s="291" customFormat="1" ht="15.75">
      <c r="A74" s="1617" t="s">
        <v>1</v>
      </c>
      <c r="B74" s="1165" t="str">
        <f t="shared" si="12"/>
        <v>Millions LCU</v>
      </c>
      <c r="C74" s="368">
        <v>0</v>
      </c>
      <c r="D74" s="369">
        <v>0</v>
      </c>
      <c r="E74" s="369">
        <v>0</v>
      </c>
      <c r="F74" s="369">
        <v>0</v>
      </c>
      <c r="G74" s="369">
        <v>0</v>
      </c>
      <c r="H74" s="370">
        <v>0</v>
      </c>
      <c r="J74" s="388" t="s">
        <v>460</v>
      </c>
      <c r="K74" s="389">
        <v>0</v>
      </c>
      <c r="L74" s="389">
        <v>0</v>
      </c>
      <c r="M74" s="646"/>
      <c r="N74" s="646"/>
      <c r="O74" s="646"/>
      <c r="P74" s="646"/>
      <c r="Q74" s="646"/>
      <c r="R74" s="647"/>
    </row>
    <row r="75" spans="1:18" s="291" customFormat="1" ht="15.75">
      <c r="A75" s="554" t="s">
        <v>14</v>
      </c>
      <c r="B75" s="1165" t="str">
        <f t="shared" si="12"/>
        <v>Millions LCU</v>
      </c>
      <c r="C75" s="378">
        <f t="shared" ref="C75:H75" si="20">C76+C82</f>
        <v>1000</v>
      </c>
      <c r="D75" s="379">
        <f t="shared" si="20"/>
        <v>1000</v>
      </c>
      <c r="E75" s="379">
        <f t="shared" si="20"/>
        <v>1800</v>
      </c>
      <c r="F75" s="379">
        <f t="shared" si="20"/>
        <v>1000</v>
      </c>
      <c r="G75" s="379">
        <f t="shared" si="20"/>
        <v>500</v>
      </c>
      <c r="H75" s="380">
        <f t="shared" si="20"/>
        <v>500</v>
      </c>
      <c r="J75" s="390"/>
      <c r="K75" s="391"/>
      <c r="L75" s="391"/>
      <c r="M75" s="648"/>
      <c r="N75" s="648"/>
      <c r="O75" s="648"/>
      <c r="P75" s="648"/>
      <c r="Q75" s="648"/>
      <c r="R75" s="649"/>
    </row>
    <row r="76" spans="1:18" s="291" customFormat="1" ht="15.75">
      <c r="A76" s="1617" t="s">
        <v>0</v>
      </c>
      <c r="B76" s="1165" t="str">
        <f t="shared" si="12"/>
        <v>Millions LCU</v>
      </c>
      <c r="C76" s="378">
        <f t="shared" ref="C76:H76" si="21">SUM(C77:C81)</f>
        <v>1000</v>
      </c>
      <c r="D76" s="379">
        <f t="shared" si="21"/>
        <v>1000</v>
      </c>
      <c r="E76" s="379">
        <f t="shared" si="21"/>
        <v>1800</v>
      </c>
      <c r="F76" s="379">
        <f t="shared" si="21"/>
        <v>1000</v>
      </c>
      <c r="G76" s="379">
        <f t="shared" si="21"/>
        <v>500</v>
      </c>
      <c r="H76" s="380">
        <f t="shared" si="21"/>
        <v>500</v>
      </c>
      <c r="J76" s="390"/>
      <c r="K76" s="391"/>
      <c r="L76" s="391"/>
      <c r="M76" s="648"/>
      <c r="N76" s="648"/>
      <c r="O76" s="648"/>
      <c r="P76" s="648"/>
      <c r="Q76" s="648"/>
      <c r="R76" s="649"/>
    </row>
    <row r="77" spans="1:18" s="291" customFormat="1" ht="15.75">
      <c r="A77" s="1618" t="s">
        <v>28</v>
      </c>
      <c r="B77" s="1165" t="str">
        <f t="shared" si="12"/>
        <v>Millions LCU</v>
      </c>
      <c r="C77" s="368">
        <v>500</v>
      </c>
      <c r="D77" s="369">
        <v>1000</v>
      </c>
      <c r="E77" s="369">
        <v>1800</v>
      </c>
      <c r="F77" s="369">
        <v>1000</v>
      </c>
      <c r="G77" s="369">
        <v>500</v>
      </c>
      <c r="H77" s="370">
        <v>500</v>
      </c>
      <c r="J77" s="388" t="s">
        <v>461</v>
      </c>
      <c r="K77" s="389">
        <f>L77</f>
        <v>10</v>
      </c>
      <c r="L77" s="389">
        <v>10</v>
      </c>
      <c r="M77" s="646">
        <v>1.125E-2</v>
      </c>
      <c r="N77" s="646">
        <v>1.8749999999999999E-2</v>
      </c>
      <c r="O77" s="646">
        <v>2.1999999999999999E-2</v>
      </c>
      <c r="P77" s="646">
        <f>O77</f>
        <v>2.1999999999999999E-2</v>
      </c>
      <c r="Q77" s="646">
        <f>P77</f>
        <v>2.1999999999999999E-2</v>
      </c>
      <c r="R77" s="647">
        <f>Q77</f>
        <v>2.1999999999999999E-2</v>
      </c>
    </row>
    <row r="78" spans="1:18" s="291" customFormat="1" ht="15.75">
      <c r="A78" s="1618" t="s">
        <v>29</v>
      </c>
      <c r="B78" s="1165" t="str">
        <f t="shared" si="12"/>
        <v>Millions LCU</v>
      </c>
      <c r="C78" s="368">
        <v>500</v>
      </c>
      <c r="D78" s="369">
        <v>0</v>
      </c>
      <c r="E78" s="369">
        <v>0</v>
      </c>
      <c r="F78" s="369">
        <v>0</v>
      </c>
      <c r="G78" s="369">
        <v>0</v>
      </c>
      <c r="H78" s="370">
        <v>0</v>
      </c>
      <c r="J78" s="388" t="s">
        <v>461</v>
      </c>
      <c r="K78" s="389">
        <f>L78</f>
        <v>30</v>
      </c>
      <c r="L78" s="389">
        <v>30</v>
      </c>
      <c r="M78" s="646">
        <v>2.2499999999999999E-2</v>
      </c>
      <c r="N78" s="646"/>
      <c r="O78" s="646"/>
      <c r="P78" s="646"/>
      <c r="Q78" s="646"/>
      <c r="R78" s="647"/>
    </row>
    <row r="79" spans="1:18" s="291" customFormat="1" ht="15.75">
      <c r="A79" s="1618" t="s">
        <v>30</v>
      </c>
      <c r="B79" s="1165" t="str">
        <f t="shared" si="12"/>
        <v>Millions LCU</v>
      </c>
      <c r="C79" s="368">
        <v>0</v>
      </c>
      <c r="D79" s="369">
        <v>0</v>
      </c>
      <c r="E79" s="369">
        <v>0</v>
      </c>
      <c r="F79" s="369">
        <v>0</v>
      </c>
      <c r="G79" s="369">
        <v>0</v>
      </c>
      <c r="H79" s="370">
        <v>0</v>
      </c>
      <c r="J79" s="388" t="s">
        <v>461</v>
      </c>
      <c r="K79" s="389">
        <v>0</v>
      </c>
      <c r="L79" s="389"/>
      <c r="M79" s="646"/>
      <c r="N79" s="646"/>
      <c r="O79" s="646"/>
      <c r="P79" s="646"/>
      <c r="Q79" s="646"/>
      <c r="R79" s="647"/>
    </row>
    <row r="80" spans="1:18" s="291" customFormat="1" ht="15.75">
      <c r="A80" s="1618" t="s">
        <v>31</v>
      </c>
      <c r="B80" s="1165" t="str">
        <f t="shared" si="12"/>
        <v>Millions LCU</v>
      </c>
      <c r="C80" s="368">
        <v>0</v>
      </c>
      <c r="D80" s="369">
        <v>0</v>
      </c>
      <c r="E80" s="369">
        <v>0</v>
      </c>
      <c r="F80" s="369">
        <v>0</v>
      </c>
      <c r="G80" s="369">
        <v>0</v>
      </c>
      <c r="H80" s="370">
        <v>0</v>
      </c>
      <c r="J80" s="388" t="s">
        <v>461</v>
      </c>
      <c r="K80" s="389">
        <v>0</v>
      </c>
      <c r="L80" s="389"/>
      <c r="M80" s="646"/>
      <c r="N80" s="646"/>
      <c r="O80" s="646"/>
      <c r="P80" s="646"/>
      <c r="Q80" s="646"/>
      <c r="R80" s="647"/>
    </row>
    <row r="81" spans="1:18" s="291" customFormat="1" ht="15.75">
      <c r="A81" s="1619" t="s">
        <v>374</v>
      </c>
      <c r="B81" s="1165" t="str">
        <f t="shared" si="12"/>
        <v>Millions LCU</v>
      </c>
      <c r="C81" s="559">
        <v>0</v>
      </c>
      <c r="D81" s="560">
        <v>0</v>
      </c>
      <c r="E81" s="560">
        <v>0</v>
      </c>
      <c r="F81" s="560">
        <v>0</v>
      </c>
      <c r="G81" s="560">
        <v>0</v>
      </c>
      <c r="H81" s="561">
        <v>0</v>
      </c>
      <c r="J81" s="390"/>
      <c r="K81" s="1344">
        <f>L81</f>
        <v>0</v>
      </c>
      <c r="L81" s="552"/>
      <c r="M81" s="650"/>
      <c r="N81" s="650"/>
      <c r="O81" s="650"/>
      <c r="P81" s="650"/>
      <c r="Q81" s="650"/>
      <c r="R81" s="651"/>
    </row>
    <row r="82" spans="1:18" s="291" customFormat="1" ht="15.75">
      <c r="A82" s="1617" t="s">
        <v>1</v>
      </c>
      <c r="B82" s="1165" t="str">
        <f t="shared" si="12"/>
        <v>Millions LCU</v>
      </c>
      <c r="C82" s="378">
        <f t="shared" ref="C82:H82" si="22">SUM(C83:C87)</f>
        <v>0</v>
      </c>
      <c r="D82" s="379">
        <f t="shared" si="22"/>
        <v>0</v>
      </c>
      <c r="E82" s="379">
        <f t="shared" si="22"/>
        <v>0</v>
      </c>
      <c r="F82" s="379">
        <f t="shared" si="22"/>
        <v>0</v>
      </c>
      <c r="G82" s="379">
        <f t="shared" si="22"/>
        <v>0</v>
      </c>
      <c r="H82" s="380">
        <f t="shared" si="22"/>
        <v>0</v>
      </c>
      <c r="J82" s="390"/>
      <c r="K82" s="391"/>
      <c r="L82" s="391"/>
      <c r="M82" s="648"/>
      <c r="N82" s="648"/>
      <c r="O82" s="648"/>
      <c r="P82" s="648"/>
      <c r="Q82" s="648"/>
      <c r="R82" s="649"/>
    </row>
    <row r="83" spans="1:18" s="291" customFormat="1" ht="15.75">
      <c r="A83" s="1618" t="s">
        <v>33</v>
      </c>
      <c r="B83" s="1165" t="str">
        <f t="shared" si="12"/>
        <v>Millions LCU</v>
      </c>
      <c r="C83" s="368">
        <v>0</v>
      </c>
      <c r="D83" s="369">
        <v>0</v>
      </c>
      <c r="E83" s="369">
        <v>0</v>
      </c>
      <c r="F83" s="369">
        <v>0</v>
      </c>
      <c r="G83" s="369">
        <v>0</v>
      </c>
      <c r="H83" s="370">
        <v>0</v>
      </c>
      <c r="J83" s="388" t="s">
        <v>461</v>
      </c>
      <c r="K83" s="389">
        <v>0</v>
      </c>
      <c r="L83" s="389">
        <v>0</v>
      </c>
      <c r="M83" s="646"/>
      <c r="N83" s="646"/>
      <c r="O83" s="646"/>
      <c r="P83" s="646"/>
      <c r="Q83" s="646"/>
      <c r="R83" s="647"/>
    </row>
    <row r="84" spans="1:18" s="291" customFormat="1" ht="15.75">
      <c r="A84" s="1618" t="s">
        <v>34</v>
      </c>
      <c r="B84" s="1165" t="str">
        <f t="shared" si="12"/>
        <v>Millions LCU</v>
      </c>
      <c r="C84" s="368">
        <v>0</v>
      </c>
      <c r="D84" s="369">
        <v>0</v>
      </c>
      <c r="E84" s="369">
        <v>0</v>
      </c>
      <c r="F84" s="369">
        <v>0</v>
      </c>
      <c r="G84" s="369">
        <v>0</v>
      </c>
      <c r="H84" s="370">
        <v>0</v>
      </c>
      <c r="J84" s="388" t="s">
        <v>461</v>
      </c>
      <c r="K84" s="389">
        <v>0</v>
      </c>
      <c r="L84" s="389">
        <v>0</v>
      </c>
      <c r="M84" s="646"/>
      <c r="N84" s="646"/>
      <c r="O84" s="646"/>
      <c r="P84" s="646"/>
      <c r="Q84" s="646"/>
      <c r="R84" s="647"/>
    </row>
    <row r="85" spans="1:18" s="291" customFormat="1" ht="15.75">
      <c r="A85" s="1618" t="s">
        <v>35</v>
      </c>
      <c r="B85" s="1165" t="str">
        <f t="shared" si="12"/>
        <v>Millions LCU</v>
      </c>
      <c r="C85" s="368">
        <v>0</v>
      </c>
      <c r="D85" s="369">
        <v>0</v>
      </c>
      <c r="E85" s="369">
        <v>0</v>
      </c>
      <c r="F85" s="369">
        <v>0</v>
      </c>
      <c r="G85" s="369">
        <v>0</v>
      </c>
      <c r="H85" s="370">
        <v>0</v>
      </c>
      <c r="J85" s="388" t="s">
        <v>461</v>
      </c>
      <c r="K85" s="389">
        <v>0</v>
      </c>
      <c r="L85" s="389">
        <v>0</v>
      </c>
      <c r="M85" s="646"/>
      <c r="N85" s="646"/>
      <c r="O85" s="646"/>
      <c r="P85" s="646"/>
      <c r="Q85" s="646"/>
      <c r="R85" s="647"/>
    </row>
    <row r="86" spans="1:18" s="291" customFormat="1" ht="15.75">
      <c r="A86" s="1618" t="s">
        <v>36</v>
      </c>
      <c r="B86" s="1165" t="str">
        <f t="shared" si="12"/>
        <v>Millions LCU</v>
      </c>
      <c r="C86" s="368">
        <v>0</v>
      </c>
      <c r="D86" s="369">
        <v>0</v>
      </c>
      <c r="E86" s="369">
        <v>0</v>
      </c>
      <c r="F86" s="369">
        <v>0</v>
      </c>
      <c r="G86" s="369">
        <v>0</v>
      </c>
      <c r="H86" s="370">
        <v>0</v>
      </c>
      <c r="J86" s="388" t="s">
        <v>461</v>
      </c>
      <c r="K86" s="389">
        <v>0</v>
      </c>
      <c r="L86" s="389">
        <v>0</v>
      </c>
      <c r="M86" s="646"/>
      <c r="N86" s="646"/>
      <c r="O86" s="646"/>
      <c r="P86" s="646"/>
      <c r="Q86" s="646"/>
      <c r="R86" s="647"/>
    </row>
    <row r="87" spans="1:18" s="291" customFormat="1" ht="16.5" thickBot="1">
      <c r="A87" s="1620" t="s">
        <v>374</v>
      </c>
      <c r="B87" s="1166" t="str">
        <f t="shared" si="12"/>
        <v>Millions LCU</v>
      </c>
      <c r="C87" s="659">
        <v>0</v>
      </c>
      <c r="D87" s="660">
        <v>0</v>
      </c>
      <c r="E87" s="660">
        <v>0</v>
      </c>
      <c r="F87" s="660">
        <v>0</v>
      </c>
      <c r="G87" s="660">
        <v>0</v>
      </c>
      <c r="H87" s="661">
        <v>0</v>
      </c>
      <c r="J87" s="1369"/>
      <c r="K87" s="1345">
        <f>L87</f>
        <v>0</v>
      </c>
      <c r="L87" s="553">
        <v>0</v>
      </c>
      <c r="M87" s="652"/>
      <c r="N87" s="652"/>
      <c r="O87" s="652"/>
      <c r="P87" s="652"/>
      <c r="Q87" s="652"/>
      <c r="R87" s="653"/>
    </row>
    <row r="88" spans="1:18" s="291" customFormat="1" ht="6.75" customHeight="1" thickBot="1">
      <c r="C88" s="372"/>
      <c r="D88" s="372"/>
      <c r="E88" s="372"/>
      <c r="F88" s="372"/>
      <c r="G88" s="372"/>
      <c r="H88" s="372"/>
      <c r="J88" s="391"/>
      <c r="K88" s="358"/>
      <c r="L88" s="358"/>
      <c r="M88" s="654"/>
      <c r="N88" s="654"/>
      <c r="O88" s="654"/>
      <c r="P88" s="654"/>
      <c r="Q88" s="654"/>
      <c r="R88" s="654"/>
    </row>
    <row r="89" spans="1:18" s="291" customFormat="1" ht="16.5" thickBot="1">
      <c r="A89" s="1164" t="s">
        <v>53</v>
      </c>
      <c r="B89" s="1164" t="str">
        <f>Scale&amp;" LCU"</f>
        <v>Millions LCU</v>
      </c>
      <c r="C89" s="1828">
        <f t="shared" ref="C89:H89" si="23">C45-C52</f>
        <v>-267.59560614415022</v>
      </c>
      <c r="D89" s="1829">
        <f t="shared" si="23"/>
        <v>-560.64415055562313</v>
      </c>
      <c r="E89" s="1829">
        <f>E45-E52</f>
        <v>-1123.313868340756</v>
      </c>
      <c r="F89" s="1829">
        <f>F45-F52</f>
        <v>-679.03863783716588</v>
      </c>
      <c r="G89" s="1829">
        <f t="shared" si="23"/>
        <v>-1274.7202462018522</v>
      </c>
      <c r="H89" s="1830">
        <f t="shared" si="23"/>
        <v>-1627.0373431026528</v>
      </c>
      <c r="J89" s="393"/>
      <c r="K89" s="394">
        <v>1</v>
      </c>
      <c r="L89" s="394">
        <v>1</v>
      </c>
      <c r="M89" s="655">
        <v>0</v>
      </c>
      <c r="N89" s="656">
        <v>0</v>
      </c>
      <c r="O89" s="656">
        <v>0</v>
      </c>
      <c r="P89" s="656">
        <v>0</v>
      </c>
      <c r="Q89" s="656">
        <v>0</v>
      </c>
      <c r="R89" s="657">
        <v>0</v>
      </c>
    </row>
    <row r="90" spans="1:18" s="291" customFormat="1" ht="6.75" customHeight="1">
      <c r="C90" s="372"/>
      <c r="D90" s="372"/>
      <c r="E90" s="372"/>
      <c r="F90" s="372"/>
      <c r="G90" s="372"/>
      <c r="H90" s="372"/>
      <c r="J90" s="391"/>
      <c r="K90" s="358"/>
      <c r="L90" s="358"/>
      <c r="M90" s="654"/>
      <c r="N90" s="654"/>
      <c r="O90" s="654"/>
      <c r="P90" s="654"/>
      <c r="Q90" s="654"/>
      <c r="R90" s="654"/>
    </row>
    <row r="91" spans="1:18" ht="15.75" customHeight="1">
      <c r="A91" s="529" t="s">
        <v>17</v>
      </c>
      <c r="B91" s="529"/>
    </row>
    <row r="92" spans="1:18" s="291" customFormat="1" ht="15.75">
      <c r="A92" s="291" t="s">
        <v>978</v>
      </c>
      <c r="C92" s="26"/>
      <c r="D92" s="26"/>
      <c r="E92" s="26"/>
      <c r="F92" s="26"/>
      <c r="G92" s="26"/>
      <c r="H92" s="26"/>
      <c r="K92" s="358"/>
      <c r="L92" s="358"/>
      <c r="M92" s="358"/>
      <c r="N92" s="358"/>
      <c r="O92" s="358"/>
      <c r="P92" s="358"/>
      <c r="Q92" s="358"/>
      <c r="R92" s="358"/>
    </row>
    <row r="93" spans="1:18" s="291" customFormat="1" ht="15.75">
      <c r="A93" s="291" t="s">
        <v>15</v>
      </c>
      <c r="C93" s="26"/>
      <c r="D93" s="26"/>
      <c r="E93" s="26"/>
      <c r="F93" s="26"/>
      <c r="G93" s="26"/>
      <c r="H93" s="26"/>
      <c r="K93" s="358"/>
      <c r="L93" s="358"/>
      <c r="M93" s="358"/>
      <c r="N93" s="358"/>
      <c r="O93" s="358"/>
      <c r="P93" s="358"/>
      <c r="Q93" s="358"/>
      <c r="R93" s="358"/>
    </row>
    <row r="94" spans="1:18" s="291" customFormat="1" ht="15.75">
      <c r="A94" s="529"/>
      <c r="B94" s="529"/>
      <c r="C94" s="26"/>
      <c r="D94" s="26"/>
      <c r="E94" s="26"/>
      <c r="F94" s="26"/>
      <c r="G94" s="26"/>
      <c r="H94" s="26"/>
      <c r="K94" s="358"/>
      <c r="L94" s="358"/>
      <c r="M94" s="358"/>
      <c r="N94" s="358"/>
      <c r="O94" s="358"/>
      <c r="P94" s="358"/>
      <c r="Q94" s="358"/>
      <c r="R94" s="358"/>
    </row>
    <row r="95" spans="1:18" s="291" customFormat="1" ht="15.75">
      <c r="A95" s="25"/>
      <c r="B95" s="25"/>
      <c r="C95" s="26"/>
      <c r="D95" s="26"/>
      <c r="E95" s="26"/>
      <c r="F95" s="26"/>
      <c r="G95" s="26"/>
      <c r="H95" s="26"/>
      <c r="K95" s="358"/>
      <c r="L95" s="358"/>
      <c r="M95" s="358"/>
      <c r="N95" s="358"/>
      <c r="O95" s="358"/>
      <c r="P95" s="358"/>
      <c r="Q95" s="358"/>
      <c r="R95" s="358"/>
    </row>
    <row r="96" spans="1:18" s="291" customFormat="1" ht="15.75">
      <c r="A96" s="25"/>
      <c r="B96" s="25"/>
      <c r="C96" s="26"/>
      <c r="D96" s="26"/>
      <c r="E96" s="26"/>
      <c r="F96" s="26"/>
      <c r="G96" s="26"/>
      <c r="H96" s="26"/>
      <c r="K96" s="358"/>
      <c r="L96" s="358"/>
      <c r="M96" s="358"/>
      <c r="N96" s="358"/>
      <c r="O96" s="358"/>
      <c r="P96" s="358"/>
      <c r="Q96" s="358"/>
      <c r="R96" s="358"/>
    </row>
    <row r="99" spans="1:1">
      <c r="A99" s="25" t="s">
        <v>2538</v>
      </c>
    </row>
    <row r="101" spans="1:1">
      <c r="A101" s="25" t="s">
        <v>2539</v>
      </c>
    </row>
    <row r="102" spans="1:1">
      <c r="A102" s="25" t="s">
        <v>2540</v>
      </c>
    </row>
  </sheetData>
  <mergeCells count="8">
    <mergeCell ref="A12:H12"/>
    <mergeCell ref="A50:H50"/>
    <mergeCell ref="A1:G1"/>
    <mergeCell ref="A2:G2"/>
    <mergeCell ref="A3:G3"/>
    <mergeCell ref="A4:G4"/>
    <mergeCell ref="A5:G5"/>
    <mergeCell ref="A6:G6"/>
  </mergeCells>
  <conditionalFormatting sqref="C57:H57 C60:H63 C66:H69 C73:H74 C77:H80 C83:H86">
    <cfRule type="cellIs" dxfId="76" priority="7" operator="equal">
      <formula>0</formula>
    </cfRule>
  </conditionalFormatting>
  <conditionalFormatting sqref="C56:H56">
    <cfRule type="cellIs" dxfId="75" priority="1" operator="equal">
      <formula>0</formula>
    </cfRule>
  </conditionalFormatting>
  <dataValidations count="1">
    <dataValidation type="list" allowBlank="1" showInputMessage="1" showErrorMessage="1" sqref="J56:J57 J83:J86 J77:J80 J73:J74 J66:J69 J60:J63" xr:uid="{00000000-0002-0000-0400-000000000000}">
      <formula1>ListAnnual</formula1>
    </dataValidation>
  </dataValidation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FF00"/>
    <pageSetUpPr autoPageBreaks="0"/>
  </sheetPr>
  <dimension ref="A1:AP176"/>
  <sheetViews>
    <sheetView zoomScale="70" zoomScaleNormal="70" workbookViewId="0">
      <pane ySplit="4" topLeftCell="A5" activePane="bottomLeft" state="frozen"/>
      <selection activeCell="A107" sqref="A107:XFD137"/>
      <selection pane="bottomLeft" activeCell="A5" sqref="A5"/>
    </sheetView>
  </sheetViews>
  <sheetFormatPr defaultRowHeight="15"/>
  <cols>
    <col min="1" max="1" width="30.85546875" customWidth="1"/>
    <col min="2" max="2" width="5.7109375" style="284" customWidth="1"/>
    <col min="3" max="3" width="3.7109375" style="284" customWidth="1"/>
    <col min="4" max="4" width="51.5703125" style="284" customWidth="1"/>
    <col min="5" max="5" width="11.28515625" style="284" customWidth="1"/>
    <col min="6" max="9" width="7.7109375" style="284" customWidth="1"/>
    <col min="10" max="10" width="12.28515625" bestFit="1" customWidth="1"/>
    <col min="11" max="11" width="7.7109375" style="25" customWidth="1"/>
    <col min="12" max="12" width="2.7109375" style="284" customWidth="1"/>
    <col min="13" max="14" width="8.7109375" style="284" customWidth="1"/>
    <col min="15" max="20" width="8.7109375" customWidth="1"/>
    <col min="21" max="23" width="8.7109375" style="25" customWidth="1"/>
    <col min="24" max="25" width="10.7109375" style="25" customWidth="1"/>
    <col min="26" max="26" width="8" style="25" customWidth="1"/>
    <col min="27" max="32" width="9.140625" style="25" customWidth="1"/>
    <col min="33" max="33" width="12.28515625" style="25" customWidth="1"/>
    <col min="34" max="34" width="31.7109375" customWidth="1"/>
    <col min="35" max="43" width="9.140625" customWidth="1"/>
  </cols>
  <sheetData>
    <row r="1" spans="1:42" s="542" customFormat="1" ht="34.5" customHeight="1">
      <c r="A1" s="1916" t="s">
        <v>1144</v>
      </c>
      <c r="B1" s="1916"/>
      <c r="C1" s="1916"/>
      <c r="D1" s="1916"/>
      <c r="E1" s="1916"/>
      <c r="F1" s="1916"/>
      <c r="G1" s="1916"/>
      <c r="H1" s="1916"/>
      <c r="I1" s="838"/>
      <c r="J1" s="838"/>
      <c r="K1" s="838"/>
      <c r="L1" s="838"/>
      <c r="M1" s="838"/>
      <c r="N1" s="838"/>
      <c r="O1" s="838"/>
      <c r="P1" s="838"/>
      <c r="Q1" s="838"/>
      <c r="R1" s="838"/>
      <c r="S1" s="838"/>
      <c r="T1" s="838"/>
      <c r="U1" s="540"/>
      <c r="V1" s="540"/>
      <c r="W1" s="541"/>
      <c r="X1" s="541"/>
      <c r="Y1" s="541"/>
      <c r="Z1" s="541"/>
      <c r="AA1" s="541"/>
      <c r="AB1" s="541"/>
      <c r="AC1" s="541"/>
      <c r="AD1" s="541"/>
      <c r="AE1" s="541"/>
      <c r="AF1" s="541"/>
      <c r="AG1" s="541"/>
    </row>
    <row r="2" spans="1:42" s="542" customFormat="1" ht="30.75" customHeight="1">
      <c r="A2" s="1916" t="s">
        <v>980</v>
      </c>
      <c r="B2" s="1916"/>
      <c r="C2" s="1916"/>
      <c r="D2" s="1916"/>
      <c r="E2" s="1916"/>
      <c r="F2" s="1916"/>
      <c r="G2" s="1916"/>
      <c r="H2" s="1916"/>
      <c r="I2" s="838"/>
      <c r="J2" s="838"/>
      <c r="K2" s="838"/>
      <c r="L2" s="838"/>
      <c r="M2" s="838"/>
      <c r="N2" s="838"/>
      <c r="O2" s="838"/>
      <c r="P2" s="838"/>
      <c r="Q2" s="838"/>
      <c r="R2" s="838"/>
      <c r="S2" s="838"/>
      <c r="T2" s="838"/>
      <c r="U2" s="540"/>
      <c r="V2" s="540"/>
      <c r="W2" s="541"/>
      <c r="X2" s="541"/>
      <c r="Y2" s="541"/>
      <c r="Z2" s="541"/>
      <c r="AA2" s="541"/>
      <c r="AB2" s="541"/>
      <c r="AC2" s="541"/>
      <c r="AD2" s="541"/>
      <c r="AE2" s="541"/>
      <c r="AF2" s="541"/>
      <c r="AG2" s="541"/>
    </row>
    <row r="3" spans="1:42" s="97" customFormat="1" ht="15" customHeight="1">
      <c r="A3" s="1917" t="s">
        <v>1145</v>
      </c>
      <c r="B3" s="1917"/>
      <c r="C3" s="1917"/>
      <c r="D3" s="1917"/>
      <c r="E3" s="1917"/>
      <c r="F3" s="1917"/>
      <c r="G3" s="1917"/>
      <c r="H3" s="1917"/>
      <c r="I3" s="839"/>
      <c r="J3" s="839"/>
      <c r="K3" s="839"/>
      <c r="L3" s="839"/>
      <c r="M3" s="839"/>
      <c r="N3" s="839"/>
      <c r="O3" s="839"/>
      <c r="P3" s="839"/>
      <c r="Q3" s="839"/>
      <c r="R3" s="839"/>
      <c r="S3" s="839"/>
      <c r="T3" s="831"/>
      <c r="U3" s="96"/>
      <c r="V3" s="96"/>
      <c r="W3" s="498"/>
      <c r="X3" s="498"/>
      <c r="Y3" s="498"/>
      <c r="Z3" s="498"/>
      <c r="AA3" s="498"/>
      <c r="AB3" s="498"/>
      <c r="AC3" s="498"/>
      <c r="AD3" s="498"/>
      <c r="AE3" s="498"/>
      <c r="AF3" s="498"/>
      <c r="AG3" s="498"/>
    </row>
    <row r="4" spans="1:42" s="542" customFormat="1" ht="49.7" customHeight="1">
      <c r="A4" s="1918" t="s">
        <v>979</v>
      </c>
      <c r="B4" s="1918"/>
      <c r="C4" s="1918"/>
      <c r="D4" s="1918"/>
      <c r="E4" s="1918"/>
      <c r="F4" s="1918"/>
      <c r="G4" s="1918"/>
      <c r="H4" s="1918"/>
      <c r="I4" s="1743"/>
      <c r="J4" s="1743"/>
      <c r="K4" s="1743"/>
      <c r="L4" s="1743"/>
      <c r="M4" s="1743"/>
      <c r="N4" s="1743"/>
      <c r="O4" s="838"/>
      <c r="P4" s="838"/>
      <c r="Q4" s="838"/>
      <c r="R4" s="838"/>
      <c r="S4" s="1509"/>
      <c r="T4" s="1509"/>
      <c r="U4" s="540"/>
      <c r="V4" s="540"/>
      <c r="W4" s="541"/>
      <c r="X4" s="541"/>
      <c r="Y4" s="541"/>
      <c r="Z4" s="541"/>
      <c r="AA4" s="541"/>
      <c r="AB4" s="541"/>
      <c r="AC4" s="541"/>
      <c r="AD4" s="541"/>
      <c r="AE4" s="541"/>
      <c r="AF4" s="541"/>
      <c r="AG4" s="541"/>
    </row>
    <row r="5" spans="1:42" s="893" customFormat="1" ht="39.950000000000003" customHeight="1" thickBot="1">
      <c r="A5" s="892" t="s">
        <v>864</v>
      </c>
      <c r="B5" s="890"/>
      <c r="C5" s="890"/>
      <c r="D5" s="890"/>
      <c r="E5" s="890"/>
      <c r="F5" s="890"/>
      <c r="G5" s="890"/>
      <c r="H5" s="890"/>
      <c r="I5" s="1922"/>
      <c r="J5" s="1922"/>
      <c r="K5" s="1922"/>
      <c r="L5" s="1922"/>
      <c r="M5" s="890"/>
      <c r="N5" s="892"/>
      <c r="P5" s="894"/>
      <c r="Q5" s="894"/>
      <c r="R5" s="894"/>
      <c r="S5" s="894"/>
      <c r="Z5" s="892"/>
      <c r="AP5" s="895"/>
    </row>
    <row r="6" spans="1:42" s="25" customFormat="1" ht="6" customHeight="1">
      <c r="B6" s="139"/>
    </row>
    <row r="7" spans="1:42" s="484" customFormat="1" ht="20.100000000000001" customHeight="1" thickBot="1">
      <c r="A7" s="1919" t="s">
        <v>916</v>
      </c>
      <c r="B7" s="1919"/>
      <c r="C7" s="1919"/>
      <c r="D7" s="1919"/>
      <c r="E7" s="1919"/>
      <c r="F7" s="1919"/>
      <c r="G7" s="1919"/>
      <c r="H7" s="1919"/>
      <c r="I7" s="1919"/>
      <c r="J7" s="1503" t="str">
        <f>ScrutinyClassification_Auto</f>
        <v>Lower</v>
      </c>
      <c r="K7" s="1485" t="s">
        <v>1048</v>
      </c>
      <c r="L7" s="1486"/>
      <c r="M7" s="1486"/>
      <c r="N7" s="1486"/>
      <c r="O7" s="1484"/>
      <c r="P7" s="1484"/>
      <c r="Q7" s="1484"/>
      <c r="R7" s="1484"/>
      <c r="S7" s="1484"/>
      <c r="T7" s="1021"/>
      <c r="U7" s="1484"/>
      <c r="V7" s="1484"/>
    </row>
    <row r="8" spans="1:42" s="484" customFormat="1" ht="20.100000000000001" customHeight="1" thickBot="1">
      <c r="A8" s="1930" t="s">
        <v>917</v>
      </c>
      <c r="B8" s="1930"/>
      <c r="C8" s="1930"/>
      <c r="D8" s="1930"/>
      <c r="E8" s="1930"/>
      <c r="F8" s="1930"/>
      <c r="G8" s="1930"/>
      <c r="H8" s="1930"/>
      <c r="I8" s="1931"/>
      <c r="J8" s="1504" t="s">
        <v>915</v>
      </c>
      <c r="K8" s="713" t="s">
        <v>1048</v>
      </c>
      <c r="L8" s="1484"/>
      <c r="M8" s="1484"/>
      <c r="N8" s="1484"/>
      <c r="O8" s="1484"/>
      <c r="P8" s="1484"/>
      <c r="Q8" s="1484"/>
      <c r="R8" s="1484"/>
      <c r="S8" s="1484"/>
      <c r="T8" s="1021"/>
      <c r="U8" s="1484"/>
      <c r="V8" s="1484"/>
    </row>
    <row r="9" spans="1:42" s="123" customFormat="1" ht="6" customHeight="1">
      <c r="A9" s="712"/>
      <c r="B9" s="1459"/>
      <c r="C9" s="1459"/>
      <c r="D9" s="1459"/>
      <c r="E9" s="1461"/>
      <c r="F9" s="712"/>
      <c r="G9" s="1459"/>
      <c r="H9" s="1459"/>
      <c r="I9" s="1459"/>
      <c r="J9" s="1459"/>
      <c r="K9" s="1459"/>
      <c r="L9" s="1459"/>
      <c r="M9" s="1459"/>
      <c r="N9" s="1459"/>
      <c r="O9" s="1459"/>
      <c r="P9" s="1459"/>
      <c r="Q9" s="1459"/>
      <c r="R9" s="1459"/>
      <c r="S9" s="1459"/>
      <c r="T9" s="1460"/>
      <c r="U9" s="1459"/>
      <c r="V9" s="1459"/>
    </row>
    <row r="10" spans="1:42" s="851" customFormat="1" ht="6" customHeight="1" thickBot="1">
      <c r="A10" s="850"/>
      <c r="B10" s="850"/>
      <c r="C10" s="850"/>
      <c r="D10" s="850"/>
      <c r="E10" s="850"/>
      <c r="F10" s="850"/>
      <c r="G10" s="850"/>
      <c r="H10" s="850"/>
      <c r="I10" s="850"/>
      <c r="L10" s="850"/>
      <c r="M10" s="852"/>
      <c r="N10" s="852"/>
      <c r="O10" s="850"/>
      <c r="P10" s="853"/>
      <c r="Q10" s="853"/>
      <c r="R10" s="853"/>
      <c r="S10" s="853"/>
      <c r="Z10" s="852"/>
    </row>
    <row r="11" spans="1:42" s="893" customFormat="1" ht="39.950000000000003" customHeight="1" thickBot="1">
      <c r="A11" s="892" t="s">
        <v>528</v>
      </c>
      <c r="B11" s="890"/>
      <c r="C11" s="890"/>
      <c r="D11" s="890" t="s">
        <v>785</v>
      </c>
      <c r="E11" s="890"/>
      <c r="F11" s="890"/>
      <c r="G11" s="890"/>
      <c r="H11" s="890"/>
      <c r="I11" s="1922" t="s">
        <v>921</v>
      </c>
      <c r="J11" s="1922"/>
      <c r="K11" s="1922"/>
      <c r="L11" s="1922"/>
      <c r="M11" s="890" t="s">
        <v>316</v>
      </c>
      <c r="N11" s="892"/>
      <c r="P11" s="894"/>
      <c r="Q11" s="894"/>
      <c r="R11" s="894"/>
      <c r="S11" s="894"/>
      <c r="Z11" s="892"/>
      <c r="AP11" s="895"/>
    </row>
    <row r="12" spans="1:42" s="25" customFormat="1" ht="6" customHeight="1">
      <c r="A12" s="140"/>
      <c r="B12" s="140"/>
      <c r="C12" s="140"/>
      <c r="D12" s="140"/>
      <c r="E12" s="140"/>
      <c r="F12" s="140"/>
      <c r="G12" s="140"/>
      <c r="H12" s="140"/>
      <c r="I12" s="140"/>
      <c r="L12" s="140"/>
      <c r="M12" s="397"/>
      <c r="N12" s="397"/>
      <c r="O12" s="140"/>
      <c r="P12" s="138"/>
      <c r="Q12" s="138"/>
      <c r="R12" s="138"/>
      <c r="S12" s="138"/>
      <c r="Z12" s="397"/>
    </row>
    <row r="13" spans="1:42" s="405" customFormat="1" ht="30.2" customHeight="1">
      <c r="A13" s="1309"/>
      <c r="B13" s="403"/>
      <c r="C13" s="403"/>
      <c r="D13" s="1920" t="s">
        <v>918</v>
      </c>
      <c r="E13" s="1920"/>
      <c r="F13" s="1920"/>
      <c r="G13" s="1920"/>
      <c r="H13" s="1920"/>
      <c r="I13" s="1920"/>
      <c r="J13" s="413"/>
      <c r="K13" s="413" t="s">
        <v>323</v>
      </c>
      <c r="L13" s="414"/>
      <c r="M13" s="1923" t="s">
        <v>861</v>
      </c>
      <c r="N13" s="1923"/>
      <c r="O13" s="1923"/>
      <c r="P13" s="1923"/>
      <c r="Q13" s="1923"/>
      <c r="R13" s="1923"/>
      <c r="S13" s="1923"/>
      <c r="T13" s="1923"/>
      <c r="U13" s="1923"/>
      <c r="V13" s="1923"/>
      <c r="W13" s="1923"/>
      <c r="X13" s="835"/>
      <c r="Y13" s="270"/>
      <c r="Z13" s="270"/>
      <c r="AA13" s="270"/>
      <c r="AB13" s="270"/>
      <c r="AC13" s="415"/>
      <c r="AD13" s="415"/>
      <c r="AE13" s="415"/>
      <c r="AF13" s="270"/>
      <c r="AO13" s="270"/>
    </row>
    <row r="14" spans="1:42" s="405" customFormat="1" ht="30.2" customHeight="1">
      <c r="A14" s="1309"/>
      <c r="B14" s="403"/>
      <c r="C14" s="403"/>
      <c r="D14" s="1920" t="s">
        <v>918</v>
      </c>
      <c r="E14" s="1920"/>
      <c r="F14" s="1920"/>
      <c r="G14" s="1920"/>
      <c r="H14" s="1920"/>
      <c r="I14" s="1920"/>
      <c r="J14" s="413"/>
      <c r="K14" s="413" t="s">
        <v>323</v>
      </c>
      <c r="L14" s="414"/>
      <c r="M14" s="1923" t="s">
        <v>862</v>
      </c>
      <c r="N14" s="1923"/>
      <c r="O14" s="1923"/>
      <c r="P14" s="1923"/>
      <c r="Q14" s="1923"/>
      <c r="R14" s="1923"/>
      <c r="S14" s="1923"/>
      <c r="T14" s="1923"/>
      <c r="U14" s="1923"/>
      <c r="V14" s="1923"/>
      <c r="W14" s="1923"/>
      <c r="X14" s="835"/>
      <c r="Y14" s="270"/>
      <c r="Z14" s="270"/>
      <c r="AA14" s="270"/>
      <c r="AB14" s="270"/>
      <c r="AC14" s="415"/>
      <c r="AD14" s="415"/>
      <c r="AE14" s="415"/>
      <c r="AF14" s="270"/>
      <c r="AO14" s="270"/>
    </row>
    <row r="15" spans="1:42" s="25" customFormat="1" ht="6" customHeight="1">
      <c r="A15" s="889"/>
      <c r="B15" s="291"/>
      <c r="C15" s="291"/>
      <c r="D15" s="291"/>
      <c r="E15" s="291"/>
      <c r="F15" s="291"/>
      <c r="G15" s="291"/>
      <c r="H15" s="291"/>
      <c r="I15" s="291"/>
      <c r="J15" s="264"/>
      <c r="K15" s="264"/>
      <c r="L15" s="264"/>
      <c r="M15" s="1744"/>
      <c r="N15" s="1745"/>
      <c r="O15" s="1745"/>
      <c r="P15" s="1745"/>
      <c r="Q15" s="1745"/>
      <c r="R15" s="1745"/>
      <c r="S15" s="1745"/>
      <c r="T15" s="1745"/>
      <c r="U15" s="1745"/>
      <c r="V15" s="1745"/>
      <c r="W15" s="1745"/>
      <c r="X15" s="98"/>
      <c r="AP15" s="415"/>
    </row>
    <row r="16" spans="1:42" s="401" customFormat="1" ht="39.950000000000003" customHeight="1">
      <c r="A16" s="1309"/>
      <c r="B16" s="402"/>
      <c r="C16" s="402"/>
      <c r="D16" s="1924" t="s">
        <v>1046</v>
      </c>
      <c r="E16" s="1924"/>
      <c r="F16" s="1924"/>
      <c r="G16" s="1924"/>
      <c r="H16" s="1924"/>
      <c r="I16" s="1924"/>
      <c r="J16" s="409"/>
      <c r="K16" s="409" t="str">
        <f>IF(ScrutinyClassification_Final="Higher","Yes","No")</f>
        <v>No</v>
      </c>
      <c r="L16" s="410"/>
      <c r="M16" s="1923" t="s">
        <v>920</v>
      </c>
      <c r="N16" s="1923"/>
      <c r="O16" s="1923"/>
      <c r="P16" s="1923"/>
      <c r="Q16" s="1923"/>
      <c r="R16" s="1923"/>
      <c r="S16" s="1923"/>
      <c r="T16" s="1923"/>
      <c r="U16" s="1923"/>
      <c r="V16" s="1923"/>
      <c r="W16" s="1923"/>
      <c r="X16" s="835"/>
      <c r="AP16" s="415"/>
    </row>
    <row r="17" spans="1:41" s="270" customFormat="1" ht="49.7" customHeight="1">
      <c r="A17" s="1309"/>
      <c r="B17" s="403"/>
      <c r="C17" s="403"/>
      <c r="D17" s="1924" t="s">
        <v>1046</v>
      </c>
      <c r="E17" s="1924"/>
      <c r="F17" s="1924"/>
      <c r="G17" s="1924"/>
      <c r="H17" s="1924"/>
      <c r="I17" s="1924"/>
      <c r="J17" s="411"/>
      <c r="K17" s="409" t="str">
        <f>IF(ScrutinyClassification_Final="Higher","Yes","No")</f>
        <v>No</v>
      </c>
      <c r="L17" s="412"/>
      <c r="M17" s="1929" t="s">
        <v>953</v>
      </c>
      <c r="N17" s="1929"/>
      <c r="O17" s="1929"/>
      <c r="P17" s="1929"/>
      <c r="Q17" s="1929"/>
      <c r="R17" s="1929"/>
      <c r="S17" s="1929"/>
      <c r="T17" s="1929"/>
      <c r="U17" s="1929"/>
      <c r="V17" s="1929"/>
      <c r="W17" s="1929"/>
      <c r="X17" s="836"/>
    </row>
    <row r="18" spans="1:41" s="405" customFormat="1" ht="30.2" customHeight="1">
      <c r="A18" s="1309"/>
      <c r="B18" s="404"/>
      <c r="C18" s="404"/>
      <c r="D18" s="1924" t="s">
        <v>1046</v>
      </c>
      <c r="E18" s="1924"/>
      <c r="F18" s="1924"/>
      <c r="G18" s="1924"/>
      <c r="H18" s="1924"/>
      <c r="I18" s="1924"/>
      <c r="J18" s="409"/>
      <c r="K18" s="409" t="str">
        <f>IF(ScrutinyClassification_Final="Higher","Yes","No")</f>
        <v>No</v>
      </c>
      <c r="L18" s="410"/>
      <c r="M18" s="1923" t="s">
        <v>860</v>
      </c>
      <c r="N18" s="1923"/>
      <c r="O18" s="1923"/>
      <c r="P18" s="1923"/>
      <c r="Q18" s="1923"/>
      <c r="R18" s="1923"/>
      <c r="S18" s="1923"/>
      <c r="T18" s="1923"/>
      <c r="U18" s="1923"/>
      <c r="V18" s="1923"/>
      <c r="W18" s="1923"/>
      <c r="X18" s="835"/>
      <c r="Y18" s="270"/>
      <c r="Z18" s="270"/>
      <c r="AA18" s="270"/>
      <c r="AB18" s="270"/>
      <c r="AC18" s="270"/>
      <c r="AD18" s="270"/>
      <c r="AE18" s="270"/>
      <c r="AF18" s="270"/>
      <c r="AO18" s="270"/>
    </row>
    <row r="19" spans="1:41" s="405" customFormat="1" ht="30.2" customHeight="1">
      <c r="A19" s="1309"/>
      <c r="B19" s="403"/>
      <c r="C19" s="403"/>
      <c r="D19" s="1924" t="s">
        <v>1046</v>
      </c>
      <c r="E19" s="1924"/>
      <c r="F19" s="1924"/>
      <c r="G19" s="1924"/>
      <c r="H19" s="1924"/>
      <c r="I19" s="1924"/>
      <c r="J19" s="409"/>
      <c r="K19" s="409" t="str">
        <f>IF(ScrutinyClassification_Final="Higher","Yes","No")</f>
        <v>No</v>
      </c>
      <c r="L19" s="410"/>
      <c r="M19" s="1923" t="s">
        <v>981</v>
      </c>
      <c r="N19" s="1923"/>
      <c r="O19" s="1923"/>
      <c r="P19" s="1923"/>
      <c r="Q19" s="1923"/>
      <c r="R19" s="1923"/>
      <c r="S19" s="1923"/>
      <c r="T19" s="1923"/>
      <c r="U19" s="1923"/>
      <c r="V19" s="1923"/>
      <c r="W19" s="1923"/>
      <c r="X19" s="835"/>
      <c r="Y19" s="270"/>
      <c r="Z19" s="270"/>
      <c r="AA19" s="270"/>
      <c r="AB19" s="270"/>
      <c r="AC19" s="270"/>
      <c r="AD19" s="270"/>
      <c r="AE19" s="270"/>
      <c r="AF19" s="270"/>
      <c r="AO19" s="270"/>
    </row>
    <row r="20" spans="1:41" s="405" customFormat="1" ht="30.2" customHeight="1">
      <c r="A20" s="1309"/>
      <c r="B20" s="406"/>
      <c r="C20" s="406"/>
      <c r="D20" s="1924" t="s">
        <v>1046</v>
      </c>
      <c r="E20" s="1924"/>
      <c r="F20" s="1924"/>
      <c r="G20" s="1924"/>
      <c r="H20" s="1924"/>
      <c r="I20" s="1924"/>
      <c r="J20" s="411"/>
      <c r="K20" s="409" t="str">
        <f>IF(ScrutinyClassification_Final="Higher","Yes","No")</f>
        <v>No</v>
      </c>
      <c r="L20" s="412"/>
      <c r="M20" s="1923" t="s">
        <v>859</v>
      </c>
      <c r="N20" s="1923"/>
      <c r="O20" s="1923"/>
      <c r="P20" s="1923"/>
      <c r="Q20" s="1923"/>
      <c r="R20" s="1923"/>
      <c r="S20" s="1923"/>
      <c r="T20" s="1923"/>
      <c r="U20" s="1923"/>
      <c r="V20" s="1923"/>
      <c r="W20" s="1923"/>
      <c r="X20" s="835"/>
      <c r="Y20" s="270"/>
      <c r="Z20" s="270"/>
      <c r="AA20" s="270"/>
      <c r="AB20" s="270"/>
      <c r="AC20" s="270"/>
      <c r="AD20" s="270"/>
      <c r="AE20" s="270"/>
      <c r="AF20" s="270"/>
      <c r="AO20" s="270"/>
    </row>
    <row r="21" spans="1:41" s="405" customFormat="1" ht="15" customHeight="1">
      <c r="A21" s="1309"/>
      <c r="B21" s="406"/>
      <c r="C21" s="406"/>
      <c r="D21" s="1515"/>
      <c r="E21" s="1515"/>
      <c r="F21" s="1515"/>
      <c r="G21" s="1515"/>
      <c r="H21" s="1515"/>
      <c r="I21" s="1515"/>
      <c r="J21" s="1518" t="s">
        <v>919</v>
      </c>
      <c r="K21" s="1516"/>
      <c r="L21" s="1517"/>
      <c r="M21" s="1746"/>
      <c r="N21" s="1746"/>
      <c r="O21" s="1746"/>
      <c r="P21" s="1746"/>
      <c r="Q21" s="1746"/>
      <c r="R21" s="1746"/>
      <c r="S21" s="1746"/>
      <c r="T21" s="1746"/>
      <c r="U21" s="1746"/>
      <c r="V21" s="1746"/>
      <c r="W21" s="1746"/>
      <c r="X21" s="835"/>
      <c r="Y21" s="270"/>
      <c r="Z21" s="270"/>
      <c r="AA21" s="270"/>
      <c r="AB21" s="270"/>
      <c r="AC21" s="270"/>
      <c r="AD21" s="270"/>
      <c r="AE21" s="270"/>
      <c r="AF21" s="270"/>
      <c r="AO21" s="270"/>
    </row>
    <row r="22" spans="1:41" s="25" customFormat="1" ht="6" customHeight="1" thickBot="1">
      <c r="A22" s="874"/>
      <c r="B22" s="398"/>
      <c r="C22" s="398"/>
      <c r="D22" s="400"/>
      <c r="E22" s="400"/>
      <c r="F22" s="400"/>
      <c r="G22" s="400"/>
      <c r="H22" s="400"/>
      <c r="I22" s="400"/>
      <c r="J22" s="407"/>
      <c r="K22" s="407"/>
      <c r="L22" s="260"/>
      <c r="M22" s="1747"/>
      <c r="N22" s="1747"/>
      <c r="O22" s="1747"/>
      <c r="P22" s="1747"/>
      <c r="Q22" s="1747"/>
      <c r="R22" s="1747"/>
      <c r="S22" s="1747"/>
      <c r="T22" s="1747"/>
      <c r="U22" s="1747"/>
      <c r="V22" s="1747"/>
      <c r="W22" s="1745"/>
      <c r="X22" s="609"/>
    </row>
    <row r="23" spans="1:41" s="405" customFormat="1" ht="50.1" customHeight="1" thickBot="1">
      <c r="A23" s="1309"/>
      <c r="B23" s="403"/>
      <c r="C23" s="403"/>
      <c r="D23" s="1920" t="s">
        <v>1047</v>
      </c>
      <c r="E23" s="1920"/>
      <c r="F23" s="1920"/>
      <c r="G23" s="1920"/>
      <c r="H23" s="1920"/>
      <c r="I23" s="1920"/>
      <c r="J23" s="408"/>
      <c r="K23" s="411" t="str">
        <f>IF(CLTrigger_Auto=1, "Yes", "No")</f>
        <v>No</v>
      </c>
      <c r="L23" s="412"/>
      <c r="M23" s="1923" t="s">
        <v>863</v>
      </c>
      <c r="N23" s="1923"/>
      <c r="O23" s="1923"/>
      <c r="P23" s="1923"/>
      <c r="Q23" s="1923"/>
      <c r="R23" s="1923"/>
      <c r="S23" s="1923"/>
      <c r="T23" s="1923"/>
      <c r="U23" s="1923"/>
      <c r="V23" s="1923"/>
      <c r="W23" s="1923"/>
      <c r="X23" s="835"/>
      <c r="Y23" s="270"/>
      <c r="Z23" s="270"/>
      <c r="AA23" s="270"/>
      <c r="AB23" s="270"/>
      <c r="AC23" s="270"/>
      <c r="AD23" s="270"/>
      <c r="AE23" s="270"/>
      <c r="AF23" s="270"/>
      <c r="AO23" s="270"/>
    </row>
    <row r="24" spans="1:41" s="25" customFormat="1" ht="6" customHeight="1" thickBot="1">
      <c r="A24" s="874"/>
      <c r="B24" s="398"/>
      <c r="C24" s="398"/>
      <c r="D24" s="400"/>
      <c r="E24" s="400"/>
      <c r="F24" s="400"/>
      <c r="G24" s="400"/>
      <c r="H24" s="400"/>
      <c r="I24" s="400"/>
      <c r="J24" s="407"/>
      <c r="K24" s="407"/>
      <c r="L24" s="260"/>
      <c r="M24" s="399"/>
      <c r="N24" s="399"/>
      <c r="O24" s="399"/>
      <c r="P24" s="399"/>
      <c r="Q24" s="399"/>
      <c r="R24" s="399"/>
      <c r="S24" s="399"/>
      <c r="T24" s="399"/>
      <c r="U24" s="399"/>
      <c r="V24" s="399"/>
      <c r="W24" s="264"/>
      <c r="X24" s="609"/>
    </row>
    <row r="25" spans="1:41" s="405" customFormat="1" ht="30.2" customHeight="1" thickBot="1">
      <c r="A25" s="1309"/>
      <c r="B25" s="403"/>
      <c r="C25" s="403"/>
      <c r="D25" s="1920" t="s">
        <v>322</v>
      </c>
      <c r="E25" s="1920"/>
      <c r="F25" s="1920"/>
      <c r="G25" s="1920"/>
      <c r="H25" s="1920"/>
      <c r="I25" s="1921"/>
      <c r="J25" s="408"/>
      <c r="K25" s="411"/>
      <c r="L25" s="412"/>
      <c r="M25" s="1925" t="s">
        <v>871</v>
      </c>
      <c r="N25" s="1925"/>
      <c r="O25" s="1925"/>
      <c r="P25" s="1925"/>
      <c r="Q25" s="1925"/>
      <c r="R25" s="1925"/>
      <c r="S25" s="1925"/>
      <c r="T25" s="1926"/>
      <c r="U25" s="1927"/>
      <c r="V25" s="1927"/>
      <c r="W25" s="1928"/>
      <c r="X25" s="835"/>
      <c r="Y25" s="270"/>
      <c r="Z25" s="270"/>
      <c r="AA25" s="270"/>
      <c r="AB25" s="270"/>
      <c r="AC25" s="270"/>
      <c r="AD25" s="270"/>
      <c r="AE25" s="270"/>
      <c r="AF25" s="270"/>
      <c r="AO25" s="270"/>
    </row>
    <row r="26" spans="1:41" s="25" customFormat="1" ht="6" customHeight="1" thickBot="1">
      <c r="A26" s="874"/>
      <c r="B26" s="398"/>
      <c r="C26" s="398"/>
      <c r="D26" s="400"/>
      <c r="E26" s="400"/>
      <c r="F26" s="400"/>
      <c r="G26" s="400"/>
      <c r="H26" s="400"/>
      <c r="I26" s="400"/>
      <c r="J26" s="407"/>
      <c r="K26" s="407"/>
      <c r="L26" s="260"/>
      <c r="M26" s="399"/>
      <c r="N26" s="399"/>
      <c r="O26" s="399"/>
      <c r="P26" s="399"/>
      <c r="Q26" s="399"/>
      <c r="R26" s="399"/>
      <c r="S26" s="399"/>
      <c r="T26" s="399"/>
      <c r="U26" s="399"/>
      <c r="V26" s="399"/>
      <c r="W26" s="264"/>
      <c r="X26" s="609"/>
    </row>
    <row r="27" spans="1:41" s="405" customFormat="1" ht="30.2" customHeight="1" thickBot="1">
      <c r="A27" s="1309"/>
      <c r="B27" s="403"/>
      <c r="C27" s="403"/>
      <c r="D27" s="1920" t="s">
        <v>322</v>
      </c>
      <c r="E27" s="1920"/>
      <c r="F27" s="1920"/>
      <c r="G27" s="1920"/>
      <c r="H27" s="1920"/>
      <c r="I27" s="1921"/>
      <c r="J27" s="408"/>
      <c r="K27" s="411"/>
      <c r="L27" s="412"/>
      <c r="M27" s="1925" t="s">
        <v>871</v>
      </c>
      <c r="N27" s="1925"/>
      <c r="O27" s="1925"/>
      <c r="P27" s="1925"/>
      <c r="Q27" s="1925"/>
      <c r="R27" s="1925"/>
      <c r="S27" s="1925"/>
      <c r="T27" s="1926"/>
      <c r="U27" s="1927"/>
      <c r="V27" s="1927"/>
      <c r="W27" s="1928"/>
      <c r="X27" s="835"/>
      <c r="Y27" s="270"/>
      <c r="Z27" s="270"/>
      <c r="AA27" s="270"/>
      <c r="AB27" s="270"/>
      <c r="AC27" s="270"/>
      <c r="AD27" s="270"/>
      <c r="AE27" s="270"/>
      <c r="AF27" s="270"/>
      <c r="AO27" s="270"/>
    </row>
    <row r="28" spans="1:41" s="95" customFormat="1" ht="20.100000000000001" customHeight="1" thickBot="1">
      <c r="A28" s="866"/>
      <c r="B28" s="866"/>
      <c r="C28" s="866"/>
      <c r="D28" s="866"/>
      <c r="E28" s="866"/>
      <c r="F28" s="866"/>
      <c r="G28" s="866"/>
      <c r="H28" s="866"/>
      <c r="I28" s="866"/>
      <c r="Y28" s="867"/>
      <c r="AB28" s="865"/>
      <c r="AC28" s="865"/>
      <c r="AD28" s="865"/>
      <c r="AE28" s="865"/>
    </row>
    <row r="29" spans="1:41" s="897" customFormat="1" ht="39.950000000000003" customHeight="1" thickBot="1">
      <c r="A29" s="896" t="s">
        <v>118</v>
      </c>
      <c r="E29" s="898"/>
      <c r="M29" s="896" t="s">
        <v>534</v>
      </c>
      <c r="AB29" s="899"/>
      <c r="AC29" s="899"/>
      <c r="AD29" s="899"/>
      <c r="AE29" s="899"/>
    </row>
    <row r="30" spans="1:41" s="719" customFormat="1" ht="5.25" customHeight="1" thickBot="1">
      <c r="A30" s="870"/>
      <c r="E30" s="871"/>
      <c r="M30" s="708"/>
      <c r="AB30" s="872"/>
      <c r="AC30" s="872"/>
      <c r="AD30" s="872"/>
      <c r="AE30" s="872"/>
    </row>
    <row r="31" spans="1:41" s="284" customFormat="1" ht="51" customHeight="1" thickBot="1">
      <c r="B31" s="25"/>
      <c r="C31" s="25"/>
      <c r="D31" s="291"/>
      <c r="E31" s="366" t="s">
        <v>151</v>
      </c>
      <c r="F31" s="496"/>
      <c r="G31" s="496"/>
      <c r="H31" s="496"/>
      <c r="I31" s="496"/>
      <c r="J31" s="496"/>
      <c r="K31" s="496"/>
      <c r="L31" s="25"/>
      <c r="M31" s="868" t="s">
        <v>105</v>
      </c>
      <c r="N31" s="27"/>
      <c r="O31" s="27"/>
      <c r="P31" s="27"/>
      <c r="Q31" s="27"/>
      <c r="R31" s="868" t="s">
        <v>296</v>
      </c>
      <c r="S31" s="27"/>
      <c r="T31" s="27"/>
      <c r="U31" s="27"/>
      <c r="V31" s="25"/>
      <c r="W31" s="121"/>
      <c r="X31" s="25"/>
      <c r="Y31" s="25"/>
      <c r="Z31" s="25"/>
      <c r="AA31" s="25"/>
      <c r="AB31" s="25"/>
      <c r="AC31" s="25"/>
      <c r="AD31" s="25"/>
      <c r="AE31" s="25"/>
      <c r="AF31" s="25"/>
      <c r="AO31" s="25"/>
    </row>
    <row r="32" spans="1:41" s="284" customFormat="1" ht="20.100000000000001" customHeight="1" thickBot="1">
      <c r="A32" s="272"/>
      <c r="B32" s="272"/>
      <c r="C32" s="272"/>
      <c r="D32" s="296" t="s">
        <v>76</v>
      </c>
      <c r="E32" s="869">
        <f>FirstYear</f>
        <v>2018</v>
      </c>
      <c r="F32" s="297">
        <f>E32+1</f>
        <v>2019</v>
      </c>
      <c r="G32" s="297">
        <f>F32+1</f>
        <v>2020</v>
      </c>
      <c r="H32" s="297">
        <f>G32+1</f>
        <v>2021</v>
      </c>
      <c r="I32" s="297">
        <f>H32+1</f>
        <v>2022</v>
      </c>
      <c r="J32" s="298">
        <f>I32+1</f>
        <v>2023</v>
      </c>
      <c r="K32" s="307"/>
      <c r="L32" s="25"/>
      <c r="M32" s="25"/>
      <c r="N32" s="25"/>
      <c r="O32" s="25"/>
      <c r="P32" s="25"/>
      <c r="Q32" s="25"/>
      <c r="R32" s="25"/>
      <c r="S32" s="25"/>
      <c r="T32" s="25"/>
      <c r="U32" s="25"/>
      <c r="V32" s="25"/>
      <c r="W32" s="25"/>
      <c r="X32" s="25"/>
      <c r="Y32" s="25"/>
      <c r="Z32" s="25"/>
      <c r="AA32" s="25"/>
      <c r="AB32" s="25"/>
      <c r="AC32" s="25"/>
      <c r="AD32" s="25"/>
      <c r="AE32" s="25"/>
      <c r="AF32" s="25"/>
      <c r="AO32" s="25"/>
    </row>
    <row r="33" spans="1:41" s="284" customFormat="1" ht="20.100000000000001" customHeight="1">
      <c r="A33" s="272"/>
      <c r="B33" s="272"/>
      <c r="C33" s="272"/>
      <c r="D33" s="417" t="s">
        <v>77</v>
      </c>
      <c r="E33" s="300">
        <f>'Baseline debt'!P52</f>
        <v>4.7697166816344838E-2</v>
      </c>
      <c r="F33" s="300">
        <f>'Baseline debt'!Q52</f>
        <v>3.1686434574876632E-2</v>
      </c>
      <c r="G33" s="300">
        <f>'Baseline debt'!R52</f>
        <v>2.9947102444823903E-2</v>
      </c>
      <c r="H33" s="300">
        <f>'Baseline debt'!S52</f>
        <v>2.8871442593204177E-2</v>
      </c>
      <c r="I33" s="300">
        <f>'Baseline debt'!T52</f>
        <v>2.933023694707515E-2</v>
      </c>
      <c r="J33" s="301">
        <f>'Baseline debt'!U52</f>
        <v>2.8000000000000025E-2</v>
      </c>
      <c r="K33" s="300"/>
      <c r="L33" s="25"/>
      <c r="M33" s="25"/>
      <c r="N33" s="25"/>
      <c r="O33" s="25"/>
      <c r="P33" s="25"/>
      <c r="Q33" s="25"/>
      <c r="R33" s="25"/>
      <c r="S33" s="25"/>
      <c r="T33" s="25"/>
      <c r="U33" s="25"/>
      <c r="V33" s="25"/>
      <c r="W33" s="25"/>
      <c r="X33" s="25"/>
      <c r="Y33" s="25"/>
      <c r="Z33" s="25"/>
      <c r="AA33" s="25"/>
      <c r="AB33" s="25"/>
      <c r="AC33" s="25"/>
      <c r="AD33" s="25"/>
      <c r="AE33" s="25"/>
      <c r="AF33" s="25"/>
      <c r="AO33" s="25"/>
    </row>
    <row r="34" spans="1:41" s="284" customFormat="1" ht="20.100000000000001" customHeight="1">
      <c r="A34" s="272"/>
      <c r="B34" s="272"/>
      <c r="C34" s="272"/>
      <c r="D34" s="417" t="s">
        <v>454</v>
      </c>
      <c r="E34" s="300">
        <f>'Baseline debt'!P54</f>
        <v>4.2122999157540031E-2</v>
      </c>
      <c r="F34" s="300">
        <f>'Baseline debt'!Q54</f>
        <v>3.085754504401117E-2</v>
      </c>
      <c r="G34" s="300">
        <f>'Baseline debt'!R54</f>
        <v>2.7938359016816516E-2</v>
      </c>
      <c r="H34" s="300">
        <f>'Baseline debt'!S54</f>
        <v>2.5315565708619037E-2</v>
      </c>
      <c r="I34" s="300">
        <f>'Baseline debt'!T54</f>
        <v>2.4647711698661201E-2</v>
      </c>
      <c r="J34" s="301">
        <f>'Baseline debt'!U54</f>
        <v>2.5000000000000133E-2</v>
      </c>
      <c r="K34" s="300"/>
      <c r="L34" s="25"/>
      <c r="M34" s="25"/>
      <c r="N34" s="25"/>
      <c r="O34" s="25"/>
      <c r="P34" s="25"/>
      <c r="Q34" s="25"/>
      <c r="R34" s="25"/>
      <c r="S34" s="25"/>
      <c r="T34" s="25"/>
      <c r="U34" s="25"/>
      <c r="V34" s="25"/>
      <c r="W34" s="25"/>
      <c r="X34" s="25"/>
      <c r="Y34" s="25"/>
      <c r="Z34" s="25"/>
      <c r="AA34" s="25"/>
      <c r="AB34" s="25"/>
      <c r="AC34" s="25"/>
      <c r="AD34" s="25"/>
      <c r="AE34" s="25"/>
      <c r="AF34" s="25"/>
      <c r="AO34" s="25"/>
    </row>
    <row r="35" spans="1:41" s="284" customFormat="1" ht="20.100000000000001" customHeight="1">
      <c r="A35" s="272"/>
      <c r="B35" s="272"/>
      <c r="C35" s="272"/>
      <c r="D35" s="417" t="s">
        <v>828</v>
      </c>
      <c r="E35" s="300">
        <f>'Input 4 - Forecast'!C20/'Input 4 - Forecast'!C16</f>
        <v>0.36781832970756889</v>
      </c>
      <c r="F35" s="300">
        <f>'Input 4 - Forecast'!D20/'Input 4 - Forecast'!D16</f>
        <v>0.35899708650221951</v>
      </c>
      <c r="G35" s="300">
        <f>'Input 4 - Forecast'!E20/'Input 4 - Forecast'!E16</f>
        <v>0.35663219049317713</v>
      </c>
      <c r="H35" s="300">
        <f>'Input 4 - Forecast'!F20/'Input 4 - Forecast'!F16</f>
        <v>0.35111135216456818</v>
      </c>
      <c r="I35" s="300">
        <f>'Input 4 - Forecast'!G20/'Input 4 - Forecast'!G16</f>
        <v>0.34585635256377734</v>
      </c>
      <c r="J35" s="301">
        <f>'Input 4 - Forecast'!H20/'Input 4 - Forecast'!H16</f>
        <v>0.34585635256377734</v>
      </c>
      <c r="K35" s="300"/>
      <c r="L35" s="25"/>
      <c r="M35" s="25"/>
      <c r="N35" s="25"/>
      <c r="O35" s="25"/>
      <c r="P35" s="25"/>
      <c r="Q35" s="25"/>
      <c r="R35" s="25"/>
      <c r="S35" s="25"/>
      <c r="T35" s="25"/>
      <c r="U35" s="25"/>
      <c r="V35" s="25"/>
      <c r="W35" s="25"/>
      <c r="X35" s="25"/>
      <c r="Y35" s="25"/>
      <c r="Z35" s="25"/>
      <c r="AA35" s="25"/>
      <c r="AB35" s="25"/>
      <c r="AC35" s="25"/>
      <c r="AD35" s="25"/>
      <c r="AE35" s="25"/>
      <c r="AF35" s="25"/>
      <c r="AO35" s="25"/>
    </row>
    <row r="36" spans="1:41" s="284" customFormat="1" ht="20.100000000000001" customHeight="1">
      <c r="A36" s="272"/>
      <c r="B36" s="272"/>
      <c r="C36" s="272"/>
      <c r="D36" s="417" t="s">
        <v>80</v>
      </c>
      <c r="E36" s="300">
        <f>'Input 4 - Forecast'!C22/'Input 4 - Forecast'!C16</f>
        <v>0.36834134844430905</v>
      </c>
      <c r="F36" s="300">
        <f>'Input 4 - Forecast'!D22/'Input 4 - Forecast'!D16</f>
        <v>0.35853110754106615</v>
      </c>
      <c r="G36" s="300">
        <f>'Input 4 - Forecast'!E22/'Input 4 - Forecast'!E16</f>
        <v>0.35354366520139902</v>
      </c>
      <c r="H36" s="300">
        <f>'Input 4 - Forecast'!F22/'Input 4 - Forecast'!F16</f>
        <v>0.34889657983921007</v>
      </c>
      <c r="I36" s="300">
        <f>'Input 4 - Forecast'!G22/'Input 4 - Forecast'!G16</f>
        <v>0.33712624493397764</v>
      </c>
      <c r="J36" s="301">
        <f>'Input 4 - Forecast'!H22/'Input 4 - Forecast'!H16</f>
        <v>0.33712624493397758</v>
      </c>
      <c r="K36" s="300"/>
      <c r="L36" s="25"/>
      <c r="M36" s="25"/>
      <c r="N36" s="25"/>
      <c r="O36" s="25"/>
      <c r="P36" s="25"/>
      <c r="Q36" s="25"/>
      <c r="R36" s="25"/>
      <c r="S36" s="25"/>
      <c r="T36" s="25"/>
      <c r="U36" s="25"/>
      <c r="V36" s="25"/>
      <c r="W36" s="25"/>
      <c r="X36" s="25"/>
      <c r="Y36" s="25"/>
      <c r="Z36" s="25"/>
      <c r="AA36" s="25"/>
      <c r="AB36" s="25"/>
      <c r="AC36" s="25"/>
      <c r="AD36" s="25"/>
      <c r="AE36" s="25"/>
      <c r="AF36" s="25"/>
      <c r="AO36" s="25"/>
    </row>
    <row r="37" spans="1:41" s="284" customFormat="1" ht="20.100000000000001" customHeight="1">
      <c r="A37" s="272"/>
      <c r="B37" s="272"/>
      <c r="C37" s="272"/>
      <c r="D37" s="417" t="s">
        <v>81</v>
      </c>
      <c r="E37" s="300">
        <f t="shared" ref="E37:J37" si="0">E35-E36</f>
        <v>-5.2301873674015509E-4</v>
      </c>
      <c r="F37" s="300">
        <f t="shared" si="0"/>
        <v>4.6597896115335713E-4</v>
      </c>
      <c r="G37" s="300">
        <f t="shared" si="0"/>
        <v>3.0885252917781103E-3</v>
      </c>
      <c r="H37" s="300">
        <f t="shared" si="0"/>
        <v>2.2147723253581053E-3</v>
      </c>
      <c r="I37" s="1268">
        <f t="shared" si="0"/>
        <v>8.7301076297996993E-3</v>
      </c>
      <c r="J37" s="301">
        <f t="shared" si="0"/>
        <v>8.7301076297997549E-3</v>
      </c>
      <c r="K37" s="300"/>
      <c r="L37" s="25"/>
      <c r="M37" s="25"/>
      <c r="N37" s="25"/>
      <c r="O37" s="25"/>
      <c r="P37" s="25"/>
      <c r="Q37" s="25"/>
      <c r="R37" s="25"/>
      <c r="S37" s="25"/>
      <c r="T37" s="25"/>
      <c r="U37" s="25"/>
      <c r="V37" s="25"/>
      <c r="W37" s="25"/>
      <c r="X37" s="25"/>
      <c r="Y37" s="25"/>
      <c r="Z37" s="25"/>
      <c r="AA37" s="25"/>
      <c r="AB37" s="25"/>
      <c r="AC37" s="25"/>
      <c r="AD37" s="25"/>
      <c r="AE37" s="25"/>
      <c r="AF37" s="25"/>
      <c r="AO37" s="25"/>
    </row>
    <row r="38" spans="1:41" s="284" customFormat="1" ht="20.100000000000001" customHeight="1">
      <c r="A38" s="272"/>
      <c r="B38" s="272"/>
      <c r="C38" s="272"/>
      <c r="D38" s="417" t="s">
        <v>11</v>
      </c>
      <c r="E38" s="302">
        <f>'Input 4 - Forecast'!C17</f>
        <v>1.18</v>
      </c>
      <c r="F38" s="302">
        <f>'Input 4 - Forecast'!D17</f>
        <v>1.1399999999999999</v>
      </c>
      <c r="G38" s="302">
        <f>'Input 4 - Forecast'!E17</f>
        <v>1.1399999999999999</v>
      </c>
      <c r="H38" s="302">
        <f>'Input 4 - Forecast'!F17</f>
        <v>1.1399999999999999</v>
      </c>
      <c r="I38" s="302">
        <f>'Input 4 - Forecast'!G17</f>
        <v>1.1399999999999999</v>
      </c>
      <c r="J38" s="303">
        <f>'Input 4 - Forecast'!H17</f>
        <v>1.1399999999999999</v>
      </c>
      <c r="K38" s="302"/>
      <c r="L38" s="25"/>
      <c r="M38" s="25"/>
      <c r="N38" s="25"/>
      <c r="O38" s="25"/>
      <c r="P38" s="25"/>
      <c r="Q38" s="25"/>
      <c r="R38" s="25"/>
      <c r="S38" s="25"/>
      <c r="T38" s="25"/>
      <c r="U38" s="25"/>
      <c r="V38" s="25"/>
      <c r="W38" s="25"/>
      <c r="X38" s="25"/>
      <c r="Y38" s="25"/>
      <c r="Z38" s="25"/>
      <c r="AA38" s="25"/>
      <c r="AB38" s="25"/>
      <c r="AC38" s="25"/>
      <c r="AD38" s="25"/>
      <c r="AE38" s="25"/>
      <c r="AF38" s="25"/>
      <c r="AG38" s="25"/>
      <c r="AH38" s="25"/>
      <c r="AI38" s="25"/>
      <c r="AJ38" s="25"/>
      <c r="AK38" s="25"/>
      <c r="AL38" s="25"/>
      <c r="AM38" s="25"/>
      <c r="AN38" s="25"/>
      <c r="AO38" s="25"/>
    </row>
    <row r="39" spans="1:41" s="284" customFormat="1" ht="20.100000000000001" customHeight="1" thickBot="1">
      <c r="B39" s="140"/>
      <c r="C39" s="140"/>
      <c r="D39" s="418" t="s">
        <v>12</v>
      </c>
      <c r="E39" s="305">
        <f>'Input 4 - Forecast'!C18</f>
        <v>1.18</v>
      </c>
      <c r="F39" s="305">
        <f>'Input 4 - Forecast'!D18</f>
        <v>1.1399999999999999</v>
      </c>
      <c r="G39" s="305">
        <f>'Input 4 - Forecast'!E18</f>
        <v>1.1399999999999999</v>
      </c>
      <c r="H39" s="305">
        <f>'Input 4 - Forecast'!F18</f>
        <v>1.1399999999999999</v>
      </c>
      <c r="I39" s="305">
        <f>'Input 4 - Forecast'!G18</f>
        <v>1.1399999999999999</v>
      </c>
      <c r="J39" s="306">
        <f>'Input 4 - Forecast'!H18</f>
        <v>1.1399999999999999</v>
      </c>
      <c r="K39" s="302"/>
      <c r="L39" s="98"/>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c r="AL39" s="25"/>
      <c r="AM39" s="25"/>
      <c r="AN39" s="25"/>
      <c r="AO39" s="25"/>
    </row>
    <row r="40" spans="1:41" s="284" customFormat="1" ht="20.100000000000001" customHeight="1">
      <c r="A40" s="272"/>
      <c r="B40" s="272"/>
      <c r="C40" s="272"/>
      <c r="D40" s="272"/>
      <c r="E40" s="272"/>
      <c r="F40" s="272"/>
      <c r="G40" s="272"/>
      <c r="H40" s="272"/>
      <c r="I40" s="272"/>
      <c r="J40" s="25"/>
      <c r="K40" s="25"/>
      <c r="L40" s="98"/>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row>
    <row r="41" spans="1:41" s="98" customFormat="1" ht="6" customHeight="1" thickBot="1"/>
    <row r="42" spans="1:41" s="308" customFormat="1" ht="20.100000000000001" customHeight="1" thickBot="1">
      <c r="A42" s="1282" t="s">
        <v>106</v>
      </c>
      <c r="B42" s="1284"/>
      <c r="C42" s="307"/>
      <c r="D42" s="1282" t="s">
        <v>106</v>
      </c>
      <c r="E42" s="1283">
        <f>E32</f>
        <v>2018</v>
      </c>
      <c r="F42" s="1283">
        <f>F32</f>
        <v>2019</v>
      </c>
      <c r="G42" s="1283">
        <f t="shared" ref="F42:J44" si="1">G32</f>
        <v>2020</v>
      </c>
      <c r="H42" s="1283">
        <f t="shared" si="1"/>
        <v>2021</v>
      </c>
      <c r="I42" s="1283">
        <f t="shared" si="1"/>
        <v>2022</v>
      </c>
      <c r="J42" s="1284">
        <f t="shared" si="1"/>
        <v>2023</v>
      </c>
      <c r="K42" s="307"/>
      <c r="L42" s="291"/>
      <c r="M42" s="291"/>
      <c r="N42" s="291"/>
      <c r="O42" s="291"/>
      <c r="P42" s="291"/>
      <c r="Q42" s="291"/>
      <c r="R42" s="291"/>
      <c r="S42" s="291"/>
      <c r="T42" s="291"/>
      <c r="U42" s="291"/>
      <c r="V42" s="291"/>
      <c r="W42" s="291"/>
      <c r="X42" s="291"/>
      <c r="Y42" s="291"/>
      <c r="Z42" s="291"/>
      <c r="AA42" s="291"/>
      <c r="AB42" s="291"/>
      <c r="AC42" s="291"/>
      <c r="AD42" s="291"/>
      <c r="AE42" s="291"/>
      <c r="AF42" s="291"/>
      <c r="AG42" s="291"/>
      <c r="AH42" s="291"/>
      <c r="AI42" s="291"/>
      <c r="AJ42" s="291"/>
      <c r="AK42" s="291"/>
      <c r="AL42" s="291"/>
      <c r="AM42" s="291"/>
      <c r="AN42" s="291"/>
      <c r="AO42" s="291"/>
    </row>
    <row r="43" spans="1:41" s="308" customFormat="1" ht="20.100000000000001" customHeight="1">
      <c r="A43" s="417"/>
      <c r="B43" s="309"/>
      <c r="C43" s="310"/>
      <c r="D43" s="419" t="s">
        <v>77</v>
      </c>
      <c r="E43" s="311">
        <f>E33</f>
        <v>4.7697166816344838E-2</v>
      </c>
      <c r="F43" s="312">
        <f>F33</f>
        <v>3.1686434574876632E-2</v>
      </c>
      <c r="G43" s="312">
        <f>G33</f>
        <v>2.9947102444823903E-2</v>
      </c>
      <c r="H43" s="312">
        <f t="shared" si="1"/>
        <v>2.8871442593204177E-2</v>
      </c>
      <c r="I43" s="312">
        <f t="shared" si="1"/>
        <v>2.933023694707515E-2</v>
      </c>
      <c r="J43" s="313">
        <f t="shared" si="1"/>
        <v>2.8000000000000025E-2</v>
      </c>
      <c r="K43" s="300"/>
      <c r="L43" s="291"/>
      <c r="M43" s="291"/>
      <c r="N43" s="291"/>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row>
    <row r="44" spans="1:41" s="308" customFormat="1" ht="20.100000000000001" customHeight="1">
      <c r="A44" s="360"/>
      <c r="B44" s="309"/>
      <c r="C44" s="310"/>
      <c r="D44" s="417" t="s">
        <v>454</v>
      </c>
      <c r="E44" s="1268">
        <f t="shared" ref="E44:E49" si="2">E34</f>
        <v>4.2122999157540031E-2</v>
      </c>
      <c r="F44" s="1268">
        <f t="shared" si="1"/>
        <v>3.085754504401117E-2</v>
      </c>
      <c r="G44" s="1268">
        <f t="shared" si="1"/>
        <v>2.7938359016816516E-2</v>
      </c>
      <c r="H44" s="1268">
        <f t="shared" si="1"/>
        <v>2.5315565708619037E-2</v>
      </c>
      <c r="I44" s="1268">
        <f t="shared" si="1"/>
        <v>2.4647711698661201E-2</v>
      </c>
      <c r="J44" s="301">
        <f t="shared" si="1"/>
        <v>2.5000000000000133E-2</v>
      </c>
      <c r="K44" s="300"/>
      <c r="L44" s="291"/>
      <c r="M44" s="291"/>
      <c r="N44" s="291"/>
      <c r="O44" s="291"/>
      <c r="P44" s="291"/>
      <c r="Q44" s="291"/>
      <c r="R44" s="291"/>
      <c r="S44" s="291"/>
      <c r="T44" s="291"/>
      <c r="U44" s="291"/>
      <c r="V44" s="291"/>
      <c r="W44" s="291"/>
      <c r="X44" s="291"/>
      <c r="Y44" s="291"/>
      <c r="Z44" s="291"/>
      <c r="AA44" s="291"/>
      <c r="AB44" s="291"/>
      <c r="AC44" s="291"/>
      <c r="AD44" s="291"/>
      <c r="AE44" s="291"/>
      <c r="AF44" s="291"/>
      <c r="AG44" s="291"/>
      <c r="AH44" s="291"/>
      <c r="AI44" s="291"/>
      <c r="AJ44" s="291"/>
      <c r="AK44" s="291"/>
      <c r="AL44" s="291"/>
      <c r="AM44" s="291"/>
      <c r="AN44" s="291"/>
      <c r="AO44" s="291"/>
    </row>
    <row r="45" spans="1:41" s="308" customFormat="1" ht="20.100000000000001" customHeight="1">
      <c r="A45" s="417" t="s">
        <v>121</v>
      </c>
      <c r="B45" s="317">
        <v>0.5</v>
      </c>
      <c r="C45" s="310"/>
      <c r="D45" s="417" t="s">
        <v>828</v>
      </c>
      <c r="E45" s="1268">
        <f t="shared" si="2"/>
        <v>0.36781832970756889</v>
      </c>
      <c r="F45" s="1268">
        <f>F$35-$B$45*(F$37-F47)</f>
        <v>0.35040979875430966</v>
      </c>
      <c r="G45" s="1268">
        <f>G$35-$B$45*(G$37-G47)</f>
        <v>0.34804490274526728</v>
      </c>
      <c r="H45" s="1268">
        <f>H$35-$B$45*(H$37-H47)</f>
        <v>0.35111135216456818</v>
      </c>
      <c r="I45" s="1268">
        <f>I$35-$B$45*(I$37-I47)</f>
        <v>0.34585635256377734</v>
      </c>
      <c r="J45" s="301">
        <f>J$35-$B$45*(J$37-J47)</f>
        <v>0.34585635256377734</v>
      </c>
      <c r="K45" s="300"/>
      <c r="L45" s="291"/>
      <c r="M45" s="291"/>
      <c r="N45" s="291"/>
      <c r="O45" s="291"/>
      <c r="P45" s="291"/>
      <c r="Q45" s="291"/>
      <c r="R45" s="291"/>
      <c r="S45" s="291"/>
      <c r="T45" s="291"/>
      <c r="U45" s="291"/>
      <c r="V45" s="291"/>
      <c r="W45" s="291"/>
      <c r="X45" s="291"/>
      <c r="Y45" s="291"/>
      <c r="Z45" s="291"/>
      <c r="AA45" s="291"/>
      <c r="AB45" s="291"/>
      <c r="AC45" s="291"/>
      <c r="AD45" s="291"/>
      <c r="AE45" s="291"/>
      <c r="AF45" s="291"/>
      <c r="AG45" s="291"/>
      <c r="AH45" s="291"/>
      <c r="AI45" s="291"/>
      <c r="AJ45" s="291"/>
      <c r="AK45" s="291"/>
      <c r="AL45" s="291"/>
      <c r="AM45" s="291"/>
      <c r="AN45" s="291"/>
      <c r="AO45" s="291"/>
    </row>
    <row r="46" spans="1:41" s="308" customFormat="1" ht="20.100000000000001" customHeight="1">
      <c r="A46" s="360"/>
      <c r="B46" s="309"/>
      <c r="C46" s="310"/>
      <c r="D46" s="417" t="s">
        <v>80</v>
      </c>
      <c r="E46" s="1268">
        <f t="shared" si="2"/>
        <v>0.36834134844430905</v>
      </c>
      <c r="F46" s="1268">
        <f>F45-F47</f>
        <v>0.36711839528897594</v>
      </c>
      <c r="G46" s="1268">
        <f>G45-G47</f>
        <v>0.3621309529493088</v>
      </c>
      <c r="H46" s="1268">
        <f>H45-H47</f>
        <v>0.34889657983921007</v>
      </c>
      <c r="I46" s="1268">
        <f>I45-I47</f>
        <v>0.33712624493397764</v>
      </c>
      <c r="J46" s="301">
        <f>J45-J47</f>
        <v>0.33712624493397758</v>
      </c>
      <c r="K46" s="300"/>
      <c r="L46" s="291"/>
      <c r="M46" s="291"/>
      <c r="N46" s="291"/>
      <c r="O46" s="291"/>
      <c r="P46" s="291"/>
      <c r="Q46" s="291"/>
      <c r="R46" s="291"/>
      <c r="S46" s="291"/>
      <c r="T46" s="291"/>
      <c r="U46" s="291"/>
      <c r="V46" s="291"/>
      <c r="W46" s="291"/>
      <c r="X46" s="291"/>
      <c r="Y46" s="291"/>
      <c r="Z46" s="291"/>
      <c r="AA46" s="291"/>
      <c r="AB46" s="291"/>
      <c r="AC46" s="291"/>
      <c r="AD46" s="291"/>
      <c r="AE46" s="291"/>
      <c r="AF46" s="291"/>
      <c r="AG46" s="291"/>
      <c r="AH46" s="291"/>
      <c r="AI46" s="291"/>
      <c r="AJ46" s="291"/>
      <c r="AK46" s="291"/>
      <c r="AL46" s="291"/>
      <c r="AM46" s="291"/>
      <c r="AN46" s="291"/>
      <c r="AO46" s="291"/>
    </row>
    <row r="47" spans="1:41" s="308" customFormat="1" ht="20.100000000000001" customHeight="1">
      <c r="A47" s="417"/>
      <c r="B47" s="309"/>
      <c r="C47" s="310"/>
      <c r="D47" s="417" t="s">
        <v>81</v>
      </c>
      <c r="E47" s="1268">
        <f>E37</f>
        <v>-5.2301873674015509E-4</v>
      </c>
      <c r="F47" s="1268">
        <f>IF($B$54&gt;$B$60,F53,F59)</f>
        <v>-1.6708596534666283E-2</v>
      </c>
      <c r="G47" s="1268">
        <f>IF($B$54&gt;$B$60,G53,G59)</f>
        <v>-1.4086050204041529E-2</v>
      </c>
      <c r="H47" s="1268">
        <f>IF($B$54&gt;$B$60,H53,H59)</f>
        <v>2.2147723253581053E-3</v>
      </c>
      <c r="I47" s="1268">
        <f>IF($B$54&gt;$B$60,I53,I59)</f>
        <v>8.7301076297996993E-3</v>
      </c>
      <c r="J47" s="301">
        <f>IF($B$54&gt;$B$60,J53,J59)</f>
        <v>8.7301076297997549E-3</v>
      </c>
      <c r="K47" s="300"/>
      <c r="L47" s="123"/>
      <c r="M47" s="291"/>
      <c r="N47" s="291"/>
      <c r="O47" s="291"/>
      <c r="P47" s="291"/>
      <c r="Q47" s="291"/>
      <c r="R47" s="291"/>
      <c r="S47" s="291"/>
      <c r="T47" s="291"/>
      <c r="U47" s="291"/>
      <c r="V47" s="291"/>
      <c r="W47" s="291"/>
      <c r="X47" s="291"/>
      <c r="Y47" s="291"/>
      <c r="Z47" s="291"/>
      <c r="AA47" s="291"/>
      <c r="AB47" s="291"/>
      <c r="AC47" s="291"/>
      <c r="AD47" s="291"/>
      <c r="AE47" s="291"/>
      <c r="AF47" s="291"/>
      <c r="AG47" s="291"/>
      <c r="AH47" s="291"/>
      <c r="AI47" s="291"/>
      <c r="AJ47" s="291"/>
      <c r="AK47" s="291"/>
      <c r="AL47" s="291"/>
      <c r="AM47" s="291"/>
      <c r="AN47" s="291"/>
      <c r="AO47" s="291"/>
    </row>
    <row r="48" spans="1:41" s="308" customFormat="1" ht="20.100000000000001" customHeight="1">
      <c r="A48" s="360"/>
      <c r="B48" s="309"/>
      <c r="C48" s="310"/>
      <c r="D48" s="417" t="s">
        <v>11</v>
      </c>
      <c r="E48" s="302">
        <f t="shared" si="2"/>
        <v>1.18</v>
      </c>
      <c r="F48" s="302">
        <f t="shared" ref="F48:J49" si="3">F38</f>
        <v>1.1399999999999999</v>
      </c>
      <c r="G48" s="302">
        <f t="shared" si="3"/>
        <v>1.1399999999999999</v>
      </c>
      <c r="H48" s="302">
        <f t="shared" si="3"/>
        <v>1.1399999999999999</v>
      </c>
      <c r="I48" s="302">
        <f t="shared" si="3"/>
        <v>1.1399999999999999</v>
      </c>
      <c r="J48" s="303">
        <f t="shared" si="3"/>
        <v>1.1399999999999999</v>
      </c>
      <c r="K48" s="302"/>
      <c r="L48" s="123"/>
      <c r="M48" s="291"/>
      <c r="N48" s="291"/>
      <c r="O48" s="291"/>
      <c r="P48" s="291"/>
      <c r="Q48" s="291"/>
      <c r="R48" s="291"/>
      <c r="S48" s="291"/>
      <c r="T48" s="291"/>
      <c r="U48" s="291"/>
      <c r="V48" s="291"/>
      <c r="W48" s="291"/>
      <c r="X48" s="291"/>
      <c r="Y48" s="291"/>
      <c r="Z48" s="291"/>
      <c r="AA48" s="291"/>
      <c r="AB48" s="291"/>
      <c r="AC48" s="291"/>
      <c r="AD48" s="291"/>
      <c r="AE48" s="291"/>
      <c r="AF48" s="291"/>
      <c r="AG48" s="291"/>
      <c r="AH48" s="291"/>
      <c r="AI48" s="291"/>
      <c r="AJ48" s="291"/>
      <c r="AK48" s="291"/>
      <c r="AL48" s="291"/>
      <c r="AM48" s="291"/>
      <c r="AN48" s="291"/>
      <c r="AO48" s="291"/>
    </row>
    <row r="49" spans="1:41" s="308" customFormat="1" ht="20.100000000000001" customHeight="1">
      <c r="A49" s="417"/>
      <c r="B49" s="309"/>
      <c r="C49" s="310"/>
      <c r="D49" s="417" t="s">
        <v>12</v>
      </c>
      <c r="E49" s="302">
        <f t="shared" si="2"/>
        <v>1.18</v>
      </c>
      <c r="F49" s="302">
        <f t="shared" si="3"/>
        <v>1.1399999999999999</v>
      </c>
      <c r="G49" s="302">
        <f t="shared" si="3"/>
        <v>1.1399999999999999</v>
      </c>
      <c r="H49" s="302">
        <f t="shared" si="3"/>
        <v>1.1399999999999999</v>
      </c>
      <c r="I49" s="302">
        <f t="shared" si="3"/>
        <v>1.1399999999999999</v>
      </c>
      <c r="J49" s="303">
        <f t="shared" si="3"/>
        <v>1.1399999999999999</v>
      </c>
      <c r="K49" s="302"/>
      <c r="L49" s="123"/>
      <c r="M49" s="291"/>
      <c r="N49" s="291"/>
      <c r="O49" s="291"/>
      <c r="P49" s="291"/>
      <c r="Q49" s="291"/>
      <c r="R49" s="291"/>
      <c r="S49" s="291"/>
      <c r="T49" s="291"/>
      <c r="U49" s="291"/>
      <c r="V49" s="291"/>
      <c r="W49" s="291"/>
      <c r="X49" s="291"/>
      <c r="Y49" s="291"/>
      <c r="Z49" s="291"/>
      <c r="AA49" s="291"/>
      <c r="AB49" s="291"/>
      <c r="AC49" s="291"/>
      <c r="AD49" s="291"/>
      <c r="AE49" s="291"/>
      <c r="AF49" s="291"/>
      <c r="AG49" s="291"/>
      <c r="AH49" s="291"/>
      <c r="AI49" s="291"/>
      <c r="AJ49" s="291"/>
      <c r="AK49" s="291"/>
      <c r="AL49" s="291"/>
      <c r="AM49" s="291"/>
      <c r="AN49" s="291"/>
      <c r="AO49" s="291"/>
    </row>
    <row r="50" spans="1:41" s="308" customFormat="1" ht="20.100000000000001" customHeight="1" thickBot="1">
      <c r="A50" s="418" t="s">
        <v>1049</v>
      </c>
      <c r="B50" s="320">
        <v>25</v>
      </c>
      <c r="C50" s="310"/>
      <c r="D50" s="418" t="s">
        <v>1120</v>
      </c>
      <c r="E50" s="321">
        <v>0</v>
      </c>
      <c r="F50" s="1605">
        <f>$B50*(F$37-F47)*100</f>
        <v>42.936438739549097</v>
      </c>
      <c r="G50" s="1605">
        <f>$B50*(G$37-G47)*100</f>
        <v>42.936438739549097</v>
      </c>
      <c r="H50" s="1605">
        <f>$B50*(H$37-H47)*100</f>
        <v>0</v>
      </c>
      <c r="I50" s="1605">
        <f>$B50*(I$37-I47)*100</f>
        <v>0</v>
      </c>
      <c r="J50" s="1606">
        <f>$B50*(J$37-J47)*100</f>
        <v>0</v>
      </c>
      <c r="K50" s="497"/>
      <c r="L50" s="123"/>
      <c r="M50" s="291"/>
      <c r="N50" s="291"/>
      <c r="O50" s="291"/>
      <c r="P50" s="291"/>
      <c r="Q50" s="291"/>
      <c r="R50" s="291"/>
      <c r="S50" s="291"/>
      <c r="T50" s="291"/>
      <c r="U50" s="291"/>
      <c r="V50" s="291"/>
      <c r="W50" s="291"/>
      <c r="X50" s="291"/>
      <c r="Y50" s="291"/>
      <c r="Z50" s="291"/>
      <c r="AA50" s="291"/>
      <c r="AB50" s="291"/>
      <c r="AC50" s="291"/>
      <c r="AD50" s="291"/>
      <c r="AE50" s="291"/>
      <c r="AF50" s="291"/>
      <c r="AG50" s="291"/>
      <c r="AH50" s="291"/>
      <c r="AI50" s="291"/>
      <c r="AJ50" s="291"/>
      <c r="AK50" s="291"/>
      <c r="AL50" s="291"/>
      <c r="AM50" s="291"/>
      <c r="AN50" s="291"/>
      <c r="AO50" s="291"/>
    </row>
    <row r="51" spans="1:41" s="98" customFormat="1" ht="6" customHeight="1" thickBot="1"/>
    <row r="52" spans="1:41" s="308" customFormat="1" ht="20.100000000000001" customHeight="1">
      <c r="A52" s="1256" t="s">
        <v>786</v>
      </c>
      <c r="B52" s="1257"/>
      <c r="C52" s="307"/>
      <c r="D52" s="1256" t="s">
        <v>786</v>
      </c>
      <c r="E52" s="1260">
        <f t="shared" ref="E52:J52" si="4">E42</f>
        <v>2018</v>
      </c>
      <c r="F52" s="1260">
        <f t="shared" si="4"/>
        <v>2019</v>
      </c>
      <c r="G52" s="1260">
        <f t="shared" si="4"/>
        <v>2020</v>
      </c>
      <c r="H52" s="1260">
        <f t="shared" si="4"/>
        <v>2021</v>
      </c>
      <c r="I52" s="1260">
        <f t="shared" si="4"/>
        <v>2022</v>
      </c>
      <c r="J52" s="1257">
        <f t="shared" si="4"/>
        <v>2023</v>
      </c>
      <c r="L52" s="291"/>
      <c r="M52" s="291"/>
      <c r="N52" s="291"/>
      <c r="O52" s="291"/>
      <c r="P52" s="291"/>
      <c r="Q52" s="291"/>
      <c r="R52" s="291"/>
      <c r="S52" s="291"/>
      <c r="T52" s="291"/>
      <c r="U52" s="291"/>
      <c r="V52" s="291"/>
      <c r="W52" s="291"/>
      <c r="X52" s="291"/>
      <c r="Y52" s="291"/>
      <c r="Z52" s="291"/>
      <c r="AA52" s="291"/>
      <c r="AB52" s="291"/>
      <c r="AC52" s="291"/>
      <c r="AD52" s="291"/>
      <c r="AE52" s="291"/>
      <c r="AF52" s="291"/>
      <c r="AG52" s="291"/>
      <c r="AH52" s="291"/>
      <c r="AI52" s="291"/>
      <c r="AJ52" s="291"/>
      <c r="AK52" s="291"/>
      <c r="AL52" s="291"/>
      <c r="AM52" s="291"/>
      <c r="AN52" s="291"/>
      <c r="AO52" s="291"/>
    </row>
    <row r="53" spans="1:41" s="308" customFormat="1" ht="20.100000000000001" customHeight="1">
      <c r="A53" s="417" t="s">
        <v>120</v>
      </c>
      <c r="B53" s="446">
        <v>0.5</v>
      </c>
      <c r="C53" s="310"/>
      <c r="D53" s="417" t="s">
        <v>81</v>
      </c>
      <c r="E53" s="300">
        <f>E37</f>
        <v>-5.2301873674015509E-4</v>
      </c>
      <c r="F53" s="300">
        <f>IF(F37-E37&gt;0,F37-$B$53*(F37-E37),F37)</f>
        <v>-2.8519887793398979E-5</v>
      </c>
      <c r="G53" s="300">
        <f>IF(G37-F37&gt;0,G37-$B$53*(G37-F37),G37)</f>
        <v>1.7772521264657337E-3</v>
      </c>
      <c r="H53" s="300">
        <f>IF(H37-G37&gt;0,H37-$B$53*(H37-G37),H37)</f>
        <v>2.2147723253581053E-3</v>
      </c>
      <c r="I53" s="1820">
        <f>IF(I37-H37&gt;0,I37-$B$53*(I37-H37),I37)</f>
        <v>5.4724399775789023E-3</v>
      </c>
      <c r="J53" s="1821">
        <f>IF(J37-I37&gt;0,J37-$B$53*(J37-I37),J37)</f>
        <v>8.7301076297997271E-3</v>
      </c>
      <c r="K53" s="300"/>
      <c r="L53" s="123"/>
      <c r="M53" s="291"/>
      <c r="N53" s="291"/>
      <c r="O53" s="291"/>
      <c r="P53" s="291"/>
      <c r="Q53" s="291"/>
      <c r="R53" s="291"/>
      <c r="S53" s="291"/>
      <c r="T53" s="291"/>
      <c r="U53" s="291"/>
      <c r="V53" s="291"/>
      <c r="W53" s="291"/>
      <c r="X53" s="291"/>
      <c r="Y53" s="291"/>
      <c r="Z53" s="291"/>
      <c r="AA53" s="291"/>
      <c r="AB53" s="291"/>
      <c r="AC53" s="291"/>
      <c r="AD53" s="291"/>
      <c r="AE53" s="291"/>
      <c r="AF53" s="291"/>
      <c r="AG53" s="291"/>
      <c r="AH53" s="291"/>
      <c r="AI53" s="291"/>
      <c r="AJ53" s="291"/>
      <c r="AK53" s="291"/>
      <c r="AL53" s="291"/>
      <c r="AM53" s="291"/>
      <c r="AN53" s="291"/>
      <c r="AO53" s="291"/>
    </row>
    <row r="54" spans="1:41" s="308" customFormat="1" ht="20.100000000000001" customHeight="1">
      <c r="A54" s="417" t="s">
        <v>789</v>
      </c>
      <c r="B54" s="301">
        <f>SUM(E54:J54)</f>
        <v>5.0634396664799575E-3</v>
      </c>
      <c r="C54" s="310"/>
      <c r="D54" s="417" t="s">
        <v>788</v>
      </c>
      <c r="E54" s="1268">
        <f t="shared" ref="E54:J54" si="5">E37-E53</f>
        <v>0</v>
      </c>
      <c r="F54" s="1268">
        <f t="shared" si="5"/>
        <v>4.9449884894675611E-4</v>
      </c>
      <c r="G54" s="1268">
        <f t="shared" si="5"/>
        <v>1.3112731653123766E-3</v>
      </c>
      <c r="H54" s="1268">
        <f t="shared" si="5"/>
        <v>0</v>
      </c>
      <c r="I54" s="1268">
        <f t="shared" si="5"/>
        <v>3.257667652220797E-3</v>
      </c>
      <c r="J54" s="301">
        <f t="shared" si="5"/>
        <v>2.7755575615628914E-17</v>
      </c>
      <c r="L54" s="123"/>
      <c r="M54" s="291"/>
      <c r="N54" s="291"/>
      <c r="O54" s="291"/>
      <c r="P54" s="291"/>
      <c r="Q54" s="291"/>
      <c r="R54" s="291"/>
      <c r="S54" s="291"/>
      <c r="T54" s="291"/>
      <c r="U54" s="291"/>
      <c r="V54" s="291"/>
      <c r="W54" s="291"/>
      <c r="X54" s="291"/>
      <c r="Y54" s="291"/>
      <c r="Z54" s="291"/>
      <c r="AA54" s="291"/>
      <c r="AB54" s="291"/>
      <c r="AC54" s="291"/>
      <c r="AD54" s="291"/>
      <c r="AE54" s="291"/>
      <c r="AF54" s="291"/>
      <c r="AG54" s="291"/>
      <c r="AH54" s="291"/>
      <c r="AI54" s="291"/>
      <c r="AJ54" s="291"/>
      <c r="AK54" s="291"/>
      <c r="AL54" s="291"/>
      <c r="AM54" s="291"/>
      <c r="AN54" s="291"/>
      <c r="AO54" s="291"/>
    </row>
    <row r="55" spans="1:41" s="98" customFormat="1" ht="6" customHeight="1">
      <c r="A55" s="42"/>
      <c r="B55" s="503"/>
      <c r="D55" s="42"/>
      <c r="J55" s="503"/>
    </row>
    <row r="56" spans="1:41" s="98" customFormat="1" ht="6" customHeight="1">
      <c r="A56" s="42"/>
      <c r="B56" s="503"/>
      <c r="D56" s="42"/>
      <c r="J56" s="503"/>
    </row>
    <row r="57" spans="1:41" s="98" customFormat="1" ht="6" customHeight="1">
      <c r="A57" s="42"/>
      <c r="B57" s="503"/>
      <c r="D57" s="42"/>
      <c r="J57" s="503"/>
    </row>
    <row r="58" spans="1:41" s="308" customFormat="1" ht="20.100000000000001" customHeight="1">
      <c r="A58" s="1258" t="s">
        <v>787</v>
      </c>
      <c r="B58" s="1259"/>
      <c r="C58" s="307"/>
      <c r="D58" s="1258" t="s">
        <v>787</v>
      </c>
      <c r="E58" s="307">
        <f t="shared" ref="E58:J58" si="6">E52</f>
        <v>2018</v>
      </c>
      <c r="F58" s="307">
        <f t="shared" si="6"/>
        <v>2019</v>
      </c>
      <c r="G58" s="307">
        <f t="shared" si="6"/>
        <v>2020</v>
      </c>
      <c r="H58" s="307">
        <f t="shared" si="6"/>
        <v>2021</v>
      </c>
      <c r="I58" s="307">
        <f t="shared" si="6"/>
        <v>2022</v>
      </c>
      <c r="J58" s="1259">
        <f t="shared" si="6"/>
        <v>2023</v>
      </c>
      <c r="K58" s="307"/>
      <c r="L58" s="291"/>
      <c r="M58" s="291"/>
      <c r="N58" s="291"/>
      <c r="O58" s="291"/>
      <c r="P58" s="291"/>
      <c r="Q58" s="291"/>
      <c r="R58" s="291"/>
      <c r="S58" s="291"/>
      <c r="T58" s="291"/>
      <c r="U58" s="291"/>
      <c r="V58" s="291"/>
      <c r="W58" s="291"/>
      <c r="X58" s="291"/>
      <c r="Y58" s="291"/>
      <c r="Z58" s="291"/>
      <c r="AA58" s="291"/>
      <c r="AB58" s="291"/>
      <c r="AC58" s="291"/>
      <c r="AD58" s="291"/>
      <c r="AE58" s="291"/>
      <c r="AF58" s="291"/>
      <c r="AG58" s="291"/>
      <c r="AH58" s="291"/>
      <c r="AI58" s="291"/>
      <c r="AJ58" s="291"/>
      <c r="AK58" s="291"/>
      <c r="AL58" s="291"/>
      <c r="AM58" s="291"/>
      <c r="AN58" s="291"/>
      <c r="AO58" s="291"/>
    </row>
    <row r="59" spans="1:41" s="308" customFormat="1" ht="20.100000000000001" customHeight="1">
      <c r="A59" s="417"/>
      <c r="B59" s="309"/>
      <c r="C59" s="310"/>
      <c r="D59" s="417" t="s">
        <v>81</v>
      </c>
      <c r="E59" s="300">
        <f>E37</f>
        <v>-5.2301873674015509E-4</v>
      </c>
      <c r="F59" s="300">
        <f>F37-0.5*'Baseline debt'!$E$103</f>
        <v>-1.6708596534666283E-2</v>
      </c>
      <c r="G59" s="300">
        <f>G37-0.5*'Baseline debt'!$E$103</f>
        <v>-1.4086050204041529E-2</v>
      </c>
      <c r="H59" s="300">
        <f>H37</f>
        <v>2.2147723253581053E-3</v>
      </c>
      <c r="I59" s="300">
        <f>I37</f>
        <v>8.7301076297996993E-3</v>
      </c>
      <c r="J59" s="301">
        <f>J37</f>
        <v>8.7301076297997549E-3</v>
      </c>
      <c r="K59" s="300"/>
      <c r="L59" s="123"/>
      <c r="M59" s="291"/>
      <c r="N59" s="291"/>
      <c r="O59" s="291"/>
      <c r="P59" s="291"/>
      <c r="Q59" s="291"/>
      <c r="R59" s="291"/>
      <c r="S59" s="291"/>
      <c r="T59" s="291"/>
      <c r="U59" s="291"/>
      <c r="V59" s="291"/>
      <c r="W59" s="291"/>
      <c r="X59" s="291"/>
      <c r="Y59" s="291"/>
      <c r="Z59" s="291"/>
      <c r="AA59" s="291"/>
      <c r="AB59" s="291"/>
      <c r="AC59" s="291"/>
      <c r="AD59" s="291"/>
      <c r="AE59" s="291"/>
      <c r="AF59" s="291"/>
      <c r="AG59" s="291"/>
      <c r="AH59" s="291"/>
      <c r="AI59" s="291"/>
      <c r="AJ59" s="291"/>
      <c r="AK59" s="291"/>
      <c r="AL59" s="291"/>
      <c r="AM59" s="291"/>
      <c r="AN59" s="291"/>
      <c r="AO59" s="291"/>
    </row>
    <row r="60" spans="1:41" s="308" customFormat="1" ht="20.100000000000001" customHeight="1" thickBot="1">
      <c r="A60" s="418" t="s">
        <v>789</v>
      </c>
      <c r="B60" s="1255">
        <f>SUM(E60:J60)</f>
        <v>3.434915099163928E-2</v>
      </c>
      <c r="C60" s="310"/>
      <c r="D60" s="418" t="s">
        <v>788</v>
      </c>
      <c r="E60" s="1254">
        <f t="shared" ref="E60:J60" si="7">E37-E59</f>
        <v>0</v>
      </c>
      <c r="F60" s="1254">
        <f t="shared" si="7"/>
        <v>1.717457549581964E-2</v>
      </c>
      <c r="G60" s="1254">
        <f t="shared" si="7"/>
        <v>1.717457549581964E-2</v>
      </c>
      <c r="H60" s="1254">
        <f t="shared" si="7"/>
        <v>0</v>
      </c>
      <c r="I60" s="1254">
        <f t="shared" si="7"/>
        <v>0</v>
      </c>
      <c r="J60" s="1255">
        <f t="shared" si="7"/>
        <v>0</v>
      </c>
      <c r="L60" s="123"/>
      <c r="M60" s="291"/>
      <c r="N60" s="291"/>
      <c r="O60" s="291"/>
      <c r="P60" s="291"/>
      <c r="Q60" s="291"/>
      <c r="R60" s="291"/>
      <c r="S60" s="291"/>
      <c r="T60" s="291"/>
      <c r="U60" s="291"/>
      <c r="V60" s="291"/>
      <c r="W60" s="291"/>
      <c r="X60" s="291"/>
      <c r="Y60" s="291"/>
      <c r="Z60" s="291"/>
      <c r="AA60" s="291"/>
      <c r="AB60" s="291"/>
      <c r="AC60" s="291"/>
      <c r="AD60" s="291"/>
      <c r="AE60" s="291"/>
      <c r="AF60" s="291"/>
      <c r="AG60" s="291"/>
      <c r="AH60" s="291"/>
      <c r="AI60" s="291"/>
      <c r="AJ60" s="291"/>
      <c r="AK60" s="291"/>
      <c r="AL60" s="291"/>
      <c r="AM60" s="291"/>
      <c r="AN60" s="291"/>
      <c r="AO60" s="291"/>
    </row>
    <row r="61" spans="1:41" s="291" customFormat="1" ht="6" customHeight="1" thickBot="1">
      <c r="L61" s="123"/>
    </row>
    <row r="62" spans="1:41" s="308" customFormat="1" ht="20.100000000000001" customHeight="1" thickBot="1">
      <c r="A62" s="1275" t="s">
        <v>107</v>
      </c>
      <c r="B62" s="1276"/>
      <c r="C62" s="307"/>
      <c r="D62" s="1275" t="s">
        <v>107</v>
      </c>
      <c r="E62" s="1277">
        <f t="shared" ref="E62:J62" si="8">E42</f>
        <v>2018</v>
      </c>
      <c r="F62" s="1277">
        <f t="shared" si="8"/>
        <v>2019</v>
      </c>
      <c r="G62" s="1277">
        <f t="shared" si="8"/>
        <v>2020</v>
      </c>
      <c r="H62" s="1277">
        <f t="shared" si="8"/>
        <v>2021</v>
      </c>
      <c r="I62" s="1277">
        <f t="shared" si="8"/>
        <v>2022</v>
      </c>
      <c r="J62" s="1276">
        <f t="shared" si="8"/>
        <v>2023</v>
      </c>
      <c r="K62" s="307"/>
      <c r="L62" s="307"/>
      <c r="M62" s="291"/>
      <c r="N62" s="291"/>
      <c r="O62" s="291"/>
      <c r="P62" s="291"/>
      <c r="Q62" s="291"/>
      <c r="R62" s="291"/>
      <c r="S62" s="291"/>
      <c r="T62" s="291"/>
      <c r="U62" s="291"/>
      <c r="V62" s="291"/>
      <c r="W62" s="291"/>
      <c r="X62" s="291"/>
      <c r="Y62" s="291"/>
      <c r="Z62" s="291"/>
      <c r="AA62" s="291"/>
      <c r="AB62" s="291"/>
      <c r="AC62" s="291"/>
      <c r="AD62" s="291"/>
      <c r="AE62" s="291"/>
      <c r="AF62" s="291"/>
      <c r="AG62" s="291"/>
      <c r="AH62" s="291"/>
      <c r="AI62" s="291"/>
      <c r="AJ62" s="291"/>
      <c r="AK62" s="291"/>
      <c r="AL62" s="291"/>
      <c r="AM62" s="291"/>
      <c r="AN62" s="291"/>
      <c r="AO62" s="291"/>
    </row>
    <row r="63" spans="1:41" s="308" customFormat="1" ht="20.100000000000001" customHeight="1">
      <c r="A63" s="419" t="s">
        <v>122</v>
      </c>
      <c r="B63" s="449">
        <v>1</v>
      </c>
      <c r="C63" s="310"/>
      <c r="D63" s="419" t="s">
        <v>77</v>
      </c>
      <c r="E63" s="311">
        <f t="shared" ref="E63:E69" si="9">E33</f>
        <v>4.7697166816344838E-2</v>
      </c>
      <c r="F63" s="311">
        <f>F33-$B$63*'Baseline debt'!$E100</f>
        <v>-2.9400730822444127E-2</v>
      </c>
      <c r="G63" s="311">
        <f>G33-$B$63*'Baseline debt'!$E100</f>
        <v>-3.1140062952496855E-2</v>
      </c>
      <c r="H63" s="311">
        <f>H33</f>
        <v>2.8871442593204177E-2</v>
      </c>
      <c r="I63" s="311">
        <f>I33</f>
        <v>2.933023694707515E-2</v>
      </c>
      <c r="J63" s="343">
        <f>J33</f>
        <v>2.8000000000000025E-2</v>
      </c>
      <c r="K63" s="300"/>
      <c r="L63" s="344"/>
      <c r="M63" s="291"/>
      <c r="N63" s="291"/>
      <c r="O63" s="291"/>
      <c r="P63" s="291"/>
      <c r="Q63" s="291"/>
      <c r="R63" s="291"/>
      <c r="S63" s="291"/>
      <c r="T63" s="291"/>
      <c r="U63" s="291"/>
      <c r="V63" s="291"/>
      <c r="W63" s="291"/>
      <c r="X63" s="291"/>
      <c r="Y63" s="291"/>
      <c r="Z63" s="291"/>
      <c r="AA63" s="291"/>
      <c r="AB63" s="291"/>
      <c r="AC63" s="291"/>
      <c r="AD63" s="291"/>
      <c r="AE63" s="291"/>
      <c r="AF63" s="291"/>
      <c r="AG63" s="291"/>
      <c r="AH63" s="291"/>
      <c r="AI63" s="291"/>
      <c r="AJ63" s="291"/>
      <c r="AK63" s="291"/>
      <c r="AL63" s="291"/>
      <c r="AM63" s="291"/>
      <c r="AN63" s="291"/>
      <c r="AO63" s="291"/>
    </row>
    <row r="64" spans="1:41" s="308" customFormat="1" ht="20.100000000000001" customHeight="1">
      <c r="A64" s="417" t="s">
        <v>1050</v>
      </c>
      <c r="B64" s="446">
        <v>25</v>
      </c>
      <c r="C64" s="310"/>
      <c r="D64" s="417" t="s">
        <v>454</v>
      </c>
      <c r="E64" s="300">
        <f t="shared" si="9"/>
        <v>4.2122999157540031E-2</v>
      </c>
      <c r="F64" s="1268">
        <f>F34-(F33-F63)*$B$64/100</f>
        <v>1.558575369468098E-2</v>
      </c>
      <c r="G64" s="1268">
        <f>G34-(G33-G63)*$B$64/100</f>
        <v>1.2666567667486327E-2</v>
      </c>
      <c r="H64" s="1268">
        <f>H34-(H33-H63)*$B$64/100</f>
        <v>2.5315565708619037E-2</v>
      </c>
      <c r="I64" s="1268">
        <f>I34-(I33-I63)*$B$64/100</f>
        <v>2.4647711698661201E-2</v>
      </c>
      <c r="J64" s="301">
        <f>J34-(J33-J63)*$B$64/100</f>
        <v>2.5000000000000133E-2</v>
      </c>
      <c r="K64" s="300"/>
      <c r="L64" s="344"/>
      <c r="M64" s="291"/>
      <c r="N64" s="291"/>
      <c r="O64" s="291"/>
      <c r="P64" s="291"/>
      <c r="Q64" s="291"/>
      <c r="R64" s="291"/>
      <c r="S64" s="291"/>
      <c r="T64" s="291"/>
      <c r="U64" s="291"/>
      <c r="V64" s="291"/>
      <c r="W64" s="291"/>
      <c r="X64" s="291"/>
      <c r="Y64" s="291"/>
      <c r="Z64" s="291"/>
      <c r="AA64" s="291"/>
      <c r="AB64" s="291"/>
      <c r="AC64" s="291"/>
      <c r="AD64" s="291"/>
      <c r="AE64" s="291"/>
      <c r="AF64" s="291"/>
      <c r="AG64" s="291"/>
      <c r="AH64" s="291"/>
      <c r="AI64" s="291"/>
      <c r="AJ64" s="291"/>
      <c r="AK64" s="291"/>
      <c r="AL64" s="291"/>
      <c r="AM64" s="291"/>
      <c r="AN64" s="291"/>
      <c r="AO64" s="291"/>
    </row>
    <row r="65" spans="1:41" s="308" customFormat="1" ht="20.100000000000001" customHeight="1">
      <c r="A65" s="417" t="s">
        <v>857</v>
      </c>
      <c r="B65" s="309"/>
      <c r="C65" s="310"/>
      <c r="D65" s="417" t="s">
        <v>828</v>
      </c>
      <c r="E65" s="300">
        <f t="shared" si="9"/>
        <v>0.36781832970756889</v>
      </c>
      <c r="F65" s="1268">
        <f>F35</f>
        <v>0.35899708650221951</v>
      </c>
      <c r="G65" s="1268">
        <f>G35</f>
        <v>0.35663219049317713</v>
      </c>
      <c r="H65" s="1268">
        <f>H35</f>
        <v>0.35111135216456818</v>
      </c>
      <c r="I65" s="1268">
        <f>I35</f>
        <v>0.34585635256377734</v>
      </c>
      <c r="J65" s="301">
        <f>J35</f>
        <v>0.34585635256377734</v>
      </c>
      <c r="K65" s="300"/>
      <c r="L65" s="344"/>
      <c r="M65" s="291"/>
      <c r="N65" s="291"/>
      <c r="O65" s="291"/>
      <c r="P65" s="291"/>
      <c r="Q65" s="291"/>
      <c r="R65" s="291"/>
      <c r="S65" s="291"/>
      <c r="T65" s="291"/>
      <c r="U65" s="291"/>
      <c r="V65" s="291"/>
      <c r="W65" s="291"/>
      <c r="X65" s="291"/>
      <c r="Y65" s="291"/>
      <c r="Z65" s="291"/>
      <c r="AA65" s="291"/>
      <c r="AB65" s="291"/>
      <c r="AC65" s="291"/>
      <c r="AD65" s="291"/>
      <c r="AE65" s="291"/>
      <c r="AF65" s="291"/>
      <c r="AG65" s="291"/>
      <c r="AH65" s="291"/>
      <c r="AI65" s="291"/>
      <c r="AJ65" s="291"/>
      <c r="AK65" s="291"/>
      <c r="AL65" s="291"/>
      <c r="AM65" s="291"/>
      <c r="AN65" s="291"/>
      <c r="AO65" s="291"/>
    </row>
    <row r="66" spans="1:41" s="308" customFormat="1" ht="20.100000000000001" customHeight="1">
      <c r="A66" s="417" t="s">
        <v>858</v>
      </c>
      <c r="B66" s="309"/>
      <c r="C66" s="310"/>
      <c r="D66" s="417" t="s">
        <v>80</v>
      </c>
      <c r="E66" s="300">
        <f t="shared" si="9"/>
        <v>0.36834134844430905</v>
      </c>
      <c r="F66" s="1268">
        <f>'Input 4 - Forecast'!D22/growth!C35</f>
        <v>0.38693411013339518</v>
      </c>
      <c r="G66" s="1268">
        <f>'Input 4 - Forecast'!E22/growth!D35</f>
        <v>0.41172549124200486</v>
      </c>
      <c r="H66" s="1268">
        <f t="shared" ref="H66:J69" si="10">H36</f>
        <v>0.34889657983921007</v>
      </c>
      <c r="I66" s="1268">
        <f t="shared" si="10"/>
        <v>0.33712624493397764</v>
      </c>
      <c r="J66" s="301">
        <f t="shared" si="10"/>
        <v>0.33712624493397758</v>
      </c>
      <c r="K66" s="300"/>
      <c r="L66" s="344"/>
      <c r="M66" s="291"/>
      <c r="N66" s="291"/>
      <c r="O66" s="291"/>
      <c r="P66" s="291"/>
      <c r="Q66" s="291"/>
      <c r="R66" s="291"/>
      <c r="S66" s="291"/>
      <c r="T66" s="291"/>
      <c r="U66" s="291"/>
      <c r="V66" s="291"/>
      <c r="W66" s="291"/>
      <c r="X66" s="291"/>
      <c r="Y66" s="291"/>
      <c r="Z66" s="291"/>
      <c r="AA66" s="291"/>
      <c r="AB66" s="291"/>
      <c r="AC66" s="291"/>
      <c r="AD66" s="291"/>
      <c r="AE66" s="291"/>
      <c r="AF66" s="291"/>
      <c r="AG66" s="291"/>
      <c r="AH66" s="291"/>
      <c r="AI66" s="291"/>
      <c r="AJ66" s="291"/>
      <c r="AK66" s="291"/>
      <c r="AL66" s="291"/>
      <c r="AM66" s="291"/>
      <c r="AN66" s="291"/>
      <c r="AO66" s="291"/>
    </row>
    <row r="67" spans="1:41" s="308" customFormat="1" ht="20.100000000000001" customHeight="1">
      <c r="A67" s="314"/>
      <c r="B67" s="309"/>
      <c r="C67" s="310"/>
      <c r="D67" s="417" t="s">
        <v>81</v>
      </c>
      <c r="E67" s="300">
        <f t="shared" si="9"/>
        <v>-5.2301873674015509E-4</v>
      </c>
      <c r="F67" s="1268">
        <f>F65-F66</f>
        <v>-2.7937023631175673E-2</v>
      </c>
      <c r="G67" s="1268">
        <f>G65-G66</f>
        <v>-5.5093300748827734E-2</v>
      </c>
      <c r="H67" s="1268">
        <f t="shared" si="10"/>
        <v>2.2147723253581053E-3</v>
      </c>
      <c r="I67" s="1268">
        <f t="shared" si="10"/>
        <v>8.7301076297996993E-3</v>
      </c>
      <c r="J67" s="301">
        <f t="shared" si="10"/>
        <v>8.7301076297997549E-3</v>
      </c>
      <c r="K67" s="300"/>
      <c r="L67" s="344"/>
      <c r="M67" s="291"/>
      <c r="N67" s="291"/>
      <c r="O67" s="291"/>
      <c r="P67" s="291"/>
      <c r="Q67" s="291"/>
      <c r="R67" s="291"/>
      <c r="S67" s="291"/>
      <c r="T67" s="291"/>
      <c r="U67" s="291"/>
      <c r="V67" s="291"/>
      <c r="W67" s="291"/>
      <c r="X67" s="291"/>
      <c r="Y67" s="291"/>
      <c r="Z67" s="291"/>
      <c r="AA67" s="291"/>
      <c r="AB67" s="291"/>
      <c r="AC67" s="291"/>
      <c r="AD67" s="291"/>
      <c r="AE67" s="291"/>
      <c r="AF67" s="291"/>
      <c r="AG67" s="291"/>
      <c r="AH67" s="291"/>
      <c r="AI67" s="291"/>
      <c r="AJ67" s="291"/>
      <c r="AK67" s="291"/>
      <c r="AL67" s="291"/>
      <c r="AM67" s="291"/>
      <c r="AN67" s="291"/>
      <c r="AO67" s="291"/>
    </row>
    <row r="68" spans="1:41" s="308" customFormat="1" ht="20.100000000000001" customHeight="1">
      <c r="A68" s="417"/>
      <c r="B68" s="309"/>
      <c r="C68" s="310"/>
      <c r="D68" s="417" t="s">
        <v>11</v>
      </c>
      <c r="E68" s="302">
        <f t="shared" si="9"/>
        <v>1.18</v>
      </c>
      <c r="F68" s="302">
        <f>F38</f>
        <v>1.1399999999999999</v>
      </c>
      <c r="G68" s="302">
        <f>G38</f>
        <v>1.1399999999999999</v>
      </c>
      <c r="H68" s="302">
        <f t="shared" si="10"/>
        <v>1.1399999999999999</v>
      </c>
      <c r="I68" s="302">
        <f t="shared" si="10"/>
        <v>1.1399999999999999</v>
      </c>
      <c r="J68" s="303">
        <f t="shared" si="10"/>
        <v>1.1399999999999999</v>
      </c>
      <c r="K68" s="302"/>
      <c r="L68" s="344"/>
      <c r="M68" s="291"/>
      <c r="N68" s="291"/>
      <c r="O68" s="291"/>
      <c r="P68" s="291"/>
      <c r="Q68" s="291"/>
      <c r="R68" s="291"/>
      <c r="S68" s="291"/>
      <c r="T68" s="291"/>
      <c r="U68" s="291"/>
      <c r="V68" s="291"/>
      <c r="W68" s="291"/>
      <c r="X68" s="291"/>
      <c r="Y68" s="291"/>
      <c r="Z68" s="291"/>
      <c r="AA68" s="291"/>
      <c r="AB68" s="291"/>
      <c r="AC68" s="291"/>
      <c r="AD68" s="291"/>
      <c r="AE68" s="291"/>
      <c r="AF68" s="291"/>
      <c r="AG68" s="291"/>
      <c r="AH68" s="291"/>
      <c r="AI68" s="291"/>
      <c r="AJ68" s="291"/>
      <c r="AK68" s="291"/>
      <c r="AL68" s="291"/>
      <c r="AM68" s="291"/>
      <c r="AN68" s="291"/>
      <c r="AO68" s="291"/>
    </row>
    <row r="69" spans="1:41" s="308" customFormat="1" ht="20.100000000000001" customHeight="1">
      <c r="A69" s="314"/>
      <c r="B69" s="309"/>
      <c r="C69" s="310"/>
      <c r="D69" s="417" t="s">
        <v>12</v>
      </c>
      <c r="E69" s="302">
        <f t="shared" si="9"/>
        <v>1.18</v>
      </c>
      <c r="F69" s="302">
        <f>F39</f>
        <v>1.1399999999999999</v>
      </c>
      <c r="G69" s="302">
        <f>G39</f>
        <v>1.1399999999999999</v>
      </c>
      <c r="H69" s="302">
        <f t="shared" si="10"/>
        <v>1.1399999999999999</v>
      </c>
      <c r="I69" s="302">
        <f t="shared" si="10"/>
        <v>1.1399999999999999</v>
      </c>
      <c r="J69" s="303">
        <f t="shared" si="10"/>
        <v>1.1399999999999999</v>
      </c>
      <c r="K69" s="302"/>
      <c r="L69" s="344"/>
      <c r="M69" s="291"/>
      <c r="N69" s="291"/>
      <c r="O69" s="291"/>
      <c r="P69" s="291"/>
      <c r="Q69" s="291"/>
      <c r="R69" s="291"/>
      <c r="S69" s="291"/>
      <c r="T69" s="291"/>
      <c r="U69" s="291"/>
      <c r="V69" s="291"/>
      <c r="W69" s="291"/>
      <c r="X69" s="291"/>
      <c r="Y69" s="291"/>
      <c r="Z69" s="291"/>
      <c r="AA69" s="291"/>
      <c r="AB69" s="291"/>
      <c r="AC69" s="291"/>
      <c r="AD69" s="291"/>
      <c r="AE69" s="291"/>
      <c r="AF69" s="291"/>
      <c r="AG69" s="291"/>
      <c r="AH69" s="291"/>
      <c r="AI69" s="291"/>
      <c r="AJ69" s="291"/>
      <c r="AK69" s="291"/>
      <c r="AL69" s="291"/>
      <c r="AM69" s="291"/>
      <c r="AN69" s="291"/>
      <c r="AO69" s="291"/>
    </row>
    <row r="70" spans="1:41" s="308" customFormat="1" ht="20.100000000000001" customHeight="1" thickBot="1">
      <c r="A70" s="418" t="s">
        <v>1049</v>
      </c>
      <c r="B70" s="320">
        <v>25</v>
      </c>
      <c r="C70" s="310"/>
      <c r="D70" s="418" t="s">
        <v>1120</v>
      </c>
      <c r="E70" s="321">
        <v>0</v>
      </c>
      <c r="F70" s="322">
        <f>$B70*(F$37-F67)*100</f>
        <v>71.00750648082257</v>
      </c>
      <c r="G70" s="322">
        <f>$B70*(G$37-G67)*100</f>
        <v>145.45456510151462</v>
      </c>
      <c r="H70" s="322">
        <f>$B70*(H$37-H67)*100</f>
        <v>0</v>
      </c>
      <c r="I70" s="322">
        <f>$B70*(I$37-I67)*100</f>
        <v>0</v>
      </c>
      <c r="J70" s="323">
        <f>$B70*(J$37-J67)*100</f>
        <v>0</v>
      </c>
      <c r="K70" s="497"/>
      <c r="L70" s="344"/>
      <c r="M70" s="291"/>
      <c r="N70" s="291"/>
      <c r="O70" s="291"/>
      <c r="P70" s="291"/>
      <c r="Q70" s="291"/>
      <c r="R70" s="291"/>
      <c r="S70" s="291"/>
      <c r="T70" s="291"/>
      <c r="U70" s="291"/>
      <c r="V70" s="291"/>
      <c r="W70" s="291"/>
      <c r="X70" s="291"/>
      <c r="Y70" s="291"/>
      <c r="Z70" s="291"/>
      <c r="AA70" s="291"/>
      <c r="AB70" s="291"/>
      <c r="AC70" s="291"/>
      <c r="AD70" s="291"/>
      <c r="AE70" s="291"/>
      <c r="AF70" s="291"/>
      <c r="AG70" s="291"/>
      <c r="AH70" s="291"/>
      <c r="AI70" s="291"/>
      <c r="AJ70" s="291"/>
      <c r="AK70" s="291"/>
      <c r="AL70" s="291"/>
      <c r="AM70" s="291"/>
      <c r="AN70" s="291"/>
      <c r="AO70" s="291"/>
    </row>
    <row r="71" spans="1:41" s="291" customFormat="1" ht="6" customHeight="1" thickBot="1">
      <c r="L71" s="123"/>
    </row>
    <row r="72" spans="1:41" s="308" customFormat="1" ht="20.100000000000001" customHeight="1" thickBot="1">
      <c r="A72" s="1278" t="s">
        <v>83</v>
      </c>
      <c r="B72" s="1279"/>
      <c r="C72" s="307"/>
      <c r="D72" s="1278" t="s">
        <v>83</v>
      </c>
      <c r="E72" s="1280">
        <f t="shared" ref="E72:J72" si="11">E62</f>
        <v>2018</v>
      </c>
      <c r="F72" s="1280">
        <f t="shared" si="11"/>
        <v>2019</v>
      </c>
      <c r="G72" s="1280">
        <f t="shared" si="11"/>
        <v>2020</v>
      </c>
      <c r="H72" s="1280">
        <f t="shared" si="11"/>
        <v>2021</v>
      </c>
      <c r="I72" s="1280">
        <f t="shared" si="11"/>
        <v>2022</v>
      </c>
      <c r="J72" s="1281">
        <f t="shared" si="11"/>
        <v>2023</v>
      </c>
      <c r="K72" s="307"/>
      <c r="L72" s="307"/>
      <c r="M72" s="291"/>
      <c r="N72" s="291"/>
      <c r="O72" s="291"/>
      <c r="P72" s="291"/>
      <c r="Q72" s="291"/>
      <c r="R72" s="291"/>
      <c r="S72" s="291"/>
      <c r="T72" s="291"/>
      <c r="U72" s="291"/>
      <c r="V72" s="291"/>
      <c r="W72" s="291"/>
      <c r="X72" s="291"/>
      <c r="Y72" s="291"/>
      <c r="Z72" s="291"/>
      <c r="AA72" s="291"/>
      <c r="AB72" s="291"/>
      <c r="AC72" s="291"/>
      <c r="AD72" s="291"/>
      <c r="AE72" s="291"/>
      <c r="AF72" s="291"/>
      <c r="AG72" s="291"/>
      <c r="AH72" s="291"/>
      <c r="AI72" s="291"/>
      <c r="AJ72" s="291"/>
      <c r="AK72" s="291"/>
      <c r="AL72" s="291"/>
      <c r="AM72" s="291"/>
      <c r="AN72" s="291"/>
      <c r="AO72" s="291"/>
    </row>
    <row r="73" spans="1:41" s="308" customFormat="1" ht="20.100000000000001" customHeight="1">
      <c r="A73" s="419"/>
      <c r="B73" s="330"/>
      <c r="C73" s="310"/>
      <c r="D73" s="417" t="s">
        <v>77</v>
      </c>
      <c r="E73" s="300">
        <f>E33</f>
        <v>4.7697166816344838E-2</v>
      </c>
      <c r="F73" s="315">
        <f t="shared" ref="F73:J79" si="12">F33</f>
        <v>3.1686434574876632E-2</v>
      </c>
      <c r="G73" s="315">
        <f t="shared" si="12"/>
        <v>2.9947102444823903E-2</v>
      </c>
      <c r="H73" s="315">
        <f t="shared" si="12"/>
        <v>2.8871442593204177E-2</v>
      </c>
      <c r="I73" s="315">
        <f t="shared" si="12"/>
        <v>2.933023694707515E-2</v>
      </c>
      <c r="J73" s="313">
        <f t="shared" si="12"/>
        <v>2.8000000000000025E-2</v>
      </c>
      <c r="K73" s="300"/>
      <c r="L73" s="344"/>
      <c r="M73" s="291"/>
      <c r="N73" s="291"/>
      <c r="O73" s="291"/>
      <c r="P73" s="291"/>
      <c r="Q73" s="291"/>
      <c r="R73" s="291"/>
      <c r="S73" s="291"/>
      <c r="T73" s="291"/>
      <c r="U73" s="291"/>
      <c r="V73" s="291"/>
      <c r="W73" s="291"/>
      <c r="X73" s="291"/>
      <c r="Y73" s="291"/>
      <c r="Z73" s="291"/>
      <c r="AA73" s="291"/>
      <c r="AB73" s="291"/>
      <c r="AC73" s="291"/>
      <c r="AD73" s="291"/>
      <c r="AE73" s="291"/>
      <c r="AF73" s="291"/>
      <c r="AG73" s="291"/>
      <c r="AH73" s="291"/>
      <c r="AI73" s="291"/>
      <c r="AJ73" s="291"/>
      <c r="AK73" s="291"/>
      <c r="AL73" s="291"/>
      <c r="AM73" s="291"/>
      <c r="AN73" s="291"/>
      <c r="AO73" s="291"/>
    </row>
    <row r="74" spans="1:41" s="308" customFormat="1" ht="20.100000000000001" customHeight="1">
      <c r="A74" s="417"/>
      <c r="B74" s="331"/>
      <c r="C74" s="332"/>
      <c r="D74" s="417" t="s">
        <v>454</v>
      </c>
      <c r="E74" s="300">
        <f t="shared" ref="E74:E79" si="13">E34</f>
        <v>4.2122999157540031E-2</v>
      </c>
      <c r="F74" s="1268">
        <f t="shared" si="12"/>
        <v>3.085754504401117E-2</v>
      </c>
      <c r="G74" s="1268">
        <f t="shared" si="12"/>
        <v>2.7938359016816516E-2</v>
      </c>
      <c r="H74" s="1268">
        <f t="shared" si="12"/>
        <v>2.5315565708619037E-2</v>
      </c>
      <c r="I74" s="1268">
        <f t="shared" si="12"/>
        <v>2.4647711698661201E-2</v>
      </c>
      <c r="J74" s="301">
        <f t="shared" si="12"/>
        <v>2.5000000000000133E-2</v>
      </c>
      <c r="K74" s="300"/>
      <c r="L74" s="344"/>
      <c r="M74" s="291"/>
      <c r="N74" s="291"/>
      <c r="O74" s="291"/>
      <c r="P74" s="291"/>
      <c r="Q74" s="291"/>
      <c r="R74" s="291"/>
      <c r="S74" s="291"/>
      <c r="T74" s="291"/>
      <c r="U74" s="291"/>
      <c r="V74" s="291"/>
      <c r="W74" s="291"/>
      <c r="X74" s="291"/>
      <c r="Y74" s="291"/>
      <c r="Z74" s="291"/>
      <c r="AA74" s="291"/>
      <c r="AB74" s="291"/>
      <c r="AC74" s="291"/>
      <c r="AD74" s="291"/>
      <c r="AE74" s="291"/>
      <c r="AF74" s="291"/>
      <c r="AG74" s="291"/>
      <c r="AH74" s="291"/>
      <c r="AI74" s="291"/>
      <c r="AJ74" s="291"/>
      <c r="AK74" s="291"/>
      <c r="AL74" s="291"/>
      <c r="AM74" s="291"/>
      <c r="AN74" s="291"/>
      <c r="AO74" s="291"/>
    </row>
    <row r="75" spans="1:41" s="308" customFormat="1" ht="20.100000000000001" customHeight="1">
      <c r="A75" s="417"/>
      <c r="B75" s="309"/>
      <c r="C75" s="310"/>
      <c r="D75" s="417" t="s">
        <v>828</v>
      </c>
      <c r="E75" s="300">
        <f t="shared" si="13"/>
        <v>0.36781832970756889</v>
      </c>
      <c r="F75" s="1268">
        <f>F35</f>
        <v>0.35899708650221951</v>
      </c>
      <c r="G75" s="1268">
        <f>G35</f>
        <v>0.35663219049317713</v>
      </c>
      <c r="H75" s="1268">
        <f>H35</f>
        <v>0.35111135216456818</v>
      </c>
      <c r="I75" s="1268">
        <f>I35</f>
        <v>0.34585635256377734</v>
      </c>
      <c r="J75" s="301">
        <f>J35</f>
        <v>0.34585635256377734</v>
      </c>
      <c r="K75" s="300"/>
      <c r="L75" s="344"/>
      <c r="M75" s="291"/>
      <c r="N75" s="291"/>
      <c r="O75" s="291"/>
      <c r="P75" s="291"/>
      <c r="Q75" s="291"/>
      <c r="R75" s="291"/>
      <c r="S75" s="291"/>
      <c r="T75" s="291"/>
      <c r="U75" s="291"/>
      <c r="V75" s="291"/>
      <c r="W75" s="291"/>
      <c r="X75" s="291"/>
      <c r="Y75" s="291"/>
      <c r="Z75" s="291"/>
      <c r="AA75" s="291"/>
      <c r="AB75" s="291"/>
      <c r="AC75" s="291"/>
      <c r="AD75" s="291"/>
      <c r="AE75" s="291"/>
      <c r="AF75" s="291"/>
      <c r="AG75" s="291"/>
      <c r="AH75" s="291"/>
      <c r="AI75" s="291"/>
      <c r="AJ75" s="291"/>
      <c r="AK75" s="291"/>
      <c r="AL75" s="291"/>
      <c r="AM75" s="291"/>
      <c r="AN75" s="291"/>
      <c r="AO75" s="291"/>
    </row>
    <row r="76" spans="1:41" s="308" customFormat="1" ht="20.100000000000001" customHeight="1">
      <c r="A76" s="417"/>
      <c r="B76" s="309"/>
      <c r="C76" s="310"/>
      <c r="D76" s="417" t="s">
        <v>80</v>
      </c>
      <c r="E76" s="300">
        <f t="shared" si="13"/>
        <v>0.36834134844430905</v>
      </c>
      <c r="F76" s="1268">
        <f t="shared" si="12"/>
        <v>0.35853110754106615</v>
      </c>
      <c r="G76" s="1268">
        <f t="shared" si="12"/>
        <v>0.35354366520139902</v>
      </c>
      <c r="H76" s="1268">
        <f t="shared" si="12"/>
        <v>0.34889657983921007</v>
      </c>
      <c r="I76" s="1268">
        <f t="shared" si="12"/>
        <v>0.33712624493397764</v>
      </c>
      <c r="J76" s="301">
        <f t="shared" si="12"/>
        <v>0.33712624493397758</v>
      </c>
      <c r="K76" s="300"/>
      <c r="L76" s="344"/>
      <c r="M76" s="291"/>
      <c r="N76" s="291"/>
      <c r="O76" s="291"/>
      <c r="P76" s="291"/>
      <c r="Q76" s="291"/>
      <c r="R76" s="291"/>
      <c r="S76" s="291"/>
      <c r="T76" s="291"/>
      <c r="U76" s="291"/>
      <c r="V76" s="291"/>
      <c r="W76" s="291"/>
      <c r="X76" s="291"/>
      <c r="Y76" s="291"/>
      <c r="Z76" s="291"/>
      <c r="AA76" s="291"/>
      <c r="AB76" s="291"/>
      <c r="AC76" s="291"/>
      <c r="AD76" s="291"/>
      <c r="AE76" s="291"/>
      <c r="AF76" s="291"/>
      <c r="AG76" s="291"/>
      <c r="AH76" s="291"/>
      <c r="AI76" s="291"/>
      <c r="AJ76" s="291"/>
      <c r="AK76" s="291"/>
      <c r="AL76" s="291"/>
      <c r="AM76" s="291"/>
      <c r="AN76" s="291"/>
      <c r="AO76" s="291"/>
    </row>
    <row r="77" spans="1:41" s="308" customFormat="1" ht="20.100000000000001" customHeight="1">
      <c r="A77" s="417"/>
      <c r="B77" s="309"/>
      <c r="C77" s="310"/>
      <c r="D77" s="417" t="s">
        <v>81</v>
      </c>
      <c r="E77" s="300">
        <f t="shared" si="13"/>
        <v>-5.2301873674015509E-4</v>
      </c>
      <c r="F77" s="1268">
        <f t="shared" si="12"/>
        <v>4.6597896115335713E-4</v>
      </c>
      <c r="G77" s="1268">
        <f t="shared" si="12"/>
        <v>3.0885252917781103E-3</v>
      </c>
      <c r="H77" s="1268">
        <f t="shared" si="12"/>
        <v>2.2147723253581053E-3</v>
      </c>
      <c r="I77" s="1268">
        <f t="shared" si="12"/>
        <v>8.7301076297996993E-3</v>
      </c>
      <c r="J77" s="301">
        <f t="shared" si="12"/>
        <v>8.7301076297997549E-3</v>
      </c>
      <c r="K77" s="300"/>
      <c r="L77" s="344"/>
      <c r="M77" s="291"/>
      <c r="N77" s="291"/>
      <c r="O77" s="291"/>
      <c r="P77" s="291"/>
      <c r="Q77" s="291"/>
      <c r="R77" s="291"/>
      <c r="S77" s="291"/>
      <c r="T77" s="291"/>
      <c r="U77" s="291"/>
      <c r="V77" s="291"/>
      <c r="W77" s="291"/>
      <c r="X77" s="291"/>
      <c r="Y77" s="291"/>
      <c r="Z77" s="291"/>
      <c r="AA77" s="291"/>
      <c r="AB77" s="291"/>
      <c r="AC77" s="291"/>
      <c r="AD77" s="291"/>
      <c r="AE77" s="291"/>
      <c r="AF77" s="291"/>
      <c r="AG77" s="291"/>
      <c r="AH77" s="291"/>
      <c r="AI77" s="291"/>
      <c r="AJ77" s="291"/>
      <c r="AK77" s="291"/>
      <c r="AL77" s="291"/>
      <c r="AM77" s="291"/>
      <c r="AN77" s="291"/>
      <c r="AO77" s="291"/>
    </row>
    <row r="78" spans="1:41" s="308" customFormat="1" ht="20.100000000000001" customHeight="1">
      <c r="A78" s="417"/>
      <c r="B78" s="309"/>
      <c r="C78" s="310"/>
      <c r="D78" s="417" t="s">
        <v>11</v>
      </c>
      <c r="E78" s="302">
        <f t="shared" si="13"/>
        <v>1.18</v>
      </c>
      <c r="F78" s="302">
        <f t="shared" si="12"/>
        <v>1.1399999999999999</v>
      </c>
      <c r="G78" s="302">
        <f t="shared" si="12"/>
        <v>1.1399999999999999</v>
      </c>
      <c r="H78" s="302">
        <f t="shared" si="12"/>
        <v>1.1399999999999999</v>
      </c>
      <c r="I78" s="302">
        <f t="shared" si="12"/>
        <v>1.1399999999999999</v>
      </c>
      <c r="J78" s="303">
        <f t="shared" si="12"/>
        <v>1.1399999999999999</v>
      </c>
      <c r="K78" s="302"/>
      <c r="L78" s="344"/>
      <c r="M78" s="291"/>
      <c r="N78" s="291"/>
      <c r="O78" s="291"/>
      <c r="P78" s="291"/>
      <c r="Q78" s="291"/>
      <c r="R78" s="291"/>
      <c r="S78" s="291"/>
      <c r="T78" s="291"/>
      <c r="U78" s="291"/>
      <c r="V78" s="291"/>
      <c r="W78" s="291"/>
      <c r="X78" s="291"/>
      <c r="Y78" s="291"/>
      <c r="Z78" s="291"/>
      <c r="AA78" s="291"/>
      <c r="AB78" s="291"/>
      <c r="AC78" s="291"/>
      <c r="AD78" s="291"/>
      <c r="AE78" s="291"/>
      <c r="AF78" s="291"/>
      <c r="AG78" s="291"/>
      <c r="AH78" s="291"/>
      <c r="AI78" s="291"/>
      <c r="AJ78" s="291"/>
      <c r="AK78" s="291"/>
      <c r="AL78" s="291"/>
      <c r="AM78" s="291"/>
      <c r="AN78" s="291"/>
      <c r="AO78" s="291"/>
    </row>
    <row r="79" spans="1:41" s="308" customFormat="1" ht="20.100000000000001" customHeight="1">
      <c r="A79" s="314"/>
      <c r="B79" s="333"/>
      <c r="C79" s="123"/>
      <c r="D79" s="417" t="s">
        <v>12</v>
      </c>
      <c r="E79" s="302">
        <f t="shared" si="13"/>
        <v>1.18</v>
      </c>
      <c r="F79" s="302">
        <f t="shared" si="12"/>
        <v>1.1399999999999999</v>
      </c>
      <c r="G79" s="302">
        <f t="shared" si="12"/>
        <v>1.1399999999999999</v>
      </c>
      <c r="H79" s="302">
        <f t="shared" si="12"/>
        <v>1.1399999999999999</v>
      </c>
      <c r="I79" s="302">
        <f t="shared" si="12"/>
        <v>1.1399999999999999</v>
      </c>
      <c r="J79" s="303">
        <f t="shared" si="12"/>
        <v>1.1399999999999999</v>
      </c>
      <c r="K79" s="302"/>
      <c r="L79" s="344"/>
      <c r="M79" s="291"/>
      <c r="N79" s="291"/>
      <c r="O79" s="291"/>
      <c r="P79" s="291"/>
      <c r="Q79" s="291"/>
      <c r="R79" s="291"/>
      <c r="S79" s="291"/>
      <c r="T79" s="291"/>
      <c r="U79" s="291"/>
      <c r="V79" s="291"/>
      <c r="W79" s="291"/>
      <c r="X79" s="291"/>
      <c r="Y79" s="291"/>
      <c r="Z79" s="291"/>
      <c r="AA79" s="291"/>
      <c r="AB79" s="291"/>
      <c r="AC79" s="291"/>
      <c r="AD79" s="291"/>
      <c r="AE79" s="291"/>
      <c r="AF79" s="291"/>
      <c r="AG79" s="291"/>
      <c r="AH79" s="291"/>
      <c r="AI79" s="291"/>
      <c r="AJ79" s="291"/>
      <c r="AK79" s="291"/>
      <c r="AL79" s="291"/>
      <c r="AM79" s="291"/>
      <c r="AN79" s="291"/>
      <c r="AO79" s="291"/>
    </row>
    <row r="80" spans="1:41" s="308" customFormat="1" ht="20.100000000000001" customHeight="1" thickBot="1">
      <c r="A80" s="418" t="s">
        <v>1049</v>
      </c>
      <c r="B80" s="450">
        <f>MAX('Baseline debt'!U99,200)</f>
        <v>1860.6977230199898</v>
      </c>
      <c r="C80" s="332"/>
      <c r="D80" s="418" t="s">
        <v>1120</v>
      </c>
      <c r="E80" s="321">
        <v>0</v>
      </c>
      <c r="F80" s="322">
        <f>$B$80</f>
        <v>1860.6977230199898</v>
      </c>
      <c r="G80" s="322">
        <f>$B$80</f>
        <v>1860.6977230199898</v>
      </c>
      <c r="H80" s="322">
        <f>$B$80</f>
        <v>1860.6977230199898</v>
      </c>
      <c r="I80" s="322">
        <f>$B$80</f>
        <v>1860.6977230199898</v>
      </c>
      <c r="J80" s="323">
        <f>$B$80</f>
        <v>1860.6977230199898</v>
      </c>
      <c r="K80" s="123"/>
      <c r="L80" s="344"/>
      <c r="M80" s="291"/>
      <c r="N80" s="291"/>
      <c r="O80" s="291"/>
      <c r="P80" s="291"/>
      <c r="Q80" s="291"/>
      <c r="R80" s="291"/>
      <c r="S80" s="291"/>
      <c r="T80" s="291"/>
      <c r="U80" s="291"/>
      <c r="V80" s="291"/>
      <c r="W80" s="291"/>
      <c r="X80" s="291"/>
      <c r="Y80" s="291"/>
      <c r="Z80" s="291"/>
      <c r="AA80" s="291"/>
      <c r="AB80" s="291"/>
      <c r="AC80" s="291"/>
      <c r="AD80" s="291"/>
      <c r="AE80" s="291"/>
      <c r="AF80" s="291"/>
      <c r="AG80" s="291"/>
      <c r="AH80" s="291"/>
      <c r="AI80" s="291"/>
      <c r="AJ80" s="291"/>
      <c r="AK80" s="291"/>
      <c r="AL80" s="291"/>
      <c r="AM80" s="291"/>
      <c r="AN80" s="291"/>
      <c r="AO80" s="291"/>
    </row>
    <row r="81" spans="1:41" s="308" customFormat="1" ht="6" customHeight="1" thickBot="1">
      <c r="A81" s="291"/>
      <c r="B81" s="291"/>
      <c r="C81" s="291"/>
      <c r="D81" s="291"/>
      <c r="E81" s="291"/>
      <c r="F81" s="291"/>
      <c r="G81" s="291"/>
      <c r="H81" s="291"/>
      <c r="I81" s="291"/>
      <c r="J81" s="291"/>
      <c r="K81" s="291"/>
      <c r="L81" s="123"/>
      <c r="M81" s="291"/>
      <c r="N81" s="291"/>
      <c r="O81" s="291"/>
      <c r="P81" s="291"/>
      <c r="Q81" s="291"/>
      <c r="R81" s="291"/>
      <c r="S81" s="291"/>
      <c r="T81" s="291"/>
      <c r="U81" s="291"/>
      <c r="V81" s="291"/>
      <c r="W81" s="291"/>
      <c r="X81" s="291"/>
      <c r="Y81" s="291"/>
      <c r="Z81" s="291"/>
      <c r="AA81" s="291"/>
      <c r="AB81" s="291"/>
      <c r="AC81" s="291"/>
      <c r="AD81" s="291"/>
      <c r="AE81" s="291"/>
      <c r="AF81" s="291"/>
      <c r="AG81" s="291"/>
      <c r="AH81" s="291"/>
      <c r="AI81" s="291"/>
      <c r="AJ81" s="291"/>
      <c r="AK81" s="291"/>
      <c r="AL81" s="291"/>
      <c r="AM81" s="291"/>
      <c r="AN81" s="291"/>
      <c r="AO81" s="291"/>
    </row>
    <row r="82" spans="1:41" s="308" customFormat="1" ht="20.100000000000001" customHeight="1" thickBot="1">
      <c r="A82" s="1291" t="s">
        <v>117</v>
      </c>
      <c r="B82" s="1292"/>
      <c r="C82" s="307"/>
      <c r="D82" s="1291" t="s">
        <v>84</v>
      </c>
      <c r="E82" s="1293">
        <f t="shared" ref="E82:J82" si="14">E72</f>
        <v>2018</v>
      </c>
      <c r="F82" s="1293">
        <f t="shared" si="14"/>
        <v>2019</v>
      </c>
      <c r="G82" s="1293">
        <f t="shared" si="14"/>
        <v>2020</v>
      </c>
      <c r="H82" s="1293">
        <f t="shared" si="14"/>
        <v>2021</v>
      </c>
      <c r="I82" s="1293">
        <f t="shared" si="14"/>
        <v>2022</v>
      </c>
      <c r="J82" s="1294">
        <f t="shared" si="14"/>
        <v>2023</v>
      </c>
      <c r="K82" s="307"/>
      <c r="L82" s="307"/>
      <c r="M82" s="291"/>
      <c r="N82" s="291"/>
      <c r="O82" s="291"/>
      <c r="P82" s="291"/>
      <c r="Q82" s="291"/>
      <c r="R82" s="291"/>
      <c r="S82" s="291"/>
      <c r="T82" s="291"/>
      <c r="U82" s="291"/>
      <c r="V82" s="291"/>
      <c r="W82" s="291"/>
      <c r="X82" s="291"/>
      <c r="Y82" s="291"/>
      <c r="Z82" s="291"/>
      <c r="AA82" s="291"/>
      <c r="AB82" s="291"/>
      <c r="AC82" s="291"/>
      <c r="AD82" s="291"/>
      <c r="AE82" s="291"/>
      <c r="AF82" s="291"/>
      <c r="AG82" s="291"/>
      <c r="AH82" s="291"/>
      <c r="AI82" s="291"/>
      <c r="AJ82" s="291"/>
      <c r="AK82" s="291"/>
      <c r="AL82" s="291"/>
      <c r="AM82" s="291"/>
      <c r="AN82" s="291"/>
      <c r="AO82" s="291"/>
    </row>
    <row r="83" spans="1:41" s="308" customFormat="1" ht="20.100000000000001" customHeight="1">
      <c r="A83" s="314"/>
      <c r="B83" s="333"/>
      <c r="C83" s="123"/>
      <c r="D83" s="419" t="s">
        <v>77</v>
      </c>
      <c r="E83" s="311">
        <f t="shared" ref="E83:J83" si="15">E33</f>
        <v>4.7697166816344838E-2</v>
      </c>
      <c r="F83" s="311">
        <f t="shared" si="15"/>
        <v>3.1686434574876632E-2</v>
      </c>
      <c r="G83" s="311">
        <f t="shared" si="15"/>
        <v>2.9947102444823903E-2</v>
      </c>
      <c r="H83" s="311">
        <f t="shared" si="15"/>
        <v>2.8871442593204177E-2</v>
      </c>
      <c r="I83" s="311">
        <f t="shared" si="15"/>
        <v>2.933023694707515E-2</v>
      </c>
      <c r="J83" s="343">
        <f t="shared" si="15"/>
        <v>2.8000000000000025E-2</v>
      </c>
      <c r="K83" s="300"/>
      <c r="L83" s="344"/>
      <c r="M83" s="291"/>
      <c r="N83" s="291"/>
      <c r="O83" s="291"/>
      <c r="P83" s="291"/>
      <c r="Q83" s="291"/>
      <c r="R83" s="291"/>
      <c r="S83" s="291"/>
      <c r="T83" s="291"/>
      <c r="U83" s="291"/>
      <c r="V83" s="291"/>
      <c r="W83" s="291"/>
      <c r="X83" s="291"/>
      <c r="Y83" s="291"/>
      <c r="Z83" s="291"/>
      <c r="AA83" s="291"/>
      <c r="AB83" s="291"/>
      <c r="AC83" s="291"/>
      <c r="AD83" s="291"/>
      <c r="AE83" s="291"/>
      <c r="AF83" s="291"/>
      <c r="AG83" s="291"/>
      <c r="AH83" s="291"/>
      <c r="AI83" s="291"/>
      <c r="AJ83" s="291"/>
      <c r="AK83" s="291"/>
      <c r="AL83" s="291"/>
      <c r="AM83" s="291"/>
      <c r="AN83" s="291"/>
      <c r="AO83" s="291"/>
    </row>
    <row r="84" spans="1:41" s="308" customFormat="1" ht="20.100000000000001" customHeight="1">
      <c r="A84" s="417" t="s">
        <v>983</v>
      </c>
      <c r="B84" s="446">
        <f>IF(AEStatus=1,0.03,0.25)</f>
        <v>0.25</v>
      </c>
      <c r="C84" s="123"/>
      <c r="D84" s="417" t="s">
        <v>454</v>
      </c>
      <c r="E84" s="300">
        <f t="shared" ref="E84:E89" si="16">E34</f>
        <v>4.2122999157540031E-2</v>
      </c>
      <c r="F84" s="1268">
        <f>F$34+B84*B90</f>
        <v>7.6773492297592449E-2</v>
      </c>
      <c r="G84" s="1268">
        <f t="shared" ref="G84:J87" si="17">G34</f>
        <v>2.7938359016816516E-2</v>
      </c>
      <c r="H84" s="1268">
        <f t="shared" si="17"/>
        <v>2.5315565708619037E-2</v>
      </c>
      <c r="I84" s="1268">
        <f t="shared" si="17"/>
        <v>2.4647711698661201E-2</v>
      </c>
      <c r="J84" s="301">
        <f t="shared" si="17"/>
        <v>2.5000000000000133E-2</v>
      </c>
      <c r="K84" s="300"/>
      <c r="L84" s="344"/>
      <c r="M84" s="291"/>
      <c r="N84" s="291"/>
      <c r="O84" s="291"/>
      <c r="P84" s="291"/>
      <c r="Q84" s="291"/>
      <c r="R84" s="291"/>
      <c r="S84" s="291"/>
      <c r="T84" s="291"/>
      <c r="U84" s="291"/>
      <c r="V84" s="291"/>
      <c r="W84" s="291"/>
      <c r="X84" s="291"/>
      <c r="Y84" s="291"/>
      <c r="Z84" s="291"/>
      <c r="AA84" s="291"/>
      <c r="AB84" s="291"/>
      <c r="AC84" s="291"/>
      <c r="AD84" s="291"/>
      <c r="AE84" s="291"/>
      <c r="AF84" s="291"/>
      <c r="AG84" s="291"/>
      <c r="AH84" s="291"/>
      <c r="AI84" s="291"/>
      <c r="AJ84" s="291"/>
      <c r="AK84" s="291"/>
      <c r="AL84" s="291"/>
      <c r="AM84" s="291"/>
      <c r="AN84" s="291"/>
      <c r="AO84" s="291"/>
    </row>
    <row r="85" spans="1:41" s="308" customFormat="1" ht="20.100000000000001" customHeight="1">
      <c r="A85" s="417"/>
      <c r="B85" s="1453"/>
      <c r="C85" s="338"/>
      <c r="D85" s="417" t="s">
        <v>828</v>
      </c>
      <c r="E85" s="300">
        <f t="shared" si="16"/>
        <v>0.36781832970756889</v>
      </c>
      <c r="F85" s="1268">
        <f>F35</f>
        <v>0.35899708650221951</v>
      </c>
      <c r="G85" s="1268">
        <f>G35</f>
        <v>0.35663219049317713</v>
      </c>
      <c r="H85" s="1268">
        <f>H35</f>
        <v>0.35111135216456818</v>
      </c>
      <c r="I85" s="1268">
        <f>I35</f>
        <v>0.34585635256377734</v>
      </c>
      <c r="J85" s="301">
        <f>J35</f>
        <v>0.34585635256377734</v>
      </c>
      <c r="K85" s="300"/>
      <c r="L85" s="344"/>
      <c r="M85" s="291"/>
      <c r="N85" s="291"/>
      <c r="O85" s="291"/>
      <c r="P85" s="291"/>
      <c r="Q85" s="291"/>
      <c r="R85" s="291"/>
      <c r="S85" s="291"/>
      <c r="T85" s="291"/>
      <c r="U85" s="291"/>
      <c r="V85" s="291"/>
      <c r="W85" s="291"/>
      <c r="X85" s="291"/>
      <c r="Y85" s="291"/>
      <c r="Z85" s="291"/>
      <c r="AA85" s="291"/>
      <c r="AB85" s="291"/>
      <c r="AC85" s="291"/>
      <c r="AD85" s="291"/>
      <c r="AE85" s="291"/>
      <c r="AF85" s="291"/>
      <c r="AG85" s="291"/>
      <c r="AH85" s="291"/>
      <c r="AI85" s="291"/>
      <c r="AJ85" s="291"/>
      <c r="AK85" s="291"/>
      <c r="AL85" s="291"/>
      <c r="AM85" s="291"/>
      <c r="AN85" s="291"/>
      <c r="AO85" s="291"/>
    </row>
    <row r="86" spans="1:41" s="308" customFormat="1" ht="20.100000000000001" customHeight="1">
      <c r="A86" s="417"/>
      <c r="B86" s="1453"/>
      <c r="C86" s="338"/>
      <c r="D86" s="417" t="s">
        <v>80</v>
      </c>
      <c r="E86" s="300">
        <f t="shared" si="16"/>
        <v>0.36834134844430905</v>
      </c>
      <c r="F86" s="1268">
        <f>F36</f>
        <v>0.35853110754106615</v>
      </c>
      <c r="G86" s="1268">
        <f t="shared" si="17"/>
        <v>0.35354366520139902</v>
      </c>
      <c r="H86" s="1268">
        <f t="shared" si="17"/>
        <v>0.34889657983921007</v>
      </c>
      <c r="I86" s="1268">
        <f t="shared" si="17"/>
        <v>0.33712624493397764</v>
      </c>
      <c r="J86" s="301">
        <f t="shared" si="17"/>
        <v>0.33712624493397758</v>
      </c>
      <c r="K86" s="300"/>
      <c r="L86" s="344"/>
      <c r="M86" s="291"/>
      <c r="N86" s="291"/>
      <c r="O86" s="291"/>
      <c r="P86" s="291"/>
      <c r="Q86" s="291"/>
      <c r="R86" s="291"/>
      <c r="S86" s="291"/>
      <c r="T86" s="291"/>
      <c r="U86" s="291"/>
      <c r="V86" s="291"/>
      <c r="W86" s="291"/>
      <c r="X86" s="291"/>
      <c r="Y86" s="291"/>
      <c r="Z86" s="291"/>
      <c r="AA86" s="291"/>
      <c r="AB86" s="291"/>
      <c r="AC86" s="291"/>
      <c r="AD86" s="291"/>
      <c r="AE86" s="291"/>
      <c r="AF86" s="291"/>
      <c r="AG86" s="291"/>
      <c r="AH86" s="291"/>
      <c r="AI86" s="291"/>
      <c r="AJ86" s="291"/>
      <c r="AK86" s="291"/>
      <c r="AL86" s="291"/>
      <c r="AM86" s="291"/>
      <c r="AN86" s="291"/>
      <c r="AO86" s="291"/>
    </row>
    <row r="87" spans="1:41" s="308" customFormat="1" ht="20.100000000000001" customHeight="1">
      <c r="A87" s="417"/>
      <c r="B87" s="1453"/>
      <c r="C87" s="123"/>
      <c r="D87" s="417" t="s">
        <v>81</v>
      </c>
      <c r="E87" s="300">
        <f t="shared" si="16"/>
        <v>-5.2301873674015509E-4</v>
      </c>
      <c r="F87" s="1268">
        <f>F37</f>
        <v>4.6597896115335713E-4</v>
      </c>
      <c r="G87" s="1268">
        <f t="shared" si="17"/>
        <v>3.0885252917781103E-3</v>
      </c>
      <c r="H87" s="1268">
        <f t="shared" si="17"/>
        <v>2.2147723253581053E-3</v>
      </c>
      <c r="I87" s="1268">
        <f t="shared" si="17"/>
        <v>8.7301076297996993E-3</v>
      </c>
      <c r="J87" s="301">
        <f t="shared" si="17"/>
        <v>8.7301076297997549E-3</v>
      </c>
      <c r="K87" s="300"/>
      <c r="L87" s="344"/>
      <c r="M87" s="291"/>
      <c r="N87" s="291"/>
      <c r="O87" s="291"/>
      <c r="P87" s="291"/>
      <c r="Q87" s="291"/>
      <c r="R87" s="291"/>
      <c r="S87" s="291"/>
      <c r="T87" s="291"/>
      <c r="U87" s="291"/>
      <c r="V87" s="291"/>
      <c r="W87" s="291"/>
      <c r="X87" s="291"/>
      <c r="Y87" s="291"/>
      <c r="Z87" s="291"/>
      <c r="AA87" s="291"/>
      <c r="AB87" s="291"/>
      <c r="AC87" s="291"/>
      <c r="AD87" s="291"/>
      <c r="AE87" s="291"/>
      <c r="AF87" s="291"/>
      <c r="AG87" s="291"/>
      <c r="AH87" s="291"/>
      <c r="AI87" s="291"/>
      <c r="AJ87" s="291"/>
      <c r="AK87" s="291"/>
      <c r="AL87" s="291"/>
      <c r="AM87" s="291"/>
      <c r="AN87" s="291"/>
      <c r="AO87" s="291"/>
    </row>
    <row r="88" spans="1:41" s="308" customFormat="1" ht="20.100000000000001" customHeight="1">
      <c r="B88" s="1453"/>
      <c r="C88" s="338"/>
      <c r="D88" s="417" t="s">
        <v>11</v>
      </c>
      <c r="E88" s="302">
        <f t="shared" si="16"/>
        <v>1.18</v>
      </c>
      <c r="F88" s="302">
        <f>F38*(1+B$90)</f>
        <v>1.3493767194763304</v>
      </c>
      <c r="G88" s="302">
        <f t="shared" ref="G88:J89" si="18">F88*G38/F38</f>
        <v>1.3493767194763304</v>
      </c>
      <c r="H88" s="302">
        <f t="shared" si="18"/>
        <v>1.3493767194763304</v>
      </c>
      <c r="I88" s="302">
        <f t="shared" si="18"/>
        <v>1.3493767194763304</v>
      </c>
      <c r="J88" s="303">
        <f t="shared" si="18"/>
        <v>1.3493767194763304</v>
      </c>
      <c r="K88" s="302"/>
      <c r="L88" s="344"/>
      <c r="M88" s="291"/>
      <c r="N88" s="291"/>
      <c r="O88" s="291"/>
      <c r="P88" s="291"/>
      <c r="Q88" s="291"/>
      <c r="R88" s="291"/>
      <c r="S88" s="291"/>
      <c r="T88" s="291"/>
      <c r="U88" s="291"/>
      <c r="V88" s="291"/>
      <c r="W88" s="291"/>
      <c r="X88" s="291"/>
      <c r="Y88" s="291"/>
      <c r="Z88" s="291"/>
      <c r="AA88" s="291"/>
      <c r="AB88" s="291"/>
      <c r="AC88" s="291"/>
      <c r="AD88" s="291"/>
      <c r="AE88" s="291"/>
      <c r="AF88" s="291"/>
      <c r="AG88" s="291"/>
      <c r="AH88" s="291"/>
      <c r="AI88" s="291"/>
      <c r="AJ88" s="291"/>
      <c r="AK88" s="291"/>
      <c r="AL88" s="291"/>
      <c r="AM88" s="291"/>
      <c r="AN88" s="291"/>
      <c r="AO88" s="291"/>
    </row>
    <row r="89" spans="1:41" s="308" customFormat="1" ht="20.100000000000001" customHeight="1">
      <c r="A89" s="417" t="s">
        <v>117</v>
      </c>
      <c r="B89" s="1454">
        <f>MAX(MAX('Baseline debt'!F75:O75),REER)</f>
        <v>0.13774784176074384</v>
      </c>
      <c r="C89" s="338"/>
      <c r="D89" s="417" t="s">
        <v>12</v>
      </c>
      <c r="E89" s="302">
        <f t="shared" si="16"/>
        <v>1.18</v>
      </c>
      <c r="F89" s="302">
        <f>F39*(1+B$90)</f>
        <v>1.3493767194763304</v>
      </c>
      <c r="G89" s="302">
        <f t="shared" si="18"/>
        <v>1.3493767194763304</v>
      </c>
      <c r="H89" s="302">
        <f t="shared" si="18"/>
        <v>1.3493767194763304</v>
      </c>
      <c r="I89" s="302">
        <f t="shared" si="18"/>
        <v>1.3493767194763304</v>
      </c>
      <c r="J89" s="303">
        <f t="shared" si="18"/>
        <v>1.3493767194763304</v>
      </c>
      <c r="K89" s="302"/>
      <c r="L89" s="344"/>
      <c r="M89" s="291"/>
      <c r="N89" s="291"/>
      <c r="O89" s="291"/>
      <c r="P89" s="291"/>
      <c r="Q89" s="291"/>
      <c r="R89" s="291"/>
      <c r="S89" s="291"/>
      <c r="T89" s="291"/>
      <c r="U89" s="291"/>
      <c r="V89" s="291"/>
      <c r="W89" s="291"/>
      <c r="X89" s="291"/>
      <c r="Y89" s="291"/>
      <c r="Z89" s="291"/>
      <c r="AA89" s="291"/>
      <c r="AB89" s="291"/>
      <c r="AC89" s="291"/>
      <c r="AD89" s="291"/>
      <c r="AE89" s="291"/>
      <c r="AF89" s="291"/>
      <c r="AG89" s="291"/>
      <c r="AH89" s="291"/>
      <c r="AI89" s="291"/>
      <c r="AJ89" s="291"/>
      <c r="AK89" s="291"/>
      <c r="AL89" s="291"/>
      <c r="AM89" s="291"/>
      <c r="AN89" s="291"/>
      <c r="AO89" s="291"/>
    </row>
    <row r="90" spans="1:41" s="308" customFormat="1" ht="20.100000000000001" customHeight="1" thickBot="1">
      <c r="A90" s="418" t="s">
        <v>327</v>
      </c>
      <c r="B90" s="1706">
        <f>B89/(1-B84)</f>
        <v>0.18366378901432512</v>
      </c>
      <c r="C90" s="123"/>
      <c r="D90" s="418" t="s">
        <v>1120</v>
      </c>
      <c r="E90" s="321">
        <v>0</v>
      </c>
      <c r="F90" s="321">
        <v>0</v>
      </c>
      <c r="G90" s="321">
        <v>0</v>
      </c>
      <c r="H90" s="321">
        <v>0</v>
      </c>
      <c r="I90" s="321">
        <v>0</v>
      </c>
      <c r="J90" s="323">
        <v>0</v>
      </c>
      <c r="K90" s="497"/>
      <c r="L90" s="344"/>
      <c r="M90" s="291"/>
      <c r="N90" s="291"/>
      <c r="O90" s="291"/>
      <c r="P90" s="291"/>
      <c r="Q90" s="291"/>
      <c r="R90" s="291"/>
      <c r="S90" s="291"/>
      <c r="T90" s="291"/>
      <c r="U90" s="291"/>
      <c r="V90" s="291"/>
      <c r="W90" s="291"/>
      <c r="X90" s="291"/>
      <c r="Y90" s="291"/>
      <c r="Z90" s="291"/>
      <c r="AA90" s="291"/>
      <c r="AB90" s="291"/>
      <c r="AC90" s="291"/>
      <c r="AD90" s="291"/>
      <c r="AE90" s="291"/>
      <c r="AF90" s="291"/>
      <c r="AG90" s="291"/>
      <c r="AH90" s="291"/>
      <c r="AI90" s="291"/>
      <c r="AJ90" s="291"/>
      <c r="AK90" s="291"/>
      <c r="AL90" s="291"/>
      <c r="AM90" s="291"/>
      <c r="AN90" s="291"/>
      <c r="AO90" s="291"/>
    </row>
    <row r="91" spans="1:41" s="291" customFormat="1" ht="6" customHeight="1" thickBot="1">
      <c r="L91" s="123"/>
    </row>
    <row r="92" spans="1:41" s="291" customFormat="1" ht="20.100000000000001" customHeight="1" thickBot="1">
      <c r="A92" s="1285" t="s">
        <v>775</v>
      </c>
      <c r="B92" s="1286"/>
      <c r="C92" s="340"/>
      <c r="D92" s="1285" t="s">
        <v>775</v>
      </c>
      <c r="E92" s="1295">
        <f t="shared" ref="E92:J92" si="19">E82</f>
        <v>2018</v>
      </c>
      <c r="F92" s="1295">
        <f t="shared" si="19"/>
        <v>2019</v>
      </c>
      <c r="G92" s="1295">
        <f t="shared" si="19"/>
        <v>2020</v>
      </c>
      <c r="H92" s="1295">
        <f t="shared" si="19"/>
        <v>2021</v>
      </c>
      <c r="I92" s="1295">
        <f t="shared" si="19"/>
        <v>2022</v>
      </c>
      <c r="J92" s="1296">
        <f t="shared" si="19"/>
        <v>2023</v>
      </c>
      <c r="K92" s="340"/>
      <c r="L92" s="340"/>
    </row>
    <row r="93" spans="1:41" s="291" customFormat="1" ht="20.100000000000001" customHeight="1">
      <c r="A93" s="314"/>
      <c r="B93" s="333"/>
      <c r="C93" s="123"/>
      <c r="D93" s="419" t="s">
        <v>77</v>
      </c>
      <c r="E93" s="311">
        <f t="shared" ref="E93:E99" si="20">E33</f>
        <v>4.7697166816344838E-2</v>
      </c>
      <c r="F93" s="311">
        <f t="shared" ref="F93:J95" si="21">MIN(F33,F43,F63,F73,F83)</f>
        <v>-2.9400730822444127E-2</v>
      </c>
      <c r="G93" s="311">
        <f t="shared" si="21"/>
        <v>-3.1140062952496855E-2</v>
      </c>
      <c r="H93" s="311">
        <f t="shared" si="21"/>
        <v>2.8871442593204177E-2</v>
      </c>
      <c r="I93" s="311">
        <f t="shared" si="21"/>
        <v>2.933023694707515E-2</v>
      </c>
      <c r="J93" s="343">
        <f t="shared" si="21"/>
        <v>2.8000000000000025E-2</v>
      </c>
      <c r="K93" s="300"/>
      <c r="L93" s="344"/>
    </row>
    <row r="94" spans="1:41" s="291" customFormat="1" ht="20.100000000000001" customHeight="1">
      <c r="A94" s="299"/>
      <c r="B94" s="333"/>
      <c r="C94" s="344"/>
      <c r="D94" s="417" t="s">
        <v>454</v>
      </c>
      <c r="E94" s="300">
        <f t="shared" si="20"/>
        <v>4.2122999157540031E-2</v>
      </c>
      <c r="F94" s="300">
        <f t="shared" si="21"/>
        <v>1.558575369468098E-2</v>
      </c>
      <c r="G94" s="300">
        <f t="shared" si="21"/>
        <v>1.2666567667486327E-2</v>
      </c>
      <c r="H94" s="300">
        <f t="shared" si="21"/>
        <v>2.5315565708619037E-2</v>
      </c>
      <c r="I94" s="300">
        <f t="shared" si="21"/>
        <v>2.4647711698661201E-2</v>
      </c>
      <c r="J94" s="301">
        <f t="shared" si="21"/>
        <v>2.5000000000000133E-2</v>
      </c>
      <c r="K94" s="300"/>
      <c r="L94" s="344"/>
    </row>
    <row r="95" spans="1:41" s="308" customFormat="1" ht="20.100000000000001" customHeight="1">
      <c r="A95" s="299"/>
      <c r="B95" s="339"/>
      <c r="C95" s="344"/>
      <c r="D95" s="417" t="s">
        <v>828</v>
      </c>
      <c r="E95" s="300">
        <f>E35</f>
        <v>0.36781832970756889</v>
      </c>
      <c r="F95" s="300">
        <f t="shared" si="21"/>
        <v>0.35040979875430966</v>
      </c>
      <c r="G95" s="300">
        <f t="shared" si="21"/>
        <v>0.34804490274526728</v>
      </c>
      <c r="H95" s="300">
        <f t="shared" si="21"/>
        <v>0.35111135216456818</v>
      </c>
      <c r="I95" s="300">
        <f t="shared" si="21"/>
        <v>0.34585635256377734</v>
      </c>
      <c r="J95" s="301">
        <f t="shared" si="21"/>
        <v>0.34585635256377734</v>
      </c>
      <c r="K95" s="300"/>
      <c r="L95" s="344"/>
      <c r="M95" s="291"/>
      <c r="N95" s="291"/>
      <c r="O95" s="291"/>
      <c r="P95" s="291"/>
      <c r="Q95" s="291"/>
      <c r="R95" s="291"/>
      <c r="S95" s="291"/>
      <c r="T95" s="291"/>
      <c r="U95" s="291"/>
      <c r="V95" s="291"/>
      <c r="W95" s="291"/>
      <c r="X95" s="291"/>
      <c r="Y95" s="291"/>
      <c r="Z95" s="291"/>
      <c r="AA95" s="291"/>
      <c r="AB95" s="291"/>
      <c r="AC95" s="291"/>
      <c r="AD95" s="291"/>
      <c r="AE95" s="291"/>
      <c r="AF95" s="291"/>
      <c r="AG95" s="291"/>
      <c r="AH95" s="291"/>
      <c r="AI95" s="291"/>
      <c r="AJ95" s="291"/>
      <c r="AK95" s="291"/>
      <c r="AL95" s="291"/>
      <c r="AM95" s="291"/>
      <c r="AN95" s="291"/>
      <c r="AO95" s="291"/>
    </row>
    <row r="96" spans="1:41" s="308" customFormat="1" ht="20.100000000000001" customHeight="1">
      <c r="A96" s="299"/>
      <c r="B96" s="339"/>
      <c r="C96" s="344"/>
      <c r="D96" s="417" t="s">
        <v>80</v>
      </c>
      <c r="E96" s="300">
        <f t="shared" si="20"/>
        <v>0.36834134844430905</v>
      </c>
      <c r="F96" s="300">
        <f>MAX(F36,F46,F66,F76,F86)</f>
        <v>0.38693411013339518</v>
      </c>
      <c r="G96" s="300">
        <f>MAX(G36,G46,G66,G76,G86)</f>
        <v>0.41172549124200486</v>
      </c>
      <c r="H96" s="300">
        <f>MAX(H36,H46,H66,H76,H86)</f>
        <v>0.34889657983921007</v>
      </c>
      <c r="I96" s="300">
        <f>MAX(I36,I46,I66,I76,I86)</f>
        <v>0.33712624493397764</v>
      </c>
      <c r="J96" s="301">
        <f>MAX(J36,J46,J66,J76,J86)</f>
        <v>0.33712624493397758</v>
      </c>
      <c r="K96" s="300"/>
      <c r="L96" s="344"/>
      <c r="M96" s="291"/>
      <c r="N96" s="291"/>
      <c r="O96" s="291"/>
      <c r="P96" s="291"/>
      <c r="Q96" s="291"/>
      <c r="R96" s="291"/>
      <c r="S96" s="291"/>
      <c r="T96" s="291"/>
      <c r="U96" s="291"/>
      <c r="V96" s="291"/>
      <c r="W96" s="291"/>
      <c r="X96" s="291"/>
      <c r="Y96" s="291"/>
      <c r="Z96" s="291"/>
      <c r="AA96" s="291"/>
      <c r="AB96" s="291"/>
      <c r="AC96" s="291"/>
      <c r="AD96" s="291"/>
      <c r="AE96" s="291"/>
      <c r="AF96" s="291"/>
      <c r="AG96" s="291"/>
      <c r="AH96" s="291"/>
      <c r="AI96" s="291"/>
      <c r="AJ96" s="291"/>
      <c r="AK96" s="291"/>
      <c r="AL96" s="291"/>
      <c r="AM96" s="291"/>
      <c r="AN96" s="291"/>
      <c r="AO96" s="291"/>
    </row>
    <row r="97" spans="1:42" s="308" customFormat="1" ht="20.100000000000001" customHeight="1">
      <c r="A97" s="299"/>
      <c r="B97" s="333"/>
      <c r="C97" s="344"/>
      <c r="D97" s="417" t="s">
        <v>81</v>
      </c>
      <c r="E97" s="300">
        <f t="shared" si="20"/>
        <v>-5.2301873674015509E-4</v>
      </c>
      <c r="F97" s="300">
        <f>F95-F96</f>
        <v>-3.6524311379085517E-2</v>
      </c>
      <c r="G97" s="300">
        <f>G95-G96</f>
        <v>-6.3680588496737578E-2</v>
      </c>
      <c r="H97" s="300">
        <f>H95-H96</f>
        <v>2.2147723253581053E-3</v>
      </c>
      <c r="I97" s="300">
        <f>I95-I96</f>
        <v>8.7301076297996993E-3</v>
      </c>
      <c r="J97" s="301">
        <f>J95-J96</f>
        <v>8.7301076297997549E-3</v>
      </c>
      <c r="K97" s="300"/>
      <c r="L97" s="344"/>
      <c r="M97" s="291"/>
      <c r="N97" s="291"/>
      <c r="O97" s="291"/>
      <c r="P97" s="291"/>
      <c r="Q97" s="291"/>
      <c r="R97" s="291"/>
      <c r="S97" s="291"/>
      <c r="T97" s="291"/>
      <c r="U97" s="291"/>
      <c r="V97" s="291"/>
      <c r="W97" s="291"/>
      <c r="X97" s="291"/>
      <c r="Y97" s="291"/>
      <c r="Z97" s="291"/>
      <c r="AA97" s="291"/>
      <c r="AB97" s="291"/>
      <c r="AC97" s="291"/>
      <c r="AD97" s="291"/>
      <c r="AE97" s="291"/>
      <c r="AF97" s="291"/>
      <c r="AG97" s="291"/>
      <c r="AH97" s="291"/>
      <c r="AI97" s="291"/>
      <c r="AJ97" s="291"/>
      <c r="AK97" s="291"/>
      <c r="AL97" s="291"/>
      <c r="AM97" s="291"/>
      <c r="AN97" s="291"/>
      <c r="AO97" s="291"/>
    </row>
    <row r="98" spans="1:42" s="308" customFormat="1" ht="20.100000000000001" customHeight="1">
      <c r="A98" s="299"/>
      <c r="B98" s="339"/>
      <c r="C98" s="344"/>
      <c r="D98" s="417" t="s">
        <v>11</v>
      </c>
      <c r="E98" s="302">
        <f t="shared" si="20"/>
        <v>1.18</v>
      </c>
      <c r="F98" s="302">
        <f t="shared" ref="F98:J100" si="22">MAX(F38,F48,F68,F78,F88)</f>
        <v>1.3493767194763304</v>
      </c>
      <c r="G98" s="302">
        <f t="shared" si="22"/>
        <v>1.3493767194763304</v>
      </c>
      <c r="H98" s="302">
        <f t="shared" si="22"/>
        <v>1.3493767194763304</v>
      </c>
      <c r="I98" s="302">
        <f t="shared" si="22"/>
        <v>1.3493767194763304</v>
      </c>
      <c r="J98" s="303">
        <f t="shared" si="22"/>
        <v>1.3493767194763304</v>
      </c>
      <c r="K98" s="302"/>
      <c r="L98" s="344"/>
      <c r="M98" s="291"/>
      <c r="N98" s="291"/>
      <c r="O98" s="291"/>
      <c r="P98" s="291"/>
      <c r="Q98" s="291"/>
      <c r="R98" s="291"/>
      <c r="S98" s="291"/>
      <c r="T98" s="291"/>
      <c r="U98" s="291"/>
      <c r="V98" s="291"/>
      <c r="W98" s="291"/>
      <c r="X98" s="291"/>
      <c r="Y98" s="291"/>
      <c r="Z98" s="291"/>
      <c r="AA98" s="291"/>
      <c r="AB98" s="291"/>
      <c r="AC98" s="291"/>
      <c r="AD98" s="291"/>
      <c r="AE98" s="291"/>
      <c r="AF98" s="291"/>
      <c r="AG98" s="291"/>
      <c r="AH98" s="291"/>
      <c r="AI98" s="291"/>
      <c r="AJ98" s="291"/>
      <c r="AK98" s="291"/>
      <c r="AL98" s="291"/>
      <c r="AM98" s="291"/>
      <c r="AN98" s="291"/>
      <c r="AO98" s="291"/>
    </row>
    <row r="99" spans="1:42" s="308" customFormat="1" ht="20.100000000000001" customHeight="1">
      <c r="A99" s="299"/>
      <c r="B99" s="339"/>
      <c r="C99" s="344"/>
      <c r="D99" s="417" t="s">
        <v>12</v>
      </c>
      <c r="E99" s="302">
        <f t="shared" si="20"/>
        <v>1.18</v>
      </c>
      <c r="F99" s="302">
        <f t="shared" si="22"/>
        <v>1.3493767194763304</v>
      </c>
      <c r="G99" s="302">
        <f t="shared" si="22"/>
        <v>1.3493767194763304</v>
      </c>
      <c r="H99" s="302">
        <f t="shared" si="22"/>
        <v>1.3493767194763304</v>
      </c>
      <c r="I99" s="302">
        <f t="shared" si="22"/>
        <v>1.3493767194763304</v>
      </c>
      <c r="J99" s="303">
        <f t="shared" si="22"/>
        <v>1.3493767194763304</v>
      </c>
      <c r="K99" s="302"/>
      <c r="L99" s="344"/>
      <c r="M99" s="291"/>
      <c r="N99" s="291"/>
      <c r="O99" s="291"/>
      <c r="P99" s="291"/>
      <c r="Q99" s="291"/>
      <c r="R99" s="291"/>
      <c r="S99" s="291"/>
      <c r="T99" s="291"/>
      <c r="U99" s="291"/>
      <c r="V99" s="291"/>
      <c r="W99" s="291"/>
      <c r="X99" s="291"/>
      <c r="Y99" s="291"/>
      <c r="Z99" s="291"/>
      <c r="AA99" s="291"/>
      <c r="AB99" s="291"/>
      <c r="AC99" s="291"/>
      <c r="AD99" s="291"/>
      <c r="AE99" s="291"/>
      <c r="AF99" s="291"/>
      <c r="AG99" s="291"/>
      <c r="AH99" s="291"/>
      <c r="AI99" s="291"/>
      <c r="AJ99" s="291"/>
      <c r="AK99" s="291"/>
      <c r="AL99" s="291"/>
      <c r="AM99" s="291"/>
      <c r="AN99" s="291"/>
      <c r="AO99" s="291"/>
    </row>
    <row r="100" spans="1:42" s="308" customFormat="1" ht="20.100000000000001" customHeight="1" thickBot="1">
      <c r="A100" s="304"/>
      <c r="B100" s="334"/>
      <c r="C100" s="344"/>
      <c r="D100" s="418" t="s">
        <v>1120</v>
      </c>
      <c r="E100" s="321">
        <v>0</v>
      </c>
      <c r="F100" s="322">
        <f t="shared" si="22"/>
        <v>1860.6977230199898</v>
      </c>
      <c r="G100" s="322">
        <f t="shared" si="22"/>
        <v>1860.6977230199898</v>
      </c>
      <c r="H100" s="322">
        <f t="shared" si="22"/>
        <v>1860.6977230199898</v>
      </c>
      <c r="I100" s="322">
        <f t="shared" si="22"/>
        <v>1860.6977230199898</v>
      </c>
      <c r="J100" s="323">
        <f t="shared" si="22"/>
        <v>1860.6977230199898</v>
      </c>
      <c r="K100" s="497"/>
      <c r="L100" s="344"/>
      <c r="M100" s="291"/>
      <c r="N100" s="291"/>
      <c r="O100" s="291"/>
      <c r="P100" s="291"/>
      <c r="Q100" s="291"/>
      <c r="R100" s="291"/>
      <c r="S100" s="291"/>
      <c r="T100" s="291"/>
      <c r="U100" s="291"/>
      <c r="V100" s="291"/>
      <c r="W100" s="291"/>
      <c r="X100" s="291"/>
      <c r="Y100" s="291"/>
      <c r="Z100" s="291"/>
      <c r="AA100" s="291"/>
      <c r="AB100" s="291"/>
      <c r="AC100" s="291"/>
      <c r="AD100" s="291"/>
      <c r="AE100" s="291"/>
      <c r="AF100" s="291"/>
      <c r="AG100" s="291"/>
      <c r="AH100" s="291"/>
      <c r="AI100" s="291"/>
      <c r="AJ100" s="291"/>
      <c r="AK100" s="291"/>
      <c r="AL100" s="291"/>
      <c r="AM100" s="291"/>
      <c r="AN100" s="291"/>
      <c r="AO100" s="291"/>
    </row>
    <row r="101" spans="1:42" s="25" customFormat="1" ht="6" customHeight="1" thickBot="1"/>
    <row r="102" spans="1:42" s="291" customFormat="1" ht="20.100000000000001" customHeight="1" thickBot="1">
      <c r="A102" s="351" t="s">
        <v>922</v>
      </c>
      <c r="B102" s="352"/>
      <c r="C102" s="307"/>
      <c r="D102" s="351" t="s">
        <v>922</v>
      </c>
      <c r="E102" s="353">
        <f t="shared" ref="E102:J102" si="23">E92</f>
        <v>2018</v>
      </c>
      <c r="F102" s="353">
        <f t="shared" si="23"/>
        <v>2019</v>
      </c>
      <c r="G102" s="353">
        <f t="shared" si="23"/>
        <v>2020</v>
      </c>
      <c r="H102" s="353">
        <f t="shared" si="23"/>
        <v>2021</v>
      </c>
      <c r="I102" s="353">
        <f t="shared" si="23"/>
        <v>2022</v>
      </c>
      <c r="J102" s="354">
        <f t="shared" si="23"/>
        <v>2023</v>
      </c>
      <c r="K102" s="307"/>
      <c r="L102" s="307"/>
    </row>
    <row r="103" spans="1:42" s="291" customFormat="1" ht="20.100000000000001" customHeight="1">
      <c r="A103" s="419" t="s">
        <v>122</v>
      </c>
      <c r="B103" s="449">
        <v>1</v>
      </c>
      <c r="C103" s="123"/>
      <c r="D103" s="419" t="s">
        <v>77</v>
      </c>
      <c r="E103" s="311">
        <f t="shared" ref="E103:J105" si="24">E33</f>
        <v>4.7697166816344838E-2</v>
      </c>
      <c r="F103" s="311">
        <f>F33-$B$103*'Baseline debt'!$E100</f>
        <v>-2.9400730822444127E-2</v>
      </c>
      <c r="G103" s="311">
        <f>G33-$B$103*'Baseline debt'!$E100</f>
        <v>-3.1140062952496855E-2</v>
      </c>
      <c r="H103" s="311">
        <f t="shared" si="24"/>
        <v>2.8871442593204177E-2</v>
      </c>
      <c r="I103" s="311">
        <f t="shared" si="24"/>
        <v>2.933023694707515E-2</v>
      </c>
      <c r="J103" s="343">
        <f t="shared" si="24"/>
        <v>2.8000000000000025E-2</v>
      </c>
      <c r="K103" s="300"/>
      <c r="L103" s="344"/>
    </row>
    <row r="104" spans="1:42" s="291" customFormat="1" ht="20.100000000000001" customHeight="1">
      <c r="A104" s="417" t="s">
        <v>1050</v>
      </c>
      <c r="B104" s="446">
        <v>25</v>
      </c>
      <c r="C104" s="123"/>
      <c r="D104" s="417" t="s">
        <v>454</v>
      </c>
      <c r="E104" s="300">
        <f t="shared" ref="E104:E109" si="25">E34</f>
        <v>4.2122999157540031E-2</v>
      </c>
      <c r="F104" s="1268">
        <f>F34-(F33-F103)*$B$104/100</f>
        <v>1.558575369468098E-2</v>
      </c>
      <c r="G104" s="1268">
        <f>G34-(G33-G103)*$B$104/100</f>
        <v>1.2666567667486327E-2</v>
      </c>
      <c r="H104" s="1268">
        <f>H34-(H33-H103)*$B$104/100</f>
        <v>2.5315565708619037E-2</v>
      </c>
      <c r="I104" s="1268">
        <f>I34-(I33-I103)*$B$104/100</f>
        <v>2.4647711698661201E-2</v>
      </c>
      <c r="J104" s="301">
        <f>J34-(J33-J103)*$B$104/100</f>
        <v>2.5000000000000133E-2</v>
      </c>
      <c r="K104" s="300"/>
      <c r="L104" s="344"/>
    </row>
    <row r="105" spans="1:42" s="308" customFormat="1" ht="20.100000000000001" customHeight="1">
      <c r="A105" s="417" t="s">
        <v>121</v>
      </c>
      <c r="B105" s="309"/>
      <c r="C105" s="338"/>
      <c r="D105" s="417" t="s">
        <v>828</v>
      </c>
      <c r="E105" s="300">
        <f t="shared" si="25"/>
        <v>0.36781832970756889</v>
      </c>
      <c r="F105" s="1268">
        <f t="shared" si="24"/>
        <v>0.35899708650221951</v>
      </c>
      <c r="G105" s="1268">
        <f t="shared" si="24"/>
        <v>0.35663219049317713</v>
      </c>
      <c r="H105" s="1268">
        <f t="shared" si="24"/>
        <v>0.35111135216456818</v>
      </c>
      <c r="I105" s="1268">
        <f t="shared" si="24"/>
        <v>0.34585635256377734</v>
      </c>
      <c r="J105" s="301">
        <f t="shared" si="24"/>
        <v>0.34585635256377734</v>
      </c>
      <c r="K105" s="300"/>
      <c r="L105" s="344"/>
      <c r="M105" s="291"/>
      <c r="N105" s="291"/>
      <c r="O105" s="291"/>
      <c r="P105" s="291"/>
      <c r="Q105" s="291"/>
      <c r="R105" s="291"/>
      <c r="S105" s="291"/>
      <c r="T105" s="291"/>
      <c r="U105" s="291"/>
      <c r="V105" s="291"/>
      <c r="W105" s="291"/>
      <c r="X105" s="291"/>
      <c r="Y105" s="291"/>
      <c r="Z105" s="291"/>
      <c r="AA105" s="291"/>
      <c r="AB105" s="291"/>
      <c r="AC105" s="291"/>
      <c r="AD105" s="291"/>
      <c r="AE105" s="291"/>
      <c r="AF105" s="291"/>
      <c r="AG105" s="291"/>
      <c r="AH105" s="291"/>
      <c r="AI105" s="291"/>
      <c r="AJ105" s="291"/>
      <c r="AK105" s="291"/>
      <c r="AL105" s="291"/>
      <c r="AM105" s="291"/>
      <c r="AN105" s="291"/>
      <c r="AO105" s="291"/>
      <c r="AP105" s="291"/>
    </row>
    <row r="106" spans="1:42" s="308" customFormat="1" ht="20.100000000000001" customHeight="1">
      <c r="A106" s="417" t="s">
        <v>326</v>
      </c>
      <c r="B106" s="1454">
        <v>0.1</v>
      </c>
      <c r="C106" s="338"/>
      <c r="D106" s="417" t="s">
        <v>80</v>
      </c>
      <c r="E106" s="300">
        <f t="shared" si="25"/>
        <v>0.36834134844430905</v>
      </c>
      <c r="F106" s="1268">
        <f>F36+B106*('Input 3 - Debt and Banking'!$N$20/100)</f>
        <v>0.44041456163519449</v>
      </c>
      <c r="G106" s="1268">
        <f t="shared" ref="G106:J109" si="26">G36</f>
        <v>0.35354366520139902</v>
      </c>
      <c r="H106" s="1268">
        <f t="shared" si="26"/>
        <v>0.34889657983921007</v>
      </c>
      <c r="I106" s="1268">
        <f t="shared" si="26"/>
        <v>0.33712624493397764</v>
      </c>
      <c r="J106" s="301">
        <f t="shared" si="26"/>
        <v>0.33712624493397758</v>
      </c>
      <c r="K106" s="300"/>
      <c r="L106" s="344"/>
      <c r="M106" s="291"/>
      <c r="N106" s="291"/>
      <c r="O106" s="291"/>
      <c r="P106" s="291"/>
      <c r="Q106" s="291"/>
      <c r="R106" s="291"/>
      <c r="S106" s="291"/>
      <c r="T106" s="291"/>
      <c r="U106" s="291"/>
      <c r="V106" s="291"/>
      <c r="W106" s="291"/>
      <c r="X106" s="291"/>
      <c r="Y106" s="291"/>
      <c r="Z106" s="291"/>
      <c r="AA106" s="291"/>
      <c r="AB106" s="291"/>
      <c r="AC106" s="291"/>
      <c r="AD106" s="291"/>
      <c r="AE106" s="291"/>
      <c r="AF106" s="291"/>
      <c r="AG106" s="291"/>
      <c r="AH106" s="291"/>
      <c r="AI106" s="291"/>
      <c r="AJ106" s="291"/>
      <c r="AK106" s="291"/>
      <c r="AL106" s="291"/>
      <c r="AM106" s="291"/>
      <c r="AN106" s="291"/>
      <c r="AO106" s="291"/>
      <c r="AP106" s="291"/>
    </row>
    <row r="107" spans="1:42" s="308" customFormat="1" ht="20.100000000000001" customHeight="1">
      <c r="A107" s="314"/>
      <c r="B107" s="309"/>
      <c r="C107" s="123"/>
      <c r="D107" s="417" t="s">
        <v>81</v>
      </c>
      <c r="E107" s="300">
        <f t="shared" si="25"/>
        <v>-5.2301873674015509E-4</v>
      </c>
      <c r="F107" s="1268">
        <f>F105-F106</f>
        <v>-8.1417475132974981E-2</v>
      </c>
      <c r="G107" s="1268">
        <f t="shared" si="26"/>
        <v>3.0885252917781103E-3</v>
      </c>
      <c r="H107" s="1268">
        <f t="shared" si="26"/>
        <v>2.2147723253581053E-3</v>
      </c>
      <c r="I107" s="1268">
        <f t="shared" si="26"/>
        <v>8.7301076297996993E-3</v>
      </c>
      <c r="J107" s="301">
        <f t="shared" si="26"/>
        <v>8.7301076297997549E-3</v>
      </c>
      <c r="K107" s="300"/>
      <c r="L107" s="344"/>
      <c r="M107" s="291"/>
      <c r="N107" s="291"/>
      <c r="O107" s="291"/>
      <c r="P107" s="291"/>
      <c r="Q107" s="291"/>
      <c r="R107" s="291"/>
      <c r="S107" s="291"/>
      <c r="T107" s="291"/>
      <c r="U107" s="291"/>
      <c r="V107" s="291"/>
      <c r="W107" s="291"/>
      <c r="X107" s="291"/>
      <c r="Y107" s="291"/>
      <c r="Z107" s="291"/>
      <c r="AA107" s="291"/>
      <c r="AB107" s="291"/>
      <c r="AC107" s="291"/>
      <c r="AD107" s="291"/>
      <c r="AE107" s="291"/>
      <c r="AF107" s="291"/>
      <c r="AG107" s="291"/>
      <c r="AH107" s="291"/>
      <c r="AI107" s="291"/>
      <c r="AJ107" s="291"/>
      <c r="AK107" s="291"/>
      <c r="AL107" s="291"/>
      <c r="AM107" s="291"/>
      <c r="AN107" s="291"/>
      <c r="AO107" s="291"/>
      <c r="AP107" s="291"/>
    </row>
    <row r="108" spans="1:42" s="308" customFormat="1" ht="20.100000000000001" customHeight="1">
      <c r="A108" s="1455"/>
      <c r="B108" s="309"/>
      <c r="C108" s="338"/>
      <c r="D108" s="417" t="s">
        <v>11</v>
      </c>
      <c r="E108" s="302">
        <f t="shared" si="25"/>
        <v>1.18</v>
      </c>
      <c r="F108" s="302">
        <f>F38</f>
        <v>1.1399999999999999</v>
      </c>
      <c r="G108" s="302">
        <f t="shared" si="26"/>
        <v>1.1399999999999999</v>
      </c>
      <c r="H108" s="302">
        <f t="shared" si="26"/>
        <v>1.1399999999999999</v>
      </c>
      <c r="I108" s="302">
        <f t="shared" si="26"/>
        <v>1.1399999999999999</v>
      </c>
      <c r="J108" s="303">
        <f t="shared" si="26"/>
        <v>1.1399999999999999</v>
      </c>
      <c r="K108" s="302"/>
      <c r="L108" s="344"/>
      <c r="M108" s="291"/>
      <c r="N108" s="291"/>
      <c r="O108" s="291"/>
      <c r="P108" s="291"/>
      <c r="Q108" s="291"/>
      <c r="R108" s="291"/>
      <c r="S108" s="291"/>
      <c r="T108" s="291"/>
      <c r="U108" s="291"/>
      <c r="V108" s="291"/>
      <c r="W108" s="291"/>
      <c r="X108" s="291"/>
      <c r="Y108" s="291"/>
      <c r="Z108" s="291"/>
      <c r="AA108" s="291"/>
      <c r="AB108" s="291"/>
      <c r="AC108" s="291"/>
      <c r="AD108" s="291"/>
      <c r="AE108" s="291"/>
      <c r="AF108" s="291"/>
      <c r="AG108" s="291"/>
      <c r="AH108" s="291"/>
      <c r="AI108" s="291"/>
      <c r="AJ108" s="291"/>
      <c r="AK108" s="291"/>
      <c r="AL108" s="291"/>
      <c r="AM108" s="291"/>
      <c r="AN108" s="291"/>
      <c r="AO108" s="291"/>
      <c r="AP108" s="291"/>
    </row>
    <row r="109" spans="1:42" s="308" customFormat="1" ht="20.100000000000001" customHeight="1">
      <c r="A109" s="314"/>
      <c r="B109" s="309"/>
      <c r="C109" s="338"/>
      <c r="D109" s="417" t="s">
        <v>12</v>
      </c>
      <c r="E109" s="302">
        <f t="shared" si="25"/>
        <v>1.18</v>
      </c>
      <c r="F109" s="302">
        <f>F39</f>
        <v>1.1399999999999999</v>
      </c>
      <c r="G109" s="302">
        <f t="shared" si="26"/>
        <v>1.1399999999999999</v>
      </c>
      <c r="H109" s="302">
        <f t="shared" si="26"/>
        <v>1.1399999999999999</v>
      </c>
      <c r="I109" s="302">
        <f t="shared" si="26"/>
        <v>1.1399999999999999</v>
      </c>
      <c r="J109" s="303">
        <f t="shared" si="26"/>
        <v>1.1399999999999999</v>
      </c>
      <c r="K109" s="302"/>
      <c r="L109" s="344"/>
      <c r="M109" s="291"/>
      <c r="N109" s="291"/>
      <c r="O109" s="291"/>
      <c r="P109" s="291"/>
      <c r="Q109" s="291"/>
      <c r="R109" s="291"/>
      <c r="S109" s="291"/>
      <c r="T109" s="291"/>
      <c r="U109" s="291"/>
      <c r="V109" s="291"/>
      <c r="W109" s="291"/>
      <c r="X109" s="291"/>
      <c r="Y109" s="291"/>
      <c r="Z109" s="291"/>
      <c r="AA109" s="291"/>
      <c r="AB109" s="291"/>
      <c r="AC109" s="291"/>
      <c r="AD109" s="291"/>
      <c r="AE109" s="291"/>
      <c r="AF109" s="291"/>
      <c r="AG109" s="291"/>
      <c r="AH109" s="291"/>
      <c r="AI109" s="291"/>
      <c r="AJ109" s="291"/>
      <c r="AK109" s="291"/>
      <c r="AL109" s="291"/>
      <c r="AM109" s="291"/>
      <c r="AN109" s="291"/>
      <c r="AO109" s="291"/>
      <c r="AP109" s="291"/>
    </row>
    <row r="110" spans="1:42" s="308" customFormat="1" ht="20.100000000000001" customHeight="1" thickBot="1">
      <c r="A110" s="418" t="s">
        <v>1049</v>
      </c>
      <c r="B110" s="320">
        <v>25</v>
      </c>
      <c r="C110" s="123"/>
      <c r="D110" s="418" t="s">
        <v>1120</v>
      </c>
      <c r="E110" s="321">
        <v>0</v>
      </c>
      <c r="F110" s="322">
        <f>$B110*(F$37-F107)*100</f>
        <v>204.70863523532086</v>
      </c>
      <c r="G110" s="322">
        <f>$B110*(G$37-G107)*100</f>
        <v>0</v>
      </c>
      <c r="H110" s="322">
        <f>$B110*(H$37-H107)*100</f>
        <v>0</v>
      </c>
      <c r="I110" s="322">
        <f>$B110*(I$37-I107)*100</f>
        <v>0</v>
      </c>
      <c r="J110" s="323">
        <f>$B110*(J$37-J107)*100</f>
        <v>0</v>
      </c>
      <c r="K110" s="497"/>
      <c r="L110" s="344"/>
      <c r="M110" s="291"/>
      <c r="N110" s="291"/>
      <c r="O110" s="291"/>
      <c r="P110" s="291"/>
      <c r="Q110" s="291"/>
      <c r="R110" s="291"/>
      <c r="S110" s="291"/>
      <c r="T110" s="291"/>
      <c r="U110" s="291"/>
      <c r="V110" s="291"/>
      <c r="W110" s="291"/>
      <c r="X110" s="291"/>
      <c r="Y110" s="291"/>
      <c r="Z110" s="291"/>
      <c r="AA110" s="291"/>
      <c r="AB110" s="291"/>
      <c r="AC110" s="291"/>
      <c r="AD110" s="291"/>
      <c r="AE110" s="291"/>
      <c r="AF110" s="291"/>
      <c r="AG110" s="291"/>
      <c r="AH110" s="291"/>
      <c r="AI110" s="291"/>
      <c r="AJ110" s="291"/>
      <c r="AK110" s="291"/>
      <c r="AL110" s="291"/>
      <c r="AM110" s="291"/>
      <c r="AN110" s="291"/>
      <c r="AO110" s="291"/>
    </row>
    <row r="111" spans="1:42" s="291" customFormat="1" ht="6" customHeight="1" thickBot="1">
      <c r="L111" s="123"/>
    </row>
    <row r="112" spans="1:42" s="291" customFormat="1" ht="20.100000000000001" customHeight="1" thickBot="1">
      <c r="A112" s="1287" t="str">
        <f>IF(ISBLANK(Custom1Name), "Customized Shock 1",Custom1Name)</f>
        <v>Customized Shock 1</v>
      </c>
      <c r="B112" s="1288"/>
      <c r="C112" s="307"/>
      <c r="D112" s="1287" t="str">
        <f>IF(ISBLANK(Custom1Name), "Customized Shock 1",Custom1Name)</f>
        <v>Customized Shock 1</v>
      </c>
      <c r="E112" s="1289">
        <f t="shared" ref="E112:J112" si="27">E102</f>
        <v>2018</v>
      </c>
      <c r="F112" s="1289">
        <f t="shared" si="27"/>
        <v>2019</v>
      </c>
      <c r="G112" s="1289">
        <f t="shared" si="27"/>
        <v>2020</v>
      </c>
      <c r="H112" s="1289">
        <f t="shared" si="27"/>
        <v>2021</v>
      </c>
      <c r="I112" s="1289">
        <f t="shared" si="27"/>
        <v>2022</v>
      </c>
      <c r="J112" s="1290">
        <f t="shared" si="27"/>
        <v>2023</v>
      </c>
      <c r="K112" s="307"/>
      <c r="L112" s="307"/>
    </row>
    <row r="113" spans="1:41" s="291" customFormat="1" ht="20.100000000000001" customHeight="1">
      <c r="A113" s="314"/>
      <c r="B113" s="333"/>
      <c r="C113" s="123"/>
      <c r="D113" s="419" t="s">
        <v>77</v>
      </c>
      <c r="E113" s="311">
        <f t="shared" ref="E113:E119" si="28">E33</f>
        <v>4.7697166816344838E-2</v>
      </c>
      <c r="F113" s="312">
        <f>F33-2%</f>
        <v>1.1686434574876631E-2</v>
      </c>
      <c r="G113" s="312">
        <f>G33-2%</f>
        <v>9.9471024448239027E-3</v>
      </c>
      <c r="H113" s="312">
        <f>H33-2%</f>
        <v>8.871442593204177E-3</v>
      </c>
      <c r="I113" s="312">
        <f>I33-2%</f>
        <v>9.3302369470751496E-3</v>
      </c>
      <c r="J113" s="313">
        <f>J33-2%</f>
        <v>8.0000000000000245E-3</v>
      </c>
      <c r="K113" s="300"/>
      <c r="L113" s="344"/>
    </row>
    <row r="114" spans="1:41" s="291" customFormat="1" ht="20.100000000000001" customHeight="1">
      <c r="A114" s="299"/>
      <c r="B114" s="333"/>
      <c r="C114" s="123"/>
      <c r="D114" s="417" t="s">
        <v>454</v>
      </c>
      <c r="E114" s="300">
        <f t="shared" si="28"/>
        <v>4.2122999157540031E-2</v>
      </c>
      <c r="F114" s="315">
        <f>F34</f>
        <v>3.085754504401117E-2</v>
      </c>
      <c r="G114" s="315">
        <f>G34</f>
        <v>2.7938359016816516E-2</v>
      </c>
      <c r="H114" s="315">
        <f>H34</f>
        <v>2.5315565708619037E-2</v>
      </c>
      <c r="I114" s="315">
        <f>I34</f>
        <v>2.4647711698661201E-2</v>
      </c>
      <c r="J114" s="316">
        <f>J34</f>
        <v>2.5000000000000133E-2</v>
      </c>
      <c r="K114" s="300"/>
      <c r="L114" s="344"/>
    </row>
    <row r="115" spans="1:41" s="308" customFormat="1" ht="20.100000000000001" customHeight="1">
      <c r="A115" s="299"/>
      <c r="B115" s="339"/>
      <c r="C115" s="338"/>
      <c r="D115" s="417" t="s">
        <v>828</v>
      </c>
      <c r="E115" s="300">
        <f t="shared" si="28"/>
        <v>0.36781832970756889</v>
      </c>
      <c r="F115" s="315">
        <f>F35-2%</f>
        <v>0.33899708650221949</v>
      </c>
      <c r="G115" s="315">
        <f>G35-2%</f>
        <v>0.33663219049317711</v>
      </c>
      <c r="H115" s="315">
        <f>H35-2%</f>
        <v>0.33111135216456816</v>
      </c>
      <c r="I115" s="315">
        <f>I35-2%</f>
        <v>0.32585635256377732</v>
      </c>
      <c r="J115" s="316">
        <f>J35-2%</f>
        <v>0.32585635256377732</v>
      </c>
      <c r="K115" s="300"/>
      <c r="L115" s="344"/>
      <c r="M115" s="291"/>
      <c r="N115" s="291"/>
      <c r="O115" s="291"/>
      <c r="P115" s="291"/>
      <c r="Q115" s="291"/>
      <c r="R115" s="291"/>
      <c r="S115" s="291"/>
      <c r="T115" s="291"/>
      <c r="U115" s="291"/>
      <c r="V115" s="291"/>
      <c r="W115" s="291"/>
      <c r="X115" s="291"/>
      <c r="Y115" s="291"/>
      <c r="Z115" s="291"/>
      <c r="AA115" s="291"/>
      <c r="AB115" s="291"/>
      <c r="AC115" s="291"/>
      <c r="AD115" s="291"/>
      <c r="AE115" s="291"/>
      <c r="AF115" s="291"/>
      <c r="AG115" s="291"/>
      <c r="AH115" s="291"/>
      <c r="AI115" s="291"/>
      <c r="AJ115" s="291"/>
      <c r="AK115" s="291"/>
      <c r="AL115" s="291"/>
      <c r="AM115" s="291"/>
      <c r="AN115" s="291"/>
      <c r="AO115" s="291"/>
    </row>
    <row r="116" spans="1:41" s="308" customFormat="1" ht="20.100000000000001" customHeight="1">
      <c r="A116" s="299"/>
      <c r="B116" s="339"/>
      <c r="C116" s="338"/>
      <c r="D116" s="417" t="s">
        <v>80</v>
      </c>
      <c r="E116" s="300">
        <f t="shared" si="28"/>
        <v>0.36834134844430905</v>
      </c>
      <c r="F116" s="315">
        <f>F36</f>
        <v>0.35853110754106615</v>
      </c>
      <c r="G116" s="315">
        <f>G36</f>
        <v>0.35354366520139902</v>
      </c>
      <c r="H116" s="315">
        <f>H36</f>
        <v>0.34889657983921007</v>
      </c>
      <c r="I116" s="315">
        <f>I36</f>
        <v>0.33712624493397764</v>
      </c>
      <c r="J116" s="316">
        <f>J36</f>
        <v>0.33712624493397758</v>
      </c>
      <c r="K116" s="300"/>
      <c r="L116" s="344"/>
      <c r="M116" s="291"/>
      <c r="N116" s="291"/>
      <c r="O116" s="291"/>
      <c r="P116" s="291"/>
      <c r="Q116" s="291"/>
      <c r="R116" s="291"/>
      <c r="S116" s="291"/>
      <c r="T116" s="291"/>
      <c r="U116" s="291"/>
      <c r="V116" s="291"/>
      <c r="W116" s="291"/>
      <c r="X116" s="291"/>
      <c r="Y116" s="291"/>
      <c r="Z116" s="291"/>
      <c r="AA116" s="291"/>
      <c r="AB116" s="291"/>
      <c r="AC116" s="291"/>
      <c r="AD116" s="291"/>
      <c r="AE116" s="291"/>
      <c r="AF116" s="291"/>
      <c r="AG116" s="291"/>
      <c r="AH116" s="291"/>
      <c r="AI116" s="291"/>
      <c r="AJ116" s="291"/>
      <c r="AK116" s="291"/>
      <c r="AL116" s="291"/>
      <c r="AM116" s="291"/>
      <c r="AN116" s="291"/>
      <c r="AO116" s="291"/>
    </row>
    <row r="117" spans="1:41" s="308" customFormat="1" ht="20.100000000000001" customHeight="1">
      <c r="A117" s="299"/>
      <c r="B117" s="333"/>
      <c r="C117" s="123"/>
      <c r="D117" s="417" t="s">
        <v>81</v>
      </c>
      <c r="E117" s="300">
        <f t="shared" si="28"/>
        <v>-5.2301873674015509E-4</v>
      </c>
      <c r="F117" s="315">
        <f>F115-F116</f>
        <v>-1.9534021038846661E-2</v>
      </c>
      <c r="G117" s="315">
        <f>G115-G116</f>
        <v>-1.6911474708221907E-2</v>
      </c>
      <c r="H117" s="315">
        <f>H115-H116</f>
        <v>-1.7785227674641912E-2</v>
      </c>
      <c r="I117" s="315">
        <f>I115-I116</f>
        <v>-1.1269892370200318E-2</v>
      </c>
      <c r="J117" s="316">
        <f>J115-J116</f>
        <v>-1.1269892370200263E-2</v>
      </c>
      <c r="K117" s="300"/>
      <c r="L117" s="344"/>
      <c r="M117" s="291"/>
      <c r="N117" s="291"/>
      <c r="O117" s="291"/>
      <c r="P117" s="291"/>
      <c r="Q117" s="291"/>
      <c r="R117" s="291"/>
      <c r="S117" s="291"/>
      <c r="T117" s="291"/>
      <c r="U117" s="291"/>
      <c r="V117" s="291"/>
      <c r="W117" s="291"/>
      <c r="X117" s="291"/>
      <c r="Y117" s="291"/>
      <c r="Z117" s="291"/>
      <c r="AA117" s="291"/>
      <c r="AB117" s="291"/>
      <c r="AC117" s="291"/>
      <c r="AD117" s="291"/>
      <c r="AE117" s="291"/>
      <c r="AF117" s="291"/>
      <c r="AG117" s="291"/>
      <c r="AH117" s="291"/>
      <c r="AI117" s="291"/>
      <c r="AJ117" s="291"/>
      <c r="AK117" s="291"/>
      <c r="AL117" s="291"/>
      <c r="AM117" s="291"/>
      <c r="AN117" s="291"/>
      <c r="AO117" s="291"/>
    </row>
    <row r="118" spans="1:41" s="308" customFormat="1" ht="20.100000000000001" customHeight="1">
      <c r="A118" s="299"/>
      <c r="B118" s="339"/>
      <c r="C118" s="338"/>
      <c r="D118" s="417" t="s">
        <v>11</v>
      </c>
      <c r="E118" s="302">
        <f t="shared" si="28"/>
        <v>1.18</v>
      </c>
      <c r="F118" s="318">
        <f t="shared" ref="F118:J119" si="29">F38</f>
        <v>1.1399999999999999</v>
      </c>
      <c r="G118" s="318">
        <f t="shared" si="29"/>
        <v>1.1399999999999999</v>
      </c>
      <c r="H118" s="318">
        <f t="shared" si="29"/>
        <v>1.1399999999999999</v>
      </c>
      <c r="I118" s="318">
        <f t="shared" si="29"/>
        <v>1.1399999999999999</v>
      </c>
      <c r="J118" s="319">
        <f t="shared" si="29"/>
        <v>1.1399999999999999</v>
      </c>
      <c r="K118" s="302"/>
      <c r="L118" s="344"/>
      <c r="M118" s="291"/>
      <c r="N118" s="291"/>
      <c r="O118" s="291"/>
      <c r="P118" s="291"/>
      <c r="Q118" s="291"/>
      <c r="R118" s="291"/>
      <c r="S118" s="291"/>
      <c r="T118" s="291"/>
      <c r="U118" s="291"/>
      <c r="V118" s="291"/>
      <c r="W118" s="291"/>
      <c r="X118" s="291"/>
      <c r="Y118" s="291"/>
      <c r="Z118" s="291"/>
      <c r="AA118" s="291"/>
      <c r="AB118" s="291"/>
      <c r="AC118" s="291"/>
      <c r="AD118" s="291"/>
      <c r="AE118" s="291"/>
      <c r="AF118" s="291"/>
      <c r="AG118" s="291"/>
      <c r="AH118" s="291"/>
      <c r="AI118" s="291"/>
      <c r="AJ118" s="291"/>
      <c r="AK118" s="291"/>
      <c r="AL118" s="291"/>
      <c r="AM118" s="291"/>
      <c r="AN118" s="291"/>
      <c r="AO118" s="291"/>
    </row>
    <row r="119" spans="1:41" s="308" customFormat="1" ht="20.100000000000001" customHeight="1">
      <c r="A119" s="299"/>
      <c r="B119" s="339"/>
      <c r="C119" s="338"/>
      <c r="D119" s="417" t="s">
        <v>12</v>
      </c>
      <c r="E119" s="302">
        <f t="shared" si="28"/>
        <v>1.18</v>
      </c>
      <c r="F119" s="318">
        <f t="shared" si="29"/>
        <v>1.1399999999999999</v>
      </c>
      <c r="G119" s="318">
        <f t="shared" si="29"/>
        <v>1.1399999999999999</v>
      </c>
      <c r="H119" s="318">
        <f t="shared" si="29"/>
        <v>1.1399999999999999</v>
      </c>
      <c r="I119" s="318">
        <f t="shared" si="29"/>
        <v>1.1399999999999999</v>
      </c>
      <c r="J119" s="319">
        <f t="shared" si="29"/>
        <v>1.1399999999999999</v>
      </c>
      <c r="K119" s="302"/>
      <c r="L119" s="344"/>
      <c r="M119" s="291"/>
      <c r="N119" s="291"/>
      <c r="O119" s="291"/>
      <c r="P119" s="291"/>
      <c r="Q119" s="291"/>
      <c r="R119" s="291"/>
      <c r="S119" s="291"/>
      <c r="T119" s="291"/>
      <c r="U119" s="291"/>
      <c r="V119" s="291"/>
      <c r="W119" s="291"/>
      <c r="X119" s="291"/>
      <c r="Y119" s="291"/>
      <c r="Z119" s="291"/>
      <c r="AA119" s="291"/>
      <c r="AB119" s="291"/>
      <c r="AC119" s="291"/>
      <c r="AD119" s="291"/>
      <c r="AE119" s="291"/>
      <c r="AF119" s="291"/>
      <c r="AG119" s="291"/>
      <c r="AH119" s="291"/>
      <c r="AI119" s="291"/>
      <c r="AJ119" s="291"/>
      <c r="AK119" s="291"/>
      <c r="AL119" s="291"/>
      <c r="AM119" s="291"/>
      <c r="AN119" s="291"/>
      <c r="AO119" s="291"/>
    </row>
    <row r="120" spans="1:41" s="308" customFormat="1" ht="19.5" customHeight="1" thickBot="1">
      <c r="A120" s="304"/>
      <c r="B120" s="334"/>
      <c r="C120" s="123"/>
      <c r="D120" s="418" t="s">
        <v>1120</v>
      </c>
      <c r="E120" s="321">
        <v>0</v>
      </c>
      <c r="F120" s="355">
        <v>25</v>
      </c>
      <c r="G120" s="355">
        <v>25</v>
      </c>
      <c r="H120" s="355">
        <v>25</v>
      </c>
      <c r="I120" s="355">
        <v>25</v>
      </c>
      <c r="J120" s="356">
        <v>25</v>
      </c>
      <c r="K120" s="497"/>
      <c r="L120" s="344"/>
      <c r="M120" s="291"/>
      <c r="N120" s="291"/>
      <c r="O120" s="291"/>
      <c r="P120" s="291"/>
      <c r="Q120" s="291"/>
      <c r="R120" s="291"/>
      <c r="S120" s="291"/>
      <c r="T120" s="291"/>
      <c r="U120" s="291"/>
      <c r="V120" s="291"/>
      <c r="W120" s="291"/>
      <c r="X120" s="291"/>
      <c r="Y120" s="291"/>
      <c r="Z120" s="291"/>
      <c r="AA120" s="291"/>
      <c r="AB120" s="291"/>
      <c r="AC120" s="291"/>
      <c r="AD120" s="291"/>
      <c r="AE120" s="291"/>
      <c r="AF120" s="291"/>
      <c r="AG120" s="291"/>
      <c r="AH120" s="291"/>
      <c r="AI120" s="291"/>
      <c r="AJ120" s="291"/>
      <c r="AK120" s="291"/>
      <c r="AL120" s="291"/>
      <c r="AM120" s="291"/>
      <c r="AN120" s="291"/>
      <c r="AO120" s="291"/>
    </row>
    <row r="121" spans="1:41" s="291" customFormat="1" ht="6" customHeight="1" thickBot="1">
      <c r="L121" s="123"/>
    </row>
    <row r="122" spans="1:41" s="291" customFormat="1" ht="20.100000000000001" customHeight="1" thickBot="1">
      <c r="A122" s="1462" t="str">
        <f>IF(ISBLANK(Custom2Name), "Customized Shock 2",Custom2Name)</f>
        <v>Customized Shock 2</v>
      </c>
      <c r="B122" s="1463"/>
      <c r="C122" s="307"/>
      <c r="D122" s="1462" t="str">
        <f>IF(ISBLANK(Custom2Name), "Customized Shock 2",Custom2Name)</f>
        <v>Customized Shock 2</v>
      </c>
      <c r="E122" s="1464">
        <f t="shared" ref="E122:J122" si="30">E112</f>
        <v>2018</v>
      </c>
      <c r="F122" s="1464">
        <f t="shared" si="30"/>
        <v>2019</v>
      </c>
      <c r="G122" s="1464">
        <f t="shared" si="30"/>
        <v>2020</v>
      </c>
      <c r="H122" s="1464">
        <f t="shared" si="30"/>
        <v>2021</v>
      </c>
      <c r="I122" s="1464">
        <f t="shared" si="30"/>
        <v>2022</v>
      </c>
      <c r="J122" s="1465">
        <f t="shared" si="30"/>
        <v>2023</v>
      </c>
      <c r="K122" s="307"/>
      <c r="L122" s="307"/>
    </row>
    <row r="123" spans="1:41" s="291" customFormat="1" ht="20.100000000000001" customHeight="1">
      <c r="A123" s="314"/>
      <c r="B123" s="333"/>
      <c r="C123" s="123"/>
      <c r="D123" s="419" t="s">
        <v>77</v>
      </c>
      <c r="E123" s="311">
        <f>E33</f>
        <v>4.7697166816344838E-2</v>
      </c>
      <c r="F123" s="312">
        <f>F33-1%</f>
        <v>2.168643457487663E-2</v>
      </c>
      <c r="G123" s="312">
        <f>G33-1%</f>
        <v>1.9947102444823901E-2</v>
      </c>
      <c r="H123" s="312">
        <f>H33-1%</f>
        <v>1.8871442593204175E-2</v>
      </c>
      <c r="I123" s="312">
        <f>I33-1%</f>
        <v>1.9330236947075148E-2</v>
      </c>
      <c r="J123" s="313">
        <f>J33-1%</f>
        <v>1.8000000000000023E-2</v>
      </c>
      <c r="K123" s="1268"/>
      <c r="L123" s="344"/>
    </row>
    <row r="124" spans="1:41" s="291" customFormat="1" ht="20.100000000000001" customHeight="1">
      <c r="A124" s="299"/>
      <c r="B124" s="333"/>
      <c r="C124" s="123"/>
      <c r="D124" s="417" t="s">
        <v>454</v>
      </c>
      <c r="E124" s="1268">
        <f t="shared" ref="E124:J129" si="31">E34</f>
        <v>4.2122999157540031E-2</v>
      </c>
      <c r="F124" s="315">
        <f t="shared" si="31"/>
        <v>3.085754504401117E-2</v>
      </c>
      <c r="G124" s="315">
        <f t="shared" si="31"/>
        <v>2.7938359016816516E-2</v>
      </c>
      <c r="H124" s="315">
        <f t="shared" si="31"/>
        <v>2.5315565708619037E-2</v>
      </c>
      <c r="I124" s="315">
        <f t="shared" si="31"/>
        <v>2.4647711698661201E-2</v>
      </c>
      <c r="J124" s="316">
        <f t="shared" si="31"/>
        <v>2.5000000000000133E-2</v>
      </c>
      <c r="K124" s="1268"/>
      <c r="L124" s="344"/>
    </row>
    <row r="125" spans="1:41" s="308" customFormat="1" ht="20.100000000000001" customHeight="1">
      <c r="A125" s="299"/>
      <c r="B125" s="339"/>
      <c r="C125" s="338"/>
      <c r="D125" s="417" t="s">
        <v>828</v>
      </c>
      <c r="E125" s="1268">
        <f t="shared" si="31"/>
        <v>0.36781832970756889</v>
      </c>
      <c r="F125" s="315">
        <f>F35-5%</f>
        <v>0.30899708650221952</v>
      </c>
      <c r="G125" s="315">
        <f>G35-5%</f>
        <v>0.30663219049317714</v>
      </c>
      <c r="H125" s="315">
        <f>H35-5%</f>
        <v>0.30111135216456819</v>
      </c>
      <c r="I125" s="315">
        <f>I35-5%</f>
        <v>0.29585635256377735</v>
      </c>
      <c r="J125" s="316">
        <f>J35-5%</f>
        <v>0.29585635256377735</v>
      </c>
      <c r="K125" s="1268"/>
      <c r="L125" s="344"/>
      <c r="M125" s="291"/>
      <c r="N125" s="291"/>
      <c r="O125" s="291"/>
      <c r="P125" s="291"/>
      <c r="Q125" s="291"/>
      <c r="R125" s="291"/>
      <c r="S125" s="291"/>
      <c r="T125" s="291"/>
      <c r="U125" s="291"/>
      <c r="V125" s="291"/>
      <c r="W125" s="291"/>
      <c r="X125" s="291"/>
      <c r="Y125" s="291"/>
      <c r="Z125" s="291"/>
      <c r="AA125" s="291"/>
      <c r="AB125" s="291"/>
      <c r="AC125" s="291"/>
      <c r="AD125" s="291"/>
      <c r="AE125" s="291"/>
      <c r="AF125" s="291"/>
      <c r="AG125" s="291"/>
      <c r="AH125" s="291"/>
      <c r="AI125" s="291"/>
      <c r="AJ125" s="291"/>
      <c r="AK125" s="291"/>
      <c r="AL125" s="291"/>
      <c r="AM125" s="291"/>
      <c r="AN125" s="291"/>
      <c r="AO125" s="291"/>
    </row>
    <row r="126" spans="1:41" s="308" customFormat="1" ht="20.100000000000001" customHeight="1">
      <c r="A126" s="299"/>
      <c r="B126" s="339"/>
      <c r="C126" s="338"/>
      <c r="D126" s="417" t="s">
        <v>80</v>
      </c>
      <c r="E126" s="1268">
        <f t="shared" si="31"/>
        <v>0.36834134844430905</v>
      </c>
      <c r="F126" s="315">
        <f t="shared" si="31"/>
        <v>0.35853110754106615</v>
      </c>
      <c r="G126" s="315">
        <f t="shared" si="31"/>
        <v>0.35354366520139902</v>
      </c>
      <c r="H126" s="315">
        <f t="shared" si="31"/>
        <v>0.34889657983921007</v>
      </c>
      <c r="I126" s="315">
        <f t="shared" si="31"/>
        <v>0.33712624493397764</v>
      </c>
      <c r="J126" s="316">
        <f t="shared" si="31"/>
        <v>0.33712624493397758</v>
      </c>
      <c r="K126" s="1268"/>
      <c r="L126" s="344"/>
      <c r="M126" s="291"/>
      <c r="N126" s="291"/>
      <c r="O126" s="291"/>
      <c r="P126" s="291"/>
      <c r="Q126" s="291"/>
      <c r="R126" s="291"/>
      <c r="S126" s="291"/>
      <c r="T126" s="291"/>
      <c r="U126" s="291"/>
      <c r="V126" s="291"/>
      <c r="W126" s="291"/>
      <c r="X126" s="291"/>
      <c r="Y126" s="291"/>
      <c r="Z126" s="291"/>
      <c r="AA126" s="291"/>
      <c r="AB126" s="291"/>
      <c r="AC126" s="291"/>
      <c r="AD126" s="291"/>
      <c r="AE126" s="291"/>
      <c r="AF126" s="291"/>
      <c r="AG126" s="291"/>
      <c r="AH126" s="291"/>
      <c r="AI126" s="291"/>
      <c r="AJ126" s="291"/>
      <c r="AK126" s="291"/>
      <c r="AL126" s="291"/>
      <c r="AM126" s="291"/>
      <c r="AN126" s="291"/>
      <c r="AO126" s="291"/>
    </row>
    <row r="127" spans="1:41" s="308" customFormat="1" ht="20.100000000000001" customHeight="1">
      <c r="A127" s="299"/>
      <c r="B127" s="333"/>
      <c r="C127" s="123"/>
      <c r="D127" s="417" t="s">
        <v>81</v>
      </c>
      <c r="E127" s="1268">
        <f t="shared" si="31"/>
        <v>-5.2301873674015509E-4</v>
      </c>
      <c r="F127" s="315">
        <f t="shared" si="31"/>
        <v>4.6597896115335713E-4</v>
      </c>
      <c r="G127" s="315">
        <f t="shared" si="31"/>
        <v>3.0885252917781103E-3</v>
      </c>
      <c r="H127" s="315">
        <f t="shared" si="31"/>
        <v>2.2147723253581053E-3</v>
      </c>
      <c r="I127" s="315">
        <f t="shared" si="31"/>
        <v>8.7301076297996993E-3</v>
      </c>
      <c r="J127" s="316">
        <f t="shared" si="31"/>
        <v>8.7301076297997549E-3</v>
      </c>
      <c r="K127" s="1268"/>
      <c r="L127" s="344"/>
      <c r="M127" s="291"/>
      <c r="N127" s="291"/>
      <c r="O127" s="291"/>
      <c r="P127" s="291"/>
      <c r="Q127" s="291"/>
      <c r="R127" s="291"/>
      <c r="S127" s="291"/>
      <c r="T127" s="291"/>
      <c r="U127" s="291"/>
      <c r="V127" s="291"/>
      <c r="W127" s="291"/>
      <c r="X127" s="291"/>
      <c r="Y127" s="291"/>
      <c r="Z127" s="291"/>
      <c r="AA127" s="291"/>
      <c r="AB127" s="291"/>
      <c r="AC127" s="291"/>
      <c r="AD127" s="291"/>
      <c r="AE127" s="291"/>
      <c r="AF127" s="291"/>
      <c r="AG127" s="291"/>
      <c r="AH127" s="291"/>
      <c r="AI127" s="291"/>
      <c r="AJ127" s="291"/>
      <c r="AK127" s="291"/>
      <c r="AL127" s="291"/>
      <c r="AM127" s="291"/>
      <c r="AN127" s="291"/>
      <c r="AO127" s="291"/>
    </row>
    <row r="128" spans="1:41" s="308" customFormat="1" ht="20.100000000000001" customHeight="1">
      <c r="A128" s="299"/>
      <c r="B128" s="339"/>
      <c r="C128" s="338"/>
      <c r="D128" s="417" t="s">
        <v>11</v>
      </c>
      <c r="E128" s="302">
        <f t="shared" si="31"/>
        <v>1.18</v>
      </c>
      <c r="F128" s="318">
        <f t="shared" si="31"/>
        <v>1.1399999999999999</v>
      </c>
      <c r="G128" s="318">
        <f t="shared" si="31"/>
        <v>1.1399999999999999</v>
      </c>
      <c r="H128" s="318">
        <f t="shared" si="31"/>
        <v>1.1399999999999999</v>
      </c>
      <c r="I128" s="318">
        <f t="shared" si="31"/>
        <v>1.1399999999999999</v>
      </c>
      <c r="J128" s="319">
        <f t="shared" si="31"/>
        <v>1.1399999999999999</v>
      </c>
      <c r="K128" s="302"/>
      <c r="L128" s="344"/>
      <c r="M128" s="291"/>
      <c r="N128" s="291"/>
      <c r="O128" s="291"/>
      <c r="P128" s="291"/>
      <c r="Q128" s="291"/>
      <c r="R128" s="291"/>
      <c r="S128" s="291"/>
      <c r="T128" s="291"/>
      <c r="U128" s="291"/>
      <c r="V128" s="291"/>
      <c r="W128" s="291"/>
      <c r="X128" s="291"/>
      <c r="Y128" s="291"/>
      <c r="Z128" s="291"/>
      <c r="AA128" s="291"/>
      <c r="AB128" s="291"/>
      <c r="AC128" s="291"/>
      <c r="AD128" s="291"/>
      <c r="AE128" s="291"/>
      <c r="AF128" s="291"/>
      <c r="AG128" s="291"/>
      <c r="AH128" s="291"/>
      <c r="AI128" s="291"/>
      <c r="AJ128" s="291"/>
      <c r="AK128" s="291"/>
      <c r="AL128" s="291"/>
      <c r="AM128" s="291"/>
      <c r="AN128" s="291"/>
      <c r="AO128" s="291"/>
    </row>
    <row r="129" spans="1:41" s="308" customFormat="1" ht="20.100000000000001" customHeight="1">
      <c r="A129" s="299"/>
      <c r="B129" s="339"/>
      <c r="C129" s="338"/>
      <c r="D129" s="417" t="s">
        <v>12</v>
      </c>
      <c r="E129" s="302">
        <f t="shared" si="31"/>
        <v>1.18</v>
      </c>
      <c r="F129" s="318">
        <f t="shared" si="31"/>
        <v>1.1399999999999999</v>
      </c>
      <c r="G129" s="318">
        <f t="shared" si="31"/>
        <v>1.1399999999999999</v>
      </c>
      <c r="H129" s="318">
        <f t="shared" si="31"/>
        <v>1.1399999999999999</v>
      </c>
      <c r="I129" s="318">
        <f t="shared" si="31"/>
        <v>1.1399999999999999</v>
      </c>
      <c r="J129" s="319">
        <f t="shared" si="31"/>
        <v>1.1399999999999999</v>
      </c>
      <c r="K129" s="302"/>
      <c r="L129" s="344"/>
      <c r="M129" s="291"/>
      <c r="N129" s="291"/>
      <c r="O129" s="291"/>
      <c r="P129" s="291"/>
      <c r="Q129" s="291"/>
      <c r="R129" s="291"/>
      <c r="S129" s="291"/>
      <c r="T129" s="291"/>
      <c r="U129" s="291"/>
      <c r="V129" s="291"/>
      <c r="W129" s="291"/>
      <c r="X129" s="291"/>
      <c r="Y129" s="291"/>
      <c r="Z129" s="291"/>
      <c r="AA129" s="291"/>
      <c r="AB129" s="291"/>
      <c r="AC129" s="291"/>
      <c r="AD129" s="291"/>
      <c r="AE129" s="291"/>
      <c r="AF129" s="291"/>
      <c r="AG129" s="291"/>
      <c r="AH129" s="291"/>
      <c r="AI129" s="291"/>
      <c r="AJ129" s="291"/>
      <c r="AK129" s="291"/>
      <c r="AL129" s="291"/>
      <c r="AM129" s="291"/>
      <c r="AN129" s="291"/>
      <c r="AO129" s="291"/>
    </row>
    <row r="130" spans="1:41" s="308" customFormat="1" ht="19.5" customHeight="1" thickBot="1">
      <c r="A130" s="304"/>
      <c r="B130" s="334"/>
      <c r="C130" s="123"/>
      <c r="D130" s="418" t="s">
        <v>1120</v>
      </c>
      <c r="E130" s="321">
        <v>0</v>
      </c>
      <c r="F130" s="355">
        <v>25</v>
      </c>
      <c r="G130" s="355">
        <v>25</v>
      </c>
      <c r="H130" s="355">
        <v>25</v>
      </c>
      <c r="I130" s="355">
        <v>25</v>
      </c>
      <c r="J130" s="356">
        <v>25</v>
      </c>
      <c r="K130" s="497"/>
      <c r="L130" s="344"/>
      <c r="M130" s="291"/>
      <c r="N130" s="291"/>
      <c r="O130" s="291"/>
      <c r="P130" s="291"/>
      <c r="Q130" s="291"/>
      <c r="R130" s="291"/>
      <c r="S130" s="291"/>
      <c r="T130" s="291"/>
      <c r="U130" s="291"/>
      <c r="V130" s="291"/>
      <c r="W130" s="291"/>
      <c r="X130" s="291"/>
      <c r="Y130" s="291"/>
      <c r="Z130" s="291"/>
      <c r="AA130" s="291"/>
      <c r="AB130" s="291"/>
      <c r="AC130" s="291"/>
      <c r="AD130" s="291"/>
      <c r="AE130" s="291"/>
      <c r="AF130" s="291"/>
      <c r="AG130" s="291"/>
      <c r="AH130" s="291"/>
      <c r="AI130" s="291"/>
      <c r="AJ130" s="291"/>
      <c r="AK130" s="291"/>
      <c r="AL130" s="291"/>
      <c r="AM130" s="291"/>
      <c r="AN130" s="291"/>
      <c r="AO130" s="291"/>
    </row>
    <row r="131" spans="1:41" s="291" customFormat="1" ht="6" customHeight="1" thickBot="1">
      <c r="A131" s="123"/>
      <c r="B131" s="123"/>
      <c r="C131" s="123"/>
      <c r="D131" s="123"/>
      <c r="E131" s="123"/>
      <c r="F131" s="123"/>
      <c r="G131" s="123"/>
      <c r="H131" s="123"/>
      <c r="I131" s="123"/>
      <c r="J131" s="123"/>
      <c r="K131" s="123"/>
      <c r="L131" s="123"/>
    </row>
    <row r="132" spans="1:41" s="308" customFormat="1" ht="20.100000000000001" customHeight="1" thickBot="1">
      <c r="A132" s="291"/>
      <c r="B132" s="291"/>
      <c r="C132" s="291"/>
      <c r="D132" s="345" t="s">
        <v>148</v>
      </c>
      <c r="E132" s="346">
        <f t="shared" ref="E132:J132" si="32">E112</f>
        <v>2018</v>
      </c>
      <c r="F132" s="346">
        <f t="shared" si="32"/>
        <v>2019</v>
      </c>
      <c r="G132" s="346">
        <f t="shared" si="32"/>
        <v>2020</v>
      </c>
      <c r="H132" s="346">
        <f t="shared" si="32"/>
        <v>2021</v>
      </c>
      <c r="I132" s="346">
        <f t="shared" si="32"/>
        <v>2022</v>
      </c>
      <c r="J132" s="347">
        <f t="shared" si="32"/>
        <v>2023</v>
      </c>
      <c r="K132" s="307"/>
      <c r="L132" s="307"/>
      <c r="M132" s="291"/>
      <c r="N132" s="291"/>
      <c r="O132" s="291"/>
      <c r="P132" s="291"/>
      <c r="Q132" s="291"/>
      <c r="R132" s="291"/>
      <c r="S132" s="291"/>
      <c r="T132" s="291"/>
      <c r="U132" s="291"/>
      <c r="V132" s="291"/>
      <c r="W132" s="291"/>
      <c r="X132" s="291"/>
      <c r="Y132" s="291"/>
      <c r="Z132" s="291"/>
      <c r="AA132" s="291"/>
      <c r="AB132" s="291"/>
      <c r="AC132" s="291"/>
      <c r="AD132" s="291"/>
      <c r="AE132" s="291"/>
      <c r="AF132" s="291"/>
      <c r="AG132" s="291"/>
      <c r="AH132" s="291"/>
      <c r="AI132" s="291"/>
      <c r="AJ132" s="291"/>
      <c r="AK132" s="291"/>
      <c r="AL132" s="291"/>
      <c r="AM132" s="291"/>
      <c r="AN132" s="291"/>
      <c r="AO132" s="291"/>
    </row>
    <row r="133" spans="1:41" s="308" customFormat="1" ht="20.100000000000001" customHeight="1">
      <c r="A133" s="291"/>
      <c r="B133" s="291"/>
      <c r="C133" s="291"/>
      <c r="D133" s="417" t="s">
        <v>77</v>
      </c>
      <c r="E133" s="300">
        <f>E33</f>
        <v>4.7697166816344838E-2</v>
      </c>
      <c r="F133" s="300">
        <f>'Baseline debt'!$D$100</f>
        <v>2.4863029297652051E-3</v>
      </c>
      <c r="G133" s="300">
        <f>'Baseline debt'!$D$100</f>
        <v>2.4863029297652051E-3</v>
      </c>
      <c r="H133" s="300">
        <f>'Baseline debt'!$D$100</f>
        <v>2.4863029297652051E-3</v>
      </c>
      <c r="I133" s="300">
        <f>'Baseline debt'!$D$100</f>
        <v>2.4863029297652051E-3</v>
      </c>
      <c r="J133" s="343">
        <f>'Baseline debt'!$D$100</f>
        <v>2.4863029297652051E-3</v>
      </c>
      <c r="K133" s="300"/>
      <c r="L133" s="344"/>
      <c r="M133" s="291"/>
      <c r="N133" s="291"/>
      <c r="O133" s="291"/>
      <c r="P133" s="291"/>
      <c r="Q133" s="291"/>
      <c r="R133" s="291"/>
      <c r="S133" s="291"/>
      <c r="T133" s="291"/>
      <c r="U133" s="291"/>
      <c r="V133" s="291"/>
      <c r="W133" s="291"/>
      <c r="X133" s="291"/>
      <c r="Y133" s="291"/>
      <c r="Z133" s="291"/>
      <c r="AA133" s="291"/>
      <c r="AB133" s="291"/>
      <c r="AC133" s="291"/>
      <c r="AD133" s="291"/>
      <c r="AE133" s="291"/>
      <c r="AF133" s="291"/>
      <c r="AG133" s="291"/>
      <c r="AH133" s="291"/>
      <c r="AI133" s="291"/>
      <c r="AJ133" s="291"/>
      <c r="AK133" s="291"/>
      <c r="AL133" s="291"/>
      <c r="AM133" s="291"/>
      <c r="AN133" s="291"/>
      <c r="AO133" s="291"/>
    </row>
    <row r="134" spans="1:41" s="308" customFormat="1" ht="20.100000000000001" customHeight="1">
      <c r="A134" s="291"/>
      <c r="B134" s="291"/>
      <c r="C134" s="291"/>
      <c r="D134" s="417" t="s">
        <v>454</v>
      </c>
      <c r="E134" s="300">
        <f t="shared" ref="E134:E139" si="33">E34</f>
        <v>4.2122999157540031E-2</v>
      </c>
      <c r="F134" s="300">
        <f t="shared" ref="F134:J135" si="34">F34</f>
        <v>3.085754504401117E-2</v>
      </c>
      <c r="G134" s="300">
        <f t="shared" si="34"/>
        <v>2.7938359016816516E-2</v>
      </c>
      <c r="H134" s="300">
        <f t="shared" si="34"/>
        <v>2.5315565708619037E-2</v>
      </c>
      <c r="I134" s="300">
        <f t="shared" si="34"/>
        <v>2.4647711698661201E-2</v>
      </c>
      <c r="J134" s="301">
        <f t="shared" si="34"/>
        <v>2.5000000000000133E-2</v>
      </c>
      <c r="K134" s="300"/>
      <c r="L134" s="344"/>
      <c r="M134" s="291"/>
      <c r="N134" s="291"/>
      <c r="O134" s="291"/>
      <c r="P134" s="291"/>
      <c r="Q134" s="291"/>
      <c r="R134" s="291"/>
      <c r="S134" s="291"/>
      <c r="T134" s="291"/>
      <c r="U134" s="291"/>
      <c r="V134" s="291"/>
      <c r="W134" s="291"/>
      <c r="X134" s="291"/>
      <c r="Y134" s="291"/>
      <c r="Z134" s="291"/>
      <c r="AA134" s="291"/>
      <c r="AB134" s="291"/>
      <c r="AC134" s="291"/>
      <c r="AD134" s="291"/>
      <c r="AE134" s="291"/>
      <c r="AF134" s="291"/>
      <c r="AG134" s="291"/>
      <c r="AH134" s="291"/>
      <c r="AI134" s="291"/>
      <c r="AJ134" s="291"/>
      <c r="AK134" s="291"/>
      <c r="AL134" s="291"/>
      <c r="AM134" s="291"/>
      <c r="AN134" s="291"/>
      <c r="AO134" s="291"/>
    </row>
    <row r="135" spans="1:41" s="308" customFormat="1" ht="20.100000000000001" customHeight="1">
      <c r="A135" s="291"/>
      <c r="B135" s="291"/>
      <c r="C135" s="291"/>
      <c r="D135" s="417" t="s">
        <v>828</v>
      </c>
      <c r="E135" s="300">
        <f t="shared" si="33"/>
        <v>0.36781832970756889</v>
      </c>
      <c r="F135" s="300">
        <f t="shared" si="34"/>
        <v>0.35899708650221951</v>
      </c>
      <c r="G135" s="300">
        <f t="shared" si="34"/>
        <v>0.35663219049317713</v>
      </c>
      <c r="H135" s="300">
        <f t="shared" si="34"/>
        <v>0.35111135216456818</v>
      </c>
      <c r="I135" s="300">
        <f t="shared" si="34"/>
        <v>0.34585635256377734</v>
      </c>
      <c r="J135" s="301">
        <f t="shared" si="34"/>
        <v>0.34585635256377734</v>
      </c>
      <c r="K135" s="300"/>
      <c r="L135" s="344"/>
      <c r="M135" s="291"/>
      <c r="N135" s="291"/>
      <c r="O135" s="291"/>
      <c r="P135" s="291"/>
      <c r="Q135" s="291"/>
      <c r="R135" s="291"/>
      <c r="S135" s="291"/>
      <c r="T135" s="291"/>
      <c r="U135" s="291"/>
      <c r="V135" s="291"/>
      <c r="W135" s="291"/>
      <c r="X135" s="291"/>
      <c r="Y135" s="291"/>
      <c r="Z135" s="291"/>
      <c r="AA135" s="291"/>
      <c r="AB135" s="291"/>
      <c r="AC135" s="291"/>
      <c r="AD135" s="291"/>
      <c r="AE135" s="291"/>
      <c r="AF135" s="291"/>
      <c r="AG135" s="291"/>
      <c r="AH135" s="291"/>
      <c r="AI135" s="291"/>
      <c r="AJ135" s="291"/>
      <c r="AK135" s="291"/>
      <c r="AL135" s="291"/>
      <c r="AM135" s="291"/>
      <c r="AN135" s="291"/>
      <c r="AO135" s="291"/>
    </row>
    <row r="136" spans="1:41" s="308" customFormat="1" ht="20.100000000000001" customHeight="1">
      <c r="A136" s="291"/>
      <c r="B136" s="291"/>
      <c r="C136" s="291"/>
      <c r="D136" s="417" t="s">
        <v>80</v>
      </c>
      <c r="E136" s="300">
        <f t="shared" si="33"/>
        <v>0.36834134844430905</v>
      </c>
      <c r="F136" s="300">
        <f>F135-F137</f>
        <v>0.39440044724756862</v>
      </c>
      <c r="G136" s="300">
        <f>G135-G137</f>
        <v>0.39203555123852624</v>
      </c>
      <c r="H136" s="300">
        <f>H135-H137</f>
        <v>0.38651471290991729</v>
      </c>
      <c r="I136" s="300">
        <f>I135-I137</f>
        <v>0.38125971330912645</v>
      </c>
      <c r="J136" s="301">
        <f>J135-J137</f>
        <v>0.38125971330912645</v>
      </c>
      <c r="K136" s="300"/>
      <c r="L136" s="344"/>
      <c r="M136" s="291"/>
      <c r="N136" s="291"/>
      <c r="O136" s="291"/>
      <c r="P136" s="291"/>
      <c r="Q136" s="291"/>
      <c r="R136" s="291"/>
      <c r="S136" s="291"/>
      <c r="T136" s="291"/>
      <c r="U136" s="291"/>
      <c r="V136" s="291"/>
      <c r="W136" s="291"/>
      <c r="X136" s="291"/>
      <c r="Y136" s="291"/>
      <c r="Z136" s="291"/>
      <c r="AA136" s="291"/>
      <c r="AB136" s="291"/>
      <c r="AC136" s="291"/>
      <c r="AD136" s="291"/>
      <c r="AE136" s="291"/>
      <c r="AF136" s="291"/>
      <c r="AG136" s="291"/>
      <c r="AH136" s="291"/>
      <c r="AI136" s="291"/>
      <c r="AJ136" s="291"/>
      <c r="AK136" s="291"/>
      <c r="AL136" s="291"/>
      <c r="AM136" s="291"/>
      <c r="AN136" s="291"/>
      <c r="AO136" s="291"/>
    </row>
    <row r="137" spans="1:41" s="308" customFormat="1" ht="20.100000000000001" customHeight="1">
      <c r="A137" s="291"/>
      <c r="B137" s="291"/>
      <c r="C137" s="291"/>
      <c r="D137" s="417" t="s">
        <v>81</v>
      </c>
      <c r="E137" s="300">
        <f t="shared" si="33"/>
        <v>-5.2301873674015509E-4</v>
      </c>
      <c r="F137" s="300">
        <f>'Baseline debt'!$D$103</f>
        <v>-3.540336074534909E-2</v>
      </c>
      <c r="G137" s="300">
        <f>'Baseline debt'!$D$103</f>
        <v>-3.540336074534909E-2</v>
      </c>
      <c r="H137" s="300">
        <f>'Baseline debt'!$D$103</f>
        <v>-3.540336074534909E-2</v>
      </c>
      <c r="I137" s="300">
        <f>'Baseline debt'!$D$103</f>
        <v>-3.540336074534909E-2</v>
      </c>
      <c r="J137" s="301">
        <f>'Baseline debt'!$D$103</f>
        <v>-3.540336074534909E-2</v>
      </c>
      <c r="K137" s="300"/>
      <c r="L137" s="344"/>
      <c r="M137" s="291"/>
      <c r="N137" s="291"/>
      <c r="O137" s="291"/>
      <c r="P137" s="291"/>
      <c r="Q137" s="291"/>
      <c r="R137" s="291"/>
      <c r="S137" s="291"/>
      <c r="T137" s="291"/>
      <c r="U137" s="291"/>
      <c r="V137" s="291"/>
      <c r="W137" s="291"/>
      <c r="X137" s="291"/>
      <c r="Y137" s="291"/>
      <c r="Z137" s="291"/>
      <c r="AA137" s="291"/>
      <c r="AB137" s="291"/>
      <c r="AC137" s="291"/>
      <c r="AD137" s="291"/>
      <c r="AE137" s="291"/>
      <c r="AF137" s="291"/>
      <c r="AG137" s="291"/>
      <c r="AH137" s="291"/>
      <c r="AI137" s="291"/>
      <c r="AJ137" s="291"/>
      <c r="AK137" s="291"/>
      <c r="AL137" s="291"/>
      <c r="AM137" s="291"/>
      <c r="AN137" s="291"/>
      <c r="AO137" s="291"/>
    </row>
    <row r="138" spans="1:41" s="308" customFormat="1" ht="20.100000000000001" customHeight="1">
      <c r="A138" s="291"/>
      <c r="B138" s="291"/>
      <c r="C138" s="291"/>
      <c r="D138" s="417" t="s">
        <v>11</v>
      </c>
      <c r="E138" s="302">
        <f t="shared" si="33"/>
        <v>1.18</v>
      </c>
      <c r="F138" s="302">
        <f t="shared" ref="F138:J139" si="35">F38</f>
        <v>1.1399999999999999</v>
      </c>
      <c r="G138" s="302">
        <f t="shared" si="35"/>
        <v>1.1399999999999999</v>
      </c>
      <c r="H138" s="302">
        <f t="shared" si="35"/>
        <v>1.1399999999999999</v>
      </c>
      <c r="I138" s="302">
        <f t="shared" si="35"/>
        <v>1.1399999999999999</v>
      </c>
      <c r="J138" s="303">
        <f t="shared" si="35"/>
        <v>1.1399999999999999</v>
      </c>
      <c r="K138" s="302"/>
      <c r="L138" s="344"/>
      <c r="M138" s="291"/>
      <c r="N138" s="291"/>
      <c r="O138" s="291"/>
      <c r="P138" s="291"/>
      <c r="Q138" s="291"/>
      <c r="R138" s="291"/>
      <c r="S138" s="291"/>
      <c r="T138" s="291"/>
      <c r="U138" s="291"/>
      <c r="V138" s="291"/>
      <c r="W138" s="291"/>
      <c r="X138" s="291"/>
      <c r="Y138" s="291"/>
      <c r="Z138" s="291"/>
      <c r="AA138" s="291"/>
      <c r="AB138" s="291"/>
      <c r="AC138" s="291"/>
      <c r="AD138" s="291"/>
      <c r="AE138" s="291"/>
      <c r="AF138" s="291"/>
      <c r="AG138" s="291"/>
      <c r="AH138" s="291"/>
      <c r="AI138" s="291"/>
      <c r="AJ138" s="291"/>
      <c r="AK138" s="291"/>
      <c r="AL138" s="291"/>
      <c r="AM138" s="291"/>
      <c r="AN138" s="291"/>
      <c r="AO138" s="291"/>
    </row>
    <row r="139" spans="1:41" s="308" customFormat="1" ht="20.100000000000001" customHeight="1">
      <c r="A139" s="291"/>
      <c r="B139" s="291"/>
      <c r="C139" s="291"/>
      <c r="D139" s="417" t="s">
        <v>12</v>
      </c>
      <c r="E139" s="302">
        <f t="shared" si="33"/>
        <v>1.18</v>
      </c>
      <c r="F139" s="302">
        <f t="shared" si="35"/>
        <v>1.1399999999999999</v>
      </c>
      <c r="G139" s="302">
        <f t="shared" si="35"/>
        <v>1.1399999999999999</v>
      </c>
      <c r="H139" s="302">
        <f t="shared" si="35"/>
        <v>1.1399999999999999</v>
      </c>
      <c r="I139" s="302">
        <f t="shared" si="35"/>
        <v>1.1399999999999999</v>
      </c>
      <c r="J139" s="303">
        <f t="shared" si="35"/>
        <v>1.1399999999999999</v>
      </c>
      <c r="K139" s="302"/>
      <c r="L139" s="344"/>
      <c r="M139" s="291"/>
      <c r="N139" s="291"/>
      <c r="O139" s="291"/>
      <c r="P139" s="291"/>
      <c r="Q139" s="291"/>
      <c r="R139" s="291"/>
      <c r="S139" s="291"/>
      <c r="T139" s="291"/>
      <c r="U139" s="291"/>
      <c r="V139" s="291"/>
      <c r="W139" s="291"/>
      <c r="X139" s="291"/>
      <c r="Y139" s="291"/>
      <c r="Z139" s="291"/>
      <c r="AA139" s="291"/>
      <c r="AB139" s="291"/>
      <c r="AC139" s="291"/>
      <c r="AD139" s="291"/>
      <c r="AE139" s="291"/>
      <c r="AF139" s="291"/>
      <c r="AG139" s="291"/>
      <c r="AH139" s="291"/>
      <c r="AI139" s="291"/>
      <c r="AJ139" s="291"/>
      <c r="AK139" s="291"/>
      <c r="AL139" s="291"/>
      <c r="AM139" s="291"/>
      <c r="AN139" s="291"/>
      <c r="AO139" s="291"/>
    </row>
    <row r="140" spans="1:41" s="308" customFormat="1" ht="20.100000000000001" customHeight="1" thickBot="1">
      <c r="A140" s="291"/>
      <c r="B140" s="291"/>
      <c r="C140" s="291"/>
      <c r="D140" s="418" t="s">
        <v>1120</v>
      </c>
      <c r="E140" s="321">
        <f>E90</f>
        <v>0</v>
      </c>
      <c r="F140" s="322">
        <f>'Baseline debt'!$T$99</f>
        <v>357.44886743189488</v>
      </c>
      <c r="G140" s="322">
        <f>'Baseline debt'!$T$99</f>
        <v>357.44886743189488</v>
      </c>
      <c r="H140" s="322">
        <f>'Baseline debt'!$T$99</f>
        <v>357.44886743189488</v>
      </c>
      <c r="I140" s="322">
        <f>'Baseline debt'!$T$99</f>
        <v>357.44886743189488</v>
      </c>
      <c r="J140" s="323">
        <f>'Baseline debt'!$T$99</f>
        <v>357.44886743189488</v>
      </c>
      <c r="K140" s="497"/>
      <c r="L140" s="344"/>
      <c r="M140" s="291"/>
      <c r="N140" s="291"/>
      <c r="O140" s="291"/>
      <c r="P140" s="291"/>
      <c r="Q140" s="291"/>
      <c r="R140" s="291"/>
      <c r="S140" s="291"/>
      <c r="T140" s="291"/>
      <c r="U140" s="291"/>
      <c r="V140" s="291"/>
      <c r="W140" s="291"/>
      <c r="X140" s="291"/>
      <c r="Y140" s="291"/>
      <c r="Z140" s="291"/>
      <c r="AA140" s="291"/>
      <c r="AB140" s="291"/>
      <c r="AC140" s="291"/>
      <c r="AD140" s="291"/>
      <c r="AE140" s="291"/>
      <c r="AF140" s="291"/>
      <c r="AG140" s="291"/>
      <c r="AH140" s="291"/>
      <c r="AI140" s="291"/>
      <c r="AJ140" s="291"/>
      <c r="AK140" s="291"/>
      <c r="AL140" s="291"/>
      <c r="AM140" s="291"/>
      <c r="AN140" s="291"/>
      <c r="AO140" s="291"/>
    </row>
    <row r="141" spans="1:41" s="291" customFormat="1" ht="6" customHeight="1" thickBot="1">
      <c r="L141" s="123"/>
    </row>
    <row r="142" spans="1:41" s="291" customFormat="1" ht="20.100000000000001" customHeight="1" thickBot="1">
      <c r="D142" s="348" t="s">
        <v>865</v>
      </c>
      <c r="E142" s="349">
        <f t="shared" ref="E142:J142" si="36">E132</f>
        <v>2018</v>
      </c>
      <c r="F142" s="349">
        <f t="shared" si="36"/>
        <v>2019</v>
      </c>
      <c r="G142" s="349">
        <f t="shared" si="36"/>
        <v>2020</v>
      </c>
      <c r="H142" s="349">
        <f t="shared" si="36"/>
        <v>2021</v>
      </c>
      <c r="I142" s="349">
        <f t="shared" si="36"/>
        <v>2022</v>
      </c>
      <c r="J142" s="350">
        <f t="shared" si="36"/>
        <v>2023</v>
      </c>
      <c r="K142" s="307"/>
      <c r="L142" s="307"/>
    </row>
    <row r="143" spans="1:41" s="291" customFormat="1" ht="20.100000000000001" customHeight="1">
      <c r="D143" s="417" t="s">
        <v>77</v>
      </c>
      <c r="E143" s="300">
        <f>E33</f>
        <v>4.7697166816344838E-2</v>
      </c>
      <c r="F143" s="300">
        <f>F33</f>
        <v>3.1686434574876632E-2</v>
      </c>
      <c r="G143" s="300">
        <f t="shared" ref="E143:J144" si="37">G33</f>
        <v>2.9947102444823903E-2</v>
      </c>
      <c r="H143" s="300">
        <f t="shared" si="37"/>
        <v>2.8871442593204177E-2</v>
      </c>
      <c r="I143" s="300">
        <f t="shared" si="37"/>
        <v>2.933023694707515E-2</v>
      </c>
      <c r="J143" s="343">
        <f t="shared" si="37"/>
        <v>2.8000000000000025E-2</v>
      </c>
      <c r="K143" s="300"/>
      <c r="L143" s="344"/>
    </row>
    <row r="144" spans="1:41" s="291" customFormat="1" ht="20.100000000000001" customHeight="1">
      <c r="D144" s="417" t="s">
        <v>454</v>
      </c>
      <c r="E144" s="300">
        <f t="shared" si="37"/>
        <v>4.2122999157540031E-2</v>
      </c>
      <c r="F144" s="300">
        <f>F34</f>
        <v>3.085754504401117E-2</v>
      </c>
      <c r="G144" s="300">
        <f t="shared" si="37"/>
        <v>2.7938359016816516E-2</v>
      </c>
      <c r="H144" s="300">
        <f t="shared" si="37"/>
        <v>2.5315565708619037E-2</v>
      </c>
      <c r="I144" s="300">
        <f t="shared" si="37"/>
        <v>2.4647711698661201E-2</v>
      </c>
      <c r="J144" s="301">
        <f t="shared" si="37"/>
        <v>2.5000000000000133E-2</v>
      </c>
      <c r="K144" s="300"/>
      <c r="L144" s="344"/>
    </row>
    <row r="145" spans="1:41" s="308" customFormat="1" ht="20.100000000000001" customHeight="1">
      <c r="A145" s="291"/>
      <c r="B145" s="291"/>
      <c r="C145" s="291"/>
      <c r="D145" s="417" t="s">
        <v>828</v>
      </c>
      <c r="E145" s="300">
        <f t="shared" ref="E145:J145" si="38">$E$35</f>
        <v>0.36781832970756889</v>
      </c>
      <c r="F145" s="300">
        <f>$E$35</f>
        <v>0.36781832970756889</v>
      </c>
      <c r="G145" s="300">
        <f t="shared" si="38"/>
        <v>0.36781832970756889</v>
      </c>
      <c r="H145" s="300">
        <f t="shared" si="38"/>
        <v>0.36781832970756889</v>
      </c>
      <c r="I145" s="300">
        <f t="shared" si="38"/>
        <v>0.36781832970756889</v>
      </c>
      <c r="J145" s="301">
        <f t="shared" si="38"/>
        <v>0.36781832970756889</v>
      </c>
      <c r="K145" s="300"/>
      <c r="L145" s="344"/>
      <c r="M145" s="291"/>
      <c r="N145" s="291"/>
      <c r="O145" s="291"/>
      <c r="P145" s="291"/>
      <c r="Q145" s="291"/>
      <c r="R145" s="291"/>
      <c r="S145" s="291"/>
      <c r="T145" s="291"/>
      <c r="U145" s="291"/>
      <c r="V145" s="291"/>
      <c r="W145" s="291"/>
      <c r="X145" s="291"/>
      <c r="Y145" s="291"/>
      <c r="Z145" s="291"/>
      <c r="AA145" s="291"/>
      <c r="AB145" s="291"/>
      <c r="AC145" s="291"/>
      <c r="AD145" s="291"/>
      <c r="AE145" s="291"/>
      <c r="AF145" s="291"/>
      <c r="AG145" s="291"/>
      <c r="AH145" s="291"/>
      <c r="AI145" s="291"/>
      <c r="AJ145" s="291"/>
      <c r="AK145" s="291"/>
      <c r="AL145" s="291"/>
      <c r="AM145" s="291"/>
      <c r="AN145" s="291"/>
      <c r="AO145" s="291"/>
    </row>
    <row r="146" spans="1:41" s="308" customFormat="1" ht="20.100000000000001" customHeight="1">
      <c r="A146" s="291"/>
      <c r="B146" s="291"/>
      <c r="C146" s="291"/>
      <c r="D146" s="417" t="s">
        <v>80</v>
      </c>
      <c r="E146" s="300">
        <f t="shared" ref="E146:J146" si="39">$E$36</f>
        <v>0.36834134844430905</v>
      </c>
      <c r="F146" s="300">
        <f>$E$36</f>
        <v>0.36834134844430905</v>
      </c>
      <c r="G146" s="300">
        <f t="shared" si="39"/>
        <v>0.36834134844430905</v>
      </c>
      <c r="H146" s="300">
        <f t="shared" si="39"/>
        <v>0.36834134844430905</v>
      </c>
      <c r="I146" s="300">
        <f t="shared" si="39"/>
        <v>0.36834134844430905</v>
      </c>
      <c r="J146" s="301">
        <f t="shared" si="39"/>
        <v>0.36834134844430905</v>
      </c>
      <c r="K146" s="300"/>
      <c r="L146" s="344"/>
      <c r="M146" s="291"/>
      <c r="N146" s="291"/>
      <c r="O146" s="291"/>
      <c r="P146" s="291"/>
      <c r="Q146" s="291"/>
      <c r="R146" s="291"/>
      <c r="S146" s="291"/>
      <c r="T146" s="291"/>
      <c r="U146" s="291"/>
      <c r="V146" s="291"/>
      <c r="W146" s="291"/>
      <c r="X146" s="291"/>
      <c r="Y146" s="291"/>
      <c r="Z146" s="291"/>
      <c r="AA146" s="291"/>
      <c r="AB146" s="291"/>
      <c r="AC146" s="291"/>
      <c r="AD146" s="291"/>
      <c r="AE146" s="291"/>
      <c r="AF146" s="291"/>
      <c r="AG146" s="291"/>
      <c r="AH146" s="291"/>
      <c r="AI146" s="291"/>
      <c r="AJ146" s="291"/>
      <c r="AK146" s="291"/>
      <c r="AL146" s="291"/>
      <c r="AM146" s="291"/>
      <c r="AN146" s="291"/>
      <c r="AO146" s="291"/>
    </row>
    <row r="147" spans="1:41" s="308" customFormat="1" ht="20.100000000000001" customHeight="1">
      <c r="A147" s="291"/>
      <c r="B147" s="291"/>
      <c r="C147" s="291"/>
      <c r="D147" s="417" t="s">
        <v>81</v>
      </c>
      <c r="E147" s="300">
        <f t="shared" ref="E147:J147" si="40">$E$37</f>
        <v>-5.2301873674015509E-4</v>
      </c>
      <c r="F147" s="300">
        <f>$E$37</f>
        <v>-5.2301873674015509E-4</v>
      </c>
      <c r="G147" s="300">
        <f>$E$37</f>
        <v>-5.2301873674015509E-4</v>
      </c>
      <c r="H147" s="300">
        <f t="shared" si="40"/>
        <v>-5.2301873674015509E-4</v>
      </c>
      <c r="I147" s="300">
        <f t="shared" si="40"/>
        <v>-5.2301873674015509E-4</v>
      </c>
      <c r="J147" s="301">
        <f t="shared" si="40"/>
        <v>-5.2301873674015509E-4</v>
      </c>
      <c r="K147" s="300"/>
      <c r="L147" s="344"/>
      <c r="M147" s="291"/>
      <c r="N147" s="291"/>
      <c r="O147" s="291"/>
      <c r="P147" s="291"/>
      <c r="Q147" s="291"/>
      <c r="R147" s="291"/>
      <c r="S147" s="291"/>
      <c r="T147" s="291"/>
      <c r="U147" s="291"/>
      <c r="V147" s="291"/>
      <c r="W147" s="291"/>
      <c r="X147" s="291"/>
      <c r="Y147" s="291"/>
      <c r="Z147" s="291"/>
      <c r="AA147" s="291"/>
      <c r="AB147" s="291"/>
      <c r="AC147" s="291"/>
      <c r="AD147" s="291"/>
      <c r="AE147" s="291"/>
      <c r="AF147" s="291"/>
      <c r="AG147" s="291"/>
      <c r="AH147" s="291"/>
      <c r="AI147" s="291"/>
      <c r="AJ147" s="291"/>
      <c r="AK147" s="291"/>
      <c r="AL147" s="291"/>
      <c r="AM147" s="291"/>
      <c r="AN147" s="291"/>
      <c r="AO147" s="291"/>
    </row>
    <row r="148" spans="1:41" s="308" customFormat="1" ht="20.100000000000001" customHeight="1">
      <c r="A148" s="291"/>
      <c r="B148" s="291"/>
      <c r="C148" s="291"/>
      <c r="D148" s="417" t="s">
        <v>11</v>
      </c>
      <c r="E148" s="302">
        <f t="shared" ref="E148:J149" si="41">E38</f>
        <v>1.18</v>
      </c>
      <c r="F148" s="302">
        <f t="shared" si="41"/>
        <v>1.1399999999999999</v>
      </c>
      <c r="G148" s="302">
        <f t="shared" si="41"/>
        <v>1.1399999999999999</v>
      </c>
      <c r="H148" s="302">
        <f t="shared" si="41"/>
        <v>1.1399999999999999</v>
      </c>
      <c r="I148" s="302">
        <f t="shared" si="41"/>
        <v>1.1399999999999999</v>
      </c>
      <c r="J148" s="303">
        <f t="shared" si="41"/>
        <v>1.1399999999999999</v>
      </c>
      <c r="K148" s="302"/>
      <c r="L148" s="344"/>
      <c r="M148" s="291"/>
      <c r="N148" s="291"/>
      <c r="O148" s="291"/>
      <c r="P148" s="291"/>
      <c r="Q148" s="291"/>
      <c r="R148" s="291"/>
      <c r="S148" s="291"/>
      <c r="T148" s="291"/>
      <c r="U148" s="291"/>
      <c r="V148" s="291"/>
      <c r="W148" s="291"/>
      <c r="X148" s="291"/>
      <c r="Y148" s="291"/>
      <c r="Z148" s="291"/>
      <c r="AA148" s="291"/>
      <c r="AB148" s="291"/>
      <c r="AC148" s="291"/>
      <c r="AD148" s="291"/>
      <c r="AE148" s="291"/>
      <c r="AF148" s="291"/>
      <c r="AG148" s="291"/>
      <c r="AH148" s="291"/>
      <c r="AI148" s="291"/>
      <c r="AJ148" s="291"/>
      <c r="AK148" s="291"/>
      <c r="AL148" s="291"/>
      <c r="AM148" s="291"/>
      <c r="AN148" s="291"/>
      <c r="AO148" s="291"/>
    </row>
    <row r="149" spans="1:41" s="308" customFormat="1" ht="20.100000000000001" customHeight="1">
      <c r="A149" s="291"/>
      <c r="B149" s="291"/>
      <c r="C149" s="291"/>
      <c r="D149" s="417" t="s">
        <v>12</v>
      </c>
      <c r="E149" s="302">
        <f t="shared" si="41"/>
        <v>1.18</v>
      </c>
      <c r="F149" s="302">
        <f t="shared" si="41"/>
        <v>1.1399999999999999</v>
      </c>
      <c r="G149" s="302">
        <f t="shared" si="41"/>
        <v>1.1399999999999999</v>
      </c>
      <c r="H149" s="302">
        <f t="shared" si="41"/>
        <v>1.1399999999999999</v>
      </c>
      <c r="I149" s="302">
        <f t="shared" si="41"/>
        <v>1.1399999999999999</v>
      </c>
      <c r="J149" s="303">
        <f t="shared" si="41"/>
        <v>1.1399999999999999</v>
      </c>
      <c r="K149" s="302"/>
      <c r="L149" s="344"/>
      <c r="M149" s="291"/>
      <c r="N149" s="291"/>
      <c r="O149" s="291"/>
      <c r="P149" s="291"/>
      <c r="Q149" s="291"/>
      <c r="R149" s="291"/>
      <c r="S149" s="291"/>
      <c r="T149" s="291"/>
      <c r="U149" s="291"/>
      <c r="V149" s="291"/>
      <c r="W149" s="291"/>
      <c r="X149" s="291"/>
      <c r="Y149" s="291"/>
      <c r="Z149" s="291"/>
      <c r="AA149" s="291"/>
      <c r="AB149" s="291"/>
      <c r="AC149" s="291"/>
      <c r="AD149" s="291"/>
      <c r="AE149" s="291"/>
      <c r="AF149" s="291"/>
      <c r="AG149" s="291"/>
      <c r="AH149" s="291"/>
      <c r="AI149" s="291"/>
      <c r="AJ149" s="291"/>
      <c r="AK149" s="291"/>
      <c r="AL149" s="291"/>
      <c r="AM149" s="291"/>
      <c r="AN149" s="291"/>
      <c r="AO149" s="291"/>
    </row>
    <row r="150" spans="1:41" s="308" customFormat="1" ht="20.100000000000001" customHeight="1" thickBot="1">
      <c r="A150" s="291"/>
      <c r="B150" s="291"/>
      <c r="C150" s="291"/>
      <c r="D150" s="418" t="s">
        <v>1120</v>
      </c>
      <c r="E150" s="322">
        <v>0</v>
      </c>
      <c r="F150" s="322">
        <v>0</v>
      </c>
      <c r="G150" s="322">
        <v>0</v>
      </c>
      <c r="H150" s="322">
        <v>0</v>
      </c>
      <c r="I150" s="322">
        <v>0</v>
      </c>
      <c r="J150" s="323">
        <v>0</v>
      </c>
      <c r="K150" s="497"/>
      <c r="L150" s="344"/>
      <c r="M150" s="291"/>
      <c r="N150" s="291"/>
      <c r="O150" s="291"/>
      <c r="P150" s="291"/>
      <c r="Q150" s="291"/>
      <c r="R150" s="291"/>
      <c r="S150" s="291"/>
      <c r="T150" s="291"/>
      <c r="U150" s="291"/>
      <c r="V150" s="291"/>
      <c r="W150" s="291"/>
      <c r="X150" s="291"/>
      <c r="Y150" s="291"/>
      <c r="Z150" s="291"/>
      <c r="AA150" s="291"/>
      <c r="AB150" s="291"/>
      <c r="AC150" s="291"/>
      <c r="AD150" s="291"/>
      <c r="AE150" s="291"/>
      <c r="AF150" s="291"/>
      <c r="AG150" s="291"/>
      <c r="AH150" s="291"/>
      <c r="AI150" s="291"/>
      <c r="AJ150" s="291"/>
      <c r="AK150" s="291"/>
      <c r="AL150" s="291"/>
      <c r="AM150" s="291"/>
      <c r="AN150" s="291"/>
      <c r="AO150" s="291"/>
    </row>
    <row r="151" spans="1:41" s="25" customFormat="1"/>
    <row r="152" spans="1:41" s="25" customFormat="1"/>
    <row r="153" spans="1:41" s="25" customFormat="1"/>
    <row r="154" spans="1:41" s="25" customFormat="1"/>
    <row r="155" spans="1:41" s="25" customFormat="1"/>
    <row r="156" spans="1:41" s="25" customFormat="1"/>
    <row r="157" spans="1:41" s="25" customFormat="1"/>
    <row r="158" spans="1:41" s="25" customFormat="1"/>
    <row r="159" spans="1:41" s="25" customFormat="1"/>
    <row r="160" spans="1:41" s="25" customFormat="1"/>
    <row r="161" s="25" customFormat="1"/>
    <row r="162" s="25" customFormat="1"/>
    <row r="163" s="25" customFormat="1"/>
    <row r="164" s="25" customFormat="1"/>
    <row r="165" s="25" customFormat="1"/>
    <row r="166" s="25" customFormat="1"/>
    <row r="167" s="25" customFormat="1"/>
    <row r="168" s="25" customFormat="1"/>
    <row r="169" s="25" customFormat="1"/>
    <row r="170" s="25" customFormat="1"/>
    <row r="171" s="25" customFormat="1"/>
    <row r="172" s="25" customFormat="1"/>
    <row r="173" s="25" customFormat="1"/>
    <row r="174" s="25" customFormat="1"/>
    <row r="175" s="25" customFormat="1"/>
    <row r="176" s="25" customFormat="1"/>
  </sheetData>
  <mergeCells count="30">
    <mergeCell ref="M18:W18"/>
    <mergeCell ref="M19:W19"/>
    <mergeCell ref="M14:W14"/>
    <mergeCell ref="M13:W13"/>
    <mergeCell ref="I5:L5"/>
    <mergeCell ref="D14:I14"/>
    <mergeCell ref="M16:W16"/>
    <mergeCell ref="D13:I13"/>
    <mergeCell ref="A8:I8"/>
    <mergeCell ref="D27:I27"/>
    <mergeCell ref="I11:L11"/>
    <mergeCell ref="M20:W20"/>
    <mergeCell ref="M23:W23"/>
    <mergeCell ref="D16:I16"/>
    <mergeCell ref="D17:I17"/>
    <mergeCell ref="D18:I18"/>
    <mergeCell ref="M27:S27"/>
    <mergeCell ref="T25:W25"/>
    <mergeCell ref="T27:W27"/>
    <mergeCell ref="D19:I19"/>
    <mergeCell ref="D20:I20"/>
    <mergeCell ref="D23:I23"/>
    <mergeCell ref="D25:I25"/>
    <mergeCell ref="M25:S25"/>
    <mergeCell ref="M17:W17"/>
    <mergeCell ref="A1:H1"/>
    <mergeCell ref="A2:H2"/>
    <mergeCell ref="A3:H3"/>
    <mergeCell ref="A4:H4"/>
    <mergeCell ref="A7:I7"/>
  </mergeCells>
  <dataValidations xWindow="863" yWindow="618" count="3">
    <dataValidation type="list" allowBlank="1" showErrorMessage="1" prompt="Would you like to run the customized shock?" sqref="J25 J27" xr:uid="{00000000-0002-0000-0500-000000000000}">
      <formula1>ListYesNo</formula1>
    </dataValidation>
    <dataValidation type="list" allowBlank="1" showErrorMessage="1" prompt="Would you like to run the contingent liabilities shock?" sqref="J23" xr:uid="{00000000-0002-0000-0500-000001000000}">
      <formula1>ListYesNo</formula1>
    </dataValidation>
    <dataValidation type="list" allowBlank="1" showInputMessage="1" showErrorMessage="1" sqref="J8" xr:uid="{00000000-0002-0000-0500-000002000000}">
      <formula1>ListLowerHigher</formula1>
    </dataValidation>
  </dataValidations>
  <pageMargins left="0.7" right="0.7" top="0.75" bottom="0.75" header="0.3" footer="0.3"/>
  <pageSetup orientation="portrait" r:id="rId1"/>
  <ignoredErrors>
    <ignoredError sqref="I104" formula="1"/>
  </ignoredError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tabColor rgb="FFFFFF00"/>
  </sheetPr>
  <dimension ref="A1:BU6078"/>
  <sheetViews>
    <sheetView zoomScale="70" zoomScaleNormal="70" workbookViewId="0">
      <pane xSplit="2" ySplit="6" topLeftCell="C46" activePane="bottomRight" state="frozen"/>
      <selection activeCell="A107" sqref="A107:XFD137"/>
      <selection pane="topRight" activeCell="A107" sqref="A107:XFD137"/>
      <selection pane="bottomLeft" activeCell="A107" sqref="A107:XFD137"/>
      <selection pane="bottomRight" activeCell="C7" sqref="C7"/>
    </sheetView>
  </sheetViews>
  <sheetFormatPr defaultColWidth="9.140625" defaultRowHeight="15"/>
  <cols>
    <col min="1" max="1" width="55.42578125" style="284" customWidth="1"/>
    <col min="2" max="2" width="33" style="284" customWidth="1"/>
    <col min="3" max="73" width="6.7109375" style="284" customWidth="1"/>
    <col min="74" max="16384" width="9.140625" style="284"/>
  </cols>
  <sheetData>
    <row r="1" spans="1:73" s="699" customFormat="1" ht="45.75" customHeight="1">
      <c r="A1" s="1941" t="s">
        <v>985</v>
      </c>
      <c r="B1" s="1941"/>
    </row>
    <row r="2" spans="1:73" s="699" customFormat="1" ht="64.5" customHeight="1">
      <c r="A2" s="1941" t="s">
        <v>1051</v>
      </c>
      <c r="B2" s="1941"/>
      <c r="C2" s="1750"/>
      <c r="D2" s="1750"/>
      <c r="E2" s="1750"/>
      <c r="F2" s="1750"/>
      <c r="G2" s="1750"/>
      <c r="H2" s="1750"/>
      <c r="I2" s="1750"/>
      <c r="J2" s="1750"/>
      <c r="K2" s="1750"/>
      <c r="L2" s="1750"/>
      <c r="M2" s="1750"/>
      <c r="N2" s="1750"/>
      <c r="O2" s="1750"/>
      <c r="P2" s="1750"/>
      <c r="Q2" s="1750"/>
      <c r="R2" s="1750"/>
      <c r="S2" s="1750"/>
      <c r="T2" s="1750"/>
      <c r="U2" s="1750"/>
      <c r="V2" s="1750"/>
      <c r="W2" s="1750"/>
      <c r="X2" s="1750"/>
    </row>
    <row r="3" spans="1:73" s="700" customFormat="1" ht="49.7" customHeight="1">
      <c r="A3" s="1942" t="s">
        <v>986</v>
      </c>
      <c r="B3" s="1942"/>
    </row>
    <row r="4" spans="1:73" s="676" customFormat="1" ht="4.7" customHeight="1" thickBot="1"/>
    <row r="5" spans="1:73" ht="39.950000000000003" customHeight="1" thickBot="1">
      <c r="A5" s="857" t="s">
        <v>529</v>
      </c>
      <c r="B5" s="858"/>
      <c r="BB5" s="53" t="s">
        <v>16</v>
      </c>
    </row>
    <row r="6" spans="1:73" s="287" customFormat="1" ht="15.75" thickBot="1">
      <c r="A6" s="740" t="s">
        <v>464</v>
      </c>
      <c r="B6" s="741" t="s">
        <v>168</v>
      </c>
      <c r="C6" s="703">
        <f t="shared" ref="C6:AZ6" si="0">D6-1</f>
        <v>1967</v>
      </c>
      <c r="D6" s="704">
        <f t="shared" si="0"/>
        <v>1968</v>
      </c>
      <c r="E6" s="704">
        <f t="shared" si="0"/>
        <v>1969</v>
      </c>
      <c r="F6" s="704">
        <f t="shared" si="0"/>
        <v>1970</v>
      </c>
      <c r="G6" s="704">
        <f t="shared" si="0"/>
        <v>1971</v>
      </c>
      <c r="H6" s="704">
        <f t="shared" si="0"/>
        <v>1972</v>
      </c>
      <c r="I6" s="704">
        <f t="shared" si="0"/>
        <v>1973</v>
      </c>
      <c r="J6" s="704">
        <f t="shared" si="0"/>
        <v>1974</v>
      </c>
      <c r="K6" s="704">
        <f t="shared" si="0"/>
        <v>1975</v>
      </c>
      <c r="L6" s="704">
        <f t="shared" si="0"/>
        <v>1976</v>
      </c>
      <c r="M6" s="704">
        <f t="shared" si="0"/>
        <v>1977</v>
      </c>
      <c r="N6" s="704">
        <f t="shared" si="0"/>
        <v>1978</v>
      </c>
      <c r="O6" s="704">
        <f t="shared" si="0"/>
        <v>1979</v>
      </c>
      <c r="P6" s="704">
        <f t="shared" si="0"/>
        <v>1980</v>
      </c>
      <c r="Q6" s="704">
        <f t="shared" si="0"/>
        <v>1981</v>
      </c>
      <c r="R6" s="704">
        <f t="shared" si="0"/>
        <v>1982</v>
      </c>
      <c r="S6" s="704">
        <f t="shared" si="0"/>
        <v>1983</v>
      </c>
      <c r="T6" s="704">
        <f t="shared" si="0"/>
        <v>1984</v>
      </c>
      <c r="U6" s="704">
        <f t="shared" si="0"/>
        <v>1985</v>
      </c>
      <c r="V6" s="704">
        <f t="shared" si="0"/>
        <v>1986</v>
      </c>
      <c r="W6" s="704">
        <f t="shared" si="0"/>
        <v>1987</v>
      </c>
      <c r="X6" s="704">
        <f t="shared" si="0"/>
        <v>1988</v>
      </c>
      <c r="Y6" s="704">
        <f t="shared" si="0"/>
        <v>1989</v>
      </c>
      <c r="Z6" s="704">
        <f t="shared" si="0"/>
        <v>1990</v>
      </c>
      <c r="AA6" s="704">
        <f t="shared" si="0"/>
        <v>1991</v>
      </c>
      <c r="AB6" s="704">
        <f t="shared" si="0"/>
        <v>1992</v>
      </c>
      <c r="AC6" s="704">
        <f t="shared" si="0"/>
        <v>1993</v>
      </c>
      <c r="AD6" s="704">
        <f t="shared" si="0"/>
        <v>1994</v>
      </c>
      <c r="AE6" s="704">
        <f t="shared" si="0"/>
        <v>1995</v>
      </c>
      <c r="AF6" s="704">
        <f t="shared" si="0"/>
        <v>1996</v>
      </c>
      <c r="AG6" s="704">
        <f t="shared" si="0"/>
        <v>1997</v>
      </c>
      <c r="AH6" s="704">
        <f t="shared" si="0"/>
        <v>1998</v>
      </c>
      <c r="AI6" s="704">
        <f t="shared" si="0"/>
        <v>1999</v>
      </c>
      <c r="AJ6" s="704">
        <f t="shared" si="0"/>
        <v>2000</v>
      </c>
      <c r="AK6" s="704">
        <f t="shared" si="0"/>
        <v>2001</v>
      </c>
      <c r="AL6" s="704">
        <f t="shared" si="0"/>
        <v>2002</v>
      </c>
      <c r="AM6" s="704">
        <f t="shared" si="0"/>
        <v>2003</v>
      </c>
      <c r="AN6" s="704">
        <f t="shared" si="0"/>
        <v>2004</v>
      </c>
      <c r="AO6" s="704">
        <f t="shared" si="0"/>
        <v>2005</v>
      </c>
      <c r="AP6" s="704">
        <f t="shared" si="0"/>
        <v>2006</v>
      </c>
      <c r="AQ6" s="704">
        <f t="shared" si="0"/>
        <v>2007</v>
      </c>
      <c r="AR6" s="704">
        <f t="shared" si="0"/>
        <v>2008</v>
      </c>
      <c r="AS6" s="704">
        <f t="shared" si="0"/>
        <v>2009</v>
      </c>
      <c r="AT6" s="704">
        <f t="shared" si="0"/>
        <v>2010</v>
      </c>
      <c r="AU6" s="704">
        <f t="shared" si="0"/>
        <v>2011</v>
      </c>
      <c r="AV6" s="704">
        <f t="shared" si="0"/>
        <v>2012</v>
      </c>
      <c r="AW6" s="704">
        <f t="shared" si="0"/>
        <v>2013</v>
      </c>
      <c r="AX6" s="704">
        <f t="shared" si="0"/>
        <v>2014</v>
      </c>
      <c r="AY6" s="704">
        <f t="shared" si="0"/>
        <v>2015</v>
      </c>
      <c r="AZ6" s="704">
        <f t="shared" si="0"/>
        <v>2016</v>
      </c>
      <c r="BA6" s="704">
        <f>BB6-1</f>
        <v>2017</v>
      </c>
      <c r="BB6" s="705">
        <f>FirstYear</f>
        <v>2018</v>
      </c>
      <c r="BC6" s="706">
        <f>BB6+1</f>
        <v>2019</v>
      </c>
      <c r="BD6" s="706">
        <f>BC6+1</f>
        <v>2020</v>
      </c>
      <c r="BE6" s="706">
        <f>BD6+1</f>
        <v>2021</v>
      </c>
      <c r="BF6" s="706">
        <f>BE6+1</f>
        <v>2022</v>
      </c>
      <c r="BG6" s="707">
        <f>BF6+1</f>
        <v>2023</v>
      </c>
    </row>
    <row r="7" spans="1:73">
      <c r="A7" s="282" t="s">
        <v>487</v>
      </c>
      <c r="B7" s="672" t="s">
        <v>286</v>
      </c>
      <c r="C7" s="677"/>
      <c r="D7" s="678"/>
      <c r="E7" s="678"/>
      <c r="F7" s="678"/>
      <c r="G7" s="678"/>
      <c r="H7" s="679"/>
      <c r="I7" s="679"/>
      <c r="J7" s="679"/>
      <c r="K7" s="679"/>
      <c r="L7" s="679"/>
      <c r="M7" s="679"/>
      <c r="N7" s="679"/>
      <c r="O7" s="679"/>
      <c r="P7" s="679"/>
      <c r="Q7" s="679"/>
      <c r="R7" s="679"/>
      <c r="S7" s="679"/>
      <c r="T7" s="679"/>
      <c r="U7" s="679"/>
      <c r="V7" s="679"/>
      <c r="W7" s="679"/>
      <c r="X7" s="679"/>
      <c r="Y7" s="679"/>
      <c r="Z7" s="679"/>
      <c r="AA7" s="679"/>
      <c r="AB7" s="679"/>
      <c r="AC7" s="679"/>
      <c r="AD7" s="679"/>
      <c r="AE7" s="679"/>
      <c r="AF7" s="679"/>
      <c r="AG7" s="679"/>
      <c r="AH7" s="679"/>
      <c r="AI7" s="679"/>
      <c r="AJ7" s="679"/>
      <c r="AK7" s="679"/>
      <c r="AL7" s="679"/>
      <c r="AM7" s="679"/>
      <c r="AN7" s="679"/>
      <c r="AO7" s="679"/>
      <c r="AP7" s="701"/>
      <c r="AQ7" s="701">
        <f>'Baseline debt'!E52*100</f>
        <v>9.9792693296943966</v>
      </c>
      <c r="AR7" s="701">
        <f>'Baseline debt'!F52*100</f>
        <v>-3.5476442246113349</v>
      </c>
      <c r="AS7" s="701">
        <f>'Baseline debt'!G52*100</f>
        <v>-14.401691783140869</v>
      </c>
      <c r="AT7" s="701">
        <f>'Baseline debt'!H52*100</f>
        <v>-3.9406703055711478</v>
      </c>
      <c r="AU7" s="701">
        <f>'Baseline debt'!I52*100</f>
        <v>6.3810212588655268</v>
      </c>
      <c r="AV7" s="701">
        <f>'Baseline debt'!J52*100</f>
        <v>4.0346283749703504</v>
      </c>
      <c r="AW7" s="701">
        <f>'Baseline debt'!K52*100</f>
        <v>2.4298512084855783</v>
      </c>
      <c r="AX7" s="701">
        <f>'Baseline debt'!L52*100</f>
        <v>1.8582436516565437</v>
      </c>
      <c r="AY7" s="701">
        <f>'Baseline debt'!M52*100</f>
        <v>2.9717038316125821</v>
      </c>
      <c r="AZ7" s="701">
        <f>'Baseline debt'!N52*100</f>
        <v>2.0643812960710717</v>
      </c>
      <c r="BA7" s="702">
        <f>'Baseline debt'!O52*100</f>
        <v>4.6364796214269033</v>
      </c>
      <c r="BB7" s="286">
        <f>'Baseline debt'!P52*100</f>
        <v>4.7697166816344838</v>
      </c>
      <c r="BC7" s="286">
        <f>'Baseline debt'!Q52*100</f>
        <v>3.1686434574876632</v>
      </c>
      <c r="BD7" s="286">
        <f>'Baseline debt'!R52*100</f>
        <v>2.9947102444823903</v>
      </c>
      <c r="BE7" s="286">
        <f>'Baseline debt'!S52*100</f>
        <v>2.8871442593204177</v>
      </c>
      <c r="BF7" s="286">
        <f>'Baseline debt'!T52*100</f>
        <v>2.933023694707515</v>
      </c>
      <c r="BG7" s="286">
        <f>'Baseline debt'!U52*100</f>
        <v>2.8000000000000025</v>
      </c>
      <c r="BH7" s="10"/>
      <c r="BI7" s="10"/>
      <c r="BJ7" s="10"/>
      <c r="BK7" s="10"/>
      <c r="BL7" s="10"/>
      <c r="BM7" s="10"/>
      <c r="BN7" s="10"/>
      <c r="BO7" s="10"/>
      <c r="BP7" s="10"/>
      <c r="BQ7" s="10"/>
      <c r="BR7" s="10"/>
      <c r="BS7" s="10"/>
      <c r="BT7" s="10"/>
      <c r="BU7" s="10"/>
    </row>
    <row r="8" spans="1:73">
      <c r="A8" s="739" t="s">
        <v>1052</v>
      </c>
      <c r="B8" s="672" t="s">
        <v>286</v>
      </c>
      <c r="C8" s="677"/>
      <c r="D8" s="678"/>
      <c r="E8" s="678"/>
      <c r="F8" s="678"/>
      <c r="G8" s="678"/>
      <c r="H8" s="679"/>
      <c r="I8" s="679"/>
      <c r="J8" s="679"/>
      <c r="K8" s="679"/>
      <c r="L8" s="679"/>
      <c r="M8" s="679"/>
      <c r="N8" s="679"/>
      <c r="O8" s="679"/>
      <c r="P8" s="679"/>
      <c r="Q8" s="679"/>
      <c r="R8" s="679"/>
      <c r="S8" s="679"/>
      <c r="T8" s="679"/>
      <c r="U8" s="679"/>
      <c r="V8" s="679"/>
      <c r="W8" s="679"/>
      <c r="X8" s="679"/>
      <c r="Y8" s="679"/>
      <c r="Z8" s="679"/>
      <c r="AA8" s="679"/>
      <c r="AB8" s="679"/>
      <c r="AC8" s="679"/>
      <c r="AD8" s="679"/>
      <c r="AE8" s="679"/>
      <c r="AF8" s="679"/>
      <c r="AG8" s="679"/>
      <c r="AH8" s="679"/>
      <c r="AI8" s="679"/>
      <c r="AJ8" s="679"/>
      <c r="AK8" s="679"/>
      <c r="AL8" s="679"/>
      <c r="AM8" s="679"/>
      <c r="AN8" s="679"/>
      <c r="AO8" s="679"/>
      <c r="AP8" s="679"/>
      <c r="AQ8" s="679">
        <f>'Baseline debt'!E67*100</f>
        <v>-12.804288849608458</v>
      </c>
      <c r="AR8" s="679">
        <f>'Baseline debt'!F67*100</f>
        <v>-4.1808979797356312</v>
      </c>
      <c r="AS8" s="679">
        <f>'Baseline debt'!G67*100</f>
        <v>17.640805772910852</v>
      </c>
      <c r="AT8" s="679">
        <f>'Baseline debt'!H67*100</f>
        <v>5.3454602207914537</v>
      </c>
      <c r="AU8" s="679">
        <f>'Baseline debt'!I67*100</f>
        <v>-2.0417855734224943</v>
      </c>
      <c r="AV8" s="679">
        <f>'Baseline debt'!J67*100</f>
        <v>0.62123593831371338</v>
      </c>
      <c r="AW8" s="679">
        <f>'Baseline debt'!K67*100</f>
        <v>1.9953211031954021</v>
      </c>
      <c r="AX8" s="679">
        <f>'Baseline debt'!L67*100</f>
        <v>2.071954499395412</v>
      </c>
      <c r="AY8" s="679">
        <f>'Baseline debt'!M67*100</f>
        <v>3.3612620705746998</v>
      </c>
      <c r="AZ8" s="679">
        <f>'Baseline debt'!N67*100</f>
        <v>1.9766464943150153</v>
      </c>
      <c r="BA8" s="680">
        <f>'Baseline debt'!O67*100</f>
        <v>-0.70683037603941345</v>
      </c>
      <c r="BB8" s="285">
        <f>'Baseline debt'!P67*100</f>
        <v>-2.1625624008573929</v>
      </c>
      <c r="BC8" s="285">
        <f>'Baseline debt'!Q67*100</f>
        <v>-1.0653375141869481</v>
      </c>
      <c r="BD8" s="285">
        <f>'Baseline debt'!R67*100</f>
        <v>-0.90088148887756958</v>
      </c>
      <c r="BE8" s="285">
        <f>'Baseline debt'!S67*100</f>
        <v>-0.48992187526487596</v>
      </c>
      <c r="BF8" s="285">
        <f>'Baseline debt'!T67*100</f>
        <v>-0.61122740006018805</v>
      </c>
      <c r="BG8" s="285">
        <f>'Baseline debt'!U67*100</f>
        <v>-0.5670980644873147</v>
      </c>
      <c r="BH8" s="10"/>
      <c r="BI8" s="10"/>
      <c r="BJ8" s="10"/>
      <c r="BK8" s="10"/>
      <c r="BL8" s="10"/>
      <c r="BM8" s="10"/>
      <c r="BN8" s="10"/>
      <c r="BO8" s="10"/>
      <c r="BP8" s="10"/>
      <c r="BQ8" s="10"/>
      <c r="BR8" s="10"/>
      <c r="BS8" s="10"/>
      <c r="BT8" s="10"/>
      <c r="BU8" s="10"/>
    </row>
    <row r="9" spans="1:73">
      <c r="A9" s="282" t="s">
        <v>1053</v>
      </c>
      <c r="B9" s="672" t="s">
        <v>465</v>
      </c>
      <c r="C9" s="677"/>
      <c r="D9" s="678"/>
      <c r="E9" s="678"/>
      <c r="F9" s="678"/>
      <c r="G9" s="678"/>
      <c r="H9" s="679"/>
      <c r="I9" s="679"/>
      <c r="J9" s="679"/>
      <c r="K9" s="679"/>
      <c r="L9" s="679"/>
      <c r="M9" s="679"/>
      <c r="N9" s="679"/>
      <c r="O9" s="679"/>
      <c r="P9" s="679"/>
      <c r="Q9" s="679"/>
      <c r="R9" s="679"/>
      <c r="S9" s="679"/>
      <c r="T9" s="679"/>
      <c r="U9" s="679"/>
      <c r="V9" s="679"/>
      <c r="W9" s="679"/>
      <c r="X9" s="679"/>
      <c r="Y9" s="679"/>
      <c r="Z9" s="679"/>
      <c r="AA9" s="679"/>
      <c r="AB9" s="679"/>
      <c r="AC9" s="679"/>
      <c r="AD9" s="679"/>
      <c r="AE9" s="679"/>
      <c r="AF9" s="679"/>
      <c r="AG9" s="679"/>
      <c r="AH9" s="679"/>
      <c r="AI9" s="679"/>
      <c r="AJ9" s="679"/>
      <c r="AK9" s="679"/>
      <c r="AL9" s="679"/>
      <c r="AM9" s="679"/>
      <c r="AN9" s="679"/>
      <c r="AO9" s="679"/>
      <c r="AP9" s="679"/>
      <c r="AQ9" s="679">
        <f>'Baseline debt'!E58*100</f>
        <v>-0.65863984763110395</v>
      </c>
      <c r="AR9" s="679">
        <f>'Baseline debt'!F58*100</f>
        <v>-4.510654182426471</v>
      </c>
      <c r="AS9" s="679">
        <f>'Baseline debt'!G58*100</f>
        <v>-9.6884231788513127</v>
      </c>
      <c r="AT9" s="679">
        <f>'Baseline debt'!H58*100</f>
        <v>-9.1471227844582117</v>
      </c>
      <c r="AU9" s="679">
        <f>'Baseline debt'!I58*100</f>
        <v>-4.7633915406875005</v>
      </c>
      <c r="AV9" s="679">
        <f>'Baseline debt'!J58*100</f>
        <v>-1.5073829551861262</v>
      </c>
      <c r="AW9" s="679">
        <f>'Baseline debt'!K58*100</f>
        <v>-1.466213370777586</v>
      </c>
      <c r="AX9" s="679">
        <f>'Baseline debt'!L58*100</f>
        <v>-1.8206327054309968</v>
      </c>
      <c r="AY9" s="679">
        <f>'Baseline debt'!M58*100</f>
        <v>-1.6295013174988937</v>
      </c>
      <c r="AZ9" s="679">
        <f>'Baseline debt'!N58*100</f>
        <v>-0.13020374649697075</v>
      </c>
      <c r="BA9" s="680">
        <f>'Baseline debt'!O58*100</f>
        <v>-0.73983496353501876</v>
      </c>
      <c r="BB9" s="285">
        <f>'Baseline debt'!P58*100</f>
        <v>-5.2301873674015509E-2</v>
      </c>
      <c r="BC9" s="285">
        <f>'Baseline debt'!Q58*100</f>
        <v>4.6597896115335713E-2</v>
      </c>
      <c r="BD9" s="285">
        <f>'Baseline debt'!R58*100</f>
        <v>0.30885252917781103</v>
      </c>
      <c r="BE9" s="285">
        <f>'Baseline debt'!S58*100</f>
        <v>0.22147723253581053</v>
      </c>
      <c r="BF9" s="285">
        <f>'Baseline debt'!T58*100</f>
        <v>0.87301076297996993</v>
      </c>
      <c r="BG9" s="285">
        <f>'Baseline debt'!U58*100</f>
        <v>0.87301076297997549</v>
      </c>
      <c r="BH9" s="10"/>
      <c r="BI9" s="10"/>
      <c r="BJ9" s="10"/>
      <c r="BK9" s="10"/>
      <c r="BL9" s="10"/>
      <c r="BM9" s="10"/>
      <c r="BN9" s="10"/>
      <c r="BO9" s="10"/>
      <c r="BP9" s="10"/>
      <c r="BQ9" s="10"/>
      <c r="BR9" s="10"/>
      <c r="BS9" s="10"/>
      <c r="BT9" s="10"/>
      <c r="BU9" s="10"/>
    </row>
    <row r="10" spans="1:73" ht="15.75" thickBot="1">
      <c r="A10" s="277" t="s">
        <v>1054</v>
      </c>
      <c r="B10" s="674" t="s">
        <v>286</v>
      </c>
      <c r="C10" s="645"/>
      <c r="D10" s="681"/>
      <c r="E10" s="681"/>
      <c r="F10" s="681"/>
      <c r="G10" s="681"/>
      <c r="H10" s="682"/>
      <c r="I10" s="682"/>
      <c r="J10" s="682"/>
      <c r="K10" s="682"/>
      <c r="L10" s="682"/>
      <c r="M10" s="682"/>
      <c r="N10" s="682"/>
      <c r="O10" s="682"/>
      <c r="P10" s="682"/>
      <c r="Q10" s="682"/>
      <c r="R10" s="682"/>
      <c r="S10" s="682"/>
      <c r="T10" s="682"/>
      <c r="U10" s="682"/>
      <c r="V10" s="682"/>
      <c r="W10" s="682"/>
      <c r="X10" s="682"/>
      <c r="Y10" s="682"/>
      <c r="Z10" s="682"/>
      <c r="AA10" s="682"/>
      <c r="AB10" s="682"/>
      <c r="AC10" s="682"/>
      <c r="AD10" s="682"/>
      <c r="AE10" s="682"/>
      <c r="AF10" s="682"/>
      <c r="AG10" s="682"/>
      <c r="AH10" s="682"/>
      <c r="AI10" s="682"/>
      <c r="AJ10" s="682"/>
      <c r="AK10" s="682"/>
      <c r="AL10" s="682"/>
      <c r="AM10" s="682"/>
      <c r="AN10" s="682"/>
      <c r="AO10" s="682"/>
      <c r="AP10" s="682"/>
      <c r="AQ10" s="682" t="str">
        <f>IF(ISNUMBER(('Input 2 - Data'!F13/'Input 2 - Data'!E13-1)*100),('Input 2 - Data'!F13/'Input 2 - Data'!E13-1)*100,"")</f>
        <v/>
      </c>
      <c r="AR10" s="682" t="str">
        <f>IF(ISNUMBER(('Input 2 - Data'!G13/'Input 2 - Data'!F13-1)*100),('Input 2 - Data'!G13/'Input 2 - Data'!F13-1)*100,"")</f>
        <v/>
      </c>
      <c r="AS10" s="682" t="str">
        <f>IF(ISNUMBER(('Input 2 - Data'!H13/'Input 2 - Data'!G13-1)*100),('Input 2 - Data'!H13/'Input 2 - Data'!G13-1)*100,"")</f>
        <v/>
      </c>
      <c r="AT10" s="682" t="str">
        <f>IF(ISNUMBER(('Input 2 - Data'!I13/'Input 2 - Data'!H13-1)*100),('Input 2 - Data'!I13/'Input 2 - Data'!H13-1)*100,"")</f>
        <v/>
      </c>
      <c r="AU10" s="682" t="str">
        <f>IF(ISNUMBER(('Input 2 - Data'!J13/'Input 2 - Data'!I13-1)*100),('Input 2 - Data'!J13/'Input 2 - Data'!I13-1)*100,"")</f>
        <v/>
      </c>
      <c r="AV10" s="682" t="str">
        <f>IF(ISNUMBER(('Input 2 - Data'!K13/'Input 2 - Data'!J13-1)*100),('Input 2 - Data'!K13/'Input 2 - Data'!J13-1)*100,"")</f>
        <v/>
      </c>
      <c r="AW10" s="682" t="str">
        <f>IF(ISNUMBER(('Input 2 - Data'!L13/'Input 2 - Data'!K13-1)*100),('Input 2 - Data'!L13/'Input 2 - Data'!K13-1)*100,"")</f>
        <v/>
      </c>
      <c r="AX10" s="682" t="str">
        <f>IF(ISNUMBER(('Input 2 - Data'!M13/'Input 2 - Data'!L13-1)*100),('Input 2 - Data'!M13/'Input 2 - Data'!L13-1)*100,"")</f>
        <v/>
      </c>
      <c r="AY10" s="682" t="str">
        <f>IF(ISNUMBER(('Input 2 - Data'!N13/'Input 2 - Data'!M13-1)*100),('Input 2 - Data'!N13/'Input 2 - Data'!M13-1)*100,"")</f>
        <v/>
      </c>
      <c r="AZ10" s="682" t="str">
        <f>IF(ISNUMBER(('Input 2 - Data'!O13/'Input 2 - Data'!N13-1)*100),('Input 2 - Data'!O13/'Input 2 - Data'!N13-1)*100,"")</f>
        <v/>
      </c>
      <c r="BA10" s="683" t="str">
        <f>IF(ISNUMBER(('Input 2 - Data'!P13/'Input 2 - Data'!O13-1)*100),('Input 2 - Data'!P13/'Input 2 - Data'!O13-1)*100,"")</f>
        <v/>
      </c>
      <c r="BB10" s="285" t="str">
        <f>IF(ISNUMBER(('Input 2 - Data'!Q13/'Input 2 - Data'!P13-1)*100),('Input 2 - Data'!Q13/'Input 2 - Data'!P13-1)*100,"")</f>
        <v/>
      </c>
      <c r="BC10" s="285" t="str">
        <f>IF(ISNUMBER(('Input 2 - Data'!R13/'Input 2 - Data'!Q13-1)*100),('Input 2 - Data'!R13/'Input 2 - Data'!Q13-1)*100,"")</f>
        <v/>
      </c>
      <c r="BD10" s="285" t="str">
        <f>IF(ISNUMBER(('Input 2 - Data'!S13/'Input 2 - Data'!R13-1)*100),('Input 2 - Data'!S13/'Input 2 - Data'!R13-1)*100,"")</f>
        <v/>
      </c>
      <c r="BE10" s="285" t="str">
        <f>IF(ISNUMBER(('Input 2 - Data'!T13/'Input 2 - Data'!S13-1)*100),('Input 2 - Data'!T13/'Input 2 - Data'!S13-1)*100,"")</f>
        <v/>
      </c>
      <c r="BF10" s="285" t="str">
        <f>IF(ISNUMBER(('Input 2 - Data'!U13/'Input 2 - Data'!T13-1)*100),('Input 2 - Data'!U13/'Input 2 - Data'!T13-1)*100,"")</f>
        <v/>
      </c>
      <c r="BG10" s="285" t="str">
        <f>IF(ISNUMBER(('Input 2 - Data'!V13/'Input 2 - Data'!U13-1)*100),('Input 2 - Data'!V13/'Input 2 - Data'!U13-1)*100,"")</f>
        <v/>
      </c>
      <c r="BH10" s="10"/>
      <c r="BI10" s="10"/>
      <c r="BJ10" s="10"/>
      <c r="BK10" s="10"/>
      <c r="BL10" s="10"/>
      <c r="BM10" s="10"/>
      <c r="BN10" s="10"/>
      <c r="BO10" s="10"/>
      <c r="BP10" s="10"/>
      <c r="BQ10" s="10"/>
      <c r="BR10" s="10"/>
      <c r="BS10" s="10"/>
      <c r="BT10" s="10"/>
      <c r="BU10" s="10"/>
    </row>
    <row r="11" spans="1:73" ht="15.75" thickBot="1"/>
    <row r="12" spans="1:73" ht="15.75" customHeight="1" thickBot="1">
      <c r="A12" s="698"/>
      <c r="B12" s="698"/>
      <c r="C12" s="1932" t="s">
        <v>488</v>
      </c>
      <c r="D12" s="1933"/>
      <c r="E12" s="1933"/>
      <c r="F12" s="1933"/>
      <c r="G12" s="1933"/>
      <c r="H12" s="1933"/>
      <c r="I12" s="1934"/>
      <c r="K12" s="1932" t="s">
        <v>1065</v>
      </c>
      <c r="L12" s="1933"/>
      <c r="M12" s="1933"/>
      <c r="N12" s="1933"/>
      <c r="O12" s="1934"/>
      <c r="Q12" s="1932" t="s">
        <v>1067</v>
      </c>
      <c r="R12" s="1933"/>
      <c r="S12" s="1933"/>
      <c r="T12" s="1933"/>
      <c r="U12" s="1934"/>
    </row>
    <row r="13" spans="1:73" ht="15.75" customHeight="1" thickBot="1">
      <c r="A13" s="698"/>
      <c r="B13" s="698"/>
      <c r="C13" s="273"/>
      <c r="D13" s="273"/>
      <c r="E13" s="273"/>
      <c r="F13" s="273"/>
      <c r="G13" s="273"/>
      <c r="H13" s="273"/>
      <c r="I13" s="273"/>
      <c r="K13" s="273"/>
      <c r="L13" s="273"/>
      <c r="M13" s="273"/>
      <c r="N13" s="273"/>
      <c r="O13" s="273"/>
      <c r="Q13" s="273"/>
      <c r="R13" s="273"/>
      <c r="S13" s="273"/>
      <c r="T13" s="273"/>
      <c r="U13" s="273"/>
    </row>
    <row r="14" spans="1:73" ht="15" customHeight="1">
      <c r="A14" s="698"/>
      <c r="B14" s="698"/>
      <c r="C14" s="667" t="s">
        <v>474</v>
      </c>
      <c r="D14" s="671"/>
      <c r="E14" s="671"/>
      <c r="F14" s="671"/>
      <c r="G14" s="671"/>
      <c r="H14" s="671"/>
      <c r="I14" s="668"/>
      <c r="K14" s="667" t="s">
        <v>1066</v>
      </c>
      <c r="L14" s="671"/>
      <c r="M14" s="671"/>
      <c r="N14" s="671"/>
      <c r="O14" s="668"/>
      <c r="Q14" s="667" t="s">
        <v>480</v>
      </c>
      <c r="R14" s="671"/>
      <c r="S14" s="671"/>
      <c r="T14" s="671"/>
      <c r="U14" s="668"/>
    </row>
    <row r="15" spans="1:73" ht="15" customHeight="1">
      <c r="A15" s="698"/>
      <c r="B15" s="698"/>
      <c r="C15" s="669" t="s">
        <v>476</v>
      </c>
      <c r="D15" s="970">
        <f>AVERAGE('Fan Chart'!$C7:$BA7)</f>
        <v>1.1332338417690548</v>
      </c>
      <c r="E15" s="282"/>
      <c r="F15" s="282"/>
      <c r="G15" s="282"/>
      <c r="H15" s="282"/>
      <c r="I15" s="672"/>
      <c r="K15" s="669" t="s">
        <v>476</v>
      </c>
      <c r="L15" s="276">
        <f>AVERAGE(B$69:B$6068)</f>
        <v>1.6110966646368349E-2</v>
      </c>
      <c r="M15" s="282"/>
      <c r="N15" s="282"/>
      <c r="O15" s="672"/>
      <c r="Q15" s="669" t="s">
        <v>476</v>
      </c>
      <c r="R15" s="276">
        <f>L15-D15</f>
        <v>-1.1171228751226865</v>
      </c>
      <c r="S15" s="282"/>
      <c r="T15" s="282"/>
      <c r="U15" s="672"/>
    </row>
    <row r="16" spans="1:73" ht="15" customHeight="1">
      <c r="A16" s="698"/>
      <c r="B16" s="698"/>
      <c r="C16" s="669" t="s">
        <v>477</v>
      </c>
      <c r="D16" s="970">
        <f>AVERAGE('Fan Chart'!$C8:$BA8)</f>
        <v>1.2071712109718684</v>
      </c>
      <c r="E16" s="282"/>
      <c r="F16" s="282"/>
      <c r="G16" s="282"/>
      <c r="H16" s="282"/>
      <c r="I16" s="672"/>
      <c r="K16" s="669" t="s">
        <v>477</v>
      </c>
      <c r="L16" s="276">
        <f>AVERAGE(C$69:C$6068)</f>
        <v>2.5289068419533121</v>
      </c>
      <c r="M16" s="282"/>
      <c r="N16" s="282"/>
      <c r="O16" s="672"/>
      <c r="Q16" s="669" t="s">
        <v>477</v>
      </c>
      <c r="R16" s="276">
        <f>L16-D16</f>
        <v>1.3217356309814436</v>
      </c>
      <c r="S16" s="282"/>
      <c r="T16" s="282"/>
      <c r="U16" s="672"/>
    </row>
    <row r="17" spans="1:71" ht="15" customHeight="1">
      <c r="A17" s="698"/>
      <c r="B17" s="698"/>
      <c r="C17" s="669" t="s">
        <v>478</v>
      </c>
      <c r="D17" s="970">
        <f>AVERAGE('Fan Chart'!$C9:$BA9)</f>
        <v>-3.2783636902709259</v>
      </c>
      <c r="E17" s="282"/>
      <c r="F17" s="282"/>
      <c r="G17" s="282"/>
      <c r="H17" s="282"/>
      <c r="I17" s="672"/>
      <c r="K17" s="669" t="s">
        <v>478</v>
      </c>
      <c r="L17" s="276">
        <f>AVERAGE(D$69:D$6068)</f>
        <v>1.1944620623090321</v>
      </c>
      <c r="M17" s="282"/>
      <c r="N17" s="282"/>
      <c r="O17" s="672"/>
      <c r="Q17" s="669" t="s">
        <v>478</v>
      </c>
      <c r="R17" s="276">
        <f>L17-D17</f>
        <v>4.4728257525799577</v>
      </c>
      <c r="S17" s="282"/>
      <c r="T17" s="282"/>
      <c r="U17" s="672"/>
    </row>
    <row r="18" spans="1:71" ht="15.75" customHeight="1" thickBot="1">
      <c r="A18" s="698"/>
      <c r="B18" s="698"/>
      <c r="C18" s="670" t="s">
        <v>479</v>
      </c>
      <c r="D18" s="971" t="e">
        <f>AVERAGE('Fan Chart'!$C10:$BA10)</f>
        <v>#DIV/0!</v>
      </c>
      <c r="E18" s="277"/>
      <c r="F18" s="277"/>
      <c r="G18" s="277"/>
      <c r="H18" s="277"/>
      <c r="I18" s="674"/>
      <c r="K18" s="670" t="s">
        <v>479</v>
      </c>
      <c r="L18" s="688">
        <f>AVERAGE(E$69:E$6068)</f>
        <v>-3.1774835714638301</v>
      </c>
      <c r="M18" s="277"/>
      <c r="N18" s="277"/>
      <c r="O18" s="674"/>
      <c r="Q18" s="670" t="s">
        <v>479</v>
      </c>
      <c r="R18" s="688" t="e">
        <f>L18-D18</f>
        <v>#DIV/0!</v>
      </c>
      <c r="S18" s="277"/>
      <c r="T18" s="277"/>
      <c r="U18" s="674"/>
    </row>
    <row r="19" spans="1:71" ht="15.75" customHeight="1" thickBot="1">
      <c r="A19" s="697"/>
      <c r="B19" s="697"/>
    </row>
    <row r="20" spans="1:71" ht="15" customHeight="1">
      <c r="C20" s="667" t="s">
        <v>475</v>
      </c>
      <c r="D20" s="671"/>
      <c r="E20" s="671"/>
      <c r="F20" s="671"/>
      <c r="G20" s="671"/>
      <c r="H20" s="671"/>
      <c r="I20" s="668"/>
      <c r="K20" s="667" t="s">
        <v>475</v>
      </c>
      <c r="L20" s="671"/>
      <c r="M20" s="671"/>
      <c r="N20" s="671"/>
      <c r="O20" s="668"/>
      <c r="Q20" s="667" t="s">
        <v>475</v>
      </c>
      <c r="R20" s="671"/>
      <c r="S20" s="671"/>
      <c r="T20" s="671"/>
      <c r="U20" s="668"/>
    </row>
    <row r="21" spans="1:71" ht="15" customHeight="1">
      <c r="C21" s="669"/>
      <c r="D21" s="282"/>
      <c r="E21" s="282" t="s">
        <v>476</v>
      </c>
      <c r="F21" s="282" t="s">
        <v>477</v>
      </c>
      <c r="G21" s="282" t="s">
        <v>478</v>
      </c>
      <c r="H21" s="282" t="s">
        <v>479</v>
      </c>
      <c r="I21" s="672" t="s">
        <v>486</v>
      </c>
      <c r="K21" s="669"/>
      <c r="L21" s="282" t="s">
        <v>476</v>
      </c>
      <c r="M21" s="282" t="s">
        <v>477</v>
      </c>
      <c r="N21" s="282" t="s">
        <v>478</v>
      </c>
      <c r="O21" s="672" t="s">
        <v>479</v>
      </c>
      <c r="Q21" s="669"/>
      <c r="R21" s="282"/>
      <c r="S21" s="282"/>
      <c r="T21" s="282"/>
      <c r="U21" s="672"/>
    </row>
    <row r="22" spans="1:71" ht="15" customHeight="1">
      <c r="C22" s="669"/>
      <c r="D22" s="282" t="s">
        <v>476</v>
      </c>
      <c r="E22" s="526">
        <f>VAR('Fan Chart'!$C$7:$BA$7)</f>
        <v>42.1925338104164</v>
      </c>
      <c r="F22" s="526">
        <f>E23</f>
        <v>-39.414700082842153</v>
      </c>
      <c r="G22" s="526">
        <f>E24</f>
        <v>17.390730348162769</v>
      </c>
      <c r="H22" s="526" t="e">
        <f>E25</f>
        <v>#DIV/0!</v>
      </c>
      <c r="I22" s="1596">
        <f>COUNT(C7:BA7)</f>
        <v>11</v>
      </c>
      <c r="K22" s="669" t="s">
        <v>476</v>
      </c>
      <c r="L22" s="276">
        <f>VAR(B$69:B$6068)</f>
        <v>5.1939331778256443</v>
      </c>
      <c r="M22" s="276">
        <f>L23</f>
        <v>0.3868505242218061</v>
      </c>
      <c r="N22" s="276">
        <f>L24</f>
        <v>0.80473677486652972</v>
      </c>
      <c r="O22" s="686">
        <f>L25</f>
        <v>2.2887434566458434E-2</v>
      </c>
      <c r="Q22" s="669" t="s">
        <v>476</v>
      </c>
      <c r="R22" s="276">
        <f t="shared" ref="R22:U25" si="1">L22-E22</f>
        <v>-36.998600632590758</v>
      </c>
      <c r="S22" s="276">
        <f t="shared" si="1"/>
        <v>39.801550607063959</v>
      </c>
      <c r="T22" s="276">
        <f t="shared" si="1"/>
        <v>-16.585993573296239</v>
      </c>
      <c r="U22" s="686" t="e">
        <f t="shared" si="1"/>
        <v>#DIV/0!</v>
      </c>
    </row>
    <row r="23" spans="1:71" ht="15" customHeight="1">
      <c r="C23" s="669"/>
      <c r="D23" s="282" t="s">
        <v>477</v>
      </c>
      <c r="E23" s="526">
        <f>COVAR('Fan Chart'!$C$7:$BA$7,'Fan Chart'!$C8:$BA8)*(MIN($I$22,$I$23))/(MIN($I$22,$I$23)-1)</f>
        <v>-39.414700082842153</v>
      </c>
      <c r="F23" s="526">
        <f>VAR('Fan Chart'!$C$8:$BA$8)</f>
        <v>53.370575591457587</v>
      </c>
      <c r="G23" s="526">
        <f>F24</f>
        <v>-15.21022246500068</v>
      </c>
      <c r="H23" s="526" t="e">
        <f>F25</f>
        <v>#DIV/0!</v>
      </c>
      <c r="I23" s="1596">
        <f>COUNT(C8:BA8)</f>
        <v>11</v>
      </c>
      <c r="K23" s="669" t="s">
        <v>477</v>
      </c>
      <c r="L23" s="276">
        <f>(6000/5999)*COVAR($B$69:$B$6068,$C$69:$C$6068)</f>
        <v>0.3868505242218061</v>
      </c>
      <c r="M23" s="276">
        <f>VAR(C$69:C$6068)</f>
        <v>0.21503152863129019</v>
      </c>
      <c r="N23" s="276">
        <f>M24</f>
        <v>-8.2329004616425228E-2</v>
      </c>
      <c r="O23" s="686">
        <f>M25</f>
        <v>3.2258033124872911</v>
      </c>
      <c r="Q23" s="669" t="s">
        <v>477</v>
      </c>
      <c r="R23" s="276">
        <f t="shared" si="1"/>
        <v>39.801550607063959</v>
      </c>
      <c r="S23" s="276">
        <f t="shared" si="1"/>
        <v>-53.155544062826294</v>
      </c>
      <c r="T23" s="276">
        <f t="shared" si="1"/>
        <v>15.127893460384254</v>
      </c>
      <c r="U23" s="686" t="e">
        <f t="shared" si="1"/>
        <v>#DIV/0!</v>
      </c>
    </row>
    <row r="24" spans="1:71" ht="15" customHeight="1">
      <c r="C24" s="669"/>
      <c r="D24" s="282" t="s">
        <v>478</v>
      </c>
      <c r="E24" s="526">
        <f>COVAR('Fan Chart'!$C$7:$BA$7,'Fan Chart'!$C9:$BA9)*(MIN($I$22,$I$24))/(MIN($I$22,$I$24)-1)</f>
        <v>17.390730348162769</v>
      </c>
      <c r="F24" s="526">
        <f>COVAR('Fan Chart'!$C$8:$BA$8,'Fan Chart'!$C9:$BA9)*(MIN($I$24,$I$23))/(MIN($I$24,$I$23)-1)</f>
        <v>-15.21022246500068</v>
      </c>
      <c r="G24" s="526">
        <f>VAR('Fan Chart'!$C$9:$BA$9)</f>
        <v>11.373702395904424</v>
      </c>
      <c r="H24" s="526" t="e">
        <f>G25</f>
        <v>#DIV/0!</v>
      </c>
      <c r="I24" s="1596">
        <f>COUNT(C9:BA9)</f>
        <v>11</v>
      </c>
      <c r="K24" s="669" t="s">
        <v>478</v>
      </c>
      <c r="L24" s="276">
        <f>(6000/5999)*COVAR($B$69:$B$6068,$D$69:$D$6068)</f>
        <v>0.80473677486652972</v>
      </c>
      <c r="M24" s="276">
        <f>(6000/5999)*COVAR($C$69:$C$6068,$D$69:$D$6068)</f>
        <v>-8.2329004616425228E-2</v>
      </c>
      <c r="N24" s="276">
        <f>VAR(D$69:D$6068)</f>
        <v>1.5117616813741575</v>
      </c>
      <c r="O24" s="686">
        <f>N25</f>
        <v>-3.5686136317671582</v>
      </c>
      <c r="Q24" s="669" t="s">
        <v>478</v>
      </c>
      <c r="R24" s="276">
        <f t="shared" si="1"/>
        <v>-16.585993573296239</v>
      </c>
      <c r="S24" s="276">
        <f t="shared" si="1"/>
        <v>15.127893460384254</v>
      </c>
      <c r="T24" s="276">
        <f t="shared" si="1"/>
        <v>-9.8619407145302667</v>
      </c>
      <c r="U24" s="686" t="e">
        <f t="shared" si="1"/>
        <v>#DIV/0!</v>
      </c>
    </row>
    <row r="25" spans="1:71" ht="15.75" customHeight="1" thickBot="1">
      <c r="C25" s="670"/>
      <c r="D25" s="277" t="s">
        <v>479</v>
      </c>
      <c r="E25" s="972" t="e">
        <f>COVAR('Fan Chart'!$C$7:$BA$7,'Fan Chart'!$C10:$BA10)*(MIN($I$22,$I$25))/(MIN($I$22,$I$25)-1)</f>
        <v>#DIV/0!</v>
      </c>
      <c r="F25" s="972" t="e">
        <f>COVAR('Fan Chart'!$C$8:$BA$8,'Fan Chart'!$C10:$BA10)*(MIN($I$23,$I$25))/(MIN($I$23,$I$25)-1)</f>
        <v>#DIV/0!</v>
      </c>
      <c r="G25" s="972" t="e">
        <f>COVAR('Fan Chart'!$C$9:$BA$9,'Fan Chart'!$C10:$BA10)*(MIN($I$24,$I$25))/(MIN($I$24,$I$25)-1)</f>
        <v>#DIV/0!</v>
      </c>
      <c r="H25" s="972" t="e">
        <f>VAR('Fan Chart'!$C$10:$BA$10)</f>
        <v>#DIV/0!</v>
      </c>
      <c r="I25" s="1597">
        <f>COUNT(C10:BA10)</f>
        <v>0</v>
      </c>
      <c r="K25" s="670" t="s">
        <v>479</v>
      </c>
      <c r="L25" s="688">
        <f>(6000/5999)*COVAR($B$69:$B$6068,$E$69:$E$6068)</f>
        <v>2.2887434566458434E-2</v>
      </c>
      <c r="M25" s="688">
        <f>(6000/5999)*COVAR($C$69:$C$6068,$E$69:$E$6068)</f>
        <v>3.2258033124872911</v>
      </c>
      <c r="N25" s="688">
        <f>(6000/5999)*COVAR($D$69:$D$6068,$E$69:$E$6068)</f>
        <v>-3.5686136317671582</v>
      </c>
      <c r="O25" s="689">
        <f>VAR(E$69:E$6068)</f>
        <v>97.381151585104604</v>
      </c>
      <c r="Q25" s="670" t="s">
        <v>479</v>
      </c>
      <c r="R25" s="688" t="e">
        <f t="shared" si="1"/>
        <v>#DIV/0!</v>
      </c>
      <c r="S25" s="688" t="e">
        <f t="shared" si="1"/>
        <v>#DIV/0!</v>
      </c>
      <c r="T25" s="688" t="e">
        <f t="shared" si="1"/>
        <v>#DIV/0!</v>
      </c>
      <c r="U25" s="689" t="e">
        <f t="shared" si="1"/>
        <v>#DIV/0!</v>
      </c>
    </row>
    <row r="26" spans="1:71" ht="15" customHeight="1" thickBot="1">
      <c r="A26" s="698"/>
      <c r="B26" s="698"/>
    </row>
    <row r="27" spans="1:71" ht="21">
      <c r="A27" s="17"/>
      <c r="B27" s="17"/>
      <c r="M27" s="1225" t="s">
        <v>984</v>
      </c>
      <c r="N27" s="671"/>
      <c r="O27" s="671"/>
      <c r="P27" s="671"/>
      <c r="Q27" s="671"/>
      <c r="R27" s="671"/>
      <c r="S27" s="671"/>
      <c r="T27" s="671"/>
      <c r="U27" s="671"/>
      <c r="V27" s="671"/>
      <c r="W27" s="671"/>
      <c r="X27" s="671"/>
      <c r="Y27" s="671"/>
      <c r="Z27" s="671"/>
      <c r="AA27" s="1226" t="s">
        <v>466</v>
      </c>
      <c r="AB27" s="1227"/>
      <c r="AC27" s="1227"/>
      <c r="AD27" s="1227"/>
      <c r="AE27" s="1227"/>
      <c r="AF27" s="1227"/>
      <c r="AG27" s="1227"/>
      <c r="AH27" s="1227"/>
      <c r="AI27" s="1227"/>
      <c r="AJ27" s="1227"/>
      <c r="AK27" s="1227"/>
      <c r="AL27" s="1228"/>
      <c r="AT27" s="1225" t="s">
        <v>783</v>
      </c>
      <c r="AU27" s="671"/>
      <c r="AV27" s="671"/>
      <c r="AW27" s="671"/>
      <c r="AX27" s="671"/>
      <c r="AY27" s="671"/>
      <c r="AZ27" s="671"/>
      <c r="BA27" s="671"/>
      <c r="BB27" s="671"/>
      <c r="BC27" s="671"/>
      <c r="BD27" s="671"/>
      <c r="BE27" s="671"/>
      <c r="BF27" s="671"/>
      <c r="BG27" s="671"/>
      <c r="BH27" s="1226" t="s">
        <v>466</v>
      </c>
      <c r="BI27" s="1227"/>
      <c r="BJ27" s="1227"/>
      <c r="BK27" s="1227"/>
      <c r="BL27" s="1227"/>
      <c r="BM27" s="1227"/>
      <c r="BN27" s="1227"/>
      <c r="BO27" s="1227"/>
      <c r="BP27" s="1227"/>
      <c r="BQ27" s="1227"/>
      <c r="BR27" s="1227"/>
      <c r="BS27" s="1228"/>
    </row>
    <row r="28" spans="1:71" ht="21.2" customHeight="1">
      <c r="A28" s="698"/>
      <c r="B28" s="698"/>
      <c r="M28" s="669"/>
      <c r="N28" s="282"/>
      <c r="O28" s="282"/>
      <c r="P28" s="282"/>
      <c r="Q28" s="282"/>
      <c r="R28" s="282"/>
      <c r="S28" s="282"/>
      <c r="T28" s="282"/>
      <c r="U28" s="282"/>
      <c r="V28" s="282"/>
      <c r="W28" s="282"/>
      <c r="X28" s="282"/>
      <c r="Y28" s="282"/>
      <c r="Z28" s="282"/>
      <c r="AA28" s="1238" t="s">
        <v>468</v>
      </c>
      <c r="AB28" s="1238">
        <f>AC28-1</f>
        <v>2013</v>
      </c>
      <c r="AC28" s="1238">
        <f>AD28-1</f>
        <v>2014</v>
      </c>
      <c r="AD28" s="1238">
        <f>AE28-1</f>
        <v>2015</v>
      </c>
      <c r="AE28" s="1238">
        <f>AF28-1</f>
        <v>2016</v>
      </c>
      <c r="AF28" s="1238">
        <f>AG28-1</f>
        <v>2017</v>
      </c>
      <c r="AG28" s="1238">
        <f>FirstYear</f>
        <v>2018</v>
      </c>
      <c r="AH28" s="1238">
        <f>AG28+1</f>
        <v>2019</v>
      </c>
      <c r="AI28" s="1238">
        <f>AH28+1</f>
        <v>2020</v>
      </c>
      <c r="AJ28" s="1238">
        <f>AI28+1</f>
        <v>2021</v>
      </c>
      <c r="AK28" s="1238">
        <f>AJ28+1</f>
        <v>2022</v>
      </c>
      <c r="AL28" s="1239">
        <f>AK28+1</f>
        <v>2023</v>
      </c>
      <c r="AT28" s="669"/>
      <c r="AU28" s="282"/>
      <c r="AV28" s="282"/>
      <c r="AW28" s="282"/>
      <c r="AX28" s="282"/>
      <c r="AY28" s="282"/>
      <c r="AZ28" s="282"/>
      <c r="BA28" s="282"/>
      <c r="BB28" s="282"/>
      <c r="BC28" s="282"/>
      <c r="BD28" s="282"/>
      <c r="BE28" s="282"/>
      <c r="BF28" s="282"/>
      <c r="BG28" s="282"/>
      <c r="BH28" s="1238" t="s">
        <v>468</v>
      </c>
      <c r="BI28" s="1238">
        <f>BJ28-1</f>
        <v>2013</v>
      </c>
      <c r="BJ28" s="1238">
        <f>BK28-1</f>
        <v>2014</v>
      </c>
      <c r="BK28" s="1238">
        <f>BL28-1</f>
        <v>2015</v>
      </c>
      <c r="BL28" s="1238">
        <f>BM28-1</f>
        <v>2016</v>
      </c>
      <c r="BM28" s="1238">
        <f>BN28-1</f>
        <v>2017</v>
      </c>
      <c r="BN28" s="1238">
        <f>FirstYear</f>
        <v>2018</v>
      </c>
      <c r="BO28" s="1238">
        <f>BN28+1</f>
        <v>2019</v>
      </c>
      <c r="BP28" s="1238">
        <f>BO28+1</f>
        <v>2020</v>
      </c>
      <c r="BQ28" s="1238">
        <f>BP28+1</f>
        <v>2021</v>
      </c>
      <c r="BR28" s="1238">
        <f>BQ28+1</f>
        <v>2022</v>
      </c>
      <c r="BS28" s="1239">
        <f>BR28+1</f>
        <v>2023</v>
      </c>
    </row>
    <row r="29" spans="1:71" ht="21.2" customHeight="1">
      <c r="A29" s="698"/>
      <c r="B29" s="698"/>
      <c r="M29" s="669"/>
      <c r="N29" s="282"/>
      <c r="O29" s="282"/>
      <c r="P29" s="282"/>
      <c r="Q29" s="282"/>
      <c r="R29" s="282"/>
      <c r="S29" s="282"/>
      <c r="T29" s="282"/>
      <c r="U29" s="282"/>
      <c r="V29" s="282"/>
      <c r="W29" s="282"/>
      <c r="X29" s="282"/>
      <c r="Y29" s="282"/>
      <c r="Z29" s="282"/>
      <c r="AA29" s="526">
        <v>0</v>
      </c>
      <c r="AB29" s="179">
        <f t="shared" ref="AB29:AB37" si="2">O$53/100</f>
        <v>0.3902610166998236</v>
      </c>
      <c r="AC29" s="179">
        <f t="shared" ref="AC29:AC37" si="3">P$53/100</f>
        <v>0.40900987938816408</v>
      </c>
      <c r="AD29" s="179">
        <f t="shared" ref="AD29:AD37" si="4">Q$53/100</f>
        <v>0.36589911384404256</v>
      </c>
      <c r="AE29" s="179">
        <f t="shared" ref="AE29:AE37" si="5">R$53/100</f>
        <v>0.40167456396322948</v>
      </c>
      <c r="AF29" s="1247">
        <f t="shared" ref="AF29:AF37" si="6">S$53/100</f>
        <v>0.39842702208732894</v>
      </c>
      <c r="AG29" s="179" t="e">
        <f>PERCENTILE(AG$69:AG$1068,$AA29)/100</f>
        <v>#VALUE!</v>
      </c>
      <c r="AH29" s="179" t="e">
        <f t="shared" ref="AG29:AL37" si="7">PERCENTILE(AH$69:AH$1068,$AA29)/100</f>
        <v>#VALUE!</v>
      </c>
      <c r="AI29" s="179" t="e">
        <f t="shared" si="7"/>
        <v>#VALUE!</v>
      </c>
      <c r="AJ29" s="179" t="e">
        <f t="shared" si="7"/>
        <v>#VALUE!</v>
      </c>
      <c r="AK29" s="179" t="e">
        <f t="shared" si="7"/>
        <v>#VALUE!</v>
      </c>
      <c r="AL29" s="180" t="e">
        <f t="shared" si="7"/>
        <v>#VALUE!</v>
      </c>
      <c r="AT29" s="669"/>
      <c r="AU29" s="282"/>
      <c r="AV29" s="282"/>
      <c r="AW29" s="282"/>
      <c r="AX29" s="282"/>
      <c r="AY29" s="282"/>
      <c r="AZ29" s="282"/>
      <c r="BA29" s="282"/>
      <c r="BB29" s="282"/>
      <c r="BC29" s="282"/>
      <c r="BD29" s="282"/>
      <c r="BE29" s="282"/>
      <c r="BF29" s="282"/>
      <c r="BG29" s="282"/>
      <c r="BH29" s="526">
        <v>0</v>
      </c>
      <c r="BI29" s="179">
        <f>O$53/100</f>
        <v>0.3902610166998236</v>
      </c>
      <c r="BJ29" s="179">
        <f t="shared" ref="BJ29:BJ37" si="8">P$53/100</f>
        <v>0.40900987938816408</v>
      </c>
      <c r="BK29" s="179">
        <f t="shared" ref="BK29:BK37" si="9">Q$53/100</f>
        <v>0.36589911384404256</v>
      </c>
      <c r="BL29" s="179">
        <f t="shared" ref="BL29:BL37" si="10">R$53/100</f>
        <v>0.40167456396322948</v>
      </c>
      <c r="BM29" s="1247">
        <f t="shared" ref="BM29:BM37" si="11">S$53/100</f>
        <v>0.39842702208732894</v>
      </c>
      <c r="BN29" s="179" t="e">
        <f t="shared" ref="BN29:BS29" si="12">PERCENTILE(BN$69:BN$1068,$BH29)/100</f>
        <v>#VALUE!</v>
      </c>
      <c r="BO29" s="179" t="e">
        <f t="shared" si="12"/>
        <v>#VALUE!</v>
      </c>
      <c r="BP29" s="179" t="e">
        <f t="shared" si="12"/>
        <v>#VALUE!</v>
      </c>
      <c r="BQ29" s="179" t="e">
        <f t="shared" si="12"/>
        <v>#VALUE!</v>
      </c>
      <c r="BR29" s="179" t="e">
        <f t="shared" si="12"/>
        <v>#VALUE!</v>
      </c>
      <c r="BS29" s="180" t="e">
        <f t="shared" si="12"/>
        <v>#VALUE!</v>
      </c>
    </row>
    <row r="30" spans="1:71" ht="21.2" customHeight="1">
      <c r="A30" s="698"/>
      <c r="B30" s="698"/>
      <c r="M30" s="669"/>
      <c r="N30" s="282"/>
      <c r="O30" s="282"/>
      <c r="P30" s="282"/>
      <c r="Q30" s="282"/>
      <c r="R30" s="282"/>
      <c r="S30" s="282"/>
      <c r="T30" s="282"/>
      <c r="U30" s="282"/>
      <c r="V30" s="282"/>
      <c r="W30" s="282"/>
      <c r="X30" s="282"/>
      <c r="Y30" s="282"/>
      <c r="Z30" s="282"/>
      <c r="AA30" s="526">
        <v>0.05</v>
      </c>
      <c r="AB30" s="179">
        <f t="shared" si="2"/>
        <v>0.3902610166998236</v>
      </c>
      <c r="AC30" s="179">
        <f t="shared" si="3"/>
        <v>0.40900987938816408</v>
      </c>
      <c r="AD30" s="179">
        <f t="shared" si="4"/>
        <v>0.36589911384404256</v>
      </c>
      <c r="AE30" s="179">
        <f t="shared" si="5"/>
        <v>0.40167456396322948</v>
      </c>
      <c r="AF30" s="1248">
        <f t="shared" si="6"/>
        <v>0.39842702208732894</v>
      </c>
      <c r="AG30" s="179" t="e">
        <f>PERCENTILE(AG$69:AG$1068,$AA30)/100</f>
        <v>#VALUE!</v>
      </c>
      <c r="AH30" s="179" t="e">
        <f t="shared" si="7"/>
        <v>#VALUE!</v>
      </c>
      <c r="AI30" s="179" t="e">
        <f t="shared" si="7"/>
        <v>#VALUE!</v>
      </c>
      <c r="AJ30" s="179" t="e">
        <f t="shared" si="7"/>
        <v>#VALUE!</v>
      </c>
      <c r="AK30" s="179" t="e">
        <f t="shared" si="7"/>
        <v>#VALUE!</v>
      </c>
      <c r="AL30" s="180" t="e">
        <f t="shared" si="7"/>
        <v>#VALUE!</v>
      </c>
      <c r="AT30" s="669"/>
      <c r="AU30" s="282"/>
      <c r="AV30" s="282"/>
      <c r="AW30" s="282"/>
      <c r="AX30" s="282"/>
      <c r="AY30" s="282"/>
      <c r="AZ30" s="282"/>
      <c r="BA30" s="282"/>
      <c r="BB30" s="282"/>
      <c r="BC30" s="282"/>
      <c r="BD30" s="282"/>
      <c r="BE30" s="282"/>
      <c r="BF30" s="282"/>
      <c r="BG30" s="282"/>
      <c r="BH30" s="526">
        <v>0.05</v>
      </c>
      <c r="BI30" s="179">
        <f t="shared" ref="BI30:BI37" si="13">O$53/100</f>
        <v>0.3902610166998236</v>
      </c>
      <c r="BJ30" s="179">
        <f t="shared" si="8"/>
        <v>0.40900987938816408</v>
      </c>
      <c r="BK30" s="179">
        <f t="shared" si="9"/>
        <v>0.36589911384404256</v>
      </c>
      <c r="BL30" s="179">
        <f t="shared" si="10"/>
        <v>0.40167456396322948</v>
      </c>
      <c r="BM30" s="1248">
        <f t="shared" si="11"/>
        <v>0.39842702208732894</v>
      </c>
      <c r="BN30" s="179" t="e">
        <f t="shared" ref="BN30:BS37" si="14">PERCENTILE(BN$69:BN$1068,$BH30)/100</f>
        <v>#VALUE!</v>
      </c>
      <c r="BO30" s="179" t="e">
        <f t="shared" si="14"/>
        <v>#VALUE!</v>
      </c>
      <c r="BP30" s="179" t="e">
        <f t="shared" si="14"/>
        <v>#VALUE!</v>
      </c>
      <c r="BQ30" s="179" t="e">
        <f t="shared" si="14"/>
        <v>#VALUE!</v>
      </c>
      <c r="BR30" s="179" t="e">
        <f t="shared" si="14"/>
        <v>#VALUE!</v>
      </c>
      <c r="BS30" s="180" t="e">
        <f t="shared" si="14"/>
        <v>#VALUE!</v>
      </c>
    </row>
    <row r="31" spans="1:71">
      <c r="M31" s="669"/>
      <c r="N31" s="282"/>
      <c r="O31" s="282"/>
      <c r="P31" s="282"/>
      <c r="Q31" s="282"/>
      <c r="R31" s="282"/>
      <c r="S31" s="282"/>
      <c r="T31" s="282"/>
      <c r="U31" s="282"/>
      <c r="V31" s="282"/>
      <c r="W31" s="282"/>
      <c r="X31" s="282"/>
      <c r="Y31" s="282"/>
      <c r="Z31" s="282"/>
      <c r="AA31" s="526">
        <v>0.1</v>
      </c>
      <c r="AB31" s="179">
        <f t="shared" si="2"/>
        <v>0.3902610166998236</v>
      </c>
      <c r="AC31" s="179">
        <f t="shared" si="3"/>
        <v>0.40900987938816408</v>
      </c>
      <c r="AD31" s="179">
        <f t="shared" si="4"/>
        <v>0.36589911384404256</v>
      </c>
      <c r="AE31" s="179">
        <f t="shared" si="5"/>
        <v>0.40167456396322948</v>
      </c>
      <c r="AF31" s="1248">
        <f t="shared" si="6"/>
        <v>0.39842702208732894</v>
      </c>
      <c r="AG31" s="179" t="e">
        <f t="shared" si="7"/>
        <v>#VALUE!</v>
      </c>
      <c r="AH31" s="179" t="e">
        <f t="shared" si="7"/>
        <v>#VALUE!</v>
      </c>
      <c r="AI31" s="179" t="e">
        <f t="shared" si="7"/>
        <v>#VALUE!</v>
      </c>
      <c r="AJ31" s="179" t="e">
        <f t="shared" si="7"/>
        <v>#VALUE!</v>
      </c>
      <c r="AK31" s="179" t="e">
        <f t="shared" si="7"/>
        <v>#VALUE!</v>
      </c>
      <c r="AL31" s="180" t="e">
        <f t="shared" si="7"/>
        <v>#VALUE!</v>
      </c>
      <c r="AT31" s="669"/>
      <c r="AU31" s="282"/>
      <c r="AV31" s="282"/>
      <c r="AW31" s="282"/>
      <c r="AX31" s="282"/>
      <c r="AY31" s="282"/>
      <c r="AZ31" s="282"/>
      <c r="BA31" s="282"/>
      <c r="BB31" s="282"/>
      <c r="BC31" s="282"/>
      <c r="BD31" s="282"/>
      <c r="BE31" s="282"/>
      <c r="BF31" s="282"/>
      <c r="BG31" s="282"/>
      <c r="BH31" s="526">
        <v>0.1</v>
      </c>
      <c r="BI31" s="179">
        <f t="shared" si="13"/>
        <v>0.3902610166998236</v>
      </c>
      <c r="BJ31" s="179">
        <f t="shared" si="8"/>
        <v>0.40900987938816408</v>
      </c>
      <c r="BK31" s="179">
        <f t="shared" si="9"/>
        <v>0.36589911384404256</v>
      </c>
      <c r="BL31" s="179">
        <f t="shared" si="10"/>
        <v>0.40167456396322948</v>
      </c>
      <c r="BM31" s="1248">
        <f t="shared" si="11"/>
        <v>0.39842702208732894</v>
      </c>
      <c r="BN31" s="179" t="e">
        <f t="shared" si="14"/>
        <v>#VALUE!</v>
      </c>
      <c r="BO31" s="179" t="e">
        <f t="shared" si="14"/>
        <v>#VALUE!</v>
      </c>
      <c r="BP31" s="179" t="e">
        <f t="shared" si="14"/>
        <v>#VALUE!</v>
      </c>
      <c r="BQ31" s="179" t="e">
        <f t="shared" si="14"/>
        <v>#VALUE!</v>
      </c>
      <c r="BR31" s="179" t="e">
        <f t="shared" si="14"/>
        <v>#VALUE!</v>
      </c>
      <c r="BS31" s="180" t="e">
        <f t="shared" si="14"/>
        <v>#VALUE!</v>
      </c>
    </row>
    <row r="32" spans="1:71">
      <c r="M32" s="669"/>
      <c r="N32" s="282"/>
      <c r="O32" s="282"/>
      <c r="P32" s="282"/>
      <c r="Q32" s="282"/>
      <c r="R32" s="282"/>
      <c r="S32" s="282"/>
      <c r="T32" s="282"/>
      <c r="U32" s="282"/>
      <c r="V32" s="282"/>
      <c r="W32" s="282"/>
      <c r="X32" s="282"/>
      <c r="Y32" s="282"/>
      <c r="Z32" s="282"/>
      <c r="AA32" s="526">
        <v>0.25</v>
      </c>
      <c r="AB32" s="179">
        <f t="shared" si="2"/>
        <v>0.3902610166998236</v>
      </c>
      <c r="AC32" s="179">
        <f t="shared" si="3"/>
        <v>0.40900987938816408</v>
      </c>
      <c r="AD32" s="179">
        <f t="shared" si="4"/>
        <v>0.36589911384404256</v>
      </c>
      <c r="AE32" s="179">
        <f t="shared" si="5"/>
        <v>0.40167456396322948</v>
      </c>
      <c r="AF32" s="1248">
        <f t="shared" si="6"/>
        <v>0.39842702208732894</v>
      </c>
      <c r="AG32" s="179" t="e">
        <f>PERCENTILE(AG$69:AG$1068,$AA32)/100</f>
        <v>#VALUE!</v>
      </c>
      <c r="AH32" s="179" t="e">
        <f t="shared" si="7"/>
        <v>#VALUE!</v>
      </c>
      <c r="AI32" s="179" t="e">
        <f t="shared" si="7"/>
        <v>#VALUE!</v>
      </c>
      <c r="AJ32" s="179" t="e">
        <f t="shared" si="7"/>
        <v>#VALUE!</v>
      </c>
      <c r="AK32" s="179" t="e">
        <f t="shared" si="7"/>
        <v>#VALUE!</v>
      </c>
      <c r="AL32" s="180" t="e">
        <f t="shared" si="7"/>
        <v>#VALUE!</v>
      </c>
      <c r="AT32" s="669"/>
      <c r="AU32" s="282"/>
      <c r="AV32" s="282"/>
      <c r="AW32" s="282"/>
      <c r="AX32" s="282"/>
      <c r="AY32" s="282"/>
      <c r="AZ32" s="282"/>
      <c r="BA32" s="282"/>
      <c r="BB32" s="282"/>
      <c r="BC32" s="282"/>
      <c r="BD32" s="282"/>
      <c r="BE32" s="282"/>
      <c r="BF32" s="282"/>
      <c r="BG32" s="282"/>
      <c r="BH32" s="526">
        <v>0.25</v>
      </c>
      <c r="BI32" s="179">
        <f t="shared" si="13"/>
        <v>0.3902610166998236</v>
      </c>
      <c r="BJ32" s="179">
        <f t="shared" si="8"/>
        <v>0.40900987938816408</v>
      </c>
      <c r="BK32" s="179">
        <f t="shared" si="9"/>
        <v>0.36589911384404256</v>
      </c>
      <c r="BL32" s="179">
        <f t="shared" si="10"/>
        <v>0.40167456396322948</v>
      </c>
      <c r="BM32" s="1248">
        <f t="shared" si="11"/>
        <v>0.39842702208732894</v>
      </c>
      <c r="BN32" s="179" t="e">
        <f t="shared" si="14"/>
        <v>#VALUE!</v>
      </c>
      <c r="BO32" s="179" t="e">
        <f t="shared" si="14"/>
        <v>#VALUE!</v>
      </c>
      <c r="BP32" s="179" t="e">
        <f t="shared" si="14"/>
        <v>#VALUE!</v>
      </c>
      <c r="BQ32" s="179" t="e">
        <f t="shared" si="14"/>
        <v>#VALUE!</v>
      </c>
      <c r="BR32" s="179" t="e">
        <f t="shared" si="14"/>
        <v>#VALUE!</v>
      </c>
      <c r="BS32" s="180" t="e">
        <f t="shared" si="14"/>
        <v>#VALUE!</v>
      </c>
    </row>
    <row r="33" spans="1:73">
      <c r="M33" s="669"/>
      <c r="N33" s="282"/>
      <c r="O33" s="282"/>
      <c r="P33" s="282"/>
      <c r="Q33" s="282"/>
      <c r="R33" s="282"/>
      <c r="S33" s="282"/>
      <c r="T33" s="282"/>
      <c r="U33" s="282"/>
      <c r="V33" s="282"/>
      <c r="W33" s="282"/>
      <c r="X33" s="282"/>
      <c r="Y33" s="282"/>
      <c r="Z33" s="282"/>
      <c r="AA33" s="526">
        <v>0.5</v>
      </c>
      <c r="AB33" s="179">
        <f t="shared" si="2"/>
        <v>0.3902610166998236</v>
      </c>
      <c r="AC33" s="179">
        <f t="shared" si="3"/>
        <v>0.40900987938816408</v>
      </c>
      <c r="AD33" s="179">
        <f t="shared" si="4"/>
        <v>0.36589911384404256</v>
      </c>
      <c r="AE33" s="179">
        <f t="shared" si="5"/>
        <v>0.40167456396322948</v>
      </c>
      <c r="AF33" s="1248">
        <f t="shared" si="6"/>
        <v>0.39842702208732894</v>
      </c>
      <c r="AG33" s="179" t="e">
        <f t="shared" si="7"/>
        <v>#VALUE!</v>
      </c>
      <c r="AH33" s="179" t="e">
        <f t="shared" si="7"/>
        <v>#VALUE!</v>
      </c>
      <c r="AI33" s="179" t="e">
        <f t="shared" si="7"/>
        <v>#VALUE!</v>
      </c>
      <c r="AJ33" s="179" t="e">
        <f t="shared" si="7"/>
        <v>#VALUE!</v>
      </c>
      <c r="AK33" s="179" t="e">
        <f t="shared" si="7"/>
        <v>#VALUE!</v>
      </c>
      <c r="AL33" s="180" t="e">
        <f t="shared" si="7"/>
        <v>#VALUE!</v>
      </c>
      <c r="AT33" s="669"/>
      <c r="AU33" s="282"/>
      <c r="AV33" s="282"/>
      <c r="AW33" s="282"/>
      <c r="AX33" s="282"/>
      <c r="AY33" s="282"/>
      <c r="AZ33" s="282"/>
      <c r="BA33" s="282"/>
      <c r="BB33" s="282"/>
      <c r="BC33" s="282"/>
      <c r="BD33" s="282"/>
      <c r="BE33" s="282"/>
      <c r="BF33" s="282"/>
      <c r="BG33" s="282"/>
      <c r="BH33" s="526">
        <v>0.5</v>
      </c>
      <c r="BI33" s="179">
        <f t="shared" si="13"/>
        <v>0.3902610166998236</v>
      </c>
      <c r="BJ33" s="179">
        <f t="shared" si="8"/>
        <v>0.40900987938816408</v>
      </c>
      <c r="BK33" s="179">
        <f t="shared" si="9"/>
        <v>0.36589911384404256</v>
      </c>
      <c r="BL33" s="179">
        <f t="shared" si="10"/>
        <v>0.40167456396322948</v>
      </c>
      <c r="BM33" s="1248">
        <f t="shared" si="11"/>
        <v>0.39842702208732894</v>
      </c>
      <c r="BN33" s="179" t="e">
        <f t="shared" si="14"/>
        <v>#VALUE!</v>
      </c>
      <c r="BO33" s="179" t="e">
        <f t="shared" si="14"/>
        <v>#VALUE!</v>
      </c>
      <c r="BP33" s="179" t="e">
        <f t="shared" si="14"/>
        <v>#VALUE!</v>
      </c>
      <c r="BQ33" s="179" t="e">
        <f t="shared" si="14"/>
        <v>#VALUE!</v>
      </c>
      <c r="BR33" s="179" t="e">
        <f t="shared" si="14"/>
        <v>#VALUE!</v>
      </c>
      <c r="BS33" s="180" t="e">
        <f t="shared" si="14"/>
        <v>#VALUE!</v>
      </c>
    </row>
    <row r="34" spans="1:73">
      <c r="M34" s="669"/>
      <c r="N34" s="282"/>
      <c r="O34" s="282"/>
      <c r="P34" s="282"/>
      <c r="Q34" s="282"/>
      <c r="R34" s="282"/>
      <c r="S34" s="282"/>
      <c r="T34" s="282"/>
      <c r="U34" s="282"/>
      <c r="V34" s="282"/>
      <c r="W34" s="282"/>
      <c r="X34" s="282"/>
      <c r="Y34" s="282"/>
      <c r="Z34" s="282"/>
      <c r="AA34" s="526">
        <v>0.75</v>
      </c>
      <c r="AB34" s="179">
        <f t="shared" si="2"/>
        <v>0.3902610166998236</v>
      </c>
      <c r="AC34" s="179">
        <f t="shared" si="3"/>
        <v>0.40900987938816408</v>
      </c>
      <c r="AD34" s="179">
        <f t="shared" si="4"/>
        <v>0.36589911384404256</v>
      </c>
      <c r="AE34" s="179">
        <f t="shared" si="5"/>
        <v>0.40167456396322948</v>
      </c>
      <c r="AF34" s="1248">
        <f t="shared" si="6"/>
        <v>0.39842702208732894</v>
      </c>
      <c r="AG34" s="179" t="e">
        <f t="shared" si="7"/>
        <v>#VALUE!</v>
      </c>
      <c r="AH34" s="179" t="e">
        <f t="shared" si="7"/>
        <v>#VALUE!</v>
      </c>
      <c r="AI34" s="179" t="e">
        <f t="shared" si="7"/>
        <v>#VALUE!</v>
      </c>
      <c r="AJ34" s="179" t="e">
        <f t="shared" si="7"/>
        <v>#VALUE!</v>
      </c>
      <c r="AK34" s="179" t="e">
        <f t="shared" si="7"/>
        <v>#VALUE!</v>
      </c>
      <c r="AL34" s="180" t="e">
        <f t="shared" si="7"/>
        <v>#VALUE!</v>
      </c>
      <c r="AT34" s="669"/>
      <c r="AU34" s="282"/>
      <c r="AV34" s="282"/>
      <c r="AW34" s="282"/>
      <c r="AX34" s="282"/>
      <c r="AY34" s="282"/>
      <c r="AZ34" s="282"/>
      <c r="BA34" s="282"/>
      <c r="BB34" s="282"/>
      <c r="BC34" s="282"/>
      <c r="BD34" s="282"/>
      <c r="BE34" s="282"/>
      <c r="BF34" s="282"/>
      <c r="BG34" s="282"/>
      <c r="BH34" s="526">
        <v>0.75</v>
      </c>
      <c r="BI34" s="179">
        <f t="shared" si="13"/>
        <v>0.3902610166998236</v>
      </c>
      <c r="BJ34" s="179">
        <f t="shared" si="8"/>
        <v>0.40900987938816408</v>
      </c>
      <c r="BK34" s="179">
        <f t="shared" si="9"/>
        <v>0.36589911384404256</v>
      </c>
      <c r="BL34" s="179">
        <f t="shared" si="10"/>
        <v>0.40167456396322948</v>
      </c>
      <c r="BM34" s="1248">
        <f t="shared" si="11"/>
        <v>0.39842702208732894</v>
      </c>
      <c r="BN34" s="179" t="e">
        <f t="shared" si="14"/>
        <v>#VALUE!</v>
      </c>
      <c r="BO34" s="179" t="e">
        <f t="shared" si="14"/>
        <v>#VALUE!</v>
      </c>
      <c r="BP34" s="179" t="e">
        <f t="shared" si="14"/>
        <v>#VALUE!</v>
      </c>
      <c r="BQ34" s="179" t="e">
        <f t="shared" si="14"/>
        <v>#VALUE!</v>
      </c>
      <c r="BR34" s="179" t="e">
        <f t="shared" si="14"/>
        <v>#VALUE!</v>
      </c>
      <c r="BS34" s="180" t="e">
        <f t="shared" si="14"/>
        <v>#VALUE!</v>
      </c>
    </row>
    <row r="35" spans="1:73">
      <c r="M35" s="669"/>
      <c r="N35" s="282"/>
      <c r="O35" s="282"/>
      <c r="P35" s="282"/>
      <c r="Q35" s="282"/>
      <c r="R35" s="282"/>
      <c r="S35" s="282"/>
      <c r="T35" s="282"/>
      <c r="U35" s="282"/>
      <c r="V35" s="282"/>
      <c r="W35" s="282"/>
      <c r="X35" s="282"/>
      <c r="Y35" s="282"/>
      <c r="Z35" s="282"/>
      <c r="AA35" s="526">
        <v>0.9</v>
      </c>
      <c r="AB35" s="179">
        <f t="shared" si="2"/>
        <v>0.3902610166998236</v>
      </c>
      <c r="AC35" s="179">
        <f t="shared" si="3"/>
        <v>0.40900987938816408</v>
      </c>
      <c r="AD35" s="179">
        <f t="shared" si="4"/>
        <v>0.36589911384404256</v>
      </c>
      <c r="AE35" s="179">
        <f t="shared" si="5"/>
        <v>0.40167456396322948</v>
      </c>
      <c r="AF35" s="1248">
        <f t="shared" si="6"/>
        <v>0.39842702208732894</v>
      </c>
      <c r="AG35" s="179" t="e">
        <f t="shared" si="7"/>
        <v>#VALUE!</v>
      </c>
      <c r="AH35" s="179" t="e">
        <f t="shared" si="7"/>
        <v>#VALUE!</v>
      </c>
      <c r="AI35" s="179" t="e">
        <f t="shared" si="7"/>
        <v>#VALUE!</v>
      </c>
      <c r="AJ35" s="179" t="e">
        <f t="shared" si="7"/>
        <v>#VALUE!</v>
      </c>
      <c r="AK35" s="179" t="e">
        <f t="shared" si="7"/>
        <v>#VALUE!</v>
      </c>
      <c r="AL35" s="180" t="e">
        <f t="shared" si="7"/>
        <v>#VALUE!</v>
      </c>
      <c r="AT35" s="669"/>
      <c r="AU35" s="282"/>
      <c r="AV35" s="282"/>
      <c r="AW35" s="282"/>
      <c r="AX35" s="282"/>
      <c r="AY35" s="282"/>
      <c r="AZ35" s="282"/>
      <c r="BA35" s="282"/>
      <c r="BB35" s="282"/>
      <c r="BC35" s="282"/>
      <c r="BD35" s="282"/>
      <c r="BE35" s="282"/>
      <c r="BF35" s="282"/>
      <c r="BG35" s="282"/>
      <c r="BH35" s="526">
        <v>0.9</v>
      </c>
      <c r="BI35" s="179">
        <f t="shared" si="13"/>
        <v>0.3902610166998236</v>
      </c>
      <c r="BJ35" s="179">
        <f t="shared" si="8"/>
        <v>0.40900987938816408</v>
      </c>
      <c r="BK35" s="179">
        <f t="shared" si="9"/>
        <v>0.36589911384404256</v>
      </c>
      <c r="BL35" s="179">
        <f t="shared" si="10"/>
        <v>0.40167456396322948</v>
      </c>
      <c r="BM35" s="1248">
        <f t="shared" si="11"/>
        <v>0.39842702208732894</v>
      </c>
      <c r="BN35" s="179" t="e">
        <f t="shared" si="14"/>
        <v>#VALUE!</v>
      </c>
      <c r="BO35" s="179" t="e">
        <f t="shared" si="14"/>
        <v>#VALUE!</v>
      </c>
      <c r="BP35" s="179" t="e">
        <f t="shared" si="14"/>
        <v>#VALUE!</v>
      </c>
      <c r="BQ35" s="179" t="e">
        <f t="shared" si="14"/>
        <v>#VALUE!</v>
      </c>
      <c r="BR35" s="179" t="e">
        <f t="shared" si="14"/>
        <v>#VALUE!</v>
      </c>
      <c r="BS35" s="180" t="e">
        <f t="shared" si="14"/>
        <v>#VALUE!</v>
      </c>
    </row>
    <row r="36" spans="1:73">
      <c r="M36" s="669"/>
      <c r="N36" s="282"/>
      <c r="O36" s="282"/>
      <c r="P36" s="282"/>
      <c r="Q36" s="282"/>
      <c r="R36" s="282"/>
      <c r="S36" s="282"/>
      <c r="T36" s="282"/>
      <c r="U36" s="282"/>
      <c r="V36" s="282"/>
      <c r="W36" s="282"/>
      <c r="X36" s="282"/>
      <c r="Y36" s="282"/>
      <c r="Z36" s="282"/>
      <c r="AA36" s="526">
        <v>0.95</v>
      </c>
      <c r="AB36" s="179">
        <f t="shared" si="2"/>
        <v>0.3902610166998236</v>
      </c>
      <c r="AC36" s="179">
        <f t="shared" si="3"/>
        <v>0.40900987938816408</v>
      </c>
      <c r="AD36" s="179">
        <f t="shared" si="4"/>
        <v>0.36589911384404256</v>
      </c>
      <c r="AE36" s="179">
        <f t="shared" si="5"/>
        <v>0.40167456396322948</v>
      </c>
      <c r="AF36" s="1248">
        <f t="shared" si="6"/>
        <v>0.39842702208732894</v>
      </c>
      <c r="AG36" s="179" t="e">
        <f t="shared" si="7"/>
        <v>#VALUE!</v>
      </c>
      <c r="AH36" s="179" t="e">
        <f t="shared" si="7"/>
        <v>#VALUE!</v>
      </c>
      <c r="AI36" s="179" t="e">
        <f t="shared" si="7"/>
        <v>#VALUE!</v>
      </c>
      <c r="AJ36" s="179" t="e">
        <f t="shared" si="7"/>
        <v>#VALUE!</v>
      </c>
      <c r="AK36" s="179" t="e">
        <f t="shared" si="7"/>
        <v>#VALUE!</v>
      </c>
      <c r="AL36" s="180" t="e">
        <f t="shared" si="7"/>
        <v>#VALUE!</v>
      </c>
      <c r="AT36" s="669"/>
      <c r="AU36" s="282"/>
      <c r="AV36" s="282"/>
      <c r="AW36" s="282"/>
      <c r="AX36" s="282"/>
      <c r="AY36" s="282"/>
      <c r="AZ36" s="282"/>
      <c r="BA36" s="282"/>
      <c r="BB36" s="282"/>
      <c r="BC36" s="282"/>
      <c r="BD36" s="282"/>
      <c r="BE36" s="282"/>
      <c r="BF36" s="282"/>
      <c r="BG36" s="282"/>
      <c r="BH36" s="526">
        <v>0.95</v>
      </c>
      <c r="BI36" s="179">
        <f t="shared" si="13"/>
        <v>0.3902610166998236</v>
      </c>
      <c r="BJ36" s="179">
        <f t="shared" si="8"/>
        <v>0.40900987938816408</v>
      </c>
      <c r="BK36" s="179">
        <f t="shared" si="9"/>
        <v>0.36589911384404256</v>
      </c>
      <c r="BL36" s="179">
        <f t="shared" si="10"/>
        <v>0.40167456396322948</v>
      </c>
      <c r="BM36" s="1248">
        <f t="shared" si="11"/>
        <v>0.39842702208732894</v>
      </c>
      <c r="BN36" s="179" t="e">
        <f t="shared" si="14"/>
        <v>#VALUE!</v>
      </c>
      <c r="BO36" s="179" t="e">
        <f t="shared" si="14"/>
        <v>#VALUE!</v>
      </c>
      <c r="BP36" s="179" t="e">
        <f t="shared" si="14"/>
        <v>#VALUE!</v>
      </c>
      <c r="BQ36" s="179" t="e">
        <f t="shared" si="14"/>
        <v>#VALUE!</v>
      </c>
      <c r="BR36" s="179" t="e">
        <f t="shared" si="14"/>
        <v>#VALUE!</v>
      </c>
      <c r="BS36" s="180" t="e">
        <f t="shared" si="14"/>
        <v>#VALUE!</v>
      </c>
    </row>
    <row r="37" spans="1:73">
      <c r="M37" s="669"/>
      <c r="N37" s="282"/>
      <c r="O37" s="282"/>
      <c r="P37" s="282"/>
      <c r="Q37" s="282"/>
      <c r="R37" s="282"/>
      <c r="S37" s="282"/>
      <c r="T37" s="282"/>
      <c r="U37" s="282"/>
      <c r="V37" s="282"/>
      <c r="W37" s="282"/>
      <c r="X37" s="282"/>
      <c r="Y37" s="282"/>
      <c r="Z37" s="282"/>
      <c r="AA37" s="752">
        <v>1</v>
      </c>
      <c r="AB37" s="908">
        <f t="shared" si="2"/>
        <v>0.3902610166998236</v>
      </c>
      <c r="AC37" s="908">
        <f t="shared" si="3"/>
        <v>0.40900987938816408</v>
      </c>
      <c r="AD37" s="908">
        <f t="shared" si="4"/>
        <v>0.36589911384404256</v>
      </c>
      <c r="AE37" s="908">
        <f t="shared" si="5"/>
        <v>0.40167456396322948</v>
      </c>
      <c r="AF37" s="1249">
        <f t="shared" si="6"/>
        <v>0.39842702208732894</v>
      </c>
      <c r="AG37" s="908" t="e">
        <f t="shared" si="7"/>
        <v>#VALUE!</v>
      </c>
      <c r="AH37" s="908" t="e">
        <f t="shared" si="7"/>
        <v>#VALUE!</v>
      </c>
      <c r="AI37" s="908" t="e">
        <f t="shared" si="7"/>
        <v>#VALUE!</v>
      </c>
      <c r="AJ37" s="908" t="e">
        <f t="shared" si="7"/>
        <v>#VALUE!</v>
      </c>
      <c r="AK37" s="908" t="e">
        <f t="shared" si="7"/>
        <v>#VALUE!</v>
      </c>
      <c r="AL37" s="1229" t="e">
        <f t="shared" si="7"/>
        <v>#VALUE!</v>
      </c>
      <c r="AT37" s="669"/>
      <c r="AU37" s="282"/>
      <c r="AV37" s="282"/>
      <c r="AW37" s="282"/>
      <c r="AX37" s="282"/>
      <c r="AY37" s="282"/>
      <c r="AZ37" s="282"/>
      <c r="BA37" s="282"/>
      <c r="BB37" s="282"/>
      <c r="BC37" s="282"/>
      <c r="BD37" s="282"/>
      <c r="BE37" s="282"/>
      <c r="BF37" s="282"/>
      <c r="BG37" s="282"/>
      <c r="BH37" s="752">
        <v>1</v>
      </c>
      <c r="BI37" s="908">
        <f t="shared" si="13"/>
        <v>0.3902610166998236</v>
      </c>
      <c r="BJ37" s="908">
        <f t="shared" si="8"/>
        <v>0.40900987938816408</v>
      </c>
      <c r="BK37" s="908">
        <f t="shared" si="9"/>
        <v>0.36589911384404256</v>
      </c>
      <c r="BL37" s="908">
        <f t="shared" si="10"/>
        <v>0.40167456396322948</v>
      </c>
      <c r="BM37" s="1249">
        <f t="shared" si="11"/>
        <v>0.39842702208732894</v>
      </c>
      <c r="BN37" s="908" t="e">
        <f t="shared" si="14"/>
        <v>#VALUE!</v>
      </c>
      <c r="BO37" s="908" t="e">
        <f t="shared" si="14"/>
        <v>#VALUE!</v>
      </c>
      <c r="BP37" s="908" t="e">
        <f t="shared" si="14"/>
        <v>#VALUE!</v>
      </c>
      <c r="BQ37" s="908" t="e">
        <f t="shared" si="14"/>
        <v>#VALUE!</v>
      </c>
      <c r="BR37" s="908" t="e">
        <f t="shared" si="14"/>
        <v>#VALUE!</v>
      </c>
      <c r="BS37" s="1229" t="e">
        <f t="shared" si="14"/>
        <v>#VALUE!</v>
      </c>
    </row>
    <row r="38" spans="1:73">
      <c r="M38" s="669"/>
      <c r="N38" s="282"/>
      <c r="O38" s="282"/>
      <c r="P38" s="282"/>
      <c r="Q38" s="282"/>
      <c r="R38" s="282"/>
      <c r="S38" s="282"/>
      <c r="T38" s="282"/>
      <c r="U38" s="282"/>
      <c r="V38" s="282"/>
      <c r="W38" s="282"/>
      <c r="X38" s="282"/>
      <c r="Y38" s="282"/>
      <c r="Z38" s="282"/>
      <c r="AA38" s="282"/>
      <c r="AB38" s="282"/>
      <c r="AC38" s="282"/>
      <c r="AD38" s="282"/>
      <c r="AE38" s="282"/>
      <c r="AF38" s="282"/>
      <c r="AG38" s="282"/>
      <c r="AH38" s="282"/>
      <c r="AI38" s="282"/>
      <c r="AJ38" s="282"/>
      <c r="AK38" s="282"/>
      <c r="AL38" s="672"/>
      <c r="AT38" s="669"/>
      <c r="AU38" s="282"/>
      <c r="AV38" s="282"/>
      <c r="AW38" s="282"/>
      <c r="AX38" s="282"/>
      <c r="AY38" s="282"/>
      <c r="AZ38" s="282"/>
      <c r="BA38" s="282"/>
      <c r="BB38" s="282"/>
      <c r="BC38" s="282"/>
      <c r="BD38" s="282"/>
      <c r="BE38" s="282"/>
      <c r="BF38" s="282"/>
      <c r="BG38" s="282"/>
      <c r="BH38" s="282"/>
      <c r="BI38" s="282"/>
      <c r="BJ38" s="282"/>
      <c r="BK38" s="282"/>
      <c r="BL38" s="282"/>
      <c r="BM38" s="282"/>
      <c r="BN38" s="282"/>
      <c r="BO38" s="282"/>
      <c r="BP38" s="282"/>
      <c r="BQ38" s="282"/>
      <c r="BR38" s="282"/>
      <c r="BS38" s="672"/>
    </row>
    <row r="39" spans="1:73" ht="15.75" thickBot="1">
      <c r="M39" s="669"/>
      <c r="N39" s="282"/>
      <c r="O39" s="282"/>
      <c r="P39" s="282"/>
      <c r="Q39" s="282"/>
      <c r="R39" s="282"/>
      <c r="S39" s="282"/>
      <c r="T39" s="282"/>
      <c r="U39" s="282"/>
      <c r="V39" s="282"/>
      <c r="W39" s="282"/>
      <c r="X39" s="282"/>
      <c r="Y39" s="282"/>
      <c r="Z39" s="282"/>
      <c r="AA39" s="282"/>
      <c r="AB39" s="282"/>
      <c r="AC39" s="282"/>
      <c r="AD39" s="282"/>
      <c r="AE39" s="282"/>
      <c r="AF39" s="282"/>
      <c r="AG39" s="282"/>
      <c r="AH39" s="282"/>
      <c r="AI39" s="282"/>
      <c r="AJ39" s="282"/>
      <c r="AK39" s="282"/>
      <c r="AL39" s="672"/>
      <c r="AT39" s="669"/>
      <c r="AU39" s="282"/>
      <c r="AV39" s="282"/>
      <c r="AW39" s="282"/>
      <c r="AX39" s="282"/>
      <c r="AY39" s="282"/>
      <c r="AZ39" s="282"/>
      <c r="BA39" s="282"/>
      <c r="BB39" s="282"/>
      <c r="BC39" s="282"/>
      <c r="BD39" s="282"/>
      <c r="BE39" s="282"/>
      <c r="BF39" s="282"/>
      <c r="BG39" s="282"/>
      <c r="BH39" s="282"/>
      <c r="BI39" s="282"/>
      <c r="BJ39" s="282"/>
      <c r="BK39" s="282"/>
      <c r="BL39" s="282"/>
      <c r="BM39" s="282"/>
      <c r="BN39" s="282"/>
      <c r="BO39" s="282"/>
      <c r="BP39" s="282"/>
      <c r="BQ39" s="282"/>
      <c r="BR39" s="282"/>
      <c r="BS39" s="672"/>
    </row>
    <row r="40" spans="1:73" ht="15.75" thickBot="1">
      <c r="A40" s="1938" t="s">
        <v>489</v>
      </c>
      <c r="B40" s="1940"/>
      <c r="D40" s="1932" t="s">
        <v>772</v>
      </c>
      <c r="E40" s="1933"/>
      <c r="F40" s="1933"/>
      <c r="G40" s="1933"/>
      <c r="H40" s="1933"/>
      <c r="I40" s="1933"/>
      <c r="J40" s="1933"/>
      <c r="K40" s="1934"/>
      <c r="M40" s="669"/>
      <c r="N40" s="282"/>
      <c r="O40" s="282"/>
      <c r="P40" s="282"/>
      <c r="Q40" s="282"/>
      <c r="R40" s="282"/>
      <c r="S40" s="282"/>
      <c r="T40" s="282"/>
      <c r="U40" s="282"/>
      <c r="V40" s="282"/>
      <c r="W40" s="282"/>
      <c r="X40" s="282"/>
      <c r="Y40" s="282"/>
      <c r="Z40" s="17"/>
      <c r="AA40" s="489" t="s">
        <v>467</v>
      </c>
      <c r="AB40" s="63"/>
      <c r="AC40" s="282"/>
      <c r="AD40" s="282"/>
      <c r="AE40" s="282"/>
      <c r="AF40" s="282"/>
      <c r="AG40" s="282"/>
      <c r="AH40" s="282"/>
      <c r="AI40" s="282"/>
      <c r="AJ40" s="282"/>
      <c r="AK40" s="282"/>
      <c r="AL40" s="672"/>
      <c r="AT40" s="669"/>
      <c r="AU40" s="282"/>
      <c r="AV40" s="282"/>
      <c r="AW40" s="282"/>
      <c r="AX40" s="282"/>
      <c r="AY40" s="282"/>
      <c r="AZ40" s="282"/>
      <c r="BA40" s="282"/>
      <c r="BB40" s="282"/>
      <c r="BC40" s="282"/>
      <c r="BD40" s="282"/>
      <c r="BE40" s="282"/>
      <c r="BF40" s="282"/>
      <c r="BG40" s="17"/>
      <c r="BH40" s="489" t="s">
        <v>467</v>
      </c>
      <c r="BI40" s="63"/>
      <c r="BJ40" s="282"/>
      <c r="BK40" s="282"/>
      <c r="BL40" s="282"/>
      <c r="BM40" s="282"/>
      <c r="BN40" s="282"/>
      <c r="BO40" s="282"/>
      <c r="BP40" s="282"/>
      <c r="BQ40" s="282"/>
      <c r="BR40" s="282"/>
      <c r="BS40" s="672"/>
      <c r="BU40" s="284" t="s">
        <v>784</v>
      </c>
    </row>
    <row r="41" spans="1:73" ht="21" thickBot="1">
      <c r="A41" s="728"/>
      <c r="B41" s="728"/>
      <c r="M41" s="669"/>
      <c r="N41" s="282"/>
      <c r="O41" s="282"/>
      <c r="P41" s="282"/>
      <c r="Q41" s="282"/>
      <c r="R41" s="282"/>
      <c r="S41" s="282"/>
      <c r="T41" s="282"/>
      <c r="U41" s="282"/>
      <c r="V41" s="282"/>
      <c r="W41" s="282"/>
      <c r="X41" s="282"/>
      <c r="Y41" s="282"/>
      <c r="Z41" s="521" t="s">
        <v>492</v>
      </c>
      <c r="AA41" s="1240" t="s">
        <v>468</v>
      </c>
      <c r="AB41" s="1241">
        <f t="shared" ref="AB41:AL41" si="15">AB28</f>
        <v>2013</v>
      </c>
      <c r="AC41" s="1241">
        <f t="shared" si="15"/>
        <v>2014</v>
      </c>
      <c r="AD41" s="1241">
        <f t="shared" si="15"/>
        <v>2015</v>
      </c>
      <c r="AE41" s="1243">
        <f t="shared" si="15"/>
        <v>2016</v>
      </c>
      <c r="AF41" s="1244">
        <f t="shared" si="15"/>
        <v>2017</v>
      </c>
      <c r="AG41" s="1243">
        <f t="shared" si="15"/>
        <v>2018</v>
      </c>
      <c r="AH41" s="1242">
        <f t="shared" si="15"/>
        <v>2019</v>
      </c>
      <c r="AI41" s="1242">
        <f t="shared" si="15"/>
        <v>2020</v>
      </c>
      <c r="AJ41" s="1242">
        <f t="shared" si="15"/>
        <v>2021</v>
      </c>
      <c r="AK41" s="1242">
        <f t="shared" si="15"/>
        <v>2022</v>
      </c>
      <c r="AL41" s="1244">
        <f t="shared" si="15"/>
        <v>2023</v>
      </c>
      <c r="AT41" s="669"/>
      <c r="AU41" s="282"/>
      <c r="AV41" s="282"/>
      <c r="AW41" s="282"/>
      <c r="AX41" s="282"/>
      <c r="AY41" s="282"/>
      <c r="AZ41" s="282"/>
      <c r="BA41" s="282"/>
      <c r="BB41" s="282"/>
      <c r="BC41" s="282"/>
      <c r="BD41" s="282"/>
      <c r="BE41" s="282"/>
      <c r="BF41" s="282"/>
      <c r="BG41" s="521" t="s">
        <v>492</v>
      </c>
      <c r="BH41" s="1240" t="s">
        <v>468</v>
      </c>
      <c r="BI41" s="1241">
        <f t="shared" ref="BI41:BS41" si="16">BI28</f>
        <v>2013</v>
      </c>
      <c r="BJ41" s="1241">
        <f t="shared" si="16"/>
        <v>2014</v>
      </c>
      <c r="BK41" s="1241">
        <f t="shared" si="16"/>
        <v>2015</v>
      </c>
      <c r="BL41" s="1243">
        <f t="shared" si="16"/>
        <v>2016</v>
      </c>
      <c r="BM41" s="1244">
        <f t="shared" si="16"/>
        <v>2017</v>
      </c>
      <c r="BN41" s="1243">
        <f t="shared" si="16"/>
        <v>2018</v>
      </c>
      <c r="BO41" s="1242">
        <f t="shared" si="16"/>
        <v>2019</v>
      </c>
      <c r="BP41" s="1242">
        <f t="shared" si="16"/>
        <v>2020</v>
      </c>
      <c r="BQ41" s="1242">
        <f t="shared" si="16"/>
        <v>2021</v>
      </c>
      <c r="BR41" s="1242">
        <f t="shared" si="16"/>
        <v>2022</v>
      </c>
      <c r="BS41" s="1244">
        <f t="shared" si="16"/>
        <v>2023</v>
      </c>
      <c r="BU41" s="1250" t="s">
        <v>767</v>
      </c>
    </row>
    <row r="42" spans="1:73" ht="17.25" thickBot="1">
      <c r="A42" s="729" t="s">
        <v>487</v>
      </c>
      <c r="B42" s="696" t="s">
        <v>491</v>
      </c>
      <c r="D42" s="1171"/>
      <c r="E42" s="284" t="s">
        <v>768</v>
      </c>
      <c r="M42" s="669"/>
      <c r="N42" s="282"/>
      <c r="O42" s="282"/>
      <c r="P42" s="282"/>
      <c r="Q42" s="282"/>
      <c r="R42" s="282"/>
      <c r="S42" s="282"/>
      <c r="T42" s="282"/>
      <c r="U42" s="282"/>
      <c r="V42" s="282"/>
      <c r="W42" s="282"/>
      <c r="X42" s="282"/>
      <c r="Y42" s="282"/>
      <c r="Z42" s="62"/>
      <c r="AA42" s="526">
        <v>0.1</v>
      </c>
      <c r="AB42" s="171">
        <f t="shared" ref="AB42:AL42" si="17">AB31*100</f>
        <v>39.02610166998236</v>
      </c>
      <c r="AC42" s="171">
        <f t="shared" si="17"/>
        <v>40.900987938816407</v>
      </c>
      <c r="AD42" s="171">
        <f t="shared" si="17"/>
        <v>36.589911384404253</v>
      </c>
      <c r="AE42" s="1245">
        <f t="shared" si="17"/>
        <v>40.167456396322947</v>
      </c>
      <c r="AF42" s="1246">
        <f t="shared" si="17"/>
        <v>39.842702208732895</v>
      </c>
      <c r="AG42" s="1236" t="e">
        <f t="shared" si="17"/>
        <v>#VALUE!</v>
      </c>
      <c r="AH42" s="749" t="e">
        <f t="shared" si="17"/>
        <v>#VALUE!</v>
      </c>
      <c r="AI42" s="749" t="e">
        <f t="shared" si="17"/>
        <v>#VALUE!</v>
      </c>
      <c r="AJ42" s="749" t="e">
        <f t="shared" si="17"/>
        <v>#VALUE!</v>
      </c>
      <c r="AK42" s="749" t="e">
        <f t="shared" si="17"/>
        <v>#VALUE!</v>
      </c>
      <c r="AL42" s="1230" t="e">
        <f t="shared" si="17"/>
        <v>#VALUE!</v>
      </c>
      <c r="AT42" s="669"/>
      <c r="AU42" s="282"/>
      <c r="AV42" s="282"/>
      <c r="AW42" s="282"/>
      <c r="AX42" s="282"/>
      <c r="AY42" s="282"/>
      <c r="AZ42" s="282"/>
      <c r="BA42" s="282"/>
      <c r="BB42" s="282"/>
      <c r="BC42" s="282"/>
      <c r="BD42" s="282"/>
      <c r="BE42" s="282"/>
      <c r="BF42" s="282"/>
      <c r="BG42" s="62"/>
      <c r="BH42" s="526">
        <v>0.1</v>
      </c>
      <c r="BI42" s="171">
        <f t="shared" ref="BI42:BS42" si="18">BI31*100</f>
        <v>39.02610166998236</v>
      </c>
      <c r="BJ42" s="171">
        <f t="shared" si="18"/>
        <v>40.900987938816407</v>
      </c>
      <c r="BK42" s="171">
        <f t="shared" si="18"/>
        <v>36.589911384404253</v>
      </c>
      <c r="BL42" s="1245">
        <f t="shared" si="18"/>
        <v>40.167456396322947</v>
      </c>
      <c r="BM42" s="1246">
        <f t="shared" si="18"/>
        <v>39.842702208732895</v>
      </c>
      <c r="BN42" s="1236" t="e">
        <f t="shared" si="18"/>
        <v>#VALUE!</v>
      </c>
      <c r="BO42" s="749" t="e">
        <f t="shared" si="18"/>
        <v>#VALUE!</v>
      </c>
      <c r="BP42" s="749" t="e">
        <f t="shared" si="18"/>
        <v>#VALUE!</v>
      </c>
      <c r="BQ42" s="749" t="e">
        <f t="shared" si="18"/>
        <v>#VALUE!</v>
      </c>
      <c r="BR42" s="749" t="e">
        <f t="shared" si="18"/>
        <v>#VALUE!</v>
      </c>
      <c r="BS42" s="1230" t="e">
        <f t="shared" si="18"/>
        <v>#VALUE!</v>
      </c>
      <c r="BU42" s="1251"/>
    </row>
    <row r="43" spans="1:73" ht="21" thickBot="1">
      <c r="A43" s="694" t="s">
        <v>1052</v>
      </c>
      <c r="B43" s="696" t="s">
        <v>491</v>
      </c>
      <c r="D43" s="1171"/>
      <c r="E43" s="284" t="s">
        <v>769</v>
      </c>
      <c r="M43" s="669"/>
      <c r="N43" s="282"/>
      <c r="O43" s="282"/>
      <c r="P43" s="282"/>
      <c r="Q43" s="282"/>
      <c r="R43" s="282"/>
      <c r="S43" s="282"/>
      <c r="T43" s="282"/>
      <c r="U43" s="282"/>
      <c r="V43" s="282"/>
      <c r="W43" s="282"/>
      <c r="X43" s="282"/>
      <c r="Y43" s="282"/>
      <c r="Z43" s="1231" t="s">
        <v>469</v>
      </c>
      <c r="AA43" s="526">
        <v>0.25</v>
      </c>
      <c r="AB43" s="171">
        <f t="shared" ref="AB43:AL43" si="19">(AB32-AB31)*100</f>
        <v>0</v>
      </c>
      <c r="AC43" s="171">
        <f t="shared" si="19"/>
        <v>0</v>
      </c>
      <c r="AD43" s="171">
        <f t="shared" si="19"/>
        <v>0</v>
      </c>
      <c r="AE43" s="1236">
        <f t="shared" si="19"/>
        <v>0</v>
      </c>
      <c r="AF43" s="1230">
        <f t="shared" si="19"/>
        <v>0</v>
      </c>
      <c r="AG43" s="1236" t="e">
        <f t="shared" si="19"/>
        <v>#VALUE!</v>
      </c>
      <c r="AH43" s="749" t="e">
        <f t="shared" si="19"/>
        <v>#VALUE!</v>
      </c>
      <c r="AI43" s="749" t="e">
        <f t="shared" si="19"/>
        <v>#VALUE!</v>
      </c>
      <c r="AJ43" s="749" t="e">
        <f t="shared" si="19"/>
        <v>#VALUE!</v>
      </c>
      <c r="AK43" s="749" t="e">
        <f t="shared" si="19"/>
        <v>#VALUE!</v>
      </c>
      <c r="AL43" s="1230" t="e">
        <f t="shared" si="19"/>
        <v>#VALUE!</v>
      </c>
      <c r="AT43" s="669"/>
      <c r="AU43" s="282"/>
      <c r="AV43" s="282"/>
      <c r="AW43" s="282"/>
      <c r="AX43" s="282"/>
      <c r="AY43" s="282"/>
      <c r="AZ43" s="282"/>
      <c r="BA43" s="282"/>
      <c r="BB43" s="282"/>
      <c r="BC43" s="282"/>
      <c r="BD43" s="282"/>
      <c r="BE43" s="282"/>
      <c r="BF43" s="282"/>
      <c r="BG43" s="1231" t="s">
        <v>469</v>
      </c>
      <c r="BH43" s="526">
        <v>0.25</v>
      </c>
      <c r="BI43" s="171">
        <f t="shared" ref="BI43:BS43" si="20">(BI32-BI31)*100</f>
        <v>0</v>
      </c>
      <c r="BJ43" s="171">
        <f t="shared" si="20"/>
        <v>0</v>
      </c>
      <c r="BK43" s="171">
        <f t="shared" si="20"/>
        <v>0</v>
      </c>
      <c r="BL43" s="1236">
        <f t="shared" si="20"/>
        <v>0</v>
      </c>
      <c r="BM43" s="1230">
        <f t="shared" si="20"/>
        <v>0</v>
      </c>
      <c r="BN43" s="1236" t="e">
        <f t="shared" si="20"/>
        <v>#VALUE!</v>
      </c>
      <c r="BO43" s="749" t="e">
        <f t="shared" si="20"/>
        <v>#VALUE!</v>
      </c>
      <c r="BP43" s="749" t="e">
        <f t="shared" si="20"/>
        <v>#VALUE!</v>
      </c>
      <c r="BQ43" s="749" t="e">
        <f t="shared" si="20"/>
        <v>#VALUE!</v>
      </c>
      <c r="BR43" s="749" t="e">
        <f t="shared" si="20"/>
        <v>#VALUE!</v>
      </c>
      <c r="BS43" s="1230" t="e">
        <f t="shared" si="20"/>
        <v>#VALUE!</v>
      </c>
      <c r="BU43" s="1252" t="str">
        <f>IF(ISNUMBER(D42),D42&amp;" "&amp;E42,"no restriction on the growth rate shock")</f>
        <v>no restriction on the growth rate shock</v>
      </c>
    </row>
    <row r="44" spans="1:73" ht="21" thickBot="1">
      <c r="A44" s="206" t="s">
        <v>1053</v>
      </c>
      <c r="B44" s="696" t="s">
        <v>491</v>
      </c>
      <c r="D44" s="1171">
        <v>0</v>
      </c>
      <c r="E44" s="284" t="s">
        <v>770</v>
      </c>
      <c r="M44" s="669"/>
      <c r="N44" s="282"/>
      <c r="O44" s="282"/>
      <c r="P44" s="282"/>
      <c r="Q44" s="282"/>
      <c r="R44" s="282"/>
      <c r="S44" s="282"/>
      <c r="T44" s="282"/>
      <c r="U44" s="282"/>
      <c r="V44" s="282"/>
      <c r="W44" s="282"/>
      <c r="X44" s="282"/>
      <c r="Y44" s="282"/>
      <c r="Z44" s="1074" t="s">
        <v>470</v>
      </c>
      <c r="AA44" s="526">
        <v>0.5</v>
      </c>
      <c r="AB44" s="171">
        <f t="shared" ref="AB44:AL44" si="21">(AB33-AB32)*100</f>
        <v>0</v>
      </c>
      <c r="AC44" s="171">
        <f t="shared" si="21"/>
        <v>0</v>
      </c>
      <c r="AD44" s="171">
        <f t="shared" si="21"/>
        <v>0</v>
      </c>
      <c r="AE44" s="1236">
        <f t="shared" si="21"/>
        <v>0</v>
      </c>
      <c r="AF44" s="1230">
        <f t="shared" si="21"/>
        <v>0</v>
      </c>
      <c r="AG44" s="1236" t="e">
        <f t="shared" si="21"/>
        <v>#VALUE!</v>
      </c>
      <c r="AH44" s="749" t="e">
        <f t="shared" si="21"/>
        <v>#VALUE!</v>
      </c>
      <c r="AI44" s="749" t="e">
        <f t="shared" si="21"/>
        <v>#VALUE!</v>
      </c>
      <c r="AJ44" s="749" t="e">
        <f t="shared" si="21"/>
        <v>#VALUE!</v>
      </c>
      <c r="AK44" s="749" t="e">
        <f t="shared" si="21"/>
        <v>#VALUE!</v>
      </c>
      <c r="AL44" s="1230" t="e">
        <f t="shared" si="21"/>
        <v>#VALUE!</v>
      </c>
      <c r="AT44" s="669"/>
      <c r="AU44" s="282"/>
      <c r="AV44" s="282"/>
      <c r="AW44" s="282"/>
      <c r="AX44" s="282"/>
      <c r="AY44" s="282"/>
      <c r="AZ44" s="282"/>
      <c r="BA44" s="282"/>
      <c r="BB44" s="282"/>
      <c r="BC44" s="282"/>
      <c r="BD44" s="282"/>
      <c r="BE44" s="282"/>
      <c r="BF44" s="282"/>
      <c r="BG44" s="1074" t="s">
        <v>470</v>
      </c>
      <c r="BH44" s="526">
        <v>0.5</v>
      </c>
      <c r="BI44" s="171">
        <f t="shared" ref="BI44:BS44" si="22">(BI33-BI32)*100</f>
        <v>0</v>
      </c>
      <c r="BJ44" s="171">
        <f t="shared" si="22"/>
        <v>0</v>
      </c>
      <c r="BK44" s="171">
        <f t="shared" si="22"/>
        <v>0</v>
      </c>
      <c r="BL44" s="1236">
        <f t="shared" si="22"/>
        <v>0</v>
      </c>
      <c r="BM44" s="1230">
        <f t="shared" si="22"/>
        <v>0</v>
      </c>
      <c r="BN44" s="1236" t="e">
        <f t="shared" si="22"/>
        <v>#VALUE!</v>
      </c>
      <c r="BO44" s="749" t="e">
        <f t="shared" si="22"/>
        <v>#VALUE!</v>
      </c>
      <c r="BP44" s="749" t="e">
        <f t="shared" si="22"/>
        <v>#VALUE!</v>
      </c>
      <c r="BQ44" s="749" t="e">
        <f t="shared" si="22"/>
        <v>#VALUE!</v>
      </c>
      <c r="BR44" s="749" t="e">
        <f t="shared" si="22"/>
        <v>#VALUE!</v>
      </c>
      <c r="BS44" s="1230" t="e">
        <f t="shared" si="22"/>
        <v>#VALUE!</v>
      </c>
      <c r="BU44" s="1252" t="str">
        <f>IF(ISNUMBER(D43),D43&amp;" "&amp;E43,"no restriction on the interest rate shock")</f>
        <v>no restriction on the interest rate shock</v>
      </c>
    </row>
    <row r="45" spans="1:73" ht="21" thickBot="1">
      <c r="A45" s="695" t="s">
        <v>1056</v>
      </c>
      <c r="B45" s="696" t="s">
        <v>491</v>
      </c>
      <c r="D45" s="1171"/>
      <c r="E45" s="284" t="s">
        <v>771</v>
      </c>
      <c r="M45" s="669"/>
      <c r="N45" s="282"/>
      <c r="O45" s="282"/>
      <c r="P45" s="282"/>
      <c r="Q45" s="282"/>
      <c r="R45" s="282"/>
      <c r="S45" s="282"/>
      <c r="T45" s="282"/>
      <c r="U45" s="282"/>
      <c r="V45" s="282"/>
      <c r="W45" s="282"/>
      <c r="X45" s="282"/>
      <c r="Y45" s="282"/>
      <c r="Z45" s="1231" t="s">
        <v>471</v>
      </c>
      <c r="AA45" s="526">
        <v>0.75</v>
      </c>
      <c r="AB45" s="171">
        <f t="shared" ref="AB45:AL45" si="23">(AB34-AB33)*100</f>
        <v>0</v>
      </c>
      <c r="AC45" s="171">
        <f t="shared" si="23"/>
        <v>0</v>
      </c>
      <c r="AD45" s="171">
        <f t="shared" si="23"/>
        <v>0</v>
      </c>
      <c r="AE45" s="1236">
        <f t="shared" si="23"/>
        <v>0</v>
      </c>
      <c r="AF45" s="1230">
        <f t="shared" si="23"/>
        <v>0</v>
      </c>
      <c r="AG45" s="1236" t="e">
        <f t="shared" si="23"/>
        <v>#VALUE!</v>
      </c>
      <c r="AH45" s="749" t="e">
        <f t="shared" si="23"/>
        <v>#VALUE!</v>
      </c>
      <c r="AI45" s="749" t="e">
        <f t="shared" si="23"/>
        <v>#VALUE!</v>
      </c>
      <c r="AJ45" s="749" t="e">
        <f t="shared" si="23"/>
        <v>#VALUE!</v>
      </c>
      <c r="AK45" s="749" t="e">
        <f t="shared" si="23"/>
        <v>#VALUE!</v>
      </c>
      <c r="AL45" s="1230" t="e">
        <f t="shared" si="23"/>
        <v>#VALUE!</v>
      </c>
      <c r="AT45" s="669"/>
      <c r="AU45" s="282"/>
      <c r="AV45" s="282"/>
      <c r="AW45" s="282"/>
      <c r="AX45" s="282"/>
      <c r="AY45" s="282"/>
      <c r="AZ45" s="282"/>
      <c r="BA45" s="282"/>
      <c r="BB45" s="282"/>
      <c r="BC45" s="282"/>
      <c r="BD45" s="282"/>
      <c r="BE45" s="282"/>
      <c r="BF45" s="282"/>
      <c r="BG45" s="1231" t="s">
        <v>471</v>
      </c>
      <c r="BH45" s="526">
        <v>0.75</v>
      </c>
      <c r="BI45" s="171">
        <f t="shared" ref="BI45:BS45" si="24">(BI34-BI33)*100</f>
        <v>0</v>
      </c>
      <c r="BJ45" s="171">
        <f t="shared" si="24"/>
        <v>0</v>
      </c>
      <c r="BK45" s="171">
        <f t="shared" si="24"/>
        <v>0</v>
      </c>
      <c r="BL45" s="1236">
        <f t="shared" si="24"/>
        <v>0</v>
      </c>
      <c r="BM45" s="1230">
        <f t="shared" si="24"/>
        <v>0</v>
      </c>
      <c r="BN45" s="1236" t="e">
        <f t="shared" si="24"/>
        <v>#VALUE!</v>
      </c>
      <c r="BO45" s="749" t="e">
        <f t="shared" si="24"/>
        <v>#VALUE!</v>
      </c>
      <c r="BP45" s="749" t="e">
        <f t="shared" si="24"/>
        <v>#VALUE!</v>
      </c>
      <c r="BQ45" s="749" t="e">
        <f t="shared" si="24"/>
        <v>#VALUE!</v>
      </c>
      <c r="BR45" s="749" t="e">
        <f t="shared" si="24"/>
        <v>#VALUE!</v>
      </c>
      <c r="BS45" s="1230" t="e">
        <f t="shared" si="24"/>
        <v>#VALUE!</v>
      </c>
      <c r="BU45" s="1252" t="str">
        <f>IF(ISNUMBER(D44),D44&amp;" "&amp;E44,"no restriction on the primary balance shock")</f>
        <v>0 is the max positive pb shock (percent GDP)</v>
      </c>
    </row>
    <row r="46" spans="1:73" ht="21" thickBot="1">
      <c r="M46" s="670"/>
      <c r="N46" s="277"/>
      <c r="O46" s="277"/>
      <c r="P46" s="277"/>
      <c r="Q46" s="277"/>
      <c r="R46" s="277"/>
      <c r="S46" s="277"/>
      <c r="T46" s="277"/>
      <c r="U46" s="277"/>
      <c r="V46" s="277"/>
      <c r="W46" s="277"/>
      <c r="X46" s="277"/>
      <c r="Y46" s="277"/>
      <c r="Z46" s="1232" t="s">
        <v>472</v>
      </c>
      <c r="AA46" s="972">
        <v>0.9</v>
      </c>
      <c r="AB46" s="1233">
        <f t="shared" ref="AB46:AL46" si="25">(AB35-AB34)*100</f>
        <v>0</v>
      </c>
      <c r="AC46" s="1233">
        <f t="shared" si="25"/>
        <v>0</v>
      </c>
      <c r="AD46" s="1233">
        <f t="shared" si="25"/>
        <v>0</v>
      </c>
      <c r="AE46" s="1237">
        <f t="shared" si="25"/>
        <v>0</v>
      </c>
      <c r="AF46" s="1235">
        <f t="shared" si="25"/>
        <v>0</v>
      </c>
      <c r="AG46" s="1237" t="e">
        <f t="shared" si="25"/>
        <v>#VALUE!</v>
      </c>
      <c r="AH46" s="1234" t="e">
        <f t="shared" si="25"/>
        <v>#VALUE!</v>
      </c>
      <c r="AI46" s="1234" t="e">
        <f t="shared" si="25"/>
        <v>#VALUE!</v>
      </c>
      <c r="AJ46" s="1234" t="e">
        <f t="shared" si="25"/>
        <v>#VALUE!</v>
      </c>
      <c r="AK46" s="1234" t="e">
        <f t="shared" si="25"/>
        <v>#VALUE!</v>
      </c>
      <c r="AL46" s="1235" t="e">
        <f t="shared" si="25"/>
        <v>#VALUE!</v>
      </c>
      <c r="AT46" s="670"/>
      <c r="AU46" s="277"/>
      <c r="AV46" s="277"/>
      <c r="AW46" s="277"/>
      <c r="AX46" s="277"/>
      <c r="AY46" s="277"/>
      <c r="AZ46" s="277"/>
      <c r="BA46" s="277"/>
      <c r="BB46" s="277"/>
      <c r="BC46" s="277"/>
      <c r="BD46" s="277"/>
      <c r="BE46" s="277"/>
      <c r="BF46" s="277"/>
      <c r="BG46" s="1232" t="s">
        <v>472</v>
      </c>
      <c r="BH46" s="972">
        <v>0.9</v>
      </c>
      <c r="BI46" s="1233">
        <f t="shared" ref="BI46:BS46" si="26">(BI35-BI34)*100</f>
        <v>0</v>
      </c>
      <c r="BJ46" s="1233">
        <f t="shared" si="26"/>
        <v>0</v>
      </c>
      <c r="BK46" s="1233">
        <f t="shared" si="26"/>
        <v>0</v>
      </c>
      <c r="BL46" s="1237">
        <f t="shared" si="26"/>
        <v>0</v>
      </c>
      <c r="BM46" s="1235">
        <f t="shared" si="26"/>
        <v>0</v>
      </c>
      <c r="BN46" s="1237" t="e">
        <f t="shared" si="26"/>
        <v>#VALUE!</v>
      </c>
      <c r="BO46" s="1234" t="e">
        <f t="shared" si="26"/>
        <v>#VALUE!</v>
      </c>
      <c r="BP46" s="1234" t="e">
        <f t="shared" si="26"/>
        <v>#VALUE!</v>
      </c>
      <c r="BQ46" s="1234" t="e">
        <f t="shared" si="26"/>
        <v>#VALUE!</v>
      </c>
      <c r="BR46" s="1234" t="e">
        <f t="shared" si="26"/>
        <v>#VALUE!</v>
      </c>
      <c r="BS46" s="1235" t="e">
        <f t="shared" si="26"/>
        <v>#VALUE!</v>
      </c>
      <c r="BU46" s="1252" t="str">
        <f>IF(ISNUMBER(D45),D45&amp;" "&amp;E45,"no restriction on the exchange rate shock")</f>
        <v>no restriction on the exchange rate shock</v>
      </c>
    </row>
    <row r="48" spans="1:73">
      <c r="U48" s="282"/>
      <c r="V48" s="17"/>
      <c r="W48" s="526"/>
      <c r="X48" s="176"/>
      <c r="Y48" s="176"/>
      <c r="Z48" s="176"/>
      <c r="AA48" s="176"/>
      <c r="AB48" s="176"/>
      <c r="AC48" s="176"/>
      <c r="AD48" s="176"/>
      <c r="AE48" s="176"/>
      <c r="AF48" s="176"/>
      <c r="AG48" s="176"/>
      <c r="AH48" s="176"/>
      <c r="AI48" s="282"/>
    </row>
    <row r="49" spans="1:70">
      <c r="AA49" s="282"/>
      <c r="AB49" s="282"/>
      <c r="AC49" s="282"/>
      <c r="AD49" s="282"/>
      <c r="AE49" s="282"/>
      <c r="AF49" s="282"/>
      <c r="AG49" s="282"/>
      <c r="AH49" s="282"/>
      <c r="AI49" s="282"/>
    </row>
    <row r="50" spans="1:70" ht="15.75" thickBot="1">
      <c r="V50" s="10"/>
      <c r="W50" s="526"/>
      <c r="X50" s="176"/>
      <c r="Y50" s="176"/>
      <c r="Z50" s="176"/>
      <c r="AA50" s="176"/>
      <c r="AB50" s="176"/>
      <c r="AC50" s="176"/>
      <c r="AD50" s="176"/>
      <c r="AE50" s="176"/>
      <c r="AF50" s="176"/>
      <c r="AG50" s="176"/>
      <c r="AH50" s="176"/>
      <c r="AI50" s="282"/>
    </row>
    <row r="51" spans="1:70" s="281" customFormat="1" ht="75.75" thickBot="1">
      <c r="T51" s="53" t="s">
        <v>16</v>
      </c>
      <c r="AA51" s="17"/>
      <c r="AB51" s="17"/>
      <c r="AC51" s="17"/>
      <c r="AD51" s="17"/>
      <c r="AE51" s="17"/>
      <c r="AF51" s="17"/>
      <c r="AG51" s="17"/>
      <c r="AH51" s="17"/>
      <c r="AI51" s="17"/>
    </row>
    <row r="52" spans="1:70" s="281" customFormat="1" ht="15.75" thickBot="1">
      <c r="A52" s="17"/>
      <c r="B52" s="535"/>
      <c r="H52" s="736">
        <f t="shared" ref="H52:R52" si="27">I52-1</f>
        <v>2006</v>
      </c>
      <c r="I52" s="737">
        <f t="shared" si="27"/>
        <v>2007</v>
      </c>
      <c r="J52" s="737">
        <f t="shared" si="27"/>
        <v>2008</v>
      </c>
      <c r="K52" s="737">
        <f t="shared" si="27"/>
        <v>2009</v>
      </c>
      <c r="L52" s="737">
        <f t="shared" si="27"/>
        <v>2010</v>
      </c>
      <c r="M52" s="737">
        <f t="shared" si="27"/>
        <v>2011</v>
      </c>
      <c r="N52" s="737">
        <f t="shared" si="27"/>
        <v>2012</v>
      </c>
      <c r="O52" s="737">
        <f t="shared" si="27"/>
        <v>2013</v>
      </c>
      <c r="P52" s="737">
        <f t="shared" si="27"/>
        <v>2014</v>
      </c>
      <c r="Q52" s="737">
        <f t="shared" si="27"/>
        <v>2015</v>
      </c>
      <c r="R52" s="737">
        <f t="shared" si="27"/>
        <v>2016</v>
      </c>
      <c r="S52" s="738">
        <f>T52-1</f>
        <v>2017</v>
      </c>
      <c r="T52" s="748">
        <f>FirstYear</f>
        <v>2018</v>
      </c>
      <c r="U52" s="737">
        <f>BC6</f>
        <v>2019</v>
      </c>
      <c r="V52" s="737">
        <f>BD6</f>
        <v>2020</v>
      </c>
      <c r="W52" s="737">
        <f>BE6</f>
        <v>2021</v>
      </c>
      <c r="X52" s="737">
        <f>BF6</f>
        <v>2022</v>
      </c>
      <c r="Y52" s="738">
        <f>BG6</f>
        <v>2023</v>
      </c>
      <c r="AX52" s="642"/>
      <c r="AY52" s="642"/>
      <c r="AZ52" s="642"/>
      <c r="BA52" s="642"/>
      <c r="BB52" s="642"/>
      <c r="BC52" s="642"/>
      <c r="BD52" s="642"/>
      <c r="BE52" s="642"/>
      <c r="BF52" s="642"/>
      <c r="BG52" s="642"/>
      <c r="BH52" s="642"/>
      <c r="BI52" s="642"/>
      <c r="BJ52" s="642"/>
      <c r="BK52" s="642"/>
      <c r="BP52" s="10"/>
      <c r="BQ52" s="10"/>
      <c r="BR52" s="10"/>
    </row>
    <row r="53" spans="1:70" s="281" customFormat="1">
      <c r="A53" s="196" t="s">
        <v>1057</v>
      </c>
      <c r="B53" s="543"/>
      <c r="C53" s="543"/>
      <c r="D53" s="543"/>
      <c r="E53" s="543"/>
      <c r="F53" s="543"/>
      <c r="G53" s="1173"/>
      <c r="H53" s="730">
        <f>'Baseline debt'!D83*100</f>
        <v>9.932787992881476</v>
      </c>
      <c r="I53" s="731">
        <f>'Baseline debt'!E83*100</f>
        <v>8.4300411831384849</v>
      </c>
      <c r="J53" s="731">
        <f>'Baseline debt'!F83*100</f>
        <v>18.667973102801561</v>
      </c>
      <c r="K53" s="731">
        <f>'Baseline debt'!G83*100</f>
        <v>36.585785861520456</v>
      </c>
      <c r="L53" s="731">
        <f>'Baseline debt'!H83*100</f>
        <v>47.433105392994854</v>
      </c>
      <c r="M53" s="731">
        <f>'Baseline debt'!I83*100</f>
        <v>42.688637274506661</v>
      </c>
      <c r="N53" s="731">
        <f>'Baseline debt'!J83*100</f>
        <v>41.21450013760181</v>
      </c>
      <c r="O53" s="731">
        <f>'Baseline debt'!K83*100</f>
        <v>39.02610166998236</v>
      </c>
      <c r="P53" s="731">
        <f>'Baseline debt'!L83*100</f>
        <v>40.900987938816407</v>
      </c>
      <c r="Q53" s="731">
        <f>'Baseline debt'!M83*100</f>
        <v>36.589911384404253</v>
      </c>
      <c r="R53" s="731">
        <f>'Baseline debt'!N83*100</f>
        <v>40.167456396322947</v>
      </c>
      <c r="S53" s="732">
        <f>'Baseline debt'!O83*100</f>
        <v>39.842702208732895</v>
      </c>
      <c r="T53" s="731">
        <f>'Baseline debt'!P83*100</f>
        <v>37.084342131638088</v>
      </c>
      <c r="U53" s="731">
        <f>'Baseline debt'!Q83*100</f>
        <v>35.351552504862923</v>
      </c>
      <c r="V53" s="731">
        <f>'Baseline debt'!R83*100</f>
        <v>33.542090376828199</v>
      </c>
      <c r="W53" s="731">
        <f>'Baseline debt'!S83*100</f>
        <v>32.056160655910695</v>
      </c>
      <c r="X53" s="731">
        <f>'Baseline debt'!T83*100</f>
        <v>29.915873102736189</v>
      </c>
      <c r="Y53" s="732">
        <f>'Baseline debt'!U83*100</f>
        <v>27.903074435380589</v>
      </c>
      <c r="AX53" s="10"/>
      <c r="AY53" s="10"/>
      <c r="AZ53" s="10"/>
      <c r="BA53" s="10"/>
      <c r="BB53" s="10"/>
      <c r="BC53" s="10"/>
      <c r="BD53" s="10"/>
      <c r="BE53" s="10"/>
      <c r="BF53" s="278"/>
      <c r="BG53" s="278"/>
      <c r="BH53" s="278"/>
      <c r="BI53" s="278"/>
      <c r="BJ53" s="278"/>
      <c r="BK53" s="278"/>
      <c r="BP53" s="10"/>
    </row>
    <row r="54" spans="1:70" s="281" customFormat="1">
      <c r="A54" s="5" t="s">
        <v>1058</v>
      </c>
      <c r="B54" s="17"/>
      <c r="C54" s="17"/>
      <c r="D54" s="17"/>
      <c r="E54" s="17"/>
      <c r="F54" s="17"/>
      <c r="G54" s="1172"/>
      <c r="H54" s="730">
        <f t="shared" ref="H54:Q57" si="28">AP7</f>
        <v>0</v>
      </c>
      <c r="I54" s="731">
        <f t="shared" si="28"/>
        <v>9.9792693296943966</v>
      </c>
      <c r="J54" s="731">
        <f t="shared" si="28"/>
        <v>-3.5476442246113349</v>
      </c>
      <c r="K54" s="731">
        <f t="shared" si="28"/>
        <v>-14.401691783140869</v>
      </c>
      <c r="L54" s="731">
        <f t="shared" si="28"/>
        <v>-3.9406703055711478</v>
      </c>
      <c r="M54" s="731">
        <f t="shared" si="28"/>
        <v>6.3810212588655268</v>
      </c>
      <c r="N54" s="731">
        <f t="shared" si="28"/>
        <v>4.0346283749703504</v>
      </c>
      <c r="O54" s="731">
        <f t="shared" si="28"/>
        <v>2.4298512084855783</v>
      </c>
      <c r="P54" s="731">
        <f t="shared" si="28"/>
        <v>1.8582436516565437</v>
      </c>
      <c r="Q54" s="731">
        <f t="shared" si="28"/>
        <v>2.9717038316125821</v>
      </c>
      <c r="R54" s="731">
        <f t="shared" ref="R54:Y57" si="29">AZ7</f>
        <v>2.0643812960710717</v>
      </c>
      <c r="S54" s="732">
        <f t="shared" si="29"/>
        <v>4.6364796214269033</v>
      </c>
      <c r="T54" s="731">
        <f t="shared" si="29"/>
        <v>4.7697166816344838</v>
      </c>
      <c r="U54" s="731">
        <f t="shared" si="29"/>
        <v>3.1686434574876632</v>
      </c>
      <c r="V54" s="731">
        <f t="shared" si="29"/>
        <v>2.9947102444823903</v>
      </c>
      <c r="W54" s="731">
        <f t="shared" si="29"/>
        <v>2.8871442593204177</v>
      </c>
      <c r="X54" s="731">
        <f t="shared" si="29"/>
        <v>2.933023694707515</v>
      </c>
      <c r="Y54" s="732">
        <f t="shared" si="29"/>
        <v>2.8000000000000025</v>
      </c>
      <c r="AX54" s="278"/>
      <c r="AY54" s="278"/>
      <c r="AZ54" s="278"/>
      <c r="BA54" s="278"/>
      <c r="BB54" s="278"/>
      <c r="BC54" s="278"/>
      <c r="BD54" s="278"/>
      <c r="BE54" s="278"/>
      <c r="BF54" s="278"/>
      <c r="BG54" s="278"/>
      <c r="BH54" s="278"/>
      <c r="BI54" s="278"/>
      <c r="BJ54" s="278"/>
      <c r="BK54" s="278"/>
    </row>
    <row r="55" spans="1:70" s="281" customFormat="1">
      <c r="A55" s="5" t="s">
        <v>1059</v>
      </c>
      <c r="B55" s="17"/>
      <c r="C55" s="17"/>
      <c r="D55" s="17"/>
      <c r="E55" s="17"/>
      <c r="F55" s="17"/>
      <c r="G55" s="1172"/>
      <c r="H55" s="730">
        <f t="shared" si="28"/>
        <v>0</v>
      </c>
      <c r="I55" s="731">
        <f t="shared" si="28"/>
        <v>-12.804288849608458</v>
      </c>
      <c r="J55" s="731">
        <f t="shared" si="28"/>
        <v>-4.1808979797356312</v>
      </c>
      <c r="K55" s="731">
        <f t="shared" si="28"/>
        <v>17.640805772910852</v>
      </c>
      <c r="L55" s="731">
        <f>AT8</f>
        <v>5.3454602207914537</v>
      </c>
      <c r="M55" s="731">
        <f t="shared" si="28"/>
        <v>-2.0417855734224943</v>
      </c>
      <c r="N55" s="731">
        <f t="shared" si="28"/>
        <v>0.62123593831371338</v>
      </c>
      <c r="O55" s="731">
        <f t="shared" si="28"/>
        <v>1.9953211031954021</v>
      </c>
      <c r="P55" s="731">
        <f t="shared" si="28"/>
        <v>2.071954499395412</v>
      </c>
      <c r="Q55" s="731">
        <f t="shared" si="28"/>
        <v>3.3612620705746998</v>
      </c>
      <c r="R55" s="731">
        <f t="shared" si="29"/>
        <v>1.9766464943150153</v>
      </c>
      <c r="S55" s="732">
        <f t="shared" si="29"/>
        <v>-0.70683037603941345</v>
      </c>
      <c r="T55" s="731">
        <f t="shared" si="29"/>
        <v>-2.1625624008573929</v>
      </c>
      <c r="U55" s="731">
        <f t="shared" si="29"/>
        <v>-1.0653375141869481</v>
      </c>
      <c r="V55" s="731">
        <f>BD8</f>
        <v>-0.90088148887756958</v>
      </c>
      <c r="W55" s="731">
        <f>BE8</f>
        <v>-0.48992187526487596</v>
      </c>
      <c r="X55" s="731">
        <f>BF8</f>
        <v>-0.61122740006018805</v>
      </c>
      <c r="Y55" s="732">
        <f t="shared" si="29"/>
        <v>-0.5670980644873147</v>
      </c>
      <c r="AX55" s="278"/>
      <c r="AY55" s="278"/>
      <c r="AZ55" s="278"/>
      <c r="BA55" s="278"/>
      <c r="BB55" s="278"/>
      <c r="BC55" s="278"/>
      <c r="BD55" s="278"/>
      <c r="BE55" s="278"/>
      <c r="BF55" s="278"/>
      <c r="BG55" s="278"/>
      <c r="BH55" s="278"/>
      <c r="BI55" s="278"/>
      <c r="BJ55" s="278"/>
      <c r="BK55" s="278"/>
    </row>
    <row r="56" spans="1:70" s="281" customFormat="1">
      <c r="A56" s="5" t="s">
        <v>1060</v>
      </c>
      <c r="B56" s="17"/>
      <c r="C56" s="17"/>
      <c r="D56" s="17"/>
      <c r="E56" s="17"/>
      <c r="F56" s="17"/>
      <c r="G56" s="1172"/>
      <c r="H56" s="730">
        <f t="shared" si="28"/>
        <v>0</v>
      </c>
      <c r="I56" s="731">
        <f t="shared" si="28"/>
        <v>-0.65863984763110395</v>
      </c>
      <c r="J56" s="731">
        <f t="shared" si="28"/>
        <v>-4.510654182426471</v>
      </c>
      <c r="K56" s="731">
        <f t="shared" si="28"/>
        <v>-9.6884231788513127</v>
      </c>
      <c r="L56" s="731">
        <f t="shared" si="28"/>
        <v>-9.1471227844582117</v>
      </c>
      <c r="M56" s="731">
        <f t="shared" si="28"/>
        <v>-4.7633915406875005</v>
      </c>
      <c r="N56" s="731">
        <f t="shared" si="28"/>
        <v>-1.5073829551861262</v>
      </c>
      <c r="O56" s="731">
        <f t="shared" si="28"/>
        <v>-1.466213370777586</v>
      </c>
      <c r="P56" s="731">
        <f t="shared" si="28"/>
        <v>-1.8206327054309968</v>
      </c>
      <c r="Q56" s="731">
        <f t="shared" si="28"/>
        <v>-1.6295013174988937</v>
      </c>
      <c r="R56" s="731">
        <f t="shared" si="29"/>
        <v>-0.13020374649697075</v>
      </c>
      <c r="S56" s="732">
        <f t="shared" si="29"/>
        <v>-0.73983496353501876</v>
      </c>
      <c r="T56" s="731">
        <f t="shared" si="29"/>
        <v>-5.2301873674015509E-2</v>
      </c>
      <c r="U56" s="731">
        <f>BC9</f>
        <v>4.6597896115335713E-2</v>
      </c>
      <c r="V56" s="731">
        <f t="shared" si="29"/>
        <v>0.30885252917781103</v>
      </c>
      <c r="W56" s="731">
        <f t="shared" si="29"/>
        <v>0.22147723253581053</v>
      </c>
      <c r="X56" s="731">
        <f>BF9</f>
        <v>0.87301076297996993</v>
      </c>
      <c r="Y56" s="732">
        <f t="shared" si="29"/>
        <v>0.87301076297997549</v>
      </c>
      <c r="AX56" s="278"/>
      <c r="AY56" s="278"/>
      <c r="AZ56" s="278"/>
      <c r="BA56" s="278"/>
      <c r="BB56" s="278"/>
      <c r="BC56" s="278"/>
      <c r="BD56" s="278"/>
      <c r="BE56" s="278"/>
      <c r="BF56" s="278"/>
      <c r="BG56" s="278"/>
      <c r="BH56" s="278"/>
      <c r="BI56" s="278"/>
      <c r="BJ56" s="278"/>
      <c r="BK56" s="278"/>
    </row>
    <row r="57" spans="1:70" s="281" customFormat="1">
      <c r="A57" s="5" t="s">
        <v>1061</v>
      </c>
      <c r="B57" s="17"/>
      <c r="C57" s="17"/>
      <c r="D57" s="17"/>
      <c r="E57" s="17"/>
      <c r="F57" s="17"/>
      <c r="G57" s="1172"/>
      <c r="H57" s="730">
        <f t="shared" si="28"/>
        <v>0</v>
      </c>
      <c r="I57" s="731" t="str">
        <f t="shared" si="28"/>
        <v/>
      </c>
      <c r="J57" s="731" t="str">
        <f t="shared" si="28"/>
        <v/>
      </c>
      <c r="K57" s="731" t="str">
        <f t="shared" si="28"/>
        <v/>
      </c>
      <c r="L57" s="731" t="str">
        <f t="shared" si="28"/>
        <v/>
      </c>
      <c r="M57" s="731" t="str">
        <f t="shared" si="28"/>
        <v/>
      </c>
      <c r="N57" s="731" t="str">
        <f t="shared" si="28"/>
        <v/>
      </c>
      <c r="O57" s="731" t="str">
        <f t="shared" si="28"/>
        <v/>
      </c>
      <c r="P57" s="731" t="str">
        <f t="shared" si="28"/>
        <v/>
      </c>
      <c r="Q57" s="731" t="str">
        <f t="shared" si="28"/>
        <v/>
      </c>
      <c r="R57" s="731" t="str">
        <f t="shared" si="29"/>
        <v/>
      </c>
      <c r="S57" s="732" t="str">
        <f t="shared" si="29"/>
        <v/>
      </c>
      <c r="T57" s="731" t="str">
        <f t="shared" si="29"/>
        <v/>
      </c>
      <c r="U57" s="731" t="str">
        <f t="shared" si="29"/>
        <v/>
      </c>
      <c r="V57" s="731" t="str">
        <f t="shared" si="29"/>
        <v/>
      </c>
      <c r="W57" s="731" t="str">
        <f>BE10</f>
        <v/>
      </c>
      <c r="X57" s="731" t="str">
        <f t="shared" si="29"/>
        <v/>
      </c>
      <c r="Y57" s="732" t="str">
        <f t="shared" si="29"/>
        <v/>
      </c>
      <c r="AX57" s="278"/>
      <c r="AY57" s="278"/>
      <c r="AZ57" s="278"/>
      <c r="BA57" s="278"/>
      <c r="BB57" s="278"/>
      <c r="BC57" s="278"/>
      <c r="BD57" s="278"/>
      <c r="BE57" s="278"/>
      <c r="BF57" s="278"/>
      <c r="BG57" s="278"/>
      <c r="BH57" s="278"/>
      <c r="BI57" s="278"/>
      <c r="BJ57" s="278"/>
      <c r="BK57" s="278"/>
    </row>
    <row r="58" spans="1:70" s="281" customFormat="1" ht="15.75" thickBot="1">
      <c r="A58" s="198" t="s">
        <v>1062</v>
      </c>
      <c r="B58" s="535"/>
      <c r="C58" s="535"/>
      <c r="D58" s="535"/>
      <c r="E58" s="535"/>
      <c r="F58" s="535"/>
      <c r="G58" s="742"/>
      <c r="H58" s="733">
        <f>H53-H61</f>
        <v>9.932787992881476</v>
      </c>
      <c r="I58" s="734" t="e">
        <f t="shared" ref="I58:Y58" si="30">I53-I61</f>
        <v>#VALUE!</v>
      </c>
      <c r="J58" s="734" t="e">
        <f t="shared" si="30"/>
        <v>#VALUE!</v>
      </c>
      <c r="K58" s="734" t="e">
        <f t="shared" si="30"/>
        <v>#VALUE!</v>
      </c>
      <c r="L58" s="734" t="e">
        <f t="shared" si="30"/>
        <v>#VALUE!</v>
      </c>
      <c r="M58" s="734" t="e">
        <f t="shared" si="30"/>
        <v>#VALUE!</v>
      </c>
      <c r="N58" s="734" t="e">
        <f t="shared" si="30"/>
        <v>#VALUE!</v>
      </c>
      <c r="O58" s="734" t="e">
        <f t="shared" si="30"/>
        <v>#VALUE!</v>
      </c>
      <c r="P58" s="734" t="e">
        <f t="shared" si="30"/>
        <v>#VALUE!</v>
      </c>
      <c r="Q58" s="734" t="e">
        <f t="shared" si="30"/>
        <v>#VALUE!</v>
      </c>
      <c r="R58" s="734" t="e">
        <f t="shared" si="30"/>
        <v>#VALUE!</v>
      </c>
      <c r="S58" s="735" t="e">
        <f t="shared" si="30"/>
        <v>#VALUE!</v>
      </c>
      <c r="T58" s="734" t="e">
        <f t="shared" si="30"/>
        <v>#VALUE!</v>
      </c>
      <c r="U58" s="734" t="e">
        <f t="shared" si="30"/>
        <v>#VALUE!</v>
      </c>
      <c r="V58" s="734" t="e">
        <f t="shared" si="30"/>
        <v>#VALUE!</v>
      </c>
      <c r="W58" s="734" t="e">
        <f t="shared" si="30"/>
        <v>#VALUE!</v>
      </c>
      <c r="X58" s="734" t="e">
        <f t="shared" si="30"/>
        <v>#VALUE!</v>
      </c>
      <c r="Y58" s="735" t="e">
        <f t="shared" si="30"/>
        <v>#VALUE!</v>
      </c>
      <c r="AX58" s="278"/>
      <c r="AY58" s="278"/>
      <c r="AZ58" s="278"/>
      <c r="BA58" s="278"/>
      <c r="BB58" s="278"/>
      <c r="BC58" s="278"/>
      <c r="BD58" s="278"/>
      <c r="BE58" s="278"/>
      <c r="BF58" s="278"/>
      <c r="BG58" s="278"/>
      <c r="BH58" s="278"/>
      <c r="BI58" s="278"/>
      <c r="BJ58" s="278"/>
      <c r="BK58" s="278"/>
    </row>
    <row r="59" spans="1:70" s="281" customFormat="1">
      <c r="AX59" s="278"/>
      <c r="AY59" s="278"/>
      <c r="AZ59" s="278"/>
      <c r="BA59" s="278"/>
      <c r="BB59" s="278"/>
      <c r="BC59" s="278"/>
      <c r="BD59" s="278"/>
      <c r="BE59" s="278"/>
      <c r="BF59" s="278"/>
      <c r="BG59" s="278"/>
      <c r="BH59" s="278"/>
      <c r="BI59" s="278"/>
      <c r="BJ59" s="278"/>
      <c r="BK59" s="278"/>
    </row>
    <row r="60" spans="1:70" s="281" customFormat="1" ht="15.75" thickBot="1">
      <c r="H60" s="10"/>
      <c r="I60" s="10"/>
      <c r="J60" s="10"/>
      <c r="K60" s="10"/>
      <c r="L60" s="10"/>
      <c r="M60" s="10"/>
      <c r="N60" s="10"/>
      <c r="O60" s="10"/>
      <c r="P60" s="10"/>
      <c r="Q60" s="10"/>
      <c r="R60" s="10"/>
      <c r="S60" s="10"/>
      <c r="T60" s="10"/>
      <c r="U60" s="10"/>
      <c r="V60" s="10"/>
      <c r="W60" s="10"/>
      <c r="X60" s="10"/>
      <c r="Y60" s="10"/>
      <c r="AX60" s="278"/>
      <c r="AY60" s="278"/>
      <c r="AZ60" s="278"/>
      <c r="BA60" s="278"/>
      <c r="BB60" s="278"/>
      <c r="BC60" s="278"/>
      <c r="BD60" s="278"/>
      <c r="BE60" s="278"/>
      <c r="BF60" s="278"/>
      <c r="BG60" s="278"/>
      <c r="BH60" s="278"/>
      <c r="BI60" s="278"/>
      <c r="BJ60" s="278"/>
      <c r="BK60" s="278"/>
    </row>
    <row r="61" spans="1:70" s="281" customFormat="1">
      <c r="A61" s="196" t="s">
        <v>1063</v>
      </c>
      <c r="B61" s="543"/>
      <c r="C61" s="543"/>
      <c r="D61" s="543"/>
      <c r="E61" s="543"/>
      <c r="F61" s="543"/>
      <c r="G61" s="1173"/>
      <c r="H61" s="746">
        <f>B53*(1+H55/100)*((1+H57/100)*B62+(1-B62))/(1+H54/100)-H56</f>
        <v>0</v>
      </c>
      <c r="I61" s="743" t="e">
        <f>H53*(1+I55/100)*((1+I57/100)*H62+(1-H62))/(1+I54/100)-I56</f>
        <v>#VALUE!</v>
      </c>
      <c r="J61" s="743" t="e">
        <f t="shared" ref="J61:Y61" si="31">I53*(1+J55/100)*((1+J57/100)*I62+(1-I62))/(1+J54/100)-J56</f>
        <v>#VALUE!</v>
      </c>
      <c r="K61" s="743" t="e">
        <f t="shared" si="31"/>
        <v>#VALUE!</v>
      </c>
      <c r="L61" s="743" t="e">
        <f t="shared" si="31"/>
        <v>#VALUE!</v>
      </c>
      <c r="M61" s="743" t="e">
        <f t="shared" si="31"/>
        <v>#VALUE!</v>
      </c>
      <c r="N61" s="743" t="e">
        <f t="shared" si="31"/>
        <v>#VALUE!</v>
      </c>
      <c r="O61" s="743" t="e">
        <f t="shared" si="31"/>
        <v>#VALUE!</v>
      </c>
      <c r="P61" s="743" t="e">
        <f t="shared" si="31"/>
        <v>#VALUE!</v>
      </c>
      <c r="Q61" s="743" t="e">
        <f t="shared" si="31"/>
        <v>#VALUE!</v>
      </c>
      <c r="R61" s="743" t="e">
        <f t="shared" si="31"/>
        <v>#VALUE!</v>
      </c>
      <c r="S61" s="744" t="e">
        <f t="shared" si="31"/>
        <v>#VALUE!</v>
      </c>
      <c r="T61" s="743" t="e">
        <f t="shared" si="31"/>
        <v>#VALUE!</v>
      </c>
      <c r="U61" s="743" t="e">
        <f t="shared" si="31"/>
        <v>#VALUE!</v>
      </c>
      <c r="V61" s="743" t="e">
        <f t="shared" si="31"/>
        <v>#VALUE!</v>
      </c>
      <c r="W61" s="743" t="e">
        <f t="shared" si="31"/>
        <v>#VALUE!</v>
      </c>
      <c r="X61" s="743" t="e">
        <f t="shared" si="31"/>
        <v>#VALUE!</v>
      </c>
      <c r="Y61" s="744" t="e">
        <f t="shared" si="31"/>
        <v>#VALUE!</v>
      </c>
      <c r="AX61" s="278"/>
      <c r="AY61" s="278"/>
      <c r="AZ61" s="278"/>
      <c r="BA61" s="278"/>
      <c r="BB61" s="278"/>
      <c r="BC61" s="278"/>
      <c r="BD61" s="278"/>
      <c r="BE61" s="278"/>
      <c r="BF61" s="278"/>
      <c r="BG61" s="278"/>
      <c r="BH61" s="278"/>
      <c r="BI61" s="278"/>
      <c r="BJ61" s="278"/>
      <c r="BK61" s="278"/>
    </row>
    <row r="62" spans="1:70" s="281" customFormat="1" ht="15.75" thickBot="1">
      <c r="A62" s="198" t="s">
        <v>1064</v>
      </c>
      <c r="B62" s="535"/>
      <c r="C62" s="535"/>
      <c r="D62" s="535"/>
      <c r="E62" s="535"/>
      <c r="F62" s="535"/>
      <c r="G62" s="742"/>
      <c r="H62" s="747">
        <f>('Baseline debt'!D13+'Baseline debt'!D20)/'Baseline debt'!D7</f>
        <v>2.8420004275080346E-2</v>
      </c>
      <c r="I62" s="673">
        <f>('Baseline debt'!E13+'Baseline debt'!E20)/'Baseline debt'!E7</f>
        <v>2.0827822586274292E-2</v>
      </c>
      <c r="J62" s="673">
        <f>('Baseline debt'!F13+'Baseline debt'!F20)/'Baseline debt'!F7</f>
        <v>0.13728001965235051</v>
      </c>
      <c r="K62" s="673">
        <f>('Baseline debt'!G13+'Baseline debt'!G20)/'Baseline debt'!G7</f>
        <v>0.12264186328517249</v>
      </c>
      <c r="L62" s="673">
        <f>('Baseline debt'!H13+'Baseline debt'!H20)/'Baseline debt'!H7</f>
        <v>0.13731106641722229</v>
      </c>
      <c r="M62" s="673">
        <f>('Baseline debt'!I13+'Baseline debt'!I20)/'Baseline debt'!I7</f>
        <v>0.16965992593679019</v>
      </c>
      <c r="N62" s="673">
        <f>('Baseline debt'!J13+'Baseline debt'!J20)/'Baseline debt'!J7</f>
        <v>0.22957067632278558</v>
      </c>
      <c r="O62" s="673">
        <f>('Baseline debt'!K13+'Baseline debt'!K20)/'Baseline debt'!K7</f>
        <v>0.23426171204432245</v>
      </c>
      <c r="P62" s="673">
        <f>('Baseline debt'!L13+'Baseline debt'!L20)/'Baseline debt'!L7</f>
        <v>0.21180303233217285</v>
      </c>
      <c r="Q62" s="673">
        <f>('Baseline debt'!M13+'Baseline debt'!M20)/'Baseline debt'!M7</f>
        <v>0.17676154666058344</v>
      </c>
      <c r="R62" s="673">
        <f>('Baseline debt'!N13+'Baseline debt'!N20)/'Baseline debt'!N7</f>
        <v>3.0000000000000274E-3</v>
      </c>
      <c r="S62" s="745">
        <f>('Baseline debt'!O13+'Baseline debt'!O20)/'Baseline debt'!O7</f>
        <v>9.9999999999991871E-4</v>
      </c>
      <c r="T62" s="673">
        <f>('Baseline debt'!P13+'Baseline debt'!P20)/'Baseline debt'!P7</f>
        <v>6.5308327274330737E-4</v>
      </c>
      <c r="U62" s="673">
        <f>('Baseline debt'!Q13+'Baseline debt'!Q20)/'Baseline debt'!Q7</f>
        <v>5.8394855095069635E-4</v>
      </c>
      <c r="V62" s="673">
        <f>('Baseline debt'!R13+'Baseline debt'!R20)/'Baseline debt'!R7</f>
        <v>-5.4436339847638397E-2</v>
      </c>
      <c r="W62" s="673">
        <f>('Baseline debt'!S13+'Baseline debt'!S20)/'Baseline debt'!S7</f>
        <v>-8.5392912786142389E-2</v>
      </c>
      <c r="X62" s="673">
        <f>('Baseline debt'!T13+'Baseline debt'!T20)/'Baseline debt'!T7</f>
        <v>-8.6787381880262124E-2</v>
      </c>
      <c r="Y62" s="745">
        <f>('Baseline debt'!U13+'Baseline debt'!U20)/'Baseline debt'!U7</f>
        <v>-8.8316703783647033E-2</v>
      </c>
      <c r="AU62" s="278"/>
      <c r="AV62" s="278"/>
      <c r="AW62" s="278"/>
      <c r="AX62" s="278"/>
      <c r="AY62" s="278"/>
      <c r="AZ62" s="278"/>
      <c r="BA62" s="278"/>
      <c r="BB62" s="278"/>
      <c r="BC62" s="278"/>
      <c r="BD62" s="278"/>
      <c r="BE62" s="278"/>
      <c r="BF62" s="278"/>
      <c r="BG62" s="278"/>
      <c r="BH62" s="278"/>
      <c r="BI62" s="278"/>
      <c r="BJ62" s="278"/>
      <c r="BK62" s="278"/>
    </row>
    <row r="63" spans="1:70" s="17" customFormat="1">
      <c r="A63" s="281"/>
      <c r="B63" s="281"/>
      <c r="C63" s="281"/>
      <c r="D63" s="281"/>
      <c r="E63" s="281"/>
      <c r="F63" s="281"/>
      <c r="G63" s="281"/>
      <c r="H63" s="281"/>
      <c r="I63" s="281"/>
      <c r="J63" s="281"/>
      <c r="K63" s="281"/>
      <c r="L63" s="281"/>
      <c r="M63" s="281"/>
      <c r="N63" s="281"/>
      <c r="O63" s="281"/>
      <c r="P63" s="281"/>
      <c r="Q63" s="281"/>
      <c r="R63" s="281"/>
      <c r="S63" s="281"/>
      <c r="T63" s="281"/>
      <c r="U63" s="281"/>
      <c r="V63" s="281"/>
      <c r="W63" s="281"/>
      <c r="X63" s="281"/>
      <c r="Y63" s="281"/>
      <c r="Z63" s="281"/>
      <c r="AA63" s="281"/>
      <c r="AB63" s="281"/>
      <c r="AC63" s="281"/>
      <c r="AD63" s="281"/>
      <c r="AE63" s="281"/>
      <c r="AF63" s="281"/>
      <c r="AG63" s="281"/>
      <c r="AH63" s="281"/>
      <c r="AI63" s="281"/>
      <c r="AJ63" s="281"/>
      <c r="AK63" s="281"/>
      <c r="AL63" s="281"/>
      <c r="AM63" s="281"/>
      <c r="AN63" s="281"/>
      <c r="AO63" s="281"/>
      <c r="AP63" s="281"/>
      <c r="AQ63" s="281"/>
      <c r="AR63" s="281"/>
      <c r="AS63" s="281"/>
      <c r="AT63" s="281"/>
      <c r="AU63" s="278"/>
      <c r="AV63" s="278"/>
      <c r="AW63" s="278"/>
      <c r="AX63" s="278"/>
      <c r="AY63" s="526"/>
      <c r="AZ63" s="526"/>
      <c r="BA63" s="526"/>
      <c r="BB63" s="526"/>
      <c r="BC63" s="526"/>
      <c r="BD63" s="526"/>
      <c r="BE63" s="526"/>
      <c r="BF63" s="526"/>
      <c r="BG63" s="526"/>
      <c r="BH63" s="526"/>
      <c r="BI63" s="526"/>
      <c r="BJ63" s="526"/>
      <c r="BK63" s="526"/>
    </row>
    <row r="64" spans="1:70" s="666" customFormat="1">
      <c r="D64" s="763"/>
      <c r="E64" s="763"/>
      <c r="F64" s="763"/>
      <c r="G64" s="763"/>
      <c r="H64" s="763"/>
      <c r="I64" s="763"/>
      <c r="J64" s="763"/>
      <c r="K64" s="763"/>
      <c r="L64" s="763"/>
      <c r="M64" s="763"/>
      <c r="N64" s="763"/>
      <c r="O64" s="763"/>
      <c r="P64" s="763"/>
      <c r="Q64" s="763"/>
      <c r="R64" s="763"/>
      <c r="S64" s="763"/>
      <c r="T64" s="763"/>
    </row>
    <row r="65" spans="1:71" s="282" customFormat="1">
      <c r="A65" s="63" t="s">
        <v>473</v>
      </c>
      <c r="B65" s="684"/>
      <c r="C65" s="17"/>
      <c r="D65" s="17"/>
      <c r="E65" s="17"/>
      <c r="F65" s="17"/>
      <c r="G65" s="1153"/>
      <c r="I65" s="17"/>
      <c r="J65" s="62"/>
      <c r="K65" s="17"/>
      <c r="L65" s="17"/>
      <c r="M65" s="17"/>
      <c r="O65" s="17"/>
      <c r="P65" s="62"/>
      <c r="Q65" s="17"/>
      <c r="R65" s="17"/>
      <c r="S65" s="17"/>
      <c r="U65" s="17"/>
      <c r="V65" s="62"/>
      <c r="W65" s="17"/>
      <c r="X65" s="17"/>
      <c r="Y65" s="17"/>
      <c r="AA65" s="17"/>
      <c r="AB65" s="62"/>
      <c r="AC65" s="17"/>
      <c r="AD65" s="17"/>
      <c r="AE65" s="17"/>
      <c r="AF65" s="17"/>
      <c r="AG65" s="17"/>
      <c r="AH65" s="17"/>
      <c r="AI65" s="17"/>
      <c r="AJ65" s="17"/>
      <c r="AK65" s="17"/>
      <c r="AL65" s="17"/>
      <c r="AM65" s="17"/>
      <c r="AN65" s="17"/>
      <c r="AP65" s="17"/>
      <c r="AQ65" s="62"/>
      <c r="AR65" s="17"/>
      <c r="AS65" s="17"/>
      <c r="AT65" s="17"/>
      <c r="AV65" s="17"/>
      <c r="AW65" s="62"/>
      <c r="AX65" s="17"/>
      <c r="AY65" s="17"/>
      <c r="AZ65" s="17"/>
      <c r="BB65" s="17"/>
      <c r="BC65" s="62"/>
      <c r="BD65" s="17"/>
      <c r="BE65" s="17"/>
      <c r="BF65" s="17"/>
      <c r="BH65" s="17"/>
      <c r="BI65" s="62"/>
      <c r="BJ65" s="17"/>
      <c r="BK65" s="17"/>
      <c r="BL65" s="17"/>
      <c r="BM65" s="17"/>
      <c r="BN65" s="17"/>
      <c r="BO65" s="17"/>
      <c r="BP65" s="17"/>
      <c r="BQ65" s="17"/>
      <c r="BR65" s="17"/>
      <c r="BS65" s="17"/>
    </row>
    <row r="66" spans="1:71" s="282" customFormat="1" ht="15.75" thickBot="1">
      <c r="A66" s="63"/>
      <c r="B66" s="684"/>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7"/>
      <c r="BK66" s="17"/>
      <c r="BL66" s="17"/>
      <c r="BM66" s="17"/>
      <c r="BN66" s="17"/>
      <c r="BO66" s="17"/>
      <c r="BP66" s="17"/>
      <c r="BQ66" s="17"/>
      <c r="BR66" s="17"/>
      <c r="BS66" s="17"/>
    </row>
    <row r="67" spans="1:71" s="282" customFormat="1" ht="15.75" thickBot="1">
      <c r="A67" s="63"/>
      <c r="B67" s="684" t="s">
        <v>476</v>
      </c>
      <c r="C67" s="17" t="s">
        <v>477</v>
      </c>
      <c r="D67" s="17" t="s">
        <v>478</v>
      </c>
      <c r="E67" s="17" t="s">
        <v>479</v>
      </c>
      <c r="F67" s="17"/>
      <c r="G67" s="17"/>
      <c r="H67" s="1932" t="s">
        <v>481</v>
      </c>
      <c r="I67" s="1933"/>
      <c r="J67" s="1933"/>
      <c r="K67" s="1933"/>
      <c r="L67" s="1933"/>
      <c r="M67" s="1934"/>
      <c r="N67" s="1935" t="s">
        <v>482</v>
      </c>
      <c r="O67" s="1936"/>
      <c r="P67" s="1936"/>
      <c r="Q67" s="1936"/>
      <c r="R67" s="1936"/>
      <c r="S67" s="1937"/>
      <c r="T67" s="1932" t="s">
        <v>483</v>
      </c>
      <c r="U67" s="1933"/>
      <c r="V67" s="1933"/>
      <c r="W67" s="1933"/>
      <c r="X67" s="1933"/>
      <c r="Y67" s="1934"/>
      <c r="Z67" s="1932" t="s">
        <v>484</v>
      </c>
      <c r="AA67" s="1933"/>
      <c r="AB67" s="1933"/>
      <c r="AC67" s="1933"/>
      <c r="AD67" s="1933"/>
      <c r="AE67" s="1934"/>
      <c r="AF67" s="662"/>
      <c r="AG67" s="1938" t="s">
        <v>485</v>
      </c>
      <c r="AH67" s="1939"/>
      <c r="AI67" s="1939"/>
      <c r="AJ67" s="1939"/>
      <c r="AK67" s="1939"/>
      <c r="AL67" s="1940"/>
      <c r="AM67" s="662"/>
      <c r="AN67" s="662"/>
      <c r="AO67" s="1932" t="s">
        <v>481</v>
      </c>
      <c r="AP67" s="1933"/>
      <c r="AQ67" s="1933"/>
      <c r="AR67" s="1933"/>
      <c r="AS67" s="1933"/>
      <c r="AT67" s="1934"/>
      <c r="AU67" s="1935" t="s">
        <v>482</v>
      </c>
      <c r="AV67" s="1936"/>
      <c r="AW67" s="1936"/>
      <c r="AX67" s="1936"/>
      <c r="AY67" s="1936"/>
      <c r="AZ67" s="1937"/>
      <c r="BA67" s="1932" t="s">
        <v>483</v>
      </c>
      <c r="BB67" s="1933"/>
      <c r="BC67" s="1933"/>
      <c r="BD67" s="1933"/>
      <c r="BE67" s="1933"/>
      <c r="BF67" s="1934"/>
      <c r="BG67" s="1932" t="s">
        <v>484</v>
      </c>
      <c r="BH67" s="1933"/>
      <c r="BI67" s="1933"/>
      <c r="BJ67" s="1933"/>
      <c r="BK67" s="1933"/>
      <c r="BL67" s="1934"/>
      <c r="BM67" s="662"/>
      <c r="BN67" s="1938" t="s">
        <v>485</v>
      </c>
      <c r="BO67" s="1939"/>
      <c r="BP67" s="1939"/>
      <c r="BQ67" s="1939"/>
      <c r="BR67" s="1939"/>
      <c r="BS67" s="1940"/>
    </row>
    <row r="68" spans="1:71" s="282" customFormat="1" ht="15.75" thickBot="1">
      <c r="A68" s="284" t="s">
        <v>1055</v>
      </c>
      <c r="B68" s="684"/>
      <c r="C68" s="17"/>
      <c r="D68" s="17"/>
      <c r="E68" s="17"/>
      <c r="F68" s="284"/>
      <c r="G68" s="284"/>
      <c r="H68" s="753">
        <f>FirstYear</f>
        <v>2018</v>
      </c>
      <c r="I68" s="754">
        <f>H68+1</f>
        <v>2019</v>
      </c>
      <c r="J68" s="754">
        <f>I68+1</f>
        <v>2020</v>
      </c>
      <c r="K68" s="754">
        <f>J68+1</f>
        <v>2021</v>
      </c>
      <c r="L68" s="754">
        <f>K68+1</f>
        <v>2022</v>
      </c>
      <c r="M68" s="754">
        <f>L68+1</f>
        <v>2023</v>
      </c>
      <c r="N68" s="755">
        <f>FirstYear</f>
        <v>2018</v>
      </c>
      <c r="O68" s="756">
        <f>N68+1</f>
        <v>2019</v>
      </c>
      <c r="P68" s="756">
        <f>O68+1</f>
        <v>2020</v>
      </c>
      <c r="Q68" s="756">
        <f>P68+1</f>
        <v>2021</v>
      </c>
      <c r="R68" s="756">
        <f>Q68+1</f>
        <v>2022</v>
      </c>
      <c r="S68" s="757">
        <f>R68+1</f>
        <v>2023</v>
      </c>
      <c r="T68" s="758">
        <f>FirstYear</f>
        <v>2018</v>
      </c>
      <c r="U68" s="759">
        <f>T68+1</f>
        <v>2019</v>
      </c>
      <c r="V68" s="759">
        <f>U68+1</f>
        <v>2020</v>
      </c>
      <c r="W68" s="759">
        <f>V68+1</f>
        <v>2021</v>
      </c>
      <c r="X68" s="759">
        <f>W68+1</f>
        <v>2022</v>
      </c>
      <c r="Y68" s="760">
        <f>X68+1</f>
        <v>2023</v>
      </c>
      <c r="Z68" s="761">
        <f>FirstYear</f>
        <v>2018</v>
      </c>
      <c r="AA68" s="761">
        <f>Z68+1</f>
        <v>2019</v>
      </c>
      <c r="AB68" s="761">
        <f>AA68+1</f>
        <v>2020</v>
      </c>
      <c r="AC68" s="761">
        <f>AB68+1</f>
        <v>2021</v>
      </c>
      <c r="AD68" s="761">
        <f>AC68+1</f>
        <v>2022</v>
      </c>
      <c r="AE68" s="762">
        <f>AD68+1</f>
        <v>2023</v>
      </c>
      <c r="AF68" s="281"/>
      <c r="AG68" s="959">
        <f>FirstYear</f>
        <v>2018</v>
      </c>
      <c r="AH68" s="960">
        <f>AG68+1</f>
        <v>2019</v>
      </c>
      <c r="AI68" s="960">
        <f>AH68+1</f>
        <v>2020</v>
      </c>
      <c r="AJ68" s="960">
        <f>AI68+1</f>
        <v>2021</v>
      </c>
      <c r="AK68" s="960">
        <f>AJ68+1</f>
        <v>2022</v>
      </c>
      <c r="AL68" s="961">
        <f>AK68+1</f>
        <v>2023</v>
      </c>
      <c r="AM68" s="281"/>
      <c r="AN68" s="662"/>
      <c r="AO68" s="753">
        <f>FirstYear</f>
        <v>2018</v>
      </c>
      <c r="AP68" s="754">
        <f>AO68+1</f>
        <v>2019</v>
      </c>
      <c r="AQ68" s="754">
        <f>AP68+1</f>
        <v>2020</v>
      </c>
      <c r="AR68" s="754">
        <f>AQ68+1</f>
        <v>2021</v>
      </c>
      <c r="AS68" s="754">
        <f>AR68+1</f>
        <v>2022</v>
      </c>
      <c r="AT68" s="754">
        <f>AS68+1</f>
        <v>2023</v>
      </c>
      <c r="AU68" s="755">
        <f>FirstYear</f>
        <v>2018</v>
      </c>
      <c r="AV68" s="756">
        <f>AU68+1</f>
        <v>2019</v>
      </c>
      <c r="AW68" s="756">
        <f>AV68+1</f>
        <v>2020</v>
      </c>
      <c r="AX68" s="756">
        <f>AW68+1</f>
        <v>2021</v>
      </c>
      <c r="AY68" s="756">
        <f>AX68+1</f>
        <v>2022</v>
      </c>
      <c r="AZ68" s="757">
        <f>AY68+1</f>
        <v>2023</v>
      </c>
      <c r="BA68" s="758">
        <f>FirstYear</f>
        <v>2018</v>
      </c>
      <c r="BB68" s="759">
        <f>BA68+1</f>
        <v>2019</v>
      </c>
      <c r="BC68" s="759">
        <f>BB68+1</f>
        <v>2020</v>
      </c>
      <c r="BD68" s="759">
        <f>BC68+1</f>
        <v>2021</v>
      </c>
      <c r="BE68" s="759">
        <f>BD68+1</f>
        <v>2022</v>
      </c>
      <c r="BF68" s="760">
        <f>BE68+1</f>
        <v>2023</v>
      </c>
      <c r="BG68" s="761">
        <f>FirstYear</f>
        <v>2018</v>
      </c>
      <c r="BH68" s="761">
        <f>BG68+1</f>
        <v>2019</v>
      </c>
      <c r="BI68" s="761">
        <f>BH68+1</f>
        <v>2020</v>
      </c>
      <c r="BJ68" s="761">
        <f>BI68+1</f>
        <v>2021</v>
      </c>
      <c r="BK68" s="761">
        <f>BJ68+1</f>
        <v>2022</v>
      </c>
      <c r="BL68" s="762">
        <f>BK68+1</f>
        <v>2023</v>
      </c>
      <c r="BM68" s="281"/>
      <c r="BN68" s="959">
        <f>FirstYear</f>
        <v>2018</v>
      </c>
      <c r="BO68" s="960">
        <f>BN68+1</f>
        <v>2019</v>
      </c>
      <c r="BP68" s="960">
        <f>BO68+1</f>
        <v>2020</v>
      </c>
      <c r="BQ68" s="960">
        <f>BP68+1</f>
        <v>2021</v>
      </c>
      <c r="BR68" s="960">
        <f>BQ68+1</f>
        <v>2022</v>
      </c>
      <c r="BS68" s="961">
        <f>BS28</f>
        <v>2023</v>
      </c>
    </row>
    <row r="69" spans="1:71" s="282" customFormat="1">
      <c r="A69" s="284">
        <v>1</v>
      </c>
      <c r="B69" s="285">
        <v>4.2145845886193447</v>
      </c>
      <c r="C69" s="285">
        <v>2.9727425809282035</v>
      </c>
      <c r="D69" s="285">
        <v>2.4453044914044679</v>
      </c>
      <c r="E69" s="285">
        <v>-11.925629399865093</v>
      </c>
      <c r="F69" s="286"/>
      <c r="G69" s="286"/>
      <c r="H69" s="685">
        <f>IF($B$42="On",$B69-$D$15,0)</f>
        <v>3.0813507468502896</v>
      </c>
      <c r="I69" s="276">
        <f>IF($B$42="On",$B1069-$D$15,0)</f>
        <v>0.40543208047760193</v>
      </c>
      <c r="J69" s="276">
        <f>IF($B$42="On",$B2069-$D$15,0)</f>
        <v>1.5567075571946816</v>
      </c>
      <c r="K69" s="276">
        <f>IF($B$42="On",$B3069-$D$15,0)</f>
        <v>-1.7606776640870687</v>
      </c>
      <c r="L69" s="276">
        <f>IF($B$42="On",$B4069-$D$15,0)</f>
        <v>-1.1951442431680408</v>
      </c>
      <c r="M69" s="276">
        <f>IF($B$42="On",$B5069-$D$15,0)</f>
        <v>-2.6979513139349471</v>
      </c>
      <c r="N69" s="685">
        <f>IF($B$43="On",$C69-$D$16,0)</f>
        <v>1.7655713699563351</v>
      </c>
      <c r="O69" s="276">
        <f>IF($B$43="On",$C1069-$D$16,0)</f>
        <v>1.488552442518239</v>
      </c>
      <c r="P69" s="276">
        <f>IF($B$43="On",$C2069-$D$16,0)</f>
        <v>1.7501130501181301</v>
      </c>
      <c r="Q69" s="276">
        <f>IF($B$43="On",$C3069-$D$16,0)</f>
        <v>0.90615750315019583</v>
      </c>
      <c r="R69" s="276">
        <f>IF($B$43="On",$C4069-$D$16,0)</f>
        <v>1.0020031895385906</v>
      </c>
      <c r="S69" s="686">
        <f>IF($B$43="On",$C5069-$D$16,0)</f>
        <v>1.5014338928585935</v>
      </c>
      <c r="T69" s="685">
        <f>IF($B$44="On",$D69-$D$17,0)</f>
        <v>5.7236681816753938</v>
      </c>
      <c r="U69" s="276">
        <f>IF($B$44="On",$D1069-$D$17,0)</f>
        <v>6.7259161066949833</v>
      </c>
      <c r="V69" s="276">
        <f>IF($B$44="On",$D2069-$D$17,0)</f>
        <v>4.6351384346428812</v>
      </c>
      <c r="W69" s="276">
        <f>IF($B$44="On",$D3069-$D$17,0)</f>
        <v>6.7531588794656399</v>
      </c>
      <c r="X69" s="276">
        <f>IF($B$44="On",$D4069-$D$17,0)</f>
        <v>6.2280544461621794</v>
      </c>
      <c r="Y69" s="686">
        <f>IF($B$44="On",$D5069-$D$17,0)</f>
        <v>3.8179911381700284</v>
      </c>
      <c r="Z69" s="685" t="e">
        <f>IF($B$45="On",$E69-$D$18,0)</f>
        <v>#DIV/0!</v>
      </c>
      <c r="AA69" s="276" t="e">
        <f>IF($B$45="On",$E1069-$D$18,0)</f>
        <v>#DIV/0!</v>
      </c>
      <c r="AB69" s="276" t="e">
        <f>IF($B$45="On",$E2069-$D$18,0)</f>
        <v>#DIV/0!</v>
      </c>
      <c r="AC69" s="276" t="e">
        <f>IF($B$45="On",$E3069-$D$18,0)</f>
        <v>#DIV/0!</v>
      </c>
      <c r="AD69" s="276" t="e">
        <f>IF($B$45="On",$E4069-$D$18,0)</f>
        <v>#DIV/0!</v>
      </c>
      <c r="AE69" s="686" t="e">
        <f>IF($B$45="On",$E5069-$D$18,0)</f>
        <v>#DIV/0!</v>
      </c>
      <c r="AF69" s="239"/>
      <c r="AG69" s="962" t="e">
        <f>S$53*(1+(T$55+N69)/100)*((1-S$62)+S$62*((1+(T$57+Z69)/100)))/(1+(T$54+H69)/100)-(T$56+T69)+T$58</f>
        <v>#VALUE!</v>
      </c>
      <c r="AH69" s="963" t="e">
        <f>AG69*(1+(U$55+O69)/100)*((1-T$62)+T$62*((1+(U$57+AA69)/100)))/(1+(U$54+I69)/100)-(U$56+U69)+U$58</f>
        <v>#VALUE!</v>
      </c>
      <c r="AI69" s="963" t="e">
        <f>AH69*(1+(V$55+P69)/100)*((1-U$62)+U$62*((1+(V$57+AB69)/100)))/(1+(V$54+J69)/100)-(V$56+V69)+V$58</f>
        <v>#VALUE!</v>
      </c>
      <c r="AJ69" s="963" t="e">
        <f>AI69*(1+(W$55+Q69)/100)*((1-V$62)+V$62*((1+(W$57+AC69)/100)))/(1+(W$54+K69)/100)-(W$56+W69)+W$58</f>
        <v>#VALUE!</v>
      </c>
      <c r="AK69" s="963" t="e">
        <f>AJ69*(1+(X$55+R69)/100)*((1-W$62)+W$62*((1+(X$57+AD69)/100)))/(1+(X$54+L69)/100)-(X$56+X69)+X$58</f>
        <v>#VALUE!</v>
      </c>
      <c r="AL69" s="964" t="e">
        <f>AK69*(1+(Y$55+S69)/100)*((1-X$62)+X$62*((1+(Y$57+AE69)/100)))/(1+(Y$54+M69)/100)-(Y$56+Y69)+Y$58</f>
        <v>#VALUE!</v>
      </c>
      <c r="AM69" s="239"/>
      <c r="AN69" s="662"/>
      <c r="AO69" s="685">
        <f>IF($B$42="On",MIN($B69-$D$15,$D$42),0)</f>
        <v>3.0813507468502896</v>
      </c>
      <c r="AP69" s="276">
        <f>IF($B$42="On",MIN($B1069-$D$15,$D$42),0)</f>
        <v>0.40543208047760193</v>
      </c>
      <c r="AQ69" s="276">
        <f>IF($B$42="On",MIN($B2069-$D$15,$D$42),0)</f>
        <v>1.5567075571946816</v>
      </c>
      <c r="AR69" s="276">
        <f>IF($B$42="On",MIN($B3069-$D$15,$D$42),0)</f>
        <v>-1.7606776640870687</v>
      </c>
      <c r="AS69" s="276">
        <f>IF($B$42="On",MIN($B4069-$D$15,$D$42),0)</f>
        <v>-1.1951442431680408</v>
      </c>
      <c r="AT69" s="276">
        <f>IF($B$42="On",MIN($B5069-$D$15,$D$42),0)</f>
        <v>-2.6979513139349471</v>
      </c>
      <c r="AU69" s="685">
        <f>IF($B$43="On",MAX($C69-$D$16,$D$43),0)</f>
        <v>1.7655713699563351</v>
      </c>
      <c r="AV69" s="276">
        <f>IF($B$43="On",MAX($C1069-$D$16,$D$43),0)</f>
        <v>1.488552442518239</v>
      </c>
      <c r="AW69" s="276">
        <f>IF($B$43="On",MAX($C2069-$D$16,$D$43),0)</f>
        <v>1.7501130501181301</v>
      </c>
      <c r="AX69" s="276">
        <f>IF($B$43="On",MAX($C3069-$D$16,$D$43),0)</f>
        <v>0.90615750315019583</v>
      </c>
      <c r="AY69" s="276">
        <f>IF($B$43="On",MAX($C4069-$D$16,$D$43),0)</f>
        <v>1.0020031895385906</v>
      </c>
      <c r="AZ69" s="686">
        <f>IF($B$43="On",MAX($C5069-$D$16,$D$43),0)</f>
        <v>1.5014338928585935</v>
      </c>
      <c r="BA69" s="685">
        <f>IF($B$44="On",MIN($D69-$D$17,$D$44),0)</f>
        <v>0</v>
      </c>
      <c r="BB69" s="276">
        <f>IF($B$44="On",MIN($D1069-$D$17,$D$44),0)</f>
        <v>0</v>
      </c>
      <c r="BC69" s="276">
        <f>IF($B$44="On",MIN($D2069-$D$17,$D$44),0)</f>
        <v>0</v>
      </c>
      <c r="BD69" s="276">
        <f>IF($B$44="On",MIN($D3069-$D$17,$D$44),0)</f>
        <v>0</v>
      </c>
      <c r="BE69" s="276">
        <f>IF($B$44="On",MIN($D4069-$D$17,$D$44),0)</f>
        <v>0</v>
      </c>
      <c r="BF69" s="686">
        <f>IF($B$44="On",MIN($D5069-$D$17,$D$44),0)</f>
        <v>0</v>
      </c>
      <c r="BG69" s="685" t="e">
        <f>IF($B$45="On",MAX($E69-$D$18,$D$45),0)</f>
        <v>#DIV/0!</v>
      </c>
      <c r="BH69" s="276" t="e">
        <f>IF($B$45="On",MAX($E1069-$D$18,$D$45),0)</f>
        <v>#DIV/0!</v>
      </c>
      <c r="BI69" s="276" t="e">
        <f>IF($B$45="On",MAX($E2069-$D$18,$D$45),0)</f>
        <v>#DIV/0!</v>
      </c>
      <c r="BJ69" s="276" t="e">
        <f>IF($B$45="On",MAX($E3069-$D$18,$D$45),0)</f>
        <v>#DIV/0!</v>
      </c>
      <c r="BK69" s="276" t="e">
        <f>IF($B$45="On",MAX($E4069-$D$18,$D$45),0)</f>
        <v>#DIV/0!</v>
      </c>
      <c r="BL69" s="686" t="e">
        <f>IF($B$45="On",MAX($E5069-$D$18,$D$45),0)</f>
        <v>#DIV/0!</v>
      </c>
      <c r="BM69" s="239"/>
      <c r="BN69" s="962" t="e">
        <f>S$53*(1+(T$55+AU69)/100)*((1-S$62)+S$62*((1+(T$57+BG69)/100)))/(1+(T$54+AO69)/100)-(T$56+BA69)+T$58</f>
        <v>#VALUE!</v>
      </c>
      <c r="BO69" s="963" t="e">
        <f>BN69*(1+(U$55+AV69)/100)*((1-T$62)+T$62*((1+(U$57+BH69)/100)))/(1+(U$54+AP69)/100)-(U$56+BB69)+U$58</f>
        <v>#VALUE!</v>
      </c>
      <c r="BP69" s="963" t="e">
        <f>BO69*(1+(V$55+AW69)/100)*((1-U$62)+U$62*((1+(V$57+BI69)/100)))/(1+(V$54+AQ69)/100)-(V$56+BC69)+V$58</f>
        <v>#VALUE!</v>
      </c>
      <c r="BQ69" s="963" t="e">
        <f>BP69*(1+(W$55+AX69)/100)*((1-V$62)+V$62*((1+(W$57+BJ69)/100)))/(1+(W$54+AR69)/100)-(W$56+BD69)+W$58</f>
        <v>#VALUE!</v>
      </c>
      <c r="BR69" s="963" t="e">
        <f>BQ69*(1+(X$55+AY69)/100)*((1-W$62)+W$62*((1+(X$57+BK69)/100)))/(1+(X$54+AS69)/100)-(X$56+BE69)+X$58</f>
        <v>#VALUE!</v>
      </c>
      <c r="BS69" s="964" t="e">
        <f>BR69*(1+(Y$55+AZ69)/100)*((1-X$62)+X$62*((1+(Y$57+BL69)/100)))/(1+(Y$54+AT69)/100)-(Y$56+BF69)+Y$58</f>
        <v>#VALUE!</v>
      </c>
    </row>
    <row r="70" spans="1:71">
      <c r="A70" s="284">
        <f>A69+1</f>
        <v>2</v>
      </c>
      <c r="B70" s="285">
        <v>-1.6618792233516615</v>
      </c>
      <c r="C70" s="285">
        <v>2.8561409765742698</v>
      </c>
      <c r="D70" s="285">
        <v>1.5930873744507896</v>
      </c>
      <c r="E70" s="285">
        <v>7.4096005715958579</v>
      </c>
      <c r="H70" s="685">
        <f t="shared" ref="H70:H133" si="32">IF($B$42="On",$B70-$D$15,0)</f>
        <v>-2.7951130651207166</v>
      </c>
      <c r="I70" s="276">
        <f t="shared" ref="I70:I133" si="33">IF($B$42="On",$B1070-$D$15,0)</f>
        <v>1.152586727303851</v>
      </c>
      <c r="J70" s="276">
        <f t="shared" ref="J70:J133" si="34">IF($B$42="On",$B2070-$D$15,0)</f>
        <v>1.7758797153536656</v>
      </c>
      <c r="K70" s="276">
        <f t="shared" ref="K70:K133" si="35">IF($B$42="On",$B3070-$D$15,0)</f>
        <v>2.3613262850334289</v>
      </c>
      <c r="L70" s="276">
        <f t="shared" ref="L70:L133" si="36">IF($B$42="On",$B4070-$D$15,0)</f>
        <v>-1.080237272069648</v>
      </c>
      <c r="M70" s="276">
        <f t="shared" ref="M70:M133" si="37">IF($B$42="On",$B5070-$D$15,0)</f>
        <v>-0.10592376752250332</v>
      </c>
      <c r="N70" s="685">
        <f t="shared" ref="N70:N133" si="38">IF($B$43="On",$C70-$D$16,0)</f>
        <v>1.6489697656024014</v>
      </c>
      <c r="O70" s="276">
        <f t="shared" ref="O70:O133" si="39">IF($B$43="On",$C1070-$D$16,0)</f>
        <v>0.68505674964014296</v>
      </c>
      <c r="P70" s="276">
        <f t="shared" ref="P70:P133" si="40">IF($B$43="On",$C2070-$D$16,0)</f>
        <v>1.3158528142264039</v>
      </c>
      <c r="Q70" s="276">
        <f t="shared" ref="Q70:Q133" si="41">IF($B$43="On",$C3070-$D$16,0)</f>
        <v>1.7339810322880187</v>
      </c>
      <c r="R70" s="276">
        <f t="shared" ref="R70:R133" si="42">IF($B$43="On",$C4070-$D$16,0)</f>
        <v>1.2076996867598691</v>
      </c>
      <c r="S70" s="686">
        <f t="shared" ref="S70:S133" si="43">IF($B$43="On",$C5070-$D$16,0)</f>
        <v>1.1987988789624928</v>
      </c>
      <c r="T70" s="685">
        <f t="shared" ref="T70:T133" si="44">IF($B$44="On",$D70-$D$17,0)</f>
        <v>4.8714510647217155</v>
      </c>
      <c r="U70" s="276">
        <f t="shared" ref="U70:U133" si="45">IF($B$44="On",$D1070-$D$17,0)</f>
        <v>5.3881607564343197</v>
      </c>
      <c r="V70" s="276">
        <f t="shared" ref="V70:V133" si="46">IF($B$44="On",$D2070-$D$17,0)</f>
        <v>4.1420564112514944</v>
      </c>
      <c r="W70" s="276">
        <f t="shared" ref="W70:W133" si="47">IF($B$44="On",$D3070-$D$17,0)</f>
        <v>5.7260623064155514</v>
      </c>
      <c r="X70" s="276">
        <f t="shared" ref="X70:X133" si="48">IF($B$44="On",$D4070-$D$17,0)</f>
        <v>5.9907148259491478</v>
      </c>
      <c r="Y70" s="686">
        <f t="shared" ref="Y70:Y133" si="49">IF($B$44="On",$D5070-$D$17,0)</f>
        <v>5.030226200845564</v>
      </c>
      <c r="Z70" s="685" t="e">
        <f t="shared" ref="Z70:Z133" si="50">IF($B$45="On",$E70-$D$18,0)</f>
        <v>#DIV/0!</v>
      </c>
      <c r="AA70" s="276" t="e">
        <f t="shared" ref="AA70:AA133" si="51">IF($B$45="On",$E1070-$D$18,0)</f>
        <v>#DIV/0!</v>
      </c>
      <c r="AB70" s="276" t="e">
        <f t="shared" ref="AB70:AB133" si="52">IF($B$45="On",$E2070-$D$18,0)</f>
        <v>#DIV/0!</v>
      </c>
      <c r="AC70" s="276" t="e">
        <f t="shared" ref="AC70:AC133" si="53">IF($B$45="On",$E3070-$D$18,0)</f>
        <v>#DIV/0!</v>
      </c>
      <c r="AD70" s="276" t="e">
        <f t="shared" ref="AD70:AD133" si="54">IF($B$45="On",$E4070-$D$18,0)</f>
        <v>#DIV/0!</v>
      </c>
      <c r="AE70" s="686" t="e">
        <f t="shared" ref="AE70:AE133" si="55">IF($B$45="On",$E5070-$D$18,0)</f>
        <v>#DIV/0!</v>
      </c>
      <c r="AF70" s="239"/>
      <c r="AG70" s="965" t="e">
        <f t="shared" ref="AG70:AG132" si="56">S$53*(1+(T$55+N70)/100)*((1-S$62)+S$62*((1+(T$57+Z70)/100)))/(1+(T$54+H70)/100)-(T$56+T70)+T$58</f>
        <v>#VALUE!</v>
      </c>
      <c r="AH70" s="878" t="e">
        <f t="shared" ref="AH70:AH132" si="57">AG70*(1+(U$55+O70)/100)*((1-T$62)+T$62*((1+(U$57+AA70)/100)))/(1+(U$54+I70)/100)-(U$56+U70)+U$58</f>
        <v>#VALUE!</v>
      </c>
      <c r="AI70" s="878" t="e">
        <f>AH70*(1+(V$55+P70)/100)*((1-U$62)+U$62*((1+(V$57+AB70)/100)))/(1+(V$54+J70)/100)-(V$56+V70)+V$58</f>
        <v>#VALUE!</v>
      </c>
      <c r="AJ70" s="878" t="e">
        <f t="shared" ref="AJ70:AJ132" si="58">AI70*(1+(W$55+Q70)/100)*((1-V$62)+V$62*((1+(W$57+AC70)/100)))/(1+(W$54+K70)/100)-(W$56+W70)+W$58</f>
        <v>#VALUE!</v>
      </c>
      <c r="AK70" s="878" t="e">
        <f t="shared" ref="AK70:AK132" si="59">AJ70*(1+(X$55+R70)/100)*((1-W$62)+W$62*((1+(X$57+AD70)/100)))/(1+(X$54+L70)/100)-(X$56+X70)+X$58</f>
        <v>#VALUE!</v>
      </c>
      <c r="AL70" s="966" t="e">
        <f t="shared" ref="AL70:AL132" si="60">AK70*(1+(Y$55+S70)/100)*((1-X$62)+X$62*((1+(Y$57+AE70)/100)))/(1+(Y$54+M70)/100)-(Y$56+Y70)+Y$58</f>
        <v>#VALUE!</v>
      </c>
      <c r="AM70" s="239"/>
      <c r="AN70" s="662"/>
      <c r="AO70" s="685">
        <f t="shared" ref="AO70:AO133" si="61">IF($B$42="On",MIN($B70-$D$15,$D$42),0)</f>
        <v>-2.7951130651207166</v>
      </c>
      <c r="AP70" s="276">
        <f t="shared" ref="AP70:AP133" si="62">IF($B$42="On",MIN($B1070-$D$15,$D$42),0)</f>
        <v>1.152586727303851</v>
      </c>
      <c r="AQ70" s="276">
        <f t="shared" ref="AQ70:AQ133" si="63">IF($B$42="On",MIN($B2070-$D$15,$D$42),0)</f>
        <v>1.7758797153536656</v>
      </c>
      <c r="AR70" s="276">
        <f t="shared" ref="AR70:AR133" si="64">IF($B$42="On",MIN($B3070-$D$15,$D$42),0)</f>
        <v>2.3613262850334289</v>
      </c>
      <c r="AS70" s="276">
        <f t="shared" ref="AS70:AS133" si="65">IF($B$42="On",MIN($B4070-$D$15,$D$42),0)</f>
        <v>-1.080237272069648</v>
      </c>
      <c r="AT70" s="276">
        <f t="shared" ref="AT70:AT133" si="66">IF($B$42="On",MIN($B5070-$D$15,$D$42),0)</f>
        <v>-0.10592376752250332</v>
      </c>
      <c r="AU70" s="685">
        <f t="shared" ref="AU70:AU133" si="67">IF($B$43="On",MAX($C70-$D$16,$D$43),0)</f>
        <v>1.6489697656024014</v>
      </c>
      <c r="AV70" s="276">
        <f t="shared" ref="AV70:AV133" si="68">IF($B$43="On",MAX($C1070-$D$16,$D$43),0)</f>
        <v>0.68505674964014296</v>
      </c>
      <c r="AW70" s="276">
        <f t="shared" ref="AW70:AW133" si="69">IF($B$43="On",MAX($C2070-$D$16,$D$43),0)</f>
        <v>1.3158528142264039</v>
      </c>
      <c r="AX70" s="276">
        <f t="shared" ref="AX70:AX133" si="70">IF($B$43="On",MAX($C3070-$D$16,$D$43),0)</f>
        <v>1.7339810322880187</v>
      </c>
      <c r="AY70" s="276">
        <f t="shared" ref="AY70:AY133" si="71">IF($B$43="On",MAX($C4070-$D$16,$D$43),0)</f>
        <v>1.2076996867598691</v>
      </c>
      <c r="AZ70" s="686">
        <f t="shared" ref="AZ70:AZ133" si="72">IF($B$43="On",MAX($C5070-$D$16,$D$43),0)</f>
        <v>1.1987988789624928</v>
      </c>
      <c r="BA70" s="685">
        <f t="shared" ref="BA70:BA133" si="73">IF($B$44="On",MIN($D70-$D$17,$D$44),0)</f>
        <v>0</v>
      </c>
      <c r="BB70" s="276">
        <f t="shared" ref="BB70:BB133" si="74">IF($B$44="On",MIN($D1070-$D$17,$D$44),0)</f>
        <v>0</v>
      </c>
      <c r="BC70" s="276">
        <f t="shared" ref="BC70:BC133" si="75">IF($B$44="On",MIN($D2070-$D$17,$D$44),0)</f>
        <v>0</v>
      </c>
      <c r="BD70" s="276">
        <f t="shared" ref="BD70:BD133" si="76">IF($B$44="On",MIN($D3070-$D$17,$D$44),0)</f>
        <v>0</v>
      </c>
      <c r="BE70" s="276">
        <f t="shared" ref="BE70:BE133" si="77">IF($B$44="On",MIN($D4070-$D$17,$D$44),0)</f>
        <v>0</v>
      </c>
      <c r="BF70" s="686">
        <f t="shared" ref="BF70:BF133" si="78">IF($B$44="On",MIN($D5070-$D$17,$D$44),0)</f>
        <v>0</v>
      </c>
      <c r="BG70" s="685" t="e">
        <f t="shared" ref="BG70:BG133" si="79">IF($B$45="On",MAX($E70-$D$18,$D$45),0)</f>
        <v>#DIV/0!</v>
      </c>
      <c r="BH70" s="276" t="e">
        <f t="shared" ref="BH70:BH133" si="80">IF($B$45="On",MAX($E1070-$D$18,$D$45),0)</f>
        <v>#DIV/0!</v>
      </c>
      <c r="BI70" s="276" t="e">
        <f t="shared" ref="BI70:BI133" si="81">IF($B$45="On",MAX($E2070-$D$18,$D$45),0)</f>
        <v>#DIV/0!</v>
      </c>
      <c r="BJ70" s="276" t="e">
        <f t="shared" ref="BJ70:BJ133" si="82">IF($B$45="On",MAX($E3070-$D$18,$D$45),0)</f>
        <v>#DIV/0!</v>
      </c>
      <c r="BK70" s="276" t="e">
        <f t="shared" ref="BK70:BK133" si="83">IF($B$45="On",MAX($E4070-$D$18,$D$45),0)</f>
        <v>#DIV/0!</v>
      </c>
      <c r="BL70" s="686" t="e">
        <f t="shared" ref="BL70:BL133" si="84">IF($B$45="On",MAX($E5070-$D$18,$D$45),0)</f>
        <v>#DIV/0!</v>
      </c>
      <c r="BM70" s="239"/>
      <c r="BN70" s="965" t="e">
        <f t="shared" ref="BN70:BN133" si="85">S$53*(1+(T$55+AU70)/100)*((1-S$62)+S$62*((1+(T$57+BG70)/100)))/(1+(T$54+AO70)/100)-(T$56+BA70)+T$58</f>
        <v>#VALUE!</v>
      </c>
      <c r="BO70" s="878" t="e">
        <f t="shared" ref="BO70:BO133" si="86">BN70*(1+(U$55+AV70)/100)*((1-T$62)+T$62*((1+(U$57+BH70)/100)))/(1+(U$54+AP70)/100)-(U$56+BB70)+U$58</f>
        <v>#VALUE!</v>
      </c>
      <c r="BP70" s="878" t="e">
        <f t="shared" ref="BP70:BP133" si="87">BO70*(1+(V$55+AW70)/100)*((1-U$62)+U$62*((1+(V$57+BI70)/100)))/(1+(V$54+AQ70)/100)-(V$56+BC70)+V$58</f>
        <v>#VALUE!</v>
      </c>
      <c r="BQ70" s="878" t="e">
        <f t="shared" ref="BQ70:BQ133" si="88">BP70*(1+(W$55+AX70)/100)*((1-V$62)+V$62*((1+(W$57+BJ70)/100)))/(1+(W$54+AR70)/100)-(W$56+BD70)+W$58</f>
        <v>#VALUE!</v>
      </c>
      <c r="BR70" s="878" t="e">
        <f t="shared" ref="BR70:BR133" si="89">BQ70*(1+(X$55+AY70)/100)*((1-W$62)+W$62*((1+(X$57+BK70)/100)))/(1+(X$54+AS70)/100)-(X$56+BE70)+X$58</f>
        <v>#VALUE!</v>
      </c>
      <c r="BS70" s="966" t="e">
        <f t="shared" ref="BS70:BS133" si="90">BR70*(1+(Y$55+AZ70)/100)*((1-X$62)+X$62*((1+(Y$57+BL70)/100)))/(1+(Y$54+AT70)/100)-(Y$56+BF70)+Y$58</f>
        <v>#VALUE!</v>
      </c>
    </row>
    <row r="71" spans="1:71">
      <c r="A71" s="284">
        <f t="shared" ref="A71:A134" si="91">A70+1</f>
        <v>3</v>
      </c>
      <c r="B71" s="285">
        <v>-1.2451309034110452</v>
      </c>
      <c r="C71" s="285">
        <v>2.3992248304753896</v>
      </c>
      <c r="D71" s="285">
        <v>1.5181737652279819</v>
      </c>
      <c r="E71" s="285">
        <v>-2.1061152998875414</v>
      </c>
      <c r="H71" s="685">
        <f t="shared" si="32"/>
        <v>-2.3783647451801002</v>
      </c>
      <c r="I71" s="276">
        <f t="shared" si="33"/>
        <v>-2.0776770179539681</v>
      </c>
      <c r="J71" s="276">
        <f t="shared" si="34"/>
        <v>-5.325053351619947</v>
      </c>
      <c r="K71" s="276">
        <f t="shared" si="35"/>
        <v>6.5705541394416089E-2</v>
      </c>
      <c r="L71" s="276">
        <f t="shared" si="36"/>
        <v>-2.9521517793241174</v>
      </c>
      <c r="M71" s="276">
        <f t="shared" si="37"/>
        <v>-1.3078960480632644</v>
      </c>
      <c r="N71" s="685">
        <f t="shared" si="38"/>
        <v>1.1920536195035212</v>
      </c>
      <c r="O71" s="276">
        <f t="shared" si="39"/>
        <v>1.0263757377407055</v>
      </c>
      <c r="P71" s="276">
        <f t="shared" si="40"/>
        <v>0.65227170697511117</v>
      </c>
      <c r="Q71" s="276">
        <f t="shared" si="41"/>
        <v>1.0579643665503011</v>
      </c>
      <c r="R71" s="276">
        <f t="shared" si="42"/>
        <v>1.7102236075363055</v>
      </c>
      <c r="S71" s="686">
        <f t="shared" si="43"/>
        <v>0.68670782760935301</v>
      </c>
      <c r="T71" s="685">
        <f t="shared" si="44"/>
        <v>4.7965374554989078</v>
      </c>
      <c r="U71" s="276">
        <f t="shared" si="45"/>
        <v>5.3591146032718768</v>
      </c>
      <c r="V71" s="276">
        <f t="shared" si="46"/>
        <v>3.8208547530552286</v>
      </c>
      <c r="W71" s="276">
        <f t="shared" si="47"/>
        <v>5.8939757647146074</v>
      </c>
      <c r="X71" s="276">
        <f t="shared" si="48"/>
        <v>3.468804264471129</v>
      </c>
      <c r="Y71" s="686">
        <f t="shared" si="49"/>
        <v>6.323174994045095</v>
      </c>
      <c r="Z71" s="685" t="e">
        <f t="shared" si="50"/>
        <v>#DIV/0!</v>
      </c>
      <c r="AA71" s="276" t="e">
        <f t="shared" si="51"/>
        <v>#DIV/0!</v>
      </c>
      <c r="AB71" s="276" t="e">
        <f t="shared" si="52"/>
        <v>#DIV/0!</v>
      </c>
      <c r="AC71" s="276" t="e">
        <f t="shared" si="53"/>
        <v>#DIV/0!</v>
      </c>
      <c r="AD71" s="276" t="e">
        <f t="shared" si="54"/>
        <v>#DIV/0!</v>
      </c>
      <c r="AE71" s="686" t="e">
        <f t="shared" si="55"/>
        <v>#DIV/0!</v>
      </c>
      <c r="AF71" s="239"/>
      <c r="AG71" s="965" t="e">
        <f t="shared" si="56"/>
        <v>#VALUE!</v>
      </c>
      <c r="AH71" s="878" t="e">
        <f t="shared" si="57"/>
        <v>#VALUE!</v>
      </c>
      <c r="AI71" s="878" t="e">
        <f t="shared" ref="AI71:AI132" si="92">AH71*(1+(V$55+P71)/100)*((1-U$62)+U$62*((1+(V$57+AB71)/100)))/(1+(V$54+J71)/100)-(V$56+V71)+V$58</f>
        <v>#VALUE!</v>
      </c>
      <c r="AJ71" s="878" t="e">
        <f t="shared" si="58"/>
        <v>#VALUE!</v>
      </c>
      <c r="AK71" s="878" t="e">
        <f t="shared" si="59"/>
        <v>#VALUE!</v>
      </c>
      <c r="AL71" s="966" t="e">
        <f t="shared" si="60"/>
        <v>#VALUE!</v>
      </c>
      <c r="AM71" s="239"/>
      <c r="AN71" s="662"/>
      <c r="AO71" s="685">
        <f t="shared" si="61"/>
        <v>-2.3783647451801002</v>
      </c>
      <c r="AP71" s="276">
        <f t="shared" si="62"/>
        <v>-2.0776770179539681</v>
      </c>
      <c r="AQ71" s="276">
        <f t="shared" si="63"/>
        <v>-5.325053351619947</v>
      </c>
      <c r="AR71" s="276">
        <f t="shared" si="64"/>
        <v>6.5705541394416089E-2</v>
      </c>
      <c r="AS71" s="276">
        <f t="shared" si="65"/>
        <v>-2.9521517793241174</v>
      </c>
      <c r="AT71" s="276">
        <f t="shared" si="66"/>
        <v>-1.3078960480632644</v>
      </c>
      <c r="AU71" s="685">
        <f t="shared" si="67"/>
        <v>1.1920536195035212</v>
      </c>
      <c r="AV71" s="276">
        <f t="shared" si="68"/>
        <v>1.0263757377407055</v>
      </c>
      <c r="AW71" s="276">
        <f t="shared" si="69"/>
        <v>0.65227170697511117</v>
      </c>
      <c r="AX71" s="276">
        <f t="shared" si="70"/>
        <v>1.0579643665503011</v>
      </c>
      <c r="AY71" s="276">
        <f t="shared" si="71"/>
        <v>1.7102236075363055</v>
      </c>
      <c r="AZ71" s="686">
        <f t="shared" si="72"/>
        <v>0.68670782760935301</v>
      </c>
      <c r="BA71" s="685">
        <f t="shared" si="73"/>
        <v>0</v>
      </c>
      <c r="BB71" s="276">
        <f t="shared" si="74"/>
        <v>0</v>
      </c>
      <c r="BC71" s="276">
        <f t="shared" si="75"/>
        <v>0</v>
      </c>
      <c r="BD71" s="276">
        <f t="shared" si="76"/>
        <v>0</v>
      </c>
      <c r="BE71" s="276">
        <f t="shared" si="77"/>
        <v>0</v>
      </c>
      <c r="BF71" s="686">
        <f t="shared" si="78"/>
        <v>0</v>
      </c>
      <c r="BG71" s="685" t="e">
        <f t="shared" si="79"/>
        <v>#DIV/0!</v>
      </c>
      <c r="BH71" s="276" t="e">
        <f t="shared" si="80"/>
        <v>#DIV/0!</v>
      </c>
      <c r="BI71" s="276" t="e">
        <f t="shared" si="81"/>
        <v>#DIV/0!</v>
      </c>
      <c r="BJ71" s="276" t="e">
        <f t="shared" si="82"/>
        <v>#DIV/0!</v>
      </c>
      <c r="BK71" s="276" t="e">
        <f t="shared" si="83"/>
        <v>#DIV/0!</v>
      </c>
      <c r="BL71" s="686" t="e">
        <f t="shared" si="84"/>
        <v>#DIV/0!</v>
      </c>
      <c r="BM71" s="239"/>
      <c r="BN71" s="965" t="e">
        <f t="shared" si="85"/>
        <v>#VALUE!</v>
      </c>
      <c r="BO71" s="878" t="e">
        <f t="shared" si="86"/>
        <v>#VALUE!</v>
      </c>
      <c r="BP71" s="878" t="e">
        <f>BO71*(1+(V$55+AW71)/100)*((1-U$62)+U$62*((1+(V$57+BI71)/100)))/(1+(V$54+AQ71)/100)-(V$56+BC71)+V$58</f>
        <v>#VALUE!</v>
      </c>
      <c r="BQ71" s="878" t="e">
        <f t="shared" si="88"/>
        <v>#VALUE!</v>
      </c>
      <c r="BR71" s="878" t="e">
        <f t="shared" si="89"/>
        <v>#VALUE!</v>
      </c>
      <c r="BS71" s="966" t="e">
        <f t="shared" si="90"/>
        <v>#VALUE!</v>
      </c>
    </row>
    <row r="72" spans="1:71">
      <c r="A72" s="284">
        <f t="shared" si="91"/>
        <v>4</v>
      </c>
      <c r="B72" s="285">
        <v>-0.24733451546617374</v>
      </c>
      <c r="C72" s="285">
        <v>2.6916356391082825</v>
      </c>
      <c r="D72" s="285">
        <v>1.5620232210335625</v>
      </c>
      <c r="E72" s="285">
        <v>-1.4279808883320588</v>
      </c>
      <c r="H72" s="685">
        <f t="shared" si="32"/>
        <v>-1.3805683572352285</v>
      </c>
      <c r="I72" s="276">
        <f t="shared" si="33"/>
        <v>-1.6504228370654144</v>
      </c>
      <c r="J72" s="276">
        <f t="shared" si="34"/>
        <v>-2.09341136593057</v>
      </c>
      <c r="K72" s="276">
        <f t="shared" si="35"/>
        <v>2.3452954897621918</v>
      </c>
      <c r="L72" s="276">
        <f t="shared" si="36"/>
        <v>-1.4786673265713548</v>
      </c>
      <c r="M72" s="276">
        <f t="shared" si="37"/>
        <v>1.5860685228706137</v>
      </c>
      <c r="N72" s="685">
        <f t="shared" si="38"/>
        <v>1.4844644281364141</v>
      </c>
      <c r="O72" s="276">
        <f t="shared" si="39"/>
        <v>1.0230038992609944</v>
      </c>
      <c r="P72" s="276">
        <f t="shared" si="40"/>
        <v>0.98758981422258052</v>
      </c>
      <c r="Q72" s="276">
        <f t="shared" si="41"/>
        <v>1.1433125381448865</v>
      </c>
      <c r="R72" s="276">
        <f t="shared" si="42"/>
        <v>2.045724642182039</v>
      </c>
      <c r="S72" s="686">
        <f t="shared" si="43"/>
        <v>1.6738513484467654</v>
      </c>
      <c r="T72" s="685">
        <f t="shared" si="44"/>
        <v>4.8403869113044884</v>
      </c>
      <c r="U72" s="276">
        <f t="shared" si="45"/>
        <v>5.186491610160278</v>
      </c>
      <c r="V72" s="276">
        <f t="shared" si="46"/>
        <v>5.8182048344537565</v>
      </c>
      <c r="W72" s="276">
        <f t="shared" si="47"/>
        <v>4.3673334020668442</v>
      </c>
      <c r="X72" s="276">
        <f t="shared" si="48"/>
        <v>2.056519624495889</v>
      </c>
      <c r="Y72" s="686">
        <f t="shared" si="49"/>
        <v>4.0076769796361589</v>
      </c>
      <c r="Z72" s="685" t="e">
        <f t="shared" si="50"/>
        <v>#DIV/0!</v>
      </c>
      <c r="AA72" s="276" t="e">
        <f t="shared" si="51"/>
        <v>#DIV/0!</v>
      </c>
      <c r="AB72" s="276" t="e">
        <f t="shared" si="52"/>
        <v>#DIV/0!</v>
      </c>
      <c r="AC72" s="276" t="e">
        <f t="shared" si="53"/>
        <v>#DIV/0!</v>
      </c>
      <c r="AD72" s="276" t="e">
        <f t="shared" si="54"/>
        <v>#DIV/0!</v>
      </c>
      <c r="AE72" s="686" t="e">
        <f t="shared" si="55"/>
        <v>#DIV/0!</v>
      </c>
      <c r="AF72" s="239"/>
      <c r="AG72" s="965" t="e">
        <f t="shared" si="56"/>
        <v>#VALUE!</v>
      </c>
      <c r="AH72" s="878" t="e">
        <f t="shared" si="57"/>
        <v>#VALUE!</v>
      </c>
      <c r="AI72" s="878" t="e">
        <f t="shared" si="92"/>
        <v>#VALUE!</v>
      </c>
      <c r="AJ72" s="878" t="e">
        <f t="shared" si="58"/>
        <v>#VALUE!</v>
      </c>
      <c r="AK72" s="878" t="e">
        <f t="shared" si="59"/>
        <v>#VALUE!</v>
      </c>
      <c r="AL72" s="966" t="e">
        <f t="shared" si="60"/>
        <v>#VALUE!</v>
      </c>
      <c r="AM72" s="239"/>
      <c r="AN72" s="662"/>
      <c r="AO72" s="685">
        <f t="shared" si="61"/>
        <v>-1.3805683572352285</v>
      </c>
      <c r="AP72" s="276">
        <f t="shared" si="62"/>
        <v>-1.6504228370654144</v>
      </c>
      <c r="AQ72" s="276">
        <f t="shared" si="63"/>
        <v>-2.09341136593057</v>
      </c>
      <c r="AR72" s="276">
        <f t="shared" si="64"/>
        <v>2.3452954897621918</v>
      </c>
      <c r="AS72" s="276">
        <f t="shared" si="65"/>
        <v>-1.4786673265713548</v>
      </c>
      <c r="AT72" s="276">
        <f t="shared" si="66"/>
        <v>1.5860685228706137</v>
      </c>
      <c r="AU72" s="685">
        <f t="shared" si="67"/>
        <v>1.4844644281364141</v>
      </c>
      <c r="AV72" s="276">
        <f t="shared" si="68"/>
        <v>1.0230038992609944</v>
      </c>
      <c r="AW72" s="276">
        <f t="shared" si="69"/>
        <v>0.98758981422258052</v>
      </c>
      <c r="AX72" s="276">
        <f t="shared" si="70"/>
        <v>1.1433125381448865</v>
      </c>
      <c r="AY72" s="276">
        <f t="shared" si="71"/>
        <v>2.045724642182039</v>
      </c>
      <c r="AZ72" s="686">
        <f t="shared" si="72"/>
        <v>1.6738513484467654</v>
      </c>
      <c r="BA72" s="685">
        <f t="shared" si="73"/>
        <v>0</v>
      </c>
      <c r="BB72" s="276">
        <f t="shared" si="74"/>
        <v>0</v>
      </c>
      <c r="BC72" s="276">
        <f t="shared" si="75"/>
        <v>0</v>
      </c>
      <c r="BD72" s="276">
        <f t="shared" si="76"/>
        <v>0</v>
      </c>
      <c r="BE72" s="276">
        <f t="shared" si="77"/>
        <v>0</v>
      </c>
      <c r="BF72" s="686">
        <f t="shared" si="78"/>
        <v>0</v>
      </c>
      <c r="BG72" s="685" t="e">
        <f t="shared" si="79"/>
        <v>#DIV/0!</v>
      </c>
      <c r="BH72" s="276" t="e">
        <f t="shared" si="80"/>
        <v>#DIV/0!</v>
      </c>
      <c r="BI72" s="276" t="e">
        <f t="shared" si="81"/>
        <v>#DIV/0!</v>
      </c>
      <c r="BJ72" s="276" t="e">
        <f t="shared" si="82"/>
        <v>#DIV/0!</v>
      </c>
      <c r="BK72" s="276" t="e">
        <f t="shared" si="83"/>
        <v>#DIV/0!</v>
      </c>
      <c r="BL72" s="686" t="e">
        <f t="shared" si="84"/>
        <v>#DIV/0!</v>
      </c>
      <c r="BM72" s="239"/>
      <c r="BN72" s="965" t="e">
        <f t="shared" si="85"/>
        <v>#VALUE!</v>
      </c>
      <c r="BO72" s="878" t="e">
        <f t="shared" si="86"/>
        <v>#VALUE!</v>
      </c>
      <c r="BP72" s="878" t="e">
        <f t="shared" si="87"/>
        <v>#VALUE!</v>
      </c>
      <c r="BQ72" s="878" t="e">
        <f t="shared" si="88"/>
        <v>#VALUE!</v>
      </c>
      <c r="BR72" s="878" t="e">
        <f t="shared" si="89"/>
        <v>#VALUE!</v>
      </c>
      <c r="BS72" s="966" t="e">
        <f t="shared" si="90"/>
        <v>#VALUE!</v>
      </c>
    </row>
    <row r="73" spans="1:71">
      <c r="A73" s="284">
        <f t="shared" si="91"/>
        <v>5</v>
      </c>
      <c r="B73" s="285">
        <v>0.33590681448111454</v>
      </c>
      <c r="C73" s="285">
        <v>3.2454120004635847</v>
      </c>
      <c r="D73" s="285">
        <v>4.7614116456868638E-2</v>
      </c>
      <c r="E73" s="285">
        <v>10.14908762796829</v>
      </c>
      <c r="H73" s="685">
        <f t="shared" si="32"/>
        <v>-0.79732702728794025</v>
      </c>
      <c r="I73" s="276">
        <f t="shared" si="33"/>
        <v>-1.1617309611192539</v>
      </c>
      <c r="J73" s="276">
        <f t="shared" si="34"/>
        <v>-1.6821331026644617</v>
      </c>
      <c r="K73" s="276">
        <f t="shared" si="35"/>
        <v>1.6473347080542038</v>
      </c>
      <c r="L73" s="276">
        <f t="shared" si="36"/>
        <v>-2.8420509370553146</v>
      </c>
      <c r="M73" s="276">
        <f t="shared" si="37"/>
        <v>-5.1803600381045145E-2</v>
      </c>
      <c r="N73" s="685">
        <f t="shared" si="38"/>
        <v>2.0382407894917165</v>
      </c>
      <c r="O73" s="276">
        <f t="shared" si="39"/>
        <v>1.3950603722667758</v>
      </c>
      <c r="P73" s="276">
        <f t="shared" si="40"/>
        <v>1.5860806822238247</v>
      </c>
      <c r="Q73" s="276">
        <f t="shared" si="41"/>
        <v>1.5053461455212938</v>
      </c>
      <c r="R73" s="276">
        <f t="shared" si="42"/>
        <v>1.4332476075002802</v>
      </c>
      <c r="S73" s="686">
        <f t="shared" si="43"/>
        <v>1.0075122547109869</v>
      </c>
      <c r="T73" s="685">
        <f t="shared" si="44"/>
        <v>3.3259778067277947</v>
      </c>
      <c r="U73" s="276">
        <f t="shared" si="45"/>
        <v>5.3022508764842664</v>
      </c>
      <c r="V73" s="276">
        <f t="shared" si="46"/>
        <v>6.2050516494779426</v>
      </c>
      <c r="W73" s="276">
        <f t="shared" si="47"/>
        <v>4.2942868664496405</v>
      </c>
      <c r="X73" s="276">
        <f t="shared" si="48"/>
        <v>3.2202878373307362</v>
      </c>
      <c r="Y73" s="686">
        <f t="shared" si="49"/>
        <v>5.1915381426893248</v>
      </c>
      <c r="Z73" s="685" t="e">
        <f t="shared" si="50"/>
        <v>#DIV/0!</v>
      </c>
      <c r="AA73" s="276" t="e">
        <f t="shared" si="51"/>
        <v>#DIV/0!</v>
      </c>
      <c r="AB73" s="276" t="e">
        <f t="shared" si="52"/>
        <v>#DIV/0!</v>
      </c>
      <c r="AC73" s="276" t="e">
        <f t="shared" si="53"/>
        <v>#DIV/0!</v>
      </c>
      <c r="AD73" s="276" t="e">
        <f t="shared" si="54"/>
        <v>#DIV/0!</v>
      </c>
      <c r="AE73" s="686" t="e">
        <f t="shared" si="55"/>
        <v>#DIV/0!</v>
      </c>
      <c r="AF73" s="239"/>
      <c r="AG73" s="965" t="e">
        <f t="shared" si="56"/>
        <v>#VALUE!</v>
      </c>
      <c r="AH73" s="878" t="e">
        <f t="shared" si="57"/>
        <v>#VALUE!</v>
      </c>
      <c r="AI73" s="878" t="e">
        <f t="shared" si="92"/>
        <v>#VALUE!</v>
      </c>
      <c r="AJ73" s="878" t="e">
        <f t="shared" si="58"/>
        <v>#VALUE!</v>
      </c>
      <c r="AK73" s="878" t="e">
        <f t="shared" si="59"/>
        <v>#VALUE!</v>
      </c>
      <c r="AL73" s="966" t="e">
        <f t="shared" si="60"/>
        <v>#VALUE!</v>
      </c>
      <c r="AM73" s="239"/>
      <c r="AN73" s="662"/>
      <c r="AO73" s="685">
        <f t="shared" si="61"/>
        <v>-0.79732702728794025</v>
      </c>
      <c r="AP73" s="276">
        <f t="shared" si="62"/>
        <v>-1.1617309611192539</v>
      </c>
      <c r="AQ73" s="276">
        <f t="shared" si="63"/>
        <v>-1.6821331026644617</v>
      </c>
      <c r="AR73" s="276">
        <f t="shared" si="64"/>
        <v>1.6473347080542038</v>
      </c>
      <c r="AS73" s="276">
        <f t="shared" si="65"/>
        <v>-2.8420509370553146</v>
      </c>
      <c r="AT73" s="276">
        <f t="shared" si="66"/>
        <v>-5.1803600381045145E-2</v>
      </c>
      <c r="AU73" s="685">
        <f t="shared" si="67"/>
        <v>2.0382407894917165</v>
      </c>
      <c r="AV73" s="276">
        <f t="shared" si="68"/>
        <v>1.3950603722667758</v>
      </c>
      <c r="AW73" s="276">
        <f t="shared" si="69"/>
        <v>1.5860806822238247</v>
      </c>
      <c r="AX73" s="276">
        <f t="shared" si="70"/>
        <v>1.5053461455212938</v>
      </c>
      <c r="AY73" s="276">
        <f t="shared" si="71"/>
        <v>1.4332476075002802</v>
      </c>
      <c r="AZ73" s="686">
        <f t="shared" si="72"/>
        <v>1.0075122547109869</v>
      </c>
      <c r="BA73" s="685">
        <f t="shared" si="73"/>
        <v>0</v>
      </c>
      <c r="BB73" s="276">
        <f t="shared" si="74"/>
        <v>0</v>
      </c>
      <c r="BC73" s="276">
        <f t="shared" si="75"/>
        <v>0</v>
      </c>
      <c r="BD73" s="276">
        <f t="shared" si="76"/>
        <v>0</v>
      </c>
      <c r="BE73" s="276">
        <f t="shared" si="77"/>
        <v>0</v>
      </c>
      <c r="BF73" s="686">
        <f t="shared" si="78"/>
        <v>0</v>
      </c>
      <c r="BG73" s="685" t="e">
        <f t="shared" si="79"/>
        <v>#DIV/0!</v>
      </c>
      <c r="BH73" s="276" t="e">
        <f t="shared" si="80"/>
        <v>#DIV/0!</v>
      </c>
      <c r="BI73" s="276" t="e">
        <f t="shared" si="81"/>
        <v>#DIV/0!</v>
      </c>
      <c r="BJ73" s="276" t="e">
        <f t="shared" si="82"/>
        <v>#DIV/0!</v>
      </c>
      <c r="BK73" s="276" t="e">
        <f t="shared" si="83"/>
        <v>#DIV/0!</v>
      </c>
      <c r="BL73" s="686" t="e">
        <f t="shared" si="84"/>
        <v>#DIV/0!</v>
      </c>
      <c r="BM73" s="239"/>
      <c r="BN73" s="965" t="e">
        <f t="shared" si="85"/>
        <v>#VALUE!</v>
      </c>
      <c r="BO73" s="878" t="e">
        <f t="shared" si="86"/>
        <v>#VALUE!</v>
      </c>
      <c r="BP73" s="878" t="e">
        <f t="shared" si="87"/>
        <v>#VALUE!</v>
      </c>
      <c r="BQ73" s="878" t="e">
        <f t="shared" si="88"/>
        <v>#VALUE!</v>
      </c>
      <c r="BR73" s="878" t="e">
        <f t="shared" si="89"/>
        <v>#VALUE!</v>
      </c>
      <c r="BS73" s="966" t="e">
        <f t="shared" si="90"/>
        <v>#VALUE!</v>
      </c>
    </row>
    <row r="74" spans="1:71">
      <c r="A74" s="284">
        <f t="shared" si="91"/>
        <v>6</v>
      </c>
      <c r="B74" s="285">
        <v>-0.65881763885618572</v>
      </c>
      <c r="C74" s="285">
        <v>1.6706478264193541</v>
      </c>
      <c r="D74" s="285">
        <v>3.1343743158094557</v>
      </c>
      <c r="E74" s="285">
        <v>-8.7238384353043834</v>
      </c>
      <c r="H74" s="685">
        <f t="shared" si="32"/>
        <v>-1.7920514806252406</v>
      </c>
      <c r="I74" s="276">
        <f t="shared" si="33"/>
        <v>-1.9522852355164921</v>
      </c>
      <c r="J74" s="276">
        <f t="shared" si="34"/>
        <v>-0.99928823628801811</v>
      </c>
      <c r="K74" s="276">
        <f t="shared" si="35"/>
        <v>-0.26160826586174601</v>
      </c>
      <c r="L74" s="276">
        <f t="shared" si="36"/>
        <v>0.92519842341453207</v>
      </c>
      <c r="M74" s="276">
        <f t="shared" si="37"/>
        <v>1.6198800699602247</v>
      </c>
      <c r="N74" s="685">
        <f t="shared" si="38"/>
        <v>0.46347661544748564</v>
      </c>
      <c r="O74" s="276">
        <f t="shared" si="39"/>
        <v>0.75615592537886944</v>
      </c>
      <c r="P74" s="276">
        <f t="shared" si="40"/>
        <v>1.7793185259262472</v>
      </c>
      <c r="Q74" s="276">
        <f t="shared" si="41"/>
        <v>1.7448198645455644</v>
      </c>
      <c r="R74" s="276">
        <f t="shared" si="42"/>
        <v>1.6439975443238952</v>
      </c>
      <c r="S74" s="686">
        <f t="shared" si="43"/>
        <v>1.9476414078557165</v>
      </c>
      <c r="T74" s="685">
        <f t="shared" si="44"/>
        <v>6.4127380060803816</v>
      </c>
      <c r="U74" s="276">
        <f t="shared" si="45"/>
        <v>4.4405133792933729</v>
      </c>
      <c r="V74" s="276">
        <f t="shared" si="46"/>
        <v>2.8445306423676699</v>
      </c>
      <c r="W74" s="276">
        <f t="shared" si="47"/>
        <v>4.9692575721771473</v>
      </c>
      <c r="X74" s="276">
        <f t="shared" si="48"/>
        <v>5.3942612141775115</v>
      </c>
      <c r="Y74" s="686">
        <f t="shared" si="49"/>
        <v>6.2263476609465851</v>
      </c>
      <c r="Z74" s="685" t="e">
        <f t="shared" si="50"/>
        <v>#DIV/0!</v>
      </c>
      <c r="AA74" s="276" t="e">
        <f t="shared" si="51"/>
        <v>#DIV/0!</v>
      </c>
      <c r="AB74" s="276" t="e">
        <f t="shared" si="52"/>
        <v>#DIV/0!</v>
      </c>
      <c r="AC74" s="276" t="e">
        <f t="shared" si="53"/>
        <v>#DIV/0!</v>
      </c>
      <c r="AD74" s="276" t="e">
        <f t="shared" si="54"/>
        <v>#DIV/0!</v>
      </c>
      <c r="AE74" s="686" t="e">
        <f t="shared" si="55"/>
        <v>#DIV/0!</v>
      </c>
      <c r="AF74" s="239"/>
      <c r="AG74" s="965" t="e">
        <f t="shared" si="56"/>
        <v>#VALUE!</v>
      </c>
      <c r="AH74" s="878" t="e">
        <f t="shared" si="57"/>
        <v>#VALUE!</v>
      </c>
      <c r="AI74" s="878" t="e">
        <f t="shared" si="92"/>
        <v>#VALUE!</v>
      </c>
      <c r="AJ74" s="878" t="e">
        <f t="shared" si="58"/>
        <v>#VALUE!</v>
      </c>
      <c r="AK74" s="878" t="e">
        <f t="shared" si="59"/>
        <v>#VALUE!</v>
      </c>
      <c r="AL74" s="966" t="e">
        <f t="shared" si="60"/>
        <v>#VALUE!</v>
      </c>
      <c r="AM74" s="239"/>
      <c r="AN74" s="662"/>
      <c r="AO74" s="685">
        <f t="shared" si="61"/>
        <v>-1.7920514806252406</v>
      </c>
      <c r="AP74" s="276">
        <f t="shared" si="62"/>
        <v>-1.9522852355164921</v>
      </c>
      <c r="AQ74" s="276">
        <f t="shared" si="63"/>
        <v>-0.99928823628801811</v>
      </c>
      <c r="AR74" s="276">
        <f t="shared" si="64"/>
        <v>-0.26160826586174601</v>
      </c>
      <c r="AS74" s="276">
        <f t="shared" si="65"/>
        <v>0.92519842341453207</v>
      </c>
      <c r="AT74" s="276">
        <f t="shared" si="66"/>
        <v>1.6198800699602247</v>
      </c>
      <c r="AU74" s="685">
        <f t="shared" si="67"/>
        <v>0.46347661544748564</v>
      </c>
      <c r="AV74" s="276">
        <f t="shared" si="68"/>
        <v>0.75615592537886944</v>
      </c>
      <c r="AW74" s="276">
        <f t="shared" si="69"/>
        <v>1.7793185259262472</v>
      </c>
      <c r="AX74" s="276">
        <f t="shared" si="70"/>
        <v>1.7448198645455644</v>
      </c>
      <c r="AY74" s="276">
        <f t="shared" si="71"/>
        <v>1.6439975443238952</v>
      </c>
      <c r="AZ74" s="686">
        <f t="shared" si="72"/>
        <v>1.9476414078557165</v>
      </c>
      <c r="BA74" s="685">
        <f t="shared" si="73"/>
        <v>0</v>
      </c>
      <c r="BB74" s="276">
        <f t="shared" si="74"/>
        <v>0</v>
      </c>
      <c r="BC74" s="276">
        <f t="shared" si="75"/>
        <v>0</v>
      </c>
      <c r="BD74" s="276">
        <f t="shared" si="76"/>
        <v>0</v>
      </c>
      <c r="BE74" s="276">
        <f t="shared" si="77"/>
        <v>0</v>
      </c>
      <c r="BF74" s="686">
        <f t="shared" si="78"/>
        <v>0</v>
      </c>
      <c r="BG74" s="685" t="e">
        <f t="shared" si="79"/>
        <v>#DIV/0!</v>
      </c>
      <c r="BH74" s="276" t="e">
        <f t="shared" si="80"/>
        <v>#DIV/0!</v>
      </c>
      <c r="BI74" s="276" t="e">
        <f t="shared" si="81"/>
        <v>#DIV/0!</v>
      </c>
      <c r="BJ74" s="276" t="e">
        <f t="shared" si="82"/>
        <v>#DIV/0!</v>
      </c>
      <c r="BK74" s="276" t="e">
        <f t="shared" si="83"/>
        <v>#DIV/0!</v>
      </c>
      <c r="BL74" s="686" t="e">
        <f t="shared" si="84"/>
        <v>#DIV/0!</v>
      </c>
      <c r="BM74" s="239"/>
      <c r="BN74" s="965" t="e">
        <f t="shared" si="85"/>
        <v>#VALUE!</v>
      </c>
      <c r="BO74" s="878" t="e">
        <f t="shared" si="86"/>
        <v>#VALUE!</v>
      </c>
      <c r="BP74" s="878" t="e">
        <f t="shared" si="87"/>
        <v>#VALUE!</v>
      </c>
      <c r="BQ74" s="878" t="e">
        <f t="shared" si="88"/>
        <v>#VALUE!</v>
      </c>
      <c r="BR74" s="878" t="e">
        <f t="shared" si="89"/>
        <v>#VALUE!</v>
      </c>
      <c r="BS74" s="966" t="e">
        <f t="shared" si="90"/>
        <v>#VALUE!</v>
      </c>
    </row>
    <row r="75" spans="1:71">
      <c r="A75" s="284">
        <f t="shared" si="91"/>
        <v>7</v>
      </c>
      <c r="B75" s="285">
        <v>-2.198403618536537</v>
      </c>
      <c r="C75" s="285">
        <v>1.981374292227966</v>
      </c>
      <c r="D75" s="285">
        <v>1.6144057282867117</v>
      </c>
      <c r="E75" s="285">
        <v>-7.7856773183284389</v>
      </c>
      <c r="H75" s="685">
        <f t="shared" si="32"/>
        <v>-3.3316374603055916</v>
      </c>
      <c r="I75" s="276">
        <f t="shared" si="33"/>
        <v>-1.8471288471262381</v>
      </c>
      <c r="J75" s="276">
        <f t="shared" si="34"/>
        <v>-2.8891647796215567</v>
      </c>
      <c r="K75" s="276">
        <f t="shared" si="35"/>
        <v>2.3135079324287284</v>
      </c>
      <c r="L75" s="276">
        <f t="shared" si="36"/>
        <v>-3.0788799788555306</v>
      </c>
      <c r="M75" s="276">
        <f t="shared" si="37"/>
        <v>-1.0785817373015203</v>
      </c>
      <c r="N75" s="685">
        <f t="shared" si="38"/>
        <v>0.7742030812560976</v>
      </c>
      <c r="O75" s="276">
        <f t="shared" si="39"/>
        <v>1.2464613120857584</v>
      </c>
      <c r="P75" s="276">
        <f t="shared" si="40"/>
        <v>1.7579300960134023</v>
      </c>
      <c r="Q75" s="276">
        <f t="shared" si="41"/>
        <v>1.708781434272616</v>
      </c>
      <c r="R75" s="276">
        <f t="shared" si="42"/>
        <v>1.5528309997937522</v>
      </c>
      <c r="S75" s="686">
        <f t="shared" si="43"/>
        <v>1.2912984933787104</v>
      </c>
      <c r="T75" s="685">
        <f t="shared" si="44"/>
        <v>4.8927694185576378</v>
      </c>
      <c r="U75" s="276">
        <f t="shared" si="45"/>
        <v>5.6769260182617494</v>
      </c>
      <c r="V75" s="276">
        <f t="shared" si="46"/>
        <v>3.2097218413489688</v>
      </c>
      <c r="W75" s="276">
        <f t="shared" si="47"/>
        <v>4.0483224041202091</v>
      </c>
      <c r="X75" s="276">
        <f t="shared" si="48"/>
        <v>2.9612533565969934</v>
      </c>
      <c r="Y75" s="686">
        <f t="shared" si="49"/>
        <v>5.5028242914494943</v>
      </c>
      <c r="Z75" s="685" t="e">
        <f t="shared" si="50"/>
        <v>#DIV/0!</v>
      </c>
      <c r="AA75" s="276" t="e">
        <f t="shared" si="51"/>
        <v>#DIV/0!</v>
      </c>
      <c r="AB75" s="276" t="e">
        <f t="shared" si="52"/>
        <v>#DIV/0!</v>
      </c>
      <c r="AC75" s="276" t="e">
        <f t="shared" si="53"/>
        <v>#DIV/0!</v>
      </c>
      <c r="AD75" s="276" t="e">
        <f t="shared" si="54"/>
        <v>#DIV/0!</v>
      </c>
      <c r="AE75" s="686" t="e">
        <f t="shared" si="55"/>
        <v>#DIV/0!</v>
      </c>
      <c r="AF75" s="239"/>
      <c r="AG75" s="965" t="e">
        <f t="shared" si="56"/>
        <v>#VALUE!</v>
      </c>
      <c r="AH75" s="878" t="e">
        <f t="shared" si="57"/>
        <v>#VALUE!</v>
      </c>
      <c r="AI75" s="878" t="e">
        <f t="shared" si="92"/>
        <v>#VALUE!</v>
      </c>
      <c r="AJ75" s="878" t="e">
        <f t="shared" si="58"/>
        <v>#VALUE!</v>
      </c>
      <c r="AK75" s="878" t="e">
        <f t="shared" si="59"/>
        <v>#VALUE!</v>
      </c>
      <c r="AL75" s="966" t="e">
        <f t="shared" si="60"/>
        <v>#VALUE!</v>
      </c>
      <c r="AM75" s="239"/>
      <c r="AN75" s="662"/>
      <c r="AO75" s="685">
        <f t="shared" si="61"/>
        <v>-3.3316374603055916</v>
      </c>
      <c r="AP75" s="276">
        <f t="shared" si="62"/>
        <v>-1.8471288471262381</v>
      </c>
      <c r="AQ75" s="276">
        <f t="shared" si="63"/>
        <v>-2.8891647796215567</v>
      </c>
      <c r="AR75" s="276">
        <f t="shared" si="64"/>
        <v>2.3135079324287284</v>
      </c>
      <c r="AS75" s="276">
        <f t="shared" si="65"/>
        <v>-3.0788799788555306</v>
      </c>
      <c r="AT75" s="276">
        <f t="shared" si="66"/>
        <v>-1.0785817373015203</v>
      </c>
      <c r="AU75" s="685">
        <f t="shared" si="67"/>
        <v>0.7742030812560976</v>
      </c>
      <c r="AV75" s="276">
        <f t="shared" si="68"/>
        <v>1.2464613120857584</v>
      </c>
      <c r="AW75" s="276">
        <f t="shared" si="69"/>
        <v>1.7579300960134023</v>
      </c>
      <c r="AX75" s="276">
        <f t="shared" si="70"/>
        <v>1.708781434272616</v>
      </c>
      <c r="AY75" s="276">
        <f t="shared" si="71"/>
        <v>1.5528309997937522</v>
      </c>
      <c r="AZ75" s="686">
        <f t="shared" si="72"/>
        <v>1.2912984933787104</v>
      </c>
      <c r="BA75" s="685">
        <f t="shared" si="73"/>
        <v>0</v>
      </c>
      <c r="BB75" s="276">
        <f t="shared" si="74"/>
        <v>0</v>
      </c>
      <c r="BC75" s="276">
        <f t="shared" si="75"/>
        <v>0</v>
      </c>
      <c r="BD75" s="276">
        <f t="shared" si="76"/>
        <v>0</v>
      </c>
      <c r="BE75" s="276">
        <f t="shared" si="77"/>
        <v>0</v>
      </c>
      <c r="BF75" s="686">
        <f t="shared" si="78"/>
        <v>0</v>
      </c>
      <c r="BG75" s="685" t="e">
        <f t="shared" si="79"/>
        <v>#DIV/0!</v>
      </c>
      <c r="BH75" s="276" t="e">
        <f t="shared" si="80"/>
        <v>#DIV/0!</v>
      </c>
      <c r="BI75" s="276" t="e">
        <f t="shared" si="81"/>
        <v>#DIV/0!</v>
      </c>
      <c r="BJ75" s="276" t="e">
        <f t="shared" si="82"/>
        <v>#DIV/0!</v>
      </c>
      <c r="BK75" s="276" t="e">
        <f t="shared" si="83"/>
        <v>#DIV/0!</v>
      </c>
      <c r="BL75" s="686" t="e">
        <f t="shared" si="84"/>
        <v>#DIV/0!</v>
      </c>
      <c r="BM75" s="239"/>
      <c r="BN75" s="965" t="e">
        <f t="shared" si="85"/>
        <v>#VALUE!</v>
      </c>
      <c r="BO75" s="878" t="e">
        <f t="shared" si="86"/>
        <v>#VALUE!</v>
      </c>
      <c r="BP75" s="878" t="e">
        <f t="shared" si="87"/>
        <v>#VALUE!</v>
      </c>
      <c r="BQ75" s="878" t="e">
        <f t="shared" si="88"/>
        <v>#VALUE!</v>
      </c>
      <c r="BR75" s="878" t="e">
        <f t="shared" si="89"/>
        <v>#VALUE!</v>
      </c>
      <c r="BS75" s="966" t="e">
        <f t="shared" si="90"/>
        <v>#VALUE!</v>
      </c>
    </row>
    <row r="76" spans="1:71">
      <c r="A76" s="284">
        <f t="shared" si="91"/>
        <v>8</v>
      </c>
      <c r="B76" s="285">
        <v>9.1206384037397392E-2</v>
      </c>
      <c r="C76" s="285">
        <v>2.6343537182334744</v>
      </c>
      <c r="D76" s="285">
        <v>1.353885954296741</v>
      </c>
      <c r="E76" s="285">
        <v>-2.4359223479843699</v>
      </c>
      <c r="H76" s="685">
        <f t="shared" si="32"/>
        <v>-1.0420274577316575</v>
      </c>
      <c r="I76" s="276">
        <f t="shared" si="33"/>
        <v>-2.1635818817909716</v>
      </c>
      <c r="J76" s="276">
        <f t="shared" si="34"/>
        <v>1.422419917140582</v>
      </c>
      <c r="K76" s="276">
        <f t="shared" si="35"/>
        <v>-1.0197695602738108</v>
      </c>
      <c r="L76" s="276">
        <f t="shared" si="36"/>
        <v>-1.2602773010314745</v>
      </c>
      <c r="M76" s="276">
        <f t="shared" si="37"/>
        <v>-5.5514726925836628</v>
      </c>
      <c r="N76" s="685">
        <f t="shared" si="38"/>
        <v>1.427182507261606</v>
      </c>
      <c r="O76" s="276">
        <f t="shared" si="39"/>
        <v>0.62250022811723693</v>
      </c>
      <c r="P76" s="276">
        <f t="shared" si="40"/>
        <v>1.3688460214024289</v>
      </c>
      <c r="Q76" s="276">
        <f t="shared" si="41"/>
        <v>1.9141419210652597</v>
      </c>
      <c r="R76" s="276">
        <f t="shared" si="42"/>
        <v>1.5661059586488151</v>
      </c>
      <c r="S76" s="686">
        <f t="shared" si="43"/>
        <v>0.93477608816030622</v>
      </c>
      <c r="T76" s="685">
        <f t="shared" si="44"/>
        <v>4.6322496445676666</v>
      </c>
      <c r="U76" s="276">
        <f t="shared" si="45"/>
        <v>4.564838213420745</v>
      </c>
      <c r="V76" s="276">
        <f t="shared" si="46"/>
        <v>5.6889729503598403</v>
      </c>
      <c r="W76" s="276">
        <f t="shared" si="47"/>
        <v>4.5043560307313246</v>
      </c>
      <c r="X76" s="276">
        <f t="shared" si="48"/>
        <v>3.5728367473768161</v>
      </c>
      <c r="Y76" s="686">
        <f t="shared" si="49"/>
        <v>3.6562783801316012</v>
      </c>
      <c r="Z76" s="685" t="e">
        <f t="shared" si="50"/>
        <v>#DIV/0!</v>
      </c>
      <c r="AA76" s="276" t="e">
        <f t="shared" si="51"/>
        <v>#DIV/0!</v>
      </c>
      <c r="AB76" s="276" t="e">
        <f t="shared" si="52"/>
        <v>#DIV/0!</v>
      </c>
      <c r="AC76" s="276" t="e">
        <f t="shared" si="53"/>
        <v>#DIV/0!</v>
      </c>
      <c r="AD76" s="276" t="e">
        <f t="shared" si="54"/>
        <v>#DIV/0!</v>
      </c>
      <c r="AE76" s="686" t="e">
        <f t="shared" si="55"/>
        <v>#DIV/0!</v>
      </c>
      <c r="AF76" s="239"/>
      <c r="AG76" s="965" t="e">
        <f t="shared" si="56"/>
        <v>#VALUE!</v>
      </c>
      <c r="AH76" s="878" t="e">
        <f t="shared" si="57"/>
        <v>#VALUE!</v>
      </c>
      <c r="AI76" s="878" t="e">
        <f t="shared" si="92"/>
        <v>#VALUE!</v>
      </c>
      <c r="AJ76" s="878" t="e">
        <f t="shared" si="58"/>
        <v>#VALUE!</v>
      </c>
      <c r="AK76" s="878" t="e">
        <f t="shared" si="59"/>
        <v>#VALUE!</v>
      </c>
      <c r="AL76" s="966" t="e">
        <f t="shared" si="60"/>
        <v>#VALUE!</v>
      </c>
      <c r="AM76" s="239"/>
      <c r="AN76" s="662"/>
      <c r="AO76" s="685">
        <f t="shared" si="61"/>
        <v>-1.0420274577316575</v>
      </c>
      <c r="AP76" s="276">
        <f t="shared" si="62"/>
        <v>-2.1635818817909716</v>
      </c>
      <c r="AQ76" s="276">
        <f t="shared" si="63"/>
        <v>1.422419917140582</v>
      </c>
      <c r="AR76" s="276">
        <f t="shared" si="64"/>
        <v>-1.0197695602738108</v>
      </c>
      <c r="AS76" s="276">
        <f t="shared" si="65"/>
        <v>-1.2602773010314745</v>
      </c>
      <c r="AT76" s="276">
        <f t="shared" si="66"/>
        <v>-5.5514726925836628</v>
      </c>
      <c r="AU76" s="685">
        <f t="shared" si="67"/>
        <v>1.427182507261606</v>
      </c>
      <c r="AV76" s="276">
        <f t="shared" si="68"/>
        <v>0.62250022811723693</v>
      </c>
      <c r="AW76" s="276">
        <f t="shared" si="69"/>
        <v>1.3688460214024289</v>
      </c>
      <c r="AX76" s="276">
        <f t="shared" si="70"/>
        <v>1.9141419210652597</v>
      </c>
      <c r="AY76" s="276">
        <f t="shared" si="71"/>
        <v>1.5661059586488151</v>
      </c>
      <c r="AZ76" s="686">
        <f t="shared" si="72"/>
        <v>0.93477608816030622</v>
      </c>
      <c r="BA76" s="685">
        <f t="shared" si="73"/>
        <v>0</v>
      </c>
      <c r="BB76" s="276">
        <f t="shared" si="74"/>
        <v>0</v>
      </c>
      <c r="BC76" s="276">
        <f t="shared" si="75"/>
        <v>0</v>
      </c>
      <c r="BD76" s="276">
        <f t="shared" si="76"/>
        <v>0</v>
      </c>
      <c r="BE76" s="276">
        <f t="shared" si="77"/>
        <v>0</v>
      </c>
      <c r="BF76" s="686">
        <f t="shared" si="78"/>
        <v>0</v>
      </c>
      <c r="BG76" s="685" t="e">
        <f t="shared" si="79"/>
        <v>#DIV/0!</v>
      </c>
      <c r="BH76" s="276" t="e">
        <f t="shared" si="80"/>
        <v>#DIV/0!</v>
      </c>
      <c r="BI76" s="276" t="e">
        <f t="shared" si="81"/>
        <v>#DIV/0!</v>
      </c>
      <c r="BJ76" s="276" t="e">
        <f t="shared" si="82"/>
        <v>#DIV/0!</v>
      </c>
      <c r="BK76" s="276" t="e">
        <f t="shared" si="83"/>
        <v>#DIV/0!</v>
      </c>
      <c r="BL76" s="686" t="e">
        <f t="shared" si="84"/>
        <v>#DIV/0!</v>
      </c>
      <c r="BM76" s="239"/>
      <c r="BN76" s="965" t="e">
        <f t="shared" si="85"/>
        <v>#VALUE!</v>
      </c>
      <c r="BO76" s="878" t="e">
        <f t="shared" si="86"/>
        <v>#VALUE!</v>
      </c>
      <c r="BP76" s="878" t="e">
        <f t="shared" si="87"/>
        <v>#VALUE!</v>
      </c>
      <c r="BQ76" s="878" t="e">
        <f t="shared" si="88"/>
        <v>#VALUE!</v>
      </c>
      <c r="BR76" s="878" t="e">
        <f t="shared" si="89"/>
        <v>#VALUE!</v>
      </c>
      <c r="BS76" s="966" t="e">
        <f t="shared" si="90"/>
        <v>#VALUE!</v>
      </c>
    </row>
    <row r="77" spans="1:71">
      <c r="A77" s="284">
        <f t="shared" si="91"/>
        <v>9</v>
      </c>
      <c r="B77" s="285">
        <v>-3.6714857384194861</v>
      </c>
      <c r="C77" s="285">
        <v>2.3609315550417871</v>
      </c>
      <c r="D77" s="285">
        <v>0.75564649942149598</v>
      </c>
      <c r="E77" s="285">
        <v>-7.41640101502969</v>
      </c>
      <c r="H77" s="685">
        <f t="shared" si="32"/>
        <v>-4.8047195801885412</v>
      </c>
      <c r="I77" s="276">
        <f t="shared" si="33"/>
        <v>-0.21689398299719009</v>
      </c>
      <c r="J77" s="276">
        <f t="shared" si="34"/>
        <v>2.2599450077054168</v>
      </c>
      <c r="K77" s="276">
        <f t="shared" si="35"/>
        <v>-1.3837095671820054</v>
      </c>
      <c r="L77" s="276">
        <f t="shared" si="36"/>
        <v>-2.5502102042529273</v>
      </c>
      <c r="M77" s="276">
        <f t="shared" si="37"/>
        <v>-1.971081001296014</v>
      </c>
      <c r="N77" s="685">
        <f t="shared" si="38"/>
        <v>1.1537603440699187</v>
      </c>
      <c r="O77" s="276">
        <f t="shared" si="39"/>
        <v>1.059940843678348</v>
      </c>
      <c r="P77" s="276">
        <f t="shared" si="40"/>
        <v>1.0700756426528624</v>
      </c>
      <c r="Q77" s="276">
        <f t="shared" si="41"/>
        <v>0.9409795950095885</v>
      </c>
      <c r="R77" s="276">
        <f t="shared" si="42"/>
        <v>2.3066375847344585</v>
      </c>
      <c r="S77" s="686">
        <f t="shared" si="43"/>
        <v>0.85497478067856325</v>
      </c>
      <c r="T77" s="685">
        <f t="shared" si="44"/>
        <v>4.0340101896924221</v>
      </c>
      <c r="U77" s="276">
        <f t="shared" si="45"/>
        <v>5.283125381750148</v>
      </c>
      <c r="V77" s="276">
        <f t="shared" si="46"/>
        <v>5.0960251571934405</v>
      </c>
      <c r="W77" s="276">
        <f t="shared" si="47"/>
        <v>5.1719097534520539</v>
      </c>
      <c r="X77" s="276">
        <f t="shared" si="48"/>
        <v>3.7161763198699136</v>
      </c>
      <c r="Y77" s="686">
        <f t="shared" si="49"/>
        <v>3.0088750621012377</v>
      </c>
      <c r="Z77" s="685" t="e">
        <f t="shared" si="50"/>
        <v>#DIV/0!</v>
      </c>
      <c r="AA77" s="276" t="e">
        <f t="shared" si="51"/>
        <v>#DIV/0!</v>
      </c>
      <c r="AB77" s="276" t="e">
        <f t="shared" si="52"/>
        <v>#DIV/0!</v>
      </c>
      <c r="AC77" s="276" t="e">
        <f t="shared" si="53"/>
        <v>#DIV/0!</v>
      </c>
      <c r="AD77" s="276" t="e">
        <f t="shared" si="54"/>
        <v>#DIV/0!</v>
      </c>
      <c r="AE77" s="686" t="e">
        <f t="shared" si="55"/>
        <v>#DIV/0!</v>
      </c>
      <c r="AF77" s="239"/>
      <c r="AG77" s="965" t="e">
        <f t="shared" si="56"/>
        <v>#VALUE!</v>
      </c>
      <c r="AH77" s="878" t="e">
        <f t="shared" si="57"/>
        <v>#VALUE!</v>
      </c>
      <c r="AI77" s="878" t="e">
        <f t="shared" si="92"/>
        <v>#VALUE!</v>
      </c>
      <c r="AJ77" s="878" t="e">
        <f t="shared" si="58"/>
        <v>#VALUE!</v>
      </c>
      <c r="AK77" s="878" t="e">
        <f t="shared" si="59"/>
        <v>#VALUE!</v>
      </c>
      <c r="AL77" s="966" t="e">
        <f t="shared" si="60"/>
        <v>#VALUE!</v>
      </c>
      <c r="AM77" s="239"/>
      <c r="AN77" s="662"/>
      <c r="AO77" s="685">
        <f t="shared" si="61"/>
        <v>-4.8047195801885412</v>
      </c>
      <c r="AP77" s="276">
        <f t="shared" si="62"/>
        <v>-0.21689398299719009</v>
      </c>
      <c r="AQ77" s="276">
        <f t="shared" si="63"/>
        <v>2.2599450077054168</v>
      </c>
      <c r="AR77" s="276">
        <f t="shared" si="64"/>
        <v>-1.3837095671820054</v>
      </c>
      <c r="AS77" s="276">
        <f t="shared" si="65"/>
        <v>-2.5502102042529273</v>
      </c>
      <c r="AT77" s="276">
        <f t="shared" si="66"/>
        <v>-1.971081001296014</v>
      </c>
      <c r="AU77" s="685">
        <f t="shared" si="67"/>
        <v>1.1537603440699187</v>
      </c>
      <c r="AV77" s="276">
        <f t="shared" si="68"/>
        <v>1.059940843678348</v>
      </c>
      <c r="AW77" s="276">
        <f t="shared" si="69"/>
        <v>1.0700756426528624</v>
      </c>
      <c r="AX77" s="276">
        <f t="shared" si="70"/>
        <v>0.9409795950095885</v>
      </c>
      <c r="AY77" s="276">
        <f t="shared" si="71"/>
        <v>2.3066375847344585</v>
      </c>
      <c r="AZ77" s="686">
        <f t="shared" si="72"/>
        <v>0.85497478067856325</v>
      </c>
      <c r="BA77" s="685">
        <f t="shared" si="73"/>
        <v>0</v>
      </c>
      <c r="BB77" s="276">
        <f t="shared" si="74"/>
        <v>0</v>
      </c>
      <c r="BC77" s="276">
        <f t="shared" si="75"/>
        <v>0</v>
      </c>
      <c r="BD77" s="276">
        <f t="shared" si="76"/>
        <v>0</v>
      </c>
      <c r="BE77" s="276">
        <f t="shared" si="77"/>
        <v>0</v>
      </c>
      <c r="BF77" s="686">
        <f t="shared" si="78"/>
        <v>0</v>
      </c>
      <c r="BG77" s="685" t="e">
        <f t="shared" si="79"/>
        <v>#DIV/0!</v>
      </c>
      <c r="BH77" s="276" t="e">
        <f t="shared" si="80"/>
        <v>#DIV/0!</v>
      </c>
      <c r="BI77" s="276" t="e">
        <f t="shared" si="81"/>
        <v>#DIV/0!</v>
      </c>
      <c r="BJ77" s="276" t="e">
        <f t="shared" si="82"/>
        <v>#DIV/0!</v>
      </c>
      <c r="BK77" s="276" t="e">
        <f t="shared" si="83"/>
        <v>#DIV/0!</v>
      </c>
      <c r="BL77" s="686" t="e">
        <f t="shared" si="84"/>
        <v>#DIV/0!</v>
      </c>
      <c r="BM77" s="239"/>
      <c r="BN77" s="965" t="e">
        <f t="shared" si="85"/>
        <v>#VALUE!</v>
      </c>
      <c r="BO77" s="878" t="e">
        <f t="shared" si="86"/>
        <v>#VALUE!</v>
      </c>
      <c r="BP77" s="878" t="e">
        <f t="shared" si="87"/>
        <v>#VALUE!</v>
      </c>
      <c r="BQ77" s="878" t="e">
        <f t="shared" si="88"/>
        <v>#VALUE!</v>
      </c>
      <c r="BR77" s="878" t="e">
        <f t="shared" si="89"/>
        <v>#VALUE!</v>
      </c>
      <c r="BS77" s="966" t="e">
        <f t="shared" si="90"/>
        <v>#VALUE!</v>
      </c>
    </row>
    <row r="78" spans="1:71">
      <c r="A78" s="284">
        <f t="shared" si="91"/>
        <v>10</v>
      </c>
      <c r="B78" s="285">
        <v>-0.28429642864806787</v>
      </c>
      <c r="C78" s="285">
        <v>2.5556202458261961</v>
      </c>
      <c r="D78" s="285">
        <v>-0.56467867087450396</v>
      </c>
      <c r="E78" s="285">
        <v>-6.4211966908955738</v>
      </c>
      <c r="H78" s="685">
        <f t="shared" si="32"/>
        <v>-1.4175302704171227</v>
      </c>
      <c r="I78" s="276">
        <f t="shared" si="33"/>
        <v>0.12550228004024477</v>
      </c>
      <c r="J78" s="276">
        <f t="shared" si="34"/>
        <v>7.0057878778542415E-2</v>
      </c>
      <c r="K78" s="276">
        <f t="shared" si="35"/>
        <v>3.9017347825928805E-2</v>
      </c>
      <c r="L78" s="276">
        <f t="shared" si="36"/>
        <v>-5.4631309222870161</v>
      </c>
      <c r="M78" s="276">
        <f t="shared" si="37"/>
        <v>0.23151603331266202</v>
      </c>
      <c r="N78" s="685">
        <f t="shared" si="38"/>
        <v>1.3484490348543277</v>
      </c>
      <c r="O78" s="276">
        <f t="shared" si="39"/>
        <v>2.1123173870453158</v>
      </c>
      <c r="P78" s="276">
        <f t="shared" si="40"/>
        <v>1.4341402294490793</v>
      </c>
      <c r="Q78" s="276">
        <f t="shared" si="41"/>
        <v>1.0735792177654158</v>
      </c>
      <c r="R78" s="276">
        <f t="shared" si="42"/>
        <v>1.1210978434679648</v>
      </c>
      <c r="S78" s="686">
        <f t="shared" si="43"/>
        <v>2.0395940600022486</v>
      </c>
      <c r="T78" s="685">
        <f t="shared" si="44"/>
        <v>2.7136850193964221</v>
      </c>
      <c r="U78" s="276">
        <f t="shared" si="45"/>
        <v>3.8945318185917683</v>
      </c>
      <c r="V78" s="276">
        <f t="shared" si="46"/>
        <v>3.6269147698358464</v>
      </c>
      <c r="W78" s="276">
        <f t="shared" si="47"/>
        <v>6.2075044088130173</v>
      </c>
      <c r="X78" s="276">
        <f t="shared" si="48"/>
        <v>4.6041172772486139</v>
      </c>
      <c r="Y78" s="686">
        <f t="shared" si="49"/>
        <v>3.8891386359544362</v>
      </c>
      <c r="Z78" s="685" t="e">
        <f t="shared" si="50"/>
        <v>#DIV/0!</v>
      </c>
      <c r="AA78" s="276" t="e">
        <f t="shared" si="51"/>
        <v>#DIV/0!</v>
      </c>
      <c r="AB78" s="276" t="e">
        <f t="shared" si="52"/>
        <v>#DIV/0!</v>
      </c>
      <c r="AC78" s="276" t="e">
        <f t="shared" si="53"/>
        <v>#DIV/0!</v>
      </c>
      <c r="AD78" s="276" t="e">
        <f t="shared" si="54"/>
        <v>#DIV/0!</v>
      </c>
      <c r="AE78" s="686" t="e">
        <f t="shared" si="55"/>
        <v>#DIV/0!</v>
      </c>
      <c r="AF78" s="239"/>
      <c r="AG78" s="965" t="e">
        <f t="shared" si="56"/>
        <v>#VALUE!</v>
      </c>
      <c r="AH78" s="878" t="e">
        <f t="shared" si="57"/>
        <v>#VALUE!</v>
      </c>
      <c r="AI78" s="878" t="e">
        <f t="shared" si="92"/>
        <v>#VALUE!</v>
      </c>
      <c r="AJ78" s="878" t="e">
        <f t="shared" si="58"/>
        <v>#VALUE!</v>
      </c>
      <c r="AK78" s="878" t="e">
        <f t="shared" si="59"/>
        <v>#VALUE!</v>
      </c>
      <c r="AL78" s="966" t="e">
        <f t="shared" si="60"/>
        <v>#VALUE!</v>
      </c>
      <c r="AM78" s="239"/>
      <c r="AO78" s="685">
        <f t="shared" si="61"/>
        <v>-1.4175302704171227</v>
      </c>
      <c r="AP78" s="276">
        <f t="shared" si="62"/>
        <v>0.12550228004024477</v>
      </c>
      <c r="AQ78" s="276">
        <f t="shared" si="63"/>
        <v>7.0057878778542415E-2</v>
      </c>
      <c r="AR78" s="276">
        <f t="shared" si="64"/>
        <v>3.9017347825928805E-2</v>
      </c>
      <c r="AS78" s="276">
        <f t="shared" si="65"/>
        <v>-5.4631309222870161</v>
      </c>
      <c r="AT78" s="276">
        <f t="shared" si="66"/>
        <v>0.23151603331266202</v>
      </c>
      <c r="AU78" s="685">
        <f t="shared" si="67"/>
        <v>1.3484490348543277</v>
      </c>
      <c r="AV78" s="276">
        <f t="shared" si="68"/>
        <v>2.1123173870453158</v>
      </c>
      <c r="AW78" s="276">
        <f t="shared" si="69"/>
        <v>1.4341402294490793</v>
      </c>
      <c r="AX78" s="276">
        <f t="shared" si="70"/>
        <v>1.0735792177654158</v>
      </c>
      <c r="AY78" s="276">
        <f t="shared" si="71"/>
        <v>1.1210978434679648</v>
      </c>
      <c r="AZ78" s="686">
        <f t="shared" si="72"/>
        <v>2.0395940600022486</v>
      </c>
      <c r="BA78" s="685">
        <f t="shared" si="73"/>
        <v>0</v>
      </c>
      <c r="BB78" s="276">
        <f t="shared" si="74"/>
        <v>0</v>
      </c>
      <c r="BC78" s="276">
        <f t="shared" si="75"/>
        <v>0</v>
      </c>
      <c r="BD78" s="276">
        <f t="shared" si="76"/>
        <v>0</v>
      </c>
      <c r="BE78" s="276">
        <f t="shared" si="77"/>
        <v>0</v>
      </c>
      <c r="BF78" s="686">
        <f t="shared" si="78"/>
        <v>0</v>
      </c>
      <c r="BG78" s="685" t="e">
        <f t="shared" si="79"/>
        <v>#DIV/0!</v>
      </c>
      <c r="BH78" s="276" t="e">
        <f t="shared" si="80"/>
        <v>#DIV/0!</v>
      </c>
      <c r="BI78" s="276" t="e">
        <f t="shared" si="81"/>
        <v>#DIV/0!</v>
      </c>
      <c r="BJ78" s="276" t="e">
        <f t="shared" si="82"/>
        <v>#DIV/0!</v>
      </c>
      <c r="BK78" s="276" t="e">
        <f t="shared" si="83"/>
        <v>#DIV/0!</v>
      </c>
      <c r="BL78" s="686" t="e">
        <f t="shared" si="84"/>
        <v>#DIV/0!</v>
      </c>
      <c r="BM78" s="239"/>
      <c r="BN78" s="965" t="e">
        <f t="shared" si="85"/>
        <v>#VALUE!</v>
      </c>
      <c r="BO78" s="878" t="e">
        <f t="shared" si="86"/>
        <v>#VALUE!</v>
      </c>
      <c r="BP78" s="878" t="e">
        <f t="shared" si="87"/>
        <v>#VALUE!</v>
      </c>
      <c r="BQ78" s="878" t="e">
        <f t="shared" si="88"/>
        <v>#VALUE!</v>
      </c>
      <c r="BR78" s="878" t="e">
        <f t="shared" si="89"/>
        <v>#VALUE!</v>
      </c>
      <c r="BS78" s="966" t="e">
        <f t="shared" si="90"/>
        <v>#VALUE!</v>
      </c>
    </row>
    <row r="79" spans="1:71">
      <c r="A79" s="284">
        <f t="shared" si="91"/>
        <v>11</v>
      </c>
      <c r="B79" s="285">
        <v>-0.25044467304466195</v>
      </c>
      <c r="C79" s="285">
        <v>2.6258585734867204</v>
      </c>
      <c r="D79" s="285">
        <v>1.3894571926361867</v>
      </c>
      <c r="E79" s="285">
        <v>-1.8082863246645782</v>
      </c>
      <c r="H79" s="685">
        <f t="shared" si="32"/>
        <v>-1.3836785148137167</v>
      </c>
      <c r="I79" s="276">
        <f t="shared" si="33"/>
        <v>-3.9711261108833309</v>
      </c>
      <c r="J79" s="276">
        <f t="shared" si="34"/>
        <v>-2.1798915652910651</v>
      </c>
      <c r="K79" s="276">
        <f t="shared" si="35"/>
        <v>4.9191907901973222</v>
      </c>
      <c r="L79" s="276">
        <f t="shared" si="36"/>
        <v>-0.45069537625566169</v>
      </c>
      <c r="M79" s="276">
        <f t="shared" si="37"/>
        <v>-3.8473514560259048E-2</v>
      </c>
      <c r="N79" s="685">
        <f t="shared" si="38"/>
        <v>1.4186873625148519</v>
      </c>
      <c r="O79" s="276">
        <f t="shared" si="39"/>
        <v>0.79383473079158251</v>
      </c>
      <c r="P79" s="276">
        <f t="shared" si="40"/>
        <v>1.1545322839120187</v>
      </c>
      <c r="Q79" s="276">
        <f t="shared" si="41"/>
        <v>1.8406149481259073</v>
      </c>
      <c r="R79" s="276">
        <f t="shared" si="42"/>
        <v>1.4488743669230153</v>
      </c>
      <c r="S79" s="686">
        <f t="shared" si="43"/>
        <v>1.4518333765305071</v>
      </c>
      <c r="T79" s="685">
        <f t="shared" si="44"/>
        <v>4.6678208829071126</v>
      </c>
      <c r="U79" s="276">
        <f t="shared" si="45"/>
        <v>5.0512790711247746</v>
      </c>
      <c r="V79" s="276">
        <f t="shared" si="46"/>
        <v>4.6957972412987221</v>
      </c>
      <c r="W79" s="276">
        <f t="shared" si="47"/>
        <v>4.0987618449253711</v>
      </c>
      <c r="X79" s="276">
        <f t="shared" si="48"/>
        <v>3.4186611501108524</v>
      </c>
      <c r="Y79" s="686">
        <f t="shared" si="49"/>
        <v>3.6863409810976271</v>
      </c>
      <c r="Z79" s="685" t="e">
        <f t="shared" si="50"/>
        <v>#DIV/0!</v>
      </c>
      <c r="AA79" s="276" t="e">
        <f t="shared" si="51"/>
        <v>#DIV/0!</v>
      </c>
      <c r="AB79" s="276" t="e">
        <f t="shared" si="52"/>
        <v>#DIV/0!</v>
      </c>
      <c r="AC79" s="276" t="e">
        <f t="shared" si="53"/>
        <v>#DIV/0!</v>
      </c>
      <c r="AD79" s="276" t="e">
        <f t="shared" si="54"/>
        <v>#DIV/0!</v>
      </c>
      <c r="AE79" s="686" t="e">
        <f t="shared" si="55"/>
        <v>#DIV/0!</v>
      </c>
      <c r="AF79" s="239"/>
      <c r="AG79" s="965" t="e">
        <f t="shared" si="56"/>
        <v>#VALUE!</v>
      </c>
      <c r="AH79" s="878" t="e">
        <f t="shared" si="57"/>
        <v>#VALUE!</v>
      </c>
      <c r="AI79" s="878" t="e">
        <f t="shared" si="92"/>
        <v>#VALUE!</v>
      </c>
      <c r="AJ79" s="878" t="e">
        <f t="shared" si="58"/>
        <v>#VALUE!</v>
      </c>
      <c r="AK79" s="878" t="e">
        <f t="shared" si="59"/>
        <v>#VALUE!</v>
      </c>
      <c r="AL79" s="966" t="e">
        <f t="shared" si="60"/>
        <v>#VALUE!</v>
      </c>
      <c r="AM79" s="239"/>
      <c r="AO79" s="685">
        <f t="shared" si="61"/>
        <v>-1.3836785148137167</v>
      </c>
      <c r="AP79" s="276">
        <f t="shared" si="62"/>
        <v>-3.9711261108833309</v>
      </c>
      <c r="AQ79" s="276">
        <f t="shared" si="63"/>
        <v>-2.1798915652910651</v>
      </c>
      <c r="AR79" s="276">
        <f t="shared" si="64"/>
        <v>4.9191907901973222</v>
      </c>
      <c r="AS79" s="276">
        <f t="shared" si="65"/>
        <v>-0.45069537625566169</v>
      </c>
      <c r="AT79" s="276">
        <f t="shared" si="66"/>
        <v>-3.8473514560259048E-2</v>
      </c>
      <c r="AU79" s="685">
        <f t="shared" si="67"/>
        <v>1.4186873625148519</v>
      </c>
      <c r="AV79" s="276">
        <f t="shared" si="68"/>
        <v>0.79383473079158251</v>
      </c>
      <c r="AW79" s="276">
        <f t="shared" si="69"/>
        <v>1.1545322839120187</v>
      </c>
      <c r="AX79" s="276">
        <f t="shared" si="70"/>
        <v>1.8406149481259073</v>
      </c>
      <c r="AY79" s="276">
        <f t="shared" si="71"/>
        <v>1.4488743669230153</v>
      </c>
      <c r="AZ79" s="686">
        <f t="shared" si="72"/>
        <v>1.4518333765305071</v>
      </c>
      <c r="BA79" s="685">
        <f t="shared" si="73"/>
        <v>0</v>
      </c>
      <c r="BB79" s="276">
        <f t="shared" si="74"/>
        <v>0</v>
      </c>
      <c r="BC79" s="276">
        <f t="shared" si="75"/>
        <v>0</v>
      </c>
      <c r="BD79" s="276">
        <f t="shared" si="76"/>
        <v>0</v>
      </c>
      <c r="BE79" s="276">
        <f t="shared" si="77"/>
        <v>0</v>
      </c>
      <c r="BF79" s="686">
        <f t="shared" si="78"/>
        <v>0</v>
      </c>
      <c r="BG79" s="685" t="e">
        <f t="shared" si="79"/>
        <v>#DIV/0!</v>
      </c>
      <c r="BH79" s="276" t="e">
        <f t="shared" si="80"/>
        <v>#DIV/0!</v>
      </c>
      <c r="BI79" s="276" t="e">
        <f t="shared" si="81"/>
        <v>#DIV/0!</v>
      </c>
      <c r="BJ79" s="276" t="e">
        <f t="shared" si="82"/>
        <v>#DIV/0!</v>
      </c>
      <c r="BK79" s="276" t="e">
        <f t="shared" si="83"/>
        <v>#DIV/0!</v>
      </c>
      <c r="BL79" s="686" t="e">
        <f t="shared" si="84"/>
        <v>#DIV/0!</v>
      </c>
      <c r="BM79" s="239"/>
      <c r="BN79" s="965" t="e">
        <f t="shared" si="85"/>
        <v>#VALUE!</v>
      </c>
      <c r="BO79" s="878" t="e">
        <f t="shared" si="86"/>
        <v>#VALUE!</v>
      </c>
      <c r="BP79" s="878" t="e">
        <f t="shared" si="87"/>
        <v>#VALUE!</v>
      </c>
      <c r="BQ79" s="878" t="e">
        <f t="shared" si="88"/>
        <v>#VALUE!</v>
      </c>
      <c r="BR79" s="878" t="e">
        <f t="shared" si="89"/>
        <v>#VALUE!</v>
      </c>
      <c r="BS79" s="966" t="e">
        <f t="shared" si="90"/>
        <v>#VALUE!</v>
      </c>
    </row>
    <row r="80" spans="1:71">
      <c r="A80" s="284">
        <f t="shared" si="91"/>
        <v>12</v>
      </c>
      <c r="B80" s="285">
        <v>-1.1384535390124246</v>
      </c>
      <c r="C80" s="285">
        <v>2.1176081706232996</v>
      </c>
      <c r="D80" s="285">
        <v>0.14126169517677134</v>
      </c>
      <c r="E80" s="285">
        <v>-5.0330924542915767</v>
      </c>
      <c r="H80" s="685">
        <f t="shared" si="32"/>
        <v>-2.2716873807814792</v>
      </c>
      <c r="I80" s="276">
        <f t="shared" si="33"/>
        <v>-2.7665233771855995</v>
      </c>
      <c r="J80" s="276">
        <f t="shared" si="34"/>
        <v>-1.9563672610491141</v>
      </c>
      <c r="K80" s="276">
        <f t="shared" si="35"/>
        <v>-3.5124337493279345</v>
      </c>
      <c r="L80" s="276">
        <f t="shared" si="36"/>
        <v>-2.4250164433477908</v>
      </c>
      <c r="M80" s="276">
        <f t="shared" si="37"/>
        <v>-2.5417462186655588</v>
      </c>
      <c r="N80" s="685">
        <f t="shared" si="38"/>
        <v>0.91043695965143123</v>
      </c>
      <c r="O80" s="276">
        <f t="shared" si="39"/>
        <v>1.8125484634354809</v>
      </c>
      <c r="P80" s="276">
        <f t="shared" si="40"/>
        <v>1.1649175605331477</v>
      </c>
      <c r="Q80" s="276">
        <f t="shared" si="41"/>
        <v>1.6712492924301403</v>
      </c>
      <c r="R80" s="276">
        <f t="shared" si="42"/>
        <v>1.8367388095945889</v>
      </c>
      <c r="S80" s="686">
        <f t="shared" si="43"/>
        <v>1.7837524789963879</v>
      </c>
      <c r="T80" s="685">
        <f t="shared" si="44"/>
        <v>3.4196253854476972</v>
      </c>
      <c r="U80" s="276">
        <f t="shared" si="45"/>
        <v>5.1603376349794319</v>
      </c>
      <c r="V80" s="276">
        <f t="shared" si="46"/>
        <v>3.5062083753140252</v>
      </c>
      <c r="W80" s="276">
        <f t="shared" si="47"/>
        <v>4.2226091527153056</v>
      </c>
      <c r="X80" s="276">
        <f t="shared" si="48"/>
        <v>2.5459224554771351</v>
      </c>
      <c r="Y80" s="686">
        <f t="shared" si="49"/>
        <v>2.3819193303114981</v>
      </c>
      <c r="Z80" s="685" t="e">
        <f t="shared" si="50"/>
        <v>#DIV/0!</v>
      </c>
      <c r="AA80" s="276" t="e">
        <f t="shared" si="51"/>
        <v>#DIV/0!</v>
      </c>
      <c r="AB80" s="276" t="e">
        <f t="shared" si="52"/>
        <v>#DIV/0!</v>
      </c>
      <c r="AC80" s="276" t="e">
        <f t="shared" si="53"/>
        <v>#DIV/0!</v>
      </c>
      <c r="AD80" s="276" t="e">
        <f t="shared" si="54"/>
        <v>#DIV/0!</v>
      </c>
      <c r="AE80" s="686" t="e">
        <f t="shared" si="55"/>
        <v>#DIV/0!</v>
      </c>
      <c r="AF80" s="239"/>
      <c r="AG80" s="965" t="e">
        <f t="shared" si="56"/>
        <v>#VALUE!</v>
      </c>
      <c r="AH80" s="878" t="e">
        <f t="shared" si="57"/>
        <v>#VALUE!</v>
      </c>
      <c r="AI80" s="878" t="e">
        <f t="shared" si="92"/>
        <v>#VALUE!</v>
      </c>
      <c r="AJ80" s="878" t="e">
        <f t="shared" si="58"/>
        <v>#VALUE!</v>
      </c>
      <c r="AK80" s="878" t="e">
        <f t="shared" si="59"/>
        <v>#VALUE!</v>
      </c>
      <c r="AL80" s="966" t="e">
        <f t="shared" si="60"/>
        <v>#VALUE!</v>
      </c>
      <c r="AM80" s="239"/>
      <c r="AO80" s="685">
        <f t="shared" si="61"/>
        <v>-2.2716873807814792</v>
      </c>
      <c r="AP80" s="276">
        <f t="shared" si="62"/>
        <v>-2.7665233771855995</v>
      </c>
      <c r="AQ80" s="276">
        <f t="shared" si="63"/>
        <v>-1.9563672610491141</v>
      </c>
      <c r="AR80" s="276">
        <f t="shared" si="64"/>
        <v>-3.5124337493279345</v>
      </c>
      <c r="AS80" s="276">
        <f t="shared" si="65"/>
        <v>-2.4250164433477908</v>
      </c>
      <c r="AT80" s="276">
        <f t="shared" si="66"/>
        <v>-2.5417462186655588</v>
      </c>
      <c r="AU80" s="685">
        <f t="shared" si="67"/>
        <v>0.91043695965143123</v>
      </c>
      <c r="AV80" s="276">
        <f t="shared" si="68"/>
        <v>1.8125484634354809</v>
      </c>
      <c r="AW80" s="276">
        <f t="shared" si="69"/>
        <v>1.1649175605331477</v>
      </c>
      <c r="AX80" s="276">
        <f t="shared" si="70"/>
        <v>1.6712492924301403</v>
      </c>
      <c r="AY80" s="276">
        <f t="shared" si="71"/>
        <v>1.8367388095945889</v>
      </c>
      <c r="AZ80" s="686">
        <f t="shared" si="72"/>
        <v>1.7837524789963879</v>
      </c>
      <c r="BA80" s="685">
        <f t="shared" si="73"/>
        <v>0</v>
      </c>
      <c r="BB80" s="276">
        <f t="shared" si="74"/>
        <v>0</v>
      </c>
      <c r="BC80" s="276">
        <f t="shared" si="75"/>
        <v>0</v>
      </c>
      <c r="BD80" s="276">
        <f t="shared" si="76"/>
        <v>0</v>
      </c>
      <c r="BE80" s="276">
        <f t="shared" si="77"/>
        <v>0</v>
      </c>
      <c r="BF80" s="686">
        <f t="shared" si="78"/>
        <v>0</v>
      </c>
      <c r="BG80" s="685" t="e">
        <f t="shared" si="79"/>
        <v>#DIV/0!</v>
      </c>
      <c r="BH80" s="276" t="e">
        <f t="shared" si="80"/>
        <v>#DIV/0!</v>
      </c>
      <c r="BI80" s="276" t="e">
        <f t="shared" si="81"/>
        <v>#DIV/0!</v>
      </c>
      <c r="BJ80" s="276" t="e">
        <f t="shared" si="82"/>
        <v>#DIV/0!</v>
      </c>
      <c r="BK80" s="276" t="e">
        <f t="shared" si="83"/>
        <v>#DIV/0!</v>
      </c>
      <c r="BL80" s="686" t="e">
        <f t="shared" si="84"/>
        <v>#DIV/0!</v>
      </c>
      <c r="BM80" s="239"/>
      <c r="BN80" s="965" t="e">
        <f t="shared" si="85"/>
        <v>#VALUE!</v>
      </c>
      <c r="BO80" s="878" t="e">
        <f t="shared" si="86"/>
        <v>#VALUE!</v>
      </c>
      <c r="BP80" s="878" t="e">
        <f t="shared" si="87"/>
        <v>#VALUE!</v>
      </c>
      <c r="BQ80" s="878" t="e">
        <f t="shared" si="88"/>
        <v>#VALUE!</v>
      </c>
      <c r="BR80" s="878" t="e">
        <f t="shared" si="89"/>
        <v>#VALUE!</v>
      </c>
      <c r="BS80" s="966" t="e">
        <f t="shared" si="90"/>
        <v>#VALUE!</v>
      </c>
    </row>
    <row r="81" spans="1:71">
      <c r="A81" s="284">
        <f t="shared" si="91"/>
        <v>13</v>
      </c>
      <c r="B81" s="285">
        <v>-3.8481061120962767</v>
      </c>
      <c r="C81" s="285">
        <v>1.5398133932034319</v>
      </c>
      <c r="D81" s="285">
        <v>2.5145320135038656</v>
      </c>
      <c r="E81" s="285">
        <v>-22.899819707369421</v>
      </c>
      <c r="H81" s="685">
        <f t="shared" si="32"/>
        <v>-4.9813399538653318</v>
      </c>
      <c r="I81" s="276">
        <f t="shared" si="33"/>
        <v>-1.2159035698414491</v>
      </c>
      <c r="J81" s="276">
        <f t="shared" si="34"/>
        <v>-1.5418175286372422</v>
      </c>
      <c r="K81" s="276">
        <f t="shared" si="35"/>
        <v>-0.99053197536422888</v>
      </c>
      <c r="L81" s="276">
        <f t="shared" si="36"/>
        <v>-1.4514934197134264</v>
      </c>
      <c r="M81" s="276">
        <f t="shared" si="37"/>
        <v>-1.3673249448188345</v>
      </c>
      <c r="N81" s="685">
        <f t="shared" si="38"/>
        <v>0.3326421822315635</v>
      </c>
      <c r="O81" s="276">
        <f t="shared" si="39"/>
        <v>0.808767907290459</v>
      </c>
      <c r="P81" s="276">
        <f t="shared" si="40"/>
        <v>0.97567900145454334</v>
      </c>
      <c r="Q81" s="276">
        <f t="shared" si="41"/>
        <v>0.98486135880766823</v>
      </c>
      <c r="R81" s="276">
        <f t="shared" si="42"/>
        <v>0.7907112742674236</v>
      </c>
      <c r="S81" s="686">
        <f t="shared" si="43"/>
        <v>1.2896234869456953</v>
      </c>
      <c r="T81" s="685">
        <f t="shared" si="44"/>
        <v>5.792895703774791</v>
      </c>
      <c r="U81" s="276">
        <f t="shared" si="45"/>
        <v>1.0269918158286564</v>
      </c>
      <c r="V81" s="276">
        <f t="shared" si="46"/>
        <v>5.5040435623168573</v>
      </c>
      <c r="W81" s="276">
        <f t="shared" si="47"/>
        <v>4.6171575803289908</v>
      </c>
      <c r="X81" s="276">
        <f t="shared" si="48"/>
        <v>4.6793274328530305</v>
      </c>
      <c r="Y81" s="686">
        <f t="shared" si="49"/>
        <v>5.5280161797063485</v>
      </c>
      <c r="Z81" s="685" t="e">
        <f t="shared" si="50"/>
        <v>#DIV/0!</v>
      </c>
      <c r="AA81" s="276" t="e">
        <f t="shared" si="51"/>
        <v>#DIV/0!</v>
      </c>
      <c r="AB81" s="276" t="e">
        <f t="shared" si="52"/>
        <v>#DIV/0!</v>
      </c>
      <c r="AC81" s="276" t="e">
        <f t="shared" si="53"/>
        <v>#DIV/0!</v>
      </c>
      <c r="AD81" s="276" t="e">
        <f t="shared" si="54"/>
        <v>#DIV/0!</v>
      </c>
      <c r="AE81" s="686" t="e">
        <f t="shared" si="55"/>
        <v>#DIV/0!</v>
      </c>
      <c r="AF81" s="239"/>
      <c r="AG81" s="965" t="e">
        <f t="shared" si="56"/>
        <v>#VALUE!</v>
      </c>
      <c r="AH81" s="878" t="e">
        <f t="shared" si="57"/>
        <v>#VALUE!</v>
      </c>
      <c r="AI81" s="878" t="e">
        <f t="shared" si="92"/>
        <v>#VALUE!</v>
      </c>
      <c r="AJ81" s="878" t="e">
        <f t="shared" si="58"/>
        <v>#VALUE!</v>
      </c>
      <c r="AK81" s="878" t="e">
        <f t="shared" si="59"/>
        <v>#VALUE!</v>
      </c>
      <c r="AL81" s="966" t="e">
        <f t="shared" si="60"/>
        <v>#VALUE!</v>
      </c>
      <c r="AM81" s="239"/>
      <c r="AO81" s="685">
        <f t="shared" si="61"/>
        <v>-4.9813399538653318</v>
      </c>
      <c r="AP81" s="276">
        <f t="shared" si="62"/>
        <v>-1.2159035698414491</v>
      </c>
      <c r="AQ81" s="276">
        <f t="shared" si="63"/>
        <v>-1.5418175286372422</v>
      </c>
      <c r="AR81" s="276">
        <f t="shared" si="64"/>
        <v>-0.99053197536422888</v>
      </c>
      <c r="AS81" s="276">
        <f t="shared" si="65"/>
        <v>-1.4514934197134264</v>
      </c>
      <c r="AT81" s="276">
        <f t="shared" si="66"/>
        <v>-1.3673249448188345</v>
      </c>
      <c r="AU81" s="685">
        <f t="shared" si="67"/>
        <v>0.3326421822315635</v>
      </c>
      <c r="AV81" s="276">
        <f t="shared" si="68"/>
        <v>0.808767907290459</v>
      </c>
      <c r="AW81" s="276">
        <f t="shared" si="69"/>
        <v>0.97567900145454334</v>
      </c>
      <c r="AX81" s="276">
        <f t="shared" si="70"/>
        <v>0.98486135880766823</v>
      </c>
      <c r="AY81" s="276">
        <f t="shared" si="71"/>
        <v>0.7907112742674236</v>
      </c>
      <c r="AZ81" s="686">
        <f t="shared" si="72"/>
        <v>1.2896234869456953</v>
      </c>
      <c r="BA81" s="685">
        <f t="shared" si="73"/>
        <v>0</v>
      </c>
      <c r="BB81" s="276">
        <f t="shared" si="74"/>
        <v>0</v>
      </c>
      <c r="BC81" s="276">
        <f t="shared" si="75"/>
        <v>0</v>
      </c>
      <c r="BD81" s="276">
        <f t="shared" si="76"/>
        <v>0</v>
      </c>
      <c r="BE81" s="276">
        <f t="shared" si="77"/>
        <v>0</v>
      </c>
      <c r="BF81" s="686">
        <f t="shared" si="78"/>
        <v>0</v>
      </c>
      <c r="BG81" s="685" t="e">
        <f t="shared" si="79"/>
        <v>#DIV/0!</v>
      </c>
      <c r="BH81" s="276" t="e">
        <f t="shared" si="80"/>
        <v>#DIV/0!</v>
      </c>
      <c r="BI81" s="276" t="e">
        <f t="shared" si="81"/>
        <v>#DIV/0!</v>
      </c>
      <c r="BJ81" s="276" t="e">
        <f t="shared" si="82"/>
        <v>#DIV/0!</v>
      </c>
      <c r="BK81" s="276" t="e">
        <f t="shared" si="83"/>
        <v>#DIV/0!</v>
      </c>
      <c r="BL81" s="686" t="e">
        <f t="shared" si="84"/>
        <v>#DIV/0!</v>
      </c>
      <c r="BM81" s="239"/>
      <c r="BN81" s="965" t="e">
        <f t="shared" si="85"/>
        <v>#VALUE!</v>
      </c>
      <c r="BO81" s="878" t="e">
        <f t="shared" si="86"/>
        <v>#VALUE!</v>
      </c>
      <c r="BP81" s="878" t="e">
        <f t="shared" si="87"/>
        <v>#VALUE!</v>
      </c>
      <c r="BQ81" s="878" t="e">
        <f t="shared" si="88"/>
        <v>#VALUE!</v>
      </c>
      <c r="BR81" s="878" t="e">
        <f t="shared" si="89"/>
        <v>#VALUE!</v>
      </c>
      <c r="BS81" s="966" t="e">
        <f t="shared" si="90"/>
        <v>#VALUE!</v>
      </c>
    </row>
    <row r="82" spans="1:71">
      <c r="A82" s="284">
        <f t="shared" si="91"/>
        <v>14</v>
      </c>
      <c r="B82" s="285">
        <v>1.2589753834367698</v>
      </c>
      <c r="C82" s="285">
        <v>2.0982077376265238</v>
      </c>
      <c r="D82" s="285">
        <v>0.37228922687668609</v>
      </c>
      <c r="E82" s="285">
        <v>-8.7181212302928301</v>
      </c>
      <c r="H82" s="685">
        <f t="shared" si="32"/>
        <v>0.12574154166771501</v>
      </c>
      <c r="I82" s="276">
        <f t="shared" si="33"/>
        <v>4.9560573117373696</v>
      </c>
      <c r="J82" s="276">
        <f t="shared" si="34"/>
        <v>-0.49885980659225604</v>
      </c>
      <c r="K82" s="276">
        <f t="shared" si="35"/>
        <v>-1.9177830619100722</v>
      </c>
      <c r="L82" s="276">
        <f t="shared" si="36"/>
        <v>-1.1552624183806293</v>
      </c>
      <c r="M82" s="276">
        <f t="shared" si="37"/>
        <v>-2.1869707783865868</v>
      </c>
      <c r="N82" s="685">
        <f t="shared" si="38"/>
        <v>0.89103652665465538</v>
      </c>
      <c r="O82" s="276">
        <f t="shared" si="39"/>
        <v>2.4396816899646963</v>
      </c>
      <c r="P82" s="276">
        <f t="shared" si="40"/>
        <v>1.427234398264883</v>
      </c>
      <c r="Q82" s="276">
        <f t="shared" si="41"/>
        <v>2.0861652945721687</v>
      </c>
      <c r="R82" s="276">
        <f t="shared" si="42"/>
        <v>1.5985997174733073</v>
      </c>
      <c r="S82" s="686">
        <f t="shared" si="43"/>
        <v>0.31635204662395755</v>
      </c>
      <c r="T82" s="685">
        <f t="shared" si="44"/>
        <v>3.6506529171476121</v>
      </c>
      <c r="U82" s="276">
        <f t="shared" si="45"/>
        <v>5.1171650810986105</v>
      </c>
      <c r="V82" s="276">
        <f t="shared" si="46"/>
        <v>4.1210850101195708</v>
      </c>
      <c r="W82" s="276">
        <f t="shared" si="47"/>
        <v>2.8287433904392545</v>
      </c>
      <c r="X82" s="276">
        <f t="shared" si="48"/>
        <v>4.907171934003669</v>
      </c>
      <c r="Y82" s="686">
        <f t="shared" si="49"/>
        <v>5.2368130795588925</v>
      </c>
      <c r="Z82" s="685" t="e">
        <f t="shared" si="50"/>
        <v>#DIV/0!</v>
      </c>
      <c r="AA82" s="276" t="e">
        <f t="shared" si="51"/>
        <v>#DIV/0!</v>
      </c>
      <c r="AB82" s="276" t="e">
        <f t="shared" si="52"/>
        <v>#DIV/0!</v>
      </c>
      <c r="AC82" s="276" t="e">
        <f t="shared" si="53"/>
        <v>#DIV/0!</v>
      </c>
      <c r="AD82" s="276" t="e">
        <f t="shared" si="54"/>
        <v>#DIV/0!</v>
      </c>
      <c r="AE82" s="686" t="e">
        <f t="shared" si="55"/>
        <v>#DIV/0!</v>
      </c>
      <c r="AF82" s="239"/>
      <c r="AG82" s="965" t="e">
        <f t="shared" si="56"/>
        <v>#VALUE!</v>
      </c>
      <c r="AH82" s="878" t="e">
        <f t="shared" si="57"/>
        <v>#VALUE!</v>
      </c>
      <c r="AI82" s="878" t="e">
        <f t="shared" si="92"/>
        <v>#VALUE!</v>
      </c>
      <c r="AJ82" s="878" t="e">
        <f t="shared" si="58"/>
        <v>#VALUE!</v>
      </c>
      <c r="AK82" s="878" t="e">
        <f t="shared" si="59"/>
        <v>#VALUE!</v>
      </c>
      <c r="AL82" s="966" t="e">
        <f t="shared" si="60"/>
        <v>#VALUE!</v>
      </c>
      <c r="AM82" s="239"/>
      <c r="AO82" s="685">
        <f t="shared" si="61"/>
        <v>0.12574154166771501</v>
      </c>
      <c r="AP82" s="276">
        <f t="shared" si="62"/>
        <v>4.9560573117373696</v>
      </c>
      <c r="AQ82" s="276">
        <f t="shared" si="63"/>
        <v>-0.49885980659225604</v>
      </c>
      <c r="AR82" s="276">
        <f t="shared" si="64"/>
        <v>-1.9177830619100722</v>
      </c>
      <c r="AS82" s="276">
        <f t="shared" si="65"/>
        <v>-1.1552624183806293</v>
      </c>
      <c r="AT82" s="276">
        <f t="shared" si="66"/>
        <v>-2.1869707783865868</v>
      </c>
      <c r="AU82" s="685">
        <f t="shared" si="67"/>
        <v>0.89103652665465538</v>
      </c>
      <c r="AV82" s="276">
        <f t="shared" si="68"/>
        <v>2.4396816899646963</v>
      </c>
      <c r="AW82" s="276">
        <f t="shared" si="69"/>
        <v>1.427234398264883</v>
      </c>
      <c r="AX82" s="276">
        <f t="shared" si="70"/>
        <v>2.0861652945721687</v>
      </c>
      <c r="AY82" s="276">
        <f t="shared" si="71"/>
        <v>1.5985997174733073</v>
      </c>
      <c r="AZ82" s="686">
        <f t="shared" si="72"/>
        <v>0.31635204662395755</v>
      </c>
      <c r="BA82" s="685">
        <f t="shared" si="73"/>
        <v>0</v>
      </c>
      <c r="BB82" s="276">
        <f t="shared" si="74"/>
        <v>0</v>
      </c>
      <c r="BC82" s="276">
        <f t="shared" si="75"/>
        <v>0</v>
      </c>
      <c r="BD82" s="276">
        <f t="shared" si="76"/>
        <v>0</v>
      </c>
      <c r="BE82" s="276">
        <f t="shared" si="77"/>
        <v>0</v>
      </c>
      <c r="BF82" s="686">
        <f t="shared" si="78"/>
        <v>0</v>
      </c>
      <c r="BG82" s="685" t="e">
        <f t="shared" si="79"/>
        <v>#DIV/0!</v>
      </c>
      <c r="BH82" s="276" t="e">
        <f t="shared" si="80"/>
        <v>#DIV/0!</v>
      </c>
      <c r="BI82" s="276" t="e">
        <f t="shared" si="81"/>
        <v>#DIV/0!</v>
      </c>
      <c r="BJ82" s="276" t="e">
        <f t="shared" si="82"/>
        <v>#DIV/0!</v>
      </c>
      <c r="BK82" s="276" t="e">
        <f t="shared" si="83"/>
        <v>#DIV/0!</v>
      </c>
      <c r="BL82" s="686" t="e">
        <f t="shared" si="84"/>
        <v>#DIV/0!</v>
      </c>
      <c r="BM82" s="239"/>
      <c r="BN82" s="965" t="e">
        <f t="shared" si="85"/>
        <v>#VALUE!</v>
      </c>
      <c r="BO82" s="878" t="e">
        <f t="shared" si="86"/>
        <v>#VALUE!</v>
      </c>
      <c r="BP82" s="878" t="e">
        <f t="shared" si="87"/>
        <v>#VALUE!</v>
      </c>
      <c r="BQ82" s="878" t="e">
        <f t="shared" si="88"/>
        <v>#VALUE!</v>
      </c>
      <c r="BR82" s="878" t="e">
        <f t="shared" si="89"/>
        <v>#VALUE!</v>
      </c>
      <c r="BS82" s="966" t="e">
        <f t="shared" si="90"/>
        <v>#VALUE!</v>
      </c>
    </row>
    <row r="83" spans="1:71">
      <c r="A83" s="284">
        <f t="shared" si="91"/>
        <v>15</v>
      </c>
      <c r="B83" s="285">
        <v>-1.874166099460455</v>
      </c>
      <c r="C83" s="285">
        <v>2.3626120271858086</v>
      </c>
      <c r="D83" s="285">
        <v>1.4163713095835229</v>
      </c>
      <c r="E83" s="285">
        <v>-5.7235311248171197</v>
      </c>
      <c r="H83" s="685">
        <f t="shared" si="32"/>
        <v>-3.0073999412295098</v>
      </c>
      <c r="I83" s="276">
        <f t="shared" si="33"/>
        <v>-3.6406258754839467</v>
      </c>
      <c r="J83" s="276">
        <f t="shared" si="34"/>
        <v>-3.405784952188319</v>
      </c>
      <c r="K83" s="276">
        <f t="shared" si="35"/>
        <v>-0.94995516942874514</v>
      </c>
      <c r="L83" s="276">
        <f t="shared" si="36"/>
        <v>-2.9940138674347234</v>
      </c>
      <c r="M83" s="276">
        <f t="shared" si="37"/>
        <v>0.22652273776099707</v>
      </c>
      <c r="N83" s="685">
        <f t="shared" si="38"/>
        <v>1.1554408162139402</v>
      </c>
      <c r="O83" s="276">
        <f t="shared" si="39"/>
        <v>0.9328519472339718</v>
      </c>
      <c r="P83" s="276">
        <f t="shared" si="40"/>
        <v>1.3661760618083487</v>
      </c>
      <c r="Q83" s="276">
        <f t="shared" si="41"/>
        <v>0.79632501276714884</v>
      </c>
      <c r="R83" s="276">
        <f t="shared" si="42"/>
        <v>0.96817439506726921</v>
      </c>
      <c r="S83" s="686">
        <f t="shared" si="43"/>
        <v>1.4982715929086947</v>
      </c>
      <c r="T83" s="685">
        <f t="shared" si="44"/>
        <v>4.6947349998544485</v>
      </c>
      <c r="U83" s="276">
        <f t="shared" si="45"/>
        <v>4.3814961737359379</v>
      </c>
      <c r="V83" s="276">
        <f t="shared" si="46"/>
        <v>5.0610663898419919</v>
      </c>
      <c r="W83" s="276">
        <f t="shared" si="47"/>
        <v>4.3647735459149484</v>
      </c>
      <c r="X83" s="276">
        <f t="shared" si="48"/>
        <v>3.6675997427925928</v>
      </c>
      <c r="Y83" s="686">
        <f t="shared" si="49"/>
        <v>3.6299689513384359</v>
      </c>
      <c r="Z83" s="685" t="e">
        <f t="shared" si="50"/>
        <v>#DIV/0!</v>
      </c>
      <c r="AA83" s="276" t="e">
        <f t="shared" si="51"/>
        <v>#DIV/0!</v>
      </c>
      <c r="AB83" s="276" t="e">
        <f t="shared" si="52"/>
        <v>#DIV/0!</v>
      </c>
      <c r="AC83" s="276" t="e">
        <f t="shared" si="53"/>
        <v>#DIV/0!</v>
      </c>
      <c r="AD83" s="276" t="e">
        <f t="shared" si="54"/>
        <v>#DIV/0!</v>
      </c>
      <c r="AE83" s="686" t="e">
        <f t="shared" si="55"/>
        <v>#DIV/0!</v>
      </c>
      <c r="AF83" s="239"/>
      <c r="AG83" s="965" t="e">
        <f t="shared" si="56"/>
        <v>#VALUE!</v>
      </c>
      <c r="AH83" s="878" t="e">
        <f t="shared" si="57"/>
        <v>#VALUE!</v>
      </c>
      <c r="AI83" s="878" t="e">
        <f t="shared" si="92"/>
        <v>#VALUE!</v>
      </c>
      <c r="AJ83" s="878" t="e">
        <f t="shared" si="58"/>
        <v>#VALUE!</v>
      </c>
      <c r="AK83" s="878" t="e">
        <f t="shared" si="59"/>
        <v>#VALUE!</v>
      </c>
      <c r="AL83" s="966" t="e">
        <f t="shared" si="60"/>
        <v>#VALUE!</v>
      </c>
      <c r="AM83" s="239"/>
      <c r="AO83" s="685">
        <f t="shared" si="61"/>
        <v>-3.0073999412295098</v>
      </c>
      <c r="AP83" s="276">
        <f t="shared" si="62"/>
        <v>-3.6406258754839467</v>
      </c>
      <c r="AQ83" s="276">
        <f t="shared" si="63"/>
        <v>-3.405784952188319</v>
      </c>
      <c r="AR83" s="276">
        <f t="shared" si="64"/>
        <v>-0.94995516942874514</v>
      </c>
      <c r="AS83" s="276">
        <f t="shared" si="65"/>
        <v>-2.9940138674347234</v>
      </c>
      <c r="AT83" s="276">
        <f t="shared" si="66"/>
        <v>0.22652273776099707</v>
      </c>
      <c r="AU83" s="685">
        <f t="shared" si="67"/>
        <v>1.1554408162139402</v>
      </c>
      <c r="AV83" s="276">
        <f t="shared" si="68"/>
        <v>0.9328519472339718</v>
      </c>
      <c r="AW83" s="276">
        <f t="shared" si="69"/>
        <v>1.3661760618083487</v>
      </c>
      <c r="AX83" s="276">
        <f t="shared" si="70"/>
        <v>0.79632501276714884</v>
      </c>
      <c r="AY83" s="276">
        <f t="shared" si="71"/>
        <v>0.96817439506726921</v>
      </c>
      <c r="AZ83" s="686">
        <f t="shared" si="72"/>
        <v>1.4982715929086947</v>
      </c>
      <c r="BA83" s="685">
        <f t="shared" si="73"/>
        <v>0</v>
      </c>
      <c r="BB83" s="276">
        <f t="shared" si="74"/>
        <v>0</v>
      </c>
      <c r="BC83" s="276">
        <f t="shared" si="75"/>
        <v>0</v>
      </c>
      <c r="BD83" s="276">
        <f t="shared" si="76"/>
        <v>0</v>
      </c>
      <c r="BE83" s="276">
        <f t="shared" si="77"/>
        <v>0</v>
      </c>
      <c r="BF83" s="686">
        <f t="shared" si="78"/>
        <v>0</v>
      </c>
      <c r="BG83" s="685" t="e">
        <f t="shared" si="79"/>
        <v>#DIV/0!</v>
      </c>
      <c r="BH83" s="276" t="e">
        <f t="shared" si="80"/>
        <v>#DIV/0!</v>
      </c>
      <c r="BI83" s="276" t="e">
        <f t="shared" si="81"/>
        <v>#DIV/0!</v>
      </c>
      <c r="BJ83" s="276" t="e">
        <f t="shared" si="82"/>
        <v>#DIV/0!</v>
      </c>
      <c r="BK83" s="276" t="e">
        <f t="shared" si="83"/>
        <v>#DIV/0!</v>
      </c>
      <c r="BL83" s="686" t="e">
        <f t="shared" si="84"/>
        <v>#DIV/0!</v>
      </c>
      <c r="BM83" s="239"/>
      <c r="BN83" s="965" t="e">
        <f t="shared" si="85"/>
        <v>#VALUE!</v>
      </c>
      <c r="BO83" s="878" t="e">
        <f t="shared" si="86"/>
        <v>#VALUE!</v>
      </c>
      <c r="BP83" s="878" t="e">
        <f t="shared" si="87"/>
        <v>#VALUE!</v>
      </c>
      <c r="BQ83" s="878" t="e">
        <f t="shared" si="88"/>
        <v>#VALUE!</v>
      </c>
      <c r="BR83" s="878" t="e">
        <f t="shared" si="89"/>
        <v>#VALUE!</v>
      </c>
      <c r="BS83" s="966" t="e">
        <f t="shared" si="90"/>
        <v>#VALUE!</v>
      </c>
    </row>
    <row r="84" spans="1:71">
      <c r="A84" s="284">
        <f t="shared" si="91"/>
        <v>16</v>
      </c>
      <c r="B84" s="285">
        <v>2.9057557237486118</v>
      </c>
      <c r="C84" s="285">
        <v>2.5103215919524575</v>
      </c>
      <c r="D84" s="285">
        <v>1.5675271075321875</v>
      </c>
      <c r="E84" s="285">
        <v>-3.9098171817694216</v>
      </c>
      <c r="H84" s="685">
        <f t="shared" si="32"/>
        <v>1.772521881979557</v>
      </c>
      <c r="I84" s="276">
        <f t="shared" si="33"/>
        <v>0.77887236156797979</v>
      </c>
      <c r="J84" s="276">
        <f t="shared" si="34"/>
        <v>-0.5341468409338731</v>
      </c>
      <c r="K84" s="276">
        <f t="shared" si="35"/>
        <v>-0.88215158247188363</v>
      </c>
      <c r="L84" s="276">
        <f t="shared" si="36"/>
        <v>2.5836452643476768</v>
      </c>
      <c r="M84" s="276">
        <f t="shared" si="37"/>
        <v>0.16752821379039862</v>
      </c>
      <c r="N84" s="685">
        <f t="shared" si="38"/>
        <v>1.3031503809805891</v>
      </c>
      <c r="O84" s="276">
        <f t="shared" si="39"/>
        <v>1.4742613161777844</v>
      </c>
      <c r="P84" s="276">
        <f t="shared" si="40"/>
        <v>1.5120814390480588</v>
      </c>
      <c r="Q84" s="276">
        <f t="shared" si="41"/>
        <v>1.3944739425789499</v>
      </c>
      <c r="R84" s="276">
        <f t="shared" si="42"/>
        <v>2.2134188706278008</v>
      </c>
      <c r="S84" s="686">
        <f t="shared" si="43"/>
        <v>0.73710034478603248</v>
      </c>
      <c r="T84" s="685">
        <f t="shared" si="44"/>
        <v>4.8458907978031132</v>
      </c>
      <c r="U84" s="276">
        <f t="shared" si="45"/>
        <v>3.3558309432381721</v>
      </c>
      <c r="V84" s="276">
        <f t="shared" si="46"/>
        <v>4.2382350155487929</v>
      </c>
      <c r="W84" s="276">
        <f t="shared" si="47"/>
        <v>3.7663912454056154</v>
      </c>
      <c r="X84" s="276">
        <f t="shared" si="48"/>
        <v>4.4894613705344124</v>
      </c>
      <c r="Y84" s="686">
        <f t="shared" si="49"/>
        <v>5.2305269137551686</v>
      </c>
      <c r="Z84" s="685" t="e">
        <f t="shared" si="50"/>
        <v>#DIV/0!</v>
      </c>
      <c r="AA84" s="276" t="e">
        <f t="shared" si="51"/>
        <v>#DIV/0!</v>
      </c>
      <c r="AB84" s="276" t="e">
        <f t="shared" si="52"/>
        <v>#DIV/0!</v>
      </c>
      <c r="AC84" s="276" t="e">
        <f t="shared" si="53"/>
        <v>#DIV/0!</v>
      </c>
      <c r="AD84" s="276" t="e">
        <f t="shared" si="54"/>
        <v>#DIV/0!</v>
      </c>
      <c r="AE84" s="686" t="e">
        <f t="shared" si="55"/>
        <v>#DIV/0!</v>
      </c>
      <c r="AF84" s="239"/>
      <c r="AG84" s="965" t="e">
        <f t="shared" si="56"/>
        <v>#VALUE!</v>
      </c>
      <c r="AH84" s="878" t="e">
        <f t="shared" si="57"/>
        <v>#VALUE!</v>
      </c>
      <c r="AI84" s="878" t="e">
        <f t="shared" si="92"/>
        <v>#VALUE!</v>
      </c>
      <c r="AJ84" s="878" t="e">
        <f t="shared" si="58"/>
        <v>#VALUE!</v>
      </c>
      <c r="AK84" s="878" t="e">
        <f t="shared" si="59"/>
        <v>#VALUE!</v>
      </c>
      <c r="AL84" s="966" t="e">
        <f t="shared" si="60"/>
        <v>#VALUE!</v>
      </c>
      <c r="AM84" s="239"/>
      <c r="AO84" s="685">
        <f t="shared" si="61"/>
        <v>1.772521881979557</v>
      </c>
      <c r="AP84" s="276">
        <f t="shared" si="62"/>
        <v>0.77887236156797979</v>
      </c>
      <c r="AQ84" s="276">
        <f t="shared" si="63"/>
        <v>-0.5341468409338731</v>
      </c>
      <c r="AR84" s="276">
        <f t="shared" si="64"/>
        <v>-0.88215158247188363</v>
      </c>
      <c r="AS84" s="276">
        <f t="shared" si="65"/>
        <v>2.5836452643476768</v>
      </c>
      <c r="AT84" s="276">
        <f t="shared" si="66"/>
        <v>0.16752821379039862</v>
      </c>
      <c r="AU84" s="685">
        <f t="shared" si="67"/>
        <v>1.3031503809805891</v>
      </c>
      <c r="AV84" s="276">
        <f t="shared" si="68"/>
        <v>1.4742613161777844</v>
      </c>
      <c r="AW84" s="276">
        <f t="shared" si="69"/>
        <v>1.5120814390480588</v>
      </c>
      <c r="AX84" s="276">
        <f t="shared" si="70"/>
        <v>1.3944739425789499</v>
      </c>
      <c r="AY84" s="276">
        <f t="shared" si="71"/>
        <v>2.2134188706278008</v>
      </c>
      <c r="AZ84" s="686">
        <f t="shared" si="72"/>
        <v>0.73710034478603248</v>
      </c>
      <c r="BA84" s="685">
        <f t="shared" si="73"/>
        <v>0</v>
      </c>
      <c r="BB84" s="276">
        <f t="shared" si="74"/>
        <v>0</v>
      </c>
      <c r="BC84" s="276">
        <f t="shared" si="75"/>
        <v>0</v>
      </c>
      <c r="BD84" s="276">
        <f t="shared" si="76"/>
        <v>0</v>
      </c>
      <c r="BE84" s="276">
        <f t="shared" si="77"/>
        <v>0</v>
      </c>
      <c r="BF84" s="686">
        <f t="shared" si="78"/>
        <v>0</v>
      </c>
      <c r="BG84" s="685" t="e">
        <f t="shared" si="79"/>
        <v>#DIV/0!</v>
      </c>
      <c r="BH84" s="276" t="e">
        <f t="shared" si="80"/>
        <v>#DIV/0!</v>
      </c>
      <c r="BI84" s="276" t="e">
        <f t="shared" si="81"/>
        <v>#DIV/0!</v>
      </c>
      <c r="BJ84" s="276" t="e">
        <f t="shared" si="82"/>
        <v>#DIV/0!</v>
      </c>
      <c r="BK84" s="276" t="e">
        <f t="shared" si="83"/>
        <v>#DIV/0!</v>
      </c>
      <c r="BL84" s="686" t="e">
        <f t="shared" si="84"/>
        <v>#DIV/0!</v>
      </c>
      <c r="BM84" s="239"/>
      <c r="BN84" s="965" t="e">
        <f t="shared" si="85"/>
        <v>#VALUE!</v>
      </c>
      <c r="BO84" s="878" t="e">
        <f t="shared" si="86"/>
        <v>#VALUE!</v>
      </c>
      <c r="BP84" s="878" t="e">
        <f t="shared" si="87"/>
        <v>#VALUE!</v>
      </c>
      <c r="BQ84" s="878" t="e">
        <f t="shared" si="88"/>
        <v>#VALUE!</v>
      </c>
      <c r="BR84" s="878" t="e">
        <f t="shared" si="89"/>
        <v>#VALUE!</v>
      </c>
      <c r="BS84" s="966" t="e">
        <f t="shared" si="90"/>
        <v>#VALUE!</v>
      </c>
    </row>
    <row r="85" spans="1:71">
      <c r="A85" s="284">
        <f t="shared" si="91"/>
        <v>17</v>
      </c>
      <c r="B85" s="285">
        <v>3.2817562869105075</v>
      </c>
      <c r="C85" s="285">
        <v>3.3821246563367255</v>
      </c>
      <c r="D85" s="285">
        <v>1.0461860523551285</v>
      </c>
      <c r="E85" s="285">
        <v>2.0450605015558909</v>
      </c>
      <c r="H85" s="685">
        <f t="shared" si="32"/>
        <v>2.1485224451414524</v>
      </c>
      <c r="I85" s="276">
        <f t="shared" si="33"/>
        <v>-2.0500084692480689</v>
      </c>
      <c r="J85" s="276">
        <f t="shared" si="34"/>
        <v>-5.9342351755850045</v>
      </c>
      <c r="K85" s="276">
        <f t="shared" si="35"/>
        <v>-3.8270931031959332</v>
      </c>
      <c r="L85" s="276">
        <f t="shared" si="36"/>
        <v>0.50008801020540083</v>
      </c>
      <c r="M85" s="276">
        <f t="shared" si="37"/>
        <v>-3.2937995523132537</v>
      </c>
      <c r="N85" s="685">
        <f t="shared" si="38"/>
        <v>2.1749534453648574</v>
      </c>
      <c r="O85" s="276">
        <f t="shared" si="39"/>
        <v>1.2836306640326807</v>
      </c>
      <c r="P85" s="276">
        <f t="shared" si="40"/>
        <v>0.80603416942669948</v>
      </c>
      <c r="Q85" s="276">
        <f t="shared" si="41"/>
        <v>1.0916449813390898</v>
      </c>
      <c r="R85" s="276">
        <f t="shared" si="42"/>
        <v>1.2759421564855338</v>
      </c>
      <c r="S85" s="686">
        <f t="shared" si="43"/>
        <v>0.8392900180795515</v>
      </c>
      <c r="T85" s="685">
        <f t="shared" si="44"/>
        <v>4.3245497426260542</v>
      </c>
      <c r="U85" s="276">
        <f t="shared" si="45"/>
        <v>2.192490716918857</v>
      </c>
      <c r="V85" s="276">
        <f t="shared" si="46"/>
        <v>4.2284675282862363</v>
      </c>
      <c r="W85" s="276">
        <f t="shared" si="47"/>
        <v>3.1942555594685884</v>
      </c>
      <c r="X85" s="276">
        <f t="shared" si="48"/>
        <v>5.2575596230040684</v>
      </c>
      <c r="Y85" s="686">
        <f t="shared" si="49"/>
        <v>4.2120977597594509</v>
      </c>
      <c r="Z85" s="685" t="e">
        <f t="shared" si="50"/>
        <v>#DIV/0!</v>
      </c>
      <c r="AA85" s="276" t="e">
        <f t="shared" si="51"/>
        <v>#DIV/0!</v>
      </c>
      <c r="AB85" s="276" t="e">
        <f t="shared" si="52"/>
        <v>#DIV/0!</v>
      </c>
      <c r="AC85" s="276" t="e">
        <f t="shared" si="53"/>
        <v>#DIV/0!</v>
      </c>
      <c r="AD85" s="276" t="e">
        <f t="shared" si="54"/>
        <v>#DIV/0!</v>
      </c>
      <c r="AE85" s="686" t="e">
        <f t="shared" si="55"/>
        <v>#DIV/0!</v>
      </c>
      <c r="AF85" s="239"/>
      <c r="AG85" s="965" t="e">
        <f t="shared" si="56"/>
        <v>#VALUE!</v>
      </c>
      <c r="AH85" s="878" t="e">
        <f t="shared" si="57"/>
        <v>#VALUE!</v>
      </c>
      <c r="AI85" s="878" t="e">
        <f t="shared" si="92"/>
        <v>#VALUE!</v>
      </c>
      <c r="AJ85" s="878" t="e">
        <f t="shared" si="58"/>
        <v>#VALUE!</v>
      </c>
      <c r="AK85" s="878" t="e">
        <f t="shared" si="59"/>
        <v>#VALUE!</v>
      </c>
      <c r="AL85" s="966" t="e">
        <f t="shared" si="60"/>
        <v>#VALUE!</v>
      </c>
      <c r="AM85" s="239"/>
      <c r="AO85" s="685">
        <f t="shared" si="61"/>
        <v>2.1485224451414524</v>
      </c>
      <c r="AP85" s="276">
        <f t="shared" si="62"/>
        <v>-2.0500084692480689</v>
      </c>
      <c r="AQ85" s="276">
        <f t="shared" si="63"/>
        <v>-5.9342351755850045</v>
      </c>
      <c r="AR85" s="276">
        <f t="shared" si="64"/>
        <v>-3.8270931031959332</v>
      </c>
      <c r="AS85" s="276">
        <f t="shared" si="65"/>
        <v>0.50008801020540083</v>
      </c>
      <c r="AT85" s="276">
        <f t="shared" si="66"/>
        <v>-3.2937995523132537</v>
      </c>
      <c r="AU85" s="685">
        <f t="shared" si="67"/>
        <v>2.1749534453648574</v>
      </c>
      <c r="AV85" s="276">
        <f t="shared" si="68"/>
        <v>1.2836306640326807</v>
      </c>
      <c r="AW85" s="276">
        <f t="shared" si="69"/>
        <v>0.80603416942669948</v>
      </c>
      <c r="AX85" s="276">
        <f t="shared" si="70"/>
        <v>1.0916449813390898</v>
      </c>
      <c r="AY85" s="276">
        <f t="shared" si="71"/>
        <v>1.2759421564855338</v>
      </c>
      <c r="AZ85" s="686">
        <f t="shared" si="72"/>
        <v>0.8392900180795515</v>
      </c>
      <c r="BA85" s="685">
        <f t="shared" si="73"/>
        <v>0</v>
      </c>
      <c r="BB85" s="276">
        <f t="shared" si="74"/>
        <v>0</v>
      </c>
      <c r="BC85" s="276">
        <f t="shared" si="75"/>
        <v>0</v>
      </c>
      <c r="BD85" s="276">
        <f t="shared" si="76"/>
        <v>0</v>
      </c>
      <c r="BE85" s="276">
        <f t="shared" si="77"/>
        <v>0</v>
      </c>
      <c r="BF85" s="686">
        <f t="shared" si="78"/>
        <v>0</v>
      </c>
      <c r="BG85" s="685" t="e">
        <f t="shared" si="79"/>
        <v>#DIV/0!</v>
      </c>
      <c r="BH85" s="276" t="e">
        <f t="shared" si="80"/>
        <v>#DIV/0!</v>
      </c>
      <c r="BI85" s="276" t="e">
        <f t="shared" si="81"/>
        <v>#DIV/0!</v>
      </c>
      <c r="BJ85" s="276" t="e">
        <f t="shared" si="82"/>
        <v>#DIV/0!</v>
      </c>
      <c r="BK85" s="276" t="e">
        <f t="shared" si="83"/>
        <v>#DIV/0!</v>
      </c>
      <c r="BL85" s="686" t="e">
        <f t="shared" si="84"/>
        <v>#DIV/0!</v>
      </c>
      <c r="BM85" s="239"/>
      <c r="BN85" s="965" t="e">
        <f t="shared" si="85"/>
        <v>#VALUE!</v>
      </c>
      <c r="BO85" s="878" t="e">
        <f t="shared" si="86"/>
        <v>#VALUE!</v>
      </c>
      <c r="BP85" s="878" t="e">
        <f t="shared" si="87"/>
        <v>#VALUE!</v>
      </c>
      <c r="BQ85" s="878" t="e">
        <f t="shared" si="88"/>
        <v>#VALUE!</v>
      </c>
      <c r="BR85" s="878" t="e">
        <f t="shared" si="89"/>
        <v>#VALUE!</v>
      </c>
      <c r="BS85" s="966" t="e">
        <f t="shared" si="90"/>
        <v>#VALUE!</v>
      </c>
    </row>
    <row r="86" spans="1:71">
      <c r="A86" s="284">
        <f t="shared" si="91"/>
        <v>18</v>
      </c>
      <c r="B86" s="285">
        <v>1.2958044241859406</v>
      </c>
      <c r="C86" s="285">
        <v>3.4183711969763864</v>
      </c>
      <c r="D86" s="285">
        <v>0.32169692032603692</v>
      </c>
      <c r="E86" s="285">
        <v>11.22920750377183</v>
      </c>
      <c r="H86" s="685">
        <f t="shared" si="32"/>
        <v>0.16257058241688571</v>
      </c>
      <c r="I86" s="276">
        <f t="shared" si="33"/>
        <v>-1.332917601364386</v>
      </c>
      <c r="J86" s="276">
        <f t="shared" si="34"/>
        <v>-3.7591512908385427</v>
      </c>
      <c r="K86" s="276">
        <f t="shared" si="35"/>
        <v>0.35986836425308288</v>
      </c>
      <c r="L86" s="276">
        <f t="shared" si="36"/>
        <v>2.2869733455328607</v>
      </c>
      <c r="M86" s="276">
        <f t="shared" si="37"/>
        <v>7.2151573902110577E-3</v>
      </c>
      <c r="N86" s="685">
        <f t="shared" si="38"/>
        <v>2.2111999860045177</v>
      </c>
      <c r="O86" s="276">
        <f t="shared" si="39"/>
        <v>1.0780754371198993</v>
      </c>
      <c r="P86" s="276">
        <f t="shared" si="40"/>
        <v>1.8004877651260338</v>
      </c>
      <c r="Q86" s="276">
        <f t="shared" si="41"/>
        <v>1.743596329874326</v>
      </c>
      <c r="R86" s="276">
        <f t="shared" si="42"/>
        <v>1.4363750324061526</v>
      </c>
      <c r="S86" s="686">
        <f t="shared" si="43"/>
        <v>1.377124552485095</v>
      </c>
      <c r="T86" s="685">
        <f t="shared" si="44"/>
        <v>3.6000606105969628</v>
      </c>
      <c r="U86" s="276">
        <f t="shared" si="45"/>
        <v>5.3215603365500623</v>
      </c>
      <c r="V86" s="276">
        <f t="shared" si="46"/>
        <v>2.799935324125487</v>
      </c>
      <c r="W86" s="276">
        <f t="shared" si="47"/>
        <v>5.6625966514328603</v>
      </c>
      <c r="X86" s="276">
        <f t="shared" si="48"/>
        <v>5.4893810371164662</v>
      </c>
      <c r="Y86" s="686">
        <f t="shared" si="49"/>
        <v>2.9769946676368564</v>
      </c>
      <c r="Z86" s="685" t="e">
        <f t="shared" si="50"/>
        <v>#DIV/0!</v>
      </c>
      <c r="AA86" s="276" t="e">
        <f t="shared" si="51"/>
        <v>#DIV/0!</v>
      </c>
      <c r="AB86" s="276" t="e">
        <f t="shared" si="52"/>
        <v>#DIV/0!</v>
      </c>
      <c r="AC86" s="276" t="e">
        <f t="shared" si="53"/>
        <v>#DIV/0!</v>
      </c>
      <c r="AD86" s="276" t="e">
        <f t="shared" si="54"/>
        <v>#DIV/0!</v>
      </c>
      <c r="AE86" s="686" t="e">
        <f t="shared" si="55"/>
        <v>#DIV/0!</v>
      </c>
      <c r="AF86" s="239"/>
      <c r="AG86" s="965" t="e">
        <f t="shared" si="56"/>
        <v>#VALUE!</v>
      </c>
      <c r="AH86" s="878" t="e">
        <f t="shared" si="57"/>
        <v>#VALUE!</v>
      </c>
      <c r="AI86" s="878" t="e">
        <f t="shared" si="92"/>
        <v>#VALUE!</v>
      </c>
      <c r="AJ86" s="878" t="e">
        <f t="shared" si="58"/>
        <v>#VALUE!</v>
      </c>
      <c r="AK86" s="878" t="e">
        <f t="shared" si="59"/>
        <v>#VALUE!</v>
      </c>
      <c r="AL86" s="966" t="e">
        <f t="shared" si="60"/>
        <v>#VALUE!</v>
      </c>
      <c r="AM86" s="239"/>
      <c r="AO86" s="685">
        <f t="shared" si="61"/>
        <v>0.16257058241688571</v>
      </c>
      <c r="AP86" s="276">
        <f t="shared" si="62"/>
        <v>-1.332917601364386</v>
      </c>
      <c r="AQ86" s="276">
        <f t="shared" si="63"/>
        <v>-3.7591512908385427</v>
      </c>
      <c r="AR86" s="276">
        <f t="shared" si="64"/>
        <v>0.35986836425308288</v>
      </c>
      <c r="AS86" s="276">
        <f t="shared" si="65"/>
        <v>2.2869733455328607</v>
      </c>
      <c r="AT86" s="276">
        <f t="shared" si="66"/>
        <v>7.2151573902110577E-3</v>
      </c>
      <c r="AU86" s="685">
        <f t="shared" si="67"/>
        <v>2.2111999860045177</v>
      </c>
      <c r="AV86" s="276">
        <f t="shared" si="68"/>
        <v>1.0780754371198993</v>
      </c>
      <c r="AW86" s="276">
        <f t="shared" si="69"/>
        <v>1.8004877651260338</v>
      </c>
      <c r="AX86" s="276">
        <f t="shared" si="70"/>
        <v>1.743596329874326</v>
      </c>
      <c r="AY86" s="276">
        <f t="shared" si="71"/>
        <v>1.4363750324061526</v>
      </c>
      <c r="AZ86" s="686">
        <f t="shared" si="72"/>
        <v>1.377124552485095</v>
      </c>
      <c r="BA86" s="685">
        <f t="shared" si="73"/>
        <v>0</v>
      </c>
      <c r="BB86" s="276">
        <f t="shared" si="74"/>
        <v>0</v>
      </c>
      <c r="BC86" s="276">
        <f t="shared" si="75"/>
        <v>0</v>
      </c>
      <c r="BD86" s="276">
        <f t="shared" si="76"/>
        <v>0</v>
      </c>
      <c r="BE86" s="276">
        <f t="shared" si="77"/>
        <v>0</v>
      </c>
      <c r="BF86" s="686">
        <f t="shared" si="78"/>
        <v>0</v>
      </c>
      <c r="BG86" s="685" t="e">
        <f t="shared" si="79"/>
        <v>#DIV/0!</v>
      </c>
      <c r="BH86" s="276" t="e">
        <f t="shared" si="80"/>
        <v>#DIV/0!</v>
      </c>
      <c r="BI86" s="276" t="e">
        <f t="shared" si="81"/>
        <v>#DIV/0!</v>
      </c>
      <c r="BJ86" s="276" t="e">
        <f t="shared" si="82"/>
        <v>#DIV/0!</v>
      </c>
      <c r="BK86" s="276" t="e">
        <f t="shared" si="83"/>
        <v>#DIV/0!</v>
      </c>
      <c r="BL86" s="686" t="e">
        <f t="shared" si="84"/>
        <v>#DIV/0!</v>
      </c>
      <c r="BM86" s="239"/>
      <c r="BN86" s="965" t="e">
        <f t="shared" si="85"/>
        <v>#VALUE!</v>
      </c>
      <c r="BO86" s="878" t="e">
        <f t="shared" si="86"/>
        <v>#VALUE!</v>
      </c>
      <c r="BP86" s="878" t="e">
        <f t="shared" si="87"/>
        <v>#VALUE!</v>
      </c>
      <c r="BQ86" s="878" t="e">
        <f t="shared" si="88"/>
        <v>#VALUE!</v>
      </c>
      <c r="BR86" s="878" t="e">
        <f t="shared" si="89"/>
        <v>#VALUE!</v>
      </c>
      <c r="BS86" s="966" t="e">
        <f t="shared" si="90"/>
        <v>#VALUE!</v>
      </c>
    </row>
    <row r="87" spans="1:71">
      <c r="A87" s="284">
        <f t="shared" si="91"/>
        <v>19</v>
      </c>
      <c r="B87" s="285">
        <v>1.8548678777988183</v>
      </c>
      <c r="C87" s="285">
        <v>2.6104750238965284</v>
      </c>
      <c r="D87" s="285">
        <v>3.8086409113093294</v>
      </c>
      <c r="E87" s="285">
        <v>-5.7899738008413983</v>
      </c>
      <c r="H87" s="685">
        <f t="shared" si="32"/>
        <v>0.7216340360297635</v>
      </c>
      <c r="I87" s="276">
        <f t="shared" si="33"/>
        <v>-3.2415723229023614</v>
      </c>
      <c r="J87" s="276">
        <f t="shared" si="34"/>
        <v>-0.92571323302736341</v>
      </c>
      <c r="K87" s="276">
        <f t="shared" si="35"/>
        <v>-1.4161335585066486</v>
      </c>
      <c r="L87" s="276">
        <f t="shared" si="36"/>
        <v>3.078620500573888</v>
      </c>
      <c r="M87" s="276">
        <f t="shared" si="37"/>
        <v>-4.5542849905122598</v>
      </c>
      <c r="N87" s="685">
        <f t="shared" si="38"/>
        <v>1.40330381292466</v>
      </c>
      <c r="O87" s="276">
        <f t="shared" si="39"/>
        <v>1.4636334234013499</v>
      </c>
      <c r="P87" s="276">
        <f t="shared" si="40"/>
        <v>1.4960947275501721</v>
      </c>
      <c r="Q87" s="276">
        <f t="shared" si="41"/>
        <v>1.9109752509884312</v>
      </c>
      <c r="R87" s="276">
        <f t="shared" si="42"/>
        <v>1.1499751057593042</v>
      </c>
      <c r="S87" s="686">
        <f t="shared" si="43"/>
        <v>1.0681784866853026</v>
      </c>
      <c r="T87" s="685">
        <f t="shared" si="44"/>
        <v>7.0870046015802552</v>
      </c>
      <c r="U87" s="276">
        <f t="shared" si="45"/>
        <v>3.0455841704184818</v>
      </c>
      <c r="V87" s="276">
        <f t="shared" si="46"/>
        <v>4.1988036744864363</v>
      </c>
      <c r="W87" s="276">
        <f t="shared" si="47"/>
        <v>5.2313450840959046</v>
      </c>
      <c r="X87" s="276">
        <f t="shared" si="48"/>
        <v>5.1895640546011608</v>
      </c>
      <c r="Y87" s="686">
        <f t="shared" si="49"/>
        <v>4.3481294083640503</v>
      </c>
      <c r="Z87" s="685" t="e">
        <f t="shared" si="50"/>
        <v>#DIV/0!</v>
      </c>
      <c r="AA87" s="276" t="e">
        <f t="shared" si="51"/>
        <v>#DIV/0!</v>
      </c>
      <c r="AB87" s="276" t="e">
        <f t="shared" si="52"/>
        <v>#DIV/0!</v>
      </c>
      <c r="AC87" s="276" t="e">
        <f t="shared" si="53"/>
        <v>#DIV/0!</v>
      </c>
      <c r="AD87" s="276" t="e">
        <f t="shared" si="54"/>
        <v>#DIV/0!</v>
      </c>
      <c r="AE87" s="686" t="e">
        <f t="shared" si="55"/>
        <v>#DIV/0!</v>
      </c>
      <c r="AF87" s="239"/>
      <c r="AG87" s="965" t="e">
        <f t="shared" si="56"/>
        <v>#VALUE!</v>
      </c>
      <c r="AH87" s="878" t="e">
        <f t="shared" si="57"/>
        <v>#VALUE!</v>
      </c>
      <c r="AI87" s="878" t="e">
        <f t="shared" si="92"/>
        <v>#VALUE!</v>
      </c>
      <c r="AJ87" s="878" t="e">
        <f t="shared" si="58"/>
        <v>#VALUE!</v>
      </c>
      <c r="AK87" s="878" t="e">
        <f t="shared" si="59"/>
        <v>#VALUE!</v>
      </c>
      <c r="AL87" s="966" t="e">
        <f t="shared" si="60"/>
        <v>#VALUE!</v>
      </c>
      <c r="AM87" s="239"/>
      <c r="AO87" s="685">
        <f t="shared" si="61"/>
        <v>0.7216340360297635</v>
      </c>
      <c r="AP87" s="276">
        <f t="shared" si="62"/>
        <v>-3.2415723229023614</v>
      </c>
      <c r="AQ87" s="276">
        <f t="shared" si="63"/>
        <v>-0.92571323302736341</v>
      </c>
      <c r="AR87" s="276">
        <f t="shared" si="64"/>
        <v>-1.4161335585066486</v>
      </c>
      <c r="AS87" s="276">
        <f t="shared" si="65"/>
        <v>3.078620500573888</v>
      </c>
      <c r="AT87" s="276">
        <f t="shared" si="66"/>
        <v>-4.5542849905122598</v>
      </c>
      <c r="AU87" s="685">
        <f t="shared" si="67"/>
        <v>1.40330381292466</v>
      </c>
      <c r="AV87" s="276">
        <f t="shared" si="68"/>
        <v>1.4636334234013499</v>
      </c>
      <c r="AW87" s="276">
        <f t="shared" si="69"/>
        <v>1.4960947275501721</v>
      </c>
      <c r="AX87" s="276">
        <f t="shared" si="70"/>
        <v>1.9109752509884312</v>
      </c>
      <c r="AY87" s="276">
        <f t="shared" si="71"/>
        <v>1.1499751057593042</v>
      </c>
      <c r="AZ87" s="686">
        <f t="shared" si="72"/>
        <v>1.0681784866853026</v>
      </c>
      <c r="BA87" s="685">
        <f t="shared" si="73"/>
        <v>0</v>
      </c>
      <c r="BB87" s="276">
        <f t="shared" si="74"/>
        <v>0</v>
      </c>
      <c r="BC87" s="276">
        <f t="shared" si="75"/>
        <v>0</v>
      </c>
      <c r="BD87" s="276">
        <f t="shared" si="76"/>
        <v>0</v>
      </c>
      <c r="BE87" s="276">
        <f t="shared" si="77"/>
        <v>0</v>
      </c>
      <c r="BF87" s="686">
        <f t="shared" si="78"/>
        <v>0</v>
      </c>
      <c r="BG87" s="685" t="e">
        <f t="shared" si="79"/>
        <v>#DIV/0!</v>
      </c>
      <c r="BH87" s="276" t="e">
        <f t="shared" si="80"/>
        <v>#DIV/0!</v>
      </c>
      <c r="BI87" s="276" t="e">
        <f t="shared" si="81"/>
        <v>#DIV/0!</v>
      </c>
      <c r="BJ87" s="276" t="e">
        <f t="shared" si="82"/>
        <v>#DIV/0!</v>
      </c>
      <c r="BK87" s="276" t="e">
        <f t="shared" si="83"/>
        <v>#DIV/0!</v>
      </c>
      <c r="BL87" s="686" t="e">
        <f t="shared" si="84"/>
        <v>#DIV/0!</v>
      </c>
      <c r="BM87" s="239"/>
      <c r="BN87" s="965" t="e">
        <f t="shared" si="85"/>
        <v>#VALUE!</v>
      </c>
      <c r="BO87" s="878" t="e">
        <f t="shared" si="86"/>
        <v>#VALUE!</v>
      </c>
      <c r="BP87" s="878" t="e">
        <f t="shared" si="87"/>
        <v>#VALUE!</v>
      </c>
      <c r="BQ87" s="878" t="e">
        <f t="shared" si="88"/>
        <v>#VALUE!</v>
      </c>
      <c r="BR87" s="878" t="e">
        <f t="shared" si="89"/>
        <v>#VALUE!</v>
      </c>
      <c r="BS87" s="966" t="e">
        <f t="shared" si="90"/>
        <v>#VALUE!</v>
      </c>
    </row>
    <row r="88" spans="1:71">
      <c r="A88" s="284">
        <f t="shared" si="91"/>
        <v>20</v>
      </c>
      <c r="B88" s="285">
        <v>2.5299958863555445</v>
      </c>
      <c r="C88" s="285">
        <v>1.4147545140466293</v>
      </c>
      <c r="D88" s="285">
        <v>0.66139823973730971</v>
      </c>
      <c r="E88" s="285">
        <v>-30.887067341702807</v>
      </c>
      <c r="H88" s="685">
        <f t="shared" si="32"/>
        <v>1.3967620445864897</v>
      </c>
      <c r="I88" s="276">
        <f t="shared" si="33"/>
        <v>1.5106938409317479</v>
      </c>
      <c r="J88" s="276">
        <f t="shared" si="34"/>
        <v>-0.79846804335392518</v>
      </c>
      <c r="K88" s="276">
        <f t="shared" si="35"/>
        <v>0.83341669855781153</v>
      </c>
      <c r="L88" s="276">
        <f t="shared" si="36"/>
        <v>0.41198318945167878</v>
      </c>
      <c r="M88" s="276">
        <f t="shared" si="37"/>
        <v>-3.3887951857527829</v>
      </c>
      <c r="N88" s="685">
        <f t="shared" si="38"/>
        <v>0.20758330307476092</v>
      </c>
      <c r="O88" s="276">
        <f t="shared" si="39"/>
        <v>1.6198860570507614</v>
      </c>
      <c r="P88" s="276">
        <f t="shared" si="40"/>
        <v>0.40232790384143557</v>
      </c>
      <c r="Q88" s="276">
        <f t="shared" si="41"/>
        <v>1.418497297638438</v>
      </c>
      <c r="R88" s="276">
        <f t="shared" si="42"/>
        <v>1.3518222266735294</v>
      </c>
      <c r="S88" s="686">
        <f t="shared" si="43"/>
        <v>0.8104280746594108</v>
      </c>
      <c r="T88" s="685">
        <f t="shared" si="44"/>
        <v>3.9397619300082356</v>
      </c>
      <c r="U88" s="276">
        <f t="shared" si="45"/>
        <v>5.5142620486283267</v>
      </c>
      <c r="V88" s="276">
        <f t="shared" si="46"/>
        <v>4.8624574249654176</v>
      </c>
      <c r="W88" s="276">
        <f t="shared" si="47"/>
        <v>4.40518409440398</v>
      </c>
      <c r="X88" s="276">
        <f t="shared" si="48"/>
        <v>4.6419186105724011</v>
      </c>
      <c r="Y88" s="686">
        <f t="shared" si="49"/>
        <v>4.3425214611211267</v>
      </c>
      <c r="Z88" s="685" t="e">
        <f t="shared" si="50"/>
        <v>#DIV/0!</v>
      </c>
      <c r="AA88" s="276" t="e">
        <f t="shared" si="51"/>
        <v>#DIV/0!</v>
      </c>
      <c r="AB88" s="276" t="e">
        <f t="shared" si="52"/>
        <v>#DIV/0!</v>
      </c>
      <c r="AC88" s="276" t="e">
        <f t="shared" si="53"/>
        <v>#DIV/0!</v>
      </c>
      <c r="AD88" s="276" t="e">
        <f t="shared" si="54"/>
        <v>#DIV/0!</v>
      </c>
      <c r="AE88" s="686" t="e">
        <f t="shared" si="55"/>
        <v>#DIV/0!</v>
      </c>
      <c r="AF88" s="239"/>
      <c r="AG88" s="965" t="e">
        <f t="shared" si="56"/>
        <v>#VALUE!</v>
      </c>
      <c r="AH88" s="878" t="e">
        <f t="shared" si="57"/>
        <v>#VALUE!</v>
      </c>
      <c r="AI88" s="878" t="e">
        <f t="shared" si="92"/>
        <v>#VALUE!</v>
      </c>
      <c r="AJ88" s="878" t="e">
        <f t="shared" si="58"/>
        <v>#VALUE!</v>
      </c>
      <c r="AK88" s="878" t="e">
        <f t="shared" si="59"/>
        <v>#VALUE!</v>
      </c>
      <c r="AL88" s="966" t="e">
        <f t="shared" si="60"/>
        <v>#VALUE!</v>
      </c>
      <c r="AM88" s="239"/>
      <c r="AO88" s="685">
        <f t="shared" si="61"/>
        <v>1.3967620445864897</v>
      </c>
      <c r="AP88" s="276">
        <f t="shared" si="62"/>
        <v>1.5106938409317479</v>
      </c>
      <c r="AQ88" s="276">
        <f t="shared" si="63"/>
        <v>-0.79846804335392518</v>
      </c>
      <c r="AR88" s="276">
        <f t="shared" si="64"/>
        <v>0.83341669855781153</v>
      </c>
      <c r="AS88" s="276">
        <f t="shared" si="65"/>
        <v>0.41198318945167878</v>
      </c>
      <c r="AT88" s="276">
        <f t="shared" si="66"/>
        <v>-3.3887951857527829</v>
      </c>
      <c r="AU88" s="685">
        <f t="shared" si="67"/>
        <v>0.20758330307476092</v>
      </c>
      <c r="AV88" s="276">
        <f t="shared" si="68"/>
        <v>1.6198860570507614</v>
      </c>
      <c r="AW88" s="276">
        <f t="shared" si="69"/>
        <v>0.40232790384143557</v>
      </c>
      <c r="AX88" s="276">
        <f t="shared" si="70"/>
        <v>1.418497297638438</v>
      </c>
      <c r="AY88" s="276">
        <f t="shared" si="71"/>
        <v>1.3518222266735294</v>
      </c>
      <c r="AZ88" s="686">
        <f t="shared" si="72"/>
        <v>0.8104280746594108</v>
      </c>
      <c r="BA88" s="685">
        <f t="shared" si="73"/>
        <v>0</v>
      </c>
      <c r="BB88" s="276">
        <f t="shared" si="74"/>
        <v>0</v>
      </c>
      <c r="BC88" s="276">
        <f t="shared" si="75"/>
        <v>0</v>
      </c>
      <c r="BD88" s="276">
        <f t="shared" si="76"/>
        <v>0</v>
      </c>
      <c r="BE88" s="276">
        <f t="shared" si="77"/>
        <v>0</v>
      </c>
      <c r="BF88" s="686">
        <f t="shared" si="78"/>
        <v>0</v>
      </c>
      <c r="BG88" s="685" t="e">
        <f t="shared" si="79"/>
        <v>#DIV/0!</v>
      </c>
      <c r="BH88" s="276" t="e">
        <f t="shared" si="80"/>
        <v>#DIV/0!</v>
      </c>
      <c r="BI88" s="276" t="e">
        <f t="shared" si="81"/>
        <v>#DIV/0!</v>
      </c>
      <c r="BJ88" s="276" t="e">
        <f t="shared" si="82"/>
        <v>#DIV/0!</v>
      </c>
      <c r="BK88" s="276" t="e">
        <f t="shared" si="83"/>
        <v>#DIV/0!</v>
      </c>
      <c r="BL88" s="686" t="e">
        <f t="shared" si="84"/>
        <v>#DIV/0!</v>
      </c>
      <c r="BM88" s="239"/>
      <c r="BN88" s="965" t="e">
        <f t="shared" si="85"/>
        <v>#VALUE!</v>
      </c>
      <c r="BO88" s="878" t="e">
        <f t="shared" si="86"/>
        <v>#VALUE!</v>
      </c>
      <c r="BP88" s="878" t="e">
        <f t="shared" si="87"/>
        <v>#VALUE!</v>
      </c>
      <c r="BQ88" s="878" t="e">
        <f t="shared" si="88"/>
        <v>#VALUE!</v>
      </c>
      <c r="BR88" s="878" t="e">
        <f t="shared" si="89"/>
        <v>#VALUE!</v>
      </c>
      <c r="BS88" s="966" t="e">
        <f t="shared" si="90"/>
        <v>#VALUE!</v>
      </c>
    </row>
    <row r="89" spans="1:71">
      <c r="A89" s="284">
        <f t="shared" si="91"/>
        <v>21</v>
      </c>
      <c r="B89" s="285">
        <v>-1.3940688045988883</v>
      </c>
      <c r="C89" s="285">
        <v>2.3667470486788535</v>
      </c>
      <c r="D89" s="285">
        <v>-1.5240349008794838</v>
      </c>
      <c r="E89" s="285">
        <v>-3.1199700333147744</v>
      </c>
      <c r="H89" s="685">
        <f t="shared" si="32"/>
        <v>-2.5273026463679429</v>
      </c>
      <c r="I89" s="276">
        <f t="shared" si="33"/>
        <v>-1.7216746844541038</v>
      </c>
      <c r="J89" s="276">
        <f t="shared" si="34"/>
        <v>0.21179447732982548</v>
      </c>
      <c r="K89" s="276">
        <f t="shared" si="35"/>
        <v>-2.3906625715419523</v>
      </c>
      <c r="L89" s="276">
        <f t="shared" si="36"/>
        <v>-3.4638158839336324</v>
      </c>
      <c r="M89" s="276">
        <f t="shared" si="37"/>
        <v>-1.6158808921857473</v>
      </c>
      <c r="N89" s="685">
        <f t="shared" si="38"/>
        <v>1.1595758377069851</v>
      </c>
      <c r="O89" s="276">
        <f t="shared" si="39"/>
        <v>1.3763499227125571</v>
      </c>
      <c r="P89" s="276">
        <f t="shared" si="40"/>
        <v>1.6820982564632845</v>
      </c>
      <c r="Q89" s="276">
        <f t="shared" si="41"/>
        <v>1.9597491027489646</v>
      </c>
      <c r="R89" s="276">
        <f t="shared" si="42"/>
        <v>1.5692536131309474</v>
      </c>
      <c r="S89" s="686">
        <f t="shared" si="43"/>
        <v>1.3918559746961476</v>
      </c>
      <c r="T89" s="685">
        <f t="shared" si="44"/>
        <v>1.7543287893914421</v>
      </c>
      <c r="U89" s="276">
        <f t="shared" si="45"/>
        <v>4.9214093912335635</v>
      </c>
      <c r="V89" s="276">
        <f t="shared" si="46"/>
        <v>4.2112892006609552</v>
      </c>
      <c r="W89" s="276">
        <f t="shared" si="47"/>
        <v>3.3265912344613939</v>
      </c>
      <c r="X89" s="276">
        <f t="shared" si="48"/>
        <v>2.8566358636884552</v>
      </c>
      <c r="Y89" s="686">
        <f t="shared" si="49"/>
        <v>5.7981283708552915</v>
      </c>
      <c r="Z89" s="685" t="e">
        <f t="shared" si="50"/>
        <v>#DIV/0!</v>
      </c>
      <c r="AA89" s="276" t="e">
        <f t="shared" si="51"/>
        <v>#DIV/0!</v>
      </c>
      <c r="AB89" s="276" t="e">
        <f t="shared" si="52"/>
        <v>#DIV/0!</v>
      </c>
      <c r="AC89" s="276" t="e">
        <f t="shared" si="53"/>
        <v>#DIV/0!</v>
      </c>
      <c r="AD89" s="276" t="e">
        <f t="shared" si="54"/>
        <v>#DIV/0!</v>
      </c>
      <c r="AE89" s="686" t="e">
        <f t="shared" si="55"/>
        <v>#DIV/0!</v>
      </c>
      <c r="AF89" s="239"/>
      <c r="AG89" s="965" t="e">
        <f t="shared" si="56"/>
        <v>#VALUE!</v>
      </c>
      <c r="AH89" s="878" t="e">
        <f t="shared" si="57"/>
        <v>#VALUE!</v>
      </c>
      <c r="AI89" s="878" t="e">
        <f t="shared" si="92"/>
        <v>#VALUE!</v>
      </c>
      <c r="AJ89" s="878" t="e">
        <f t="shared" si="58"/>
        <v>#VALUE!</v>
      </c>
      <c r="AK89" s="878" t="e">
        <f t="shared" si="59"/>
        <v>#VALUE!</v>
      </c>
      <c r="AL89" s="966" t="e">
        <f t="shared" si="60"/>
        <v>#VALUE!</v>
      </c>
      <c r="AM89" s="239"/>
      <c r="AO89" s="685">
        <f t="shared" si="61"/>
        <v>-2.5273026463679429</v>
      </c>
      <c r="AP89" s="276">
        <f t="shared" si="62"/>
        <v>-1.7216746844541038</v>
      </c>
      <c r="AQ89" s="276">
        <f t="shared" si="63"/>
        <v>0.21179447732982548</v>
      </c>
      <c r="AR89" s="276">
        <f t="shared" si="64"/>
        <v>-2.3906625715419523</v>
      </c>
      <c r="AS89" s="276">
        <f t="shared" si="65"/>
        <v>-3.4638158839336324</v>
      </c>
      <c r="AT89" s="276">
        <f t="shared" si="66"/>
        <v>-1.6158808921857473</v>
      </c>
      <c r="AU89" s="685">
        <f t="shared" si="67"/>
        <v>1.1595758377069851</v>
      </c>
      <c r="AV89" s="276">
        <f t="shared" si="68"/>
        <v>1.3763499227125571</v>
      </c>
      <c r="AW89" s="276">
        <f t="shared" si="69"/>
        <v>1.6820982564632845</v>
      </c>
      <c r="AX89" s="276">
        <f t="shared" si="70"/>
        <v>1.9597491027489646</v>
      </c>
      <c r="AY89" s="276">
        <f t="shared" si="71"/>
        <v>1.5692536131309474</v>
      </c>
      <c r="AZ89" s="686">
        <f t="shared" si="72"/>
        <v>1.3918559746961476</v>
      </c>
      <c r="BA89" s="685">
        <f t="shared" si="73"/>
        <v>0</v>
      </c>
      <c r="BB89" s="276">
        <f t="shared" si="74"/>
        <v>0</v>
      </c>
      <c r="BC89" s="276">
        <f t="shared" si="75"/>
        <v>0</v>
      </c>
      <c r="BD89" s="276">
        <f t="shared" si="76"/>
        <v>0</v>
      </c>
      <c r="BE89" s="276">
        <f t="shared" si="77"/>
        <v>0</v>
      </c>
      <c r="BF89" s="686">
        <f t="shared" si="78"/>
        <v>0</v>
      </c>
      <c r="BG89" s="685" t="e">
        <f t="shared" si="79"/>
        <v>#DIV/0!</v>
      </c>
      <c r="BH89" s="276" t="e">
        <f t="shared" si="80"/>
        <v>#DIV/0!</v>
      </c>
      <c r="BI89" s="276" t="e">
        <f t="shared" si="81"/>
        <v>#DIV/0!</v>
      </c>
      <c r="BJ89" s="276" t="e">
        <f t="shared" si="82"/>
        <v>#DIV/0!</v>
      </c>
      <c r="BK89" s="276" t="e">
        <f t="shared" si="83"/>
        <v>#DIV/0!</v>
      </c>
      <c r="BL89" s="686" t="e">
        <f t="shared" si="84"/>
        <v>#DIV/0!</v>
      </c>
      <c r="BM89" s="239"/>
      <c r="BN89" s="965" t="e">
        <f t="shared" si="85"/>
        <v>#VALUE!</v>
      </c>
      <c r="BO89" s="878" t="e">
        <f t="shared" si="86"/>
        <v>#VALUE!</v>
      </c>
      <c r="BP89" s="878" t="e">
        <f t="shared" si="87"/>
        <v>#VALUE!</v>
      </c>
      <c r="BQ89" s="878" t="e">
        <f t="shared" si="88"/>
        <v>#VALUE!</v>
      </c>
      <c r="BR89" s="878" t="e">
        <f t="shared" si="89"/>
        <v>#VALUE!</v>
      </c>
      <c r="BS89" s="966" t="e">
        <f t="shared" si="90"/>
        <v>#VALUE!</v>
      </c>
    </row>
    <row r="90" spans="1:71">
      <c r="A90" s="284">
        <f t="shared" si="91"/>
        <v>22</v>
      </c>
      <c r="B90" s="285">
        <v>-2.7646288671989407</v>
      </c>
      <c r="C90" s="285">
        <v>2.2945491076248858</v>
      </c>
      <c r="D90" s="285">
        <v>-0.72823488623488086</v>
      </c>
      <c r="E90" s="285">
        <v>2.1435721936470107</v>
      </c>
      <c r="H90" s="685">
        <f t="shared" si="32"/>
        <v>-3.8978627089679954</v>
      </c>
      <c r="I90" s="276">
        <f t="shared" si="33"/>
        <v>3.7581422861792442</v>
      </c>
      <c r="J90" s="276">
        <f t="shared" si="34"/>
        <v>0.11634845270803651</v>
      </c>
      <c r="K90" s="276">
        <f t="shared" si="35"/>
        <v>-1.9254133745212447</v>
      </c>
      <c r="L90" s="276">
        <f t="shared" si="36"/>
        <v>-4.3604406207926614</v>
      </c>
      <c r="M90" s="276">
        <f t="shared" si="37"/>
        <v>-5.0359650855707905</v>
      </c>
      <c r="N90" s="685">
        <f t="shared" si="38"/>
        <v>1.0873778966530174</v>
      </c>
      <c r="O90" s="276">
        <f t="shared" si="39"/>
        <v>2.0865467515085907</v>
      </c>
      <c r="P90" s="276">
        <f t="shared" si="40"/>
        <v>1.519328790699163</v>
      </c>
      <c r="Q90" s="276">
        <f t="shared" si="41"/>
        <v>1.4733090775969753</v>
      </c>
      <c r="R90" s="276">
        <f t="shared" si="42"/>
        <v>0.1080459774473812</v>
      </c>
      <c r="S90" s="686">
        <f t="shared" si="43"/>
        <v>0.53145192737585822</v>
      </c>
      <c r="T90" s="685">
        <f t="shared" si="44"/>
        <v>2.5501288040360448</v>
      </c>
      <c r="U90" s="276">
        <f t="shared" si="45"/>
        <v>6.5397118640927925</v>
      </c>
      <c r="V90" s="276">
        <f t="shared" si="46"/>
        <v>3.0300983480658301</v>
      </c>
      <c r="W90" s="276">
        <f t="shared" si="47"/>
        <v>6.1426334736770265</v>
      </c>
      <c r="X90" s="276">
        <f t="shared" si="48"/>
        <v>6.1538227231499611</v>
      </c>
      <c r="Y90" s="686">
        <f t="shared" si="49"/>
        <v>3.2485146874489423</v>
      </c>
      <c r="Z90" s="685" t="e">
        <f t="shared" si="50"/>
        <v>#DIV/0!</v>
      </c>
      <c r="AA90" s="276" t="e">
        <f t="shared" si="51"/>
        <v>#DIV/0!</v>
      </c>
      <c r="AB90" s="276" t="e">
        <f t="shared" si="52"/>
        <v>#DIV/0!</v>
      </c>
      <c r="AC90" s="276" t="e">
        <f t="shared" si="53"/>
        <v>#DIV/0!</v>
      </c>
      <c r="AD90" s="276" t="e">
        <f t="shared" si="54"/>
        <v>#DIV/0!</v>
      </c>
      <c r="AE90" s="686" t="e">
        <f t="shared" si="55"/>
        <v>#DIV/0!</v>
      </c>
      <c r="AF90" s="239"/>
      <c r="AG90" s="965" t="e">
        <f t="shared" si="56"/>
        <v>#VALUE!</v>
      </c>
      <c r="AH90" s="878" t="e">
        <f t="shared" si="57"/>
        <v>#VALUE!</v>
      </c>
      <c r="AI90" s="878" t="e">
        <f t="shared" si="92"/>
        <v>#VALUE!</v>
      </c>
      <c r="AJ90" s="878" t="e">
        <f t="shared" si="58"/>
        <v>#VALUE!</v>
      </c>
      <c r="AK90" s="878" t="e">
        <f t="shared" si="59"/>
        <v>#VALUE!</v>
      </c>
      <c r="AL90" s="966" t="e">
        <f t="shared" si="60"/>
        <v>#VALUE!</v>
      </c>
      <c r="AM90" s="239"/>
      <c r="AO90" s="685">
        <f t="shared" si="61"/>
        <v>-3.8978627089679954</v>
      </c>
      <c r="AP90" s="276">
        <f t="shared" si="62"/>
        <v>3.7581422861792442</v>
      </c>
      <c r="AQ90" s="276">
        <f t="shared" si="63"/>
        <v>0.11634845270803651</v>
      </c>
      <c r="AR90" s="276">
        <f t="shared" si="64"/>
        <v>-1.9254133745212447</v>
      </c>
      <c r="AS90" s="276">
        <f t="shared" si="65"/>
        <v>-4.3604406207926614</v>
      </c>
      <c r="AT90" s="276">
        <f t="shared" si="66"/>
        <v>-5.0359650855707905</v>
      </c>
      <c r="AU90" s="685">
        <f t="shared" si="67"/>
        <v>1.0873778966530174</v>
      </c>
      <c r="AV90" s="276">
        <f t="shared" si="68"/>
        <v>2.0865467515085907</v>
      </c>
      <c r="AW90" s="276">
        <f t="shared" si="69"/>
        <v>1.519328790699163</v>
      </c>
      <c r="AX90" s="276">
        <f t="shared" si="70"/>
        <v>1.4733090775969753</v>
      </c>
      <c r="AY90" s="276">
        <f t="shared" si="71"/>
        <v>0.1080459774473812</v>
      </c>
      <c r="AZ90" s="686">
        <f t="shared" si="72"/>
        <v>0.53145192737585822</v>
      </c>
      <c r="BA90" s="685">
        <f t="shared" si="73"/>
        <v>0</v>
      </c>
      <c r="BB90" s="276">
        <f t="shared" si="74"/>
        <v>0</v>
      </c>
      <c r="BC90" s="276">
        <f t="shared" si="75"/>
        <v>0</v>
      </c>
      <c r="BD90" s="276">
        <f t="shared" si="76"/>
        <v>0</v>
      </c>
      <c r="BE90" s="276">
        <f t="shared" si="77"/>
        <v>0</v>
      </c>
      <c r="BF90" s="686">
        <f t="shared" si="78"/>
        <v>0</v>
      </c>
      <c r="BG90" s="685" t="e">
        <f t="shared" si="79"/>
        <v>#DIV/0!</v>
      </c>
      <c r="BH90" s="276" t="e">
        <f t="shared" si="80"/>
        <v>#DIV/0!</v>
      </c>
      <c r="BI90" s="276" t="e">
        <f t="shared" si="81"/>
        <v>#DIV/0!</v>
      </c>
      <c r="BJ90" s="276" t="e">
        <f t="shared" si="82"/>
        <v>#DIV/0!</v>
      </c>
      <c r="BK90" s="276" t="e">
        <f t="shared" si="83"/>
        <v>#DIV/0!</v>
      </c>
      <c r="BL90" s="686" t="e">
        <f t="shared" si="84"/>
        <v>#DIV/0!</v>
      </c>
      <c r="BM90" s="239"/>
      <c r="BN90" s="965" t="e">
        <f t="shared" si="85"/>
        <v>#VALUE!</v>
      </c>
      <c r="BO90" s="878" t="e">
        <f t="shared" si="86"/>
        <v>#VALUE!</v>
      </c>
      <c r="BP90" s="878" t="e">
        <f t="shared" si="87"/>
        <v>#VALUE!</v>
      </c>
      <c r="BQ90" s="878" t="e">
        <f t="shared" si="88"/>
        <v>#VALUE!</v>
      </c>
      <c r="BR90" s="878" t="e">
        <f t="shared" si="89"/>
        <v>#VALUE!</v>
      </c>
      <c r="BS90" s="966" t="e">
        <f t="shared" si="90"/>
        <v>#VALUE!</v>
      </c>
    </row>
    <row r="91" spans="1:71">
      <c r="A91" s="284">
        <f t="shared" si="91"/>
        <v>23</v>
      </c>
      <c r="B91" s="285">
        <v>0.33817913695421536</v>
      </c>
      <c r="C91" s="285">
        <v>2.0342513419873383</v>
      </c>
      <c r="D91" s="285">
        <v>2.2274795356624315</v>
      </c>
      <c r="E91" s="285">
        <v>-11.425432838418025</v>
      </c>
      <c r="H91" s="685">
        <f t="shared" si="32"/>
        <v>-0.79505470481483953</v>
      </c>
      <c r="I91" s="276">
        <f t="shared" si="33"/>
        <v>-4.274505338210103</v>
      </c>
      <c r="J91" s="276">
        <f t="shared" si="34"/>
        <v>-3.635589886933051</v>
      </c>
      <c r="K91" s="276">
        <f t="shared" si="35"/>
        <v>-0.55495541220818378</v>
      </c>
      <c r="L91" s="276">
        <f t="shared" si="36"/>
        <v>0.22125636710836272</v>
      </c>
      <c r="M91" s="276">
        <f t="shared" si="37"/>
        <v>-2.5907366801317786</v>
      </c>
      <c r="N91" s="685">
        <f t="shared" si="38"/>
        <v>0.82708013101546984</v>
      </c>
      <c r="O91" s="276">
        <f t="shared" si="39"/>
        <v>1.2590813246270838</v>
      </c>
      <c r="P91" s="276">
        <f t="shared" si="40"/>
        <v>1.2061485650162236</v>
      </c>
      <c r="Q91" s="276">
        <f t="shared" si="41"/>
        <v>0.86217406665100049</v>
      </c>
      <c r="R91" s="276">
        <f t="shared" si="42"/>
        <v>2.430709196228193</v>
      </c>
      <c r="S91" s="686">
        <f t="shared" si="43"/>
        <v>1.080541034247507</v>
      </c>
      <c r="T91" s="685">
        <f t="shared" si="44"/>
        <v>5.5058432259333578</v>
      </c>
      <c r="U91" s="276">
        <f t="shared" si="45"/>
        <v>3.9384344756148799</v>
      </c>
      <c r="V91" s="276">
        <f t="shared" si="46"/>
        <v>3.873757979775891</v>
      </c>
      <c r="W91" s="276">
        <f t="shared" si="47"/>
        <v>1.9985279553109545</v>
      </c>
      <c r="X91" s="276">
        <f t="shared" si="48"/>
        <v>2.4463079895923796</v>
      </c>
      <c r="Y91" s="686">
        <f t="shared" si="49"/>
        <v>3.9807638808647932</v>
      </c>
      <c r="Z91" s="685" t="e">
        <f t="shared" si="50"/>
        <v>#DIV/0!</v>
      </c>
      <c r="AA91" s="276" t="e">
        <f t="shared" si="51"/>
        <v>#DIV/0!</v>
      </c>
      <c r="AB91" s="276" t="e">
        <f t="shared" si="52"/>
        <v>#DIV/0!</v>
      </c>
      <c r="AC91" s="276" t="e">
        <f t="shared" si="53"/>
        <v>#DIV/0!</v>
      </c>
      <c r="AD91" s="276" t="e">
        <f t="shared" si="54"/>
        <v>#DIV/0!</v>
      </c>
      <c r="AE91" s="686" t="e">
        <f t="shared" si="55"/>
        <v>#DIV/0!</v>
      </c>
      <c r="AF91" s="239"/>
      <c r="AG91" s="965" t="e">
        <f t="shared" si="56"/>
        <v>#VALUE!</v>
      </c>
      <c r="AH91" s="878" t="e">
        <f t="shared" si="57"/>
        <v>#VALUE!</v>
      </c>
      <c r="AI91" s="878" t="e">
        <f t="shared" si="92"/>
        <v>#VALUE!</v>
      </c>
      <c r="AJ91" s="878" t="e">
        <f t="shared" si="58"/>
        <v>#VALUE!</v>
      </c>
      <c r="AK91" s="878" t="e">
        <f t="shared" si="59"/>
        <v>#VALUE!</v>
      </c>
      <c r="AL91" s="966" t="e">
        <f t="shared" si="60"/>
        <v>#VALUE!</v>
      </c>
      <c r="AM91" s="239"/>
      <c r="AO91" s="685">
        <f t="shared" si="61"/>
        <v>-0.79505470481483953</v>
      </c>
      <c r="AP91" s="276">
        <f t="shared" si="62"/>
        <v>-4.274505338210103</v>
      </c>
      <c r="AQ91" s="276">
        <f t="shared" si="63"/>
        <v>-3.635589886933051</v>
      </c>
      <c r="AR91" s="276">
        <f t="shared" si="64"/>
        <v>-0.55495541220818378</v>
      </c>
      <c r="AS91" s="276">
        <f t="shared" si="65"/>
        <v>0.22125636710836272</v>
      </c>
      <c r="AT91" s="276">
        <f t="shared" si="66"/>
        <v>-2.5907366801317786</v>
      </c>
      <c r="AU91" s="685">
        <f t="shared" si="67"/>
        <v>0.82708013101546984</v>
      </c>
      <c r="AV91" s="276">
        <f t="shared" si="68"/>
        <v>1.2590813246270838</v>
      </c>
      <c r="AW91" s="276">
        <f t="shared" si="69"/>
        <v>1.2061485650162236</v>
      </c>
      <c r="AX91" s="276">
        <f t="shared" si="70"/>
        <v>0.86217406665100049</v>
      </c>
      <c r="AY91" s="276">
        <f t="shared" si="71"/>
        <v>2.430709196228193</v>
      </c>
      <c r="AZ91" s="686">
        <f t="shared" si="72"/>
        <v>1.080541034247507</v>
      </c>
      <c r="BA91" s="685">
        <f t="shared" si="73"/>
        <v>0</v>
      </c>
      <c r="BB91" s="276">
        <f t="shared" si="74"/>
        <v>0</v>
      </c>
      <c r="BC91" s="276">
        <f t="shared" si="75"/>
        <v>0</v>
      </c>
      <c r="BD91" s="276">
        <f t="shared" si="76"/>
        <v>0</v>
      </c>
      <c r="BE91" s="276">
        <f t="shared" si="77"/>
        <v>0</v>
      </c>
      <c r="BF91" s="686">
        <f t="shared" si="78"/>
        <v>0</v>
      </c>
      <c r="BG91" s="685" t="e">
        <f t="shared" si="79"/>
        <v>#DIV/0!</v>
      </c>
      <c r="BH91" s="276" t="e">
        <f t="shared" si="80"/>
        <v>#DIV/0!</v>
      </c>
      <c r="BI91" s="276" t="e">
        <f t="shared" si="81"/>
        <v>#DIV/0!</v>
      </c>
      <c r="BJ91" s="276" t="e">
        <f t="shared" si="82"/>
        <v>#DIV/0!</v>
      </c>
      <c r="BK91" s="276" t="e">
        <f t="shared" si="83"/>
        <v>#DIV/0!</v>
      </c>
      <c r="BL91" s="686" t="e">
        <f t="shared" si="84"/>
        <v>#DIV/0!</v>
      </c>
      <c r="BM91" s="239"/>
      <c r="BN91" s="965" t="e">
        <f t="shared" si="85"/>
        <v>#VALUE!</v>
      </c>
      <c r="BO91" s="878" t="e">
        <f t="shared" si="86"/>
        <v>#VALUE!</v>
      </c>
      <c r="BP91" s="878" t="e">
        <f t="shared" si="87"/>
        <v>#VALUE!</v>
      </c>
      <c r="BQ91" s="878" t="e">
        <f t="shared" si="88"/>
        <v>#VALUE!</v>
      </c>
      <c r="BR91" s="878" t="e">
        <f t="shared" si="89"/>
        <v>#VALUE!</v>
      </c>
      <c r="BS91" s="966" t="e">
        <f t="shared" si="90"/>
        <v>#VALUE!</v>
      </c>
    </row>
    <row r="92" spans="1:71">
      <c r="A92" s="284">
        <f t="shared" si="91"/>
        <v>24</v>
      </c>
      <c r="B92" s="285">
        <v>0.31401208789139945</v>
      </c>
      <c r="C92" s="285">
        <v>1.4841029979528266</v>
      </c>
      <c r="D92" s="285">
        <v>1.7558540292850298</v>
      </c>
      <c r="E92" s="285">
        <v>-19.920681582835162</v>
      </c>
      <c r="H92" s="685">
        <f t="shared" si="32"/>
        <v>-0.81922175387765539</v>
      </c>
      <c r="I92" s="276">
        <f t="shared" si="33"/>
        <v>0.29166878057409296</v>
      </c>
      <c r="J92" s="276">
        <f t="shared" si="34"/>
        <v>-2.9378795608419246</v>
      </c>
      <c r="K92" s="276">
        <f t="shared" si="35"/>
        <v>1.6801625192982488</v>
      </c>
      <c r="L92" s="276">
        <f t="shared" si="36"/>
        <v>-3.8078540471586413</v>
      </c>
      <c r="M92" s="276">
        <f t="shared" si="37"/>
        <v>1.3287799970546665</v>
      </c>
      <c r="N92" s="685">
        <f t="shared" si="38"/>
        <v>0.27693178698095822</v>
      </c>
      <c r="O92" s="276">
        <f t="shared" si="39"/>
        <v>1.9882298371728055</v>
      </c>
      <c r="P92" s="276">
        <f t="shared" si="40"/>
        <v>1.3469491547457129</v>
      </c>
      <c r="Q92" s="276">
        <f t="shared" si="41"/>
        <v>0.92112205394260527</v>
      </c>
      <c r="R92" s="276">
        <f t="shared" si="42"/>
        <v>0.87324475609548036</v>
      </c>
      <c r="S92" s="686">
        <f t="shared" si="43"/>
        <v>1.4981514746570352</v>
      </c>
      <c r="T92" s="685">
        <f t="shared" si="44"/>
        <v>5.0342177195559561</v>
      </c>
      <c r="U92" s="276">
        <f t="shared" si="45"/>
        <v>4.9633837823716256</v>
      </c>
      <c r="V92" s="276">
        <f t="shared" si="46"/>
        <v>3.2183975672017726</v>
      </c>
      <c r="W92" s="276">
        <f t="shared" si="47"/>
        <v>4.2933786715230742</v>
      </c>
      <c r="X92" s="276">
        <f t="shared" si="48"/>
        <v>3.5949834353043162</v>
      </c>
      <c r="Y92" s="686">
        <f t="shared" si="49"/>
        <v>4.6076958953384937</v>
      </c>
      <c r="Z92" s="685" t="e">
        <f t="shared" si="50"/>
        <v>#DIV/0!</v>
      </c>
      <c r="AA92" s="276" t="e">
        <f t="shared" si="51"/>
        <v>#DIV/0!</v>
      </c>
      <c r="AB92" s="276" t="e">
        <f t="shared" si="52"/>
        <v>#DIV/0!</v>
      </c>
      <c r="AC92" s="276" t="e">
        <f t="shared" si="53"/>
        <v>#DIV/0!</v>
      </c>
      <c r="AD92" s="276" t="e">
        <f t="shared" si="54"/>
        <v>#DIV/0!</v>
      </c>
      <c r="AE92" s="686" t="e">
        <f t="shared" si="55"/>
        <v>#DIV/0!</v>
      </c>
      <c r="AF92" s="239"/>
      <c r="AG92" s="965" t="e">
        <f t="shared" si="56"/>
        <v>#VALUE!</v>
      </c>
      <c r="AH92" s="878" t="e">
        <f t="shared" si="57"/>
        <v>#VALUE!</v>
      </c>
      <c r="AI92" s="878" t="e">
        <f t="shared" si="92"/>
        <v>#VALUE!</v>
      </c>
      <c r="AJ92" s="878" t="e">
        <f t="shared" si="58"/>
        <v>#VALUE!</v>
      </c>
      <c r="AK92" s="878" t="e">
        <f t="shared" si="59"/>
        <v>#VALUE!</v>
      </c>
      <c r="AL92" s="966" t="e">
        <f t="shared" si="60"/>
        <v>#VALUE!</v>
      </c>
      <c r="AM92" s="239"/>
      <c r="AO92" s="685">
        <f t="shared" si="61"/>
        <v>-0.81922175387765539</v>
      </c>
      <c r="AP92" s="276">
        <f t="shared" si="62"/>
        <v>0.29166878057409296</v>
      </c>
      <c r="AQ92" s="276">
        <f t="shared" si="63"/>
        <v>-2.9378795608419246</v>
      </c>
      <c r="AR92" s="276">
        <f t="shared" si="64"/>
        <v>1.6801625192982488</v>
      </c>
      <c r="AS92" s="276">
        <f t="shared" si="65"/>
        <v>-3.8078540471586413</v>
      </c>
      <c r="AT92" s="276">
        <f t="shared" si="66"/>
        <v>1.3287799970546665</v>
      </c>
      <c r="AU92" s="685">
        <f t="shared" si="67"/>
        <v>0.27693178698095822</v>
      </c>
      <c r="AV92" s="276">
        <f t="shared" si="68"/>
        <v>1.9882298371728055</v>
      </c>
      <c r="AW92" s="276">
        <f t="shared" si="69"/>
        <v>1.3469491547457129</v>
      </c>
      <c r="AX92" s="276">
        <f t="shared" si="70"/>
        <v>0.92112205394260527</v>
      </c>
      <c r="AY92" s="276">
        <f t="shared" si="71"/>
        <v>0.87324475609548036</v>
      </c>
      <c r="AZ92" s="686">
        <f t="shared" si="72"/>
        <v>1.4981514746570352</v>
      </c>
      <c r="BA92" s="685">
        <f t="shared" si="73"/>
        <v>0</v>
      </c>
      <c r="BB92" s="276">
        <f t="shared" si="74"/>
        <v>0</v>
      </c>
      <c r="BC92" s="276">
        <f t="shared" si="75"/>
        <v>0</v>
      </c>
      <c r="BD92" s="276">
        <f t="shared" si="76"/>
        <v>0</v>
      </c>
      <c r="BE92" s="276">
        <f t="shared" si="77"/>
        <v>0</v>
      </c>
      <c r="BF92" s="686">
        <f t="shared" si="78"/>
        <v>0</v>
      </c>
      <c r="BG92" s="685" t="e">
        <f t="shared" si="79"/>
        <v>#DIV/0!</v>
      </c>
      <c r="BH92" s="276" t="e">
        <f t="shared" si="80"/>
        <v>#DIV/0!</v>
      </c>
      <c r="BI92" s="276" t="e">
        <f t="shared" si="81"/>
        <v>#DIV/0!</v>
      </c>
      <c r="BJ92" s="276" t="e">
        <f t="shared" si="82"/>
        <v>#DIV/0!</v>
      </c>
      <c r="BK92" s="276" t="e">
        <f t="shared" si="83"/>
        <v>#DIV/0!</v>
      </c>
      <c r="BL92" s="686" t="e">
        <f t="shared" si="84"/>
        <v>#DIV/0!</v>
      </c>
      <c r="BM92" s="239"/>
      <c r="BN92" s="965" t="e">
        <f t="shared" si="85"/>
        <v>#VALUE!</v>
      </c>
      <c r="BO92" s="878" t="e">
        <f t="shared" si="86"/>
        <v>#VALUE!</v>
      </c>
      <c r="BP92" s="878" t="e">
        <f t="shared" si="87"/>
        <v>#VALUE!</v>
      </c>
      <c r="BQ92" s="878" t="e">
        <f t="shared" si="88"/>
        <v>#VALUE!</v>
      </c>
      <c r="BR92" s="878" t="e">
        <f t="shared" si="89"/>
        <v>#VALUE!</v>
      </c>
      <c r="BS92" s="966" t="e">
        <f t="shared" si="90"/>
        <v>#VALUE!</v>
      </c>
    </row>
    <row r="93" spans="1:71">
      <c r="A93" s="284">
        <f t="shared" si="91"/>
        <v>25</v>
      </c>
      <c r="B93" s="285">
        <v>-0.58230311663972234</v>
      </c>
      <c r="C93" s="285">
        <v>3.1963254781336183</v>
      </c>
      <c r="D93" s="285">
        <v>0.94031125081756572</v>
      </c>
      <c r="E93" s="285">
        <v>16.170045369938411</v>
      </c>
      <c r="H93" s="685">
        <f t="shared" si="32"/>
        <v>-1.7155369584087772</v>
      </c>
      <c r="I93" s="276">
        <f t="shared" si="33"/>
        <v>-4.4606464711502491</v>
      </c>
      <c r="J93" s="276">
        <f t="shared" si="34"/>
        <v>-1.1132686764452977</v>
      </c>
      <c r="K93" s="276">
        <f t="shared" si="35"/>
        <v>-3.4999471882558781</v>
      </c>
      <c r="L93" s="276">
        <f t="shared" si="36"/>
        <v>-0.56892968021041612</v>
      </c>
      <c r="M93" s="276">
        <f t="shared" si="37"/>
        <v>-0.85724315169429033</v>
      </c>
      <c r="N93" s="685">
        <f t="shared" si="38"/>
        <v>1.9891542671617499</v>
      </c>
      <c r="O93" s="276">
        <f t="shared" si="39"/>
        <v>0.69263329441084909</v>
      </c>
      <c r="P93" s="276">
        <f t="shared" si="40"/>
        <v>1.6130463890149487</v>
      </c>
      <c r="Q93" s="276">
        <f t="shared" si="41"/>
        <v>0.85145406927358835</v>
      </c>
      <c r="R93" s="276">
        <f t="shared" si="42"/>
        <v>1.7655938590120546</v>
      </c>
      <c r="S93" s="686">
        <f t="shared" si="43"/>
        <v>0.98095083267323235</v>
      </c>
      <c r="T93" s="685">
        <f t="shared" si="44"/>
        <v>4.2186749410884916</v>
      </c>
      <c r="U93" s="276">
        <f t="shared" si="45"/>
        <v>3.7002544049312212</v>
      </c>
      <c r="V93" s="276">
        <f t="shared" si="46"/>
        <v>2.842310320443735</v>
      </c>
      <c r="W93" s="276">
        <f t="shared" si="47"/>
        <v>3.9972411001589778</v>
      </c>
      <c r="X93" s="276">
        <f t="shared" si="48"/>
        <v>5.0414191619587481</v>
      </c>
      <c r="Y93" s="686">
        <f t="shared" si="49"/>
        <v>4.4658893096677907</v>
      </c>
      <c r="Z93" s="685" t="e">
        <f t="shared" si="50"/>
        <v>#DIV/0!</v>
      </c>
      <c r="AA93" s="276" t="e">
        <f t="shared" si="51"/>
        <v>#DIV/0!</v>
      </c>
      <c r="AB93" s="276" t="e">
        <f t="shared" si="52"/>
        <v>#DIV/0!</v>
      </c>
      <c r="AC93" s="276" t="e">
        <f t="shared" si="53"/>
        <v>#DIV/0!</v>
      </c>
      <c r="AD93" s="276" t="e">
        <f t="shared" si="54"/>
        <v>#DIV/0!</v>
      </c>
      <c r="AE93" s="686" t="e">
        <f t="shared" si="55"/>
        <v>#DIV/0!</v>
      </c>
      <c r="AF93" s="239"/>
      <c r="AG93" s="965" t="e">
        <f t="shared" si="56"/>
        <v>#VALUE!</v>
      </c>
      <c r="AH93" s="878" t="e">
        <f t="shared" si="57"/>
        <v>#VALUE!</v>
      </c>
      <c r="AI93" s="878" t="e">
        <f t="shared" si="92"/>
        <v>#VALUE!</v>
      </c>
      <c r="AJ93" s="878" t="e">
        <f t="shared" si="58"/>
        <v>#VALUE!</v>
      </c>
      <c r="AK93" s="878" t="e">
        <f t="shared" si="59"/>
        <v>#VALUE!</v>
      </c>
      <c r="AL93" s="966" t="e">
        <f t="shared" si="60"/>
        <v>#VALUE!</v>
      </c>
      <c r="AM93" s="239"/>
      <c r="AO93" s="685">
        <f t="shared" si="61"/>
        <v>-1.7155369584087772</v>
      </c>
      <c r="AP93" s="276">
        <f t="shared" si="62"/>
        <v>-4.4606464711502491</v>
      </c>
      <c r="AQ93" s="276">
        <f t="shared" si="63"/>
        <v>-1.1132686764452977</v>
      </c>
      <c r="AR93" s="276">
        <f t="shared" si="64"/>
        <v>-3.4999471882558781</v>
      </c>
      <c r="AS93" s="276">
        <f t="shared" si="65"/>
        <v>-0.56892968021041612</v>
      </c>
      <c r="AT93" s="276">
        <f t="shared" si="66"/>
        <v>-0.85724315169429033</v>
      </c>
      <c r="AU93" s="685">
        <f t="shared" si="67"/>
        <v>1.9891542671617499</v>
      </c>
      <c r="AV93" s="276">
        <f t="shared" si="68"/>
        <v>0.69263329441084909</v>
      </c>
      <c r="AW93" s="276">
        <f t="shared" si="69"/>
        <v>1.6130463890149487</v>
      </c>
      <c r="AX93" s="276">
        <f t="shared" si="70"/>
        <v>0.85145406927358835</v>
      </c>
      <c r="AY93" s="276">
        <f t="shared" si="71"/>
        <v>1.7655938590120546</v>
      </c>
      <c r="AZ93" s="686">
        <f t="shared" si="72"/>
        <v>0.98095083267323235</v>
      </c>
      <c r="BA93" s="685">
        <f t="shared" si="73"/>
        <v>0</v>
      </c>
      <c r="BB93" s="276">
        <f t="shared" si="74"/>
        <v>0</v>
      </c>
      <c r="BC93" s="276">
        <f t="shared" si="75"/>
        <v>0</v>
      </c>
      <c r="BD93" s="276">
        <f t="shared" si="76"/>
        <v>0</v>
      </c>
      <c r="BE93" s="276">
        <f t="shared" si="77"/>
        <v>0</v>
      </c>
      <c r="BF93" s="686">
        <f t="shared" si="78"/>
        <v>0</v>
      </c>
      <c r="BG93" s="685" t="e">
        <f t="shared" si="79"/>
        <v>#DIV/0!</v>
      </c>
      <c r="BH93" s="276" t="e">
        <f t="shared" si="80"/>
        <v>#DIV/0!</v>
      </c>
      <c r="BI93" s="276" t="e">
        <f t="shared" si="81"/>
        <v>#DIV/0!</v>
      </c>
      <c r="BJ93" s="276" t="e">
        <f t="shared" si="82"/>
        <v>#DIV/0!</v>
      </c>
      <c r="BK93" s="276" t="e">
        <f t="shared" si="83"/>
        <v>#DIV/0!</v>
      </c>
      <c r="BL93" s="686" t="e">
        <f t="shared" si="84"/>
        <v>#DIV/0!</v>
      </c>
      <c r="BM93" s="239"/>
      <c r="BN93" s="965" t="e">
        <f t="shared" si="85"/>
        <v>#VALUE!</v>
      </c>
      <c r="BO93" s="878" t="e">
        <f t="shared" si="86"/>
        <v>#VALUE!</v>
      </c>
      <c r="BP93" s="878" t="e">
        <f t="shared" si="87"/>
        <v>#VALUE!</v>
      </c>
      <c r="BQ93" s="878" t="e">
        <f t="shared" si="88"/>
        <v>#VALUE!</v>
      </c>
      <c r="BR93" s="878" t="e">
        <f t="shared" si="89"/>
        <v>#VALUE!</v>
      </c>
      <c r="BS93" s="966" t="e">
        <f t="shared" si="90"/>
        <v>#VALUE!</v>
      </c>
    </row>
    <row r="94" spans="1:71">
      <c r="A94" s="284">
        <f t="shared" si="91"/>
        <v>26</v>
      </c>
      <c r="B94" s="285">
        <v>-0.84531407389792979</v>
      </c>
      <c r="C94" s="285">
        <v>2.1149599371539289</v>
      </c>
      <c r="D94" s="285">
        <v>3.6370781873783944</v>
      </c>
      <c r="E94" s="285">
        <v>-7.5694347106570472</v>
      </c>
      <c r="H94" s="685">
        <f t="shared" si="32"/>
        <v>-1.9785479156669847</v>
      </c>
      <c r="I94" s="276">
        <f t="shared" si="33"/>
        <v>-1.2692437770016409</v>
      </c>
      <c r="J94" s="276">
        <f t="shared" si="34"/>
        <v>-4.4856727618052563</v>
      </c>
      <c r="K94" s="276">
        <f t="shared" si="35"/>
        <v>-2.7004690358981787</v>
      </c>
      <c r="L94" s="276">
        <f t="shared" si="36"/>
        <v>1.7989824059539441</v>
      </c>
      <c r="M94" s="276">
        <f t="shared" si="37"/>
        <v>-3.5591707880340078</v>
      </c>
      <c r="N94" s="685">
        <f t="shared" si="38"/>
        <v>0.90778872618206052</v>
      </c>
      <c r="O94" s="276">
        <f t="shared" si="39"/>
        <v>1.8358777391452266</v>
      </c>
      <c r="P94" s="276">
        <f t="shared" si="40"/>
        <v>1.2548106288823691</v>
      </c>
      <c r="Q94" s="276">
        <f t="shared" si="41"/>
        <v>0.98458807913900359</v>
      </c>
      <c r="R94" s="276">
        <f t="shared" si="42"/>
        <v>1.0085953168021307</v>
      </c>
      <c r="S94" s="686">
        <f t="shared" si="43"/>
        <v>1.1846214463268987</v>
      </c>
      <c r="T94" s="685">
        <f t="shared" si="44"/>
        <v>6.9154418776493198</v>
      </c>
      <c r="U94" s="276">
        <f t="shared" si="45"/>
        <v>3.0540981596353163</v>
      </c>
      <c r="V94" s="276">
        <f t="shared" si="46"/>
        <v>4.3687175192202927</v>
      </c>
      <c r="W94" s="276">
        <f t="shared" si="47"/>
        <v>2.1097887709285894</v>
      </c>
      <c r="X94" s="276">
        <f t="shared" si="48"/>
        <v>6.0228849683871317</v>
      </c>
      <c r="Y94" s="686">
        <f t="shared" si="49"/>
        <v>4.1099611277239489</v>
      </c>
      <c r="Z94" s="685" t="e">
        <f t="shared" si="50"/>
        <v>#DIV/0!</v>
      </c>
      <c r="AA94" s="276" t="e">
        <f t="shared" si="51"/>
        <v>#DIV/0!</v>
      </c>
      <c r="AB94" s="276" t="e">
        <f t="shared" si="52"/>
        <v>#DIV/0!</v>
      </c>
      <c r="AC94" s="276" t="e">
        <f t="shared" si="53"/>
        <v>#DIV/0!</v>
      </c>
      <c r="AD94" s="276" t="e">
        <f t="shared" si="54"/>
        <v>#DIV/0!</v>
      </c>
      <c r="AE94" s="686" t="e">
        <f t="shared" si="55"/>
        <v>#DIV/0!</v>
      </c>
      <c r="AF94" s="239"/>
      <c r="AG94" s="965" t="e">
        <f t="shared" si="56"/>
        <v>#VALUE!</v>
      </c>
      <c r="AH94" s="878" t="e">
        <f t="shared" si="57"/>
        <v>#VALUE!</v>
      </c>
      <c r="AI94" s="878" t="e">
        <f t="shared" si="92"/>
        <v>#VALUE!</v>
      </c>
      <c r="AJ94" s="878" t="e">
        <f t="shared" si="58"/>
        <v>#VALUE!</v>
      </c>
      <c r="AK94" s="878" t="e">
        <f t="shared" si="59"/>
        <v>#VALUE!</v>
      </c>
      <c r="AL94" s="966" t="e">
        <f t="shared" si="60"/>
        <v>#VALUE!</v>
      </c>
      <c r="AM94" s="239"/>
      <c r="AO94" s="685">
        <f t="shared" si="61"/>
        <v>-1.9785479156669847</v>
      </c>
      <c r="AP94" s="276">
        <f t="shared" si="62"/>
        <v>-1.2692437770016409</v>
      </c>
      <c r="AQ94" s="276">
        <f t="shared" si="63"/>
        <v>-4.4856727618052563</v>
      </c>
      <c r="AR94" s="276">
        <f t="shared" si="64"/>
        <v>-2.7004690358981787</v>
      </c>
      <c r="AS94" s="276">
        <f t="shared" si="65"/>
        <v>1.7989824059539441</v>
      </c>
      <c r="AT94" s="276">
        <f t="shared" si="66"/>
        <v>-3.5591707880340078</v>
      </c>
      <c r="AU94" s="685">
        <f t="shared" si="67"/>
        <v>0.90778872618206052</v>
      </c>
      <c r="AV94" s="276">
        <f t="shared" si="68"/>
        <v>1.8358777391452266</v>
      </c>
      <c r="AW94" s="276">
        <f t="shared" si="69"/>
        <v>1.2548106288823691</v>
      </c>
      <c r="AX94" s="276">
        <f t="shared" si="70"/>
        <v>0.98458807913900359</v>
      </c>
      <c r="AY94" s="276">
        <f t="shared" si="71"/>
        <v>1.0085953168021307</v>
      </c>
      <c r="AZ94" s="686">
        <f t="shared" si="72"/>
        <v>1.1846214463268987</v>
      </c>
      <c r="BA94" s="685">
        <f t="shared" si="73"/>
        <v>0</v>
      </c>
      <c r="BB94" s="276">
        <f t="shared" si="74"/>
        <v>0</v>
      </c>
      <c r="BC94" s="276">
        <f t="shared" si="75"/>
        <v>0</v>
      </c>
      <c r="BD94" s="276">
        <f t="shared" si="76"/>
        <v>0</v>
      </c>
      <c r="BE94" s="276">
        <f t="shared" si="77"/>
        <v>0</v>
      </c>
      <c r="BF94" s="686">
        <f t="shared" si="78"/>
        <v>0</v>
      </c>
      <c r="BG94" s="685" t="e">
        <f t="shared" si="79"/>
        <v>#DIV/0!</v>
      </c>
      <c r="BH94" s="276" t="e">
        <f t="shared" si="80"/>
        <v>#DIV/0!</v>
      </c>
      <c r="BI94" s="276" t="e">
        <f t="shared" si="81"/>
        <v>#DIV/0!</v>
      </c>
      <c r="BJ94" s="276" t="e">
        <f t="shared" si="82"/>
        <v>#DIV/0!</v>
      </c>
      <c r="BK94" s="276" t="e">
        <f t="shared" si="83"/>
        <v>#DIV/0!</v>
      </c>
      <c r="BL94" s="686" t="e">
        <f t="shared" si="84"/>
        <v>#DIV/0!</v>
      </c>
      <c r="BM94" s="239"/>
      <c r="BN94" s="965" t="e">
        <f t="shared" si="85"/>
        <v>#VALUE!</v>
      </c>
      <c r="BO94" s="878" t="e">
        <f t="shared" si="86"/>
        <v>#VALUE!</v>
      </c>
      <c r="BP94" s="878" t="e">
        <f t="shared" si="87"/>
        <v>#VALUE!</v>
      </c>
      <c r="BQ94" s="878" t="e">
        <f t="shared" si="88"/>
        <v>#VALUE!</v>
      </c>
      <c r="BR94" s="878" t="e">
        <f t="shared" si="89"/>
        <v>#VALUE!</v>
      </c>
      <c r="BS94" s="966" t="e">
        <f t="shared" si="90"/>
        <v>#VALUE!</v>
      </c>
    </row>
    <row r="95" spans="1:71">
      <c r="A95" s="284">
        <f t="shared" si="91"/>
        <v>27</v>
      </c>
      <c r="B95" s="285">
        <v>-2.293319593512245</v>
      </c>
      <c r="C95" s="285">
        <v>2.6234203252969865</v>
      </c>
      <c r="D95" s="285">
        <v>-0.10110349563302456</v>
      </c>
      <c r="E95" s="285">
        <v>-11.409690001610855</v>
      </c>
      <c r="H95" s="685">
        <f t="shared" si="32"/>
        <v>-3.4265534352813001</v>
      </c>
      <c r="I95" s="276">
        <f t="shared" si="33"/>
        <v>-1.8586697347420582</v>
      </c>
      <c r="J95" s="276">
        <f t="shared" si="34"/>
        <v>1.0683817502524919</v>
      </c>
      <c r="K95" s="276">
        <f t="shared" si="35"/>
        <v>0.59507330080385112</v>
      </c>
      <c r="L95" s="276">
        <f t="shared" si="36"/>
        <v>-2.7436341368219073</v>
      </c>
      <c r="M95" s="276">
        <f t="shared" si="37"/>
        <v>0.54253896057464157</v>
      </c>
      <c r="N95" s="685">
        <f t="shared" si="38"/>
        <v>1.4162491143251181</v>
      </c>
      <c r="O95" s="276">
        <f t="shared" si="39"/>
        <v>0.96202736247377518</v>
      </c>
      <c r="P95" s="276">
        <f t="shared" si="40"/>
        <v>1.5817342101263325</v>
      </c>
      <c r="Q95" s="276">
        <f t="shared" si="41"/>
        <v>2.104010935045471</v>
      </c>
      <c r="R95" s="276">
        <f t="shared" si="42"/>
        <v>0.99844786381291484</v>
      </c>
      <c r="S95" s="686">
        <f t="shared" si="43"/>
        <v>0.73222220546899464</v>
      </c>
      <c r="T95" s="685">
        <f t="shared" si="44"/>
        <v>3.1772601946379013</v>
      </c>
      <c r="U95" s="276">
        <f t="shared" si="45"/>
        <v>2.5627169913654972</v>
      </c>
      <c r="V95" s="276">
        <f t="shared" si="46"/>
        <v>5.5605375766954772</v>
      </c>
      <c r="W95" s="276">
        <f t="shared" si="47"/>
        <v>4.6462239084039094</v>
      </c>
      <c r="X95" s="276">
        <f t="shared" si="48"/>
        <v>3.2540377402292702</v>
      </c>
      <c r="Y95" s="686">
        <f t="shared" si="49"/>
        <v>6.7110546917549767</v>
      </c>
      <c r="Z95" s="685" t="e">
        <f t="shared" si="50"/>
        <v>#DIV/0!</v>
      </c>
      <c r="AA95" s="276" t="e">
        <f t="shared" si="51"/>
        <v>#DIV/0!</v>
      </c>
      <c r="AB95" s="276" t="e">
        <f t="shared" si="52"/>
        <v>#DIV/0!</v>
      </c>
      <c r="AC95" s="276" t="e">
        <f t="shared" si="53"/>
        <v>#DIV/0!</v>
      </c>
      <c r="AD95" s="276" t="e">
        <f t="shared" si="54"/>
        <v>#DIV/0!</v>
      </c>
      <c r="AE95" s="686" t="e">
        <f t="shared" si="55"/>
        <v>#DIV/0!</v>
      </c>
      <c r="AF95" s="239"/>
      <c r="AG95" s="965" t="e">
        <f t="shared" si="56"/>
        <v>#VALUE!</v>
      </c>
      <c r="AH95" s="878" t="e">
        <f t="shared" si="57"/>
        <v>#VALUE!</v>
      </c>
      <c r="AI95" s="878" t="e">
        <f t="shared" si="92"/>
        <v>#VALUE!</v>
      </c>
      <c r="AJ95" s="878" t="e">
        <f t="shared" si="58"/>
        <v>#VALUE!</v>
      </c>
      <c r="AK95" s="878" t="e">
        <f t="shared" si="59"/>
        <v>#VALUE!</v>
      </c>
      <c r="AL95" s="966" t="e">
        <f t="shared" si="60"/>
        <v>#VALUE!</v>
      </c>
      <c r="AM95" s="239"/>
      <c r="AO95" s="685">
        <f t="shared" si="61"/>
        <v>-3.4265534352813001</v>
      </c>
      <c r="AP95" s="276">
        <f t="shared" si="62"/>
        <v>-1.8586697347420582</v>
      </c>
      <c r="AQ95" s="276">
        <f t="shared" si="63"/>
        <v>1.0683817502524919</v>
      </c>
      <c r="AR95" s="276">
        <f t="shared" si="64"/>
        <v>0.59507330080385112</v>
      </c>
      <c r="AS95" s="276">
        <f t="shared" si="65"/>
        <v>-2.7436341368219073</v>
      </c>
      <c r="AT95" s="276">
        <f t="shared" si="66"/>
        <v>0.54253896057464157</v>
      </c>
      <c r="AU95" s="685">
        <f t="shared" si="67"/>
        <v>1.4162491143251181</v>
      </c>
      <c r="AV95" s="276">
        <f t="shared" si="68"/>
        <v>0.96202736247377518</v>
      </c>
      <c r="AW95" s="276">
        <f t="shared" si="69"/>
        <v>1.5817342101263325</v>
      </c>
      <c r="AX95" s="276">
        <f t="shared" si="70"/>
        <v>2.104010935045471</v>
      </c>
      <c r="AY95" s="276">
        <f t="shared" si="71"/>
        <v>0.99844786381291484</v>
      </c>
      <c r="AZ95" s="686">
        <f t="shared" si="72"/>
        <v>0.73222220546899464</v>
      </c>
      <c r="BA95" s="685">
        <f t="shared" si="73"/>
        <v>0</v>
      </c>
      <c r="BB95" s="276">
        <f t="shared" si="74"/>
        <v>0</v>
      </c>
      <c r="BC95" s="276">
        <f t="shared" si="75"/>
        <v>0</v>
      </c>
      <c r="BD95" s="276">
        <f t="shared" si="76"/>
        <v>0</v>
      </c>
      <c r="BE95" s="276">
        <f t="shared" si="77"/>
        <v>0</v>
      </c>
      <c r="BF95" s="686">
        <f t="shared" si="78"/>
        <v>0</v>
      </c>
      <c r="BG95" s="685" t="e">
        <f t="shared" si="79"/>
        <v>#DIV/0!</v>
      </c>
      <c r="BH95" s="276" t="e">
        <f t="shared" si="80"/>
        <v>#DIV/0!</v>
      </c>
      <c r="BI95" s="276" t="e">
        <f t="shared" si="81"/>
        <v>#DIV/0!</v>
      </c>
      <c r="BJ95" s="276" t="e">
        <f t="shared" si="82"/>
        <v>#DIV/0!</v>
      </c>
      <c r="BK95" s="276" t="e">
        <f t="shared" si="83"/>
        <v>#DIV/0!</v>
      </c>
      <c r="BL95" s="686" t="e">
        <f t="shared" si="84"/>
        <v>#DIV/0!</v>
      </c>
      <c r="BM95" s="239"/>
      <c r="BN95" s="965" t="e">
        <f t="shared" si="85"/>
        <v>#VALUE!</v>
      </c>
      <c r="BO95" s="878" t="e">
        <f t="shared" si="86"/>
        <v>#VALUE!</v>
      </c>
      <c r="BP95" s="878" t="e">
        <f t="shared" si="87"/>
        <v>#VALUE!</v>
      </c>
      <c r="BQ95" s="878" t="e">
        <f t="shared" si="88"/>
        <v>#VALUE!</v>
      </c>
      <c r="BR95" s="878" t="e">
        <f t="shared" si="89"/>
        <v>#VALUE!</v>
      </c>
      <c r="BS95" s="966" t="e">
        <f t="shared" si="90"/>
        <v>#VALUE!</v>
      </c>
    </row>
    <row r="96" spans="1:71">
      <c r="A96" s="284">
        <f t="shared" si="91"/>
        <v>28</v>
      </c>
      <c r="B96" s="285">
        <v>-1.8017249129494699</v>
      </c>
      <c r="C96" s="285">
        <v>2.6056283898597785</v>
      </c>
      <c r="D96" s="285">
        <v>1.6384266467034185</v>
      </c>
      <c r="E96" s="285">
        <v>-2.7307342067338425E-2</v>
      </c>
      <c r="H96" s="685">
        <f t="shared" si="32"/>
        <v>-2.934958754718525</v>
      </c>
      <c r="I96" s="276">
        <f t="shared" si="33"/>
        <v>1.2125107471682044</v>
      </c>
      <c r="J96" s="276">
        <f t="shared" si="34"/>
        <v>2.4632724577251999</v>
      </c>
      <c r="K96" s="276">
        <f t="shared" si="35"/>
        <v>-0.65754701171799224</v>
      </c>
      <c r="L96" s="276">
        <f t="shared" si="36"/>
        <v>-1.9142369270148361</v>
      </c>
      <c r="M96" s="276">
        <f t="shared" si="37"/>
        <v>-1.4316338173088621</v>
      </c>
      <c r="N96" s="685">
        <f t="shared" si="38"/>
        <v>1.3984571788879101</v>
      </c>
      <c r="O96" s="276">
        <f t="shared" si="39"/>
        <v>2.0860564981329466</v>
      </c>
      <c r="P96" s="276">
        <f t="shared" si="40"/>
        <v>1.6963356676930761</v>
      </c>
      <c r="Q96" s="276">
        <f t="shared" si="41"/>
        <v>2.0554590699870028</v>
      </c>
      <c r="R96" s="276">
        <f t="shared" si="42"/>
        <v>0.90982467465605121</v>
      </c>
      <c r="S96" s="686">
        <f t="shared" si="43"/>
        <v>1.935511311955419</v>
      </c>
      <c r="T96" s="685">
        <f t="shared" si="44"/>
        <v>4.9167903369743442</v>
      </c>
      <c r="U96" s="276">
        <f t="shared" si="45"/>
        <v>2.7023550841703088</v>
      </c>
      <c r="V96" s="276">
        <f t="shared" si="46"/>
        <v>3.9681617617819431</v>
      </c>
      <c r="W96" s="276">
        <f t="shared" si="47"/>
        <v>4.2692198099856409</v>
      </c>
      <c r="X96" s="276">
        <f t="shared" si="48"/>
        <v>5.4974076205012024</v>
      </c>
      <c r="Y96" s="686">
        <f t="shared" si="49"/>
        <v>3.2061535489474959</v>
      </c>
      <c r="Z96" s="685" t="e">
        <f t="shared" si="50"/>
        <v>#DIV/0!</v>
      </c>
      <c r="AA96" s="276" t="e">
        <f t="shared" si="51"/>
        <v>#DIV/0!</v>
      </c>
      <c r="AB96" s="276" t="e">
        <f t="shared" si="52"/>
        <v>#DIV/0!</v>
      </c>
      <c r="AC96" s="276" t="e">
        <f t="shared" si="53"/>
        <v>#DIV/0!</v>
      </c>
      <c r="AD96" s="276" t="e">
        <f t="shared" si="54"/>
        <v>#DIV/0!</v>
      </c>
      <c r="AE96" s="686" t="e">
        <f t="shared" si="55"/>
        <v>#DIV/0!</v>
      </c>
      <c r="AF96" s="239"/>
      <c r="AG96" s="965" t="e">
        <f t="shared" si="56"/>
        <v>#VALUE!</v>
      </c>
      <c r="AH96" s="878" t="e">
        <f t="shared" si="57"/>
        <v>#VALUE!</v>
      </c>
      <c r="AI96" s="878" t="e">
        <f t="shared" si="92"/>
        <v>#VALUE!</v>
      </c>
      <c r="AJ96" s="878" t="e">
        <f t="shared" si="58"/>
        <v>#VALUE!</v>
      </c>
      <c r="AK96" s="878" t="e">
        <f t="shared" si="59"/>
        <v>#VALUE!</v>
      </c>
      <c r="AL96" s="966" t="e">
        <f t="shared" si="60"/>
        <v>#VALUE!</v>
      </c>
      <c r="AM96" s="239"/>
      <c r="AO96" s="685">
        <f t="shared" si="61"/>
        <v>-2.934958754718525</v>
      </c>
      <c r="AP96" s="276">
        <f t="shared" si="62"/>
        <v>1.2125107471682044</v>
      </c>
      <c r="AQ96" s="276">
        <f t="shared" si="63"/>
        <v>2.4632724577251999</v>
      </c>
      <c r="AR96" s="276">
        <f t="shared" si="64"/>
        <v>-0.65754701171799224</v>
      </c>
      <c r="AS96" s="276">
        <f t="shared" si="65"/>
        <v>-1.9142369270148361</v>
      </c>
      <c r="AT96" s="276">
        <f t="shared" si="66"/>
        <v>-1.4316338173088621</v>
      </c>
      <c r="AU96" s="685">
        <f t="shared" si="67"/>
        <v>1.3984571788879101</v>
      </c>
      <c r="AV96" s="276">
        <f t="shared" si="68"/>
        <v>2.0860564981329466</v>
      </c>
      <c r="AW96" s="276">
        <f t="shared" si="69"/>
        <v>1.6963356676930761</v>
      </c>
      <c r="AX96" s="276">
        <f t="shared" si="70"/>
        <v>2.0554590699870028</v>
      </c>
      <c r="AY96" s="276">
        <f t="shared" si="71"/>
        <v>0.90982467465605121</v>
      </c>
      <c r="AZ96" s="686">
        <f t="shared" si="72"/>
        <v>1.935511311955419</v>
      </c>
      <c r="BA96" s="685">
        <f t="shared" si="73"/>
        <v>0</v>
      </c>
      <c r="BB96" s="276">
        <f t="shared" si="74"/>
        <v>0</v>
      </c>
      <c r="BC96" s="276">
        <f t="shared" si="75"/>
        <v>0</v>
      </c>
      <c r="BD96" s="276">
        <f t="shared" si="76"/>
        <v>0</v>
      </c>
      <c r="BE96" s="276">
        <f t="shared" si="77"/>
        <v>0</v>
      </c>
      <c r="BF96" s="686">
        <f t="shared" si="78"/>
        <v>0</v>
      </c>
      <c r="BG96" s="685" t="e">
        <f t="shared" si="79"/>
        <v>#DIV/0!</v>
      </c>
      <c r="BH96" s="276" t="e">
        <f t="shared" si="80"/>
        <v>#DIV/0!</v>
      </c>
      <c r="BI96" s="276" t="e">
        <f t="shared" si="81"/>
        <v>#DIV/0!</v>
      </c>
      <c r="BJ96" s="276" t="e">
        <f t="shared" si="82"/>
        <v>#DIV/0!</v>
      </c>
      <c r="BK96" s="276" t="e">
        <f t="shared" si="83"/>
        <v>#DIV/0!</v>
      </c>
      <c r="BL96" s="686" t="e">
        <f t="shared" si="84"/>
        <v>#DIV/0!</v>
      </c>
      <c r="BM96" s="239"/>
      <c r="BN96" s="965" t="e">
        <f t="shared" si="85"/>
        <v>#VALUE!</v>
      </c>
      <c r="BO96" s="878" t="e">
        <f t="shared" si="86"/>
        <v>#VALUE!</v>
      </c>
      <c r="BP96" s="878" t="e">
        <f t="shared" si="87"/>
        <v>#VALUE!</v>
      </c>
      <c r="BQ96" s="878" t="e">
        <f t="shared" si="88"/>
        <v>#VALUE!</v>
      </c>
      <c r="BR96" s="878" t="e">
        <f t="shared" si="89"/>
        <v>#VALUE!</v>
      </c>
      <c r="BS96" s="966" t="e">
        <f t="shared" si="90"/>
        <v>#VALUE!</v>
      </c>
    </row>
    <row r="97" spans="1:71">
      <c r="A97" s="284">
        <f t="shared" si="91"/>
        <v>29</v>
      </c>
      <c r="B97" s="285">
        <v>-0.68105955796805329</v>
      </c>
      <c r="C97" s="285">
        <v>2.5676186088065287</v>
      </c>
      <c r="D97" s="285">
        <v>-1.5844078077358423</v>
      </c>
      <c r="E97" s="285">
        <v>-5.164584916834821</v>
      </c>
      <c r="H97" s="685">
        <f t="shared" si="32"/>
        <v>-1.814293399737108</v>
      </c>
      <c r="I97" s="276">
        <f t="shared" si="33"/>
        <v>0.88051557178562301</v>
      </c>
      <c r="J97" s="276">
        <f t="shared" si="34"/>
        <v>-5.1483496781259124</v>
      </c>
      <c r="K97" s="276">
        <f t="shared" si="35"/>
        <v>-0.37358871551490958</v>
      </c>
      <c r="L97" s="276">
        <f t="shared" si="36"/>
        <v>-2.0745729764827781</v>
      </c>
      <c r="M97" s="276">
        <f t="shared" si="37"/>
        <v>1.5117357417890152</v>
      </c>
      <c r="N97" s="685">
        <f t="shared" si="38"/>
        <v>1.3604473978346603</v>
      </c>
      <c r="O97" s="276">
        <f t="shared" si="39"/>
        <v>0.9164766700971072</v>
      </c>
      <c r="P97" s="276">
        <f t="shared" si="40"/>
        <v>1.8240335840143624</v>
      </c>
      <c r="Q97" s="276">
        <f t="shared" si="41"/>
        <v>1.56563207818662</v>
      </c>
      <c r="R97" s="276">
        <f t="shared" si="42"/>
        <v>1.3185903512660289</v>
      </c>
      <c r="S97" s="686">
        <f t="shared" si="43"/>
        <v>1.3393236293121038</v>
      </c>
      <c r="T97" s="685">
        <f t="shared" si="44"/>
        <v>1.6939558825350836</v>
      </c>
      <c r="U97" s="276">
        <f t="shared" si="45"/>
        <v>5.5861695172129462</v>
      </c>
      <c r="V97" s="276">
        <f t="shared" si="46"/>
        <v>2.9741835048707959</v>
      </c>
      <c r="W97" s="276">
        <f t="shared" si="47"/>
        <v>3.474704505244822</v>
      </c>
      <c r="X97" s="276">
        <f t="shared" si="48"/>
        <v>3.9662803846528907</v>
      </c>
      <c r="Y97" s="686">
        <f t="shared" si="49"/>
        <v>6.5426594327019494</v>
      </c>
      <c r="Z97" s="685" t="e">
        <f t="shared" si="50"/>
        <v>#DIV/0!</v>
      </c>
      <c r="AA97" s="276" t="e">
        <f t="shared" si="51"/>
        <v>#DIV/0!</v>
      </c>
      <c r="AB97" s="276" t="e">
        <f t="shared" si="52"/>
        <v>#DIV/0!</v>
      </c>
      <c r="AC97" s="276" t="e">
        <f t="shared" si="53"/>
        <v>#DIV/0!</v>
      </c>
      <c r="AD97" s="276" t="e">
        <f t="shared" si="54"/>
        <v>#DIV/0!</v>
      </c>
      <c r="AE97" s="686" t="e">
        <f t="shared" si="55"/>
        <v>#DIV/0!</v>
      </c>
      <c r="AF97" s="239"/>
      <c r="AG97" s="965" t="e">
        <f t="shared" si="56"/>
        <v>#VALUE!</v>
      </c>
      <c r="AH97" s="878" t="e">
        <f t="shared" si="57"/>
        <v>#VALUE!</v>
      </c>
      <c r="AI97" s="878" t="e">
        <f t="shared" si="92"/>
        <v>#VALUE!</v>
      </c>
      <c r="AJ97" s="878" t="e">
        <f t="shared" si="58"/>
        <v>#VALUE!</v>
      </c>
      <c r="AK97" s="878" t="e">
        <f t="shared" si="59"/>
        <v>#VALUE!</v>
      </c>
      <c r="AL97" s="966" t="e">
        <f t="shared" si="60"/>
        <v>#VALUE!</v>
      </c>
      <c r="AM97" s="239"/>
      <c r="AO97" s="685">
        <f t="shared" si="61"/>
        <v>-1.814293399737108</v>
      </c>
      <c r="AP97" s="276">
        <f t="shared" si="62"/>
        <v>0.88051557178562301</v>
      </c>
      <c r="AQ97" s="276">
        <f t="shared" si="63"/>
        <v>-5.1483496781259124</v>
      </c>
      <c r="AR97" s="276">
        <f t="shared" si="64"/>
        <v>-0.37358871551490958</v>
      </c>
      <c r="AS97" s="276">
        <f t="shared" si="65"/>
        <v>-2.0745729764827781</v>
      </c>
      <c r="AT97" s="276">
        <f t="shared" si="66"/>
        <v>1.5117357417890152</v>
      </c>
      <c r="AU97" s="685">
        <f t="shared" si="67"/>
        <v>1.3604473978346603</v>
      </c>
      <c r="AV97" s="276">
        <f t="shared" si="68"/>
        <v>0.9164766700971072</v>
      </c>
      <c r="AW97" s="276">
        <f t="shared" si="69"/>
        <v>1.8240335840143624</v>
      </c>
      <c r="AX97" s="276">
        <f t="shared" si="70"/>
        <v>1.56563207818662</v>
      </c>
      <c r="AY97" s="276">
        <f t="shared" si="71"/>
        <v>1.3185903512660289</v>
      </c>
      <c r="AZ97" s="686">
        <f t="shared" si="72"/>
        <v>1.3393236293121038</v>
      </c>
      <c r="BA97" s="685">
        <f t="shared" si="73"/>
        <v>0</v>
      </c>
      <c r="BB97" s="276">
        <f t="shared" si="74"/>
        <v>0</v>
      </c>
      <c r="BC97" s="276">
        <f t="shared" si="75"/>
        <v>0</v>
      </c>
      <c r="BD97" s="276">
        <f t="shared" si="76"/>
        <v>0</v>
      </c>
      <c r="BE97" s="276">
        <f t="shared" si="77"/>
        <v>0</v>
      </c>
      <c r="BF97" s="686">
        <f t="shared" si="78"/>
        <v>0</v>
      </c>
      <c r="BG97" s="685" t="e">
        <f t="shared" si="79"/>
        <v>#DIV/0!</v>
      </c>
      <c r="BH97" s="276" t="e">
        <f t="shared" si="80"/>
        <v>#DIV/0!</v>
      </c>
      <c r="BI97" s="276" t="e">
        <f t="shared" si="81"/>
        <v>#DIV/0!</v>
      </c>
      <c r="BJ97" s="276" t="e">
        <f t="shared" si="82"/>
        <v>#DIV/0!</v>
      </c>
      <c r="BK97" s="276" t="e">
        <f t="shared" si="83"/>
        <v>#DIV/0!</v>
      </c>
      <c r="BL97" s="686" t="e">
        <f t="shared" si="84"/>
        <v>#DIV/0!</v>
      </c>
      <c r="BM97" s="239"/>
      <c r="BN97" s="965" t="e">
        <f t="shared" si="85"/>
        <v>#VALUE!</v>
      </c>
      <c r="BO97" s="878" t="e">
        <f t="shared" si="86"/>
        <v>#VALUE!</v>
      </c>
      <c r="BP97" s="878" t="e">
        <f t="shared" si="87"/>
        <v>#VALUE!</v>
      </c>
      <c r="BQ97" s="878" t="e">
        <f t="shared" si="88"/>
        <v>#VALUE!</v>
      </c>
      <c r="BR97" s="878" t="e">
        <f t="shared" si="89"/>
        <v>#VALUE!</v>
      </c>
      <c r="BS97" s="966" t="e">
        <f t="shared" si="90"/>
        <v>#VALUE!</v>
      </c>
    </row>
    <row r="98" spans="1:71">
      <c r="A98" s="284">
        <f t="shared" si="91"/>
        <v>30</v>
      </c>
      <c r="B98" s="285">
        <v>-8.7076637967338805E-2</v>
      </c>
      <c r="C98" s="285">
        <v>1.8894958448408672</v>
      </c>
      <c r="D98" s="285">
        <v>1.3654201183819947</v>
      </c>
      <c r="E98" s="285">
        <v>-18.02787809831241</v>
      </c>
      <c r="H98" s="685">
        <f t="shared" si="32"/>
        <v>-1.2203104797363937</v>
      </c>
      <c r="I98" s="276">
        <f t="shared" si="33"/>
        <v>-4.2270895656299334</v>
      </c>
      <c r="J98" s="276">
        <f t="shared" si="34"/>
        <v>-2.2719538309254128</v>
      </c>
      <c r="K98" s="276">
        <f t="shared" si="35"/>
        <v>-0.71390151918195155</v>
      </c>
      <c r="L98" s="276">
        <f t="shared" si="36"/>
        <v>3.6908353313043953</v>
      </c>
      <c r="M98" s="276">
        <f t="shared" si="37"/>
        <v>-4.9758549451881864</v>
      </c>
      <c r="N98" s="685">
        <f t="shared" si="38"/>
        <v>0.68232463386899878</v>
      </c>
      <c r="O98" s="276">
        <f t="shared" si="39"/>
        <v>1.0103844789648011</v>
      </c>
      <c r="P98" s="276">
        <f t="shared" si="40"/>
        <v>1.5665735656700133</v>
      </c>
      <c r="Q98" s="276">
        <f t="shared" si="41"/>
        <v>1.0670391464723095</v>
      </c>
      <c r="R98" s="276">
        <f t="shared" si="42"/>
        <v>1.5750074169196242</v>
      </c>
      <c r="S98" s="686">
        <f t="shared" si="43"/>
        <v>1.5386341513976316</v>
      </c>
      <c r="T98" s="685">
        <f t="shared" si="44"/>
        <v>4.6437838086529206</v>
      </c>
      <c r="U98" s="276">
        <f t="shared" si="45"/>
        <v>2.7620889346157194</v>
      </c>
      <c r="V98" s="276">
        <f t="shared" si="46"/>
        <v>3.4895051685513527</v>
      </c>
      <c r="W98" s="276">
        <f t="shared" si="47"/>
        <v>6.9373751039240341</v>
      </c>
      <c r="X98" s="276">
        <f t="shared" si="48"/>
        <v>3.9109199430355135</v>
      </c>
      <c r="Y98" s="686">
        <f t="shared" si="49"/>
        <v>3.2739245018785308</v>
      </c>
      <c r="Z98" s="685" t="e">
        <f t="shared" si="50"/>
        <v>#DIV/0!</v>
      </c>
      <c r="AA98" s="276" t="e">
        <f t="shared" si="51"/>
        <v>#DIV/0!</v>
      </c>
      <c r="AB98" s="276" t="e">
        <f t="shared" si="52"/>
        <v>#DIV/0!</v>
      </c>
      <c r="AC98" s="276" t="e">
        <f t="shared" si="53"/>
        <v>#DIV/0!</v>
      </c>
      <c r="AD98" s="276" t="e">
        <f t="shared" si="54"/>
        <v>#DIV/0!</v>
      </c>
      <c r="AE98" s="686" t="e">
        <f t="shared" si="55"/>
        <v>#DIV/0!</v>
      </c>
      <c r="AF98" s="239"/>
      <c r="AG98" s="965" t="e">
        <f t="shared" si="56"/>
        <v>#VALUE!</v>
      </c>
      <c r="AH98" s="878" t="e">
        <f t="shared" si="57"/>
        <v>#VALUE!</v>
      </c>
      <c r="AI98" s="878" t="e">
        <f t="shared" si="92"/>
        <v>#VALUE!</v>
      </c>
      <c r="AJ98" s="878" t="e">
        <f t="shared" si="58"/>
        <v>#VALUE!</v>
      </c>
      <c r="AK98" s="878" t="e">
        <f t="shared" si="59"/>
        <v>#VALUE!</v>
      </c>
      <c r="AL98" s="966" t="e">
        <f t="shared" si="60"/>
        <v>#VALUE!</v>
      </c>
      <c r="AM98" s="239"/>
      <c r="AO98" s="685">
        <f t="shared" si="61"/>
        <v>-1.2203104797363937</v>
      </c>
      <c r="AP98" s="276">
        <f t="shared" si="62"/>
        <v>-4.2270895656299334</v>
      </c>
      <c r="AQ98" s="276">
        <f t="shared" si="63"/>
        <v>-2.2719538309254128</v>
      </c>
      <c r="AR98" s="276">
        <f t="shared" si="64"/>
        <v>-0.71390151918195155</v>
      </c>
      <c r="AS98" s="276">
        <f t="shared" si="65"/>
        <v>3.6908353313043953</v>
      </c>
      <c r="AT98" s="276">
        <f t="shared" si="66"/>
        <v>-4.9758549451881864</v>
      </c>
      <c r="AU98" s="685">
        <f t="shared" si="67"/>
        <v>0.68232463386899878</v>
      </c>
      <c r="AV98" s="276">
        <f t="shared" si="68"/>
        <v>1.0103844789648011</v>
      </c>
      <c r="AW98" s="276">
        <f t="shared" si="69"/>
        <v>1.5665735656700133</v>
      </c>
      <c r="AX98" s="276">
        <f t="shared" si="70"/>
        <v>1.0670391464723095</v>
      </c>
      <c r="AY98" s="276">
        <f t="shared" si="71"/>
        <v>1.5750074169196242</v>
      </c>
      <c r="AZ98" s="686">
        <f t="shared" si="72"/>
        <v>1.5386341513976316</v>
      </c>
      <c r="BA98" s="685">
        <f t="shared" si="73"/>
        <v>0</v>
      </c>
      <c r="BB98" s="276">
        <f t="shared" si="74"/>
        <v>0</v>
      </c>
      <c r="BC98" s="276">
        <f t="shared" si="75"/>
        <v>0</v>
      </c>
      <c r="BD98" s="276">
        <f t="shared" si="76"/>
        <v>0</v>
      </c>
      <c r="BE98" s="276">
        <f t="shared" si="77"/>
        <v>0</v>
      </c>
      <c r="BF98" s="686">
        <f t="shared" si="78"/>
        <v>0</v>
      </c>
      <c r="BG98" s="685" t="e">
        <f t="shared" si="79"/>
        <v>#DIV/0!</v>
      </c>
      <c r="BH98" s="276" t="e">
        <f t="shared" si="80"/>
        <v>#DIV/0!</v>
      </c>
      <c r="BI98" s="276" t="e">
        <f t="shared" si="81"/>
        <v>#DIV/0!</v>
      </c>
      <c r="BJ98" s="276" t="e">
        <f t="shared" si="82"/>
        <v>#DIV/0!</v>
      </c>
      <c r="BK98" s="276" t="e">
        <f t="shared" si="83"/>
        <v>#DIV/0!</v>
      </c>
      <c r="BL98" s="686" t="e">
        <f t="shared" si="84"/>
        <v>#DIV/0!</v>
      </c>
      <c r="BM98" s="239"/>
      <c r="BN98" s="965" t="e">
        <f t="shared" si="85"/>
        <v>#VALUE!</v>
      </c>
      <c r="BO98" s="878" t="e">
        <f t="shared" si="86"/>
        <v>#VALUE!</v>
      </c>
      <c r="BP98" s="878" t="e">
        <f t="shared" si="87"/>
        <v>#VALUE!</v>
      </c>
      <c r="BQ98" s="878" t="e">
        <f t="shared" si="88"/>
        <v>#VALUE!</v>
      </c>
      <c r="BR98" s="878" t="e">
        <f t="shared" si="89"/>
        <v>#VALUE!</v>
      </c>
      <c r="BS98" s="966" t="e">
        <f t="shared" si="90"/>
        <v>#VALUE!</v>
      </c>
    </row>
    <row r="99" spans="1:71">
      <c r="A99" s="284">
        <f t="shared" si="91"/>
        <v>31</v>
      </c>
      <c r="B99" s="285">
        <v>0.73957625336319854</v>
      </c>
      <c r="C99" s="285">
        <v>2.0697881067404351</v>
      </c>
      <c r="D99" s="285">
        <v>1.2421821311140608</v>
      </c>
      <c r="E99" s="285">
        <v>-22.35357605440252</v>
      </c>
      <c r="H99" s="685">
        <f t="shared" si="32"/>
        <v>-0.3936575884058563</v>
      </c>
      <c r="I99" s="276">
        <f t="shared" si="33"/>
        <v>-1.4007019196021169</v>
      </c>
      <c r="J99" s="276">
        <f t="shared" si="34"/>
        <v>1.6226110764041681</v>
      </c>
      <c r="K99" s="276">
        <f t="shared" si="35"/>
        <v>-0.57293527686129209</v>
      </c>
      <c r="L99" s="276">
        <f t="shared" si="36"/>
        <v>-3.5976962584116592</v>
      </c>
      <c r="M99" s="276">
        <f t="shared" si="37"/>
        <v>-2.8184433336772061</v>
      </c>
      <c r="N99" s="685">
        <f t="shared" si="38"/>
        <v>0.8626168957685667</v>
      </c>
      <c r="O99" s="276">
        <f t="shared" si="39"/>
        <v>1.0574160673099333</v>
      </c>
      <c r="P99" s="276">
        <f t="shared" si="40"/>
        <v>1.1282698385565186</v>
      </c>
      <c r="Q99" s="276">
        <f t="shared" si="41"/>
        <v>0.84146443571010177</v>
      </c>
      <c r="R99" s="276">
        <f t="shared" si="42"/>
        <v>1.2400070795448304</v>
      </c>
      <c r="S99" s="686">
        <f t="shared" si="43"/>
        <v>1.7889190724951598</v>
      </c>
      <c r="T99" s="685">
        <f t="shared" si="44"/>
        <v>4.520545821384987</v>
      </c>
      <c r="U99" s="276">
        <f t="shared" si="45"/>
        <v>4.3254116872623323</v>
      </c>
      <c r="V99" s="276">
        <f t="shared" si="46"/>
        <v>5.7829407183317105</v>
      </c>
      <c r="W99" s="276">
        <f t="shared" si="47"/>
        <v>5.4514333280752671</v>
      </c>
      <c r="X99" s="276">
        <f t="shared" si="48"/>
        <v>6.9129664610281196</v>
      </c>
      <c r="Y99" s="686">
        <f t="shared" si="49"/>
        <v>5.0415541555416734</v>
      </c>
      <c r="Z99" s="685" t="e">
        <f t="shared" si="50"/>
        <v>#DIV/0!</v>
      </c>
      <c r="AA99" s="276" t="e">
        <f t="shared" si="51"/>
        <v>#DIV/0!</v>
      </c>
      <c r="AB99" s="276" t="e">
        <f t="shared" si="52"/>
        <v>#DIV/0!</v>
      </c>
      <c r="AC99" s="276" t="e">
        <f t="shared" si="53"/>
        <v>#DIV/0!</v>
      </c>
      <c r="AD99" s="276" t="e">
        <f t="shared" si="54"/>
        <v>#DIV/0!</v>
      </c>
      <c r="AE99" s="686" t="e">
        <f t="shared" si="55"/>
        <v>#DIV/0!</v>
      </c>
      <c r="AF99" s="239"/>
      <c r="AG99" s="965" t="e">
        <f t="shared" si="56"/>
        <v>#VALUE!</v>
      </c>
      <c r="AH99" s="878" t="e">
        <f t="shared" si="57"/>
        <v>#VALUE!</v>
      </c>
      <c r="AI99" s="878" t="e">
        <f t="shared" si="92"/>
        <v>#VALUE!</v>
      </c>
      <c r="AJ99" s="878" t="e">
        <f t="shared" si="58"/>
        <v>#VALUE!</v>
      </c>
      <c r="AK99" s="878" t="e">
        <f t="shared" si="59"/>
        <v>#VALUE!</v>
      </c>
      <c r="AL99" s="966" t="e">
        <f t="shared" si="60"/>
        <v>#VALUE!</v>
      </c>
      <c r="AM99" s="239"/>
      <c r="AO99" s="685">
        <f t="shared" si="61"/>
        <v>-0.3936575884058563</v>
      </c>
      <c r="AP99" s="276">
        <f t="shared" si="62"/>
        <v>-1.4007019196021169</v>
      </c>
      <c r="AQ99" s="276">
        <f t="shared" si="63"/>
        <v>1.6226110764041681</v>
      </c>
      <c r="AR99" s="276">
        <f t="shared" si="64"/>
        <v>-0.57293527686129209</v>
      </c>
      <c r="AS99" s="276">
        <f t="shared" si="65"/>
        <v>-3.5976962584116592</v>
      </c>
      <c r="AT99" s="276">
        <f t="shared" si="66"/>
        <v>-2.8184433336772061</v>
      </c>
      <c r="AU99" s="685">
        <f t="shared" si="67"/>
        <v>0.8626168957685667</v>
      </c>
      <c r="AV99" s="276">
        <f t="shared" si="68"/>
        <v>1.0574160673099333</v>
      </c>
      <c r="AW99" s="276">
        <f t="shared" si="69"/>
        <v>1.1282698385565186</v>
      </c>
      <c r="AX99" s="276">
        <f t="shared" si="70"/>
        <v>0.84146443571010177</v>
      </c>
      <c r="AY99" s="276">
        <f t="shared" si="71"/>
        <v>1.2400070795448304</v>
      </c>
      <c r="AZ99" s="686">
        <f t="shared" si="72"/>
        <v>1.7889190724951598</v>
      </c>
      <c r="BA99" s="685">
        <f t="shared" si="73"/>
        <v>0</v>
      </c>
      <c r="BB99" s="276">
        <f t="shared" si="74"/>
        <v>0</v>
      </c>
      <c r="BC99" s="276">
        <f t="shared" si="75"/>
        <v>0</v>
      </c>
      <c r="BD99" s="276">
        <f t="shared" si="76"/>
        <v>0</v>
      </c>
      <c r="BE99" s="276">
        <f t="shared" si="77"/>
        <v>0</v>
      </c>
      <c r="BF99" s="686">
        <f t="shared" si="78"/>
        <v>0</v>
      </c>
      <c r="BG99" s="685" t="e">
        <f t="shared" si="79"/>
        <v>#DIV/0!</v>
      </c>
      <c r="BH99" s="276" t="e">
        <f t="shared" si="80"/>
        <v>#DIV/0!</v>
      </c>
      <c r="BI99" s="276" t="e">
        <f t="shared" si="81"/>
        <v>#DIV/0!</v>
      </c>
      <c r="BJ99" s="276" t="e">
        <f t="shared" si="82"/>
        <v>#DIV/0!</v>
      </c>
      <c r="BK99" s="276" t="e">
        <f t="shared" si="83"/>
        <v>#DIV/0!</v>
      </c>
      <c r="BL99" s="686" t="e">
        <f t="shared" si="84"/>
        <v>#DIV/0!</v>
      </c>
      <c r="BM99" s="239"/>
      <c r="BN99" s="965" t="e">
        <f t="shared" si="85"/>
        <v>#VALUE!</v>
      </c>
      <c r="BO99" s="878" t="e">
        <f t="shared" si="86"/>
        <v>#VALUE!</v>
      </c>
      <c r="BP99" s="878" t="e">
        <f t="shared" si="87"/>
        <v>#VALUE!</v>
      </c>
      <c r="BQ99" s="878" t="e">
        <f t="shared" si="88"/>
        <v>#VALUE!</v>
      </c>
      <c r="BR99" s="878" t="e">
        <f t="shared" si="89"/>
        <v>#VALUE!</v>
      </c>
      <c r="BS99" s="966" t="e">
        <f t="shared" si="90"/>
        <v>#VALUE!</v>
      </c>
    </row>
    <row r="100" spans="1:71">
      <c r="A100" s="284">
        <f t="shared" si="91"/>
        <v>32</v>
      </c>
      <c r="B100" s="285">
        <v>1.24274990464872</v>
      </c>
      <c r="C100" s="285">
        <v>2.7852081540919014</v>
      </c>
      <c r="D100" s="285">
        <v>-7.2866056097734333E-2</v>
      </c>
      <c r="E100" s="285">
        <v>6.7047382834245592</v>
      </c>
      <c r="H100" s="685">
        <f t="shared" si="32"/>
        <v>0.1095160628796652</v>
      </c>
      <c r="I100" s="276">
        <f t="shared" si="33"/>
        <v>1.3405939321133589</v>
      </c>
      <c r="J100" s="276">
        <f t="shared" si="34"/>
        <v>2.7439295239807704</v>
      </c>
      <c r="K100" s="276">
        <f t="shared" si="35"/>
        <v>-5.9165777920225313</v>
      </c>
      <c r="L100" s="276">
        <f t="shared" si="36"/>
        <v>-2.5279751513025817</v>
      </c>
      <c r="M100" s="276">
        <f t="shared" si="37"/>
        <v>1.7814522069602006</v>
      </c>
      <c r="N100" s="685">
        <f t="shared" si="38"/>
        <v>1.578036943120033</v>
      </c>
      <c r="O100" s="276">
        <f t="shared" si="39"/>
        <v>1.5577680337018551</v>
      </c>
      <c r="P100" s="276">
        <f t="shared" si="40"/>
        <v>1.6368405997141113</v>
      </c>
      <c r="Q100" s="276">
        <f t="shared" si="41"/>
        <v>0.54374175734529118</v>
      </c>
      <c r="R100" s="276">
        <f t="shared" si="42"/>
        <v>1.4902374121997657</v>
      </c>
      <c r="S100" s="686">
        <f t="shared" si="43"/>
        <v>1.4971717500560289</v>
      </c>
      <c r="T100" s="685">
        <f t="shared" si="44"/>
        <v>3.2054976341731916</v>
      </c>
      <c r="U100" s="276">
        <f t="shared" si="45"/>
        <v>4.7094143200999401</v>
      </c>
      <c r="V100" s="276">
        <f t="shared" si="46"/>
        <v>6.6621891977287007</v>
      </c>
      <c r="W100" s="276">
        <f t="shared" si="47"/>
        <v>3.0614730720683037</v>
      </c>
      <c r="X100" s="276">
        <f t="shared" si="48"/>
        <v>3.9253293016326469</v>
      </c>
      <c r="Y100" s="686">
        <f t="shared" si="49"/>
        <v>3.7949933106271634</v>
      </c>
      <c r="Z100" s="685" t="e">
        <f t="shared" si="50"/>
        <v>#DIV/0!</v>
      </c>
      <c r="AA100" s="276" t="e">
        <f t="shared" si="51"/>
        <v>#DIV/0!</v>
      </c>
      <c r="AB100" s="276" t="e">
        <f t="shared" si="52"/>
        <v>#DIV/0!</v>
      </c>
      <c r="AC100" s="276" t="e">
        <f t="shared" si="53"/>
        <v>#DIV/0!</v>
      </c>
      <c r="AD100" s="276" t="e">
        <f t="shared" si="54"/>
        <v>#DIV/0!</v>
      </c>
      <c r="AE100" s="686" t="e">
        <f t="shared" si="55"/>
        <v>#DIV/0!</v>
      </c>
      <c r="AF100" s="239"/>
      <c r="AG100" s="965" t="e">
        <f t="shared" si="56"/>
        <v>#VALUE!</v>
      </c>
      <c r="AH100" s="878" t="e">
        <f t="shared" si="57"/>
        <v>#VALUE!</v>
      </c>
      <c r="AI100" s="878" t="e">
        <f t="shared" si="92"/>
        <v>#VALUE!</v>
      </c>
      <c r="AJ100" s="878" t="e">
        <f t="shared" si="58"/>
        <v>#VALUE!</v>
      </c>
      <c r="AK100" s="878" t="e">
        <f t="shared" si="59"/>
        <v>#VALUE!</v>
      </c>
      <c r="AL100" s="966" t="e">
        <f t="shared" si="60"/>
        <v>#VALUE!</v>
      </c>
      <c r="AM100" s="239"/>
      <c r="AO100" s="685">
        <f t="shared" si="61"/>
        <v>0.1095160628796652</v>
      </c>
      <c r="AP100" s="276">
        <f t="shared" si="62"/>
        <v>1.3405939321133589</v>
      </c>
      <c r="AQ100" s="276">
        <f t="shared" si="63"/>
        <v>2.7439295239807704</v>
      </c>
      <c r="AR100" s="276">
        <f t="shared" si="64"/>
        <v>-5.9165777920225313</v>
      </c>
      <c r="AS100" s="276">
        <f t="shared" si="65"/>
        <v>-2.5279751513025817</v>
      </c>
      <c r="AT100" s="276">
        <f t="shared" si="66"/>
        <v>1.7814522069602006</v>
      </c>
      <c r="AU100" s="685">
        <f t="shared" si="67"/>
        <v>1.578036943120033</v>
      </c>
      <c r="AV100" s="276">
        <f t="shared" si="68"/>
        <v>1.5577680337018551</v>
      </c>
      <c r="AW100" s="276">
        <f t="shared" si="69"/>
        <v>1.6368405997141113</v>
      </c>
      <c r="AX100" s="276">
        <f t="shared" si="70"/>
        <v>0.54374175734529118</v>
      </c>
      <c r="AY100" s="276">
        <f t="shared" si="71"/>
        <v>1.4902374121997657</v>
      </c>
      <c r="AZ100" s="686">
        <f t="shared" si="72"/>
        <v>1.4971717500560289</v>
      </c>
      <c r="BA100" s="685">
        <f t="shared" si="73"/>
        <v>0</v>
      </c>
      <c r="BB100" s="276">
        <f t="shared" si="74"/>
        <v>0</v>
      </c>
      <c r="BC100" s="276">
        <f t="shared" si="75"/>
        <v>0</v>
      </c>
      <c r="BD100" s="276">
        <f t="shared" si="76"/>
        <v>0</v>
      </c>
      <c r="BE100" s="276">
        <f t="shared" si="77"/>
        <v>0</v>
      </c>
      <c r="BF100" s="686">
        <f t="shared" si="78"/>
        <v>0</v>
      </c>
      <c r="BG100" s="685" t="e">
        <f t="shared" si="79"/>
        <v>#DIV/0!</v>
      </c>
      <c r="BH100" s="276" t="e">
        <f t="shared" si="80"/>
        <v>#DIV/0!</v>
      </c>
      <c r="BI100" s="276" t="e">
        <f t="shared" si="81"/>
        <v>#DIV/0!</v>
      </c>
      <c r="BJ100" s="276" t="e">
        <f t="shared" si="82"/>
        <v>#DIV/0!</v>
      </c>
      <c r="BK100" s="276" t="e">
        <f t="shared" si="83"/>
        <v>#DIV/0!</v>
      </c>
      <c r="BL100" s="686" t="e">
        <f t="shared" si="84"/>
        <v>#DIV/0!</v>
      </c>
      <c r="BM100" s="239"/>
      <c r="BN100" s="965" t="e">
        <f t="shared" si="85"/>
        <v>#VALUE!</v>
      </c>
      <c r="BO100" s="878" t="e">
        <f t="shared" si="86"/>
        <v>#VALUE!</v>
      </c>
      <c r="BP100" s="878" t="e">
        <f t="shared" si="87"/>
        <v>#VALUE!</v>
      </c>
      <c r="BQ100" s="878" t="e">
        <f t="shared" si="88"/>
        <v>#VALUE!</v>
      </c>
      <c r="BR100" s="878" t="e">
        <f t="shared" si="89"/>
        <v>#VALUE!</v>
      </c>
      <c r="BS100" s="966" t="e">
        <f t="shared" si="90"/>
        <v>#VALUE!</v>
      </c>
    </row>
    <row r="101" spans="1:71">
      <c r="A101" s="284">
        <f t="shared" si="91"/>
        <v>33</v>
      </c>
      <c r="B101" s="285">
        <v>-0.50398041436741869</v>
      </c>
      <c r="C101" s="285">
        <v>2.3349308897167731</v>
      </c>
      <c r="D101" s="285">
        <v>2.3299890700972994</v>
      </c>
      <c r="E101" s="285">
        <v>-11.102192606769654</v>
      </c>
      <c r="H101" s="685">
        <f t="shared" si="32"/>
        <v>-1.6372142561364735</v>
      </c>
      <c r="I101" s="276">
        <f t="shared" si="33"/>
        <v>-1.947231409863837</v>
      </c>
      <c r="J101" s="276">
        <f t="shared" si="34"/>
        <v>-1.2904015762053147</v>
      </c>
      <c r="K101" s="276">
        <f t="shared" si="35"/>
        <v>-2.3561423076229513</v>
      </c>
      <c r="L101" s="276">
        <f t="shared" si="36"/>
        <v>-1.8283935573395018</v>
      </c>
      <c r="M101" s="276">
        <f t="shared" si="37"/>
        <v>2.4850258669872005</v>
      </c>
      <c r="N101" s="685">
        <f t="shared" si="38"/>
        <v>1.1277596787449047</v>
      </c>
      <c r="O101" s="276">
        <f t="shared" si="39"/>
        <v>1.6937350240493447</v>
      </c>
      <c r="P101" s="276">
        <f t="shared" si="40"/>
        <v>0.68513613827470876</v>
      </c>
      <c r="Q101" s="276">
        <f t="shared" si="41"/>
        <v>1.2378697854658676</v>
      </c>
      <c r="R101" s="276">
        <f t="shared" si="42"/>
        <v>1.0974793368640892</v>
      </c>
      <c r="S101" s="686">
        <f t="shared" si="43"/>
        <v>1.6938507605597384</v>
      </c>
      <c r="T101" s="685">
        <f t="shared" si="44"/>
        <v>5.6083527603682253</v>
      </c>
      <c r="U101" s="276">
        <f t="shared" si="45"/>
        <v>2.8826582456712506</v>
      </c>
      <c r="V101" s="276">
        <f t="shared" si="46"/>
        <v>3.9914104660376566</v>
      </c>
      <c r="W101" s="276">
        <f t="shared" si="47"/>
        <v>3.3904473064954912</v>
      </c>
      <c r="X101" s="276">
        <f t="shared" si="48"/>
        <v>3.5649660633659987</v>
      </c>
      <c r="Y101" s="686">
        <f t="shared" si="49"/>
        <v>5.8013002354818841</v>
      </c>
      <c r="Z101" s="685" t="e">
        <f t="shared" si="50"/>
        <v>#DIV/0!</v>
      </c>
      <c r="AA101" s="276" t="e">
        <f t="shared" si="51"/>
        <v>#DIV/0!</v>
      </c>
      <c r="AB101" s="276" t="e">
        <f t="shared" si="52"/>
        <v>#DIV/0!</v>
      </c>
      <c r="AC101" s="276" t="e">
        <f t="shared" si="53"/>
        <v>#DIV/0!</v>
      </c>
      <c r="AD101" s="276" t="e">
        <f t="shared" si="54"/>
        <v>#DIV/0!</v>
      </c>
      <c r="AE101" s="686" t="e">
        <f t="shared" si="55"/>
        <v>#DIV/0!</v>
      </c>
      <c r="AF101" s="239"/>
      <c r="AG101" s="965" t="e">
        <f t="shared" si="56"/>
        <v>#VALUE!</v>
      </c>
      <c r="AH101" s="878" t="e">
        <f t="shared" si="57"/>
        <v>#VALUE!</v>
      </c>
      <c r="AI101" s="878" t="e">
        <f t="shared" si="92"/>
        <v>#VALUE!</v>
      </c>
      <c r="AJ101" s="878" t="e">
        <f t="shared" si="58"/>
        <v>#VALUE!</v>
      </c>
      <c r="AK101" s="878" t="e">
        <f t="shared" si="59"/>
        <v>#VALUE!</v>
      </c>
      <c r="AL101" s="966" t="e">
        <f t="shared" si="60"/>
        <v>#VALUE!</v>
      </c>
      <c r="AM101" s="239"/>
      <c r="AO101" s="685">
        <f t="shared" si="61"/>
        <v>-1.6372142561364735</v>
      </c>
      <c r="AP101" s="276">
        <f t="shared" si="62"/>
        <v>-1.947231409863837</v>
      </c>
      <c r="AQ101" s="276">
        <f t="shared" si="63"/>
        <v>-1.2904015762053147</v>
      </c>
      <c r="AR101" s="276">
        <f t="shared" si="64"/>
        <v>-2.3561423076229513</v>
      </c>
      <c r="AS101" s="276">
        <f t="shared" si="65"/>
        <v>-1.8283935573395018</v>
      </c>
      <c r="AT101" s="276">
        <f t="shared" si="66"/>
        <v>2.4850258669872005</v>
      </c>
      <c r="AU101" s="685">
        <f t="shared" si="67"/>
        <v>1.1277596787449047</v>
      </c>
      <c r="AV101" s="276">
        <f t="shared" si="68"/>
        <v>1.6937350240493447</v>
      </c>
      <c r="AW101" s="276">
        <f t="shared" si="69"/>
        <v>0.68513613827470876</v>
      </c>
      <c r="AX101" s="276">
        <f t="shared" si="70"/>
        <v>1.2378697854658676</v>
      </c>
      <c r="AY101" s="276">
        <f t="shared" si="71"/>
        <v>1.0974793368640892</v>
      </c>
      <c r="AZ101" s="686">
        <f t="shared" si="72"/>
        <v>1.6938507605597384</v>
      </c>
      <c r="BA101" s="685">
        <f t="shared" si="73"/>
        <v>0</v>
      </c>
      <c r="BB101" s="276">
        <f t="shared" si="74"/>
        <v>0</v>
      </c>
      <c r="BC101" s="276">
        <f t="shared" si="75"/>
        <v>0</v>
      </c>
      <c r="BD101" s="276">
        <f t="shared" si="76"/>
        <v>0</v>
      </c>
      <c r="BE101" s="276">
        <f t="shared" si="77"/>
        <v>0</v>
      </c>
      <c r="BF101" s="686">
        <f t="shared" si="78"/>
        <v>0</v>
      </c>
      <c r="BG101" s="685" t="e">
        <f t="shared" si="79"/>
        <v>#DIV/0!</v>
      </c>
      <c r="BH101" s="276" t="e">
        <f t="shared" si="80"/>
        <v>#DIV/0!</v>
      </c>
      <c r="BI101" s="276" t="e">
        <f t="shared" si="81"/>
        <v>#DIV/0!</v>
      </c>
      <c r="BJ101" s="276" t="e">
        <f t="shared" si="82"/>
        <v>#DIV/0!</v>
      </c>
      <c r="BK101" s="276" t="e">
        <f t="shared" si="83"/>
        <v>#DIV/0!</v>
      </c>
      <c r="BL101" s="686" t="e">
        <f t="shared" si="84"/>
        <v>#DIV/0!</v>
      </c>
      <c r="BM101" s="239"/>
      <c r="BN101" s="965" t="e">
        <f t="shared" si="85"/>
        <v>#VALUE!</v>
      </c>
      <c r="BO101" s="878" t="e">
        <f t="shared" si="86"/>
        <v>#VALUE!</v>
      </c>
      <c r="BP101" s="878" t="e">
        <f t="shared" si="87"/>
        <v>#VALUE!</v>
      </c>
      <c r="BQ101" s="878" t="e">
        <f t="shared" si="88"/>
        <v>#VALUE!</v>
      </c>
      <c r="BR101" s="878" t="e">
        <f t="shared" si="89"/>
        <v>#VALUE!</v>
      </c>
      <c r="BS101" s="966" t="e">
        <f t="shared" si="90"/>
        <v>#VALUE!</v>
      </c>
    </row>
    <row r="102" spans="1:71">
      <c r="A102" s="284">
        <f t="shared" si="91"/>
        <v>34</v>
      </c>
      <c r="B102" s="285">
        <v>-3.616384193096434</v>
      </c>
      <c r="C102" s="285">
        <v>2.2207739363301378</v>
      </c>
      <c r="D102" s="285">
        <v>-0.69176121056463691</v>
      </c>
      <c r="E102" s="285">
        <v>-7.94361538866114</v>
      </c>
      <c r="H102" s="685">
        <f t="shared" si="32"/>
        <v>-4.7496180348654891</v>
      </c>
      <c r="I102" s="276">
        <f t="shared" si="33"/>
        <v>-4.0766591330323383</v>
      </c>
      <c r="J102" s="276">
        <f t="shared" si="34"/>
        <v>1.2457386820582028</v>
      </c>
      <c r="K102" s="276">
        <f t="shared" si="35"/>
        <v>-3.1174228141404332</v>
      </c>
      <c r="L102" s="276">
        <f t="shared" si="36"/>
        <v>1.445052568427257</v>
      </c>
      <c r="M102" s="276">
        <f t="shared" si="37"/>
        <v>1.8555216894078745</v>
      </c>
      <c r="N102" s="685">
        <f t="shared" si="38"/>
        <v>1.0136027253582693</v>
      </c>
      <c r="O102" s="276">
        <f t="shared" si="39"/>
        <v>1.1447266985359954</v>
      </c>
      <c r="P102" s="276">
        <f t="shared" si="40"/>
        <v>1.3811275657508564</v>
      </c>
      <c r="Q102" s="276">
        <f t="shared" si="41"/>
        <v>0.60741277287267015</v>
      </c>
      <c r="R102" s="276">
        <f t="shared" si="42"/>
        <v>1.2598022988513808</v>
      </c>
      <c r="S102" s="686">
        <f t="shared" si="43"/>
        <v>1.8942268192484517</v>
      </c>
      <c r="T102" s="685">
        <f t="shared" si="44"/>
        <v>2.586602479706289</v>
      </c>
      <c r="U102" s="276">
        <f t="shared" si="45"/>
        <v>2.9255765697946554</v>
      </c>
      <c r="V102" s="276">
        <f t="shared" si="46"/>
        <v>6.198711840338154</v>
      </c>
      <c r="W102" s="276">
        <f t="shared" si="47"/>
        <v>5.2622575207348152</v>
      </c>
      <c r="X102" s="276">
        <f t="shared" si="48"/>
        <v>4.9223009335454186</v>
      </c>
      <c r="Y102" s="686">
        <f t="shared" si="49"/>
        <v>5.1237792714297203</v>
      </c>
      <c r="Z102" s="685" t="e">
        <f t="shared" si="50"/>
        <v>#DIV/0!</v>
      </c>
      <c r="AA102" s="276" t="e">
        <f t="shared" si="51"/>
        <v>#DIV/0!</v>
      </c>
      <c r="AB102" s="276" t="e">
        <f t="shared" si="52"/>
        <v>#DIV/0!</v>
      </c>
      <c r="AC102" s="276" t="e">
        <f t="shared" si="53"/>
        <v>#DIV/0!</v>
      </c>
      <c r="AD102" s="276" t="e">
        <f t="shared" si="54"/>
        <v>#DIV/0!</v>
      </c>
      <c r="AE102" s="686" t="e">
        <f t="shared" si="55"/>
        <v>#DIV/0!</v>
      </c>
      <c r="AF102" s="239"/>
      <c r="AG102" s="965" t="e">
        <f t="shared" si="56"/>
        <v>#VALUE!</v>
      </c>
      <c r="AH102" s="878" t="e">
        <f t="shared" si="57"/>
        <v>#VALUE!</v>
      </c>
      <c r="AI102" s="878" t="e">
        <f t="shared" si="92"/>
        <v>#VALUE!</v>
      </c>
      <c r="AJ102" s="878" t="e">
        <f t="shared" si="58"/>
        <v>#VALUE!</v>
      </c>
      <c r="AK102" s="878" t="e">
        <f t="shared" si="59"/>
        <v>#VALUE!</v>
      </c>
      <c r="AL102" s="966" t="e">
        <f t="shared" si="60"/>
        <v>#VALUE!</v>
      </c>
      <c r="AM102" s="239"/>
      <c r="AO102" s="685">
        <f t="shared" si="61"/>
        <v>-4.7496180348654891</v>
      </c>
      <c r="AP102" s="276">
        <f t="shared" si="62"/>
        <v>-4.0766591330323383</v>
      </c>
      <c r="AQ102" s="276">
        <f t="shared" si="63"/>
        <v>1.2457386820582028</v>
      </c>
      <c r="AR102" s="276">
        <f t="shared" si="64"/>
        <v>-3.1174228141404332</v>
      </c>
      <c r="AS102" s="276">
        <f t="shared" si="65"/>
        <v>1.445052568427257</v>
      </c>
      <c r="AT102" s="276">
        <f t="shared" si="66"/>
        <v>1.8555216894078745</v>
      </c>
      <c r="AU102" s="685">
        <f t="shared" si="67"/>
        <v>1.0136027253582693</v>
      </c>
      <c r="AV102" s="276">
        <f t="shared" si="68"/>
        <v>1.1447266985359954</v>
      </c>
      <c r="AW102" s="276">
        <f t="shared" si="69"/>
        <v>1.3811275657508564</v>
      </c>
      <c r="AX102" s="276">
        <f t="shared" si="70"/>
        <v>0.60741277287267015</v>
      </c>
      <c r="AY102" s="276">
        <f t="shared" si="71"/>
        <v>1.2598022988513808</v>
      </c>
      <c r="AZ102" s="686">
        <f t="shared" si="72"/>
        <v>1.8942268192484517</v>
      </c>
      <c r="BA102" s="685">
        <f t="shared" si="73"/>
        <v>0</v>
      </c>
      <c r="BB102" s="276">
        <f t="shared" si="74"/>
        <v>0</v>
      </c>
      <c r="BC102" s="276">
        <f t="shared" si="75"/>
        <v>0</v>
      </c>
      <c r="BD102" s="276">
        <f t="shared" si="76"/>
        <v>0</v>
      </c>
      <c r="BE102" s="276">
        <f t="shared" si="77"/>
        <v>0</v>
      </c>
      <c r="BF102" s="686">
        <f t="shared" si="78"/>
        <v>0</v>
      </c>
      <c r="BG102" s="685" t="e">
        <f t="shared" si="79"/>
        <v>#DIV/0!</v>
      </c>
      <c r="BH102" s="276" t="e">
        <f t="shared" si="80"/>
        <v>#DIV/0!</v>
      </c>
      <c r="BI102" s="276" t="e">
        <f t="shared" si="81"/>
        <v>#DIV/0!</v>
      </c>
      <c r="BJ102" s="276" t="e">
        <f t="shared" si="82"/>
        <v>#DIV/0!</v>
      </c>
      <c r="BK102" s="276" t="e">
        <f t="shared" si="83"/>
        <v>#DIV/0!</v>
      </c>
      <c r="BL102" s="686" t="e">
        <f t="shared" si="84"/>
        <v>#DIV/0!</v>
      </c>
      <c r="BM102" s="239"/>
      <c r="BN102" s="965" t="e">
        <f t="shared" si="85"/>
        <v>#VALUE!</v>
      </c>
      <c r="BO102" s="878" t="e">
        <f t="shared" si="86"/>
        <v>#VALUE!</v>
      </c>
      <c r="BP102" s="878" t="e">
        <f t="shared" si="87"/>
        <v>#VALUE!</v>
      </c>
      <c r="BQ102" s="878" t="e">
        <f t="shared" si="88"/>
        <v>#VALUE!</v>
      </c>
      <c r="BR102" s="878" t="e">
        <f t="shared" si="89"/>
        <v>#VALUE!</v>
      </c>
      <c r="BS102" s="966" t="e">
        <f t="shared" si="90"/>
        <v>#VALUE!</v>
      </c>
    </row>
    <row r="103" spans="1:71">
      <c r="A103" s="284">
        <f t="shared" si="91"/>
        <v>35</v>
      </c>
      <c r="B103" s="285">
        <v>-1.3903198562344667</v>
      </c>
      <c r="C103" s="285">
        <v>2.4235324660526301</v>
      </c>
      <c r="D103" s="285">
        <v>0.63298331569868638</v>
      </c>
      <c r="E103" s="285">
        <v>-0.40923877376209505</v>
      </c>
      <c r="H103" s="685">
        <f t="shared" si="32"/>
        <v>-2.5235536980035214</v>
      </c>
      <c r="I103" s="276">
        <f t="shared" si="33"/>
        <v>-3.2495968341700063</v>
      </c>
      <c r="J103" s="276">
        <f t="shared" si="34"/>
        <v>-1.0708419593325231</v>
      </c>
      <c r="K103" s="276">
        <f t="shared" si="35"/>
        <v>-0.83088676805872408</v>
      </c>
      <c r="L103" s="276">
        <f t="shared" si="36"/>
        <v>-1.914285803411373</v>
      </c>
      <c r="M103" s="276">
        <f t="shared" si="37"/>
        <v>-7.3839614616533487</v>
      </c>
      <c r="N103" s="685">
        <f t="shared" si="38"/>
        <v>1.2163612550807616</v>
      </c>
      <c r="O103" s="276">
        <f t="shared" si="39"/>
        <v>1.3994910442388961</v>
      </c>
      <c r="P103" s="276">
        <f t="shared" si="40"/>
        <v>0.7513544332570381</v>
      </c>
      <c r="Q103" s="276">
        <f t="shared" si="41"/>
        <v>1.7211447264129858</v>
      </c>
      <c r="R103" s="276">
        <f t="shared" si="42"/>
        <v>1.094558823597281</v>
      </c>
      <c r="S103" s="686">
        <f t="shared" si="43"/>
        <v>1.0931916932668269</v>
      </c>
      <c r="T103" s="685">
        <f t="shared" si="44"/>
        <v>3.9113470059696125</v>
      </c>
      <c r="U103" s="276">
        <f t="shared" si="45"/>
        <v>5.1433450840711803</v>
      </c>
      <c r="V103" s="276">
        <f t="shared" si="46"/>
        <v>5.3787409086046196</v>
      </c>
      <c r="W103" s="276">
        <f t="shared" si="47"/>
        <v>4.171440877632266</v>
      </c>
      <c r="X103" s="276">
        <f t="shared" si="48"/>
        <v>5.2347836084514441</v>
      </c>
      <c r="Y103" s="686">
        <f t="shared" si="49"/>
        <v>5.9958023978354333</v>
      </c>
      <c r="Z103" s="685" t="e">
        <f t="shared" si="50"/>
        <v>#DIV/0!</v>
      </c>
      <c r="AA103" s="276" t="e">
        <f t="shared" si="51"/>
        <v>#DIV/0!</v>
      </c>
      <c r="AB103" s="276" t="e">
        <f t="shared" si="52"/>
        <v>#DIV/0!</v>
      </c>
      <c r="AC103" s="276" t="e">
        <f t="shared" si="53"/>
        <v>#DIV/0!</v>
      </c>
      <c r="AD103" s="276" t="e">
        <f t="shared" si="54"/>
        <v>#DIV/0!</v>
      </c>
      <c r="AE103" s="686" t="e">
        <f t="shared" si="55"/>
        <v>#DIV/0!</v>
      </c>
      <c r="AF103" s="239"/>
      <c r="AG103" s="965" t="e">
        <f t="shared" si="56"/>
        <v>#VALUE!</v>
      </c>
      <c r="AH103" s="878" t="e">
        <f t="shared" si="57"/>
        <v>#VALUE!</v>
      </c>
      <c r="AI103" s="878" t="e">
        <f t="shared" si="92"/>
        <v>#VALUE!</v>
      </c>
      <c r="AJ103" s="878" t="e">
        <f t="shared" si="58"/>
        <v>#VALUE!</v>
      </c>
      <c r="AK103" s="878" t="e">
        <f t="shared" si="59"/>
        <v>#VALUE!</v>
      </c>
      <c r="AL103" s="966" t="e">
        <f t="shared" si="60"/>
        <v>#VALUE!</v>
      </c>
      <c r="AM103" s="239"/>
      <c r="AO103" s="685">
        <f t="shared" si="61"/>
        <v>-2.5235536980035214</v>
      </c>
      <c r="AP103" s="276">
        <f t="shared" si="62"/>
        <v>-3.2495968341700063</v>
      </c>
      <c r="AQ103" s="276">
        <f t="shared" si="63"/>
        <v>-1.0708419593325231</v>
      </c>
      <c r="AR103" s="276">
        <f t="shared" si="64"/>
        <v>-0.83088676805872408</v>
      </c>
      <c r="AS103" s="276">
        <f t="shared" si="65"/>
        <v>-1.914285803411373</v>
      </c>
      <c r="AT103" s="276">
        <f t="shared" si="66"/>
        <v>-7.3839614616533487</v>
      </c>
      <c r="AU103" s="685">
        <f t="shared" si="67"/>
        <v>1.2163612550807616</v>
      </c>
      <c r="AV103" s="276">
        <f t="shared" si="68"/>
        <v>1.3994910442388961</v>
      </c>
      <c r="AW103" s="276">
        <f t="shared" si="69"/>
        <v>0.7513544332570381</v>
      </c>
      <c r="AX103" s="276">
        <f t="shared" si="70"/>
        <v>1.7211447264129858</v>
      </c>
      <c r="AY103" s="276">
        <f t="shared" si="71"/>
        <v>1.094558823597281</v>
      </c>
      <c r="AZ103" s="686">
        <f t="shared" si="72"/>
        <v>1.0931916932668269</v>
      </c>
      <c r="BA103" s="685">
        <f t="shared" si="73"/>
        <v>0</v>
      </c>
      <c r="BB103" s="276">
        <f t="shared" si="74"/>
        <v>0</v>
      </c>
      <c r="BC103" s="276">
        <f t="shared" si="75"/>
        <v>0</v>
      </c>
      <c r="BD103" s="276">
        <f t="shared" si="76"/>
        <v>0</v>
      </c>
      <c r="BE103" s="276">
        <f t="shared" si="77"/>
        <v>0</v>
      </c>
      <c r="BF103" s="686">
        <f t="shared" si="78"/>
        <v>0</v>
      </c>
      <c r="BG103" s="685" t="e">
        <f t="shared" si="79"/>
        <v>#DIV/0!</v>
      </c>
      <c r="BH103" s="276" t="e">
        <f t="shared" si="80"/>
        <v>#DIV/0!</v>
      </c>
      <c r="BI103" s="276" t="e">
        <f t="shared" si="81"/>
        <v>#DIV/0!</v>
      </c>
      <c r="BJ103" s="276" t="e">
        <f t="shared" si="82"/>
        <v>#DIV/0!</v>
      </c>
      <c r="BK103" s="276" t="e">
        <f t="shared" si="83"/>
        <v>#DIV/0!</v>
      </c>
      <c r="BL103" s="686" t="e">
        <f t="shared" si="84"/>
        <v>#DIV/0!</v>
      </c>
      <c r="BM103" s="239"/>
      <c r="BN103" s="965" t="e">
        <f t="shared" si="85"/>
        <v>#VALUE!</v>
      </c>
      <c r="BO103" s="878" t="e">
        <f t="shared" si="86"/>
        <v>#VALUE!</v>
      </c>
      <c r="BP103" s="878" t="e">
        <f t="shared" si="87"/>
        <v>#VALUE!</v>
      </c>
      <c r="BQ103" s="878" t="e">
        <f t="shared" si="88"/>
        <v>#VALUE!</v>
      </c>
      <c r="BR103" s="878" t="e">
        <f t="shared" si="89"/>
        <v>#VALUE!</v>
      </c>
      <c r="BS103" s="966" t="e">
        <f t="shared" si="90"/>
        <v>#VALUE!</v>
      </c>
    </row>
    <row r="104" spans="1:71">
      <c r="A104" s="284">
        <f t="shared" si="91"/>
        <v>36</v>
      </c>
      <c r="B104" s="285">
        <v>1.1782951830922819</v>
      </c>
      <c r="C104" s="285">
        <v>3.2683167595073694</v>
      </c>
      <c r="D104" s="285">
        <v>1.4765951874228398</v>
      </c>
      <c r="E104" s="285">
        <v>6.2813409744405124</v>
      </c>
      <c r="H104" s="685">
        <f t="shared" si="32"/>
        <v>4.5061341323227033E-2</v>
      </c>
      <c r="I104" s="276">
        <f t="shared" si="33"/>
        <v>0.2295893357342047</v>
      </c>
      <c r="J104" s="276">
        <f t="shared" si="34"/>
        <v>-0.15395971315385326</v>
      </c>
      <c r="K104" s="276">
        <f t="shared" si="35"/>
        <v>-2.6110099183903834</v>
      </c>
      <c r="L104" s="276">
        <f t="shared" si="36"/>
        <v>-0.21825562666158171</v>
      </c>
      <c r="M104" s="276">
        <f t="shared" si="37"/>
        <v>-1.8932784939767791</v>
      </c>
      <c r="N104" s="685">
        <f t="shared" si="38"/>
        <v>2.0611455485355012</v>
      </c>
      <c r="O104" s="276">
        <f t="shared" si="39"/>
        <v>1.608199252402285</v>
      </c>
      <c r="P104" s="276">
        <f t="shared" si="40"/>
        <v>1.6836539207290826</v>
      </c>
      <c r="Q104" s="276">
        <f t="shared" si="41"/>
        <v>0.73449678705581611</v>
      </c>
      <c r="R104" s="276">
        <f t="shared" si="42"/>
        <v>1.2095195981714479</v>
      </c>
      <c r="S104" s="686">
        <f t="shared" si="43"/>
        <v>1.5068840617667478</v>
      </c>
      <c r="T104" s="685">
        <f t="shared" si="44"/>
        <v>4.7549588776937659</v>
      </c>
      <c r="U104" s="276">
        <f t="shared" si="45"/>
        <v>4.277419238526722</v>
      </c>
      <c r="V104" s="276">
        <f t="shared" si="46"/>
        <v>5.7997460854096161</v>
      </c>
      <c r="W104" s="276">
        <f t="shared" si="47"/>
        <v>5.2386602612166104</v>
      </c>
      <c r="X104" s="276">
        <f t="shared" si="48"/>
        <v>6.9046635559633067</v>
      </c>
      <c r="Y104" s="686">
        <f t="shared" si="49"/>
        <v>2.8686798475022912</v>
      </c>
      <c r="Z104" s="685" t="e">
        <f t="shared" si="50"/>
        <v>#DIV/0!</v>
      </c>
      <c r="AA104" s="276" t="e">
        <f t="shared" si="51"/>
        <v>#DIV/0!</v>
      </c>
      <c r="AB104" s="276" t="e">
        <f t="shared" si="52"/>
        <v>#DIV/0!</v>
      </c>
      <c r="AC104" s="276" t="e">
        <f t="shared" si="53"/>
        <v>#DIV/0!</v>
      </c>
      <c r="AD104" s="276" t="e">
        <f t="shared" si="54"/>
        <v>#DIV/0!</v>
      </c>
      <c r="AE104" s="686" t="e">
        <f t="shared" si="55"/>
        <v>#DIV/0!</v>
      </c>
      <c r="AF104" s="239"/>
      <c r="AG104" s="965" t="e">
        <f t="shared" si="56"/>
        <v>#VALUE!</v>
      </c>
      <c r="AH104" s="878" t="e">
        <f t="shared" si="57"/>
        <v>#VALUE!</v>
      </c>
      <c r="AI104" s="878" t="e">
        <f t="shared" si="92"/>
        <v>#VALUE!</v>
      </c>
      <c r="AJ104" s="878" t="e">
        <f t="shared" si="58"/>
        <v>#VALUE!</v>
      </c>
      <c r="AK104" s="878" t="e">
        <f t="shared" si="59"/>
        <v>#VALUE!</v>
      </c>
      <c r="AL104" s="966" t="e">
        <f t="shared" si="60"/>
        <v>#VALUE!</v>
      </c>
      <c r="AM104" s="239"/>
      <c r="AO104" s="685">
        <f t="shared" si="61"/>
        <v>4.5061341323227033E-2</v>
      </c>
      <c r="AP104" s="276">
        <f t="shared" si="62"/>
        <v>0.2295893357342047</v>
      </c>
      <c r="AQ104" s="276">
        <f t="shared" si="63"/>
        <v>-0.15395971315385326</v>
      </c>
      <c r="AR104" s="276">
        <f t="shared" si="64"/>
        <v>-2.6110099183903834</v>
      </c>
      <c r="AS104" s="276">
        <f t="shared" si="65"/>
        <v>-0.21825562666158171</v>
      </c>
      <c r="AT104" s="276">
        <f t="shared" si="66"/>
        <v>-1.8932784939767791</v>
      </c>
      <c r="AU104" s="685">
        <f t="shared" si="67"/>
        <v>2.0611455485355012</v>
      </c>
      <c r="AV104" s="276">
        <f t="shared" si="68"/>
        <v>1.608199252402285</v>
      </c>
      <c r="AW104" s="276">
        <f t="shared" si="69"/>
        <v>1.6836539207290826</v>
      </c>
      <c r="AX104" s="276">
        <f t="shared" si="70"/>
        <v>0.73449678705581611</v>
      </c>
      <c r="AY104" s="276">
        <f t="shared" si="71"/>
        <v>1.2095195981714479</v>
      </c>
      <c r="AZ104" s="686">
        <f t="shared" si="72"/>
        <v>1.5068840617667478</v>
      </c>
      <c r="BA104" s="685">
        <f t="shared" si="73"/>
        <v>0</v>
      </c>
      <c r="BB104" s="276">
        <f t="shared" si="74"/>
        <v>0</v>
      </c>
      <c r="BC104" s="276">
        <f t="shared" si="75"/>
        <v>0</v>
      </c>
      <c r="BD104" s="276">
        <f t="shared" si="76"/>
        <v>0</v>
      </c>
      <c r="BE104" s="276">
        <f t="shared" si="77"/>
        <v>0</v>
      </c>
      <c r="BF104" s="686">
        <f t="shared" si="78"/>
        <v>0</v>
      </c>
      <c r="BG104" s="685" t="e">
        <f t="shared" si="79"/>
        <v>#DIV/0!</v>
      </c>
      <c r="BH104" s="276" t="e">
        <f t="shared" si="80"/>
        <v>#DIV/0!</v>
      </c>
      <c r="BI104" s="276" t="e">
        <f t="shared" si="81"/>
        <v>#DIV/0!</v>
      </c>
      <c r="BJ104" s="276" t="e">
        <f t="shared" si="82"/>
        <v>#DIV/0!</v>
      </c>
      <c r="BK104" s="276" t="e">
        <f t="shared" si="83"/>
        <v>#DIV/0!</v>
      </c>
      <c r="BL104" s="686" t="e">
        <f t="shared" si="84"/>
        <v>#DIV/0!</v>
      </c>
      <c r="BM104" s="239"/>
      <c r="BN104" s="965" t="e">
        <f t="shared" si="85"/>
        <v>#VALUE!</v>
      </c>
      <c r="BO104" s="878" t="e">
        <f t="shared" si="86"/>
        <v>#VALUE!</v>
      </c>
      <c r="BP104" s="878" t="e">
        <f t="shared" si="87"/>
        <v>#VALUE!</v>
      </c>
      <c r="BQ104" s="878" t="e">
        <f t="shared" si="88"/>
        <v>#VALUE!</v>
      </c>
      <c r="BR104" s="878" t="e">
        <f t="shared" si="89"/>
        <v>#VALUE!</v>
      </c>
      <c r="BS104" s="966" t="e">
        <f t="shared" si="90"/>
        <v>#VALUE!</v>
      </c>
    </row>
    <row r="105" spans="1:71">
      <c r="A105" s="284">
        <f t="shared" si="91"/>
        <v>37</v>
      </c>
      <c r="B105" s="285">
        <v>0.19434377715476325</v>
      </c>
      <c r="C105" s="285">
        <v>2.1901574250613094</v>
      </c>
      <c r="D105" s="285">
        <v>3.4891040019748676</v>
      </c>
      <c r="E105" s="285">
        <v>-18.47246256793126</v>
      </c>
      <c r="H105" s="685">
        <f t="shared" si="32"/>
        <v>-0.93889006461429159</v>
      </c>
      <c r="I105" s="276">
        <f t="shared" si="33"/>
        <v>-0.40142673307157783</v>
      </c>
      <c r="J105" s="276">
        <f t="shared" si="34"/>
        <v>2.1641146875237114</v>
      </c>
      <c r="K105" s="276">
        <f t="shared" si="35"/>
        <v>1.5880939173742108</v>
      </c>
      <c r="L105" s="276">
        <f t="shared" si="36"/>
        <v>-1.4693229984637268</v>
      </c>
      <c r="M105" s="276">
        <f t="shared" si="37"/>
        <v>3.6497712344315394</v>
      </c>
      <c r="N105" s="685">
        <f t="shared" si="38"/>
        <v>0.98298621408944098</v>
      </c>
      <c r="O105" s="276">
        <f t="shared" si="39"/>
        <v>1.0964482646588862</v>
      </c>
      <c r="P105" s="276">
        <f t="shared" si="40"/>
        <v>2.1054395753472752</v>
      </c>
      <c r="Q105" s="276">
        <f t="shared" si="41"/>
        <v>1.4571844668023208</v>
      </c>
      <c r="R105" s="276">
        <f t="shared" si="42"/>
        <v>2.0931459994517789</v>
      </c>
      <c r="S105" s="686">
        <f t="shared" si="43"/>
        <v>1.5788873094465206</v>
      </c>
      <c r="T105" s="685">
        <f t="shared" si="44"/>
        <v>6.767467692245793</v>
      </c>
      <c r="U105" s="276">
        <f t="shared" si="45"/>
        <v>5.9846664361853881</v>
      </c>
      <c r="V105" s="276">
        <f t="shared" si="46"/>
        <v>3.0269603941421668</v>
      </c>
      <c r="W105" s="276">
        <f t="shared" si="47"/>
        <v>3.8563971312838459</v>
      </c>
      <c r="X105" s="276">
        <f t="shared" si="48"/>
        <v>4.0540500156573822</v>
      </c>
      <c r="Y105" s="686">
        <f t="shared" si="49"/>
        <v>5.6209451350861084</v>
      </c>
      <c r="Z105" s="685" t="e">
        <f t="shared" si="50"/>
        <v>#DIV/0!</v>
      </c>
      <c r="AA105" s="276" t="e">
        <f t="shared" si="51"/>
        <v>#DIV/0!</v>
      </c>
      <c r="AB105" s="276" t="e">
        <f t="shared" si="52"/>
        <v>#DIV/0!</v>
      </c>
      <c r="AC105" s="276" t="e">
        <f t="shared" si="53"/>
        <v>#DIV/0!</v>
      </c>
      <c r="AD105" s="276" t="e">
        <f t="shared" si="54"/>
        <v>#DIV/0!</v>
      </c>
      <c r="AE105" s="686" t="e">
        <f t="shared" si="55"/>
        <v>#DIV/0!</v>
      </c>
      <c r="AF105" s="239"/>
      <c r="AG105" s="965" t="e">
        <f t="shared" si="56"/>
        <v>#VALUE!</v>
      </c>
      <c r="AH105" s="878" t="e">
        <f t="shared" si="57"/>
        <v>#VALUE!</v>
      </c>
      <c r="AI105" s="878" t="e">
        <f t="shared" si="92"/>
        <v>#VALUE!</v>
      </c>
      <c r="AJ105" s="878" t="e">
        <f t="shared" si="58"/>
        <v>#VALUE!</v>
      </c>
      <c r="AK105" s="878" t="e">
        <f t="shared" si="59"/>
        <v>#VALUE!</v>
      </c>
      <c r="AL105" s="966" t="e">
        <f t="shared" si="60"/>
        <v>#VALUE!</v>
      </c>
      <c r="AM105" s="239"/>
      <c r="AO105" s="685">
        <f t="shared" si="61"/>
        <v>-0.93889006461429159</v>
      </c>
      <c r="AP105" s="276">
        <f t="shared" si="62"/>
        <v>-0.40142673307157783</v>
      </c>
      <c r="AQ105" s="276">
        <f t="shared" si="63"/>
        <v>2.1641146875237114</v>
      </c>
      <c r="AR105" s="276">
        <f t="shared" si="64"/>
        <v>1.5880939173742108</v>
      </c>
      <c r="AS105" s="276">
        <f t="shared" si="65"/>
        <v>-1.4693229984637268</v>
      </c>
      <c r="AT105" s="276">
        <f t="shared" si="66"/>
        <v>3.6497712344315394</v>
      </c>
      <c r="AU105" s="685">
        <f t="shared" si="67"/>
        <v>0.98298621408944098</v>
      </c>
      <c r="AV105" s="276">
        <f t="shared" si="68"/>
        <v>1.0964482646588862</v>
      </c>
      <c r="AW105" s="276">
        <f t="shared" si="69"/>
        <v>2.1054395753472752</v>
      </c>
      <c r="AX105" s="276">
        <f t="shared" si="70"/>
        <v>1.4571844668023208</v>
      </c>
      <c r="AY105" s="276">
        <f t="shared" si="71"/>
        <v>2.0931459994517789</v>
      </c>
      <c r="AZ105" s="686">
        <f t="shared" si="72"/>
        <v>1.5788873094465206</v>
      </c>
      <c r="BA105" s="685">
        <f t="shared" si="73"/>
        <v>0</v>
      </c>
      <c r="BB105" s="276">
        <f t="shared" si="74"/>
        <v>0</v>
      </c>
      <c r="BC105" s="276">
        <f t="shared" si="75"/>
        <v>0</v>
      </c>
      <c r="BD105" s="276">
        <f t="shared" si="76"/>
        <v>0</v>
      </c>
      <c r="BE105" s="276">
        <f t="shared" si="77"/>
        <v>0</v>
      </c>
      <c r="BF105" s="686">
        <f t="shared" si="78"/>
        <v>0</v>
      </c>
      <c r="BG105" s="685" t="e">
        <f t="shared" si="79"/>
        <v>#DIV/0!</v>
      </c>
      <c r="BH105" s="276" t="e">
        <f t="shared" si="80"/>
        <v>#DIV/0!</v>
      </c>
      <c r="BI105" s="276" t="e">
        <f t="shared" si="81"/>
        <v>#DIV/0!</v>
      </c>
      <c r="BJ105" s="276" t="e">
        <f t="shared" si="82"/>
        <v>#DIV/0!</v>
      </c>
      <c r="BK105" s="276" t="e">
        <f t="shared" si="83"/>
        <v>#DIV/0!</v>
      </c>
      <c r="BL105" s="686" t="e">
        <f t="shared" si="84"/>
        <v>#DIV/0!</v>
      </c>
      <c r="BM105" s="239"/>
      <c r="BN105" s="965" t="e">
        <f t="shared" si="85"/>
        <v>#VALUE!</v>
      </c>
      <c r="BO105" s="878" t="e">
        <f t="shared" si="86"/>
        <v>#VALUE!</v>
      </c>
      <c r="BP105" s="878" t="e">
        <f t="shared" si="87"/>
        <v>#VALUE!</v>
      </c>
      <c r="BQ105" s="878" t="e">
        <f t="shared" si="88"/>
        <v>#VALUE!</v>
      </c>
      <c r="BR105" s="878" t="e">
        <f t="shared" si="89"/>
        <v>#VALUE!</v>
      </c>
      <c r="BS105" s="966" t="e">
        <f t="shared" si="90"/>
        <v>#VALUE!</v>
      </c>
    </row>
    <row r="106" spans="1:71">
      <c r="A106" s="284">
        <f t="shared" si="91"/>
        <v>38</v>
      </c>
      <c r="B106" s="285">
        <v>1.5682546429668764</v>
      </c>
      <c r="C106" s="285">
        <v>2.7341864388031714</v>
      </c>
      <c r="D106" s="285">
        <v>0.90584657914075339</v>
      </c>
      <c r="E106" s="285">
        <v>-7.1874012031826524</v>
      </c>
      <c r="H106" s="685">
        <f t="shared" si="32"/>
        <v>0.4350208011978216</v>
      </c>
      <c r="I106" s="276">
        <f t="shared" si="33"/>
        <v>-3.2869572217154239</v>
      </c>
      <c r="J106" s="276">
        <f t="shared" si="34"/>
        <v>3.442746957688759</v>
      </c>
      <c r="K106" s="276">
        <f t="shared" si="35"/>
        <v>-3.1560314717459832</v>
      </c>
      <c r="L106" s="276">
        <f t="shared" si="36"/>
        <v>-2.2888739379042966</v>
      </c>
      <c r="M106" s="276">
        <f t="shared" si="37"/>
        <v>-1.1966449534980079</v>
      </c>
      <c r="N106" s="685">
        <f t="shared" si="38"/>
        <v>1.5270152278313029</v>
      </c>
      <c r="O106" s="276">
        <f t="shared" si="39"/>
        <v>1.3642061033968973</v>
      </c>
      <c r="P106" s="276">
        <f t="shared" si="40"/>
        <v>1.083977475441092</v>
      </c>
      <c r="Q106" s="276">
        <f t="shared" si="41"/>
        <v>1.0364120278858915</v>
      </c>
      <c r="R106" s="276">
        <f t="shared" si="42"/>
        <v>1.7221367483210865</v>
      </c>
      <c r="S106" s="686">
        <f t="shared" si="43"/>
        <v>1.5194438898358638</v>
      </c>
      <c r="T106" s="685">
        <f t="shared" si="44"/>
        <v>4.184210269411679</v>
      </c>
      <c r="U106" s="276">
        <f t="shared" si="45"/>
        <v>2.1776508615369536</v>
      </c>
      <c r="V106" s="276">
        <f t="shared" si="46"/>
        <v>6.3268633289669243</v>
      </c>
      <c r="W106" s="276">
        <f t="shared" si="47"/>
        <v>3.815231035011009</v>
      </c>
      <c r="X106" s="276">
        <f t="shared" si="48"/>
        <v>1.1646215108228506</v>
      </c>
      <c r="Y106" s="686">
        <f t="shared" si="49"/>
        <v>4.4035920917135032</v>
      </c>
      <c r="Z106" s="685" t="e">
        <f t="shared" si="50"/>
        <v>#DIV/0!</v>
      </c>
      <c r="AA106" s="276" t="e">
        <f t="shared" si="51"/>
        <v>#DIV/0!</v>
      </c>
      <c r="AB106" s="276" t="e">
        <f t="shared" si="52"/>
        <v>#DIV/0!</v>
      </c>
      <c r="AC106" s="276" t="e">
        <f t="shared" si="53"/>
        <v>#DIV/0!</v>
      </c>
      <c r="AD106" s="276" t="e">
        <f t="shared" si="54"/>
        <v>#DIV/0!</v>
      </c>
      <c r="AE106" s="686" t="e">
        <f t="shared" si="55"/>
        <v>#DIV/0!</v>
      </c>
      <c r="AF106" s="239"/>
      <c r="AG106" s="965" t="e">
        <f t="shared" si="56"/>
        <v>#VALUE!</v>
      </c>
      <c r="AH106" s="878" t="e">
        <f t="shared" si="57"/>
        <v>#VALUE!</v>
      </c>
      <c r="AI106" s="878" t="e">
        <f t="shared" si="92"/>
        <v>#VALUE!</v>
      </c>
      <c r="AJ106" s="878" t="e">
        <f t="shared" si="58"/>
        <v>#VALUE!</v>
      </c>
      <c r="AK106" s="878" t="e">
        <f t="shared" si="59"/>
        <v>#VALUE!</v>
      </c>
      <c r="AL106" s="966" t="e">
        <f t="shared" si="60"/>
        <v>#VALUE!</v>
      </c>
      <c r="AM106" s="239"/>
      <c r="AO106" s="685">
        <f t="shared" si="61"/>
        <v>0.4350208011978216</v>
      </c>
      <c r="AP106" s="276">
        <f t="shared" si="62"/>
        <v>-3.2869572217154239</v>
      </c>
      <c r="AQ106" s="276">
        <f t="shared" si="63"/>
        <v>3.442746957688759</v>
      </c>
      <c r="AR106" s="276">
        <f t="shared" si="64"/>
        <v>-3.1560314717459832</v>
      </c>
      <c r="AS106" s="276">
        <f t="shared" si="65"/>
        <v>-2.2888739379042966</v>
      </c>
      <c r="AT106" s="276">
        <f t="shared" si="66"/>
        <v>-1.1966449534980079</v>
      </c>
      <c r="AU106" s="685">
        <f t="shared" si="67"/>
        <v>1.5270152278313029</v>
      </c>
      <c r="AV106" s="276">
        <f t="shared" si="68"/>
        <v>1.3642061033968973</v>
      </c>
      <c r="AW106" s="276">
        <f t="shared" si="69"/>
        <v>1.083977475441092</v>
      </c>
      <c r="AX106" s="276">
        <f t="shared" si="70"/>
        <v>1.0364120278858915</v>
      </c>
      <c r="AY106" s="276">
        <f t="shared" si="71"/>
        <v>1.7221367483210865</v>
      </c>
      <c r="AZ106" s="686">
        <f t="shared" si="72"/>
        <v>1.5194438898358638</v>
      </c>
      <c r="BA106" s="685">
        <f t="shared" si="73"/>
        <v>0</v>
      </c>
      <c r="BB106" s="276">
        <f t="shared" si="74"/>
        <v>0</v>
      </c>
      <c r="BC106" s="276">
        <f t="shared" si="75"/>
        <v>0</v>
      </c>
      <c r="BD106" s="276">
        <f t="shared" si="76"/>
        <v>0</v>
      </c>
      <c r="BE106" s="276">
        <f t="shared" si="77"/>
        <v>0</v>
      </c>
      <c r="BF106" s="686">
        <f t="shared" si="78"/>
        <v>0</v>
      </c>
      <c r="BG106" s="685" t="e">
        <f t="shared" si="79"/>
        <v>#DIV/0!</v>
      </c>
      <c r="BH106" s="276" t="e">
        <f t="shared" si="80"/>
        <v>#DIV/0!</v>
      </c>
      <c r="BI106" s="276" t="e">
        <f t="shared" si="81"/>
        <v>#DIV/0!</v>
      </c>
      <c r="BJ106" s="276" t="e">
        <f t="shared" si="82"/>
        <v>#DIV/0!</v>
      </c>
      <c r="BK106" s="276" t="e">
        <f t="shared" si="83"/>
        <v>#DIV/0!</v>
      </c>
      <c r="BL106" s="686" t="e">
        <f t="shared" si="84"/>
        <v>#DIV/0!</v>
      </c>
      <c r="BM106" s="239"/>
      <c r="BN106" s="965" t="e">
        <f t="shared" si="85"/>
        <v>#VALUE!</v>
      </c>
      <c r="BO106" s="878" t="e">
        <f t="shared" si="86"/>
        <v>#VALUE!</v>
      </c>
      <c r="BP106" s="878" t="e">
        <f t="shared" si="87"/>
        <v>#VALUE!</v>
      </c>
      <c r="BQ106" s="878" t="e">
        <f t="shared" si="88"/>
        <v>#VALUE!</v>
      </c>
      <c r="BR106" s="878" t="e">
        <f t="shared" si="89"/>
        <v>#VALUE!</v>
      </c>
      <c r="BS106" s="966" t="e">
        <f t="shared" si="90"/>
        <v>#VALUE!</v>
      </c>
    </row>
    <row r="107" spans="1:71">
      <c r="A107" s="284">
        <f t="shared" si="91"/>
        <v>39</v>
      </c>
      <c r="B107" s="285">
        <v>-0.2437736289977086</v>
      </c>
      <c r="C107" s="285">
        <v>1.8567309456189696</v>
      </c>
      <c r="D107" s="285">
        <v>1.4775053193855476</v>
      </c>
      <c r="E107" s="285">
        <v>-14.620699140733992</v>
      </c>
      <c r="H107" s="685">
        <f t="shared" si="32"/>
        <v>-1.3770074707667634</v>
      </c>
      <c r="I107" s="276">
        <f t="shared" si="33"/>
        <v>0.79354381084259984</v>
      </c>
      <c r="J107" s="276">
        <f t="shared" si="34"/>
        <v>1.5664530822997402</v>
      </c>
      <c r="K107" s="276">
        <f t="shared" si="35"/>
        <v>2.5823417711469876</v>
      </c>
      <c r="L107" s="276">
        <f t="shared" si="36"/>
        <v>-0.65350237181550463</v>
      </c>
      <c r="M107" s="276">
        <f t="shared" si="37"/>
        <v>0.85845101464899765</v>
      </c>
      <c r="N107" s="685">
        <f t="shared" si="38"/>
        <v>0.64955973464710115</v>
      </c>
      <c r="O107" s="276">
        <f t="shared" si="39"/>
        <v>1.4387103781434123</v>
      </c>
      <c r="P107" s="276">
        <f t="shared" si="40"/>
        <v>1.0881571418214244</v>
      </c>
      <c r="Q107" s="276">
        <f t="shared" si="41"/>
        <v>1.004959373185849</v>
      </c>
      <c r="R107" s="276">
        <f t="shared" si="42"/>
        <v>1.844947676434973</v>
      </c>
      <c r="S107" s="686">
        <f t="shared" si="43"/>
        <v>1.3797759011269555</v>
      </c>
      <c r="T107" s="685">
        <f t="shared" si="44"/>
        <v>4.7558690096564735</v>
      </c>
      <c r="U107" s="276">
        <f t="shared" si="45"/>
        <v>1.6031286833303038</v>
      </c>
      <c r="V107" s="276">
        <f t="shared" si="46"/>
        <v>3.8187843613786252</v>
      </c>
      <c r="W107" s="276">
        <f t="shared" si="47"/>
        <v>4.3668831215308597</v>
      </c>
      <c r="X107" s="276">
        <f t="shared" si="48"/>
        <v>4.1728491675058592</v>
      </c>
      <c r="Y107" s="686">
        <f t="shared" si="49"/>
        <v>4.9375877279809526</v>
      </c>
      <c r="Z107" s="685" t="e">
        <f t="shared" si="50"/>
        <v>#DIV/0!</v>
      </c>
      <c r="AA107" s="276" t="e">
        <f t="shared" si="51"/>
        <v>#DIV/0!</v>
      </c>
      <c r="AB107" s="276" t="e">
        <f t="shared" si="52"/>
        <v>#DIV/0!</v>
      </c>
      <c r="AC107" s="276" t="e">
        <f t="shared" si="53"/>
        <v>#DIV/0!</v>
      </c>
      <c r="AD107" s="276" t="e">
        <f t="shared" si="54"/>
        <v>#DIV/0!</v>
      </c>
      <c r="AE107" s="686" t="e">
        <f t="shared" si="55"/>
        <v>#DIV/0!</v>
      </c>
      <c r="AF107" s="239"/>
      <c r="AG107" s="965" t="e">
        <f t="shared" si="56"/>
        <v>#VALUE!</v>
      </c>
      <c r="AH107" s="878" t="e">
        <f t="shared" si="57"/>
        <v>#VALUE!</v>
      </c>
      <c r="AI107" s="878" t="e">
        <f t="shared" si="92"/>
        <v>#VALUE!</v>
      </c>
      <c r="AJ107" s="878" t="e">
        <f t="shared" si="58"/>
        <v>#VALUE!</v>
      </c>
      <c r="AK107" s="878" t="e">
        <f t="shared" si="59"/>
        <v>#VALUE!</v>
      </c>
      <c r="AL107" s="966" t="e">
        <f t="shared" si="60"/>
        <v>#VALUE!</v>
      </c>
      <c r="AM107" s="239"/>
      <c r="AO107" s="685">
        <f t="shared" si="61"/>
        <v>-1.3770074707667634</v>
      </c>
      <c r="AP107" s="276">
        <f t="shared" si="62"/>
        <v>0.79354381084259984</v>
      </c>
      <c r="AQ107" s="276">
        <f t="shared" si="63"/>
        <v>1.5664530822997402</v>
      </c>
      <c r="AR107" s="276">
        <f t="shared" si="64"/>
        <v>2.5823417711469876</v>
      </c>
      <c r="AS107" s="276">
        <f t="shared" si="65"/>
        <v>-0.65350237181550463</v>
      </c>
      <c r="AT107" s="276">
        <f t="shared" si="66"/>
        <v>0.85845101464899765</v>
      </c>
      <c r="AU107" s="685">
        <f t="shared" si="67"/>
        <v>0.64955973464710115</v>
      </c>
      <c r="AV107" s="276">
        <f t="shared" si="68"/>
        <v>1.4387103781434123</v>
      </c>
      <c r="AW107" s="276">
        <f t="shared" si="69"/>
        <v>1.0881571418214244</v>
      </c>
      <c r="AX107" s="276">
        <f t="shared" si="70"/>
        <v>1.004959373185849</v>
      </c>
      <c r="AY107" s="276">
        <f t="shared" si="71"/>
        <v>1.844947676434973</v>
      </c>
      <c r="AZ107" s="686">
        <f t="shared" si="72"/>
        <v>1.3797759011269555</v>
      </c>
      <c r="BA107" s="685">
        <f t="shared" si="73"/>
        <v>0</v>
      </c>
      <c r="BB107" s="276">
        <f t="shared" si="74"/>
        <v>0</v>
      </c>
      <c r="BC107" s="276">
        <f t="shared" si="75"/>
        <v>0</v>
      </c>
      <c r="BD107" s="276">
        <f t="shared" si="76"/>
        <v>0</v>
      </c>
      <c r="BE107" s="276">
        <f t="shared" si="77"/>
        <v>0</v>
      </c>
      <c r="BF107" s="686">
        <f t="shared" si="78"/>
        <v>0</v>
      </c>
      <c r="BG107" s="685" t="e">
        <f t="shared" si="79"/>
        <v>#DIV/0!</v>
      </c>
      <c r="BH107" s="276" t="e">
        <f t="shared" si="80"/>
        <v>#DIV/0!</v>
      </c>
      <c r="BI107" s="276" t="e">
        <f t="shared" si="81"/>
        <v>#DIV/0!</v>
      </c>
      <c r="BJ107" s="276" t="e">
        <f t="shared" si="82"/>
        <v>#DIV/0!</v>
      </c>
      <c r="BK107" s="276" t="e">
        <f t="shared" si="83"/>
        <v>#DIV/0!</v>
      </c>
      <c r="BL107" s="686" t="e">
        <f t="shared" si="84"/>
        <v>#DIV/0!</v>
      </c>
      <c r="BM107" s="239"/>
      <c r="BN107" s="965" t="e">
        <f t="shared" si="85"/>
        <v>#VALUE!</v>
      </c>
      <c r="BO107" s="878" t="e">
        <f t="shared" si="86"/>
        <v>#VALUE!</v>
      </c>
      <c r="BP107" s="878" t="e">
        <f t="shared" si="87"/>
        <v>#VALUE!</v>
      </c>
      <c r="BQ107" s="878" t="e">
        <f t="shared" si="88"/>
        <v>#VALUE!</v>
      </c>
      <c r="BR107" s="878" t="e">
        <f t="shared" si="89"/>
        <v>#VALUE!</v>
      </c>
      <c r="BS107" s="966" t="e">
        <f t="shared" si="90"/>
        <v>#VALUE!</v>
      </c>
    </row>
    <row r="108" spans="1:71">
      <c r="A108" s="284">
        <f t="shared" si="91"/>
        <v>40</v>
      </c>
      <c r="B108" s="285">
        <v>0.20729641952400579</v>
      </c>
      <c r="C108" s="285">
        <v>2.8982331328253341</v>
      </c>
      <c r="D108" s="285">
        <v>2.0332287021906796</v>
      </c>
      <c r="E108" s="285">
        <v>-12.905629219078602</v>
      </c>
      <c r="H108" s="685">
        <f t="shared" si="32"/>
        <v>-0.92593742224504905</v>
      </c>
      <c r="I108" s="276">
        <f t="shared" si="33"/>
        <v>-1.8939071121078288</v>
      </c>
      <c r="J108" s="276">
        <f t="shared" si="34"/>
        <v>2.850596594123048</v>
      </c>
      <c r="K108" s="276">
        <f t="shared" si="35"/>
        <v>-2.7540495804660887</v>
      </c>
      <c r="L108" s="276">
        <f t="shared" si="36"/>
        <v>-2.2054759849349503</v>
      </c>
      <c r="M108" s="276">
        <f t="shared" si="37"/>
        <v>-2.5433916986400069</v>
      </c>
      <c r="N108" s="685">
        <f t="shared" si="38"/>
        <v>1.6910619218534657</v>
      </c>
      <c r="O108" s="276">
        <f t="shared" si="39"/>
        <v>1.9254290196204866</v>
      </c>
      <c r="P108" s="276">
        <f t="shared" si="40"/>
        <v>1.5871967948720729</v>
      </c>
      <c r="Q108" s="276">
        <f t="shared" si="41"/>
        <v>1.9318650839438474</v>
      </c>
      <c r="R108" s="276">
        <f t="shared" si="42"/>
        <v>1.9648780720034071</v>
      </c>
      <c r="S108" s="686">
        <f t="shared" si="43"/>
        <v>1.3222925543726907</v>
      </c>
      <c r="T108" s="685">
        <f t="shared" si="44"/>
        <v>5.3115923924616055</v>
      </c>
      <c r="U108" s="276">
        <f t="shared" si="45"/>
        <v>2.8943901600157274</v>
      </c>
      <c r="V108" s="276">
        <f t="shared" si="46"/>
        <v>6.7253811177275225</v>
      </c>
      <c r="W108" s="276">
        <f t="shared" si="47"/>
        <v>4.4778527003396889</v>
      </c>
      <c r="X108" s="276">
        <f t="shared" si="48"/>
        <v>3.9911688225275541</v>
      </c>
      <c r="Y108" s="686">
        <f t="shared" si="49"/>
        <v>5.4395591259692875</v>
      </c>
      <c r="Z108" s="685" t="e">
        <f t="shared" si="50"/>
        <v>#DIV/0!</v>
      </c>
      <c r="AA108" s="276" t="e">
        <f t="shared" si="51"/>
        <v>#DIV/0!</v>
      </c>
      <c r="AB108" s="276" t="e">
        <f t="shared" si="52"/>
        <v>#DIV/0!</v>
      </c>
      <c r="AC108" s="276" t="e">
        <f t="shared" si="53"/>
        <v>#DIV/0!</v>
      </c>
      <c r="AD108" s="276" t="e">
        <f t="shared" si="54"/>
        <v>#DIV/0!</v>
      </c>
      <c r="AE108" s="686" t="e">
        <f t="shared" si="55"/>
        <v>#DIV/0!</v>
      </c>
      <c r="AF108" s="239"/>
      <c r="AG108" s="965" t="e">
        <f t="shared" si="56"/>
        <v>#VALUE!</v>
      </c>
      <c r="AH108" s="878" t="e">
        <f t="shared" si="57"/>
        <v>#VALUE!</v>
      </c>
      <c r="AI108" s="878" t="e">
        <f t="shared" si="92"/>
        <v>#VALUE!</v>
      </c>
      <c r="AJ108" s="878" t="e">
        <f t="shared" si="58"/>
        <v>#VALUE!</v>
      </c>
      <c r="AK108" s="878" t="e">
        <f t="shared" si="59"/>
        <v>#VALUE!</v>
      </c>
      <c r="AL108" s="966" t="e">
        <f t="shared" si="60"/>
        <v>#VALUE!</v>
      </c>
      <c r="AM108" s="239"/>
      <c r="AO108" s="685">
        <f t="shared" si="61"/>
        <v>-0.92593742224504905</v>
      </c>
      <c r="AP108" s="276">
        <f t="shared" si="62"/>
        <v>-1.8939071121078288</v>
      </c>
      <c r="AQ108" s="276">
        <f t="shared" si="63"/>
        <v>2.850596594123048</v>
      </c>
      <c r="AR108" s="276">
        <f t="shared" si="64"/>
        <v>-2.7540495804660887</v>
      </c>
      <c r="AS108" s="276">
        <f t="shared" si="65"/>
        <v>-2.2054759849349503</v>
      </c>
      <c r="AT108" s="276">
        <f t="shared" si="66"/>
        <v>-2.5433916986400069</v>
      </c>
      <c r="AU108" s="685">
        <f t="shared" si="67"/>
        <v>1.6910619218534657</v>
      </c>
      <c r="AV108" s="276">
        <f t="shared" si="68"/>
        <v>1.9254290196204866</v>
      </c>
      <c r="AW108" s="276">
        <f t="shared" si="69"/>
        <v>1.5871967948720729</v>
      </c>
      <c r="AX108" s="276">
        <f t="shared" si="70"/>
        <v>1.9318650839438474</v>
      </c>
      <c r="AY108" s="276">
        <f t="shared" si="71"/>
        <v>1.9648780720034071</v>
      </c>
      <c r="AZ108" s="686">
        <f t="shared" si="72"/>
        <v>1.3222925543726907</v>
      </c>
      <c r="BA108" s="685">
        <f t="shared" si="73"/>
        <v>0</v>
      </c>
      <c r="BB108" s="276">
        <f t="shared" si="74"/>
        <v>0</v>
      </c>
      <c r="BC108" s="276">
        <f t="shared" si="75"/>
        <v>0</v>
      </c>
      <c r="BD108" s="276">
        <f t="shared" si="76"/>
        <v>0</v>
      </c>
      <c r="BE108" s="276">
        <f t="shared" si="77"/>
        <v>0</v>
      </c>
      <c r="BF108" s="686">
        <f t="shared" si="78"/>
        <v>0</v>
      </c>
      <c r="BG108" s="685" t="e">
        <f t="shared" si="79"/>
        <v>#DIV/0!</v>
      </c>
      <c r="BH108" s="276" t="e">
        <f t="shared" si="80"/>
        <v>#DIV/0!</v>
      </c>
      <c r="BI108" s="276" t="e">
        <f t="shared" si="81"/>
        <v>#DIV/0!</v>
      </c>
      <c r="BJ108" s="276" t="e">
        <f t="shared" si="82"/>
        <v>#DIV/0!</v>
      </c>
      <c r="BK108" s="276" t="e">
        <f t="shared" si="83"/>
        <v>#DIV/0!</v>
      </c>
      <c r="BL108" s="686" t="e">
        <f t="shared" si="84"/>
        <v>#DIV/0!</v>
      </c>
      <c r="BM108" s="239"/>
      <c r="BN108" s="965" t="e">
        <f t="shared" si="85"/>
        <v>#VALUE!</v>
      </c>
      <c r="BO108" s="878" t="e">
        <f t="shared" si="86"/>
        <v>#VALUE!</v>
      </c>
      <c r="BP108" s="878" t="e">
        <f t="shared" si="87"/>
        <v>#VALUE!</v>
      </c>
      <c r="BQ108" s="878" t="e">
        <f t="shared" si="88"/>
        <v>#VALUE!</v>
      </c>
      <c r="BR108" s="878" t="e">
        <f t="shared" si="89"/>
        <v>#VALUE!</v>
      </c>
      <c r="BS108" s="966" t="e">
        <f t="shared" si="90"/>
        <v>#VALUE!</v>
      </c>
    </row>
    <row r="109" spans="1:71">
      <c r="A109" s="284">
        <f t="shared" si="91"/>
        <v>41</v>
      </c>
      <c r="B109" s="285">
        <v>0.73236817874341109</v>
      </c>
      <c r="C109" s="285">
        <v>2.719576742109274</v>
      </c>
      <c r="D109" s="285">
        <v>2.2530435870741248</v>
      </c>
      <c r="E109" s="285">
        <v>5.9983674688989765</v>
      </c>
      <c r="H109" s="685">
        <f t="shared" si="32"/>
        <v>-0.40086566302564375</v>
      </c>
      <c r="I109" s="276">
        <f t="shared" si="33"/>
        <v>-2.7872154936438891</v>
      </c>
      <c r="J109" s="276">
        <f t="shared" si="34"/>
        <v>0.5857202735996494</v>
      </c>
      <c r="K109" s="276">
        <f t="shared" si="35"/>
        <v>-6.1323620439814208</v>
      </c>
      <c r="L109" s="276">
        <f t="shared" si="36"/>
        <v>-3.730485322582803</v>
      </c>
      <c r="M109" s="276">
        <f t="shared" si="37"/>
        <v>-0.43638510020938259</v>
      </c>
      <c r="N109" s="685">
        <f t="shared" si="38"/>
        <v>1.5124055311374056</v>
      </c>
      <c r="O109" s="276">
        <f t="shared" si="39"/>
        <v>1.244130639117252</v>
      </c>
      <c r="P109" s="276">
        <f t="shared" si="40"/>
        <v>1.4372472796490479</v>
      </c>
      <c r="Q109" s="276">
        <f t="shared" si="41"/>
        <v>0.38163764065370409</v>
      </c>
      <c r="R109" s="276">
        <f t="shared" si="42"/>
        <v>0.76387004705419437</v>
      </c>
      <c r="S109" s="686">
        <f t="shared" si="43"/>
        <v>1.8234397920677712</v>
      </c>
      <c r="T109" s="685">
        <f t="shared" si="44"/>
        <v>5.5314072773450507</v>
      </c>
      <c r="U109" s="276">
        <f t="shared" si="45"/>
        <v>3.4339146022843492</v>
      </c>
      <c r="V109" s="276">
        <f t="shared" si="46"/>
        <v>3.8615303929663769</v>
      </c>
      <c r="W109" s="276">
        <f t="shared" si="47"/>
        <v>3.7376466803466561</v>
      </c>
      <c r="X109" s="276">
        <f t="shared" si="48"/>
        <v>3.893736655151101</v>
      </c>
      <c r="Y109" s="686">
        <f t="shared" si="49"/>
        <v>6.5737811169715759</v>
      </c>
      <c r="Z109" s="685" t="e">
        <f t="shared" si="50"/>
        <v>#DIV/0!</v>
      </c>
      <c r="AA109" s="276" t="e">
        <f t="shared" si="51"/>
        <v>#DIV/0!</v>
      </c>
      <c r="AB109" s="276" t="e">
        <f t="shared" si="52"/>
        <v>#DIV/0!</v>
      </c>
      <c r="AC109" s="276" t="e">
        <f t="shared" si="53"/>
        <v>#DIV/0!</v>
      </c>
      <c r="AD109" s="276" t="e">
        <f t="shared" si="54"/>
        <v>#DIV/0!</v>
      </c>
      <c r="AE109" s="686" t="e">
        <f t="shared" si="55"/>
        <v>#DIV/0!</v>
      </c>
      <c r="AF109" s="239"/>
      <c r="AG109" s="965" t="e">
        <f t="shared" si="56"/>
        <v>#VALUE!</v>
      </c>
      <c r="AH109" s="878" t="e">
        <f t="shared" si="57"/>
        <v>#VALUE!</v>
      </c>
      <c r="AI109" s="878" t="e">
        <f t="shared" si="92"/>
        <v>#VALUE!</v>
      </c>
      <c r="AJ109" s="878" t="e">
        <f t="shared" si="58"/>
        <v>#VALUE!</v>
      </c>
      <c r="AK109" s="878" t="e">
        <f t="shared" si="59"/>
        <v>#VALUE!</v>
      </c>
      <c r="AL109" s="966" t="e">
        <f t="shared" si="60"/>
        <v>#VALUE!</v>
      </c>
      <c r="AM109" s="239"/>
      <c r="AO109" s="685">
        <f t="shared" si="61"/>
        <v>-0.40086566302564375</v>
      </c>
      <c r="AP109" s="276">
        <f t="shared" si="62"/>
        <v>-2.7872154936438891</v>
      </c>
      <c r="AQ109" s="276">
        <f t="shared" si="63"/>
        <v>0.5857202735996494</v>
      </c>
      <c r="AR109" s="276">
        <f t="shared" si="64"/>
        <v>-6.1323620439814208</v>
      </c>
      <c r="AS109" s="276">
        <f t="shared" si="65"/>
        <v>-3.730485322582803</v>
      </c>
      <c r="AT109" s="276">
        <f t="shared" si="66"/>
        <v>-0.43638510020938259</v>
      </c>
      <c r="AU109" s="685">
        <f t="shared" si="67"/>
        <v>1.5124055311374056</v>
      </c>
      <c r="AV109" s="276">
        <f t="shared" si="68"/>
        <v>1.244130639117252</v>
      </c>
      <c r="AW109" s="276">
        <f t="shared" si="69"/>
        <v>1.4372472796490479</v>
      </c>
      <c r="AX109" s="276">
        <f t="shared" si="70"/>
        <v>0.38163764065370409</v>
      </c>
      <c r="AY109" s="276">
        <f t="shared" si="71"/>
        <v>0.76387004705419437</v>
      </c>
      <c r="AZ109" s="686">
        <f t="shared" si="72"/>
        <v>1.8234397920677712</v>
      </c>
      <c r="BA109" s="685">
        <f t="shared" si="73"/>
        <v>0</v>
      </c>
      <c r="BB109" s="276">
        <f t="shared" si="74"/>
        <v>0</v>
      </c>
      <c r="BC109" s="276">
        <f t="shared" si="75"/>
        <v>0</v>
      </c>
      <c r="BD109" s="276">
        <f t="shared" si="76"/>
        <v>0</v>
      </c>
      <c r="BE109" s="276">
        <f t="shared" si="77"/>
        <v>0</v>
      </c>
      <c r="BF109" s="686">
        <f t="shared" si="78"/>
        <v>0</v>
      </c>
      <c r="BG109" s="685" t="e">
        <f t="shared" si="79"/>
        <v>#DIV/0!</v>
      </c>
      <c r="BH109" s="276" t="e">
        <f t="shared" si="80"/>
        <v>#DIV/0!</v>
      </c>
      <c r="BI109" s="276" t="e">
        <f t="shared" si="81"/>
        <v>#DIV/0!</v>
      </c>
      <c r="BJ109" s="276" t="e">
        <f t="shared" si="82"/>
        <v>#DIV/0!</v>
      </c>
      <c r="BK109" s="276" t="e">
        <f t="shared" si="83"/>
        <v>#DIV/0!</v>
      </c>
      <c r="BL109" s="686" t="e">
        <f t="shared" si="84"/>
        <v>#DIV/0!</v>
      </c>
      <c r="BM109" s="239"/>
      <c r="BN109" s="965" t="e">
        <f t="shared" si="85"/>
        <v>#VALUE!</v>
      </c>
      <c r="BO109" s="878" t="e">
        <f t="shared" si="86"/>
        <v>#VALUE!</v>
      </c>
      <c r="BP109" s="878" t="e">
        <f t="shared" si="87"/>
        <v>#VALUE!</v>
      </c>
      <c r="BQ109" s="878" t="e">
        <f t="shared" si="88"/>
        <v>#VALUE!</v>
      </c>
      <c r="BR109" s="878" t="e">
        <f t="shared" si="89"/>
        <v>#VALUE!</v>
      </c>
      <c r="BS109" s="966" t="e">
        <f t="shared" si="90"/>
        <v>#VALUE!</v>
      </c>
    </row>
    <row r="110" spans="1:71">
      <c r="A110" s="284">
        <f t="shared" si="91"/>
        <v>42</v>
      </c>
      <c r="B110" s="285">
        <v>-0.32873615268760492</v>
      </c>
      <c r="C110" s="285">
        <v>1.358797793465041</v>
      </c>
      <c r="D110" s="285">
        <v>2.6661731603437131</v>
      </c>
      <c r="E110" s="285">
        <v>-29.268508212103129</v>
      </c>
      <c r="H110" s="685">
        <f t="shared" si="32"/>
        <v>-1.4619699944566598</v>
      </c>
      <c r="I110" s="276">
        <f t="shared" si="33"/>
        <v>-2.345975109739614</v>
      </c>
      <c r="J110" s="276">
        <f t="shared" si="34"/>
        <v>-2.4600692023776816</v>
      </c>
      <c r="K110" s="276">
        <f t="shared" si="35"/>
        <v>-0.36817937237613618</v>
      </c>
      <c r="L110" s="276">
        <f t="shared" si="36"/>
        <v>-2.3213173488957581</v>
      </c>
      <c r="M110" s="276">
        <f t="shared" si="37"/>
        <v>0.92470035798125694</v>
      </c>
      <c r="N110" s="685">
        <f t="shared" si="38"/>
        <v>0.15162658249317262</v>
      </c>
      <c r="O110" s="276">
        <f t="shared" si="39"/>
        <v>0.89439552695163393</v>
      </c>
      <c r="P110" s="276">
        <f t="shared" si="40"/>
        <v>0.98409325729183528</v>
      </c>
      <c r="Q110" s="276">
        <f t="shared" si="41"/>
        <v>1.3990519946759854</v>
      </c>
      <c r="R110" s="276">
        <f t="shared" si="42"/>
        <v>1.3741267418133896</v>
      </c>
      <c r="S110" s="686">
        <f t="shared" si="43"/>
        <v>1.7838804449088068</v>
      </c>
      <c r="T110" s="685">
        <f t="shared" si="44"/>
        <v>5.9445368506146394</v>
      </c>
      <c r="U110" s="276">
        <f t="shared" si="45"/>
        <v>5.3714081968997327</v>
      </c>
      <c r="V110" s="276">
        <f t="shared" si="46"/>
        <v>3.8101219236232668</v>
      </c>
      <c r="W110" s="276">
        <f t="shared" si="47"/>
        <v>4.7914880879825272</v>
      </c>
      <c r="X110" s="276">
        <f t="shared" si="48"/>
        <v>4.8007666943647997</v>
      </c>
      <c r="Y110" s="686">
        <f t="shared" si="49"/>
        <v>5.1850373093890729</v>
      </c>
      <c r="Z110" s="685" t="e">
        <f t="shared" si="50"/>
        <v>#DIV/0!</v>
      </c>
      <c r="AA110" s="276" t="e">
        <f t="shared" si="51"/>
        <v>#DIV/0!</v>
      </c>
      <c r="AB110" s="276" t="e">
        <f t="shared" si="52"/>
        <v>#DIV/0!</v>
      </c>
      <c r="AC110" s="276" t="e">
        <f t="shared" si="53"/>
        <v>#DIV/0!</v>
      </c>
      <c r="AD110" s="276" t="e">
        <f t="shared" si="54"/>
        <v>#DIV/0!</v>
      </c>
      <c r="AE110" s="686" t="e">
        <f t="shared" si="55"/>
        <v>#DIV/0!</v>
      </c>
      <c r="AF110" s="239"/>
      <c r="AG110" s="965" t="e">
        <f t="shared" si="56"/>
        <v>#VALUE!</v>
      </c>
      <c r="AH110" s="878" t="e">
        <f t="shared" si="57"/>
        <v>#VALUE!</v>
      </c>
      <c r="AI110" s="878" t="e">
        <f t="shared" si="92"/>
        <v>#VALUE!</v>
      </c>
      <c r="AJ110" s="878" t="e">
        <f t="shared" si="58"/>
        <v>#VALUE!</v>
      </c>
      <c r="AK110" s="878" t="e">
        <f t="shared" si="59"/>
        <v>#VALUE!</v>
      </c>
      <c r="AL110" s="966" t="e">
        <f t="shared" si="60"/>
        <v>#VALUE!</v>
      </c>
      <c r="AM110" s="239"/>
      <c r="AO110" s="685">
        <f t="shared" si="61"/>
        <v>-1.4619699944566598</v>
      </c>
      <c r="AP110" s="276">
        <f t="shared" si="62"/>
        <v>-2.345975109739614</v>
      </c>
      <c r="AQ110" s="276">
        <f t="shared" si="63"/>
        <v>-2.4600692023776816</v>
      </c>
      <c r="AR110" s="276">
        <f t="shared" si="64"/>
        <v>-0.36817937237613618</v>
      </c>
      <c r="AS110" s="276">
        <f t="shared" si="65"/>
        <v>-2.3213173488957581</v>
      </c>
      <c r="AT110" s="276">
        <f t="shared" si="66"/>
        <v>0.92470035798125694</v>
      </c>
      <c r="AU110" s="685">
        <f t="shared" si="67"/>
        <v>0.15162658249317262</v>
      </c>
      <c r="AV110" s="276">
        <f t="shared" si="68"/>
        <v>0.89439552695163393</v>
      </c>
      <c r="AW110" s="276">
        <f t="shared" si="69"/>
        <v>0.98409325729183528</v>
      </c>
      <c r="AX110" s="276">
        <f t="shared" si="70"/>
        <v>1.3990519946759854</v>
      </c>
      <c r="AY110" s="276">
        <f t="shared" si="71"/>
        <v>1.3741267418133896</v>
      </c>
      <c r="AZ110" s="686">
        <f t="shared" si="72"/>
        <v>1.7838804449088068</v>
      </c>
      <c r="BA110" s="685">
        <f t="shared" si="73"/>
        <v>0</v>
      </c>
      <c r="BB110" s="276">
        <f t="shared" si="74"/>
        <v>0</v>
      </c>
      <c r="BC110" s="276">
        <f t="shared" si="75"/>
        <v>0</v>
      </c>
      <c r="BD110" s="276">
        <f t="shared" si="76"/>
        <v>0</v>
      </c>
      <c r="BE110" s="276">
        <f t="shared" si="77"/>
        <v>0</v>
      </c>
      <c r="BF110" s="686">
        <f t="shared" si="78"/>
        <v>0</v>
      </c>
      <c r="BG110" s="685" t="e">
        <f t="shared" si="79"/>
        <v>#DIV/0!</v>
      </c>
      <c r="BH110" s="276" t="e">
        <f t="shared" si="80"/>
        <v>#DIV/0!</v>
      </c>
      <c r="BI110" s="276" t="e">
        <f t="shared" si="81"/>
        <v>#DIV/0!</v>
      </c>
      <c r="BJ110" s="276" t="e">
        <f t="shared" si="82"/>
        <v>#DIV/0!</v>
      </c>
      <c r="BK110" s="276" t="e">
        <f t="shared" si="83"/>
        <v>#DIV/0!</v>
      </c>
      <c r="BL110" s="686" t="e">
        <f t="shared" si="84"/>
        <v>#DIV/0!</v>
      </c>
      <c r="BM110" s="239"/>
      <c r="BN110" s="965" t="e">
        <f t="shared" si="85"/>
        <v>#VALUE!</v>
      </c>
      <c r="BO110" s="878" t="e">
        <f t="shared" si="86"/>
        <v>#VALUE!</v>
      </c>
      <c r="BP110" s="878" t="e">
        <f t="shared" si="87"/>
        <v>#VALUE!</v>
      </c>
      <c r="BQ110" s="878" t="e">
        <f t="shared" si="88"/>
        <v>#VALUE!</v>
      </c>
      <c r="BR110" s="878" t="e">
        <f t="shared" si="89"/>
        <v>#VALUE!</v>
      </c>
      <c r="BS110" s="966" t="e">
        <f t="shared" si="90"/>
        <v>#VALUE!</v>
      </c>
    </row>
    <row r="111" spans="1:71">
      <c r="A111" s="284">
        <f t="shared" si="91"/>
        <v>43</v>
      </c>
      <c r="B111" s="285">
        <v>-5.2352439198747813</v>
      </c>
      <c r="C111" s="285">
        <v>2.7158862334889795</v>
      </c>
      <c r="D111" s="285">
        <v>1.4685671144046637</v>
      </c>
      <c r="E111" s="285">
        <v>6.2768800209464608</v>
      </c>
      <c r="H111" s="685">
        <f t="shared" si="32"/>
        <v>-6.3684777616438364</v>
      </c>
      <c r="I111" s="276">
        <f t="shared" si="33"/>
        <v>-6.6614580799138601</v>
      </c>
      <c r="J111" s="276">
        <f t="shared" si="34"/>
        <v>-4.3058819930995904</v>
      </c>
      <c r="K111" s="276">
        <f t="shared" si="35"/>
        <v>-0.39076166666908463</v>
      </c>
      <c r="L111" s="276">
        <f t="shared" si="36"/>
        <v>-0.8403996668818019</v>
      </c>
      <c r="M111" s="276">
        <f t="shared" si="37"/>
        <v>-3.9276111213213509</v>
      </c>
      <c r="N111" s="685">
        <f t="shared" si="38"/>
        <v>1.5087150225171111</v>
      </c>
      <c r="O111" s="276">
        <f t="shared" si="39"/>
        <v>1.0012161726385471</v>
      </c>
      <c r="P111" s="276">
        <f t="shared" si="40"/>
        <v>0.92533936233312519</v>
      </c>
      <c r="Q111" s="276">
        <f t="shared" si="41"/>
        <v>1.6531641780322157</v>
      </c>
      <c r="R111" s="276">
        <f t="shared" si="42"/>
        <v>1.0886440365183627</v>
      </c>
      <c r="S111" s="686">
        <f t="shared" si="43"/>
        <v>1.4294850323227262</v>
      </c>
      <c r="T111" s="685">
        <f t="shared" si="44"/>
        <v>4.7469308046755891</v>
      </c>
      <c r="U111" s="276">
        <f t="shared" si="45"/>
        <v>3.9286362431519701</v>
      </c>
      <c r="V111" s="276">
        <f t="shared" si="46"/>
        <v>5.5694865953801624</v>
      </c>
      <c r="W111" s="276">
        <f t="shared" si="47"/>
        <v>5.1490004571573849</v>
      </c>
      <c r="X111" s="276">
        <f t="shared" si="48"/>
        <v>4.3045720054074756</v>
      </c>
      <c r="Y111" s="686">
        <f t="shared" si="49"/>
        <v>3.329216054697806</v>
      </c>
      <c r="Z111" s="685" t="e">
        <f t="shared" si="50"/>
        <v>#DIV/0!</v>
      </c>
      <c r="AA111" s="276" t="e">
        <f t="shared" si="51"/>
        <v>#DIV/0!</v>
      </c>
      <c r="AB111" s="276" t="e">
        <f t="shared" si="52"/>
        <v>#DIV/0!</v>
      </c>
      <c r="AC111" s="276" t="e">
        <f t="shared" si="53"/>
        <v>#DIV/0!</v>
      </c>
      <c r="AD111" s="276" t="e">
        <f t="shared" si="54"/>
        <v>#DIV/0!</v>
      </c>
      <c r="AE111" s="686" t="e">
        <f t="shared" si="55"/>
        <v>#DIV/0!</v>
      </c>
      <c r="AF111" s="239"/>
      <c r="AG111" s="965" t="e">
        <f t="shared" si="56"/>
        <v>#VALUE!</v>
      </c>
      <c r="AH111" s="878" t="e">
        <f t="shared" si="57"/>
        <v>#VALUE!</v>
      </c>
      <c r="AI111" s="878" t="e">
        <f t="shared" si="92"/>
        <v>#VALUE!</v>
      </c>
      <c r="AJ111" s="878" t="e">
        <f t="shared" si="58"/>
        <v>#VALUE!</v>
      </c>
      <c r="AK111" s="878" t="e">
        <f t="shared" si="59"/>
        <v>#VALUE!</v>
      </c>
      <c r="AL111" s="966" t="e">
        <f t="shared" si="60"/>
        <v>#VALUE!</v>
      </c>
      <c r="AM111" s="239"/>
      <c r="AO111" s="685">
        <f t="shared" si="61"/>
        <v>-6.3684777616438364</v>
      </c>
      <c r="AP111" s="276">
        <f t="shared" si="62"/>
        <v>-6.6614580799138601</v>
      </c>
      <c r="AQ111" s="276">
        <f t="shared" si="63"/>
        <v>-4.3058819930995904</v>
      </c>
      <c r="AR111" s="276">
        <f t="shared" si="64"/>
        <v>-0.39076166666908463</v>
      </c>
      <c r="AS111" s="276">
        <f t="shared" si="65"/>
        <v>-0.8403996668818019</v>
      </c>
      <c r="AT111" s="276">
        <f t="shared" si="66"/>
        <v>-3.9276111213213509</v>
      </c>
      <c r="AU111" s="685">
        <f t="shared" si="67"/>
        <v>1.5087150225171111</v>
      </c>
      <c r="AV111" s="276">
        <f t="shared" si="68"/>
        <v>1.0012161726385471</v>
      </c>
      <c r="AW111" s="276">
        <f t="shared" si="69"/>
        <v>0.92533936233312519</v>
      </c>
      <c r="AX111" s="276">
        <f t="shared" si="70"/>
        <v>1.6531641780322157</v>
      </c>
      <c r="AY111" s="276">
        <f t="shared" si="71"/>
        <v>1.0886440365183627</v>
      </c>
      <c r="AZ111" s="686">
        <f t="shared" si="72"/>
        <v>1.4294850323227262</v>
      </c>
      <c r="BA111" s="685">
        <f t="shared" si="73"/>
        <v>0</v>
      </c>
      <c r="BB111" s="276">
        <f t="shared" si="74"/>
        <v>0</v>
      </c>
      <c r="BC111" s="276">
        <f t="shared" si="75"/>
        <v>0</v>
      </c>
      <c r="BD111" s="276">
        <f t="shared" si="76"/>
        <v>0</v>
      </c>
      <c r="BE111" s="276">
        <f t="shared" si="77"/>
        <v>0</v>
      </c>
      <c r="BF111" s="686">
        <f t="shared" si="78"/>
        <v>0</v>
      </c>
      <c r="BG111" s="685" t="e">
        <f t="shared" si="79"/>
        <v>#DIV/0!</v>
      </c>
      <c r="BH111" s="276" t="e">
        <f t="shared" si="80"/>
        <v>#DIV/0!</v>
      </c>
      <c r="BI111" s="276" t="e">
        <f t="shared" si="81"/>
        <v>#DIV/0!</v>
      </c>
      <c r="BJ111" s="276" t="e">
        <f t="shared" si="82"/>
        <v>#DIV/0!</v>
      </c>
      <c r="BK111" s="276" t="e">
        <f t="shared" si="83"/>
        <v>#DIV/0!</v>
      </c>
      <c r="BL111" s="686" t="e">
        <f t="shared" si="84"/>
        <v>#DIV/0!</v>
      </c>
      <c r="BM111" s="239"/>
      <c r="BN111" s="965" t="e">
        <f t="shared" si="85"/>
        <v>#VALUE!</v>
      </c>
      <c r="BO111" s="878" t="e">
        <f t="shared" si="86"/>
        <v>#VALUE!</v>
      </c>
      <c r="BP111" s="878" t="e">
        <f t="shared" si="87"/>
        <v>#VALUE!</v>
      </c>
      <c r="BQ111" s="878" t="e">
        <f t="shared" si="88"/>
        <v>#VALUE!</v>
      </c>
      <c r="BR111" s="878" t="e">
        <f t="shared" si="89"/>
        <v>#VALUE!</v>
      </c>
      <c r="BS111" s="966" t="e">
        <f t="shared" si="90"/>
        <v>#VALUE!</v>
      </c>
    </row>
    <row r="112" spans="1:71">
      <c r="A112" s="284">
        <f t="shared" si="91"/>
        <v>44</v>
      </c>
      <c r="B112" s="285">
        <v>-6.2731835414784101</v>
      </c>
      <c r="C112" s="285">
        <v>2.2289703579907703</v>
      </c>
      <c r="D112" s="285">
        <v>-1.3571569974305326</v>
      </c>
      <c r="E112" s="285">
        <v>4.3135053377984427</v>
      </c>
      <c r="H112" s="685">
        <f t="shared" si="32"/>
        <v>-7.4064173832474651</v>
      </c>
      <c r="I112" s="276">
        <f t="shared" si="33"/>
        <v>-4.516602703440979</v>
      </c>
      <c r="J112" s="276">
        <f t="shared" si="34"/>
        <v>-1.1088293824505853</v>
      </c>
      <c r="K112" s="276">
        <f t="shared" si="35"/>
        <v>-0.28951699868311209</v>
      </c>
      <c r="L112" s="276">
        <f t="shared" si="36"/>
        <v>-2.4899255044368775</v>
      </c>
      <c r="M112" s="276">
        <f t="shared" si="37"/>
        <v>-2.7666133873228969</v>
      </c>
      <c r="N112" s="685">
        <f t="shared" si="38"/>
        <v>1.0217991470189018</v>
      </c>
      <c r="O112" s="276">
        <f t="shared" si="39"/>
        <v>0.73828694265235262</v>
      </c>
      <c r="P112" s="276">
        <f t="shared" si="40"/>
        <v>1.356014964849187</v>
      </c>
      <c r="Q112" s="276">
        <f t="shared" si="41"/>
        <v>1.1911912694713849</v>
      </c>
      <c r="R112" s="276">
        <f t="shared" si="42"/>
        <v>0.60399725244933933</v>
      </c>
      <c r="S112" s="686">
        <f t="shared" si="43"/>
        <v>0.81540558995299484</v>
      </c>
      <c r="T112" s="685">
        <f t="shared" si="44"/>
        <v>1.9212066928403932</v>
      </c>
      <c r="U112" s="276">
        <f t="shared" si="45"/>
        <v>2.5161921337359319</v>
      </c>
      <c r="V112" s="276">
        <f t="shared" si="46"/>
        <v>2.0996405330242833</v>
      </c>
      <c r="W112" s="276">
        <f t="shared" si="47"/>
        <v>5.7161382381346701</v>
      </c>
      <c r="X112" s="276">
        <f t="shared" si="48"/>
        <v>4.3442083312394395</v>
      </c>
      <c r="Y112" s="686">
        <f t="shared" si="49"/>
        <v>4.813185032542207</v>
      </c>
      <c r="Z112" s="685" t="e">
        <f t="shared" si="50"/>
        <v>#DIV/0!</v>
      </c>
      <c r="AA112" s="276" t="e">
        <f t="shared" si="51"/>
        <v>#DIV/0!</v>
      </c>
      <c r="AB112" s="276" t="e">
        <f t="shared" si="52"/>
        <v>#DIV/0!</v>
      </c>
      <c r="AC112" s="276" t="e">
        <f t="shared" si="53"/>
        <v>#DIV/0!</v>
      </c>
      <c r="AD112" s="276" t="e">
        <f t="shared" si="54"/>
        <v>#DIV/0!</v>
      </c>
      <c r="AE112" s="686" t="e">
        <f t="shared" si="55"/>
        <v>#DIV/0!</v>
      </c>
      <c r="AF112" s="239"/>
      <c r="AG112" s="965" t="e">
        <f t="shared" si="56"/>
        <v>#VALUE!</v>
      </c>
      <c r="AH112" s="878" t="e">
        <f t="shared" si="57"/>
        <v>#VALUE!</v>
      </c>
      <c r="AI112" s="878" t="e">
        <f t="shared" si="92"/>
        <v>#VALUE!</v>
      </c>
      <c r="AJ112" s="878" t="e">
        <f t="shared" si="58"/>
        <v>#VALUE!</v>
      </c>
      <c r="AK112" s="878" t="e">
        <f t="shared" si="59"/>
        <v>#VALUE!</v>
      </c>
      <c r="AL112" s="966" t="e">
        <f t="shared" si="60"/>
        <v>#VALUE!</v>
      </c>
      <c r="AM112" s="239"/>
      <c r="AO112" s="685">
        <f t="shared" si="61"/>
        <v>-7.4064173832474651</v>
      </c>
      <c r="AP112" s="276">
        <f t="shared" si="62"/>
        <v>-4.516602703440979</v>
      </c>
      <c r="AQ112" s="276">
        <f t="shared" si="63"/>
        <v>-1.1088293824505853</v>
      </c>
      <c r="AR112" s="276">
        <f t="shared" si="64"/>
        <v>-0.28951699868311209</v>
      </c>
      <c r="AS112" s="276">
        <f t="shared" si="65"/>
        <v>-2.4899255044368775</v>
      </c>
      <c r="AT112" s="276">
        <f t="shared" si="66"/>
        <v>-2.7666133873228969</v>
      </c>
      <c r="AU112" s="685">
        <f t="shared" si="67"/>
        <v>1.0217991470189018</v>
      </c>
      <c r="AV112" s="276">
        <f t="shared" si="68"/>
        <v>0.73828694265235262</v>
      </c>
      <c r="AW112" s="276">
        <f t="shared" si="69"/>
        <v>1.356014964849187</v>
      </c>
      <c r="AX112" s="276">
        <f t="shared" si="70"/>
        <v>1.1911912694713849</v>
      </c>
      <c r="AY112" s="276">
        <f t="shared" si="71"/>
        <v>0.60399725244933933</v>
      </c>
      <c r="AZ112" s="686">
        <f t="shared" si="72"/>
        <v>0.81540558995299484</v>
      </c>
      <c r="BA112" s="685">
        <f t="shared" si="73"/>
        <v>0</v>
      </c>
      <c r="BB112" s="276">
        <f t="shared" si="74"/>
        <v>0</v>
      </c>
      <c r="BC112" s="276">
        <f t="shared" si="75"/>
        <v>0</v>
      </c>
      <c r="BD112" s="276">
        <f t="shared" si="76"/>
        <v>0</v>
      </c>
      <c r="BE112" s="276">
        <f t="shared" si="77"/>
        <v>0</v>
      </c>
      <c r="BF112" s="686">
        <f t="shared" si="78"/>
        <v>0</v>
      </c>
      <c r="BG112" s="685" t="e">
        <f t="shared" si="79"/>
        <v>#DIV/0!</v>
      </c>
      <c r="BH112" s="276" t="e">
        <f t="shared" si="80"/>
        <v>#DIV/0!</v>
      </c>
      <c r="BI112" s="276" t="e">
        <f t="shared" si="81"/>
        <v>#DIV/0!</v>
      </c>
      <c r="BJ112" s="276" t="e">
        <f t="shared" si="82"/>
        <v>#DIV/0!</v>
      </c>
      <c r="BK112" s="276" t="e">
        <f t="shared" si="83"/>
        <v>#DIV/0!</v>
      </c>
      <c r="BL112" s="686" t="e">
        <f t="shared" si="84"/>
        <v>#DIV/0!</v>
      </c>
      <c r="BM112" s="239"/>
      <c r="BN112" s="965" t="e">
        <f t="shared" si="85"/>
        <v>#VALUE!</v>
      </c>
      <c r="BO112" s="878" t="e">
        <f t="shared" si="86"/>
        <v>#VALUE!</v>
      </c>
      <c r="BP112" s="878" t="e">
        <f t="shared" si="87"/>
        <v>#VALUE!</v>
      </c>
      <c r="BQ112" s="878" t="e">
        <f t="shared" si="88"/>
        <v>#VALUE!</v>
      </c>
      <c r="BR112" s="878" t="e">
        <f t="shared" si="89"/>
        <v>#VALUE!</v>
      </c>
      <c r="BS112" s="966" t="e">
        <f t="shared" si="90"/>
        <v>#VALUE!</v>
      </c>
    </row>
    <row r="113" spans="1:71">
      <c r="A113" s="284">
        <f t="shared" si="91"/>
        <v>45</v>
      </c>
      <c r="B113" s="285">
        <v>-0.25566724107784955</v>
      </c>
      <c r="C113" s="285">
        <v>3.3948815787441662</v>
      </c>
      <c r="D113" s="285">
        <v>1.4389348617998563</v>
      </c>
      <c r="E113" s="285">
        <v>9.4223576102229547</v>
      </c>
      <c r="H113" s="685">
        <f t="shared" si="32"/>
        <v>-1.3889010828469044</v>
      </c>
      <c r="I113" s="276">
        <f t="shared" si="33"/>
        <v>-4.0783754114676993</v>
      </c>
      <c r="J113" s="276">
        <f t="shared" si="34"/>
        <v>3.2106664814971086</v>
      </c>
      <c r="K113" s="276">
        <f t="shared" si="35"/>
        <v>-3.5050857278881491</v>
      </c>
      <c r="L113" s="276">
        <f t="shared" si="36"/>
        <v>-2.353142560249375</v>
      </c>
      <c r="M113" s="276">
        <f t="shared" si="37"/>
        <v>-3.1929794425797891</v>
      </c>
      <c r="N113" s="685">
        <f t="shared" si="38"/>
        <v>2.187710367772298</v>
      </c>
      <c r="O113" s="276">
        <f t="shared" si="39"/>
        <v>1.6521059966434122</v>
      </c>
      <c r="P113" s="276">
        <f t="shared" si="40"/>
        <v>1.7313552995507375</v>
      </c>
      <c r="Q113" s="276">
        <f t="shared" si="41"/>
        <v>0.38083309950177102</v>
      </c>
      <c r="R113" s="276">
        <f t="shared" si="42"/>
        <v>-2.7454069353041621E-2</v>
      </c>
      <c r="S113" s="686">
        <f t="shared" si="43"/>
        <v>2.2737740407910589</v>
      </c>
      <c r="T113" s="685">
        <f t="shared" si="44"/>
        <v>4.7172985520707824</v>
      </c>
      <c r="U113" s="276">
        <f t="shared" si="45"/>
        <v>1.300370373495479</v>
      </c>
      <c r="V113" s="276">
        <f t="shared" si="46"/>
        <v>4.9762932190454965</v>
      </c>
      <c r="W113" s="276">
        <f t="shared" si="47"/>
        <v>2.4489085501959114</v>
      </c>
      <c r="X113" s="276">
        <f t="shared" si="48"/>
        <v>5.7659390049446504</v>
      </c>
      <c r="Y113" s="686">
        <f t="shared" si="49"/>
        <v>3.1978455494224605</v>
      </c>
      <c r="Z113" s="685" t="e">
        <f t="shared" si="50"/>
        <v>#DIV/0!</v>
      </c>
      <c r="AA113" s="276" t="e">
        <f t="shared" si="51"/>
        <v>#DIV/0!</v>
      </c>
      <c r="AB113" s="276" t="e">
        <f t="shared" si="52"/>
        <v>#DIV/0!</v>
      </c>
      <c r="AC113" s="276" t="e">
        <f t="shared" si="53"/>
        <v>#DIV/0!</v>
      </c>
      <c r="AD113" s="276" t="e">
        <f t="shared" si="54"/>
        <v>#DIV/0!</v>
      </c>
      <c r="AE113" s="686" t="e">
        <f t="shared" si="55"/>
        <v>#DIV/0!</v>
      </c>
      <c r="AF113" s="239"/>
      <c r="AG113" s="965" t="e">
        <f t="shared" si="56"/>
        <v>#VALUE!</v>
      </c>
      <c r="AH113" s="878" t="e">
        <f t="shared" si="57"/>
        <v>#VALUE!</v>
      </c>
      <c r="AI113" s="878" t="e">
        <f t="shared" si="92"/>
        <v>#VALUE!</v>
      </c>
      <c r="AJ113" s="878" t="e">
        <f t="shared" si="58"/>
        <v>#VALUE!</v>
      </c>
      <c r="AK113" s="878" t="e">
        <f t="shared" si="59"/>
        <v>#VALUE!</v>
      </c>
      <c r="AL113" s="966" t="e">
        <f t="shared" si="60"/>
        <v>#VALUE!</v>
      </c>
      <c r="AM113" s="239"/>
      <c r="AO113" s="685">
        <f t="shared" si="61"/>
        <v>-1.3889010828469044</v>
      </c>
      <c r="AP113" s="276">
        <f t="shared" si="62"/>
        <v>-4.0783754114676993</v>
      </c>
      <c r="AQ113" s="276">
        <f t="shared" si="63"/>
        <v>3.2106664814971086</v>
      </c>
      <c r="AR113" s="276">
        <f t="shared" si="64"/>
        <v>-3.5050857278881491</v>
      </c>
      <c r="AS113" s="276">
        <f t="shared" si="65"/>
        <v>-2.353142560249375</v>
      </c>
      <c r="AT113" s="276">
        <f t="shared" si="66"/>
        <v>-3.1929794425797891</v>
      </c>
      <c r="AU113" s="685">
        <f t="shared" si="67"/>
        <v>2.187710367772298</v>
      </c>
      <c r="AV113" s="276">
        <f t="shared" si="68"/>
        <v>1.6521059966434122</v>
      </c>
      <c r="AW113" s="276">
        <f t="shared" si="69"/>
        <v>1.7313552995507375</v>
      </c>
      <c r="AX113" s="276">
        <f t="shared" si="70"/>
        <v>0.38083309950177102</v>
      </c>
      <c r="AY113" s="276">
        <f t="shared" si="71"/>
        <v>-2.7454069353041621E-2</v>
      </c>
      <c r="AZ113" s="686">
        <f t="shared" si="72"/>
        <v>2.2737740407910589</v>
      </c>
      <c r="BA113" s="685">
        <f t="shared" si="73"/>
        <v>0</v>
      </c>
      <c r="BB113" s="276">
        <f t="shared" si="74"/>
        <v>0</v>
      </c>
      <c r="BC113" s="276">
        <f t="shared" si="75"/>
        <v>0</v>
      </c>
      <c r="BD113" s="276">
        <f t="shared" si="76"/>
        <v>0</v>
      </c>
      <c r="BE113" s="276">
        <f t="shared" si="77"/>
        <v>0</v>
      </c>
      <c r="BF113" s="686">
        <f t="shared" si="78"/>
        <v>0</v>
      </c>
      <c r="BG113" s="685" t="e">
        <f t="shared" si="79"/>
        <v>#DIV/0!</v>
      </c>
      <c r="BH113" s="276" t="e">
        <f t="shared" si="80"/>
        <v>#DIV/0!</v>
      </c>
      <c r="BI113" s="276" t="e">
        <f t="shared" si="81"/>
        <v>#DIV/0!</v>
      </c>
      <c r="BJ113" s="276" t="e">
        <f t="shared" si="82"/>
        <v>#DIV/0!</v>
      </c>
      <c r="BK113" s="276" t="e">
        <f t="shared" si="83"/>
        <v>#DIV/0!</v>
      </c>
      <c r="BL113" s="686" t="e">
        <f t="shared" si="84"/>
        <v>#DIV/0!</v>
      </c>
      <c r="BM113" s="239"/>
      <c r="BN113" s="965" t="e">
        <f t="shared" si="85"/>
        <v>#VALUE!</v>
      </c>
      <c r="BO113" s="878" t="e">
        <f t="shared" si="86"/>
        <v>#VALUE!</v>
      </c>
      <c r="BP113" s="878" t="e">
        <f t="shared" si="87"/>
        <v>#VALUE!</v>
      </c>
      <c r="BQ113" s="878" t="e">
        <f t="shared" si="88"/>
        <v>#VALUE!</v>
      </c>
      <c r="BR113" s="878" t="e">
        <f t="shared" si="89"/>
        <v>#VALUE!</v>
      </c>
      <c r="BS113" s="966" t="e">
        <f t="shared" si="90"/>
        <v>#VALUE!</v>
      </c>
    </row>
    <row r="114" spans="1:71">
      <c r="A114" s="284">
        <f t="shared" si="91"/>
        <v>46</v>
      </c>
      <c r="B114" s="285">
        <v>-2.3480176950145353</v>
      </c>
      <c r="C114" s="285">
        <v>1.8921548918699687</v>
      </c>
      <c r="D114" s="285">
        <v>-0.12515004770734284</v>
      </c>
      <c r="E114" s="285">
        <v>-9.4552710972619547</v>
      </c>
      <c r="H114" s="685">
        <f t="shared" si="32"/>
        <v>-3.4812515367835903</v>
      </c>
      <c r="I114" s="276">
        <f t="shared" si="33"/>
        <v>-3.5038108429347794</v>
      </c>
      <c r="J114" s="276">
        <f t="shared" si="34"/>
        <v>-2.1959034073874069</v>
      </c>
      <c r="K114" s="276">
        <f t="shared" si="35"/>
        <v>-4.2699784992969656</v>
      </c>
      <c r="L114" s="276">
        <f t="shared" si="36"/>
        <v>-2.0451206272466607</v>
      </c>
      <c r="M114" s="276">
        <f t="shared" si="37"/>
        <v>1.1871203036164732</v>
      </c>
      <c r="N114" s="685">
        <f t="shared" si="38"/>
        <v>0.68498368089810024</v>
      </c>
      <c r="O114" s="276">
        <f t="shared" si="39"/>
        <v>1.2960992473782313</v>
      </c>
      <c r="P114" s="276">
        <f t="shared" si="40"/>
        <v>1.2302311448717618</v>
      </c>
      <c r="Q114" s="276">
        <f t="shared" si="41"/>
        <v>0.4163176626177143</v>
      </c>
      <c r="R114" s="276">
        <f t="shared" si="42"/>
        <v>1.7841166462551714</v>
      </c>
      <c r="S114" s="686">
        <f t="shared" si="43"/>
        <v>1.1069299692598673</v>
      </c>
      <c r="T114" s="685">
        <f t="shared" si="44"/>
        <v>3.1532136425635828</v>
      </c>
      <c r="U114" s="276">
        <f t="shared" si="45"/>
        <v>5.9674517282089443</v>
      </c>
      <c r="V114" s="276">
        <f t="shared" si="46"/>
        <v>6.7919924072757922</v>
      </c>
      <c r="W114" s="276">
        <f t="shared" si="47"/>
        <v>6.4273446247894732</v>
      </c>
      <c r="X114" s="276">
        <f t="shared" si="48"/>
        <v>2.70896567571249</v>
      </c>
      <c r="Y114" s="686">
        <f t="shared" si="49"/>
        <v>7.0392168405328075</v>
      </c>
      <c r="Z114" s="685" t="e">
        <f t="shared" si="50"/>
        <v>#DIV/0!</v>
      </c>
      <c r="AA114" s="276" t="e">
        <f t="shared" si="51"/>
        <v>#DIV/0!</v>
      </c>
      <c r="AB114" s="276" t="e">
        <f t="shared" si="52"/>
        <v>#DIV/0!</v>
      </c>
      <c r="AC114" s="276" t="e">
        <f t="shared" si="53"/>
        <v>#DIV/0!</v>
      </c>
      <c r="AD114" s="276" t="e">
        <f t="shared" si="54"/>
        <v>#DIV/0!</v>
      </c>
      <c r="AE114" s="686" t="e">
        <f t="shared" si="55"/>
        <v>#DIV/0!</v>
      </c>
      <c r="AF114" s="239"/>
      <c r="AG114" s="965" t="e">
        <f t="shared" si="56"/>
        <v>#VALUE!</v>
      </c>
      <c r="AH114" s="878" t="e">
        <f t="shared" si="57"/>
        <v>#VALUE!</v>
      </c>
      <c r="AI114" s="878" t="e">
        <f t="shared" si="92"/>
        <v>#VALUE!</v>
      </c>
      <c r="AJ114" s="878" t="e">
        <f t="shared" si="58"/>
        <v>#VALUE!</v>
      </c>
      <c r="AK114" s="878" t="e">
        <f t="shared" si="59"/>
        <v>#VALUE!</v>
      </c>
      <c r="AL114" s="966" t="e">
        <f t="shared" si="60"/>
        <v>#VALUE!</v>
      </c>
      <c r="AM114" s="239"/>
      <c r="AO114" s="685">
        <f t="shared" si="61"/>
        <v>-3.4812515367835903</v>
      </c>
      <c r="AP114" s="276">
        <f t="shared" si="62"/>
        <v>-3.5038108429347794</v>
      </c>
      <c r="AQ114" s="276">
        <f t="shared" si="63"/>
        <v>-2.1959034073874069</v>
      </c>
      <c r="AR114" s="276">
        <f t="shared" si="64"/>
        <v>-4.2699784992969656</v>
      </c>
      <c r="AS114" s="276">
        <f t="shared" si="65"/>
        <v>-2.0451206272466607</v>
      </c>
      <c r="AT114" s="276">
        <f t="shared" si="66"/>
        <v>1.1871203036164732</v>
      </c>
      <c r="AU114" s="685">
        <f t="shared" si="67"/>
        <v>0.68498368089810024</v>
      </c>
      <c r="AV114" s="276">
        <f t="shared" si="68"/>
        <v>1.2960992473782313</v>
      </c>
      <c r="AW114" s="276">
        <f t="shared" si="69"/>
        <v>1.2302311448717618</v>
      </c>
      <c r="AX114" s="276">
        <f t="shared" si="70"/>
        <v>0.4163176626177143</v>
      </c>
      <c r="AY114" s="276">
        <f t="shared" si="71"/>
        <v>1.7841166462551714</v>
      </c>
      <c r="AZ114" s="686">
        <f t="shared" si="72"/>
        <v>1.1069299692598673</v>
      </c>
      <c r="BA114" s="685">
        <f t="shared" si="73"/>
        <v>0</v>
      </c>
      <c r="BB114" s="276">
        <f t="shared" si="74"/>
        <v>0</v>
      </c>
      <c r="BC114" s="276">
        <f t="shared" si="75"/>
        <v>0</v>
      </c>
      <c r="BD114" s="276">
        <f t="shared" si="76"/>
        <v>0</v>
      </c>
      <c r="BE114" s="276">
        <f t="shared" si="77"/>
        <v>0</v>
      </c>
      <c r="BF114" s="686">
        <f t="shared" si="78"/>
        <v>0</v>
      </c>
      <c r="BG114" s="685" t="e">
        <f t="shared" si="79"/>
        <v>#DIV/0!</v>
      </c>
      <c r="BH114" s="276" t="e">
        <f t="shared" si="80"/>
        <v>#DIV/0!</v>
      </c>
      <c r="BI114" s="276" t="e">
        <f t="shared" si="81"/>
        <v>#DIV/0!</v>
      </c>
      <c r="BJ114" s="276" t="e">
        <f t="shared" si="82"/>
        <v>#DIV/0!</v>
      </c>
      <c r="BK114" s="276" t="e">
        <f t="shared" si="83"/>
        <v>#DIV/0!</v>
      </c>
      <c r="BL114" s="686" t="e">
        <f t="shared" si="84"/>
        <v>#DIV/0!</v>
      </c>
      <c r="BM114" s="239"/>
      <c r="BN114" s="965" t="e">
        <f t="shared" si="85"/>
        <v>#VALUE!</v>
      </c>
      <c r="BO114" s="878" t="e">
        <f t="shared" si="86"/>
        <v>#VALUE!</v>
      </c>
      <c r="BP114" s="878" t="e">
        <f t="shared" si="87"/>
        <v>#VALUE!</v>
      </c>
      <c r="BQ114" s="878" t="e">
        <f t="shared" si="88"/>
        <v>#VALUE!</v>
      </c>
      <c r="BR114" s="878" t="e">
        <f t="shared" si="89"/>
        <v>#VALUE!</v>
      </c>
      <c r="BS114" s="966" t="e">
        <f t="shared" si="90"/>
        <v>#VALUE!</v>
      </c>
    </row>
    <row r="115" spans="1:71">
      <c r="A115" s="284">
        <f t="shared" si="91"/>
        <v>47</v>
      </c>
      <c r="B115" s="285">
        <v>-3.2228188385405492</v>
      </c>
      <c r="C115" s="285">
        <v>2.4891496917628113</v>
      </c>
      <c r="D115" s="285">
        <v>0.19889229749159809</v>
      </c>
      <c r="E115" s="285">
        <v>6.0829588617382448</v>
      </c>
      <c r="H115" s="685">
        <f t="shared" si="32"/>
        <v>-4.3560526803096042</v>
      </c>
      <c r="I115" s="276">
        <f t="shared" si="33"/>
        <v>-2.752684367269719</v>
      </c>
      <c r="J115" s="276">
        <f t="shared" si="34"/>
        <v>0.40829947499252373</v>
      </c>
      <c r="K115" s="276">
        <f t="shared" si="35"/>
        <v>-2.8357060627710284</v>
      </c>
      <c r="L115" s="276">
        <f t="shared" si="36"/>
        <v>-0.33288610129576912</v>
      </c>
      <c r="M115" s="276">
        <f t="shared" si="37"/>
        <v>0.46974695831012792</v>
      </c>
      <c r="N115" s="685">
        <f t="shared" si="38"/>
        <v>1.2819784807909429</v>
      </c>
      <c r="O115" s="276">
        <f t="shared" si="39"/>
        <v>1.3039818172869209</v>
      </c>
      <c r="P115" s="276">
        <f t="shared" si="40"/>
        <v>0.95406079748812656</v>
      </c>
      <c r="Q115" s="276">
        <f t="shared" si="41"/>
        <v>1.0436048501669324</v>
      </c>
      <c r="R115" s="276">
        <f t="shared" si="42"/>
        <v>1.2790655632295789</v>
      </c>
      <c r="S115" s="686">
        <f t="shared" si="43"/>
        <v>1.9720751315582368</v>
      </c>
      <c r="T115" s="685">
        <f t="shared" si="44"/>
        <v>3.4772559877625238</v>
      </c>
      <c r="U115" s="276">
        <f t="shared" si="45"/>
        <v>4.67135762363458</v>
      </c>
      <c r="V115" s="276">
        <f t="shared" si="46"/>
        <v>4.8054459824048887</v>
      </c>
      <c r="W115" s="276">
        <f t="shared" si="47"/>
        <v>6.3218066434860383</v>
      </c>
      <c r="X115" s="276">
        <f t="shared" si="48"/>
        <v>4.3033384161371284</v>
      </c>
      <c r="Y115" s="686">
        <f t="shared" si="49"/>
        <v>3.9233789328617839</v>
      </c>
      <c r="Z115" s="685" t="e">
        <f t="shared" si="50"/>
        <v>#DIV/0!</v>
      </c>
      <c r="AA115" s="276" t="e">
        <f t="shared" si="51"/>
        <v>#DIV/0!</v>
      </c>
      <c r="AB115" s="276" t="e">
        <f t="shared" si="52"/>
        <v>#DIV/0!</v>
      </c>
      <c r="AC115" s="276" t="e">
        <f t="shared" si="53"/>
        <v>#DIV/0!</v>
      </c>
      <c r="AD115" s="276" t="e">
        <f t="shared" si="54"/>
        <v>#DIV/0!</v>
      </c>
      <c r="AE115" s="686" t="e">
        <f t="shared" si="55"/>
        <v>#DIV/0!</v>
      </c>
      <c r="AF115" s="239"/>
      <c r="AG115" s="965" t="e">
        <f t="shared" si="56"/>
        <v>#VALUE!</v>
      </c>
      <c r="AH115" s="878" t="e">
        <f t="shared" si="57"/>
        <v>#VALUE!</v>
      </c>
      <c r="AI115" s="878" t="e">
        <f t="shared" si="92"/>
        <v>#VALUE!</v>
      </c>
      <c r="AJ115" s="878" t="e">
        <f t="shared" si="58"/>
        <v>#VALUE!</v>
      </c>
      <c r="AK115" s="878" t="e">
        <f t="shared" si="59"/>
        <v>#VALUE!</v>
      </c>
      <c r="AL115" s="966" t="e">
        <f t="shared" si="60"/>
        <v>#VALUE!</v>
      </c>
      <c r="AM115" s="239"/>
      <c r="AO115" s="685">
        <f t="shared" si="61"/>
        <v>-4.3560526803096042</v>
      </c>
      <c r="AP115" s="276">
        <f t="shared" si="62"/>
        <v>-2.752684367269719</v>
      </c>
      <c r="AQ115" s="276">
        <f t="shared" si="63"/>
        <v>0.40829947499252373</v>
      </c>
      <c r="AR115" s="276">
        <f t="shared" si="64"/>
        <v>-2.8357060627710284</v>
      </c>
      <c r="AS115" s="276">
        <f t="shared" si="65"/>
        <v>-0.33288610129576912</v>
      </c>
      <c r="AT115" s="276">
        <f t="shared" si="66"/>
        <v>0.46974695831012792</v>
      </c>
      <c r="AU115" s="685">
        <f t="shared" si="67"/>
        <v>1.2819784807909429</v>
      </c>
      <c r="AV115" s="276">
        <f t="shared" si="68"/>
        <v>1.3039818172869209</v>
      </c>
      <c r="AW115" s="276">
        <f t="shared" si="69"/>
        <v>0.95406079748812656</v>
      </c>
      <c r="AX115" s="276">
        <f t="shared" si="70"/>
        <v>1.0436048501669324</v>
      </c>
      <c r="AY115" s="276">
        <f t="shared" si="71"/>
        <v>1.2790655632295789</v>
      </c>
      <c r="AZ115" s="686">
        <f t="shared" si="72"/>
        <v>1.9720751315582368</v>
      </c>
      <c r="BA115" s="685">
        <f t="shared" si="73"/>
        <v>0</v>
      </c>
      <c r="BB115" s="276">
        <f t="shared" si="74"/>
        <v>0</v>
      </c>
      <c r="BC115" s="276">
        <f t="shared" si="75"/>
        <v>0</v>
      </c>
      <c r="BD115" s="276">
        <f t="shared" si="76"/>
        <v>0</v>
      </c>
      <c r="BE115" s="276">
        <f t="shared" si="77"/>
        <v>0</v>
      </c>
      <c r="BF115" s="686">
        <f t="shared" si="78"/>
        <v>0</v>
      </c>
      <c r="BG115" s="685" t="e">
        <f t="shared" si="79"/>
        <v>#DIV/0!</v>
      </c>
      <c r="BH115" s="276" t="e">
        <f t="shared" si="80"/>
        <v>#DIV/0!</v>
      </c>
      <c r="BI115" s="276" t="e">
        <f t="shared" si="81"/>
        <v>#DIV/0!</v>
      </c>
      <c r="BJ115" s="276" t="e">
        <f t="shared" si="82"/>
        <v>#DIV/0!</v>
      </c>
      <c r="BK115" s="276" t="e">
        <f t="shared" si="83"/>
        <v>#DIV/0!</v>
      </c>
      <c r="BL115" s="686" t="e">
        <f t="shared" si="84"/>
        <v>#DIV/0!</v>
      </c>
      <c r="BM115" s="239"/>
      <c r="BN115" s="965" t="e">
        <f t="shared" si="85"/>
        <v>#VALUE!</v>
      </c>
      <c r="BO115" s="878" t="e">
        <f t="shared" si="86"/>
        <v>#VALUE!</v>
      </c>
      <c r="BP115" s="878" t="e">
        <f t="shared" si="87"/>
        <v>#VALUE!</v>
      </c>
      <c r="BQ115" s="878" t="e">
        <f t="shared" si="88"/>
        <v>#VALUE!</v>
      </c>
      <c r="BR115" s="878" t="e">
        <f t="shared" si="89"/>
        <v>#VALUE!</v>
      </c>
      <c r="BS115" s="966" t="e">
        <f t="shared" si="90"/>
        <v>#VALUE!</v>
      </c>
    </row>
    <row r="116" spans="1:71">
      <c r="A116" s="284">
        <f t="shared" si="91"/>
        <v>48</v>
      </c>
      <c r="B116" s="285">
        <v>-0.22101610080280662</v>
      </c>
      <c r="C116" s="285">
        <v>1.9170237529630048</v>
      </c>
      <c r="D116" s="285">
        <v>2.5631431012013399</v>
      </c>
      <c r="E116" s="285">
        <v>-7.0953201332106968</v>
      </c>
      <c r="H116" s="685">
        <f t="shared" si="32"/>
        <v>-1.3542499425718615</v>
      </c>
      <c r="I116" s="276">
        <f t="shared" si="33"/>
        <v>-4.7829139979552737E-2</v>
      </c>
      <c r="J116" s="276">
        <f t="shared" si="34"/>
        <v>-4.8501592433760141</v>
      </c>
      <c r="K116" s="276">
        <f t="shared" si="35"/>
        <v>0.54241500310366186</v>
      </c>
      <c r="L116" s="276">
        <f t="shared" si="36"/>
        <v>-2.2035248084705401</v>
      </c>
      <c r="M116" s="276">
        <f t="shared" si="37"/>
        <v>-1.6425386670867554</v>
      </c>
      <c r="N116" s="685">
        <f t="shared" si="38"/>
        <v>0.70985254199113634</v>
      </c>
      <c r="O116" s="276">
        <f t="shared" si="39"/>
        <v>0.4036021839961339</v>
      </c>
      <c r="P116" s="276">
        <f t="shared" si="40"/>
        <v>1.5096865431275208</v>
      </c>
      <c r="Q116" s="276">
        <f t="shared" si="41"/>
        <v>2.3077249952684769</v>
      </c>
      <c r="R116" s="276">
        <f t="shared" si="42"/>
        <v>1.6392290498856512</v>
      </c>
      <c r="S116" s="686">
        <f t="shared" si="43"/>
        <v>1.274834219392097</v>
      </c>
      <c r="T116" s="685">
        <f t="shared" si="44"/>
        <v>5.8415067914722663</v>
      </c>
      <c r="U116" s="276">
        <f t="shared" si="45"/>
        <v>5.2080551394014201</v>
      </c>
      <c r="V116" s="276">
        <f t="shared" si="46"/>
        <v>4.0271911435204224</v>
      </c>
      <c r="W116" s="276">
        <f t="shared" si="47"/>
        <v>2.690709081314747</v>
      </c>
      <c r="X116" s="276">
        <f t="shared" si="48"/>
        <v>4.3409392614453877</v>
      </c>
      <c r="Y116" s="686">
        <f t="shared" si="49"/>
        <v>4.0271472413838048</v>
      </c>
      <c r="Z116" s="685" t="e">
        <f t="shared" si="50"/>
        <v>#DIV/0!</v>
      </c>
      <c r="AA116" s="276" t="e">
        <f t="shared" si="51"/>
        <v>#DIV/0!</v>
      </c>
      <c r="AB116" s="276" t="e">
        <f t="shared" si="52"/>
        <v>#DIV/0!</v>
      </c>
      <c r="AC116" s="276" t="e">
        <f t="shared" si="53"/>
        <v>#DIV/0!</v>
      </c>
      <c r="AD116" s="276" t="e">
        <f t="shared" si="54"/>
        <v>#DIV/0!</v>
      </c>
      <c r="AE116" s="686" t="e">
        <f t="shared" si="55"/>
        <v>#DIV/0!</v>
      </c>
      <c r="AF116" s="239"/>
      <c r="AG116" s="965" t="e">
        <f t="shared" si="56"/>
        <v>#VALUE!</v>
      </c>
      <c r="AH116" s="878" t="e">
        <f t="shared" si="57"/>
        <v>#VALUE!</v>
      </c>
      <c r="AI116" s="878" t="e">
        <f t="shared" si="92"/>
        <v>#VALUE!</v>
      </c>
      <c r="AJ116" s="878" t="e">
        <f t="shared" si="58"/>
        <v>#VALUE!</v>
      </c>
      <c r="AK116" s="878" t="e">
        <f t="shared" si="59"/>
        <v>#VALUE!</v>
      </c>
      <c r="AL116" s="966" t="e">
        <f t="shared" si="60"/>
        <v>#VALUE!</v>
      </c>
      <c r="AM116" s="239"/>
      <c r="AO116" s="685">
        <f t="shared" si="61"/>
        <v>-1.3542499425718615</v>
      </c>
      <c r="AP116" s="276">
        <f t="shared" si="62"/>
        <v>-4.7829139979552737E-2</v>
      </c>
      <c r="AQ116" s="276">
        <f t="shared" si="63"/>
        <v>-4.8501592433760141</v>
      </c>
      <c r="AR116" s="276">
        <f t="shared" si="64"/>
        <v>0.54241500310366186</v>
      </c>
      <c r="AS116" s="276">
        <f t="shared" si="65"/>
        <v>-2.2035248084705401</v>
      </c>
      <c r="AT116" s="276">
        <f t="shared" si="66"/>
        <v>-1.6425386670867554</v>
      </c>
      <c r="AU116" s="685">
        <f t="shared" si="67"/>
        <v>0.70985254199113634</v>
      </c>
      <c r="AV116" s="276">
        <f t="shared" si="68"/>
        <v>0.4036021839961339</v>
      </c>
      <c r="AW116" s="276">
        <f t="shared" si="69"/>
        <v>1.5096865431275208</v>
      </c>
      <c r="AX116" s="276">
        <f t="shared" si="70"/>
        <v>2.3077249952684769</v>
      </c>
      <c r="AY116" s="276">
        <f t="shared" si="71"/>
        <v>1.6392290498856512</v>
      </c>
      <c r="AZ116" s="686">
        <f t="shared" si="72"/>
        <v>1.274834219392097</v>
      </c>
      <c r="BA116" s="685">
        <f t="shared" si="73"/>
        <v>0</v>
      </c>
      <c r="BB116" s="276">
        <f t="shared" si="74"/>
        <v>0</v>
      </c>
      <c r="BC116" s="276">
        <f t="shared" si="75"/>
        <v>0</v>
      </c>
      <c r="BD116" s="276">
        <f t="shared" si="76"/>
        <v>0</v>
      </c>
      <c r="BE116" s="276">
        <f t="shared" si="77"/>
        <v>0</v>
      </c>
      <c r="BF116" s="686">
        <f t="shared" si="78"/>
        <v>0</v>
      </c>
      <c r="BG116" s="685" t="e">
        <f t="shared" si="79"/>
        <v>#DIV/0!</v>
      </c>
      <c r="BH116" s="276" t="e">
        <f t="shared" si="80"/>
        <v>#DIV/0!</v>
      </c>
      <c r="BI116" s="276" t="e">
        <f t="shared" si="81"/>
        <v>#DIV/0!</v>
      </c>
      <c r="BJ116" s="276" t="e">
        <f t="shared" si="82"/>
        <v>#DIV/0!</v>
      </c>
      <c r="BK116" s="276" t="e">
        <f t="shared" si="83"/>
        <v>#DIV/0!</v>
      </c>
      <c r="BL116" s="686" t="e">
        <f t="shared" si="84"/>
        <v>#DIV/0!</v>
      </c>
      <c r="BM116" s="239"/>
      <c r="BN116" s="965" t="e">
        <f t="shared" si="85"/>
        <v>#VALUE!</v>
      </c>
      <c r="BO116" s="878" t="e">
        <f t="shared" si="86"/>
        <v>#VALUE!</v>
      </c>
      <c r="BP116" s="878" t="e">
        <f t="shared" si="87"/>
        <v>#VALUE!</v>
      </c>
      <c r="BQ116" s="878" t="e">
        <f t="shared" si="88"/>
        <v>#VALUE!</v>
      </c>
      <c r="BR116" s="878" t="e">
        <f t="shared" si="89"/>
        <v>#VALUE!</v>
      </c>
      <c r="BS116" s="966" t="e">
        <f t="shared" si="90"/>
        <v>#VALUE!</v>
      </c>
    </row>
    <row r="117" spans="1:71">
      <c r="A117" s="284">
        <f t="shared" si="91"/>
        <v>49</v>
      </c>
      <c r="B117" s="285">
        <v>1.2056875552958779</v>
      </c>
      <c r="C117" s="285">
        <v>3.1932693251115301</v>
      </c>
      <c r="D117" s="285">
        <v>0.44095949869781059</v>
      </c>
      <c r="E117" s="285">
        <v>9.8228890391548269</v>
      </c>
      <c r="H117" s="685">
        <f t="shared" si="32"/>
        <v>7.245371352682306E-2</v>
      </c>
      <c r="I117" s="276">
        <f t="shared" si="33"/>
        <v>-1.1112439715610769</v>
      </c>
      <c r="J117" s="276">
        <f t="shared" si="34"/>
        <v>-0.54805846968302407</v>
      </c>
      <c r="K117" s="276">
        <f t="shared" si="35"/>
        <v>-1.1994911135375097</v>
      </c>
      <c r="L117" s="276">
        <f t="shared" si="36"/>
        <v>-0.29581565421730083</v>
      </c>
      <c r="M117" s="276">
        <f t="shared" si="37"/>
        <v>-0.91168476216303951</v>
      </c>
      <c r="N117" s="685">
        <f t="shared" si="38"/>
        <v>1.9860981141396616</v>
      </c>
      <c r="O117" s="276">
        <f t="shared" si="39"/>
        <v>2.1232921568905292</v>
      </c>
      <c r="P117" s="276">
        <f t="shared" si="40"/>
        <v>1.688336206979334</v>
      </c>
      <c r="Q117" s="276">
        <f t="shared" si="41"/>
        <v>1.5828312472472168</v>
      </c>
      <c r="R117" s="276">
        <f t="shared" si="42"/>
        <v>2.1827361299099621</v>
      </c>
      <c r="S117" s="686">
        <f t="shared" si="43"/>
        <v>0.9684220636024119</v>
      </c>
      <c r="T117" s="685">
        <f t="shared" si="44"/>
        <v>3.7193231889687364</v>
      </c>
      <c r="U117" s="276">
        <f t="shared" si="45"/>
        <v>4.7040031942885534</v>
      </c>
      <c r="V117" s="276">
        <f t="shared" si="46"/>
        <v>4.4362319646486927</v>
      </c>
      <c r="W117" s="276">
        <f t="shared" si="47"/>
        <v>3.8671097628180191</v>
      </c>
      <c r="X117" s="276">
        <f t="shared" si="48"/>
        <v>4.5979866910308775</v>
      </c>
      <c r="Y117" s="686">
        <f t="shared" si="49"/>
        <v>5.1809639174375812</v>
      </c>
      <c r="Z117" s="685" t="e">
        <f t="shared" si="50"/>
        <v>#DIV/0!</v>
      </c>
      <c r="AA117" s="276" t="e">
        <f t="shared" si="51"/>
        <v>#DIV/0!</v>
      </c>
      <c r="AB117" s="276" t="e">
        <f t="shared" si="52"/>
        <v>#DIV/0!</v>
      </c>
      <c r="AC117" s="276" t="e">
        <f t="shared" si="53"/>
        <v>#DIV/0!</v>
      </c>
      <c r="AD117" s="276" t="e">
        <f t="shared" si="54"/>
        <v>#DIV/0!</v>
      </c>
      <c r="AE117" s="686" t="e">
        <f t="shared" si="55"/>
        <v>#DIV/0!</v>
      </c>
      <c r="AF117" s="239"/>
      <c r="AG117" s="965" t="e">
        <f t="shared" si="56"/>
        <v>#VALUE!</v>
      </c>
      <c r="AH117" s="878" t="e">
        <f t="shared" si="57"/>
        <v>#VALUE!</v>
      </c>
      <c r="AI117" s="878" t="e">
        <f t="shared" si="92"/>
        <v>#VALUE!</v>
      </c>
      <c r="AJ117" s="878" t="e">
        <f t="shared" si="58"/>
        <v>#VALUE!</v>
      </c>
      <c r="AK117" s="878" t="e">
        <f t="shared" si="59"/>
        <v>#VALUE!</v>
      </c>
      <c r="AL117" s="966" t="e">
        <f t="shared" si="60"/>
        <v>#VALUE!</v>
      </c>
      <c r="AM117" s="239"/>
      <c r="AO117" s="685">
        <f t="shared" si="61"/>
        <v>7.245371352682306E-2</v>
      </c>
      <c r="AP117" s="276">
        <f t="shared" si="62"/>
        <v>-1.1112439715610769</v>
      </c>
      <c r="AQ117" s="276">
        <f t="shared" si="63"/>
        <v>-0.54805846968302407</v>
      </c>
      <c r="AR117" s="276">
        <f t="shared" si="64"/>
        <v>-1.1994911135375097</v>
      </c>
      <c r="AS117" s="276">
        <f t="shared" si="65"/>
        <v>-0.29581565421730083</v>
      </c>
      <c r="AT117" s="276">
        <f t="shared" si="66"/>
        <v>-0.91168476216303951</v>
      </c>
      <c r="AU117" s="685">
        <f t="shared" si="67"/>
        <v>1.9860981141396616</v>
      </c>
      <c r="AV117" s="276">
        <f t="shared" si="68"/>
        <v>2.1232921568905292</v>
      </c>
      <c r="AW117" s="276">
        <f t="shared" si="69"/>
        <v>1.688336206979334</v>
      </c>
      <c r="AX117" s="276">
        <f t="shared" si="70"/>
        <v>1.5828312472472168</v>
      </c>
      <c r="AY117" s="276">
        <f t="shared" si="71"/>
        <v>2.1827361299099621</v>
      </c>
      <c r="AZ117" s="686">
        <f t="shared" si="72"/>
        <v>0.9684220636024119</v>
      </c>
      <c r="BA117" s="685">
        <f t="shared" si="73"/>
        <v>0</v>
      </c>
      <c r="BB117" s="276">
        <f t="shared" si="74"/>
        <v>0</v>
      </c>
      <c r="BC117" s="276">
        <f t="shared" si="75"/>
        <v>0</v>
      </c>
      <c r="BD117" s="276">
        <f t="shared" si="76"/>
        <v>0</v>
      </c>
      <c r="BE117" s="276">
        <f t="shared" si="77"/>
        <v>0</v>
      </c>
      <c r="BF117" s="686">
        <f t="shared" si="78"/>
        <v>0</v>
      </c>
      <c r="BG117" s="685" t="e">
        <f t="shared" si="79"/>
        <v>#DIV/0!</v>
      </c>
      <c r="BH117" s="276" t="e">
        <f t="shared" si="80"/>
        <v>#DIV/0!</v>
      </c>
      <c r="BI117" s="276" t="e">
        <f t="shared" si="81"/>
        <v>#DIV/0!</v>
      </c>
      <c r="BJ117" s="276" t="e">
        <f t="shared" si="82"/>
        <v>#DIV/0!</v>
      </c>
      <c r="BK117" s="276" t="e">
        <f t="shared" si="83"/>
        <v>#DIV/0!</v>
      </c>
      <c r="BL117" s="686" t="e">
        <f t="shared" si="84"/>
        <v>#DIV/0!</v>
      </c>
      <c r="BM117" s="239"/>
      <c r="BN117" s="965" t="e">
        <f t="shared" si="85"/>
        <v>#VALUE!</v>
      </c>
      <c r="BO117" s="878" t="e">
        <f t="shared" si="86"/>
        <v>#VALUE!</v>
      </c>
      <c r="BP117" s="878" t="e">
        <f t="shared" si="87"/>
        <v>#VALUE!</v>
      </c>
      <c r="BQ117" s="878" t="e">
        <f t="shared" si="88"/>
        <v>#VALUE!</v>
      </c>
      <c r="BR117" s="878" t="e">
        <f t="shared" si="89"/>
        <v>#VALUE!</v>
      </c>
      <c r="BS117" s="966" t="e">
        <f t="shared" si="90"/>
        <v>#VALUE!</v>
      </c>
    </row>
    <row r="118" spans="1:71">
      <c r="A118" s="284">
        <f t="shared" si="91"/>
        <v>50</v>
      </c>
      <c r="B118" s="285">
        <v>2.8503076615856497</v>
      </c>
      <c r="C118" s="285">
        <v>2.5184077512316083</v>
      </c>
      <c r="D118" s="285">
        <v>1.6928722693898559</v>
      </c>
      <c r="E118" s="285">
        <v>-13.29411322670151</v>
      </c>
      <c r="H118" s="685">
        <f t="shared" si="32"/>
        <v>1.7170738198165949</v>
      </c>
      <c r="I118" s="276">
        <f t="shared" si="33"/>
        <v>1.2437576764919014</v>
      </c>
      <c r="J118" s="276">
        <f t="shared" si="34"/>
        <v>6.0956867318764143</v>
      </c>
      <c r="K118" s="276">
        <f t="shared" si="35"/>
        <v>3.8045039115096628</v>
      </c>
      <c r="L118" s="276">
        <f t="shared" si="36"/>
        <v>6.9664759316161451E-3</v>
      </c>
      <c r="M118" s="276">
        <f t="shared" si="37"/>
        <v>-1.4749128600517141</v>
      </c>
      <c r="N118" s="685">
        <f t="shared" si="38"/>
        <v>1.3112365402597399</v>
      </c>
      <c r="O118" s="276">
        <f t="shared" si="39"/>
        <v>1.1821664909719447</v>
      </c>
      <c r="P118" s="276">
        <f t="shared" si="40"/>
        <v>2.0284095127583397</v>
      </c>
      <c r="Q118" s="276">
        <f t="shared" si="41"/>
        <v>2.0241965299344171</v>
      </c>
      <c r="R118" s="276">
        <f t="shared" si="42"/>
        <v>2.1048201276589138</v>
      </c>
      <c r="S118" s="686">
        <f t="shared" si="43"/>
        <v>0.95984284836667366</v>
      </c>
      <c r="T118" s="685">
        <f t="shared" si="44"/>
        <v>4.971235959660782</v>
      </c>
      <c r="U118" s="276">
        <f t="shared" si="45"/>
        <v>4.0087940218405089</v>
      </c>
      <c r="V118" s="276">
        <f t="shared" si="46"/>
        <v>3.7524744091957905</v>
      </c>
      <c r="W118" s="276">
        <f t="shared" si="47"/>
        <v>5.7383303007270374</v>
      </c>
      <c r="X118" s="276">
        <f t="shared" si="48"/>
        <v>5.6996664045100278</v>
      </c>
      <c r="Y118" s="686">
        <f t="shared" si="49"/>
        <v>5.0229088870092795</v>
      </c>
      <c r="Z118" s="685" t="e">
        <f t="shared" si="50"/>
        <v>#DIV/0!</v>
      </c>
      <c r="AA118" s="276" t="e">
        <f t="shared" si="51"/>
        <v>#DIV/0!</v>
      </c>
      <c r="AB118" s="276" t="e">
        <f t="shared" si="52"/>
        <v>#DIV/0!</v>
      </c>
      <c r="AC118" s="276" t="e">
        <f t="shared" si="53"/>
        <v>#DIV/0!</v>
      </c>
      <c r="AD118" s="276" t="e">
        <f t="shared" si="54"/>
        <v>#DIV/0!</v>
      </c>
      <c r="AE118" s="686" t="e">
        <f t="shared" si="55"/>
        <v>#DIV/0!</v>
      </c>
      <c r="AF118" s="239"/>
      <c r="AG118" s="965" t="e">
        <f t="shared" si="56"/>
        <v>#VALUE!</v>
      </c>
      <c r="AH118" s="878" t="e">
        <f t="shared" si="57"/>
        <v>#VALUE!</v>
      </c>
      <c r="AI118" s="878" t="e">
        <f t="shared" si="92"/>
        <v>#VALUE!</v>
      </c>
      <c r="AJ118" s="878" t="e">
        <f t="shared" si="58"/>
        <v>#VALUE!</v>
      </c>
      <c r="AK118" s="878" t="e">
        <f t="shared" si="59"/>
        <v>#VALUE!</v>
      </c>
      <c r="AL118" s="966" t="e">
        <f t="shared" si="60"/>
        <v>#VALUE!</v>
      </c>
      <c r="AM118" s="239"/>
      <c r="AO118" s="685">
        <f t="shared" si="61"/>
        <v>1.7170738198165949</v>
      </c>
      <c r="AP118" s="276">
        <f t="shared" si="62"/>
        <v>1.2437576764919014</v>
      </c>
      <c r="AQ118" s="276">
        <f t="shared" si="63"/>
        <v>6.0956867318764143</v>
      </c>
      <c r="AR118" s="276">
        <f t="shared" si="64"/>
        <v>3.8045039115096628</v>
      </c>
      <c r="AS118" s="276">
        <f t="shared" si="65"/>
        <v>6.9664759316161451E-3</v>
      </c>
      <c r="AT118" s="276">
        <f t="shared" si="66"/>
        <v>-1.4749128600517141</v>
      </c>
      <c r="AU118" s="685">
        <f t="shared" si="67"/>
        <v>1.3112365402597399</v>
      </c>
      <c r="AV118" s="276">
        <f t="shared" si="68"/>
        <v>1.1821664909719447</v>
      </c>
      <c r="AW118" s="276">
        <f t="shared" si="69"/>
        <v>2.0284095127583397</v>
      </c>
      <c r="AX118" s="276">
        <f t="shared" si="70"/>
        <v>2.0241965299344171</v>
      </c>
      <c r="AY118" s="276">
        <f t="shared" si="71"/>
        <v>2.1048201276589138</v>
      </c>
      <c r="AZ118" s="686">
        <f t="shared" si="72"/>
        <v>0.95984284836667366</v>
      </c>
      <c r="BA118" s="685">
        <f t="shared" si="73"/>
        <v>0</v>
      </c>
      <c r="BB118" s="276">
        <f t="shared" si="74"/>
        <v>0</v>
      </c>
      <c r="BC118" s="276">
        <f t="shared" si="75"/>
        <v>0</v>
      </c>
      <c r="BD118" s="276">
        <f t="shared" si="76"/>
        <v>0</v>
      </c>
      <c r="BE118" s="276">
        <f t="shared" si="77"/>
        <v>0</v>
      </c>
      <c r="BF118" s="686">
        <f t="shared" si="78"/>
        <v>0</v>
      </c>
      <c r="BG118" s="685" t="e">
        <f t="shared" si="79"/>
        <v>#DIV/0!</v>
      </c>
      <c r="BH118" s="276" t="e">
        <f t="shared" si="80"/>
        <v>#DIV/0!</v>
      </c>
      <c r="BI118" s="276" t="e">
        <f t="shared" si="81"/>
        <v>#DIV/0!</v>
      </c>
      <c r="BJ118" s="276" t="e">
        <f t="shared" si="82"/>
        <v>#DIV/0!</v>
      </c>
      <c r="BK118" s="276" t="e">
        <f t="shared" si="83"/>
        <v>#DIV/0!</v>
      </c>
      <c r="BL118" s="686" t="e">
        <f t="shared" si="84"/>
        <v>#DIV/0!</v>
      </c>
      <c r="BM118" s="239"/>
      <c r="BN118" s="965" t="e">
        <f t="shared" si="85"/>
        <v>#VALUE!</v>
      </c>
      <c r="BO118" s="878" t="e">
        <f t="shared" si="86"/>
        <v>#VALUE!</v>
      </c>
      <c r="BP118" s="878" t="e">
        <f t="shared" si="87"/>
        <v>#VALUE!</v>
      </c>
      <c r="BQ118" s="878" t="e">
        <f t="shared" si="88"/>
        <v>#VALUE!</v>
      </c>
      <c r="BR118" s="878" t="e">
        <f t="shared" si="89"/>
        <v>#VALUE!</v>
      </c>
      <c r="BS118" s="966" t="e">
        <f t="shared" si="90"/>
        <v>#VALUE!</v>
      </c>
    </row>
    <row r="119" spans="1:71">
      <c r="A119" s="284">
        <f t="shared" si="91"/>
        <v>51</v>
      </c>
      <c r="B119" s="285">
        <v>3.0528496078393665</v>
      </c>
      <c r="C119" s="285">
        <v>3.8362295958812842</v>
      </c>
      <c r="D119" s="285">
        <v>-0.85053552068602967</v>
      </c>
      <c r="E119" s="285">
        <v>16.018030721860104</v>
      </c>
      <c r="H119" s="685">
        <f t="shared" si="32"/>
        <v>1.9196157660703117</v>
      </c>
      <c r="I119" s="276">
        <f t="shared" si="33"/>
        <v>6.7729931584527003E-2</v>
      </c>
      <c r="J119" s="276">
        <f t="shared" si="34"/>
        <v>0.84328790594946956</v>
      </c>
      <c r="K119" s="276">
        <f t="shared" si="35"/>
        <v>-1.4739518784301713</v>
      </c>
      <c r="L119" s="276">
        <f t="shared" si="36"/>
        <v>-0.51006186288398558</v>
      </c>
      <c r="M119" s="276">
        <f t="shared" si="37"/>
        <v>-2.283738413972213</v>
      </c>
      <c r="N119" s="685">
        <f t="shared" si="38"/>
        <v>2.629058384909416</v>
      </c>
      <c r="O119" s="276">
        <f t="shared" si="39"/>
        <v>1.4117034533294366</v>
      </c>
      <c r="P119" s="276">
        <f t="shared" si="40"/>
        <v>0.98357176369773636</v>
      </c>
      <c r="Q119" s="276">
        <f t="shared" si="41"/>
        <v>1.8784049904475661</v>
      </c>
      <c r="R119" s="276">
        <f t="shared" si="42"/>
        <v>1.6178252612583843</v>
      </c>
      <c r="S119" s="686">
        <f t="shared" si="43"/>
        <v>0.84445497738336228</v>
      </c>
      <c r="T119" s="685">
        <f t="shared" si="44"/>
        <v>2.4278281695848962</v>
      </c>
      <c r="U119" s="276">
        <f t="shared" si="45"/>
        <v>4.6523343505644341</v>
      </c>
      <c r="V119" s="276">
        <f t="shared" si="46"/>
        <v>6.8855303502489349</v>
      </c>
      <c r="W119" s="276">
        <f t="shared" si="47"/>
        <v>4.6599540574826923</v>
      </c>
      <c r="X119" s="276">
        <f t="shared" si="48"/>
        <v>5.784884680898541</v>
      </c>
      <c r="Y119" s="686">
        <f t="shared" si="49"/>
        <v>6.2911740685841799</v>
      </c>
      <c r="Z119" s="685" t="e">
        <f t="shared" si="50"/>
        <v>#DIV/0!</v>
      </c>
      <c r="AA119" s="276" t="e">
        <f t="shared" si="51"/>
        <v>#DIV/0!</v>
      </c>
      <c r="AB119" s="276" t="e">
        <f t="shared" si="52"/>
        <v>#DIV/0!</v>
      </c>
      <c r="AC119" s="276" t="e">
        <f t="shared" si="53"/>
        <v>#DIV/0!</v>
      </c>
      <c r="AD119" s="276" t="e">
        <f t="shared" si="54"/>
        <v>#DIV/0!</v>
      </c>
      <c r="AE119" s="686" t="e">
        <f t="shared" si="55"/>
        <v>#DIV/0!</v>
      </c>
      <c r="AF119" s="239"/>
      <c r="AG119" s="965" t="e">
        <f t="shared" si="56"/>
        <v>#VALUE!</v>
      </c>
      <c r="AH119" s="878" t="e">
        <f t="shared" si="57"/>
        <v>#VALUE!</v>
      </c>
      <c r="AI119" s="878" t="e">
        <f t="shared" si="92"/>
        <v>#VALUE!</v>
      </c>
      <c r="AJ119" s="878" t="e">
        <f t="shared" si="58"/>
        <v>#VALUE!</v>
      </c>
      <c r="AK119" s="878" t="e">
        <f t="shared" si="59"/>
        <v>#VALUE!</v>
      </c>
      <c r="AL119" s="966" t="e">
        <f t="shared" si="60"/>
        <v>#VALUE!</v>
      </c>
      <c r="AM119" s="239"/>
      <c r="AO119" s="685">
        <f t="shared" si="61"/>
        <v>1.9196157660703117</v>
      </c>
      <c r="AP119" s="276">
        <f t="shared" si="62"/>
        <v>6.7729931584527003E-2</v>
      </c>
      <c r="AQ119" s="276">
        <f t="shared" si="63"/>
        <v>0.84328790594946956</v>
      </c>
      <c r="AR119" s="276">
        <f t="shared" si="64"/>
        <v>-1.4739518784301713</v>
      </c>
      <c r="AS119" s="276">
        <f t="shared" si="65"/>
        <v>-0.51006186288398558</v>
      </c>
      <c r="AT119" s="276">
        <f t="shared" si="66"/>
        <v>-2.283738413972213</v>
      </c>
      <c r="AU119" s="685">
        <f t="shared" si="67"/>
        <v>2.629058384909416</v>
      </c>
      <c r="AV119" s="276">
        <f t="shared" si="68"/>
        <v>1.4117034533294366</v>
      </c>
      <c r="AW119" s="276">
        <f t="shared" si="69"/>
        <v>0.98357176369773636</v>
      </c>
      <c r="AX119" s="276">
        <f t="shared" si="70"/>
        <v>1.8784049904475661</v>
      </c>
      <c r="AY119" s="276">
        <f t="shared" si="71"/>
        <v>1.6178252612583843</v>
      </c>
      <c r="AZ119" s="686">
        <f t="shared" si="72"/>
        <v>0.84445497738336228</v>
      </c>
      <c r="BA119" s="685">
        <f t="shared" si="73"/>
        <v>0</v>
      </c>
      <c r="BB119" s="276">
        <f t="shared" si="74"/>
        <v>0</v>
      </c>
      <c r="BC119" s="276">
        <f t="shared" si="75"/>
        <v>0</v>
      </c>
      <c r="BD119" s="276">
        <f t="shared" si="76"/>
        <v>0</v>
      </c>
      <c r="BE119" s="276">
        <f t="shared" si="77"/>
        <v>0</v>
      </c>
      <c r="BF119" s="686">
        <f t="shared" si="78"/>
        <v>0</v>
      </c>
      <c r="BG119" s="685" t="e">
        <f t="shared" si="79"/>
        <v>#DIV/0!</v>
      </c>
      <c r="BH119" s="276" t="e">
        <f t="shared" si="80"/>
        <v>#DIV/0!</v>
      </c>
      <c r="BI119" s="276" t="e">
        <f t="shared" si="81"/>
        <v>#DIV/0!</v>
      </c>
      <c r="BJ119" s="276" t="e">
        <f t="shared" si="82"/>
        <v>#DIV/0!</v>
      </c>
      <c r="BK119" s="276" t="e">
        <f t="shared" si="83"/>
        <v>#DIV/0!</v>
      </c>
      <c r="BL119" s="686" t="e">
        <f t="shared" si="84"/>
        <v>#DIV/0!</v>
      </c>
      <c r="BM119" s="239"/>
      <c r="BN119" s="965" t="e">
        <f t="shared" si="85"/>
        <v>#VALUE!</v>
      </c>
      <c r="BO119" s="878" t="e">
        <f t="shared" si="86"/>
        <v>#VALUE!</v>
      </c>
      <c r="BP119" s="878" t="e">
        <f t="shared" si="87"/>
        <v>#VALUE!</v>
      </c>
      <c r="BQ119" s="878" t="e">
        <f t="shared" si="88"/>
        <v>#VALUE!</v>
      </c>
      <c r="BR119" s="878" t="e">
        <f t="shared" si="89"/>
        <v>#VALUE!</v>
      </c>
      <c r="BS119" s="966" t="e">
        <f t="shared" si="90"/>
        <v>#VALUE!</v>
      </c>
    </row>
    <row r="120" spans="1:71">
      <c r="A120" s="284">
        <f t="shared" si="91"/>
        <v>52</v>
      </c>
      <c r="B120" s="285">
        <v>1.8847666655180055</v>
      </c>
      <c r="C120" s="285">
        <v>3.0412536889643356</v>
      </c>
      <c r="D120" s="285">
        <v>0.96184723495334257</v>
      </c>
      <c r="E120" s="285">
        <v>8.9106495387013336</v>
      </c>
      <c r="H120" s="685">
        <f t="shared" si="32"/>
        <v>0.7515328237489507</v>
      </c>
      <c r="I120" s="276">
        <f t="shared" si="33"/>
        <v>-4.9966388949373455</v>
      </c>
      <c r="J120" s="276">
        <f t="shared" si="34"/>
        <v>1.0232859013282625</v>
      </c>
      <c r="K120" s="276">
        <f t="shared" si="35"/>
        <v>-0.95862719374068328</v>
      </c>
      <c r="L120" s="276">
        <f t="shared" si="36"/>
        <v>2.6610581983536052E-2</v>
      </c>
      <c r="M120" s="276">
        <f t="shared" si="37"/>
        <v>-1.5237798558868649</v>
      </c>
      <c r="N120" s="685">
        <f t="shared" si="38"/>
        <v>1.8340824779924672</v>
      </c>
      <c r="O120" s="276">
        <f t="shared" si="39"/>
        <v>1.2268075785393593</v>
      </c>
      <c r="P120" s="276">
        <f t="shared" si="40"/>
        <v>1.6156373675390781</v>
      </c>
      <c r="Q120" s="276">
        <f t="shared" si="41"/>
        <v>1.3101695244033722</v>
      </c>
      <c r="R120" s="276">
        <f t="shared" si="42"/>
        <v>1.232974028844694</v>
      </c>
      <c r="S120" s="686">
        <f t="shared" si="43"/>
        <v>1.7706893237236658</v>
      </c>
      <c r="T120" s="685">
        <f t="shared" si="44"/>
        <v>4.2402109252242681</v>
      </c>
      <c r="U120" s="276">
        <f t="shared" si="45"/>
        <v>3.5163182283683319</v>
      </c>
      <c r="V120" s="276">
        <f t="shared" si="46"/>
        <v>5.1315216684935132</v>
      </c>
      <c r="W120" s="276">
        <f t="shared" si="47"/>
        <v>4.4487489186112557</v>
      </c>
      <c r="X120" s="276">
        <f t="shared" si="48"/>
        <v>4.158488746189394</v>
      </c>
      <c r="Y120" s="686">
        <f t="shared" si="49"/>
        <v>5.0855601416285676</v>
      </c>
      <c r="Z120" s="685" t="e">
        <f t="shared" si="50"/>
        <v>#DIV/0!</v>
      </c>
      <c r="AA120" s="276" t="e">
        <f t="shared" si="51"/>
        <v>#DIV/0!</v>
      </c>
      <c r="AB120" s="276" t="e">
        <f t="shared" si="52"/>
        <v>#DIV/0!</v>
      </c>
      <c r="AC120" s="276" t="e">
        <f t="shared" si="53"/>
        <v>#DIV/0!</v>
      </c>
      <c r="AD120" s="276" t="e">
        <f t="shared" si="54"/>
        <v>#DIV/0!</v>
      </c>
      <c r="AE120" s="686" t="e">
        <f t="shared" si="55"/>
        <v>#DIV/0!</v>
      </c>
      <c r="AF120" s="239"/>
      <c r="AG120" s="965" t="e">
        <f t="shared" si="56"/>
        <v>#VALUE!</v>
      </c>
      <c r="AH120" s="878" t="e">
        <f t="shared" si="57"/>
        <v>#VALUE!</v>
      </c>
      <c r="AI120" s="878" t="e">
        <f t="shared" si="92"/>
        <v>#VALUE!</v>
      </c>
      <c r="AJ120" s="878" t="e">
        <f t="shared" si="58"/>
        <v>#VALUE!</v>
      </c>
      <c r="AK120" s="878" t="e">
        <f t="shared" si="59"/>
        <v>#VALUE!</v>
      </c>
      <c r="AL120" s="966" t="e">
        <f t="shared" si="60"/>
        <v>#VALUE!</v>
      </c>
      <c r="AM120" s="239"/>
      <c r="AO120" s="685">
        <f t="shared" si="61"/>
        <v>0.7515328237489507</v>
      </c>
      <c r="AP120" s="276">
        <f t="shared" si="62"/>
        <v>-4.9966388949373455</v>
      </c>
      <c r="AQ120" s="276">
        <f t="shared" si="63"/>
        <v>1.0232859013282625</v>
      </c>
      <c r="AR120" s="276">
        <f t="shared" si="64"/>
        <v>-0.95862719374068328</v>
      </c>
      <c r="AS120" s="276">
        <f t="shared" si="65"/>
        <v>2.6610581983536052E-2</v>
      </c>
      <c r="AT120" s="276">
        <f t="shared" si="66"/>
        <v>-1.5237798558868649</v>
      </c>
      <c r="AU120" s="685">
        <f t="shared" si="67"/>
        <v>1.8340824779924672</v>
      </c>
      <c r="AV120" s="276">
        <f t="shared" si="68"/>
        <v>1.2268075785393593</v>
      </c>
      <c r="AW120" s="276">
        <f t="shared" si="69"/>
        <v>1.6156373675390781</v>
      </c>
      <c r="AX120" s="276">
        <f t="shared" si="70"/>
        <v>1.3101695244033722</v>
      </c>
      <c r="AY120" s="276">
        <f t="shared" si="71"/>
        <v>1.232974028844694</v>
      </c>
      <c r="AZ120" s="686">
        <f t="shared" si="72"/>
        <v>1.7706893237236658</v>
      </c>
      <c r="BA120" s="685">
        <f t="shared" si="73"/>
        <v>0</v>
      </c>
      <c r="BB120" s="276">
        <f t="shared" si="74"/>
        <v>0</v>
      </c>
      <c r="BC120" s="276">
        <f t="shared" si="75"/>
        <v>0</v>
      </c>
      <c r="BD120" s="276">
        <f t="shared" si="76"/>
        <v>0</v>
      </c>
      <c r="BE120" s="276">
        <f t="shared" si="77"/>
        <v>0</v>
      </c>
      <c r="BF120" s="686">
        <f t="shared" si="78"/>
        <v>0</v>
      </c>
      <c r="BG120" s="685" t="e">
        <f t="shared" si="79"/>
        <v>#DIV/0!</v>
      </c>
      <c r="BH120" s="276" t="e">
        <f t="shared" si="80"/>
        <v>#DIV/0!</v>
      </c>
      <c r="BI120" s="276" t="e">
        <f t="shared" si="81"/>
        <v>#DIV/0!</v>
      </c>
      <c r="BJ120" s="276" t="e">
        <f t="shared" si="82"/>
        <v>#DIV/0!</v>
      </c>
      <c r="BK120" s="276" t="e">
        <f t="shared" si="83"/>
        <v>#DIV/0!</v>
      </c>
      <c r="BL120" s="686" t="e">
        <f t="shared" si="84"/>
        <v>#DIV/0!</v>
      </c>
      <c r="BM120" s="239"/>
      <c r="BN120" s="965" t="e">
        <f t="shared" si="85"/>
        <v>#VALUE!</v>
      </c>
      <c r="BO120" s="878" t="e">
        <f t="shared" si="86"/>
        <v>#VALUE!</v>
      </c>
      <c r="BP120" s="878" t="e">
        <f t="shared" si="87"/>
        <v>#VALUE!</v>
      </c>
      <c r="BQ120" s="878" t="e">
        <f t="shared" si="88"/>
        <v>#VALUE!</v>
      </c>
      <c r="BR120" s="878" t="e">
        <f t="shared" si="89"/>
        <v>#VALUE!</v>
      </c>
      <c r="BS120" s="966" t="e">
        <f t="shared" si="90"/>
        <v>#VALUE!</v>
      </c>
    </row>
    <row r="121" spans="1:71">
      <c r="A121" s="284">
        <f t="shared" si="91"/>
        <v>53</v>
      </c>
      <c r="B121" s="285">
        <v>0.48261689411602332</v>
      </c>
      <c r="C121" s="285">
        <v>2.4162858138646142</v>
      </c>
      <c r="D121" s="285">
        <v>2.3832669445750883</v>
      </c>
      <c r="E121" s="285">
        <v>2.4077913510207982</v>
      </c>
      <c r="H121" s="685">
        <f t="shared" si="32"/>
        <v>-0.65061694765303146</v>
      </c>
      <c r="I121" s="276">
        <f t="shared" si="33"/>
        <v>-0.4570058137695171</v>
      </c>
      <c r="J121" s="276">
        <f t="shared" si="34"/>
        <v>-2.4148715261201303</v>
      </c>
      <c r="K121" s="276">
        <f t="shared" si="35"/>
        <v>0.29786877906705067</v>
      </c>
      <c r="L121" s="276">
        <f t="shared" si="36"/>
        <v>0.7455077420441365</v>
      </c>
      <c r="M121" s="276">
        <f t="shared" si="37"/>
        <v>-1.7853238002511471</v>
      </c>
      <c r="N121" s="685">
        <f t="shared" si="38"/>
        <v>1.2091146028927457</v>
      </c>
      <c r="O121" s="276">
        <f t="shared" si="39"/>
        <v>2.121427559651921</v>
      </c>
      <c r="P121" s="276">
        <f t="shared" si="40"/>
        <v>2.0915259300070597</v>
      </c>
      <c r="Q121" s="276">
        <f t="shared" si="41"/>
        <v>1.5842549756870141</v>
      </c>
      <c r="R121" s="276">
        <f t="shared" si="42"/>
        <v>1.5668023966052551</v>
      </c>
      <c r="S121" s="686">
        <f t="shared" si="43"/>
        <v>1.2652988355300343</v>
      </c>
      <c r="T121" s="685">
        <f t="shared" si="44"/>
        <v>5.6616306348460146</v>
      </c>
      <c r="U121" s="276">
        <f t="shared" si="45"/>
        <v>4.5919016699384159</v>
      </c>
      <c r="V121" s="276">
        <f t="shared" si="46"/>
        <v>4.0161007432041913</v>
      </c>
      <c r="W121" s="276">
        <f t="shared" si="47"/>
        <v>2.7582579519314239</v>
      </c>
      <c r="X121" s="276">
        <f t="shared" si="48"/>
        <v>5.3358761521030278</v>
      </c>
      <c r="Y121" s="686">
        <f t="shared" si="49"/>
        <v>2.027859521915977</v>
      </c>
      <c r="Z121" s="685" t="e">
        <f t="shared" si="50"/>
        <v>#DIV/0!</v>
      </c>
      <c r="AA121" s="276" t="e">
        <f t="shared" si="51"/>
        <v>#DIV/0!</v>
      </c>
      <c r="AB121" s="276" t="e">
        <f t="shared" si="52"/>
        <v>#DIV/0!</v>
      </c>
      <c r="AC121" s="276" t="e">
        <f t="shared" si="53"/>
        <v>#DIV/0!</v>
      </c>
      <c r="AD121" s="276" t="e">
        <f t="shared" si="54"/>
        <v>#DIV/0!</v>
      </c>
      <c r="AE121" s="686" t="e">
        <f t="shared" si="55"/>
        <v>#DIV/0!</v>
      </c>
      <c r="AF121" s="239"/>
      <c r="AG121" s="965" t="e">
        <f t="shared" si="56"/>
        <v>#VALUE!</v>
      </c>
      <c r="AH121" s="878" t="e">
        <f t="shared" si="57"/>
        <v>#VALUE!</v>
      </c>
      <c r="AI121" s="878" t="e">
        <f t="shared" si="92"/>
        <v>#VALUE!</v>
      </c>
      <c r="AJ121" s="878" t="e">
        <f t="shared" si="58"/>
        <v>#VALUE!</v>
      </c>
      <c r="AK121" s="878" t="e">
        <f t="shared" si="59"/>
        <v>#VALUE!</v>
      </c>
      <c r="AL121" s="966" t="e">
        <f t="shared" si="60"/>
        <v>#VALUE!</v>
      </c>
      <c r="AM121" s="239"/>
      <c r="AO121" s="685">
        <f t="shared" si="61"/>
        <v>-0.65061694765303146</v>
      </c>
      <c r="AP121" s="276">
        <f t="shared" si="62"/>
        <v>-0.4570058137695171</v>
      </c>
      <c r="AQ121" s="276">
        <f t="shared" si="63"/>
        <v>-2.4148715261201303</v>
      </c>
      <c r="AR121" s="276">
        <f t="shared" si="64"/>
        <v>0.29786877906705067</v>
      </c>
      <c r="AS121" s="276">
        <f t="shared" si="65"/>
        <v>0.7455077420441365</v>
      </c>
      <c r="AT121" s="276">
        <f t="shared" si="66"/>
        <v>-1.7853238002511471</v>
      </c>
      <c r="AU121" s="685">
        <f t="shared" si="67"/>
        <v>1.2091146028927457</v>
      </c>
      <c r="AV121" s="276">
        <f t="shared" si="68"/>
        <v>2.121427559651921</v>
      </c>
      <c r="AW121" s="276">
        <f t="shared" si="69"/>
        <v>2.0915259300070597</v>
      </c>
      <c r="AX121" s="276">
        <f t="shared" si="70"/>
        <v>1.5842549756870141</v>
      </c>
      <c r="AY121" s="276">
        <f t="shared" si="71"/>
        <v>1.5668023966052551</v>
      </c>
      <c r="AZ121" s="686">
        <f t="shared" si="72"/>
        <v>1.2652988355300343</v>
      </c>
      <c r="BA121" s="685">
        <f t="shared" si="73"/>
        <v>0</v>
      </c>
      <c r="BB121" s="276">
        <f t="shared" si="74"/>
        <v>0</v>
      </c>
      <c r="BC121" s="276">
        <f t="shared" si="75"/>
        <v>0</v>
      </c>
      <c r="BD121" s="276">
        <f t="shared" si="76"/>
        <v>0</v>
      </c>
      <c r="BE121" s="276">
        <f t="shared" si="77"/>
        <v>0</v>
      </c>
      <c r="BF121" s="686">
        <f t="shared" si="78"/>
        <v>0</v>
      </c>
      <c r="BG121" s="685" t="e">
        <f t="shared" si="79"/>
        <v>#DIV/0!</v>
      </c>
      <c r="BH121" s="276" t="e">
        <f t="shared" si="80"/>
        <v>#DIV/0!</v>
      </c>
      <c r="BI121" s="276" t="e">
        <f t="shared" si="81"/>
        <v>#DIV/0!</v>
      </c>
      <c r="BJ121" s="276" t="e">
        <f t="shared" si="82"/>
        <v>#DIV/0!</v>
      </c>
      <c r="BK121" s="276" t="e">
        <f t="shared" si="83"/>
        <v>#DIV/0!</v>
      </c>
      <c r="BL121" s="686" t="e">
        <f t="shared" si="84"/>
        <v>#DIV/0!</v>
      </c>
      <c r="BM121" s="239"/>
      <c r="BN121" s="965" t="e">
        <f t="shared" si="85"/>
        <v>#VALUE!</v>
      </c>
      <c r="BO121" s="878" t="e">
        <f t="shared" si="86"/>
        <v>#VALUE!</v>
      </c>
      <c r="BP121" s="878" t="e">
        <f t="shared" si="87"/>
        <v>#VALUE!</v>
      </c>
      <c r="BQ121" s="878" t="e">
        <f t="shared" si="88"/>
        <v>#VALUE!</v>
      </c>
      <c r="BR121" s="878" t="e">
        <f t="shared" si="89"/>
        <v>#VALUE!</v>
      </c>
      <c r="BS121" s="966" t="e">
        <f t="shared" si="90"/>
        <v>#VALUE!</v>
      </c>
    </row>
    <row r="122" spans="1:71">
      <c r="A122" s="284">
        <f t="shared" si="91"/>
        <v>54</v>
      </c>
      <c r="B122" s="285">
        <v>-0.66513739277648443</v>
      </c>
      <c r="C122" s="285">
        <v>2.4684154550746036</v>
      </c>
      <c r="D122" s="285">
        <v>0.35172932093221776</v>
      </c>
      <c r="E122" s="285">
        <v>-12.602109523788826</v>
      </c>
      <c r="H122" s="685">
        <f t="shared" si="32"/>
        <v>-1.7983712345455394</v>
      </c>
      <c r="I122" s="276">
        <f t="shared" si="33"/>
        <v>-4.2662455766788963</v>
      </c>
      <c r="J122" s="276">
        <f t="shared" si="34"/>
        <v>-2.1751917806793188</v>
      </c>
      <c r="K122" s="276">
        <f t="shared" si="35"/>
        <v>0.13097844588287999</v>
      </c>
      <c r="L122" s="276">
        <f t="shared" si="36"/>
        <v>1.8600167484413277</v>
      </c>
      <c r="M122" s="276">
        <f t="shared" si="37"/>
        <v>-2.8023101494512348</v>
      </c>
      <c r="N122" s="685">
        <f t="shared" si="38"/>
        <v>1.2612442441027352</v>
      </c>
      <c r="O122" s="276">
        <f t="shared" si="39"/>
        <v>1.0397480713094998</v>
      </c>
      <c r="P122" s="276">
        <f t="shared" si="40"/>
        <v>1.7524202532051134</v>
      </c>
      <c r="Q122" s="276">
        <f t="shared" si="41"/>
        <v>0.97025218172737149</v>
      </c>
      <c r="R122" s="276">
        <f t="shared" si="42"/>
        <v>1.1985376477470793</v>
      </c>
      <c r="S122" s="686">
        <f t="shared" si="43"/>
        <v>0.75028814382390885</v>
      </c>
      <c r="T122" s="685">
        <f t="shared" si="44"/>
        <v>3.6300930112031438</v>
      </c>
      <c r="U122" s="276">
        <f t="shared" si="45"/>
        <v>3.5283559034131828</v>
      </c>
      <c r="V122" s="276">
        <f t="shared" si="46"/>
        <v>4.6985610446878114</v>
      </c>
      <c r="W122" s="276">
        <f t="shared" si="47"/>
        <v>5.9982413821054443</v>
      </c>
      <c r="X122" s="276">
        <f t="shared" si="48"/>
        <v>5.982428718218328</v>
      </c>
      <c r="Y122" s="686">
        <f t="shared" si="49"/>
        <v>3.1472164661526874</v>
      </c>
      <c r="Z122" s="685" t="e">
        <f t="shared" si="50"/>
        <v>#DIV/0!</v>
      </c>
      <c r="AA122" s="276" t="e">
        <f t="shared" si="51"/>
        <v>#DIV/0!</v>
      </c>
      <c r="AB122" s="276" t="e">
        <f t="shared" si="52"/>
        <v>#DIV/0!</v>
      </c>
      <c r="AC122" s="276" t="e">
        <f t="shared" si="53"/>
        <v>#DIV/0!</v>
      </c>
      <c r="AD122" s="276" t="e">
        <f t="shared" si="54"/>
        <v>#DIV/0!</v>
      </c>
      <c r="AE122" s="686" t="e">
        <f t="shared" si="55"/>
        <v>#DIV/0!</v>
      </c>
      <c r="AF122" s="239"/>
      <c r="AG122" s="965" t="e">
        <f t="shared" si="56"/>
        <v>#VALUE!</v>
      </c>
      <c r="AH122" s="878" t="e">
        <f t="shared" si="57"/>
        <v>#VALUE!</v>
      </c>
      <c r="AI122" s="878" t="e">
        <f t="shared" si="92"/>
        <v>#VALUE!</v>
      </c>
      <c r="AJ122" s="878" t="e">
        <f t="shared" si="58"/>
        <v>#VALUE!</v>
      </c>
      <c r="AK122" s="878" t="e">
        <f t="shared" si="59"/>
        <v>#VALUE!</v>
      </c>
      <c r="AL122" s="966" t="e">
        <f t="shared" si="60"/>
        <v>#VALUE!</v>
      </c>
      <c r="AM122" s="239"/>
      <c r="AO122" s="685">
        <f t="shared" si="61"/>
        <v>-1.7983712345455394</v>
      </c>
      <c r="AP122" s="276">
        <f t="shared" si="62"/>
        <v>-4.2662455766788963</v>
      </c>
      <c r="AQ122" s="276">
        <f t="shared" si="63"/>
        <v>-2.1751917806793188</v>
      </c>
      <c r="AR122" s="276">
        <f t="shared" si="64"/>
        <v>0.13097844588287999</v>
      </c>
      <c r="AS122" s="276">
        <f t="shared" si="65"/>
        <v>1.8600167484413277</v>
      </c>
      <c r="AT122" s="276">
        <f t="shared" si="66"/>
        <v>-2.8023101494512348</v>
      </c>
      <c r="AU122" s="685">
        <f t="shared" si="67"/>
        <v>1.2612442441027352</v>
      </c>
      <c r="AV122" s="276">
        <f t="shared" si="68"/>
        <v>1.0397480713094998</v>
      </c>
      <c r="AW122" s="276">
        <f t="shared" si="69"/>
        <v>1.7524202532051134</v>
      </c>
      <c r="AX122" s="276">
        <f t="shared" si="70"/>
        <v>0.97025218172737149</v>
      </c>
      <c r="AY122" s="276">
        <f t="shared" si="71"/>
        <v>1.1985376477470793</v>
      </c>
      <c r="AZ122" s="686">
        <f t="shared" si="72"/>
        <v>0.75028814382390885</v>
      </c>
      <c r="BA122" s="685">
        <f t="shared" si="73"/>
        <v>0</v>
      </c>
      <c r="BB122" s="276">
        <f t="shared" si="74"/>
        <v>0</v>
      </c>
      <c r="BC122" s="276">
        <f t="shared" si="75"/>
        <v>0</v>
      </c>
      <c r="BD122" s="276">
        <f t="shared" si="76"/>
        <v>0</v>
      </c>
      <c r="BE122" s="276">
        <f t="shared" si="77"/>
        <v>0</v>
      </c>
      <c r="BF122" s="686">
        <f t="shared" si="78"/>
        <v>0</v>
      </c>
      <c r="BG122" s="685" t="e">
        <f t="shared" si="79"/>
        <v>#DIV/0!</v>
      </c>
      <c r="BH122" s="276" t="e">
        <f t="shared" si="80"/>
        <v>#DIV/0!</v>
      </c>
      <c r="BI122" s="276" t="e">
        <f t="shared" si="81"/>
        <v>#DIV/0!</v>
      </c>
      <c r="BJ122" s="276" t="e">
        <f t="shared" si="82"/>
        <v>#DIV/0!</v>
      </c>
      <c r="BK122" s="276" t="e">
        <f t="shared" si="83"/>
        <v>#DIV/0!</v>
      </c>
      <c r="BL122" s="686" t="e">
        <f t="shared" si="84"/>
        <v>#DIV/0!</v>
      </c>
      <c r="BM122" s="239"/>
      <c r="BN122" s="965" t="e">
        <f t="shared" si="85"/>
        <v>#VALUE!</v>
      </c>
      <c r="BO122" s="878" t="e">
        <f t="shared" si="86"/>
        <v>#VALUE!</v>
      </c>
      <c r="BP122" s="878" t="e">
        <f t="shared" si="87"/>
        <v>#VALUE!</v>
      </c>
      <c r="BQ122" s="878" t="e">
        <f t="shared" si="88"/>
        <v>#VALUE!</v>
      </c>
      <c r="BR122" s="878" t="e">
        <f t="shared" si="89"/>
        <v>#VALUE!</v>
      </c>
      <c r="BS122" s="966" t="e">
        <f t="shared" si="90"/>
        <v>#VALUE!</v>
      </c>
    </row>
    <row r="123" spans="1:71">
      <c r="A123" s="284">
        <f t="shared" si="91"/>
        <v>55</v>
      </c>
      <c r="B123" s="285">
        <v>3.8887809616922113</v>
      </c>
      <c r="C123" s="285">
        <v>2.5051836392083389</v>
      </c>
      <c r="D123" s="285">
        <v>3.1053894727247862</v>
      </c>
      <c r="E123" s="285">
        <v>-15.026068882100777</v>
      </c>
      <c r="H123" s="685">
        <f t="shared" si="32"/>
        <v>2.7555471199231567</v>
      </c>
      <c r="I123" s="276">
        <f t="shared" si="33"/>
        <v>-3.4924946319092021</v>
      </c>
      <c r="J123" s="276">
        <f t="shared" si="34"/>
        <v>-0.92753782910706672</v>
      </c>
      <c r="K123" s="276">
        <f t="shared" si="35"/>
        <v>2.7968649104853105</v>
      </c>
      <c r="L123" s="276">
        <f t="shared" si="36"/>
        <v>1.5847789687192073</v>
      </c>
      <c r="M123" s="276">
        <f t="shared" si="37"/>
        <v>-2.0866503715825426</v>
      </c>
      <c r="N123" s="685">
        <f t="shared" si="38"/>
        <v>1.2980124282364705</v>
      </c>
      <c r="O123" s="276">
        <f t="shared" si="39"/>
        <v>0.69406491522079561</v>
      </c>
      <c r="P123" s="276">
        <f t="shared" si="40"/>
        <v>1.3144734212918261</v>
      </c>
      <c r="Q123" s="276">
        <f t="shared" si="41"/>
        <v>0.56338067056901298</v>
      </c>
      <c r="R123" s="276">
        <f t="shared" si="42"/>
        <v>1.014276541516147</v>
      </c>
      <c r="S123" s="686">
        <f t="shared" si="43"/>
        <v>1.4888771122378521</v>
      </c>
      <c r="T123" s="685">
        <f t="shared" si="44"/>
        <v>6.3837531629957116</v>
      </c>
      <c r="U123" s="276">
        <f t="shared" si="45"/>
        <v>5.1851167776260398</v>
      </c>
      <c r="V123" s="276">
        <f t="shared" si="46"/>
        <v>5.0259371052772055</v>
      </c>
      <c r="W123" s="276">
        <f t="shared" si="47"/>
        <v>5.8610925934243685</v>
      </c>
      <c r="X123" s="276">
        <f t="shared" si="48"/>
        <v>6.4083523258883357</v>
      </c>
      <c r="Y123" s="686">
        <f t="shared" si="49"/>
        <v>4.3597954217000723</v>
      </c>
      <c r="Z123" s="685" t="e">
        <f t="shared" si="50"/>
        <v>#DIV/0!</v>
      </c>
      <c r="AA123" s="276" t="e">
        <f t="shared" si="51"/>
        <v>#DIV/0!</v>
      </c>
      <c r="AB123" s="276" t="e">
        <f t="shared" si="52"/>
        <v>#DIV/0!</v>
      </c>
      <c r="AC123" s="276" t="e">
        <f t="shared" si="53"/>
        <v>#DIV/0!</v>
      </c>
      <c r="AD123" s="276" t="e">
        <f t="shared" si="54"/>
        <v>#DIV/0!</v>
      </c>
      <c r="AE123" s="686" t="e">
        <f t="shared" si="55"/>
        <v>#DIV/0!</v>
      </c>
      <c r="AF123" s="239"/>
      <c r="AG123" s="965" t="e">
        <f t="shared" si="56"/>
        <v>#VALUE!</v>
      </c>
      <c r="AH123" s="878" t="e">
        <f t="shared" si="57"/>
        <v>#VALUE!</v>
      </c>
      <c r="AI123" s="878" t="e">
        <f t="shared" si="92"/>
        <v>#VALUE!</v>
      </c>
      <c r="AJ123" s="878" t="e">
        <f t="shared" si="58"/>
        <v>#VALUE!</v>
      </c>
      <c r="AK123" s="878" t="e">
        <f t="shared" si="59"/>
        <v>#VALUE!</v>
      </c>
      <c r="AL123" s="966" t="e">
        <f t="shared" si="60"/>
        <v>#VALUE!</v>
      </c>
      <c r="AM123" s="239"/>
      <c r="AO123" s="685">
        <f t="shared" si="61"/>
        <v>2.7555471199231567</v>
      </c>
      <c r="AP123" s="276">
        <f t="shared" si="62"/>
        <v>-3.4924946319092021</v>
      </c>
      <c r="AQ123" s="276">
        <f t="shared" si="63"/>
        <v>-0.92753782910706672</v>
      </c>
      <c r="AR123" s="276">
        <f t="shared" si="64"/>
        <v>2.7968649104853105</v>
      </c>
      <c r="AS123" s="276">
        <f t="shared" si="65"/>
        <v>1.5847789687192073</v>
      </c>
      <c r="AT123" s="276">
        <f t="shared" si="66"/>
        <v>-2.0866503715825426</v>
      </c>
      <c r="AU123" s="685">
        <f t="shared" si="67"/>
        <v>1.2980124282364705</v>
      </c>
      <c r="AV123" s="276">
        <f t="shared" si="68"/>
        <v>0.69406491522079561</v>
      </c>
      <c r="AW123" s="276">
        <f t="shared" si="69"/>
        <v>1.3144734212918261</v>
      </c>
      <c r="AX123" s="276">
        <f t="shared" si="70"/>
        <v>0.56338067056901298</v>
      </c>
      <c r="AY123" s="276">
        <f t="shared" si="71"/>
        <v>1.014276541516147</v>
      </c>
      <c r="AZ123" s="686">
        <f t="shared" si="72"/>
        <v>1.4888771122378521</v>
      </c>
      <c r="BA123" s="685">
        <f t="shared" si="73"/>
        <v>0</v>
      </c>
      <c r="BB123" s="276">
        <f t="shared" si="74"/>
        <v>0</v>
      </c>
      <c r="BC123" s="276">
        <f t="shared" si="75"/>
        <v>0</v>
      </c>
      <c r="BD123" s="276">
        <f t="shared" si="76"/>
        <v>0</v>
      </c>
      <c r="BE123" s="276">
        <f t="shared" si="77"/>
        <v>0</v>
      </c>
      <c r="BF123" s="686">
        <f t="shared" si="78"/>
        <v>0</v>
      </c>
      <c r="BG123" s="685" t="e">
        <f t="shared" si="79"/>
        <v>#DIV/0!</v>
      </c>
      <c r="BH123" s="276" t="e">
        <f t="shared" si="80"/>
        <v>#DIV/0!</v>
      </c>
      <c r="BI123" s="276" t="e">
        <f t="shared" si="81"/>
        <v>#DIV/0!</v>
      </c>
      <c r="BJ123" s="276" t="e">
        <f t="shared" si="82"/>
        <v>#DIV/0!</v>
      </c>
      <c r="BK123" s="276" t="e">
        <f t="shared" si="83"/>
        <v>#DIV/0!</v>
      </c>
      <c r="BL123" s="686" t="e">
        <f t="shared" si="84"/>
        <v>#DIV/0!</v>
      </c>
      <c r="BM123" s="239"/>
      <c r="BN123" s="965" t="e">
        <f t="shared" si="85"/>
        <v>#VALUE!</v>
      </c>
      <c r="BO123" s="878" t="e">
        <f t="shared" si="86"/>
        <v>#VALUE!</v>
      </c>
      <c r="BP123" s="878" t="e">
        <f t="shared" si="87"/>
        <v>#VALUE!</v>
      </c>
      <c r="BQ123" s="878" t="e">
        <f t="shared" si="88"/>
        <v>#VALUE!</v>
      </c>
      <c r="BR123" s="878" t="e">
        <f t="shared" si="89"/>
        <v>#VALUE!</v>
      </c>
      <c r="BS123" s="966" t="e">
        <f t="shared" si="90"/>
        <v>#VALUE!</v>
      </c>
    </row>
    <row r="124" spans="1:71">
      <c r="A124" s="284">
        <f t="shared" si="91"/>
        <v>56</v>
      </c>
      <c r="B124" s="285">
        <v>-4.4360283564558722</v>
      </c>
      <c r="C124" s="285">
        <v>1.8179195477843089</v>
      </c>
      <c r="D124" s="285">
        <v>2.2748165041264397</v>
      </c>
      <c r="E124" s="285">
        <v>-19.788511510230606</v>
      </c>
      <c r="H124" s="685">
        <f t="shared" si="32"/>
        <v>-5.5692621982249273</v>
      </c>
      <c r="I124" s="276">
        <f t="shared" si="33"/>
        <v>-4.2419504456483965</v>
      </c>
      <c r="J124" s="276">
        <f t="shared" si="34"/>
        <v>-0.68214128729446988</v>
      </c>
      <c r="K124" s="276">
        <f t="shared" si="35"/>
        <v>-3.2752761637029852</v>
      </c>
      <c r="L124" s="276">
        <f t="shared" si="36"/>
        <v>-2.2816304821112179</v>
      </c>
      <c r="M124" s="276">
        <f t="shared" si="37"/>
        <v>-0.50710753818712584</v>
      </c>
      <c r="N124" s="685">
        <f t="shared" si="38"/>
        <v>0.61074833681244045</v>
      </c>
      <c r="O124" s="276">
        <f t="shared" si="39"/>
        <v>0.73823489539657117</v>
      </c>
      <c r="P124" s="276">
        <f t="shared" si="40"/>
        <v>2.1694258400877757</v>
      </c>
      <c r="Q124" s="276">
        <f t="shared" si="41"/>
        <v>1.1183905490705019</v>
      </c>
      <c r="R124" s="276">
        <f t="shared" si="42"/>
        <v>1.2434592352396676</v>
      </c>
      <c r="S124" s="686">
        <f t="shared" si="43"/>
        <v>0.80165971978207096</v>
      </c>
      <c r="T124" s="685">
        <f t="shared" si="44"/>
        <v>5.5531801943973651</v>
      </c>
      <c r="U124" s="276">
        <f t="shared" si="45"/>
        <v>4.828540271180719</v>
      </c>
      <c r="V124" s="276">
        <f t="shared" si="46"/>
        <v>3.6908078055490732</v>
      </c>
      <c r="W124" s="276">
        <f t="shared" si="47"/>
        <v>5.9416575717491078</v>
      </c>
      <c r="X124" s="276">
        <f t="shared" si="48"/>
        <v>2.5225324064140136</v>
      </c>
      <c r="Y124" s="686">
        <f t="shared" si="49"/>
        <v>6.7367583102851611</v>
      </c>
      <c r="Z124" s="685" t="e">
        <f t="shared" si="50"/>
        <v>#DIV/0!</v>
      </c>
      <c r="AA124" s="276" t="e">
        <f t="shared" si="51"/>
        <v>#DIV/0!</v>
      </c>
      <c r="AB124" s="276" t="e">
        <f t="shared" si="52"/>
        <v>#DIV/0!</v>
      </c>
      <c r="AC124" s="276" t="e">
        <f t="shared" si="53"/>
        <v>#DIV/0!</v>
      </c>
      <c r="AD124" s="276" t="e">
        <f t="shared" si="54"/>
        <v>#DIV/0!</v>
      </c>
      <c r="AE124" s="686" t="e">
        <f t="shared" si="55"/>
        <v>#DIV/0!</v>
      </c>
      <c r="AF124" s="239"/>
      <c r="AG124" s="965" t="e">
        <f t="shared" si="56"/>
        <v>#VALUE!</v>
      </c>
      <c r="AH124" s="878" t="e">
        <f t="shared" si="57"/>
        <v>#VALUE!</v>
      </c>
      <c r="AI124" s="878" t="e">
        <f t="shared" si="92"/>
        <v>#VALUE!</v>
      </c>
      <c r="AJ124" s="878" t="e">
        <f t="shared" si="58"/>
        <v>#VALUE!</v>
      </c>
      <c r="AK124" s="878" t="e">
        <f t="shared" si="59"/>
        <v>#VALUE!</v>
      </c>
      <c r="AL124" s="966" t="e">
        <f t="shared" si="60"/>
        <v>#VALUE!</v>
      </c>
      <c r="AM124" s="239"/>
      <c r="AO124" s="685">
        <f t="shared" si="61"/>
        <v>-5.5692621982249273</v>
      </c>
      <c r="AP124" s="276">
        <f t="shared" si="62"/>
        <v>-4.2419504456483965</v>
      </c>
      <c r="AQ124" s="276">
        <f t="shared" si="63"/>
        <v>-0.68214128729446988</v>
      </c>
      <c r="AR124" s="276">
        <f t="shared" si="64"/>
        <v>-3.2752761637029852</v>
      </c>
      <c r="AS124" s="276">
        <f t="shared" si="65"/>
        <v>-2.2816304821112179</v>
      </c>
      <c r="AT124" s="276">
        <f t="shared" si="66"/>
        <v>-0.50710753818712584</v>
      </c>
      <c r="AU124" s="685">
        <f t="shared" si="67"/>
        <v>0.61074833681244045</v>
      </c>
      <c r="AV124" s="276">
        <f t="shared" si="68"/>
        <v>0.73823489539657117</v>
      </c>
      <c r="AW124" s="276">
        <f t="shared" si="69"/>
        <v>2.1694258400877757</v>
      </c>
      <c r="AX124" s="276">
        <f t="shared" si="70"/>
        <v>1.1183905490705019</v>
      </c>
      <c r="AY124" s="276">
        <f t="shared" si="71"/>
        <v>1.2434592352396676</v>
      </c>
      <c r="AZ124" s="686">
        <f t="shared" si="72"/>
        <v>0.80165971978207096</v>
      </c>
      <c r="BA124" s="685">
        <f t="shared" si="73"/>
        <v>0</v>
      </c>
      <c r="BB124" s="276">
        <f t="shared" si="74"/>
        <v>0</v>
      </c>
      <c r="BC124" s="276">
        <f t="shared" si="75"/>
        <v>0</v>
      </c>
      <c r="BD124" s="276">
        <f t="shared" si="76"/>
        <v>0</v>
      </c>
      <c r="BE124" s="276">
        <f t="shared" si="77"/>
        <v>0</v>
      </c>
      <c r="BF124" s="686">
        <f t="shared" si="78"/>
        <v>0</v>
      </c>
      <c r="BG124" s="685" t="e">
        <f t="shared" si="79"/>
        <v>#DIV/0!</v>
      </c>
      <c r="BH124" s="276" t="e">
        <f t="shared" si="80"/>
        <v>#DIV/0!</v>
      </c>
      <c r="BI124" s="276" t="e">
        <f t="shared" si="81"/>
        <v>#DIV/0!</v>
      </c>
      <c r="BJ124" s="276" t="e">
        <f t="shared" si="82"/>
        <v>#DIV/0!</v>
      </c>
      <c r="BK124" s="276" t="e">
        <f t="shared" si="83"/>
        <v>#DIV/0!</v>
      </c>
      <c r="BL124" s="686" t="e">
        <f t="shared" si="84"/>
        <v>#DIV/0!</v>
      </c>
      <c r="BM124" s="239"/>
      <c r="BN124" s="965" t="e">
        <f t="shared" si="85"/>
        <v>#VALUE!</v>
      </c>
      <c r="BO124" s="878" t="e">
        <f t="shared" si="86"/>
        <v>#VALUE!</v>
      </c>
      <c r="BP124" s="878" t="e">
        <f t="shared" si="87"/>
        <v>#VALUE!</v>
      </c>
      <c r="BQ124" s="878" t="e">
        <f t="shared" si="88"/>
        <v>#VALUE!</v>
      </c>
      <c r="BR124" s="878" t="e">
        <f t="shared" si="89"/>
        <v>#VALUE!</v>
      </c>
      <c r="BS124" s="966" t="e">
        <f t="shared" si="90"/>
        <v>#VALUE!</v>
      </c>
    </row>
    <row r="125" spans="1:71">
      <c r="A125" s="284">
        <f t="shared" si="91"/>
        <v>57</v>
      </c>
      <c r="B125" s="285">
        <v>-1.7781782007205325</v>
      </c>
      <c r="C125" s="285">
        <v>2.3513287188632881</v>
      </c>
      <c r="D125" s="285">
        <v>1.6052600075754209</v>
      </c>
      <c r="E125" s="285">
        <v>-4.2515124193971356</v>
      </c>
      <c r="H125" s="685">
        <f t="shared" si="32"/>
        <v>-2.9114120424895873</v>
      </c>
      <c r="I125" s="276">
        <f t="shared" si="33"/>
        <v>4.2514938997192342</v>
      </c>
      <c r="J125" s="276">
        <f t="shared" si="34"/>
        <v>-1.3864886987179139</v>
      </c>
      <c r="K125" s="276">
        <f t="shared" si="35"/>
        <v>-1.5084014336701661</v>
      </c>
      <c r="L125" s="276">
        <f t="shared" si="36"/>
        <v>-5.4463481211229778</v>
      </c>
      <c r="M125" s="276">
        <f t="shared" si="37"/>
        <v>-2.899621430654681</v>
      </c>
      <c r="N125" s="685">
        <f t="shared" si="38"/>
        <v>1.1441575078914197</v>
      </c>
      <c r="O125" s="276">
        <f t="shared" si="39"/>
        <v>2.1086829466886625</v>
      </c>
      <c r="P125" s="276">
        <f t="shared" si="40"/>
        <v>1.0288319653028066</v>
      </c>
      <c r="Q125" s="276">
        <f t="shared" si="41"/>
        <v>1.6115077095589718</v>
      </c>
      <c r="R125" s="276">
        <f t="shared" si="42"/>
        <v>1.0035691935383702</v>
      </c>
      <c r="S125" s="686">
        <f t="shared" si="43"/>
        <v>1.5853908030953121</v>
      </c>
      <c r="T125" s="685">
        <f t="shared" si="44"/>
        <v>4.883623697846347</v>
      </c>
      <c r="U125" s="276">
        <f t="shared" si="45"/>
        <v>4.2800858876744066</v>
      </c>
      <c r="V125" s="276">
        <f t="shared" si="46"/>
        <v>4.390310788316242</v>
      </c>
      <c r="W125" s="276">
        <f t="shared" si="47"/>
        <v>3.9532956494545877</v>
      </c>
      <c r="X125" s="276">
        <f t="shared" si="48"/>
        <v>2.7757897384035788</v>
      </c>
      <c r="Y125" s="686">
        <f t="shared" si="49"/>
        <v>5.2266141766783285</v>
      </c>
      <c r="Z125" s="685" t="e">
        <f t="shared" si="50"/>
        <v>#DIV/0!</v>
      </c>
      <c r="AA125" s="276" t="e">
        <f t="shared" si="51"/>
        <v>#DIV/0!</v>
      </c>
      <c r="AB125" s="276" t="e">
        <f t="shared" si="52"/>
        <v>#DIV/0!</v>
      </c>
      <c r="AC125" s="276" t="e">
        <f t="shared" si="53"/>
        <v>#DIV/0!</v>
      </c>
      <c r="AD125" s="276" t="e">
        <f t="shared" si="54"/>
        <v>#DIV/0!</v>
      </c>
      <c r="AE125" s="686" t="e">
        <f t="shared" si="55"/>
        <v>#DIV/0!</v>
      </c>
      <c r="AF125" s="239"/>
      <c r="AG125" s="965" t="e">
        <f t="shared" si="56"/>
        <v>#VALUE!</v>
      </c>
      <c r="AH125" s="878" t="e">
        <f t="shared" si="57"/>
        <v>#VALUE!</v>
      </c>
      <c r="AI125" s="878" t="e">
        <f t="shared" si="92"/>
        <v>#VALUE!</v>
      </c>
      <c r="AJ125" s="878" t="e">
        <f t="shared" si="58"/>
        <v>#VALUE!</v>
      </c>
      <c r="AK125" s="878" t="e">
        <f t="shared" si="59"/>
        <v>#VALUE!</v>
      </c>
      <c r="AL125" s="966" t="e">
        <f t="shared" si="60"/>
        <v>#VALUE!</v>
      </c>
      <c r="AM125" s="239"/>
      <c r="AO125" s="685">
        <f t="shared" si="61"/>
        <v>-2.9114120424895873</v>
      </c>
      <c r="AP125" s="276">
        <f t="shared" si="62"/>
        <v>4.2514938997192342</v>
      </c>
      <c r="AQ125" s="276">
        <f t="shared" si="63"/>
        <v>-1.3864886987179139</v>
      </c>
      <c r="AR125" s="276">
        <f t="shared" si="64"/>
        <v>-1.5084014336701661</v>
      </c>
      <c r="AS125" s="276">
        <f t="shared" si="65"/>
        <v>-5.4463481211229778</v>
      </c>
      <c r="AT125" s="276">
        <f t="shared" si="66"/>
        <v>-2.899621430654681</v>
      </c>
      <c r="AU125" s="685">
        <f t="shared" si="67"/>
        <v>1.1441575078914197</v>
      </c>
      <c r="AV125" s="276">
        <f t="shared" si="68"/>
        <v>2.1086829466886625</v>
      </c>
      <c r="AW125" s="276">
        <f t="shared" si="69"/>
        <v>1.0288319653028066</v>
      </c>
      <c r="AX125" s="276">
        <f t="shared" si="70"/>
        <v>1.6115077095589718</v>
      </c>
      <c r="AY125" s="276">
        <f t="shared" si="71"/>
        <v>1.0035691935383702</v>
      </c>
      <c r="AZ125" s="686">
        <f t="shared" si="72"/>
        <v>1.5853908030953121</v>
      </c>
      <c r="BA125" s="685">
        <f t="shared" si="73"/>
        <v>0</v>
      </c>
      <c r="BB125" s="276">
        <f t="shared" si="74"/>
        <v>0</v>
      </c>
      <c r="BC125" s="276">
        <f t="shared" si="75"/>
        <v>0</v>
      </c>
      <c r="BD125" s="276">
        <f t="shared" si="76"/>
        <v>0</v>
      </c>
      <c r="BE125" s="276">
        <f t="shared" si="77"/>
        <v>0</v>
      </c>
      <c r="BF125" s="686">
        <f t="shared" si="78"/>
        <v>0</v>
      </c>
      <c r="BG125" s="685" t="e">
        <f t="shared" si="79"/>
        <v>#DIV/0!</v>
      </c>
      <c r="BH125" s="276" t="e">
        <f t="shared" si="80"/>
        <v>#DIV/0!</v>
      </c>
      <c r="BI125" s="276" t="e">
        <f t="shared" si="81"/>
        <v>#DIV/0!</v>
      </c>
      <c r="BJ125" s="276" t="e">
        <f t="shared" si="82"/>
        <v>#DIV/0!</v>
      </c>
      <c r="BK125" s="276" t="e">
        <f t="shared" si="83"/>
        <v>#DIV/0!</v>
      </c>
      <c r="BL125" s="686" t="e">
        <f t="shared" si="84"/>
        <v>#DIV/0!</v>
      </c>
      <c r="BM125" s="239"/>
      <c r="BN125" s="965" t="e">
        <f t="shared" si="85"/>
        <v>#VALUE!</v>
      </c>
      <c r="BO125" s="878" t="e">
        <f t="shared" si="86"/>
        <v>#VALUE!</v>
      </c>
      <c r="BP125" s="878" t="e">
        <f t="shared" si="87"/>
        <v>#VALUE!</v>
      </c>
      <c r="BQ125" s="878" t="e">
        <f t="shared" si="88"/>
        <v>#VALUE!</v>
      </c>
      <c r="BR125" s="878" t="e">
        <f t="shared" si="89"/>
        <v>#VALUE!</v>
      </c>
      <c r="BS125" s="966" t="e">
        <f t="shared" si="90"/>
        <v>#VALUE!</v>
      </c>
    </row>
    <row r="126" spans="1:71">
      <c r="A126" s="284">
        <f t="shared" si="91"/>
        <v>58</v>
      </c>
      <c r="B126" s="285">
        <v>-1.0407841446903215E-2</v>
      </c>
      <c r="C126" s="285">
        <v>2.7399253777387682</v>
      </c>
      <c r="D126" s="285">
        <v>-0.40620553376703117</v>
      </c>
      <c r="E126" s="285">
        <v>-1.7683516382995412</v>
      </c>
      <c r="H126" s="685">
        <f t="shared" si="32"/>
        <v>-1.1436416832159582</v>
      </c>
      <c r="I126" s="276">
        <f t="shared" si="33"/>
        <v>-0.21068006812394569</v>
      </c>
      <c r="J126" s="276">
        <f t="shared" si="34"/>
        <v>-1.1724779953799425</v>
      </c>
      <c r="K126" s="276">
        <f t="shared" si="35"/>
        <v>-3.9720070661548945</v>
      </c>
      <c r="L126" s="276">
        <f t="shared" si="36"/>
        <v>-1.2712555452732541</v>
      </c>
      <c r="M126" s="276">
        <f t="shared" si="37"/>
        <v>-0.8874048526517041</v>
      </c>
      <c r="N126" s="685">
        <f t="shared" si="38"/>
        <v>1.5327541667668998</v>
      </c>
      <c r="O126" s="276">
        <f t="shared" si="39"/>
        <v>1.968443336572103</v>
      </c>
      <c r="P126" s="276">
        <f t="shared" si="40"/>
        <v>1.4297475745510118</v>
      </c>
      <c r="Q126" s="276">
        <f t="shared" si="41"/>
        <v>1.09851863281263</v>
      </c>
      <c r="R126" s="276">
        <f t="shared" si="42"/>
        <v>0.60542029563963995</v>
      </c>
      <c r="S126" s="686">
        <f t="shared" si="43"/>
        <v>1.7067642143210981</v>
      </c>
      <c r="T126" s="685">
        <f t="shared" si="44"/>
        <v>2.8721581565038949</v>
      </c>
      <c r="U126" s="276">
        <f t="shared" si="45"/>
        <v>5.1815109478072134</v>
      </c>
      <c r="V126" s="276">
        <f t="shared" si="46"/>
        <v>5.1391115138344041</v>
      </c>
      <c r="W126" s="276">
        <f t="shared" si="47"/>
        <v>3.7422803060345142</v>
      </c>
      <c r="X126" s="276">
        <f t="shared" si="48"/>
        <v>3.9204599192286365</v>
      </c>
      <c r="Y126" s="686">
        <f t="shared" si="49"/>
        <v>5.6206512315141115</v>
      </c>
      <c r="Z126" s="685" t="e">
        <f t="shared" si="50"/>
        <v>#DIV/0!</v>
      </c>
      <c r="AA126" s="276" t="e">
        <f t="shared" si="51"/>
        <v>#DIV/0!</v>
      </c>
      <c r="AB126" s="276" t="e">
        <f t="shared" si="52"/>
        <v>#DIV/0!</v>
      </c>
      <c r="AC126" s="276" t="e">
        <f t="shared" si="53"/>
        <v>#DIV/0!</v>
      </c>
      <c r="AD126" s="276" t="e">
        <f t="shared" si="54"/>
        <v>#DIV/0!</v>
      </c>
      <c r="AE126" s="686" t="e">
        <f t="shared" si="55"/>
        <v>#DIV/0!</v>
      </c>
      <c r="AF126" s="239"/>
      <c r="AG126" s="965" t="e">
        <f t="shared" si="56"/>
        <v>#VALUE!</v>
      </c>
      <c r="AH126" s="878" t="e">
        <f t="shared" si="57"/>
        <v>#VALUE!</v>
      </c>
      <c r="AI126" s="878" t="e">
        <f t="shared" si="92"/>
        <v>#VALUE!</v>
      </c>
      <c r="AJ126" s="878" t="e">
        <f t="shared" si="58"/>
        <v>#VALUE!</v>
      </c>
      <c r="AK126" s="878" t="e">
        <f t="shared" si="59"/>
        <v>#VALUE!</v>
      </c>
      <c r="AL126" s="966" t="e">
        <f t="shared" si="60"/>
        <v>#VALUE!</v>
      </c>
      <c r="AM126" s="239"/>
      <c r="AO126" s="685">
        <f t="shared" si="61"/>
        <v>-1.1436416832159582</v>
      </c>
      <c r="AP126" s="276">
        <f t="shared" si="62"/>
        <v>-0.21068006812394569</v>
      </c>
      <c r="AQ126" s="276">
        <f t="shared" si="63"/>
        <v>-1.1724779953799425</v>
      </c>
      <c r="AR126" s="276">
        <f t="shared" si="64"/>
        <v>-3.9720070661548945</v>
      </c>
      <c r="AS126" s="276">
        <f t="shared" si="65"/>
        <v>-1.2712555452732541</v>
      </c>
      <c r="AT126" s="276">
        <f t="shared" si="66"/>
        <v>-0.8874048526517041</v>
      </c>
      <c r="AU126" s="685">
        <f t="shared" si="67"/>
        <v>1.5327541667668998</v>
      </c>
      <c r="AV126" s="276">
        <f t="shared" si="68"/>
        <v>1.968443336572103</v>
      </c>
      <c r="AW126" s="276">
        <f t="shared" si="69"/>
        <v>1.4297475745510118</v>
      </c>
      <c r="AX126" s="276">
        <f t="shared" si="70"/>
        <v>1.09851863281263</v>
      </c>
      <c r="AY126" s="276">
        <f t="shared" si="71"/>
        <v>0.60542029563963995</v>
      </c>
      <c r="AZ126" s="686">
        <f t="shared" si="72"/>
        <v>1.7067642143210981</v>
      </c>
      <c r="BA126" s="685">
        <f t="shared" si="73"/>
        <v>0</v>
      </c>
      <c r="BB126" s="276">
        <f t="shared" si="74"/>
        <v>0</v>
      </c>
      <c r="BC126" s="276">
        <f t="shared" si="75"/>
        <v>0</v>
      </c>
      <c r="BD126" s="276">
        <f t="shared" si="76"/>
        <v>0</v>
      </c>
      <c r="BE126" s="276">
        <f t="shared" si="77"/>
        <v>0</v>
      </c>
      <c r="BF126" s="686">
        <f t="shared" si="78"/>
        <v>0</v>
      </c>
      <c r="BG126" s="685" t="e">
        <f t="shared" si="79"/>
        <v>#DIV/0!</v>
      </c>
      <c r="BH126" s="276" t="e">
        <f t="shared" si="80"/>
        <v>#DIV/0!</v>
      </c>
      <c r="BI126" s="276" t="e">
        <f t="shared" si="81"/>
        <v>#DIV/0!</v>
      </c>
      <c r="BJ126" s="276" t="e">
        <f t="shared" si="82"/>
        <v>#DIV/0!</v>
      </c>
      <c r="BK126" s="276" t="e">
        <f t="shared" si="83"/>
        <v>#DIV/0!</v>
      </c>
      <c r="BL126" s="686" t="e">
        <f t="shared" si="84"/>
        <v>#DIV/0!</v>
      </c>
      <c r="BM126" s="239"/>
      <c r="BN126" s="965" t="e">
        <f t="shared" si="85"/>
        <v>#VALUE!</v>
      </c>
      <c r="BO126" s="878" t="e">
        <f t="shared" si="86"/>
        <v>#VALUE!</v>
      </c>
      <c r="BP126" s="878" t="e">
        <f t="shared" si="87"/>
        <v>#VALUE!</v>
      </c>
      <c r="BQ126" s="878" t="e">
        <f t="shared" si="88"/>
        <v>#VALUE!</v>
      </c>
      <c r="BR126" s="878" t="e">
        <f t="shared" si="89"/>
        <v>#VALUE!</v>
      </c>
      <c r="BS126" s="966" t="e">
        <f t="shared" si="90"/>
        <v>#VALUE!</v>
      </c>
    </row>
    <row r="127" spans="1:71">
      <c r="A127" s="284">
        <f t="shared" si="91"/>
        <v>59</v>
      </c>
      <c r="B127" s="285">
        <v>-1.6688621003591653</v>
      </c>
      <c r="C127" s="285">
        <v>1.7422525203653323</v>
      </c>
      <c r="D127" s="285">
        <v>1.4766656156382234</v>
      </c>
      <c r="E127" s="285">
        <v>-21.94714924163522</v>
      </c>
      <c r="H127" s="685">
        <f t="shared" si="32"/>
        <v>-2.8020959421282203</v>
      </c>
      <c r="I127" s="276">
        <f t="shared" si="33"/>
        <v>-0.63302371665431467</v>
      </c>
      <c r="J127" s="276">
        <f t="shared" si="34"/>
        <v>-4.0796043954781531</v>
      </c>
      <c r="K127" s="276">
        <f t="shared" si="35"/>
        <v>-1.9339609226645824</v>
      </c>
      <c r="L127" s="276">
        <f t="shared" si="36"/>
        <v>0.63295778136784819</v>
      </c>
      <c r="M127" s="276">
        <f t="shared" si="37"/>
        <v>2.6487904251487118</v>
      </c>
      <c r="N127" s="685">
        <f t="shared" si="38"/>
        <v>0.53508130939346388</v>
      </c>
      <c r="O127" s="276">
        <f t="shared" si="39"/>
        <v>1.6095214849411008</v>
      </c>
      <c r="P127" s="276">
        <f t="shared" si="40"/>
        <v>1.7383286566667724</v>
      </c>
      <c r="Q127" s="276">
        <f t="shared" si="41"/>
        <v>1.0698100161654878</v>
      </c>
      <c r="R127" s="276">
        <f t="shared" si="42"/>
        <v>0.92589127823035677</v>
      </c>
      <c r="S127" s="686">
        <f t="shared" si="43"/>
        <v>1.5151886150263481</v>
      </c>
      <c r="T127" s="685">
        <f t="shared" si="44"/>
        <v>4.7550293059091491</v>
      </c>
      <c r="U127" s="276">
        <f t="shared" si="45"/>
        <v>6.2133103605401976</v>
      </c>
      <c r="V127" s="276">
        <f t="shared" si="46"/>
        <v>2.9663622747942564</v>
      </c>
      <c r="W127" s="276">
        <f t="shared" si="47"/>
        <v>3.414031078512699</v>
      </c>
      <c r="X127" s="276">
        <f t="shared" si="48"/>
        <v>4.9013998945667261</v>
      </c>
      <c r="Y127" s="686">
        <f t="shared" si="49"/>
        <v>5.4738287895396933</v>
      </c>
      <c r="Z127" s="685" t="e">
        <f t="shared" si="50"/>
        <v>#DIV/0!</v>
      </c>
      <c r="AA127" s="276" t="e">
        <f t="shared" si="51"/>
        <v>#DIV/0!</v>
      </c>
      <c r="AB127" s="276" t="e">
        <f t="shared" si="52"/>
        <v>#DIV/0!</v>
      </c>
      <c r="AC127" s="276" t="e">
        <f t="shared" si="53"/>
        <v>#DIV/0!</v>
      </c>
      <c r="AD127" s="276" t="e">
        <f t="shared" si="54"/>
        <v>#DIV/0!</v>
      </c>
      <c r="AE127" s="686" t="e">
        <f t="shared" si="55"/>
        <v>#DIV/0!</v>
      </c>
      <c r="AF127" s="239"/>
      <c r="AG127" s="965" t="e">
        <f t="shared" si="56"/>
        <v>#VALUE!</v>
      </c>
      <c r="AH127" s="878" t="e">
        <f t="shared" si="57"/>
        <v>#VALUE!</v>
      </c>
      <c r="AI127" s="878" t="e">
        <f t="shared" si="92"/>
        <v>#VALUE!</v>
      </c>
      <c r="AJ127" s="878" t="e">
        <f t="shared" si="58"/>
        <v>#VALUE!</v>
      </c>
      <c r="AK127" s="878" t="e">
        <f t="shared" si="59"/>
        <v>#VALUE!</v>
      </c>
      <c r="AL127" s="966" t="e">
        <f t="shared" si="60"/>
        <v>#VALUE!</v>
      </c>
      <c r="AM127" s="239"/>
      <c r="AO127" s="685">
        <f t="shared" si="61"/>
        <v>-2.8020959421282203</v>
      </c>
      <c r="AP127" s="276">
        <f t="shared" si="62"/>
        <v>-0.63302371665431467</v>
      </c>
      <c r="AQ127" s="276">
        <f t="shared" si="63"/>
        <v>-4.0796043954781531</v>
      </c>
      <c r="AR127" s="276">
        <f t="shared" si="64"/>
        <v>-1.9339609226645824</v>
      </c>
      <c r="AS127" s="276">
        <f t="shared" si="65"/>
        <v>0.63295778136784819</v>
      </c>
      <c r="AT127" s="276">
        <f t="shared" si="66"/>
        <v>2.6487904251487118</v>
      </c>
      <c r="AU127" s="685">
        <f t="shared" si="67"/>
        <v>0.53508130939346388</v>
      </c>
      <c r="AV127" s="276">
        <f t="shared" si="68"/>
        <v>1.6095214849411008</v>
      </c>
      <c r="AW127" s="276">
        <f t="shared" si="69"/>
        <v>1.7383286566667724</v>
      </c>
      <c r="AX127" s="276">
        <f t="shared" si="70"/>
        <v>1.0698100161654878</v>
      </c>
      <c r="AY127" s="276">
        <f t="shared" si="71"/>
        <v>0.92589127823035677</v>
      </c>
      <c r="AZ127" s="686">
        <f t="shared" si="72"/>
        <v>1.5151886150263481</v>
      </c>
      <c r="BA127" s="685">
        <f t="shared" si="73"/>
        <v>0</v>
      </c>
      <c r="BB127" s="276">
        <f t="shared" si="74"/>
        <v>0</v>
      </c>
      <c r="BC127" s="276">
        <f t="shared" si="75"/>
        <v>0</v>
      </c>
      <c r="BD127" s="276">
        <f t="shared" si="76"/>
        <v>0</v>
      </c>
      <c r="BE127" s="276">
        <f t="shared" si="77"/>
        <v>0</v>
      </c>
      <c r="BF127" s="686">
        <f t="shared" si="78"/>
        <v>0</v>
      </c>
      <c r="BG127" s="685" t="e">
        <f t="shared" si="79"/>
        <v>#DIV/0!</v>
      </c>
      <c r="BH127" s="276" t="e">
        <f t="shared" si="80"/>
        <v>#DIV/0!</v>
      </c>
      <c r="BI127" s="276" t="e">
        <f t="shared" si="81"/>
        <v>#DIV/0!</v>
      </c>
      <c r="BJ127" s="276" t="e">
        <f t="shared" si="82"/>
        <v>#DIV/0!</v>
      </c>
      <c r="BK127" s="276" t="e">
        <f t="shared" si="83"/>
        <v>#DIV/0!</v>
      </c>
      <c r="BL127" s="686" t="e">
        <f t="shared" si="84"/>
        <v>#DIV/0!</v>
      </c>
      <c r="BM127" s="239"/>
      <c r="BN127" s="965" t="e">
        <f t="shared" si="85"/>
        <v>#VALUE!</v>
      </c>
      <c r="BO127" s="878" t="e">
        <f t="shared" si="86"/>
        <v>#VALUE!</v>
      </c>
      <c r="BP127" s="878" t="e">
        <f t="shared" si="87"/>
        <v>#VALUE!</v>
      </c>
      <c r="BQ127" s="878" t="e">
        <f t="shared" si="88"/>
        <v>#VALUE!</v>
      </c>
      <c r="BR127" s="878" t="e">
        <f t="shared" si="89"/>
        <v>#VALUE!</v>
      </c>
      <c r="BS127" s="966" t="e">
        <f t="shared" si="90"/>
        <v>#VALUE!</v>
      </c>
    </row>
    <row r="128" spans="1:71">
      <c r="A128" s="284">
        <f t="shared" si="91"/>
        <v>60</v>
      </c>
      <c r="B128" s="285">
        <v>4.7418992785290062E-2</v>
      </c>
      <c r="C128" s="285">
        <v>2.7710850944848575</v>
      </c>
      <c r="D128" s="285">
        <v>1.1602662168968652</v>
      </c>
      <c r="E128" s="285">
        <v>6.3721407683589142</v>
      </c>
      <c r="H128" s="685">
        <f t="shared" si="32"/>
        <v>-1.0858148489837647</v>
      </c>
      <c r="I128" s="276">
        <f t="shared" si="33"/>
        <v>-1.5464624153026005</v>
      </c>
      <c r="J128" s="276">
        <f t="shared" si="34"/>
        <v>-0.36099758983876529</v>
      </c>
      <c r="K128" s="276">
        <f t="shared" si="35"/>
        <v>-1.3896074022893614</v>
      </c>
      <c r="L128" s="276">
        <f t="shared" si="36"/>
        <v>-4.7963858051516217</v>
      </c>
      <c r="M128" s="276">
        <f t="shared" si="37"/>
        <v>-2.1432877802295569</v>
      </c>
      <c r="N128" s="685">
        <f t="shared" si="38"/>
        <v>1.5639138835129891</v>
      </c>
      <c r="O128" s="276">
        <f t="shared" si="39"/>
        <v>1.9344390962758979</v>
      </c>
      <c r="P128" s="276">
        <f t="shared" si="40"/>
        <v>2.0735747397396729</v>
      </c>
      <c r="Q128" s="276">
        <f t="shared" si="41"/>
        <v>1.039713556860969</v>
      </c>
      <c r="R128" s="276">
        <f t="shared" si="42"/>
        <v>0.33366485724556139</v>
      </c>
      <c r="S128" s="686">
        <f t="shared" si="43"/>
        <v>1.2845104863024239</v>
      </c>
      <c r="T128" s="685">
        <f t="shared" si="44"/>
        <v>4.4386299071677913</v>
      </c>
      <c r="U128" s="276">
        <f t="shared" si="45"/>
        <v>4.487707587913536</v>
      </c>
      <c r="V128" s="276">
        <f t="shared" si="46"/>
        <v>3.2406746663932782</v>
      </c>
      <c r="W128" s="276">
        <f t="shared" si="47"/>
        <v>2.762267986510849</v>
      </c>
      <c r="X128" s="276">
        <f t="shared" si="48"/>
        <v>3.7372648566053992</v>
      </c>
      <c r="Y128" s="686">
        <f t="shared" si="49"/>
        <v>5.8138579345362924</v>
      </c>
      <c r="Z128" s="685" t="e">
        <f t="shared" si="50"/>
        <v>#DIV/0!</v>
      </c>
      <c r="AA128" s="276" t="e">
        <f t="shared" si="51"/>
        <v>#DIV/0!</v>
      </c>
      <c r="AB128" s="276" t="e">
        <f t="shared" si="52"/>
        <v>#DIV/0!</v>
      </c>
      <c r="AC128" s="276" t="e">
        <f t="shared" si="53"/>
        <v>#DIV/0!</v>
      </c>
      <c r="AD128" s="276" t="e">
        <f t="shared" si="54"/>
        <v>#DIV/0!</v>
      </c>
      <c r="AE128" s="686" t="e">
        <f t="shared" si="55"/>
        <v>#DIV/0!</v>
      </c>
      <c r="AF128" s="239"/>
      <c r="AG128" s="965" t="e">
        <f t="shared" si="56"/>
        <v>#VALUE!</v>
      </c>
      <c r="AH128" s="878" t="e">
        <f t="shared" si="57"/>
        <v>#VALUE!</v>
      </c>
      <c r="AI128" s="878" t="e">
        <f t="shared" si="92"/>
        <v>#VALUE!</v>
      </c>
      <c r="AJ128" s="878" t="e">
        <f t="shared" si="58"/>
        <v>#VALUE!</v>
      </c>
      <c r="AK128" s="878" t="e">
        <f t="shared" si="59"/>
        <v>#VALUE!</v>
      </c>
      <c r="AL128" s="966" t="e">
        <f t="shared" si="60"/>
        <v>#VALUE!</v>
      </c>
      <c r="AM128" s="239"/>
      <c r="AO128" s="685">
        <f t="shared" si="61"/>
        <v>-1.0858148489837647</v>
      </c>
      <c r="AP128" s="276">
        <f t="shared" si="62"/>
        <v>-1.5464624153026005</v>
      </c>
      <c r="AQ128" s="276">
        <f t="shared" si="63"/>
        <v>-0.36099758983876529</v>
      </c>
      <c r="AR128" s="276">
        <f t="shared" si="64"/>
        <v>-1.3896074022893614</v>
      </c>
      <c r="AS128" s="276">
        <f t="shared" si="65"/>
        <v>-4.7963858051516217</v>
      </c>
      <c r="AT128" s="276">
        <f t="shared" si="66"/>
        <v>-2.1432877802295569</v>
      </c>
      <c r="AU128" s="685">
        <f t="shared" si="67"/>
        <v>1.5639138835129891</v>
      </c>
      <c r="AV128" s="276">
        <f t="shared" si="68"/>
        <v>1.9344390962758979</v>
      </c>
      <c r="AW128" s="276">
        <f t="shared" si="69"/>
        <v>2.0735747397396729</v>
      </c>
      <c r="AX128" s="276">
        <f t="shared" si="70"/>
        <v>1.039713556860969</v>
      </c>
      <c r="AY128" s="276">
        <f t="shared" si="71"/>
        <v>0.33366485724556139</v>
      </c>
      <c r="AZ128" s="686">
        <f t="shared" si="72"/>
        <v>1.2845104863024239</v>
      </c>
      <c r="BA128" s="685">
        <f t="shared" si="73"/>
        <v>0</v>
      </c>
      <c r="BB128" s="276">
        <f t="shared" si="74"/>
        <v>0</v>
      </c>
      <c r="BC128" s="276">
        <f t="shared" si="75"/>
        <v>0</v>
      </c>
      <c r="BD128" s="276">
        <f t="shared" si="76"/>
        <v>0</v>
      </c>
      <c r="BE128" s="276">
        <f t="shared" si="77"/>
        <v>0</v>
      </c>
      <c r="BF128" s="686">
        <f t="shared" si="78"/>
        <v>0</v>
      </c>
      <c r="BG128" s="685" t="e">
        <f t="shared" si="79"/>
        <v>#DIV/0!</v>
      </c>
      <c r="BH128" s="276" t="e">
        <f t="shared" si="80"/>
        <v>#DIV/0!</v>
      </c>
      <c r="BI128" s="276" t="e">
        <f t="shared" si="81"/>
        <v>#DIV/0!</v>
      </c>
      <c r="BJ128" s="276" t="e">
        <f t="shared" si="82"/>
        <v>#DIV/0!</v>
      </c>
      <c r="BK128" s="276" t="e">
        <f t="shared" si="83"/>
        <v>#DIV/0!</v>
      </c>
      <c r="BL128" s="686" t="e">
        <f t="shared" si="84"/>
        <v>#DIV/0!</v>
      </c>
      <c r="BM128" s="239"/>
      <c r="BN128" s="965" t="e">
        <f t="shared" si="85"/>
        <v>#VALUE!</v>
      </c>
      <c r="BO128" s="878" t="e">
        <f t="shared" si="86"/>
        <v>#VALUE!</v>
      </c>
      <c r="BP128" s="878" t="e">
        <f t="shared" si="87"/>
        <v>#VALUE!</v>
      </c>
      <c r="BQ128" s="878" t="e">
        <f t="shared" si="88"/>
        <v>#VALUE!</v>
      </c>
      <c r="BR128" s="878" t="e">
        <f t="shared" si="89"/>
        <v>#VALUE!</v>
      </c>
      <c r="BS128" s="966" t="e">
        <f t="shared" si="90"/>
        <v>#VALUE!</v>
      </c>
    </row>
    <row r="129" spans="1:71">
      <c r="A129" s="284">
        <f t="shared" si="91"/>
        <v>61</v>
      </c>
      <c r="B129" s="285">
        <v>4.4630182194341348</v>
      </c>
      <c r="C129" s="285">
        <v>2.5398261201303183</v>
      </c>
      <c r="D129" s="285">
        <v>2.3236095600649813</v>
      </c>
      <c r="E129" s="285">
        <v>-11.141277109154126</v>
      </c>
      <c r="H129" s="685">
        <f t="shared" si="32"/>
        <v>3.3297843776650797</v>
      </c>
      <c r="I129" s="276">
        <f t="shared" si="33"/>
        <v>-5.4022371156329907E-2</v>
      </c>
      <c r="J129" s="276">
        <f t="shared" si="34"/>
        <v>1.7032564590809185</v>
      </c>
      <c r="K129" s="276">
        <f t="shared" si="35"/>
        <v>-2.0467569183957282</v>
      </c>
      <c r="L129" s="276">
        <f t="shared" si="36"/>
        <v>-6.9572176749495753</v>
      </c>
      <c r="M129" s="276">
        <f t="shared" si="37"/>
        <v>-2.1407026444312454</v>
      </c>
      <c r="N129" s="685">
        <f t="shared" si="38"/>
        <v>1.3326549091584499</v>
      </c>
      <c r="O129" s="276">
        <f t="shared" si="39"/>
        <v>0.98875422886020936</v>
      </c>
      <c r="P129" s="276">
        <f t="shared" si="40"/>
        <v>1.3979612074184533</v>
      </c>
      <c r="Q129" s="276">
        <f t="shared" si="41"/>
        <v>1.8141866324606764</v>
      </c>
      <c r="R129" s="276">
        <f t="shared" si="42"/>
        <v>0.1421201686777589</v>
      </c>
      <c r="S129" s="686">
        <f t="shared" si="43"/>
        <v>1.4735402253527521</v>
      </c>
      <c r="T129" s="685">
        <f t="shared" si="44"/>
        <v>5.6019732503359077</v>
      </c>
      <c r="U129" s="276">
        <f t="shared" si="45"/>
        <v>6.6265215232145387</v>
      </c>
      <c r="V129" s="276">
        <f t="shared" si="46"/>
        <v>5.7561398211203905</v>
      </c>
      <c r="W129" s="276">
        <f t="shared" si="47"/>
        <v>3.422117541076604</v>
      </c>
      <c r="X129" s="276">
        <f t="shared" si="48"/>
        <v>3.089624261223225</v>
      </c>
      <c r="Y129" s="686">
        <f t="shared" si="49"/>
        <v>4.6388759580897378</v>
      </c>
      <c r="Z129" s="685" t="e">
        <f t="shared" si="50"/>
        <v>#DIV/0!</v>
      </c>
      <c r="AA129" s="276" t="e">
        <f t="shared" si="51"/>
        <v>#DIV/0!</v>
      </c>
      <c r="AB129" s="276" t="e">
        <f t="shared" si="52"/>
        <v>#DIV/0!</v>
      </c>
      <c r="AC129" s="276" t="e">
        <f t="shared" si="53"/>
        <v>#DIV/0!</v>
      </c>
      <c r="AD129" s="276" t="e">
        <f t="shared" si="54"/>
        <v>#DIV/0!</v>
      </c>
      <c r="AE129" s="686" t="e">
        <f t="shared" si="55"/>
        <v>#DIV/0!</v>
      </c>
      <c r="AF129" s="239"/>
      <c r="AG129" s="965" t="e">
        <f t="shared" si="56"/>
        <v>#VALUE!</v>
      </c>
      <c r="AH129" s="878" t="e">
        <f t="shared" si="57"/>
        <v>#VALUE!</v>
      </c>
      <c r="AI129" s="878" t="e">
        <f t="shared" si="92"/>
        <v>#VALUE!</v>
      </c>
      <c r="AJ129" s="878" t="e">
        <f t="shared" si="58"/>
        <v>#VALUE!</v>
      </c>
      <c r="AK129" s="878" t="e">
        <f t="shared" si="59"/>
        <v>#VALUE!</v>
      </c>
      <c r="AL129" s="966" t="e">
        <f t="shared" si="60"/>
        <v>#VALUE!</v>
      </c>
      <c r="AM129" s="239"/>
      <c r="AO129" s="685">
        <f t="shared" si="61"/>
        <v>3.3297843776650797</v>
      </c>
      <c r="AP129" s="276">
        <f t="shared" si="62"/>
        <v>-5.4022371156329907E-2</v>
      </c>
      <c r="AQ129" s="276">
        <f t="shared" si="63"/>
        <v>1.7032564590809185</v>
      </c>
      <c r="AR129" s="276">
        <f t="shared" si="64"/>
        <v>-2.0467569183957282</v>
      </c>
      <c r="AS129" s="276">
        <f t="shared" si="65"/>
        <v>-6.9572176749495753</v>
      </c>
      <c r="AT129" s="276">
        <f t="shared" si="66"/>
        <v>-2.1407026444312454</v>
      </c>
      <c r="AU129" s="685">
        <f t="shared" si="67"/>
        <v>1.3326549091584499</v>
      </c>
      <c r="AV129" s="276">
        <f t="shared" si="68"/>
        <v>0.98875422886020936</v>
      </c>
      <c r="AW129" s="276">
        <f t="shared" si="69"/>
        <v>1.3979612074184533</v>
      </c>
      <c r="AX129" s="276">
        <f t="shared" si="70"/>
        <v>1.8141866324606764</v>
      </c>
      <c r="AY129" s="276">
        <f t="shared" si="71"/>
        <v>0.1421201686777589</v>
      </c>
      <c r="AZ129" s="686">
        <f t="shared" si="72"/>
        <v>1.4735402253527521</v>
      </c>
      <c r="BA129" s="685">
        <f t="shared" si="73"/>
        <v>0</v>
      </c>
      <c r="BB129" s="276">
        <f t="shared" si="74"/>
        <v>0</v>
      </c>
      <c r="BC129" s="276">
        <f t="shared" si="75"/>
        <v>0</v>
      </c>
      <c r="BD129" s="276">
        <f t="shared" si="76"/>
        <v>0</v>
      </c>
      <c r="BE129" s="276">
        <f t="shared" si="77"/>
        <v>0</v>
      </c>
      <c r="BF129" s="686">
        <f t="shared" si="78"/>
        <v>0</v>
      </c>
      <c r="BG129" s="685" t="e">
        <f t="shared" si="79"/>
        <v>#DIV/0!</v>
      </c>
      <c r="BH129" s="276" t="e">
        <f t="shared" si="80"/>
        <v>#DIV/0!</v>
      </c>
      <c r="BI129" s="276" t="e">
        <f t="shared" si="81"/>
        <v>#DIV/0!</v>
      </c>
      <c r="BJ129" s="276" t="e">
        <f t="shared" si="82"/>
        <v>#DIV/0!</v>
      </c>
      <c r="BK129" s="276" t="e">
        <f t="shared" si="83"/>
        <v>#DIV/0!</v>
      </c>
      <c r="BL129" s="686" t="e">
        <f t="shared" si="84"/>
        <v>#DIV/0!</v>
      </c>
      <c r="BM129" s="239"/>
      <c r="BN129" s="965" t="e">
        <f t="shared" si="85"/>
        <v>#VALUE!</v>
      </c>
      <c r="BO129" s="878" t="e">
        <f t="shared" si="86"/>
        <v>#VALUE!</v>
      </c>
      <c r="BP129" s="878" t="e">
        <f t="shared" si="87"/>
        <v>#VALUE!</v>
      </c>
      <c r="BQ129" s="878" t="e">
        <f t="shared" si="88"/>
        <v>#VALUE!</v>
      </c>
      <c r="BR129" s="878" t="e">
        <f t="shared" si="89"/>
        <v>#VALUE!</v>
      </c>
      <c r="BS129" s="966" t="e">
        <f t="shared" si="90"/>
        <v>#VALUE!</v>
      </c>
    </row>
    <row r="130" spans="1:71">
      <c r="A130" s="284">
        <f t="shared" si="91"/>
        <v>62</v>
      </c>
      <c r="B130" s="285">
        <v>2.356699995118595</v>
      </c>
      <c r="C130" s="285">
        <v>3.0594018309007458</v>
      </c>
      <c r="D130" s="285">
        <v>1.2694492093616518</v>
      </c>
      <c r="E130" s="285">
        <v>-4.6615738252439627</v>
      </c>
      <c r="H130" s="685">
        <f t="shared" si="32"/>
        <v>1.2234661533495401</v>
      </c>
      <c r="I130" s="276">
        <f t="shared" si="33"/>
        <v>-1.0628392381638576</v>
      </c>
      <c r="J130" s="276">
        <f t="shared" si="34"/>
        <v>-0.2887778268717448</v>
      </c>
      <c r="K130" s="276">
        <f t="shared" si="35"/>
        <v>-1.5693492285986976</v>
      </c>
      <c r="L130" s="276">
        <f t="shared" si="36"/>
        <v>-1.7618118828544125</v>
      </c>
      <c r="M130" s="276">
        <f t="shared" si="37"/>
        <v>-2.1855322800300891</v>
      </c>
      <c r="N130" s="685">
        <f t="shared" si="38"/>
        <v>1.8522306199288774</v>
      </c>
      <c r="O130" s="276">
        <f t="shared" si="39"/>
        <v>1.4335321594981301</v>
      </c>
      <c r="P130" s="276">
        <f t="shared" si="40"/>
        <v>1.3403462629197056</v>
      </c>
      <c r="Q130" s="276">
        <f t="shared" si="41"/>
        <v>0.99301309094756518</v>
      </c>
      <c r="R130" s="276">
        <f t="shared" si="42"/>
        <v>1.5195345429992797</v>
      </c>
      <c r="S130" s="686">
        <f t="shared" si="43"/>
        <v>1.6203186822595634</v>
      </c>
      <c r="T130" s="685">
        <f t="shared" si="44"/>
        <v>4.5478128996325777</v>
      </c>
      <c r="U130" s="276">
        <f t="shared" si="45"/>
        <v>5.2431385070145309</v>
      </c>
      <c r="V130" s="276">
        <f t="shared" si="46"/>
        <v>3.509730048869117</v>
      </c>
      <c r="W130" s="276">
        <f t="shared" si="47"/>
        <v>6.5508206367507409</v>
      </c>
      <c r="X130" s="276">
        <f t="shared" si="48"/>
        <v>5.5476774338383681</v>
      </c>
      <c r="Y130" s="686">
        <f t="shared" si="49"/>
        <v>2.7988145565301328</v>
      </c>
      <c r="Z130" s="685" t="e">
        <f t="shared" si="50"/>
        <v>#DIV/0!</v>
      </c>
      <c r="AA130" s="276" t="e">
        <f t="shared" si="51"/>
        <v>#DIV/0!</v>
      </c>
      <c r="AB130" s="276" t="e">
        <f t="shared" si="52"/>
        <v>#DIV/0!</v>
      </c>
      <c r="AC130" s="276" t="e">
        <f t="shared" si="53"/>
        <v>#DIV/0!</v>
      </c>
      <c r="AD130" s="276" t="e">
        <f t="shared" si="54"/>
        <v>#DIV/0!</v>
      </c>
      <c r="AE130" s="686" t="e">
        <f t="shared" si="55"/>
        <v>#DIV/0!</v>
      </c>
      <c r="AF130" s="239"/>
      <c r="AG130" s="965" t="e">
        <f t="shared" si="56"/>
        <v>#VALUE!</v>
      </c>
      <c r="AH130" s="878" t="e">
        <f t="shared" si="57"/>
        <v>#VALUE!</v>
      </c>
      <c r="AI130" s="878" t="e">
        <f t="shared" si="92"/>
        <v>#VALUE!</v>
      </c>
      <c r="AJ130" s="878" t="e">
        <f t="shared" si="58"/>
        <v>#VALUE!</v>
      </c>
      <c r="AK130" s="878" t="e">
        <f t="shared" si="59"/>
        <v>#VALUE!</v>
      </c>
      <c r="AL130" s="966" t="e">
        <f t="shared" si="60"/>
        <v>#VALUE!</v>
      </c>
      <c r="AM130" s="239"/>
      <c r="AO130" s="685">
        <f t="shared" si="61"/>
        <v>1.2234661533495401</v>
      </c>
      <c r="AP130" s="276">
        <f t="shared" si="62"/>
        <v>-1.0628392381638576</v>
      </c>
      <c r="AQ130" s="276">
        <f t="shared" si="63"/>
        <v>-0.2887778268717448</v>
      </c>
      <c r="AR130" s="276">
        <f t="shared" si="64"/>
        <v>-1.5693492285986976</v>
      </c>
      <c r="AS130" s="276">
        <f t="shared" si="65"/>
        <v>-1.7618118828544125</v>
      </c>
      <c r="AT130" s="276">
        <f t="shared" si="66"/>
        <v>-2.1855322800300891</v>
      </c>
      <c r="AU130" s="685">
        <f t="shared" si="67"/>
        <v>1.8522306199288774</v>
      </c>
      <c r="AV130" s="276">
        <f t="shared" si="68"/>
        <v>1.4335321594981301</v>
      </c>
      <c r="AW130" s="276">
        <f t="shared" si="69"/>
        <v>1.3403462629197056</v>
      </c>
      <c r="AX130" s="276">
        <f t="shared" si="70"/>
        <v>0.99301309094756518</v>
      </c>
      <c r="AY130" s="276">
        <f t="shared" si="71"/>
        <v>1.5195345429992797</v>
      </c>
      <c r="AZ130" s="686">
        <f t="shared" si="72"/>
        <v>1.6203186822595634</v>
      </c>
      <c r="BA130" s="685">
        <f t="shared" si="73"/>
        <v>0</v>
      </c>
      <c r="BB130" s="276">
        <f t="shared" si="74"/>
        <v>0</v>
      </c>
      <c r="BC130" s="276">
        <f t="shared" si="75"/>
        <v>0</v>
      </c>
      <c r="BD130" s="276">
        <f t="shared" si="76"/>
        <v>0</v>
      </c>
      <c r="BE130" s="276">
        <f t="shared" si="77"/>
        <v>0</v>
      </c>
      <c r="BF130" s="686">
        <f t="shared" si="78"/>
        <v>0</v>
      </c>
      <c r="BG130" s="685" t="e">
        <f t="shared" si="79"/>
        <v>#DIV/0!</v>
      </c>
      <c r="BH130" s="276" t="e">
        <f t="shared" si="80"/>
        <v>#DIV/0!</v>
      </c>
      <c r="BI130" s="276" t="e">
        <f t="shared" si="81"/>
        <v>#DIV/0!</v>
      </c>
      <c r="BJ130" s="276" t="e">
        <f t="shared" si="82"/>
        <v>#DIV/0!</v>
      </c>
      <c r="BK130" s="276" t="e">
        <f t="shared" si="83"/>
        <v>#DIV/0!</v>
      </c>
      <c r="BL130" s="686" t="e">
        <f t="shared" si="84"/>
        <v>#DIV/0!</v>
      </c>
      <c r="BM130" s="239"/>
      <c r="BN130" s="965" t="e">
        <f t="shared" si="85"/>
        <v>#VALUE!</v>
      </c>
      <c r="BO130" s="878" t="e">
        <f t="shared" si="86"/>
        <v>#VALUE!</v>
      </c>
      <c r="BP130" s="878" t="e">
        <f t="shared" si="87"/>
        <v>#VALUE!</v>
      </c>
      <c r="BQ130" s="878" t="e">
        <f t="shared" si="88"/>
        <v>#VALUE!</v>
      </c>
      <c r="BR130" s="878" t="e">
        <f t="shared" si="89"/>
        <v>#VALUE!</v>
      </c>
      <c r="BS130" s="966" t="e">
        <f t="shared" si="90"/>
        <v>#VALUE!</v>
      </c>
    </row>
    <row r="131" spans="1:71">
      <c r="A131" s="284">
        <f t="shared" si="91"/>
        <v>63</v>
      </c>
      <c r="B131" s="285">
        <v>-2.5178351466062576</v>
      </c>
      <c r="C131" s="285">
        <v>2.0481124479293822</v>
      </c>
      <c r="D131" s="285">
        <v>1.1783598905831365</v>
      </c>
      <c r="E131" s="285">
        <v>1.9059561294896281</v>
      </c>
      <c r="H131" s="685">
        <f t="shared" si="32"/>
        <v>-3.6510689883753127</v>
      </c>
      <c r="I131" s="276">
        <f t="shared" si="33"/>
        <v>3.4539674891391758E-3</v>
      </c>
      <c r="J131" s="276">
        <f t="shared" si="34"/>
        <v>-1.4073956764390874</v>
      </c>
      <c r="K131" s="276">
        <f t="shared" si="35"/>
        <v>3.3505039718629357</v>
      </c>
      <c r="L131" s="276">
        <f t="shared" si="36"/>
        <v>-1.7970682081603482</v>
      </c>
      <c r="M131" s="276">
        <f t="shared" si="37"/>
        <v>3.5570040898707136</v>
      </c>
      <c r="N131" s="685">
        <f t="shared" si="38"/>
        <v>0.84094123695751377</v>
      </c>
      <c r="O131" s="276">
        <f t="shared" si="39"/>
        <v>1.3039241748771511</v>
      </c>
      <c r="P131" s="276">
        <f t="shared" si="40"/>
        <v>1.2788718505409931</v>
      </c>
      <c r="Q131" s="276">
        <f t="shared" si="41"/>
        <v>1.3826282427488994</v>
      </c>
      <c r="R131" s="276">
        <f t="shared" si="42"/>
        <v>1.9775805399632802</v>
      </c>
      <c r="S131" s="686">
        <f t="shared" si="43"/>
        <v>1.8943159795049025</v>
      </c>
      <c r="T131" s="685">
        <f t="shared" si="44"/>
        <v>4.456723580854062</v>
      </c>
      <c r="U131" s="276">
        <f t="shared" si="45"/>
        <v>5.5476008661239948</v>
      </c>
      <c r="V131" s="276">
        <f t="shared" si="46"/>
        <v>6.3634016554468538</v>
      </c>
      <c r="W131" s="276">
        <f t="shared" si="47"/>
        <v>6.4842802265232535</v>
      </c>
      <c r="X131" s="276">
        <f t="shared" si="48"/>
        <v>3.2291351844236562</v>
      </c>
      <c r="Y131" s="686">
        <f t="shared" si="49"/>
        <v>3.549939451772274</v>
      </c>
      <c r="Z131" s="685" t="e">
        <f t="shared" si="50"/>
        <v>#DIV/0!</v>
      </c>
      <c r="AA131" s="276" t="e">
        <f t="shared" si="51"/>
        <v>#DIV/0!</v>
      </c>
      <c r="AB131" s="276" t="e">
        <f t="shared" si="52"/>
        <v>#DIV/0!</v>
      </c>
      <c r="AC131" s="276" t="e">
        <f t="shared" si="53"/>
        <v>#DIV/0!</v>
      </c>
      <c r="AD131" s="276" t="e">
        <f t="shared" si="54"/>
        <v>#DIV/0!</v>
      </c>
      <c r="AE131" s="686" t="e">
        <f t="shared" si="55"/>
        <v>#DIV/0!</v>
      </c>
      <c r="AF131" s="239"/>
      <c r="AG131" s="965" t="e">
        <f t="shared" si="56"/>
        <v>#VALUE!</v>
      </c>
      <c r="AH131" s="878" t="e">
        <f t="shared" si="57"/>
        <v>#VALUE!</v>
      </c>
      <c r="AI131" s="878" t="e">
        <f t="shared" si="92"/>
        <v>#VALUE!</v>
      </c>
      <c r="AJ131" s="878" t="e">
        <f t="shared" si="58"/>
        <v>#VALUE!</v>
      </c>
      <c r="AK131" s="878" t="e">
        <f t="shared" si="59"/>
        <v>#VALUE!</v>
      </c>
      <c r="AL131" s="966" t="e">
        <f t="shared" si="60"/>
        <v>#VALUE!</v>
      </c>
      <c r="AM131" s="239"/>
      <c r="AO131" s="685">
        <f t="shared" si="61"/>
        <v>-3.6510689883753127</v>
      </c>
      <c r="AP131" s="276">
        <f t="shared" si="62"/>
        <v>3.4539674891391758E-3</v>
      </c>
      <c r="AQ131" s="276">
        <f t="shared" si="63"/>
        <v>-1.4073956764390874</v>
      </c>
      <c r="AR131" s="276">
        <f t="shared" si="64"/>
        <v>3.3505039718629357</v>
      </c>
      <c r="AS131" s="276">
        <f t="shared" si="65"/>
        <v>-1.7970682081603482</v>
      </c>
      <c r="AT131" s="276">
        <f t="shared" si="66"/>
        <v>3.5570040898707136</v>
      </c>
      <c r="AU131" s="685">
        <f t="shared" si="67"/>
        <v>0.84094123695751377</v>
      </c>
      <c r="AV131" s="276">
        <f t="shared" si="68"/>
        <v>1.3039241748771511</v>
      </c>
      <c r="AW131" s="276">
        <f t="shared" si="69"/>
        <v>1.2788718505409931</v>
      </c>
      <c r="AX131" s="276">
        <f t="shared" si="70"/>
        <v>1.3826282427488994</v>
      </c>
      <c r="AY131" s="276">
        <f t="shared" si="71"/>
        <v>1.9775805399632802</v>
      </c>
      <c r="AZ131" s="686">
        <f t="shared" si="72"/>
        <v>1.8943159795049025</v>
      </c>
      <c r="BA131" s="685">
        <f t="shared" si="73"/>
        <v>0</v>
      </c>
      <c r="BB131" s="276">
        <f t="shared" si="74"/>
        <v>0</v>
      </c>
      <c r="BC131" s="276">
        <f t="shared" si="75"/>
        <v>0</v>
      </c>
      <c r="BD131" s="276">
        <f t="shared" si="76"/>
        <v>0</v>
      </c>
      <c r="BE131" s="276">
        <f t="shared" si="77"/>
        <v>0</v>
      </c>
      <c r="BF131" s="686">
        <f t="shared" si="78"/>
        <v>0</v>
      </c>
      <c r="BG131" s="685" t="e">
        <f t="shared" si="79"/>
        <v>#DIV/0!</v>
      </c>
      <c r="BH131" s="276" t="e">
        <f t="shared" si="80"/>
        <v>#DIV/0!</v>
      </c>
      <c r="BI131" s="276" t="e">
        <f t="shared" si="81"/>
        <v>#DIV/0!</v>
      </c>
      <c r="BJ131" s="276" t="e">
        <f t="shared" si="82"/>
        <v>#DIV/0!</v>
      </c>
      <c r="BK131" s="276" t="e">
        <f t="shared" si="83"/>
        <v>#DIV/0!</v>
      </c>
      <c r="BL131" s="686" t="e">
        <f t="shared" si="84"/>
        <v>#DIV/0!</v>
      </c>
      <c r="BM131" s="239"/>
      <c r="BN131" s="965" t="e">
        <f t="shared" si="85"/>
        <v>#VALUE!</v>
      </c>
      <c r="BO131" s="878" t="e">
        <f t="shared" si="86"/>
        <v>#VALUE!</v>
      </c>
      <c r="BP131" s="878" t="e">
        <f t="shared" si="87"/>
        <v>#VALUE!</v>
      </c>
      <c r="BQ131" s="878" t="e">
        <f t="shared" si="88"/>
        <v>#VALUE!</v>
      </c>
      <c r="BR131" s="878" t="e">
        <f t="shared" si="89"/>
        <v>#VALUE!</v>
      </c>
      <c r="BS131" s="966" t="e">
        <f t="shared" si="90"/>
        <v>#VALUE!</v>
      </c>
    </row>
    <row r="132" spans="1:71">
      <c r="A132" s="284">
        <f t="shared" si="91"/>
        <v>64</v>
      </c>
      <c r="B132" s="285">
        <v>2.3775491207427568</v>
      </c>
      <c r="C132" s="285">
        <v>2.443541350296881</v>
      </c>
      <c r="D132" s="285">
        <v>2.078256515347749</v>
      </c>
      <c r="E132" s="285">
        <v>-3.6403306989367112</v>
      </c>
      <c r="H132" s="685">
        <f t="shared" si="32"/>
        <v>1.244315278973702</v>
      </c>
      <c r="I132" s="276">
        <f t="shared" si="33"/>
        <v>4.0514418100838618</v>
      </c>
      <c r="J132" s="276">
        <f t="shared" si="34"/>
        <v>-1.6038599617469813</v>
      </c>
      <c r="K132" s="276">
        <f t="shared" si="35"/>
        <v>-2.9417814295513871</v>
      </c>
      <c r="L132" s="276">
        <f t="shared" si="36"/>
        <v>-0.77194428789560043</v>
      </c>
      <c r="M132" s="276">
        <f t="shared" si="37"/>
        <v>0.62336386488653361</v>
      </c>
      <c r="N132" s="685">
        <f t="shared" si="38"/>
        <v>1.2363701393250126</v>
      </c>
      <c r="O132" s="276">
        <f t="shared" si="39"/>
        <v>1.481018801244075</v>
      </c>
      <c r="P132" s="276">
        <f t="shared" si="40"/>
        <v>1.4303806817944997</v>
      </c>
      <c r="Q132" s="276">
        <f t="shared" si="41"/>
        <v>1.4758430279462502</v>
      </c>
      <c r="R132" s="276">
        <f t="shared" si="42"/>
        <v>1.2977924509242909</v>
      </c>
      <c r="S132" s="686">
        <f t="shared" si="43"/>
        <v>1.1299556120324745</v>
      </c>
      <c r="T132" s="685">
        <f t="shared" si="44"/>
        <v>5.3566202056186754</v>
      </c>
      <c r="U132" s="276">
        <f t="shared" si="45"/>
        <v>6.9717735200796636</v>
      </c>
      <c r="V132" s="276">
        <f t="shared" si="46"/>
        <v>4.9440717093472273</v>
      </c>
      <c r="W132" s="276">
        <f t="shared" si="47"/>
        <v>3.0773266675584297</v>
      </c>
      <c r="X132" s="276">
        <f t="shared" si="48"/>
        <v>3.6870600584627868</v>
      </c>
      <c r="Y132" s="686">
        <f t="shared" si="49"/>
        <v>3.8840434215617856</v>
      </c>
      <c r="Z132" s="685" t="e">
        <f t="shared" si="50"/>
        <v>#DIV/0!</v>
      </c>
      <c r="AA132" s="276" t="e">
        <f t="shared" si="51"/>
        <v>#DIV/0!</v>
      </c>
      <c r="AB132" s="276" t="e">
        <f t="shared" si="52"/>
        <v>#DIV/0!</v>
      </c>
      <c r="AC132" s="276" t="e">
        <f t="shared" si="53"/>
        <v>#DIV/0!</v>
      </c>
      <c r="AD132" s="276" t="e">
        <f t="shared" si="54"/>
        <v>#DIV/0!</v>
      </c>
      <c r="AE132" s="686" t="e">
        <f t="shared" si="55"/>
        <v>#DIV/0!</v>
      </c>
      <c r="AF132" s="239"/>
      <c r="AG132" s="965" t="e">
        <f t="shared" si="56"/>
        <v>#VALUE!</v>
      </c>
      <c r="AH132" s="878" t="e">
        <f t="shared" si="57"/>
        <v>#VALUE!</v>
      </c>
      <c r="AI132" s="878" t="e">
        <f t="shared" si="92"/>
        <v>#VALUE!</v>
      </c>
      <c r="AJ132" s="878" t="e">
        <f t="shared" si="58"/>
        <v>#VALUE!</v>
      </c>
      <c r="AK132" s="878" t="e">
        <f t="shared" si="59"/>
        <v>#VALUE!</v>
      </c>
      <c r="AL132" s="966" t="e">
        <f t="shared" si="60"/>
        <v>#VALUE!</v>
      </c>
      <c r="AM132" s="239"/>
      <c r="AO132" s="685">
        <f t="shared" si="61"/>
        <v>1.244315278973702</v>
      </c>
      <c r="AP132" s="276">
        <f t="shared" si="62"/>
        <v>4.0514418100838618</v>
      </c>
      <c r="AQ132" s="276">
        <f t="shared" si="63"/>
        <v>-1.6038599617469813</v>
      </c>
      <c r="AR132" s="276">
        <f t="shared" si="64"/>
        <v>-2.9417814295513871</v>
      </c>
      <c r="AS132" s="276">
        <f t="shared" si="65"/>
        <v>-0.77194428789560043</v>
      </c>
      <c r="AT132" s="276">
        <f t="shared" si="66"/>
        <v>0.62336386488653361</v>
      </c>
      <c r="AU132" s="685">
        <f t="shared" si="67"/>
        <v>1.2363701393250126</v>
      </c>
      <c r="AV132" s="276">
        <f t="shared" si="68"/>
        <v>1.481018801244075</v>
      </c>
      <c r="AW132" s="276">
        <f t="shared" si="69"/>
        <v>1.4303806817944997</v>
      </c>
      <c r="AX132" s="276">
        <f t="shared" si="70"/>
        <v>1.4758430279462502</v>
      </c>
      <c r="AY132" s="276">
        <f t="shared" si="71"/>
        <v>1.2977924509242909</v>
      </c>
      <c r="AZ132" s="686">
        <f t="shared" si="72"/>
        <v>1.1299556120324745</v>
      </c>
      <c r="BA132" s="685">
        <f t="shared" si="73"/>
        <v>0</v>
      </c>
      <c r="BB132" s="276">
        <f t="shared" si="74"/>
        <v>0</v>
      </c>
      <c r="BC132" s="276">
        <f t="shared" si="75"/>
        <v>0</v>
      </c>
      <c r="BD132" s="276">
        <f t="shared" si="76"/>
        <v>0</v>
      </c>
      <c r="BE132" s="276">
        <f t="shared" si="77"/>
        <v>0</v>
      </c>
      <c r="BF132" s="686">
        <f t="shared" si="78"/>
        <v>0</v>
      </c>
      <c r="BG132" s="685" t="e">
        <f t="shared" si="79"/>
        <v>#DIV/0!</v>
      </c>
      <c r="BH132" s="276" t="e">
        <f t="shared" si="80"/>
        <v>#DIV/0!</v>
      </c>
      <c r="BI132" s="276" t="e">
        <f t="shared" si="81"/>
        <v>#DIV/0!</v>
      </c>
      <c r="BJ132" s="276" t="e">
        <f t="shared" si="82"/>
        <v>#DIV/0!</v>
      </c>
      <c r="BK132" s="276" t="e">
        <f t="shared" si="83"/>
        <v>#DIV/0!</v>
      </c>
      <c r="BL132" s="686" t="e">
        <f t="shared" si="84"/>
        <v>#DIV/0!</v>
      </c>
      <c r="BM132" s="239"/>
      <c r="BN132" s="965" t="e">
        <f t="shared" si="85"/>
        <v>#VALUE!</v>
      </c>
      <c r="BO132" s="878" t="e">
        <f t="shared" si="86"/>
        <v>#VALUE!</v>
      </c>
      <c r="BP132" s="878" t="e">
        <f t="shared" si="87"/>
        <v>#VALUE!</v>
      </c>
      <c r="BQ132" s="878" t="e">
        <f t="shared" si="88"/>
        <v>#VALUE!</v>
      </c>
      <c r="BR132" s="878" t="e">
        <f t="shared" si="89"/>
        <v>#VALUE!</v>
      </c>
      <c r="BS132" s="966" t="e">
        <f t="shared" si="90"/>
        <v>#VALUE!</v>
      </c>
    </row>
    <row r="133" spans="1:71">
      <c r="A133" s="284">
        <f t="shared" si="91"/>
        <v>65</v>
      </c>
      <c r="B133" s="285">
        <v>2.2792339511267286</v>
      </c>
      <c r="C133" s="285">
        <v>2.6040856869497326</v>
      </c>
      <c r="D133" s="285">
        <v>2.7101549314825473</v>
      </c>
      <c r="E133" s="285">
        <v>-1.4737054662939553</v>
      </c>
      <c r="H133" s="685">
        <f t="shared" si="32"/>
        <v>1.1460001093576737</v>
      </c>
      <c r="I133" s="276">
        <f t="shared" si="33"/>
        <v>1.0810516649974995</v>
      </c>
      <c r="J133" s="276">
        <f t="shared" si="34"/>
        <v>-3.676976717493841</v>
      </c>
      <c r="K133" s="276">
        <f t="shared" si="35"/>
        <v>1.1057710058614212</v>
      </c>
      <c r="L133" s="276">
        <f t="shared" si="36"/>
        <v>1.5771986037472339</v>
      </c>
      <c r="M133" s="276">
        <f t="shared" si="37"/>
        <v>4.2906905290036503</v>
      </c>
      <c r="N133" s="685">
        <f t="shared" si="38"/>
        <v>1.3969144759778642</v>
      </c>
      <c r="O133" s="276">
        <f t="shared" si="39"/>
        <v>2.0169816800637115</v>
      </c>
      <c r="P133" s="276">
        <f t="shared" si="40"/>
        <v>1.114675899875696</v>
      </c>
      <c r="Q133" s="276">
        <f t="shared" si="41"/>
        <v>1.5438016729300046</v>
      </c>
      <c r="R133" s="276">
        <f t="shared" si="42"/>
        <v>0.45800153399372867</v>
      </c>
      <c r="S133" s="686">
        <f t="shared" si="43"/>
        <v>2.0453752599652315</v>
      </c>
      <c r="T133" s="685">
        <f t="shared" si="44"/>
        <v>5.9885186217534727</v>
      </c>
      <c r="U133" s="276">
        <f t="shared" si="45"/>
        <v>7.3883842022328601</v>
      </c>
      <c r="V133" s="276">
        <f t="shared" si="46"/>
        <v>3.1928373336111049</v>
      </c>
      <c r="W133" s="276">
        <f t="shared" si="47"/>
        <v>4.7238496810007788</v>
      </c>
      <c r="X133" s="276">
        <f t="shared" si="48"/>
        <v>3.9244666751288158</v>
      </c>
      <c r="Y133" s="686">
        <f t="shared" si="49"/>
        <v>4.5573401016700803</v>
      </c>
      <c r="Z133" s="685" t="e">
        <f t="shared" si="50"/>
        <v>#DIV/0!</v>
      </c>
      <c r="AA133" s="276" t="e">
        <f t="shared" si="51"/>
        <v>#DIV/0!</v>
      </c>
      <c r="AB133" s="276" t="e">
        <f t="shared" si="52"/>
        <v>#DIV/0!</v>
      </c>
      <c r="AC133" s="276" t="e">
        <f t="shared" si="53"/>
        <v>#DIV/0!</v>
      </c>
      <c r="AD133" s="276" t="e">
        <f t="shared" si="54"/>
        <v>#DIV/0!</v>
      </c>
      <c r="AE133" s="686" t="e">
        <f t="shared" si="55"/>
        <v>#DIV/0!</v>
      </c>
      <c r="AF133" s="239"/>
      <c r="AG133" s="965" t="e">
        <f t="shared" ref="AG133:AG196" si="93">S$53*(1+(T$55+N133)/100)*((1-S$62)+S$62*((1+(T$57+Z133)/100)))/(1+(T$54+H133)/100)-(T$56+T133)+T$58</f>
        <v>#VALUE!</v>
      </c>
      <c r="AH133" s="878" t="e">
        <f t="shared" ref="AH133:AH196" si="94">AG133*(1+(U$55+O133)/100)*((1-T$62)+T$62*((1+(U$57+AA133)/100)))/(1+(U$54+I133)/100)-(U$56+U133)+U$58</f>
        <v>#VALUE!</v>
      </c>
      <c r="AI133" s="878" t="e">
        <f t="shared" ref="AI133:AI196" si="95">AH133*(1+(V$55+P133)/100)*((1-U$62)+U$62*((1+(V$57+AB133)/100)))/(1+(V$54+J133)/100)-(V$56+V133)+V$58</f>
        <v>#VALUE!</v>
      </c>
      <c r="AJ133" s="878" t="e">
        <f t="shared" ref="AJ133:AJ196" si="96">AI133*(1+(W$55+Q133)/100)*((1-V$62)+V$62*((1+(W$57+AC133)/100)))/(1+(W$54+K133)/100)-(W$56+W133)+W$58</f>
        <v>#VALUE!</v>
      </c>
      <c r="AK133" s="878" t="e">
        <f t="shared" ref="AK133:AK196" si="97">AJ133*(1+(X$55+R133)/100)*((1-W$62)+W$62*((1+(X$57+AD133)/100)))/(1+(X$54+L133)/100)-(X$56+X133)+X$58</f>
        <v>#VALUE!</v>
      </c>
      <c r="AL133" s="966" t="e">
        <f t="shared" ref="AL133:AL196" si="98">AK133*(1+(Y$55+S133)/100)*((1-X$62)+X$62*((1+(Y$57+AE133)/100)))/(1+(Y$54+M133)/100)-(Y$56+Y133)+Y$58</f>
        <v>#VALUE!</v>
      </c>
      <c r="AM133" s="239"/>
      <c r="AO133" s="685">
        <f t="shared" si="61"/>
        <v>1.1460001093576737</v>
      </c>
      <c r="AP133" s="276">
        <f t="shared" si="62"/>
        <v>1.0810516649974995</v>
      </c>
      <c r="AQ133" s="276">
        <f t="shared" si="63"/>
        <v>-3.676976717493841</v>
      </c>
      <c r="AR133" s="276">
        <f t="shared" si="64"/>
        <v>1.1057710058614212</v>
      </c>
      <c r="AS133" s="276">
        <f t="shared" si="65"/>
        <v>1.5771986037472339</v>
      </c>
      <c r="AT133" s="276">
        <f t="shared" si="66"/>
        <v>4.2906905290036503</v>
      </c>
      <c r="AU133" s="685">
        <f t="shared" si="67"/>
        <v>1.3969144759778642</v>
      </c>
      <c r="AV133" s="276">
        <f t="shared" si="68"/>
        <v>2.0169816800637115</v>
      </c>
      <c r="AW133" s="276">
        <f t="shared" si="69"/>
        <v>1.114675899875696</v>
      </c>
      <c r="AX133" s="276">
        <f t="shared" si="70"/>
        <v>1.5438016729300046</v>
      </c>
      <c r="AY133" s="276">
        <f t="shared" si="71"/>
        <v>0.45800153399372867</v>
      </c>
      <c r="AZ133" s="686">
        <f t="shared" si="72"/>
        <v>2.0453752599652315</v>
      </c>
      <c r="BA133" s="685">
        <f t="shared" si="73"/>
        <v>0</v>
      </c>
      <c r="BB133" s="276">
        <f t="shared" si="74"/>
        <v>0</v>
      </c>
      <c r="BC133" s="276">
        <f t="shared" si="75"/>
        <v>0</v>
      </c>
      <c r="BD133" s="276">
        <f t="shared" si="76"/>
        <v>0</v>
      </c>
      <c r="BE133" s="276">
        <f t="shared" si="77"/>
        <v>0</v>
      </c>
      <c r="BF133" s="686">
        <f t="shared" si="78"/>
        <v>0</v>
      </c>
      <c r="BG133" s="685" t="e">
        <f t="shared" si="79"/>
        <v>#DIV/0!</v>
      </c>
      <c r="BH133" s="276" t="e">
        <f t="shared" si="80"/>
        <v>#DIV/0!</v>
      </c>
      <c r="BI133" s="276" t="e">
        <f t="shared" si="81"/>
        <v>#DIV/0!</v>
      </c>
      <c r="BJ133" s="276" t="e">
        <f t="shared" si="82"/>
        <v>#DIV/0!</v>
      </c>
      <c r="BK133" s="276" t="e">
        <f t="shared" si="83"/>
        <v>#DIV/0!</v>
      </c>
      <c r="BL133" s="686" t="e">
        <f t="shared" si="84"/>
        <v>#DIV/0!</v>
      </c>
      <c r="BM133" s="239"/>
      <c r="BN133" s="965" t="e">
        <f t="shared" si="85"/>
        <v>#VALUE!</v>
      </c>
      <c r="BO133" s="878" t="e">
        <f t="shared" si="86"/>
        <v>#VALUE!</v>
      </c>
      <c r="BP133" s="878" t="e">
        <f t="shared" si="87"/>
        <v>#VALUE!</v>
      </c>
      <c r="BQ133" s="878" t="e">
        <f t="shared" si="88"/>
        <v>#VALUE!</v>
      </c>
      <c r="BR133" s="878" t="e">
        <f t="shared" si="89"/>
        <v>#VALUE!</v>
      </c>
      <c r="BS133" s="966" t="e">
        <f t="shared" si="90"/>
        <v>#VALUE!</v>
      </c>
    </row>
    <row r="134" spans="1:71">
      <c r="A134" s="284">
        <f t="shared" si="91"/>
        <v>66</v>
      </c>
      <c r="B134" s="285">
        <v>-0.10073355717857399</v>
      </c>
      <c r="C134" s="285">
        <v>2.4306001165920659</v>
      </c>
      <c r="D134" s="285">
        <v>0.88023113579609769</v>
      </c>
      <c r="E134" s="285">
        <v>-6.554533312850265</v>
      </c>
      <c r="H134" s="685">
        <f t="shared" ref="H134:H197" si="99">IF($B$42="On",$B134-$D$15,0)</f>
        <v>-1.2339673989476287</v>
      </c>
      <c r="I134" s="276">
        <f t="shared" ref="I134:I197" si="100">IF($B$42="On",$B1134-$D$15,0)</f>
        <v>7.0231522527352208E-2</v>
      </c>
      <c r="J134" s="276">
        <f t="shared" ref="J134:J197" si="101">IF($B$42="On",$B2134-$D$15,0)</f>
        <v>-5.5361083121547727</v>
      </c>
      <c r="K134" s="276">
        <f t="shared" ref="K134:K197" si="102">IF($B$42="On",$B3134-$D$15,0)</f>
        <v>-6.9143260281413585</v>
      </c>
      <c r="L134" s="276">
        <f t="shared" ref="L134:L197" si="103">IF($B$42="On",$B4134-$D$15,0)</f>
        <v>1.0968622905297221</v>
      </c>
      <c r="M134" s="276">
        <f t="shared" ref="M134:M197" si="104">IF($B$42="On",$B5134-$D$15,0)</f>
        <v>-2.1409268417470608</v>
      </c>
      <c r="N134" s="685">
        <f t="shared" ref="N134:N197" si="105">IF($B$43="On",$C134-$D$16,0)</f>
        <v>1.2234289056201975</v>
      </c>
      <c r="O134" s="276">
        <f t="shared" ref="O134:O197" si="106">IF($B$43="On",$C1134-$D$16,0)</f>
        <v>1.1733508249959093</v>
      </c>
      <c r="P134" s="276">
        <f t="shared" ref="P134:P197" si="107">IF($B$43="On",$C2134-$D$16,0)</f>
        <v>1.365039564713012</v>
      </c>
      <c r="Q134" s="276">
        <f t="shared" ref="Q134:Q197" si="108">IF($B$43="On",$C3134-$D$16,0)</f>
        <v>0.41060762741347445</v>
      </c>
      <c r="R134" s="276">
        <f t="shared" ref="R134:R197" si="109">IF($B$43="On",$C4134-$D$16,0)</f>
        <v>1.4678858392577194</v>
      </c>
      <c r="S134" s="686">
        <f t="shared" ref="S134:S197" si="110">IF($B$43="On",$C5134-$D$16,0)</f>
        <v>0.83022857744085443</v>
      </c>
      <c r="T134" s="685">
        <f t="shared" ref="T134:T197" si="111">IF($B$44="On",$D134-$D$17,0)</f>
        <v>4.1585948260670236</v>
      </c>
      <c r="U134" s="276">
        <f t="shared" ref="U134:U197" si="112">IF($B$44="On",$D1134-$D$17,0)</f>
        <v>6.3518397927420862</v>
      </c>
      <c r="V134" s="276">
        <f t="shared" ref="V134:V197" si="113">IF($B$44="On",$D2134-$D$17,0)</f>
        <v>2.8638757456224182</v>
      </c>
      <c r="W134" s="276">
        <f t="shared" ref="W134:W197" si="114">IF($B$44="On",$D3134-$D$17,0)</f>
        <v>3.7860107458368981</v>
      </c>
      <c r="X134" s="276">
        <f t="shared" ref="X134:X197" si="115">IF($B$44="On",$D4134-$D$17,0)</f>
        <v>3.805219578575926</v>
      </c>
      <c r="Y134" s="686">
        <f t="shared" ref="Y134:Y197" si="116">IF($B$44="On",$D5134-$D$17,0)</f>
        <v>3.8472558646954527</v>
      </c>
      <c r="Z134" s="685" t="e">
        <f t="shared" ref="Z134:Z197" si="117">IF($B$45="On",$E134-$D$18,0)</f>
        <v>#DIV/0!</v>
      </c>
      <c r="AA134" s="276" t="e">
        <f t="shared" ref="AA134:AA197" si="118">IF($B$45="On",$E1134-$D$18,0)</f>
        <v>#DIV/0!</v>
      </c>
      <c r="AB134" s="276" t="e">
        <f t="shared" ref="AB134:AB197" si="119">IF($B$45="On",$E2134-$D$18,0)</f>
        <v>#DIV/0!</v>
      </c>
      <c r="AC134" s="276" t="e">
        <f t="shared" ref="AC134:AC197" si="120">IF($B$45="On",$E3134-$D$18,0)</f>
        <v>#DIV/0!</v>
      </c>
      <c r="AD134" s="276" t="e">
        <f t="shared" ref="AD134:AD197" si="121">IF($B$45="On",$E4134-$D$18,0)</f>
        <v>#DIV/0!</v>
      </c>
      <c r="AE134" s="686" t="e">
        <f t="shared" ref="AE134:AE197" si="122">IF($B$45="On",$E5134-$D$18,0)</f>
        <v>#DIV/0!</v>
      </c>
      <c r="AF134" s="239"/>
      <c r="AG134" s="965" t="e">
        <f t="shared" si="93"/>
        <v>#VALUE!</v>
      </c>
      <c r="AH134" s="878" t="e">
        <f t="shared" si="94"/>
        <v>#VALUE!</v>
      </c>
      <c r="AI134" s="878" t="e">
        <f t="shared" si="95"/>
        <v>#VALUE!</v>
      </c>
      <c r="AJ134" s="878" t="e">
        <f t="shared" si="96"/>
        <v>#VALUE!</v>
      </c>
      <c r="AK134" s="878" t="e">
        <f t="shared" si="97"/>
        <v>#VALUE!</v>
      </c>
      <c r="AL134" s="966" t="e">
        <f t="shared" si="98"/>
        <v>#VALUE!</v>
      </c>
      <c r="AM134" s="239"/>
      <c r="AO134" s="685">
        <f t="shared" ref="AO134:AO197" si="123">IF($B$42="On",MIN($B134-$D$15,$D$42),0)</f>
        <v>-1.2339673989476287</v>
      </c>
      <c r="AP134" s="276">
        <f t="shared" ref="AP134:AP197" si="124">IF($B$42="On",MIN($B1134-$D$15,$D$42),0)</f>
        <v>7.0231522527352208E-2</v>
      </c>
      <c r="AQ134" s="276">
        <f t="shared" ref="AQ134:AQ197" si="125">IF($B$42="On",MIN($B2134-$D$15,$D$42),0)</f>
        <v>-5.5361083121547727</v>
      </c>
      <c r="AR134" s="276">
        <f t="shared" ref="AR134:AR197" si="126">IF($B$42="On",MIN($B3134-$D$15,$D$42),0)</f>
        <v>-6.9143260281413585</v>
      </c>
      <c r="AS134" s="276">
        <f t="shared" ref="AS134:AS197" si="127">IF($B$42="On",MIN($B4134-$D$15,$D$42),0)</f>
        <v>1.0968622905297221</v>
      </c>
      <c r="AT134" s="276">
        <f t="shared" ref="AT134:AT197" si="128">IF($B$42="On",MIN($B5134-$D$15,$D$42),0)</f>
        <v>-2.1409268417470608</v>
      </c>
      <c r="AU134" s="685">
        <f t="shared" ref="AU134:AU197" si="129">IF($B$43="On",MAX($C134-$D$16,$D$43),0)</f>
        <v>1.2234289056201975</v>
      </c>
      <c r="AV134" s="276">
        <f t="shared" ref="AV134:AV197" si="130">IF($B$43="On",MAX($C1134-$D$16,$D$43),0)</f>
        <v>1.1733508249959093</v>
      </c>
      <c r="AW134" s="276">
        <f t="shared" ref="AW134:AW197" si="131">IF($B$43="On",MAX($C2134-$D$16,$D$43),0)</f>
        <v>1.365039564713012</v>
      </c>
      <c r="AX134" s="276">
        <f t="shared" ref="AX134:AX197" si="132">IF($B$43="On",MAX($C3134-$D$16,$D$43),0)</f>
        <v>0.41060762741347445</v>
      </c>
      <c r="AY134" s="276">
        <f t="shared" ref="AY134:AY197" si="133">IF($B$43="On",MAX($C4134-$D$16,$D$43),0)</f>
        <v>1.4678858392577194</v>
      </c>
      <c r="AZ134" s="686">
        <f t="shared" ref="AZ134:AZ197" si="134">IF($B$43="On",MAX($C5134-$D$16,$D$43),0)</f>
        <v>0.83022857744085443</v>
      </c>
      <c r="BA134" s="685">
        <f t="shared" ref="BA134:BA197" si="135">IF($B$44="On",MIN($D134-$D$17,$D$44),0)</f>
        <v>0</v>
      </c>
      <c r="BB134" s="276">
        <f t="shared" ref="BB134:BB197" si="136">IF($B$44="On",MIN($D1134-$D$17,$D$44),0)</f>
        <v>0</v>
      </c>
      <c r="BC134" s="276">
        <f t="shared" ref="BC134:BC197" si="137">IF($B$44="On",MIN($D2134-$D$17,$D$44),0)</f>
        <v>0</v>
      </c>
      <c r="BD134" s="276">
        <f t="shared" ref="BD134:BD197" si="138">IF($B$44="On",MIN($D3134-$D$17,$D$44),0)</f>
        <v>0</v>
      </c>
      <c r="BE134" s="276">
        <f t="shared" ref="BE134:BE197" si="139">IF($B$44="On",MIN($D4134-$D$17,$D$44),0)</f>
        <v>0</v>
      </c>
      <c r="BF134" s="686">
        <f t="shared" ref="BF134:BF197" si="140">IF($B$44="On",MIN($D5134-$D$17,$D$44),0)</f>
        <v>0</v>
      </c>
      <c r="BG134" s="685" t="e">
        <f t="shared" ref="BG134:BG197" si="141">IF($B$45="On",MAX($E134-$D$18,$D$45),0)</f>
        <v>#DIV/0!</v>
      </c>
      <c r="BH134" s="276" t="e">
        <f t="shared" ref="BH134:BH197" si="142">IF($B$45="On",MAX($E1134-$D$18,$D$45),0)</f>
        <v>#DIV/0!</v>
      </c>
      <c r="BI134" s="276" t="e">
        <f t="shared" ref="BI134:BI197" si="143">IF($B$45="On",MAX($E2134-$D$18,$D$45),0)</f>
        <v>#DIV/0!</v>
      </c>
      <c r="BJ134" s="276" t="e">
        <f t="shared" ref="BJ134:BJ197" si="144">IF($B$45="On",MAX($E3134-$D$18,$D$45),0)</f>
        <v>#DIV/0!</v>
      </c>
      <c r="BK134" s="276" t="e">
        <f t="shared" ref="BK134:BK197" si="145">IF($B$45="On",MAX($E4134-$D$18,$D$45),0)</f>
        <v>#DIV/0!</v>
      </c>
      <c r="BL134" s="686" t="e">
        <f t="shared" ref="BL134:BL197" si="146">IF($B$45="On",MAX($E5134-$D$18,$D$45),0)</f>
        <v>#DIV/0!</v>
      </c>
      <c r="BM134" s="239"/>
      <c r="BN134" s="965" t="e">
        <f t="shared" ref="BN134:BN197" si="147">S$53*(1+(T$55+AU134)/100)*((1-S$62)+S$62*((1+(T$57+BG134)/100)))/(1+(T$54+AO134)/100)-(T$56+BA134)+T$58</f>
        <v>#VALUE!</v>
      </c>
      <c r="BO134" s="878" t="e">
        <f t="shared" ref="BO134:BO197" si="148">BN134*(1+(U$55+AV134)/100)*((1-T$62)+T$62*((1+(U$57+BH134)/100)))/(1+(U$54+AP134)/100)-(U$56+BB134)+U$58</f>
        <v>#VALUE!</v>
      </c>
      <c r="BP134" s="878" t="e">
        <f t="shared" ref="BP134:BP197" si="149">BO134*(1+(V$55+AW134)/100)*((1-U$62)+U$62*((1+(V$57+BI134)/100)))/(1+(V$54+AQ134)/100)-(V$56+BC134)+V$58</f>
        <v>#VALUE!</v>
      </c>
      <c r="BQ134" s="878" t="e">
        <f t="shared" ref="BQ134:BQ197" si="150">BP134*(1+(W$55+AX134)/100)*((1-V$62)+V$62*((1+(W$57+BJ134)/100)))/(1+(W$54+AR134)/100)-(W$56+BD134)+W$58</f>
        <v>#VALUE!</v>
      </c>
      <c r="BR134" s="878" t="e">
        <f t="shared" ref="BR134:BR197" si="151">BQ134*(1+(X$55+AY134)/100)*((1-W$62)+W$62*((1+(X$57+BK134)/100)))/(1+(X$54+AS134)/100)-(X$56+BE134)+X$58</f>
        <v>#VALUE!</v>
      </c>
      <c r="BS134" s="966" t="e">
        <f t="shared" ref="BS134:BS197" si="152">BR134*(1+(Y$55+AZ134)/100)*((1-X$62)+X$62*((1+(Y$57+BL134)/100)))/(1+(Y$54+AT134)/100)-(Y$56+BF134)+Y$58</f>
        <v>#VALUE!</v>
      </c>
    </row>
    <row r="135" spans="1:71">
      <c r="A135" s="284">
        <f t="shared" ref="A135:A198" si="153">A134+1</f>
        <v>67</v>
      </c>
      <c r="B135" s="285">
        <v>0.60825700211397848</v>
      </c>
      <c r="C135" s="285">
        <v>1.4579977228624965</v>
      </c>
      <c r="D135" s="285">
        <v>1.5463182220017102</v>
      </c>
      <c r="E135" s="285">
        <v>-23.784760412952739</v>
      </c>
      <c r="H135" s="685">
        <f t="shared" si="99"/>
        <v>-0.52497683965507635</v>
      </c>
      <c r="I135" s="276">
        <f t="shared" si="100"/>
        <v>1.7802393451610603</v>
      </c>
      <c r="J135" s="276">
        <f t="shared" si="101"/>
        <v>-0.81753616526674633</v>
      </c>
      <c r="K135" s="276">
        <f t="shared" si="102"/>
        <v>-1.948611512045159</v>
      </c>
      <c r="L135" s="276">
        <f t="shared" si="103"/>
        <v>-5.8472624159811852</v>
      </c>
      <c r="M135" s="276">
        <f t="shared" si="104"/>
        <v>1.6837337485910859</v>
      </c>
      <c r="N135" s="685">
        <f t="shared" si="105"/>
        <v>0.2508265118906281</v>
      </c>
      <c r="O135" s="276">
        <f t="shared" si="106"/>
        <v>0.43811987017851961</v>
      </c>
      <c r="P135" s="276">
        <f t="shared" si="107"/>
        <v>1.4091564433331512</v>
      </c>
      <c r="Q135" s="276">
        <f t="shared" si="108"/>
        <v>1.15325989633085</v>
      </c>
      <c r="R135" s="276">
        <f t="shared" si="109"/>
        <v>1.2205108062846104</v>
      </c>
      <c r="S135" s="686">
        <f t="shared" si="110"/>
        <v>1.0737032275095617</v>
      </c>
      <c r="T135" s="685">
        <f t="shared" si="111"/>
        <v>4.8246819122726361</v>
      </c>
      <c r="U135" s="276">
        <f t="shared" si="112"/>
        <v>4.1962587071868107</v>
      </c>
      <c r="V135" s="276">
        <f t="shared" si="113"/>
        <v>4.317884936216883</v>
      </c>
      <c r="W135" s="276">
        <f t="shared" si="114"/>
        <v>5.6275523833251571</v>
      </c>
      <c r="X135" s="276">
        <f t="shared" si="115"/>
        <v>1.611499804933358</v>
      </c>
      <c r="Y135" s="686">
        <f t="shared" si="116"/>
        <v>6.4432711528214561</v>
      </c>
      <c r="Z135" s="685" t="e">
        <f t="shared" si="117"/>
        <v>#DIV/0!</v>
      </c>
      <c r="AA135" s="276" t="e">
        <f t="shared" si="118"/>
        <v>#DIV/0!</v>
      </c>
      <c r="AB135" s="276" t="e">
        <f t="shared" si="119"/>
        <v>#DIV/0!</v>
      </c>
      <c r="AC135" s="276" t="e">
        <f t="shared" si="120"/>
        <v>#DIV/0!</v>
      </c>
      <c r="AD135" s="276" t="e">
        <f t="shared" si="121"/>
        <v>#DIV/0!</v>
      </c>
      <c r="AE135" s="686" t="e">
        <f t="shared" si="122"/>
        <v>#DIV/0!</v>
      </c>
      <c r="AF135" s="239"/>
      <c r="AG135" s="965" t="e">
        <f t="shared" si="93"/>
        <v>#VALUE!</v>
      </c>
      <c r="AH135" s="878" t="e">
        <f t="shared" si="94"/>
        <v>#VALUE!</v>
      </c>
      <c r="AI135" s="878" t="e">
        <f t="shared" si="95"/>
        <v>#VALUE!</v>
      </c>
      <c r="AJ135" s="878" t="e">
        <f t="shared" si="96"/>
        <v>#VALUE!</v>
      </c>
      <c r="AK135" s="878" t="e">
        <f t="shared" si="97"/>
        <v>#VALUE!</v>
      </c>
      <c r="AL135" s="966" t="e">
        <f t="shared" si="98"/>
        <v>#VALUE!</v>
      </c>
      <c r="AM135" s="239"/>
      <c r="AO135" s="685">
        <f t="shared" si="123"/>
        <v>-0.52497683965507635</v>
      </c>
      <c r="AP135" s="276">
        <f t="shared" si="124"/>
        <v>1.7802393451610603</v>
      </c>
      <c r="AQ135" s="276">
        <f t="shared" si="125"/>
        <v>-0.81753616526674633</v>
      </c>
      <c r="AR135" s="276">
        <f t="shared" si="126"/>
        <v>-1.948611512045159</v>
      </c>
      <c r="AS135" s="276">
        <f t="shared" si="127"/>
        <v>-5.8472624159811852</v>
      </c>
      <c r="AT135" s="276">
        <f t="shared" si="128"/>
        <v>1.6837337485910859</v>
      </c>
      <c r="AU135" s="685">
        <f t="shared" si="129"/>
        <v>0.2508265118906281</v>
      </c>
      <c r="AV135" s="276">
        <f t="shared" si="130"/>
        <v>0.43811987017851961</v>
      </c>
      <c r="AW135" s="276">
        <f t="shared" si="131"/>
        <v>1.4091564433331512</v>
      </c>
      <c r="AX135" s="276">
        <f t="shared" si="132"/>
        <v>1.15325989633085</v>
      </c>
      <c r="AY135" s="276">
        <f t="shared" si="133"/>
        <v>1.2205108062846104</v>
      </c>
      <c r="AZ135" s="686">
        <f t="shared" si="134"/>
        <v>1.0737032275095617</v>
      </c>
      <c r="BA135" s="685">
        <f t="shared" si="135"/>
        <v>0</v>
      </c>
      <c r="BB135" s="276">
        <f t="shared" si="136"/>
        <v>0</v>
      </c>
      <c r="BC135" s="276">
        <f t="shared" si="137"/>
        <v>0</v>
      </c>
      <c r="BD135" s="276">
        <f t="shared" si="138"/>
        <v>0</v>
      </c>
      <c r="BE135" s="276">
        <f t="shared" si="139"/>
        <v>0</v>
      </c>
      <c r="BF135" s="686">
        <f t="shared" si="140"/>
        <v>0</v>
      </c>
      <c r="BG135" s="685" t="e">
        <f t="shared" si="141"/>
        <v>#DIV/0!</v>
      </c>
      <c r="BH135" s="276" t="e">
        <f t="shared" si="142"/>
        <v>#DIV/0!</v>
      </c>
      <c r="BI135" s="276" t="e">
        <f t="shared" si="143"/>
        <v>#DIV/0!</v>
      </c>
      <c r="BJ135" s="276" t="e">
        <f t="shared" si="144"/>
        <v>#DIV/0!</v>
      </c>
      <c r="BK135" s="276" t="e">
        <f t="shared" si="145"/>
        <v>#DIV/0!</v>
      </c>
      <c r="BL135" s="686" t="e">
        <f t="shared" si="146"/>
        <v>#DIV/0!</v>
      </c>
      <c r="BM135" s="239"/>
      <c r="BN135" s="965" t="e">
        <f t="shared" si="147"/>
        <v>#VALUE!</v>
      </c>
      <c r="BO135" s="878" t="e">
        <f t="shared" si="148"/>
        <v>#VALUE!</v>
      </c>
      <c r="BP135" s="878" t="e">
        <f t="shared" si="149"/>
        <v>#VALUE!</v>
      </c>
      <c r="BQ135" s="878" t="e">
        <f t="shared" si="150"/>
        <v>#VALUE!</v>
      </c>
      <c r="BR135" s="878" t="e">
        <f t="shared" si="151"/>
        <v>#VALUE!</v>
      </c>
      <c r="BS135" s="966" t="e">
        <f t="shared" si="152"/>
        <v>#VALUE!</v>
      </c>
    </row>
    <row r="136" spans="1:71">
      <c r="A136" s="284">
        <f t="shared" si="153"/>
        <v>68</v>
      </c>
      <c r="B136" s="285">
        <v>0.91991875209954899</v>
      </c>
      <c r="C136" s="285">
        <v>3.0306771805249428</v>
      </c>
      <c r="D136" s="285">
        <v>0.99401743330698977</v>
      </c>
      <c r="E136" s="285">
        <v>-4.3764350995762538</v>
      </c>
      <c r="H136" s="685">
        <f t="shared" si="99"/>
        <v>-0.21331508966950585</v>
      </c>
      <c r="I136" s="276">
        <f t="shared" si="100"/>
        <v>-2.6777441058707407</v>
      </c>
      <c r="J136" s="276">
        <f t="shared" si="101"/>
        <v>-0.90713094578248032</v>
      </c>
      <c r="K136" s="276">
        <f t="shared" si="102"/>
        <v>1.020022852743846</v>
      </c>
      <c r="L136" s="276">
        <f t="shared" si="103"/>
        <v>-0.52017427320802678</v>
      </c>
      <c r="M136" s="276">
        <f t="shared" si="104"/>
        <v>0.77644165313963676</v>
      </c>
      <c r="N136" s="685">
        <f t="shared" si="105"/>
        <v>1.8235059695530744</v>
      </c>
      <c r="O136" s="276">
        <f t="shared" si="106"/>
        <v>0.87017446790164654</v>
      </c>
      <c r="P136" s="276">
        <f t="shared" si="107"/>
        <v>0.63023968737784219</v>
      </c>
      <c r="Q136" s="276">
        <f t="shared" si="108"/>
        <v>1.1282491274778461</v>
      </c>
      <c r="R136" s="276">
        <f t="shared" si="109"/>
        <v>1.7104498473252867</v>
      </c>
      <c r="S136" s="686">
        <f t="shared" si="110"/>
        <v>0.98672775171479965</v>
      </c>
      <c r="T136" s="685">
        <f t="shared" si="111"/>
        <v>4.2723811235779152</v>
      </c>
      <c r="U136" s="276">
        <f t="shared" si="112"/>
        <v>3.2115169453076229</v>
      </c>
      <c r="V136" s="276">
        <f t="shared" si="113"/>
        <v>4.6313631066195446</v>
      </c>
      <c r="W136" s="276">
        <f t="shared" si="114"/>
        <v>3.3929158624848661</v>
      </c>
      <c r="X136" s="276">
        <f t="shared" si="115"/>
        <v>4.6168401763542253</v>
      </c>
      <c r="Y136" s="686">
        <f t="shared" si="116"/>
        <v>6.1915281191914788</v>
      </c>
      <c r="Z136" s="685" t="e">
        <f t="shared" si="117"/>
        <v>#DIV/0!</v>
      </c>
      <c r="AA136" s="276" t="e">
        <f t="shared" si="118"/>
        <v>#DIV/0!</v>
      </c>
      <c r="AB136" s="276" t="e">
        <f t="shared" si="119"/>
        <v>#DIV/0!</v>
      </c>
      <c r="AC136" s="276" t="e">
        <f t="shared" si="120"/>
        <v>#DIV/0!</v>
      </c>
      <c r="AD136" s="276" t="e">
        <f t="shared" si="121"/>
        <v>#DIV/0!</v>
      </c>
      <c r="AE136" s="686" t="e">
        <f t="shared" si="122"/>
        <v>#DIV/0!</v>
      </c>
      <c r="AF136" s="239"/>
      <c r="AG136" s="965" t="e">
        <f t="shared" si="93"/>
        <v>#VALUE!</v>
      </c>
      <c r="AH136" s="878" t="e">
        <f t="shared" si="94"/>
        <v>#VALUE!</v>
      </c>
      <c r="AI136" s="878" t="e">
        <f t="shared" si="95"/>
        <v>#VALUE!</v>
      </c>
      <c r="AJ136" s="878" t="e">
        <f t="shared" si="96"/>
        <v>#VALUE!</v>
      </c>
      <c r="AK136" s="878" t="e">
        <f t="shared" si="97"/>
        <v>#VALUE!</v>
      </c>
      <c r="AL136" s="966" t="e">
        <f t="shared" si="98"/>
        <v>#VALUE!</v>
      </c>
      <c r="AM136" s="239"/>
      <c r="AO136" s="685">
        <f t="shared" si="123"/>
        <v>-0.21331508966950585</v>
      </c>
      <c r="AP136" s="276">
        <f t="shared" si="124"/>
        <v>-2.6777441058707407</v>
      </c>
      <c r="AQ136" s="276">
        <f t="shared" si="125"/>
        <v>-0.90713094578248032</v>
      </c>
      <c r="AR136" s="276">
        <f t="shared" si="126"/>
        <v>1.020022852743846</v>
      </c>
      <c r="AS136" s="276">
        <f t="shared" si="127"/>
        <v>-0.52017427320802678</v>
      </c>
      <c r="AT136" s="276">
        <f t="shared" si="128"/>
        <v>0.77644165313963676</v>
      </c>
      <c r="AU136" s="685">
        <f t="shared" si="129"/>
        <v>1.8235059695530744</v>
      </c>
      <c r="AV136" s="276">
        <f t="shared" si="130"/>
        <v>0.87017446790164654</v>
      </c>
      <c r="AW136" s="276">
        <f t="shared" si="131"/>
        <v>0.63023968737784219</v>
      </c>
      <c r="AX136" s="276">
        <f t="shared" si="132"/>
        <v>1.1282491274778461</v>
      </c>
      <c r="AY136" s="276">
        <f t="shared" si="133"/>
        <v>1.7104498473252867</v>
      </c>
      <c r="AZ136" s="686">
        <f t="shared" si="134"/>
        <v>0.98672775171479965</v>
      </c>
      <c r="BA136" s="685">
        <f t="shared" si="135"/>
        <v>0</v>
      </c>
      <c r="BB136" s="276">
        <f t="shared" si="136"/>
        <v>0</v>
      </c>
      <c r="BC136" s="276">
        <f t="shared" si="137"/>
        <v>0</v>
      </c>
      <c r="BD136" s="276">
        <f t="shared" si="138"/>
        <v>0</v>
      </c>
      <c r="BE136" s="276">
        <f t="shared" si="139"/>
        <v>0</v>
      </c>
      <c r="BF136" s="686">
        <f t="shared" si="140"/>
        <v>0</v>
      </c>
      <c r="BG136" s="685" t="e">
        <f t="shared" si="141"/>
        <v>#DIV/0!</v>
      </c>
      <c r="BH136" s="276" t="e">
        <f t="shared" si="142"/>
        <v>#DIV/0!</v>
      </c>
      <c r="BI136" s="276" t="e">
        <f t="shared" si="143"/>
        <v>#DIV/0!</v>
      </c>
      <c r="BJ136" s="276" t="e">
        <f t="shared" si="144"/>
        <v>#DIV/0!</v>
      </c>
      <c r="BK136" s="276" t="e">
        <f t="shared" si="145"/>
        <v>#DIV/0!</v>
      </c>
      <c r="BL136" s="686" t="e">
        <f t="shared" si="146"/>
        <v>#DIV/0!</v>
      </c>
      <c r="BM136" s="239"/>
      <c r="BN136" s="965" t="e">
        <f t="shared" si="147"/>
        <v>#VALUE!</v>
      </c>
      <c r="BO136" s="878" t="e">
        <f t="shared" si="148"/>
        <v>#VALUE!</v>
      </c>
      <c r="BP136" s="878" t="e">
        <f t="shared" si="149"/>
        <v>#VALUE!</v>
      </c>
      <c r="BQ136" s="878" t="e">
        <f t="shared" si="150"/>
        <v>#VALUE!</v>
      </c>
      <c r="BR136" s="878" t="e">
        <f t="shared" si="151"/>
        <v>#VALUE!</v>
      </c>
      <c r="BS136" s="966" t="e">
        <f t="shared" si="152"/>
        <v>#VALUE!</v>
      </c>
    </row>
    <row r="137" spans="1:71">
      <c r="A137" s="284">
        <f t="shared" si="153"/>
        <v>69</v>
      </c>
      <c r="B137" s="285">
        <v>1.8583119596166919</v>
      </c>
      <c r="C137" s="285">
        <v>2.556205829414596</v>
      </c>
      <c r="D137" s="285">
        <v>0.75770377255899712</v>
      </c>
      <c r="E137" s="285">
        <v>2.8234397720637738</v>
      </c>
      <c r="H137" s="685">
        <f t="shared" si="99"/>
        <v>0.72507811784763709</v>
      </c>
      <c r="I137" s="276">
        <f t="shared" si="100"/>
        <v>0.84216569436086175</v>
      </c>
      <c r="J137" s="276">
        <f t="shared" si="101"/>
        <v>1.1535374118887034</v>
      </c>
      <c r="K137" s="276">
        <f t="shared" si="102"/>
        <v>-0.17069817564831313</v>
      </c>
      <c r="L137" s="276">
        <f t="shared" si="103"/>
        <v>-3.4455945248069204</v>
      </c>
      <c r="M137" s="276">
        <f t="shared" si="104"/>
        <v>-0.62368758074771413</v>
      </c>
      <c r="N137" s="685">
        <f t="shared" si="105"/>
        <v>1.3490346184427275</v>
      </c>
      <c r="O137" s="276">
        <f t="shared" si="106"/>
        <v>1.5391029235264388</v>
      </c>
      <c r="P137" s="276">
        <f t="shared" si="107"/>
        <v>2.117464932432525</v>
      </c>
      <c r="Q137" s="276">
        <f t="shared" si="108"/>
        <v>1.6339992678940247</v>
      </c>
      <c r="R137" s="276">
        <f t="shared" si="109"/>
        <v>1.260700792420683</v>
      </c>
      <c r="S137" s="686">
        <f t="shared" si="110"/>
        <v>1.8926422497227249</v>
      </c>
      <c r="T137" s="685">
        <f t="shared" si="111"/>
        <v>4.0360674628299229</v>
      </c>
      <c r="U137" s="276">
        <f t="shared" si="112"/>
        <v>4.8917135124472315</v>
      </c>
      <c r="V137" s="276">
        <f t="shared" si="113"/>
        <v>2.8976620102598121</v>
      </c>
      <c r="W137" s="276">
        <f t="shared" si="114"/>
        <v>4.4563185797709988</v>
      </c>
      <c r="X137" s="276">
        <f t="shared" si="115"/>
        <v>5.0129372702669386</v>
      </c>
      <c r="Y137" s="686">
        <f t="shared" si="116"/>
        <v>3.4876700189600172</v>
      </c>
      <c r="Z137" s="685" t="e">
        <f t="shared" si="117"/>
        <v>#DIV/0!</v>
      </c>
      <c r="AA137" s="276" t="e">
        <f t="shared" si="118"/>
        <v>#DIV/0!</v>
      </c>
      <c r="AB137" s="276" t="e">
        <f t="shared" si="119"/>
        <v>#DIV/0!</v>
      </c>
      <c r="AC137" s="276" t="e">
        <f t="shared" si="120"/>
        <v>#DIV/0!</v>
      </c>
      <c r="AD137" s="276" t="e">
        <f t="shared" si="121"/>
        <v>#DIV/0!</v>
      </c>
      <c r="AE137" s="686" t="e">
        <f t="shared" si="122"/>
        <v>#DIV/0!</v>
      </c>
      <c r="AF137" s="239"/>
      <c r="AG137" s="965" t="e">
        <f t="shared" si="93"/>
        <v>#VALUE!</v>
      </c>
      <c r="AH137" s="878" t="e">
        <f t="shared" si="94"/>
        <v>#VALUE!</v>
      </c>
      <c r="AI137" s="878" t="e">
        <f t="shared" si="95"/>
        <v>#VALUE!</v>
      </c>
      <c r="AJ137" s="878" t="e">
        <f t="shared" si="96"/>
        <v>#VALUE!</v>
      </c>
      <c r="AK137" s="878" t="e">
        <f t="shared" si="97"/>
        <v>#VALUE!</v>
      </c>
      <c r="AL137" s="966" t="e">
        <f t="shared" si="98"/>
        <v>#VALUE!</v>
      </c>
      <c r="AM137" s="239"/>
      <c r="AO137" s="685">
        <f t="shared" si="123"/>
        <v>0.72507811784763709</v>
      </c>
      <c r="AP137" s="276">
        <f t="shared" si="124"/>
        <v>0.84216569436086175</v>
      </c>
      <c r="AQ137" s="276">
        <f t="shared" si="125"/>
        <v>1.1535374118887034</v>
      </c>
      <c r="AR137" s="276">
        <f t="shared" si="126"/>
        <v>-0.17069817564831313</v>
      </c>
      <c r="AS137" s="276">
        <f t="shared" si="127"/>
        <v>-3.4455945248069204</v>
      </c>
      <c r="AT137" s="276">
        <f t="shared" si="128"/>
        <v>-0.62368758074771413</v>
      </c>
      <c r="AU137" s="685">
        <f t="shared" si="129"/>
        <v>1.3490346184427275</v>
      </c>
      <c r="AV137" s="276">
        <f t="shared" si="130"/>
        <v>1.5391029235264388</v>
      </c>
      <c r="AW137" s="276">
        <f t="shared" si="131"/>
        <v>2.117464932432525</v>
      </c>
      <c r="AX137" s="276">
        <f t="shared" si="132"/>
        <v>1.6339992678940247</v>
      </c>
      <c r="AY137" s="276">
        <f t="shared" si="133"/>
        <v>1.260700792420683</v>
      </c>
      <c r="AZ137" s="686">
        <f t="shared" si="134"/>
        <v>1.8926422497227249</v>
      </c>
      <c r="BA137" s="685">
        <f t="shared" si="135"/>
        <v>0</v>
      </c>
      <c r="BB137" s="276">
        <f t="shared" si="136"/>
        <v>0</v>
      </c>
      <c r="BC137" s="276">
        <f t="shared" si="137"/>
        <v>0</v>
      </c>
      <c r="BD137" s="276">
        <f t="shared" si="138"/>
        <v>0</v>
      </c>
      <c r="BE137" s="276">
        <f t="shared" si="139"/>
        <v>0</v>
      </c>
      <c r="BF137" s="686">
        <f t="shared" si="140"/>
        <v>0</v>
      </c>
      <c r="BG137" s="685" t="e">
        <f t="shared" si="141"/>
        <v>#DIV/0!</v>
      </c>
      <c r="BH137" s="276" t="e">
        <f t="shared" si="142"/>
        <v>#DIV/0!</v>
      </c>
      <c r="BI137" s="276" t="e">
        <f t="shared" si="143"/>
        <v>#DIV/0!</v>
      </c>
      <c r="BJ137" s="276" t="e">
        <f t="shared" si="144"/>
        <v>#DIV/0!</v>
      </c>
      <c r="BK137" s="276" t="e">
        <f t="shared" si="145"/>
        <v>#DIV/0!</v>
      </c>
      <c r="BL137" s="686" t="e">
        <f t="shared" si="146"/>
        <v>#DIV/0!</v>
      </c>
      <c r="BM137" s="239"/>
      <c r="BN137" s="965" t="e">
        <f t="shared" si="147"/>
        <v>#VALUE!</v>
      </c>
      <c r="BO137" s="878" t="e">
        <f t="shared" si="148"/>
        <v>#VALUE!</v>
      </c>
      <c r="BP137" s="878" t="e">
        <f t="shared" si="149"/>
        <v>#VALUE!</v>
      </c>
      <c r="BQ137" s="878" t="e">
        <f t="shared" si="150"/>
        <v>#VALUE!</v>
      </c>
      <c r="BR137" s="878" t="e">
        <f t="shared" si="151"/>
        <v>#VALUE!</v>
      </c>
      <c r="BS137" s="966" t="e">
        <f t="shared" si="152"/>
        <v>#VALUE!</v>
      </c>
    </row>
    <row r="138" spans="1:71">
      <c r="A138" s="284">
        <f t="shared" si="153"/>
        <v>70</v>
      </c>
      <c r="B138" s="285">
        <v>-3.3372449291470003</v>
      </c>
      <c r="C138" s="285">
        <v>2.1719901442574336</v>
      </c>
      <c r="D138" s="285">
        <v>0.41895524424822339</v>
      </c>
      <c r="E138" s="285">
        <v>-1.9379833761758758</v>
      </c>
      <c r="H138" s="685">
        <f t="shared" si="99"/>
        <v>-4.4704787709160554</v>
      </c>
      <c r="I138" s="276">
        <f t="shared" si="100"/>
        <v>-1.7898832857762628</v>
      </c>
      <c r="J138" s="276">
        <f t="shared" si="101"/>
        <v>-3.0976513085400965</v>
      </c>
      <c r="K138" s="276">
        <f t="shared" si="102"/>
        <v>-0.92739330685501364</v>
      </c>
      <c r="L138" s="276">
        <f t="shared" si="103"/>
        <v>-1.0782129795452087</v>
      </c>
      <c r="M138" s="276">
        <f t="shared" si="104"/>
        <v>-1.3211407635117123</v>
      </c>
      <c r="N138" s="685">
        <f t="shared" si="105"/>
        <v>0.96481893328556523</v>
      </c>
      <c r="O138" s="276">
        <f t="shared" si="106"/>
        <v>0.69933404814416611</v>
      </c>
      <c r="P138" s="276">
        <f t="shared" si="107"/>
        <v>1.0862417258582953</v>
      </c>
      <c r="Q138" s="276">
        <f t="shared" si="108"/>
        <v>1.5070261846793536</v>
      </c>
      <c r="R138" s="276">
        <f t="shared" si="109"/>
        <v>1.5010237105774304</v>
      </c>
      <c r="S138" s="686">
        <f t="shared" si="110"/>
        <v>1.914624869334477</v>
      </c>
      <c r="T138" s="685">
        <f t="shared" si="111"/>
        <v>3.6973189345191493</v>
      </c>
      <c r="U138" s="276">
        <f t="shared" si="112"/>
        <v>4.4029270403514795</v>
      </c>
      <c r="V138" s="276">
        <f t="shared" si="113"/>
        <v>4.247126931935437</v>
      </c>
      <c r="W138" s="276">
        <f t="shared" si="114"/>
        <v>4.7111737960918472</v>
      </c>
      <c r="X138" s="276">
        <f t="shared" si="115"/>
        <v>4.114580783389326</v>
      </c>
      <c r="Y138" s="686">
        <f t="shared" si="116"/>
        <v>2.913327100000715</v>
      </c>
      <c r="Z138" s="685" t="e">
        <f t="shared" si="117"/>
        <v>#DIV/0!</v>
      </c>
      <c r="AA138" s="276" t="e">
        <f t="shared" si="118"/>
        <v>#DIV/0!</v>
      </c>
      <c r="AB138" s="276" t="e">
        <f t="shared" si="119"/>
        <v>#DIV/0!</v>
      </c>
      <c r="AC138" s="276" t="e">
        <f t="shared" si="120"/>
        <v>#DIV/0!</v>
      </c>
      <c r="AD138" s="276" t="e">
        <f t="shared" si="121"/>
        <v>#DIV/0!</v>
      </c>
      <c r="AE138" s="686" t="e">
        <f t="shared" si="122"/>
        <v>#DIV/0!</v>
      </c>
      <c r="AF138" s="239"/>
      <c r="AG138" s="965" t="e">
        <f t="shared" si="93"/>
        <v>#VALUE!</v>
      </c>
      <c r="AH138" s="878" t="e">
        <f t="shared" si="94"/>
        <v>#VALUE!</v>
      </c>
      <c r="AI138" s="878" t="e">
        <f t="shared" si="95"/>
        <v>#VALUE!</v>
      </c>
      <c r="AJ138" s="878" t="e">
        <f t="shared" si="96"/>
        <v>#VALUE!</v>
      </c>
      <c r="AK138" s="878" t="e">
        <f t="shared" si="97"/>
        <v>#VALUE!</v>
      </c>
      <c r="AL138" s="966" t="e">
        <f t="shared" si="98"/>
        <v>#VALUE!</v>
      </c>
      <c r="AM138" s="239"/>
      <c r="AO138" s="685">
        <f t="shared" si="123"/>
        <v>-4.4704787709160554</v>
      </c>
      <c r="AP138" s="276">
        <f t="shared" si="124"/>
        <v>-1.7898832857762628</v>
      </c>
      <c r="AQ138" s="276">
        <f t="shared" si="125"/>
        <v>-3.0976513085400965</v>
      </c>
      <c r="AR138" s="276">
        <f t="shared" si="126"/>
        <v>-0.92739330685501364</v>
      </c>
      <c r="AS138" s="276">
        <f t="shared" si="127"/>
        <v>-1.0782129795452087</v>
      </c>
      <c r="AT138" s="276">
        <f t="shared" si="128"/>
        <v>-1.3211407635117123</v>
      </c>
      <c r="AU138" s="685">
        <f t="shared" si="129"/>
        <v>0.96481893328556523</v>
      </c>
      <c r="AV138" s="276">
        <f t="shared" si="130"/>
        <v>0.69933404814416611</v>
      </c>
      <c r="AW138" s="276">
        <f t="shared" si="131"/>
        <v>1.0862417258582953</v>
      </c>
      <c r="AX138" s="276">
        <f t="shared" si="132"/>
        <v>1.5070261846793536</v>
      </c>
      <c r="AY138" s="276">
        <f t="shared" si="133"/>
        <v>1.5010237105774304</v>
      </c>
      <c r="AZ138" s="686">
        <f t="shared" si="134"/>
        <v>1.914624869334477</v>
      </c>
      <c r="BA138" s="685">
        <f t="shared" si="135"/>
        <v>0</v>
      </c>
      <c r="BB138" s="276">
        <f t="shared" si="136"/>
        <v>0</v>
      </c>
      <c r="BC138" s="276">
        <f t="shared" si="137"/>
        <v>0</v>
      </c>
      <c r="BD138" s="276">
        <f t="shared" si="138"/>
        <v>0</v>
      </c>
      <c r="BE138" s="276">
        <f t="shared" si="139"/>
        <v>0</v>
      </c>
      <c r="BF138" s="686">
        <f t="shared" si="140"/>
        <v>0</v>
      </c>
      <c r="BG138" s="685" t="e">
        <f t="shared" si="141"/>
        <v>#DIV/0!</v>
      </c>
      <c r="BH138" s="276" t="e">
        <f t="shared" si="142"/>
        <v>#DIV/0!</v>
      </c>
      <c r="BI138" s="276" t="e">
        <f t="shared" si="143"/>
        <v>#DIV/0!</v>
      </c>
      <c r="BJ138" s="276" t="e">
        <f t="shared" si="144"/>
        <v>#DIV/0!</v>
      </c>
      <c r="BK138" s="276" t="e">
        <f t="shared" si="145"/>
        <v>#DIV/0!</v>
      </c>
      <c r="BL138" s="686" t="e">
        <f t="shared" si="146"/>
        <v>#DIV/0!</v>
      </c>
      <c r="BM138" s="239"/>
      <c r="BN138" s="965" t="e">
        <f t="shared" si="147"/>
        <v>#VALUE!</v>
      </c>
      <c r="BO138" s="878" t="e">
        <f t="shared" si="148"/>
        <v>#VALUE!</v>
      </c>
      <c r="BP138" s="878" t="e">
        <f t="shared" si="149"/>
        <v>#VALUE!</v>
      </c>
      <c r="BQ138" s="878" t="e">
        <f t="shared" si="150"/>
        <v>#VALUE!</v>
      </c>
      <c r="BR138" s="878" t="e">
        <f t="shared" si="151"/>
        <v>#VALUE!</v>
      </c>
      <c r="BS138" s="966" t="e">
        <f t="shared" si="152"/>
        <v>#VALUE!</v>
      </c>
    </row>
    <row r="139" spans="1:71">
      <c r="A139" s="284">
        <f t="shared" si="153"/>
        <v>71</v>
      </c>
      <c r="B139" s="285">
        <v>3.1539557222612706</v>
      </c>
      <c r="C139" s="285">
        <v>2.0782458754195603</v>
      </c>
      <c r="D139" s="285">
        <v>1.8591444182903762</v>
      </c>
      <c r="E139" s="285">
        <v>-7.9690695091794908</v>
      </c>
      <c r="H139" s="685">
        <f t="shared" si="99"/>
        <v>2.020721880492216</v>
      </c>
      <c r="I139" s="276">
        <f t="shared" si="100"/>
        <v>2.1157317860079585</v>
      </c>
      <c r="J139" s="276">
        <f t="shared" si="101"/>
        <v>2.5156429641440186</v>
      </c>
      <c r="K139" s="276">
        <f t="shared" si="102"/>
        <v>0.2644260124297364</v>
      </c>
      <c r="L139" s="276">
        <f t="shared" si="103"/>
        <v>-9.0110786077415295E-2</v>
      </c>
      <c r="M139" s="276">
        <f t="shared" si="104"/>
        <v>-3.5554379185204512</v>
      </c>
      <c r="N139" s="685">
        <f t="shared" si="105"/>
        <v>0.87107466444769188</v>
      </c>
      <c r="O139" s="276">
        <f t="shared" si="106"/>
        <v>1.5325790187631869</v>
      </c>
      <c r="P139" s="276">
        <f t="shared" si="107"/>
        <v>0.68832889700332633</v>
      </c>
      <c r="Q139" s="276">
        <f t="shared" si="108"/>
        <v>1.7865864813478021</v>
      </c>
      <c r="R139" s="276">
        <f t="shared" si="109"/>
        <v>1.3733646249654796</v>
      </c>
      <c r="S139" s="686">
        <f t="shared" si="110"/>
        <v>1.3172628994151363</v>
      </c>
      <c r="T139" s="685">
        <f t="shared" si="111"/>
        <v>5.1375081085613026</v>
      </c>
      <c r="U139" s="276">
        <f t="shared" si="112"/>
        <v>5.5209648462605916</v>
      </c>
      <c r="V139" s="276">
        <f t="shared" si="113"/>
        <v>5.4295498312305828</v>
      </c>
      <c r="W139" s="276">
        <f t="shared" si="114"/>
        <v>4.6475977513098314</v>
      </c>
      <c r="X139" s="276">
        <f t="shared" si="115"/>
        <v>5.7125452290166407</v>
      </c>
      <c r="Y139" s="686">
        <f t="shared" si="116"/>
        <v>6.6748733618053127</v>
      </c>
      <c r="Z139" s="685" t="e">
        <f t="shared" si="117"/>
        <v>#DIV/0!</v>
      </c>
      <c r="AA139" s="276" t="e">
        <f t="shared" si="118"/>
        <v>#DIV/0!</v>
      </c>
      <c r="AB139" s="276" t="e">
        <f t="shared" si="119"/>
        <v>#DIV/0!</v>
      </c>
      <c r="AC139" s="276" t="e">
        <f t="shared" si="120"/>
        <v>#DIV/0!</v>
      </c>
      <c r="AD139" s="276" t="e">
        <f t="shared" si="121"/>
        <v>#DIV/0!</v>
      </c>
      <c r="AE139" s="686" t="e">
        <f t="shared" si="122"/>
        <v>#DIV/0!</v>
      </c>
      <c r="AF139" s="239"/>
      <c r="AG139" s="965" t="e">
        <f t="shared" si="93"/>
        <v>#VALUE!</v>
      </c>
      <c r="AH139" s="878" t="e">
        <f t="shared" si="94"/>
        <v>#VALUE!</v>
      </c>
      <c r="AI139" s="878" t="e">
        <f t="shared" si="95"/>
        <v>#VALUE!</v>
      </c>
      <c r="AJ139" s="878" t="e">
        <f t="shared" si="96"/>
        <v>#VALUE!</v>
      </c>
      <c r="AK139" s="878" t="e">
        <f t="shared" si="97"/>
        <v>#VALUE!</v>
      </c>
      <c r="AL139" s="966" t="e">
        <f t="shared" si="98"/>
        <v>#VALUE!</v>
      </c>
      <c r="AM139" s="239"/>
      <c r="AO139" s="685">
        <f t="shared" si="123"/>
        <v>2.020721880492216</v>
      </c>
      <c r="AP139" s="276">
        <f t="shared" si="124"/>
        <v>2.1157317860079585</v>
      </c>
      <c r="AQ139" s="276">
        <f t="shared" si="125"/>
        <v>2.5156429641440186</v>
      </c>
      <c r="AR139" s="276">
        <f t="shared" si="126"/>
        <v>0.2644260124297364</v>
      </c>
      <c r="AS139" s="276">
        <f t="shared" si="127"/>
        <v>-9.0110786077415295E-2</v>
      </c>
      <c r="AT139" s="276">
        <f t="shared" si="128"/>
        <v>-3.5554379185204512</v>
      </c>
      <c r="AU139" s="685">
        <f t="shared" si="129"/>
        <v>0.87107466444769188</v>
      </c>
      <c r="AV139" s="276">
        <f t="shared" si="130"/>
        <v>1.5325790187631869</v>
      </c>
      <c r="AW139" s="276">
        <f t="shared" si="131"/>
        <v>0.68832889700332633</v>
      </c>
      <c r="AX139" s="276">
        <f t="shared" si="132"/>
        <v>1.7865864813478021</v>
      </c>
      <c r="AY139" s="276">
        <f t="shared" si="133"/>
        <v>1.3733646249654796</v>
      </c>
      <c r="AZ139" s="686">
        <f t="shared" si="134"/>
        <v>1.3172628994151363</v>
      </c>
      <c r="BA139" s="685">
        <f t="shared" si="135"/>
        <v>0</v>
      </c>
      <c r="BB139" s="276">
        <f t="shared" si="136"/>
        <v>0</v>
      </c>
      <c r="BC139" s="276">
        <f t="shared" si="137"/>
        <v>0</v>
      </c>
      <c r="BD139" s="276">
        <f t="shared" si="138"/>
        <v>0</v>
      </c>
      <c r="BE139" s="276">
        <f t="shared" si="139"/>
        <v>0</v>
      </c>
      <c r="BF139" s="686">
        <f t="shared" si="140"/>
        <v>0</v>
      </c>
      <c r="BG139" s="685" t="e">
        <f t="shared" si="141"/>
        <v>#DIV/0!</v>
      </c>
      <c r="BH139" s="276" t="e">
        <f t="shared" si="142"/>
        <v>#DIV/0!</v>
      </c>
      <c r="BI139" s="276" t="e">
        <f t="shared" si="143"/>
        <v>#DIV/0!</v>
      </c>
      <c r="BJ139" s="276" t="e">
        <f t="shared" si="144"/>
        <v>#DIV/0!</v>
      </c>
      <c r="BK139" s="276" t="e">
        <f t="shared" si="145"/>
        <v>#DIV/0!</v>
      </c>
      <c r="BL139" s="686" t="e">
        <f t="shared" si="146"/>
        <v>#DIV/0!</v>
      </c>
      <c r="BM139" s="239"/>
      <c r="BN139" s="965" t="e">
        <f t="shared" si="147"/>
        <v>#VALUE!</v>
      </c>
      <c r="BO139" s="878" t="e">
        <f t="shared" si="148"/>
        <v>#VALUE!</v>
      </c>
      <c r="BP139" s="878" t="e">
        <f t="shared" si="149"/>
        <v>#VALUE!</v>
      </c>
      <c r="BQ139" s="878" t="e">
        <f t="shared" si="150"/>
        <v>#VALUE!</v>
      </c>
      <c r="BR139" s="878" t="e">
        <f t="shared" si="151"/>
        <v>#VALUE!</v>
      </c>
      <c r="BS139" s="966" t="e">
        <f t="shared" si="152"/>
        <v>#VALUE!</v>
      </c>
    </row>
    <row r="140" spans="1:71">
      <c r="A140" s="284">
        <f t="shared" si="153"/>
        <v>72</v>
      </c>
      <c r="B140" s="285">
        <v>0.32067504761354115</v>
      </c>
      <c r="C140" s="285">
        <v>2.8643848317122229</v>
      </c>
      <c r="D140" s="285">
        <v>1.2431507085150373</v>
      </c>
      <c r="E140" s="285">
        <v>-11.133562895162816</v>
      </c>
      <c r="H140" s="685">
        <f t="shared" si="99"/>
        <v>-0.81255879415551369</v>
      </c>
      <c r="I140" s="276">
        <f t="shared" si="100"/>
        <v>-0.93597203018711261</v>
      </c>
      <c r="J140" s="276">
        <f t="shared" si="101"/>
        <v>-0.34942917990593991</v>
      </c>
      <c r="K140" s="276">
        <f t="shared" si="102"/>
        <v>-1.8726454872641742</v>
      </c>
      <c r="L140" s="276">
        <f t="shared" si="103"/>
        <v>-0.51290153821316942</v>
      </c>
      <c r="M140" s="276">
        <f t="shared" si="104"/>
        <v>2.1132222730873869</v>
      </c>
      <c r="N140" s="685">
        <f t="shared" si="105"/>
        <v>1.6572136207403545</v>
      </c>
      <c r="O140" s="276">
        <f t="shared" si="106"/>
        <v>0.63121727033603769</v>
      </c>
      <c r="P140" s="276">
        <f t="shared" si="107"/>
        <v>1.4234751176637814</v>
      </c>
      <c r="Q140" s="276">
        <f t="shared" si="108"/>
        <v>2.2483735185254705</v>
      </c>
      <c r="R140" s="276">
        <f t="shared" si="109"/>
        <v>1.1040062844359138</v>
      </c>
      <c r="S140" s="686">
        <f t="shared" si="110"/>
        <v>0.89762191785103229</v>
      </c>
      <c r="T140" s="685">
        <f t="shared" si="111"/>
        <v>4.5215143987859632</v>
      </c>
      <c r="U140" s="276">
        <f t="shared" si="112"/>
        <v>6.2542113041045049</v>
      </c>
      <c r="V140" s="276">
        <f t="shared" si="113"/>
        <v>4.3175426917469597</v>
      </c>
      <c r="W140" s="276">
        <f t="shared" si="114"/>
        <v>2.4266670633929421</v>
      </c>
      <c r="X140" s="276">
        <f t="shared" si="115"/>
        <v>5.9062771674264312</v>
      </c>
      <c r="Y140" s="686">
        <f t="shared" si="116"/>
        <v>4.4475388203693731</v>
      </c>
      <c r="Z140" s="685" t="e">
        <f t="shared" si="117"/>
        <v>#DIV/0!</v>
      </c>
      <c r="AA140" s="276" t="e">
        <f t="shared" si="118"/>
        <v>#DIV/0!</v>
      </c>
      <c r="AB140" s="276" t="e">
        <f t="shared" si="119"/>
        <v>#DIV/0!</v>
      </c>
      <c r="AC140" s="276" t="e">
        <f t="shared" si="120"/>
        <v>#DIV/0!</v>
      </c>
      <c r="AD140" s="276" t="e">
        <f t="shared" si="121"/>
        <v>#DIV/0!</v>
      </c>
      <c r="AE140" s="686" t="e">
        <f t="shared" si="122"/>
        <v>#DIV/0!</v>
      </c>
      <c r="AF140" s="239"/>
      <c r="AG140" s="965" t="e">
        <f t="shared" si="93"/>
        <v>#VALUE!</v>
      </c>
      <c r="AH140" s="878" t="e">
        <f t="shared" si="94"/>
        <v>#VALUE!</v>
      </c>
      <c r="AI140" s="878" t="e">
        <f t="shared" si="95"/>
        <v>#VALUE!</v>
      </c>
      <c r="AJ140" s="878" t="e">
        <f t="shared" si="96"/>
        <v>#VALUE!</v>
      </c>
      <c r="AK140" s="878" t="e">
        <f t="shared" si="97"/>
        <v>#VALUE!</v>
      </c>
      <c r="AL140" s="966" t="e">
        <f t="shared" si="98"/>
        <v>#VALUE!</v>
      </c>
      <c r="AM140" s="239"/>
      <c r="AO140" s="685">
        <f t="shared" si="123"/>
        <v>-0.81255879415551369</v>
      </c>
      <c r="AP140" s="276">
        <f t="shared" si="124"/>
        <v>-0.93597203018711261</v>
      </c>
      <c r="AQ140" s="276">
        <f t="shared" si="125"/>
        <v>-0.34942917990593991</v>
      </c>
      <c r="AR140" s="276">
        <f t="shared" si="126"/>
        <v>-1.8726454872641742</v>
      </c>
      <c r="AS140" s="276">
        <f t="shared" si="127"/>
        <v>-0.51290153821316942</v>
      </c>
      <c r="AT140" s="276">
        <f t="shared" si="128"/>
        <v>2.1132222730873869</v>
      </c>
      <c r="AU140" s="685">
        <f t="shared" si="129"/>
        <v>1.6572136207403545</v>
      </c>
      <c r="AV140" s="276">
        <f t="shared" si="130"/>
        <v>0.63121727033603769</v>
      </c>
      <c r="AW140" s="276">
        <f t="shared" si="131"/>
        <v>1.4234751176637814</v>
      </c>
      <c r="AX140" s="276">
        <f t="shared" si="132"/>
        <v>2.2483735185254705</v>
      </c>
      <c r="AY140" s="276">
        <f t="shared" si="133"/>
        <v>1.1040062844359138</v>
      </c>
      <c r="AZ140" s="686">
        <f t="shared" si="134"/>
        <v>0.89762191785103229</v>
      </c>
      <c r="BA140" s="685">
        <f t="shared" si="135"/>
        <v>0</v>
      </c>
      <c r="BB140" s="276">
        <f t="shared" si="136"/>
        <v>0</v>
      </c>
      <c r="BC140" s="276">
        <f t="shared" si="137"/>
        <v>0</v>
      </c>
      <c r="BD140" s="276">
        <f t="shared" si="138"/>
        <v>0</v>
      </c>
      <c r="BE140" s="276">
        <f t="shared" si="139"/>
        <v>0</v>
      </c>
      <c r="BF140" s="686">
        <f t="shared" si="140"/>
        <v>0</v>
      </c>
      <c r="BG140" s="685" t="e">
        <f t="shared" si="141"/>
        <v>#DIV/0!</v>
      </c>
      <c r="BH140" s="276" t="e">
        <f t="shared" si="142"/>
        <v>#DIV/0!</v>
      </c>
      <c r="BI140" s="276" t="e">
        <f t="shared" si="143"/>
        <v>#DIV/0!</v>
      </c>
      <c r="BJ140" s="276" t="e">
        <f t="shared" si="144"/>
        <v>#DIV/0!</v>
      </c>
      <c r="BK140" s="276" t="e">
        <f t="shared" si="145"/>
        <v>#DIV/0!</v>
      </c>
      <c r="BL140" s="686" t="e">
        <f t="shared" si="146"/>
        <v>#DIV/0!</v>
      </c>
      <c r="BM140" s="239"/>
      <c r="BN140" s="965" t="e">
        <f t="shared" si="147"/>
        <v>#VALUE!</v>
      </c>
      <c r="BO140" s="878" t="e">
        <f t="shared" si="148"/>
        <v>#VALUE!</v>
      </c>
      <c r="BP140" s="878" t="e">
        <f t="shared" si="149"/>
        <v>#VALUE!</v>
      </c>
      <c r="BQ140" s="878" t="e">
        <f t="shared" si="150"/>
        <v>#VALUE!</v>
      </c>
      <c r="BR140" s="878" t="e">
        <f t="shared" si="151"/>
        <v>#VALUE!</v>
      </c>
      <c r="BS140" s="966" t="e">
        <f t="shared" si="152"/>
        <v>#VALUE!</v>
      </c>
    </row>
    <row r="141" spans="1:71">
      <c r="A141" s="284">
        <f t="shared" si="153"/>
        <v>73</v>
      </c>
      <c r="B141" s="285">
        <v>1.3639698508953779</v>
      </c>
      <c r="C141" s="285">
        <v>2.4637128104155046</v>
      </c>
      <c r="D141" s="285">
        <v>0.90534064341859077</v>
      </c>
      <c r="E141" s="285">
        <v>-10.180103864459559</v>
      </c>
      <c r="H141" s="685">
        <f t="shared" si="99"/>
        <v>0.23073600912632308</v>
      </c>
      <c r="I141" s="276">
        <f t="shared" si="100"/>
        <v>-1.0240707946136158</v>
      </c>
      <c r="J141" s="276">
        <f t="shared" si="101"/>
        <v>-1.4103739435802951</v>
      </c>
      <c r="K141" s="276">
        <f t="shared" si="102"/>
        <v>-5.3330135654883897</v>
      </c>
      <c r="L141" s="276">
        <f t="shared" si="103"/>
        <v>0.3202294608488061</v>
      </c>
      <c r="M141" s="276">
        <f t="shared" si="104"/>
        <v>-1.0530083591815953</v>
      </c>
      <c r="N141" s="685">
        <f t="shared" si="105"/>
        <v>1.2565415994436362</v>
      </c>
      <c r="O141" s="276">
        <f t="shared" si="106"/>
        <v>1.0981184674207036</v>
      </c>
      <c r="P141" s="276">
        <f t="shared" si="107"/>
        <v>1.2114407163080021</v>
      </c>
      <c r="Q141" s="276">
        <f t="shared" si="108"/>
        <v>0.89543833357173441</v>
      </c>
      <c r="R141" s="276">
        <f t="shared" si="109"/>
        <v>1.1716591047670628</v>
      </c>
      <c r="S141" s="686">
        <f t="shared" si="110"/>
        <v>1.7424035001263685</v>
      </c>
      <c r="T141" s="685">
        <f t="shared" si="111"/>
        <v>4.1837043336895166</v>
      </c>
      <c r="U141" s="276">
        <f t="shared" si="112"/>
        <v>4.244925138418763</v>
      </c>
      <c r="V141" s="276">
        <f t="shared" si="113"/>
        <v>3.7326364114386354</v>
      </c>
      <c r="W141" s="276">
        <f t="shared" si="114"/>
        <v>3.0556247698579346</v>
      </c>
      <c r="X141" s="276">
        <f t="shared" si="115"/>
        <v>3.8852310075733247</v>
      </c>
      <c r="Y141" s="686">
        <f t="shared" si="116"/>
        <v>3.4328238238384374</v>
      </c>
      <c r="Z141" s="685" t="e">
        <f t="shared" si="117"/>
        <v>#DIV/0!</v>
      </c>
      <c r="AA141" s="276" t="e">
        <f t="shared" si="118"/>
        <v>#DIV/0!</v>
      </c>
      <c r="AB141" s="276" t="e">
        <f t="shared" si="119"/>
        <v>#DIV/0!</v>
      </c>
      <c r="AC141" s="276" t="e">
        <f t="shared" si="120"/>
        <v>#DIV/0!</v>
      </c>
      <c r="AD141" s="276" t="e">
        <f t="shared" si="121"/>
        <v>#DIV/0!</v>
      </c>
      <c r="AE141" s="686" t="e">
        <f t="shared" si="122"/>
        <v>#DIV/0!</v>
      </c>
      <c r="AF141" s="239"/>
      <c r="AG141" s="965" t="e">
        <f t="shared" si="93"/>
        <v>#VALUE!</v>
      </c>
      <c r="AH141" s="878" t="e">
        <f t="shared" si="94"/>
        <v>#VALUE!</v>
      </c>
      <c r="AI141" s="878" t="e">
        <f t="shared" si="95"/>
        <v>#VALUE!</v>
      </c>
      <c r="AJ141" s="878" t="e">
        <f t="shared" si="96"/>
        <v>#VALUE!</v>
      </c>
      <c r="AK141" s="878" t="e">
        <f t="shared" si="97"/>
        <v>#VALUE!</v>
      </c>
      <c r="AL141" s="966" t="e">
        <f t="shared" si="98"/>
        <v>#VALUE!</v>
      </c>
      <c r="AM141" s="239"/>
      <c r="AO141" s="685">
        <f t="shared" si="123"/>
        <v>0.23073600912632308</v>
      </c>
      <c r="AP141" s="276">
        <f t="shared" si="124"/>
        <v>-1.0240707946136158</v>
      </c>
      <c r="AQ141" s="276">
        <f t="shared" si="125"/>
        <v>-1.4103739435802951</v>
      </c>
      <c r="AR141" s="276">
        <f t="shared" si="126"/>
        <v>-5.3330135654883897</v>
      </c>
      <c r="AS141" s="276">
        <f t="shared" si="127"/>
        <v>0.3202294608488061</v>
      </c>
      <c r="AT141" s="276">
        <f t="shared" si="128"/>
        <v>-1.0530083591815953</v>
      </c>
      <c r="AU141" s="685">
        <f t="shared" si="129"/>
        <v>1.2565415994436362</v>
      </c>
      <c r="AV141" s="276">
        <f t="shared" si="130"/>
        <v>1.0981184674207036</v>
      </c>
      <c r="AW141" s="276">
        <f t="shared" si="131"/>
        <v>1.2114407163080021</v>
      </c>
      <c r="AX141" s="276">
        <f t="shared" si="132"/>
        <v>0.89543833357173441</v>
      </c>
      <c r="AY141" s="276">
        <f t="shared" si="133"/>
        <v>1.1716591047670628</v>
      </c>
      <c r="AZ141" s="686">
        <f t="shared" si="134"/>
        <v>1.7424035001263685</v>
      </c>
      <c r="BA141" s="685">
        <f t="shared" si="135"/>
        <v>0</v>
      </c>
      <c r="BB141" s="276">
        <f t="shared" si="136"/>
        <v>0</v>
      </c>
      <c r="BC141" s="276">
        <f t="shared" si="137"/>
        <v>0</v>
      </c>
      <c r="BD141" s="276">
        <f t="shared" si="138"/>
        <v>0</v>
      </c>
      <c r="BE141" s="276">
        <f t="shared" si="139"/>
        <v>0</v>
      </c>
      <c r="BF141" s="686">
        <f t="shared" si="140"/>
        <v>0</v>
      </c>
      <c r="BG141" s="685" t="e">
        <f t="shared" si="141"/>
        <v>#DIV/0!</v>
      </c>
      <c r="BH141" s="276" t="e">
        <f t="shared" si="142"/>
        <v>#DIV/0!</v>
      </c>
      <c r="BI141" s="276" t="e">
        <f t="shared" si="143"/>
        <v>#DIV/0!</v>
      </c>
      <c r="BJ141" s="276" t="e">
        <f t="shared" si="144"/>
        <v>#DIV/0!</v>
      </c>
      <c r="BK141" s="276" t="e">
        <f t="shared" si="145"/>
        <v>#DIV/0!</v>
      </c>
      <c r="BL141" s="686" t="e">
        <f t="shared" si="146"/>
        <v>#DIV/0!</v>
      </c>
      <c r="BM141" s="239"/>
      <c r="BN141" s="965" t="e">
        <f t="shared" si="147"/>
        <v>#VALUE!</v>
      </c>
      <c r="BO141" s="878" t="e">
        <f t="shared" si="148"/>
        <v>#VALUE!</v>
      </c>
      <c r="BP141" s="878" t="e">
        <f t="shared" si="149"/>
        <v>#VALUE!</v>
      </c>
      <c r="BQ141" s="878" t="e">
        <f t="shared" si="150"/>
        <v>#VALUE!</v>
      </c>
      <c r="BR141" s="878" t="e">
        <f t="shared" si="151"/>
        <v>#VALUE!</v>
      </c>
      <c r="BS141" s="966" t="e">
        <f t="shared" si="152"/>
        <v>#VALUE!</v>
      </c>
    </row>
    <row r="142" spans="1:71">
      <c r="A142" s="284">
        <f t="shared" si="153"/>
        <v>74</v>
      </c>
      <c r="B142" s="285">
        <v>1.1187126541918495</v>
      </c>
      <c r="C142" s="285">
        <v>2.9170457887646677</v>
      </c>
      <c r="D142" s="285">
        <v>-4.8784712760697957E-2</v>
      </c>
      <c r="E142" s="285">
        <v>9.3549503719648648</v>
      </c>
      <c r="H142" s="685">
        <f t="shared" si="99"/>
        <v>-1.452118757720533E-2</v>
      </c>
      <c r="I142" s="276">
        <f t="shared" si="100"/>
        <v>-4.2945872735794746</v>
      </c>
      <c r="J142" s="276">
        <f t="shared" si="101"/>
        <v>-2.1006978661515587</v>
      </c>
      <c r="K142" s="276">
        <f t="shared" si="102"/>
        <v>6.4760606919613828E-3</v>
      </c>
      <c r="L142" s="276">
        <f t="shared" si="103"/>
        <v>-1.7319916722895157</v>
      </c>
      <c r="M142" s="276">
        <f t="shared" si="104"/>
        <v>2.4823523619064147</v>
      </c>
      <c r="N142" s="685">
        <f t="shared" si="105"/>
        <v>1.7098745777927993</v>
      </c>
      <c r="O142" s="276">
        <f t="shared" si="106"/>
        <v>1.7496609172068578</v>
      </c>
      <c r="P142" s="276">
        <f t="shared" si="107"/>
        <v>1.9880323295027942</v>
      </c>
      <c r="Q142" s="276">
        <f t="shared" si="108"/>
        <v>0.93598384781417709</v>
      </c>
      <c r="R142" s="276">
        <f t="shared" si="109"/>
        <v>1.7934315822987494</v>
      </c>
      <c r="S142" s="686">
        <f t="shared" si="110"/>
        <v>1.3107263901233865</v>
      </c>
      <c r="T142" s="685">
        <f t="shared" si="111"/>
        <v>3.2295789775102279</v>
      </c>
      <c r="U142" s="276">
        <f t="shared" si="112"/>
        <v>3.8063575939855472</v>
      </c>
      <c r="V142" s="276">
        <f t="shared" si="113"/>
        <v>4.7811606771062243</v>
      </c>
      <c r="W142" s="276">
        <f t="shared" si="114"/>
        <v>5.1960476131885684</v>
      </c>
      <c r="X142" s="276">
        <f t="shared" si="115"/>
        <v>3.5430279605476178</v>
      </c>
      <c r="Y142" s="686">
        <f t="shared" si="116"/>
        <v>8.198427884951732</v>
      </c>
      <c r="Z142" s="685" t="e">
        <f t="shared" si="117"/>
        <v>#DIV/0!</v>
      </c>
      <c r="AA142" s="276" t="e">
        <f t="shared" si="118"/>
        <v>#DIV/0!</v>
      </c>
      <c r="AB142" s="276" t="e">
        <f t="shared" si="119"/>
        <v>#DIV/0!</v>
      </c>
      <c r="AC142" s="276" t="e">
        <f t="shared" si="120"/>
        <v>#DIV/0!</v>
      </c>
      <c r="AD142" s="276" t="e">
        <f t="shared" si="121"/>
        <v>#DIV/0!</v>
      </c>
      <c r="AE142" s="686" t="e">
        <f t="shared" si="122"/>
        <v>#DIV/0!</v>
      </c>
      <c r="AF142" s="239"/>
      <c r="AG142" s="965" t="e">
        <f t="shared" si="93"/>
        <v>#VALUE!</v>
      </c>
      <c r="AH142" s="878" t="e">
        <f t="shared" si="94"/>
        <v>#VALUE!</v>
      </c>
      <c r="AI142" s="878" t="e">
        <f t="shared" si="95"/>
        <v>#VALUE!</v>
      </c>
      <c r="AJ142" s="878" t="e">
        <f t="shared" si="96"/>
        <v>#VALUE!</v>
      </c>
      <c r="AK142" s="878" t="e">
        <f t="shared" si="97"/>
        <v>#VALUE!</v>
      </c>
      <c r="AL142" s="966" t="e">
        <f t="shared" si="98"/>
        <v>#VALUE!</v>
      </c>
      <c r="AM142" s="239"/>
      <c r="AO142" s="685">
        <f t="shared" si="123"/>
        <v>-1.452118757720533E-2</v>
      </c>
      <c r="AP142" s="276">
        <f t="shared" si="124"/>
        <v>-4.2945872735794746</v>
      </c>
      <c r="AQ142" s="276">
        <f t="shared" si="125"/>
        <v>-2.1006978661515587</v>
      </c>
      <c r="AR142" s="276">
        <f t="shared" si="126"/>
        <v>6.4760606919613828E-3</v>
      </c>
      <c r="AS142" s="276">
        <f t="shared" si="127"/>
        <v>-1.7319916722895157</v>
      </c>
      <c r="AT142" s="276">
        <f t="shared" si="128"/>
        <v>2.4823523619064147</v>
      </c>
      <c r="AU142" s="685">
        <f t="shared" si="129"/>
        <v>1.7098745777927993</v>
      </c>
      <c r="AV142" s="276">
        <f t="shared" si="130"/>
        <v>1.7496609172068578</v>
      </c>
      <c r="AW142" s="276">
        <f t="shared" si="131"/>
        <v>1.9880323295027942</v>
      </c>
      <c r="AX142" s="276">
        <f t="shared" si="132"/>
        <v>0.93598384781417709</v>
      </c>
      <c r="AY142" s="276">
        <f t="shared" si="133"/>
        <v>1.7934315822987494</v>
      </c>
      <c r="AZ142" s="686">
        <f t="shared" si="134"/>
        <v>1.3107263901233865</v>
      </c>
      <c r="BA142" s="685">
        <f t="shared" si="135"/>
        <v>0</v>
      </c>
      <c r="BB142" s="276">
        <f t="shared" si="136"/>
        <v>0</v>
      </c>
      <c r="BC142" s="276">
        <f t="shared" si="137"/>
        <v>0</v>
      </c>
      <c r="BD142" s="276">
        <f t="shared" si="138"/>
        <v>0</v>
      </c>
      <c r="BE142" s="276">
        <f t="shared" si="139"/>
        <v>0</v>
      </c>
      <c r="BF142" s="686">
        <f t="shared" si="140"/>
        <v>0</v>
      </c>
      <c r="BG142" s="685" t="e">
        <f t="shared" si="141"/>
        <v>#DIV/0!</v>
      </c>
      <c r="BH142" s="276" t="e">
        <f t="shared" si="142"/>
        <v>#DIV/0!</v>
      </c>
      <c r="BI142" s="276" t="e">
        <f t="shared" si="143"/>
        <v>#DIV/0!</v>
      </c>
      <c r="BJ142" s="276" t="e">
        <f t="shared" si="144"/>
        <v>#DIV/0!</v>
      </c>
      <c r="BK142" s="276" t="e">
        <f t="shared" si="145"/>
        <v>#DIV/0!</v>
      </c>
      <c r="BL142" s="686" t="e">
        <f t="shared" si="146"/>
        <v>#DIV/0!</v>
      </c>
      <c r="BM142" s="239"/>
      <c r="BN142" s="965" t="e">
        <f t="shared" si="147"/>
        <v>#VALUE!</v>
      </c>
      <c r="BO142" s="878" t="e">
        <f t="shared" si="148"/>
        <v>#VALUE!</v>
      </c>
      <c r="BP142" s="878" t="e">
        <f t="shared" si="149"/>
        <v>#VALUE!</v>
      </c>
      <c r="BQ142" s="878" t="e">
        <f t="shared" si="150"/>
        <v>#VALUE!</v>
      </c>
      <c r="BR142" s="878" t="e">
        <f t="shared" si="151"/>
        <v>#VALUE!</v>
      </c>
      <c r="BS142" s="966" t="e">
        <f t="shared" si="152"/>
        <v>#VALUE!</v>
      </c>
    </row>
    <row r="143" spans="1:71">
      <c r="A143" s="284">
        <f t="shared" si="153"/>
        <v>75</v>
      </c>
      <c r="B143" s="285">
        <v>-0.86922789854087323</v>
      </c>
      <c r="C143" s="285">
        <v>3.0183238973338047</v>
      </c>
      <c r="D143" s="285">
        <v>2.4540663692187192</v>
      </c>
      <c r="E143" s="285">
        <v>2.1272497804617196</v>
      </c>
      <c r="H143" s="685">
        <f t="shared" si="99"/>
        <v>-2.0024617403099283</v>
      </c>
      <c r="I143" s="276">
        <f t="shared" si="100"/>
        <v>-1.6375120841431476</v>
      </c>
      <c r="J143" s="276">
        <f t="shared" si="101"/>
        <v>-1.3041638675792901</v>
      </c>
      <c r="K143" s="276">
        <f t="shared" si="102"/>
        <v>3.4644754985205006</v>
      </c>
      <c r="L143" s="276">
        <f t="shared" si="103"/>
        <v>-2.1392536696372337</v>
      </c>
      <c r="M143" s="276">
        <f t="shared" si="104"/>
        <v>3.9607195204545667</v>
      </c>
      <c r="N143" s="685">
        <f t="shared" si="105"/>
        <v>1.8111526863619363</v>
      </c>
      <c r="O143" s="276">
        <f t="shared" si="106"/>
        <v>1.3445430910876535</v>
      </c>
      <c r="P143" s="276">
        <f t="shared" si="107"/>
        <v>2.0479571181508414</v>
      </c>
      <c r="Q143" s="276">
        <f t="shared" si="108"/>
        <v>1.939665004863796</v>
      </c>
      <c r="R143" s="276">
        <f t="shared" si="109"/>
        <v>0.97323876826990197</v>
      </c>
      <c r="S143" s="686">
        <f t="shared" si="110"/>
        <v>1.8384191876801388</v>
      </c>
      <c r="T143" s="685">
        <f t="shared" si="111"/>
        <v>5.7324300594896451</v>
      </c>
      <c r="U143" s="276">
        <f t="shared" si="112"/>
        <v>4.2959359551226672</v>
      </c>
      <c r="V143" s="276">
        <f t="shared" si="113"/>
        <v>4.6037660559713505</v>
      </c>
      <c r="W143" s="276">
        <f t="shared" si="114"/>
        <v>3.5999286274065172</v>
      </c>
      <c r="X143" s="276">
        <f t="shared" si="115"/>
        <v>5.2076062135712213</v>
      </c>
      <c r="Y143" s="686">
        <f t="shared" si="116"/>
        <v>5.924385327590695</v>
      </c>
      <c r="Z143" s="685" t="e">
        <f t="shared" si="117"/>
        <v>#DIV/0!</v>
      </c>
      <c r="AA143" s="276" t="e">
        <f t="shared" si="118"/>
        <v>#DIV/0!</v>
      </c>
      <c r="AB143" s="276" t="e">
        <f t="shared" si="119"/>
        <v>#DIV/0!</v>
      </c>
      <c r="AC143" s="276" t="e">
        <f t="shared" si="120"/>
        <v>#DIV/0!</v>
      </c>
      <c r="AD143" s="276" t="e">
        <f t="shared" si="121"/>
        <v>#DIV/0!</v>
      </c>
      <c r="AE143" s="686" t="e">
        <f t="shared" si="122"/>
        <v>#DIV/0!</v>
      </c>
      <c r="AF143" s="239"/>
      <c r="AG143" s="965" t="e">
        <f t="shared" si="93"/>
        <v>#VALUE!</v>
      </c>
      <c r="AH143" s="878" t="e">
        <f t="shared" si="94"/>
        <v>#VALUE!</v>
      </c>
      <c r="AI143" s="878" t="e">
        <f t="shared" si="95"/>
        <v>#VALUE!</v>
      </c>
      <c r="AJ143" s="878" t="e">
        <f t="shared" si="96"/>
        <v>#VALUE!</v>
      </c>
      <c r="AK143" s="878" t="e">
        <f t="shared" si="97"/>
        <v>#VALUE!</v>
      </c>
      <c r="AL143" s="966" t="e">
        <f t="shared" si="98"/>
        <v>#VALUE!</v>
      </c>
      <c r="AM143" s="239"/>
      <c r="AO143" s="685">
        <f t="shared" si="123"/>
        <v>-2.0024617403099283</v>
      </c>
      <c r="AP143" s="276">
        <f t="shared" si="124"/>
        <v>-1.6375120841431476</v>
      </c>
      <c r="AQ143" s="276">
        <f t="shared" si="125"/>
        <v>-1.3041638675792901</v>
      </c>
      <c r="AR143" s="276">
        <f t="shared" si="126"/>
        <v>3.4644754985205006</v>
      </c>
      <c r="AS143" s="276">
        <f t="shared" si="127"/>
        <v>-2.1392536696372337</v>
      </c>
      <c r="AT143" s="276">
        <f t="shared" si="128"/>
        <v>3.9607195204545667</v>
      </c>
      <c r="AU143" s="685">
        <f t="shared" si="129"/>
        <v>1.8111526863619363</v>
      </c>
      <c r="AV143" s="276">
        <f t="shared" si="130"/>
        <v>1.3445430910876535</v>
      </c>
      <c r="AW143" s="276">
        <f t="shared" si="131"/>
        <v>2.0479571181508414</v>
      </c>
      <c r="AX143" s="276">
        <f t="shared" si="132"/>
        <v>1.939665004863796</v>
      </c>
      <c r="AY143" s="276">
        <f t="shared" si="133"/>
        <v>0.97323876826990197</v>
      </c>
      <c r="AZ143" s="686">
        <f t="shared" si="134"/>
        <v>1.8384191876801388</v>
      </c>
      <c r="BA143" s="685">
        <f t="shared" si="135"/>
        <v>0</v>
      </c>
      <c r="BB143" s="276">
        <f t="shared" si="136"/>
        <v>0</v>
      </c>
      <c r="BC143" s="276">
        <f t="shared" si="137"/>
        <v>0</v>
      </c>
      <c r="BD143" s="276">
        <f t="shared" si="138"/>
        <v>0</v>
      </c>
      <c r="BE143" s="276">
        <f t="shared" si="139"/>
        <v>0</v>
      </c>
      <c r="BF143" s="686">
        <f t="shared" si="140"/>
        <v>0</v>
      </c>
      <c r="BG143" s="685" t="e">
        <f t="shared" si="141"/>
        <v>#DIV/0!</v>
      </c>
      <c r="BH143" s="276" t="e">
        <f t="shared" si="142"/>
        <v>#DIV/0!</v>
      </c>
      <c r="BI143" s="276" t="e">
        <f t="shared" si="143"/>
        <v>#DIV/0!</v>
      </c>
      <c r="BJ143" s="276" t="e">
        <f t="shared" si="144"/>
        <v>#DIV/0!</v>
      </c>
      <c r="BK143" s="276" t="e">
        <f t="shared" si="145"/>
        <v>#DIV/0!</v>
      </c>
      <c r="BL143" s="686" t="e">
        <f t="shared" si="146"/>
        <v>#DIV/0!</v>
      </c>
      <c r="BM143" s="239"/>
      <c r="BN143" s="965" t="e">
        <f t="shared" si="147"/>
        <v>#VALUE!</v>
      </c>
      <c r="BO143" s="878" t="e">
        <f t="shared" si="148"/>
        <v>#VALUE!</v>
      </c>
      <c r="BP143" s="878" t="e">
        <f t="shared" si="149"/>
        <v>#VALUE!</v>
      </c>
      <c r="BQ143" s="878" t="e">
        <f t="shared" si="150"/>
        <v>#VALUE!</v>
      </c>
      <c r="BR143" s="878" t="e">
        <f t="shared" si="151"/>
        <v>#VALUE!</v>
      </c>
      <c r="BS143" s="966" t="e">
        <f t="shared" si="152"/>
        <v>#VALUE!</v>
      </c>
    </row>
    <row r="144" spans="1:71">
      <c r="A144" s="284">
        <f t="shared" si="153"/>
        <v>76</v>
      </c>
      <c r="B144" s="285">
        <v>-1.7116199419724281</v>
      </c>
      <c r="C144" s="285">
        <v>2.3409549244999552</v>
      </c>
      <c r="D144" s="285">
        <v>-9.5401811240304113E-2</v>
      </c>
      <c r="E144" s="285">
        <v>4.7349585148029831</v>
      </c>
      <c r="H144" s="685">
        <f t="shared" si="99"/>
        <v>-2.8448537837414829</v>
      </c>
      <c r="I144" s="276">
        <f t="shared" si="100"/>
        <v>-4.112541509315129</v>
      </c>
      <c r="J144" s="276">
        <f t="shared" si="101"/>
        <v>0.74956548480454077</v>
      </c>
      <c r="K144" s="276">
        <f t="shared" si="102"/>
        <v>1.6177506759554843</v>
      </c>
      <c r="L144" s="276">
        <f t="shared" si="103"/>
        <v>-2.3002637451871459</v>
      </c>
      <c r="M144" s="276">
        <f t="shared" si="104"/>
        <v>2.4366390565028242</v>
      </c>
      <c r="N144" s="685">
        <f t="shared" si="105"/>
        <v>1.1337837135280868</v>
      </c>
      <c r="O144" s="276">
        <f t="shared" si="106"/>
        <v>0.91475644970681702</v>
      </c>
      <c r="P144" s="276">
        <f t="shared" si="107"/>
        <v>1.9563278208585764</v>
      </c>
      <c r="Q144" s="276">
        <f t="shared" si="108"/>
        <v>1.1256532052796626</v>
      </c>
      <c r="R144" s="276">
        <f t="shared" si="109"/>
        <v>0.33387683622045095</v>
      </c>
      <c r="S144" s="686">
        <f t="shared" si="110"/>
        <v>1.634844457648297</v>
      </c>
      <c r="T144" s="685">
        <f t="shared" si="111"/>
        <v>3.1829618790306218</v>
      </c>
      <c r="U144" s="276">
        <f t="shared" si="112"/>
        <v>4.1692116526555001</v>
      </c>
      <c r="V144" s="276">
        <f t="shared" si="113"/>
        <v>4.1319425228885116</v>
      </c>
      <c r="W144" s="276">
        <f t="shared" si="114"/>
        <v>5.2378423004030346</v>
      </c>
      <c r="X144" s="276">
        <f t="shared" si="115"/>
        <v>3.0659320232551419</v>
      </c>
      <c r="Y144" s="686">
        <f t="shared" si="116"/>
        <v>5.5732308659892666</v>
      </c>
      <c r="Z144" s="685" t="e">
        <f t="shared" si="117"/>
        <v>#DIV/0!</v>
      </c>
      <c r="AA144" s="276" t="e">
        <f t="shared" si="118"/>
        <v>#DIV/0!</v>
      </c>
      <c r="AB144" s="276" t="e">
        <f t="shared" si="119"/>
        <v>#DIV/0!</v>
      </c>
      <c r="AC144" s="276" t="e">
        <f t="shared" si="120"/>
        <v>#DIV/0!</v>
      </c>
      <c r="AD144" s="276" t="e">
        <f t="shared" si="121"/>
        <v>#DIV/0!</v>
      </c>
      <c r="AE144" s="686" t="e">
        <f t="shared" si="122"/>
        <v>#DIV/0!</v>
      </c>
      <c r="AF144" s="239"/>
      <c r="AG144" s="965" t="e">
        <f t="shared" si="93"/>
        <v>#VALUE!</v>
      </c>
      <c r="AH144" s="878" t="e">
        <f t="shared" si="94"/>
        <v>#VALUE!</v>
      </c>
      <c r="AI144" s="878" t="e">
        <f t="shared" si="95"/>
        <v>#VALUE!</v>
      </c>
      <c r="AJ144" s="878" t="e">
        <f t="shared" si="96"/>
        <v>#VALUE!</v>
      </c>
      <c r="AK144" s="878" t="e">
        <f t="shared" si="97"/>
        <v>#VALUE!</v>
      </c>
      <c r="AL144" s="966" t="e">
        <f t="shared" si="98"/>
        <v>#VALUE!</v>
      </c>
      <c r="AM144" s="239"/>
      <c r="AO144" s="685">
        <f t="shared" si="123"/>
        <v>-2.8448537837414829</v>
      </c>
      <c r="AP144" s="276">
        <f t="shared" si="124"/>
        <v>-4.112541509315129</v>
      </c>
      <c r="AQ144" s="276">
        <f t="shared" si="125"/>
        <v>0.74956548480454077</v>
      </c>
      <c r="AR144" s="276">
        <f t="shared" si="126"/>
        <v>1.6177506759554843</v>
      </c>
      <c r="AS144" s="276">
        <f t="shared" si="127"/>
        <v>-2.3002637451871459</v>
      </c>
      <c r="AT144" s="276">
        <f t="shared" si="128"/>
        <v>2.4366390565028242</v>
      </c>
      <c r="AU144" s="685">
        <f t="shared" si="129"/>
        <v>1.1337837135280868</v>
      </c>
      <c r="AV144" s="276">
        <f t="shared" si="130"/>
        <v>0.91475644970681702</v>
      </c>
      <c r="AW144" s="276">
        <f t="shared" si="131"/>
        <v>1.9563278208585764</v>
      </c>
      <c r="AX144" s="276">
        <f t="shared" si="132"/>
        <v>1.1256532052796626</v>
      </c>
      <c r="AY144" s="276">
        <f t="shared" si="133"/>
        <v>0.33387683622045095</v>
      </c>
      <c r="AZ144" s="686">
        <f t="shared" si="134"/>
        <v>1.634844457648297</v>
      </c>
      <c r="BA144" s="685">
        <f t="shared" si="135"/>
        <v>0</v>
      </c>
      <c r="BB144" s="276">
        <f t="shared" si="136"/>
        <v>0</v>
      </c>
      <c r="BC144" s="276">
        <f t="shared" si="137"/>
        <v>0</v>
      </c>
      <c r="BD144" s="276">
        <f t="shared" si="138"/>
        <v>0</v>
      </c>
      <c r="BE144" s="276">
        <f t="shared" si="139"/>
        <v>0</v>
      </c>
      <c r="BF144" s="686">
        <f t="shared" si="140"/>
        <v>0</v>
      </c>
      <c r="BG144" s="685" t="e">
        <f t="shared" si="141"/>
        <v>#DIV/0!</v>
      </c>
      <c r="BH144" s="276" t="e">
        <f t="shared" si="142"/>
        <v>#DIV/0!</v>
      </c>
      <c r="BI144" s="276" t="e">
        <f t="shared" si="143"/>
        <v>#DIV/0!</v>
      </c>
      <c r="BJ144" s="276" t="e">
        <f t="shared" si="144"/>
        <v>#DIV/0!</v>
      </c>
      <c r="BK144" s="276" t="e">
        <f t="shared" si="145"/>
        <v>#DIV/0!</v>
      </c>
      <c r="BL144" s="686" t="e">
        <f t="shared" si="146"/>
        <v>#DIV/0!</v>
      </c>
      <c r="BM144" s="239"/>
      <c r="BN144" s="965" t="e">
        <f t="shared" si="147"/>
        <v>#VALUE!</v>
      </c>
      <c r="BO144" s="878" t="e">
        <f t="shared" si="148"/>
        <v>#VALUE!</v>
      </c>
      <c r="BP144" s="878" t="e">
        <f t="shared" si="149"/>
        <v>#VALUE!</v>
      </c>
      <c r="BQ144" s="878" t="e">
        <f t="shared" si="150"/>
        <v>#VALUE!</v>
      </c>
      <c r="BR144" s="878" t="e">
        <f t="shared" si="151"/>
        <v>#VALUE!</v>
      </c>
      <c r="BS144" s="966" t="e">
        <f t="shared" si="152"/>
        <v>#VALUE!</v>
      </c>
    </row>
    <row r="145" spans="1:71">
      <c r="A145" s="284">
        <f t="shared" si="153"/>
        <v>77</v>
      </c>
      <c r="B145" s="285">
        <v>-1.4298446025631215</v>
      </c>
      <c r="C145" s="285">
        <v>2.8674553640476801</v>
      </c>
      <c r="D145" s="285">
        <v>-0.60080509350738653</v>
      </c>
      <c r="E145" s="285">
        <v>7.385324429367488</v>
      </c>
      <c r="H145" s="685">
        <f t="shared" si="99"/>
        <v>-2.5630784443321764</v>
      </c>
      <c r="I145" s="276">
        <f t="shared" si="100"/>
        <v>-2.5309299288638343E-3</v>
      </c>
      <c r="J145" s="276">
        <f t="shared" si="101"/>
        <v>-1.1298491030140065</v>
      </c>
      <c r="K145" s="276">
        <f t="shared" si="102"/>
        <v>-0.73365856265096263</v>
      </c>
      <c r="L145" s="276">
        <f t="shared" si="103"/>
        <v>1.882395824250876</v>
      </c>
      <c r="M145" s="276">
        <f t="shared" si="104"/>
        <v>-0.74015179756460148</v>
      </c>
      <c r="N145" s="685">
        <f t="shared" si="105"/>
        <v>1.6602841530758117</v>
      </c>
      <c r="O145" s="276">
        <f t="shared" si="106"/>
        <v>1.6959602434399785</v>
      </c>
      <c r="P145" s="276">
        <f t="shared" si="107"/>
        <v>0.47720442573819732</v>
      </c>
      <c r="Q145" s="276">
        <f t="shared" si="108"/>
        <v>1.4121360253142894</v>
      </c>
      <c r="R145" s="276">
        <f t="shared" si="109"/>
        <v>1.0376294868529852</v>
      </c>
      <c r="S145" s="686">
        <f t="shared" si="110"/>
        <v>1.8020895567444877</v>
      </c>
      <c r="T145" s="685">
        <f t="shared" si="111"/>
        <v>2.6775585967635394</v>
      </c>
      <c r="U145" s="276">
        <f t="shared" si="112"/>
        <v>3.9412625676141313</v>
      </c>
      <c r="V145" s="276">
        <f t="shared" si="113"/>
        <v>4.1434173456091878</v>
      </c>
      <c r="W145" s="276">
        <f t="shared" si="114"/>
        <v>2.7664044143172326</v>
      </c>
      <c r="X145" s="276">
        <f t="shared" si="115"/>
        <v>6.3528583984977889</v>
      </c>
      <c r="Y145" s="686">
        <f t="shared" si="116"/>
        <v>4.2712316677929252</v>
      </c>
      <c r="Z145" s="685" t="e">
        <f t="shared" si="117"/>
        <v>#DIV/0!</v>
      </c>
      <c r="AA145" s="276" t="e">
        <f t="shared" si="118"/>
        <v>#DIV/0!</v>
      </c>
      <c r="AB145" s="276" t="e">
        <f t="shared" si="119"/>
        <v>#DIV/0!</v>
      </c>
      <c r="AC145" s="276" t="e">
        <f t="shared" si="120"/>
        <v>#DIV/0!</v>
      </c>
      <c r="AD145" s="276" t="e">
        <f t="shared" si="121"/>
        <v>#DIV/0!</v>
      </c>
      <c r="AE145" s="686" t="e">
        <f t="shared" si="122"/>
        <v>#DIV/0!</v>
      </c>
      <c r="AF145" s="239"/>
      <c r="AG145" s="965" t="e">
        <f t="shared" si="93"/>
        <v>#VALUE!</v>
      </c>
      <c r="AH145" s="878" t="e">
        <f t="shared" si="94"/>
        <v>#VALUE!</v>
      </c>
      <c r="AI145" s="878" t="e">
        <f t="shared" si="95"/>
        <v>#VALUE!</v>
      </c>
      <c r="AJ145" s="878" t="e">
        <f t="shared" si="96"/>
        <v>#VALUE!</v>
      </c>
      <c r="AK145" s="878" t="e">
        <f t="shared" si="97"/>
        <v>#VALUE!</v>
      </c>
      <c r="AL145" s="966" t="e">
        <f t="shared" si="98"/>
        <v>#VALUE!</v>
      </c>
      <c r="AM145" s="239"/>
      <c r="AO145" s="685">
        <f t="shared" si="123"/>
        <v>-2.5630784443321764</v>
      </c>
      <c r="AP145" s="276">
        <f t="shared" si="124"/>
        <v>-2.5309299288638343E-3</v>
      </c>
      <c r="AQ145" s="276">
        <f t="shared" si="125"/>
        <v>-1.1298491030140065</v>
      </c>
      <c r="AR145" s="276">
        <f t="shared" si="126"/>
        <v>-0.73365856265096263</v>
      </c>
      <c r="AS145" s="276">
        <f t="shared" si="127"/>
        <v>1.882395824250876</v>
      </c>
      <c r="AT145" s="276">
        <f t="shared" si="128"/>
        <v>-0.74015179756460148</v>
      </c>
      <c r="AU145" s="685">
        <f t="shared" si="129"/>
        <v>1.6602841530758117</v>
      </c>
      <c r="AV145" s="276">
        <f t="shared" si="130"/>
        <v>1.6959602434399785</v>
      </c>
      <c r="AW145" s="276">
        <f t="shared" si="131"/>
        <v>0.47720442573819732</v>
      </c>
      <c r="AX145" s="276">
        <f t="shared" si="132"/>
        <v>1.4121360253142894</v>
      </c>
      <c r="AY145" s="276">
        <f t="shared" si="133"/>
        <v>1.0376294868529852</v>
      </c>
      <c r="AZ145" s="686">
        <f t="shared" si="134"/>
        <v>1.8020895567444877</v>
      </c>
      <c r="BA145" s="685">
        <f t="shared" si="135"/>
        <v>0</v>
      </c>
      <c r="BB145" s="276">
        <f t="shared" si="136"/>
        <v>0</v>
      </c>
      <c r="BC145" s="276">
        <f t="shared" si="137"/>
        <v>0</v>
      </c>
      <c r="BD145" s="276">
        <f t="shared" si="138"/>
        <v>0</v>
      </c>
      <c r="BE145" s="276">
        <f t="shared" si="139"/>
        <v>0</v>
      </c>
      <c r="BF145" s="686">
        <f t="shared" si="140"/>
        <v>0</v>
      </c>
      <c r="BG145" s="685" t="e">
        <f t="shared" si="141"/>
        <v>#DIV/0!</v>
      </c>
      <c r="BH145" s="276" t="e">
        <f t="shared" si="142"/>
        <v>#DIV/0!</v>
      </c>
      <c r="BI145" s="276" t="e">
        <f t="shared" si="143"/>
        <v>#DIV/0!</v>
      </c>
      <c r="BJ145" s="276" t="e">
        <f t="shared" si="144"/>
        <v>#DIV/0!</v>
      </c>
      <c r="BK145" s="276" t="e">
        <f t="shared" si="145"/>
        <v>#DIV/0!</v>
      </c>
      <c r="BL145" s="686" t="e">
        <f t="shared" si="146"/>
        <v>#DIV/0!</v>
      </c>
      <c r="BM145" s="239"/>
      <c r="BN145" s="965" t="e">
        <f t="shared" si="147"/>
        <v>#VALUE!</v>
      </c>
      <c r="BO145" s="878" t="e">
        <f t="shared" si="148"/>
        <v>#VALUE!</v>
      </c>
      <c r="BP145" s="878" t="e">
        <f t="shared" si="149"/>
        <v>#VALUE!</v>
      </c>
      <c r="BQ145" s="878" t="e">
        <f t="shared" si="150"/>
        <v>#VALUE!</v>
      </c>
      <c r="BR145" s="878" t="e">
        <f t="shared" si="151"/>
        <v>#VALUE!</v>
      </c>
      <c r="BS145" s="966" t="e">
        <f t="shared" si="152"/>
        <v>#VALUE!</v>
      </c>
    </row>
    <row r="146" spans="1:71">
      <c r="A146" s="284">
        <f t="shared" si="153"/>
        <v>78</v>
      </c>
      <c r="B146" s="285">
        <v>0.47319331660930453</v>
      </c>
      <c r="C146" s="285">
        <v>2.9365370372378434</v>
      </c>
      <c r="D146" s="285">
        <v>1.4878293291822768</v>
      </c>
      <c r="E146" s="285">
        <v>-6.8783202749222365</v>
      </c>
      <c r="H146" s="685">
        <f t="shared" si="99"/>
        <v>-0.66004052515975031</v>
      </c>
      <c r="I146" s="276">
        <f t="shared" si="100"/>
        <v>3.6516925942183658</v>
      </c>
      <c r="J146" s="276">
        <f t="shared" si="101"/>
        <v>-1.3622138259756471</v>
      </c>
      <c r="K146" s="276">
        <f t="shared" si="102"/>
        <v>0.74685917963750681</v>
      </c>
      <c r="L146" s="276">
        <f t="shared" si="103"/>
        <v>-0.60765758440496476</v>
      </c>
      <c r="M146" s="276">
        <f t="shared" si="104"/>
        <v>-1.1598898018792962</v>
      </c>
      <c r="N146" s="685">
        <f t="shared" si="105"/>
        <v>1.729365826265975</v>
      </c>
      <c r="O146" s="276">
        <f t="shared" si="106"/>
        <v>2.4445166843538058</v>
      </c>
      <c r="P146" s="276">
        <f t="shared" si="107"/>
        <v>1.9659393891729999</v>
      </c>
      <c r="Q146" s="276">
        <f t="shared" si="108"/>
        <v>1.2779920466497117</v>
      </c>
      <c r="R146" s="276">
        <f t="shared" si="109"/>
        <v>1.2588393933007478</v>
      </c>
      <c r="S146" s="686">
        <f t="shared" si="110"/>
        <v>1.1651889852210309</v>
      </c>
      <c r="T146" s="685">
        <f t="shared" si="111"/>
        <v>4.766193019453203</v>
      </c>
      <c r="U146" s="276">
        <f t="shared" si="112"/>
        <v>3.850947204970407</v>
      </c>
      <c r="V146" s="276">
        <f t="shared" si="113"/>
        <v>4.1514802053220654</v>
      </c>
      <c r="W146" s="276">
        <f t="shared" si="114"/>
        <v>6.0985705030855613</v>
      </c>
      <c r="X146" s="276">
        <f t="shared" si="115"/>
        <v>4.3878328416282812</v>
      </c>
      <c r="Y146" s="686">
        <f t="shared" si="116"/>
        <v>3.281525236769915</v>
      </c>
      <c r="Z146" s="685" t="e">
        <f t="shared" si="117"/>
        <v>#DIV/0!</v>
      </c>
      <c r="AA146" s="276" t="e">
        <f t="shared" si="118"/>
        <v>#DIV/0!</v>
      </c>
      <c r="AB146" s="276" t="e">
        <f t="shared" si="119"/>
        <v>#DIV/0!</v>
      </c>
      <c r="AC146" s="276" t="e">
        <f t="shared" si="120"/>
        <v>#DIV/0!</v>
      </c>
      <c r="AD146" s="276" t="e">
        <f t="shared" si="121"/>
        <v>#DIV/0!</v>
      </c>
      <c r="AE146" s="686" t="e">
        <f t="shared" si="122"/>
        <v>#DIV/0!</v>
      </c>
      <c r="AF146" s="239"/>
      <c r="AG146" s="965" t="e">
        <f t="shared" si="93"/>
        <v>#VALUE!</v>
      </c>
      <c r="AH146" s="878" t="e">
        <f t="shared" si="94"/>
        <v>#VALUE!</v>
      </c>
      <c r="AI146" s="878" t="e">
        <f t="shared" si="95"/>
        <v>#VALUE!</v>
      </c>
      <c r="AJ146" s="878" t="e">
        <f t="shared" si="96"/>
        <v>#VALUE!</v>
      </c>
      <c r="AK146" s="878" t="e">
        <f t="shared" si="97"/>
        <v>#VALUE!</v>
      </c>
      <c r="AL146" s="966" t="e">
        <f t="shared" si="98"/>
        <v>#VALUE!</v>
      </c>
      <c r="AM146" s="239"/>
      <c r="AO146" s="685">
        <f t="shared" si="123"/>
        <v>-0.66004052515975031</v>
      </c>
      <c r="AP146" s="276">
        <f t="shared" si="124"/>
        <v>3.6516925942183658</v>
      </c>
      <c r="AQ146" s="276">
        <f t="shared" si="125"/>
        <v>-1.3622138259756471</v>
      </c>
      <c r="AR146" s="276">
        <f t="shared" si="126"/>
        <v>0.74685917963750681</v>
      </c>
      <c r="AS146" s="276">
        <f t="shared" si="127"/>
        <v>-0.60765758440496476</v>
      </c>
      <c r="AT146" s="276">
        <f t="shared" si="128"/>
        <v>-1.1598898018792962</v>
      </c>
      <c r="AU146" s="685">
        <f t="shared" si="129"/>
        <v>1.729365826265975</v>
      </c>
      <c r="AV146" s="276">
        <f t="shared" si="130"/>
        <v>2.4445166843538058</v>
      </c>
      <c r="AW146" s="276">
        <f t="shared" si="131"/>
        <v>1.9659393891729999</v>
      </c>
      <c r="AX146" s="276">
        <f t="shared" si="132"/>
        <v>1.2779920466497117</v>
      </c>
      <c r="AY146" s="276">
        <f t="shared" si="133"/>
        <v>1.2588393933007478</v>
      </c>
      <c r="AZ146" s="686">
        <f t="shared" si="134"/>
        <v>1.1651889852210309</v>
      </c>
      <c r="BA146" s="685">
        <f t="shared" si="135"/>
        <v>0</v>
      </c>
      <c r="BB146" s="276">
        <f t="shared" si="136"/>
        <v>0</v>
      </c>
      <c r="BC146" s="276">
        <f t="shared" si="137"/>
        <v>0</v>
      </c>
      <c r="BD146" s="276">
        <f t="shared" si="138"/>
        <v>0</v>
      </c>
      <c r="BE146" s="276">
        <f t="shared" si="139"/>
        <v>0</v>
      </c>
      <c r="BF146" s="686">
        <f t="shared" si="140"/>
        <v>0</v>
      </c>
      <c r="BG146" s="685" t="e">
        <f t="shared" si="141"/>
        <v>#DIV/0!</v>
      </c>
      <c r="BH146" s="276" t="e">
        <f t="shared" si="142"/>
        <v>#DIV/0!</v>
      </c>
      <c r="BI146" s="276" t="e">
        <f t="shared" si="143"/>
        <v>#DIV/0!</v>
      </c>
      <c r="BJ146" s="276" t="e">
        <f t="shared" si="144"/>
        <v>#DIV/0!</v>
      </c>
      <c r="BK146" s="276" t="e">
        <f t="shared" si="145"/>
        <v>#DIV/0!</v>
      </c>
      <c r="BL146" s="686" t="e">
        <f t="shared" si="146"/>
        <v>#DIV/0!</v>
      </c>
      <c r="BM146" s="239"/>
      <c r="BN146" s="965" t="e">
        <f t="shared" si="147"/>
        <v>#VALUE!</v>
      </c>
      <c r="BO146" s="878" t="e">
        <f t="shared" si="148"/>
        <v>#VALUE!</v>
      </c>
      <c r="BP146" s="878" t="e">
        <f t="shared" si="149"/>
        <v>#VALUE!</v>
      </c>
      <c r="BQ146" s="878" t="e">
        <f t="shared" si="150"/>
        <v>#VALUE!</v>
      </c>
      <c r="BR146" s="878" t="e">
        <f t="shared" si="151"/>
        <v>#VALUE!</v>
      </c>
      <c r="BS146" s="966" t="e">
        <f t="shared" si="152"/>
        <v>#VALUE!</v>
      </c>
    </row>
    <row r="147" spans="1:71">
      <c r="A147" s="284">
        <f t="shared" si="153"/>
        <v>79</v>
      </c>
      <c r="B147" s="285">
        <v>-0.82469172893143228</v>
      </c>
      <c r="C147" s="285">
        <v>3.148014375893442</v>
      </c>
      <c r="D147" s="285">
        <v>-0.9860774368483316</v>
      </c>
      <c r="E147" s="285">
        <v>5.6832408394980565</v>
      </c>
      <c r="H147" s="685">
        <f t="shared" si="99"/>
        <v>-1.9579255707004872</v>
      </c>
      <c r="I147" s="276">
        <f t="shared" si="100"/>
        <v>2.5364757387711627</v>
      </c>
      <c r="J147" s="276">
        <f t="shared" si="101"/>
        <v>-1.7727954446944816</v>
      </c>
      <c r="K147" s="276">
        <f t="shared" si="102"/>
        <v>0.73699007939561501</v>
      </c>
      <c r="L147" s="276">
        <f t="shared" si="103"/>
        <v>-1.8010525026032747</v>
      </c>
      <c r="M147" s="276">
        <f t="shared" si="104"/>
        <v>0.24652327354526204</v>
      </c>
      <c r="N147" s="685">
        <f t="shared" si="105"/>
        <v>1.9408431649215736</v>
      </c>
      <c r="O147" s="276">
        <f t="shared" si="106"/>
        <v>1.7490198334986242</v>
      </c>
      <c r="P147" s="276">
        <f t="shared" si="107"/>
        <v>0.83841121840624111</v>
      </c>
      <c r="Q147" s="276">
        <f t="shared" si="108"/>
        <v>0.98582383644031446</v>
      </c>
      <c r="R147" s="276">
        <f t="shared" si="109"/>
        <v>1.3430393286532694</v>
      </c>
      <c r="S147" s="686">
        <f t="shared" si="110"/>
        <v>1.1200231898884041</v>
      </c>
      <c r="T147" s="685">
        <f t="shared" si="111"/>
        <v>2.2922862534225943</v>
      </c>
      <c r="U147" s="276">
        <f t="shared" si="112"/>
        <v>7.0649503526005972</v>
      </c>
      <c r="V147" s="276">
        <f t="shared" si="113"/>
        <v>5.8237822584729475</v>
      </c>
      <c r="W147" s="276">
        <f t="shared" si="114"/>
        <v>4.3109170194944042</v>
      </c>
      <c r="X147" s="276">
        <f t="shared" si="115"/>
        <v>4.6390079635861365</v>
      </c>
      <c r="Y147" s="686">
        <f t="shared" si="116"/>
        <v>6.1422942148024937</v>
      </c>
      <c r="Z147" s="685" t="e">
        <f t="shared" si="117"/>
        <v>#DIV/0!</v>
      </c>
      <c r="AA147" s="276" t="e">
        <f t="shared" si="118"/>
        <v>#DIV/0!</v>
      </c>
      <c r="AB147" s="276" t="e">
        <f t="shared" si="119"/>
        <v>#DIV/0!</v>
      </c>
      <c r="AC147" s="276" t="e">
        <f t="shared" si="120"/>
        <v>#DIV/0!</v>
      </c>
      <c r="AD147" s="276" t="e">
        <f t="shared" si="121"/>
        <v>#DIV/0!</v>
      </c>
      <c r="AE147" s="686" t="e">
        <f t="shared" si="122"/>
        <v>#DIV/0!</v>
      </c>
      <c r="AF147" s="239"/>
      <c r="AG147" s="965" t="e">
        <f t="shared" si="93"/>
        <v>#VALUE!</v>
      </c>
      <c r="AH147" s="878" t="e">
        <f t="shared" si="94"/>
        <v>#VALUE!</v>
      </c>
      <c r="AI147" s="878" t="e">
        <f t="shared" si="95"/>
        <v>#VALUE!</v>
      </c>
      <c r="AJ147" s="878" t="e">
        <f t="shared" si="96"/>
        <v>#VALUE!</v>
      </c>
      <c r="AK147" s="878" t="e">
        <f t="shared" si="97"/>
        <v>#VALUE!</v>
      </c>
      <c r="AL147" s="966" t="e">
        <f t="shared" si="98"/>
        <v>#VALUE!</v>
      </c>
      <c r="AM147" s="239"/>
      <c r="AO147" s="685">
        <f t="shared" si="123"/>
        <v>-1.9579255707004872</v>
      </c>
      <c r="AP147" s="276">
        <f t="shared" si="124"/>
        <v>2.5364757387711627</v>
      </c>
      <c r="AQ147" s="276">
        <f t="shared" si="125"/>
        <v>-1.7727954446944816</v>
      </c>
      <c r="AR147" s="276">
        <f t="shared" si="126"/>
        <v>0.73699007939561501</v>
      </c>
      <c r="AS147" s="276">
        <f t="shared" si="127"/>
        <v>-1.8010525026032747</v>
      </c>
      <c r="AT147" s="276">
        <f t="shared" si="128"/>
        <v>0.24652327354526204</v>
      </c>
      <c r="AU147" s="685">
        <f t="shared" si="129"/>
        <v>1.9408431649215736</v>
      </c>
      <c r="AV147" s="276">
        <f t="shared" si="130"/>
        <v>1.7490198334986242</v>
      </c>
      <c r="AW147" s="276">
        <f t="shared" si="131"/>
        <v>0.83841121840624111</v>
      </c>
      <c r="AX147" s="276">
        <f t="shared" si="132"/>
        <v>0.98582383644031446</v>
      </c>
      <c r="AY147" s="276">
        <f t="shared" si="133"/>
        <v>1.3430393286532694</v>
      </c>
      <c r="AZ147" s="686">
        <f t="shared" si="134"/>
        <v>1.1200231898884041</v>
      </c>
      <c r="BA147" s="685">
        <f t="shared" si="135"/>
        <v>0</v>
      </c>
      <c r="BB147" s="276">
        <f t="shared" si="136"/>
        <v>0</v>
      </c>
      <c r="BC147" s="276">
        <f t="shared" si="137"/>
        <v>0</v>
      </c>
      <c r="BD147" s="276">
        <f t="shared" si="138"/>
        <v>0</v>
      </c>
      <c r="BE147" s="276">
        <f t="shared" si="139"/>
        <v>0</v>
      </c>
      <c r="BF147" s="686">
        <f t="shared" si="140"/>
        <v>0</v>
      </c>
      <c r="BG147" s="685" t="e">
        <f t="shared" si="141"/>
        <v>#DIV/0!</v>
      </c>
      <c r="BH147" s="276" t="e">
        <f t="shared" si="142"/>
        <v>#DIV/0!</v>
      </c>
      <c r="BI147" s="276" t="e">
        <f t="shared" si="143"/>
        <v>#DIV/0!</v>
      </c>
      <c r="BJ147" s="276" t="e">
        <f t="shared" si="144"/>
        <v>#DIV/0!</v>
      </c>
      <c r="BK147" s="276" t="e">
        <f t="shared" si="145"/>
        <v>#DIV/0!</v>
      </c>
      <c r="BL147" s="686" t="e">
        <f t="shared" si="146"/>
        <v>#DIV/0!</v>
      </c>
      <c r="BM147" s="239"/>
      <c r="BN147" s="965" t="e">
        <f t="shared" si="147"/>
        <v>#VALUE!</v>
      </c>
      <c r="BO147" s="878" t="e">
        <f t="shared" si="148"/>
        <v>#VALUE!</v>
      </c>
      <c r="BP147" s="878" t="e">
        <f t="shared" si="149"/>
        <v>#VALUE!</v>
      </c>
      <c r="BQ147" s="878" t="e">
        <f t="shared" si="150"/>
        <v>#VALUE!</v>
      </c>
      <c r="BR147" s="878" t="e">
        <f t="shared" si="151"/>
        <v>#VALUE!</v>
      </c>
      <c r="BS147" s="966" t="e">
        <f t="shared" si="152"/>
        <v>#VALUE!</v>
      </c>
    </row>
    <row r="148" spans="1:71">
      <c r="A148" s="284">
        <f t="shared" si="153"/>
        <v>80</v>
      </c>
      <c r="B148" s="285">
        <v>-5.4936448924248484</v>
      </c>
      <c r="C148" s="285">
        <v>2.4074637240269419</v>
      </c>
      <c r="D148" s="285">
        <v>-1.6452077849585116</v>
      </c>
      <c r="E148" s="285">
        <v>6.6208788584992462</v>
      </c>
      <c r="H148" s="685">
        <f t="shared" si="99"/>
        <v>-6.6268787341939035</v>
      </c>
      <c r="I148" s="276">
        <f t="shared" si="100"/>
        <v>-1.3337161557506343</v>
      </c>
      <c r="J148" s="276">
        <f t="shared" si="101"/>
        <v>-1.7051070220355748</v>
      </c>
      <c r="K148" s="276">
        <f t="shared" si="102"/>
        <v>-3.1172990934599314</v>
      </c>
      <c r="L148" s="276">
        <f t="shared" si="103"/>
        <v>-4.4754706133195015</v>
      </c>
      <c r="M148" s="276">
        <f t="shared" si="104"/>
        <v>1.8479339107202264</v>
      </c>
      <c r="N148" s="685">
        <f t="shared" si="105"/>
        <v>1.2002925130550735</v>
      </c>
      <c r="O148" s="276">
        <f t="shared" si="106"/>
        <v>2.1409494646935556</v>
      </c>
      <c r="P148" s="276">
        <f t="shared" si="107"/>
        <v>1.0571386015310684</v>
      </c>
      <c r="Q148" s="276">
        <f t="shared" si="108"/>
        <v>0.62331929135067066</v>
      </c>
      <c r="R148" s="276">
        <f t="shared" si="109"/>
        <v>1.6356969985060077</v>
      </c>
      <c r="S148" s="686">
        <f t="shared" si="110"/>
        <v>1.8530730465296166</v>
      </c>
      <c r="T148" s="685">
        <f t="shared" si="111"/>
        <v>1.6331559053124143</v>
      </c>
      <c r="U148" s="276">
        <f t="shared" si="112"/>
        <v>2.1540302369010171</v>
      </c>
      <c r="V148" s="276">
        <f t="shared" si="113"/>
        <v>4.2739120054495832</v>
      </c>
      <c r="W148" s="276">
        <f t="shared" si="114"/>
        <v>6.4503556625051921</v>
      </c>
      <c r="X148" s="276">
        <f t="shared" si="115"/>
        <v>4.6120046188662345</v>
      </c>
      <c r="Y148" s="686">
        <f t="shared" si="116"/>
        <v>5.0639357701774799</v>
      </c>
      <c r="Z148" s="685" t="e">
        <f t="shared" si="117"/>
        <v>#DIV/0!</v>
      </c>
      <c r="AA148" s="276" t="e">
        <f t="shared" si="118"/>
        <v>#DIV/0!</v>
      </c>
      <c r="AB148" s="276" t="e">
        <f t="shared" si="119"/>
        <v>#DIV/0!</v>
      </c>
      <c r="AC148" s="276" t="e">
        <f t="shared" si="120"/>
        <v>#DIV/0!</v>
      </c>
      <c r="AD148" s="276" t="e">
        <f t="shared" si="121"/>
        <v>#DIV/0!</v>
      </c>
      <c r="AE148" s="686" t="e">
        <f t="shared" si="122"/>
        <v>#DIV/0!</v>
      </c>
      <c r="AF148" s="239"/>
      <c r="AG148" s="965" t="e">
        <f t="shared" si="93"/>
        <v>#VALUE!</v>
      </c>
      <c r="AH148" s="878" t="e">
        <f t="shared" si="94"/>
        <v>#VALUE!</v>
      </c>
      <c r="AI148" s="878" t="e">
        <f t="shared" si="95"/>
        <v>#VALUE!</v>
      </c>
      <c r="AJ148" s="878" t="e">
        <f t="shared" si="96"/>
        <v>#VALUE!</v>
      </c>
      <c r="AK148" s="878" t="e">
        <f t="shared" si="97"/>
        <v>#VALUE!</v>
      </c>
      <c r="AL148" s="966" t="e">
        <f t="shared" si="98"/>
        <v>#VALUE!</v>
      </c>
      <c r="AM148" s="239"/>
      <c r="AO148" s="685">
        <f t="shared" si="123"/>
        <v>-6.6268787341939035</v>
      </c>
      <c r="AP148" s="276">
        <f t="shared" si="124"/>
        <v>-1.3337161557506343</v>
      </c>
      <c r="AQ148" s="276">
        <f t="shared" si="125"/>
        <v>-1.7051070220355748</v>
      </c>
      <c r="AR148" s="276">
        <f t="shared" si="126"/>
        <v>-3.1172990934599314</v>
      </c>
      <c r="AS148" s="276">
        <f t="shared" si="127"/>
        <v>-4.4754706133195015</v>
      </c>
      <c r="AT148" s="276">
        <f t="shared" si="128"/>
        <v>1.8479339107202264</v>
      </c>
      <c r="AU148" s="685">
        <f t="shared" si="129"/>
        <v>1.2002925130550735</v>
      </c>
      <c r="AV148" s="276">
        <f t="shared" si="130"/>
        <v>2.1409494646935556</v>
      </c>
      <c r="AW148" s="276">
        <f t="shared" si="131"/>
        <v>1.0571386015310684</v>
      </c>
      <c r="AX148" s="276">
        <f t="shared" si="132"/>
        <v>0.62331929135067066</v>
      </c>
      <c r="AY148" s="276">
        <f t="shared" si="133"/>
        <v>1.6356969985060077</v>
      </c>
      <c r="AZ148" s="686">
        <f t="shared" si="134"/>
        <v>1.8530730465296166</v>
      </c>
      <c r="BA148" s="685">
        <f t="shared" si="135"/>
        <v>0</v>
      </c>
      <c r="BB148" s="276">
        <f t="shared" si="136"/>
        <v>0</v>
      </c>
      <c r="BC148" s="276">
        <f t="shared" si="137"/>
        <v>0</v>
      </c>
      <c r="BD148" s="276">
        <f t="shared" si="138"/>
        <v>0</v>
      </c>
      <c r="BE148" s="276">
        <f t="shared" si="139"/>
        <v>0</v>
      </c>
      <c r="BF148" s="686">
        <f t="shared" si="140"/>
        <v>0</v>
      </c>
      <c r="BG148" s="685" t="e">
        <f t="shared" si="141"/>
        <v>#DIV/0!</v>
      </c>
      <c r="BH148" s="276" t="e">
        <f t="shared" si="142"/>
        <v>#DIV/0!</v>
      </c>
      <c r="BI148" s="276" t="e">
        <f t="shared" si="143"/>
        <v>#DIV/0!</v>
      </c>
      <c r="BJ148" s="276" t="e">
        <f t="shared" si="144"/>
        <v>#DIV/0!</v>
      </c>
      <c r="BK148" s="276" t="e">
        <f t="shared" si="145"/>
        <v>#DIV/0!</v>
      </c>
      <c r="BL148" s="686" t="e">
        <f t="shared" si="146"/>
        <v>#DIV/0!</v>
      </c>
      <c r="BM148" s="239"/>
      <c r="BN148" s="965" t="e">
        <f t="shared" si="147"/>
        <v>#VALUE!</v>
      </c>
      <c r="BO148" s="878" t="e">
        <f t="shared" si="148"/>
        <v>#VALUE!</v>
      </c>
      <c r="BP148" s="878" t="e">
        <f t="shared" si="149"/>
        <v>#VALUE!</v>
      </c>
      <c r="BQ148" s="878" t="e">
        <f t="shared" si="150"/>
        <v>#VALUE!</v>
      </c>
      <c r="BR148" s="878" t="e">
        <f t="shared" si="151"/>
        <v>#VALUE!</v>
      </c>
      <c r="BS148" s="966" t="e">
        <f t="shared" si="152"/>
        <v>#VALUE!</v>
      </c>
    </row>
    <row r="149" spans="1:71">
      <c r="A149" s="284">
        <f t="shared" si="153"/>
        <v>81</v>
      </c>
      <c r="B149" s="285">
        <v>0.64028153802839416</v>
      </c>
      <c r="C149" s="285">
        <v>2.9024758473689114</v>
      </c>
      <c r="D149" s="285">
        <v>2.3622901726528216</v>
      </c>
      <c r="E149" s="285">
        <v>0.10396236981999163</v>
      </c>
      <c r="H149" s="685">
        <f t="shared" si="99"/>
        <v>-0.49295230374066068</v>
      </c>
      <c r="I149" s="276">
        <f t="shared" si="100"/>
        <v>-1.080348969739984</v>
      </c>
      <c r="J149" s="276">
        <f t="shared" si="101"/>
        <v>1.0198701146968705</v>
      </c>
      <c r="K149" s="276">
        <f t="shared" si="102"/>
        <v>-4.96642367205878</v>
      </c>
      <c r="L149" s="276">
        <f t="shared" si="103"/>
        <v>-1.7582745392298234</v>
      </c>
      <c r="M149" s="276">
        <f t="shared" si="104"/>
        <v>-1.216254569127047</v>
      </c>
      <c r="N149" s="685">
        <f t="shared" si="105"/>
        <v>1.695304636397043</v>
      </c>
      <c r="O149" s="276">
        <f t="shared" si="106"/>
        <v>0.86365138905578998</v>
      </c>
      <c r="P149" s="276">
        <f t="shared" si="107"/>
        <v>1.455392720840657</v>
      </c>
      <c r="Q149" s="276">
        <f t="shared" si="108"/>
        <v>1.0187905004157887</v>
      </c>
      <c r="R149" s="276">
        <f t="shared" si="109"/>
        <v>0.57872343472850374</v>
      </c>
      <c r="S149" s="686">
        <f t="shared" si="110"/>
        <v>0.66815154038202729</v>
      </c>
      <c r="T149" s="685">
        <f t="shared" si="111"/>
        <v>5.640653862923747</v>
      </c>
      <c r="U149" s="276">
        <f t="shared" si="112"/>
        <v>5.6629577400990279</v>
      </c>
      <c r="V149" s="276">
        <f t="shared" si="113"/>
        <v>5.0324950194937346</v>
      </c>
      <c r="W149" s="276">
        <f t="shared" si="114"/>
        <v>3.3375995766581656</v>
      </c>
      <c r="X149" s="276">
        <f t="shared" si="115"/>
        <v>2.512087303135822</v>
      </c>
      <c r="Y149" s="686">
        <f t="shared" si="116"/>
        <v>5.1368364918909375</v>
      </c>
      <c r="Z149" s="685" t="e">
        <f t="shared" si="117"/>
        <v>#DIV/0!</v>
      </c>
      <c r="AA149" s="276" t="e">
        <f t="shared" si="118"/>
        <v>#DIV/0!</v>
      </c>
      <c r="AB149" s="276" t="e">
        <f t="shared" si="119"/>
        <v>#DIV/0!</v>
      </c>
      <c r="AC149" s="276" t="e">
        <f t="shared" si="120"/>
        <v>#DIV/0!</v>
      </c>
      <c r="AD149" s="276" t="e">
        <f t="shared" si="121"/>
        <v>#DIV/0!</v>
      </c>
      <c r="AE149" s="686" t="e">
        <f t="shared" si="122"/>
        <v>#DIV/0!</v>
      </c>
      <c r="AF149" s="239"/>
      <c r="AG149" s="965" t="e">
        <f t="shared" si="93"/>
        <v>#VALUE!</v>
      </c>
      <c r="AH149" s="878" t="e">
        <f t="shared" si="94"/>
        <v>#VALUE!</v>
      </c>
      <c r="AI149" s="878" t="e">
        <f t="shared" si="95"/>
        <v>#VALUE!</v>
      </c>
      <c r="AJ149" s="878" t="e">
        <f t="shared" si="96"/>
        <v>#VALUE!</v>
      </c>
      <c r="AK149" s="878" t="e">
        <f t="shared" si="97"/>
        <v>#VALUE!</v>
      </c>
      <c r="AL149" s="966" t="e">
        <f t="shared" si="98"/>
        <v>#VALUE!</v>
      </c>
      <c r="AM149" s="239"/>
      <c r="AO149" s="685">
        <f t="shared" si="123"/>
        <v>-0.49295230374066068</v>
      </c>
      <c r="AP149" s="276">
        <f t="shared" si="124"/>
        <v>-1.080348969739984</v>
      </c>
      <c r="AQ149" s="276">
        <f t="shared" si="125"/>
        <v>1.0198701146968705</v>
      </c>
      <c r="AR149" s="276">
        <f t="shared" si="126"/>
        <v>-4.96642367205878</v>
      </c>
      <c r="AS149" s="276">
        <f t="shared" si="127"/>
        <v>-1.7582745392298234</v>
      </c>
      <c r="AT149" s="276">
        <f t="shared" si="128"/>
        <v>-1.216254569127047</v>
      </c>
      <c r="AU149" s="685">
        <f t="shared" si="129"/>
        <v>1.695304636397043</v>
      </c>
      <c r="AV149" s="276">
        <f t="shared" si="130"/>
        <v>0.86365138905578998</v>
      </c>
      <c r="AW149" s="276">
        <f t="shared" si="131"/>
        <v>1.455392720840657</v>
      </c>
      <c r="AX149" s="276">
        <f t="shared" si="132"/>
        <v>1.0187905004157887</v>
      </c>
      <c r="AY149" s="276">
        <f t="shared" si="133"/>
        <v>0.57872343472850374</v>
      </c>
      <c r="AZ149" s="686">
        <f t="shared" si="134"/>
        <v>0.66815154038202729</v>
      </c>
      <c r="BA149" s="685">
        <f t="shared" si="135"/>
        <v>0</v>
      </c>
      <c r="BB149" s="276">
        <f t="shared" si="136"/>
        <v>0</v>
      </c>
      <c r="BC149" s="276">
        <f t="shared" si="137"/>
        <v>0</v>
      </c>
      <c r="BD149" s="276">
        <f t="shared" si="138"/>
        <v>0</v>
      </c>
      <c r="BE149" s="276">
        <f t="shared" si="139"/>
        <v>0</v>
      </c>
      <c r="BF149" s="686">
        <f t="shared" si="140"/>
        <v>0</v>
      </c>
      <c r="BG149" s="685" t="e">
        <f t="shared" si="141"/>
        <v>#DIV/0!</v>
      </c>
      <c r="BH149" s="276" t="e">
        <f t="shared" si="142"/>
        <v>#DIV/0!</v>
      </c>
      <c r="BI149" s="276" t="e">
        <f t="shared" si="143"/>
        <v>#DIV/0!</v>
      </c>
      <c r="BJ149" s="276" t="e">
        <f t="shared" si="144"/>
        <v>#DIV/0!</v>
      </c>
      <c r="BK149" s="276" t="e">
        <f t="shared" si="145"/>
        <v>#DIV/0!</v>
      </c>
      <c r="BL149" s="686" t="e">
        <f t="shared" si="146"/>
        <v>#DIV/0!</v>
      </c>
      <c r="BM149" s="239"/>
      <c r="BN149" s="965" t="e">
        <f t="shared" si="147"/>
        <v>#VALUE!</v>
      </c>
      <c r="BO149" s="878" t="e">
        <f t="shared" si="148"/>
        <v>#VALUE!</v>
      </c>
      <c r="BP149" s="878" t="e">
        <f t="shared" si="149"/>
        <v>#VALUE!</v>
      </c>
      <c r="BQ149" s="878" t="e">
        <f t="shared" si="150"/>
        <v>#VALUE!</v>
      </c>
      <c r="BR149" s="878" t="e">
        <f t="shared" si="151"/>
        <v>#VALUE!</v>
      </c>
      <c r="BS149" s="966" t="e">
        <f t="shared" si="152"/>
        <v>#VALUE!</v>
      </c>
    </row>
    <row r="150" spans="1:71">
      <c r="A150" s="284">
        <f t="shared" si="153"/>
        <v>82</v>
      </c>
      <c r="B150" s="285">
        <v>-0.10387583921488794</v>
      </c>
      <c r="C150" s="285">
        <v>3.2132822478647092</v>
      </c>
      <c r="D150" s="285">
        <v>1.8905541211352939</v>
      </c>
      <c r="E150" s="285">
        <v>5.2269291272552074</v>
      </c>
      <c r="H150" s="685">
        <f t="shared" si="99"/>
        <v>-1.2371096809839428</v>
      </c>
      <c r="I150" s="276">
        <f t="shared" si="100"/>
        <v>-3.865510249744216</v>
      </c>
      <c r="J150" s="276">
        <f t="shared" si="101"/>
        <v>-1.3690125272814633</v>
      </c>
      <c r="K150" s="276">
        <f t="shared" si="102"/>
        <v>1.4649228826224101</v>
      </c>
      <c r="L150" s="276">
        <f t="shared" si="103"/>
        <v>-1.4893234550503367</v>
      </c>
      <c r="M150" s="276">
        <f t="shared" si="104"/>
        <v>0.89422929926876482</v>
      </c>
      <c r="N150" s="685">
        <f t="shared" si="105"/>
        <v>2.0061110368928405</v>
      </c>
      <c r="O150" s="276">
        <f t="shared" si="106"/>
        <v>0.83524049777696274</v>
      </c>
      <c r="P150" s="276">
        <f t="shared" si="107"/>
        <v>0.64632625815913647</v>
      </c>
      <c r="Q150" s="276">
        <f t="shared" si="108"/>
        <v>1.0786448996043394</v>
      </c>
      <c r="R150" s="276">
        <f t="shared" si="109"/>
        <v>1.618155885178304</v>
      </c>
      <c r="S150" s="686">
        <f t="shared" si="110"/>
        <v>1.4355934644062998</v>
      </c>
      <c r="T150" s="685">
        <f t="shared" si="111"/>
        <v>5.16891781140622</v>
      </c>
      <c r="U150" s="276">
        <f t="shared" si="112"/>
        <v>3.9375816627278093</v>
      </c>
      <c r="V150" s="276">
        <f t="shared" si="113"/>
        <v>4.7374350653066895</v>
      </c>
      <c r="W150" s="276">
        <f t="shared" si="114"/>
        <v>5.4347735798326546</v>
      </c>
      <c r="X150" s="276">
        <f t="shared" si="115"/>
        <v>3.3402047962977415</v>
      </c>
      <c r="Y150" s="686">
        <f t="shared" si="116"/>
        <v>6.2005758238573634</v>
      </c>
      <c r="Z150" s="685" t="e">
        <f t="shared" si="117"/>
        <v>#DIV/0!</v>
      </c>
      <c r="AA150" s="276" t="e">
        <f t="shared" si="118"/>
        <v>#DIV/0!</v>
      </c>
      <c r="AB150" s="276" t="e">
        <f t="shared" si="119"/>
        <v>#DIV/0!</v>
      </c>
      <c r="AC150" s="276" t="e">
        <f t="shared" si="120"/>
        <v>#DIV/0!</v>
      </c>
      <c r="AD150" s="276" t="e">
        <f t="shared" si="121"/>
        <v>#DIV/0!</v>
      </c>
      <c r="AE150" s="686" t="e">
        <f t="shared" si="122"/>
        <v>#DIV/0!</v>
      </c>
      <c r="AF150" s="239"/>
      <c r="AG150" s="965" t="e">
        <f t="shared" si="93"/>
        <v>#VALUE!</v>
      </c>
      <c r="AH150" s="878" t="e">
        <f t="shared" si="94"/>
        <v>#VALUE!</v>
      </c>
      <c r="AI150" s="878" t="e">
        <f t="shared" si="95"/>
        <v>#VALUE!</v>
      </c>
      <c r="AJ150" s="878" t="e">
        <f t="shared" si="96"/>
        <v>#VALUE!</v>
      </c>
      <c r="AK150" s="878" t="e">
        <f t="shared" si="97"/>
        <v>#VALUE!</v>
      </c>
      <c r="AL150" s="966" t="e">
        <f t="shared" si="98"/>
        <v>#VALUE!</v>
      </c>
      <c r="AM150" s="239"/>
      <c r="AO150" s="685">
        <f t="shared" si="123"/>
        <v>-1.2371096809839428</v>
      </c>
      <c r="AP150" s="276">
        <f t="shared" si="124"/>
        <v>-3.865510249744216</v>
      </c>
      <c r="AQ150" s="276">
        <f t="shared" si="125"/>
        <v>-1.3690125272814633</v>
      </c>
      <c r="AR150" s="276">
        <f t="shared" si="126"/>
        <v>1.4649228826224101</v>
      </c>
      <c r="AS150" s="276">
        <f t="shared" si="127"/>
        <v>-1.4893234550503367</v>
      </c>
      <c r="AT150" s="276">
        <f t="shared" si="128"/>
        <v>0.89422929926876482</v>
      </c>
      <c r="AU150" s="685">
        <f t="shared" si="129"/>
        <v>2.0061110368928405</v>
      </c>
      <c r="AV150" s="276">
        <f t="shared" si="130"/>
        <v>0.83524049777696274</v>
      </c>
      <c r="AW150" s="276">
        <f t="shared" si="131"/>
        <v>0.64632625815913647</v>
      </c>
      <c r="AX150" s="276">
        <f t="shared" si="132"/>
        <v>1.0786448996043394</v>
      </c>
      <c r="AY150" s="276">
        <f t="shared" si="133"/>
        <v>1.618155885178304</v>
      </c>
      <c r="AZ150" s="686">
        <f t="shared" si="134"/>
        <v>1.4355934644062998</v>
      </c>
      <c r="BA150" s="685">
        <f t="shared" si="135"/>
        <v>0</v>
      </c>
      <c r="BB150" s="276">
        <f t="shared" si="136"/>
        <v>0</v>
      </c>
      <c r="BC150" s="276">
        <f t="shared" si="137"/>
        <v>0</v>
      </c>
      <c r="BD150" s="276">
        <f t="shared" si="138"/>
        <v>0</v>
      </c>
      <c r="BE150" s="276">
        <f t="shared" si="139"/>
        <v>0</v>
      </c>
      <c r="BF150" s="686">
        <f t="shared" si="140"/>
        <v>0</v>
      </c>
      <c r="BG150" s="685" t="e">
        <f t="shared" si="141"/>
        <v>#DIV/0!</v>
      </c>
      <c r="BH150" s="276" t="e">
        <f t="shared" si="142"/>
        <v>#DIV/0!</v>
      </c>
      <c r="BI150" s="276" t="e">
        <f t="shared" si="143"/>
        <v>#DIV/0!</v>
      </c>
      <c r="BJ150" s="276" t="e">
        <f t="shared" si="144"/>
        <v>#DIV/0!</v>
      </c>
      <c r="BK150" s="276" t="e">
        <f t="shared" si="145"/>
        <v>#DIV/0!</v>
      </c>
      <c r="BL150" s="686" t="e">
        <f t="shared" si="146"/>
        <v>#DIV/0!</v>
      </c>
      <c r="BM150" s="239"/>
      <c r="BN150" s="965" t="e">
        <f t="shared" si="147"/>
        <v>#VALUE!</v>
      </c>
      <c r="BO150" s="878" t="e">
        <f t="shared" si="148"/>
        <v>#VALUE!</v>
      </c>
      <c r="BP150" s="878" t="e">
        <f t="shared" si="149"/>
        <v>#VALUE!</v>
      </c>
      <c r="BQ150" s="878" t="e">
        <f t="shared" si="150"/>
        <v>#VALUE!</v>
      </c>
      <c r="BR150" s="878" t="e">
        <f t="shared" si="151"/>
        <v>#VALUE!</v>
      </c>
      <c r="BS150" s="966" t="e">
        <f t="shared" si="152"/>
        <v>#VALUE!</v>
      </c>
    </row>
    <row r="151" spans="1:71">
      <c r="A151" s="284">
        <f t="shared" si="153"/>
        <v>83</v>
      </c>
      <c r="B151" s="285">
        <v>-2.3568762571751054</v>
      </c>
      <c r="C151" s="285">
        <v>2.1055720664256672</v>
      </c>
      <c r="D151" s="285">
        <v>0.72457993419144462</v>
      </c>
      <c r="E151" s="285">
        <v>-14.450504596388845</v>
      </c>
      <c r="H151" s="685">
        <f t="shared" si="99"/>
        <v>-3.49011009894416</v>
      </c>
      <c r="I151" s="276">
        <f t="shared" si="100"/>
        <v>0.85434091222497011</v>
      </c>
      <c r="J151" s="276">
        <f t="shared" si="101"/>
        <v>-0.61179302273747493</v>
      </c>
      <c r="K151" s="276">
        <f t="shared" si="102"/>
        <v>-3.9048550602314389</v>
      </c>
      <c r="L151" s="276">
        <f t="shared" si="103"/>
        <v>-1.7467100758285357</v>
      </c>
      <c r="M151" s="276">
        <f t="shared" si="104"/>
        <v>-4.0933782890968908</v>
      </c>
      <c r="N151" s="685">
        <f t="shared" si="105"/>
        <v>0.89840085545379877</v>
      </c>
      <c r="O151" s="276">
        <f t="shared" si="106"/>
        <v>0.80063916774199373</v>
      </c>
      <c r="P151" s="276">
        <f t="shared" si="107"/>
        <v>1.6906925482586914</v>
      </c>
      <c r="Q151" s="276">
        <f t="shared" si="108"/>
        <v>1.3342872653219284</v>
      </c>
      <c r="R151" s="276">
        <f t="shared" si="109"/>
        <v>1.0100145277568633</v>
      </c>
      <c r="S151" s="686">
        <f t="shared" si="110"/>
        <v>1.6563167449801723</v>
      </c>
      <c r="T151" s="685">
        <f t="shared" si="111"/>
        <v>4.0029436244623708</v>
      </c>
      <c r="U151" s="276">
        <f t="shared" si="112"/>
        <v>4.1795983589352836</v>
      </c>
      <c r="V151" s="276">
        <f t="shared" si="113"/>
        <v>4.0582007397476207</v>
      </c>
      <c r="W151" s="276">
        <f t="shared" si="114"/>
        <v>4.1974808141994151</v>
      </c>
      <c r="X151" s="276">
        <f t="shared" si="115"/>
        <v>4.5198994855332408</v>
      </c>
      <c r="Y151" s="686">
        <f t="shared" si="116"/>
        <v>4.4648137810876918</v>
      </c>
      <c r="Z151" s="685" t="e">
        <f t="shared" si="117"/>
        <v>#DIV/0!</v>
      </c>
      <c r="AA151" s="276" t="e">
        <f t="shared" si="118"/>
        <v>#DIV/0!</v>
      </c>
      <c r="AB151" s="276" t="e">
        <f t="shared" si="119"/>
        <v>#DIV/0!</v>
      </c>
      <c r="AC151" s="276" t="e">
        <f t="shared" si="120"/>
        <v>#DIV/0!</v>
      </c>
      <c r="AD151" s="276" t="e">
        <f t="shared" si="121"/>
        <v>#DIV/0!</v>
      </c>
      <c r="AE151" s="686" t="e">
        <f t="shared" si="122"/>
        <v>#DIV/0!</v>
      </c>
      <c r="AF151" s="239"/>
      <c r="AG151" s="965" t="e">
        <f t="shared" si="93"/>
        <v>#VALUE!</v>
      </c>
      <c r="AH151" s="878" t="e">
        <f t="shared" si="94"/>
        <v>#VALUE!</v>
      </c>
      <c r="AI151" s="878" t="e">
        <f t="shared" si="95"/>
        <v>#VALUE!</v>
      </c>
      <c r="AJ151" s="878" t="e">
        <f t="shared" si="96"/>
        <v>#VALUE!</v>
      </c>
      <c r="AK151" s="878" t="e">
        <f t="shared" si="97"/>
        <v>#VALUE!</v>
      </c>
      <c r="AL151" s="966" t="e">
        <f t="shared" si="98"/>
        <v>#VALUE!</v>
      </c>
      <c r="AM151" s="239"/>
      <c r="AO151" s="685">
        <f t="shared" si="123"/>
        <v>-3.49011009894416</v>
      </c>
      <c r="AP151" s="276">
        <f t="shared" si="124"/>
        <v>0.85434091222497011</v>
      </c>
      <c r="AQ151" s="276">
        <f t="shared" si="125"/>
        <v>-0.61179302273747493</v>
      </c>
      <c r="AR151" s="276">
        <f t="shared" si="126"/>
        <v>-3.9048550602314389</v>
      </c>
      <c r="AS151" s="276">
        <f t="shared" si="127"/>
        <v>-1.7467100758285357</v>
      </c>
      <c r="AT151" s="276">
        <f t="shared" si="128"/>
        <v>-4.0933782890968908</v>
      </c>
      <c r="AU151" s="685">
        <f t="shared" si="129"/>
        <v>0.89840085545379877</v>
      </c>
      <c r="AV151" s="276">
        <f t="shared" si="130"/>
        <v>0.80063916774199373</v>
      </c>
      <c r="AW151" s="276">
        <f t="shared" si="131"/>
        <v>1.6906925482586914</v>
      </c>
      <c r="AX151" s="276">
        <f t="shared" si="132"/>
        <v>1.3342872653219284</v>
      </c>
      <c r="AY151" s="276">
        <f t="shared" si="133"/>
        <v>1.0100145277568633</v>
      </c>
      <c r="AZ151" s="686">
        <f t="shared" si="134"/>
        <v>1.6563167449801723</v>
      </c>
      <c r="BA151" s="685">
        <f t="shared" si="135"/>
        <v>0</v>
      </c>
      <c r="BB151" s="276">
        <f t="shared" si="136"/>
        <v>0</v>
      </c>
      <c r="BC151" s="276">
        <f t="shared" si="137"/>
        <v>0</v>
      </c>
      <c r="BD151" s="276">
        <f t="shared" si="138"/>
        <v>0</v>
      </c>
      <c r="BE151" s="276">
        <f t="shared" si="139"/>
        <v>0</v>
      </c>
      <c r="BF151" s="686">
        <f t="shared" si="140"/>
        <v>0</v>
      </c>
      <c r="BG151" s="685" t="e">
        <f t="shared" si="141"/>
        <v>#DIV/0!</v>
      </c>
      <c r="BH151" s="276" t="e">
        <f t="shared" si="142"/>
        <v>#DIV/0!</v>
      </c>
      <c r="BI151" s="276" t="e">
        <f t="shared" si="143"/>
        <v>#DIV/0!</v>
      </c>
      <c r="BJ151" s="276" t="e">
        <f t="shared" si="144"/>
        <v>#DIV/0!</v>
      </c>
      <c r="BK151" s="276" t="e">
        <f t="shared" si="145"/>
        <v>#DIV/0!</v>
      </c>
      <c r="BL151" s="686" t="e">
        <f t="shared" si="146"/>
        <v>#DIV/0!</v>
      </c>
      <c r="BM151" s="239"/>
      <c r="BN151" s="965" t="e">
        <f t="shared" si="147"/>
        <v>#VALUE!</v>
      </c>
      <c r="BO151" s="878" t="e">
        <f t="shared" si="148"/>
        <v>#VALUE!</v>
      </c>
      <c r="BP151" s="878" t="e">
        <f t="shared" si="149"/>
        <v>#VALUE!</v>
      </c>
      <c r="BQ151" s="878" t="e">
        <f t="shared" si="150"/>
        <v>#VALUE!</v>
      </c>
      <c r="BR151" s="878" t="e">
        <f t="shared" si="151"/>
        <v>#VALUE!</v>
      </c>
      <c r="BS151" s="966" t="e">
        <f t="shared" si="152"/>
        <v>#VALUE!</v>
      </c>
    </row>
    <row r="152" spans="1:71">
      <c r="A152" s="284">
        <f t="shared" si="153"/>
        <v>84</v>
      </c>
      <c r="B152" s="285">
        <v>0.55497810252207769</v>
      </c>
      <c r="C152" s="285">
        <v>2.221614767759275</v>
      </c>
      <c r="D152" s="285">
        <v>0.44219806649942295</v>
      </c>
      <c r="E152" s="285">
        <v>-4.0235864350208441</v>
      </c>
      <c r="H152" s="685">
        <f t="shared" si="99"/>
        <v>-0.57825573924697715</v>
      </c>
      <c r="I152" s="276">
        <f t="shared" si="100"/>
        <v>2.4702123554073561</v>
      </c>
      <c r="J152" s="276">
        <f t="shared" si="101"/>
        <v>-6.2018560998555126</v>
      </c>
      <c r="K152" s="276">
        <f t="shared" si="102"/>
        <v>1.4484834430350577</v>
      </c>
      <c r="L152" s="276">
        <f t="shared" si="103"/>
        <v>-1.6668680337964581</v>
      </c>
      <c r="M152" s="276">
        <f t="shared" si="104"/>
        <v>-0.49828522178326384</v>
      </c>
      <c r="N152" s="685">
        <f t="shared" si="105"/>
        <v>1.0144435567874066</v>
      </c>
      <c r="O152" s="276">
        <f t="shared" si="106"/>
        <v>1.8393539197767657</v>
      </c>
      <c r="P152" s="276">
        <f t="shared" si="107"/>
        <v>1.6459580210487441</v>
      </c>
      <c r="Q152" s="276">
        <f t="shared" si="108"/>
        <v>1.3270218821343318</v>
      </c>
      <c r="R152" s="276">
        <f t="shared" si="109"/>
        <v>1.6322141681349007</v>
      </c>
      <c r="S152" s="686">
        <f t="shared" si="110"/>
        <v>1.3815050803467981</v>
      </c>
      <c r="T152" s="685">
        <f t="shared" si="111"/>
        <v>3.7205617567703486</v>
      </c>
      <c r="U152" s="276">
        <f t="shared" si="112"/>
        <v>5.0118614347762858</v>
      </c>
      <c r="V152" s="276">
        <f t="shared" si="113"/>
        <v>0.98741680060550552</v>
      </c>
      <c r="W152" s="276">
        <f t="shared" si="114"/>
        <v>5.6557729441424467</v>
      </c>
      <c r="X152" s="276">
        <f t="shared" si="115"/>
        <v>2.820490446623916</v>
      </c>
      <c r="Y152" s="686">
        <f t="shared" si="116"/>
        <v>3.2319323921428436</v>
      </c>
      <c r="Z152" s="685" t="e">
        <f t="shared" si="117"/>
        <v>#DIV/0!</v>
      </c>
      <c r="AA152" s="276" t="e">
        <f t="shared" si="118"/>
        <v>#DIV/0!</v>
      </c>
      <c r="AB152" s="276" t="e">
        <f t="shared" si="119"/>
        <v>#DIV/0!</v>
      </c>
      <c r="AC152" s="276" t="e">
        <f t="shared" si="120"/>
        <v>#DIV/0!</v>
      </c>
      <c r="AD152" s="276" t="e">
        <f t="shared" si="121"/>
        <v>#DIV/0!</v>
      </c>
      <c r="AE152" s="686" t="e">
        <f t="shared" si="122"/>
        <v>#DIV/0!</v>
      </c>
      <c r="AF152" s="239"/>
      <c r="AG152" s="965" t="e">
        <f t="shared" si="93"/>
        <v>#VALUE!</v>
      </c>
      <c r="AH152" s="878" t="e">
        <f t="shared" si="94"/>
        <v>#VALUE!</v>
      </c>
      <c r="AI152" s="878" t="e">
        <f t="shared" si="95"/>
        <v>#VALUE!</v>
      </c>
      <c r="AJ152" s="878" t="e">
        <f t="shared" si="96"/>
        <v>#VALUE!</v>
      </c>
      <c r="AK152" s="878" t="e">
        <f t="shared" si="97"/>
        <v>#VALUE!</v>
      </c>
      <c r="AL152" s="966" t="e">
        <f t="shared" si="98"/>
        <v>#VALUE!</v>
      </c>
      <c r="AM152" s="239"/>
      <c r="AO152" s="685">
        <f t="shared" si="123"/>
        <v>-0.57825573924697715</v>
      </c>
      <c r="AP152" s="276">
        <f t="shared" si="124"/>
        <v>2.4702123554073561</v>
      </c>
      <c r="AQ152" s="276">
        <f t="shared" si="125"/>
        <v>-6.2018560998555126</v>
      </c>
      <c r="AR152" s="276">
        <f t="shared" si="126"/>
        <v>1.4484834430350577</v>
      </c>
      <c r="AS152" s="276">
        <f t="shared" si="127"/>
        <v>-1.6668680337964581</v>
      </c>
      <c r="AT152" s="276">
        <f t="shared" si="128"/>
        <v>-0.49828522178326384</v>
      </c>
      <c r="AU152" s="685">
        <f t="shared" si="129"/>
        <v>1.0144435567874066</v>
      </c>
      <c r="AV152" s="276">
        <f t="shared" si="130"/>
        <v>1.8393539197767657</v>
      </c>
      <c r="AW152" s="276">
        <f t="shared" si="131"/>
        <v>1.6459580210487441</v>
      </c>
      <c r="AX152" s="276">
        <f t="shared" si="132"/>
        <v>1.3270218821343318</v>
      </c>
      <c r="AY152" s="276">
        <f t="shared" si="133"/>
        <v>1.6322141681349007</v>
      </c>
      <c r="AZ152" s="686">
        <f t="shared" si="134"/>
        <v>1.3815050803467981</v>
      </c>
      <c r="BA152" s="685">
        <f t="shared" si="135"/>
        <v>0</v>
      </c>
      <c r="BB152" s="276">
        <f t="shared" si="136"/>
        <v>0</v>
      </c>
      <c r="BC152" s="276">
        <f t="shared" si="137"/>
        <v>0</v>
      </c>
      <c r="BD152" s="276">
        <f t="shared" si="138"/>
        <v>0</v>
      </c>
      <c r="BE152" s="276">
        <f t="shared" si="139"/>
        <v>0</v>
      </c>
      <c r="BF152" s="686">
        <f t="shared" si="140"/>
        <v>0</v>
      </c>
      <c r="BG152" s="685" t="e">
        <f t="shared" si="141"/>
        <v>#DIV/0!</v>
      </c>
      <c r="BH152" s="276" t="e">
        <f t="shared" si="142"/>
        <v>#DIV/0!</v>
      </c>
      <c r="BI152" s="276" t="e">
        <f t="shared" si="143"/>
        <v>#DIV/0!</v>
      </c>
      <c r="BJ152" s="276" t="e">
        <f t="shared" si="144"/>
        <v>#DIV/0!</v>
      </c>
      <c r="BK152" s="276" t="e">
        <f t="shared" si="145"/>
        <v>#DIV/0!</v>
      </c>
      <c r="BL152" s="686" t="e">
        <f t="shared" si="146"/>
        <v>#DIV/0!</v>
      </c>
      <c r="BM152" s="239"/>
      <c r="BN152" s="965" t="e">
        <f t="shared" si="147"/>
        <v>#VALUE!</v>
      </c>
      <c r="BO152" s="878" t="e">
        <f t="shared" si="148"/>
        <v>#VALUE!</v>
      </c>
      <c r="BP152" s="878" t="e">
        <f t="shared" si="149"/>
        <v>#VALUE!</v>
      </c>
      <c r="BQ152" s="878" t="e">
        <f t="shared" si="150"/>
        <v>#VALUE!</v>
      </c>
      <c r="BR152" s="878" t="e">
        <f t="shared" si="151"/>
        <v>#VALUE!</v>
      </c>
      <c r="BS152" s="966" t="e">
        <f t="shared" si="152"/>
        <v>#VALUE!</v>
      </c>
    </row>
    <row r="153" spans="1:71">
      <c r="A153" s="284">
        <f t="shared" si="153"/>
        <v>85</v>
      </c>
      <c r="B153" s="285">
        <v>4.5677201207130147E-2</v>
      </c>
      <c r="C153" s="285">
        <v>1.9488439501445802</v>
      </c>
      <c r="D153" s="285">
        <v>1.9422443948959247</v>
      </c>
      <c r="E153" s="285">
        <v>-13.525850332079271</v>
      </c>
      <c r="H153" s="685">
        <f t="shared" si="99"/>
        <v>-1.0875566405619246</v>
      </c>
      <c r="I153" s="276">
        <f t="shared" si="100"/>
        <v>-1.006320106468195</v>
      </c>
      <c r="J153" s="276">
        <f t="shared" si="101"/>
        <v>-1.2961554831623783</v>
      </c>
      <c r="K153" s="276">
        <f t="shared" si="102"/>
        <v>-2.4654668352572733</v>
      </c>
      <c r="L153" s="276">
        <f t="shared" si="103"/>
        <v>-0.26126535942499751</v>
      </c>
      <c r="M153" s="276">
        <f t="shared" si="104"/>
        <v>-2.4145241336236154</v>
      </c>
      <c r="N153" s="685">
        <f t="shared" si="105"/>
        <v>0.74167273917271181</v>
      </c>
      <c r="O153" s="276">
        <f t="shared" si="106"/>
        <v>1.4559052942760322</v>
      </c>
      <c r="P153" s="276">
        <f t="shared" si="107"/>
        <v>2.1619315092161919</v>
      </c>
      <c r="Q153" s="276">
        <f t="shared" si="108"/>
        <v>1.2573147028573615</v>
      </c>
      <c r="R153" s="276">
        <f t="shared" si="109"/>
        <v>2.1141457635529486</v>
      </c>
      <c r="S153" s="686">
        <f t="shared" si="110"/>
        <v>1.8203918936616013</v>
      </c>
      <c r="T153" s="685">
        <f t="shared" si="111"/>
        <v>5.2206080851668508</v>
      </c>
      <c r="U153" s="276">
        <f t="shared" si="112"/>
        <v>3.5957828484313317</v>
      </c>
      <c r="V153" s="276">
        <f t="shared" si="113"/>
        <v>2.0072397754271361</v>
      </c>
      <c r="W153" s="276">
        <f t="shared" si="114"/>
        <v>4.9192556700948495</v>
      </c>
      <c r="X153" s="276">
        <f t="shared" si="115"/>
        <v>4.417856824786691</v>
      </c>
      <c r="Y153" s="686">
        <f t="shared" si="116"/>
        <v>3.6056703250345432</v>
      </c>
      <c r="Z153" s="685" t="e">
        <f t="shared" si="117"/>
        <v>#DIV/0!</v>
      </c>
      <c r="AA153" s="276" t="e">
        <f t="shared" si="118"/>
        <v>#DIV/0!</v>
      </c>
      <c r="AB153" s="276" t="e">
        <f t="shared" si="119"/>
        <v>#DIV/0!</v>
      </c>
      <c r="AC153" s="276" t="e">
        <f t="shared" si="120"/>
        <v>#DIV/0!</v>
      </c>
      <c r="AD153" s="276" t="e">
        <f t="shared" si="121"/>
        <v>#DIV/0!</v>
      </c>
      <c r="AE153" s="686" t="e">
        <f t="shared" si="122"/>
        <v>#DIV/0!</v>
      </c>
      <c r="AF153" s="239"/>
      <c r="AG153" s="965" t="e">
        <f t="shared" si="93"/>
        <v>#VALUE!</v>
      </c>
      <c r="AH153" s="878" t="e">
        <f t="shared" si="94"/>
        <v>#VALUE!</v>
      </c>
      <c r="AI153" s="878" t="e">
        <f t="shared" si="95"/>
        <v>#VALUE!</v>
      </c>
      <c r="AJ153" s="878" t="e">
        <f t="shared" si="96"/>
        <v>#VALUE!</v>
      </c>
      <c r="AK153" s="878" t="e">
        <f t="shared" si="97"/>
        <v>#VALUE!</v>
      </c>
      <c r="AL153" s="966" t="e">
        <f t="shared" si="98"/>
        <v>#VALUE!</v>
      </c>
      <c r="AM153" s="239"/>
      <c r="AO153" s="685">
        <f t="shared" si="123"/>
        <v>-1.0875566405619246</v>
      </c>
      <c r="AP153" s="276">
        <f t="shared" si="124"/>
        <v>-1.006320106468195</v>
      </c>
      <c r="AQ153" s="276">
        <f t="shared" si="125"/>
        <v>-1.2961554831623783</v>
      </c>
      <c r="AR153" s="276">
        <f t="shared" si="126"/>
        <v>-2.4654668352572733</v>
      </c>
      <c r="AS153" s="276">
        <f t="shared" si="127"/>
        <v>-0.26126535942499751</v>
      </c>
      <c r="AT153" s="276">
        <f t="shared" si="128"/>
        <v>-2.4145241336236154</v>
      </c>
      <c r="AU153" s="685">
        <f t="shared" si="129"/>
        <v>0.74167273917271181</v>
      </c>
      <c r="AV153" s="276">
        <f t="shared" si="130"/>
        <v>1.4559052942760322</v>
      </c>
      <c r="AW153" s="276">
        <f t="shared" si="131"/>
        <v>2.1619315092161919</v>
      </c>
      <c r="AX153" s="276">
        <f t="shared" si="132"/>
        <v>1.2573147028573615</v>
      </c>
      <c r="AY153" s="276">
        <f t="shared" si="133"/>
        <v>2.1141457635529486</v>
      </c>
      <c r="AZ153" s="686">
        <f t="shared" si="134"/>
        <v>1.8203918936616013</v>
      </c>
      <c r="BA153" s="685">
        <f t="shared" si="135"/>
        <v>0</v>
      </c>
      <c r="BB153" s="276">
        <f t="shared" si="136"/>
        <v>0</v>
      </c>
      <c r="BC153" s="276">
        <f t="shared" si="137"/>
        <v>0</v>
      </c>
      <c r="BD153" s="276">
        <f t="shared" si="138"/>
        <v>0</v>
      </c>
      <c r="BE153" s="276">
        <f t="shared" si="139"/>
        <v>0</v>
      </c>
      <c r="BF153" s="686">
        <f t="shared" si="140"/>
        <v>0</v>
      </c>
      <c r="BG153" s="685" t="e">
        <f t="shared" si="141"/>
        <v>#DIV/0!</v>
      </c>
      <c r="BH153" s="276" t="e">
        <f t="shared" si="142"/>
        <v>#DIV/0!</v>
      </c>
      <c r="BI153" s="276" t="e">
        <f t="shared" si="143"/>
        <v>#DIV/0!</v>
      </c>
      <c r="BJ153" s="276" t="e">
        <f t="shared" si="144"/>
        <v>#DIV/0!</v>
      </c>
      <c r="BK153" s="276" t="e">
        <f t="shared" si="145"/>
        <v>#DIV/0!</v>
      </c>
      <c r="BL153" s="686" t="e">
        <f t="shared" si="146"/>
        <v>#DIV/0!</v>
      </c>
      <c r="BM153" s="239"/>
      <c r="BN153" s="965" t="e">
        <f t="shared" si="147"/>
        <v>#VALUE!</v>
      </c>
      <c r="BO153" s="878" t="e">
        <f t="shared" si="148"/>
        <v>#VALUE!</v>
      </c>
      <c r="BP153" s="878" t="e">
        <f t="shared" si="149"/>
        <v>#VALUE!</v>
      </c>
      <c r="BQ153" s="878" t="e">
        <f t="shared" si="150"/>
        <v>#VALUE!</v>
      </c>
      <c r="BR153" s="878" t="e">
        <f t="shared" si="151"/>
        <v>#VALUE!</v>
      </c>
      <c r="BS153" s="966" t="e">
        <f t="shared" si="152"/>
        <v>#VALUE!</v>
      </c>
    </row>
    <row r="154" spans="1:71">
      <c r="A154" s="284">
        <f t="shared" si="153"/>
        <v>86</v>
      </c>
      <c r="B154" s="285">
        <v>-1.8887502484833461</v>
      </c>
      <c r="C154" s="285">
        <v>2.8303985170896033</v>
      </c>
      <c r="D154" s="285">
        <v>5.4270679250372655E-2</v>
      </c>
      <c r="E154" s="285">
        <v>-2.7172073229270324</v>
      </c>
      <c r="H154" s="685">
        <f t="shared" si="99"/>
        <v>-3.0219840902524009</v>
      </c>
      <c r="I154" s="276">
        <f t="shared" si="100"/>
        <v>-0.81086083939763542</v>
      </c>
      <c r="J154" s="276">
        <f t="shared" si="101"/>
        <v>-2.056776323320245</v>
      </c>
      <c r="K154" s="276">
        <f t="shared" si="102"/>
        <v>-3.339075015554549E-2</v>
      </c>
      <c r="L154" s="276">
        <f t="shared" si="103"/>
        <v>-0.73324457688552114</v>
      </c>
      <c r="M154" s="276">
        <f t="shared" si="104"/>
        <v>-3.3942880498857351</v>
      </c>
      <c r="N154" s="685">
        <f t="shared" si="105"/>
        <v>1.6232273061177349</v>
      </c>
      <c r="O154" s="276">
        <f t="shared" si="106"/>
        <v>1.0137398370836117</v>
      </c>
      <c r="P154" s="276">
        <f t="shared" si="107"/>
        <v>1.5580545783403588</v>
      </c>
      <c r="Q154" s="276">
        <f t="shared" si="108"/>
        <v>0.80779712472158383</v>
      </c>
      <c r="R154" s="276">
        <f t="shared" si="109"/>
        <v>1.9263633074243824</v>
      </c>
      <c r="S154" s="686">
        <f t="shared" si="110"/>
        <v>7.1649361756572105E-2</v>
      </c>
      <c r="T154" s="685">
        <f t="shared" si="111"/>
        <v>3.3326343695212985</v>
      </c>
      <c r="U154" s="276">
        <f t="shared" si="112"/>
        <v>3.721766960220684</v>
      </c>
      <c r="V154" s="276">
        <f t="shared" si="113"/>
        <v>4.2766294083961798</v>
      </c>
      <c r="W154" s="276">
        <f t="shared" si="114"/>
        <v>4.1598158398102125</v>
      </c>
      <c r="X154" s="276">
        <f t="shared" si="115"/>
        <v>4.7597690664567542</v>
      </c>
      <c r="Y154" s="686">
        <f t="shared" si="116"/>
        <v>3.5512350498390255</v>
      </c>
      <c r="Z154" s="685" t="e">
        <f t="shared" si="117"/>
        <v>#DIV/0!</v>
      </c>
      <c r="AA154" s="276" t="e">
        <f t="shared" si="118"/>
        <v>#DIV/0!</v>
      </c>
      <c r="AB154" s="276" t="e">
        <f t="shared" si="119"/>
        <v>#DIV/0!</v>
      </c>
      <c r="AC154" s="276" t="e">
        <f t="shared" si="120"/>
        <v>#DIV/0!</v>
      </c>
      <c r="AD154" s="276" t="e">
        <f t="shared" si="121"/>
        <v>#DIV/0!</v>
      </c>
      <c r="AE154" s="686" t="e">
        <f t="shared" si="122"/>
        <v>#DIV/0!</v>
      </c>
      <c r="AF154" s="239"/>
      <c r="AG154" s="965" t="e">
        <f t="shared" si="93"/>
        <v>#VALUE!</v>
      </c>
      <c r="AH154" s="878" t="e">
        <f t="shared" si="94"/>
        <v>#VALUE!</v>
      </c>
      <c r="AI154" s="878" t="e">
        <f t="shared" si="95"/>
        <v>#VALUE!</v>
      </c>
      <c r="AJ154" s="878" t="e">
        <f t="shared" si="96"/>
        <v>#VALUE!</v>
      </c>
      <c r="AK154" s="878" t="e">
        <f t="shared" si="97"/>
        <v>#VALUE!</v>
      </c>
      <c r="AL154" s="966" t="e">
        <f t="shared" si="98"/>
        <v>#VALUE!</v>
      </c>
      <c r="AM154" s="239"/>
      <c r="AO154" s="685">
        <f t="shared" si="123"/>
        <v>-3.0219840902524009</v>
      </c>
      <c r="AP154" s="276">
        <f t="shared" si="124"/>
        <v>-0.81086083939763542</v>
      </c>
      <c r="AQ154" s="276">
        <f t="shared" si="125"/>
        <v>-2.056776323320245</v>
      </c>
      <c r="AR154" s="276">
        <f t="shared" si="126"/>
        <v>-3.339075015554549E-2</v>
      </c>
      <c r="AS154" s="276">
        <f t="shared" si="127"/>
        <v>-0.73324457688552114</v>
      </c>
      <c r="AT154" s="276">
        <f t="shared" si="128"/>
        <v>-3.3942880498857351</v>
      </c>
      <c r="AU154" s="685">
        <f t="shared" si="129"/>
        <v>1.6232273061177349</v>
      </c>
      <c r="AV154" s="276">
        <f t="shared" si="130"/>
        <v>1.0137398370836117</v>
      </c>
      <c r="AW154" s="276">
        <f t="shared" si="131"/>
        <v>1.5580545783403588</v>
      </c>
      <c r="AX154" s="276">
        <f t="shared" si="132"/>
        <v>0.80779712472158383</v>
      </c>
      <c r="AY154" s="276">
        <f t="shared" si="133"/>
        <v>1.9263633074243824</v>
      </c>
      <c r="AZ154" s="686">
        <f t="shared" si="134"/>
        <v>7.1649361756572105E-2</v>
      </c>
      <c r="BA154" s="685">
        <f t="shared" si="135"/>
        <v>0</v>
      </c>
      <c r="BB154" s="276">
        <f t="shared" si="136"/>
        <v>0</v>
      </c>
      <c r="BC154" s="276">
        <f t="shared" si="137"/>
        <v>0</v>
      </c>
      <c r="BD154" s="276">
        <f t="shared" si="138"/>
        <v>0</v>
      </c>
      <c r="BE154" s="276">
        <f t="shared" si="139"/>
        <v>0</v>
      </c>
      <c r="BF154" s="686">
        <f t="shared" si="140"/>
        <v>0</v>
      </c>
      <c r="BG154" s="685" t="e">
        <f t="shared" si="141"/>
        <v>#DIV/0!</v>
      </c>
      <c r="BH154" s="276" t="e">
        <f t="shared" si="142"/>
        <v>#DIV/0!</v>
      </c>
      <c r="BI154" s="276" t="e">
        <f t="shared" si="143"/>
        <v>#DIV/0!</v>
      </c>
      <c r="BJ154" s="276" t="e">
        <f t="shared" si="144"/>
        <v>#DIV/0!</v>
      </c>
      <c r="BK154" s="276" t="e">
        <f t="shared" si="145"/>
        <v>#DIV/0!</v>
      </c>
      <c r="BL154" s="686" t="e">
        <f t="shared" si="146"/>
        <v>#DIV/0!</v>
      </c>
      <c r="BM154" s="239"/>
      <c r="BN154" s="965" t="e">
        <f t="shared" si="147"/>
        <v>#VALUE!</v>
      </c>
      <c r="BO154" s="878" t="e">
        <f t="shared" si="148"/>
        <v>#VALUE!</v>
      </c>
      <c r="BP154" s="878" t="e">
        <f t="shared" si="149"/>
        <v>#VALUE!</v>
      </c>
      <c r="BQ154" s="878" t="e">
        <f t="shared" si="150"/>
        <v>#VALUE!</v>
      </c>
      <c r="BR154" s="878" t="e">
        <f t="shared" si="151"/>
        <v>#VALUE!</v>
      </c>
      <c r="BS154" s="966" t="e">
        <f t="shared" si="152"/>
        <v>#VALUE!</v>
      </c>
    </row>
    <row r="155" spans="1:71">
      <c r="A155" s="284">
        <f t="shared" si="153"/>
        <v>87</v>
      </c>
      <c r="B155" s="285">
        <v>1.2973560679616207</v>
      </c>
      <c r="C155" s="285">
        <v>3.3273290632228649</v>
      </c>
      <c r="D155" s="285">
        <v>0.13021185959268755</v>
      </c>
      <c r="E155" s="285">
        <v>6.8479824272866647</v>
      </c>
      <c r="H155" s="685">
        <f t="shared" si="99"/>
        <v>0.16412222619256589</v>
      </c>
      <c r="I155" s="276">
        <f t="shared" si="100"/>
        <v>-4.7825904783270516</v>
      </c>
      <c r="J155" s="276">
        <f t="shared" si="101"/>
        <v>-2.8145458627535271</v>
      </c>
      <c r="K155" s="276">
        <f t="shared" si="102"/>
        <v>-0.62350891332786318</v>
      </c>
      <c r="L155" s="276">
        <f t="shared" si="103"/>
        <v>2.4961801327993971</v>
      </c>
      <c r="M155" s="276">
        <f t="shared" si="104"/>
        <v>-1.4679158571634552</v>
      </c>
      <c r="N155" s="685">
        <f t="shared" si="105"/>
        <v>2.1201578522509967</v>
      </c>
      <c r="O155" s="276">
        <f t="shared" si="106"/>
        <v>1.3895025655357747</v>
      </c>
      <c r="P155" s="276">
        <f t="shared" si="107"/>
        <v>1.3804260677545004</v>
      </c>
      <c r="Q155" s="276">
        <f t="shared" si="108"/>
        <v>1.7677538586918844</v>
      </c>
      <c r="R155" s="276">
        <f t="shared" si="109"/>
        <v>1.2420457757623609</v>
      </c>
      <c r="S155" s="686">
        <f t="shared" si="110"/>
        <v>1.6956332447385736</v>
      </c>
      <c r="T155" s="685">
        <f t="shared" si="111"/>
        <v>3.4085755498636132</v>
      </c>
      <c r="U155" s="276">
        <f t="shared" si="112"/>
        <v>4.1973288708715044</v>
      </c>
      <c r="V155" s="276">
        <f t="shared" si="113"/>
        <v>2.9780576505853009</v>
      </c>
      <c r="W155" s="276">
        <f t="shared" si="114"/>
        <v>5.0841186065528259</v>
      </c>
      <c r="X155" s="276">
        <f t="shared" si="115"/>
        <v>4.3102838378758506</v>
      </c>
      <c r="Y155" s="686">
        <f t="shared" si="116"/>
        <v>3.6632521688895823</v>
      </c>
      <c r="Z155" s="685" t="e">
        <f t="shared" si="117"/>
        <v>#DIV/0!</v>
      </c>
      <c r="AA155" s="276" t="e">
        <f t="shared" si="118"/>
        <v>#DIV/0!</v>
      </c>
      <c r="AB155" s="276" t="e">
        <f t="shared" si="119"/>
        <v>#DIV/0!</v>
      </c>
      <c r="AC155" s="276" t="e">
        <f t="shared" si="120"/>
        <v>#DIV/0!</v>
      </c>
      <c r="AD155" s="276" t="e">
        <f t="shared" si="121"/>
        <v>#DIV/0!</v>
      </c>
      <c r="AE155" s="686" t="e">
        <f t="shared" si="122"/>
        <v>#DIV/0!</v>
      </c>
      <c r="AF155" s="239"/>
      <c r="AG155" s="965" t="e">
        <f t="shared" si="93"/>
        <v>#VALUE!</v>
      </c>
      <c r="AH155" s="878" t="e">
        <f t="shared" si="94"/>
        <v>#VALUE!</v>
      </c>
      <c r="AI155" s="878" t="e">
        <f t="shared" si="95"/>
        <v>#VALUE!</v>
      </c>
      <c r="AJ155" s="878" t="e">
        <f t="shared" si="96"/>
        <v>#VALUE!</v>
      </c>
      <c r="AK155" s="878" t="e">
        <f t="shared" si="97"/>
        <v>#VALUE!</v>
      </c>
      <c r="AL155" s="966" t="e">
        <f t="shared" si="98"/>
        <v>#VALUE!</v>
      </c>
      <c r="AM155" s="239"/>
      <c r="AO155" s="685">
        <f t="shared" si="123"/>
        <v>0.16412222619256589</v>
      </c>
      <c r="AP155" s="276">
        <f t="shared" si="124"/>
        <v>-4.7825904783270516</v>
      </c>
      <c r="AQ155" s="276">
        <f t="shared" si="125"/>
        <v>-2.8145458627535271</v>
      </c>
      <c r="AR155" s="276">
        <f t="shared" si="126"/>
        <v>-0.62350891332786318</v>
      </c>
      <c r="AS155" s="276">
        <f t="shared" si="127"/>
        <v>2.4961801327993971</v>
      </c>
      <c r="AT155" s="276">
        <f t="shared" si="128"/>
        <v>-1.4679158571634552</v>
      </c>
      <c r="AU155" s="685">
        <f t="shared" si="129"/>
        <v>2.1201578522509967</v>
      </c>
      <c r="AV155" s="276">
        <f t="shared" si="130"/>
        <v>1.3895025655357747</v>
      </c>
      <c r="AW155" s="276">
        <f t="shared" si="131"/>
        <v>1.3804260677545004</v>
      </c>
      <c r="AX155" s="276">
        <f t="shared" si="132"/>
        <v>1.7677538586918844</v>
      </c>
      <c r="AY155" s="276">
        <f t="shared" si="133"/>
        <v>1.2420457757623609</v>
      </c>
      <c r="AZ155" s="686">
        <f t="shared" si="134"/>
        <v>1.6956332447385736</v>
      </c>
      <c r="BA155" s="685">
        <f t="shared" si="135"/>
        <v>0</v>
      </c>
      <c r="BB155" s="276">
        <f t="shared" si="136"/>
        <v>0</v>
      </c>
      <c r="BC155" s="276">
        <f t="shared" si="137"/>
        <v>0</v>
      </c>
      <c r="BD155" s="276">
        <f t="shared" si="138"/>
        <v>0</v>
      </c>
      <c r="BE155" s="276">
        <f t="shared" si="139"/>
        <v>0</v>
      </c>
      <c r="BF155" s="686">
        <f t="shared" si="140"/>
        <v>0</v>
      </c>
      <c r="BG155" s="685" t="e">
        <f t="shared" si="141"/>
        <v>#DIV/0!</v>
      </c>
      <c r="BH155" s="276" t="e">
        <f t="shared" si="142"/>
        <v>#DIV/0!</v>
      </c>
      <c r="BI155" s="276" t="e">
        <f t="shared" si="143"/>
        <v>#DIV/0!</v>
      </c>
      <c r="BJ155" s="276" t="e">
        <f t="shared" si="144"/>
        <v>#DIV/0!</v>
      </c>
      <c r="BK155" s="276" t="e">
        <f t="shared" si="145"/>
        <v>#DIV/0!</v>
      </c>
      <c r="BL155" s="686" t="e">
        <f t="shared" si="146"/>
        <v>#DIV/0!</v>
      </c>
      <c r="BM155" s="239"/>
      <c r="BN155" s="965" t="e">
        <f t="shared" si="147"/>
        <v>#VALUE!</v>
      </c>
      <c r="BO155" s="878" t="e">
        <f t="shared" si="148"/>
        <v>#VALUE!</v>
      </c>
      <c r="BP155" s="878" t="e">
        <f t="shared" si="149"/>
        <v>#VALUE!</v>
      </c>
      <c r="BQ155" s="878" t="e">
        <f t="shared" si="150"/>
        <v>#VALUE!</v>
      </c>
      <c r="BR155" s="878" t="e">
        <f t="shared" si="151"/>
        <v>#VALUE!</v>
      </c>
      <c r="BS155" s="966" t="e">
        <f t="shared" si="152"/>
        <v>#VALUE!</v>
      </c>
    </row>
    <row r="156" spans="1:71">
      <c r="A156" s="284">
        <f t="shared" si="153"/>
        <v>88</v>
      </c>
      <c r="B156" s="285">
        <v>1.4512295100338803</v>
      </c>
      <c r="C156" s="285">
        <v>2.9256029358600841</v>
      </c>
      <c r="D156" s="285">
        <v>-1.0169409011997415</v>
      </c>
      <c r="E156" s="285">
        <v>0.13778579988852879</v>
      </c>
      <c r="H156" s="685">
        <f t="shared" si="99"/>
        <v>0.3179956682648255</v>
      </c>
      <c r="I156" s="276">
        <f t="shared" si="100"/>
        <v>1.1127035596395236</v>
      </c>
      <c r="J156" s="276">
        <f t="shared" si="101"/>
        <v>1.0168365082087993</v>
      </c>
      <c r="K156" s="276">
        <f t="shared" si="102"/>
        <v>-1.3556502376661193</v>
      </c>
      <c r="L156" s="276">
        <f t="shared" si="103"/>
        <v>-1.7602044981115128</v>
      </c>
      <c r="M156" s="276">
        <f t="shared" si="104"/>
        <v>-1.1129808433101074E-2</v>
      </c>
      <c r="N156" s="685">
        <f t="shared" si="105"/>
        <v>1.7184317248882157</v>
      </c>
      <c r="O156" s="276">
        <f t="shared" si="106"/>
        <v>1.115240920578225</v>
      </c>
      <c r="P156" s="276">
        <f t="shared" si="107"/>
        <v>1.6085669708562029</v>
      </c>
      <c r="Q156" s="276">
        <f t="shared" si="108"/>
        <v>0.68128414986157471</v>
      </c>
      <c r="R156" s="276">
        <f t="shared" si="109"/>
        <v>1.0843727176785187</v>
      </c>
      <c r="S156" s="686">
        <f t="shared" si="110"/>
        <v>2.137723418495562</v>
      </c>
      <c r="T156" s="685">
        <f t="shared" si="111"/>
        <v>2.2614227890711844</v>
      </c>
      <c r="U156" s="276">
        <f t="shared" si="112"/>
        <v>5.7563227129125956</v>
      </c>
      <c r="V156" s="276">
        <f t="shared" si="113"/>
        <v>4.3421125495667807</v>
      </c>
      <c r="W156" s="276">
        <f t="shared" si="114"/>
        <v>2.6248322423568782</v>
      </c>
      <c r="X156" s="276">
        <f t="shared" si="115"/>
        <v>2.9716897656135171</v>
      </c>
      <c r="Y156" s="686">
        <f t="shared" si="116"/>
        <v>2.7459024949483362</v>
      </c>
      <c r="Z156" s="685" t="e">
        <f t="shared" si="117"/>
        <v>#DIV/0!</v>
      </c>
      <c r="AA156" s="276" t="e">
        <f t="shared" si="118"/>
        <v>#DIV/0!</v>
      </c>
      <c r="AB156" s="276" t="e">
        <f t="shared" si="119"/>
        <v>#DIV/0!</v>
      </c>
      <c r="AC156" s="276" t="e">
        <f t="shared" si="120"/>
        <v>#DIV/0!</v>
      </c>
      <c r="AD156" s="276" t="e">
        <f t="shared" si="121"/>
        <v>#DIV/0!</v>
      </c>
      <c r="AE156" s="686" t="e">
        <f t="shared" si="122"/>
        <v>#DIV/0!</v>
      </c>
      <c r="AF156" s="239"/>
      <c r="AG156" s="965" t="e">
        <f t="shared" si="93"/>
        <v>#VALUE!</v>
      </c>
      <c r="AH156" s="878" t="e">
        <f t="shared" si="94"/>
        <v>#VALUE!</v>
      </c>
      <c r="AI156" s="878" t="e">
        <f t="shared" si="95"/>
        <v>#VALUE!</v>
      </c>
      <c r="AJ156" s="878" t="e">
        <f t="shared" si="96"/>
        <v>#VALUE!</v>
      </c>
      <c r="AK156" s="878" t="e">
        <f t="shared" si="97"/>
        <v>#VALUE!</v>
      </c>
      <c r="AL156" s="966" t="e">
        <f t="shared" si="98"/>
        <v>#VALUE!</v>
      </c>
      <c r="AM156" s="239"/>
      <c r="AO156" s="685">
        <f t="shared" si="123"/>
        <v>0.3179956682648255</v>
      </c>
      <c r="AP156" s="276">
        <f t="shared" si="124"/>
        <v>1.1127035596395236</v>
      </c>
      <c r="AQ156" s="276">
        <f t="shared" si="125"/>
        <v>1.0168365082087993</v>
      </c>
      <c r="AR156" s="276">
        <f t="shared" si="126"/>
        <v>-1.3556502376661193</v>
      </c>
      <c r="AS156" s="276">
        <f t="shared" si="127"/>
        <v>-1.7602044981115128</v>
      </c>
      <c r="AT156" s="276">
        <f t="shared" si="128"/>
        <v>-1.1129808433101074E-2</v>
      </c>
      <c r="AU156" s="685">
        <f t="shared" si="129"/>
        <v>1.7184317248882157</v>
      </c>
      <c r="AV156" s="276">
        <f t="shared" si="130"/>
        <v>1.115240920578225</v>
      </c>
      <c r="AW156" s="276">
        <f t="shared" si="131"/>
        <v>1.6085669708562029</v>
      </c>
      <c r="AX156" s="276">
        <f t="shared" si="132"/>
        <v>0.68128414986157471</v>
      </c>
      <c r="AY156" s="276">
        <f t="shared" si="133"/>
        <v>1.0843727176785187</v>
      </c>
      <c r="AZ156" s="686">
        <f t="shared" si="134"/>
        <v>2.137723418495562</v>
      </c>
      <c r="BA156" s="685">
        <f t="shared" si="135"/>
        <v>0</v>
      </c>
      <c r="BB156" s="276">
        <f t="shared" si="136"/>
        <v>0</v>
      </c>
      <c r="BC156" s="276">
        <f t="shared" si="137"/>
        <v>0</v>
      </c>
      <c r="BD156" s="276">
        <f t="shared" si="138"/>
        <v>0</v>
      </c>
      <c r="BE156" s="276">
        <f t="shared" si="139"/>
        <v>0</v>
      </c>
      <c r="BF156" s="686">
        <f t="shared" si="140"/>
        <v>0</v>
      </c>
      <c r="BG156" s="685" t="e">
        <f t="shared" si="141"/>
        <v>#DIV/0!</v>
      </c>
      <c r="BH156" s="276" t="e">
        <f t="shared" si="142"/>
        <v>#DIV/0!</v>
      </c>
      <c r="BI156" s="276" t="e">
        <f t="shared" si="143"/>
        <v>#DIV/0!</v>
      </c>
      <c r="BJ156" s="276" t="e">
        <f t="shared" si="144"/>
        <v>#DIV/0!</v>
      </c>
      <c r="BK156" s="276" t="e">
        <f t="shared" si="145"/>
        <v>#DIV/0!</v>
      </c>
      <c r="BL156" s="686" t="e">
        <f t="shared" si="146"/>
        <v>#DIV/0!</v>
      </c>
      <c r="BM156" s="239"/>
      <c r="BN156" s="965" t="e">
        <f t="shared" si="147"/>
        <v>#VALUE!</v>
      </c>
      <c r="BO156" s="878" t="e">
        <f t="shared" si="148"/>
        <v>#VALUE!</v>
      </c>
      <c r="BP156" s="878" t="e">
        <f t="shared" si="149"/>
        <v>#VALUE!</v>
      </c>
      <c r="BQ156" s="878" t="e">
        <f t="shared" si="150"/>
        <v>#VALUE!</v>
      </c>
      <c r="BR156" s="878" t="e">
        <f t="shared" si="151"/>
        <v>#VALUE!</v>
      </c>
      <c r="BS156" s="966" t="e">
        <f t="shared" si="152"/>
        <v>#VALUE!</v>
      </c>
    </row>
    <row r="157" spans="1:71">
      <c r="A157" s="284">
        <f t="shared" si="153"/>
        <v>89</v>
      </c>
      <c r="B157" s="285">
        <v>0.5692066134581768</v>
      </c>
      <c r="C157" s="285">
        <v>3.1737646903333334</v>
      </c>
      <c r="D157" s="285">
        <v>1.1552204117634748</v>
      </c>
      <c r="E157" s="285">
        <v>-1.8460909181300322</v>
      </c>
      <c r="H157" s="685">
        <f t="shared" si="99"/>
        <v>-0.56402722831087804</v>
      </c>
      <c r="I157" s="276">
        <f t="shared" si="100"/>
        <v>0.71782220016245746</v>
      </c>
      <c r="J157" s="276">
        <f t="shared" si="101"/>
        <v>-0.70371727601938283</v>
      </c>
      <c r="K157" s="276">
        <f t="shared" si="102"/>
        <v>-3.5136996627605921</v>
      </c>
      <c r="L157" s="276">
        <f t="shared" si="103"/>
        <v>2.1195468617942312</v>
      </c>
      <c r="M157" s="276">
        <f t="shared" si="104"/>
        <v>-3.5366997947176362</v>
      </c>
      <c r="N157" s="685">
        <f t="shared" si="105"/>
        <v>1.966593479361465</v>
      </c>
      <c r="O157" s="276">
        <f t="shared" si="106"/>
        <v>1.4516913255652832</v>
      </c>
      <c r="P157" s="276">
        <f t="shared" si="107"/>
        <v>1.2543462317926635</v>
      </c>
      <c r="Q157" s="276">
        <f t="shared" si="108"/>
        <v>1.3725440679696492</v>
      </c>
      <c r="R157" s="276">
        <f t="shared" si="109"/>
        <v>1.8157524114321208</v>
      </c>
      <c r="S157" s="686">
        <f t="shared" si="110"/>
        <v>0.94080684351302568</v>
      </c>
      <c r="T157" s="685">
        <f t="shared" si="111"/>
        <v>4.4335841020344002</v>
      </c>
      <c r="U157" s="276">
        <f t="shared" si="112"/>
        <v>3.5960338290139209</v>
      </c>
      <c r="V157" s="276">
        <f t="shared" si="113"/>
        <v>4.2100211717893998</v>
      </c>
      <c r="W157" s="276">
        <f t="shared" si="114"/>
        <v>4.0283922837088424</v>
      </c>
      <c r="X157" s="276">
        <f t="shared" si="115"/>
        <v>5.0584873588566186</v>
      </c>
      <c r="Y157" s="686">
        <f t="shared" si="116"/>
        <v>3.8784827884226734</v>
      </c>
      <c r="Z157" s="685" t="e">
        <f t="shared" si="117"/>
        <v>#DIV/0!</v>
      </c>
      <c r="AA157" s="276" t="e">
        <f t="shared" si="118"/>
        <v>#DIV/0!</v>
      </c>
      <c r="AB157" s="276" t="e">
        <f t="shared" si="119"/>
        <v>#DIV/0!</v>
      </c>
      <c r="AC157" s="276" t="e">
        <f t="shared" si="120"/>
        <v>#DIV/0!</v>
      </c>
      <c r="AD157" s="276" t="e">
        <f t="shared" si="121"/>
        <v>#DIV/0!</v>
      </c>
      <c r="AE157" s="686" t="e">
        <f t="shared" si="122"/>
        <v>#DIV/0!</v>
      </c>
      <c r="AF157" s="239"/>
      <c r="AG157" s="965" t="e">
        <f t="shared" si="93"/>
        <v>#VALUE!</v>
      </c>
      <c r="AH157" s="878" t="e">
        <f t="shared" si="94"/>
        <v>#VALUE!</v>
      </c>
      <c r="AI157" s="878" t="e">
        <f t="shared" si="95"/>
        <v>#VALUE!</v>
      </c>
      <c r="AJ157" s="878" t="e">
        <f t="shared" si="96"/>
        <v>#VALUE!</v>
      </c>
      <c r="AK157" s="878" t="e">
        <f t="shared" si="97"/>
        <v>#VALUE!</v>
      </c>
      <c r="AL157" s="966" t="e">
        <f t="shared" si="98"/>
        <v>#VALUE!</v>
      </c>
      <c r="AM157" s="239"/>
      <c r="AO157" s="685">
        <f t="shared" si="123"/>
        <v>-0.56402722831087804</v>
      </c>
      <c r="AP157" s="276">
        <f t="shared" si="124"/>
        <v>0.71782220016245746</v>
      </c>
      <c r="AQ157" s="276">
        <f t="shared" si="125"/>
        <v>-0.70371727601938283</v>
      </c>
      <c r="AR157" s="276">
        <f t="shared" si="126"/>
        <v>-3.5136996627605921</v>
      </c>
      <c r="AS157" s="276">
        <f t="shared" si="127"/>
        <v>2.1195468617942312</v>
      </c>
      <c r="AT157" s="276">
        <f t="shared" si="128"/>
        <v>-3.5366997947176362</v>
      </c>
      <c r="AU157" s="685">
        <f t="shared" si="129"/>
        <v>1.966593479361465</v>
      </c>
      <c r="AV157" s="276">
        <f t="shared" si="130"/>
        <v>1.4516913255652832</v>
      </c>
      <c r="AW157" s="276">
        <f t="shared" si="131"/>
        <v>1.2543462317926635</v>
      </c>
      <c r="AX157" s="276">
        <f t="shared" si="132"/>
        <v>1.3725440679696492</v>
      </c>
      <c r="AY157" s="276">
        <f t="shared" si="133"/>
        <v>1.8157524114321208</v>
      </c>
      <c r="AZ157" s="686">
        <f t="shared" si="134"/>
        <v>0.94080684351302568</v>
      </c>
      <c r="BA157" s="685">
        <f t="shared" si="135"/>
        <v>0</v>
      </c>
      <c r="BB157" s="276">
        <f t="shared" si="136"/>
        <v>0</v>
      </c>
      <c r="BC157" s="276">
        <f t="shared" si="137"/>
        <v>0</v>
      </c>
      <c r="BD157" s="276">
        <f t="shared" si="138"/>
        <v>0</v>
      </c>
      <c r="BE157" s="276">
        <f t="shared" si="139"/>
        <v>0</v>
      </c>
      <c r="BF157" s="686">
        <f t="shared" si="140"/>
        <v>0</v>
      </c>
      <c r="BG157" s="685" t="e">
        <f t="shared" si="141"/>
        <v>#DIV/0!</v>
      </c>
      <c r="BH157" s="276" t="e">
        <f t="shared" si="142"/>
        <v>#DIV/0!</v>
      </c>
      <c r="BI157" s="276" t="e">
        <f t="shared" si="143"/>
        <v>#DIV/0!</v>
      </c>
      <c r="BJ157" s="276" t="e">
        <f t="shared" si="144"/>
        <v>#DIV/0!</v>
      </c>
      <c r="BK157" s="276" t="e">
        <f t="shared" si="145"/>
        <v>#DIV/0!</v>
      </c>
      <c r="BL157" s="686" t="e">
        <f t="shared" si="146"/>
        <v>#DIV/0!</v>
      </c>
      <c r="BM157" s="239"/>
      <c r="BN157" s="965" t="e">
        <f t="shared" si="147"/>
        <v>#VALUE!</v>
      </c>
      <c r="BO157" s="878" t="e">
        <f t="shared" si="148"/>
        <v>#VALUE!</v>
      </c>
      <c r="BP157" s="878" t="e">
        <f t="shared" si="149"/>
        <v>#VALUE!</v>
      </c>
      <c r="BQ157" s="878" t="e">
        <f t="shared" si="150"/>
        <v>#VALUE!</v>
      </c>
      <c r="BR157" s="878" t="e">
        <f t="shared" si="151"/>
        <v>#VALUE!</v>
      </c>
      <c r="BS157" s="966" t="e">
        <f t="shared" si="152"/>
        <v>#VALUE!</v>
      </c>
    </row>
    <row r="158" spans="1:71">
      <c r="A158" s="284">
        <f t="shared" si="153"/>
        <v>90</v>
      </c>
      <c r="B158" s="285">
        <v>-2.740936410913807</v>
      </c>
      <c r="C158" s="285">
        <v>2.092491207505812</v>
      </c>
      <c r="D158" s="285">
        <v>1.9592186813032844</v>
      </c>
      <c r="E158" s="285">
        <v>-20.090530282288753</v>
      </c>
      <c r="H158" s="685">
        <f t="shared" si="99"/>
        <v>-3.8741702526828616</v>
      </c>
      <c r="I158" s="276">
        <f t="shared" si="100"/>
        <v>-3.4635654405497993</v>
      </c>
      <c r="J158" s="276">
        <f t="shared" si="101"/>
        <v>-2.0387618670951593</v>
      </c>
      <c r="K158" s="276">
        <f t="shared" si="102"/>
        <v>0.41390150841432827</v>
      </c>
      <c r="L158" s="276">
        <f t="shared" si="103"/>
        <v>2.4353630512893512</v>
      </c>
      <c r="M158" s="276">
        <f t="shared" si="104"/>
        <v>-2.2398312716441398</v>
      </c>
      <c r="N158" s="685">
        <f t="shared" si="105"/>
        <v>0.88531999653394355</v>
      </c>
      <c r="O158" s="276">
        <f t="shared" si="106"/>
        <v>0.8255144525949667</v>
      </c>
      <c r="P158" s="276">
        <f t="shared" si="107"/>
        <v>1.6892587617430224</v>
      </c>
      <c r="Q158" s="276">
        <f t="shared" si="108"/>
        <v>0.82395844287877895</v>
      </c>
      <c r="R158" s="276">
        <f t="shared" si="109"/>
        <v>1.5898170008225574</v>
      </c>
      <c r="S158" s="686">
        <f t="shared" si="110"/>
        <v>1.2290891477440582</v>
      </c>
      <c r="T158" s="685">
        <f t="shared" si="111"/>
        <v>5.2375823715742102</v>
      </c>
      <c r="U158" s="276">
        <f t="shared" si="112"/>
        <v>3.8006937509497432</v>
      </c>
      <c r="V158" s="276">
        <f t="shared" si="113"/>
        <v>3.0755235371216694</v>
      </c>
      <c r="W158" s="276">
        <f t="shared" si="114"/>
        <v>4.3491961309099736</v>
      </c>
      <c r="X158" s="276">
        <f t="shared" si="115"/>
        <v>7.1864104486066118</v>
      </c>
      <c r="Y158" s="686">
        <f t="shared" si="116"/>
        <v>2.4815170239027253</v>
      </c>
      <c r="Z158" s="685" t="e">
        <f t="shared" si="117"/>
        <v>#DIV/0!</v>
      </c>
      <c r="AA158" s="276" t="e">
        <f t="shared" si="118"/>
        <v>#DIV/0!</v>
      </c>
      <c r="AB158" s="276" t="e">
        <f t="shared" si="119"/>
        <v>#DIV/0!</v>
      </c>
      <c r="AC158" s="276" t="e">
        <f t="shared" si="120"/>
        <v>#DIV/0!</v>
      </c>
      <c r="AD158" s="276" t="e">
        <f t="shared" si="121"/>
        <v>#DIV/0!</v>
      </c>
      <c r="AE158" s="686" t="e">
        <f t="shared" si="122"/>
        <v>#DIV/0!</v>
      </c>
      <c r="AF158" s="239"/>
      <c r="AG158" s="965" t="e">
        <f t="shared" si="93"/>
        <v>#VALUE!</v>
      </c>
      <c r="AH158" s="878" t="e">
        <f t="shared" si="94"/>
        <v>#VALUE!</v>
      </c>
      <c r="AI158" s="878" t="e">
        <f t="shared" si="95"/>
        <v>#VALUE!</v>
      </c>
      <c r="AJ158" s="878" t="e">
        <f t="shared" si="96"/>
        <v>#VALUE!</v>
      </c>
      <c r="AK158" s="878" t="e">
        <f t="shared" si="97"/>
        <v>#VALUE!</v>
      </c>
      <c r="AL158" s="966" t="e">
        <f t="shared" si="98"/>
        <v>#VALUE!</v>
      </c>
      <c r="AM158" s="239"/>
      <c r="AO158" s="685">
        <f t="shared" si="123"/>
        <v>-3.8741702526828616</v>
      </c>
      <c r="AP158" s="276">
        <f t="shared" si="124"/>
        <v>-3.4635654405497993</v>
      </c>
      <c r="AQ158" s="276">
        <f t="shared" si="125"/>
        <v>-2.0387618670951593</v>
      </c>
      <c r="AR158" s="276">
        <f t="shared" si="126"/>
        <v>0.41390150841432827</v>
      </c>
      <c r="AS158" s="276">
        <f t="shared" si="127"/>
        <v>2.4353630512893512</v>
      </c>
      <c r="AT158" s="276">
        <f t="shared" si="128"/>
        <v>-2.2398312716441398</v>
      </c>
      <c r="AU158" s="685">
        <f t="shared" si="129"/>
        <v>0.88531999653394355</v>
      </c>
      <c r="AV158" s="276">
        <f t="shared" si="130"/>
        <v>0.8255144525949667</v>
      </c>
      <c r="AW158" s="276">
        <f t="shared" si="131"/>
        <v>1.6892587617430224</v>
      </c>
      <c r="AX158" s="276">
        <f t="shared" si="132"/>
        <v>0.82395844287877895</v>
      </c>
      <c r="AY158" s="276">
        <f t="shared" si="133"/>
        <v>1.5898170008225574</v>
      </c>
      <c r="AZ158" s="686">
        <f t="shared" si="134"/>
        <v>1.2290891477440582</v>
      </c>
      <c r="BA158" s="685">
        <f t="shared" si="135"/>
        <v>0</v>
      </c>
      <c r="BB158" s="276">
        <f t="shared" si="136"/>
        <v>0</v>
      </c>
      <c r="BC158" s="276">
        <f t="shared" si="137"/>
        <v>0</v>
      </c>
      <c r="BD158" s="276">
        <f t="shared" si="138"/>
        <v>0</v>
      </c>
      <c r="BE158" s="276">
        <f t="shared" si="139"/>
        <v>0</v>
      </c>
      <c r="BF158" s="686">
        <f t="shared" si="140"/>
        <v>0</v>
      </c>
      <c r="BG158" s="685" t="e">
        <f t="shared" si="141"/>
        <v>#DIV/0!</v>
      </c>
      <c r="BH158" s="276" t="e">
        <f t="shared" si="142"/>
        <v>#DIV/0!</v>
      </c>
      <c r="BI158" s="276" t="e">
        <f t="shared" si="143"/>
        <v>#DIV/0!</v>
      </c>
      <c r="BJ158" s="276" t="e">
        <f t="shared" si="144"/>
        <v>#DIV/0!</v>
      </c>
      <c r="BK158" s="276" t="e">
        <f t="shared" si="145"/>
        <v>#DIV/0!</v>
      </c>
      <c r="BL158" s="686" t="e">
        <f t="shared" si="146"/>
        <v>#DIV/0!</v>
      </c>
      <c r="BM158" s="239"/>
      <c r="BN158" s="965" t="e">
        <f t="shared" si="147"/>
        <v>#VALUE!</v>
      </c>
      <c r="BO158" s="878" t="e">
        <f t="shared" si="148"/>
        <v>#VALUE!</v>
      </c>
      <c r="BP158" s="878" t="e">
        <f t="shared" si="149"/>
        <v>#VALUE!</v>
      </c>
      <c r="BQ158" s="878" t="e">
        <f t="shared" si="150"/>
        <v>#VALUE!</v>
      </c>
      <c r="BR158" s="878" t="e">
        <f t="shared" si="151"/>
        <v>#VALUE!</v>
      </c>
      <c r="BS158" s="966" t="e">
        <f t="shared" si="152"/>
        <v>#VALUE!</v>
      </c>
    </row>
    <row r="159" spans="1:71">
      <c r="A159" s="284">
        <f t="shared" si="153"/>
        <v>91</v>
      </c>
      <c r="B159" s="285">
        <v>2.1916195132522631</v>
      </c>
      <c r="C159" s="285">
        <v>1.5878874752339542</v>
      </c>
      <c r="D159" s="285">
        <v>2.4983012725368479</v>
      </c>
      <c r="E159" s="285">
        <v>-25.952500406644223</v>
      </c>
      <c r="H159" s="685">
        <f t="shared" si="99"/>
        <v>1.0583856714832083</v>
      </c>
      <c r="I159" s="276">
        <f t="shared" si="100"/>
        <v>-6.6813901829229865</v>
      </c>
      <c r="J159" s="276">
        <f t="shared" si="101"/>
        <v>-1.7396231863981817</v>
      </c>
      <c r="K159" s="276">
        <f t="shared" si="102"/>
        <v>0.26389170720544941</v>
      </c>
      <c r="L159" s="276">
        <f t="shared" si="103"/>
        <v>1.5469633460777812</v>
      </c>
      <c r="M159" s="276">
        <f t="shared" si="104"/>
        <v>2.3220157533726935</v>
      </c>
      <c r="N159" s="685">
        <f t="shared" si="105"/>
        <v>0.38071626426208582</v>
      </c>
      <c r="O159" s="276">
        <f t="shared" si="106"/>
        <v>1.2489479236134444</v>
      </c>
      <c r="P159" s="276">
        <f t="shared" si="107"/>
        <v>1.7870706410082622</v>
      </c>
      <c r="Q159" s="276">
        <f t="shared" si="108"/>
        <v>1.9933010146242933</v>
      </c>
      <c r="R159" s="276">
        <f t="shared" si="109"/>
        <v>1.462664839321729</v>
      </c>
      <c r="S159" s="686">
        <f t="shared" si="110"/>
        <v>1.3994381447465185</v>
      </c>
      <c r="T159" s="685">
        <f t="shared" si="111"/>
        <v>5.7766649628077733</v>
      </c>
      <c r="U159" s="276">
        <f t="shared" si="112"/>
        <v>3.9331177131729942</v>
      </c>
      <c r="V159" s="276">
        <f t="shared" si="113"/>
        <v>4.7985108870419158</v>
      </c>
      <c r="W159" s="276">
        <f t="shared" si="114"/>
        <v>4.1881486507960819</v>
      </c>
      <c r="X159" s="276">
        <f t="shared" si="115"/>
        <v>4.5880581610316185</v>
      </c>
      <c r="Y159" s="686">
        <f t="shared" si="116"/>
        <v>5.8791404575911113</v>
      </c>
      <c r="Z159" s="685" t="e">
        <f t="shared" si="117"/>
        <v>#DIV/0!</v>
      </c>
      <c r="AA159" s="276" t="e">
        <f t="shared" si="118"/>
        <v>#DIV/0!</v>
      </c>
      <c r="AB159" s="276" t="e">
        <f t="shared" si="119"/>
        <v>#DIV/0!</v>
      </c>
      <c r="AC159" s="276" t="e">
        <f t="shared" si="120"/>
        <v>#DIV/0!</v>
      </c>
      <c r="AD159" s="276" t="e">
        <f t="shared" si="121"/>
        <v>#DIV/0!</v>
      </c>
      <c r="AE159" s="686" t="e">
        <f t="shared" si="122"/>
        <v>#DIV/0!</v>
      </c>
      <c r="AF159" s="239"/>
      <c r="AG159" s="965" t="e">
        <f t="shared" si="93"/>
        <v>#VALUE!</v>
      </c>
      <c r="AH159" s="878" t="e">
        <f t="shared" si="94"/>
        <v>#VALUE!</v>
      </c>
      <c r="AI159" s="878" t="e">
        <f t="shared" si="95"/>
        <v>#VALUE!</v>
      </c>
      <c r="AJ159" s="878" t="e">
        <f t="shared" si="96"/>
        <v>#VALUE!</v>
      </c>
      <c r="AK159" s="878" t="e">
        <f t="shared" si="97"/>
        <v>#VALUE!</v>
      </c>
      <c r="AL159" s="966" t="e">
        <f t="shared" si="98"/>
        <v>#VALUE!</v>
      </c>
      <c r="AM159" s="239"/>
      <c r="AO159" s="685">
        <f t="shared" si="123"/>
        <v>1.0583856714832083</v>
      </c>
      <c r="AP159" s="276">
        <f t="shared" si="124"/>
        <v>-6.6813901829229865</v>
      </c>
      <c r="AQ159" s="276">
        <f t="shared" si="125"/>
        <v>-1.7396231863981817</v>
      </c>
      <c r="AR159" s="276">
        <f t="shared" si="126"/>
        <v>0.26389170720544941</v>
      </c>
      <c r="AS159" s="276">
        <f t="shared" si="127"/>
        <v>1.5469633460777812</v>
      </c>
      <c r="AT159" s="276">
        <f t="shared" si="128"/>
        <v>2.3220157533726935</v>
      </c>
      <c r="AU159" s="685">
        <f t="shared" si="129"/>
        <v>0.38071626426208582</v>
      </c>
      <c r="AV159" s="276">
        <f t="shared" si="130"/>
        <v>1.2489479236134444</v>
      </c>
      <c r="AW159" s="276">
        <f t="shared" si="131"/>
        <v>1.7870706410082622</v>
      </c>
      <c r="AX159" s="276">
        <f t="shared" si="132"/>
        <v>1.9933010146242933</v>
      </c>
      <c r="AY159" s="276">
        <f t="shared" si="133"/>
        <v>1.462664839321729</v>
      </c>
      <c r="AZ159" s="686">
        <f t="shared" si="134"/>
        <v>1.3994381447465185</v>
      </c>
      <c r="BA159" s="685">
        <f t="shared" si="135"/>
        <v>0</v>
      </c>
      <c r="BB159" s="276">
        <f t="shared" si="136"/>
        <v>0</v>
      </c>
      <c r="BC159" s="276">
        <f t="shared" si="137"/>
        <v>0</v>
      </c>
      <c r="BD159" s="276">
        <f t="shared" si="138"/>
        <v>0</v>
      </c>
      <c r="BE159" s="276">
        <f t="shared" si="139"/>
        <v>0</v>
      </c>
      <c r="BF159" s="686">
        <f t="shared" si="140"/>
        <v>0</v>
      </c>
      <c r="BG159" s="685" t="e">
        <f t="shared" si="141"/>
        <v>#DIV/0!</v>
      </c>
      <c r="BH159" s="276" t="e">
        <f t="shared" si="142"/>
        <v>#DIV/0!</v>
      </c>
      <c r="BI159" s="276" t="e">
        <f t="shared" si="143"/>
        <v>#DIV/0!</v>
      </c>
      <c r="BJ159" s="276" t="e">
        <f t="shared" si="144"/>
        <v>#DIV/0!</v>
      </c>
      <c r="BK159" s="276" t="e">
        <f t="shared" si="145"/>
        <v>#DIV/0!</v>
      </c>
      <c r="BL159" s="686" t="e">
        <f t="shared" si="146"/>
        <v>#DIV/0!</v>
      </c>
      <c r="BM159" s="239"/>
      <c r="BN159" s="965" t="e">
        <f t="shared" si="147"/>
        <v>#VALUE!</v>
      </c>
      <c r="BO159" s="878" t="e">
        <f t="shared" si="148"/>
        <v>#VALUE!</v>
      </c>
      <c r="BP159" s="878" t="e">
        <f t="shared" si="149"/>
        <v>#VALUE!</v>
      </c>
      <c r="BQ159" s="878" t="e">
        <f t="shared" si="150"/>
        <v>#VALUE!</v>
      </c>
      <c r="BR159" s="878" t="e">
        <f t="shared" si="151"/>
        <v>#VALUE!</v>
      </c>
      <c r="BS159" s="966" t="e">
        <f t="shared" si="152"/>
        <v>#VALUE!</v>
      </c>
    </row>
    <row r="160" spans="1:71">
      <c r="A160" s="284">
        <f t="shared" si="153"/>
        <v>92</v>
      </c>
      <c r="B160" s="285">
        <v>0.52859036338026844</v>
      </c>
      <c r="C160" s="285">
        <v>1.9520992562518322</v>
      </c>
      <c r="D160" s="285">
        <v>1.3299353917779038</v>
      </c>
      <c r="E160" s="285">
        <v>-5.1328149388278632</v>
      </c>
      <c r="H160" s="685">
        <f t="shared" si="99"/>
        <v>-0.6046434783887864</v>
      </c>
      <c r="I160" s="276">
        <f t="shared" si="100"/>
        <v>-3.6299311916325152</v>
      </c>
      <c r="J160" s="276">
        <f t="shared" si="101"/>
        <v>1.4379354466216843</v>
      </c>
      <c r="K160" s="276">
        <f t="shared" si="102"/>
        <v>-3.075892563307522</v>
      </c>
      <c r="L160" s="276">
        <f t="shared" si="103"/>
        <v>2.380695103642438</v>
      </c>
      <c r="M160" s="276">
        <f t="shared" si="104"/>
        <v>-1.1857700764081747</v>
      </c>
      <c r="N160" s="685">
        <f t="shared" si="105"/>
        <v>0.74492804527996381</v>
      </c>
      <c r="O160" s="276">
        <f t="shared" si="106"/>
        <v>1.4665124473550593</v>
      </c>
      <c r="P160" s="276">
        <f t="shared" si="107"/>
        <v>1.4358667241799787</v>
      </c>
      <c r="Q160" s="276">
        <f t="shared" si="108"/>
        <v>1.0722503994795163</v>
      </c>
      <c r="R160" s="276">
        <f t="shared" si="109"/>
        <v>1.8871213764125219</v>
      </c>
      <c r="S160" s="686">
        <f t="shared" si="110"/>
        <v>0.84784858303814192</v>
      </c>
      <c r="T160" s="685">
        <f t="shared" si="111"/>
        <v>4.6082990820488297</v>
      </c>
      <c r="U160" s="276">
        <f t="shared" si="112"/>
        <v>3.7523137755799345</v>
      </c>
      <c r="V160" s="276">
        <f t="shared" si="113"/>
        <v>5.2778076533376046</v>
      </c>
      <c r="W160" s="276">
        <f t="shared" si="114"/>
        <v>3.3915718763186931</v>
      </c>
      <c r="X160" s="276">
        <f t="shared" si="115"/>
        <v>5.2686543124618384</v>
      </c>
      <c r="Y160" s="686">
        <f t="shared" si="116"/>
        <v>4.0245435389592705</v>
      </c>
      <c r="Z160" s="685" t="e">
        <f t="shared" si="117"/>
        <v>#DIV/0!</v>
      </c>
      <c r="AA160" s="276" t="e">
        <f t="shared" si="118"/>
        <v>#DIV/0!</v>
      </c>
      <c r="AB160" s="276" t="e">
        <f t="shared" si="119"/>
        <v>#DIV/0!</v>
      </c>
      <c r="AC160" s="276" t="e">
        <f t="shared" si="120"/>
        <v>#DIV/0!</v>
      </c>
      <c r="AD160" s="276" t="e">
        <f t="shared" si="121"/>
        <v>#DIV/0!</v>
      </c>
      <c r="AE160" s="686" t="e">
        <f t="shared" si="122"/>
        <v>#DIV/0!</v>
      </c>
      <c r="AF160" s="239"/>
      <c r="AG160" s="965" t="e">
        <f t="shared" si="93"/>
        <v>#VALUE!</v>
      </c>
      <c r="AH160" s="878" t="e">
        <f t="shared" si="94"/>
        <v>#VALUE!</v>
      </c>
      <c r="AI160" s="878" t="e">
        <f t="shared" si="95"/>
        <v>#VALUE!</v>
      </c>
      <c r="AJ160" s="878" t="e">
        <f t="shared" si="96"/>
        <v>#VALUE!</v>
      </c>
      <c r="AK160" s="878" t="e">
        <f t="shared" si="97"/>
        <v>#VALUE!</v>
      </c>
      <c r="AL160" s="966" t="e">
        <f t="shared" si="98"/>
        <v>#VALUE!</v>
      </c>
      <c r="AM160" s="239"/>
      <c r="AO160" s="685">
        <f t="shared" si="123"/>
        <v>-0.6046434783887864</v>
      </c>
      <c r="AP160" s="276">
        <f t="shared" si="124"/>
        <v>-3.6299311916325152</v>
      </c>
      <c r="AQ160" s="276">
        <f t="shared" si="125"/>
        <v>1.4379354466216843</v>
      </c>
      <c r="AR160" s="276">
        <f t="shared" si="126"/>
        <v>-3.075892563307522</v>
      </c>
      <c r="AS160" s="276">
        <f t="shared" si="127"/>
        <v>2.380695103642438</v>
      </c>
      <c r="AT160" s="276">
        <f t="shared" si="128"/>
        <v>-1.1857700764081747</v>
      </c>
      <c r="AU160" s="685">
        <f t="shared" si="129"/>
        <v>0.74492804527996381</v>
      </c>
      <c r="AV160" s="276">
        <f t="shared" si="130"/>
        <v>1.4665124473550593</v>
      </c>
      <c r="AW160" s="276">
        <f t="shared" si="131"/>
        <v>1.4358667241799787</v>
      </c>
      <c r="AX160" s="276">
        <f t="shared" si="132"/>
        <v>1.0722503994795163</v>
      </c>
      <c r="AY160" s="276">
        <f t="shared" si="133"/>
        <v>1.8871213764125219</v>
      </c>
      <c r="AZ160" s="686">
        <f t="shared" si="134"/>
        <v>0.84784858303814192</v>
      </c>
      <c r="BA160" s="685">
        <f t="shared" si="135"/>
        <v>0</v>
      </c>
      <c r="BB160" s="276">
        <f t="shared" si="136"/>
        <v>0</v>
      </c>
      <c r="BC160" s="276">
        <f t="shared" si="137"/>
        <v>0</v>
      </c>
      <c r="BD160" s="276">
        <f t="shared" si="138"/>
        <v>0</v>
      </c>
      <c r="BE160" s="276">
        <f t="shared" si="139"/>
        <v>0</v>
      </c>
      <c r="BF160" s="686">
        <f t="shared" si="140"/>
        <v>0</v>
      </c>
      <c r="BG160" s="685" t="e">
        <f t="shared" si="141"/>
        <v>#DIV/0!</v>
      </c>
      <c r="BH160" s="276" t="e">
        <f t="shared" si="142"/>
        <v>#DIV/0!</v>
      </c>
      <c r="BI160" s="276" t="e">
        <f t="shared" si="143"/>
        <v>#DIV/0!</v>
      </c>
      <c r="BJ160" s="276" t="e">
        <f t="shared" si="144"/>
        <v>#DIV/0!</v>
      </c>
      <c r="BK160" s="276" t="e">
        <f t="shared" si="145"/>
        <v>#DIV/0!</v>
      </c>
      <c r="BL160" s="686" t="e">
        <f t="shared" si="146"/>
        <v>#DIV/0!</v>
      </c>
      <c r="BM160" s="239"/>
      <c r="BN160" s="965" t="e">
        <f t="shared" si="147"/>
        <v>#VALUE!</v>
      </c>
      <c r="BO160" s="878" t="e">
        <f t="shared" si="148"/>
        <v>#VALUE!</v>
      </c>
      <c r="BP160" s="878" t="e">
        <f t="shared" si="149"/>
        <v>#VALUE!</v>
      </c>
      <c r="BQ160" s="878" t="e">
        <f t="shared" si="150"/>
        <v>#VALUE!</v>
      </c>
      <c r="BR160" s="878" t="e">
        <f t="shared" si="151"/>
        <v>#VALUE!</v>
      </c>
      <c r="BS160" s="966" t="e">
        <f t="shared" si="152"/>
        <v>#VALUE!</v>
      </c>
    </row>
    <row r="161" spans="1:71">
      <c r="A161" s="284">
        <f t="shared" si="153"/>
        <v>93</v>
      </c>
      <c r="B161" s="285">
        <v>-2.0552875041323437</v>
      </c>
      <c r="C161" s="285">
        <v>2.6210058371961815</v>
      </c>
      <c r="D161" s="285">
        <v>1.0749010807620172</v>
      </c>
      <c r="E161" s="285">
        <v>-3.658463807248824</v>
      </c>
      <c r="H161" s="685">
        <f t="shared" si="99"/>
        <v>-3.1885213459013988</v>
      </c>
      <c r="I161" s="276">
        <f t="shared" si="100"/>
        <v>-2.4132626469991729</v>
      </c>
      <c r="J161" s="276">
        <f t="shared" si="101"/>
        <v>3.5966174624631355</v>
      </c>
      <c r="K161" s="276">
        <f t="shared" si="102"/>
        <v>-3.4157639070193015</v>
      </c>
      <c r="L161" s="276">
        <f t="shared" si="103"/>
        <v>0.80255431196364424</v>
      </c>
      <c r="M161" s="276">
        <f t="shared" si="104"/>
        <v>0.45920410122377153</v>
      </c>
      <c r="N161" s="685">
        <f t="shared" si="105"/>
        <v>1.4138346262243131</v>
      </c>
      <c r="O161" s="276">
        <f t="shared" si="106"/>
        <v>0.89765570515150261</v>
      </c>
      <c r="P161" s="276">
        <f t="shared" si="107"/>
        <v>1.8232429831759658</v>
      </c>
      <c r="Q161" s="276">
        <f t="shared" si="108"/>
        <v>0.97225220678899649</v>
      </c>
      <c r="R161" s="276">
        <f t="shared" si="109"/>
        <v>1.0221017012943572</v>
      </c>
      <c r="S161" s="686">
        <f t="shared" si="110"/>
        <v>1.6372547187730475</v>
      </c>
      <c r="T161" s="685">
        <f t="shared" si="111"/>
        <v>4.3532647710329435</v>
      </c>
      <c r="U161" s="276">
        <f t="shared" si="112"/>
        <v>4.6310157375743284</v>
      </c>
      <c r="V161" s="276">
        <f t="shared" si="113"/>
        <v>4.3753390613674572</v>
      </c>
      <c r="W161" s="276">
        <f t="shared" si="114"/>
        <v>5.3759668544181647</v>
      </c>
      <c r="X161" s="276">
        <f t="shared" si="115"/>
        <v>6.2952433369965757</v>
      </c>
      <c r="Y161" s="686">
        <f t="shared" si="116"/>
        <v>2.9406379113259327</v>
      </c>
      <c r="Z161" s="685" t="e">
        <f t="shared" si="117"/>
        <v>#DIV/0!</v>
      </c>
      <c r="AA161" s="276" t="e">
        <f t="shared" si="118"/>
        <v>#DIV/0!</v>
      </c>
      <c r="AB161" s="276" t="e">
        <f t="shared" si="119"/>
        <v>#DIV/0!</v>
      </c>
      <c r="AC161" s="276" t="e">
        <f t="shared" si="120"/>
        <v>#DIV/0!</v>
      </c>
      <c r="AD161" s="276" t="e">
        <f t="shared" si="121"/>
        <v>#DIV/0!</v>
      </c>
      <c r="AE161" s="686" t="e">
        <f t="shared" si="122"/>
        <v>#DIV/0!</v>
      </c>
      <c r="AF161" s="239"/>
      <c r="AG161" s="965" t="e">
        <f t="shared" si="93"/>
        <v>#VALUE!</v>
      </c>
      <c r="AH161" s="878" t="e">
        <f t="shared" si="94"/>
        <v>#VALUE!</v>
      </c>
      <c r="AI161" s="878" t="e">
        <f t="shared" si="95"/>
        <v>#VALUE!</v>
      </c>
      <c r="AJ161" s="878" t="e">
        <f t="shared" si="96"/>
        <v>#VALUE!</v>
      </c>
      <c r="AK161" s="878" t="e">
        <f t="shared" si="97"/>
        <v>#VALUE!</v>
      </c>
      <c r="AL161" s="966" t="e">
        <f t="shared" si="98"/>
        <v>#VALUE!</v>
      </c>
      <c r="AM161" s="239"/>
      <c r="AO161" s="685">
        <f t="shared" si="123"/>
        <v>-3.1885213459013988</v>
      </c>
      <c r="AP161" s="276">
        <f t="shared" si="124"/>
        <v>-2.4132626469991729</v>
      </c>
      <c r="AQ161" s="276">
        <f t="shared" si="125"/>
        <v>3.5966174624631355</v>
      </c>
      <c r="AR161" s="276">
        <f t="shared" si="126"/>
        <v>-3.4157639070193015</v>
      </c>
      <c r="AS161" s="276">
        <f t="shared" si="127"/>
        <v>0.80255431196364424</v>
      </c>
      <c r="AT161" s="276">
        <f t="shared" si="128"/>
        <v>0.45920410122377153</v>
      </c>
      <c r="AU161" s="685">
        <f t="shared" si="129"/>
        <v>1.4138346262243131</v>
      </c>
      <c r="AV161" s="276">
        <f t="shared" si="130"/>
        <v>0.89765570515150261</v>
      </c>
      <c r="AW161" s="276">
        <f t="shared" si="131"/>
        <v>1.8232429831759658</v>
      </c>
      <c r="AX161" s="276">
        <f t="shared" si="132"/>
        <v>0.97225220678899649</v>
      </c>
      <c r="AY161" s="276">
        <f t="shared" si="133"/>
        <v>1.0221017012943572</v>
      </c>
      <c r="AZ161" s="686">
        <f t="shared" si="134"/>
        <v>1.6372547187730475</v>
      </c>
      <c r="BA161" s="685">
        <f t="shared" si="135"/>
        <v>0</v>
      </c>
      <c r="BB161" s="276">
        <f t="shared" si="136"/>
        <v>0</v>
      </c>
      <c r="BC161" s="276">
        <f t="shared" si="137"/>
        <v>0</v>
      </c>
      <c r="BD161" s="276">
        <f t="shared" si="138"/>
        <v>0</v>
      </c>
      <c r="BE161" s="276">
        <f t="shared" si="139"/>
        <v>0</v>
      </c>
      <c r="BF161" s="686">
        <f t="shared" si="140"/>
        <v>0</v>
      </c>
      <c r="BG161" s="685" t="e">
        <f t="shared" si="141"/>
        <v>#DIV/0!</v>
      </c>
      <c r="BH161" s="276" t="e">
        <f t="shared" si="142"/>
        <v>#DIV/0!</v>
      </c>
      <c r="BI161" s="276" t="e">
        <f t="shared" si="143"/>
        <v>#DIV/0!</v>
      </c>
      <c r="BJ161" s="276" t="e">
        <f t="shared" si="144"/>
        <v>#DIV/0!</v>
      </c>
      <c r="BK161" s="276" t="e">
        <f t="shared" si="145"/>
        <v>#DIV/0!</v>
      </c>
      <c r="BL161" s="686" t="e">
        <f t="shared" si="146"/>
        <v>#DIV/0!</v>
      </c>
      <c r="BM161" s="239"/>
      <c r="BN161" s="965" t="e">
        <f t="shared" si="147"/>
        <v>#VALUE!</v>
      </c>
      <c r="BO161" s="878" t="e">
        <f t="shared" si="148"/>
        <v>#VALUE!</v>
      </c>
      <c r="BP161" s="878" t="e">
        <f t="shared" si="149"/>
        <v>#VALUE!</v>
      </c>
      <c r="BQ161" s="878" t="e">
        <f t="shared" si="150"/>
        <v>#VALUE!</v>
      </c>
      <c r="BR161" s="878" t="e">
        <f t="shared" si="151"/>
        <v>#VALUE!</v>
      </c>
      <c r="BS161" s="966" t="e">
        <f t="shared" si="152"/>
        <v>#VALUE!</v>
      </c>
    </row>
    <row r="162" spans="1:71">
      <c r="A162" s="284">
        <f t="shared" si="153"/>
        <v>94</v>
      </c>
      <c r="B162" s="285">
        <v>-1.3967838593299673</v>
      </c>
      <c r="C162" s="285">
        <v>2.2895923679285728</v>
      </c>
      <c r="D162" s="285">
        <v>-1.2416823556271956</v>
      </c>
      <c r="E162" s="285">
        <v>4.2067873000802081</v>
      </c>
      <c r="H162" s="685">
        <f t="shared" si="99"/>
        <v>-2.5300177010990224</v>
      </c>
      <c r="I162" s="276">
        <f t="shared" si="100"/>
        <v>-2.4214241886332206</v>
      </c>
      <c r="J162" s="276">
        <f t="shared" si="101"/>
        <v>6.6485467534166176E-2</v>
      </c>
      <c r="K162" s="276">
        <f t="shared" si="102"/>
        <v>0.63024797859418147</v>
      </c>
      <c r="L162" s="276">
        <f t="shared" si="103"/>
        <v>-6.737665770323864E-2</v>
      </c>
      <c r="M162" s="276">
        <f t="shared" si="104"/>
        <v>-1.8831489739714269</v>
      </c>
      <c r="N162" s="685">
        <f t="shared" si="105"/>
        <v>1.0824211569567044</v>
      </c>
      <c r="O162" s="276">
        <f t="shared" si="106"/>
        <v>2.2298683861940036</v>
      </c>
      <c r="P162" s="276">
        <f t="shared" si="107"/>
        <v>1.4337514371303641</v>
      </c>
      <c r="Q162" s="276">
        <f t="shared" si="108"/>
        <v>1.3930851742158252</v>
      </c>
      <c r="R162" s="276">
        <f t="shared" si="109"/>
        <v>1.379940687225792</v>
      </c>
      <c r="S162" s="686">
        <f t="shared" si="110"/>
        <v>0.7218451371441803</v>
      </c>
      <c r="T162" s="685">
        <f t="shared" si="111"/>
        <v>2.0366813346437302</v>
      </c>
      <c r="U162" s="276">
        <f t="shared" si="112"/>
        <v>2.7265526616722191</v>
      </c>
      <c r="V162" s="276">
        <f t="shared" si="113"/>
        <v>4.7579588234747856</v>
      </c>
      <c r="W162" s="276">
        <f t="shared" si="114"/>
        <v>5.1042557753566582</v>
      </c>
      <c r="X162" s="276">
        <f t="shared" si="115"/>
        <v>2.4205672250097368</v>
      </c>
      <c r="Y162" s="686">
        <f t="shared" si="116"/>
        <v>4.81942000945625</v>
      </c>
      <c r="Z162" s="685" t="e">
        <f t="shared" si="117"/>
        <v>#DIV/0!</v>
      </c>
      <c r="AA162" s="276" t="e">
        <f t="shared" si="118"/>
        <v>#DIV/0!</v>
      </c>
      <c r="AB162" s="276" t="e">
        <f t="shared" si="119"/>
        <v>#DIV/0!</v>
      </c>
      <c r="AC162" s="276" t="e">
        <f t="shared" si="120"/>
        <v>#DIV/0!</v>
      </c>
      <c r="AD162" s="276" t="e">
        <f t="shared" si="121"/>
        <v>#DIV/0!</v>
      </c>
      <c r="AE162" s="686" t="e">
        <f t="shared" si="122"/>
        <v>#DIV/0!</v>
      </c>
      <c r="AF162" s="239"/>
      <c r="AG162" s="965" t="e">
        <f t="shared" si="93"/>
        <v>#VALUE!</v>
      </c>
      <c r="AH162" s="878" t="e">
        <f t="shared" si="94"/>
        <v>#VALUE!</v>
      </c>
      <c r="AI162" s="878" t="e">
        <f t="shared" si="95"/>
        <v>#VALUE!</v>
      </c>
      <c r="AJ162" s="878" t="e">
        <f t="shared" si="96"/>
        <v>#VALUE!</v>
      </c>
      <c r="AK162" s="878" t="e">
        <f t="shared" si="97"/>
        <v>#VALUE!</v>
      </c>
      <c r="AL162" s="966" t="e">
        <f t="shared" si="98"/>
        <v>#VALUE!</v>
      </c>
      <c r="AM162" s="239"/>
      <c r="AO162" s="685">
        <f t="shared" si="123"/>
        <v>-2.5300177010990224</v>
      </c>
      <c r="AP162" s="276">
        <f t="shared" si="124"/>
        <v>-2.4214241886332206</v>
      </c>
      <c r="AQ162" s="276">
        <f t="shared" si="125"/>
        <v>6.6485467534166176E-2</v>
      </c>
      <c r="AR162" s="276">
        <f t="shared" si="126"/>
        <v>0.63024797859418147</v>
      </c>
      <c r="AS162" s="276">
        <f t="shared" si="127"/>
        <v>-6.737665770323864E-2</v>
      </c>
      <c r="AT162" s="276">
        <f t="shared" si="128"/>
        <v>-1.8831489739714269</v>
      </c>
      <c r="AU162" s="685">
        <f t="shared" si="129"/>
        <v>1.0824211569567044</v>
      </c>
      <c r="AV162" s="276">
        <f t="shared" si="130"/>
        <v>2.2298683861940036</v>
      </c>
      <c r="AW162" s="276">
        <f t="shared" si="131"/>
        <v>1.4337514371303641</v>
      </c>
      <c r="AX162" s="276">
        <f t="shared" si="132"/>
        <v>1.3930851742158252</v>
      </c>
      <c r="AY162" s="276">
        <f t="shared" si="133"/>
        <v>1.379940687225792</v>
      </c>
      <c r="AZ162" s="686">
        <f t="shared" si="134"/>
        <v>0.7218451371441803</v>
      </c>
      <c r="BA162" s="685">
        <f t="shared" si="135"/>
        <v>0</v>
      </c>
      <c r="BB162" s="276">
        <f t="shared" si="136"/>
        <v>0</v>
      </c>
      <c r="BC162" s="276">
        <f t="shared" si="137"/>
        <v>0</v>
      </c>
      <c r="BD162" s="276">
        <f t="shared" si="138"/>
        <v>0</v>
      </c>
      <c r="BE162" s="276">
        <f t="shared" si="139"/>
        <v>0</v>
      </c>
      <c r="BF162" s="686">
        <f t="shared" si="140"/>
        <v>0</v>
      </c>
      <c r="BG162" s="685" t="e">
        <f t="shared" si="141"/>
        <v>#DIV/0!</v>
      </c>
      <c r="BH162" s="276" t="e">
        <f t="shared" si="142"/>
        <v>#DIV/0!</v>
      </c>
      <c r="BI162" s="276" t="e">
        <f t="shared" si="143"/>
        <v>#DIV/0!</v>
      </c>
      <c r="BJ162" s="276" t="e">
        <f t="shared" si="144"/>
        <v>#DIV/0!</v>
      </c>
      <c r="BK162" s="276" t="e">
        <f t="shared" si="145"/>
        <v>#DIV/0!</v>
      </c>
      <c r="BL162" s="686" t="e">
        <f t="shared" si="146"/>
        <v>#DIV/0!</v>
      </c>
      <c r="BM162" s="239"/>
      <c r="BN162" s="965" t="e">
        <f t="shared" si="147"/>
        <v>#VALUE!</v>
      </c>
      <c r="BO162" s="878" t="e">
        <f t="shared" si="148"/>
        <v>#VALUE!</v>
      </c>
      <c r="BP162" s="878" t="e">
        <f t="shared" si="149"/>
        <v>#VALUE!</v>
      </c>
      <c r="BQ162" s="878" t="e">
        <f t="shared" si="150"/>
        <v>#VALUE!</v>
      </c>
      <c r="BR162" s="878" t="e">
        <f t="shared" si="151"/>
        <v>#VALUE!</v>
      </c>
      <c r="BS162" s="966" t="e">
        <f t="shared" si="152"/>
        <v>#VALUE!</v>
      </c>
    </row>
    <row r="163" spans="1:71">
      <c r="A163" s="284">
        <f t="shared" si="153"/>
        <v>95</v>
      </c>
      <c r="B163" s="285">
        <v>-2.3664834626624103</v>
      </c>
      <c r="C163" s="285">
        <v>1.8723414684673387</v>
      </c>
      <c r="D163" s="285">
        <v>2.3043895018567357</v>
      </c>
      <c r="E163" s="285">
        <v>-16.317835037855058</v>
      </c>
      <c r="H163" s="685">
        <f t="shared" si="99"/>
        <v>-3.4997173044314653</v>
      </c>
      <c r="I163" s="276">
        <f t="shared" si="100"/>
        <v>-0.95883999283215293</v>
      </c>
      <c r="J163" s="276">
        <f t="shared" si="101"/>
        <v>-2.418074773897394</v>
      </c>
      <c r="K163" s="276">
        <f t="shared" si="102"/>
        <v>0.42693505367569906</v>
      </c>
      <c r="L163" s="276">
        <f t="shared" si="103"/>
        <v>0.83976892210103293</v>
      </c>
      <c r="M163" s="276">
        <f t="shared" si="104"/>
        <v>-0.60402808787675799</v>
      </c>
      <c r="N163" s="685">
        <f t="shared" si="105"/>
        <v>0.66517025749547032</v>
      </c>
      <c r="O163" s="276">
        <f t="shared" si="106"/>
        <v>1.6819113660626408</v>
      </c>
      <c r="P163" s="276">
        <f t="shared" si="107"/>
        <v>1.2040036373550709</v>
      </c>
      <c r="Q163" s="276">
        <f t="shared" si="108"/>
        <v>1.1154543368484313</v>
      </c>
      <c r="R163" s="276">
        <f t="shared" si="109"/>
        <v>1.2746771255233582</v>
      </c>
      <c r="S163" s="686">
        <f t="shared" si="110"/>
        <v>2.0550924910398347</v>
      </c>
      <c r="T163" s="685">
        <f t="shared" si="111"/>
        <v>5.5827531921276616</v>
      </c>
      <c r="U163" s="276">
        <f t="shared" si="112"/>
        <v>2.639744748209532</v>
      </c>
      <c r="V163" s="276">
        <f t="shared" si="113"/>
        <v>6.2035568994393788</v>
      </c>
      <c r="W163" s="276">
        <f t="shared" si="114"/>
        <v>5.2689714493658428</v>
      </c>
      <c r="X163" s="276">
        <f t="shared" si="115"/>
        <v>4.0057798094226591</v>
      </c>
      <c r="Y163" s="686">
        <f t="shared" si="116"/>
        <v>3.542387198756523</v>
      </c>
      <c r="Z163" s="685" t="e">
        <f t="shared" si="117"/>
        <v>#DIV/0!</v>
      </c>
      <c r="AA163" s="276" t="e">
        <f t="shared" si="118"/>
        <v>#DIV/0!</v>
      </c>
      <c r="AB163" s="276" t="e">
        <f t="shared" si="119"/>
        <v>#DIV/0!</v>
      </c>
      <c r="AC163" s="276" t="e">
        <f t="shared" si="120"/>
        <v>#DIV/0!</v>
      </c>
      <c r="AD163" s="276" t="e">
        <f t="shared" si="121"/>
        <v>#DIV/0!</v>
      </c>
      <c r="AE163" s="686" t="e">
        <f t="shared" si="122"/>
        <v>#DIV/0!</v>
      </c>
      <c r="AF163" s="239"/>
      <c r="AG163" s="965" t="e">
        <f t="shared" si="93"/>
        <v>#VALUE!</v>
      </c>
      <c r="AH163" s="878" t="e">
        <f t="shared" si="94"/>
        <v>#VALUE!</v>
      </c>
      <c r="AI163" s="878" t="e">
        <f t="shared" si="95"/>
        <v>#VALUE!</v>
      </c>
      <c r="AJ163" s="878" t="e">
        <f t="shared" si="96"/>
        <v>#VALUE!</v>
      </c>
      <c r="AK163" s="878" t="e">
        <f t="shared" si="97"/>
        <v>#VALUE!</v>
      </c>
      <c r="AL163" s="966" t="e">
        <f t="shared" si="98"/>
        <v>#VALUE!</v>
      </c>
      <c r="AM163" s="239"/>
      <c r="AO163" s="685">
        <f t="shared" si="123"/>
        <v>-3.4997173044314653</v>
      </c>
      <c r="AP163" s="276">
        <f t="shared" si="124"/>
        <v>-0.95883999283215293</v>
      </c>
      <c r="AQ163" s="276">
        <f t="shared" si="125"/>
        <v>-2.418074773897394</v>
      </c>
      <c r="AR163" s="276">
        <f t="shared" si="126"/>
        <v>0.42693505367569906</v>
      </c>
      <c r="AS163" s="276">
        <f t="shared" si="127"/>
        <v>0.83976892210103293</v>
      </c>
      <c r="AT163" s="276">
        <f t="shared" si="128"/>
        <v>-0.60402808787675799</v>
      </c>
      <c r="AU163" s="685">
        <f t="shared" si="129"/>
        <v>0.66517025749547032</v>
      </c>
      <c r="AV163" s="276">
        <f t="shared" si="130"/>
        <v>1.6819113660626408</v>
      </c>
      <c r="AW163" s="276">
        <f t="shared" si="131"/>
        <v>1.2040036373550709</v>
      </c>
      <c r="AX163" s="276">
        <f t="shared" si="132"/>
        <v>1.1154543368484313</v>
      </c>
      <c r="AY163" s="276">
        <f t="shared" si="133"/>
        <v>1.2746771255233582</v>
      </c>
      <c r="AZ163" s="686">
        <f t="shared" si="134"/>
        <v>2.0550924910398347</v>
      </c>
      <c r="BA163" s="685">
        <f t="shared" si="135"/>
        <v>0</v>
      </c>
      <c r="BB163" s="276">
        <f t="shared" si="136"/>
        <v>0</v>
      </c>
      <c r="BC163" s="276">
        <f t="shared" si="137"/>
        <v>0</v>
      </c>
      <c r="BD163" s="276">
        <f t="shared" si="138"/>
        <v>0</v>
      </c>
      <c r="BE163" s="276">
        <f t="shared" si="139"/>
        <v>0</v>
      </c>
      <c r="BF163" s="686">
        <f t="shared" si="140"/>
        <v>0</v>
      </c>
      <c r="BG163" s="685" t="e">
        <f t="shared" si="141"/>
        <v>#DIV/0!</v>
      </c>
      <c r="BH163" s="276" t="e">
        <f t="shared" si="142"/>
        <v>#DIV/0!</v>
      </c>
      <c r="BI163" s="276" t="e">
        <f t="shared" si="143"/>
        <v>#DIV/0!</v>
      </c>
      <c r="BJ163" s="276" t="e">
        <f t="shared" si="144"/>
        <v>#DIV/0!</v>
      </c>
      <c r="BK163" s="276" t="e">
        <f t="shared" si="145"/>
        <v>#DIV/0!</v>
      </c>
      <c r="BL163" s="686" t="e">
        <f t="shared" si="146"/>
        <v>#DIV/0!</v>
      </c>
      <c r="BM163" s="239"/>
      <c r="BN163" s="965" t="e">
        <f t="shared" si="147"/>
        <v>#VALUE!</v>
      </c>
      <c r="BO163" s="878" t="e">
        <f t="shared" si="148"/>
        <v>#VALUE!</v>
      </c>
      <c r="BP163" s="878" t="e">
        <f t="shared" si="149"/>
        <v>#VALUE!</v>
      </c>
      <c r="BQ163" s="878" t="e">
        <f t="shared" si="150"/>
        <v>#VALUE!</v>
      </c>
      <c r="BR163" s="878" t="e">
        <f t="shared" si="151"/>
        <v>#VALUE!</v>
      </c>
      <c r="BS163" s="966" t="e">
        <f t="shared" si="152"/>
        <v>#VALUE!</v>
      </c>
    </row>
    <row r="164" spans="1:71">
      <c r="A164" s="284">
        <f t="shared" si="153"/>
        <v>96</v>
      </c>
      <c r="B164" s="285">
        <v>-3.8168114862688722</v>
      </c>
      <c r="C164" s="285">
        <v>1.6745175504964749</v>
      </c>
      <c r="D164" s="285">
        <v>2.350432744704678</v>
      </c>
      <c r="E164" s="285">
        <v>-16.235794862504829</v>
      </c>
      <c r="H164" s="685">
        <f t="shared" si="99"/>
        <v>-4.9500453280379269</v>
      </c>
      <c r="I164" s="276">
        <f t="shared" si="100"/>
        <v>4.6610227610124788E-2</v>
      </c>
      <c r="J164" s="276">
        <f t="shared" si="101"/>
        <v>1.9468352862270486</v>
      </c>
      <c r="K164" s="276">
        <f t="shared" si="102"/>
        <v>-3.9114588415029692</v>
      </c>
      <c r="L164" s="276">
        <f t="shared" si="103"/>
        <v>0.55927393653383484</v>
      </c>
      <c r="M164" s="276">
        <f t="shared" si="104"/>
        <v>-1.0822584093043182</v>
      </c>
      <c r="N164" s="685">
        <f t="shared" si="105"/>
        <v>0.46734633952460647</v>
      </c>
      <c r="O164" s="276">
        <f t="shared" si="106"/>
        <v>1.1729255805439045</v>
      </c>
      <c r="P164" s="276">
        <f t="shared" si="107"/>
        <v>1.2484171642525494</v>
      </c>
      <c r="Q164" s="276">
        <f t="shared" si="108"/>
        <v>1.9982251724723576</v>
      </c>
      <c r="R164" s="276">
        <f t="shared" si="109"/>
        <v>1.2102219409589356</v>
      </c>
      <c r="S164" s="686">
        <f t="shared" si="110"/>
        <v>1.287658072852554</v>
      </c>
      <c r="T164" s="685">
        <f t="shared" si="111"/>
        <v>5.6287964349756034</v>
      </c>
      <c r="U164" s="276">
        <f t="shared" si="112"/>
        <v>4.8967666198569217</v>
      </c>
      <c r="V164" s="276">
        <f t="shared" si="113"/>
        <v>4.2458165582851572</v>
      </c>
      <c r="W164" s="276">
        <f t="shared" si="114"/>
        <v>5.5152898613393013</v>
      </c>
      <c r="X164" s="276">
        <f t="shared" si="115"/>
        <v>4.3771871345596072</v>
      </c>
      <c r="Y164" s="686">
        <f t="shared" si="116"/>
        <v>4.5175029402068541</v>
      </c>
      <c r="Z164" s="685" t="e">
        <f t="shared" si="117"/>
        <v>#DIV/0!</v>
      </c>
      <c r="AA164" s="276" t="e">
        <f t="shared" si="118"/>
        <v>#DIV/0!</v>
      </c>
      <c r="AB164" s="276" t="e">
        <f t="shared" si="119"/>
        <v>#DIV/0!</v>
      </c>
      <c r="AC164" s="276" t="e">
        <f t="shared" si="120"/>
        <v>#DIV/0!</v>
      </c>
      <c r="AD164" s="276" t="e">
        <f t="shared" si="121"/>
        <v>#DIV/0!</v>
      </c>
      <c r="AE164" s="686" t="e">
        <f t="shared" si="122"/>
        <v>#DIV/0!</v>
      </c>
      <c r="AF164" s="239"/>
      <c r="AG164" s="965" t="e">
        <f t="shared" si="93"/>
        <v>#VALUE!</v>
      </c>
      <c r="AH164" s="878" t="e">
        <f t="shared" si="94"/>
        <v>#VALUE!</v>
      </c>
      <c r="AI164" s="878" t="e">
        <f t="shared" si="95"/>
        <v>#VALUE!</v>
      </c>
      <c r="AJ164" s="878" t="e">
        <f t="shared" si="96"/>
        <v>#VALUE!</v>
      </c>
      <c r="AK164" s="878" t="e">
        <f t="shared" si="97"/>
        <v>#VALUE!</v>
      </c>
      <c r="AL164" s="966" t="e">
        <f t="shared" si="98"/>
        <v>#VALUE!</v>
      </c>
      <c r="AM164" s="239"/>
      <c r="AO164" s="685">
        <f t="shared" si="123"/>
        <v>-4.9500453280379269</v>
      </c>
      <c r="AP164" s="276">
        <f t="shared" si="124"/>
        <v>4.6610227610124788E-2</v>
      </c>
      <c r="AQ164" s="276">
        <f t="shared" si="125"/>
        <v>1.9468352862270486</v>
      </c>
      <c r="AR164" s="276">
        <f t="shared" si="126"/>
        <v>-3.9114588415029692</v>
      </c>
      <c r="AS164" s="276">
        <f t="shared" si="127"/>
        <v>0.55927393653383484</v>
      </c>
      <c r="AT164" s="276">
        <f t="shared" si="128"/>
        <v>-1.0822584093043182</v>
      </c>
      <c r="AU164" s="685">
        <f t="shared" si="129"/>
        <v>0.46734633952460647</v>
      </c>
      <c r="AV164" s="276">
        <f t="shared" si="130"/>
        <v>1.1729255805439045</v>
      </c>
      <c r="AW164" s="276">
        <f t="shared" si="131"/>
        <v>1.2484171642525494</v>
      </c>
      <c r="AX164" s="276">
        <f t="shared" si="132"/>
        <v>1.9982251724723576</v>
      </c>
      <c r="AY164" s="276">
        <f t="shared" si="133"/>
        <v>1.2102219409589356</v>
      </c>
      <c r="AZ164" s="686">
        <f t="shared" si="134"/>
        <v>1.287658072852554</v>
      </c>
      <c r="BA164" s="685">
        <f t="shared" si="135"/>
        <v>0</v>
      </c>
      <c r="BB164" s="276">
        <f t="shared" si="136"/>
        <v>0</v>
      </c>
      <c r="BC164" s="276">
        <f t="shared" si="137"/>
        <v>0</v>
      </c>
      <c r="BD164" s="276">
        <f t="shared" si="138"/>
        <v>0</v>
      </c>
      <c r="BE164" s="276">
        <f t="shared" si="139"/>
        <v>0</v>
      </c>
      <c r="BF164" s="686">
        <f t="shared" si="140"/>
        <v>0</v>
      </c>
      <c r="BG164" s="685" t="e">
        <f t="shared" si="141"/>
        <v>#DIV/0!</v>
      </c>
      <c r="BH164" s="276" t="e">
        <f t="shared" si="142"/>
        <v>#DIV/0!</v>
      </c>
      <c r="BI164" s="276" t="e">
        <f t="shared" si="143"/>
        <v>#DIV/0!</v>
      </c>
      <c r="BJ164" s="276" t="e">
        <f t="shared" si="144"/>
        <v>#DIV/0!</v>
      </c>
      <c r="BK164" s="276" t="e">
        <f t="shared" si="145"/>
        <v>#DIV/0!</v>
      </c>
      <c r="BL164" s="686" t="e">
        <f t="shared" si="146"/>
        <v>#DIV/0!</v>
      </c>
      <c r="BM164" s="239"/>
      <c r="BN164" s="965" t="e">
        <f t="shared" si="147"/>
        <v>#VALUE!</v>
      </c>
      <c r="BO164" s="878" t="e">
        <f t="shared" si="148"/>
        <v>#VALUE!</v>
      </c>
      <c r="BP164" s="878" t="e">
        <f t="shared" si="149"/>
        <v>#VALUE!</v>
      </c>
      <c r="BQ164" s="878" t="e">
        <f t="shared" si="150"/>
        <v>#VALUE!</v>
      </c>
      <c r="BR164" s="878" t="e">
        <f t="shared" si="151"/>
        <v>#VALUE!</v>
      </c>
      <c r="BS164" s="966" t="e">
        <f t="shared" si="152"/>
        <v>#VALUE!</v>
      </c>
    </row>
    <row r="165" spans="1:71">
      <c r="A165" s="284">
        <f t="shared" si="153"/>
        <v>97</v>
      </c>
      <c r="B165" s="285">
        <v>2.8811222872015185</v>
      </c>
      <c r="C165" s="285">
        <v>3.1342984893674624</v>
      </c>
      <c r="D165" s="285">
        <v>1.2000969366662464</v>
      </c>
      <c r="E165" s="285">
        <v>7.4950361778779282</v>
      </c>
      <c r="H165" s="685">
        <f t="shared" si="99"/>
        <v>1.7478884454324637</v>
      </c>
      <c r="I165" s="276">
        <f t="shared" si="100"/>
        <v>1.9123756348894794</v>
      </c>
      <c r="J165" s="276">
        <f t="shared" si="101"/>
        <v>-0.46140563973745186</v>
      </c>
      <c r="K165" s="276">
        <f t="shared" si="102"/>
        <v>0.14095295501049065</v>
      </c>
      <c r="L165" s="276">
        <f t="shared" si="103"/>
        <v>-2.7775500685871606</v>
      </c>
      <c r="M165" s="276">
        <f t="shared" si="104"/>
        <v>0.67944353586723016</v>
      </c>
      <c r="N165" s="685">
        <f t="shared" si="105"/>
        <v>1.9271272783955939</v>
      </c>
      <c r="O165" s="276">
        <f t="shared" si="106"/>
        <v>1.0536095999874997</v>
      </c>
      <c r="P165" s="276">
        <f t="shared" si="107"/>
        <v>1.3711160518352841</v>
      </c>
      <c r="Q165" s="276">
        <f t="shared" si="108"/>
        <v>1.2977715930925868</v>
      </c>
      <c r="R165" s="276">
        <f t="shared" si="109"/>
        <v>1.4222754318879718</v>
      </c>
      <c r="S165" s="686">
        <f t="shared" si="110"/>
        <v>0.86265246604056567</v>
      </c>
      <c r="T165" s="685">
        <f t="shared" si="111"/>
        <v>4.4784606269371725</v>
      </c>
      <c r="U165" s="276">
        <f t="shared" si="112"/>
        <v>3.7680838719967586</v>
      </c>
      <c r="V165" s="276">
        <f t="shared" si="113"/>
        <v>5.5841449631043076</v>
      </c>
      <c r="W165" s="276">
        <f t="shared" si="114"/>
        <v>5.2733108218170068</v>
      </c>
      <c r="X165" s="276">
        <f t="shared" si="115"/>
        <v>3.4748430955939966</v>
      </c>
      <c r="Y165" s="686">
        <f t="shared" si="116"/>
        <v>5.8684931984036197</v>
      </c>
      <c r="Z165" s="685" t="e">
        <f t="shared" si="117"/>
        <v>#DIV/0!</v>
      </c>
      <c r="AA165" s="276" t="e">
        <f t="shared" si="118"/>
        <v>#DIV/0!</v>
      </c>
      <c r="AB165" s="276" t="e">
        <f t="shared" si="119"/>
        <v>#DIV/0!</v>
      </c>
      <c r="AC165" s="276" t="e">
        <f t="shared" si="120"/>
        <v>#DIV/0!</v>
      </c>
      <c r="AD165" s="276" t="e">
        <f t="shared" si="121"/>
        <v>#DIV/0!</v>
      </c>
      <c r="AE165" s="686" t="e">
        <f t="shared" si="122"/>
        <v>#DIV/0!</v>
      </c>
      <c r="AF165" s="239"/>
      <c r="AG165" s="965" t="e">
        <f t="shared" si="93"/>
        <v>#VALUE!</v>
      </c>
      <c r="AH165" s="878" t="e">
        <f t="shared" si="94"/>
        <v>#VALUE!</v>
      </c>
      <c r="AI165" s="878" t="e">
        <f t="shared" si="95"/>
        <v>#VALUE!</v>
      </c>
      <c r="AJ165" s="878" t="e">
        <f t="shared" si="96"/>
        <v>#VALUE!</v>
      </c>
      <c r="AK165" s="878" t="e">
        <f t="shared" si="97"/>
        <v>#VALUE!</v>
      </c>
      <c r="AL165" s="966" t="e">
        <f t="shared" si="98"/>
        <v>#VALUE!</v>
      </c>
      <c r="AM165" s="239"/>
      <c r="AO165" s="685">
        <f t="shared" si="123"/>
        <v>1.7478884454324637</v>
      </c>
      <c r="AP165" s="276">
        <f t="shared" si="124"/>
        <v>1.9123756348894794</v>
      </c>
      <c r="AQ165" s="276">
        <f t="shared" si="125"/>
        <v>-0.46140563973745186</v>
      </c>
      <c r="AR165" s="276">
        <f t="shared" si="126"/>
        <v>0.14095295501049065</v>
      </c>
      <c r="AS165" s="276">
        <f t="shared" si="127"/>
        <v>-2.7775500685871606</v>
      </c>
      <c r="AT165" s="276">
        <f t="shared" si="128"/>
        <v>0.67944353586723016</v>
      </c>
      <c r="AU165" s="685">
        <f t="shared" si="129"/>
        <v>1.9271272783955939</v>
      </c>
      <c r="AV165" s="276">
        <f t="shared" si="130"/>
        <v>1.0536095999874997</v>
      </c>
      <c r="AW165" s="276">
        <f t="shared" si="131"/>
        <v>1.3711160518352841</v>
      </c>
      <c r="AX165" s="276">
        <f t="shared" si="132"/>
        <v>1.2977715930925868</v>
      </c>
      <c r="AY165" s="276">
        <f t="shared" si="133"/>
        <v>1.4222754318879718</v>
      </c>
      <c r="AZ165" s="686">
        <f t="shared" si="134"/>
        <v>0.86265246604056567</v>
      </c>
      <c r="BA165" s="685">
        <f t="shared" si="135"/>
        <v>0</v>
      </c>
      <c r="BB165" s="276">
        <f t="shared" si="136"/>
        <v>0</v>
      </c>
      <c r="BC165" s="276">
        <f t="shared" si="137"/>
        <v>0</v>
      </c>
      <c r="BD165" s="276">
        <f t="shared" si="138"/>
        <v>0</v>
      </c>
      <c r="BE165" s="276">
        <f t="shared" si="139"/>
        <v>0</v>
      </c>
      <c r="BF165" s="686">
        <f t="shared" si="140"/>
        <v>0</v>
      </c>
      <c r="BG165" s="685" t="e">
        <f t="shared" si="141"/>
        <v>#DIV/0!</v>
      </c>
      <c r="BH165" s="276" t="e">
        <f t="shared" si="142"/>
        <v>#DIV/0!</v>
      </c>
      <c r="BI165" s="276" t="e">
        <f t="shared" si="143"/>
        <v>#DIV/0!</v>
      </c>
      <c r="BJ165" s="276" t="e">
        <f t="shared" si="144"/>
        <v>#DIV/0!</v>
      </c>
      <c r="BK165" s="276" t="e">
        <f t="shared" si="145"/>
        <v>#DIV/0!</v>
      </c>
      <c r="BL165" s="686" t="e">
        <f t="shared" si="146"/>
        <v>#DIV/0!</v>
      </c>
      <c r="BM165" s="239"/>
      <c r="BN165" s="965" t="e">
        <f t="shared" si="147"/>
        <v>#VALUE!</v>
      </c>
      <c r="BO165" s="878" t="e">
        <f t="shared" si="148"/>
        <v>#VALUE!</v>
      </c>
      <c r="BP165" s="878" t="e">
        <f t="shared" si="149"/>
        <v>#VALUE!</v>
      </c>
      <c r="BQ165" s="878" t="e">
        <f t="shared" si="150"/>
        <v>#VALUE!</v>
      </c>
      <c r="BR165" s="878" t="e">
        <f t="shared" si="151"/>
        <v>#VALUE!</v>
      </c>
      <c r="BS165" s="966" t="e">
        <f t="shared" si="152"/>
        <v>#VALUE!</v>
      </c>
    </row>
    <row r="166" spans="1:71">
      <c r="A166" s="284">
        <f t="shared" si="153"/>
        <v>98</v>
      </c>
      <c r="B166" s="285">
        <v>5.0245914982361404</v>
      </c>
      <c r="C166" s="285">
        <v>3.0067963499027885</v>
      </c>
      <c r="D166" s="285">
        <v>0.28279265590292602</v>
      </c>
      <c r="E166" s="285">
        <v>3.0441714204288499</v>
      </c>
      <c r="H166" s="685">
        <f t="shared" si="99"/>
        <v>3.8913576564670853</v>
      </c>
      <c r="I166" s="276">
        <f t="shared" si="100"/>
        <v>-2.2261558906144785E-4</v>
      </c>
      <c r="J166" s="276">
        <f t="shared" si="101"/>
        <v>0.10865844981129147</v>
      </c>
      <c r="K166" s="276">
        <f t="shared" si="102"/>
        <v>-2.7166758622817517</v>
      </c>
      <c r="L166" s="276">
        <f t="shared" si="103"/>
        <v>-4.1215798185303694</v>
      </c>
      <c r="M166" s="276">
        <f t="shared" si="104"/>
        <v>-1.3407256722839858</v>
      </c>
      <c r="N166" s="685">
        <f t="shared" si="105"/>
        <v>1.7996251389309201</v>
      </c>
      <c r="O166" s="276">
        <f t="shared" si="106"/>
        <v>1.8629818835007412</v>
      </c>
      <c r="P166" s="276">
        <f t="shared" si="107"/>
        <v>2.0106323609176533</v>
      </c>
      <c r="Q166" s="276">
        <f t="shared" si="108"/>
        <v>-5.070601901574423E-2</v>
      </c>
      <c r="R166" s="276">
        <f t="shared" si="109"/>
        <v>1.7352803408367554</v>
      </c>
      <c r="S166" s="686">
        <f t="shared" si="110"/>
        <v>0.41432713193839033</v>
      </c>
      <c r="T166" s="685">
        <f t="shared" si="111"/>
        <v>3.5611563461738518</v>
      </c>
      <c r="U166" s="276">
        <f t="shared" si="112"/>
        <v>2.9068140883518998</v>
      </c>
      <c r="V166" s="276">
        <f t="shared" si="113"/>
        <v>4.53290271975502</v>
      </c>
      <c r="W166" s="276">
        <f t="shared" si="114"/>
        <v>6.6392857181472111</v>
      </c>
      <c r="X166" s="276">
        <f t="shared" si="115"/>
        <v>2.1195299774745124</v>
      </c>
      <c r="Y166" s="686">
        <f t="shared" si="116"/>
        <v>3.9945142677409584</v>
      </c>
      <c r="Z166" s="685" t="e">
        <f t="shared" si="117"/>
        <v>#DIV/0!</v>
      </c>
      <c r="AA166" s="276" t="e">
        <f t="shared" si="118"/>
        <v>#DIV/0!</v>
      </c>
      <c r="AB166" s="276" t="e">
        <f t="shared" si="119"/>
        <v>#DIV/0!</v>
      </c>
      <c r="AC166" s="276" t="e">
        <f t="shared" si="120"/>
        <v>#DIV/0!</v>
      </c>
      <c r="AD166" s="276" t="e">
        <f t="shared" si="121"/>
        <v>#DIV/0!</v>
      </c>
      <c r="AE166" s="686" t="e">
        <f t="shared" si="122"/>
        <v>#DIV/0!</v>
      </c>
      <c r="AF166" s="239"/>
      <c r="AG166" s="965" t="e">
        <f t="shared" si="93"/>
        <v>#VALUE!</v>
      </c>
      <c r="AH166" s="878" t="e">
        <f t="shared" si="94"/>
        <v>#VALUE!</v>
      </c>
      <c r="AI166" s="878" t="e">
        <f t="shared" si="95"/>
        <v>#VALUE!</v>
      </c>
      <c r="AJ166" s="878" t="e">
        <f t="shared" si="96"/>
        <v>#VALUE!</v>
      </c>
      <c r="AK166" s="878" t="e">
        <f t="shared" si="97"/>
        <v>#VALUE!</v>
      </c>
      <c r="AL166" s="966" t="e">
        <f t="shared" si="98"/>
        <v>#VALUE!</v>
      </c>
      <c r="AM166" s="239"/>
      <c r="AO166" s="685">
        <f t="shared" si="123"/>
        <v>3.8913576564670853</v>
      </c>
      <c r="AP166" s="276">
        <f t="shared" si="124"/>
        <v>-2.2261558906144785E-4</v>
      </c>
      <c r="AQ166" s="276">
        <f t="shared" si="125"/>
        <v>0.10865844981129147</v>
      </c>
      <c r="AR166" s="276">
        <f t="shared" si="126"/>
        <v>-2.7166758622817517</v>
      </c>
      <c r="AS166" s="276">
        <f t="shared" si="127"/>
        <v>-4.1215798185303694</v>
      </c>
      <c r="AT166" s="276">
        <f t="shared" si="128"/>
        <v>-1.3407256722839858</v>
      </c>
      <c r="AU166" s="685">
        <f t="shared" si="129"/>
        <v>1.7996251389309201</v>
      </c>
      <c r="AV166" s="276">
        <f t="shared" si="130"/>
        <v>1.8629818835007412</v>
      </c>
      <c r="AW166" s="276">
        <f t="shared" si="131"/>
        <v>2.0106323609176533</v>
      </c>
      <c r="AX166" s="276">
        <f t="shared" si="132"/>
        <v>-5.070601901574423E-2</v>
      </c>
      <c r="AY166" s="276">
        <f t="shared" si="133"/>
        <v>1.7352803408367554</v>
      </c>
      <c r="AZ166" s="686">
        <f t="shared" si="134"/>
        <v>0.41432713193839033</v>
      </c>
      <c r="BA166" s="685">
        <f t="shared" si="135"/>
        <v>0</v>
      </c>
      <c r="BB166" s="276">
        <f t="shared" si="136"/>
        <v>0</v>
      </c>
      <c r="BC166" s="276">
        <f t="shared" si="137"/>
        <v>0</v>
      </c>
      <c r="BD166" s="276">
        <f t="shared" si="138"/>
        <v>0</v>
      </c>
      <c r="BE166" s="276">
        <f t="shared" si="139"/>
        <v>0</v>
      </c>
      <c r="BF166" s="686">
        <f t="shared" si="140"/>
        <v>0</v>
      </c>
      <c r="BG166" s="685" t="e">
        <f t="shared" si="141"/>
        <v>#DIV/0!</v>
      </c>
      <c r="BH166" s="276" t="e">
        <f t="shared" si="142"/>
        <v>#DIV/0!</v>
      </c>
      <c r="BI166" s="276" t="e">
        <f t="shared" si="143"/>
        <v>#DIV/0!</v>
      </c>
      <c r="BJ166" s="276" t="e">
        <f t="shared" si="144"/>
        <v>#DIV/0!</v>
      </c>
      <c r="BK166" s="276" t="e">
        <f t="shared" si="145"/>
        <v>#DIV/0!</v>
      </c>
      <c r="BL166" s="686" t="e">
        <f t="shared" si="146"/>
        <v>#DIV/0!</v>
      </c>
      <c r="BM166" s="239"/>
      <c r="BN166" s="965" t="e">
        <f t="shared" si="147"/>
        <v>#VALUE!</v>
      </c>
      <c r="BO166" s="878" t="e">
        <f t="shared" si="148"/>
        <v>#VALUE!</v>
      </c>
      <c r="BP166" s="878" t="e">
        <f t="shared" si="149"/>
        <v>#VALUE!</v>
      </c>
      <c r="BQ166" s="878" t="e">
        <f t="shared" si="150"/>
        <v>#VALUE!</v>
      </c>
      <c r="BR166" s="878" t="e">
        <f t="shared" si="151"/>
        <v>#VALUE!</v>
      </c>
      <c r="BS166" s="966" t="e">
        <f t="shared" si="152"/>
        <v>#VALUE!</v>
      </c>
    </row>
    <row r="167" spans="1:71">
      <c r="A167" s="284">
        <f t="shared" si="153"/>
        <v>99</v>
      </c>
      <c r="B167" s="285">
        <v>3.7168523201601014</v>
      </c>
      <c r="C167" s="285">
        <v>2.6808028259542542</v>
      </c>
      <c r="D167" s="285">
        <v>2.4381536146103069</v>
      </c>
      <c r="E167" s="285">
        <v>-7.3284432546555482</v>
      </c>
      <c r="H167" s="685">
        <f t="shared" si="99"/>
        <v>2.5836184783910463</v>
      </c>
      <c r="I167" s="276">
        <f t="shared" si="100"/>
        <v>-0.8481768311207073</v>
      </c>
      <c r="J167" s="276">
        <f t="shared" si="101"/>
        <v>0.50227942979031281</v>
      </c>
      <c r="K167" s="276">
        <f t="shared" si="102"/>
        <v>-3.1036113500485394</v>
      </c>
      <c r="L167" s="276">
        <f t="shared" si="103"/>
        <v>-6.3141344232958323</v>
      </c>
      <c r="M167" s="276">
        <f t="shared" si="104"/>
        <v>-1.5755308875088458</v>
      </c>
      <c r="N167" s="685">
        <f t="shared" si="105"/>
        <v>1.4736316149823858</v>
      </c>
      <c r="O167" s="276">
        <f t="shared" si="106"/>
        <v>1.4266397932957229</v>
      </c>
      <c r="P167" s="276">
        <f t="shared" si="107"/>
        <v>1.7913086505943119</v>
      </c>
      <c r="Q167" s="276">
        <f t="shared" si="108"/>
        <v>0.97595739938241644</v>
      </c>
      <c r="R167" s="276">
        <f t="shared" si="109"/>
        <v>1.2968703405320225</v>
      </c>
      <c r="S167" s="686">
        <f t="shared" si="110"/>
        <v>1.6900016079926752</v>
      </c>
      <c r="T167" s="685">
        <f t="shared" si="111"/>
        <v>5.7165173048812328</v>
      </c>
      <c r="U167" s="276">
        <f t="shared" si="112"/>
        <v>5.6999445885633726</v>
      </c>
      <c r="V167" s="276">
        <f t="shared" si="113"/>
        <v>5.8102354613854938</v>
      </c>
      <c r="W167" s="276">
        <f t="shared" si="114"/>
        <v>4.812841554920352</v>
      </c>
      <c r="X167" s="276">
        <f t="shared" si="115"/>
        <v>2.3883835086652994</v>
      </c>
      <c r="Y167" s="686">
        <f t="shared" si="116"/>
        <v>5.6544728687993375</v>
      </c>
      <c r="Z167" s="685" t="e">
        <f t="shared" si="117"/>
        <v>#DIV/0!</v>
      </c>
      <c r="AA167" s="276" t="e">
        <f t="shared" si="118"/>
        <v>#DIV/0!</v>
      </c>
      <c r="AB167" s="276" t="e">
        <f t="shared" si="119"/>
        <v>#DIV/0!</v>
      </c>
      <c r="AC167" s="276" t="e">
        <f t="shared" si="120"/>
        <v>#DIV/0!</v>
      </c>
      <c r="AD167" s="276" t="e">
        <f t="shared" si="121"/>
        <v>#DIV/0!</v>
      </c>
      <c r="AE167" s="686" t="e">
        <f t="shared" si="122"/>
        <v>#DIV/0!</v>
      </c>
      <c r="AF167" s="239"/>
      <c r="AG167" s="965" t="e">
        <f t="shared" si="93"/>
        <v>#VALUE!</v>
      </c>
      <c r="AH167" s="878" t="e">
        <f t="shared" si="94"/>
        <v>#VALUE!</v>
      </c>
      <c r="AI167" s="878" t="e">
        <f t="shared" si="95"/>
        <v>#VALUE!</v>
      </c>
      <c r="AJ167" s="878" t="e">
        <f t="shared" si="96"/>
        <v>#VALUE!</v>
      </c>
      <c r="AK167" s="878" t="e">
        <f t="shared" si="97"/>
        <v>#VALUE!</v>
      </c>
      <c r="AL167" s="966" t="e">
        <f t="shared" si="98"/>
        <v>#VALUE!</v>
      </c>
      <c r="AM167" s="239"/>
      <c r="AO167" s="685">
        <f t="shared" si="123"/>
        <v>2.5836184783910463</v>
      </c>
      <c r="AP167" s="276">
        <f t="shared" si="124"/>
        <v>-0.8481768311207073</v>
      </c>
      <c r="AQ167" s="276">
        <f t="shared" si="125"/>
        <v>0.50227942979031281</v>
      </c>
      <c r="AR167" s="276">
        <f t="shared" si="126"/>
        <v>-3.1036113500485394</v>
      </c>
      <c r="AS167" s="276">
        <f t="shared" si="127"/>
        <v>-6.3141344232958323</v>
      </c>
      <c r="AT167" s="276">
        <f t="shared" si="128"/>
        <v>-1.5755308875088458</v>
      </c>
      <c r="AU167" s="685">
        <f t="shared" si="129"/>
        <v>1.4736316149823858</v>
      </c>
      <c r="AV167" s="276">
        <f t="shared" si="130"/>
        <v>1.4266397932957229</v>
      </c>
      <c r="AW167" s="276">
        <f t="shared" si="131"/>
        <v>1.7913086505943119</v>
      </c>
      <c r="AX167" s="276">
        <f t="shared" si="132"/>
        <v>0.97595739938241644</v>
      </c>
      <c r="AY167" s="276">
        <f t="shared" si="133"/>
        <v>1.2968703405320225</v>
      </c>
      <c r="AZ167" s="686">
        <f t="shared" si="134"/>
        <v>1.6900016079926752</v>
      </c>
      <c r="BA167" s="685">
        <f t="shared" si="135"/>
        <v>0</v>
      </c>
      <c r="BB167" s="276">
        <f t="shared" si="136"/>
        <v>0</v>
      </c>
      <c r="BC167" s="276">
        <f t="shared" si="137"/>
        <v>0</v>
      </c>
      <c r="BD167" s="276">
        <f t="shared" si="138"/>
        <v>0</v>
      </c>
      <c r="BE167" s="276">
        <f t="shared" si="139"/>
        <v>0</v>
      </c>
      <c r="BF167" s="686">
        <f t="shared" si="140"/>
        <v>0</v>
      </c>
      <c r="BG167" s="685" t="e">
        <f t="shared" si="141"/>
        <v>#DIV/0!</v>
      </c>
      <c r="BH167" s="276" t="e">
        <f t="shared" si="142"/>
        <v>#DIV/0!</v>
      </c>
      <c r="BI167" s="276" t="e">
        <f t="shared" si="143"/>
        <v>#DIV/0!</v>
      </c>
      <c r="BJ167" s="276" t="e">
        <f t="shared" si="144"/>
        <v>#DIV/0!</v>
      </c>
      <c r="BK167" s="276" t="e">
        <f t="shared" si="145"/>
        <v>#DIV/0!</v>
      </c>
      <c r="BL167" s="686" t="e">
        <f t="shared" si="146"/>
        <v>#DIV/0!</v>
      </c>
      <c r="BM167" s="239"/>
      <c r="BN167" s="965" t="e">
        <f t="shared" si="147"/>
        <v>#VALUE!</v>
      </c>
      <c r="BO167" s="878" t="e">
        <f t="shared" si="148"/>
        <v>#VALUE!</v>
      </c>
      <c r="BP167" s="878" t="e">
        <f t="shared" si="149"/>
        <v>#VALUE!</v>
      </c>
      <c r="BQ167" s="878" t="e">
        <f t="shared" si="150"/>
        <v>#VALUE!</v>
      </c>
      <c r="BR167" s="878" t="e">
        <f t="shared" si="151"/>
        <v>#VALUE!</v>
      </c>
      <c r="BS167" s="966" t="e">
        <f t="shared" si="152"/>
        <v>#VALUE!</v>
      </c>
    </row>
    <row r="168" spans="1:71">
      <c r="A168" s="284">
        <f t="shared" si="153"/>
        <v>100</v>
      </c>
      <c r="B168" s="285">
        <v>0.72994033139341907</v>
      </c>
      <c r="C168" s="285">
        <v>2.9124922700289271</v>
      </c>
      <c r="D168" s="285">
        <v>-0.52085115216145383</v>
      </c>
      <c r="E168" s="285">
        <v>-1.4773012499601923</v>
      </c>
      <c r="H168" s="685">
        <f t="shared" si="99"/>
        <v>-0.40329351037563577</v>
      </c>
      <c r="I168" s="276">
        <f t="shared" si="100"/>
        <v>0.39217312885973765</v>
      </c>
      <c r="J168" s="276">
        <f t="shared" si="101"/>
        <v>-1.0401316581193347</v>
      </c>
      <c r="K168" s="276">
        <f t="shared" si="102"/>
        <v>-2.7633827126146704</v>
      </c>
      <c r="L168" s="276">
        <f t="shared" si="103"/>
        <v>-0.39780747068960731</v>
      </c>
      <c r="M168" s="276">
        <f t="shared" si="104"/>
        <v>-1.221914575378003</v>
      </c>
      <c r="N168" s="685">
        <f t="shared" si="105"/>
        <v>1.7053210590570587</v>
      </c>
      <c r="O168" s="276">
        <f t="shared" si="106"/>
        <v>1.2415990821729379</v>
      </c>
      <c r="P168" s="276">
        <f t="shared" si="107"/>
        <v>1.5599639741614568</v>
      </c>
      <c r="Q168" s="276">
        <f t="shared" si="108"/>
        <v>1.8170014753218926</v>
      </c>
      <c r="R168" s="276">
        <f t="shared" si="109"/>
        <v>1.7408875170162756</v>
      </c>
      <c r="S168" s="686">
        <f t="shared" si="110"/>
        <v>1.4521283827477223</v>
      </c>
      <c r="T168" s="685">
        <f t="shared" si="111"/>
        <v>2.7575125381094718</v>
      </c>
      <c r="U168" s="276">
        <f t="shared" si="112"/>
        <v>6.6451972275860216</v>
      </c>
      <c r="V168" s="276">
        <f t="shared" si="113"/>
        <v>5.4449152446869942</v>
      </c>
      <c r="W168" s="276">
        <f t="shared" si="114"/>
        <v>4.7828535414882074</v>
      </c>
      <c r="X168" s="276">
        <f t="shared" si="115"/>
        <v>3.8317990648283842</v>
      </c>
      <c r="Y168" s="686">
        <f t="shared" si="116"/>
        <v>3.9526637252319619</v>
      </c>
      <c r="Z168" s="685" t="e">
        <f t="shared" si="117"/>
        <v>#DIV/0!</v>
      </c>
      <c r="AA168" s="276" t="e">
        <f t="shared" si="118"/>
        <v>#DIV/0!</v>
      </c>
      <c r="AB168" s="276" t="e">
        <f t="shared" si="119"/>
        <v>#DIV/0!</v>
      </c>
      <c r="AC168" s="276" t="e">
        <f t="shared" si="120"/>
        <v>#DIV/0!</v>
      </c>
      <c r="AD168" s="276" t="e">
        <f t="shared" si="121"/>
        <v>#DIV/0!</v>
      </c>
      <c r="AE168" s="686" t="e">
        <f t="shared" si="122"/>
        <v>#DIV/0!</v>
      </c>
      <c r="AF168" s="239"/>
      <c r="AG168" s="965" t="e">
        <f t="shared" si="93"/>
        <v>#VALUE!</v>
      </c>
      <c r="AH168" s="878" t="e">
        <f t="shared" si="94"/>
        <v>#VALUE!</v>
      </c>
      <c r="AI168" s="878" t="e">
        <f t="shared" si="95"/>
        <v>#VALUE!</v>
      </c>
      <c r="AJ168" s="878" t="e">
        <f t="shared" si="96"/>
        <v>#VALUE!</v>
      </c>
      <c r="AK168" s="878" t="e">
        <f t="shared" si="97"/>
        <v>#VALUE!</v>
      </c>
      <c r="AL168" s="966" t="e">
        <f t="shared" si="98"/>
        <v>#VALUE!</v>
      </c>
      <c r="AM168" s="239"/>
      <c r="AO168" s="685">
        <f t="shared" si="123"/>
        <v>-0.40329351037563577</v>
      </c>
      <c r="AP168" s="276">
        <f t="shared" si="124"/>
        <v>0.39217312885973765</v>
      </c>
      <c r="AQ168" s="276">
        <f t="shared" si="125"/>
        <v>-1.0401316581193347</v>
      </c>
      <c r="AR168" s="276">
        <f t="shared" si="126"/>
        <v>-2.7633827126146704</v>
      </c>
      <c r="AS168" s="276">
        <f t="shared" si="127"/>
        <v>-0.39780747068960731</v>
      </c>
      <c r="AT168" s="276">
        <f t="shared" si="128"/>
        <v>-1.221914575378003</v>
      </c>
      <c r="AU168" s="685">
        <f t="shared" si="129"/>
        <v>1.7053210590570587</v>
      </c>
      <c r="AV168" s="276">
        <f t="shared" si="130"/>
        <v>1.2415990821729379</v>
      </c>
      <c r="AW168" s="276">
        <f t="shared" si="131"/>
        <v>1.5599639741614568</v>
      </c>
      <c r="AX168" s="276">
        <f t="shared" si="132"/>
        <v>1.8170014753218926</v>
      </c>
      <c r="AY168" s="276">
        <f t="shared" si="133"/>
        <v>1.7408875170162756</v>
      </c>
      <c r="AZ168" s="686">
        <f t="shared" si="134"/>
        <v>1.4521283827477223</v>
      </c>
      <c r="BA168" s="685">
        <f t="shared" si="135"/>
        <v>0</v>
      </c>
      <c r="BB168" s="276">
        <f t="shared" si="136"/>
        <v>0</v>
      </c>
      <c r="BC168" s="276">
        <f t="shared" si="137"/>
        <v>0</v>
      </c>
      <c r="BD168" s="276">
        <f t="shared" si="138"/>
        <v>0</v>
      </c>
      <c r="BE168" s="276">
        <f t="shared" si="139"/>
        <v>0</v>
      </c>
      <c r="BF168" s="686">
        <f t="shared" si="140"/>
        <v>0</v>
      </c>
      <c r="BG168" s="685" t="e">
        <f t="shared" si="141"/>
        <v>#DIV/0!</v>
      </c>
      <c r="BH168" s="276" t="e">
        <f t="shared" si="142"/>
        <v>#DIV/0!</v>
      </c>
      <c r="BI168" s="276" t="e">
        <f t="shared" si="143"/>
        <v>#DIV/0!</v>
      </c>
      <c r="BJ168" s="276" t="e">
        <f t="shared" si="144"/>
        <v>#DIV/0!</v>
      </c>
      <c r="BK168" s="276" t="e">
        <f t="shared" si="145"/>
        <v>#DIV/0!</v>
      </c>
      <c r="BL168" s="686" t="e">
        <f t="shared" si="146"/>
        <v>#DIV/0!</v>
      </c>
      <c r="BM168" s="239"/>
      <c r="BN168" s="965" t="e">
        <f t="shared" si="147"/>
        <v>#VALUE!</v>
      </c>
      <c r="BO168" s="878" t="e">
        <f t="shared" si="148"/>
        <v>#VALUE!</v>
      </c>
      <c r="BP168" s="878" t="e">
        <f t="shared" si="149"/>
        <v>#VALUE!</v>
      </c>
      <c r="BQ168" s="878" t="e">
        <f t="shared" si="150"/>
        <v>#VALUE!</v>
      </c>
      <c r="BR168" s="878" t="e">
        <f t="shared" si="151"/>
        <v>#VALUE!</v>
      </c>
      <c r="BS168" s="966" t="e">
        <f t="shared" si="152"/>
        <v>#VALUE!</v>
      </c>
    </row>
    <row r="169" spans="1:71">
      <c r="A169" s="284">
        <f t="shared" si="153"/>
        <v>101</v>
      </c>
      <c r="B169" s="285">
        <v>3.1909543171551911</v>
      </c>
      <c r="C169" s="285">
        <v>3.5648556562707725</v>
      </c>
      <c r="D169" s="285">
        <v>-0.90469102426558345</v>
      </c>
      <c r="E169" s="285">
        <v>12.896048197210975</v>
      </c>
      <c r="H169" s="685">
        <f t="shared" si="99"/>
        <v>2.0577204753861364</v>
      </c>
      <c r="I169" s="276">
        <f t="shared" si="100"/>
        <v>0.16332484340775499</v>
      </c>
      <c r="J169" s="276">
        <f t="shared" si="101"/>
        <v>1.5132321270592557</v>
      </c>
      <c r="K169" s="276">
        <f t="shared" si="102"/>
        <v>-3.5284375276978519</v>
      </c>
      <c r="L169" s="276">
        <f t="shared" si="103"/>
        <v>-2.5535539152713174</v>
      </c>
      <c r="M169" s="276">
        <f t="shared" si="104"/>
        <v>-1.955616440148553</v>
      </c>
      <c r="N169" s="685">
        <f t="shared" si="105"/>
        <v>2.3576844452989043</v>
      </c>
      <c r="O169" s="276">
        <f t="shared" si="106"/>
        <v>0.86134876791298631</v>
      </c>
      <c r="P169" s="276">
        <f t="shared" si="107"/>
        <v>0.38676141629451677</v>
      </c>
      <c r="Q169" s="276">
        <f t="shared" si="108"/>
        <v>0.88808267323457657</v>
      </c>
      <c r="R169" s="276">
        <f t="shared" si="109"/>
        <v>1.810624366979446</v>
      </c>
      <c r="S169" s="686">
        <f t="shared" si="110"/>
        <v>1.4869706893142547</v>
      </c>
      <c r="T169" s="685">
        <f t="shared" si="111"/>
        <v>2.3736726660053424</v>
      </c>
      <c r="U169" s="276">
        <f t="shared" si="112"/>
        <v>5.4024230767889261</v>
      </c>
      <c r="V169" s="276">
        <f t="shared" si="113"/>
        <v>5.1071559980872721</v>
      </c>
      <c r="W169" s="276">
        <f t="shared" si="114"/>
        <v>4.1434654135081974</v>
      </c>
      <c r="X169" s="276">
        <f t="shared" si="115"/>
        <v>4.8559464202461697</v>
      </c>
      <c r="Y169" s="686">
        <f t="shared" si="116"/>
        <v>3.5611459544140875</v>
      </c>
      <c r="Z169" s="685" t="e">
        <f t="shared" si="117"/>
        <v>#DIV/0!</v>
      </c>
      <c r="AA169" s="276" t="e">
        <f t="shared" si="118"/>
        <v>#DIV/0!</v>
      </c>
      <c r="AB169" s="276" t="e">
        <f t="shared" si="119"/>
        <v>#DIV/0!</v>
      </c>
      <c r="AC169" s="276" t="e">
        <f t="shared" si="120"/>
        <v>#DIV/0!</v>
      </c>
      <c r="AD169" s="276" t="e">
        <f t="shared" si="121"/>
        <v>#DIV/0!</v>
      </c>
      <c r="AE169" s="686" t="e">
        <f t="shared" si="122"/>
        <v>#DIV/0!</v>
      </c>
      <c r="AF169" s="239"/>
      <c r="AG169" s="965" t="e">
        <f t="shared" si="93"/>
        <v>#VALUE!</v>
      </c>
      <c r="AH169" s="878" t="e">
        <f t="shared" si="94"/>
        <v>#VALUE!</v>
      </c>
      <c r="AI169" s="878" t="e">
        <f t="shared" si="95"/>
        <v>#VALUE!</v>
      </c>
      <c r="AJ169" s="878" t="e">
        <f t="shared" si="96"/>
        <v>#VALUE!</v>
      </c>
      <c r="AK169" s="878" t="e">
        <f t="shared" si="97"/>
        <v>#VALUE!</v>
      </c>
      <c r="AL169" s="966" t="e">
        <f t="shared" si="98"/>
        <v>#VALUE!</v>
      </c>
      <c r="AM169" s="239"/>
      <c r="AO169" s="685">
        <f t="shared" si="123"/>
        <v>2.0577204753861364</v>
      </c>
      <c r="AP169" s="276">
        <f t="shared" si="124"/>
        <v>0.16332484340775499</v>
      </c>
      <c r="AQ169" s="276">
        <f t="shared" si="125"/>
        <v>1.5132321270592557</v>
      </c>
      <c r="AR169" s="276">
        <f t="shared" si="126"/>
        <v>-3.5284375276978519</v>
      </c>
      <c r="AS169" s="276">
        <f t="shared" si="127"/>
        <v>-2.5535539152713174</v>
      </c>
      <c r="AT169" s="276">
        <f t="shared" si="128"/>
        <v>-1.955616440148553</v>
      </c>
      <c r="AU169" s="685">
        <f t="shared" si="129"/>
        <v>2.3576844452989043</v>
      </c>
      <c r="AV169" s="276">
        <f t="shared" si="130"/>
        <v>0.86134876791298631</v>
      </c>
      <c r="AW169" s="276">
        <f t="shared" si="131"/>
        <v>0.38676141629451677</v>
      </c>
      <c r="AX169" s="276">
        <f t="shared" si="132"/>
        <v>0.88808267323457657</v>
      </c>
      <c r="AY169" s="276">
        <f t="shared" si="133"/>
        <v>1.810624366979446</v>
      </c>
      <c r="AZ169" s="686">
        <f t="shared" si="134"/>
        <v>1.4869706893142547</v>
      </c>
      <c r="BA169" s="685">
        <f t="shared" si="135"/>
        <v>0</v>
      </c>
      <c r="BB169" s="276">
        <f t="shared" si="136"/>
        <v>0</v>
      </c>
      <c r="BC169" s="276">
        <f t="shared" si="137"/>
        <v>0</v>
      </c>
      <c r="BD169" s="276">
        <f t="shared" si="138"/>
        <v>0</v>
      </c>
      <c r="BE169" s="276">
        <f t="shared" si="139"/>
        <v>0</v>
      </c>
      <c r="BF169" s="686">
        <f t="shared" si="140"/>
        <v>0</v>
      </c>
      <c r="BG169" s="685" t="e">
        <f t="shared" si="141"/>
        <v>#DIV/0!</v>
      </c>
      <c r="BH169" s="276" t="e">
        <f t="shared" si="142"/>
        <v>#DIV/0!</v>
      </c>
      <c r="BI169" s="276" t="e">
        <f t="shared" si="143"/>
        <v>#DIV/0!</v>
      </c>
      <c r="BJ169" s="276" t="e">
        <f t="shared" si="144"/>
        <v>#DIV/0!</v>
      </c>
      <c r="BK169" s="276" t="e">
        <f t="shared" si="145"/>
        <v>#DIV/0!</v>
      </c>
      <c r="BL169" s="686" t="e">
        <f t="shared" si="146"/>
        <v>#DIV/0!</v>
      </c>
      <c r="BM169" s="239"/>
      <c r="BN169" s="965" t="e">
        <f t="shared" si="147"/>
        <v>#VALUE!</v>
      </c>
      <c r="BO169" s="878" t="e">
        <f t="shared" si="148"/>
        <v>#VALUE!</v>
      </c>
      <c r="BP169" s="878" t="e">
        <f t="shared" si="149"/>
        <v>#VALUE!</v>
      </c>
      <c r="BQ169" s="878" t="e">
        <f t="shared" si="150"/>
        <v>#VALUE!</v>
      </c>
      <c r="BR169" s="878" t="e">
        <f t="shared" si="151"/>
        <v>#VALUE!</v>
      </c>
      <c r="BS169" s="966" t="e">
        <f t="shared" si="152"/>
        <v>#VALUE!</v>
      </c>
    </row>
    <row r="170" spans="1:71">
      <c r="A170" s="284">
        <f t="shared" si="153"/>
        <v>102</v>
      </c>
      <c r="B170" s="285">
        <v>0.8100967361885395</v>
      </c>
      <c r="C170" s="285">
        <v>2.7821940976462876</v>
      </c>
      <c r="D170" s="285">
        <v>0.17214303898463634</v>
      </c>
      <c r="E170" s="285">
        <v>1.6795282875871087</v>
      </c>
      <c r="H170" s="685">
        <f t="shared" si="99"/>
        <v>-0.32313710558051534</v>
      </c>
      <c r="I170" s="276">
        <f t="shared" si="100"/>
        <v>-0.20263488657680706</v>
      </c>
      <c r="J170" s="276">
        <f t="shared" si="101"/>
        <v>-2.479607060219331</v>
      </c>
      <c r="K170" s="276">
        <f t="shared" si="102"/>
        <v>-0.40212573184306821</v>
      </c>
      <c r="L170" s="276">
        <f t="shared" si="103"/>
        <v>-2.0722227712799075</v>
      </c>
      <c r="M170" s="276">
        <f t="shared" si="104"/>
        <v>-3.4954632859362249</v>
      </c>
      <c r="N170" s="685">
        <f t="shared" si="105"/>
        <v>1.5750228866744191</v>
      </c>
      <c r="O170" s="276">
        <f t="shared" si="106"/>
        <v>1.6018265173720054</v>
      </c>
      <c r="P170" s="276">
        <f t="shared" si="107"/>
        <v>0.80069430988295864</v>
      </c>
      <c r="Q170" s="276">
        <f t="shared" si="108"/>
        <v>1.7054176758647548</v>
      </c>
      <c r="R170" s="276">
        <f t="shared" si="109"/>
        <v>1.099152250547448</v>
      </c>
      <c r="S170" s="686">
        <f t="shared" si="110"/>
        <v>1.0403978977885713</v>
      </c>
      <c r="T170" s="685">
        <f t="shared" si="111"/>
        <v>3.4505067292555625</v>
      </c>
      <c r="U170" s="276">
        <f t="shared" si="112"/>
        <v>5.6610964730040081</v>
      </c>
      <c r="V170" s="276">
        <f t="shared" si="113"/>
        <v>5.4502433073972743</v>
      </c>
      <c r="W170" s="276">
        <f t="shared" si="114"/>
        <v>4.6762910274592251</v>
      </c>
      <c r="X170" s="276">
        <f t="shared" si="115"/>
        <v>2.1185059502650039</v>
      </c>
      <c r="Y170" s="686">
        <f t="shared" si="116"/>
        <v>3.2287429106411945</v>
      </c>
      <c r="Z170" s="685" t="e">
        <f t="shared" si="117"/>
        <v>#DIV/0!</v>
      </c>
      <c r="AA170" s="276" t="e">
        <f t="shared" si="118"/>
        <v>#DIV/0!</v>
      </c>
      <c r="AB170" s="276" t="e">
        <f t="shared" si="119"/>
        <v>#DIV/0!</v>
      </c>
      <c r="AC170" s="276" t="e">
        <f t="shared" si="120"/>
        <v>#DIV/0!</v>
      </c>
      <c r="AD170" s="276" t="e">
        <f t="shared" si="121"/>
        <v>#DIV/0!</v>
      </c>
      <c r="AE170" s="686" t="e">
        <f t="shared" si="122"/>
        <v>#DIV/0!</v>
      </c>
      <c r="AF170" s="239"/>
      <c r="AG170" s="965" t="e">
        <f t="shared" si="93"/>
        <v>#VALUE!</v>
      </c>
      <c r="AH170" s="878" t="e">
        <f t="shared" si="94"/>
        <v>#VALUE!</v>
      </c>
      <c r="AI170" s="878" t="e">
        <f t="shared" si="95"/>
        <v>#VALUE!</v>
      </c>
      <c r="AJ170" s="878" t="e">
        <f t="shared" si="96"/>
        <v>#VALUE!</v>
      </c>
      <c r="AK170" s="878" t="e">
        <f t="shared" si="97"/>
        <v>#VALUE!</v>
      </c>
      <c r="AL170" s="966" t="e">
        <f t="shared" si="98"/>
        <v>#VALUE!</v>
      </c>
      <c r="AM170" s="239"/>
      <c r="AO170" s="685">
        <f t="shared" si="123"/>
        <v>-0.32313710558051534</v>
      </c>
      <c r="AP170" s="276">
        <f t="shared" si="124"/>
        <v>-0.20263488657680706</v>
      </c>
      <c r="AQ170" s="276">
        <f t="shared" si="125"/>
        <v>-2.479607060219331</v>
      </c>
      <c r="AR170" s="276">
        <f t="shared" si="126"/>
        <v>-0.40212573184306821</v>
      </c>
      <c r="AS170" s="276">
        <f t="shared" si="127"/>
        <v>-2.0722227712799075</v>
      </c>
      <c r="AT170" s="276">
        <f t="shared" si="128"/>
        <v>-3.4954632859362249</v>
      </c>
      <c r="AU170" s="685">
        <f t="shared" si="129"/>
        <v>1.5750228866744191</v>
      </c>
      <c r="AV170" s="276">
        <f t="shared" si="130"/>
        <v>1.6018265173720054</v>
      </c>
      <c r="AW170" s="276">
        <f t="shared" si="131"/>
        <v>0.80069430988295864</v>
      </c>
      <c r="AX170" s="276">
        <f t="shared" si="132"/>
        <v>1.7054176758647548</v>
      </c>
      <c r="AY170" s="276">
        <f t="shared" si="133"/>
        <v>1.099152250547448</v>
      </c>
      <c r="AZ170" s="686">
        <f t="shared" si="134"/>
        <v>1.0403978977885713</v>
      </c>
      <c r="BA170" s="685">
        <f t="shared" si="135"/>
        <v>0</v>
      </c>
      <c r="BB170" s="276">
        <f t="shared" si="136"/>
        <v>0</v>
      </c>
      <c r="BC170" s="276">
        <f t="shared" si="137"/>
        <v>0</v>
      </c>
      <c r="BD170" s="276">
        <f t="shared" si="138"/>
        <v>0</v>
      </c>
      <c r="BE170" s="276">
        <f t="shared" si="139"/>
        <v>0</v>
      </c>
      <c r="BF170" s="686">
        <f t="shared" si="140"/>
        <v>0</v>
      </c>
      <c r="BG170" s="685" t="e">
        <f t="shared" si="141"/>
        <v>#DIV/0!</v>
      </c>
      <c r="BH170" s="276" t="e">
        <f t="shared" si="142"/>
        <v>#DIV/0!</v>
      </c>
      <c r="BI170" s="276" t="e">
        <f t="shared" si="143"/>
        <v>#DIV/0!</v>
      </c>
      <c r="BJ170" s="276" t="e">
        <f t="shared" si="144"/>
        <v>#DIV/0!</v>
      </c>
      <c r="BK170" s="276" t="e">
        <f t="shared" si="145"/>
        <v>#DIV/0!</v>
      </c>
      <c r="BL170" s="686" t="e">
        <f t="shared" si="146"/>
        <v>#DIV/0!</v>
      </c>
      <c r="BM170" s="239"/>
      <c r="BN170" s="965" t="e">
        <f t="shared" si="147"/>
        <v>#VALUE!</v>
      </c>
      <c r="BO170" s="878" t="e">
        <f t="shared" si="148"/>
        <v>#VALUE!</v>
      </c>
      <c r="BP170" s="878" t="e">
        <f t="shared" si="149"/>
        <v>#VALUE!</v>
      </c>
      <c r="BQ170" s="878" t="e">
        <f t="shared" si="150"/>
        <v>#VALUE!</v>
      </c>
      <c r="BR170" s="878" t="e">
        <f t="shared" si="151"/>
        <v>#VALUE!</v>
      </c>
      <c r="BS170" s="966" t="e">
        <f t="shared" si="152"/>
        <v>#VALUE!</v>
      </c>
    </row>
    <row r="171" spans="1:71">
      <c r="A171" s="284">
        <f t="shared" si="153"/>
        <v>103</v>
      </c>
      <c r="B171" s="285">
        <v>-0.3288776996775109</v>
      </c>
      <c r="C171" s="285">
        <v>2.191283320842683</v>
      </c>
      <c r="D171" s="285">
        <v>0.89114786196477092</v>
      </c>
      <c r="E171" s="285">
        <v>3.5957037012746302</v>
      </c>
      <c r="H171" s="685">
        <f t="shared" si="99"/>
        <v>-1.4621115414465657</v>
      </c>
      <c r="I171" s="276">
        <f t="shared" si="100"/>
        <v>-0.47612467707005113</v>
      </c>
      <c r="J171" s="276">
        <f t="shared" si="101"/>
        <v>6.6846006374941869E-2</v>
      </c>
      <c r="K171" s="276">
        <f t="shared" si="102"/>
        <v>-0.25638612427569485</v>
      </c>
      <c r="L171" s="276">
        <f t="shared" si="103"/>
        <v>0.2117772197326695</v>
      </c>
      <c r="M171" s="276">
        <f t="shared" si="104"/>
        <v>-2.486864017540602</v>
      </c>
      <c r="N171" s="685">
        <f t="shared" si="105"/>
        <v>0.98411210987081454</v>
      </c>
      <c r="O171" s="276">
        <f t="shared" si="106"/>
        <v>1.1490819545301612</v>
      </c>
      <c r="P171" s="276">
        <f t="shared" si="107"/>
        <v>1.2799110891951002</v>
      </c>
      <c r="Q171" s="276">
        <f t="shared" si="108"/>
        <v>1.3713705790294475</v>
      </c>
      <c r="R171" s="276">
        <f t="shared" si="109"/>
        <v>1.7920305338655329</v>
      </c>
      <c r="S171" s="686">
        <f t="shared" si="110"/>
        <v>1.2105685941499742</v>
      </c>
      <c r="T171" s="685">
        <f t="shared" si="111"/>
        <v>4.1695115522356971</v>
      </c>
      <c r="U171" s="276">
        <f t="shared" si="112"/>
        <v>4.0563106127037978</v>
      </c>
      <c r="V171" s="276">
        <f t="shared" si="113"/>
        <v>5.0433790447152811</v>
      </c>
      <c r="W171" s="276">
        <f t="shared" si="114"/>
        <v>5.1560473019973045</v>
      </c>
      <c r="X171" s="276">
        <f t="shared" si="115"/>
        <v>5.5142206630745871</v>
      </c>
      <c r="Y171" s="686">
        <f t="shared" si="116"/>
        <v>4.4581767166962791</v>
      </c>
      <c r="Z171" s="685" t="e">
        <f t="shared" si="117"/>
        <v>#DIV/0!</v>
      </c>
      <c r="AA171" s="276" t="e">
        <f t="shared" si="118"/>
        <v>#DIV/0!</v>
      </c>
      <c r="AB171" s="276" t="e">
        <f t="shared" si="119"/>
        <v>#DIV/0!</v>
      </c>
      <c r="AC171" s="276" t="e">
        <f t="shared" si="120"/>
        <v>#DIV/0!</v>
      </c>
      <c r="AD171" s="276" t="e">
        <f t="shared" si="121"/>
        <v>#DIV/0!</v>
      </c>
      <c r="AE171" s="686" t="e">
        <f t="shared" si="122"/>
        <v>#DIV/0!</v>
      </c>
      <c r="AF171" s="239"/>
      <c r="AG171" s="965" t="e">
        <f t="shared" si="93"/>
        <v>#VALUE!</v>
      </c>
      <c r="AH171" s="878" t="e">
        <f t="shared" si="94"/>
        <v>#VALUE!</v>
      </c>
      <c r="AI171" s="878" t="e">
        <f t="shared" si="95"/>
        <v>#VALUE!</v>
      </c>
      <c r="AJ171" s="878" t="e">
        <f t="shared" si="96"/>
        <v>#VALUE!</v>
      </c>
      <c r="AK171" s="878" t="e">
        <f t="shared" si="97"/>
        <v>#VALUE!</v>
      </c>
      <c r="AL171" s="966" t="e">
        <f t="shared" si="98"/>
        <v>#VALUE!</v>
      </c>
      <c r="AM171" s="239"/>
      <c r="AO171" s="685">
        <f t="shared" si="123"/>
        <v>-1.4621115414465657</v>
      </c>
      <c r="AP171" s="276">
        <f t="shared" si="124"/>
        <v>-0.47612467707005113</v>
      </c>
      <c r="AQ171" s="276">
        <f t="shared" si="125"/>
        <v>6.6846006374941869E-2</v>
      </c>
      <c r="AR171" s="276">
        <f t="shared" si="126"/>
        <v>-0.25638612427569485</v>
      </c>
      <c r="AS171" s="276">
        <f t="shared" si="127"/>
        <v>0.2117772197326695</v>
      </c>
      <c r="AT171" s="276">
        <f t="shared" si="128"/>
        <v>-2.486864017540602</v>
      </c>
      <c r="AU171" s="685">
        <f t="shared" si="129"/>
        <v>0.98411210987081454</v>
      </c>
      <c r="AV171" s="276">
        <f t="shared" si="130"/>
        <v>1.1490819545301612</v>
      </c>
      <c r="AW171" s="276">
        <f t="shared" si="131"/>
        <v>1.2799110891951002</v>
      </c>
      <c r="AX171" s="276">
        <f t="shared" si="132"/>
        <v>1.3713705790294475</v>
      </c>
      <c r="AY171" s="276">
        <f t="shared" si="133"/>
        <v>1.7920305338655329</v>
      </c>
      <c r="AZ171" s="686">
        <f t="shared" si="134"/>
        <v>1.2105685941499742</v>
      </c>
      <c r="BA171" s="685">
        <f t="shared" si="135"/>
        <v>0</v>
      </c>
      <c r="BB171" s="276">
        <f t="shared" si="136"/>
        <v>0</v>
      </c>
      <c r="BC171" s="276">
        <f t="shared" si="137"/>
        <v>0</v>
      </c>
      <c r="BD171" s="276">
        <f t="shared" si="138"/>
        <v>0</v>
      </c>
      <c r="BE171" s="276">
        <f t="shared" si="139"/>
        <v>0</v>
      </c>
      <c r="BF171" s="686">
        <f t="shared" si="140"/>
        <v>0</v>
      </c>
      <c r="BG171" s="685" t="e">
        <f t="shared" si="141"/>
        <v>#DIV/0!</v>
      </c>
      <c r="BH171" s="276" t="e">
        <f t="shared" si="142"/>
        <v>#DIV/0!</v>
      </c>
      <c r="BI171" s="276" t="e">
        <f t="shared" si="143"/>
        <v>#DIV/0!</v>
      </c>
      <c r="BJ171" s="276" t="e">
        <f t="shared" si="144"/>
        <v>#DIV/0!</v>
      </c>
      <c r="BK171" s="276" t="e">
        <f t="shared" si="145"/>
        <v>#DIV/0!</v>
      </c>
      <c r="BL171" s="686" t="e">
        <f t="shared" si="146"/>
        <v>#DIV/0!</v>
      </c>
      <c r="BM171" s="239"/>
      <c r="BN171" s="965" t="e">
        <f t="shared" si="147"/>
        <v>#VALUE!</v>
      </c>
      <c r="BO171" s="878" t="e">
        <f t="shared" si="148"/>
        <v>#VALUE!</v>
      </c>
      <c r="BP171" s="878" t="e">
        <f t="shared" si="149"/>
        <v>#VALUE!</v>
      </c>
      <c r="BQ171" s="878" t="e">
        <f t="shared" si="150"/>
        <v>#VALUE!</v>
      </c>
      <c r="BR171" s="878" t="e">
        <f t="shared" si="151"/>
        <v>#VALUE!</v>
      </c>
      <c r="BS171" s="966" t="e">
        <f t="shared" si="152"/>
        <v>#VALUE!</v>
      </c>
    </row>
    <row r="172" spans="1:71">
      <c r="A172" s="284">
        <f t="shared" si="153"/>
        <v>104</v>
      </c>
      <c r="B172" s="285">
        <v>-4.4835260598724308E-2</v>
      </c>
      <c r="C172" s="285">
        <v>1.3996040544833632</v>
      </c>
      <c r="D172" s="285">
        <v>4.7862345982162084</v>
      </c>
      <c r="E172" s="285">
        <v>-19.480593168471682</v>
      </c>
      <c r="H172" s="685">
        <f t="shared" si="99"/>
        <v>-1.1780691023677792</v>
      </c>
      <c r="I172" s="276">
        <f t="shared" si="100"/>
        <v>0.44311349057872196</v>
      </c>
      <c r="J172" s="276">
        <f t="shared" si="101"/>
        <v>-4.637108101566989</v>
      </c>
      <c r="K172" s="276">
        <f t="shared" si="102"/>
        <v>-4.2459548961854159</v>
      </c>
      <c r="L172" s="276">
        <f t="shared" si="103"/>
        <v>-4.3670954129019153</v>
      </c>
      <c r="M172" s="276">
        <f t="shared" si="104"/>
        <v>0.18807415192392951</v>
      </c>
      <c r="N172" s="685">
        <f t="shared" si="105"/>
        <v>0.19243284351149481</v>
      </c>
      <c r="O172" s="276">
        <f t="shared" si="106"/>
        <v>1.0933770122647444</v>
      </c>
      <c r="P172" s="276">
        <f t="shared" si="107"/>
        <v>1.0401912416594661</v>
      </c>
      <c r="Q172" s="276">
        <f t="shared" si="108"/>
        <v>0.40311341247066168</v>
      </c>
      <c r="R172" s="276">
        <f t="shared" si="109"/>
        <v>1.2089192502560901</v>
      </c>
      <c r="S172" s="686">
        <f t="shared" si="110"/>
        <v>0.54908735117801566</v>
      </c>
      <c r="T172" s="685">
        <f t="shared" si="111"/>
        <v>8.0645982884871348</v>
      </c>
      <c r="U172" s="276">
        <f t="shared" si="112"/>
        <v>6.9084736872339967</v>
      </c>
      <c r="V172" s="276">
        <f t="shared" si="113"/>
        <v>5.0591195808664322</v>
      </c>
      <c r="W172" s="276">
        <f t="shared" si="114"/>
        <v>5.7766817174364515</v>
      </c>
      <c r="X172" s="276">
        <f t="shared" si="115"/>
        <v>3.1522788551693885</v>
      </c>
      <c r="Y172" s="686">
        <f t="shared" si="116"/>
        <v>4.0709554466237226</v>
      </c>
      <c r="Z172" s="685" t="e">
        <f t="shared" si="117"/>
        <v>#DIV/0!</v>
      </c>
      <c r="AA172" s="276" t="e">
        <f t="shared" si="118"/>
        <v>#DIV/0!</v>
      </c>
      <c r="AB172" s="276" t="e">
        <f t="shared" si="119"/>
        <v>#DIV/0!</v>
      </c>
      <c r="AC172" s="276" t="e">
        <f t="shared" si="120"/>
        <v>#DIV/0!</v>
      </c>
      <c r="AD172" s="276" t="e">
        <f t="shared" si="121"/>
        <v>#DIV/0!</v>
      </c>
      <c r="AE172" s="686" t="e">
        <f t="shared" si="122"/>
        <v>#DIV/0!</v>
      </c>
      <c r="AF172" s="239"/>
      <c r="AG172" s="965" t="e">
        <f t="shared" si="93"/>
        <v>#VALUE!</v>
      </c>
      <c r="AH172" s="878" t="e">
        <f t="shared" si="94"/>
        <v>#VALUE!</v>
      </c>
      <c r="AI172" s="878" t="e">
        <f t="shared" si="95"/>
        <v>#VALUE!</v>
      </c>
      <c r="AJ172" s="878" t="e">
        <f t="shared" si="96"/>
        <v>#VALUE!</v>
      </c>
      <c r="AK172" s="878" t="e">
        <f t="shared" si="97"/>
        <v>#VALUE!</v>
      </c>
      <c r="AL172" s="966" t="e">
        <f t="shared" si="98"/>
        <v>#VALUE!</v>
      </c>
      <c r="AM172" s="239"/>
      <c r="AO172" s="685">
        <f t="shared" si="123"/>
        <v>-1.1780691023677792</v>
      </c>
      <c r="AP172" s="276">
        <f t="shared" si="124"/>
        <v>0.44311349057872196</v>
      </c>
      <c r="AQ172" s="276">
        <f t="shared" si="125"/>
        <v>-4.637108101566989</v>
      </c>
      <c r="AR172" s="276">
        <f t="shared" si="126"/>
        <v>-4.2459548961854159</v>
      </c>
      <c r="AS172" s="276">
        <f t="shared" si="127"/>
        <v>-4.3670954129019153</v>
      </c>
      <c r="AT172" s="276">
        <f t="shared" si="128"/>
        <v>0.18807415192392951</v>
      </c>
      <c r="AU172" s="685">
        <f t="shared" si="129"/>
        <v>0.19243284351149481</v>
      </c>
      <c r="AV172" s="276">
        <f t="shared" si="130"/>
        <v>1.0933770122647444</v>
      </c>
      <c r="AW172" s="276">
        <f t="shared" si="131"/>
        <v>1.0401912416594661</v>
      </c>
      <c r="AX172" s="276">
        <f t="shared" si="132"/>
        <v>0.40311341247066168</v>
      </c>
      <c r="AY172" s="276">
        <f t="shared" si="133"/>
        <v>1.2089192502560901</v>
      </c>
      <c r="AZ172" s="686">
        <f t="shared" si="134"/>
        <v>0.54908735117801566</v>
      </c>
      <c r="BA172" s="685">
        <f t="shared" si="135"/>
        <v>0</v>
      </c>
      <c r="BB172" s="276">
        <f t="shared" si="136"/>
        <v>0</v>
      </c>
      <c r="BC172" s="276">
        <f t="shared" si="137"/>
        <v>0</v>
      </c>
      <c r="BD172" s="276">
        <f t="shared" si="138"/>
        <v>0</v>
      </c>
      <c r="BE172" s="276">
        <f t="shared" si="139"/>
        <v>0</v>
      </c>
      <c r="BF172" s="686">
        <f t="shared" si="140"/>
        <v>0</v>
      </c>
      <c r="BG172" s="685" t="e">
        <f t="shared" si="141"/>
        <v>#DIV/0!</v>
      </c>
      <c r="BH172" s="276" t="e">
        <f t="shared" si="142"/>
        <v>#DIV/0!</v>
      </c>
      <c r="BI172" s="276" t="e">
        <f t="shared" si="143"/>
        <v>#DIV/0!</v>
      </c>
      <c r="BJ172" s="276" t="e">
        <f t="shared" si="144"/>
        <v>#DIV/0!</v>
      </c>
      <c r="BK172" s="276" t="e">
        <f t="shared" si="145"/>
        <v>#DIV/0!</v>
      </c>
      <c r="BL172" s="686" t="e">
        <f t="shared" si="146"/>
        <v>#DIV/0!</v>
      </c>
      <c r="BM172" s="239"/>
      <c r="BN172" s="965" t="e">
        <f t="shared" si="147"/>
        <v>#VALUE!</v>
      </c>
      <c r="BO172" s="878" t="e">
        <f t="shared" si="148"/>
        <v>#VALUE!</v>
      </c>
      <c r="BP172" s="878" t="e">
        <f t="shared" si="149"/>
        <v>#VALUE!</v>
      </c>
      <c r="BQ172" s="878" t="e">
        <f t="shared" si="150"/>
        <v>#VALUE!</v>
      </c>
      <c r="BR172" s="878" t="e">
        <f t="shared" si="151"/>
        <v>#VALUE!</v>
      </c>
      <c r="BS172" s="966" t="e">
        <f t="shared" si="152"/>
        <v>#VALUE!</v>
      </c>
    </row>
    <row r="173" spans="1:71">
      <c r="A173" s="284">
        <f t="shared" si="153"/>
        <v>105</v>
      </c>
      <c r="B173" s="285">
        <v>0.49218165741701131</v>
      </c>
      <c r="C173" s="285">
        <v>2.2359140941991726</v>
      </c>
      <c r="D173" s="285">
        <v>0.57347481244558263</v>
      </c>
      <c r="E173" s="285">
        <v>-11.700414024845376</v>
      </c>
      <c r="H173" s="685">
        <f t="shared" si="99"/>
        <v>-0.64105218435204359</v>
      </c>
      <c r="I173" s="276">
        <f t="shared" si="100"/>
        <v>0.76875242574724312</v>
      </c>
      <c r="J173" s="276">
        <f t="shared" si="101"/>
        <v>2.3221292597508238</v>
      </c>
      <c r="K173" s="276">
        <f t="shared" si="102"/>
        <v>-0.90812622362881212</v>
      </c>
      <c r="L173" s="276">
        <f t="shared" si="103"/>
        <v>-5.2756225222579687</v>
      </c>
      <c r="M173" s="276">
        <f t="shared" si="104"/>
        <v>2.6304894030818211</v>
      </c>
      <c r="N173" s="685">
        <f t="shared" si="105"/>
        <v>1.0287428832273042</v>
      </c>
      <c r="O173" s="276">
        <f t="shared" si="106"/>
        <v>1.8906475664280491</v>
      </c>
      <c r="P173" s="276">
        <f t="shared" si="107"/>
        <v>1.0583119158174863</v>
      </c>
      <c r="Q173" s="276">
        <f t="shared" si="108"/>
        <v>0.98562992196003196</v>
      </c>
      <c r="R173" s="276">
        <f t="shared" si="109"/>
        <v>1.3883782179112789</v>
      </c>
      <c r="S173" s="686">
        <f t="shared" si="110"/>
        <v>1.7683426071238395</v>
      </c>
      <c r="T173" s="685">
        <f t="shared" si="111"/>
        <v>3.8518385027165083</v>
      </c>
      <c r="U173" s="276">
        <f t="shared" si="112"/>
        <v>4.7643272159918908</v>
      </c>
      <c r="V173" s="276">
        <f t="shared" si="113"/>
        <v>6.0702167679665067</v>
      </c>
      <c r="W173" s="276">
        <f t="shared" si="114"/>
        <v>4.6729880469132947</v>
      </c>
      <c r="X173" s="276">
        <f t="shared" si="115"/>
        <v>2.9583765923191989</v>
      </c>
      <c r="Y173" s="686">
        <f t="shared" si="116"/>
        <v>5.1564536152105056</v>
      </c>
      <c r="Z173" s="685" t="e">
        <f t="shared" si="117"/>
        <v>#DIV/0!</v>
      </c>
      <c r="AA173" s="276" t="e">
        <f t="shared" si="118"/>
        <v>#DIV/0!</v>
      </c>
      <c r="AB173" s="276" t="e">
        <f t="shared" si="119"/>
        <v>#DIV/0!</v>
      </c>
      <c r="AC173" s="276" t="e">
        <f t="shared" si="120"/>
        <v>#DIV/0!</v>
      </c>
      <c r="AD173" s="276" t="e">
        <f t="shared" si="121"/>
        <v>#DIV/0!</v>
      </c>
      <c r="AE173" s="686" t="e">
        <f t="shared" si="122"/>
        <v>#DIV/0!</v>
      </c>
      <c r="AF173" s="239"/>
      <c r="AG173" s="965" t="e">
        <f t="shared" si="93"/>
        <v>#VALUE!</v>
      </c>
      <c r="AH173" s="878" t="e">
        <f t="shared" si="94"/>
        <v>#VALUE!</v>
      </c>
      <c r="AI173" s="878" t="e">
        <f t="shared" si="95"/>
        <v>#VALUE!</v>
      </c>
      <c r="AJ173" s="878" t="e">
        <f t="shared" si="96"/>
        <v>#VALUE!</v>
      </c>
      <c r="AK173" s="878" t="e">
        <f t="shared" si="97"/>
        <v>#VALUE!</v>
      </c>
      <c r="AL173" s="966" t="e">
        <f t="shared" si="98"/>
        <v>#VALUE!</v>
      </c>
      <c r="AM173" s="239"/>
      <c r="AO173" s="685">
        <f t="shared" si="123"/>
        <v>-0.64105218435204359</v>
      </c>
      <c r="AP173" s="276">
        <f t="shared" si="124"/>
        <v>0.76875242574724312</v>
      </c>
      <c r="AQ173" s="276">
        <f t="shared" si="125"/>
        <v>2.3221292597508238</v>
      </c>
      <c r="AR173" s="276">
        <f t="shared" si="126"/>
        <v>-0.90812622362881212</v>
      </c>
      <c r="AS173" s="276">
        <f t="shared" si="127"/>
        <v>-5.2756225222579687</v>
      </c>
      <c r="AT173" s="276">
        <f t="shared" si="128"/>
        <v>2.6304894030818211</v>
      </c>
      <c r="AU173" s="685">
        <f t="shared" si="129"/>
        <v>1.0287428832273042</v>
      </c>
      <c r="AV173" s="276">
        <f t="shared" si="130"/>
        <v>1.8906475664280491</v>
      </c>
      <c r="AW173" s="276">
        <f t="shared" si="131"/>
        <v>1.0583119158174863</v>
      </c>
      <c r="AX173" s="276">
        <f t="shared" si="132"/>
        <v>0.98562992196003196</v>
      </c>
      <c r="AY173" s="276">
        <f t="shared" si="133"/>
        <v>1.3883782179112789</v>
      </c>
      <c r="AZ173" s="686">
        <f t="shared" si="134"/>
        <v>1.7683426071238395</v>
      </c>
      <c r="BA173" s="685">
        <f t="shared" si="135"/>
        <v>0</v>
      </c>
      <c r="BB173" s="276">
        <f t="shared" si="136"/>
        <v>0</v>
      </c>
      <c r="BC173" s="276">
        <f t="shared" si="137"/>
        <v>0</v>
      </c>
      <c r="BD173" s="276">
        <f t="shared" si="138"/>
        <v>0</v>
      </c>
      <c r="BE173" s="276">
        <f t="shared" si="139"/>
        <v>0</v>
      </c>
      <c r="BF173" s="686">
        <f t="shared" si="140"/>
        <v>0</v>
      </c>
      <c r="BG173" s="685" t="e">
        <f t="shared" si="141"/>
        <v>#DIV/0!</v>
      </c>
      <c r="BH173" s="276" t="e">
        <f t="shared" si="142"/>
        <v>#DIV/0!</v>
      </c>
      <c r="BI173" s="276" t="e">
        <f t="shared" si="143"/>
        <v>#DIV/0!</v>
      </c>
      <c r="BJ173" s="276" t="e">
        <f t="shared" si="144"/>
        <v>#DIV/0!</v>
      </c>
      <c r="BK173" s="276" t="e">
        <f t="shared" si="145"/>
        <v>#DIV/0!</v>
      </c>
      <c r="BL173" s="686" t="e">
        <f t="shared" si="146"/>
        <v>#DIV/0!</v>
      </c>
      <c r="BM173" s="239"/>
      <c r="BN173" s="965" t="e">
        <f t="shared" si="147"/>
        <v>#VALUE!</v>
      </c>
      <c r="BO173" s="878" t="e">
        <f t="shared" si="148"/>
        <v>#VALUE!</v>
      </c>
      <c r="BP173" s="878" t="e">
        <f t="shared" si="149"/>
        <v>#VALUE!</v>
      </c>
      <c r="BQ173" s="878" t="e">
        <f t="shared" si="150"/>
        <v>#VALUE!</v>
      </c>
      <c r="BR173" s="878" t="e">
        <f t="shared" si="151"/>
        <v>#VALUE!</v>
      </c>
      <c r="BS173" s="966" t="e">
        <f t="shared" si="152"/>
        <v>#VALUE!</v>
      </c>
    </row>
    <row r="174" spans="1:71">
      <c r="A174" s="284">
        <f t="shared" si="153"/>
        <v>106</v>
      </c>
      <c r="B174" s="285">
        <v>-5.0481966693784042</v>
      </c>
      <c r="C174" s="285">
        <v>2.7539145812066872</v>
      </c>
      <c r="D174" s="285">
        <v>0.31630016341867462</v>
      </c>
      <c r="E174" s="285">
        <v>15.907985349848428</v>
      </c>
      <c r="H174" s="685">
        <f t="shared" si="99"/>
        <v>-6.1814305111474592</v>
      </c>
      <c r="I174" s="276">
        <f t="shared" si="100"/>
        <v>1.0930720185529921</v>
      </c>
      <c r="J174" s="276">
        <f t="shared" si="101"/>
        <v>-1.6397861536319667</v>
      </c>
      <c r="K174" s="276">
        <f t="shared" si="102"/>
        <v>-1.4478089476112874</v>
      </c>
      <c r="L174" s="276">
        <f t="shared" si="103"/>
        <v>-5.3691289839683893</v>
      </c>
      <c r="M174" s="276">
        <f t="shared" si="104"/>
        <v>-3.5477071294587708</v>
      </c>
      <c r="N174" s="685">
        <f t="shared" si="105"/>
        <v>1.5467433702348188</v>
      </c>
      <c r="O174" s="276">
        <f t="shared" si="106"/>
        <v>1.0191698751134621</v>
      </c>
      <c r="P174" s="276">
        <f t="shared" si="107"/>
        <v>1.160861472720623</v>
      </c>
      <c r="Q174" s="276">
        <f t="shared" si="108"/>
        <v>1.8062516002683464</v>
      </c>
      <c r="R174" s="276">
        <f t="shared" si="109"/>
        <v>0.60962453937563588</v>
      </c>
      <c r="S174" s="686">
        <f t="shared" si="110"/>
        <v>1.7811797301610872</v>
      </c>
      <c r="T174" s="685">
        <f t="shared" si="111"/>
        <v>3.5946638536896005</v>
      </c>
      <c r="U174" s="276">
        <f t="shared" si="112"/>
        <v>5.0445713137919572</v>
      </c>
      <c r="V174" s="276">
        <f t="shared" si="113"/>
        <v>4.8146677717883613</v>
      </c>
      <c r="W174" s="276">
        <f t="shared" si="114"/>
        <v>5.1481469009486887</v>
      </c>
      <c r="X174" s="276">
        <f t="shared" si="115"/>
        <v>2.9674257590767716</v>
      </c>
      <c r="Y174" s="686">
        <f t="shared" si="116"/>
        <v>2.1209469175502371</v>
      </c>
      <c r="Z174" s="685" t="e">
        <f t="shared" si="117"/>
        <v>#DIV/0!</v>
      </c>
      <c r="AA174" s="276" t="e">
        <f t="shared" si="118"/>
        <v>#DIV/0!</v>
      </c>
      <c r="AB174" s="276" t="e">
        <f t="shared" si="119"/>
        <v>#DIV/0!</v>
      </c>
      <c r="AC174" s="276" t="e">
        <f t="shared" si="120"/>
        <v>#DIV/0!</v>
      </c>
      <c r="AD174" s="276" t="e">
        <f t="shared" si="121"/>
        <v>#DIV/0!</v>
      </c>
      <c r="AE174" s="686" t="e">
        <f t="shared" si="122"/>
        <v>#DIV/0!</v>
      </c>
      <c r="AF174" s="239"/>
      <c r="AG174" s="965" t="e">
        <f t="shared" si="93"/>
        <v>#VALUE!</v>
      </c>
      <c r="AH174" s="878" t="e">
        <f t="shared" si="94"/>
        <v>#VALUE!</v>
      </c>
      <c r="AI174" s="878" t="e">
        <f t="shared" si="95"/>
        <v>#VALUE!</v>
      </c>
      <c r="AJ174" s="878" t="e">
        <f t="shared" si="96"/>
        <v>#VALUE!</v>
      </c>
      <c r="AK174" s="878" t="e">
        <f t="shared" si="97"/>
        <v>#VALUE!</v>
      </c>
      <c r="AL174" s="966" t="e">
        <f t="shared" si="98"/>
        <v>#VALUE!</v>
      </c>
      <c r="AM174" s="239"/>
      <c r="AO174" s="685">
        <f t="shared" si="123"/>
        <v>-6.1814305111474592</v>
      </c>
      <c r="AP174" s="276">
        <f t="shared" si="124"/>
        <v>1.0930720185529921</v>
      </c>
      <c r="AQ174" s="276">
        <f t="shared" si="125"/>
        <v>-1.6397861536319667</v>
      </c>
      <c r="AR174" s="276">
        <f t="shared" si="126"/>
        <v>-1.4478089476112874</v>
      </c>
      <c r="AS174" s="276">
        <f t="shared" si="127"/>
        <v>-5.3691289839683893</v>
      </c>
      <c r="AT174" s="276">
        <f t="shared" si="128"/>
        <v>-3.5477071294587708</v>
      </c>
      <c r="AU174" s="685">
        <f t="shared" si="129"/>
        <v>1.5467433702348188</v>
      </c>
      <c r="AV174" s="276">
        <f t="shared" si="130"/>
        <v>1.0191698751134621</v>
      </c>
      <c r="AW174" s="276">
        <f t="shared" si="131"/>
        <v>1.160861472720623</v>
      </c>
      <c r="AX174" s="276">
        <f t="shared" si="132"/>
        <v>1.8062516002683464</v>
      </c>
      <c r="AY174" s="276">
        <f t="shared" si="133"/>
        <v>0.60962453937563588</v>
      </c>
      <c r="AZ174" s="686">
        <f t="shared" si="134"/>
        <v>1.7811797301610872</v>
      </c>
      <c r="BA174" s="685">
        <f t="shared" si="135"/>
        <v>0</v>
      </c>
      <c r="BB174" s="276">
        <f t="shared" si="136"/>
        <v>0</v>
      </c>
      <c r="BC174" s="276">
        <f t="shared" si="137"/>
        <v>0</v>
      </c>
      <c r="BD174" s="276">
        <f t="shared" si="138"/>
        <v>0</v>
      </c>
      <c r="BE174" s="276">
        <f t="shared" si="139"/>
        <v>0</v>
      </c>
      <c r="BF174" s="686">
        <f t="shared" si="140"/>
        <v>0</v>
      </c>
      <c r="BG174" s="685" t="e">
        <f t="shared" si="141"/>
        <v>#DIV/0!</v>
      </c>
      <c r="BH174" s="276" t="e">
        <f t="shared" si="142"/>
        <v>#DIV/0!</v>
      </c>
      <c r="BI174" s="276" t="e">
        <f t="shared" si="143"/>
        <v>#DIV/0!</v>
      </c>
      <c r="BJ174" s="276" t="e">
        <f t="shared" si="144"/>
        <v>#DIV/0!</v>
      </c>
      <c r="BK174" s="276" t="e">
        <f t="shared" si="145"/>
        <v>#DIV/0!</v>
      </c>
      <c r="BL174" s="686" t="e">
        <f t="shared" si="146"/>
        <v>#DIV/0!</v>
      </c>
      <c r="BM174" s="239"/>
      <c r="BN174" s="965" t="e">
        <f t="shared" si="147"/>
        <v>#VALUE!</v>
      </c>
      <c r="BO174" s="878" t="e">
        <f t="shared" si="148"/>
        <v>#VALUE!</v>
      </c>
      <c r="BP174" s="878" t="e">
        <f t="shared" si="149"/>
        <v>#VALUE!</v>
      </c>
      <c r="BQ174" s="878" t="e">
        <f t="shared" si="150"/>
        <v>#VALUE!</v>
      </c>
      <c r="BR174" s="878" t="e">
        <f t="shared" si="151"/>
        <v>#VALUE!</v>
      </c>
      <c r="BS174" s="966" t="e">
        <f t="shared" si="152"/>
        <v>#VALUE!</v>
      </c>
    </row>
    <row r="175" spans="1:71">
      <c r="A175" s="284">
        <f t="shared" si="153"/>
        <v>107</v>
      </c>
      <c r="B175" s="285">
        <v>-1.1706180086804943</v>
      </c>
      <c r="C175" s="285">
        <v>2.4034941891061066</v>
      </c>
      <c r="D175" s="285">
        <v>0.63211105707421045</v>
      </c>
      <c r="E175" s="285">
        <v>-4.5381429459228784</v>
      </c>
      <c r="H175" s="685">
        <f t="shared" si="99"/>
        <v>-2.3038518504495489</v>
      </c>
      <c r="I175" s="276">
        <f t="shared" si="100"/>
        <v>-3.7387097404864047</v>
      </c>
      <c r="J175" s="276">
        <f t="shared" si="101"/>
        <v>-2.5285237813426509E-2</v>
      </c>
      <c r="K175" s="276">
        <f t="shared" si="102"/>
        <v>0.45020511700765264</v>
      </c>
      <c r="L175" s="276">
        <f t="shared" si="103"/>
        <v>-4.6152180987004456</v>
      </c>
      <c r="M175" s="276">
        <f t="shared" si="104"/>
        <v>-5.31712026712131</v>
      </c>
      <c r="N175" s="685">
        <f t="shared" si="105"/>
        <v>1.1963229781342382</v>
      </c>
      <c r="O175" s="276">
        <f t="shared" si="106"/>
        <v>1.0310827517242347</v>
      </c>
      <c r="P175" s="276">
        <f t="shared" si="107"/>
        <v>1.3851426235184736</v>
      </c>
      <c r="Q175" s="276">
        <f t="shared" si="108"/>
        <v>1.4584323786709004</v>
      </c>
      <c r="R175" s="276">
        <f t="shared" si="109"/>
        <v>0.82962973737449253</v>
      </c>
      <c r="S175" s="686">
        <f t="shared" si="110"/>
        <v>1.7437003180144488</v>
      </c>
      <c r="T175" s="685">
        <f t="shared" si="111"/>
        <v>3.9104747473451362</v>
      </c>
      <c r="U175" s="276">
        <f t="shared" si="112"/>
        <v>4.4433371223008145</v>
      </c>
      <c r="V175" s="276">
        <f t="shared" si="113"/>
        <v>3.9165957338819912</v>
      </c>
      <c r="W175" s="276">
        <f t="shared" si="114"/>
        <v>6.4602540815504694</v>
      </c>
      <c r="X175" s="276">
        <f t="shared" si="115"/>
        <v>3.5648432242136803</v>
      </c>
      <c r="Y175" s="686">
        <f t="shared" si="116"/>
        <v>2.7352578663491345</v>
      </c>
      <c r="Z175" s="685" t="e">
        <f t="shared" si="117"/>
        <v>#DIV/0!</v>
      </c>
      <c r="AA175" s="276" t="e">
        <f t="shared" si="118"/>
        <v>#DIV/0!</v>
      </c>
      <c r="AB175" s="276" t="e">
        <f t="shared" si="119"/>
        <v>#DIV/0!</v>
      </c>
      <c r="AC175" s="276" t="e">
        <f t="shared" si="120"/>
        <v>#DIV/0!</v>
      </c>
      <c r="AD175" s="276" t="e">
        <f t="shared" si="121"/>
        <v>#DIV/0!</v>
      </c>
      <c r="AE175" s="686" t="e">
        <f t="shared" si="122"/>
        <v>#DIV/0!</v>
      </c>
      <c r="AF175" s="239"/>
      <c r="AG175" s="965" t="e">
        <f t="shared" si="93"/>
        <v>#VALUE!</v>
      </c>
      <c r="AH175" s="878" t="e">
        <f t="shared" si="94"/>
        <v>#VALUE!</v>
      </c>
      <c r="AI175" s="878" t="e">
        <f t="shared" si="95"/>
        <v>#VALUE!</v>
      </c>
      <c r="AJ175" s="878" t="e">
        <f t="shared" si="96"/>
        <v>#VALUE!</v>
      </c>
      <c r="AK175" s="878" t="e">
        <f t="shared" si="97"/>
        <v>#VALUE!</v>
      </c>
      <c r="AL175" s="966" t="e">
        <f t="shared" si="98"/>
        <v>#VALUE!</v>
      </c>
      <c r="AM175" s="239"/>
      <c r="AO175" s="685">
        <f t="shared" si="123"/>
        <v>-2.3038518504495489</v>
      </c>
      <c r="AP175" s="276">
        <f t="shared" si="124"/>
        <v>-3.7387097404864047</v>
      </c>
      <c r="AQ175" s="276">
        <f t="shared" si="125"/>
        <v>-2.5285237813426509E-2</v>
      </c>
      <c r="AR175" s="276">
        <f t="shared" si="126"/>
        <v>0.45020511700765264</v>
      </c>
      <c r="AS175" s="276">
        <f t="shared" si="127"/>
        <v>-4.6152180987004456</v>
      </c>
      <c r="AT175" s="276">
        <f t="shared" si="128"/>
        <v>-5.31712026712131</v>
      </c>
      <c r="AU175" s="685">
        <f t="shared" si="129"/>
        <v>1.1963229781342382</v>
      </c>
      <c r="AV175" s="276">
        <f t="shared" si="130"/>
        <v>1.0310827517242347</v>
      </c>
      <c r="AW175" s="276">
        <f t="shared" si="131"/>
        <v>1.3851426235184736</v>
      </c>
      <c r="AX175" s="276">
        <f t="shared" si="132"/>
        <v>1.4584323786709004</v>
      </c>
      <c r="AY175" s="276">
        <f t="shared" si="133"/>
        <v>0.82962973737449253</v>
      </c>
      <c r="AZ175" s="686">
        <f t="shared" si="134"/>
        <v>1.7437003180144488</v>
      </c>
      <c r="BA175" s="685">
        <f t="shared" si="135"/>
        <v>0</v>
      </c>
      <c r="BB175" s="276">
        <f t="shared" si="136"/>
        <v>0</v>
      </c>
      <c r="BC175" s="276">
        <f t="shared" si="137"/>
        <v>0</v>
      </c>
      <c r="BD175" s="276">
        <f t="shared" si="138"/>
        <v>0</v>
      </c>
      <c r="BE175" s="276">
        <f t="shared" si="139"/>
        <v>0</v>
      </c>
      <c r="BF175" s="686">
        <f t="shared" si="140"/>
        <v>0</v>
      </c>
      <c r="BG175" s="685" t="e">
        <f t="shared" si="141"/>
        <v>#DIV/0!</v>
      </c>
      <c r="BH175" s="276" t="e">
        <f t="shared" si="142"/>
        <v>#DIV/0!</v>
      </c>
      <c r="BI175" s="276" t="e">
        <f t="shared" si="143"/>
        <v>#DIV/0!</v>
      </c>
      <c r="BJ175" s="276" t="e">
        <f t="shared" si="144"/>
        <v>#DIV/0!</v>
      </c>
      <c r="BK175" s="276" t="e">
        <f t="shared" si="145"/>
        <v>#DIV/0!</v>
      </c>
      <c r="BL175" s="686" t="e">
        <f t="shared" si="146"/>
        <v>#DIV/0!</v>
      </c>
      <c r="BM175" s="239"/>
      <c r="BN175" s="965" t="e">
        <f t="shared" si="147"/>
        <v>#VALUE!</v>
      </c>
      <c r="BO175" s="878" t="e">
        <f t="shared" si="148"/>
        <v>#VALUE!</v>
      </c>
      <c r="BP175" s="878" t="e">
        <f t="shared" si="149"/>
        <v>#VALUE!</v>
      </c>
      <c r="BQ175" s="878" t="e">
        <f t="shared" si="150"/>
        <v>#VALUE!</v>
      </c>
      <c r="BR175" s="878" t="e">
        <f t="shared" si="151"/>
        <v>#VALUE!</v>
      </c>
      <c r="BS175" s="966" t="e">
        <f t="shared" si="152"/>
        <v>#VALUE!</v>
      </c>
    </row>
    <row r="176" spans="1:71">
      <c r="A176" s="284">
        <f t="shared" si="153"/>
        <v>108</v>
      </c>
      <c r="B176" s="285">
        <v>5.6243915472298376</v>
      </c>
      <c r="C176" s="285">
        <v>3.1289948062498922</v>
      </c>
      <c r="D176" s="285">
        <v>2.9797371484985713</v>
      </c>
      <c r="E176" s="285">
        <v>-11.350974916836567</v>
      </c>
      <c r="H176" s="685">
        <f t="shared" si="99"/>
        <v>4.4911577054607825</v>
      </c>
      <c r="I176" s="276">
        <f t="shared" si="100"/>
        <v>4.9676148779395364</v>
      </c>
      <c r="J176" s="276">
        <f t="shared" si="101"/>
        <v>1.3518847719848177</v>
      </c>
      <c r="K176" s="276">
        <f t="shared" si="102"/>
        <v>-3.8707833183744613</v>
      </c>
      <c r="L176" s="276">
        <f t="shared" si="103"/>
        <v>-3.1720099585188217</v>
      </c>
      <c r="M176" s="276">
        <f t="shared" si="104"/>
        <v>-0.10238084364549338</v>
      </c>
      <c r="N176" s="685">
        <f t="shared" si="105"/>
        <v>1.9218235952780238</v>
      </c>
      <c r="O176" s="276">
        <f t="shared" si="106"/>
        <v>2.5487483827528568</v>
      </c>
      <c r="P176" s="276">
        <f t="shared" si="107"/>
        <v>1.7683456570207186</v>
      </c>
      <c r="Q176" s="276">
        <f t="shared" si="108"/>
        <v>0.52131510003706016</v>
      </c>
      <c r="R176" s="276">
        <f t="shared" si="109"/>
        <v>0.80419351954829987</v>
      </c>
      <c r="S176" s="686">
        <f t="shared" si="110"/>
        <v>1.4189374926911966</v>
      </c>
      <c r="T176" s="685">
        <f t="shared" si="111"/>
        <v>6.2581008387694972</v>
      </c>
      <c r="U176" s="276">
        <f t="shared" si="112"/>
        <v>5.4058008699072477</v>
      </c>
      <c r="V176" s="276">
        <f t="shared" si="113"/>
        <v>5.0633103432497801</v>
      </c>
      <c r="W176" s="276">
        <f t="shared" si="114"/>
        <v>4.000582210595649</v>
      </c>
      <c r="X176" s="276">
        <f t="shared" si="115"/>
        <v>4.5450325957024589</v>
      </c>
      <c r="Y176" s="686">
        <f t="shared" si="116"/>
        <v>6.5196376837257404</v>
      </c>
      <c r="Z176" s="685" t="e">
        <f t="shared" si="117"/>
        <v>#DIV/0!</v>
      </c>
      <c r="AA176" s="276" t="e">
        <f t="shared" si="118"/>
        <v>#DIV/0!</v>
      </c>
      <c r="AB176" s="276" t="e">
        <f t="shared" si="119"/>
        <v>#DIV/0!</v>
      </c>
      <c r="AC176" s="276" t="e">
        <f t="shared" si="120"/>
        <v>#DIV/0!</v>
      </c>
      <c r="AD176" s="276" t="e">
        <f t="shared" si="121"/>
        <v>#DIV/0!</v>
      </c>
      <c r="AE176" s="686" t="e">
        <f t="shared" si="122"/>
        <v>#DIV/0!</v>
      </c>
      <c r="AF176" s="239"/>
      <c r="AG176" s="965" t="e">
        <f t="shared" si="93"/>
        <v>#VALUE!</v>
      </c>
      <c r="AH176" s="878" t="e">
        <f t="shared" si="94"/>
        <v>#VALUE!</v>
      </c>
      <c r="AI176" s="878" t="e">
        <f t="shared" si="95"/>
        <v>#VALUE!</v>
      </c>
      <c r="AJ176" s="878" t="e">
        <f t="shared" si="96"/>
        <v>#VALUE!</v>
      </c>
      <c r="AK176" s="878" t="e">
        <f t="shared" si="97"/>
        <v>#VALUE!</v>
      </c>
      <c r="AL176" s="966" t="e">
        <f t="shared" si="98"/>
        <v>#VALUE!</v>
      </c>
      <c r="AM176" s="239"/>
      <c r="AO176" s="685">
        <f t="shared" si="123"/>
        <v>4.4911577054607825</v>
      </c>
      <c r="AP176" s="276">
        <f t="shared" si="124"/>
        <v>4.9676148779395364</v>
      </c>
      <c r="AQ176" s="276">
        <f t="shared" si="125"/>
        <v>1.3518847719848177</v>
      </c>
      <c r="AR176" s="276">
        <f t="shared" si="126"/>
        <v>-3.8707833183744613</v>
      </c>
      <c r="AS176" s="276">
        <f t="shared" si="127"/>
        <v>-3.1720099585188217</v>
      </c>
      <c r="AT176" s="276">
        <f t="shared" si="128"/>
        <v>-0.10238084364549338</v>
      </c>
      <c r="AU176" s="685">
        <f t="shared" si="129"/>
        <v>1.9218235952780238</v>
      </c>
      <c r="AV176" s="276">
        <f t="shared" si="130"/>
        <v>2.5487483827528568</v>
      </c>
      <c r="AW176" s="276">
        <f t="shared" si="131"/>
        <v>1.7683456570207186</v>
      </c>
      <c r="AX176" s="276">
        <f t="shared" si="132"/>
        <v>0.52131510003706016</v>
      </c>
      <c r="AY176" s="276">
        <f t="shared" si="133"/>
        <v>0.80419351954829987</v>
      </c>
      <c r="AZ176" s="686">
        <f t="shared" si="134"/>
        <v>1.4189374926911966</v>
      </c>
      <c r="BA176" s="685">
        <f t="shared" si="135"/>
        <v>0</v>
      </c>
      <c r="BB176" s="276">
        <f t="shared" si="136"/>
        <v>0</v>
      </c>
      <c r="BC176" s="276">
        <f t="shared" si="137"/>
        <v>0</v>
      </c>
      <c r="BD176" s="276">
        <f t="shared" si="138"/>
        <v>0</v>
      </c>
      <c r="BE176" s="276">
        <f t="shared" si="139"/>
        <v>0</v>
      </c>
      <c r="BF176" s="686">
        <f t="shared" si="140"/>
        <v>0</v>
      </c>
      <c r="BG176" s="685" t="e">
        <f t="shared" si="141"/>
        <v>#DIV/0!</v>
      </c>
      <c r="BH176" s="276" t="e">
        <f t="shared" si="142"/>
        <v>#DIV/0!</v>
      </c>
      <c r="BI176" s="276" t="e">
        <f t="shared" si="143"/>
        <v>#DIV/0!</v>
      </c>
      <c r="BJ176" s="276" t="e">
        <f t="shared" si="144"/>
        <v>#DIV/0!</v>
      </c>
      <c r="BK176" s="276" t="e">
        <f t="shared" si="145"/>
        <v>#DIV/0!</v>
      </c>
      <c r="BL176" s="686" t="e">
        <f t="shared" si="146"/>
        <v>#DIV/0!</v>
      </c>
      <c r="BM176" s="239"/>
      <c r="BN176" s="965" t="e">
        <f t="shared" si="147"/>
        <v>#VALUE!</v>
      </c>
      <c r="BO176" s="878" t="e">
        <f t="shared" si="148"/>
        <v>#VALUE!</v>
      </c>
      <c r="BP176" s="878" t="e">
        <f t="shared" si="149"/>
        <v>#VALUE!</v>
      </c>
      <c r="BQ176" s="878" t="e">
        <f t="shared" si="150"/>
        <v>#VALUE!</v>
      </c>
      <c r="BR176" s="878" t="e">
        <f t="shared" si="151"/>
        <v>#VALUE!</v>
      </c>
      <c r="BS176" s="966" t="e">
        <f t="shared" si="152"/>
        <v>#VALUE!</v>
      </c>
    </row>
    <row r="177" spans="1:71">
      <c r="A177" s="284">
        <f t="shared" si="153"/>
        <v>109</v>
      </c>
      <c r="B177" s="285">
        <v>0.533100616673026</v>
      </c>
      <c r="C177" s="285">
        <v>2.6408162026911626</v>
      </c>
      <c r="D177" s="285">
        <v>3.3293288480168997</v>
      </c>
      <c r="E177" s="285">
        <v>-14.453126632176092</v>
      </c>
      <c r="H177" s="685">
        <f t="shared" si="99"/>
        <v>-0.60013322509602884</v>
      </c>
      <c r="I177" s="276">
        <f t="shared" si="100"/>
        <v>-0.54706832873727307</v>
      </c>
      <c r="J177" s="276">
        <f t="shared" si="101"/>
        <v>-1.2098761153558946</v>
      </c>
      <c r="K177" s="276">
        <f t="shared" si="102"/>
        <v>-0.89211204300362312</v>
      </c>
      <c r="L177" s="276">
        <f t="shared" si="103"/>
        <v>-1.1996448051832291</v>
      </c>
      <c r="M177" s="276">
        <f t="shared" si="104"/>
        <v>1.7111125277328945</v>
      </c>
      <c r="N177" s="685">
        <f t="shared" si="105"/>
        <v>1.4336449917192942</v>
      </c>
      <c r="O177" s="276">
        <f t="shared" si="106"/>
        <v>1.2854732331623893</v>
      </c>
      <c r="P177" s="276">
        <f t="shared" si="107"/>
        <v>1.4370066741451211</v>
      </c>
      <c r="Q177" s="276">
        <f t="shared" si="108"/>
        <v>0.89170057717055085</v>
      </c>
      <c r="R177" s="276">
        <f t="shared" si="109"/>
        <v>1.2253953957282475</v>
      </c>
      <c r="S177" s="686">
        <f t="shared" si="110"/>
        <v>0.87287595873306389</v>
      </c>
      <c r="T177" s="685">
        <f t="shared" si="111"/>
        <v>6.6076925382878251</v>
      </c>
      <c r="U177" s="276">
        <f t="shared" si="112"/>
        <v>5.1417773272206224</v>
      </c>
      <c r="V177" s="276">
        <f t="shared" si="113"/>
        <v>5.0909502223371446</v>
      </c>
      <c r="W177" s="276">
        <f t="shared" si="114"/>
        <v>3.2158538999074073</v>
      </c>
      <c r="X177" s="276">
        <f t="shared" si="115"/>
        <v>4.9293694095702607</v>
      </c>
      <c r="Y177" s="686">
        <f t="shared" si="116"/>
        <v>5.2231936771824161</v>
      </c>
      <c r="Z177" s="685" t="e">
        <f t="shared" si="117"/>
        <v>#DIV/0!</v>
      </c>
      <c r="AA177" s="276" t="e">
        <f t="shared" si="118"/>
        <v>#DIV/0!</v>
      </c>
      <c r="AB177" s="276" t="e">
        <f t="shared" si="119"/>
        <v>#DIV/0!</v>
      </c>
      <c r="AC177" s="276" t="e">
        <f t="shared" si="120"/>
        <v>#DIV/0!</v>
      </c>
      <c r="AD177" s="276" t="e">
        <f t="shared" si="121"/>
        <v>#DIV/0!</v>
      </c>
      <c r="AE177" s="686" t="e">
        <f t="shared" si="122"/>
        <v>#DIV/0!</v>
      </c>
      <c r="AF177" s="239"/>
      <c r="AG177" s="965" t="e">
        <f t="shared" si="93"/>
        <v>#VALUE!</v>
      </c>
      <c r="AH177" s="878" t="e">
        <f t="shared" si="94"/>
        <v>#VALUE!</v>
      </c>
      <c r="AI177" s="878" t="e">
        <f t="shared" si="95"/>
        <v>#VALUE!</v>
      </c>
      <c r="AJ177" s="878" t="e">
        <f t="shared" si="96"/>
        <v>#VALUE!</v>
      </c>
      <c r="AK177" s="878" t="e">
        <f t="shared" si="97"/>
        <v>#VALUE!</v>
      </c>
      <c r="AL177" s="966" t="e">
        <f t="shared" si="98"/>
        <v>#VALUE!</v>
      </c>
      <c r="AM177" s="239"/>
      <c r="AO177" s="685">
        <f t="shared" si="123"/>
        <v>-0.60013322509602884</v>
      </c>
      <c r="AP177" s="276">
        <f t="shared" si="124"/>
        <v>-0.54706832873727307</v>
      </c>
      <c r="AQ177" s="276">
        <f t="shared" si="125"/>
        <v>-1.2098761153558946</v>
      </c>
      <c r="AR177" s="276">
        <f t="shared" si="126"/>
        <v>-0.89211204300362312</v>
      </c>
      <c r="AS177" s="276">
        <f t="shared" si="127"/>
        <v>-1.1996448051832291</v>
      </c>
      <c r="AT177" s="276">
        <f t="shared" si="128"/>
        <v>1.7111125277328945</v>
      </c>
      <c r="AU177" s="685">
        <f t="shared" si="129"/>
        <v>1.4336449917192942</v>
      </c>
      <c r="AV177" s="276">
        <f t="shared" si="130"/>
        <v>1.2854732331623893</v>
      </c>
      <c r="AW177" s="276">
        <f t="shared" si="131"/>
        <v>1.4370066741451211</v>
      </c>
      <c r="AX177" s="276">
        <f t="shared" si="132"/>
        <v>0.89170057717055085</v>
      </c>
      <c r="AY177" s="276">
        <f t="shared" si="133"/>
        <v>1.2253953957282475</v>
      </c>
      <c r="AZ177" s="686">
        <f t="shared" si="134"/>
        <v>0.87287595873306389</v>
      </c>
      <c r="BA177" s="685">
        <f t="shared" si="135"/>
        <v>0</v>
      </c>
      <c r="BB177" s="276">
        <f t="shared" si="136"/>
        <v>0</v>
      </c>
      <c r="BC177" s="276">
        <f t="shared" si="137"/>
        <v>0</v>
      </c>
      <c r="BD177" s="276">
        <f t="shared" si="138"/>
        <v>0</v>
      </c>
      <c r="BE177" s="276">
        <f t="shared" si="139"/>
        <v>0</v>
      </c>
      <c r="BF177" s="686">
        <f t="shared" si="140"/>
        <v>0</v>
      </c>
      <c r="BG177" s="685" t="e">
        <f t="shared" si="141"/>
        <v>#DIV/0!</v>
      </c>
      <c r="BH177" s="276" t="e">
        <f t="shared" si="142"/>
        <v>#DIV/0!</v>
      </c>
      <c r="BI177" s="276" t="e">
        <f t="shared" si="143"/>
        <v>#DIV/0!</v>
      </c>
      <c r="BJ177" s="276" t="e">
        <f t="shared" si="144"/>
        <v>#DIV/0!</v>
      </c>
      <c r="BK177" s="276" t="e">
        <f t="shared" si="145"/>
        <v>#DIV/0!</v>
      </c>
      <c r="BL177" s="686" t="e">
        <f t="shared" si="146"/>
        <v>#DIV/0!</v>
      </c>
      <c r="BM177" s="239"/>
      <c r="BN177" s="965" t="e">
        <f t="shared" si="147"/>
        <v>#VALUE!</v>
      </c>
      <c r="BO177" s="878" t="e">
        <f t="shared" si="148"/>
        <v>#VALUE!</v>
      </c>
      <c r="BP177" s="878" t="e">
        <f t="shared" si="149"/>
        <v>#VALUE!</v>
      </c>
      <c r="BQ177" s="878" t="e">
        <f t="shared" si="150"/>
        <v>#VALUE!</v>
      </c>
      <c r="BR177" s="878" t="e">
        <f t="shared" si="151"/>
        <v>#VALUE!</v>
      </c>
      <c r="BS177" s="966" t="e">
        <f t="shared" si="152"/>
        <v>#VALUE!</v>
      </c>
    </row>
    <row r="178" spans="1:71">
      <c r="A178" s="284">
        <f t="shared" si="153"/>
        <v>110</v>
      </c>
      <c r="B178" s="285">
        <v>1.1595264067026347</v>
      </c>
      <c r="C178" s="285">
        <v>2.2981443183463983</v>
      </c>
      <c r="D178" s="285">
        <v>0.3867995889771928</v>
      </c>
      <c r="E178" s="285">
        <v>0.8965855510933749</v>
      </c>
      <c r="H178" s="685">
        <f t="shared" si="99"/>
        <v>2.6292564933579898E-2</v>
      </c>
      <c r="I178" s="276">
        <f t="shared" si="100"/>
        <v>-1.319649703779519</v>
      </c>
      <c r="J178" s="276">
        <f t="shared" si="101"/>
        <v>-3.4480393018588051</v>
      </c>
      <c r="K178" s="276">
        <f t="shared" si="102"/>
        <v>-2.1094517378423108</v>
      </c>
      <c r="L178" s="276">
        <f t="shared" si="103"/>
        <v>-4.0678771527583413</v>
      </c>
      <c r="M178" s="276">
        <f t="shared" si="104"/>
        <v>4.0726158450352727</v>
      </c>
      <c r="N178" s="685">
        <f t="shared" si="105"/>
        <v>1.0909731073745299</v>
      </c>
      <c r="O178" s="276">
        <f t="shared" si="106"/>
        <v>1.0153691876606545</v>
      </c>
      <c r="P178" s="276">
        <f t="shared" si="107"/>
        <v>1.4582734093640675</v>
      </c>
      <c r="Q178" s="276">
        <f t="shared" si="108"/>
        <v>1.6013037572455635</v>
      </c>
      <c r="R178" s="276">
        <f t="shared" si="109"/>
        <v>3.6286002719776445E-2</v>
      </c>
      <c r="S178" s="686">
        <f t="shared" si="110"/>
        <v>1.512866175208311</v>
      </c>
      <c r="T178" s="685">
        <f t="shared" si="111"/>
        <v>3.6651632792481186</v>
      </c>
      <c r="U178" s="276">
        <f t="shared" si="112"/>
        <v>5.4878472129045655</v>
      </c>
      <c r="V178" s="276">
        <f t="shared" si="113"/>
        <v>6.1445479805174212</v>
      </c>
      <c r="W178" s="276">
        <f t="shared" si="114"/>
        <v>2.8881044904553432</v>
      </c>
      <c r="X178" s="276">
        <f t="shared" si="115"/>
        <v>4.4926316753862316</v>
      </c>
      <c r="Y178" s="686">
        <f t="shared" si="116"/>
        <v>6.0912511018433051</v>
      </c>
      <c r="Z178" s="685" t="e">
        <f t="shared" si="117"/>
        <v>#DIV/0!</v>
      </c>
      <c r="AA178" s="276" t="e">
        <f t="shared" si="118"/>
        <v>#DIV/0!</v>
      </c>
      <c r="AB178" s="276" t="e">
        <f t="shared" si="119"/>
        <v>#DIV/0!</v>
      </c>
      <c r="AC178" s="276" t="e">
        <f t="shared" si="120"/>
        <v>#DIV/0!</v>
      </c>
      <c r="AD178" s="276" t="e">
        <f t="shared" si="121"/>
        <v>#DIV/0!</v>
      </c>
      <c r="AE178" s="686" t="e">
        <f t="shared" si="122"/>
        <v>#DIV/0!</v>
      </c>
      <c r="AF178" s="239"/>
      <c r="AG178" s="965" t="e">
        <f t="shared" si="93"/>
        <v>#VALUE!</v>
      </c>
      <c r="AH178" s="878" t="e">
        <f t="shared" si="94"/>
        <v>#VALUE!</v>
      </c>
      <c r="AI178" s="878" t="e">
        <f t="shared" si="95"/>
        <v>#VALUE!</v>
      </c>
      <c r="AJ178" s="878" t="e">
        <f t="shared" si="96"/>
        <v>#VALUE!</v>
      </c>
      <c r="AK178" s="878" t="e">
        <f t="shared" si="97"/>
        <v>#VALUE!</v>
      </c>
      <c r="AL178" s="966" t="e">
        <f t="shared" si="98"/>
        <v>#VALUE!</v>
      </c>
      <c r="AM178" s="239"/>
      <c r="AO178" s="685">
        <f t="shared" si="123"/>
        <v>2.6292564933579898E-2</v>
      </c>
      <c r="AP178" s="276">
        <f t="shared" si="124"/>
        <v>-1.319649703779519</v>
      </c>
      <c r="AQ178" s="276">
        <f t="shared" si="125"/>
        <v>-3.4480393018588051</v>
      </c>
      <c r="AR178" s="276">
        <f t="shared" si="126"/>
        <v>-2.1094517378423108</v>
      </c>
      <c r="AS178" s="276">
        <f t="shared" si="127"/>
        <v>-4.0678771527583413</v>
      </c>
      <c r="AT178" s="276">
        <f t="shared" si="128"/>
        <v>4.0726158450352727</v>
      </c>
      <c r="AU178" s="685">
        <f t="shared" si="129"/>
        <v>1.0909731073745299</v>
      </c>
      <c r="AV178" s="276">
        <f t="shared" si="130"/>
        <v>1.0153691876606545</v>
      </c>
      <c r="AW178" s="276">
        <f t="shared" si="131"/>
        <v>1.4582734093640675</v>
      </c>
      <c r="AX178" s="276">
        <f t="shared" si="132"/>
        <v>1.6013037572455635</v>
      </c>
      <c r="AY178" s="276">
        <f t="shared" si="133"/>
        <v>3.6286002719776445E-2</v>
      </c>
      <c r="AZ178" s="686">
        <f t="shared" si="134"/>
        <v>1.512866175208311</v>
      </c>
      <c r="BA178" s="685">
        <f t="shared" si="135"/>
        <v>0</v>
      </c>
      <c r="BB178" s="276">
        <f t="shared" si="136"/>
        <v>0</v>
      </c>
      <c r="BC178" s="276">
        <f t="shared" si="137"/>
        <v>0</v>
      </c>
      <c r="BD178" s="276">
        <f t="shared" si="138"/>
        <v>0</v>
      </c>
      <c r="BE178" s="276">
        <f t="shared" si="139"/>
        <v>0</v>
      </c>
      <c r="BF178" s="686">
        <f t="shared" si="140"/>
        <v>0</v>
      </c>
      <c r="BG178" s="685" t="e">
        <f t="shared" si="141"/>
        <v>#DIV/0!</v>
      </c>
      <c r="BH178" s="276" t="e">
        <f t="shared" si="142"/>
        <v>#DIV/0!</v>
      </c>
      <c r="BI178" s="276" t="e">
        <f t="shared" si="143"/>
        <v>#DIV/0!</v>
      </c>
      <c r="BJ178" s="276" t="e">
        <f t="shared" si="144"/>
        <v>#DIV/0!</v>
      </c>
      <c r="BK178" s="276" t="e">
        <f t="shared" si="145"/>
        <v>#DIV/0!</v>
      </c>
      <c r="BL178" s="686" t="e">
        <f t="shared" si="146"/>
        <v>#DIV/0!</v>
      </c>
      <c r="BM178" s="239"/>
      <c r="BN178" s="965" t="e">
        <f t="shared" si="147"/>
        <v>#VALUE!</v>
      </c>
      <c r="BO178" s="878" t="e">
        <f t="shared" si="148"/>
        <v>#VALUE!</v>
      </c>
      <c r="BP178" s="878" t="e">
        <f t="shared" si="149"/>
        <v>#VALUE!</v>
      </c>
      <c r="BQ178" s="878" t="e">
        <f t="shared" si="150"/>
        <v>#VALUE!</v>
      </c>
      <c r="BR178" s="878" t="e">
        <f t="shared" si="151"/>
        <v>#VALUE!</v>
      </c>
      <c r="BS178" s="966" t="e">
        <f t="shared" si="152"/>
        <v>#VALUE!</v>
      </c>
    </row>
    <row r="179" spans="1:71">
      <c r="A179" s="284">
        <f t="shared" si="153"/>
        <v>111</v>
      </c>
      <c r="B179" s="285">
        <v>3.3132571416337981</v>
      </c>
      <c r="C179" s="285">
        <v>2.7404310834697423</v>
      </c>
      <c r="D179" s="285">
        <v>0.2643463794094365</v>
      </c>
      <c r="E179" s="285">
        <v>0.61248114277678001</v>
      </c>
      <c r="H179" s="685">
        <f t="shared" si="99"/>
        <v>2.1800232998647431</v>
      </c>
      <c r="I179" s="276">
        <f t="shared" si="100"/>
        <v>1.9214127228076967</v>
      </c>
      <c r="J179" s="276">
        <f t="shared" si="101"/>
        <v>-3.4613682836381541</v>
      </c>
      <c r="K179" s="276">
        <f t="shared" si="102"/>
        <v>-3.5912578885630433</v>
      </c>
      <c r="L179" s="276">
        <f t="shared" si="103"/>
        <v>-4.5786162147768907</v>
      </c>
      <c r="M179" s="276">
        <f t="shared" si="104"/>
        <v>-2.3658987299340177</v>
      </c>
      <c r="N179" s="685">
        <f t="shared" si="105"/>
        <v>1.5332598724978739</v>
      </c>
      <c r="O179" s="276">
        <f t="shared" si="106"/>
        <v>2.1869153836551902</v>
      </c>
      <c r="P179" s="276">
        <f t="shared" si="107"/>
        <v>1.1507107767198004</v>
      </c>
      <c r="Q179" s="276">
        <f t="shared" si="108"/>
        <v>0.7156255611301281</v>
      </c>
      <c r="R179" s="276">
        <f t="shared" si="109"/>
        <v>0.97765674821746873</v>
      </c>
      <c r="S179" s="686">
        <f t="shared" si="110"/>
        <v>2.1513552523870363</v>
      </c>
      <c r="T179" s="685">
        <f t="shared" si="111"/>
        <v>3.5427100696803624</v>
      </c>
      <c r="U179" s="276">
        <f t="shared" si="112"/>
        <v>3.5189226555532778</v>
      </c>
      <c r="V179" s="276">
        <f t="shared" si="113"/>
        <v>3.8716329228048427</v>
      </c>
      <c r="W179" s="276">
        <f t="shared" si="114"/>
        <v>4.8934964157998326</v>
      </c>
      <c r="X179" s="276">
        <f t="shared" si="115"/>
        <v>4.283874015811401</v>
      </c>
      <c r="Y179" s="686">
        <f t="shared" si="116"/>
        <v>5.0424032744027505</v>
      </c>
      <c r="Z179" s="685" t="e">
        <f t="shared" si="117"/>
        <v>#DIV/0!</v>
      </c>
      <c r="AA179" s="276" t="e">
        <f t="shared" si="118"/>
        <v>#DIV/0!</v>
      </c>
      <c r="AB179" s="276" t="e">
        <f t="shared" si="119"/>
        <v>#DIV/0!</v>
      </c>
      <c r="AC179" s="276" t="e">
        <f t="shared" si="120"/>
        <v>#DIV/0!</v>
      </c>
      <c r="AD179" s="276" t="e">
        <f t="shared" si="121"/>
        <v>#DIV/0!</v>
      </c>
      <c r="AE179" s="686" t="e">
        <f t="shared" si="122"/>
        <v>#DIV/0!</v>
      </c>
      <c r="AF179" s="239"/>
      <c r="AG179" s="965" t="e">
        <f t="shared" si="93"/>
        <v>#VALUE!</v>
      </c>
      <c r="AH179" s="878" t="e">
        <f t="shared" si="94"/>
        <v>#VALUE!</v>
      </c>
      <c r="AI179" s="878" t="e">
        <f t="shared" si="95"/>
        <v>#VALUE!</v>
      </c>
      <c r="AJ179" s="878" t="e">
        <f t="shared" si="96"/>
        <v>#VALUE!</v>
      </c>
      <c r="AK179" s="878" t="e">
        <f t="shared" si="97"/>
        <v>#VALUE!</v>
      </c>
      <c r="AL179" s="966" t="e">
        <f t="shared" si="98"/>
        <v>#VALUE!</v>
      </c>
      <c r="AM179" s="239"/>
      <c r="AO179" s="685">
        <f t="shared" si="123"/>
        <v>2.1800232998647431</v>
      </c>
      <c r="AP179" s="276">
        <f t="shared" si="124"/>
        <v>1.9214127228076967</v>
      </c>
      <c r="AQ179" s="276">
        <f t="shared" si="125"/>
        <v>-3.4613682836381541</v>
      </c>
      <c r="AR179" s="276">
        <f t="shared" si="126"/>
        <v>-3.5912578885630433</v>
      </c>
      <c r="AS179" s="276">
        <f t="shared" si="127"/>
        <v>-4.5786162147768907</v>
      </c>
      <c r="AT179" s="276">
        <f t="shared" si="128"/>
        <v>-2.3658987299340177</v>
      </c>
      <c r="AU179" s="685">
        <f t="shared" si="129"/>
        <v>1.5332598724978739</v>
      </c>
      <c r="AV179" s="276">
        <f t="shared" si="130"/>
        <v>2.1869153836551902</v>
      </c>
      <c r="AW179" s="276">
        <f t="shared" si="131"/>
        <v>1.1507107767198004</v>
      </c>
      <c r="AX179" s="276">
        <f t="shared" si="132"/>
        <v>0.7156255611301281</v>
      </c>
      <c r="AY179" s="276">
        <f t="shared" si="133"/>
        <v>0.97765674821746873</v>
      </c>
      <c r="AZ179" s="686">
        <f t="shared" si="134"/>
        <v>2.1513552523870363</v>
      </c>
      <c r="BA179" s="685">
        <f t="shared" si="135"/>
        <v>0</v>
      </c>
      <c r="BB179" s="276">
        <f t="shared" si="136"/>
        <v>0</v>
      </c>
      <c r="BC179" s="276">
        <f t="shared" si="137"/>
        <v>0</v>
      </c>
      <c r="BD179" s="276">
        <f t="shared" si="138"/>
        <v>0</v>
      </c>
      <c r="BE179" s="276">
        <f t="shared" si="139"/>
        <v>0</v>
      </c>
      <c r="BF179" s="686">
        <f t="shared" si="140"/>
        <v>0</v>
      </c>
      <c r="BG179" s="685" t="e">
        <f t="shared" si="141"/>
        <v>#DIV/0!</v>
      </c>
      <c r="BH179" s="276" t="e">
        <f t="shared" si="142"/>
        <v>#DIV/0!</v>
      </c>
      <c r="BI179" s="276" t="e">
        <f t="shared" si="143"/>
        <v>#DIV/0!</v>
      </c>
      <c r="BJ179" s="276" t="e">
        <f t="shared" si="144"/>
        <v>#DIV/0!</v>
      </c>
      <c r="BK179" s="276" t="e">
        <f t="shared" si="145"/>
        <v>#DIV/0!</v>
      </c>
      <c r="BL179" s="686" t="e">
        <f t="shared" si="146"/>
        <v>#DIV/0!</v>
      </c>
      <c r="BM179" s="239"/>
      <c r="BN179" s="965" t="e">
        <f t="shared" si="147"/>
        <v>#VALUE!</v>
      </c>
      <c r="BO179" s="878" t="e">
        <f t="shared" si="148"/>
        <v>#VALUE!</v>
      </c>
      <c r="BP179" s="878" t="e">
        <f t="shared" si="149"/>
        <v>#VALUE!</v>
      </c>
      <c r="BQ179" s="878" t="e">
        <f t="shared" si="150"/>
        <v>#VALUE!</v>
      </c>
      <c r="BR179" s="878" t="e">
        <f t="shared" si="151"/>
        <v>#VALUE!</v>
      </c>
      <c r="BS179" s="966" t="e">
        <f t="shared" si="152"/>
        <v>#VALUE!</v>
      </c>
    </row>
    <row r="180" spans="1:71">
      <c r="A180" s="284">
        <f t="shared" si="153"/>
        <v>112</v>
      </c>
      <c r="B180" s="285">
        <v>0.19157041286125345</v>
      </c>
      <c r="C180" s="285">
        <v>2.6528882363481259</v>
      </c>
      <c r="D180" s="285">
        <v>0.67668542804346266</v>
      </c>
      <c r="E180" s="285">
        <v>-2.1300461711422685</v>
      </c>
      <c r="H180" s="685">
        <f t="shared" si="99"/>
        <v>-0.94166342890780141</v>
      </c>
      <c r="I180" s="276">
        <f t="shared" si="100"/>
        <v>-2.2436338528297188</v>
      </c>
      <c r="J180" s="276">
        <f t="shared" si="101"/>
        <v>-3.2620841676593573</v>
      </c>
      <c r="K180" s="276">
        <f t="shared" si="102"/>
        <v>-0.77529695646427588</v>
      </c>
      <c r="L180" s="276">
        <f t="shared" si="103"/>
        <v>2.7633455293400946</v>
      </c>
      <c r="M180" s="276">
        <f t="shared" si="104"/>
        <v>-0.95463937815765432</v>
      </c>
      <c r="N180" s="685">
        <f t="shared" si="105"/>
        <v>1.4457170253762575</v>
      </c>
      <c r="O180" s="276">
        <f t="shared" si="106"/>
        <v>1.7218849923255914</v>
      </c>
      <c r="P180" s="276">
        <f t="shared" si="107"/>
        <v>0.52201942046139949</v>
      </c>
      <c r="Q180" s="276">
        <f t="shared" si="108"/>
        <v>0.94553871094627229</v>
      </c>
      <c r="R180" s="276">
        <f t="shared" si="109"/>
        <v>2.5390007895954678</v>
      </c>
      <c r="S180" s="686">
        <f t="shared" si="110"/>
        <v>1.1180931019007605</v>
      </c>
      <c r="T180" s="685">
        <f t="shared" si="111"/>
        <v>3.9550491183143883</v>
      </c>
      <c r="U180" s="276">
        <f t="shared" si="112"/>
        <v>2.3816281722947319</v>
      </c>
      <c r="V180" s="276">
        <f t="shared" si="113"/>
        <v>2.966437489921967</v>
      </c>
      <c r="W180" s="276">
        <f t="shared" si="114"/>
        <v>3.5266586716813659</v>
      </c>
      <c r="X180" s="276">
        <f t="shared" si="115"/>
        <v>4.2612568085132994</v>
      </c>
      <c r="Y180" s="686">
        <f t="shared" si="116"/>
        <v>6.2770984451480398</v>
      </c>
      <c r="Z180" s="685" t="e">
        <f t="shared" si="117"/>
        <v>#DIV/0!</v>
      </c>
      <c r="AA180" s="276" t="e">
        <f t="shared" si="118"/>
        <v>#DIV/0!</v>
      </c>
      <c r="AB180" s="276" t="e">
        <f t="shared" si="119"/>
        <v>#DIV/0!</v>
      </c>
      <c r="AC180" s="276" t="e">
        <f t="shared" si="120"/>
        <v>#DIV/0!</v>
      </c>
      <c r="AD180" s="276" t="e">
        <f t="shared" si="121"/>
        <v>#DIV/0!</v>
      </c>
      <c r="AE180" s="686" t="e">
        <f t="shared" si="122"/>
        <v>#DIV/0!</v>
      </c>
      <c r="AF180" s="239"/>
      <c r="AG180" s="965" t="e">
        <f t="shared" si="93"/>
        <v>#VALUE!</v>
      </c>
      <c r="AH180" s="878" t="e">
        <f t="shared" si="94"/>
        <v>#VALUE!</v>
      </c>
      <c r="AI180" s="878" t="e">
        <f t="shared" si="95"/>
        <v>#VALUE!</v>
      </c>
      <c r="AJ180" s="878" t="e">
        <f t="shared" si="96"/>
        <v>#VALUE!</v>
      </c>
      <c r="AK180" s="878" t="e">
        <f t="shared" si="97"/>
        <v>#VALUE!</v>
      </c>
      <c r="AL180" s="966" t="e">
        <f t="shared" si="98"/>
        <v>#VALUE!</v>
      </c>
      <c r="AM180" s="239"/>
      <c r="AO180" s="685">
        <f t="shared" si="123"/>
        <v>-0.94166342890780141</v>
      </c>
      <c r="AP180" s="276">
        <f t="shared" si="124"/>
        <v>-2.2436338528297188</v>
      </c>
      <c r="AQ180" s="276">
        <f t="shared" si="125"/>
        <v>-3.2620841676593573</v>
      </c>
      <c r="AR180" s="276">
        <f t="shared" si="126"/>
        <v>-0.77529695646427588</v>
      </c>
      <c r="AS180" s="276">
        <f t="shared" si="127"/>
        <v>2.7633455293400946</v>
      </c>
      <c r="AT180" s="276">
        <f t="shared" si="128"/>
        <v>-0.95463937815765432</v>
      </c>
      <c r="AU180" s="685">
        <f t="shared" si="129"/>
        <v>1.4457170253762575</v>
      </c>
      <c r="AV180" s="276">
        <f t="shared" si="130"/>
        <v>1.7218849923255914</v>
      </c>
      <c r="AW180" s="276">
        <f t="shared" si="131"/>
        <v>0.52201942046139949</v>
      </c>
      <c r="AX180" s="276">
        <f t="shared" si="132"/>
        <v>0.94553871094627229</v>
      </c>
      <c r="AY180" s="276">
        <f t="shared" si="133"/>
        <v>2.5390007895954678</v>
      </c>
      <c r="AZ180" s="686">
        <f t="shared" si="134"/>
        <v>1.1180931019007605</v>
      </c>
      <c r="BA180" s="685">
        <f t="shared" si="135"/>
        <v>0</v>
      </c>
      <c r="BB180" s="276">
        <f t="shared" si="136"/>
        <v>0</v>
      </c>
      <c r="BC180" s="276">
        <f t="shared" si="137"/>
        <v>0</v>
      </c>
      <c r="BD180" s="276">
        <f t="shared" si="138"/>
        <v>0</v>
      </c>
      <c r="BE180" s="276">
        <f t="shared" si="139"/>
        <v>0</v>
      </c>
      <c r="BF180" s="686">
        <f t="shared" si="140"/>
        <v>0</v>
      </c>
      <c r="BG180" s="685" t="e">
        <f t="shared" si="141"/>
        <v>#DIV/0!</v>
      </c>
      <c r="BH180" s="276" t="e">
        <f t="shared" si="142"/>
        <v>#DIV/0!</v>
      </c>
      <c r="BI180" s="276" t="e">
        <f t="shared" si="143"/>
        <v>#DIV/0!</v>
      </c>
      <c r="BJ180" s="276" t="e">
        <f t="shared" si="144"/>
        <v>#DIV/0!</v>
      </c>
      <c r="BK180" s="276" t="e">
        <f t="shared" si="145"/>
        <v>#DIV/0!</v>
      </c>
      <c r="BL180" s="686" t="e">
        <f t="shared" si="146"/>
        <v>#DIV/0!</v>
      </c>
      <c r="BM180" s="239"/>
      <c r="BN180" s="965" t="e">
        <f t="shared" si="147"/>
        <v>#VALUE!</v>
      </c>
      <c r="BO180" s="878" t="e">
        <f t="shared" si="148"/>
        <v>#VALUE!</v>
      </c>
      <c r="BP180" s="878" t="e">
        <f t="shared" si="149"/>
        <v>#VALUE!</v>
      </c>
      <c r="BQ180" s="878" t="e">
        <f t="shared" si="150"/>
        <v>#VALUE!</v>
      </c>
      <c r="BR180" s="878" t="e">
        <f t="shared" si="151"/>
        <v>#VALUE!</v>
      </c>
      <c r="BS180" s="966" t="e">
        <f t="shared" si="152"/>
        <v>#VALUE!</v>
      </c>
    </row>
    <row r="181" spans="1:71">
      <c r="A181" s="284">
        <f t="shared" si="153"/>
        <v>113</v>
      </c>
      <c r="B181" s="285">
        <v>0.79413100793688118</v>
      </c>
      <c r="C181" s="285">
        <v>3.1586549745671566</v>
      </c>
      <c r="D181" s="285">
        <v>1.5917674435807969</v>
      </c>
      <c r="E181" s="285">
        <v>-5.5518915866765521</v>
      </c>
      <c r="H181" s="685">
        <f t="shared" si="99"/>
        <v>-0.33910283383217366</v>
      </c>
      <c r="I181" s="276">
        <f t="shared" si="100"/>
        <v>2.0401532795237074</v>
      </c>
      <c r="J181" s="276">
        <f t="shared" si="101"/>
        <v>-0.45843366866185031</v>
      </c>
      <c r="K181" s="276">
        <f t="shared" si="102"/>
        <v>-3.4913330635697868</v>
      </c>
      <c r="L181" s="276">
        <f t="shared" si="103"/>
        <v>-2.4072721448198822</v>
      </c>
      <c r="M181" s="276">
        <f t="shared" si="104"/>
        <v>0.62166095366561036</v>
      </c>
      <c r="N181" s="685">
        <f t="shared" si="105"/>
        <v>1.9514837635952882</v>
      </c>
      <c r="O181" s="276">
        <f t="shared" si="106"/>
        <v>1.5551394721401761</v>
      </c>
      <c r="P181" s="276">
        <f t="shared" si="107"/>
        <v>1.3711737209996964</v>
      </c>
      <c r="Q181" s="276">
        <f t="shared" si="108"/>
        <v>1.1981141123720567</v>
      </c>
      <c r="R181" s="276">
        <f t="shared" si="109"/>
        <v>1.453527389868787</v>
      </c>
      <c r="S181" s="686">
        <f t="shared" si="110"/>
        <v>1.1504416244357085</v>
      </c>
      <c r="T181" s="685">
        <f t="shared" si="111"/>
        <v>4.8701311338517232</v>
      </c>
      <c r="U181" s="276">
        <f t="shared" si="112"/>
        <v>3.2144484529195108</v>
      </c>
      <c r="V181" s="276">
        <f t="shared" si="113"/>
        <v>5.7580973452112776</v>
      </c>
      <c r="W181" s="276">
        <f t="shared" si="114"/>
        <v>4.6026613441655693</v>
      </c>
      <c r="X181" s="276">
        <f t="shared" si="115"/>
        <v>5.0840218651301248</v>
      </c>
      <c r="Y181" s="686">
        <f t="shared" si="116"/>
        <v>5.9552612408189427</v>
      </c>
      <c r="Z181" s="685" t="e">
        <f t="shared" si="117"/>
        <v>#DIV/0!</v>
      </c>
      <c r="AA181" s="276" t="e">
        <f t="shared" si="118"/>
        <v>#DIV/0!</v>
      </c>
      <c r="AB181" s="276" t="e">
        <f t="shared" si="119"/>
        <v>#DIV/0!</v>
      </c>
      <c r="AC181" s="276" t="e">
        <f t="shared" si="120"/>
        <v>#DIV/0!</v>
      </c>
      <c r="AD181" s="276" t="e">
        <f t="shared" si="121"/>
        <v>#DIV/0!</v>
      </c>
      <c r="AE181" s="686" t="e">
        <f t="shared" si="122"/>
        <v>#DIV/0!</v>
      </c>
      <c r="AF181" s="239"/>
      <c r="AG181" s="965" t="e">
        <f t="shared" si="93"/>
        <v>#VALUE!</v>
      </c>
      <c r="AH181" s="878" t="e">
        <f t="shared" si="94"/>
        <v>#VALUE!</v>
      </c>
      <c r="AI181" s="878" t="e">
        <f t="shared" si="95"/>
        <v>#VALUE!</v>
      </c>
      <c r="AJ181" s="878" t="e">
        <f t="shared" si="96"/>
        <v>#VALUE!</v>
      </c>
      <c r="AK181" s="878" t="e">
        <f t="shared" si="97"/>
        <v>#VALUE!</v>
      </c>
      <c r="AL181" s="966" t="e">
        <f t="shared" si="98"/>
        <v>#VALUE!</v>
      </c>
      <c r="AM181" s="239"/>
      <c r="AO181" s="685">
        <f t="shared" si="123"/>
        <v>-0.33910283383217366</v>
      </c>
      <c r="AP181" s="276">
        <f t="shared" si="124"/>
        <v>2.0401532795237074</v>
      </c>
      <c r="AQ181" s="276">
        <f t="shared" si="125"/>
        <v>-0.45843366866185031</v>
      </c>
      <c r="AR181" s="276">
        <f t="shared" si="126"/>
        <v>-3.4913330635697868</v>
      </c>
      <c r="AS181" s="276">
        <f t="shared" si="127"/>
        <v>-2.4072721448198822</v>
      </c>
      <c r="AT181" s="276">
        <f t="shared" si="128"/>
        <v>0.62166095366561036</v>
      </c>
      <c r="AU181" s="685">
        <f t="shared" si="129"/>
        <v>1.9514837635952882</v>
      </c>
      <c r="AV181" s="276">
        <f t="shared" si="130"/>
        <v>1.5551394721401761</v>
      </c>
      <c r="AW181" s="276">
        <f t="shared" si="131"/>
        <v>1.3711737209996964</v>
      </c>
      <c r="AX181" s="276">
        <f t="shared" si="132"/>
        <v>1.1981141123720567</v>
      </c>
      <c r="AY181" s="276">
        <f t="shared" si="133"/>
        <v>1.453527389868787</v>
      </c>
      <c r="AZ181" s="686">
        <f t="shared" si="134"/>
        <v>1.1504416244357085</v>
      </c>
      <c r="BA181" s="685">
        <f t="shared" si="135"/>
        <v>0</v>
      </c>
      <c r="BB181" s="276">
        <f t="shared" si="136"/>
        <v>0</v>
      </c>
      <c r="BC181" s="276">
        <f t="shared" si="137"/>
        <v>0</v>
      </c>
      <c r="BD181" s="276">
        <f t="shared" si="138"/>
        <v>0</v>
      </c>
      <c r="BE181" s="276">
        <f t="shared" si="139"/>
        <v>0</v>
      </c>
      <c r="BF181" s="686">
        <f t="shared" si="140"/>
        <v>0</v>
      </c>
      <c r="BG181" s="685" t="e">
        <f t="shared" si="141"/>
        <v>#DIV/0!</v>
      </c>
      <c r="BH181" s="276" t="e">
        <f t="shared" si="142"/>
        <v>#DIV/0!</v>
      </c>
      <c r="BI181" s="276" t="e">
        <f t="shared" si="143"/>
        <v>#DIV/0!</v>
      </c>
      <c r="BJ181" s="276" t="e">
        <f t="shared" si="144"/>
        <v>#DIV/0!</v>
      </c>
      <c r="BK181" s="276" t="e">
        <f t="shared" si="145"/>
        <v>#DIV/0!</v>
      </c>
      <c r="BL181" s="686" t="e">
        <f t="shared" si="146"/>
        <v>#DIV/0!</v>
      </c>
      <c r="BM181" s="239"/>
      <c r="BN181" s="965" t="e">
        <f t="shared" si="147"/>
        <v>#VALUE!</v>
      </c>
      <c r="BO181" s="878" t="e">
        <f t="shared" si="148"/>
        <v>#VALUE!</v>
      </c>
      <c r="BP181" s="878" t="e">
        <f t="shared" si="149"/>
        <v>#VALUE!</v>
      </c>
      <c r="BQ181" s="878" t="e">
        <f t="shared" si="150"/>
        <v>#VALUE!</v>
      </c>
      <c r="BR181" s="878" t="e">
        <f t="shared" si="151"/>
        <v>#VALUE!</v>
      </c>
      <c r="BS181" s="966" t="e">
        <f t="shared" si="152"/>
        <v>#VALUE!</v>
      </c>
    </row>
    <row r="182" spans="1:71">
      <c r="A182" s="284">
        <f t="shared" si="153"/>
        <v>114</v>
      </c>
      <c r="B182" s="285">
        <v>-5.9644596676636574</v>
      </c>
      <c r="C182" s="285">
        <v>2.2320390509296857</v>
      </c>
      <c r="D182" s="285">
        <v>2.0811527283150046</v>
      </c>
      <c r="E182" s="285">
        <v>-4.8685490411716295</v>
      </c>
      <c r="H182" s="685">
        <f t="shared" si="99"/>
        <v>-7.0976935094327125</v>
      </c>
      <c r="I182" s="276">
        <f t="shared" si="100"/>
        <v>-3.3124797173516081</v>
      </c>
      <c r="J182" s="276">
        <f t="shared" si="101"/>
        <v>-2.2864025064174474</v>
      </c>
      <c r="K182" s="276">
        <f t="shared" si="102"/>
        <v>-3.3724149592378838</v>
      </c>
      <c r="L182" s="276">
        <f t="shared" si="103"/>
        <v>0.44940035950420687</v>
      </c>
      <c r="M182" s="276">
        <f t="shared" si="104"/>
        <v>-6.0832058055277063</v>
      </c>
      <c r="N182" s="685">
        <f t="shared" si="105"/>
        <v>1.0248678399578173</v>
      </c>
      <c r="O182" s="276">
        <f t="shared" si="106"/>
        <v>1.0024580762997768</v>
      </c>
      <c r="P182" s="276">
        <f t="shared" si="107"/>
        <v>2.0205627116648479</v>
      </c>
      <c r="Q182" s="276">
        <f t="shared" si="108"/>
        <v>1.3143227327629783</v>
      </c>
      <c r="R182" s="276">
        <f t="shared" si="109"/>
        <v>2.3623843856349307</v>
      </c>
      <c r="S182" s="686">
        <f t="shared" si="110"/>
        <v>1.7244046664259047</v>
      </c>
      <c r="T182" s="685">
        <f t="shared" si="111"/>
        <v>5.3595164185859305</v>
      </c>
      <c r="U182" s="276">
        <f t="shared" si="112"/>
        <v>1.4661113020786081</v>
      </c>
      <c r="V182" s="276">
        <f t="shared" si="113"/>
        <v>3.9902974393155874</v>
      </c>
      <c r="W182" s="276">
        <f t="shared" si="114"/>
        <v>3.9964153684747821</v>
      </c>
      <c r="X182" s="276">
        <f t="shared" si="115"/>
        <v>4.2265530501529671</v>
      </c>
      <c r="Y182" s="686">
        <f t="shared" si="116"/>
        <v>2.9698535798685972</v>
      </c>
      <c r="Z182" s="685" t="e">
        <f t="shared" si="117"/>
        <v>#DIV/0!</v>
      </c>
      <c r="AA182" s="276" t="e">
        <f t="shared" si="118"/>
        <v>#DIV/0!</v>
      </c>
      <c r="AB182" s="276" t="e">
        <f t="shared" si="119"/>
        <v>#DIV/0!</v>
      </c>
      <c r="AC182" s="276" t="e">
        <f t="shared" si="120"/>
        <v>#DIV/0!</v>
      </c>
      <c r="AD182" s="276" t="e">
        <f t="shared" si="121"/>
        <v>#DIV/0!</v>
      </c>
      <c r="AE182" s="686" t="e">
        <f t="shared" si="122"/>
        <v>#DIV/0!</v>
      </c>
      <c r="AF182" s="239"/>
      <c r="AG182" s="965" t="e">
        <f t="shared" si="93"/>
        <v>#VALUE!</v>
      </c>
      <c r="AH182" s="878" t="e">
        <f t="shared" si="94"/>
        <v>#VALUE!</v>
      </c>
      <c r="AI182" s="878" t="e">
        <f t="shared" si="95"/>
        <v>#VALUE!</v>
      </c>
      <c r="AJ182" s="878" t="e">
        <f t="shared" si="96"/>
        <v>#VALUE!</v>
      </c>
      <c r="AK182" s="878" t="e">
        <f t="shared" si="97"/>
        <v>#VALUE!</v>
      </c>
      <c r="AL182" s="966" t="e">
        <f t="shared" si="98"/>
        <v>#VALUE!</v>
      </c>
      <c r="AM182" s="239"/>
      <c r="AO182" s="685">
        <f t="shared" si="123"/>
        <v>-7.0976935094327125</v>
      </c>
      <c r="AP182" s="276">
        <f t="shared" si="124"/>
        <v>-3.3124797173516081</v>
      </c>
      <c r="AQ182" s="276">
        <f t="shared" si="125"/>
        <v>-2.2864025064174474</v>
      </c>
      <c r="AR182" s="276">
        <f t="shared" si="126"/>
        <v>-3.3724149592378838</v>
      </c>
      <c r="AS182" s="276">
        <f t="shared" si="127"/>
        <v>0.44940035950420687</v>
      </c>
      <c r="AT182" s="276">
        <f t="shared" si="128"/>
        <v>-6.0832058055277063</v>
      </c>
      <c r="AU182" s="685">
        <f t="shared" si="129"/>
        <v>1.0248678399578173</v>
      </c>
      <c r="AV182" s="276">
        <f t="shared" si="130"/>
        <v>1.0024580762997768</v>
      </c>
      <c r="AW182" s="276">
        <f t="shared" si="131"/>
        <v>2.0205627116648479</v>
      </c>
      <c r="AX182" s="276">
        <f t="shared" si="132"/>
        <v>1.3143227327629783</v>
      </c>
      <c r="AY182" s="276">
        <f t="shared" si="133"/>
        <v>2.3623843856349307</v>
      </c>
      <c r="AZ182" s="686">
        <f t="shared" si="134"/>
        <v>1.7244046664259047</v>
      </c>
      <c r="BA182" s="685">
        <f t="shared" si="135"/>
        <v>0</v>
      </c>
      <c r="BB182" s="276">
        <f t="shared" si="136"/>
        <v>0</v>
      </c>
      <c r="BC182" s="276">
        <f t="shared" si="137"/>
        <v>0</v>
      </c>
      <c r="BD182" s="276">
        <f t="shared" si="138"/>
        <v>0</v>
      </c>
      <c r="BE182" s="276">
        <f t="shared" si="139"/>
        <v>0</v>
      </c>
      <c r="BF182" s="686">
        <f t="shared" si="140"/>
        <v>0</v>
      </c>
      <c r="BG182" s="685" t="e">
        <f t="shared" si="141"/>
        <v>#DIV/0!</v>
      </c>
      <c r="BH182" s="276" t="e">
        <f t="shared" si="142"/>
        <v>#DIV/0!</v>
      </c>
      <c r="BI182" s="276" t="e">
        <f t="shared" si="143"/>
        <v>#DIV/0!</v>
      </c>
      <c r="BJ182" s="276" t="e">
        <f t="shared" si="144"/>
        <v>#DIV/0!</v>
      </c>
      <c r="BK182" s="276" t="e">
        <f t="shared" si="145"/>
        <v>#DIV/0!</v>
      </c>
      <c r="BL182" s="686" t="e">
        <f t="shared" si="146"/>
        <v>#DIV/0!</v>
      </c>
      <c r="BM182" s="239"/>
      <c r="BN182" s="965" t="e">
        <f t="shared" si="147"/>
        <v>#VALUE!</v>
      </c>
      <c r="BO182" s="878" t="e">
        <f t="shared" si="148"/>
        <v>#VALUE!</v>
      </c>
      <c r="BP182" s="878" t="e">
        <f t="shared" si="149"/>
        <v>#VALUE!</v>
      </c>
      <c r="BQ182" s="878" t="e">
        <f t="shared" si="150"/>
        <v>#VALUE!</v>
      </c>
      <c r="BR182" s="878" t="e">
        <f t="shared" si="151"/>
        <v>#VALUE!</v>
      </c>
      <c r="BS182" s="966" t="e">
        <f t="shared" si="152"/>
        <v>#VALUE!</v>
      </c>
    </row>
    <row r="183" spans="1:71">
      <c r="A183" s="284">
        <f t="shared" si="153"/>
        <v>115</v>
      </c>
      <c r="B183" s="285">
        <v>-0.49483326694807861</v>
      </c>
      <c r="C183" s="285">
        <v>2.2706746731828287</v>
      </c>
      <c r="D183" s="285">
        <v>-0.81704116605709709</v>
      </c>
      <c r="E183" s="285">
        <v>4.4495720412763067</v>
      </c>
      <c r="H183" s="685">
        <f t="shared" si="99"/>
        <v>-1.6280671087171334</v>
      </c>
      <c r="I183" s="276">
        <f t="shared" si="100"/>
        <v>-2.7278985978406123</v>
      </c>
      <c r="J183" s="276">
        <f t="shared" si="101"/>
        <v>-1.5514885901609621</v>
      </c>
      <c r="K183" s="276">
        <f t="shared" si="102"/>
        <v>-1.6845497960115923</v>
      </c>
      <c r="L183" s="276">
        <f t="shared" si="103"/>
        <v>-2.1639142289816977</v>
      </c>
      <c r="M183" s="276">
        <f t="shared" si="104"/>
        <v>1.609255122292178</v>
      </c>
      <c r="N183" s="685">
        <f t="shared" si="105"/>
        <v>1.0635034622109603</v>
      </c>
      <c r="O183" s="276">
        <f t="shared" si="106"/>
        <v>0.86214006819475597</v>
      </c>
      <c r="P183" s="276">
        <f t="shared" si="107"/>
        <v>0.84145379783572394</v>
      </c>
      <c r="Q183" s="276">
        <f t="shared" si="108"/>
        <v>-1.0711693515305543E-2</v>
      </c>
      <c r="R183" s="276">
        <f t="shared" si="109"/>
        <v>5.1402343231056635E-2</v>
      </c>
      <c r="S183" s="686">
        <f t="shared" si="110"/>
        <v>1.8701170193395951</v>
      </c>
      <c r="T183" s="685">
        <f t="shared" si="111"/>
        <v>2.4613225242138288</v>
      </c>
      <c r="U183" s="276">
        <f t="shared" si="112"/>
        <v>4.9201037587235366</v>
      </c>
      <c r="V183" s="276">
        <f t="shared" si="113"/>
        <v>4.2849394837052497</v>
      </c>
      <c r="W183" s="276">
        <f t="shared" si="114"/>
        <v>5.9213867470940365</v>
      </c>
      <c r="X183" s="276">
        <f t="shared" si="115"/>
        <v>5.9517917304558727</v>
      </c>
      <c r="Y183" s="686">
        <f t="shared" si="116"/>
        <v>3.3185309217672199</v>
      </c>
      <c r="Z183" s="685" t="e">
        <f t="shared" si="117"/>
        <v>#DIV/0!</v>
      </c>
      <c r="AA183" s="276" t="e">
        <f t="shared" si="118"/>
        <v>#DIV/0!</v>
      </c>
      <c r="AB183" s="276" t="e">
        <f t="shared" si="119"/>
        <v>#DIV/0!</v>
      </c>
      <c r="AC183" s="276" t="e">
        <f t="shared" si="120"/>
        <v>#DIV/0!</v>
      </c>
      <c r="AD183" s="276" t="e">
        <f t="shared" si="121"/>
        <v>#DIV/0!</v>
      </c>
      <c r="AE183" s="686" t="e">
        <f t="shared" si="122"/>
        <v>#DIV/0!</v>
      </c>
      <c r="AF183" s="239"/>
      <c r="AG183" s="965" t="e">
        <f t="shared" si="93"/>
        <v>#VALUE!</v>
      </c>
      <c r="AH183" s="878" t="e">
        <f t="shared" si="94"/>
        <v>#VALUE!</v>
      </c>
      <c r="AI183" s="878" t="e">
        <f t="shared" si="95"/>
        <v>#VALUE!</v>
      </c>
      <c r="AJ183" s="878" t="e">
        <f t="shared" si="96"/>
        <v>#VALUE!</v>
      </c>
      <c r="AK183" s="878" t="e">
        <f t="shared" si="97"/>
        <v>#VALUE!</v>
      </c>
      <c r="AL183" s="966" t="e">
        <f t="shared" si="98"/>
        <v>#VALUE!</v>
      </c>
      <c r="AM183" s="239"/>
      <c r="AO183" s="685">
        <f t="shared" si="123"/>
        <v>-1.6280671087171334</v>
      </c>
      <c r="AP183" s="276">
        <f t="shared" si="124"/>
        <v>-2.7278985978406123</v>
      </c>
      <c r="AQ183" s="276">
        <f t="shared" si="125"/>
        <v>-1.5514885901609621</v>
      </c>
      <c r="AR183" s="276">
        <f t="shared" si="126"/>
        <v>-1.6845497960115923</v>
      </c>
      <c r="AS183" s="276">
        <f t="shared" si="127"/>
        <v>-2.1639142289816977</v>
      </c>
      <c r="AT183" s="276">
        <f t="shared" si="128"/>
        <v>1.609255122292178</v>
      </c>
      <c r="AU183" s="685">
        <f t="shared" si="129"/>
        <v>1.0635034622109603</v>
      </c>
      <c r="AV183" s="276">
        <f t="shared" si="130"/>
        <v>0.86214006819475597</v>
      </c>
      <c r="AW183" s="276">
        <f t="shared" si="131"/>
        <v>0.84145379783572394</v>
      </c>
      <c r="AX183" s="276">
        <f t="shared" si="132"/>
        <v>-1.0711693515305543E-2</v>
      </c>
      <c r="AY183" s="276">
        <f t="shared" si="133"/>
        <v>5.1402343231056635E-2</v>
      </c>
      <c r="AZ183" s="686">
        <f t="shared" si="134"/>
        <v>1.8701170193395951</v>
      </c>
      <c r="BA183" s="685">
        <f t="shared" si="135"/>
        <v>0</v>
      </c>
      <c r="BB183" s="276">
        <f t="shared" si="136"/>
        <v>0</v>
      </c>
      <c r="BC183" s="276">
        <f t="shared" si="137"/>
        <v>0</v>
      </c>
      <c r="BD183" s="276">
        <f t="shared" si="138"/>
        <v>0</v>
      </c>
      <c r="BE183" s="276">
        <f t="shared" si="139"/>
        <v>0</v>
      </c>
      <c r="BF183" s="686">
        <f t="shared" si="140"/>
        <v>0</v>
      </c>
      <c r="BG183" s="685" t="e">
        <f t="shared" si="141"/>
        <v>#DIV/0!</v>
      </c>
      <c r="BH183" s="276" t="e">
        <f t="shared" si="142"/>
        <v>#DIV/0!</v>
      </c>
      <c r="BI183" s="276" t="e">
        <f t="shared" si="143"/>
        <v>#DIV/0!</v>
      </c>
      <c r="BJ183" s="276" t="e">
        <f t="shared" si="144"/>
        <v>#DIV/0!</v>
      </c>
      <c r="BK183" s="276" t="e">
        <f t="shared" si="145"/>
        <v>#DIV/0!</v>
      </c>
      <c r="BL183" s="686" t="e">
        <f t="shared" si="146"/>
        <v>#DIV/0!</v>
      </c>
      <c r="BM183" s="239"/>
      <c r="BN183" s="965" t="e">
        <f t="shared" si="147"/>
        <v>#VALUE!</v>
      </c>
      <c r="BO183" s="878" t="e">
        <f t="shared" si="148"/>
        <v>#VALUE!</v>
      </c>
      <c r="BP183" s="878" t="e">
        <f t="shared" si="149"/>
        <v>#VALUE!</v>
      </c>
      <c r="BQ183" s="878" t="e">
        <f t="shared" si="150"/>
        <v>#VALUE!</v>
      </c>
      <c r="BR183" s="878" t="e">
        <f t="shared" si="151"/>
        <v>#VALUE!</v>
      </c>
      <c r="BS183" s="966" t="e">
        <f t="shared" si="152"/>
        <v>#VALUE!</v>
      </c>
    </row>
    <row r="184" spans="1:71">
      <c r="A184" s="284">
        <f t="shared" si="153"/>
        <v>116</v>
      </c>
      <c r="B184" s="285">
        <v>3.3703172045677472</v>
      </c>
      <c r="C184" s="285">
        <v>2.9769697448345109</v>
      </c>
      <c r="D184" s="285">
        <v>2.1665672519319608</v>
      </c>
      <c r="E184" s="285">
        <v>6.9623496893964898</v>
      </c>
      <c r="H184" s="685">
        <f t="shared" si="99"/>
        <v>2.2370833627986926</v>
      </c>
      <c r="I184" s="276">
        <f t="shared" si="100"/>
        <v>2.5745833093026445</v>
      </c>
      <c r="J184" s="276">
        <f t="shared" si="101"/>
        <v>-4.2607210899889321</v>
      </c>
      <c r="K184" s="276">
        <f t="shared" si="102"/>
        <v>-1.7759639613580833</v>
      </c>
      <c r="L184" s="276">
        <f t="shared" si="103"/>
        <v>0.19539027068748815</v>
      </c>
      <c r="M184" s="276">
        <f t="shared" si="104"/>
        <v>4.0341589820465362</v>
      </c>
      <c r="N184" s="685">
        <f t="shared" si="105"/>
        <v>1.7697985338626425</v>
      </c>
      <c r="O184" s="276">
        <f t="shared" si="106"/>
        <v>1.6267531873466152</v>
      </c>
      <c r="P184" s="276">
        <f t="shared" si="107"/>
        <v>1.3652727273624536</v>
      </c>
      <c r="Q184" s="276">
        <f t="shared" si="108"/>
        <v>1.4637133743298134</v>
      </c>
      <c r="R184" s="276">
        <f t="shared" si="109"/>
        <v>0.59594203588033867</v>
      </c>
      <c r="S184" s="686">
        <f t="shared" si="110"/>
        <v>1.4572308826745217</v>
      </c>
      <c r="T184" s="685">
        <f t="shared" si="111"/>
        <v>5.4449309422028866</v>
      </c>
      <c r="U184" s="276">
        <f t="shared" si="112"/>
        <v>4.9856255024119953</v>
      </c>
      <c r="V184" s="276">
        <f t="shared" si="113"/>
        <v>3.9112725050455115</v>
      </c>
      <c r="W184" s="276">
        <f t="shared" si="114"/>
        <v>6.193253921357643</v>
      </c>
      <c r="X184" s="276">
        <f t="shared" si="115"/>
        <v>5.8824297149169205</v>
      </c>
      <c r="Y184" s="686">
        <f t="shared" si="116"/>
        <v>5.8520660211337976</v>
      </c>
      <c r="Z184" s="685" t="e">
        <f t="shared" si="117"/>
        <v>#DIV/0!</v>
      </c>
      <c r="AA184" s="276" t="e">
        <f t="shared" si="118"/>
        <v>#DIV/0!</v>
      </c>
      <c r="AB184" s="276" t="e">
        <f t="shared" si="119"/>
        <v>#DIV/0!</v>
      </c>
      <c r="AC184" s="276" t="e">
        <f t="shared" si="120"/>
        <v>#DIV/0!</v>
      </c>
      <c r="AD184" s="276" t="e">
        <f t="shared" si="121"/>
        <v>#DIV/0!</v>
      </c>
      <c r="AE184" s="686" t="e">
        <f t="shared" si="122"/>
        <v>#DIV/0!</v>
      </c>
      <c r="AF184" s="239"/>
      <c r="AG184" s="965" t="e">
        <f t="shared" si="93"/>
        <v>#VALUE!</v>
      </c>
      <c r="AH184" s="878" t="e">
        <f t="shared" si="94"/>
        <v>#VALUE!</v>
      </c>
      <c r="AI184" s="878" t="e">
        <f t="shared" si="95"/>
        <v>#VALUE!</v>
      </c>
      <c r="AJ184" s="878" t="e">
        <f t="shared" si="96"/>
        <v>#VALUE!</v>
      </c>
      <c r="AK184" s="878" t="e">
        <f t="shared" si="97"/>
        <v>#VALUE!</v>
      </c>
      <c r="AL184" s="966" t="e">
        <f t="shared" si="98"/>
        <v>#VALUE!</v>
      </c>
      <c r="AM184" s="239"/>
      <c r="AO184" s="685">
        <f t="shared" si="123"/>
        <v>2.2370833627986926</v>
      </c>
      <c r="AP184" s="276">
        <f t="shared" si="124"/>
        <v>2.5745833093026445</v>
      </c>
      <c r="AQ184" s="276">
        <f t="shared" si="125"/>
        <v>-4.2607210899889321</v>
      </c>
      <c r="AR184" s="276">
        <f t="shared" si="126"/>
        <v>-1.7759639613580833</v>
      </c>
      <c r="AS184" s="276">
        <f t="shared" si="127"/>
        <v>0.19539027068748815</v>
      </c>
      <c r="AT184" s="276">
        <f t="shared" si="128"/>
        <v>4.0341589820465362</v>
      </c>
      <c r="AU184" s="685">
        <f t="shared" si="129"/>
        <v>1.7697985338626425</v>
      </c>
      <c r="AV184" s="276">
        <f t="shared" si="130"/>
        <v>1.6267531873466152</v>
      </c>
      <c r="AW184" s="276">
        <f t="shared" si="131"/>
        <v>1.3652727273624536</v>
      </c>
      <c r="AX184" s="276">
        <f t="shared" si="132"/>
        <v>1.4637133743298134</v>
      </c>
      <c r="AY184" s="276">
        <f t="shared" si="133"/>
        <v>0.59594203588033867</v>
      </c>
      <c r="AZ184" s="686">
        <f t="shared" si="134"/>
        <v>1.4572308826745217</v>
      </c>
      <c r="BA184" s="685">
        <f t="shared" si="135"/>
        <v>0</v>
      </c>
      <c r="BB184" s="276">
        <f t="shared" si="136"/>
        <v>0</v>
      </c>
      <c r="BC184" s="276">
        <f t="shared" si="137"/>
        <v>0</v>
      </c>
      <c r="BD184" s="276">
        <f t="shared" si="138"/>
        <v>0</v>
      </c>
      <c r="BE184" s="276">
        <f t="shared" si="139"/>
        <v>0</v>
      </c>
      <c r="BF184" s="686">
        <f t="shared" si="140"/>
        <v>0</v>
      </c>
      <c r="BG184" s="685" t="e">
        <f t="shared" si="141"/>
        <v>#DIV/0!</v>
      </c>
      <c r="BH184" s="276" t="e">
        <f t="shared" si="142"/>
        <v>#DIV/0!</v>
      </c>
      <c r="BI184" s="276" t="e">
        <f t="shared" si="143"/>
        <v>#DIV/0!</v>
      </c>
      <c r="BJ184" s="276" t="e">
        <f t="shared" si="144"/>
        <v>#DIV/0!</v>
      </c>
      <c r="BK184" s="276" t="e">
        <f t="shared" si="145"/>
        <v>#DIV/0!</v>
      </c>
      <c r="BL184" s="686" t="e">
        <f t="shared" si="146"/>
        <v>#DIV/0!</v>
      </c>
      <c r="BM184" s="239"/>
      <c r="BN184" s="965" t="e">
        <f t="shared" si="147"/>
        <v>#VALUE!</v>
      </c>
      <c r="BO184" s="878" t="e">
        <f t="shared" si="148"/>
        <v>#VALUE!</v>
      </c>
      <c r="BP184" s="878" t="e">
        <f t="shared" si="149"/>
        <v>#VALUE!</v>
      </c>
      <c r="BQ184" s="878" t="e">
        <f t="shared" si="150"/>
        <v>#VALUE!</v>
      </c>
      <c r="BR184" s="878" t="e">
        <f t="shared" si="151"/>
        <v>#VALUE!</v>
      </c>
      <c r="BS184" s="966" t="e">
        <f t="shared" si="152"/>
        <v>#VALUE!</v>
      </c>
    </row>
    <row r="185" spans="1:71">
      <c r="A185" s="284">
        <f t="shared" si="153"/>
        <v>117</v>
      </c>
      <c r="B185" s="285">
        <v>-0.85181707251445593</v>
      </c>
      <c r="C185" s="285">
        <v>3.0574497841890453</v>
      </c>
      <c r="D185" s="285">
        <v>1.8479144954145261</v>
      </c>
      <c r="E185" s="285">
        <v>12.069151117489342</v>
      </c>
      <c r="H185" s="685">
        <f t="shared" si="99"/>
        <v>-1.9850509142835109</v>
      </c>
      <c r="I185" s="276">
        <f t="shared" si="100"/>
        <v>-0.68366083624843688</v>
      </c>
      <c r="J185" s="276">
        <f t="shared" si="101"/>
        <v>1.4866886772329033</v>
      </c>
      <c r="K185" s="276">
        <f t="shared" si="102"/>
        <v>2.2839836427909077</v>
      </c>
      <c r="L185" s="276">
        <f t="shared" si="103"/>
        <v>2.9024379510209339</v>
      </c>
      <c r="M185" s="276">
        <f t="shared" si="104"/>
        <v>-3.5048379217280052</v>
      </c>
      <c r="N185" s="685">
        <f t="shared" si="105"/>
        <v>1.8502785732171769</v>
      </c>
      <c r="O185" s="276">
        <f t="shared" si="106"/>
        <v>1.8557091192713029</v>
      </c>
      <c r="P185" s="276">
        <f t="shared" si="107"/>
        <v>1.2190474899284423</v>
      </c>
      <c r="Q185" s="276">
        <f t="shared" si="108"/>
        <v>1.3295985630883884</v>
      </c>
      <c r="R185" s="276">
        <f t="shared" si="109"/>
        <v>2.3030464599508305</v>
      </c>
      <c r="S185" s="686">
        <f t="shared" si="110"/>
        <v>1.678324443011552</v>
      </c>
      <c r="T185" s="685">
        <f t="shared" si="111"/>
        <v>5.126278185685452</v>
      </c>
      <c r="U185" s="276">
        <f t="shared" si="112"/>
        <v>3.441930340631028</v>
      </c>
      <c r="V185" s="276">
        <f t="shared" si="113"/>
        <v>3.4747095153242689</v>
      </c>
      <c r="W185" s="276">
        <f t="shared" si="114"/>
        <v>4.6579691396511027</v>
      </c>
      <c r="X185" s="276">
        <f t="shared" si="115"/>
        <v>3.4463043735268433</v>
      </c>
      <c r="Y185" s="686">
        <f t="shared" si="116"/>
        <v>3.686136281830164</v>
      </c>
      <c r="Z185" s="685" t="e">
        <f t="shared" si="117"/>
        <v>#DIV/0!</v>
      </c>
      <c r="AA185" s="276" t="e">
        <f t="shared" si="118"/>
        <v>#DIV/0!</v>
      </c>
      <c r="AB185" s="276" t="e">
        <f t="shared" si="119"/>
        <v>#DIV/0!</v>
      </c>
      <c r="AC185" s="276" t="e">
        <f t="shared" si="120"/>
        <v>#DIV/0!</v>
      </c>
      <c r="AD185" s="276" t="e">
        <f t="shared" si="121"/>
        <v>#DIV/0!</v>
      </c>
      <c r="AE185" s="686" t="e">
        <f t="shared" si="122"/>
        <v>#DIV/0!</v>
      </c>
      <c r="AF185" s="239"/>
      <c r="AG185" s="965" t="e">
        <f t="shared" si="93"/>
        <v>#VALUE!</v>
      </c>
      <c r="AH185" s="878" t="e">
        <f t="shared" si="94"/>
        <v>#VALUE!</v>
      </c>
      <c r="AI185" s="878" t="e">
        <f t="shared" si="95"/>
        <v>#VALUE!</v>
      </c>
      <c r="AJ185" s="878" t="e">
        <f t="shared" si="96"/>
        <v>#VALUE!</v>
      </c>
      <c r="AK185" s="878" t="e">
        <f t="shared" si="97"/>
        <v>#VALUE!</v>
      </c>
      <c r="AL185" s="966" t="e">
        <f t="shared" si="98"/>
        <v>#VALUE!</v>
      </c>
      <c r="AM185" s="239"/>
      <c r="AO185" s="685">
        <f t="shared" si="123"/>
        <v>-1.9850509142835109</v>
      </c>
      <c r="AP185" s="276">
        <f t="shared" si="124"/>
        <v>-0.68366083624843688</v>
      </c>
      <c r="AQ185" s="276">
        <f t="shared" si="125"/>
        <v>1.4866886772329033</v>
      </c>
      <c r="AR185" s="276">
        <f t="shared" si="126"/>
        <v>2.2839836427909077</v>
      </c>
      <c r="AS185" s="276">
        <f t="shared" si="127"/>
        <v>2.9024379510209339</v>
      </c>
      <c r="AT185" s="276">
        <f t="shared" si="128"/>
        <v>-3.5048379217280052</v>
      </c>
      <c r="AU185" s="685">
        <f t="shared" si="129"/>
        <v>1.8502785732171769</v>
      </c>
      <c r="AV185" s="276">
        <f t="shared" si="130"/>
        <v>1.8557091192713029</v>
      </c>
      <c r="AW185" s="276">
        <f t="shared" si="131"/>
        <v>1.2190474899284423</v>
      </c>
      <c r="AX185" s="276">
        <f t="shared" si="132"/>
        <v>1.3295985630883884</v>
      </c>
      <c r="AY185" s="276">
        <f t="shared" si="133"/>
        <v>2.3030464599508305</v>
      </c>
      <c r="AZ185" s="686">
        <f t="shared" si="134"/>
        <v>1.678324443011552</v>
      </c>
      <c r="BA185" s="685">
        <f t="shared" si="135"/>
        <v>0</v>
      </c>
      <c r="BB185" s="276">
        <f t="shared" si="136"/>
        <v>0</v>
      </c>
      <c r="BC185" s="276">
        <f t="shared" si="137"/>
        <v>0</v>
      </c>
      <c r="BD185" s="276">
        <f t="shared" si="138"/>
        <v>0</v>
      </c>
      <c r="BE185" s="276">
        <f t="shared" si="139"/>
        <v>0</v>
      </c>
      <c r="BF185" s="686">
        <f t="shared" si="140"/>
        <v>0</v>
      </c>
      <c r="BG185" s="685" t="e">
        <f t="shared" si="141"/>
        <v>#DIV/0!</v>
      </c>
      <c r="BH185" s="276" t="e">
        <f t="shared" si="142"/>
        <v>#DIV/0!</v>
      </c>
      <c r="BI185" s="276" t="e">
        <f t="shared" si="143"/>
        <v>#DIV/0!</v>
      </c>
      <c r="BJ185" s="276" t="e">
        <f t="shared" si="144"/>
        <v>#DIV/0!</v>
      </c>
      <c r="BK185" s="276" t="e">
        <f t="shared" si="145"/>
        <v>#DIV/0!</v>
      </c>
      <c r="BL185" s="686" t="e">
        <f t="shared" si="146"/>
        <v>#DIV/0!</v>
      </c>
      <c r="BM185" s="239"/>
      <c r="BN185" s="965" t="e">
        <f t="shared" si="147"/>
        <v>#VALUE!</v>
      </c>
      <c r="BO185" s="878" t="e">
        <f t="shared" si="148"/>
        <v>#VALUE!</v>
      </c>
      <c r="BP185" s="878" t="e">
        <f t="shared" si="149"/>
        <v>#VALUE!</v>
      </c>
      <c r="BQ185" s="878" t="e">
        <f t="shared" si="150"/>
        <v>#VALUE!</v>
      </c>
      <c r="BR185" s="878" t="e">
        <f t="shared" si="151"/>
        <v>#VALUE!</v>
      </c>
      <c r="BS185" s="966" t="e">
        <f t="shared" si="152"/>
        <v>#VALUE!</v>
      </c>
    </row>
    <row r="186" spans="1:71">
      <c r="A186" s="284">
        <f t="shared" si="153"/>
        <v>118</v>
      </c>
      <c r="B186" s="285">
        <v>1.403731035760976</v>
      </c>
      <c r="C186" s="285">
        <v>2.2794140615620115</v>
      </c>
      <c r="D186" s="285">
        <v>2.366720382899449</v>
      </c>
      <c r="E186" s="285">
        <v>-13.120864429911244</v>
      </c>
      <c r="H186" s="685">
        <f t="shared" si="99"/>
        <v>0.27049719399192118</v>
      </c>
      <c r="I186" s="276">
        <f t="shared" si="100"/>
        <v>1.3573916810281084E-2</v>
      </c>
      <c r="J186" s="276">
        <f t="shared" si="101"/>
        <v>0.81146781817881131</v>
      </c>
      <c r="K186" s="276">
        <f t="shared" si="102"/>
        <v>-1.026922591723016</v>
      </c>
      <c r="L186" s="276">
        <f t="shared" si="103"/>
        <v>-0.73185687568578639</v>
      </c>
      <c r="M186" s="276">
        <f t="shared" si="104"/>
        <v>-0.84190208108463094</v>
      </c>
      <c r="N186" s="685">
        <f t="shared" si="105"/>
        <v>1.0722428505901431</v>
      </c>
      <c r="O186" s="276">
        <f t="shared" si="106"/>
        <v>1.166203842593571</v>
      </c>
      <c r="P186" s="276">
        <f t="shared" si="107"/>
        <v>0.92390453339486656</v>
      </c>
      <c r="Q186" s="276">
        <f t="shared" si="108"/>
        <v>1.8662763221488305</v>
      </c>
      <c r="R186" s="276">
        <f t="shared" si="109"/>
        <v>0.96739942986040783</v>
      </c>
      <c r="S186" s="686">
        <f t="shared" si="110"/>
        <v>1.1045564838766462</v>
      </c>
      <c r="T186" s="685">
        <f t="shared" si="111"/>
        <v>5.6450840731703753</v>
      </c>
      <c r="U186" s="276">
        <f t="shared" si="112"/>
        <v>6.7122721913948382</v>
      </c>
      <c r="V186" s="276">
        <f t="shared" si="113"/>
        <v>7.1473019718088358</v>
      </c>
      <c r="W186" s="276">
        <f t="shared" si="114"/>
        <v>3.7800595970099016</v>
      </c>
      <c r="X186" s="276">
        <f t="shared" si="115"/>
        <v>3.699446434845755</v>
      </c>
      <c r="Y186" s="686">
        <f t="shared" si="116"/>
        <v>4.6600302390827117</v>
      </c>
      <c r="Z186" s="685" t="e">
        <f t="shared" si="117"/>
        <v>#DIV/0!</v>
      </c>
      <c r="AA186" s="276" t="e">
        <f t="shared" si="118"/>
        <v>#DIV/0!</v>
      </c>
      <c r="AB186" s="276" t="e">
        <f t="shared" si="119"/>
        <v>#DIV/0!</v>
      </c>
      <c r="AC186" s="276" t="e">
        <f t="shared" si="120"/>
        <v>#DIV/0!</v>
      </c>
      <c r="AD186" s="276" t="e">
        <f t="shared" si="121"/>
        <v>#DIV/0!</v>
      </c>
      <c r="AE186" s="686" t="e">
        <f t="shared" si="122"/>
        <v>#DIV/0!</v>
      </c>
      <c r="AF186" s="239"/>
      <c r="AG186" s="965" t="e">
        <f t="shared" si="93"/>
        <v>#VALUE!</v>
      </c>
      <c r="AH186" s="878" t="e">
        <f t="shared" si="94"/>
        <v>#VALUE!</v>
      </c>
      <c r="AI186" s="878" t="e">
        <f t="shared" si="95"/>
        <v>#VALUE!</v>
      </c>
      <c r="AJ186" s="878" t="e">
        <f t="shared" si="96"/>
        <v>#VALUE!</v>
      </c>
      <c r="AK186" s="878" t="e">
        <f t="shared" si="97"/>
        <v>#VALUE!</v>
      </c>
      <c r="AL186" s="966" t="e">
        <f t="shared" si="98"/>
        <v>#VALUE!</v>
      </c>
      <c r="AM186" s="239"/>
      <c r="AO186" s="685">
        <f t="shared" si="123"/>
        <v>0.27049719399192118</v>
      </c>
      <c r="AP186" s="276">
        <f t="shared" si="124"/>
        <v>1.3573916810281084E-2</v>
      </c>
      <c r="AQ186" s="276">
        <f t="shared" si="125"/>
        <v>0.81146781817881131</v>
      </c>
      <c r="AR186" s="276">
        <f t="shared" si="126"/>
        <v>-1.026922591723016</v>
      </c>
      <c r="AS186" s="276">
        <f t="shared" si="127"/>
        <v>-0.73185687568578639</v>
      </c>
      <c r="AT186" s="276">
        <f t="shared" si="128"/>
        <v>-0.84190208108463094</v>
      </c>
      <c r="AU186" s="685">
        <f t="shared" si="129"/>
        <v>1.0722428505901431</v>
      </c>
      <c r="AV186" s="276">
        <f t="shared" si="130"/>
        <v>1.166203842593571</v>
      </c>
      <c r="AW186" s="276">
        <f t="shared" si="131"/>
        <v>0.92390453339486656</v>
      </c>
      <c r="AX186" s="276">
        <f t="shared" si="132"/>
        <v>1.8662763221488305</v>
      </c>
      <c r="AY186" s="276">
        <f t="shared" si="133"/>
        <v>0.96739942986040783</v>
      </c>
      <c r="AZ186" s="686">
        <f t="shared" si="134"/>
        <v>1.1045564838766462</v>
      </c>
      <c r="BA186" s="685">
        <f t="shared" si="135"/>
        <v>0</v>
      </c>
      <c r="BB186" s="276">
        <f t="shared" si="136"/>
        <v>0</v>
      </c>
      <c r="BC186" s="276">
        <f t="shared" si="137"/>
        <v>0</v>
      </c>
      <c r="BD186" s="276">
        <f t="shared" si="138"/>
        <v>0</v>
      </c>
      <c r="BE186" s="276">
        <f t="shared" si="139"/>
        <v>0</v>
      </c>
      <c r="BF186" s="686">
        <f t="shared" si="140"/>
        <v>0</v>
      </c>
      <c r="BG186" s="685" t="e">
        <f t="shared" si="141"/>
        <v>#DIV/0!</v>
      </c>
      <c r="BH186" s="276" t="e">
        <f t="shared" si="142"/>
        <v>#DIV/0!</v>
      </c>
      <c r="BI186" s="276" t="e">
        <f t="shared" si="143"/>
        <v>#DIV/0!</v>
      </c>
      <c r="BJ186" s="276" t="e">
        <f t="shared" si="144"/>
        <v>#DIV/0!</v>
      </c>
      <c r="BK186" s="276" t="e">
        <f t="shared" si="145"/>
        <v>#DIV/0!</v>
      </c>
      <c r="BL186" s="686" t="e">
        <f t="shared" si="146"/>
        <v>#DIV/0!</v>
      </c>
      <c r="BM186" s="239"/>
      <c r="BN186" s="965" t="e">
        <f t="shared" si="147"/>
        <v>#VALUE!</v>
      </c>
      <c r="BO186" s="878" t="e">
        <f t="shared" si="148"/>
        <v>#VALUE!</v>
      </c>
      <c r="BP186" s="878" t="e">
        <f t="shared" si="149"/>
        <v>#VALUE!</v>
      </c>
      <c r="BQ186" s="878" t="e">
        <f t="shared" si="150"/>
        <v>#VALUE!</v>
      </c>
      <c r="BR186" s="878" t="e">
        <f t="shared" si="151"/>
        <v>#VALUE!</v>
      </c>
      <c r="BS186" s="966" t="e">
        <f t="shared" si="152"/>
        <v>#VALUE!</v>
      </c>
    </row>
    <row r="187" spans="1:71">
      <c r="A187" s="284">
        <f t="shared" si="153"/>
        <v>119</v>
      </c>
      <c r="B187" s="285">
        <v>-1.5486561022541743</v>
      </c>
      <c r="C187" s="285">
        <v>2.1748796819167877</v>
      </c>
      <c r="D187" s="285">
        <v>1.435532157186802</v>
      </c>
      <c r="E187" s="285">
        <v>-8.5079480104064515</v>
      </c>
      <c r="H187" s="685">
        <f t="shared" si="99"/>
        <v>-2.6818899440232293</v>
      </c>
      <c r="I187" s="276">
        <f t="shared" si="100"/>
        <v>-1.2986977027166169</v>
      </c>
      <c r="J187" s="276">
        <f t="shared" si="101"/>
        <v>-1.624466305989247</v>
      </c>
      <c r="K187" s="276">
        <f t="shared" si="102"/>
        <v>-3.2638580961600754</v>
      </c>
      <c r="L187" s="276">
        <f t="shared" si="103"/>
        <v>-6.1919685570817284E-2</v>
      </c>
      <c r="M187" s="276">
        <f t="shared" si="104"/>
        <v>-5.8208510292538396</v>
      </c>
      <c r="N187" s="685">
        <f t="shared" si="105"/>
        <v>0.9677084709449193</v>
      </c>
      <c r="O187" s="276">
        <f t="shared" si="106"/>
        <v>1.5117764022096922</v>
      </c>
      <c r="P187" s="276">
        <f t="shared" si="107"/>
        <v>1.3832769197170236</v>
      </c>
      <c r="Q187" s="276">
        <f t="shared" si="108"/>
        <v>1.1837689179491295</v>
      </c>
      <c r="R187" s="276">
        <f t="shared" si="109"/>
        <v>1.0304656443003946</v>
      </c>
      <c r="S187" s="686">
        <f t="shared" si="110"/>
        <v>0.96519052012216222</v>
      </c>
      <c r="T187" s="685">
        <f t="shared" si="111"/>
        <v>4.7138958474577279</v>
      </c>
      <c r="U187" s="276">
        <f t="shared" si="112"/>
        <v>5.6146306158115804</v>
      </c>
      <c r="V187" s="276">
        <f t="shared" si="113"/>
        <v>6.0357453499683134</v>
      </c>
      <c r="W187" s="276">
        <f t="shared" si="114"/>
        <v>4.2949391317837087</v>
      </c>
      <c r="X187" s="276">
        <f t="shared" si="115"/>
        <v>4.2329484472533911</v>
      </c>
      <c r="Y187" s="686">
        <f t="shared" si="116"/>
        <v>2.1987693343943842</v>
      </c>
      <c r="Z187" s="685" t="e">
        <f t="shared" si="117"/>
        <v>#DIV/0!</v>
      </c>
      <c r="AA187" s="276" t="e">
        <f t="shared" si="118"/>
        <v>#DIV/0!</v>
      </c>
      <c r="AB187" s="276" t="e">
        <f t="shared" si="119"/>
        <v>#DIV/0!</v>
      </c>
      <c r="AC187" s="276" t="e">
        <f t="shared" si="120"/>
        <v>#DIV/0!</v>
      </c>
      <c r="AD187" s="276" t="e">
        <f t="shared" si="121"/>
        <v>#DIV/0!</v>
      </c>
      <c r="AE187" s="686" t="e">
        <f t="shared" si="122"/>
        <v>#DIV/0!</v>
      </c>
      <c r="AF187" s="239"/>
      <c r="AG187" s="965" t="e">
        <f t="shared" si="93"/>
        <v>#VALUE!</v>
      </c>
      <c r="AH187" s="878" t="e">
        <f t="shared" si="94"/>
        <v>#VALUE!</v>
      </c>
      <c r="AI187" s="878" t="e">
        <f t="shared" si="95"/>
        <v>#VALUE!</v>
      </c>
      <c r="AJ187" s="878" t="e">
        <f t="shared" si="96"/>
        <v>#VALUE!</v>
      </c>
      <c r="AK187" s="878" t="e">
        <f t="shared" si="97"/>
        <v>#VALUE!</v>
      </c>
      <c r="AL187" s="966" t="e">
        <f t="shared" si="98"/>
        <v>#VALUE!</v>
      </c>
      <c r="AM187" s="239"/>
      <c r="AO187" s="685">
        <f t="shared" si="123"/>
        <v>-2.6818899440232293</v>
      </c>
      <c r="AP187" s="276">
        <f t="shared" si="124"/>
        <v>-1.2986977027166169</v>
      </c>
      <c r="AQ187" s="276">
        <f t="shared" si="125"/>
        <v>-1.624466305989247</v>
      </c>
      <c r="AR187" s="276">
        <f t="shared" si="126"/>
        <v>-3.2638580961600754</v>
      </c>
      <c r="AS187" s="276">
        <f t="shared" si="127"/>
        <v>-6.1919685570817284E-2</v>
      </c>
      <c r="AT187" s="276">
        <f t="shared" si="128"/>
        <v>-5.8208510292538396</v>
      </c>
      <c r="AU187" s="685">
        <f t="shared" si="129"/>
        <v>0.9677084709449193</v>
      </c>
      <c r="AV187" s="276">
        <f t="shared" si="130"/>
        <v>1.5117764022096922</v>
      </c>
      <c r="AW187" s="276">
        <f t="shared" si="131"/>
        <v>1.3832769197170236</v>
      </c>
      <c r="AX187" s="276">
        <f t="shared" si="132"/>
        <v>1.1837689179491295</v>
      </c>
      <c r="AY187" s="276">
        <f t="shared" si="133"/>
        <v>1.0304656443003946</v>
      </c>
      <c r="AZ187" s="686">
        <f t="shared" si="134"/>
        <v>0.96519052012216222</v>
      </c>
      <c r="BA187" s="685">
        <f t="shared" si="135"/>
        <v>0</v>
      </c>
      <c r="BB187" s="276">
        <f t="shared" si="136"/>
        <v>0</v>
      </c>
      <c r="BC187" s="276">
        <f t="shared" si="137"/>
        <v>0</v>
      </c>
      <c r="BD187" s="276">
        <f t="shared" si="138"/>
        <v>0</v>
      </c>
      <c r="BE187" s="276">
        <f t="shared" si="139"/>
        <v>0</v>
      </c>
      <c r="BF187" s="686">
        <f t="shared" si="140"/>
        <v>0</v>
      </c>
      <c r="BG187" s="685" t="e">
        <f t="shared" si="141"/>
        <v>#DIV/0!</v>
      </c>
      <c r="BH187" s="276" t="e">
        <f t="shared" si="142"/>
        <v>#DIV/0!</v>
      </c>
      <c r="BI187" s="276" t="e">
        <f t="shared" si="143"/>
        <v>#DIV/0!</v>
      </c>
      <c r="BJ187" s="276" t="e">
        <f t="shared" si="144"/>
        <v>#DIV/0!</v>
      </c>
      <c r="BK187" s="276" t="e">
        <f t="shared" si="145"/>
        <v>#DIV/0!</v>
      </c>
      <c r="BL187" s="686" t="e">
        <f t="shared" si="146"/>
        <v>#DIV/0!</v>
      </c>
      <c r="BM187" s="239"/>
      <c r="BN187" s="965" t="e">
        <f t="shared" si="147"/>
        <v>#VALUE!</v>
      </c>
      <c r="BO187" s="878" t="e">
        <f t="shared" si="148"/>
        <v>#VALUE!</v>
      </c>
      <c r="BP187" s="878" t="e">
        <f t="shared" si="149"/>
        <v>#VALUE!</v>
      </c>
      <c r="BQ187" s="878" t="e">
        <f t="shared" si="150"/>
        <v>#VALUE!</v>
      </c>
      <c r="BR187" s="878" t="e">
        <f t="shared" si="151"/>
        <v>#VALUE!</v>
      </c>
      <c r="BS187" s="966" t="e">
        <f t="shared" si="152"/>
        <v>#VALUE!</v>
      </c>
    </row>
    <row r="188" spans="1:71">
      <c r="A188" s="284">
        <f t="shared" si="153"/>
        <v>120</v>
      </c>
      <c r="B188" s="285">
        <v>-2.2463402802176642</v>
      </c>
      <c r="C188" s="285">
        <v>2.7499207183391938</v>
      </c>
      <c r="D188" s="285">
        <v>1.3417536336650491</v>
      </c>
      <c r="E188" s="285">
        <v>10.061649250497071</v>
      </c>
      <c r="H188" s="685">
        <f t="shared" si="99"/>
        <v>-3.3795741219867192</v>
      </c>
      <c r="I188" s="276">
        <f t="shared" si="100"/>
        <v>0.38886142654906131</v>
      </c>
      <c r="J188" s="276">
        <f t="shared" si="101"/>
        <v>-0.38292930297579686</v>
      </c>
      <c r="K188" s="276">
        <f t="shared" si="102"/>
        <v>3.6106006326554745</v>
      </c>
      <c r="L188" s="276">
        <f t="shared" si="103"/>
        <v>3.1583155284759439</v>
      </c>
      <c r="M188" s="276">
        <f t="shared" si="104"/>
        <v>-0.45830571427614208</v>
      </c>
      <c r="N188" s="685">
        <f t="shared" si="105"/>
        <v>1.5427495073673254</v>
      </c>
      <c r="O188" s="276">
        <f t="shared" si="106"/>
        <v>1.9109530540969757</v>
      </c>
      <c r="P188" s="276">
        <f t="shared" si="107"/>
        <v>1.4280278685944017</v>
      </c>
      <c r="Q188" s="276">
        <f t="shared" si="108"/>
        <v>1.6681324165402367</v>
      </c>
      <c r="R188" s="276">
        <f t="shared" si="109"/>
        <v>1.1713069938801961</v>
      </c>
      <c r="S188" s="686">
        <f t="shared" si="110"/>
        <v>1.4254532149183763</v>
      </c>
      <c r="T188" s="685">
        <f t="shared" si="111"/>
        <v>4.6201173239359754</v>
      </c>
      <c r="U188" s="276">
        <f t="shared" si="112"/>
        <v>5.6342451001039056</v>
      </c>
      <c r="V188" s="276">
        <f t="shared" si="113"/>
        <v>5.0908260125459597</v>
      </c>
      <c r="W188" s="276">
        <f t="shared" si="114"/>
        <v>5.1754134505508436</v>
      </c>
      <c r="X188" s="276">
        <f t="shared" si="115"/>
        <v>5.5131242922931456</v>
      </c>
      <c r="Y188" s="686">
        <f t="shared" si="116"/>
        <v>3.6603818435655668</v>
      </c>
      <c r="Z188" s="685" t="e">
        <f t="shared" si="117"/>
        <v>#DIV/0!</v>
      </c>
      <c r="AA188" s="276" t="e">
        <f t="shared" si="118"/>
        <v>#DIV/0!</v>
      </c>
      <c r="AB188" s="276" t="e">
        <f t="shared" si="119"/>
        <v>#DIV/0!</v>
      </c>
      <c r="AC188" s="276" t="e">
        <f t="shared" si="120"/>
        <v>#DIV/0!</v>
      </c>
      <c r="AD188" s="276" t="e">
        <f t="shared" si="121"/>
        <v>#DIV/0!</v>
      </c>
      <c r="AE188" s="686" t="e">
        <f t="shared" si="122"/>
        <v>#DIV/0!</v>
      </c>
      <c r="AF188" s="239"/>
      <c r="AG188" s="965" t="e">
        <f t="shared" si="93"/>
        <v>#VALUE!</v>
      </c>
      <c r="AH188" s="878" t="e">
        <f t="shared" si="94"/>
        <v>#VALUE!</v>
      </c>
      <c r="AI188" s="878" t="e">
        <f t="shared" si="95"/>
        <v>#VALUE!</v>
      </c>
      <c r="AJ188" s="878" t="e">
        <f t="shared" si="96"/>
        <v>#VALUE!</v>
      </c>
      <c r="AK188" s="878" t="e">
        <f t="shared" si="97"/>
        <v>#VALUE!</v>
      </c>
      <c r="AL188" s="966" t="e">
        <f t="shared" si="98"/>
        <v>#VALUE!</v>
      </c>
      <c r="AM188" s="239"/>
      <c r="AO188" s="685">
        <f t="shared" si="123"/>
        <v>-3.3795741219867192</v>
      </c>
      <c r="AP188" s="276">
        <f t="shared" si="124"/>
        <v>0.38886142654906131</v>
      </c>
      <c r="AQ188" s="276">
        <f t="shared" si="125"/>
        <v>-0.38292930297579686</v>
      </c>
      <c r="AR188" s="276">
        <f t="shared" si="126"/>
        <v>3.6106006326554745</v>
      </c>
      <c r="AS188" s="276">
        <f t="shared" si="127"/>
        <v>3.1583155284759439</v>
      </c>
      <c r="AT188" s="276">
        <f t="shared" si="128"/>
        <v>-0.45830571427614208</v>
      </c>
      <c r="AU188" s="685">
        <f t="shared" si="129"/>
        <v>1.5427495073673254</v>
      </c>
      <c r="AV188" s="276">
        <f t="shared" si="130"/>
        <v>1.9109530540969757</v>
      </c>
      <c r="AW188" s="276">
        <f t="shared" si="131"/>
        <v>1.4280278685944017</v>
      </c>
      <c r="AX188" s="276">
        <f t="shared" si="132"/>
        <v>1.6681324165402367</v>
      </c>
      <c r="AY188" s="276">
        <f t="shared" si="133"/>
        <v>1.1713069938801961</v>
      </c>
      <c r="AZ188" s="686">
        <f t="shared" si="134"/>
        <v>1.4254532149183763</v>
      </c>
      <c r="BA188" s="685">
        <f t="shared" si="135"/>
        <v>0</v>
      </c>
      <c r="BB188" s="276">
        <f t="shared" si="136"/>
        <v>0</v>
      </c>
      <c r="BC188" s="276">
        <f t="shared" si="137"/>
        <v>0</v>
      </c>
      <c r="BD188" s="276">
        <f t="shared" si="138"/>
        <v>0</v>
      </c>
      <c r="BE188" s="276">
        <f t="shared" si="139"/>
        <v>0</v>
      </c>
      <c r="BF188" s="686">
        <f t="shared" si="140"/>
        <v>0</v>
      </c>
      <c r="BG188" s="685" t="e">
        <f t="shared" si="141"/>
        <v>#DIV/0!</v>
      </c>
      <c r="BH188" s="276" t="e">
        <f t="shared" si="142"/>
        <v>#DIV/0!</v>
      </c>
      <c r="BI188" s="276" t="e">
        <f t="shared" si="143"/>
        <v>#DIV/0!</v>
      </c>
      <c r="BJ188" s="276" t="e">
        <f t="shared" si="144"/>
        <v>#DIV/0!</v>
      </c>
      <c r="BK188" s="276" t="e">
        <f t="shared" si="145"/>
        <v>#DIV/0!</v>
      </c>
      <c r="BL188" s="686" t="e">
        <f t="shared" si="146"/>
        <v>#DIV/0!</v>
      </c>
      <c r="BM188" s="239"/>
      <c r="BN188" s="965" t="e">
        <f t="shared" si="147"/>
        <v>#VALUE!</v>
      </c>
      <c r="BO188" s="878" t="e">
        <f t="shared" si="148"/>
        <v>#VALUE!</v>
      </c>
      <c r="BP188" s="878" t="e">
        <f t="shared" si="149"/>
        <v>#VALUE!</v>
      </c>
      <c r="BQ188" s="878" t="e">
        <f t="shared" si="150"/>
        <v>#VALUE!</v>
      </c>
      <c r="BR188" s="878" t="e">
        <f t="shared" si="151"/>
        <v>#VALUE!</v>
      </c>
      <c r="BS188" s="966" t="e">
        <f t="shared" si="152"/>
        <v>#VALUE!</v>
      </c>
    </row>
    <row r="189" spans="1:71">
      <c r="A189" s="284">
        <f t="shared" si="153"/>
        <v>121</v>
      </c>
      <c r="B189" s="285">
        <v>2.4339151506338355</v>
      </c>
      <c r="C189" s="285">
        <v>2.3675209599650753</v>
      </c>
      <c r="D189" s="285">
        <v>2.7560618565367117</v>
      </c>
      <c r="E189" s="285">
        <v>-6.155678666842598</v>
      </c>
      <c r="H189" s="685">
        <f t="shared" si="99"/>
        <v>1.3006813088647806</v>
      </c>
      <c r="I189" s="276">
        <f t="shared" si="100"/>
        <v>-0.74379651960067883</v>
      </c>
      <c r="J189" s="276">
        <f t="shared" si="101"/>
        <v>0.39441163999965112</v>
      </c>
      <c r="K189" s="276">
        <f t="shared" si="102"/>
        <v>-0.87470921315101791</v>
      </c>
      <c r="L189" s="276">
        <f t="shared" si="103"/>
        <v>-3.0605688562154016</v>
      </c>
      <c r="M189" s="276">
        <f t="shared" si="104"/>
        <v>-0.7483816510025878</v>
      </c>
      <c r="N189" s="685">
        <f t="shared" si="105"/>
        <v>1.1603497489932069</v>
      </c>
      <c r="O189" s="276">
        <f t="shared" si="106"/>
        <v>1.436746334749927</v>
      </c>
      <c r="P189" s="276">
        <f t="shared" si="107"/>
        <v>2.2738687154061772</v>
      </c>
      <c r="Q189" s="276">
        <f t="shared" si="108"/>
        <v>1.269642960574721</v>
      </c>
      <c r="R189" s="276">
        <f t="shared" si="109"/>
        <v>0.8447845322038583</v>
      </c>
      <c r="S189" s="686">
        <f t="shared" si="110"/>
        <v>1.6529974867462094</v>
      </c>
      <c r="T189" s="685">
        <f t="shared" si="111"/>
        <v>6.034425546807638</v>
      </c>
      <c r="U189" s="276">
        <f t="shared" si="112"/>
        <v>3.3416784618696456</v>
      </c>
      <c r="V189" s="276">
        <f t="shared" si="113"/>
        <v>3.3828533783898673</v>
      </c>
      <c r="W189" s="276">
        <f t="shared" si="114"/>
        <v>4.3796959317685902</v>
      </c>
      <c r="X189" s="276">
        <f t="shared" si="115"/>
        <v>2.9426502055848509</v>
      </c>
      <c r="Y189" s="686">
        <f t="shared" si="116"/>
        <v>3.3223088072653439</v>
      </c>
      <c r="Z189" s="685" t="e">
        <f t="shared" si="117"/>
        <v>#DIV/0!</v>
      </c>
      <c r="AA189" s="276" t="e">
        <f t="shared" si="118"/>
        <v>#DIV/0!</v>
      </c>
      <c r="AB189" s="276" t="e">
        <f t="shared" si="119"/>
        <v>#DIV/0!</v>
      </c>
      <c r="AC189" s="276" t="e">
        <f t="shared" si="120"/>
        <v>#DIV/0!</v>
      </c>
      <c r="AD189" s="276" t="e">
        <f t="shared" si="121"/>
        <v>#DIV/0!</v>
      </c>
      <c r="AE189" s="686" t="e">
        <f t="shared" si="122"/>
        <v>#DIV/0!</v>
      </c>
      <c r="AF189" s="239"/>
      <c r="AG189" s="965" t="e">
        <f t="shared" si="93"/>
        <v>#VALUE!</v>
      </c>
      <c r="AH189" s="878" t="e">
        <f t="shared" si="94"/>
        <v>#VALUE!</v>
      </c>
      <c r="AI189" s="878" t="e">
        <f t="shared" si="95"/>
        <v>#VALUE!</v>
      </c>
      <c r="AJ189" s="878" t="e">
        <f t="shared" si="96"/>
        <v>#VALUE!</v>
      </c>
      <c r="AK189" s="878" t="e">
        <f t="shared" si="97"/>
        <v>#VALUE!</v>
      </c>
      <c r="AL189" s="966" t="e">
        <f t="shared" si="98"/>
        <v>#VALUE!</v>
      </c>
      <c r="AM189" s="239"/>
      <c r="AO189" s="685">
        <f t="shared" si="123"/>
        <v>1.3006813088647806</v>
      </c>
      <c r="AP189" s="276">
        <f t="shared" si="124"/>
        <v>-0.74379651960067883</v>
      </c>
      <c r="AQ189" s="276">
        <f t="shared" si="125"/>
        <v>0.39441163999965112</v>
      </c>
      <c r="AR189" s="276">
        <f t="shared" si="126"/>
        <v>-0.87470921315101791</v>
      </c>
      <c r="AS189" s="276">
        <f t="shared" si="127"/>
        <v>-3.0605688562154016</v>
      </c>
      <c r="AT189" s="276">
        <f t="shared" si="128"/>
        <v>-0.7483816510025878</v>
      </c>
      <c r="AU189" s="685">
        <f t="shared" si="129"/>
        <v>1.1603497489932069</v>
      </c>
      <c r="AV189" s="276">
        <f t="shared" si="130"/>
        <v>1.436746334749927</v>
      </c>
      <c r="AW189" s="276">
        <f t="shared" si="131"/>
        <v>2.2738687154061772</v>
      </c>
      <c r="AX189" s="276">
        <f t="shared" si="132"/>
        <v>1.269642960574721</v>
      </c>
      <c r="AY189" s="276">
        <f t="shared" si="133"/>
        <v>0.8447845322038583</v>
      </c>
      <c r="AZ189" s="686">
        <f t="shared" si="134"/>
        <v>1.6529974867462094</v>
      </c>
      <c r="BA189" s="685">
        <f t="shared" si="135"/>
        <v>0</v>
      </c>
      <c r="BB189" s="276">
        <f t="shared" si="136"/>
        <v>0</v>
      </c>
      <c r="BC189" s="276">
        <f t="shared" si="137"/>
        <v>0</v>
      </c>
      <c r="BD189" s="276">
        <f t="shared" si="138"/>
        <v>0</v>
      </c>
      <c r="BE189" s="276">
        <f t="shared" si="139"/>
        <v>0</v>
      </c>
      <c r="BF189" s="686">
        <f t="shared" si="140"/>
        <v>0</v>
      </c>
      <c r="BG189" s="685" t="e">
        <f t="shared" si="141"/>
        <v>#DIV/0!</v>
      </c>
      <c r="BH189" s="276" t="e">
        <f t="shared" si="142"/>
        <v>#DIV/0!</v>
      </c>
      <c r="BI189" s="276" t="e">
        <f t="shared" si="143"/>
        <v>#DIV/0!</v>
      </c>
      <c r="BJ189" s="276" t="e">
        <f t="shared" si="144"/>
        <v>#DIV/0!</v>
      </c>
      <c r="BK189" s="276" t="e">
        <f t="shared" si="145"/>
        <v>#DIV/0!</v>
      </c>
      <c r="BL189" s="686" t="e">
        <f t="shared" si="146"/>
        <v>#DIV/0!</v>
      </c>
      <c r="BM189" s="239"/>
      <c r="BN189" s="965" t="e">
        <f t="shared" si="147"/>
        <v>#VALUE!</v>
      </c>
      <c r="BO189" s="878" t="e">
        <f t="shared" si="148"/>
        <v>#VALUE!</v>
      </c>
      <c r="BP189" s="878" t="e">
        <f t="shared" si="149"/>
        <v>#VALUE!</v>
      </c>
      <c r="BQ189" s="878" t="e">
        <f t="shared" si="150"/>
        <v>#VALUE!</v>
      </c>
      <c r="BR189" s="878" t="e">
        <f t="shared" si="151"/>
        <v>#VALUE!</v>
      </c>
      <c r="BS189" s="966" t="e">
        <f t="shared" si="152"/>
        <v>#VALUE!</v>
      </c>
    </row>
    <row r="190" spans="1:71">
      <c r="A190" s="284">
        <f t="shared" si="153"/>
        <v>122</v>
      </c>
      <c r="B190" s="285">
        <v>0.68625226235086956</v>
      </c>
      <c r="C190" s="285">
        <v>2.4931385728570912</v>
      </c>
      <c r="D190" s="285">
        <v>-0.91740473108959986</v>
      </c>
      <c r="E190" s="285">
        <v>2.1944031975385614</v>
      </c>
      <c r="H190" s="685">
        <f t="shared" si="99"/>
        <v>-0.44698157941818528</v>
      </c>
      <c r="I190" s="276">
        <f t="shared" si="100"/>
        <v>-5.2213012297235384</v>
      </c>
      <c r="J190" s="276">
        <f t="shared" si="101"/>
        <v>-0.91048470360859035</v>
      </c>
      <c r="K190" s="276">
        <f t="shared" si="102"/>
        <v>1.5070186682110636</v>
      </c>
      <c r="L190" s="276">
        <f t="shared" si="103"/>
        <v>-2.4821417707890774</v>
      </c>
      <c r="M190" s="276">
        <f t="shared" si="104"/>
        <v>-3.4208632132708638E-2</v>
      </c>
      <c r="N190" s="685">
        <f t="shared" si="105"/>
        <v>1.2859673618852228</v>
      </c>
      <c r="O190" s="276">
        <f t="shared" si="106"/>
        <v>1.0180324020417311</v>
      </c>
      <c r="P190" s="276">
        <f t="shared" si="107"/>
        <v>1.4293781149820612</v>
      </c>
      <c r="Q190" s="276">
        <f t="shared" si="108"/>
        <v>1.3240991041358436</v>
      </c>
      <c r="R190" s="276">
        <f t="shared" si="109"/>
        <v>0.89701442428014011</v>
      </c>
      <c r="S190" s="686">
        <f t="shared" si="110"/>
        <v>1.1597381478224571</v>
      </c>
      <c r="T190" s="685">
        <f t="shared" si="111"/>
        <v>2.360958959181326</v>
      </c>
      <c r="U190" s="276">
        <f t="shared" si="112"/>
        <v>4.253596860795076</v>
      </c>
      <c r="V190" s="276">
        <f t="shared" si="113"/>
        <v>4.5283861683176525</v>
      </c>
      <c r="W190" s="276">
        <f t="shared" si="114"/>
        <v>5.0614334685653084</v>
      </c>
      <c r="X190" s="276">
        <f t="shared" si="115"/>
        <v>5.9150650996404757</v>
      </c>
      <c r="Y190" s="686">
        <f t="shared" si="116"/>
        <v>3.9301227606191702</v>
      </c>
      <c r="Z190" s="685" t="e">
        <f t="shared" si="117"/>
        <v>#DIV/0!</v>
      </c>
      <c r="AA190" s="276" t="e">
        <f t="shared" si="118"/>
        <v>#DIV/0!</v>
      </c>
      <c r="AB190" s="276" t="e">
        <f t="shared" si="119"/>
        <v>#DIV/0!</v>
      </c>
      <c r="AC190" s="276" t="e">
        <f t="shared" si="120"/>
        <v>#DIV/0!</v>
      </c>
      <c r="AD190" s="276" t="e">
        <f t="shared" si="121"/>
        <v>#DIV/0!</v>
      </c>
      <c r="AE190" s="686" t="e">
        <f t="shared" si="122"/>
        <v>#DIV/0!</v>
      </c>
      <c r="AF190" s="239"/>
      <c r="AG190" s="965" t="e">
        <f t="shared" si="93"/>
        <v>#VALUE!</v>
      </c>
      <c r="AH190" s="878" t="e">
        <f t="shared" si="94"/>
        <v>#VALUE!</v>
      </c>
      <c r="AI190" s="878" t="e">
        <f t="shared" si="95"/>
        <v>#VALUE!</v>
      </c>
      <c r="AJ190" s="878" t="e">
        <f t="shared" si="96"/>
        <v>#VALUE!</v>
      </c>
      <c r="AK190" s="878" t="e">
        <f t="shared" si="97"/>
        <v>#VALUE!</v>
      </c>
      <c r="AL190" s="966" t="e">
        <f t="shared" si="98"/>
        <v>#VALUE!</v>
      </c>
      <c r="AM190" s="239"/>
      <c r="AO190" s="685">
        <f t="shared" si="123"/>
        <v>-0.44698157941818528</v>
      </c>
      <c r="AP190" s="276">
        <f t="shared" si="124"/>
        <v>-5.2213012297235384</v>
      </c>
      <c r="AQ190" s="276">
        <f t="shared" si="125"/>
        <v>-0.91048470360859035</v>
      </c>
      <c r="AR190" s="276">
        <f t="shared" si="126"/>
        <v>1.5070186682110636</v>
      </c>
      <c r="AS190" s="276">
        <f t="shared" si="127"/>
        <v>-2.4821417707890774</v>
      </c>
      <c r="AT190" s="276">
        <f t="shared" si="128"/>
        <v>-3.4208632132708638E-2</v>
      </c>
      <c r="AU190" s="685">
        <f t="shared" si="129"/>
        <v>1.2859673618852228</v>
      </c>
      <c r="AV190" s="276">
        <f t="shared" si="130"/>
        <v>1.0180324020417311</v>
      </c>
      <c r="AW190" s="276">
        <f t="shared" si="131"/>
        <v>1.4293781149820612</v>
      </c>
      <c r="AX190" s="276">
        <f t="shared" si="132"/>
        <v>1.3240991041358436</v>
      </c>
      <c r="AY190" s="276">
        <f t="shared" si="133"/>
        <v>0.89701442428014011</v>
      </c>
      <c r="AZ190" s="686">
        <f t="shared" si="134"/>
        <v>1.1597381478224571</v>
      </c>
      <c r="BA190" s="685">
        <f t="shared" si="135"/>
        <v>0</v>
      </c>
      <c r="BB190" s="276">
        <f t="shared" si="136"/>
        <v>0</v>
      </c>
      <c r="BC190" s="276">
        <f t="shared" si="137"/>
        <v>0</v>
      </c>
      <c r="BD190" s="276">
        <f t="shared" si="138"/>
        <v>0</v>
      </c>
      <c r="BE190" s="276">
        <f t="shared" si="139"/>
        <v>0</v>
      </c>
      <c r="BF190" s="686">
        <f t="shared" si="140"/>
        <v>0</v>
      </c>
      <c r="BG190" s="685" t="e">
        <f t="shared" si="141"/>
        <v>#DIV/0!</v>
      </c>
      <c r="BH190" s="276" t="e">
        <f t="shared" si="142"/>
        <v>#DIV/0!</v>
      </c>
      <c r="BI190" s="276" t="e">
        <f t="shared" si="143"/>
        <v>#DIV/0!</v>
      </c>
      <c r="BJ190" s="276" t="e">
        <f t="shared" si="144"/>
        <v>#DIV/0!</v>
      </c>
      <c r="BK190" s="276" t="e">
        <f t="shared" si="145"/>
        <v>#DIV/0!</v>
      </c>
      <c r="BL190" s="686" t="e">
        <f t="shared" si="146"/>
        <v>#DIV/0!</v>
      </c>
      <c r="BM190" s="239"/>
      <c r="BN190" s="965" t="e">
        <f t="shared" si="147"/>
        <v>#VALUE!</v>
      </c>
      <c r="BO190" s="878" t="e">
        <f t="shared" si="148"/>
        <v>#VALUE!</v>
      </c>
      <c r="BP190" s="878" t="e">
        <f t="shared" si="149"/>
        <v>#VALUE!</v>
      </c>
      <c r="BQ190" s="878" t="e">
        <f t="shared" si="150"/>
        <v>#VALUE!</v>
      </c>
      <c r="BR190" s="878" t="e">
        <f t="shared" si="151"/>
        <v>#VALUE!</v>
      </c>
      <c r="BS190" s="966" t="e">
        <f t="shared" si="152"/>
        <v>#VALUE!</v>
      </c>
    </row>
    <row r="191" spans="1:71">
      <c r="A191" s="284">
        <f t="shared" si="153"/>
        <v>123</v>
      </c>
      <c r="B191" s="285">
        <v>-1.291948268012618</v>
      </c>
      <c r="C191" s="285">
        <v>1.9335565866761979</v>
      </c>
      <c r="D191" s="285">
        <v>2.6674276666548016</v>
      </c>
      <c r="E191" s="285">
        <v>-1.0141970220719325</v>
      </c>
      <c r="H191" s="685">
        <f t="shared" si="99"/>
        <v>-2.425182109781673</v>
      </c>
      <c r="I191" s="276">
        <f t="shared" si="100"/>
        <v>-0.14929902522757199</v>
      </c>
      <c r="J191" s="276">
        <f t="shared" si="101"/>
        <v>1.3113564262487027</v>
      </c>
      <c r="K191" s="276">
        <f t="shared" si="102"/>
        <v>1.1146104146039664</v>
      </c>
      <c r="L191" s="276">
        <f t="shared" si="103"/>
        <v>-1.7926152808981706</v>
      </c>
      <c r="M191" s="276">
        <f t="shared" si="104"/>
        <v>-0.72457754957921461</v>
      </c>
      <c r="N191" s="685">
        <f t="shared" si="105"/>
        <v>0.72638537570432948</v>
      </c>
      <c r="O191" s="276">
        <f t="shared" si="106"/>
        <v>2.117788705742143</v>
      </c>
      <c r="P191" s="276">
        <f t="shared" si="107"/>
        <v>1.7247654779891384</v>
      </c>
      <c r="Q191" s="276">
        <f t="shared" si="108"/>
        <v>1.4156862292049366</v>
      </c>
      <c r="R191" s="276">
        <f t="shared" si="109"/>
        <v>2.099616207497994</v>
      </c>
      <c r="S191" s="686">
        <f t="shared" si="110"/>
        <v>1.4189910562224719</v>
      </c>
      <c r="T191" s="685">
        <f t="shared" si="111"/>
        <v>5.9457913569257279</v>
      </c>
      <c r="U191" s="276">
        <f t="shared" si="112"/>
        <v>4.6582322067304016</v>
      </c>
      <c r="V191" s="276">
        <f t="shared" si="113"/>
        <v>5.1763717606480482</v>
      </c>
      <c r="W191" s="276">
        <f t="shared" si="114"/>
        <v>3.5465965010908214</v>
      </c>
      <c r="X191" s="276">
        <f t="shared" si="115"/>
        <v>3.0152787106872854</v>
      </c>
      <c r="Y191" s="686">
        <f t="shared" si="116"/>
        <v>5.0379696795506987</v>
      </c>
      <c r="Z191" s="685" t="e">
        <f t="shared" si="117"/>
        <v>#DIV/0!</v>
      </c>
      <c r="AA191" s="276" t="e">
        <f t="shared" si="118"/>
        <v>#DIV/0!</v>
      </c>
      <c r="AB191" s="276" t="e">
        <f t="shared" si="119"/>
        <v>#DIV/0!</v>
      </c>
      <c r="AC191" s="276" t="e">
        <f t="shared" si="120"/>
        <v>#DIV/0!</v>
      </c>
      <c r="AD191" s="276" t="e">
        <f t="shared" si="121"/>
        <v>#DIV/0!</v>
      </c>
      <c r="AE191" s="686" t="e">
        <f t="shared" si="122"/>
        <v>#DIV/0!</v>
      </c>
      <c r="AF191" s="239"/>
      <c r="AG191" s="965" t="e">
        <f t="shared" si="93"/>
        <v>#VALUE!</v>
      </c>
      <c r="AH191" s="878" t="e">
        <f t="shared" si="94"/>
        <v>#VALUE!</v>
      </c>
      <c r="AI191" s="878" t="e">
        <f t="shared" si="95"/>
        <v>#VALUE!</v>
      </c>
      <c r="AJ191" s="878" t="e">
        <f t="shared" si="96"/>
        <v>#VALUE!</v>
      </c>
      <c r="AK191" s="878" t="e">
        <f t="shared" si="97"/>
        <v>#VALUE!</v>
      </c>
      <c r="AL191" s="966" t="e">
        <f t="shared" si="98"/>
        <v>#VALUE!</v>
      </c>
      <c r="AM191" s="239"/>
      <c r="AO191" s="685">
        <f t="shared" si="123"/>
        <v>-2.425182109781673</v>
      </c>
      <c r="AP191" s="276">
        <f t="shared" si="124"/>
        <v>-0.14929902522757199</v>
      </c>
      <c r="AQ191" s="276">
        <f t="shared" si="125"/>
        <v>1.3113564262487027</v>
      </c>
      <c r="AR191" s="276">
        <f t="shared" si="126"/>
        <v>1.1146104146039664</v>
      </c>
      <c r="AS191" s="276">
        <f t="shared" si="127"/>
        <v>-1.7926152808981706</v>
      </c>
      <c r="AT191" s="276">
        <f t="shared" si="128"/>
        <v>-0.72457754957921461</v>
      </c>
      <c r="AU191" s="685">
        <f t="shared" si="129"/>
        <v>0.72638537570432948</v>
      </c>
      <c r="AV191" s="276">
        <f t="shared" si="130"/>
        <v>2.117788705742143</v>
      </c>
      <c r="AW191" s="276">
        <f t="shared" si="131"/>
        <v>1.7247654779891384</v>
      </c>
      <c r="AX191" s="276">
        <f t="shared" si="132"/>
        <v>1.4156862292049366</v>
      </c>
      <c r="AY191" s="276">
        <f t="shared" si="133"/>
        <v>2.099616207497994</v>
      </c>
      <c r="AZ191" s="686">
        <f t="shared" si="134"/>
        <v>1.4189910562224719</v>
      </c>
      <c r="BA191" s="685">
        <f t="shared" si="135"/>
        <v>0</v>
      </c>
      <c r="BB191" s="276">
        <f t="shared" si="136"/>
        <v>0</v>
      </c>
      <c r="BC191" s="276">
        <f t="shared" si="137"/>
        <v>0</v>
      </c>
      <c r="BD191" s="276">
        <f t="shared" si="138"/>
        <v>0</v>
      </c>
      <c r="BE191" s="276">
        <f t="shared" si="139"/>
        <v>0</v>
      </c>
      <c r="BF191" s="686">
        <f t="shared" si="140"/>
        <v>0</v>
      </c>
      <c r="BG191" s="685" t="e">
        <f t="shared" si="141"/>
        <v>#DIV/0!</v>
      </c>
      <c r="BH191" s="276" t="e">
        <f t="shared" si="142"/>
        <v>#DIV/0!</v>
      </c>
      <c r="BI191" s="276" t="e">
        <f t="shared" si="143"/>
        <v>#DIV/0!</v>
      </c>
      <c r="BJ191" s="276" t="e">
        <f t="shared" si="144"/>
        <v>#DIV/0!</v>
      </c>
      <c r="BK191" s="276" t="e">
        <f t="shared" si="145"/>
        <v>#DIV/0!</v>
      </c>
      <c r="BL191" s="686" t="e">
        <f t="shared" si="146"/>
        <v>#DIV/0!</v>
      </c>
      <c r="BM191" s="239"/>
      <c r="BN191" s="965" t="e">
        <f t="shared" si="147"/>
        <v>#VALUE!</v>
      </c>
      <c r="BO191" s="878" t="e">
        <f t="shared" si="148"/>
        <v>#VALUE!</v>
      </c>
      <c r="BP191" s="878" t="e">
        <f t="shared" si="149"/>
        <v>#VALUE!</v>
      </c>
      <c r="BQ191" s="878" t="e">
        <f t="shared" si="150"/>
        <v>#VALUE!</v>
      </c>
      <c r="BR191" s="878" t="e">
        <f t="shared" si="151"/>
        <v>#VALUE!</v>
      </c>
      <c r="BS191" s="966" t="e">
        <f t="shared" si="152"/>
        <v>#VALUE!</v>
      </c>
    </row>
    <row r="192" spans="1:71">
      <c r="A192" s="284">
        <f t="shared" si="153"/>
        <v>124</v>
      </c>
      <c r="B192" s="285">
        <v>0.94829163977916264</v>
      </c>
      <c r="C192" s="285">
        <v>3.0609426291424322</v>
      </c>
      <c r="D192" s="285">
        <v>3.1053488945202883</v>
      </c>
      <c r="E192" s="285">
        <v>-3.3761967156581965</v>
      </c>
      <c r="H192" s="685">
        <f t="shared" si="99"/>
        <v>-0.1849422019898922</v>
      </c>
      <c r="I192" s="276">
        <f t="shared" si="100"/>
        <v>-2.6703593572673476</v>
      </c>
      <c r="J192" s="276">
        <f t="shared" si="101"/>
        <v>1.5178866065565682</v>
      </c>
      <c r="K192" s="276">
        <f t="shared" si="102"/>
        <v>-3.0162252843044381</v>
      </c>
      <c r="L192" s="276">
        <f t="shared" si="103"/>
        <v>-5.8657415403768551</v>
      </c>
      <c r="M192" s="276">
        <f t="shared" si="104"/>
        <v>0.45044711736628051</v>
      </c>
      <c r="N192" s="685">
        <f t="shared" si="105"/>
        <v>1.8537714181705638</v>
      </c>
      <c r="O192" s="276">
        <f t="shared" si="106"/>
        <v>1.3375577812281645</v>
      </c>
      <c r="P192" s="276">
        <f t="shared" si="107"/>
        <v>2.0583438585461762</v>
      </c>
      <c r="Q192" s="276">
        <f t="shared" si="108"/>
        <v>1.1474300355408287</v>
      </c>
      <c r="R192" s="276">
        <f t="shared" si="109"/>
        <v>1.0107493816916373</v>
      </c>
      <c r="S192" s="686">
        <f t="shared" si="110"/>
        <v>0.66354781478015235</v>
      </c>
      <c r="T192" s="685">
        <f t="shared" si="111"/>
        <v>6.3837125847912137</v>
      </c>
      <c r="U192" s="276">
        <f t="shared" si="112"/>
        <v>5.8564115964731762</v>
      </c>
      <c r="V192" s="276">
        <f t="shared" si="113"/>
        <v>3.3919096775520674</v>
      </c>
      <c r="W192" s="276">
        <f t="shared" si="114"/>
        <v>3.261470858536768</v>
      </c>
      <c r="X192" s="276">
        <f t="shared" si="115"/>
        <v>4.9232992344837907</v>
      </c>
      <c r="Y192" s="686">
        <f t="shared" si="116"/>
        <v>5.5981969476702744</v>
      </c>
      <c r="Z192" s="685" t="e">
        <f t="shared" si="117"/>
        <v>#DIV/0!</v>
      </c>
      <c r="AA192" s="276" t="e">
        <f t="shared" si="118"/>
        <v>#DIV/0!</v>
      </c>
      <c r="AB192" s="276" t="e">
        <f t="shared" si="119"/>
        <v>#DIV/0!</v>
      </c>
      <c r="AC192" s="276" t="e">
        <f t="shared" si="120"/>
        <v>#DIV/0!</v>
      </c>
      <c r="AD192" s="276" t="e">
        <f t="shared" si="121"/>
        <v>#DIV/0!</v>
      </c>
      <c r="AE192" s="686" t="e">
        <f t="shared" si="122"/>
        <v>#DIV/0!</v>
      </c>
      <c r="AF192" s="239"/>
      <c r="AG192" s="965" t="e">
        <f t="shared" si="93"/>
        <v>#VALUE!</v>
      </c>
      <c r="AH192" s="878" t="e">
        <f t="shared" si="94"/>
        <v>#VALUE!</v>
      </c>
      <c r="AI192" s="878" t="e">
        <f t="shared" si="95"/>
        <v>#VALUE!</v>
      </c>
      <c r="AJ192" s="878" t="e">
        <f t="shared" si="96"/>
        <v>#VALUE!</v>
      </c>
      <c r="AK192" s="878" t="e">
        <f t="shared" si="97"/>
        <v>#VALUE!</v>
      </c>
      <c r="AL192" s="966" t="e">
        <f t="shared" si="98"/>
        <v>#VALUE!</v>
      </c>
      <c r="AM192" s="239"/>
      <c r="AO192" s="685">
        <f t="shared" si="123"/>
        <v>-0.1849422019898922</v>
      </c>
      <c r="AP192" s="276">
        <f t="shared" si="124"/>
        <v>-2.6703593572673476</v>
      </c>
      <c r="AQ192" s="276">
        <f t="shared" si="125"/>
        <v>1.5178866065565682</v>
      </c>
      <c r="AR192" s="276">
        <f t="shared" si="126"/>
        <v>-3.0162252843044381</v>
      </c>
      <c r="AS192" s="276">
        <f t="shared" si="127"/>
        <v>-5.8657415403768551</v>
      </c>
      <c r="AT192" s="276">
        <f t="shared" si="128"/>
        <v>0.45044711736628051</v>
      </c>
      <c r="AU192" s="685">
        <f t="shared" si="129"/>
        <v>1.8537714181705638</v>
      </c>
      <c r="AV192" s="276">
        <f t="shared" si="130"/>
        <v>1.3375577812281645</v>
      </c>
      <c r="AW192" s="276">
        <f t="shared" si="131"/>
        <v>2.0583438585461762</v>
      </c>
      <c r="AX192" s="276">
        <f t="shared" si="132"/>
        <v>1.1474300355408287</v>
      </c>
      <c r="AY192" s="276">
        <f t="shared" si="133"/>
        <v>1.0107493816916373</v>
      </c>
      <c r="AZ192" s="686">
        <f t="shared" si="134"/>
        <v>0.66354781478015235</v>
      </c>
      <c r="BA192" s="685">
        <f t="shared" si="135"/>
        <v>0</v>
      </c>
      <c r="BB192" s="276">
        <f t="shared" si="136"/>
        <v>0</v>
      </c>
      <c r="BC192" s="276">
        <f t="shared" si="137"/>
        <v>0</v>
      </c>
      <c r="BD192" s="276">
        <f t="shared" si="138"/>
        <v>0</v>
      </c>
      <c r="BE192" s="276">
        <f t="shared" si="139"/>
        <v>0</v>
      </c>
      <c r="BF192" s="686">
        <f t="shared" si="140"/>
        <v>0</v>
      </c>
      <c r="BG192" s="685" t="e">
        <f t="shared" si="141"/>
        <v>#DIV/0!</v>
      </c>
      <c r="BH192" s="276" t="e">
        <f t="shared" si="142"/>
        <v>#DIV/0!</v>
      </c>
      <c r="BI192" s="276" t="e">
        <f t="shared" si="143"/>
        <v>#DIV/0!</v>
      </c>
      <c r="BJ192" s="276" t="e">
        <f t="shared" si="144"/>
        <v>#DIV/0!</v>
      </c>
      <c r="BK192" s="276" t="e">
        <f t="shared" si="145"/>
        <v>#DIV/0!</v>
      </c>
      <c r="BL192" s="686" t="e">
        <f t="shared" si="146"/>
        <v>#DIV/0!</v>
      </c>
      <c r="BM192" s="239"/>
      <c r="BN192" s="965" t="e">
        <f t="shared" si="147"/>
        <v>#VALUE!</v>
      </c>
      <c r="BO192" s="878" t="e">
        <f t="shared" si="148"/>
        <v>#VALUE!</v>
      </c>
      <c r="BP192" s="878" t="e">
        <f t="shared" si="149"/>
        <v>#VALUE!</v>
      </c>
      <c r="BQ192" s="878" t="e">
        <f t="shared" si="150"/>
        <v>#VALUE!</v>
      </c>
      <c r="BR192" s="878" t="e">
        <f t="shared" si="151"/>
        <v>#VALUE!</v>
      </c>
      <c r="BS192" s="966" t="e">
        <f t="shared" si="152"/>
        <v>#VALUE!</v>
      </c>
    </row>
    <row r="193" spans="1:71">
      <c r="A193" s="284">
        <f t="shared" si="153"/>
        <v>125</v>
      </c>
      <c r="B193" s="285">
        <v>-3.1189112972805271</v>
      </c>
      <c r="C193" s="285">
        <v>2.2994438333358511</v>
      </c>
      <c r="D193" s="285">
        <v>-1.9291684882685871</v>
      </c>
      <c r="E193" s="285">
        <v>-2.9496287065396869</v>
      </c>
      <c r="H193" s="685">
        <f t="shared" si="99"/>
        <v>-4.2521451390495821</v>
      </c>
      <c r="I193" s="276">
        <f t="shared" si="100"/>
        <v>-1.700678594206031</v>
      </c>
      <c r="J193" s="276">
        <f t="shared" si="101"/>
        <v>0.51998187087619008</v>
      </c>
      <c r="K193" s="276">
        <f t="shared" si="102"/>
        <v>0.23857619217865933</v>
      </c>
      <c r="L193" s="276">
        <f t="shared" si="103"/>
        <v>1.5532295307455655</v>
      </c>
      <c r="M193" s="276">
        <f t="shared" si="104"/>
        <v>-1.3049756360256737E-2</v>
      </c>
      <c r="N193" s="685">
        <f t="shared" si="105"/>
        <v>1.0922726223639827</v>
      </c>
      <c r="O193" s="276">
        <f t="shared" si="106"/>
        <v>1.3847675741899426</v>
      </c>
      <c r="P193" s="276">
        <f t="shared" si="107"/>
        <v>0.87814860656509341</v>
      </c>
      <c r="Q193" s="276">
        <f t="shared" si="108"/>
        <v>1.7789880902278263</v>
      </c>
      <c r="R193" s="276">
        <f t="shared" si="109"/>
        <v>0.86123127552304912</v>
      </c>
      <c r="S193" s="686">
        <f t="shared" si="110"/>
        <v>1.5117198020839802</v>
      </c>
      <c r="T193" s="685">
        <f t="shared" si="111"/>
        <v>1.3491952020023388</v>
      </c>
      <c r="U193" s="276">
        <f t="shared" si="112"/>
        <v>4.9479834902902766</v>
      </c>
      <c r="V193" s="276">
        <f t="shared" si="113"/>
        <v>5.3872040471797185</v>
      </c>
      <c r="W193" s="276">
        <f t="shared" si="114"/>
        <v>4.6805901189849095</v>
      </c>
      <c r="X193" s="276">
        <f t="shared" si="115"/>
        <v>7.0414207252318359</v>
      </c>
      <c r="Y193" s="686">
        <f t="shared" si="116"/>
        <v>4.157140257880326</v>
      </c>
      <c r="Z193" s="685" t="e">
        <f t="shared" si="117"/>
        <v>#DIV/0!</v>
      </c>
      <c r="AA193" s="276" t="e">
        <f t="shared" si="118"/>
        <v>#DIV/0!</v>
      </c>
      <c r="AB193" s="276" t="e">
        <f t="shared" si="119"/>
        <v>#DIV/0!</v>
      </c>
      <c r="AC193" s="276" t="e">
        <f t="shared" si="120"/>
        <v>#DIV/0!</v>
      </c>
      <c r="AD193" s="276" t="e">
        <f t="shared" si="121"/>
        <v>#DIV/0!</v>
      </c>
      <c r="AE193" s="686" t="e">
        <f t="shared" si="122"/>
        <v>#DIV/0!</v>
      </c>
      <c r="AF193" s="239"/>
      <c r="AG193" s="965" t="e">
        <f t="shared" si="93"/>
        <v>#VALUE!</v>
      </c>
      <c r="AH193" s="878" t="e">
        <f t="shared" si="94"/>
        <v>#VALUE!</v>
      </c>
      <c r="AI193" s="878" t="e">
        <f t="shared" si="95"/>
        <v>#VALUE!</v>
      </c>
      <c r="AJ193" s="878" t="e">
        <f t="shared" si="96"/>
        <v>#VALUE!</v>
      </c>
      <c r="AK193" s="878" t="e">
        <f t="shared" si="97"/>
        <v>#VALUE!</v>
      </c>
      <c r="AL193" s="966" t="e">
        <f t="shared" si="98"/>
        <v>#VALUE!</v>
      </c>
      <c r="AM193" s="239"/>
      <c r="AO193" s="685">
        <f t="shared" si="123"/>
        <v>-4.2521451390495821</v>
      </c>
      <c r="AP193" s="276">
        <f t="shared" si="124"/>
        <v>-1.700678594206031</v>
      </c>
      <c r="AQ193" s="276">
        <f t="shared" si="125"/>
        <v>0.51998187087619008</v>
      </c>
      <c r="AR193" s="276">
        <f t="shared" si="126"/>
        <v>0.23857619217865933</v>
      </c>
      <c r="AS193" s="276">
        <f t="shared" si="127"/>
        <v>1.5532295307455655</v>
      </c>
      <c r="AT193" s="276">
        <f t="shared" si="128"/>
        <v>-1.3049756360256737E-2</v>
      </c>
      <c r="AU193" s="685">
        <f t="shared" si="129"/>
        <v>1.0922726223639827</v>
      </c>
      <c r="AV193" s="276">
        <f t="shared" si="130"/>
        <v>1.3847675741899426</v>
      </c>
      <c r="AW193" s="276">
        <f t="shared" si="131"/>
        <v>0.87814860656509341</v>
      </c>
      <c r="AX193" s="276">
        <f t="shared" si="132"/>
        <v>1.7789880902278263</v>
      </c>
      <c r="AY193" s="276">
        <f t="shared" si="133"/>
        <v>0.86123127552304912</v>
      </c>
      <c r="AZ193" s="686">
        <f t="shared" si="134"/>
        <v>1.5117198020839802</v>
      </c>
      <c r="BA193" s="685">
        <f t="shared" si="135"/>
        <v>0</v>
      </c>
      <c r="BB193" s="276">
        <f t="shared" si="136"/>
        <v>0</v>
      </c>
      <c r="BC193" s="276">
        <f t="shared" si="137"/>
        <v>0</v>
      </c>
      <c r="BD193" s="276">
        <f t="shared" si="138"/>
        <v>0</v>
      </c>
      <c r="BE193" s="276">
        <f t="shared" si="139"/>
        <v>0</v>
      </c>
      <c r="BF193" s="686">
        <f t="shared" si="140"/>
        <v>0</v>
      </c>
      <c r="BG193" s="685" t="e">
        <f t="shared" si="141"/>
        <v>#DIV/0!</v>
      </c>
      <c r="BH193" s="276" t="e">
        <f t="shared" si="142"/>
        <v>#DIV/0!</v>
      </c>
      <c r="BI193" s="276" t="e">
        <f t="shared" si="143"/>
        <v>#DIV/0!</v>
      </c>
      <c r="BJ193" s="276" t="e">
        <f t="shared" si="144"/>
        <v>#DIV/0!</v>
      </c>
      <c r="BK193" s="276" t="e">
        <f t="shared" si="145"/>
        <v>#DIV/0!</v>
      </c>
      <c r="BL193" s="686" t="e">
        <f t="shared" si="146"/>
        <v>#DIV/0!</v>
      </c>
      <c r="BM193" s="239"/>
      <c r="BN193" s="965" t="e">
        <f t="shared" si="147"/>
        <v>#VALUE!</v>
      </c>
      <c r="BO193" s="878" t="e">
        <f t="shared" si="148"/>
        <v>#VALUE!</v>
      </c>
      <c r="BP193" s="878" t="e">
        <f t="shared" si="149"/>
        <v>#VALUE!</v>
      </c>
      <c r="BQ193" s="878" t="e">
        <f t="shared" si="150"/>
        <v>#VALUE!</v>
      </c>
      <c r="BR193" s="878" t="e">
        <f t="shared" si="151"/>
        <v>#VALUE!</v>
      </c>
      <c r="BS193" s="966" t="e">
        <f t="shared" si="152"/>
        <v>#VALUE!</v>
      </c>
    </row>
    <row r="194" spans="1:71">
      <c r="A194" s="284">
        <f t="shared" si="153"/>
        <v>126</v>
      </c>
      <c r="B194" s="285">
        <v>1.2042292753931048</v>
      </c>
      <c r="C194" s="285">
        <v>3.4741193967187458</v>
      </c>
      <c r="D194" s="285">
        <v>0.34409157369833321</v>
      </c>
      <c r="E194" s="285">
        <v>12.672782342310967</v>
      </c>
      <c r="H194" s="685">
        <f t="shared" si="99"/>
        <v>7.099543362404992E-2</v>
      </c>
      <c r="I194" s="276">
        <f t="shared" si="100"/>
        <v>-1.3654929908013507</v>
      </c>
      <c r="J194" s="276">
        <f t="shared" si="101"/>
        <v>0.12076728457660679</v>
      </c>
      <c r="K194" s="276">
        <f t="shared" si="102"/>
        <v>-0.99821358558453743</v>
      </c>
      <c r="L194" s="276">
        <f t="shared" si="103"/>
        <v>-0.44626915030690528</v>
      </c>
      <c r="M194" s="276">
        <f t="shared" si="104"/>
        <v>-1.9145854425729201</v>
      </c>
      <c r="N194" s="685">
        <f t="shared" si="105"/>
        <v>2.2669481857468776</v>
      </c>
      <c r="O194" s="276">
        <f t="shared" si="106"/>
        <v>1.3177605607394229</v>
      </c>
      <c r="P194" s="276">
        <f t="shared" si="107"/>
        <v>1.2933085091775574</v>
      </c>
      <c r="Q194" s="276">
        <f t="shared" si="108"/>
        <v>2.1678455434680366</v>
      </c>
      <c r="R194" s="276">
        <f t="shared" si="109"/>
        <v>1.664579660788376</v>
      </c>
      <c r="S194" s="686">
        <f t="shared" si="110"/>
        <v>1.823217972692899</v>
      </c>
      <c r="T194" s="685">
        <f t="shared" si="111"/>
        <v>3.6224552639692593</v>
      </c>
      <c r="U194" s="276">
        <f t="shared" si="112"/>
        <v>5.4298406424144083</v>
      </c>
      <c r="V194" s="276">
        <f t="shared" si="113"/>
        <v>3.4701604637640449</v>
      </c>
      <c r="W194" s="276">
        <f t="shared" si="114"/>
        <v>5.0107908292937982</v>
      </c>
      <c r="X194" s="276">
        <f t="shared" si="115"/>
        <v>3.4096451053315948</v>
      </c>
      <c r="Y194" s="686">
        <f t="shared" si="116"/>
        <v>2.2019349189023725</v>
      </c>
      <c r="Z194" s="685" t="e">
        <f t="shared" si="117"/>
        <v>#DIV/0!</v>
      </c>
      <c r="AA194" s="276" t="e">
        <f t="shared" si="118"/>
        <v>#DIV/0!</v>
      </c>
      <c r="AB194" s="276" t="e">
        <f t="shared" si="119"/>
        <v>#DIV/0!</v>
      </c>
      <c r="AC194" s="276" t="e">
        <f t="shared" si="120"/>
        <v>#DIV/0!</v>
      </c>
      <c r="AD194" s="276" t="e">
        <f t="shared" si="121"/>
        <v>#DIV/0!</v>
      </c>
      <c r="AE194" s="686" t="e">
        <f t="shared" si="122"/>
        <v>#DIV/0!</v>
      </c>
      <c r="AF194" s="239"/>
      <c r="AG194" s="965" t="e">
        <f t="shared" si="93"/>
        <v>#VALUE!</v>
      </c>
      <c r="AH194" s="878" t="e">
        <f t="shared" si="94"/>
        <v>#VALUE!</v>
      </c>
      <c r="AI194" s="878" t="e">
        <f t="shared" si="95"/>
        <v>#VALUE!</v>
      </c>
      <c r="AJ194" s="878" t="e">
        <f t="shared" si="96"/>
        <v>#VALUE!</v>
      </c>
      <c r="AK194" s="878" t="e">
        <f t="shared" si="97"/>
        <v>#VALUE!</v>
      </c>
      <c r="AL194" s="966" t="e">
        <f t="shared" si="98"/>
        <v>#VALUE!</v>
      </c>
      <c r="AM194" s="239"/>
      <c r="AO194" s="685">
        <f t="shared" si="123"/>
        <v>7.099543362404992E-2</v>
      </c>
      <c r="AP194" s="276">
        <f t="shared" si="124"/>
        <v>-1.3654929908013507</v>
      </c>
      <c r="AQ194" s="276">
        <f t="shared" si="125"/>
        <v>0.12076728457660679</v>
      </c>
      <c r="AR194" s="276">
        <f t="shared" si="126"/>
        <v>-0.99821358558453743</v>
      </c>
      <c r="AS194" s="276">
        <f t="shared" si="127"/>
        <v>-0.44626915030690528</v>
      </c>
      <c r="AT194" s="276">
        <f t="shared" si="128"/>
        <v>-1.9145854425729201</v>
      </c>
      <c r="AU194" s="685">
        <f t="shared" si="129"/>
        <v>2.2669481857468776</v>
      </c>
      <c r="AV194" s="276">
        <f t="shared" si="130"/>
        <v>1.3177605607394229</v>
      </c>
      <c r="AW194" s="276">
        <f t="shared" si="131"/>
        <v>1.2933085091775574</v>
      </c>
      <c r="AX194" s="276">
        <f t="shared" si="132"/>
        <v>2.1678455434680366</v>
      </c>
      <c r="AY194" s="276">
        <f t="shared" si="133"/>
        <v>1.664579660788376</v>
      </c>
      <c r="AZ194" s="686">
        <f t="shared" si="134"/>
        <v>1.823217972692899</v>
      </c>
      <c r="BA194" s="685">
        <f t="shared" si="135"/>
        <v>0</v>
      </c>
      <c r="BB194" s="276">
        <f t="shared" si="136"/>
        <v>0</v>
      </c>
      <c r="BC194" s="276">
        <f t="shared" si="137"/>
        <v>0</v>
      </c>
      <c r="BD194" s="276">
        <f t="shared" si="138"/>
        <v>0</v>
      </c>
      <c r="BE194" s="276">
        <f t="shared" si="139"/>
        <v>0</v>
      </c>
      <c r="BF194" s="686">
        <f t="shared" si="140"/>
        <v>0</v>
      </c>
      <c r="BG194" s="685" t="e">
        <f t="shared" si="141"/>
        <v>#DIV/0!</v>
      </c>
      <c r="BH194" s="276" t="e">
        <f t="shared" si="142"/>
        <v>#DIV/0!</v>
      </c>
      <c r="BI194" s="276" t="e">
        <f t="shared" si="143"/>
        <v>#DIV/0!</v>
      </c>
      <c r="BJ194" s="276" t="e">
        <f t="shared" si="144"/>
        <v>#DIV/0!</v>
      </c>
      <c r="BK194" s="276" t="e">
        <f t="shared" si="145"/>
        <v>#DIV/0!</v>
      </c>
      <c r="BL194" s="686" t="e">
        <f t="shared" si="146"/>
        <v>#DIV/0!</v>
      </c>
      <c r="BM194" s="239"/>
      <c r="BN194" s="965" t="e">
        <f t="shared" si="147"/>
        <v>#VALUE!</v>
      </c>
      <c r="BO194" s="878" t="e">
        <f t="shared" si="148"/>
        <v>#VALUE!</v>
      </c>
      <c r="BP194" s="878" t="e">
        <f t="shared" si="149"/>
        <v>#VALUE!</v>
      </c>
      <c r="BQ194" s="878" t="e">
        <f t="shared" si="150"/>
        <v>#VALUE!</v>
      </c>
      <c r="BR194" s="878" t="e">
        <f t="shared" si="151"/>
        <v>#VALUE!</v>
      </c>
      <c r="BS194" s="966" t="e">
        <f t="shared" si="152"/>
        <v>#VALUE!</v>
      </c>
    </row>
    <row r="195" spans="1:71">
      <c r="A195" s="284">
        <f t="shared" si="153"/>
        <v>127</v>
      </c>
      <c r="B195" s="285">
        <v>1.6443615994593257</v>
      </c>
      <c r="C195" s="285">
        <v>2.5289834408391672</v>
      </c>
      <c r="D195" s="285">
        <v>0.44454936738909012</v>
      </c>
      <c r="E195" s="285">
        <v>-5.4167687022503568</v>
      </c>
      <c r="H195" s="685">
        <f t="shared" si="99"/>
        <v>0.51112775769027086</v>
      </c>
      <c r="I195" s="276">
        <f t="shared" si="100"/>
        <v>-0.77149287931099186</v>
      </c>
      <c r="J195" s="276">
        <f t="shared" si="101"/>
        <v>-3.075946184012011</v>
      </c>
      <c r="K195" s="276">
        <f t="shared" si="102"/>
        <v>-0.72699367193817377</v>
      </c>
      <c r="L195" s="276">
        <f t="shared" si="103"/>
        <v>-5.2952317644082356</v>
      </c>
      <c r="M195" s="276">
        <f t="shared" si="104"/>
        <v>-2.1617404018216244</v>
      </c>
      <c r="N195" s="685">
        <f t="shared" si="105"/>
        <v>1.3218122298672987</v>
      </c>
      <c r="O195" s="276">
        <f t="shared" si="106"/>
        <v>2.0634954219454187</v>
      </c>
      <c r="P195" s="276">
        <f t="shared" si="107"/>
        <v>1.399664724389565</v>
      </c>
      <c r="Q195" s="276">
        <f t="shared" si="108"/>
        <v>1.2413573678578229</v>
      </c>
      <c r="R195" s="276">
        <f t="shared" si="109"/>
        <v>0.29553989894470623</v>
      </c>
      <c r="S195" s="686">
        <f t="shared" si="110"/>
        <v>1.0546831157731449</v>
      </c>
      <c r="T195" s="685">
        <f t="shared" si="111"/>
        <v>3.722913057660016</v>
      </c>
      <c r="U195" s="276">
        <f t="shared" si="112"/>
        <v>3.271513937967216</v>
      </c>
      <c r="V195" s="276">
        <f t="shared" si="113"/>
        <v>4.0613293094163216</v>
      </c>
      <c r="W195" s="276">
        <f t="shared" si="114"/>
        <v>3.3865164418986335</v>
      </c>
      <c r="X195" s="276">
        <f t="shared" si="115"/>
        <v>4.6926143615500884</v>
      </c>
      <c r="Y195" s="686">
        <f t="shared" si="116"/>
        <v>1.7847197103191723</v>
      </c>
      <c r="Z195" s="685" t="e">
        <f t="shared" si="117"/>
        <v>#DIV/0!</v>
      </c>
      <c r="AA195" s="276" t="e">
        <f t="shared" si="118"/>
        <v>#DIV/0!</v>
      </c>
      <c r="AB195" s="276" t="e">
        <f t="shared" si="119"/>
        <v>#DIV/0!</v>
      </c>
      <c r="AC195" s="276" t="e">
        <f t="shared" si="120"/>
        <v>#DIV/0!</v>
      </c>
      <c r="AD195" s="276" t="e">
        <f t="shared" si="121"/>
        <v>#DIV/0!</v>
      </c>
      <c r="AE195" s="686" t="e">
        <f t="shared" si="122"/>
        <v>#DIV/0!</v>
      </c>
      <c r="AF195" s="239"/>
      <c r="AG195" s="965" t="e">
        <f t="shared" si="93"/>
        <v>#VALUE!</v>
      </c>
      <c r="AH195" s="878" t="e">
        <f t="shared" si="94"/>
        <v>#VALUE!</v>
      </c>
      <c r="AI195" s="878" t="e">
        <f t="shared" si="95"/>
        <v>#VALUE!</v>
      </c>
      <c r="AJ195" s="878" t="e">
        <f t="shared" si="96"/>
        <v>#VALUE!</v>
      </c>
      <c r="AK195" s="878" t="e">
        <f t="shared" si="97"/>
        <v>#VALUE!</v>
      </c>
      <c r="AL195" s="966" t="e">
        <f t="shared" si="98"/>
        <v>#VALUE!</v>
      </c>
      <c r="AM195" s="239"/>
      <c r="AO195" s="685">
        <f t="shared" si="123"/>
        <v>0.51112775769027086</v>
      </c>
      <c r="AP195" s="276">
        <f t="shared" si="124"/>
        <v>-0.77149287931099186</v>
      </c>
      <c r="AQ195" s="276">
        <f t="shared" si="125"/>
        <v>-3.075946184012011</v>
      </c>
      <c r="AR195" s="276">
        <f t="shared" si="126"/>
        <v>-0.72699367193817377</v>
      </c>
      <c r="AS195" s="276">
        <f t="shared" si="127"/>
        <v>-5.2952317644082356</v>
      </c>
      <c r="AT195" s="276">
        <f t="shared" si="128"/>
        <v>-2.1617404018216244</v>
      </c>
      <c r="AU195" s="685">
        <f t="shared" si="129"/>
        <v>1.3218122298672987</v>
      </c>
      <c r="AV195" s="276">
        <f t="shared" si="130"/>
        <v>2.0634954219454187</v>
      </c>
      <c r="AW195" s="276">
        <f t="shared" si="131"/>
        <v>1.399664724389565</v>
      </c>
      <c r="AX195" s="276">
        <f t="shared" si="132"/>
        <v>1.2413573678578229</v>
      </c>
      <c r="AY195" s="276">
        <f t="shared" si="133"/>
        <v>0.29553989894470623</v>
      </c>
      <c r="AZ195" s="686">
        <f t="shared" si="134"/>
        <v>1.0546831157731449</v>
      </c>
      <c r="BA195" s="685">
        <f t="shared" si="135"/>
        <v>0</v>
      </c>
      <c r="BB195" s="276">
        <f t="shared" si="136"/>
        <v>0</v>
      </c>
      <c r="BC195" s="276">
        <f t="shared" si="137"/>
        <v>0</v>
      </c>
      <c r="BD195" s="276">
        <f t="shared" si="138"/>
        <v>0</v>
      </c>
      <c r="BE195" s="276">
        <f t="shared" si="139"/>
        <v>0</v>
      </c>
      <c r="BF195" s="686">
        <f t="shared" si="140"/>
        <v>0</v>
      </c>
      <c r="BG195" s="685" t="e">
        <f t="shared" si="141"/>
        <v>#DIV/0!</v>
      </c>
      <c r="BH195" s="276" t="e">
        <f t="shared" si="142"/>
        <v>#DIV/0!</v>
      </c>
      <c r="BI195" s="276" t="e">
        <f t="shared" si="143"/>
        <v>#DIV/0!</v>
      </c>
      <c r="BJ195" s="276" t="e">
        <f t="shared" si="144"/>
        <v>#DIV/0!</v>
      </c>
      <c r="BK195" s="276" t="e">
        <f t="shared" si="145"/>
        <v>#DIV/0!</v>
      </c>
      <c r="BL195" s="686" t="e">
        <f t="shared" si="146"/>
        <v>#DIV/0!</v>
      </c>
      <c r="BM195" s="239"/>
      <c r="BN195" s="965" t="e">
        <f t="shared" si="147"/>
        <v>#VALUE!</v>
      </c>
      <c r="BO195" s="878" t="e">
        <f t="shared" si="148"/>
        <v>#VALUE!</v>
      </c>
      <c r="BP195" s="878" t="e">
        <f t="shared" si="149"/>
        <v>#VALUE!</v>
      </c>
      <c r="BQ195" s="878" t="e">
        <f t="shared" si="150"/>
        <v>#VALUE!</v>
      </c>
      <c r="BR195" s="878" t="e">
        <f t="shared" si="151"/>
        <v>#VALUE!</v>
      </c>
      <c r="BS195" s="966" t="e">
        <f t="shared" si="152"/>
        <v>#VALUE!</v>
      </c>
    </row>
    <row r="196" spans="1:71">
      <c r="A196" s="284">
        <f t="shared" si="153"/>
        <v>128</v>
      </c>
      <c r="B196" s="285">
        <v>2.8303602544188444</v>
      </c>
      <c r="C196" s="285">
        <v>2.457972131804766</v>
      </c>
      <c r="D196" s="285">
        <v>1.2429074756152634</v>
      </c>
      <c r="E196" s="285">
        <v>2.3525748470101822</v>
      </c>
      <c r="H196" s="685">
        <f t="shared" si="99"/>
        <v>1.6971264126497896</v>
      </c>
      <c r="I196" s="276">
        <f t="shared" si="100"/>
        <v>2.6179819752879911</v>
      </c>
      <c r="J196" s="276">
        <f t="shared" si="101"/>
        <v>-5.6212924016206438</v>
      </c>
      <c r="K196" s="276">
        <f t="shared" si="102"/>
        <v>0.75917853511865019</v>
      </c>
      <c r="L196" s="276">
        <f t="shared" si="103"/>
        <v>-0.70501698261279522</v>
      </c>
      <c r="M196" s="276">
        <f t="shared" si="104"/>
        <v>2.6486501142162258</v>
      </c>
      <c r="N196" s="685">
        <f t="shared" si="105"/>
        <v>1.2508009208328976</v>
      </c>
      <c r="O196" s="276">
        <f t="shared" si="106"/>
        <v>1.8196641437972116</v>
      </c>
      <c r="P196" s="276">
        <f t="shared" si="107"/>
        <v>0.61450742229089617</v>
      </c>
      <c r="Q196" s="276">
        <f t="shared" si="108"/>
        <v>1.0289927954879385</v>
      </c>
      <c r="R196" s="276">
        <f t="shared" si="109"/>
        <v>1.6757399505271502</v>
      </c>
      <c r="S196" s="686">
        <f t="shared" si="110"/>
        <v>1.6867446298419597</v>
      </c>
      <c r="T196" s="685">
        <f t="shared" si="111"/>
        <v>4.5212711658861888</v>
      </c>
      <c r="U196" s="276">
        <f t="shared" si="112"/>
        <v>5.7854170316032896</v>
      </c>
      <c r="V196" s="276">
        <f t="shared" si="113"/>
        <v>6.4334690330428614</v>
      </c>
      <c r="W196" s="276">
        <f t="shared" si="114"/>
        <v>5.4097508736107223</v>
      </c>
      <c r="X196" s="276">
        <f t="shared" si="115"/>
        <v>3.0602273991356785</v>
      </c>
      <c r="Y196" s="686">
        <f t="shared" si="116"/>
        <v>4.8897940273434015</v>
      </c>
      <c r="Z196" s="685" t="e">
        <f t="shared" si="117"/>
        <v>#DIV/0!</v>
      </c>
      <c r="AA196" s="276" t="e">
        <f t="shared" si="118"/>
        <v>#DIV/0!</v>
      </c>
      <c r="AB196" s="276" t="e">
        <f t="shared" si="119"/>
        <v>#DIV/0!</v>
      </c>
      <c r="AC196" s="276" t="e">
        <f t="shared" si="120"/>
        <v>#DIV/0!</v>
      </c>
      <c r="AD196" s="276" t="e">
        <f t="shared" si="121"/>
        <v>#DIV/0!</v>
      </c>
      <c r="AE196" s="686" t="e">
        <f t="shared" si="122"/>
        <v>#DIV/0!</v>
      </c>
      <c r="AF196" s="239"/>
      <c r="AG196" s="965" t="e">
        <f t="shared" si="93"/>
        <v>#VALUE!</v>
      </c>
      <c r="AH196" s="878" t="e">
        <f t="shared" si="94"/>
        <v>#VALUE!</v>
      </c>
      <c r="AI196" s="878" t="e">
        <f t="shared" si="95"/>
        <v>#VALUE!</v>
      </c>
      <c r="AJ196" s="878" t="e">
        <f t="shared" si="96"/>
        <v>#VALUE!</v>
      </c>
      <c r="AK196" s="878" t="e">
        <f t="shared" si="97"/>
        <v>#VALUE!</v>
      </c>
      <c r="AL196" s="966" t="e">
        <f t="shared" si="98"/>
        <v>#VALUE!</v>
      </c>
      <c r="AM196" s="239"/>
      <c r="AO196" s="685">
        <f t="shared" si="123"/>
        <v>1.6971264126497896</v>
      </c>
      <c r="AP196" s="276">
        <f t="shared" si="124"/>
        <v>2.6179819752879911</v>
      </c>
      <c r="AQ196" s="276">
        <f t="shared" si="125"/>
        <v>-5.6212924016206438</v>
      </c>
      <c r="AR196" s="276">
        <f t="shared" si="126"/>
        <v>0.75917853511865019</v>
      </c>
      <c r="AS196" s="276">
        <f t="shared" si="127"/>
        <v>-0.70501698261279522</v>
      </c>
      <c r="AT196" s="276">
        <f t="shared" si="128"/>
        <v>2.6486501142162258</v>
      </c>
      <c r="AU196" s="685">
        <f t="shared" si="129"/>
        <v>1.2508009208328976</v>
      </c>
      <c r="AV196" s="276">
        <f t="shared" si="130"/>
        <v>1.8196641437972116</v>
      </c>
      <c r="AW196" s="276">
        <f t="shared" si="131"/>
        <v>0.61450742229089617</v>
      </c>
      <c r="AX196" s="276">
        <f t="shared" si="132"/>
        <v>1.0289927954879385</v>
      </c>
      <c r="AY196" s="276">
        <f t="shared" si="133"/>
        <v>1.6757399505271502</v>
      </c>
      <c r="AZ196" s="686">
        <f t="shared" si="134"/>
        <v>1.6867446298419597</v>
      </c>
      <c r="BA196" s="685">
        <f t="shared" si="135"/>
        <v>0</v>
      </c>
      <c r="BB196" s="276">
        <f t="shared" si="136"/>
        <v>0</v>
      </c>
      <c r="BC196" s="276">
        <f t="shared" si="137"/>
        <v>0</v>
      </c>
      <c r="BD196" s="276">
        <f t="shared" si="138"/>
        <v>0</v>
      </c>
      <c r="BE196" s="276">
        <f t="shared" si="139"/>
        <v>0</v>
      </c>
      <c r="BF196" s="686">
        <f t="shared" si="140"/>
        <v>0</v>
      </c>
      <c r="BG196" s="685" t="e">
        <f t="shared" si="141"/>
        <v>#DIV/0!</v>
      </c>
      <c r="BH196" s="276" t="e">
        <f t="shared" si="142"/>
        <v>#DIV/0!</v>
      </c>
      <c r="BI196" s="276" t="e">
        <f t="shared" si="143"/>
        <v>#DIV/0!</v>
      </c>
      <c r="BJ196" s="276" t="e">
        <f t="shared" si="144"/>
        <v>#DIV/0!</v>
      </c>
      <c r="BK196" s="276" t="e">
        <f t="shared" si="145"/>
        <v>#DIV/0!</v>
      </c>
      <c r="BL196" s="686" t="e">
        <f t="shared" si="146"/>
        <v>#DIV/0!</v>
      </c>
      <c r="BM196" s="239"/>
      <c r="BN196" s="965" t="e">
        <f t="shared" si="147"/>
        <v>#VALUE!</v>
      </c>
      <c r="BO196" s="878" t="e">
        <f t="shared" si="148"/>
        <v>#VALUE!</v>
      </c>
      <c r="BP196" s="878" t="e">
        <f t="shared" si="149"/>
        <v>#VALUE!</v>
      </c>
      <c r="BQ196" s="878" t="e">
        <f t="shared" si="150"/>
        <v>#VALUE!</v>
      </c>
      <c r="BR196" s="878" t="e">
        <f t="shared" si="151"/>
        <v>#VALUE!</v>
      </c>
      <c r="BS196" s="966" t="e">
        <f t="shared" si="152"/>
        <v>#VALUE!</v>
      </c>
    </row>
    <row r="197" spans="1:71">
      <c r="A197" s="284">
        <f t="shared" si="153"/>
        <v>129</v>
      </c>
      <c r="B197" s="285">
        <v>-1.1151349579408594</v>
      </c>
      <c r="C197" s="285">
        <v>3.1956132886739357</v>
      </c>
      <c r="D197" s="285">
        <v>0.48230863504178689</v>
      </c>
      <c r="E197" s="285">
        <v>1.3401938065059924</v>
      </c>
      <c r="H197" s="685">
        <f t="shared" si="99"/>
        <v>-2.2483687997099144</v>
      </c>
      <c r="I197" s="276">
        <f t="shared" si="100"/>
        <v>-2.144215819277913</v>
      </c>
      <c r="J197" s="276">
        <f t="shared" si="101"/>
        <v>-0.70286470443102833</v>
      </c>
      <c r="K197" s="276">
        <f t="shared" si="102"/>
        <v>-3.8093394104336342</v>
      </c>
      <c r="L197" s="276">
        <f t="shared" si="103"/>
        <v>5.2650475960908327E-2</v>
      </c>
      <c r="M197" s="276">
        <f t="shared" si="104"/>
        <v>-1.4345006581895969</v>
      </c>
      <c r="N197" s="685">
        <f t="shared" si="105"/>
        <v>1.9884420777020673</v>
      </c>
      <c r="O197" s="276">
        <f t="shared" si="106"/>
        <v>1.7328528676606443</v>
      </c>
      <c r="P197" s="276">
        <f t="shared" si="107"/>
        <v>0.7540949073178973</v>
      </c>
      <c r="Q197" s="276">
        <f t="shared" si="108"/>
        <v>0.97678261062129734</v>
      </c>
      <c r="R197" s="276">
        <f t="shared" si="109"/>
        <v>2.0227944712032597</v>
      </c>
      <c r="S197" s="686">
        <f t="shared" si="110"/>
        <v>1.2625317013750992</v>
      </c>
      <c r="T197" s="685">
        <f t="shared" si="111"/>
        <v>3.7606723253127128</v>
      </c>
      <c r="U197" s="276">
        <f t="shared" si="112"/>
        <v>3.750891195679869</v>
      </c>
      <c r="V197" s="276">
        <f t="shared" si="113"/>
        <v>6.3182184084083879</v>
      </c>
      <c r="W197" s="276">
        <f t="shared" si="114"/>
        <v>2.9831892839126919</v>
      </c>
      <c r="X197" s="276">
        <f t="shared" si="115"/>
        <v>3.798098270866308</v>
      </c>
      <c r="Y197" s="686">
        <f t="shared" si="116"/>
        <v>4.4059788237700879</v>
      </c>
      <c r="Z197" s="685" t="e">
        <f t="shared" si="117"/>
        <v>#DIV/0!</v>
      </c>
      <c r="AA197" s="276" t="e">
        <f t="shared" si="118"/>
        <v>#DIV/0!</v>
      </c>
      <c r="AB197" s="276" t="e">
        <f t="shared" si="119"/>
        <v>#DIV/0!</v>
      </c>
      <c r="AC197" s="276" t="e">
        <f t="shared" si="120"/>
        <v>#DIV/0!</v>
      </c>
      <c r="AD197" s="276" t="e">
        <f t="shared" si="121"/>
        <v>#DIV/0!</v>
      </c>
      <c r="AE197" s="686" t="e">
        <f t="shared" si="122"/>
        <v>#DIV/0!</v>
      </c>
      <c r="AF197" s="239"/>
      <c r="AG197" s="965" t="e">
        <f t="shared" ref="AG197:AG260" si="154">S$53*(1+(T$55+N197)/100)*((1-S$62)+S$62*((1+(T$57+Z197)/100)))/(1+(T$54+H197)/100)-(T$56+T197)+T$58</f>
        <v>#VALUE!</v>
      </c>
      <c r="AH197" s="878" t="e">
        <f t="shared" ref="AH197:AH260" si="155">AG197*(1+(U$55+O197)/100)*((1-T$62)+T$62*((1+(U$57+AA197)/100)))/(1+(U$54+I197)/100)-(U$56+U197)+U$58</f>
        <v>#VALUE!</v>
      </c>
      <c r="AI197" s="878" t="e">
        <f t="shared" ref="AI197:AI260" si="156">AH197*(1+(V$55+P197)/100)*((1-U$62)+U$62*((1+(V$57+AB197)/100)))/(1+(V$54+J197)/100)-(V$56+V197)+V$58</f>
        <v>#VALUE!</v>
      </c>
      <c r="AJ197" s="878" t="e">
        <f t="shared" ref="AJ197:AJ260" si="157">AI197*(1+(W$55+Q197)/100)*((1-V$62)+V$62*((1+(W$57+AC197)/100)))/(1+(W$54+K197)/100)-(W$56+W197)+W$58</f>
        <v>#VALUE!</v>
      </c>
      <c r="AK197" s="878" t="e">
        <f t="shared" ref="AK197:AK260" si="158">AJ197*(1+(X$55+R197)/100)*((1-W$62)+W$62*((1+(X$57+AD197)/100)))/(1+(X$54+L197)/100)-(X$56+X197)+X$58</f>
        <v>#VALUE!</v>
      </c>
      <c r="AL197" s="966" t="e">
        <f t="shared" ref="AL197:AL260" si="159">AK197*(1+(Y$55+S197)/100)*((1-X$62)+X$62*((1+(Y$57+AE197)/100)))/(1+(Y$54+M197)/100)-(Y$56+Y197)+Y$58</f>
        <v>#VALUE!</v>
      </c>
      <c r="AM197" s="239"/>
      <c r="AO197" s="685">
        <f t="shared" si="123"/>
        <v>-2.2483687997099144</v>
      </c>
      <c r="AP197" s="276">
        <f t="shared" si="124"/>
        <v>-2.144215819277913</v>
      </c>
      <c r="AQ197" s="276">
        <f t="shared" si="125"/>
        <v>-0.70286470443102833</v>
      </c>
      <c r="AR197" s="276">
        <f t="shared" si="126"/>
        <v>-3.8093394104336342</v>
      </c>
      <c r="AS197" s="276">
        <f t="shared" si="127"/>
        <v>5.2650475960908327E-2</v>
      </c>
      <c r="AT197" s="276">
        <f t="shared" si="128"/>
        <v>-1.4345006581895969</v>
      </c>
      <c r="AU197" s="685">
        <f t="shared" si="129"/>
        <v>1.9884420777020673</v>
      </c>
      <c r="AV197" s="276">
        <f t="shared" si="130"/>
        <v>1.7328528676606443</v>
      </c>
      <c r="AW197" s="276">
        <f t="shared" si="131"/>
        <v>0.7540949073178973</v>
      </c>
      <c r="AX197" s="276">
        <f t="shared" si="132"/>
        <v>0.97678261062129734</v>
      </c>
      <c r="AY197" s="276">
        <f t="shared" si="133"/>
        <v>2.0227944712032597</v>
      </c>
      <c r="AZ197" s="686">
        <f t="shared" si="134"/>
        <v>1.2625317013750992</v>
      </c>
      <c r="BA197" s="685">
        <f t="shared" si="135"/>
        <v>0</v>
      </c>
      <c r="BB197" s="276">
        <f t="shared" si="136"/>
        <v>0</v>
      </c>
      <c r="BC197" s="276">
        <f t="shared" si="137"/>
        <v>0</v>
      </c>
      <c r="BD197" s="276">
        <f t="shared" si="138"/>
        <v>0</v>
      </c>
      <c r="BE197" s="276">
        <f t="shared" si="139"/>
        <v>0</v>
      </c>
      <c r="BF197" s="686">
        <f t="shared" si="140"/>
        <v>0</v>
      </c>
      <c r="BG197" s="685" t="e">
        <f t="shared" si="141"/>
        <v>#DIV/0!</v>
      </c>
      <c r="BH197" s="276" t="e">
        <f t="shared" si="142"/>
        <v>#DIV/0!</v>
      </c>
      <c r="BI197" s="276" t="e">
        <f t="shared" si="143"/>
        <v>#DIV/0!</v>
      </c>
      <c r="BJ197" s="276" t="e">
        <f t="shared" si="144"/>
        <v>#DIV/0!</v>
      </c>
      <c r="BK197" s="276" t="e">
        <f t="shared" si="145"/>
        <v>#DIV/0!</v>
      </c>
      <c r="BL197" s="686" t="e">
        <f t="shared" si="146"/>
        <v>#DIV/0!</v>
      </c>
      <c r="BM197" s="239"/>
      <c r="BN197" s="965" t="e">
        <f t="shared" si="147"/>
        <v>#VALUE!</v>
      </c>
      <c r="BO197" s="878" t="e">
        <f t="shared" si="148"/>
        <v>#VALUE!</v>
      </c>
      <c r="BP197" s="878" t="e">
        <f t="shared" si="149"/>
        <v>#VALUE!</v>
      </c>
      <c r="BQ197" s="878" t="e">
        <f t="shared" si="150"/>
        <v>#VALUE!</v>
      </c>
      <c r="BR197" s="878" t="e">
        <f t="shared" si="151"/>
        <v>#VALUE!</v>
      </c>
      <c r="BS197" s="966" t="e">
        <f t="shared" si="152"/>
        <v>#VALUE!</v>
      </c>
    </row>
    <row r="198" spans="1:71">
      <c r="A198" s="284">
        <f t="shared" si="153"/>
        <v>130</v>
      </c>
      <c r="B198" s="285">
        <v>-0.54733696759283756</v>
      </c>
      <c r="C198" s="285">
        <v>2.2994105910688023</v>
      </c>
      <c r="D198" s="285">
        <v>2.3079239589477636</v>
      </c>
      <c r="E198" s="285">
        <v>-17.021974714901067</v>
      </c>
      <c r="H198" s="685">
        <f t="shared" ref="H198:H261" si="160">IF($B$42="On",$B198-$D$15,0)</f>
        <v>-1.6805708093618925</v>
      </c>
      <c r="I198" s="276">
        <f t="shared" ref="I198:I261" si="161">IF($B$42="On",$B1198-$D$15,0)</f>
        <v>-1.2996065755249484</v>
      </c>
      <c r="J198" s="276">
        <f t="shared" ref="J198:J261" si="162">IF($B$42="On",$B2198-$D$15,0)</f>
        <v>-3.4299484773007558</v>
      </c>
      <c r="K198" s="276">
        <f t="shared" ref="K198:K261" si="163">IF($B$42="On",$B3198-$D$15,0)</f>
        <v>1.1061475393502629</v>
      </c>
      <c r="L198" s="276">
        <f t="shared" ref="L198:L261" si="164">IF($B$42="On",$B4198-$D$15,0)</f>
        <v>-1.6814736218488058E-2</v>
      </c>
      <c r="M198" s="276">
        <f t="shared" ref="M198:M261" si="165">IF($B$42="On",$B5198-$D$15,0)</f>
        <v>1.1731344152944863</v>
      </c>
      <c r="N198" s="685">
        <f t="shared" ref="N198:N261" si="166">IF($B$43="On",$C198-$D$16,0)</f>
        <v>1.0922393800969339</v>
      </c>
      <c r="O198" s="276">
        <f t="shared" ref="O198:O261" si="167">IF($B$43="On",$C1198-$D$16,0)</f>
        <v>1.2678948213883843</v>
      </c>
      <c r="P198" s="276">
        <f t="shared" ref="P198:P261" si="168">IF($B$43="On",$C2198-$D$16,0)</f>
        <v>1.9828842059270861</v>
      </c>
      <c r="Q198" s="276">
        <f t="shared" ref="Q198:Q261" si="169">IF($B$43="On",$C3198-$D$16,0)</f>
        <v>1.6184776568180619</v>
      </c>
      <c r="R198" s="276">
        <f t="shared" ref="R198:R261" si="170">IF($B$43="On",$C4198-$D$16,0)</f>
        <v>1.9009410184606772</v>
      </c>
      <c r="S198" s="686">
        <f t="shared" ref="S198:S261" si="171">IF($B$43="On",$C5198-$D$16,0)</f>
        <v>0.91179314414155477</v>
      </c>
      <c r="T198" s="685">
        <f t="shared" ref="T198:T261" si="172">IF($B$44="On",$D198-$D$17,0)</f>
        <v>5.5862876492186899</v>
      </c>
      <c r="U198" s="276">
        <f t="shared" ref="U198:U261" si="173">IF($B$44="On",$D1198-$D$17,0)</f>
        <v>2.6946062469879282</v>
      </c>
      <c r="V198" s="276">
        <f t="shared" ref="V198:V261" si="174">IF($B$44="On",$D2198-$D$17,0)</f>
        <v>3.0318408711865734</v>
      </c>
      <c r="W198" s="276">
        <f t="shared" ref="W198:W261" si="175">IF($B$44="On",$D3198-$D$17,0)</f>
        <v>3.6781734239433908</v>
      </c>
      <c r="X198" s="276">
        <f t="shared" ref="X198:X261" si="176">IF($B$44="On",$D4198-$D$17,0)</f>
        <v>2.9862458017677498</v>
      </c>
      <c r="Y198" s="686">
        <f t="shared" ref="Y198:Y261" si="177">IF($B$44="On",$D5198-$D$17,0)</f>
        <v>4.3071047782093643</v>
      </c>
      <c r="Z198" s="685" t="e">
        <f t="shared" ref="Z198:Z261" si="178">IF($B$45="On",$E198-$D$18,0)</f>
        <v>#DIV/0!</v>
      </c>
      <c r="AA198" s="276" t="e">
        <f t="shared" ref="AA198:AA261" si="179">IF($B$45="On",$E1198-$D$18,0)</f>
        <v>#DIV/0!</v>
      </c>
      <c r="AB198" s="276" t="e">
        <f t="shared" ref="AB198:AB261" si="180">IF($B$45="On",$E2198-$D$18,0)</f>
        <v>#DIV/0!</v>
      </c>
      <c r="AC198" s="276" t="e">
        <f t="shared" ref="AC198:AC261" si="181">IF($B$45="On",$E3198-$D$18,0)</f>
        <v>#DIV/0!</v>
      </c>
      <c r="AD198" s="276" t="e">
        <f t="shared" ref="AD198:AD261" si="182">IF($B$45="On",$E4198-$D$18,0)</f>
        <v>#DIV/0!</v>
      </c>
      <c r="AE198" s="686" t="e">
        <f t="shared" ref="AE198:AE261" si="183">IF($B$45="On",$E5198-$D$18,0)</f>
        <v>#DIV/0!</v>
      </c>
      <c r="AF198" s="239"/>
      <c r="AG198" s="965" t="e">
        <f t="shared" si="154"/>
        <v>#VALUE!</v>
      </c>
      <c r="AH198" s="878" t="e">
        <f t="shared" si="155"/>
        <v>#VALUE!</v>
      </c>
      <c r="AI198" s="878" t="e">
        <f t="shared" si="156"/>
        <v>#VALUE!</v>
      </c>
      <c r="AJ198" s="878" t="e">
        <f t="shared" si="157"/>
        <v>#VALUE!</v>
      </c>
      <c r="AK198" s="878" t="e">
        <f t="shared" si="158"/>
        <v>#VALUE!</v>
      </c>
      <c r="AL198" s="966" t="e">
        <f t="shared" si="159"/>
        <v>#VALUE!</v>
      </c>
      <c r="AM198" s="239"/>
      <c r="AO198" s="685">
        <f t="shared" ref="AO198:AO261" si="184">IF($B$42="On",MIN($B198-$D$15,$D$42),0)</f>
        <v>-1.6805708093618925</v>
      </c>
      <c r="AP198" s="276">
        <f t="shared" ref="AP198:AP261" si="185">IF($B$42="On",MIN($B1198-$D$15,$D$42),0)</f>
        <v>-1.2996065755249484</v>
      </c>
      <c r="AQ198" s="276">
        <f t="shared" ref="AQ198:AQ261" si="186">IF($B$42="On",MIN($B2198-$D$15,$D$42),0)</f>
        <v>-3.4299484773007558</v>
      </c>
      <c r="AR198" s="276">
        <f t="shared" ref="AR198:AR261" si="187">IF($B$42="On",MIN($B3198-$D$15,$D$42),0)</f>
        <v>1.1061475393502629</v>
      </c>
      <c r="AS198" s="276">
        <f t="shared" ref="AS198:AS261" si="188">IF($B$42="On",MIN($B4198-$D$15,$D$42),0)</f>
        <v>-1.6814736218488058E-2</v>
      </c>
      <c r="AT198" s="276">
        <f t="shared" ref="AT198:AT261" si="189">IF($B$42="On",MIN($B5198-$D$15,$D$42),0)</f>
        <v>1.1731344152944863</v>
      </c>
      <c r="AU198" s="685">
        <f t="shared" ref="AU198:AU261" si="190">IF($B$43="On",MAX($C198-$D$16,$D$43),0)</f>
        <v>1.0922393800969339</v>
      </c>
      <c r="AV198" s="276">
        <f t="shared" ref="AV198:AV261" si="191">IF($B$43="On",MAX($C1198-$D$16,$D$43),0)</f>
        <v>1.2678948213883843</v>
      </c>
      <c r="AW198" s="276">
        <f t="shared" ref="AW198:AW261" si="192">IF($B$43="On",MAX($C2198-$D$16,$D$43),0)</f>
        <v>1.9828842059270861</v>
      </c>
      <c r="AX198" s="276">
        <f t="shared" ref="AX198:AX261" si="193">IF($B$43="On",MAX($C3198-$D$16,$D$43),0)</f>
        <v>1.6184776568180619</v>
      </c>
      <c r="AY198" s="276">
        <f t="shared" ref="AY198:AY261" si="194">IF($B$43="On",MAX($C4198-$D$16,$D$43),0)</f>
        <v>1.9009410184606772</v>
      </c>
      <c r="AZ198" s="686">
        <f t="shared" ref="AZ198:AZ261" si="195">IF($B$43="On",MAX($C5198-$D$16,$D$43),0)</f>
        <v>0.91179314414155477</v>
      </c>
      <c r="BA198" s="685">
        <f t="shared" ref="BA198:BA261" si="196">IF($B$44="On",MIN($D198-$D$17,$D$44),0)</f>
        <v>0</v>
      </c>
      <c r="BB198" s="276">
        <f t="shared" ref="BB198:BB261" si="197">IF($B$44="On",MIN($D1198-$D$17,$D$44),0)</f>
        <v>0</v>
      </c>
      <c r="BC198" s="276">
        <f t="shared" ref="BC198:BC261" si="198">IF($B$44="On",MIN($D2198-$D$17,$D$44),0)</f>
        <v>0</v>
      </c>
      <c r="BD198" s="276">
        <f t="shared" ref="BD198:BD261" si="199">IF($B$44="On",MIN($D3198-$D$17,$D$44),0)</f>
        <v>0</v>
      </c>
      <c r="BE198" s="276">
        <f t="shared" ref="BE198:BE261" si="200">IF($B$44="On",MIN($D4198-$D$17,$D$44),0)</f>
        <v>0</v>
      </c>
      <c r="BF198" s="686">
        <f t="shared" ref="BF198:BF261" si="201">IF($B$44="On",MIN($D5198-$D$17,$D$44),0)</f>
        <v>0</v>
      </c>
      <c r="BG198" s="685" t="e">
        <f t="shared" ref="BG198:BG261" si="202">IF($B$45="On",MAX($E198-$D$18,$D$45),0)</f>
        <v>#DIV/0!</v>
      </c>
      <c r="BH198" s="276" t="e">
        <f t="shared" ref="BH198:BH261" si="203">IF($B$45="On",MAX($E1198-$D$18,$D$45),0)</f>
        <v>#DIV/0!</v>
      </c>
      <c r="BI198" s="276" t="e">
        <f t="shared" ref="BI198:BI261" si="204">IF($B$45="On",MAX($E2198-$D$18,$D$45),0)</f>
        <v>#DIV/0!</v>
      </c>
      <c r="BJ198" s="276" t="e">
        <f t="shared" ref="BJ198:BJ261" si="205">IF($B$45="On",MAX($E3198-$D$18,$D$45),0)</f>
        <v>#DIV/0!</v>
      </c>
      <c r="BK198" s="276" t="e">
        <f t="shared" ref="BK198:BK261" si="206">IF($B$45="On",MAX($E4198-$D$18,$D$45),0)</f>
        <v>#DIV/0!</v>
      </c>
      <c r="BL198" s="686" t="e">
        <f t="shared" ref="BL198:BL261" si="207">IF($B$45="On",MAX($E5198-$D$18,$D$45),0)</f>
        <v>#DIV/0!</v>
      </c>
      <c r="BM198" s="239"/>
      <c r="BN198" s="965" t="e">
        <f t="shared" ref="BN198:BN261" si="208">S$53*(1+(T$55+AU198)/100)*((1-S$62)+S$62*((1+(T$57+BG198)/100)))/(1+(T$54+AO198)/100)-(T$56+BA198)+T$58</f>
        <v>#VALUE!</v>
      </c>
      <c r="BO198" s="878" t="e">
        <f t="shared" ref="BO198:BO261" si="209">BN198*(1+(U$55+AV198)/100)*((1-T$62)+T$62*((1+(U$57+BH198)/100)))/(1+(U$54+AP198)/100)-(U$56+BB198)+U$58</f>
        <v>#VALUE!</v>
      </c>
      <c r="BP198" s="878" t="e">
        <f t="shared" ref="BP198:BP261" si="210">BO198*(1+(V$55+AW198)/100)*((1-U$62)+U$62*((1+(V$57+BI198)/100)))/(1+(V$54+AQ198)/100)-(V$56+BC198)+V$58</f>
        <v>#VALUE!</v>
      </c>
      <c r="BQ198" s="878" t="e">
        <f t="shared" ref="BQ198:BQ261" si="211">BP198*(1+(W$55+AX198)/100)*((1-V$62)+V$62*((1+(W$57+BJ198)/100)))/(1+(W$54+AR198)/100)-(W$56+BD198)+W$58</f>
        <v>#VALUE!</v>
      </c>
      <c r="BR198" s="878" t="e">
        <f t="shared" ref="BR198:BR261" si="212">BQ198*(1+(X$55+AY198)/100)*((1-W$62)+W$62*((1+(X$57+BK198)/100)))/(1+(X$54+AS198)/100)-(X$56+BE198)+X$58</f>
        <v>#VALUE!</v>
      </c>
      <c r="BS198" s="966" t="e">
        <f t="shared" ref="BS198:BS261" si="213">BR198*(1+(Y$55+AZ198)/100)*((1-X$62)+X$62*((1+(Y$57+BL198)/100)))/(1+(Y$54+AT198)/100)-(Y$56+BF198)+Y$58</f>
        <v>#VALUE!</v>
      </c>
    </row>
    <row r="199" spans="1:71">
      <c r="A199" s="284">
        <f t="shared" ref="A199:A262" si="214">A198+1</f>
        <v>131</v>
      </c>
      <c r="B199" s="285">
        <v>1.9598587147079962</v>
      </c>
      <c r="C199" s="285">
        <v>2.4849539065676538</v>
      </c>
      <c r="D199" s="285">
        <v>2.1858792133406535</v>
      </c>
      <c r="E199" s="285">
        <v>-10.150338064767512</v>
      </c>
      <c r="H199" s="685">
        <f t="shared" si="160"/>
        <v>0.82662487293894138</v>
      </c>
      <c r="I199" s="276">
        <f t="shared" si="161"/>
        <v>0.32910880417527344</v>
      </c>
      <c r="J199" s="276">
        <f t="shared" si="162"/>
        <v>2.8032920178567409</v>
      </c>
      <c r="K199" s="276">
        <f t="shared" si="163"/>
        <v>-3.4350592230428267</v>
      </c>
      <c r="L199" s="276">
        <f t="shared" si="164"/>
        <v>-1.518652294922564</v>
      </c>
      <c r="M199" s="276">
        <f t="shared" si="165"/>
        <v>-1.4610035318995125</v>
      </c>
      <c r="N199" s="685">
        <f t="shared" si="166"/>
        <v>1.2777826955957854</v>
      </c>
      <c r="O199" s="276">
        <f t="shared" si="167"/>
        <v>1.573509236660972</v>
      </c>
      <c r="P199" s="276">
        <f t="shared" si="168"/>
        <v>1.6064232101846583</v>
      </c>
      <c r="Q199" s="276">
        <f t="shared" si="169"/>
        <v>0.44484282318271862</v>
      </c>
      <c r="R199" s="276">
        <f t="shared" si="170"/>
        <v>2.0643158468984266</v>
      </c>
      <c r="S199" s="686">
        <f t="shared" si="171"/>
        <v>0.99339825136544291</v>
      </c>
      <c r="T199" s="685">
        <f t="shared" si="172"/>
        <v>5.4642429036115789</v>
      </c>
      <c r="U199" s="276">
        <f t="shared" si="173"/>
        <v>3.0219995813645273</v>
      </c>
      <c r="V199" s="276">
        <f t="shared" si="174"/>
        <v>5.9441526743238251</v>
      </c>
      <c r="W199" s="276">
        <f t="shared" si="175"/>
        <v>2.961898979401357</v>
      </c>
      <c r="X199" s="276">
        <f t="shared" si="176"/>
        <v>1.9168002581583212</v>
      </c>
      <c r="Y199" s="686">
        <f t="shared" si="177"/>
        <v>3.4106435532145989</v>
      </c>
      <c r="Z199" s="685" t="e">
        <f t="shared" si="178"/>
        <v>#DIV/0!</v>
      </c>
      <c r="AA199" s="276" t="e">
        <f t="shared" si="179"/>
        <v>#DIV/0!</v>
      </c>
      <c r="AB199" s="276" t="e">
        <f t="shared" si="180"/>
        <v>#DIV/0!</v>
      </c>
      <c r="AC199" s="276" t="e">
        <f t="shared" si="181"/>
        <v>#DIV/0!</v>
      </c>
      <c r="AD199" s="276" t="e">
        <f t="shared" si="182"/>
        <v>#DIV/0!</v>
      </c>
      <c r="AE199" s="686" t="e">
        <f t="shared" si="183"/>
        <v>#DIV/0!</v>
      </c>
      <c r="AF199" s="239"/>
      <c r="AG199" s="965" t="e">
        <f t="shared" si="154"/>
        <v>#VALUE!</v>
      </c>
      <c r="AH199" s="878" t="e">
        <f t="shared" si="155"/>
        <v>#VALUE!</v>
      </c>
      <c r="AI199" s="878" t="e">
        <f t="shared" si="156"/>
        <v>#VALUE!</v>
      </c>
      <c r="AJ199" s="878" t="e">
        <f t="shared" si="157"/>
        <v>#VALUE!</v>
      </c>
      <c r="AK199" s="878" t="e">
        <f t="shared" si="158"/>
        <v>#VALUE!</v>
      </c>
      <c r="AL199" s="966" t="e">
        <f t="shared" si="159"/>
        <v>#VALUE!</v>
      </c>
      <c r="AM199" s="239"/>
      <c r="AO199" s="685">
        <f t="shared" si="184"/>
        <v>0.82662487293894138</v>
      </c>
      <c r="AP199" s="276">
        <f t="shared" si="185"/>
        <v>0.32910880417527344</v>
      </c>
      <c r="AQ199" s="276">
        <f t="shared" si="186"/>
        <v>2.8032920178567409</v>
      </c>
      <c r="AR199" s="276">
        <f t="shared" si="187"/>
        <v>-3.4350592230428267</v>
      </c>
      <c r="AS199" s="276">
        <f t="shared" si="188"/>
        <v>-1.518652294922564</v>
      </c>
      <c r="AT199" s="276">
        <f t="shared" si="189"/>
        <v>-1.4610035318995125</v>
      </c>
      <c r="AU199" s="685">
        <f t="shared" si="190"/>
        <v>1.2777826955957854</v>
      </c>
      <c r="AV199" s="276">
        <f t="shared" si="191"/>
        <v>1.573509236660972</v>
      </c>
      <c r="AW199" s="276">
        <f t="shared" si="192"/>
        <v>1.6064232101846583</v>
      </c>
      <c r="AX199" s="276">
        <f t="shared" si="193"/>
        <v>0.44484282318271862</v>
      </c>
      <c r="AY199" s="276">
        <f t="shared" si="194"/>
        <v>2.0643158468984266</v>
      </c>
      <c r="AZ199" s="686">
        <f t="shared" si="195"/>
        <v>0.99339825136544291</v>
      </c>
      <c r="BA199" s="685">
        <f t="shared" si="196"/>
        <v>0</v>
      </c>
      <c r="BB199" s="276">
        <f t="shared" si="197"/>
        <v>0</v>
      </c>
      <c r="BC199" s="276">
        <f t="shared" si="198"/>
        <v>0</v>
      </c>
      <c r="BD199" s="276">
        <f t="shared" si="199"/>
        <v>0</v>
      </c>
      <c r="BE199" s="276">
        <f t="shared" si="200"/>
        <v>0</v>
      </c>
      <c r="BF199" s="686">
        <f t="shared" si="201"/>
        <v>0</v>
      </c>
      <c r="BG199" s="685" t="e">
        <f t="shared" si="202"/>
        <v>#DIV/0!</v>
      </c>
      <c r="BH199" s="276" t="e">
        <f t="shared" si="203"/>
        <v>#DIV/0!</v>
      </c>
      <c r="BI199" s="276" t="e">
        <f t="shared" si="204"/>
        <v>#DIV/0!</v>
      </c>
      <c r="BJ199" s="276" t="e">
        <f t="shared" si="205"/>
        <v>#DIV/0!</v>
      </c>
      <c r="BK199" s="276" t="e">
        <f t="shared" si="206"/>
        <v>#DIV/0!</v>
      </c>
      <c r="BL199" s="686" t="e">
        <f t="shared" si="207"/>
        <v>#DIV/0!</v>
      </c>
      <c r="BM199" s="239"/>
      <c r="BN199" s="965" t="e">
        <f t="shared" si="208"/>
        <v>#VALUE!</v>
      </c>
      <c r="BO199" s="878" t="e">
        <f t="shared" si="209"/>
        <v>#VALUE!</v>
      </c>
      <c r="BP199" s="878" t="e">
        <f t="shared" si="210"/>
        <v>#VALUE!</v>
      </c>
      <c r="BQ199" s="878" t="e">
        <f t="shared" si="211"/>
        <v>#VALUE!</v>
      </c>
      <c r="BR199" s="878" t="e">
        <f t="shared" si="212"/>
        <v>#VALUE!</v>
      </c>
      <c r="BS199" s="966" t="e">
        <f t="shared" si="213"/>
        <v>#VALUE!</v>
      </c>
    </row>
    <row r="200" spans="1:71">
      <c r="A200" s="284">
        <f t="shared" si="214"/>
        <v>132</v>
      </c>
      <c r="B200" s="285">
        <v>-0.46372777580370284</v>
      </c>
      <c r="C200" s="285">
        <v>2.3105399387433345</v>
      </c>
      <c r="D200" s="285">
        <v>0.7943538307860698</v>
      </c>
      <c r="E200" s="285">
        <v>-25.312912728622987</v>
      </c>
      <c r="H200" s="685">
        <f t="shared" si="160"/>
        <v>-1.5969616175727577</v>
      </c>
      <c r="I200" s="276">
        <f t="shared" si="161"/>
        <v>-2.0522937565623454</v>
      </c>
      <c r="J200" s="276">
        <f t="shared" si="162"/>
        <v>-0.91471252294364302</v>
      </c>
      <c r="K200" s="276">
        <f t="shared" si="163"/>
        <v>0.53668618052423023</v>
      </c>
      <c r="L200" s="276">
        <f t="shared" si="164"/>
        <v>2.7650779360772866</v>
      </c>
      <c r="M200" s="276">
        <f t="shared" si="165"/>
        <v>1.0412180483371343</v>
      </c>
      <c r="N200" s="685">
        <f t="shared" si="166"/>
        <v>1.1033687277714661</v>
      </c>
      <c r="O200" s="276">
        <f t="shared" si="167"/>
        <v>1.4936967911361274</v>
      </c>
      <c r="P200" s="276">
        <f t="shared" si="168"/>
        <v>1.2283888742922275</v>
      </c>
      <c r="Q200" s="276">
        <f t="shared" si="169"/>
        <v>1.7352135971477269</v>
      </c>
      <c r="R200" s="276">
        <f t="shared" si="170"/>
        <v>1.5535816761370709</v>
      </c>
      <c r="S200" s="686">
        <f t="shared" si="171"/>
        <v>1.1748438056499533</v>
      </c>
      <c r="T200" s="685">
        <f t="shared" si="172"/>
        <v>4.0727175210569957</v>
      </c>
      <c r="U200" s="276">
        <f t="shared" si="173"/>
        <v>3.8221281445480835</v>
      </c>
      <c r="V200" s="276">
        <f t="shared" si="174"/>
        <v>4.7211866973684593</v>
      </c>
      <c r="W200" s="276">
        <f t="shared" si="175"/>
        <v>4.1834071083277431</v>
      </c>
      <c r="X200" s="276">
        <f t="shared" si="176"/>
        <v>6.986256770915749</v>
      </c>
      <c r="Y200" s="686">
        <f t="shared" si="177"/>
        <v>6.785136831067959</v>
      </c>
      <c r="Z200" s="685" t="e">
        <f t="shared" si="178"/>
        <v>#DIV/0!</v>
      </c>
      <c r="AA200" s="276" t="e">
        <f t="shared" si="179"/>
        <v>#DIV/0!</v>
      </c>
      <c r="AB200" s="276" t="e">
        <f t="shared" si="180"/>
        <v>#DIV/0!</v>
      </c>
      <c r="AC200" s="276" t="e">
        <f t="shared" si="181"/>
        <v>#DIV/0!</v>
      </c>
      <c r="AD200" s="276" t="e">
        <f t="shared" si="182"/>
        <v>#DIV/0!</v>
      </c>
      <c r="AE200" s="686" t="e">
        <f t="shared" si="183"/>
        <v>#DIV/0!</v>
      </c>
      <c r="AF200" s="239"/>
      <c r="AG200" s="965" t="e">
        <f t="shared" si="154"/>
        <v>#VALUE!</v>
      </c>
      <c r="AH200" s="878" t="e">
        <f t="shared" si="155"/>
        <v>#VALUE!</v>
      </c>
      <c r="AI200" s="878" t="e">
        <f t="shared" si="156"/>
        <v>#VALUE!</v>
      </c>
      <c r="AJ200" s="878" t="e">
        <f t="shared" si="157"/>
        <v>#VALUE!</v>
      </c>
      <c r="AK200" s="878" t="e">
        <f t="shared" si="158"/>
        <v>#VALUE!</v>
      </c>
      <c r="AL200" s="966" t="e">
        <f t="shared" si="159"/>
        <v>#VALUE!</v>
      </c>
      <c r="AM200" s="239"/>
      <c r="AO200" s="685">
        <f t="shared" si="184"/>
        <v>-1.5969616175727577</v>
      </c>
      <c r="AP200" s="276">
        <f t="shared" si="185"/>
        <v>-2.0522937565623454</v>
      </c>
      <c r="AQ200" s="276">
        <f t="shared" si="186"/>
        <v>-0.91471252294364302</v>
      </c>
      <c r="AR200" s="276">
        <f t="shared" si="187"/>
        <v>0.53668618052423023</v>
      </c>
      <c r="AS200" s="276">
        <f t="shared" si="188"/>
        <v>2.7650779360772866</v>
      </c>
      <c r="AT200" s="276">
        <f t="shared" si="189"/>
        <v>1.0412180483371343</v>
      </c>
      <c r="AU200" s="685">
        <f t="shared" si="190"/>
        <v>1.1033687277714661</v>
      </c>
      <c r="AV200" s="276">
        <f t="shared" si="191"/>
        <v>1.4936967911361274</v>
      </c>
      <c r="AW200" s="276">
        <f t="shared" si="192"/>
        <v>1.2283888742922275</v>
      </c>
      <c r="AX200" s="276">
        <f t="shared" si="193"/>
        <v>1.7352135971477269</v>
      </c>
      <c r="AY200" s="276">
        <f t="shared" si="194"/>
        <v>1.5535816761370709</v>
      </c>
      <c r="AZ200" s="686">
        <f t="shared" si="195"/>
        <v>1.1748438056499533</v>
      </c>
      <c r="BA200" s="685">
        <f t="shared" si="196"/>
        <v>0</v>
      </c>
      <c r="BB200" s="276">
        <f t="shared" si="197"/>
        <v>0</v>
      </c>
      <c r="BC200" s="276">
        <f t="shared" si="198"/>
        <v>0</v>
      </c>
      <c r="BD200" s="276">
        <f t="shared" si="199"/>
        <v>0</v>
      </c>
      <c r="BE200" s="276">
        <f t="shared" si="200"/>
        <v>0</v>
      </c>
      <c r="BF200" s="686">
        <f t="shared" si="201"/>
        <v>0</v>
      </c>
      <c r="BG200" s="685" t="e">
        <f t="shared" si="202"/>
        <v>#DIV/0!</v>
      </c>
      <c r="BH200" s="276" t="e">
        <f t="shared" si="203"/>
        <v>#DIV/0!</v>
      </c>
      <c r="BI200" s="276" t="e">
        <f t="shared" si="204"/>
        <v>#DIV/0!</v>
      </c>
      <c r="BJ200" s="276" t="e">
        <f t="shared" si="205"/>
        <v>#DIV/0!</v>
      </c>
      <c r="BK200" s="276" t="e">
        <f t="shared" si="206"/>
        <v>#DIV/0!</v>
      </c>
      <c r="BL200" s="686" t="e">
        <f t="shared" si="207"/>
        <v>#DIV/0!</v>
      </c>
      <c r="BM200" s="239"/>
      <c r="BN200" s="965" t="e">
        <f t="shared" si="208"/>
        <v>#VALUE!</v>
      </c>
      <c r="BO200" s="878" t="e">
        <f t="shared" si="209"/>
        <v>#VALUE!</v>
      </c>
      <c r="BP200" s="878" t="e">
        <f t="shared" si="210"/>
        <v>#VALUE!</v>
      </c>
      <c r="BQ200" s="878" t="e">
        <f t="shared" si="211"/>
        <v>#VALUE!</v>
      </c>
      <c r="BR200" s="878" t="e">
        <f t="shared" si="212"/>
        <v>#VALUE!</v>
      </c>
      <c r="BS200" s="966" t="e">
        <f t="shared" si="213"/>
        <v>#VALUE!</v>
      </c>
    </row>
    <row r="201" spans="1:71">
      <c r="A201" s="284">
        <f t="shared" si="214"/>
        <v>133</v>
      </c>
      <c r="B201" s="285">
        <v>0.19106516420847233</v>
      </c>
      <c r="C201" s="285">
        <v>2.3753211200443869</v>
      </c>
      <c r="D201" s="285">
        <v>0.90632680227051476</v>
      </c>
      <c r="E201" s="285">
        <v>-10.808896010871308</v>
      </c>
      <c r="H201" s="685">
        <f t="shared" si="160"/>
        <v>-0.94216867756058253</v>
      </c>
      <c r="I201" s="276">
        <f t="shared" si="161"/>
        <v>-2.5269552637411747</v>
      </c>
      <c r="J201" s="276">
        <f t="shared" si="162"/>
        <v>-2.3948831382454987</v>
      </c>
      <c r="K201" s="276">
        <f t="shared" si="163"/>
        <v>-1.6688096389779525</v>
      </c>
      <c r="L201" s="276">
        <f t="shared" si="164"/>
        <v>-1.3956890097081907</v>
      </c>
      <c r="M201" s="276">
        <f t="shared" si="165"/>
        <v>-0.83914161985874092</v>
      </c>
      <c r="N201" s="685">
        <f t="shared" si="166"/>
        <v>1.1681499090725185</v>
      </c>
      <c r="O201" s="276">
        <f t="shared" si="167"/>
        <v>1.9706592531904066</v>
      </c>
      <c r="P201" s="276">
        <f t="shared" si="168"/>
        <v>1.478891936137199</v>
      </c>
      <c r="Q201" s="276">
        <f t="shared" si="169"/>
        <v>0.829653274135423</v>
      </c>
      <c r="R201" s="276">
        <f t="shared" si="170"/>
        <v>2.1999749447447057</v>
      </c>
      <c r="S201" s="686">
        <f t="shared" si="171"/>
        <v>0.70755969577120248</v>
      </c>
      <c r="T201" s="685">
        <f t="shared" si="172"/>
        <v>4.1846904925414403</v>
      </c>
      <c r="U201" s="276">
        <f t="shared" si="173"/>
        <v>4.4113527073613241</v>
      </c>
      <c r="V201" s="276">
        <f t="shared" si="174"/>
        <v>3.3712017570526558</v>
      </c>
      <c r="W201" s="276">
        <f t="shared" si="175"/>
        <v>5.5277348931248147</v>
      </c>
      <c r="X201" s="276">
        <f t="shared" si="176"/>
        <v>5.8579575593609681</v>
      </c>
      <c r="Y201" s="686">
        <f t="shared" si="177"/>
        <v>5.792201950037656</v>
      </c>
      <c r="Z201" s="685" t="e">
        <f t="shared" si="178"/>
        <v>#DIV/0!</v>
      </c>
      <c r="AA201" s="276" t="e">
        <f t="shared" si="179"/>
        <v>#DIV/0!</v>
      </c>
      <c r="AB201" s="276" t="e">
        <f t="shared" si="180"/>
        <v>#DIV/0!</v>
      </c>
      <c r="AC201" s="276" t="e">
        <f t="shared" si="181"/>
        <v>#DIV/0!</v>
      </c>
      <c r="AD201" s="276" t="e">
        <f t="shared" si="182"/>
        <v>#DIV/0!</v>
      </c>
      <c r="AE201" s="686" t="e">
        <f t="shared" si="183"/>
        <v>#DIV/0!</v>
      </c>
      <c r="AF201" s="239"/>
      <c r="AG201" s="965" t="e">
        <f t="shared" si="154"/>
        <v>#VALUE!</v>
      </c>
      <c r="AH201" s="878" t="e">
        <f t="shared" si="155"/>
        <v>#VALUE!</v>
      </c>
      <c r="AI201" s="878" t="e">
        <f t="shared" si="156"/>
        <v>#VALUE!</v>
      </c>
      <c r="AJ201" s="878" t="e">
        <f t="shared" si="157"/>
        <v>#VALUE!</v>
      </c>
      <c r="AK201" s="878" t="e">
        <f t="shared" si="158"/>
        <v>#VALUE!</v>
      </c>
      <c r="AL201" s="966" t="e">
        <f t="shared" si="159"/>
        <v>#VALUE!</v>
      </c>
      <c r="AM201" s="239"/>
      <c r="AO201" s="685">
        <f t="shared" si="184"/>
        <v>-0.94216867756058253</v>
      </c>
      <c r="AP201" s="276">
        <f t="shared" si="185"/>
        <v>-2.5269552637411747</v>
      </c>
      <c r="AQ201" s="276">
        <f t="shared" si="186"/>
        <v>-2.3948831382454987</v>
      </c>
      <c r="AR201" s="276">
        <f t="shared" si="187"/>
        <v>-1.6688096389779525</v>
      </c>
      <c r="AS201" s="276">
        <f t="shared" si="188"/>
        <v>-1.3956890097081907</v>
      </c>
      <c r="AT201" s="276">
        <f t="shared" si="189"/>
        <v>-0.83914161985874092</v>
      </c>
      <c r="AU201" s="685">
        <f t="shared" si="190"/>
        <v>1.1681499090725185</v>
      </c>
      <c r="AV201" s="276">
        <f t="shared" si="191"/>
        <v>1.9706592531904066</v>
      </c>
      <c r="AW201" s="276">
        <f t="shared" si="192"/>
        <v>1.478891936137199</v>
      </c>
      <c r="AX201" s="276">
        <f t="shared" si="193"/>
        <v>0.829653274135423</v>
      </c>
      <c r="AY201" s="276">
        <f t="shared" si="194"/>
        <v>2.1999749447447057</v>
      </c>
      <c r="AZ201" s="686">
        <f t="shared" si="195"/>
        <v>0.70755969577120248</v>
      </c>
      <c r="BA201" s="685">
        <f t="shared" si="196"/>
        <v>0</v>
      </c>
      <c r="BB201" s="276">
        <f t="shared" si="197"/>
        <v>0</v>
      </c>
      <c r="BC201" s="276">
        <f t="shared" si="198"/>
        <v>0</v>
      </c>
      <c r="BD201" s="276">
        <f t="shared" si="199"/>
        <v>0</v>
      </c>
      <c r="BE201" s="276">
        <f t="shared" si="200"/>
        <v>0</v>
      </c>
      <c r="BF201" s="686">
        <f t="shared" si="201"/>
        <v>0</v>
      </c>
      <c r="BG201" s="685" t="e">
        <f t="shared" si="202"/>
        <v>#DIV/0!</v>
      </c>
      <c r="BH201" s="276" t="e">
        <f t="shared" si="203"/>
        <v>#DIV/0!</v>
      </c>
      <c r="BI201" s="276" t="e">
        <f t="shared" si="204"/>
        <v>#DIV/0!</v>
      </c>
      <c r="BJ201" s="276" t="e">
        <f t="shared" si="205"/>
        <v>#DIV/0!</v>
      </c>
      <c r="BK201" s="276" t="e">
        <f t="shared" si="206"/>
        <v>#DIV/0!</v>
      </c>
      <c r="BL201" s="686" t="e">
        <f t="shared" si="207"/>
        <v>#DIV/0!</v>
      </c>
      <c r="BM201" s="239"/>
      <c r="BN201" s="965" t="e">
        <f t="shared" si="208"/>
        <v>#VALUE!</v>
      </c>
      <c r="BO201" s="878" t="e">
        <f t="shared" si="209"/>
        <v>#VALUE!</v>
      </c>
      <c r="BP201" s="878" t="e">
        <f t="shared" si="210"/>
        <v>#VALUE!</v>
      </c>
      <c r="BQ201" s="878" t="e">
        <f t="shared" si="211"/>
        <v>#VALUE!</v>
      </c>
      <c r="BR201" s="878" t="e">
        <f t="shared" si="212"/>
        <v>#VALUE!</v>
      </c>
      <c r="BS201" s="966" t="e">
        <f t="shared" si="213"/>
        <v>#VALUE!</v>
      </c>
    </row>
    <row r="202" spans="1:71">
      <c r="A202" s="284">
        <f t="shared" si="214"/>
        <v>134</v>
      </c>
      <c r="B202" s="285">
        <v>-1.7306389746201873</v>
      </c>
      <c r="C202" s="285">
        <v>2.9076908938841299</v>
      </c>
      <c r="D202" s="285">
        <v>0.66510876623241089</v>
      </c>
      <c r="E202" s="285">
        <v>7.8279567326516499</v>
      </c>
      <c r="H202" s="685">
        <f t="shared" si="160"/>
        <v>-2.8638728163892422</v>
      </c>
      <c r="I202" s="276">
        <f t="shared" si="161"/>
        <v>-4.3485073656394579</v>
      </c>
      <c r="J202" s="276">
        <f t="shared" si="162"/>
        <v>-3.6777177653058715</v>
      </c>
      <c r="K202" s="276">
        <f t="shared" si="163"/>
        <v>2.5130209871617124</v>
      </c>
      <c r="L202" s="276">
        <f t="shared" si="164"/>
        <v>-3.8042952635360221</v>
      </c>
      <c r="M202" s="276">
        <f t="shared" si="165"/>
        <v>-0.63149046099810358</v>
      </c>
      <c r="N202" s="685">
        <f t="shared" si="166"/>
        <v>1.7005196829122615</v>
      </c>
      <c r="O202" s="276">
        <f t="shared" si="167"/>
        <v>1.4324063719712476</v>
      </c>
      <c r="P202" s="276">
        <f t="shared" si="168"/>
        <v>1.0563683644664172</v>
      </c>
      <c r="Q202" s="276">
        <f t="shared" si="169"/>
        <v>2.0869530314325457</v>
      </c>
      <c r="R202" s="276">
        <f t="shared" si="170"/>
        <v>0.83924735345107204</v>
      </c>
      <c r="S202" s="686">
        <f t="shared" si="171"/>
        <v>1.1775367588651131</v>
      </c>
      <c r="T202" s="685">
        <f t="shared" si="172"/>
        <v>3.9434724565033368</v>
      </c>
      <c r="U202" s="276">
        <f t="shared" si="173"/>
        <v>3.487668856338324</v>
      </c>
      <c r="V202" s="276">
        <f t="shared" si="174"/>
        <v>4.1042585136666112</v>
      </c>
      <c r="W202" s="276">
        <f t="shared" si="175"/>
        <v>5.8015909664160912</v>
      </c>
      <c r="X202" s="276">
        <f t="shared" si="176"/>
        <v>4.9673665553603534</v>
      </c>
      <c r="Y202" s="686">
        <f t="shared" si="177"/>
        <v>4.0290007403256469</v>
      </c>
      <c r="Z202" s="685" t="e">
        <f t="shared" si="178"/>
        <v>#DIV/0!</v>
      </c>
      <c r="AA202" s="276" t="e">
        <f t="shared" si="179"/>
        <v>#DIV/0!</v>
      </c>
      <c r="AB202" s="276" t="e">
        <f t="shared" si="180"/>
        <v>#DIV/0!</v>
      </c>
      <c r="AC202" s="276" t="e">
        <f t="shared" si="181"/>
        <v>#DIV/0!</v>
      </c>
      <c r="AD202" s="276" t="e">
        <f t="shared" si="182"/>
        <v>#DIV/0!</v>
      </c>
      <c r="AE202" s="686" t="e">
        <f t="shared" si="183"/>
        <v>#DIV/0!</v>
      </c>
      <c r="AF202" s="239"/>
      <c r="AG202" s="965" t="e">
        <f t="shared" si="154"/>
        <v>#VALUE!</v>
      </c>
      <c r="AH202" s="878" t="e">
        <f t="shared" si="155"/>
        <v>#VALUE!</v>
      </c>
      <c r="AI202" s="878" t="e">
        <f t="shared" si="156"/>
        <v>#VALUE!</v>
      </c>
      <c r="AJ202" s="878" t="e">
        <f t="shared" si="157"/>
        <v>#VALUE!</v>
      </c>
      <c r="AK202" s="878" t="e">
        <f t="shared" si="158"/>
        <v>#VALUE!</v>
      </c>
      <c r="AL202" s="966" t="e">
        <f t="shared" si="159"/>
        <v>#VALUE!</v>
      </c>
      <c r="AM202" s="239"/>
      <c r="AO202" s="685">
        <f t="shared" si="184"/>
        <v>-2.8638728163892422</v>
      </c>
      <c r="AP202" s="276">
        <f t="shared" si="185"/>
        <v>-4.3485073656394579</v>
      </c>
      <c r="AQ202" s="276">
        <f t="shared" si="186"/>
        <v>-3.6777177653058715</v>
      </c>
      <c r="AR202" s="276">
        <f t="shared" si="187"/>
        <v>2.5130209871617124</v>
      </c>
      <c r="AS202" s="276">
        <f t="shared" si="188"/>
        <v>-3.8042952635360221</v>
      </c>
      <c r="AT202" s="276">
        <f t="shared" si="189"/>
        <v>-0.63149046099810358</v>
      </c>
      <c r="AU202" s="685">
        <f t="shared" si="190"/>
        <v>1.7005196829122615</v>
      </c>
      <c r="AV202" s="276">
        <f t="shared" si="191"/>
        <v>1.4324063719712476</v>
      </c>
      <c r="AW202" s="276">
        <f t="shared" si="192"/>
        <v>1.0563683644664172</v>
      </c>
      <c r="AX202" s="276">
        <f t="shared" si="193"/>
        <v>2.0869530314325457</v>
      </c>
      <c r="AY202" s="276">
        <f t="shared" si="194"/>
        <v>0.83924735345107204</v>
      </c>
      <c r="AZ202" s="686">
        <f t="shared" si="195"/>
        <v>1.1775367588651131</v>
      </c>
      <c r="BA202" s="685">
        <f t="shared" si="196"/>
        <v>0</v>
      </c>
      <c r="BB202" s="276">
        <f t="shared" si="197"/>
        <v>0</v>
      </c>
      <c r="BC202" s="276">
        <f t="shared" si="198"/>
        <v>0</v>
      </c>
      <c r="BD202" s="276">
        <f t="shared" si="199"/>
        <v>0</v>
      </c>
      <c r="BE202" s="276">
        <f t="shared" si="200"/>
        <v>0</v>
      </c>
      <c r="BF202" s="686">
        <f t="shared" si="201"/>
        <v>0</v>
      </c>
      <c r="BG202" s="685" t="e">
        <f t="shared" si="202"/>
        <v>#DIV/0!</v>
      </c>
      <c r="BH202" s="276" t="e">
        <f t="shared" si="203"/>
        <v>#DIV/0!</v>
      </c>
      <c r="BI202" s="276" t="e">
        <f t="shared" si="204"/>
        <v>#DIV/0!</v>
      </c>
      <c r="BJ202" s="276" t="e">
        <f t="shared" si="205"/>
        <v>#DIV/0!</v>
      </c>
      <c r="BK202" s="276" t="e">
        <f t="shared" si="206"/>
        <v>#DIV/0!</v>
      </c>
      <c r="BL202" s="686" t="e">
        <f t="shared" si="207"/>
        <v>#DIV/0!</v>
      </c>
      <c r="BM202" s="239"/>
      <c r="BN202" s="965" t="e">
        <f t="shared" si="208"/>
        <v>#VALUE!</v>
      </c>
      <c r="BO202" s="878" t="e">
        <f t="shared" si="209"/>
        <v>#VALUE!</v>
      </c>
      <c r="BP202" s="878" t="e">
        <f t="shared" si="210"/>
        <v>#VALUE!</v>
      </c>
      <c r="BQ202" s="878" t="e">
        <f t="shared" si="211"/>
        <v>#VALUE!</v>
      </c>
      <c r="BR202" s="878" t="e">
        <f t="shared" si="212"/>
        <v>#VALUE!</v>
      </c>
      <c r="BS202" s="966" t="e">
        <f t="shared" si="213"/>
        <v>#VALUE!</v>
      </c>
    </row>
    <row r="203" spans="1:71">
      <c r="A203" s="284">
        <f t="shared" si="214"/>
        <v>135</v>
      </c>
      <c r="B203" s="285">
        <v>2.8804029411433274</v>
      </c>
      <c r="C203" s="285">
        <v>2.8353704016816832</v>
      </c>
      <c r="D203" s="285">
        <v>2.0403876635419689</v>
      </c>
      <c r="E203" s="285">
        <v>-9.6349761420964697</v>
      </c>
      <c r="H203" s="685">
        <f t="shared" si="160"/>
        <v>1.7471690993742726</v>
      </c>
      <c r="I203" s="276">
        <f t="shared" si="161"/>
        <v>-3.0619535945138852</v>
      </c>
      <c r="J203" s="276">
        <f t="shared" si="162"/>
        <v>0.87127912309391875</v>
      </c>
      <c r="K203" s="276">
        <f t="shared" si="163"/>
        <v>-0.40160559652179428</v>
      </c>
      <c r="L203" s="276">
        <f t="shared" si="164"/>
        <v>1.5767308745245316</v>
      </c>
      <c r="M203" s="276">
        <f t="shared" si="165"/>
        <v>-1.6873886338434412</v>
      </c>
      <c r="N203" s="685">
        <f t="shared" si="166"/>
        <v>1.6281991907098148</v>
      </c>
      <c r="O203" s="276">
        <f t="shared" si="167"/>
        <v>2.2436327904496078</v>
      </c>
      <c r="P203" s="276">
        <f t="shared" si="168"/>
        <v>1.4315146308249831</v>
      </c>
      <c r="Q203" s="276">
        <f t="shared" si="169"/>
        <v>0.71290151541017965</v>
      </c>
      <c r="R203" s="276">
        <f t="shared" si="170"/>
        <v>1.6925657720804181</v>
      </c>
      <c r="S203" s="686">
        <f t="shared" si="171"/>
        <v>1.1427840296515381</v>
      </c>
      <c r="T203" s="685">
        <f t="shared" si="172"/>
        <v>5.3187513538128943</v>
      </c>
      <c r="U203" s="276">
        <f t="shared" si="173"/>
        <v>3.8077921856845882</v>
      </c>
      <c r="V203" s="276">
        <f t="shared" si="174"/>
        <v>6.2552384434442585</v>
      </c>
      <c r="W203" s="276">
        <f t="shared" si="175"/>
        <v>5.7120539892998252</v>
      </c>
      <c r="X203" s="276">
        <f t="shared" si="176"/>
        <v>3.2711693737901117</v>
      </c>
      <c r="Y203" s="686">
        <f t="shared" si="177"/>
        <v>6.3472740301906292</v>
      </c>
      <c r="Z203" s="685" t="e">
        <f t="shared" si="178"/>
        <v>#DIV/0!</v>
      </c>
      <c r="AA203" s="276" t="e">
        <f t="shared" si="179"/>
        <v>#DIV/0!</v>
      </c>
      <c r="AB203" s="276" t="e">
        <f t="shared" si="180"/>
        <v>#DIV/0!</v>
      </c>
      <c r="AC203" s="276" t="e">
        <f t="shared" si="181"/>
        <v>#DIV/0!</v>
      </c>
      <c r="AD203" s="276" t="e">
        <f t="shared" si="182"/>
        <v>#DIV/0!</v>
      </c>
      <c r="AE203" s="686" t="e">
        <f t="shared" si="183"/>
        <v>#DIV/0!</v>
      </c>
      <c r="AF203" s="239"/>
      <c r="AG203" s="965" t="e">
        <f t="shared" si="154"/>
        <v>#VALUE!</v>
      </c>
      <c r="AH203" s="878" t="e">
        <f t="shared" si="155"/>
        <v>#VALUE!</v>
      </c>
      <c r="AI203" s="878" t="e">
        <f t="shared" si="156"/>
        <v>#VALUE!</v>
      </c>
      <c r="AJ203" s="878" t="e">
        <f t="shared" si="157"/>
        <v>#VALUE!</v>
      </c>
      <c r="AK203" s="878" t="e">
        <f t="shared" si="158"/>
        <v>#VALUE!</v>
      </c>
      <c r="AL203" s="966" t="e">
        <f t="shared" si="159"/>
        <v>#VALUE!</v>
      </c>
      <c r="AM203" s="239"/>
      <c r="AO203" s="685">
        <f t="shared" si="184"/>
        <v>1.7471690993742726</v>
      </c>
      <c r="AP203" s="276">
        <f t="shared" si="185"/>
        <v>-3.0619535945138852</v>
      </c>
      <c r="AQ203" s="276">
        <f t="shared" si="186"/>
        <v>0.87127912309391875</v>
      </c>
      <c r="AR203" s="276">
        <f t="shared" si="187"/>
        <v>-0.40160559652179428</v>
      </c>
      <c r="AS203" s="276">
        <f t="shared" si="188"/>
        <v>1.5767308745245316</v>
      </c>
      <c r="AT203" s="276">
        <f t="shared" si="189"/>
        <v>-1.6873886338434412</v>
      </c>
      <c r="AU203" s="685">
        <f t="shared" si="190"/>
        <v>1.6281991907098148</v>
      </c>
      <c r="AV203" s="276">
        <f t="shared" si="191"/>
        <v>2.2436327904496078</v>
      </c>
      <c r="AW203" s="276">
        <f t="shared" si="192"/>
        <v>1.4315146308249831</v>
      </c>
      <c r="AX203" s="276">
        <f t="shared" si="193"/>
        <v>0.71290151541017965</v>
      </c>
      <c r="AY203" s="276">
        <f t="shared" si="194"/>
        <v>1.6925657720804181</v>
      </c>
      <c r="AZ203" s="686">
        <f t="shared" si="195"/>
        <v>1.1427840296515381</v>
      </c>
      <c r="BA203" s="685">
        <f t="shared" si="196"/>
        <v>0</v>
      </c>
      <c r="BB203" s="276">
        <f t="shared" si="197"/>
        <v>0</v>
      </c>
      <c r="BC203" s="276">
        <f t="shared" si="198"/>
        <v>0</v>
      </c>
      <c r="BD203" s="276">
        <f t="shared" si="199"/>
        <v>0</v>
      </c>
      <c r="BE203" s="276">
        <f t="shared" si="200"/>
        <v>0</v>
      </c>
      <c r="BF203" s="686">
        <f t="shared" si="201"/>
        <v>0</v>
      </c>
      <c r="BG203" s="685" t="e">
        <f t="shared" si="202"/>
        <v>#DIV/0!</v>
      </c>
      <c r="BH203" s="276" t="e">
        <f t="shared" si="203"/>
        <v>#DIV/0!</v>
      </c>
      <c r="BI203" s="276" t="e">
        <f t="shared" si="204"/>
        <v>#DIV/0!</v>
      </c>
      <c r="BJ203" s="276" t="e">
        <f t="shared" si="205"/>
        <v>#DIV/0!</v>
      </c>
      <c r="BK203" s="276" t="e">
        <f t="shared" si="206"/>
        <v>#DIV/0!</v>
      </c>
      <c r="BL203" s="686" t="e">
        <f t="shared" si="207"/>
        <v>#DIV/0!</v>
      </c>
      <c r="BM203" s="239"/>
      <c r="BN203" s="965" t="e">
        <f t="shared" si="208"/>
        <v>#VALUE!</v>
      </c>
      <c r="BO203" s="878" t="e">
        <f t="shared" si="209"/>
        <v>#VALUE!</v>
      </c>
      <c r="BP203" s="878" t="e">
        <f t="shared" si="210"/>
        <v>#VALUE!</v>
      </c>
      <c r="BQ203" s="878" t="e">
        <f t="shared" si="211"/>
        <v>#VALUE!</v>
      </c>
      <c r="BR203" s="878" t="e">
        <f t="shared" si="212"/>
        <v>#VALUE!</v>
      </c>
      <c r="BS203" s="966" t="e">
        <f t="shared" si="213"/>
        <v>#VALUE!</v>
      </c>
    </row>
    <row r="204" spans="1:71">
      <c r="A204" s="284">
        <f t="shared" si="214"/>
        <v>136</v>
      </c>
      <c r="B204" s="285">
        <v>1.4746907804059541</v>
      </c>
      <c r="C204" s="285">
        <v>2.515034490454811</v>
      </c>
      <c r="D204" s="285">
        <v>3.3423485401388096</v>
      </c>
      <c r="E204" s="285">
        <v>3.2716322828450148</v>
      </c>
      <c r="H204" s="685">
        <f t="shared" si="160"/>
        <v>0.3414569386368993</v>
      </c>
      <c r="I204" s="276">
        <f t="shared" si="161"/>
        <v>-0.56562749374600629</v>
      </c>
      <c r="J204" s="276">
        <f t="shared" si="162"/>
        <v>-3.284763802569671</v>
      </c>
      <c r="K204" s="276">
        <f t="shared" si="163"/>
        <v>-5.0912538117769772</v>
      </c>
      <c r="L204" s="276">
        <f t="shared" si="164"/>
        <v>-1.5209610758128986</v>
      </c>
      <c r="M204" s="276">
        <f t="shared" si="165"/>
        <v>-2.2040923500028207</v>
      </c>
      <c r="N204" s="685">
        <f t="shared" si="166"/>
        <v>1.3078632794829426</v>
      </c>
      <c r="O204" s="276">
        <f t="shared" si="167"/>
        <v>1.1831310226134095</v>
      </c>
      <c r="P204" s="276">
        <f t="shared" si="168"/>
        <v>1.7404339437404797</v>
      </c>
      <c r="Q204" s="276">
        <f t="shared" si="169"/>
        <v>1.3465225639929568</v>
      </c>
      <c r="R204" s="276">
        <f t="shared" si="170"/>
        <v>1.2180614963572423</v>
      </c>
      <c r="S204" s="686">
        <f t="shared" si="171"/>
        <v>0.80601509515272673</v>
      </c>
      <c r="T204" s="685">
        <f t="shared" si="172"/>
        <v>6.620712230409735</v>
      </c>
      <c r="U204" s="276">
        <f t="shared" si="173"/>
        <v>3.9937502933429192</v>
      </c>
      <c r="V204" s="276">
        <f t="shared" si="174"/>
        <v>3.6953431014098306</v>
      </c>
      <c r="W204" s="276">
        <f t="shared" si="175"/>
        <v>3.8185004688868061</v>
      </c>
      <c r="X204" s="276">
        <f t="shared" si="176"/>
        <v>4.7430801613544089</v>
      </c>
      <c r="Y204" s="686">
        <f t="shared" si="177"/>
        <v>3.4509084674243113</v>
      </c>
      <c r="Z204" s="685" t="e">
        <f t="shared" si="178"/>
        <v>#DIV/0!</v>
      </c>
      <c r="AA204" s="276" t="e">
        <f t="shared" si="179"/>
        <v>#DIV/0!</v>
      </c>
      <c r="AB204" s="276" t="e">
        <f t="shared" si="180"/>
        <v>#DIV/0!</v>
      </c>
      <c r="AC204" s="276" t="e">
        <f t="shared" si="181"/>
        <v>#DIV/0!</v>
      </c>
      <c r="AD204" s="276" t="e">
        <f t="shared" si="182"/>
        <v>#DIV/0!</v>
      </c>
      <c r="AE204" s="686" t="e">
        <f t="shared" si="183"/>
        <v>#DIV/0!</v>
      </c>
      <c r="AF204" s="239"/>
      <c r="AG204" s="965" t="e">
        <f t="shared" si="154"/>
        <v>#VALUE!</v>
      </c>
      <c r="AH204" s="878" t="e">
        <f t="shared" si="155"/>
        <v>#VALUE!</v>
      </c>
      <c r="AI204" s="878" t="e">
        <f t="shared" si="156"/>
        <v>#VALUE!</v>
      </c>
      <c r="AJ204" s="878" t="e">
        <f t="shared" si="157"/>
        <v>#VALUE!</v>
      </c>
      <c r="AK204" s="878" t="e">
        <f t="shared" si="158"/>
        <v>#VALUE!</v>
      </c>
      <c r="AL204" s="966" t="e">
        <f t="shared" si="159"/>
        <v>#VALUE!</v>
      </c>
      <c r="AM204" s="239"/>
      <c r="AO204" s="685">
        <f t="shared" si="184"/>
        <v>0.3414569386368993</v>
      </c>
      <c r="AP204" s="276">
        <f t="shared" si="185"/>
        <v>-0.56562749374600629</v>
      </c>
      <c r="AQ204" s="276">
        <f t="shared" si="186"/>
        <v>-3.284763802569671</v>
      </c>
      <c r="AR204" s="276">
        <f t="shared" si="187"/>
        <v>-5.0912538117769772</v>
      </c>
      <c r="AS204" s="276">
        <f t="shared" si="188"/>
        <v>-1.5209610758128986</v>
      </c>
      <c r="AT204" s="276">
        <f t="shared" si="189"/>
        <v>-2.2040923500028207</v>
      </c>
      <c r="AU204" s="685">
        <f t="shared" si="190"/>
        <v>1.3078632794829426</v>
      </c>
      <c r="AV204" s="276">
        <f t="shared" si="191"/>
        <v>1.1831310226134095</v>
      </c>
      <c r="AW204" s="276">
        <f t="shared" si="192"/>
        <v>1.7404339437404797</v>
      </c>
      <c r="AX204" s="276">
        <f t="shared" si="193"/>
        <v>1.3465225639929568</v>
      </c>
      <c r="AY204" s="276">
        <f t="shared" si="194"/>
        <v>1.2180614963572423</v>
      </c>
      <c r="AZ204" s="686">
        <f t="shared" si="195"/>
        <v>0.80601509515272673</v>
      </c>
      <c r="BA204" s="685">
        <f t="shared" si="196"/>
        <v>0</v>
      </c>
      <c r="BB204" s="276">
        <f t="shared" si="197"/>
        <v>0</v>
      </c>
      <c r="BC204" s="276">
        <f t="shared" si="198"/>
        <v>0</v>
      </c>
      <c r="BD204" s="276">
        <f t="shared" si="199"/>
        <v>0</v>
      </c>
      <c r="BE204" s="276">
        <f t="shared" si="200"/>
        <v>0</v>
      </c>
      <c r="BF204" s="686">
        <f t="shared" si="201"/>
        <v>0</v>
      </c>
      <c r="BG204" s="685" t="e">
        <f t="shared" si="202"/>
        <v>#DIV/0!</v>
      </c>
      <c r="BH204" s="276" t="e">
        <f t="shared" si="203"/>
        <v>#DIV/0!</v>
      </c>
      <c r="BI204" s="276" t="e">
        <f t="shared" si="204"/>
        <v>#DIV/0!</v>
      </c>
      <c r="BJ204" s="276" t="e">
        <f t="shared" si="205"/>
        <v>#DIV/0!</v>
      </c>
      <c r="BK204" s="276" t="e">
        <f t="shared" si="206"/>
        <v>#DIV/0!</v>
      </c>
      <c r="BL204" s="686" t="e">
        <f t="shared" si="207"/>
        <v>#DIV/0!</v>
      </c>
      <c r="BM204" s="239"/>
      <c r="BN204" s="965" t="e">
        <f t="shared" si="208"/>
        <v>#VALUE!</v>
      </c>
      <c r="BO204" s="878" t="e">
        <f t="shared" si="209"/>
        <v>#VALUE!</v>
      </c>
      <c r="BP204" s="878" t="e">
        <f t="shared" si="210"/>
        <v>#VALUE!</v>
      </c>
      <c r="BQ204" s="878" t="e">
        <f t="shared" si="211"/>
        <v>#VALUE!</v>
      </c>
      <c r="BR204" s="878" t="e">
        <f t="shared" si="212"/>
        <v>#VALUE!</v>
      </c>
      <c r="BS204" s="966" t="e">
        <f t="shared" si="213"/>
        <v>#VALUE!</v>
      </c>
    </row>
    <row r="205" spans="1:71">
      <c r="A205" s="284">
        <f t="shared" si="214"/>
        <v>137</v>
      </c>
      <c r="B205" s="285">
        <v>2.1849120859709723</v>
      </c>
      <c r="C205" s="285">
        <v>3.0302960782237007</v>
      </c>
      <c r="D205" s="285">
        <v>2.1414252659163027</v>
      </c>
      <c r="E205" s="285">
        <v>8.9849334499067162</v>
      </c>
      <c r="H205" s="685">
        <f t="shared" si="160"/>
        <v>1.0516782442019175</v>
      </c>
      <c r="I205" s="276">
        <f t="shared" si="161"/>
        <v>-4.0401775415152974</v>
      </c>
      <c r="J205" s="276">
        <f t="shared" si="162"/>
        <v>2.2500869897386231</v>
      </c>
      <c r="K205" s="276">
        <f t="shared" si="163"/>
        <v>-1.3966860739453031</v>
      </c>
      <c r="L205" s="276">
        <f t="shared" si="164"/>
        <v>-1.5373230675934586</v>
      </c>
      <c r="M205" s="276">
        <f t="shared" si="165"/>
        <v>-2.896568917845995</v>
      </c>
      <c r="N205" s="685">
        <f t="shared" si="166"/>
        <v>1.8231248672518323</v>
      </c>
      <c r="O205" s="276">
        <f t="shared" si="167"/>
        <v>1.2024983942205874</v>
      </c>
      <c r="P205" s="276">
        <f t="shared" si="168"/>
        <v>1.6869560217470074</v>
      </c>
      <c r="Q205" s="276">
        <f t="shared" si="169"/>
        <v>1.6716641586449039</v>
      </c>
      <c r="R205" s="276">
        <f t="shared" si="170"/>
        <v>1.4782310667421237</v>
      </c>
      <c r="S205" s="686">
        <f t="shared" si="171"/>
        <v>1.4912810433761126</v>
      </c>
      <c r="T205" s="685">
        <f t="shared" si="172"/>
        <v>5.4197889561872286</v>
      </c>
      <c r="U205" s="276">
        <f t="shared" si="173"/>
        <v>5.1330146936638315</v>
      </c>
      <c r="V205" s="276">
        <f t="shared" si="174"/>
        <v>5.9101365253856208</v>
      </c>
      <c r="W205" s="276">
        <f t="shared" si="175"/>
        <v>3.1013661952656326</v>
      </c>
      <c r="X205" s="276">
        <f t="shared" si="176"/>
        <v>4.7172702886533608</v>
      </c>
      <c r="Y205" s="686">
        <f t="shared" si="177"/>
        <v>3.0183015008041858</v>
      </c>
      <c r="Z205" s="685" t="e">
        <f t="shared" si="178"/>
        <v>#DIV/0!</v>
      </c>
      <c r="AA205" s="276" t="e">
        <f t="shared" si="179"/>
        <v>#DIV/0!</v>
      </c>
      <c r="AB205" s="276" t="e">
        <f t="shared" si="180"/>
        <v>#DIV/0!</v>
      </c>
      <c r="AC205" s="276" t="e">
        <f t="shared" si="181"/>
        <v>#DIV/0!</v>
      </c>
      <c r="AD205" s="276" t="e">
        <f t="shared" si="182"/>
        <v>#DIV/0!</v>
      </c>
      <c r="AE205" s="686" t="e">
        <f t="shared" si="183"/>
        <v>#DIV/0!</v>
      </c>
      <c r="AF205" s="239"/>
      <c r="AG205" s="965" t="e">
        <f t="shared" si="154"/>
        <v>#VALUE!</v>
      </c>
      <c r="AH205" s="878" t="e">
        <f t="shared" si="155"/>
        <v>#VALUE!</v>
      </c>
      <c r="AI205" s="878" t="e">
        <f t="shared" si="156"/>
        <v>#VALUE!</v>
      </c>
      <c r="AJ205" s="878" t="e">
        <f t="shared" si="157"/>
        <v>#VALUE!</v>
      </c>
      <c r="AK205" s="878" t="e">
        <f t="shared" si="158"/>
        <v>#VALUE!</v>
      </c>
      <c r="AL205" s="966" t="e">
        <f t="shared" si="159"/>
        <v>#VALUE!</v>
      </c>
      <c r="AM205" s="239"/>
      <c r="AO205" s="685">
        <f t="shared" si="184"/>
        <v>1.0516782442019175</v>
      </c>
      <c r="AP205" s="276">
        <f t="shared" si="185"/>
        <v>-4.0401775415152974</v>
      </c>
      <c r="AQ205" s="276">
        <f t="shared" si="186"/>
        <v>2.2500869897386231</v>
      </c>
      <c r="AR205" s="276">
        <f t="shared" si="187"/>
        <v>-1.3966860739453031</v>
      </c>
      <c r="AS205" s="276">
        <f t="shared" si="188"/>
        <v>-1.5373230675934586</v>
      </c>
      <c r="AT205" s="276">
        <f t="shared" si="189"/>
        <v>-2.896568917845995</v>
      </c>
      <c r="AU205" s="685">
        <f t="shared" si="190"/>
        <v>1.8231248672518323</v>
      </c>
      <c r="AV205" s="276">
        <f t="shared" si="191"/>
        <v>1.2024983942205874</v>
      </c>
      <c r="AW205" s="276">
        <f t="shared" si="192"/>
        <v>1.6869560217470074</v>
      </c>
      <c r="AX205" s="276">
        <f t="shared" si="193"/>
        <v>1.6716641586449039</v>
      </c>
      <c r="AY205" s="276">
        <f t="shared" si="194"/>
        <v>1.4782310667421237</v>
      </c>
      <c r="AZ205" s="686">
        <f t="shared" si="195"/>
        <v>1.4912810433761126</v>
      </c>
      <c r="BA205" s="685">
        <f t="shared" si="196"/>
        <v>0</v>
      </c>
      <c r="BB205" s="276">
        <f t="shared" si="197"/>
        <v>0</v>
      </c>
      <c r="BC205" s="276">
        <f t="shared" si="198"/>
        <v>0</v>
      </c>
      <c r="BD205" s="276">
        <f t="shared" si="199"/>
        <v>0</v>
      </c>
      <c r="BE205" s="276">
        <f t="shared" si="200"/>
        <v>0</v>
      </c>
      <c r="BF205" s="686">
        <f t="shared" si="201"/>
        <v>0</v>
      </c>
      <c r="BG205" s="685" t="e">
        <f t="shared" si="202"/>
        <v>#DIV/0!</v>
      </c>
      <c r="BH205" s="276" t="e">
        <f t="shared" si="203"/>
        <v>#DIV/0!</v>
      </c>
      <c r="BI205" s="276" t="e">
        <f t="shared" si="204"/>
        <v>#DIV/0!</v>
      </c>
      <c r="BJ205" s="276" t="e">
        <f t="shared" si="205"/>
        <v>#DIV/0!</v>
      </c>
      <c r="BK205" s="276" t="e">
        <f t="shared" si="206"/>
        <v>#DIV/0!</v>
      </c>
      <c r="BL205" s="686" t="e">
        <f t="shared" si="207"/>
        <v>#DIV/0!</v>
      </c>
      <c r="BM205" s="239"/>
      <c r="BN205" s="965" t="e">
        <f t="shared" si="208"/>
        <v>#VALUE!</v>
      </c>
      <c r="BO205" s="878" t="e">
        <f t="shared" si="209"/>
        <v>#VALUE!</v>
      </c>
      <c r="BP205" s="878" t="e">
        <f t="shared" si="210"/>
        <v>#VALUE!</v>
      </c>
      <c r="BQ205" s="878" t="e">
        <f t="shared" si="211"/>
        <v>#VALUE!</v>
      </c>
      <c r="BR205" s="878" t="e">
        <f t="shared" si="212"/>
        <v>#VALUE!</v>
      </c>
      <c r="BS205" s="966" t="e">
        <f t="shared" si="213"/>
        <v>#VALUE!</v>
      </c>
    </row>
    <row r="206" spans="1:71">
      <c r="A206" s="284">
        <f t="shared" si="214"/>
        <v>138</v>
      </c>
      <c r="B206" s="285">
        <v>-3.7484749228636867</v>
      </c>
      <c r="C206" s="285">
        <v>2.4098981367381227</v>
      </c>
      <c r="D206" s="285">
        <v>0.95610153155742594</v>
      </c>
      <c r="E206" s="285">
        <v>17.00051700643068</v>
      </c>
      <c r="H206" s="685">
        <f t="shared" si="160"/>
        <v>-4.8817087646327417</v>
      </c>
      <c r="I206" s="276">
        <f t="shared" si="161"/>
        <v>-4.1423215664401898</v>
      </c>
      <c r="J206" s="276">
        <f t="shared" si="162"/>
        <v>-0.51115730852103358</v>
      </c>
      <c r="K206" s="276">
        <f t="shared" si="163"/>
        <v>-0.50636051578472252</v>
      </c>
      <c r="L206" s="276">
        <f t="shared" si="164"/>
        <v>2.6399509434038047</v>
      </c>
      <c r="M206" s="276">
        <f t="shared" si="165"/>
        <v>-3.4422312014383998</v>
      </c>
      <c r="N206" s="685">
        <f t="shared" si="166"/>
        <v>1.2027269257662543</v>
      </c>
      <c r="O206" s="276">
        <f t="shared" si="167"/>
        <v>1.5690373703523821</v>
      </c>
      <c r="P206" s="276">
        <f t="shared" si="168"/>
        <v>1.6651026484871847</v>
      </c>
      <c r="Q206" s="276">
        <f t="shared" si="169"/>
        <v>1.3022411801949263</v>
      </c>
      <c r="R206" s="276">
        <f t="shared" si="170"/>
        <v>2.1855131370213412</v>
      </c>
      <c r="S206" s="686">
        <f t="shared" si="171"/>
        <v>0.76705681045816965</v>
      </c>
      <c r="T206" s="685">
        <f t="shared" si="172"/>
        <v>4.2344652218283514</v>
      </c>
      <c r="U206" s="276">
        <f t="shared" si="173"/>
        <v>2.5303427242783023</v>
      </c>
      <c r="V206" s="276">
        <f t="shared" si="174"/>
        <v>3.5651715072720176</v>
      </c>
      <c r="W206" s="276">
        <f t="shared" si="175"/>
        <v>3.4793856533242624</v>
      </c>
      <c r="X206" s="276">
        <f t="shared" si="176"/>
        <v>3.3552936861934137</v>
      </c>
      <c r="Y206" s="686">
        <f t="shared" si="177"/>
        <v>3.2908498351558215</v>
      </c>
      <c r="Z206" s="685" t="e">
        <f t="shared" si="178"/>
        <v>#DIV/0!</v>
      </c>
      <c r="AA206" s="276" t="e">
        <f t="shared" si="179"/>
        <v>#DIV/0!</v>
      </c>
      <c r="AB206" s="276" t="e">
        <f t="shared" si="180"/>
        <v>#DIV/0!</v>
      </c>
      <c r="AC206" s="276" t="e">
        <f t="shared" si="181"/>
        <v>#DIV/0!</v>
      </c>
      <c r="AD206" s="276" t="e">
        <f t="shared" si="182"/>
        <v>#DIV/0!</v>
      </c>
      <c r="AE206" s="686" t="e">
        <f t="shared" si="183"/>
        <v>#DIV/0!</v>
      </c>
      <c r="AF206" s="239"/>
      <c r="AG206" s="965" t="e">
        <f t="shared" si="154"/>
        <v>#VALUE!</v>
      </c>
      <c r="AH206" s="878" t="e">
        <f t="shared" si="155"/>
        <v>#VALUE!</v>
      </c>
      <c r="AI206" s="878" t="e">
        <f t="shared" si="156"/>
        <v>#VALUE!</v>
      </c>
      <c r="AJ206" s="878" t="e">
        <f t="shared" si="157"/>
        <v>#VALUE!</v>
      </c>
      <c r="AK206" s="878" t="e">
        <f t="shared" si="158"/>
        <v>#VALUE!</v>
      </c>
      <c r="AL206" s="966" t="e">
        <f t="shared" si="159"/>
        <v>#VALUE!</v>
      </c>
      <c r="AM206" s="239"/>
      <c r="AO206" s="685">
        <f t="shared" si="184"/>
        <v>-4.8817087646327417</v>
      </c>
      <c r="AP206" s="276">
        <f t="shared" si="185"/>
        <v>-4.1423215664401898</v>
      </c>
      <c r="AQ206" s="276">
        <f t="shared" si="186"/>
        <v>-0.51115730852103358</v>
      </c>
      <c r="AR206" s="276">
        <f t="shared" si="187"/>
        <v>-0.50636051578472252</v>
      </c>
      <c r="AS206" s="276">
        <f t="shared" si="188"/>
        <v>2.6399509434038047</v>
      </c>
      <c r="AT206" s="276">
        <f t="shared" si="189"/>
        <v>-3.4422312014383998</v>
      </c>
      <c r="AU206" s="685">
        <f t="shared" si="190"/>
        <v>1.2027269257662543</v>
      </c>
      <c r="AV206" s="276">
        <f t="shared" si="191"/>
        <v>1.5690373703523821</v>
      </c>
      <c r="AW206" s="276">
        <f t="shared" si="192"/>
        <v>1.6651026484871847</v>
      </c>
      <c r="AX206" s="276">
        <f t="shared" si="193"/>
        <v>1.3022411801949263</v>
      </c>
      <c r="AY206" s="276">
        <f t="shared" si="194"/>
        <v>2.1855131370213412</v>
      </c>
      <c r="AZ206" s="686">
        <f t="shared" si="195"/>
        <v>0.76705681045816965</v>
      </c>
      <c r="BA206" s="685">
        <f t="shared" si="196"/>
        <v>0</v>
      </c>
      <c r="BB206" s="276">
        <f t="shared" si="197"/>
        <v>0</v>
      </c>
      <c r="BC206" s="276">
        <f t="shared" si="198"/>
        <v>0</v>
      </c>
      <c r="BD206" s="276">
        <f t="shared" si="199"/>
        <v>0</v>
      </c>
      <c r="BE206" s="276">
        <f t="shared" si="200"/>
        <v>0</v>
      </c>
      <c r="BF206" s="686">
        <f t="shared" si="201"/>
        <v>0</v>
      </c>
      <c r="BG206" s="685" t="e">
        <f t="shared" si="202"/>
        <v>#DIV/0!</v>
      </c>
      <c r="BH206" s="276" t="e">
        <f t="shared" si="203"/>
        <v>#DIV/0!</v>
      </c>
      <c r="BI206" s="276" t="e">
        <f t="shared" si="204"/>
        <v>#DIV/0!</v>
      </c>
      <c r="BJ206" s="276" t="e">
        <f t="shared" si="205"/>
        <v>#DIV/0!</v>
      </c>
      <c r="BK206" s="276" t="e">
        <f t="shared" si="206"/>
        <v>#DIV/0!</v>
      </c>
      <c r="BL206" s="686" t="e">
        <f t="shared" si="207"/>
        <v>#DIV/0!</v>
      </c>
      <c r="BM206" s="239"/>
      <c r="BN206" s="965" t="e">
        <f t="shared" si="208"/>
        <v>#VALUE!</v>
      </c>
      <c r="BO206" s="878" t="e">
        <f t="shared" si="209"/>
        <v>#VALUE!</v>
      </c>
      <c r="BP206" s="878" t="e">
        <f t="shared" si="210"/>
        <v>#VALUE!</v>
      </c>
      <c r="BQ206" s="878" t="e">
        <f t="shared" si="211"/>
        <v>#VALUE!</v>
      </c>
      <c r="BR206" s="878" t="e">
        <f t="shared" si="212"/>
        <v>#VALUE!</v>
      </c>
      <c r="BS206" s="966" t="e">
        <f t="shared" si="213"/>
        <v>#VALUE!</v>
      </c>
    </row>
    <row r="207" spans="1:71">
      <c r="A207" s="284">
        <f t="shared" si="214"/>
        <v>139</v>
      </c>
      <c r="B207" s="285">
        <v>-3.7046829598718456</v>
      </c>
      <c r="C207" s="285">
        <v>1.9918895291755336</v>
      </c>
      <c r="D207" s="285">
        <v>0.77925172418726785</v>
      </c>
      <c r="E207" s="285">
        <v>-6.6060572531267692</v>
      </c>
      <c r="H207" s="685">
        <f t="shared" si="160"/>
        <v>-4.8379168016409002</v>
      </c>
      <c r="I207" s="276">
        <f t="shared" si="161"/>
        <v>-2.5805262858945968</v>
      </c>
      <c r="J207" s="276">
        <f t="shared" si="162"/>
        <v>2.1012174921490878E-2</v>
      </c>
      <c r="K207" s="276">
        <f t="shared" si="163"/>
        <v>-4.3304041089367011</v>
      </c>
      <c r="L207" s="276">
        <f t="shared" si="164"/>
        <v>-0.5662282700307808</v>
      </c>
      <c r="M207" s="276">
        <f t="shared" si="165"/>
        <v>-1.0963735892187136</v>
      </c>
      <c r="N207" s="685">
        <f t="shared" si="166"/>
        <v>0.78471831820366522</v>
      </c>
      <c r="O207" s="276">
        <f t="shared" si="167"/>
        <v>1.8033572098895163</v>
      </c>
      <c r="P207" s="276">
        <f t="shared" si="168"/>
        <v>0.96403290201685743</v>
      </c>
      <c r="Q207" s="276">
        <f t="shared" si="169"/>
        <v>0.83032305337556589</v>
      </c>
      <c r="R207" s="276">
        <f t="shared" si="170"/>
        <v>1.2744824933318892</v>
      </c>
      <c r="S207" s="686">
        <f t="shared" si="171"/>
        <v>1.3383825604281097</v>
      </c>
      <c r="T207" s="685">
        <f t="shared" si="172"/>
        <v>4.0576154144581942</v>
      </c>
      <c r="U207" s="276">
        <f t="shared" si="173"/>
        <v>2.4274731847321136</v>
      </c>
      <c r="V207" s="276">
        <f t="shared" si="174"/>
        <v>6.7801511161473513</v>
      </c>
      <c r="W207" s="276">
        <f t="shared" si="175"/>
        <v>5.7264022455324293</v>
      </c>
      <c r="X207" s="276">
        <f t="shared" si="176"/>
        <v>4.811159098143226</v>
      </c>
      <c r="Y207" s="686">
        <f t="shared" si="177"/>
        <v>5.8763007244019949</v>
      </c>
      <c r="Z207" s="685" t="e">
        <f t="shared" si="178"/>
        <v>#DIV/0!</v>
      </c>
      <c r="AA207" s="276" t="e">
        <f t="shared" si="179"/>
        <v>#DIV/0!</v>
      </c>
      <c r="AB207" s="276" t="e">
        <f t="shared" si="180"/>
        <v>#DIV/0!</v>
      </c>
      <c r="AC207" s="276" t="e">
        <f t="shared" si="181"/>
        <v>#DIV/0!</v>
      </c>
      <c r="AD207" s="276" t="e">
        <f t="shared" si="182"/>
        <v>#DIV/0!</v>
      </c>
      <c r="AE207" s="686" t="e">
        <f t="shared" si="183"/>
        <v>#DIV/0!</v>
      </c>
      <c r="AF207" s="239"/>
      <c r="AG207" s="965" t="e">
        <f t="shared" si="154"/>
        <v>#VALUE!</v>
      </c>
      <c r="AH207" s="878" t="e">
        <f t="shared" si="155"/>
        <v>#VALUE!</v>
      </c>
      <c r="AI207" s="878" t="e">
        <f t="shared" si="156"/>
        <v>#VALUE!</v>
      </c>
      <c r="AJ207" s="878" t="e">
        <f t="shared" si="157"/>
        <v>#VALUE!</v>
      </c>
      <c r="AK207" s="878" t="e">
        <f t="shared" si="158"/>
        <v>#VALUE!</v>
      </c>
      <c r="AL207" s="966" t="e">
        <f t="shared" si="159"/>
        <v>#VALUE!</v>
      </c>
      <c r="AM207" s="239"/>
      <c r="AO207" s="685">
        <f t="shared" si="184"/>
        <v>-4.8379168016409002</v>
      </c>
      <c r="AP207" s="276">
        <f t="shared" si="185"/>
        <v>-2.5805262858945968</v>
      </c>
      <c r="AQ207" s="276">
        <f t="shared" si="186"/>
        <v>2.1012174921490878E-2</v>
      </c>
      <c r="AR207" s="276">
        <f t="shared" si="187"/>
        <v>-4.3304041089367011</v>
      </c>
      <c r="AS207" s="276">
        <f t="shared" si="188"/>
        <v>-0.5662282700307808</v>
      </c>
      <c r="AT207" s="276">
        <f t="shared" si="189"/>
        <v>-1.0963735892187136</v>
      </c>
      <c r="AU207" s="685">
        <f t="shared" si="190"/>
        <v>0.78471831820366522</v>
      </c>
      <c r="AV207" s="276">
        <f t="shared" si="191"/>
        <v>1.8033572098895163</v>
      </c>
      <c r="AW207" s="276">
        <f t="shared" si="192"/>
        <v>0.96403290201685743</v>
      </c>
      <c r="AX207" s="276">
        <f t="shared" si="193"/>
        <v>0.83032305337556589</v>
      </c>
      <c r="AY207" s="276">
        <f t="shared" si="194"/>
        <v>1.2744824933318892</v>
      </c>
      <c r="AZ207" s="686">
        <f t="shared" si="195"/>
        <v>1.3383825604281097</v>
      </c>
      <c r="BA207" s="685">
        <f t="shared" si="196"/>
        <v>0</v>
      </c>
      <c r="BB207" s="276">
        <f t="shared" si="197"/>
        <v>0</v>
      </c>
      <c r="BC207" s="276">
        <f t="shared" si="198"/>
        <v>0</v>
      </c>
      <c r="BD207" s="276">
        <f t="shared" si="199"/>
        <v>0</v>
      </c>
      <c r="BE207" s="276">
        <f t="shared" si="200"/>
        <v>0</v>
      </c>
      <c r="BF207" s="686">
        <f t="shared" si="201"/>
        <v>0</v>
      </c>
      <c r="BG207" s="685" t="e">
        <f t="shared" si="202"/>
        <v>#DIV/0!</v>
      </c>
      <c r="BH207" s="276" t="e">
        <f t="shared" si="203"/>
        <v>#DIV/0!</v>
      </c>
      <c r="BI207" s="276" t="e">
        <f t="shared" si="204"/>
        <v>#DIV/0!</v>
      </c>
      <c r="BJ207" s="276" t="e">
        <f t="shared" si="205"/>
        <v>#DIV/0!</v>
      </c>
      <c r="BK207" s="276" t="e">
        <f t="shared" si="206"/>
        <v>#DIV/0!</v>
      </c>
      <c r="BL207" s="686" t="e">
        <f t="shared" si="207"/>
        <v>#DIV/0!</v>
      </c>
      <c r="BM207" s="239"/>
      <c r="BN207" s="965" t="e">
        <f t="shared" si="208"/>
        <v>#VALUE!</v>
      </c>
      <c r="BO207" s="878" t="e">
        <f t="shared" si="209"/>
        <v>#VALUE!</v>
      </c>
      <c r="BP207" s="878" t="e">
        <f t="shared" si="210"/>
        <v>#VALUE!</v>
      </c>
      <c r="BQ207" s="878" t="e">
        <f t="shared" si="211"/>
        <v>#VALUE!</v>
      </c>
      <c r="BR207" s="878" t="e">
        <f t="shared" si="212"/>
        <v>#VALUE!</v>
      </c>
      <c r="BS207" s="966" t="e">
        <f t="shared" si="213"/>
        <v>#VALUE!</v>
      </c>
    </row>
    <row r="208" spans="1:71">
      <c r="A208" s="284">
        <f t="shared" si="214"/>
        <v>140</v>
      </c>
      <c r="B208" s="285">
        <v>1.3375030963354011</v>
      </c>
      <c r="C208" s="285">
        <v>3.766469442222427</v>
      </c>
      <c r="D208" s="285">
        <v>0.47774075659427029</v>
      </c>
      <c r="E208" s="285">
        <v>13.370188485507803</v>
      </c>
      <c r="H208" s="685">
        <f t="shared" si="160"/>
        <v>0.20426925456634626</v>
      </c>
      <c r="I208" s="276">
        <f t="shared" si="161"/>
        <v>-1.4944477937694045</v>
      </c>
      <c r="J208" s="276">
        <f t="shared" si="162"/>
        <v>1.7054127308352658</v>
      </c>
      <c r="K208" s="276">
        <f t="shared" si="163"/>
        <v>0.52418546997396653</v>
      </c>
      <c r="L208" s="276">
        <f t="shared" si="164"/>
        <v>-1.9621873235530998</v>
      </c>
      <c r="M208" s="276">
        <f t="shared" si="165"/>
        <v>1.0268983790248865</v>
      </c>
      <c r="N208" s="685">
        <f t="shared" si="166"/>
        <v>2.5592982312505583</v>
      </c>
      <c r="O208" s="276">
        <f t="shared" si="167"/>
        <v>1.1031795614719899</v>
      </c>
      <c r="P208" s="276">
        <f t="shared" si="168"/>
        <v>1.6639559862210953</v>
      </c>
      <c r="Q208" s="276">
        <f t="shared" si="169"/>
        <v>1.056035016183775</v>
      </c>
      <c r="R208" s="276">
        <f t="shared" si="170"/>
        <v>2.026162991452054</v>
      </c>
      <c r="S208" s="686">
        <f t="shared" si="171"/>
        <v>1.1189281609613493</v>
      </c>
      <c r="T208" s="685">
        <f t="shared" si="172"/>
        <v>3.7561044468651961</v>
      </c>
      <c r="U208" s="276">
        <f t="shared" si="173"/>
        <v>3.6415984691316674</v>
      </c>
      <c r="V208" s="276">
        <f t="shared" si="174"/>
        <v>2.8502203472783911</v>
      </c>
      <c r="W208" s="276">
        <f t="shared" si="175"/>
        <v>7.3593242627270978</v>
      </c>
      <c r="X208" s="276">
        <f t="shared" si="176"/>
        <v>3.7255736063014244</v>
      </c>
      <c r="Y208" s="686">
        <f t="shared" si="177"/>
        <v>4.3650169082407961</v>
      </c>
      <c r="Z208" s="685" t="e">
        <f t="shared" si="178"/>
        <v>#DIV/0!</v>
      </c>
      <c r="AA208" s="276" t="e">
        <f t="shared" si="179"/>
        <v>#DIV/0!</v>
      </c>
      <c r="AB208" s="276" t="e">
        <f t="shared" si="180"/>
        <v>#DIV/0!</v>
      </c>
      <c r="AC208" s="276" t="e">
        <f t="shared" si="181"/>
        <v>#DIV/0!</v>
      </c>
      <c r="AD208" s="276" t="e">
        <f t="shared" si="182"/>
        <v>#DIV/0!</v>
      </c>
      <c r="AE208" s="686" t="e">
        <f t="shared" si="183"/>
        <v>#DIV/0!</v>
      </c>
      <c r="AF208" s="239"/>
      <c r="AG208" s="965" t="e">
        <f t="shared" si="154"/>
        <v>#VALUE!</v>
      </c>
      <c r="AH208" s="878" t="e">
        <f t="shared" si="155"/>
        <v>#VALUE!</v>
      </c>
      <c r="AI208" s="878" t="e">
        <f t="shared" si="156"/>
        <v>#VALUE!</v>
      </c>
      <c r="AJ208" s="878" t="e">
        <f t="shared" si="157"/>
        <v>#VALUE!</v>
      </c>
      <c r="AK208" s="878" t="e">
        <f t="shared" si="158"/>
        <v>#VALUE!</v>
      </c>
      <c r="AL208" s="966" t="e">
        <f t="shared" si="159"/>
        <v>#VALUE!</v>
      </c>
      <c r="AM208" s="239"/>
      <c r="AO208" s="685">
        <f t="shared" si="184"/>
        <v>0.20426925456634626</v>
      </c>
      <c r="AP208" s="276">
        <f t="shared" si="185"/>
        <v>-1.4944477937694045</v>
      </c>
      <c r="AQ208" s="276">
        <f t="shared" si="186"/>
        <v>1.7054127308352658</v>
      </c>
      <c r="AR208" s="276">
        <f t="shared" si="187"/>
        <v>0.52418546997396653</v>
      </c>
      <c r="AS208" s="276">
        <f t="shared" si="188"/>
        <v>-1.9621873235530998</v>
      </c>
      <c r="AT208" s="276">
        <f t="shared" si="189"/>
        <v>1.0268983790248865</v>
      </c>
      <c r="AU208" s="685">
        <f t="shared" si="190"/>
        <v>2.5592982312505583</v>
      </c>
      <c r="AV208" s="276">
        <f t="shared" si="191"/>
        <v>1.1031795614719899</v>
      </c>
      <c r="AW208" s="276">
        <f t="shared" si="192"/>
        <v>1.6639559862210953</v>
      </c>
      <c r="AX208" s="276">
        <f t="shared" si="193"/>
        <v>1.056035016183775</v>
      </c>
      <c r="AY208" s="276">
        <f t="shared" si="194"/>
        <v>2.026162991452054</v>
      </c>
      <c r="AZ208" s="686">
        <f t="shared" si="195"/>
        <v>1.1189281609613493</v>
      </c>
      <c r="BA208" s="685">
        <f t="shared" si="196"/>
        <v>0</v>
      </c>
      <c r="BB208" s="276">
        <f t="shared" si="197"/>
        <v>0</v>
      </c>
      <c r="BC208" s="276">
        <f t="shared" si="198"/>
        <v>0</v>
      </c>
      <c r="BD208" s="276">
        <f t="shared" si="199"/>
        <v>0</v>
      </c>
      <c r="BE208" s="276">
        <f t="shared" si="200"/>
        <v>0</v>
      </c>
      <c r="BF208" s="686">
        <f t="shared" si="201"/>
        <v>0</v>
      </c>
      <c r="BG208" s="685" t="e">
        <f t="shared" si="202"/>
        <v>#DIV/0!</v>
      </c>
      <c r="BH208" s="276" t="e">
        <f t="shared" si="203"/>
        <v>#DIV/0!</v>
      </c>
      <c r="BI208" s="276" t="e">
        <f t="shared" si="204"/>
        <v>#DIV/0!</v>
      </c>
      <c r="BJ208" s="276" t="e">
        <f t="shared" si="205"/>
        <v>#DIV/0!</v>
      </c>
      <c r="BK208" s="276" t="e">
        <f t="shared" si="206"/>
        <v>#DIV/0!</v>
      </c>
      <c r="BL208" s="686" t="e">
        <f t="shared" si="207"/>
        <v>#DIV/0!</v>
      </c>
      <c r="BM208" s="239"/>
      <c r="BN208" s="965" t="e">
        <f t="shared" si="208"/>
        <v>#VALUE!</v>
      </c>
      <c r="BO208" s="878" t="e">
        <f t="shared" si="209"/>
        <v>#VALUE!</v>
      </c>
      <c r="BP208" s="878" t="e">
        <f t="shared" si="210"/>
        <v>#VALUE!</v>
      </c>
      <c r="BQ208" s="878" t="e">
        <f t="shared" si="211"/>
        <v>#VALUE!</v>
      </c>
      <c r="BR208" s="878" t="e">
        <f t="shared" si="212"/>
        <v>#VALUE!</v>
      </c>
      <c r="BS208" s="966" t="e">
        <f t="shared" si="213"/>
        <v>#VALUE!</v>
      </c>
    </row>
    <row r="209" spans="1:71">
      <c r="A209" s="284">
        <f t="shared" si="214"/>
        <v>141</v>
      </c>
      <c r="B209" s="285">
        <v>-0.75263884328855635</v>
      </c>
      <c r="C209" s="285">
        <v>2.0517858421722313</v>
      </c>
      <c r="D209" s="285">
        <v>1.8947492815291982</v>
      </c>
      <c r="E209" s="285">
        <v>-16.984310427797926</v>
      </c>
      <c r="H209" s="685">
        <f t="shared" si="160"/>
        <v>-1.8858726850576111</v>
      </c>
      <c r="I209" s="276">
        <f t="shared" si="161"/>
        <v>-1.8678057587982515</v>
      </c>
      <c r="J209" s="276">
        <f t="shared" si="162"/>
        <v>1.3155384317150354E-2</v>
      </c>
      <c r="K209" s="276">
        <f t="shared" si="163"/>
        <v>-1.0555695336061486</v>
      </c>
      <c r="L209" s="276">
        <f t="shared" si="164"/>
        <v>1.5408635510376694</v>
      </c>
      <c r="M209" s="276">
        <f t="shared" si="165"/>
        <v>2.9139767183379197</v>
      </c>
      <c r="N209" s="685">
        <f t="shared" si="166"/>
        <v>0.84461463120036284</v>
      </c>
      <c r="O209" s="276">
        <f t="shared" si="167"/>
        <v>1.5714244304817997</v>
      </c>
      <c r="P209" s="276">
        <f t="shared" si="168"/>
        <v>1.2108992812584758</v>
      </c>
      <c r="Q209" s="276">
        <f t="shared" si="169"/>
        <v>0.91552550292262214</v>
      </c>
      <c r="R209" s="276">
        <f t="shared" si="170"/>
        <v>2.04080931782552</v>
      </c>
      <c r="S209" s="686">
        <f t="shared" si="171"/>
        <v>2.1244931762957986</v>
      </c>
      <c r="T209" s="685">
        <f t="shared" si="172"/>
        <v>5.1731129718001245</v>
      </c>
      <c r="U209" s="276">
        <f t="shared" si="173"/>
        <v>4.3292620746856532</v>
      </c>
      <c r="V209" s="276">
        <f t="shared" si="174"/>
        <v>6.1174402085046165</v>
      </c>
      <c r="W209" s="276">
        <f t="shared" si="175"/>
        <v>5.0098379513990237</v>
      </c>
      <c r="X209" s="276">
        <f t="shared" si="176"/>
        <v>4.7904156811780432</v>
      </c>
      <c r="Y209" s="686">
        <f t="shared" si="177"/>
        <v>5.5206067856390053</v>
      </c>
      <c r="Z209" s="685" t="e">
        <f t="shared" si="178"/>
        <v>#DIV/0!</v>
      </c>
      <c r="AA209" s="276" t="e">
        <f t="shared" si="179"/>
        <v>#DIV/0!</v>
      </c>
      <c r="AB209" s="276" t="e">
        <f t="shared" si="180"/>
        <v>#DIV/0!</v>
      </c>
      <c r="AC209" s="276" t="e">
        <f t="shared" si="181"/>
        <v>#DIV/0!</v>
      </c>
      <c r="AD209" s="276" t="e">
        <f t="shared" si="182"/>
        <v>#DIV/0!</v>
      </c>
      <c r="AE209" s="686" t="e">
        <f t="shared" si="183"/>
        <v>#DIV/0!</v>
      </c>
      <c r="AF209" s="239"/>
      <c r="AG209" s="965" t="e">
        <f t="shared" si="154"/>
        <v>#VALUE!</v>
      </c>
      <c r="AH209" s="878" t="e">
        <f t="shared" si="155"/>
        <v>#VALUE!</v>
      </c>
      <c r="AI209" s="878" t="e">
        <f t="shared" si="156"/>
        <v>#VALUE!</v>
      </c>
      <c r="AJ209" s="878" t="e">
        <f t="shared" si="157"/>
        <v>#VALUE!</v>
      </c>
      <c r="AK209" s="878" t="e">
        <f t="shared" si="158"/>
        <v>#VALUE!</v>
      </c>
      <c r="AL209" s="966" t="e">
        <f t="shared" si="159"/>
        <v>#VALUE!</v>
      </c>
      <c r="AM209" s="239"/>
      <c r="AO209" s="685">
        <f t="shared" si="184"/>
        <v>-1.8858726850576111</v>
      </c>
      <c r="AP209" s="276">
        <f t="shared" si="185"/>
        <v>-1.8678057587982515</v>
      </c>
      <c r="AQ209" s="276">
        <f t="shared" si="186"/>
        <v>1.3155384317150354E-2</v>
      </c>
      <c r="AR209" s="276">
        <f t="shared" si="187"/>
        <v>-1.0555695336061486</v>
      </c>
      <c r="AS209" s="276">
        <f t="shared" si="188"/>
        <v>1.5408635510376694</v>
      </c>
      <c r="AT209" s="276">
        <f t="shared" si="189"/>
        <v>2.9139767183379197</v>
      </c>
      <c r="AU209" s="685">
        <f t="shared" si="190"/>
        <v>0.84461463120036284</v>
      </c>
      <c r="AV209" s="276">
        <f t="shared" si="191"/>
        <v>1.5714244304817997</v>
      </c>
      <c r="AW209" s="276">
        <f t="shared" si="192"/>
        <v>1.2108992812584758</v>
      </c>
      <c r="AX209" s="276">
        <f t="shared" si="193"/>
        <v>0.91552550292262214</v>
      </c>
      <c r="AY209" s="276">
        <f t="shared" si="194"/>
        <v>2.04080931782552</v>
      </c>
      <c r="AZ209" s="686">
        <f t="shared" si="195"/>
        <v>2.1244931762957986</v>
      </c>
      <c r="BA209" s="685">
        <f t="shared" si="196"/>
        <v>0</v>
      </c>
      <c r="BB209" s="276">
        <f t="shared" si="197"/>
        <v>0</v>
      </c>
      <c r="BC209" s="276">
        <f t="shared" si="198"/>
        <v>0</v>
      </c>
      <c r="BD209" s="276">
        <f t="shared" si="199"/>
        <v>0</v>
      </c>
      <c r="BE209" s="276">
        <f t="shared" si="200"/>
        <v>0</v>
      </c>
      <c r="BF209" s="686">
        <f t="shared" si="201"/>
        <v>0</v>
      </c>
      <c r="BG209" s="685" t="e">
        <f t="shared" si="202"/>
        <v>#DIV/0!</v>
      </c>
      <c r="BH209" s="276" t="e">
        <f t="shared" si="203"/>
        <v>#DIV/0!</v>
      </c>
      <c r="BI209" s="276" t="e">
        <f t="shared" si="204"/>
        <v>#DIV/0!</v>
      </c>
      <c r="BJ209" s="276" t="e">
        <f t="shared" si="205"/>
        <v>#DIV/0!</v>
      </c>
      <c r="BK209" s="276" t="e">
        <f t="shared" si="206"/>
        <v>#DIV/0!</v>
      </c>
      <c r="BL209" s="686" t="e">
        <f t="shared" si="207"/>
        <v>#DIV/0!</v>
      </c>
      <c r="BM209" s="239"/>
      <c r="BN209" s="965" t="e">
        <f t="shared" si="208"/>
        <v>#VALUE!</v>
      </c>
      <c r="BO209" s="878" t="e">
        <f t="shared" si="209"/>
        <v>#VALUE!</v>
      </c>
      <c r="BP209" s="878" t="e">
        <f t="shared" si="210"/>
        <v>#VALUE!</v>
      </c>
      <c r="BQ209" s="878" t="e">
        <f t="shared" si="211"/>
        <v>#VALUE!</v>
      </c>
      <c r="BR209" s="878" t="e">
        <f t="shared" si="212"/>
        <v>#VALUE!</v>
      </c>
      <c r="BS209" s="966" t="e">
        <f t="shared" si="213"/>
        <v>#VALUE!</v>
      </c>
    </row>
    <row r="210" spans="1:71">
      <c r="A210" s="284">
        <f t="shared" si="214"/>
        <v>142</v>
      </c>
      <c r="B210" s="285">
        <v>-2.7475147028286044</v>
      </c>
      <c r="C210" s="285">
        <v>2.117844951818503</v>
      </c>
      <c r="D210" s="285">
        <v>4.9597086545158708E-2</v>
      </c>
      <c r="E210" s="285">
        <v>-4.6420354919337914</v>
      </c>
      <c r="H210" s="685">
        <f t="shared" si="160"/>
        <v>-3.8807485445976591</v>
      </c>
      <c r="I210" s="276">
        <f t="shared" si="161"/>
        <v>-3.3825838595860631</v>
      </c>
      <c r="J210" s="276">
        <f t="shared" si="162"/>
        <v>-1.0404851979341245</v>
      </c>
      <c r="K210" s="276">
        <f t="shared" si="163"/>
        <v>-1.4810566472006652</v>
      </c>
      <c r="L210" s="276">
        <f t="shared" si="164"/>
        <v>-3.7393590848200899</v>
      </c>
      <c r="M210" s="276">
        <f t="shared" si="165"/>
        <v>-3.8626793326732516</v>
      </c>
      <c r="N210" s="685">
        <f t="shared" si="166"/>
        <v>0.91067374084663455</v>
      </c>
      <c r="O210" s="276">
        <f t="shared" si="167"/>
        <v>1.5732546749433032</v>
      </c>
      <c r="P210" s="276">
        <f t="shared" si="168"/>
        <v>1.2763668098928387</v>
      </c>
      <c r="Q210" s="276">
        <f t="shared" si="169"/>
        <v>1.2217529736321888</v>
      </c>
      <c r="R210" s="276">
        <f t="shared" si="170"/>
        <v>1.1772087780288205</v>
      </c>
      <c r="S210" s="686">
        <f t="shared" si="171"/>
        <v>1.2443012191715426</v>
      </c>
      <c r="T210" s="685">
        <f t="shared" si="172"/>
        <v>3.3279607768160844</v>
      </c>
      <c r="U210" s="276">
        <f t="shared" si="173"/>
        <v>3.3144189136583573</v>
      </c>
      <c r="V210" s="276">
        <f t="shared" si="174"/>
        <v>4.6609724762852256</v>
      </c>
      <c r="W210" s="276">
        <f t="shared" si="175"/>
        <v>4.9346664846517703</v>
      </c>
      <c r="X210" s="276">
        <f t="shared" si="176"/>
        <v>4.8000553252623162</v>
      </c>
      <c r="Y210" s="686">
        <f t="shared" si="177"/>
        <v>3.8036298446277548</v>
      </c>
      <c r="Z210" s="685" t="e">
        <f t="shared" si="178"/>
        <v>#DIV/0!</v>
      </c>
      <c r="AA210" s="276" t="e">
        <f t="shared" si="179"/>
        <v>#DIV/0!</v>
      </c>
      <c r="AB210" s="276" t="e">
        <f t="shared" si="180"/>
        <v>#DIV/0!</v>
      </c>
      <c r="AC210" s="276" t="e">
        <f t="shared" si="181"/>
        <v>#DIV/0!</v>
      </c>
      <c r="AD210" s="276" t="e">
        <f t="shared" si="182"/>
        <v>#DIV/0!</v>
      </c>
      <c r="AE210" s="686" t="e">
        <f t="shared" si="183"/>
        <v>#DIV/0!</v>
      </c>
      <c r="AF210" s="239"/>
      <c r="AG210" s="965" t="e">
        <f t="shared" si="154"/>
        <v>#VALUE!</v>
      </c>
      <c r="AH210" s="878" t="e">
        <f t="shared" si="155"/>
        <v>#VALUE!</v>
      </c>
      <c r="AI210" s="878" t="e">
        <f t="shared" si="156"/>
        <v>#VALUE!</v>
      </c>
      <c r="AJ210" s="878" t="e">
        <f t="shared" si="157"/>
        <v>#VALUE!</v>
      </c>
      <c r="AK210" s="878" t="e">
        <f t="shared" si="158"/>
        <v>#VALUE!</v>
      </c>
      <c r="AL210" s="966" t="e">
        <f t="shared" si="159"/>
        <v>#VALUE!</v>
      </c>
      <c r="AM210" s="239"/>
      <c r="AO210" s="685">
        <f t="shared" si="184"/>
        <v>-3.8807485445976591</v>
      </c>
      <c r="AP210" s="276">
        <f t="shared" si="185"/>
        <v>-3.3825838595860631</v>
      </c>
      <c r="AQ210" s="276">
        <f t="shared" si="186"/>
        <v>-1.0404851979341245</v>
      </c>
      <c r="AR210" s="276">
        <f t="shared" si="187"/>
        <v>-1.4810566472006652</v>
      </c>
      <c r="AS210" s="276">
        <f t="shared" si="188"/>
        <v>-3.7393590848200899</v>
      </c>
      <c r="AT210" s="276">
        <f t="shared" si="189"/>
        <v>-3.8626793326732516</v>
      </c>
      <c r="AU210" s="685">
        <f t="shared" si="190"/>
        <v>0.91067374084663455</v>
      </c>
      <c r="AV210" s="276">
        <f t="shared" si="191"/>
        <v>1.5732546749433032</v>
      </c>
      <c r="AW210" s="276">
        <f t="shared" si="192"/>
        <v>1.2763668098928387</v>
      </c>
      <c r="AX210" s="276">
        <f t="shared" si="193"/>
        <v>1.2217529736321888</v>
      </c>
      <c r="AY210" s="276">
        <f t="shared" si="194"/>
        <v>1.1772087780288205</v>
      </c>
      <c r="AZ210" s="686">
        <f t="shared" si="195"/>
        <v>1.2443012191715426</v>
      </c>
      <c r="BA210" s="685">
        <f t="shared" si="196"/>
        <v>0</v>
      </c>
      <c r="BB210" s="276">
        <f t="shared" si="197"/>
        <v>0</v>
      </c>
      <c r="BC210" s="276">
        <f t="shared" si="198"/>
        <v>0</v>
      </c>
      <c r="BD210" s="276">
        <f t="shared" si="199"/>
        <v>0</v>
      </c>
      <c r="BE210" s="276">
        <f t="shared" si="200"/>
        <v>0</v>
      </c>
      <c r="BF210" s="686">
        <f t="shared" si="201"/>
        <v>0</v>
      </c>
      <c r="BG210" s="685" t="e">
        <f t="shared" si="202"/>
        <v>#DIV/0!</v>
      </c>
      <c r="BH210" s="276" t="e">
        <f t="shared" si="203"/>
        <v>#DIV/0!</v>
      </c>
      <c r="BI210" s="276" t="e">
        <f t="shared" si="204"/>
        <v>#DIV/0!</v>
      </c>
      <c r="BJ210" s="276" t="e">
        <f t="shared" si="205"/>
        <v>#DIV/0!</v>
      </c>
      <c r="BK210" s="276" t="e">
        <f t="shared" si="206"/>
        <v>#DIV/0!</v>
      </c>
      <c r="BL210" s="686" t="e">
        <f t="shared" si="207"/>
        <v>#DIV/0!</v>
      </c>
      <c r="BM210" s="239"/>
      <c r="BN210" s="965" t="e">
        <f t="shared" si="208"/>
        <v>#VALUE!</v>
      </c>
      <c r="BO210" s="878" t="e">
        <f t="shared" si="209"/>
        <v>#VALUE!</v>
      </c>
      <c r="BP210" s="878" t="e">
        <f t="shared" si="210"/>
        <v>#VALUE!</v>
      </c>
      <c r="BQ210" s="878" t="e">
        <f t="shared" si="211"/>
        <v>#VALUE!</v>
      </c>
      <c r="BR210" s="878" t="e">
        <f t="shared" si="212"/>
        <v>#VALUE!</v>
      </c>
      <c r="BS210" s="966" t="e">
        <f t="shared" si="213"/>
        <v>#VALUE!</v>
      </c>
    </row>
    <row r="211" spans="1:71">
      <c r="A211" s="284">
        <f t="shared" si="214"/>
        <v>143</v>
      </c>
      <c r="B211" s="285">
        <v>4.0582190168136263</v>
      </c>
      <c r="C211" s="285">
        <v>2.5983676687430668</v>
      </c>
      <c r="D211" s="285">
        <v>1.0117989515296317</v>
      </c>
      <c r="E211" s="285">
        <v>-17.610323289821647</v>
      </c>
      <c r="H211" s="685">
        <f t="shared" si="160"/>
        <v>2.9249851750445712</v>
      </c>
      <c r="I211" s="276">
        <f t="shared" si="161"/>
        <v>-4.3925022222637278E-3</v>
      </c>
      <c r="J211" s="276">
        <f t="shared" si="162"/>
        <v>-3.3103008342790012</v>
      </c>
      <c r="K211" s="276">
        <f t="shared" si="163"/>
        <v>1.5805942040385152</v>
      </c>
      <c r="L211" s="276">
        <f t="shared" si="164"/>
        <v>-1.4719145529140767</v>
      </c>
      <c r="M211" s="276">
        <f t="shared" si="165"/>
        <v>-2.0292049153255052</v>
      </c>
      <c r="N211" s="685">
        <f t="shared" si="166"/>
        <v>1.3911964577711984</v>
      </c>
      <c r="O211" s="276">
        <f t="shared" si="167"/>
        <v>1.3199054016998779</v>
      </c>
      <c r="P211" s="276">
        <f t="shared" si="168"/>
        <v>1.8810662949648467</v>
      </c>
      <c r="Q211" s="276">
        <f t="shared" si="169"/>
        <v>2.4014817512133737</v>
      </c>
      <c r="R211" s="276">
        <f t="shared" si="170"/>
        <v>2.1717269466779943</v>
      </c>
      <c r="S211" s="686">
        <f t="shared" si="171"/>
        <v>1.370137723087596</v>
      </c>
      <c r="T211" s="685">
        <f t="shared" si="172"/>
        <v>4.2901626418005581</v>
      </c>
      <c r="U211" s="276">
        <f t="shared" si="173"/>
        <v>3.8361251190933872</v>
      </c>
      <c r="V211" s="276">
        <f t="shared" si="174"/>
        <v>3.8309224797881707</v>
      </c>
      <c r="W211" s="276">
        <f t="shared" si="175"/>
        <v>4.2712443413616796</v>
      </c>
      <c r="X211" s="276">
        <f t="shared" si="176"/>
        <v>2.0657655403910442</v>
      </c>
      <c r="Y211" s="686">
        <f t="shared" si="177"/>
        <v>6.308809428391176</v>
      </c>
      <c r="Z211" s="685" t="e">
        <f t="shared" si="178"/>
        <v>#DIV/0!</v>
      </c>
      <c r="AA211" s="276" t="e">
        <f t="shared" si="179"/>
        <v>#DIV/0!</v>
      </c>
      <c r="AB211" s="276" t="e">
        <f t="shared" si="180"/>
        <v>#DIV/0!</v>
      </c>
      <c r="AC211" s="276" t="e">
        <f t="shared" si="181"/>
        <v>#DIV/0!</v>
      </c>
      <c r="AD211" s="276" t="e">
        <f t="shared" si="182"/>
        <v>#DIV/0!</v>
      </c>
      <c r="AE211" s="686" t="e">
        <f t="shared" si="183"/>
        <v>#DIV/0!</v>
      </c>
      <c r="AF211" s="239"/>
      <c r="AG211" s="965" t="e">
        <f t="shared" si="154"/>
        <v>#VALUE!</v>
      </c>
      <c r="AH211" s="878" t="e">
        <f t="shared" si="155"/>
        <v>#VALUE!</v>
      </c>
      <c r="AI211" s="878" t="e">
        <f t="shared" si="156"/>
        <v>#VALUE!</v>
      </c>
      <c r="AJ211" s="878" t="e">
        <f t="shared" si="157"/>
        <v>#VALUE!</v>
      </c>
      <c r="AK211" s="878" t="e">
        <f t="shared" si="158"/>
        <v>#VALUE!</v>
      </c>
      <c r="AL211" s="966" t="e">
        <f t="shared" si="159"/>
        <v>#VALUE!</v>
      </c>
      <c r="AM211" s="239"/>
      <c r="AO211" s="685">
        <f t="shared" si="184"/>
        <v>2.9249851750445712</v>
      </c>
      <c r="AP211" s="276">
        <f t="shared" si="185"/>
        <v>-4.3925022222637278E-3</v>
      </c>
      <c r="AQ211" s="276">
        <f t="shared" si="186"/>
        <v>-3.3103008342790012</v>
      </c>
      <c r="AR211" s="276">
        <f t="shared" si="187"/>
        <v>1.5805942040385152</v>
      </c>
      <c r="AS211" s="276">
        <f t="shared" si="188"/>
        <v>-1.4719145529140767</v>
      </c>
      <c r="AT211" s="276">
        <f t="shared" si="189"/>
        <v>-2.0292049153255052</v>
      </c>
      <c r="AU211" s="685">
        <f t="shared" si="190"/>
        <v>1.3911964577711984</v>
      </c>
      <c r="AV211" s="276">
        <f t="shared" si="191"/>
        <v>1.3199054016998779</v>
      </c>
      <c r="AW211" s="276">
        <f t="shared" si="192"/>
        <v>1.8810662949648467</v>
      </c>
      <c r="AX211" s="276">
        <f t="shared" si="193"/>
        <v>2.4014817512133737</v>
      </c>
      <c r="AY211" s="276">
        <f t="shared" si="194"/>
        <v>2.1717269466779943</v>
      </c>
      <c r="AZ211" s="686">
        <f t="shared" si="195"/>
        <v>1.370137723087596</v>
      </c>
      <c r="BA211" s="685">
        <f t="shared" si="196"/>
        <v>0</v>
      </c>
      <c r="BB211" s="276">
        <f t="shared" si="197"/>
        <v>0</v>
      </c>
      <c r="BC211" s="276">
        <f t="shared" si="198"/>
        <v>0</v>
      </c>
      <c r="BD211" s="276">
        <f t="shared" si="199"/>
        <v>0</v>
      </c>
      <c r="BE211" s="276">
        <f t="shared" si="200"/>
        <v>0</v>
      </c>
      <c r="BF211" s="686">
        <f t="shared" si="201"/>
        <v>0</v>
      </c>
      <c r="BG211" s="685" t="e">
        <f t="shared" si="202"/>
        <v>#DIV/0!</v>
      </c>
      <c r="BH211" s="276" t="e">
        <f t="shared" si="203"/>
        <v>#DIV/0!</v>
      </c>
      <c r="BI211" s="276" t="e">
        <f t="shared" si="204"/>
        <v>#DIV/0!</v>
      </c>
      <c r="BJ211" s="276" t="e">
        <f t="shared" si="205"/>
        <v>#DIV/0!</v>
      </c>
      <c r="BK211" s="276" t="e">
        <f t="shared" si="206"/>
        <v>#DIV/0!</v>
      </c>
      <c r="BL211" s="686" t="e">
        <f t="shared" si="207"/>
        <v>#DIV/0!</v>
      </c>
      <c r="BM211" s="239"/>
      <c r="BN211" s="965" t="e">
        <f t="shared" si="208"/>
        <v>#VALUE!</v>
      </c>
      <c r="BO211" s="878" t="e">
        <f t="shared" si="209"/>
        <v>#VALUE!</v>
      </c>
      <c r="BP211" s="878" t="e">
        <f t="shared" si="210"/>
        <v>#VALUE!</v>
      </c>
      <c r="BQ211" s="878" t="e">
        <f t="shared" si="211"/>
        <v>#VALUE!</v>
      </c>
      <c r="BR211" s="878" t="e">
        <f t="shared" si="212"/>
        <v>#VALUE!</v>
      </c>
      <c r="BS211" s="966" t="e">
        <f t="shared" si="213"/>
        <v>#VALUE!</v>
      </c>
    </row>
    <row r="212" spans="1:71">
      <c r="A212" s="284">
        <f t="shared" si="214"/>
        <v>144</v>
      </c>
      <c r="B212" s="285">
        <v>1.5627083329044151</v>
      </c>
      <c r="C212" s="285">
        <v>2.2218337634268899</v>
      </c>
      <c r="D212" s="285">
        <v>1.1083765371885859</v>
      </c>
      <c r="E212" s="285">
        <v>-10.110650426917129</v>
      </c>
      <c r="H212" s="685">
        <f t="shared" si="160"/>
        <v>0.42947449113536029</v>
      </c>
      <c r="I212" s="276">
        <f t="shared" si="161"/>
        <v>-2.1623146434114995</v>
      </c>
      <c r="J212" s="276">
        <f t="shared" si="162"/>
        <v>-0.7383872058905917</v>
      </c>
      <c r="K212" s="276">
        <f t="shared" si="163"/>
        <v>-0.60853348807594199</v>
      </c>
      <c r="L212" s="276">
        <f t="shared" si="164"/>
        <v>-2.7988072191838871</v>
      </c>
      <c r="M212" s="276">
        <f t="shared" si="165"/>
        <v>1.8106898241461475</v>
      </c>
      <c r="N212" s="685">
        <f t="shared" si="166"/>
        <v>1.0146625524550215</v>
      </c>
      <c r="O212" s="276">
        <f t="shared" si="167"/>
        <v>1.6881958766715297</v>
      </c>
      <c r="P212" s="276">
        <f t="shared" si="168"/>
        <v>1.3235248422897652</v>
      </c>
      <c r="Q212" s="276">
        <f t="shared" si="169"/>
        <v>1.5656422128144747</v>
      </c>
      <c r="R212" s="276">
        <f t="shared" si="170"/>
        <v>0.86133156679144895</v>
      </c>
      <c r="S212" s="686">
        <f t="shared" si="171"/>
        <v>1.2466574726010846</v>
      </c>
      <c r="T212" s="685">
        <f t="shared" si="172"/>
        <v>4.3867402274595122</v>
      </c>
      <c r="U212" s="276">
        <f t="shared" si="173"/>
        <v>3.6530025205773748</v>
      </c>
      <c r="V212" s="276">
        <f t="shared" si="174"/>
        <v>5.5610844113800226</v>
      </c>
      <c r="W212" s="276">
        <f t="shared" si="175"/>
        <v>6.2035200144479301</v>
      </c>
      <c r="X212" s="276">
        <f t="shared" si="176"/>
        <v>3.9454331770920197</v>
      </c>
      <c r="Y212" s="686">
        <f t="shared" si="177"/>
        <v>5.5821958134478251</v>
      </c>
      <c r="Z212" s="685" t="e">
        <f t="shared" si="178"/>
        <v>#DIV/0!</v>
      </c>
      <c r="AA212" s="276" t="e">
        <f t="shared" si="179"/>
        <v>#DIV/0!</v>
      </c>
      <c r="AB212" s="276" t="e">
        <f t="shared" si="180"/>
        <v>#DIV/0!</v>
      </c>
      <c r="AC212" s="276" t="e">
        <f t="shared" si="181"/>
        <v>#DIV/0!</v>
      </c>
      <c r="AD212" s="276" t="e">
        <f t="shared" si="182"/>
        <v>#DIV/0!</v>
      </c>
      <c r="AE212" s="686" t="e">
        <f t="shared" si="183"/>
        <v>#DIV/0!</v>
      </c>
      <c r="AF212" s="239"/>
      <c r="AG212" s="965" t="e">
        <f t="shared" si="154"/>
        <v>#VALUE!</v>
      </c>
      <c r="AH212" s="878" t="e">
        <f t="shared" si="155"/>
        <v>#VALUE!</v>
      </c>
      <c r="AI212" s="878" t="e">
        <f t="shared" si="156"/>
        <v>#VALUE!</v>
      </c>
      <c r="AJ212" s="878" t="e">
        <f t="shared" si="157"/>
        <v>#VALUE!</v>
      </c>
      <c r="AK212" s="878" t="e">
        <f t="shared" si="158"/>
        <v>#VALUE!</v>
      </c>
      <c r="AL212" s="966" t="e">
        <f t="shared" si="159"/>
        <v>#VALUE!</v>
      </c>
      <c r="AM212" s="239"/>
      <c r="AO212" s="685">
        <f t="shared" si="184"/>
        <v>0.42947449113536029</v>
      </c>
      <c r="AP212" s="276">
        <f t="shared" si="185"/>
        <v>-2.1623146434114995</v>
      </c>
      <c r="AQ212" s="276">
        <f t="shared" si="186"/>
        <v>-0.7383872058905917</v>
      </c>
      <c r="AR212" s="276">
        <f t="shared" si="187"/>
        <v>-0.60853348807594199</v>
      </c>
      <c r="AS212" s="276">
        <f t="shared" si="188"/>
        <v>-2.7988072191838871</v>
      </c>
      <c r="AT212" s="276">
        <f t="shared" si="189"/>
        <v>1.8106898241461475</v>
      </c>
      <c r="AU212" s="685">
        <f t="shared" si="190"/>
        <v>1.0146625524550215</v>
      </c>
      <c r="AV212" s="276">
        <f t="shared" si="191"/>
        <v>1.6881958766715297</v>
      </c>
      <c r="AW212" s="276">
        <f t="shared" si="192"/>
        <v>1.3235248422897652</v>
      </c>
      <c r="AX212" s="276">
        <f t="shared" si="193"/>
        <v>1.5656422128144747</v>
      </c>
      <c r="AY212" s="276">
        <f t="shared" si="194"/>
        <v>0.86133156679144895</v>
      </c>
      <c r="AZ212" s="686">
        <f t="shared" si="195"/>
        <v>1.2466574726010846</v>
      </c>
      <c r="BA212" s="685">
        <f t="shared" si="196"/>
        <v>0</v>
      </c>
      <c r="BB212" s="276">
        <f t="shared" si="197"/>
        <v>0</v>
      </c>
      <c r="BC212" s="276">
        <f t="shared" si="198"/>
        <v>0</v>
      </c>
      <c r="BD212" s="276">
        <f t="shared" si="199"/>
        <v>0</v>
      </c>
      <c r="BE212" s="276">
        <f t="shared" si="200"/>
        <v>0</v>
      </c>
      <c r="BF212" s="686">
        <f t="shared" si="201"/>
        <v>0</v>
      </c>
      <c r="BG212" s="685" t="e">
        <f t="shared" si="202"/>
        <v>#DIV/0!</v>
      </c>
      <c r="BH212" s="276" t="e">
        <f t="shared" si="203"/>
        <v>#DIV/0!</v>
      </c>
      <c r="BI212" s="276" t="e">
        <f t="shared" si="204"/>
        <v>#DIV/0!</v>
      </c>
      <c r="BJ212" s="276" t="e">
        <f t="shared" si="205"/>
        <v>#DIV/0!</v>
      </c>
      <c r="BK212" s="276" t="e">
        <f t="shared" si="206"/>
        <v>#DIV/0!</v>
      </c>
      <c r="BL212" s="686" t="e">
        <f t="shared" si="207"/>
        <v>#DIV/0!</v>
      </c>
      <c r="BM212" s="239"/>
      <c r="BN212" s="965" t="e">
        <f t="shared" si="208"/>
        <v>#VALUE!</v>
      </c>
      <c r="BO212" s="878" t="e">
        <f t="shared" si="209"/>
        <v>#VALUE!</v>
      </c>
      <c r="BP212" s="878" t="e">
        <f t="shared" si="210"/>
        <v>#VALUE!</v>
      </c>
      <c r="BQ212" s="878" t="e">
        <f t="shared" si="211"/>
        <v>#VALUE!</v>
      </c>
      <c r="BR212" s="878" t="e">
        <f t="shared" si="212"/>
        <v>#VALUE!</v>
      </c>
      <c r="BS212" s="966" t="e">
        <f t="shared" si="213"/>
        <v>#VALUE!</v>
      </c>
    </row>
    <row r="213" spans="1:71">
      <c r="A213" s="284">
        <f t="shared" si="214"/>
        <v>145</v>
      </c>
      <c r="B213" s="285">
        <v>1.8660252969618589</v>
      </c>
      <c r="C213" s="285">
        <v>3.0518928528964975</v>
      </c>
      <c r="D213" s="285">
        <v>1.8131782264695457</v>
      </c>
      <c r="E213" s="285">
        <v>-0.16757185894748261</v>
      </c>
      <c r="H213" s="685">
        <f t="shared" si="160"/>
        <v>0.73279145519280409</v>
      </c>
      <c r="I213" s="276">
        <f t="shared" si="161"/>
        <v>0.71055710179156262</v>
      </c>
      <c r="J213" s="276">
        <f t="shared" si="162"/>
        <v>-3.6184876745911438</v>
      </c>
      <c r="K213" s="276">
        <f t="shared" si="163"/>
        <v>-0.60306196909800858</v>
      </c>
      <c r="L213" s="276">
        <f t="shared" si="164"/>
        <v>-1.2012213202147091</v>
      </c>
      <c r="M213" s="276">
        <f t="shared" si="165"/>
        <v>-0.33716573075219081</v>
      </c>
      <c r="N213" s="685">
        <f t="shared" si="166"/>
        <v>1.8447216419246291</v>
      </c>
      <c r="O213" s="276">
        <f t="shared" si="167"/>
        <v>0.83354685277753959</v>
      </c>
      <c r="P213" s="276">
        <f t="shared" si="168"/>
        <v>1.561437193825866</v>
      </c>
      <c r="Q213" s="276">
        <f t="shared" si="169"/>
        <v>1.6249453264061586</v>
      </c>
      <c r="R213" s="276">
        <f t="shared" si="170"/>
        <v>0.90837682071160031</v>
      </c>
      <c r="S213" s="686">
        <f t="shared" si="171"/>
        <v>1.2108209305192077</v>
      </c>
      <c r="T213" s="685">
        <f t="shared" si="172"/>
        <v>5.0915419167404714</v>
      </c>
      <c r="U213" s="276">
        <f t="shared" si="173"/>
        <v>5.9105595711223966</v>
      </c>
      <c r="V213" s="276">
        <f t="shared" si="174"/>
        <v>4.6008674745380436</v>
      </c>
      <c r="W213" s="276">
        <f t="shared" si="175"/>
        <v>3.734668692049937</v>
      </c>
      <c r="X213" s="276">
        <f t="shared" si="176"/>
        <v>3.5708481609017211</v>
      </c>
      <c r="Y213" s="686">
        <f t="shared" si="177"/>
        <v>3.3138603747591446</v>
      </c>
      <c r="Z213" s="685" t="e">
        <f t="shared" si="178"/>
        <v>#DIV/0!</v>
      </c>
      <c r="AA213" s="276" t="e">
        <f t="shared" si="179"/>
        <v>#DIV/0!</v>
      </c>
      <c r="AB213" s="276" t="e">
        <f t="shared" si="180"/>
        <v>#DIV/0!</v>
      </c>
      <c r="AC213" s="276" t="e">
        <f t="shared" si="181"/>
        <v>#DIV/0!</v>
      </c>
      <c r="AD213" s="276" t="e">
        <f t="shared" si="182"/>
        <v>#DIV/0!</v>
      </c>
      <c r="AE213" s="686" t="e">
        <f t="shared" si="183"/>
        <v>#DIV/0!</v>
      </c>
      <c r="AF213" s="239"/>
      <c r="AG213" s="965" t="e">
        <f t="shared" si="154"/>
        <v>#VALUE!</v>
      </c>
      <c r="AH213" s="878" t="e">
        <f t="shared" si="155"/>
        <v>#VALUE!</v>
      </c>
      <c r="AI213" s="878" t="e">
        <f t="shared" si="156"/>
        <v>#VALUE!</v>
      </c>
      <c r="AJ213" s="878" t="e">
        <f t="shared" si="157"/>
        <v>#VALUE!</v>
      </c>
      <c r="AK213" s="878" t="e">
        <f t="shared" si="158"/>
        <v>#VALUE!</v>
      </c>
      <c r="AL213" s="966" t="e">
        <f t="shared" si="159"/>
        <v>#VALUE!</v>
      </c>
      <c r="AM213" s="239"/>
      <c r="AO213" s="685">
        <f t="shared" si="184"/>
        <v>0.73279145519280409</v>
      </c>
      <c r="AP213" s="276">
        <f t="shared" si="185"/>
        <v>0.71055710179156262</v>
      </c>
      <c r="AQ213" s="276">
        <f t="shared" si="186"/>
        <v>-3.6184876745911438</v>
      </c>
      <c r="AR213" s="276">
        <f t="shared" si="187"/>
        <v>-0.60306196909800858</v>
      </c>
      <c r="AS213" s="276">
        <f t="shared" si="188"/>
        <v>-1.2012213202147091</v>
      </c>
      <c r="AT213" s="276">
        <f t="shared" si="189"/>
        <v>-0.33716573075219081</v>
      </c>
      <c r="AU213" s="685">
        <f t="shared" si="190"/>
        <v>1.8447216419246291</v>
      </c>
      <c r="AV213" s="276">
        <f t="shared" si="191"/>
        <v>0.83354685277753959</v>
      </c>
      <c r="AW213" s="276">
        <f t="shared" si="192"/>
        <v>1.561437193825866</v>
      </c>
      <c r="AX213" s="276">
        <f t="shared" si="193"/>
        <v>1.6249453264061586</v>
      </c>
      <c r="AY213" s="276">
        <f t="shared" si="194"/>
        <v>0.90837682071160031</v>
      </c>
      <c r="AZ213" s="686">
        <f t="shared" si="195"/>
        <v>1.2108209305192077</v>
      </c>
      <c r="BA213" s="685">
        <f t="shared" si="196"/>
        <v>0</v>
      </c>
      <c r="BB213" s="276">
        <f t="shared" si="197"/>
        <v>0</v>
      </c>
      <c r="BC213" s="276">
        <f t="shared" si="198"/>
        <v>0</v>
      </c>
      <c r="BD213" s="276">
        <f t="shared" si="199"/>
        <v>0</v>
      </c>
      <c r="BE213" s="276">
        <f t="shared" si="200"/>
        <v>0</v>
      </c>
      <c r="BF213" s="686">
        <f t="shared" si="201"/>
        <v>0</v>
      </c>
      <c r="BG213" s="685" t="e">
        <f t="shared" si="202"/>
        <v>#DIV/0!</v>
      </c>
      <c r="BH213" s="276" t="e">
        <f t="shared" si="203"/>
        <v>#DIV/0!</v>
      </c>
      <c r="BI213" s="276" t="e">
        <f t="shared" si="204"/>
        <v>#DIV/0!</v>
      </c>
      <c r="BJ213" s="276" t="e">
        <f t="shared" si="205"/>
        <v>#DIV/0!</v>
      </c>
      <c r="BK213" s="276" t="e">
        <f t="shared" si="206"/>
        <v>#DIV/0!</v>
      </c>
      <c r="BL213" s="686" t="e">
        <f t="shared" si="207"/>
        <v>#DIV/0!</v>
      </c>
      <c r="BM213" s="239"/>
      <c r="BN213" s="965" t="e">
        <f t="shared" si="208"/>
        <v>#VALUE!</v>
      </c>
      <c r="BO213" s="878" t="e">
        <f t="shared" si="209"/>
        <v>#VALUE!</v>
      </c>
      <c r="BP213" s="878" t="e">
        <f t="shared" si="210"/>
        <v>#VALUE!</v>
      </c>
      <c r="BQ213" s="878" t="e">
        <f t="shared" si="211"/>
        <v>#VALUE!</v>
      </c>
      <c r="BR213" s="878" t="e">
        <f t="shared" si="212"/>
        <v>#VALUE!</v>
      </c>
      <c r="BS213" s="966" t="e">
        <f t="shared" si="213"/>
        <v>#VALUE!</v>
      </c>
    </row>
    <row r="214" spans="1:71">
      <c r="A214" s="284">
        <f t="shared" si="214"/>
        <v>146</v>
      </c>
      <c r="B214" s="285">
        <v>-0.21008128239191298</v>
      </c>
      <c r="C214" s="285">
        <v>2.9985263745533883</v>
      </c>
      <c r="D214" s="285">
        <v>2.1380269317492808</v>
      </c>
      <c r="E214" s="285">
        <v>1.9578503960864206</v>
      </c>
      <c r="H214" s="685">
        <f t="shared" si="160"/>
        <v>-1.3433151241609678</v>
      </c>
      <c r="I214" s="276">
        <f t="shared" si="161"/>
        <v>4.1264720660074854</v>
      </c>
      <c r="J214" s="276">
        <f t="shared" si="162"/>
        <v>0.35611289425206971</v>
      </c>
      <c r="K214" s="276">
        <f t="shared" si="163"/>
        <v>0.14391964478769204</v>
      </c>
      <c r="L214" s="276">
        <f t="shared" si="164"/>
        <v>1.6252520949378051</v>
      </c>
      <c r="M214" s="276">
        <f t="shared" si="165"/>
        <v>-1.0803304209152109</v>
      </c>
      <c r="N214" s="685">
        <f t="shared" si="166"/>
        <v>1.7913551635815199</v>
      </c>
      <c r="O214" s="276">
        <f t="shared" si="167"/>
        <v>1.4884847908837686</v>
      </c>
      <c r="P214" s="276">
        <f t="shared" si="168"/>
        <v>1.4650559541106654</v>
      </c>
      <c r="Q214" s="276">
        <f t="shared" si="169"/>
        <v>1.3216615774983349</v>
      </c>
      <c r="R214" s="276">
        <f t="shared" si="170"/>
        <v>1.6498848426021608</v>
      </c>
      <c r="S214" s="686">
        <f t="shared" si="171"/>
        <v>1.2592665186162793</v>
      </c>
      <c r="T214" s="685">
        <f t="shared" si="172"/>
        <v>5.4163906220202067</v>
      </c>
      <c r="U214" s="276">
        <f t="shared" si="173"/>
        <v>4.8275858952601176</v>
      </c>
      <c r="V214" s="276">
        <f t="shared" si="174"/>
        <v>6.2215699272432108</v>
      </c>
      <c r="W214" s="276">
        <f t="shared" si="175"/>
        <v>6.0720991750803375</v>
      </c>
      <c r="X214" s="276">
        <f t="shared" si="176"/>
        <v>4.9811052599673822</v>
      </c>
      <c r="Y214" s="686">
        <f t="shared" si="177"/>
        <v>4.5240946818345522</v>
      </c>
      <c r="Z214" s="685" t="e">
        <f t="shared" si="178"/>
        <v>#DIV/0!</v>
      </c>
      <c r="AA214" s="276" t="e">
        <f t="shared" si="179"/>
        <v>#DIV/0!</v>
      </c>
      <c r="AB214" s="276" t="e">
        <f t="shared" si="180"/>
        <v>#DIV/0!</v>
      </c>
      <c r="AC214" s="276" t="e">
        <f t="shared" si="181"/>
        <v>#DIV/0!</v>
      </c>
      <c r="AD214" s="276" t="e">
        <f t="shared" si="182"/>
        <v>#DIV/0!</v>
      </c>
      <c r="AE214" s="686" t="e">
        <f t="shared" si="183"/>
        <v>#DIV/0!</v>
      </c>
      <c r="AF214" s="239"/>
      <c r="AG214" s="965" t="e">
        <f t="shared" si="154"/>
        <v>#VALUE!</v>
      </c>
      <c r="AH214" s="878" t="e">
        <f t="shared" si="155"/>
        <v>#VALUE!</v>
      </c>
      <c r="AI214" s="878" t="e">
        <f t="shared" si="156"/>
        <v>#VALUE!</v>
      </c>
      <c r="AJ214" s="878" t="e">
        <f t="shared" si="157"/>
        <v>#VALUE!</v>
      </c>
      <c r="AK214" s="878" t="e">
        <f t="shared" si="158"/>
        <v>#VALUE!</v>
      </c>
      <c r="AL214" s="966" t="e">
        <f t="shared" si="159"/>
        <v>#VALUE!</v>
      </c>
      <c r="AM214" s="239"/>
      <c r="AO214" s="685">
        <f t="shared" si="184"/>
        <v>-1.3433151241609678</v>
      </c>
      <c r="AP214" s="276">
        <f t="shared" si="185"/>
        <v>4.1264720660074854</v>
      </c>
      <c r="AQ214" s="276">
        <f t="shared" si="186"/>
        <v>0.35611289425206971</v>
      </c>
      <c r="AR214" s="276">
        <f t="shared" si="187"/>
        <v>0.14391964478769204</v>
      </c>
      <c r="AS214" s="276">
        <f t="shared" si="188"/>
        <v>1.6252520949378051</v>
      </c>
      <c r="AT214" s="276">
        <f t="shared" si="189"/>
        <v>-1.0803304209152109</v>
      </c>
      <c r="AU214" s="685">
        <f t="shared" si="190"/>
        <v>1.7913551635815199</v>
      </c>
      <c r="AV214" s="276">
        <f t="shared" si="191"/>
        <v>1.4884847908837686</v>
      </c>
      <c r="AW214" s="276">
        <f t="shared" si="192"/>
        <v>1.4650559541106654</v>
      </c>
      <c r="AX214" s="276">
        <f t="shared" si="193"/>
        <v>1.3216615774983349</v>
      </c>
      <c r="AY214" s="276">
        <f t="shared" si="194"/>
        <v>1.6498848426021608</v>
      </c>
      <c r="AZ214" s="686">
        <f t="shared" si="195"/>
        <v>1.2592665186162793</v>
      </c>
      <c r="BA214" s="685">
        <f t="shared" si="196"/>
        <v>0</v>
      </c>
      <c r="BB214" s="276">
        <f t="shared" si="197"/>
        <v>0</v>
      </c>
      <c r="BC214" s="276">
        <f t="shared" si="198"/>
        <v>0</v>
      </c>
      <c r="BD214" s="276">
        <f t="shared" si="199"/>
        <v>0</v>
      </c>
      <c r="BE214" s="276">
        <f t="shared" si="200"/>
        <v>0</v>
      </c>
      <c r="BF214" s="686">
        <f t="shared" si="201"/>
        <v>0</v>
      </c>
      <c r="BG214" s="685" t="e">
        <f t="shared" si="202"/>
        <v>#DIV/0!</v>
      </c>
      <c r="BH214" s="276" t="e">
        <f t="shared" si="203"/>
        <v>#DIV/0!</v>
      </c>
      <c r="BI214" s="276" t="e">
        <f t="shared" si="204"/>
        <v>#DIV/0!</v>
      </c>
      <c r="BJ214" s="276" t="e">
        <f t="shared" si="205"/>
        <v>#DIV/0!</v>
      </c>
      <c r="BK214" s="276" t="e">
        <f t="shared" si="206"/>
        <v>#DIV/0!</v>
      </c>
      <c r="BL214" s="686" t="e">
        <f t="shared" si="207"/>
        <v>#DIV/0!</v>
      </c>
      <c r="BM214" s="239"/>
      <c r="BN214" s="965" t="e">
        <f t="shared" si="208"/>
        <v>#VALUE!</v>
      </c>
      <c r="BO214" s="878" t="e">
        <f t="shared" si="209"/>
        <v>#VALUE!</v>
      </c>
      <c r="BP214" s="878" t="e">
        <f t="shared" si="210"/>
        <v>#VALUE!</v>
      </c>
      <c r="BQ214" s="878" t="e">
        <f t="shared" si="211"/>
        <v>#VALUE!</v>
      </c>
      <c r="BR214" s="878" t="e">
        <f t="shared" si="212"/>
        <v>#VALUE!</v>
      </c>
      <c r="BS214" s="966" t="e">
        <f t="shared" si="213"/>
        <v>#VALUE!</v>
      </c>
    </row>
    <row r="215" spans="1:71">
      <c r="A215" s="284">
        <f t="shared" si="214"/>
        <v>147</v>
      </c>
      <c r="B215" s="285">
        <v>-1.1837299990975345</v>
      </c>
      <c r="C215" s="285">
        <v>1.5335464374310832</v>
      </c>
      <c r="D215" s="285">
        <v>1.0429647454802515</v>
      </c>
      <c r="E215" s="285">
        <v>-13.489765211425144</v>
      </c>
      <c r="H215" s="685">
        <f t="shared" si="160"/>
        <v>-2.3169638408665891</v>
      </c>
      <c r="I215" s="276">
        <f t="shared" si="161"/>
        <v>-4.5068778472578366</v>
      </c>
      <c r="J215" s="276">
        <f t="shared" si="162"/>
        <v>0.94513335079781924</v>
      </c>
      <c r="K215" s="276">
        <f t="shared" si="163"/>
        <v>-0.70587162072908571</v>
      </c>
      <c r="L215" s="276">
        <f t="shared" si="164"/>
        <v>-5.1605191756287487</v>
      </c>
      <c r="M215" s="276">
        <f t="shared" si="165"/>
        <v>-4.2096462965606607</v>
      </c>
      <c r="N215" s="685">
        <f t="shared" si="166"/>
        <v>0.3263752264592148</v>
      </c>
      <c r="O215" s="276">
        <f t="shared" si="167"/>
        <v>0.92890832021428937</v>
      </c>
      <c r="P215" s="276">
        <f t="shared" si="168"/>
        <v>1.552825269073921</v>
      </c>
      <c r="Q215" s="276">
        <f t="shared" si="169"/>
        <v>1.0478060763423296</v>
      </c>
      <c r="R215" s="276">
        <f t="shared" si="170"/>
        <v>0.99158292818260008</v>
      </c>
      <c r="S215" s="686">
        <f t="shared" si="171"/>
        <v>1.0408525950974556</v>
      </c>
      <c r="T215" s="685">
        <f t="shared" si="172"/>
        <v>4.3213284357511776</v>
      </c>
      <c r="U215" s="276">
        <f t="shared" si="173"/>
        <v>3.7466785103194429</v>
      </c>
      <c r="V215" s="276">
        <f t="shared" si="174"/>
        <v>4.4399417324859547</v>
      </c>
      <c r="W215" s="276">
        <f t="shared" si="175"/>
        <v>3.1417852057584463</v>
      </c>
      <c r="X215" s="276">
        <f t="shared" si="176"/>
        <v>3.5554414101152894</v>
      </c>
      <c r="Y215" s="686">
        <f t="shared" si="177"/>
        <v>5.0899046329695627</v>
      </c>
      <c r="Z215" s="685" t="e">
        <f t="shared" si="178"/>
        <v>#DIV/0!</v>
      </c>
      <c r="AA215" s="276" t="e">
        <f t="shared" si="179"/>
        <v>#DIV/0!</v>
      </c>
      <c r="AB215" s="276" t="e">
        <f t="shared" si="180"/>
        <v>#DIV/0!</v>
      </c>
      <c r="AC215" s="276" t="e">
        <f t="shared" si="181"/>
        <v>#DIV/0!</v>
      </c>
      <c r="AD215" s="276" t="e">
        <f t="shared" si="182"/>
        <v>#DIV/0!</v>
      </c>
      <c r="AE215" s="686" t="e">
        <f t="shared" si="183"/>
        <v>#DIV/0!</v>
      </c>
      <c r="AF215" s="239"/>
      <c r="AG215" s="965" t="e">
        <f t="shared" si="154"/>
        <v>#VALUE!</v>
      </c>
      <c r="AH215" s="878" t="e">
        <f t="shared" si="155"/>
        <v>#VALUE!</v>
      </c>
      <c r="AI215" s="878" t="e">
        <f t="shared" si="156"/>
        <v>#VALUE!</v>
      </c>
      <c r="AJ215" s="878" t="e">
        <f t="shared" si="157"/>
        <v>#VALUE!</v>
      </c>
      <c r="AK215" s="878" t="e">
        <f t="shared" si="158"/>
        <v>#VALUE!</v>
      </c>
      <c r="AL215" s="966" t="e">
        <f t="shared" si="159"/>
        <v>#VALUE!</v>
      </c>
      <c r="AM215" s="239"/>
      <c r="AO215" s="685">
        <f t="shared" si="184"/>
        <v>-2.3169638408665891</v>
      </c>
      <c r="AP215" s="276">
        <f t="shared" si="185"/>
        <v>-4.5068778472578366</v>
      </c>
      <c r="AQ215" s="276">
        <f t="shared" si="186"/>
        <v>0.94513335079781924</v>
      </c>
      <c r="AR215" s="276">
        <f t="shared" si="187"/>
        <v>-0.70587162072908571</v>
      </c>
      <c r="AS215" s="276">
        <f t="shared" si="188"/>
        <v>-5.1605191756287487</v>
      </c>
      <c r="AT215" s="276">
        <f t="shared" si="189"/>
        <v>-4.2096462965606607</v>
      </c>
      <c r="AU215" s="685">
        <f t="shared" si="190"/>
        <v>0.3263752264592148</v>
      </c>
      <c r="AV215" s="276">
        <f t="shared" si="191"/>
        <v>0.92890832021428937</v>
      </c>
      <c r="AW215" s="276">
        <f t="shared" si="192"/>
        <v>1.552825269073921</v>
      </c>
      <c r="AX215" s="276">
        <f t="shared" si="193"/>
        <v>1.0478060763423296</v>
      </c>
      <c r="AY215" s="276">
        <f t="shared" si="194"/>
        <v>0.99158292818260008</v>
      </c>
      <c r="AZ215" s="686">
        <f t="shared" si="195"/>
        <v>1.0408525950974556</v>
      </c>
      <c r="BA215" s="685">
        <f t="shared" si="196"/>
        <v>0</v>
      </c>
      <c r="BB215" s="276">
        <f t="shared" si="197"/>
        <v>0</v>
      </c>
      <c r="BC215" s="276">
        <f t="shared" si="198"/>
        <v>0</v>
      </c>
      <c r="BD215" s="276">
        <f t="shared" si="199"/>
        <v>0</v>
      </c>
      <c r="BE215" s="276">
        <f t="shared" si="200"/>
        <v>0</v>
      </c>
      <c r="BF215" s="686">
        <f t="shared" si="201"/>
        <v>0</v>
      </c>
      <c r="BG215" s="685" t="e">
        <f t="shared" si="202"/>
        <v>#DIV/0!</v>
      </c>
      <c r="BH215" s="276" t="e">
        <f t="shared" si="203"/>
        <v>#DIV/0!</v>
      </c>
      <c r="BI215" s="276" t="e">
        <f t="shared" si="204"/>
        <v>#DIV/0!</v>
      </c>
      <c r="BJ215" s="276" t="e">
        <f t="shared" si="205"/>
        <v>#DIV/0!</v>
      </c>
      <c r="BK215" s="276" t="e">
        <f t="shared" si="206"/>
        <v>#DIV/0!</v>
      </c>
      <c r="BL215" s="686" t="e">
        <f t="shared" si="207"/>
        <v>#DIV/0!</v>
      </c>
      <c r="BM215" s="239"/>
      <c r="BN215" s="965" t="e">
        <f t="shared" si="208"/>
        <v>#VALUE!</v>
      </c>
      <c r="BO215" s="878" t="e">
        <f t="shared" si="209"/>
        <v>#VALUE!</v>
      </c>
      <c r="BP215" s="878" t="e">
        <f t="shared" si="210"/>
        <v>#VALUE!</v>
      </c>
      <c r="BQ215" s="878" t="e">
        <f t="shared" si="211"/>
        <v>#VALUE!</v>
      </c>
      <c r="BR215" s="878" t="e">
        <f t="shared" si="212"/>
        <v>#VALUE!</v>
      </c>
      <c r="BS215" s="966" t="e">
        <f t="shared" si="213"/>
        <v>#VALUE!</v>
      </c>
    </row>
    <row r="216" spans="1:71">
      <c r="A216" s="284">
        <f t="shared" si="214"/>
        <v>148</v>
      </c>
      <c r="B216" s="285">
        <v>5.0576555797953393</v>
      </c>
      <c r="C216" s="285">
        <v>3.7385215111241372</v>
      </c>
      <c r="D216" s="285">
        <v>1.5714781632554069</v>
      </c>
      <c r="E216" s="285">
        <v>6.5965998765949152</v>
      </c>
      <c r="H216" s="685">
        <f t="shared" si="160"/>
        <v>3.9244217380262842</v>
      </c>
      <c r="I216" s="276">
        <f t="shared" si="161"/>
        <v>2.2385806094919865</v>
      </c>
      <c r="J216" s="276">
        <f t="shared" si="162"/>
        <v>-1.1312296932440455</v>
      </c>
      <c r="K216" s="276">
        <f t="shared" si="163"/>
        <v>-2.633887252210974</v>
      </c>
      <c r="L216" s="276">
        <f t="shared" si="164"/>
        <v>-3.3033444912766221</v>
      </c>
      <c r="M216" s="276">
        <f t="shared" si="165"/>
        <v>0.49350178495304253</v>
      </c>
      <c r="N216" s="685">
        <f t="shared" si="166"/>
        <v>2.531350300152269</v>
      </c>
      <c r="O216" s="276">
        <f t="shared" si="167"/>
        <v>2.239605082406726</v>
      </c>
      <c r="P216" s="276">
        <f t="shared" si="168"/>
        <v>1.7493378075981665</v>
      </c>
      <c r="Q216" s="276">
        <f t="shared" si="169"/>
        <v>1.0506265196088165</v>
      </c>
      <c r="R216" s="276">
        <f t="shared" si="170"/>
        <v>1.5893736496959006</v>
      </c>
      <c r="S216" s="686">
        <f t="shared" si="171"/>
        <v>1.7832747399099371</v>
      </c>
      <c r="T216" s="685">
        <f t="shared" si="172"/>
        <v>4.8498418535263328</v>
      </c>
      <c r="U216" s="276">
        <f t="shared" si="173"/>
        <v>5.8520281151746936</v>
      </c>
      <c r="V216" s="276">
        <f t="shared" si="174"/>
        <v>5.0679129526143942</v>
      </c>
      <c r="W216" s="276">
        <f t="shared" si="175"/>
        <v>5.2542929600528332</v>
      </c>
      <c r="X216" s="276">
        <f t="shared" si="176"/>
        <v>2.4930010665068956</v>
      </c>
      <c r="Y216" s="686">
        <f t="shared" si="177"/>
        <v>5.5557425146995083</v>
      </c>
      <c r="Z216" s="685" t="e">
        <f t="shared" si="178"/>
        <v>#DIV/0!</v>
      </c>
      <c r="AA216" s="276" t="e">
        <f t="shared" si="179"/>
        <v>#DIV/0!</v>
      </c>
      <c r="AB216" s="276" t="e">
        <f t="shared" si="180"/>
        <v>#DIV/0!</v>
      </c>
      <c r="AC216" s="276" t="e">
        <f t="shared" si="181"/>
        <v>#DIV/0!</v>
      </c>
      <c r="AD216" s="276" t="e">
        <f t="shared" si="182"/>
        <v>#DIV/0!</v>
      </c>
      <c r="AE216" s="686" t="e">
        <f t="shared" si="183"/>
        <v>#DIV/0!</v>
      </c>
      <c r="AF216" s="239"/>
      <c r="AG216" s="965" t="e">
        <f t="shared" si="154"/>
        <v>#VALUE!</v>
      </c>
      <c r="AH216" s="878" t="e">
        <f t="shared" si="155"/>
        <v>#VALUE!</v>
      </c>
      <c r="AI216" s="878" t="e">
        <f t="shared" si="156"/>
        <v>#VALUE!</v>
      </c>
      <c r="AJ216" s="878" t="e">
        <f t="shared" si="157"/>
        <v>#VALUE!</v>
      </c>
      <c r="AK216" s="878" t="e">
        <f t="shared" si="158"/>
        <v>#VALUE!</v>
      </c>
      <c r="AL216" s="966" t="e">
        <f t="shared" si="159"/>
        <v>#VALUE!</v>
      </c>
      <c r="AM216" s="239"/>
      <c r="AO216" s="685">
        <f t="shared" si="184"/>
        <v>3.9244217380262842</v>
      </c>
      <c r="AP216" s="276">
        <f t="shared" si="185"/>
        <v>2.2385806094919865</v>
      </c>
      <c r="AQ216" s="276">
        <f t="shared" si="186"/>
        <v>-1.1312296932440455</v>
      </c>
      <c r="AR216" s="276">
        <f t="shared" si="187"/>
        <v>-2.633887252210974</v>
      </c>
      <c r="AS216" s="276">
        <f t="shared" si="188"/>
        <v>-3.3033444912766221</v>
      </c>
      <c r="AT216" s="276">
        <f t="shared" si="189"/>
        <v>0.49350178495304253</v>
      </c>
      <c r="AU216" s="685">
        <f t="shared" si="190"/>
        <v>2.531350300152269</v>
      </c>
      <c r="AV216" s="276">
        <f t="shared" si="191"/>
        <v>2.239605082406726</v>
      </c>
      <c r="AW216" s="276">
        <f t="shared" si="192"/>
        <v>1.7493378075981665</v>
      </c>
      <c r="AX216" s="276">
        <f t="shared" si="193"/>
        <v>1.0506265196088165</v>
      </c>
      <c r="AY216" s="276">
        <f t="shared" si="194"/>
        <v>1.5893736496959006</v>
      </c>
      <c r="AZ216" s="686">
        <f t="shared" si="195"/>
        <v>1.7832747399099371</v>
      </c>
      <c r="BA216" s="685">
        <f t="shared" si="196"/>
        <v>0</v>
      </c>
      <c r="BB216" s="276">
        <f t="shared" si="197"/>
        <v>0</v>
      </c>
      <c r="BC216" s="276">
        <f t="shared" si="198"/>
        <v>0</v>
      </c>
      <c r="BD216" s="276">
        <f t="shared" si="199"/>
        <v>0</v>
      </c>
      <c r="BE216" s="276">
        <f t="shared" si="200"/>
        <v>0</v>
      </c>
      <c r="BF216" s="686">
        <f t="shared" si="201"/>
        <v>0</v>
      </c>
      <c r="BG216" s="685" t="e">
        <f t="shared" si="202"/>
        <v>#DIV/0!</v>
      </c>
      <c r="BH216" s="276" t="e">
        <f t="shared" si="203"/>
        <v>#DIV/0!</v>
      </c>
      <c r="BI216" s="276" t="e">
        <f t="shared" si="204"/>
        <v>#DIV/0!</v>
      </c>
      <c r="BJ216" s="276" t="e">
        <f t="shared" si="205"/>
        <v>#DIV/0!</v>
      </c>
      <c r="BK216" s="276" t="e">
        <f t="shared" si="206"/>
        <v>#DIV/0!</v>
      </c>
      <c r="BL216" s="686" t="e">
        <f t="shared" si="207"/>
        <v>#DIV/0!</v>
      </c>
      <c r="BM216" s="239"/>
      <c r="BN216" s="965" t="e">
        <f t="shared" si="208"/>
        <v>#VALUE!</v>
      </c>
      <c r="BO216" s="878" t="e">
        <f t="shared" si="209"/>
        <v>#VALUE!</v>
      </c>
      <c r="BP216" s="878" t="e">
        <f t="shared" si="210"/>
        <v>#VALUE!</v>
      </c>
      <c r="BQ216" s="878" t="e">
        <f t="shared" si="211"/>
        <v>#VALUE!</v>
      </c>
      <c r="BR216" s="878" t="e">
        <f t="shared" si="212"/>
        <v>#VALUE!</v>
      </c>
      <c r="BS216" s="966" t="e">
        <f t="shared" si="213"/>
        <v>#VALUE!</v>
      </c>
    </row>
    <row r="217" spans="1:71">
      <c r="A217" s="284">
        <f t="shared" si="214"/>
        <v>149</v>
      </c>
      <c r="B217" s="285">
        <v>1.9966917289608639</v>
      </c>
      <c r="C217" s="285">
        <v>2.2423427885866611</v>
      </c>
      <c r="D217" s="285">
        <v>1.6667132059137892</v>
      </c>
      <c r="E217" s="285">
        <v>-10.866885302160817</v>
      </c>
      <c r="H217" s="685">
        <f t="shared" si="160"/>
        <v>0.86345788719180905</v>
      </c>
      <c r="I217" s="276">
        <f t="shared" si="161"/>
        <v>-4.3305966746949762</v>
      </c>
      <c r="J217" s="276">
        <f t="shared" si="162"/>
        <v>-0.54785111655465035</v>
      </c>
      <c r="K217" s="276">
        <f t="shared" si="163"/>
        <v>-2.9350927995928604</v>
      </c>
      <c r="L217" s="276">
        <f t="shared" si="164"/>
        <v>-0.37683307866566307</v>
      </c>
      <c r="M217" s="276">
        <f t="shared" si="165"/>
        <v>-3.5161654329951402</v>
      </c>
      <c r="N217" s="685">
        <f t="shared" si="166"/>
        <v>1.0351715776147927</v>
      </c>
      <c r="O217" s="276">
        <f t="shared" si="167"/>
        <v>1.3020805473315493</v>
      </c>
      <c r="P217" s="276">
        <f t="shared" si="168"/>
        <v>1.3060280296044631</v>
      </c>
      <c r="Q217" s="276">
        <f t="shared" si="169"/>
        <v>1.0868698538523309</v>
      </c>
      <c r="R217" s="276">
        <f t="shared" si="170"/>
        <v>1.6217304614953616</v>
      </c>
      <c r="S217" s="686">
        <f t="shared" si="171"/>
        <v>0.56564888732897978</v>
      </c>
      <c r="T217" s="685">
        <f t="shared" si="172"/>
        <v>4.9450768961847151</v>
      </c>
      <c r="U217" s="276">
        <f t="shared" si="173"/>
        <v>4.2243023972763103</v>
      </c>
      <c r="V217" s="276">
        <f t="shared" si="174"/>
        <v>2.1190294667586675</v>
      </c>
      <c r="W217" s="276">
        <f t="shared" si="175"/>
        <v>6.0432878022520757</v>
      </c>
      <c r="X217" s="276">
        <f t="shared" si="176"/>
        <v>4.3200252829595982</v>
      </c>
      <c r="Y217" s="686">
        <f t="shared" si="177"/>
        <v>6.5278841426121881</v>
      </c>
      <c r="Z217" s="685" t="e">
        <f t="shared" si="178"/>
        <v>#DIV/0!</v>
      </c>
      <c r="AA217" s="276" t="e">
        <f t="shared" si="179"/>
        <v>#DIV/0!</v>
      </c>
      <c r="AB217" s="276" t="e">
        <f t="shared" si="180"/>
        <v>#DIV/0!</v>
      </c>
      <c r="AC217" s="276" t="e">
        <f t="shared" si="181"/>
        <v>#DIV/0!</v>
      </c>
      <c r="AD217" s="276" t="e">
        <f t="shared" si="182"/>
        <v>#DIV/0!</v>
      </c>
      <c r="AE217" s="686" t="e">
        <f t="shared" si="183"/>
        <v>#DIV/0!</v>
      </c>
      <c r="AF217" s="239"/>
      <c r="AG217" s="965" t="e">
        <f t="shared" si="154"/>
        <v>#VALUE!</v>
      </c>
      <c r="AH217" s="878" t="e">
        <f t="shared" si="155"/>
        <v>#VALUE!</v>
      </c>
      <c r="AI217" s="878" t="e">
        <f t="shared" si="156"/>
        <v>#VALUE!</v>
      </c>
      <c r="AJ217" s="878" t="e">
        <f t="shared" si="157"/>
        <v>#VALUE!</v>
      </c>
      <c r="AK217" s="878" t="e">
        <f t="shared" si="158"/>
        <v>#VALUE!</v>
      </c>
      <c r="AL217" s="966" t="e">
        <f t="shared" si="159"/>
        <v>#VALUE!</v>
      </c>
      <c r="AM217" s="239"/>
      <c r="AO217" s="685">
        <f t="shared" si="184"/>
        <v>0.86345788719180905</v>
      </c>
      <c r="AP217" s="276">
        <f t="shared" si="185"/>
        <v>-4.3305966746949762</v>
      </c>
      <c r="AQ217" s="276">
        <f t="shared" si="186"/>
        <v>-0.54785111655465035</v>
      </c>
      <c r="AR217" s="276">
        <f t="shared" si="187"/>
        <v>-2.9350927995928604</v>
      </c>
      <c r="AS217" s="276">
        <f t="shared" si="188"/>
        <v>-0.37683307866566307</v>
      </c>
      <c r="AT217" s="276">
        <f t="shared" si="189"/>
        <v>-3.5161654329951402</v>
      </c>
      <c r="AU217" s="685">
        <f t="shared" si="190"/>
        <v>1.0351715776147927</v>
      </c>
      <c r="AV217" s="276">
        <f t="shared" si="191"/>
        <v>1.3020805473315493</v>
      </c>
      <c r="AW217" s="276">
        <f t="shared" si="192"/>
        <v>1.3060280296044631</v>
      </c>
      <c r="AX217" s="276">
        <f t="shared" si="193"/>
        <v>1.0868698538523309</v>
      </c>
      <c r="AY217" s="276">
        <f t="shared" si="194"/>
        <v>1.6217304614953616</v>
      </c>
      <c r="AZ217" s="686">
        <f t="shared" si="195"/>
        <v>0.56564888732897978</v>
      </c>
      <c r="BA217" s="685">
        <f t="shared" si="196"/>
        <v>0</v>
      </c>
      <c r="BB217" s="276">
        <f t="shared" si="197"/>
        <v>0</v>
      </c>
      <c r="BC217" s="276">
        <f t="shared" si="198"/>
        <v>0</v>
      </c>
      <c r="BD217" s="276">
        <f t="shared" si="199"/>
        <v>0</v>
      </c>
      <c r="BE217" s="276">
        <f t="shared" si="200"/>
        <v>0</v>
      </c>
      <c r="BF217" s="686">
        <f t="shared" si="201"/>
        <v>0</v>
      </c>
      <c r="BG217" s="685" t="e">
        <f t="shared" si="202"/>
        <v>#DIV/0!</v>
      </c>
      <c r="BH217" s="276" t="e">
        <f t="shared" si="203"/>
        <v>#DIV/0!</v>
      </c>
      <c r="BI217" s="276" t="e">
        <f t="shared" si="204"/>
        <v>#DIV/0!</v>
      </c>
      <c r="BJ217" s="276" t="e">
        <f t="shared" si="205"/>
        <v>#DIV/0!</v>
      </c>
      <c r="BK217" s="276" t="e">
        <f t="shared" si="206"/>
        <v>#DIV/0!</v>
      </c>
      <c r="BL217" s="686" t="e">
        <f t="shared" si="207"/>
        <v>#DIV/0!</v>
      </c>
      <c r="BM217" s="239"/>
      <c r="BN217" s="965" t="e">
        <f t="shared" si="208"/>
        <v>#VALUE!</v>
      </c>
      <c r="BO217" s="878" t="e">
        <f t="shared" si="209"/>
        <v>#VALUE!</v>
      </c>
      <c r="BP217" s="878" t="e">
        <f t="shared" si="210"/>
        <v>#VALUE!</v>
      </c>
      <c r="BQ217" s="878" t="e">
        <f t="shared" si="211"/>
        <v>#VALUE!</v>
      </c>
      <c r="BR217" s="878" t="e">
        <f t="shared" si="212"/>
        <v>#VALUE!</v>
      </c>
      <c r="BS217" s="966" t="e">
        <f t="shared" si="213"/>
        <v>#VALUE!</v>
      </c>
    </row>
    <row r="218" spans="1:71">
      <c r="A218" s="284">
        <f t="shared" si="214"/>
        <v>150</v>
      </c>
      <c r="B218" s="285">
        <v>0.54366477166620419</v>
      </c>
      <c r="C218" s="285">
        <v>2.5355929769771217</v>
      </c>
      <c r="D218" s="285">
        <v>2.8845181862978237</v>
      </c>
      <c r="E218" s="285">
        <v>-13.31972244927336</v>
      </c>
      <c r="H218" s="685">
        <f t="shared" si="160"/>
        <v>-0.58956907010285065</v>
      </c>
      <c r="I218" s="276">
        <f t="shared" si="161"/>
        <v>-0.76556086079889063</v>
      </c>
      <c r="J218" s="276">
        <f t="shared" si="162"/>
        <v>-3.3744282101324812</v>
      </c>
      <c r="K218" s="276">
        <f t="shared" si="163"/>
        <v>4.8544957859917055</v>
      </c>
      <c r="L218" s="276">
        <f t="shared" si="164"/>
        <v>0.74878984069760901</v>
      </c>
      <c r="M218" s="276">
        <f t="shared" si="165"/>
        <v>-3.1401201164006167</v>
      </c>
      <c r="N218" s="685">
        <f t="shared" si="166"/>
        <v>1.3284217660052533</v>
      </c>
      <c r="O218" s="276">
        <f t="shared" si="167"/>
        <v>1.2513558649089631</v>
      </c>
      <c r="P218" s="276">
        <f t="shared" si="168"/>
        <v>1.5186464087964422</v>
      </c>
      <c r="Q218" s="276">
        <f t="shared" si="169"/>
        <v>1.5952630871964375</v>
      </c>
      <c r="R218" s="276">
        <f t="shared" si="170"/>
        <v>1.3497769363543208</v>
      </c>
      <c r="S218" s="686">
        <f t="shared" si="171"/>
        <v>1.3783501995854535</v>
      </c>
      <c r="T218" s="685">
        <f t="shared" si="172"/>
        <v>6.1628818765687496</v>
      </c>
      <c r="U218" s="276">
        <f t="shared" si="173"/>
        <v>3.9386662269450672</v>
      </c>
      <c r="V218" s="276">
        <f t="shared" si="174"/>
        <v>2.6043141961578753</v>
      </c>
      <c r="W218" s="276">
        <f t="shared" si="175"/>
        <v>6.3046858813044402</v>
      </c>
      <c r="X218" s="276">
        <f t="shared" si="176"/>
        <v>3.7451481903124471</v>
      </c>
      <c r="Y218" s="686">
        <f t="shared" si="177"/>
        <v>5.5606021040615801</v>
      </c>
      <c r="Z218" s="685" t="e">
        <f t="shared" si="178"/>
        <v>#DIV/0!</v>
      </c>
      <c r="AA218" s="276" t="e">
        <f t="shared" si="179"/>
        <v>#DIV/0!</v>
      </c>
      <c r="AB218" s="276" t="e">
        <f t="shared" si="180"/>
        <v>#DIV/0!</v>
      </c>
      <c r="AC218" s="276" t="e">
        <f t="shared" si="181"/>
        <v>#DIV/0!</v>
      </c>
      <c r="AD218" s="276" t="e">
        <f t="shared" si="182"/>
        <v>#DIV/0!</v>
      </c>
      <c r="AE218" s="686" t="e">
        <f t="shared" si="183"/>
        <v>#DIV/0!</v>
      </c>
      <c r="AF218" s="239"/>
      <c r="AG218" s="965" t="e">
        <f t="shared" si="154"/>
        <v>#VALUE!</v>
      </c>
      <c r="AH218" s="878" t="e">
        <f t="shared" si="155"/>
        <v>#VALUE!</v>
      </c>
      <c r="AI218" s="878" t="e">
        <f t="shared" si="156"/>
        <v>#VALUE!</v>
      </c>
      <c r="AJ218" s="878" t="e">
        <f t="shared" si="157"/>
        <v>#VALUE!</v>
      </c>
      <c r="AK218" s="878" t="e">
        <f t="shared" si="158"/>
        <v>#VALUE!</v>
      </c>
      <c r="AL218" s="966" t="e">
        <f t="shared" si="159"/>
        <v>#VALUE!</v>
      </c>
      <c r="AM218" s="239"/>
      <c r="AO218" s="685">
        <f t="shared" si="184"/>
        <v>-0.58956907010285065</v>
      </c>
      <c r="AP218" s="276">
        <f t="shared" si="185"/>
        <v>-0.76556086079889063</v>
      </c>
      <c r="AQ218" s="276">
        <f t="shared" si="186"/>
        <v>-3.3744282101324812</v>
      </c>
      <c r="AR218" s="276">
        <f t="shared" si="187"/>
        <v>4.8544957859917055</v>
      </c>
      <c r="AS218" s="276">
        <f t="shared" si="188"/>
        <v>0.74878984069760901</v>
      </c>
      <c r="AT218" s="276">
        <f t="shared" si="189"/>
        <v>-3.1401201164006167</v>
      </c>
      <c r="AU218" s="685">
        <f t="shared" si="190"/>
        <v>1.3284217660052533</v>
      </c>
      <c r="AV218" s="276">
        <f t="shared" si="191"/>
        <v>1.2513558649089631</v>
      </c>
      <c r="AW218" s="276">
        <f t="shared" si="192"/>
        <v>1.5186464087964422</v>
      </c>
      <c r="AX218" s="276">
        <f t="shared" si="193"/>
        <v>1.5952630871964375</v>
      </c>
      <c r="AY218" s="276">
        <f t="shared" si="194"/>
        <v>1.3497769363543208</v>
      </c>
      <c r="AZ218" s="686">
        <f t="shared" si="195"/>
        <v>1.3783501995854535</v>
      </c>
      <c r="BA218" s="685">
        <f t="shared" si="196"/>
        <v>0</v>
      </c>
      <c r="BB218" s="276">
        <f t="shared" si="197"/>
        <v>0</v>
      </c>
      <c r="BC218" s="276">
        <f t="shared" si="198"/>
        <v>0</v>
      </c>
      <c r="BD218" s="276">
        <f t="shared" si="199"/>
        <v>0</v>
      </c>
      <c r="BE218" s="276">
        <f t="shared" si="200"/>
        <v>0</v>
      </c>
      <c r="BF218" s="686">
        <f t="shared" si="201"/>
        <v>0</v>
      </c>
      <c r="BG218" s="685" t="e">
        <f t="shared" si="202"/>
        <v>#DIV/0!</v>
      </c>
      <c r="BH218" s="276" t="e">
        <f t="shared" si="203"/>
        <v>#DIV/0!</v>
      </c>
      <c r="BI218" s="276" t="e">
        <f t="shared" si="204"/>
        <v>#DIV/0!</v>
      </c>
      <c r="BJ218" s="276" t="e">
        <f t="shared" si="205"/>
        <v>#DIV/0!</v>
      </c>
      <c r="BK218" s="276" t="e">
        <f t="shared" si="206"/>
        <v>#DIV/0!</v>
      </c>
      <c r="BL218" s="686" t="e">
        <f t="shared" si="207"/>
        <v>#DIV/0!</v>
      </c>
      <c r="BM218" s="239"/>
      <c r="BN218" s="965" t="e">
        <f t="shared" si="208"/>
        <v>#VALUE!</v>
      </c>
      <c r="BO218" s="878" t="e">
        <f t="shared" si="209"/>
        <v>#VALUE!</v>
      </c>
      <c r="BP218" s="878" t="e">
        <f t="shared" si="210"/>
        <v>#VALUE!</v>
      </c>
      <c r="BQ218" s="878" t="e">
        <f t="shared" si="211"/>
        <v>#VALUE!</v>
      </c>
      <c r="BR218" s="878" t="e">
        <f t="shared" si="212"/>
        <v>#VALUE!</v>
      </c>
      <c r="BS218" s="966" t="e">
        <f t="shared" si="213"/>
        <v>#VALUE!</v>
      </c>
    </row>
    <row r="219" spans="1:71">
      <c r="A219" s="284">
        <f t="shared" si="214"/>
        <v>151</v>
      </c>
      <c r="B219" s="285">
        <v>-2.5029492031517657</v>
      </c>
      <c r="C219" s="285">
        <v>1.7143691713087823</v>
      </c>
      <c r="D219" s="285">
        <v>0.58676693214043874</v>
      </c>
      <c r="E219" s="285">
        <v>-17.655688936987289</v>
      </c>
      <c r="H219" s="685">
        <f t="shared" si="160"/>
        <v>-3.6361830449208208</v>
      </c>
      <c r="I219" s="276">
        <f t="shared" si="161"/>
        <v>1.1788242486950258</v>
      </c>
      <c r="J219" s="276">
        <f t="shared" si="162"/>
        <v>-2.5569447531167091</v>
      </c>
      <c r="K219" s="276">
        <f t="shared" si="163"/>
        <v>-0.96973266619117726</v>
      </c>
      <c r="L219" s="276">
        <f t="shared" si="164"/>
        <v>-1.0273958481446994</v>
      </c>
      <c r="M219" s="276">
        <f t="shared" si="165"/>
        <v>5.0139665414544572</v>
      </c>
      <c r="N219" s="685">
        <f t="shared" si="166"/>
        <v>0.50719796033691389</v>
      </c>
      <c r="O219" s="276">
        <f t="shared" si="167"/>
        <v>1.3607605005742378</v>
      </c>
      <c r="P219" s="276">
        <f t="shared" si="168"/>
        <v>0.3245586062966499</v>
      </c>
      <c r="Q219" s="276">
        <f t="shared" si="169"/>
        <v>0.89745929300868421</v>
      </c>
      <c r="R219" s="276">
        <f t="shared" si="170"/>
        <v>0.57437352340674397</v>
      </c>
      <c r="S219" s="686">
        <f t="shared" si="171"/>
        <v>1.8660509928744735</v>
      </c>
      <c r="T219" s="685">
        <f t="shared" si="172"/>
        <v>3.8651306224113648</v>
      </c>
      <c r="U219" s="276">
        <f t="shared" si="173"/>
        <v>5.1370206227971122</v>
      </c>
      <c r="V219" s="276">
        <f t="shared" si="174"/>
        <v>5.2528022167268187</v>
      </c>
      <c r="W219" s="276">
        <f t="shared" si="175"/>
        <v>4.8022537105074523</v>
      </c>
      <c r="X219" s="276">
        <f t="shared" si="176"/>
        <v>6.9795497007968752</v>
      </c>
      <c r="Y219" s="686">
        <f t="shared" si="177"/>
        <v>5.0857290040662457</v>
      </c>
      <c r="Z219" s="685" t="e">
        <f t="shared" si="178"/>
        <v>#DIV/0!</v>
      </c>
      <c r="AA219" s="276" t="e">
        <f t="shared" si="179"/>
        <v>#DIV/0!</v>
      </c>
      <c r="AB219" s="276" t="e">
        <f t="shared" si="180"/>
        <v>#DIV/0!</v>
      </c>
      <c r="AC219" s="276" t="e">
        <f t="shared" si="181"/>
        <v>#DIV/0!</v>
      </c>
      <c r="AD219" s="276" t="e">
        <f t="shared" si="182"/>
        <v>#DIV/0!</v>
      </c>
      <c r="AE219" s="686" t="e">
        <f t="shared" si="183"/>
        <v>#DIV/0!</v>
      </c>
      <c r="AF219" s="239"/>
      <c r="AG219" s="965" t="e">
        <f t="shared" si="154"/>
        <v>#VALUE!</v>
      </c>
      <c r="AH219" s="878" t="e">
        <f t="shared" si="155"/>
        <v>#VALUE!</v>
      </c>
      <c r="AI219" s="878" t="e">
        <f t="shared" si="156"/>
        <v>#VALUE!</v>
      </c>
      <c r="AJ219" s="878" t="e">
        <f t="shared" si="157"/>
        <v>#VALUE!</v>
      </c>
      <c r="AK219" s="878" t="e">
        <f t="shared" si="158"/>
        <v>#VALUE!</v>
      </c>
      <c r="AL219" s="966" t="e">
        <f t="shared" si="159"/>
        <v>#VALUE!</v>
      </c>
      <c r="AM219" s="239"/>
      <c r="AO219" s="685">
        <f t="shared" si="184"/>
        <v>-3.6361830449208208</v>
      </c>
      <c r="AP219" s="276">
        <f t="shared" si="185"/>
        <v>1.1788242486950258</v>
      </c>
      <c r="AQ219" s="276">
        <f t="shared" si="186"/>
        <v>-2.5569447531167091</v>
      </c>
      <c r="AR219" s="276">
        <f t="shared" si="187"/>
        <v>-0.96973266619117726</v>
      </c>
      <c r="AS219" s="276">
        <f t="shared" si="188"/>
        <v>-1.0273958481446994</v>
      </c>
      <c r="AT219" s="276">
        <f t="shared" si="189"/>
        <v>5.0139665414544572</v>
      </c>
      <c r="AU219" s="685">
        <f t="shared" si="190"/>
        <v>0.50719796033691389</v>
      </c>
      <c r="AV219" s="276">
        <f t="shared" si="191"/>
        <v>1.3607605005742378</v>
      </c>
      <c r="AW219" s="276">
        <f t="shared" si="192"/>
        <v>0.3245586062966499</v>
      </c>
      <c r="AX219" s="276">
        <f t="shared" si="193"/>
        <v>0.89745929300868421</v>
      </c>
      <c r="AY219" s="276">
        <f t="shared" si="194"/>
        <v>0.57437352340674397</v>
      </c>
      <c r="AZ219" s="686">
        <f t="shared" si="195"/>
        <v>1.8660509928744735</v>
      </c>
      <c r="BA219" s="685">
        <f t="shared" si="196"/>
        <v>0</v>
      </c>
      <c r="BB219" s="276">
        <f t="shared" si="197"/>
        <v>0</v>
      </c>
      <c r="BC219" s="276">
        <f t="shared" si="198"/>
        <v>0</v>
      </c>
      <c r="BD219" s="276">
        <f t="shared" si="199"/>
        <v>0</v>
      </c>
      <c r="BE219" s="276">
        <f t="shared" si="200"/>
        <v>0</v>
      </c>
      <c r="BF219" s="686">
        <f t="shared" si="201"/>
        <v>0</v>
      </c>
      <c r="BG219" s="685" t="e">
        <f t="shared" si="202"/>
        <v>#DIV/0!</v>
      </c>
      <c r="BH219" s="276" t="e">
        <f t="shared" si="203"/>
        <v>#DIV/0!</v>
      </c>
      <c r="BI219" s="276" t="e">
        <f t="shared" si="204"/>
        <v>#DIV/0!</v>
      </c>
      <c r="BJ219" s="276" t="e">
        <f t="shared" si="205"/>
        <v>#DIV/0!</v>
      </c>
      <c r="BK219" s="276" t="e">
        <f t="shared" si="206"/>
        <v>#DIV/0!</v>
      </c>
      <c r="BL219" s="686" t="e">
        <f t="shared" si="207"/>
        <v>#DIV/0!</v>
      </c>
      <c r="BM219" s="239"/>
      <c r="BN219" s="965" t="e">
        <f t="shared" si="208"/>
        <v>#VALUE!</v>
      </c>
      <c r="BO219" s="878" t="e">
        <f t="shared" si="209"/>
        <v>#VALUE!</v>
      </c>
      <c r="BP219" s="878" t="e">
        <f t="shared" si="210"/>
        <v>#VALUE!</v>
      </c>
      <c r="BQ219" s="878" t="e">
        <f t="shared" si="211"/>
        <v>#VALUE!</v>
      </c>
      <c r="BR219" s="878" t="e">
        <f t="shared" si="212"/>
        <v>#VALUE!</v>
      </c>
      <c r="BS219" s="966" t="e">
        <f t="shared" si="213"/>
        <v>#VALUE!</v>
      </c>
    </row>
    <row r="220" spans="1:71">
      <c r="A220" s="284">
        <f t="shared" si="214"/>
        <v>152</v>
      </c>
      <c r="B220" s="285">
        <v>-2.810166812717493</v>
      </c>
      <c r="C220" s="285">
        <v>3.1541429716054799</v>
      </c>
      <c r="D220" s="285">
        <v>-1.0933886436779066</v>
      </c>
      <c r="E220" s="285">
        <v>17.116415366375346</v>
      </c>
      <c r="H220" s="685">
        <f t="shared" si="160"/>
        <v>-3.9434006544865481</v>
      </c>
      <c r="I220" s="276">
        <f t="shared" si="161"/>
        <v>2.0836381860427755</v>
      </c>
      <c r="J220" s="276">
        <f t="shared" si="162"/>
        <v>-2.168205039904362</v>
      </c>
      <c r="K220" s="276">
        <f t="shared" si="163"/>
        <v>0.34886278931235304</v>
      </c>
      <c r="L220" s="276">
        <f t="shared" si="164"/>
        <v>-2.0376167197550532</v>
      </c>
      <c r="M220" s="276">
        <f t="shared" si="165"/>
        <v>-6.1848665899628132</v>
      </c>
      <c r="N220" s="685">
        <f t="shared" si="166"/>
        <v>1.9469717606336114</v>
      </c>
      <c r="O220" s="276">
        <f t="shared" si="167"/>
        <v>1.3913038024139681</v>
      </c>
      <c r="P220" s="276">
        <f t="shared" si="168"/>
        <v>0.42108530721519322</v>
      </c>
      <c r="Q220" s="276">
        <f t="shared" si="169"/>
        <v>0.96209768853300326</v>
      </c>
      <c r="R220" s="276">
        <f t="shared" si="170"/>
        <v>1.1377858912190251</v>
      </c>
      <c r="S220" s="686">
        <f t="shared" si="171"/>
        <v>0.5710406960694876</v>
      </c>
      <c r="T220" s="685">
        <f t="shared" si="172"/>
        <v>2.1849750465930193</v>
      </c>
      <c r="U220" s="276">
        <f t="shared" si="173"/>
        <v>6.2234467860507809</v>
      </c>
      <c r="V220" s="276">
        <f t="shared" si="174"/>
        <v>6.4075303561452976</v>
      </c>
      <c r="W220" s="276">
        <f t="shared" si="175"/>
        <v>4.7408569279991806</v>
      </c>
      <c r="X220" s="276">
        <f t="shared" si="176"/>
        <v>5.1738718769569285</v>
      </c>
      <c r="Y220" s="686">
        <f t="shared" si="177"/>
        <v>1.7863218436166441</v>
      </c>
      <c r="Z220" s="685" t="e">
        <f t="shared" si="178"/>
        <v>#DIV/0!</v>
      </c>
      <c r="AA220" s="276" t="e">
        <f t="shared" si="179"/>
        <v>#DIV/0!</v>
      </c>
      <c r="AB220" s="276" t="e">
        <f t="shared" si="180"/>
        <v>#DIV/0!</v>
      </c>
      <c r="AC220" s="276" t="e">
        <f t="shared" si="181"/>
        <v>#DIV/0!</v>
      </c>
      <c r="AD220" s="276" t="e">
        <f t="shared" si="182"/>
        <v>#DIV/0!</v>
      </c>
      <c r="AE220" s="686" t="e">
        <f t="shared" si="183"/>
        <v>#DIV/0!</v>
      </c>
      <c r="AF220" s="239"/>
      <c r="AG220" s="965" t="e">
        <f t="shared" si="154"/>
        <v>#VALUE!</v>
      </c>
      <c r="AH220" s="878" t="e">
        <f t="shared" si="155"/>
        <v>#VALUE!</v>
      </c>
      <c r="AI220" s="878" t="e">
        <f t="shared" si="156"/>
        <v>#VALUE!</v>
      </c>
      <c r="AJ220" s="878" t="e">
        <f t="shared" si="157"/>
        <v>#VALUE!</v>
      </c>
      <c r="AK220" s="878" t="e">
        <f t="shared" si="158"/>
        <v>#VALUE!</v>
      </c>
      <c r="AL220" s="966" t="e">
        <f t="shared" si="159"/>
        <v>#VALUE!</v>
      </c>
      <c r="AM220" s="239"/>
      <c r="AO220" s="685">
        <f t="shared" si="184"/>
        <v>-3.9434006544865481</v>
      </c>
      <c r="AP220" s="276">
        <f t="shared" si="185"/>
        <v>2.0836381860427755</v>
      </c>
      <c r="AQ220" s="276">
        <f t="shared" si="186"/>
        <v>-2.168205039904362</v>
      </c>
      <c r="AR220" s="276">
        <f t="shared" si="187"/>
        <v>0.34886278931235304</v>
      </c>
      <c r="AS220" s="276">
        <f t="shared" si="188"/>
        <v>-2.0376167197550532</v>
      </c>
      <c r="AT220" s="276">
        <f t="shared" si="189"/>
        <v>-6.1848665899628132</v>
      </c>
      <c r="AU220" s="685">
        <f t="shared" si="190"/>
        <v>1.9469717606336114</v>
      </c>
      <c r="AV220" s="276">
        <f t="shared" si="191"/>
        <v>1.3913038024139681</v>
      </c>
      <c r="AW220" s="276">
        <f t="shared" si="192"/>
        <v>0.42108530721519322</v>
      </c>
      <c r="AX220" s="276">
        <f t="shared" si="193"/>
        <v>0.96209768853300326</v>
      </c>
      <c r="AY220" s="276">
        <f t="shared" si="194"/>
        <v>1.1377858912190251</v>
      </c>
      <c r="AZ220" s="686">
        <f t="shared" si="195"/>
        <v>0.5710406960694876</v>
      </c>
      <c r="BA220" s="685">
        <f t="shared" si="196"/>
        <v>0</v>
      </c>
      <c r="BB220" s="276">
        <f t="shared" si="197"/>
        <v>0</v>
      </c>
      <c r="BC220" s="276">
        <f t="shared" si="198"/>
        <v>0</v>
      </c>
      <c r="BD220" s="276">
        <f t="shared" si="199"/>
        <v>0</v>
      </c>
      <c r="BE220" s="276">
        <f t="shared" si="200"/>
        <v>0</v>
      </c>
      <c r="BF220" s="686">
        <f t="shared" si="201"/>
        <v>0</v>
      </c>
      <c r="BG220" s="685" t="e">
        <f t="shared" si="202"/>
        <v>#DIV/0!</v>
      </c>
      <c r="BH220" s="276" t="e">
        <f t="shared" si="203"/>
        <v>#DIV/0!</v>
      </c>
      <c r="BI220" s="276" t="e">
        <f t="shared" si="204"/>
        <v>#DIV/0!</v>
      </c>
      <c r="BJ220" s="276" t="e">
        <f t="shared" si="205"/>
        <v>#DIV/0!</v>
      </c>
      <c r="BK220" s="276" t="e">
        <f t="shared" si="206"/>
        <v>#DIV/0!</v>
      </c>
      <c r="BL220" s="686" t="e">
        <f t="shared" si="207"/>
        <v>#DIV/0!</v>
      </c>
      <c r="BM220" s="239"/>
      <c r="BN220" s="965" t="e">
        <f t="shared" si="208"/>
        <v>#VALUE!</v>
      </c>
      <c r="BO220" s="878" t="e">
        <f t="shared" si="209"/>
        <v>#VALUE!</v>
      </c>
      <c r="BP220" s="878" t="e">
        <f t="shared" si="210"/>
        <v>#VALUE!</v>
      </c>
      <c r="BQ220" s="878" t="e">
        <f t="shared" si="211"/>
        <v>#VALUE!</v>
      </c>
      <c r="BR220" s="878" t="e">
        <f t="shared" si="212"/>
        <v>#VALUE!</v>
      </c>
      <c r="BS220" s="966" t="e">
        <f t="shared" si="213"/>
        <v>#VALUE!</v>
      </c>
    </row>
    <row r="221" spans="1:71">
      <c r="A221" s="284">
        <f t="shared" si="214"/>
        <v>153</v>
      </c>
      <c r="B221" s="285">
        <v>3.4221697767341004</v>
      </c>
      <c r="C221" s="285">
        <v>3.5325735889607452</v>
      </c>
      <c r="D221" s="285">
        <v>0.43010539159508754</v>
      </c>
      <c r="E221" s="285">
        <v>7.6430187606272639</v>
      </c>
      <c r="H221" s="685">
        <f t="shared" si="160"/>
        <v>2.2889359349650453</v>
      </c>
      <c r="I221" s="276">
        <f t="shared" si="161"/>
        <v>-1.5065345004595456</v>
      </c>
      <c r="J221" s="276">
        <f t="shared" si="162"/>
        <v>1.4892336162511481</v>
      </c>
      <c r="K221" s="276">
        <f t="shared" si="163"/>
        <v>1.6202090113191894</v>
      </c>
      <c r="L221" s="276">
        <f t="shared" si="164"/>
        <v>-0.8721025014713556</v>
      </c>
      <c r="M221" s="276">
        <f t="shared" si="165"/>
        <v>-0.47359323423913446</v>
      </c>
      <c r="N221" s="685">
        <f t="shared" si="166"/>
        <v>2.3254023779888771</v>
      </c>
      <c r="O221" s="276">
        <f t="shared" si="167"/>
        <v>0.4467814798783929</v>
      </c>
      <c r="P221" s="276">
        <f t="shared" si="168"/>
        <v>1.6906976257723623</v>
      </c>
      <c r="Q221" s="276">
        <f t="shared" si="169"/>
        <v>1.5559521556328491</v>
      </c>
      <c r="R221" s="276">
        <f t="shared" si="170"/>
        <v>0.8559753998775872</v>
      </c>
      <c r="S221" s="686">
        <f t="shared" si="171"/>
        <v>1.1751750809172716</v>
      </c>
      <c r="T221" s="685">
        <f t="shared" si="172"/>
        <v>3.7084690818660135</v>
      </c>
      <c r="U221" s="276">
        <f t="shared" si="173"/>
        <v>4.7988911482438112</v>
      </c>
      <c r="V221" s="276">
        <f t="shared" si="174"/>
        <v>5.5482548823417357</v>
      </c>
      <c r="W221" s="276">
        <f t="shared" si="175"/>
        <v>3.2648721567182819</v>
      </c>
      <c r="X221" s="276">
        <f t="shared" si="176"/>
        <v>5.8296348310494519</v>
      </c>
      <c r="Y221" s="686">
        <f t="shared" si="177"/>
        <v>4.8685885253536654</v>
      </c>
      <c r="Z221" s="685" t="e">
        <f t="shared" si="178"/>
        <v>#DIV/0!</v>
      </c>
      <c r="AA221" s="276" t="e">
        <f t="shared" si="179"/>
        <v>#DIV/0!</v>
      </c>
      <c r="AB221" s="276" t="e">
        <f t="shared" si="180"/>
        <v>#DIV/0!</v>
      </c>
      <c r="AC221" s="276" t="e">
        <f t="shared" si="181"/>
        <v>#DIV/0!</v>
      </c>
      <c r="AD221" s="276" t="e">
        <f t="shared" si="182"/>
        <v>#DIV/0!</v>
      </c>
      <c r="AE221" s="686" t="e">
        <f t="shared" si="183"/>
        <v>#DIV/0!</v>
      </c>
      <c r="AF221" s="239"/>
      <c r="AG221" s="965" t="e">
        <f t="shared" si="154"/>
        <v>#VALUE!</v>
      </c>
      <c r="AH221" s="878" t="e">
        <f t="shared" si="155"/>
        <v>#VALUE!</v>
      </c>
      <c r="AI221" s="878" t="e">
        <f t="shared" si="156"/>
        <v>#VALUE!</v>
      </c>
      <c r="AJ221" s="878" t="e">
        <f t="shared" si="157"/>
        <v>#VALUE!</v>
      </c>
      <c r="AK221" s="878" t="e">
        <f t="shared" si="158"/>
        <v>#VALUE!</v>
      </c>
      <c r="AL221" s="966" t="e">
        <f t="shared" si="159"/>
        <v>#VALUE!</v>
      </c>
      <c r="AM221" s="239"/>
      <c r="AO221" s="685">
        <f t="shared" si="184"/>
        <v>2.2889359349650453</v>
      </c>
      <c r="AP221" s="276">
        <f t="shared" si="185"/>
        <v>-1.5065345004595456</v>
      </c>
      <c r="AQ221" s="276">
        <f t="shared" si="186"/>
        <v>1.4892336162511481</v>
      </c>
      <c r="AR221" s="276">
        <f t="shared" si="187"/>
        <v>1.6202090113191894</v>
      </c>
      <c r="AS221" s="276">
        <f t="shared" si="188"/>
        <v>-0.8721025014713556</v>
      </c>
      <c r="AT221" s="276">
        <f t="shared" si="189"/>
        <v>-0.47359323423913446</v>
      </c>
      <c r="AU221" s="685">
        <f t="shared" si="190"/>
        <v>2.3254023779888771</v>
      </c>
      <c r="AV221" s="276">
        <f t="shared" si="191"/>
        <v>0.4467814798783929</v>
      </c>
      <c r="AW221" s="276">
        <f t="shared" si="192"/>
        <v>1.6906976257723623</v>
      </c>
      <c r="AX221" s="276">
        <f t="shared" si="193"/>
        <v>1.5559521556328491</v>
      </c>
      <c r="AY221" s="276">
        <f t="shared" si="194"/>
        <v>0.8559753998775872</v>
      </c>
      <c r="AZ221" s="686">
        <f t="shared" si="195"/>
        <v>1.1751750809172716</v>
      </c>
      <c r="BA221" s="685">
        <f t="shared" si="196"/>
        <v>0</v>
      </c>
      <c r="BB221" s="276">
        <f t="shared" si="197"/>
        <v>0</v>
      </c>
      <c r="BC221" s="276">
        <f t="shared" si="198"/>
        <v>0</v>
      </c>
      <c r="BD221" s="276">
        <f t="shared" si="199"/>
        <v>0</v>
      </c>
      <c r="BE221" s="276">
        <f t="shared" si="200"/>
        <v>0</v>
      </c>
      <c r="BF221" s="686">
        <f t="shared" si="201"/>
        <v>0</v>
      </c>
      <c r="BG221" s="685" t="e">
        <f t="shared" si="202"/>
        <v>#DIV/0!</v>
      </c>
      <c r="BH221" s="276" t="e">
        <f t="shared" si="203"/>
        <v>#DIV/0!</v>
      </c>
      <c r="BI221" s="276" t="e">
        <f t="shared" si="204"/>
        <v>#DIV/0!</v>
      </c>
      <c r="BJ221" s="276" t="e">
        <f t="shared" si="205"/>
        <v>#DIV/0!</v>
      </c>
      <c r="BK221" s="276" t="e">
        <f t="shared" si="206"/>
        <v>#DIV/0!</v>
      </c>
      <c r="BL221" s="686" t="e">
        <f t="shared" si="207"/>
        <v>#DIV/0!</v>
      </c>
      <c r="BM221" s="239"/>
      <c r="BN221" s="965" t="e">
        <f t="shared" si="208"/>
        <v>#VALUE!</v>
      </c>
      <c r="BO221" s="878" t="e">
        <f t="shared" si="209"/>
        <v>#VALUE!</v>
      </c>
      <c r="BP221" s="878" t="e">
        <f t="shared" si="210"/>
        <v>#VALUE!</v>
      </c>
      <c r="BQ221" s="878" t="e">
        <f t="shared" si="211"/>
        <v>#VALUE!</v>
      </c>
      <c r="BR221" s="878" t="e">
        <f t="shared" si="212"/>
        <v>#VALUE!</v>
      </c>
      <c r="BS221" s="966" t="e">
        <f t="shared" si="213"/>
        <v>#VALUE!</v>
      </c>
    </row>
    <row r="222" spans="1:71">
      <c r="A222" s="284">
        <f t="shared" si="214"/>
        <v>154</v>
      </c>
      <c r="B222" s="285">
        <v>-4.0546446382564572</v>
      </c>
      <c r="C222" s="285">
        <v>2.8839686448099577</v>
      </c>
      <c r="D222" s="285">
        <v>-0.49214513082465139</v>
      </c>
      <c r="E222" s="285">
        <v>13.573335761025561</v>
      </c>
      <c r="H222" s="685">
        <f t="shared" si="160"/>
        <v>-5.1878784800255122</v>
      </c>
      <c r="I222" s="276">
        <f t="shared" si="161"/>
        <v>0.99585015742816263</v>
      </c>
      <c r="J222" s="276">
        <f t="shared" si="162"/>
        <v>0.44257286982553157</v>
      </c>
      <c r="K222" s="276">
        <f t="shared" si="163"/>
        <v>0.95026029244084342</v>
      </c>
      <c r="L222" s="276">
        <f t="shared" si="164"/>
        <v>-1.1067466026859356</v>
      </c>
      <c r="M222" s="276">
        <f t="shared" si="165"/>
        <v>1.3473915542817532</v>
      </c>
      <c r="N222" s="685">
        <f t="shared" si="166"/>
        <v>1.6767974338380893</v>
      </c>
      <c r="O222" s="276">
        <f t="shared" si="167"/>
        <v>2.4755368974247416</v>
      </c>
      <c r="P222" s="276">
        <f t="shared" si="168"/>
        <v>1.1479278414199541</v>
      </c>
      <c r="Q222" s="276">
        <f t="shared" si="169"/>
        <v>1.4981756592155768</v>
      </c>
      <c r="R222" s="276">
        <f t="shared" si="170"/>
        <v>1.2652017336552397</v>
      </c>
      <c r="S222" s="686">
        <f t="shared" si="171"/>
        <v>1.544149523729309</v>
      </c>
      <c r="T222" s="685">
        <f t="shared" si="172"/>
        <v>2.7862185594462745</v>
      </c>
      <c r="U222" s="276">
        <f t="shared" si="173"/>
        <v>2.75042656657289</v>
      </c>
      <c r="V222" s="276">
        <f t="shared" si="174"/>
        <v>5.2806784922197334</v>
      </c>
      <c r="W222" s="276">
        <f t="shared" si="175"/>
        <v>4.9567153681656499</v>
      </c>
      <c r="X222" s="276">
        <f t="shared" si="176"/>
        <v>5.6884122597704856</v>
      </c>
      <c r="Y222" s="686">
        <f t="shared" si="177"/>
        <v>5.1479557907050602</v>
      </c>
      <c r="Z222" s="685" t="e">
        <f t="shared" si="178"/>
        <v>#DIV/0!</v>
      </c>
      <c r="AA222" s="276" t="e">
        <f t="shared" si="179"/>
        <v>#DIV/0!</v>
      </c>
      <c r="AB222" s="276" t="e">
        <f t="shared" si="180"/>
        <v>#DIV/0!</v>
      </c>
      <c r="AC222" s="276" t="e">
        <f t="shared" si="181"/>
        <v>#DIV/0!</v>
      </c>
      <c r="AD222" s="276" t="e">
        <f t="shared" si="182"/>
        <v>#DIV/0!</v>
      </c>
      <c r="AE222" s="686" t="e">
        <f t="shared" si="183"/>
        <v>#DIV/0!</v>
      </c>
      <c r="AF222" s="239"/>
      <c r="AG222" s="965" t="e">
        <f t="shared" si="154"/>
        <v>#VALUE!</v>
      </c>
      <c r="AH222" s="878" t="e">
        <f t="shared" si="155"/>
        <v>#VALUE!</v>
      </c>
      <c r="AI222" s="878" t="e">
        <f t="shared" si="156"/>
        <v>#VALUE!</v>
      </c>
      <c r="AJ222" s="878" t="e">
        <f t="shared" si="157"/>
        <v>#VALUE!</v>
      </c>
      <c r="AK222" s="878" t="e">
        <f t="shared" si="158"/>
        <v>#VALUE!</v>
      </c>
      <c r="AL222" s="966" t="e">
        <f t="shared" si="159"/>
        <v>#VALUE!</v>
      </c>
      <c r="AM222" s="239"/>
      <c r="AO222" s="685">
        <f t="shared" si="184"/>
        <v>-5.1878784800255122</v>
      </c>
      <c r="AP222" s="276">
        <f t="shared" si="185"/>
        <v>0.99585015742816263</v>
      </c>
      <c r="AQ222" s="276">
        <f t="shared" si="186"/>
        <v>0.44257286982553157</v>
      </c>
      <c r="AR222" s="276">
        <f t="shared" si="187"/>
        <v>0.95026029244084342</v>
      </c>
      <c r="AS222" s="276">
        <f t="shared" si="188"/>
        <v>-1.1067466026859356</v>
      </c>
      <c r="AT222" s="276">
        <f t="shared" si="189"/>
        <v>1.3473915542817532</v>
      </c>
      <c r="AU222" s="685">
        <f t="shared" si="190"/>
        <v>1.6767974338380893</v>
      </c>
      <c r="AV222" s="276">
        <f t="shared" si="191"/>
        <v>2.4755368974247416</v>
      </c>
      <c r="AW222" s="276">
        <f t="shared" si="192"/>
        <v>1.1479278414199541</v>
      </c>
      <c r="AX222" s="276">
        <f t="shared" si="193"/>
        <v>1.4981756592155768</v>
      </c>
      <c r="AY222" s="276">
        <f t="shared" si="194"/>
        <v>1.2652017336552397</v>
      </c>
      <c r="AZ222" s="686">
        <f t="shared" si="195"/>
        <v>1.544149523729309</v>
      </c>
      <c r="BA222" s="685">
        <f t="shared" si="196"/>
        <v>0</v>
      </c>
      <c r="BB222" s="276">
        <f t="shared" si="197"/>
        <v>0</v>
      </c>
      <c r="BC222" s="276">
        <f t="shared" si="198"/>
        <v>0</v>
      </c>
      <c r="BD222" s="276">
        <f t="shared" si="199"/>
        <v>0</v>
      </c>
      <c r="BE222" s="276">
        <f t="shared" si="200"/>
        <v>0</v>
      </c>
      <c r="BF222" s="686">
        <f t="shared" si="201"/>
        <v>0</v>
      </c>
      <c r="BG222" s="685" t="e">
        <f t="shared" si="202"/>
        <v>#DIV/0!</v>
      </c>
      <c r="BH222" s="276" t="e">
        <f t="shared" si="203"/>
        <v>#DIV/0!</v>
      </c>
      <c r="BI222" s="276" t="e">
        <f t="shared" si="204"/>
        <v>#DIV/0!</v>
      </c>
      <c r="BJ222" s="276" t="e">
        <f t="shared" si="205"/>
        <v>#DIV/0!</v>
      </c>
      <c r="BK222" s="276" t="e">
        <f t="shared" si="206"/>
        <v>#DIV/0!</v>
      </c>
      <c r="BL222" s="686" t="e">
        <f t="shared" si="207"/>
        <v>#DIV/0!</v>
      </c>
      <c r="BM222" s="239"/>
      <c r="BN222" s="965" t="e">
        <f t="shared" si="208"/>
        <v>#VALUE!</v>
      </c>
      <c r="BO222" s="878" t="e">
        <f t="shared" si="209"/>
        <v>#VALUE!</v>
      </c>
      <c r="BP222" s="878" t="e">
        <f t="shared" si="210"/>
        <v>#VALUE!</v>
      </c>
      <c r="BQ222" s="878" t="e">
        <f t="shared" si="211"/>
        <v>#VALUE!</v>
      </c>
      <c r="BR222" s="878" t="e">
        <f t="shared" si="212"/>
        <v>#VALUE!</v>
      </c>
      <c r="BS222" s="966" t="e">
        <f t="shared" si="213"/>
        <v>#VALUE!</v>
      </c>
    </row>
    <row r="223" spans="1:71">
      <c r="A223" s="284">
        <f t="shared" si="214"/>
        <v>155</v>
      </c>
      <c r="B223" s="285">
        <v>2.163929661267896</v>
      </c>
      <c r="C223" s="285">
        <v>2.72007669103139</v>
      </c>
      <c r="D223" s="285">
        <v>0.94375020568754109</v>
      </c>
      <c r="E223" s="285">
        <v>-6.3185487561635503</v>
      </c>
      <c r="H223" s="685">
        <f t="shared" si="160"/>
        <v>1.0306958194988411</v>
      </c>
      <c r="I223" s="276">
        <f t="shared" si="161"/>
        <v>-2.2205476277772149</v>
      </c>
      <c r="J223" s="276">
        <f t="shared" si="162"/>
        <v>0.23462412648191222</v>
      </c>
      <c r="K223" s="276">
        <f t="shared" si="163"/>
        <v>-2.4590294930686136</v>
      </c>
      <c r="L223" s="276">
        <f t="shared" si="164"/>
        <v>-3.5625516620337141</v>
      </c>
      <c r="M223" s="276">
        <f t="shared" si="165"/>
        <v>1.3841344957029806</v>
      </c>
      <c r="N223" s="685">
        <f t="shared" si="166"/>
        <v>1.5129054800595216</v>
      </c>
      <c r="O223" s="276">
        <f t="shared" si="167"/>
        <v>1.8317483607560783</v>
      </c>
      <c r="P223" s="276">
        <f t="shared" si="168"/>
        <v>1.5133002497266344</v>
      </c>
      <c r="Q223" s="276">
        <f t="shared" si="169"/>
        <v>1.1937665576035175</v>
      </c>
      <c r="R223" s="276">
        <f t="shared" si="170"/>
        <v>0.85564802379142635</v>
      </c>
      <c r="S223" s="686">
        <f t="shared" si="171"/>
        <v>0.81517331780754154</v>
      </c>
      <c r="T223" s="685">
        <f t="shared" si="172"/>
        <v>4.2221138959584668</v>
      </c>
      <c r="U223" s="276">
        <f t="shared" si="173"/>
        <v>5.6345849075994163</v>
      </c>
      <c r="V223" s="276">
        <f t="shared" si="174"/>
        <v>5.1146704634409916</v>
      </c>
      <c r="W223" s="276">
        <f t="shared" si="175"/>
        <v>4.0351924661610941</v>
      </c>
      <c r="X223" s="276">
        <f t="shared" si="176"/>
        <v>3.6551255188658924</v>
      </c>
      <c r="Y223" s="686">
        <f t="shared" si="177"/>
        <v>4.398722835991709</v>
      </c>
      <c r="Z223" s="685" t="e">
        <f t="shared" si="178"/>
        <v>#DIV/0!</v>
      </c>
      <c r="AA223" s="276" t="e">
        <f t="shared" si="179"/>
        <v>#DIV/0!</v>
      </c>
      <c r="AB223" s="276" t="e">
        <f t="shared" si="180"/>
        <v>#DIV/0!</v>
      </c>
      <c r="AC223" s="276" t="e">
        <f t="shared" si="181"/>
        <v>#DIV/0!</v>
      </c>
      <c r="AD223" s="276" t="e">
        <f t="shared" si="182"/>
        <v>#DIV/0!</v>
      </c>
      <c r="AE223" s="686" t="e">
        <f t="shared" si="183"/>
        <v>#DIV/0!</v>
      </c>
      <c r="AF223" s="239"/>
      <c r="AG223" s="965" t="e">
        <f t="shared" si="154"/>
        <v>#VALUE!</v>
      </c>
      <c r="AH223" s="878" t="e">
        <f t="shared" si="155"/>
        <v>#VALUE!</v>
      </c>
      <c r="AI223" s="878" t="e">
        <f t="shared" si="156"/>
        <v>#VALUE!</v>
      </c>
      <c r="AJ223" s="878" t="e">
        <f t="shared" si="157"/>
        <v>#VALUE!</v>
      </c>
      <c r="AK223" s="878" t="e">
        <f t="shared" si="158"/>
        <v>#VALUE!</v>
      </c>
      <c r="AL223" s="966" t="e">
        <f t="shared" si="159"/>
        <v>#VALUE!</v>
      </c>
      <c r="AM223" s="239"/>
      <c r="AO223" s="685">
        <f t="shared" si="184"/>
        <v>1.0306958194988411</v>
      </c>
      <c r="AP223" s="276">
        <f t="shared" si="185"/>
        <v>-2.2205476277772149</v>
      </c>
      <c r="AQ223" s="276">
        <f t="shared" si="186"/>
        <v>0.23462412648191222</v>
      </c>
      <c r="AR223" s="276">
        <f t="shared" si="187"/>
        <v>-2.4590294930686136</v>
      </c>
      <c r="AS223" s="276">
        <f t="shared" si="188"/>
        <v>-3.5625516620337141</v>
      </c>
      <c r="AT223" s="276">
        <f t="shared" si="189"/>
        <v>1.3841344957029806</v>
      </c>
      <c r="AU223" s="685">
        <f t="shared" si="190"/>
        <v>1.5129054800595216</v>
      </c>
      <c r="AV223" s="276">
        <f t="shared" si="191"/>
        <v>1.8317483607560783</v>
      </c>
      <c r="AW223" s="276">
        <f t="shared" si="192"/>
        <v>1.5133002497266344</v>
      </c>
      <c r="AX223" s="276">
        <f t="shared" si="193"/>
        <v>1.1937665576035175</v>
      </c>
      <c r="AY223" s="276">
        <f t="shared" si="194"/>
        <v>0.85564802379142635</v>
      </c>
      <c r="AZ223" s="686">
        <f t="shared" si="195"/>
        <v>0.81517331780754154</v>
      </c>
      <c r="BA223" s="685">
        <f t="shared" si="196"/>
        <v>0</v>
      </c>
      <c r="BB223" s="276">
        <f t="shared" si="197"/>
        <v>0</v>
      </c>
      <c r="BC223" s="276">
        <f t="shared" si="198"/>
        <v>0</v>
      </c>
      <c r="BD223" s="276">
        <f t="shared" si="199"/>
        <v>0</v>
      </c>
      <c r="BE223" s="276">
        <f t="shared" si="200"/>
        <v>0</v>
      </c>
      <c r="BF223" s="686">
        <f t="shared" si="201"/>
        <v>0</v>
      </c>
      <c r="BG223" s="685" t="e">
        <f t="shared" si="202"/>
        <v>#DIV/0!</v>
      </c>
      <c r="BH223" s="276" t="e">
        <f t="shared" si="203"/>
        <v>#DIV/0!</v>
      </c>
      <c r="BI223" s="276" t="e">
        <f t="shared" si="204"/>
        <v>#DIV/0!</v>
      </c>
      <c r="BJ223" s="276" t="e">
        <f t="shared" si="205"/>
        <v>#DIV/0!</v>
      </c>
      <c r="BK223" s="276" t="e">
        <f t="shared" si="206"/>
        <v>#DIV/0!</v>
      </c>
      <c r="BL223" s="686" t="e">
        <f t="shared" si="207"/>
        <v>#DIV/0!</v>
      </c>
      <c r="BM223" s="239"/>
      <c r="BN223" s="965" t="e">
        <f t="shared" si="208"/>
        <v>#VALUE!</v>
      </c>
      <c r="BO223" s="878" t="e">
        <f t="shared" si="209"/>
        <v>#VALUE!</v>
      </c>
      <c r="BP223" s="878" t="e">
        <f t="shared" si="210"/>
        <v>#VALUE!</v>
      </c>
      <c r="BQ223" s="878" t="e">
        <f t="shared" si="211"/>
        <v>#VALUE!</v>
      </c>
      <c r="BR223" s="878" t="e">
        <f t="shared" si="212"/>
        <v>#VALUE!</v>
      </c>
      <c r="BS223" s="966" t="e">
        <f t="shared" si="213"/>
        <v>#VALUE!</v>
      </c>
    </row>
    <row r="224" spans="1:71">
      <c r="A224" s="284">
        <f t="shared" si="214"/>
        <v>156</v>
      </c>
      <c r="B224" s="285">
        <v>-1.7841654707412897</v>
      </c>
      <c r="C224" s="285">
        <v>1.9335683768967484</v>
      </c>
      <c r="D224" s="285">
        <v>2.7270576771070081</v>
      </c>
      <c r="E224" s="285">
        <v>3.3401829707442321E-2</v>
      </c>
      <c r="H224" s="685">
        <f t="shared" si="160"/>
        <v>-2.9173993125103443</v>
      </c>
      <c r="I224" s="276">
        <f t="shared" si="161"/>
        <v>-3.5013926093565342</v>
      </c>
      <c r="J224" s="276">
        <f t="shared" si="162"/>
        <v>1.7472780318771439</v>
      </c>
      <c r="K224" s="276">
        <f t="shared" si="163"/>
        <v>-0.5029809265275037</v>
      </c>
      <c r="L224" s="276">
        <f t="shared" si="164"/>
        <v>-0.2298006296451065</v>
      </c>
      <c r="M224" s="276">
        <f t="shared" si="165"/>
        <v>-4.2236750427498411</v>
      </c>
      <c r="N224" s="685">
        <f t="shared" si="166"/>
        <v>0.72639716592488002</v>
      </c>
      <c r="O224" s="276">
        <f t="shared" si="167"/>
        <v>1.1140943453750409</v>
      </c>
      <c r="P224" s="276">
        <f t="shared" si="168"/>
        <v>1.1625280192551919</v>
      </c>
      <c r="Q224" s="276">
        <f t="shared" si="169"/>
        <v>0.78695361298571265</v>
      </c>
      <c r="R224" s="276">
        <f t="shared" si="170"/>
        <v>1.4924626951519759</v>
      </c>
      <c r="S224" s="686">
        <f t="shared" si="171"/>
        <v>1.0729235801159585</v>
      </c>
      <c r="T224" s="685">
        <f t="shared" si="172"/>
        <v>6.0054213673779344</v>
      </c>
      <c r="U224" s="276">
        <f t="shared" si="173"/>
        <v>3.3985479809036856</v>
      </c>
      <c r="V224" s="276">
        <f t="shared" si="174"/>
        <v>4.3390144883195667</v>
      </c>
      <c r="W224" s="276">
        <f t="shared" si="175"/>
        <v>5.1807784069255014</v>
      </c>
      <c r="X224" s="276">
        <f t="shared" si="176"/>
        <v>5.9271616676532046</v>
      </c>
      <c r="Y224" s="686">
        <f t="shared" si="177"/>
        <v>3.6785943254604461</v>
      </c>
      <c r="Z224" s="685" t="e">
        <f t="shared" si="178"/>
        <v>#DIV/0!</v>
      </c>
      <c r="AA224" s="276" t="e">
        <f t="shared" si="179"/>
        <v>#DIV/0!</v>
      </c>
      <c r="AB224" s="276" t="e">
        <f t="shared" si="180"/>
        <v>#DIV/0!</v>
      </c>
      <c r="AC224" s="276" t="e">
        <f t="shared" si="181"/>
        <v>#DIV/0!</v>
      </c>
      <c r="AD224" s="276" t="e">
        <f t="shared" si="182"/>
        <v>#DIV/0!</v>
      </c>
      <c r="AE224" s="686" t="e">
        <f t="shared" si="183"/>
        <v>#DIV/0!</v>
      </c>
      <c r="AF224" s="239"/>
      <c r="AG224" s="965" t="e">
        <f t="shared" si="154"/>
        <v>#VALUE!</v>
      </c>
      <c r="AH224" s="878" t="e">
        <f t="shared" si="155"/>
        <v>#VALUE!</v>
      </c>
      <c r="AI224" s="878" t="e">
        <f t="shared" si="156"/>
        <v>#VALUE!</v>
      </c>
      <c r="AJ224" s="878" t="e">
        <f t="shared" si="157"/>
        <v>#VALUE!</v>
      </c>
      <c r="AK224" s="878" t="e">
        <f t="shared" si="158"/>
        <v>#VALUE!</v>
      </c>
      <c r="AL224" s="966" t="e">
        <f t="shared" si="159"/>
        <v>#VALUE!</v>
      </c>
      <c r="AM224" s="239"/>
      <c r="AO224" s="685">
        <f t="shared" si="184"/>
        <v>-2.9173993125103443</v>
      </c>
      <c r="AP224" s="276">
        <f t="shared" si="185"/>
        <v>-3.5013926093565342</v>
      </c>
      <c r="AQ224" s="276">
        <f t="shared" si="186"/>
        <v>1.7472780318771439</v>
      </c>
      <c r="AR224" s="276">
        <f t="shared" si="187"/>
        <v>-0.5029809265275037</v>
      </c>
      <c r="AS224" s="276">
        <f t="shared" si="188"/>
        <v>-0.2298006296451065</v>
      </c>
      <c r="AT224" s="276">
        <f t="shared" si="189"/>
        <v>-4.2236750427498411</v>
      </c>
      <c r="AU224" s="685">
        <f t="shared" si="190"/>
        <v>0.72639716592488002</v>
      </c>
      <c r="AV224" s="276">
        <f t="shared" si="191"/>
        <v>1.1140943453750409</v>
      </c>
      <c r="AW224" s="276">
        <f t="shared" si="192"/>
        <v>1.1625280192551919</v>
      </c>
      <c r="AX224" s="276">
        <f t="shared" si="193"/>
        <v>0.78695361298571265</v>
      </c>
      <c r="AY224" s="276">
        <f t="shared" si="194"/>
        <v>1.4924626951519759</v>
      </c>
      <c r="AZ224" s="686">
        <f t="shared" si="195"/>
        <v>1.0729235801159585</v>
      </c>
      <c r="BA224" s="685">
        <f t="shared" si="196"/>
        <v>0</v>
      </c>
      <c r="BB224" s="276">
        <f t="shared" si="197"/>
        <v>0</v>
      </c>
      <c r="BC224" s="276">
        <f t="shared" si="198"/>
        <v>0</v>
      </c>
      <c r="BD224" s="276">
        <f t="shared" si="199"/>
        <v>0</v>
      </c>
      <c r="BE224" s="276">
        <f t="shared" si="200"/>
        <v>0</v>
      </c>
      <c r="BF224" s="686">
        <f t="shared" si="201"/>
        <v>0</v>
      </c>
      <c r="BG224" s="685" t="e">
        <f t="shared" si="202"/>
        <v>#DIV/0!</v>
      </c>
      <c r="BH224" s="276" t="e">
        <f t="shared" si="203"/>
        <v>#DIV/0!</v>
      </c>
      <c r="BI224" s="276" t="e">
        <f t="shared" si="204"/>
        <v>#DIV/0!</v>
      </c>
      <c r="BJ224" s="276" t="e">
        <f t="shared" si="205"/>
        <v>#DIV/0!</v>
      </c>
      <c r="BK224" s="276" t="e">
        <f t="shared" si="206"/>
        <v>#DIV/0!</v>
      </c>
      <c r="BL224" s="686" t="e">
        <f t="shared" si="207"/>
        <v>#DIV/0!</v>
      </c>
      <c r="BM224" s="239"/>
      <c r="BN224" s="965" t="e">
        <f t="shared" si="208"/>
        <v>#VALUE!</v>
      </c>
      <c r="BO224" s="878" t="e">
        <f t="shared" si="209"/>
        <v>#VALUE!</v>
      </c>
      <c r="BP224" s="878" t="e">
        <f t="shared" si="210"/>
        <v>#VALUE!</v>
      </c>
      <c r="BQ224" s="878" t="e">
        <f t="shared" si="211"/>
        <v>#VALUE!</v>
      </c>
      <c r="BR224" s="878" t="e">
        <f t="shared" si="212"/>
        <v>#VALUE!</v>
      </c>
      <c r="BS224" s="966" t="e">
        <f t="shared" si="213"/>
        <v>#VALUE!</v>
      </c>
    </row>
    <row r="225" spans="1:71">
      <c r="A225" s="284">
        <f t="shared" si="214"/>
        <v>157</v>
      </c>
      <c r="B225" s="285">
        <v>2.0271749191441324</v>
      </c>
      <c r="C225" s="285">
        <v>3.3645505542367218</v>
      </c>
      <c r="D225" s="285">
        <v>0.54127919283167869</v>
      </c>
      <c r="E225" s="285">
        <v>16.698557639500446</v>
      </c>
      <c r="H225" s="685">
        <f t="shared" si="160"/>
        <v>0.89394107737507755</v>
      </c>
      <c r="I225" s="276">
        <f t="shared" si="161"/>
        <v>-1.2587497778992598</v>
      </c>
      <c r="J225" s="276">
        <f t="shared" si="162"/>
        <v>-2.9438710449924836</v>
      </c>
      <c r="K225" s="276">
        <f t="shared" si="163"/>
        <v>-2.5116298536649091</v>
      </c>
      <c r="L225" s="276">
        <f t="shared" si="164"/>
        <v>-0.4146215760236347</v>
      </c>
      <c r="M225" s="276">
        <f t="shared" si="165"/>
        <v>3.5859981012450808</v>
      </c>
      <c r="N225" s="685">
        <f t="shared" si="166"/>
        <v>2.1573793432648536</v>
      </c>
      <c r="O225" s="276">
        <f t="shared" si="167"/>
        <v>0.81980754519393861</v>
      </c>
      <c r="P225" s="276">
        <f t="shared" si="168"/>
        <v>1.504855821357556</v>
      </c>
      <c r="Q225" s="276">
        <f t="shared" si="169"/>
        <v>1.9452215247811619</v>
      </c>
      <c r="R225" s="276">
        <f t="shared" si="170"/>
        <v>1.5590615550748017</v>
      </c>
      <c r="S225" s="686">
        <f t="shared" si="171"/>
        <v>1.0974651822861576</v>
      </c>
      <c r="T225" s="685">
        <f t="shared" si="172"/>
        <v>3.8196428831026044</v>
      </c>
      <c r="U225" s="276">
        <f t="shared" si="173"/>
        <v>3.9963893745973147</v>
      </c>
      <c r="V225" s="276">
        <f t="shared" si="174"/>
        <v>4.4490545902169645</v>
      </c>
      <c r="W225" s="276">
        <f t="shared" si="175"/>
        <v>2.8141192485697912</v>
      </c>
      <c r="X225" s="276">
        <f t="shared" si="176"/>
        <v>3.8859252167849441</v>
      </c>
      <c r="Y225" s="686">
        <f t="shared" si="177"/>
        <v>4.9676793894637052</v>
      </c>
      <c r="Z225" s="685" t="e">
        <f t="shared" si="178"/>
        <v>#DIV/0!</v>
      </c>
      <c r="AA225" s="276" t="e">
        <f t="shared" si="179"/>
        <v>#DIV/0!</v>
      </c>
      <c r="AB225" s="276" t="e">
        <f t="shared" si="180"/>
        <v>#DIV/0!</v>
      </c>
      <c r="AC225" s="276" t="e">
        <f t="shared" si="181"/>
        <v>#DIV/0!</v>
      </c>
      <c r="AD225" s="276" t="e">
        <f t="shared" si="182"/>
        <v>#DIV/0!</v>
      </c>
      <c r="AE225" s="686" t="e">
        <f t="shared" si="183"/>
        <v>#DIV/0!</v>
      </c>
      <c r="AF225" s="239"/>
      <c r="AG225" s="965" t="e">
        <f t="shared" si="154"/>
        <v>#VALUE!</v>
      </c>
      <c r="AH225" s="878" t="e">
        <f t="shared" si="155"/>
        <v>#VALUE!</v>
      </c>
      <c r="AI225" s="878" t="e">
        <f t="shared" si="156"/>
        <v>#VALUE!</v>
      </c>
      <c r="AJ225" s="878" t="e">
        <f t="shared" si="157"/>
        <v>#VALUE!</v>
      </c>
      <c r="AK225" s="878" t="e">
        <f t="shared" si="158"/>
        <v>#VALUE!</v>
      </c>
      <c r="AL225" s="966" t="e">
        <f t="shared" si="159"/>
        <v>#VALUE!</v>
      </c>
      <c r="AM225" s="239"/>
      <c r="AO225" s="685">
        <f t="shared" si="184"/>
        <v>0.89394107737507755</v>
      </c>
      <c r="AP225" s="276">
        <f t="shared" si="185"/>
        <v>-1.2587497778992598</v>
      </c>
      <c r="AQ225" s="276">
        <f t="shared" si="186"/>
        <v>-2.9438710449924836</v>
      </c>
      <c r="AR225" s="276">
        <f t="shared" si="187"/>
        <v>-2.5116298536649091</v>
      </c>
      <c r="AS225" s="276">
        <f t="shared" si="188"/>
        <v>-0.4146215760236347</v>
      </c>
      <c r="AT225" s="276">
        <f t="shared" si="189"/>
        <v>3.5859981012450808</v>
      </c>
      <c r="AU225" s="685">
        <f t="shared" si="190"/>
        <v>2.1573793432648536</v>
      </c>
      <c r="AV225" s="276">
        <f t="shared" si="191"/>
        <v>0.81980754519393861</v>
      </c>
      <c r="AW225" s="276">
        <f t="shared" si="192"/>
        <v>1.504855821357556</v>
      </c>
      <c r="AX225" s="276">
        <f t="shared" si="193"/>
        <v>1.9452215247811619</v>
      </c>
      <c r="AY225" s="276">
        <f t="shared" si="194"/>
        <v>1.5590615550748017</v>
      </c>
      <c r="AZ225" s="686">
        <f t="shared" si="195"/>
        <v>1.0974651822861576</v>
      </c>
      <c r="BA225" s="685">
        <f t="shared" si="196"/>
        <v>0</v>
      </c>
      <c r="BB225" s="276">
        <f t="shared" si="197"/>
        <v>0</v>
      </c>
      <c r="BC225" s="276">
        <f t="shared" si="198"/>
        <v>0</v>
      </c>
      <c r="BD225" s="276">
        <f t="shared" si="199"/>
        <v>0</v>
      </c>
      <c r="BE225" s="276">
        <f t="shared" si="200"/>
        <v>0</v>
      </c>
      <c r="BF225" s="686">
        <f t="shared" si="201"/>
        <v>0</v>
      </c>
      <c r="BG225" s="685" t="e">
        <f t="shared" si="202"/>
        <v>#DIV/0!</v>
      </c>
      <c r="BH225" s="276" t="e">
        <f t="shared" si="203"/>
        <v>#DIV/0!</v>
      </c>
      <c r="BI225" s="276" t="e">
        <f t="shared" si="204"/>
        <v>#DIV/0!</v>
      </c>
      <c r="BJ225" s="276" t="e">
        <f t="shared" si="205"/>
        <v>#DIV/0!</v>
      </c>
      <c r="BK225" s="276" t="e">
        <f t="shared" si="206"/>
        <v>#DIV/0!</v>
      </c>
      <c r="BL225" s="686" t="e">
        <f t="shared" si="207"/>
        <v>#DIV/0!</v>
      </c>
      <c r="BM225" s="239"/>
      <c r="BN225" s="965" t="e">
        <f t="shared" si="208"/>
        <v>#VALUE!</v>
      </c>
      <c r="BO225" s="878" t="e">
        <f t="shared" si="209"/>
        <v>#VALUE!</v>
      </c>
      <c r="BP225" s="878" t="e">
        <f t="shared" si="210"/>
        <v>#VALUE!</v>
      </c>
      <c r="BQ225" s="878" t="e">
        <f t="shared" si="211"/>
        <v>#VALUE!</v>
      </c>
      <c r="BR225" s="878" t="e">
        <f t="shared" si="212"/>
        <v>#VALUE!</v>
      </c>
      <c r="BS225" s="966" t="e">
        <f t="shared" si="213"/>
        <v>#VALUE!</v>
      </c>
    </row>
    <row r="226" spans="1:71">
      <c r="A226" s="284">
        <f t="shared" si="214"/>
        <v>158</v>
      </c>
      <c r="B226" s="285">
        <v>-2.6430248792697677</v>
      </c>
      <c r="C226" s="285">
        <v>2.7325068126743481</v>
      </c>
      <c r="D226" s="285">
        <v>9.5508400718978592E-2</v>
      </c>
      <c r="E226" s="285">
        <v>11.207489678804095</v>
      </c>
      <c r="H226" s="685">
        <f t="shared" si="160"/>
        <v>-3.7762587210388228</v>
      </c>
      <c r="I226" s="276">
        <f t="shared" si="161"/>
        <v>-2.6563670249987954</v>
      </c>
      <c r="J226" s="276">
        <f t="shared" si="162"/>
        <v>-2.9057142118921666</v>
      </c>
      <c r="K226" s="276">
        <f t="shared" si="163"/>
        <v>-0.69756721055186244</v>
      </c>
      <c r="L226" s="276">
        <f t="shared" si="164"/>
        <v>1.6544746546835378</v>
      </c>
      <c r="M226" s="276">
        <f t="shared" si="165"/>
        <v>-2.3685518649883424</v>
      </c>
      <c r="N226" s="685">
        <f t="shared" si="166"/>
        <v>1.5253356017024797</v>
      </c>
      <c r="O226" s="276">
        <f t="shared" si="167"/>
        <v>0.81555311121661833</v>
      </c>
      <c r="P226" s="276">
        <f t="shared" si="168"/>
        <v>0.88879266506414356</v>
      </c>
      <c r="Q226" s="276">
        <f t="shared" si="169"/>
        <v>1.3546458189326527</v>
      </c>
      <c r="R226" s="276">
        <f t="shared" si="170"/>
        <v>0.89063099094885234</v>
      </c>
      <c r="S226" s="686">
        <f t="shared" si="171"/>
        <v>2.1682324544178879</v>
      </c>
      <c r="T226" s="685">
        <f t="shared" si="172"/>
        <v>3.3738720909899045</v>
      </c>
      <c r="U226" s="276">
        <f t="shared" si="173"/>
        <v>4.8694960088173325</v>
      </c>
      <c r="V226" s="276">
        <f t="shared" si="174"/>
        <v>5.2794038846399154</v>
      </c>
      <c r="W226" s="276">
        <f t="shared" si="175"/>
        <v>4.6467923605518395</v>
      </c>
      <c r="X226" s="276">
        <f t="shared" si="176"/>
        <v>4.4260460349226953</v>
      </c>
      <c r="Y226" s="686">
        <f t="shared" si="177"/>
        <v>3.4153158754732162</v>
      </c>
      <c r="Z226" s="685" t="e">
        <f t="shared" si="178"/>
        <v>#DIV/0!</v>
      </c>
      <c r="AA226" s="276" t="e">
        <f t="shared" si="179"/>
        <v>#DIV/0!</v>
      </c>
      <c r="AB226" s="276" t="e">
        <f t="shared" si="180"/>
        <v>#DIV/0!</v>
      </c>
      <c r="AC226" s="276" t="e">
        <f t="shared" si="181"/>
        <v>#DIV/0!</v>
      </c>
      <c r="AD226" s="276" t="e">
        <f t="shared" si="182"/>
        <v>#DIV/0!</v>
      </c>
      <c r="AE226" s="686" t="e">
        <f t="shared" si="183"/>
        <v>#DIV/0!</v>
      </c>
      <c r="AF226" s="239"/>
      <c r="AG226" s="965" t="e">
        <f t="shared" si="154"/>
        <v>#VALUE!</v>
      </c>
      <c r="AH226" s="878" t="e">
        <f t="shared" si="155"/>
        <v>#VALUE!</v>
      </c>
      <c r="AI226" s="878" t="e">
        <f t="shared" si="156"/>
        <v>#VALUE!</v>
      </c>
      <c r="AJ226" s="878" t="e">
        <f t="shared" si="157"/>
        <v>#VALUE!</v>
      </c>
      <c r="AK226" s="878" t="e">
        <f t="shared" si="158"/>
        <v>#VALUE!</v>
      </c>
      <c r="AL226" s="966" t="e">
        <f t="shared" si="159"/>
        <v>#VALUE!</v>
      </c>
      <c r="AM226" s="239"/>
      <c r="AO226" s="685">
        <f t="shared" si="184"/>
        <v>-3.7762587210388228</v>
      </c>
      <c r="AP226" s="276">
        <f t="shared" si="185"/>
        <v>-2.6563670249987954</v>
      </c>
      <c r="AQ226" s="276">
        <f t="shared" si="186"/>
        <v>-2.9057142118921666</v>
      </c>
      <c r="AR226" s="276">
        <f t="shared" si="187"/>
        <v>-0.69756721055186244</v>
      </c>
      <c r="AS226" s="276">
        <f t="shared" si="188"/>
        <v>1.6544746546835378</v>
      </c>
      <c r="AT226" s="276">
        <f t="shared" si="189"/>
        <v>-2.3685518649883424</v>
      </c>
      <c r="AU226" s="685">
        <f t="shared" si="190"/>
        <v>1.5253356017024797</v>
      </c>
      <c r="AV226" s="276">
        <f t="shared" si="191"/>
        <v>0.81555311121661833</v>
      </c>
      <c r="AW226" s="276">
        <f t="shared" si="192"/>
        <v>0.88879266506414356</v>
      </c>
      <c r="AX226" s="276">
        <f t="shared" si="193"/>
        <v>1.3546458189326527</v>
      </c>
      <c r="AY226" s="276">
        <f t="shared" si="194"/>
        <v>0.89063099094885234</v>
      </c>
      <c r="AZ226" s="686">
        <f t="shared" si="195"/>
        <v>2.1682324544178879</v>
      </c>
      <c r="BA226" s="685">
        <f t="shared" si="196"/>
        <v>0</v>
      </c>
      <c r="BB226" s="276">
        <f t="shared" si="197"/>
        <v>0</v>
      </c>
      <c r="BC226" s="276">
        <f t="shared" si="198"/>
        <v>0</v>
      </c>
      <c r="BD226" s="276">
        <f t="shared" si="199"/>
        <v>0</v>
      </c>
      <c r="BE226" s="276">
        <f t="shared" si="200"/>
        <v>0</v>
      </c>
      <c r="BF226" s="686">
        <f t="shared" si="201"/>
        <v>0</v>
      </c>
      <c r="BG226" s="685" t="e">
        <f t="shared" si="202"/>
        <v>#DIV/0!</v>
      </c>
      <c r="BH226" s="276" t="e">
        <f t="shared" si="203"/>
        <v>#DIV/0!</v>
      </c>
      <c r="BI226" s="276" t="e">
        <f t="shared" si="204"/>
        <v>#DIV/0!</v>
      </c>
      <c r="BJ226" s="276" t="e">
        <f t="shared" si="205"/>
        <v>#DIV/0!</v>
      </c>
      <c r="BK226" s="276" t="e">
        <f t="shared" si="206"/>
        <v>#DIV/0!</v>
      </c>
      <c r="BL226" s="686" t="e">
        <f t="shared" si="207"/>
        <v>#DIV/0!</v>
      </c>
      <c r="BM226" s="239"/>
      <c r="BN226" s="965" t="e">
        <f t="shared" si="208"/>
        <v>#VALUE!</v>
      </c>
      <c r="BO226" s="878" t="e">
        <f t="shared" si="209"/>
        <v>#VALUE!</v>
      </c>
      <c r="BP226" s="878" t="e">
        <f t="shared" si="210"/>
        <v>#VALUE!</v>
      </c>
      <c r="BQ226" s="878" t="e">
        <f t="shared" si="211"/>
        <v>#VALUE!</v>
      </c>
      <c r="BR226" s="878" t="e">
        <f t="shared" si="212"/>
        <v>#VALUE!</v>
      </c>
      <c r="BS226" s="966" t="e">
        <f t="shared" si="213"/>
        <v>#VALUE!</v>
      </c>
    </row>
    <row r="227" spans="1:71">
      <c r="A227" s="284">
        <f t="shared" si="214"/>
        <v>159</v>
      </c>
      <c r="B227" s="285">
        <v>-0.54730896328045575</v>
      </c>
      <c r="C227" s="285">
        <v>3.021572875307919</v>
      </c>
      <c r="D227" s="285">
        <v>-0.27261231632408967</v>
      </c>
      <c r="E227" s="285">
        <v>11.419504220265802</v>
      </c>
      <c r="H227" s="685">
        <f t="shared" si="160"/>
        <v>-1.6805428050495106</v>
      </c>
      <c r="I227" s="276">
        <f t="shared" si="161"/>
        <v>-2.3661579671716431</v>
      </c>
      <c r="J227" s="276">
        <f t="shared" si="162"/>
        <v>0.35800618499417847</v>
      </c>
      <c r="K227" s="276">
        <f t="shared" si="163"/>
        <v>6.1987736853912345E-2</v>
      </c>
      <c r="L227" s="276">
        <f t="shared" si="164"/>
        <v>2.5247451074850193</v>
      </c>
      <c r="M227" s="276">
        <f t="shared" si="165"/>
        <v>1.1747658477505476</v>
      </c>
      <c r="N227" s="685">
        <f t="shared" si="166"/>
        <v>1.8144016643360505</v>
      </c>
      <c r="O227" s="276">
        <f t="shared" si="167"/>
        <v>1.2750777567875431</v>
      </c>
      <c r="P227" s="276">
        <f t="shared" si="168"/>
        <v>1.4053507754026413</v>
      </c>
      <c r="Q227" s="276">
        <f t="shared" si="169"/>
        <v>1.3189754500237376</v>
      </c>
      <c r="R227" s="276">
        <f t="shared" si="170"/>
        <v>1.7252164380933614</v>
      </c>
      <c r="S227" s="686">
        <f t="shared" si="171"/>
        <v>1.9789131141692831</v>
      </c>
      <c r="T227" s="685">
        <f t="shared" si="172"/>
        <v>3.0057513739468362</v>
      </c>
      <c r="U227" s="276">
        <f t="shared" si="173"/>
        <v>1.9900666954440851</v>
      </c>
      <c r="V227" s="276">
        <f t="shared" si="174"/>
        <v>6.4737056815201424</v>
      </c>
      <c r="W227" s="276">
        <f t="shared" si="175"/>
        <v>4.7144045547109368</v>
      </c>
      <c r="X227" s="276">
        <f t="shared" si="176"/>
        <v>4.2317482966850655</v>
      </c>
      <c r="Y227" s="686">
        <f t="shared" si="177"/>
        <v>2.2647995446133247</v>
      </c>
      <c r="Z227" s="685" t="e">
        <f t="shared" si="178"/>
        <v>#DIV/0!</v>
      </c>
      <c r="AA227" s="276" t="e">
        <f t="shared" si="179"/>
        <v>#DIV/0!</v>
      </c>
      <c r="AB227" s="276" t="e">
        <f t="shared" si="180"/>
        <v>#DIV/0!</v>
      </c>
      <c r="AC227" s="276" t="e">
        <f t="shared" si="181"/>
        <v>#DIV/0!</v>
      </c>
      <c r="AD227" s="276" t="e">
        <f t="shared" si="182"/>
        <v>#DIV/0!</v>
      </c>
      <c r="AE227" s="686" t="e">
        <f t="shared" si="183"/>
        <v>#DIV/0!</v>
      </c>
      <c r="AF227" s="239"/>
      <c r="AG227" s="965" t="e">
        <f t="shared" si="154"/>
        <v>#VALUE!</v>
      </c>
      <c r="AH227" s="878" t="e">
        <f t="shared" si="155"/>
        <v>#VALUE!</v>
      </c>
      <c r="AI227" s="878" t="e">
        <f t="shared" si="156"/>
        <v>#VALUE!</v>
      </c>
      <c r="AJ227" s="878" t="e">
        <f t="shared" si="157"/>
        <v>#VALUE!</v>
      </c>
      <c r="AK227" s="878" t="e">
        <f t="shared" si="158"/>
        <v>#VALUE!</v>
      </c>
      <c r="AL227" s="966" t="e">
        <f t="shared" si="159"/>
        <v>#VALUE!</v>
      </c>
      <c r="AM227" s="239"/>
      <c r="AO227" s="685">
        <f t="shared" si="184"/>
        <v>-1.6805428050495106</v>
      </c>
      <c r="AP227" s="276">
        <f t="shared" si="185"/>
        <v>-2.3661579671716431</v>
      </c>
      <c r="AQ227" s="276">
        <f t="shared" si="186"/>
        <v>0.35800618499417847</v>
      </c>
      <c r="AR227" s="276">
        <f t="shared" si="187"/>
        <v>6.1987736853912345E-2</v>
      </c>
      <c r="AS227" s="276">
        <f t="shared" si="188"/>
        <v>2.5247451074850193</v>
      </c>
      <c r="AT227" s="276">
        <f t="shared" si="189"/>
        <v>1.1747658477505476</v>
      </c>
      <c r="AU227" s="685">
        <f t="shared" si="190"/>
        <v>1.8144016643360505</v>
      </c>
      <c r="AV227" s="276">
        <f t="shared" si="191"/>
        <v>1.2750777567875431</v>
      </c>
      <c r="AW227" s="276">
        <f t="shared" si="192"/>
        <v>1.4053507754026413</v>
      </c>
      <c r="AX227" s="276">
        <f t="shared" si="193"/>
        <v>1.3189754500237376</v>
      </c>
      <c r="AY227" s="276">
        <f t="shared" si="194"/>
        <v>1.7252164380933614</v>
      </c>
      <c r="AZ227" s="686">
        <f t="shared" si="195"/>
        <v>1.9789131141692831</v>
      </c>
      <c r="BA227" s="685">
        <f t="shared" si="196"/>
        <v>0</v>
      </c>
      <c r="BB227" s="276">
        <f t="shared" si="197"/>
        <v>0</v>
      </c>
      <c r="BC227" s="276">
        <f t="shared" si="198"/>
        <v>0</v>
      </c>
      <c r="BD227" s="276">
        <f t="shared" si="199"/>
        <v>0</v>
      </c>
      <c r="BE227" s="276">
        <f t="shared" si="200"/>
        <v>0</v>
      </c>
      <c r="BF227" s="686">
        <f t="shared" si="201"/>
        <v>0</v>
      </c>
      <c r="BG227" s="685" t="e">
        <f t="shared" si="202"/>
        <v>#DIV/0!</v>
      </c>
      <c r="BH227" s="276" t="e">
        <f t="shared" si="203"/>
        <v>#DIV/0!</v>
      </c>
      <c r="BI227" s="276" t="e">
        <f t="shared" si="204"/>
        <v>#DIV/0!</v>
      </c>
      <c r="BJ227" s="276" t="e">
        <f t="shared" si="205"/>
        <v>#DIV/0!</v>
      </c>
      <c r="BK227" s="276" t="e">
        <f t="shared" si="206"/>
        <v>#DIV/0!</v>
      </c>
      <c r="BL227" s="686" t="e">
        <f t="shared" si="207"/>
        <v>#DIV/0!</v>
      </c>
      <c r="BM227" s="239"/>
      <c r="BN227" s="965" t="e">
        <f t="shared" si="208"/>
        <v>#VALUE!</v>
      </c>
      <c r="BO227" s="878" t="e">
        <f t="shared" si="209"/>
        <v>#VALUE!</v>
      </c>
      <c r="BP227" s="878" t="e">
        <f t="shared" si="210"/>
        <v>#VALUE!</v>
      </c>
      <c r="BQ227" s="878" t="e">
        <f t="shared" si="211"/>
        <v>#VALUE!</v>
      </c>
      <c r="BR227" s="878" t="e">
        <f t="shared" si="212"/>
        <v>#VALUE!</v>
      </c>
      <c r="BS227" s="966" t="e">
        <f t="shared" si="213"/>
        <v>#VALUE!</v>
      </c>
    </row>
    <row r="228" spans="1:71">
      <c r="A228" s="284">
        <f t="shared" si="214"/>
        <v>160</v>
      </c>
      <c r="B228" s="285">
        <v>0.56075671238469804</v>
      </c>
      <c r="C228" s="285">
        <v>2.5001290348924758</v>
      </c>
      <c r="D228" s="285">
        <v>2.5603319789098746</v>
      </c>
      <c r="E228" s="285">
        <v>-4.9488560498533456</v>
      </c>
      <c r="H228" s="685">
        <f t="shared" si="160"/>
        <v>-0.5724771293843568</v>
      </c>
      <c r="I228" s="276">
        <f t="shared" si="161"/>
        <v>-1.2223684781332853</v>
      </c>
      <c r="J228" s="276">
        <f t="shared" si="162"/>
        <v>-1.8878765790584024</v>
      </c>
      <c r="K228" s="276">
        <f t="shared" si="163"/>
        <v>-1.1440392008816256</v>
      </c>
      <c r="L228" s="276">
        <f t="shared" si="164"/>
        <v>-3.4495708276515389</v>
      </c>
      <c r="M228" s="276">
        <f t="shared" si="165"/>
        <v>2.1292155582570009</v>
      </c>
      <c r="N228" s="685">
        <f t="shared" si="166"/>
        <v>1.2929578239206074</v>
      </c>
      <c r="O228" s="276">
        <f t="shared" si="167"/>
        <v>1.0235273131950315</v>
      </c>
      <c r="P228" s="276">
        <f t="shared" si="168"/>
        <v>1.7686657425576995</v>
      </c>
      <c r="Q228" s="276">
        <f t="shared" si="169"/>
        <v>1.5112882097880076</v>
      </c>
      <c r="R228" s="276">
        <f t="shared" si="170"/>
        <v>0.90398028210434123</v>
      </c>
      <c r="S228" s="686">
        <f t="shared" si="171"/>
        <v>1.4614975996944481</v>
      </c>
      <c r="T228" s="685">
        <f t="shared" si="172"/>
        <v>5.838695669180801</v>
      </c>
      <c r="U228" s="276">
        <f t="shared" si="173"/>
        <v>6.0904237147768647</v>
      </c>
      <c r="V228" s="276">
        <f t="shared" si="174"/>
        <v>3.3661956157401129</v>
      </c>
      <c r="W228" s="276">
        <f t="shared" si="175"/>
        <v>3.5451359990304798</v>
      </c>
      <c r="X228" s="276">
        <f t="shared" si="176"/>
        <v>4.9486104955299588</v>
      </c>
      <c r="Y228" s="686">
        <f t="shared" si="177"/>
        <v>4.7966605771601216</v>
      </c>
      <c r="Z228" s="685" t="e">
        <f t="shared" si="178"/>
        <v>#DIV/0!</v>
      </c>
      <c r="AA228" s="276" t="e">
        <f t="shared" si="179"/>
        <v>#DIV/0!</v>
      </c>
      <c r="AB228" s="276" t="e">
        <f t="shared" si="180"/>
        <v>#DIV/0!</v>
      </c>
      <c r="AC228" s="276" t="e">
        <f t="shared" si="181"/>
        <v>#DIV/0!</v>
      </c>
      <c r="AD228" s="276" t="e">
        <f t="shared" si="182"/>
        <v>#DIV/0!</v>
      </c>
      <c r="AE228" s="686" t="e">
        <f t="shared" si="183"/>
        <v>#DIV/0!</v>
      </c>
      <c r="AF228" s="239"/>
      <c r="AG228" s="965" t="e">
        <f t="shared" si="154"/>
        <v>#VALUE!</v>
      </c>
      <c r="AH228" s="878" t="e">
        <f t="shared" si="155"/>
        <v>#VALUE!</v>
      </c>
      <c r="AI228" s="878" t="e">
        <f t="shared" si="156"/>
        <v>#VALUE!</v>
      </c>
      <c r="AJ228" s="878" t="e">
        <f t="shared" si="157"/>
        <v>#VALUE!</v>
      </c>
      <c r="AK228" s="878" t="e">
        <f t="shared" si="158"/>
        <v>#VALUE!</v>
      </c>
      <c r="AL228" s="966" t="e">
        <f t="shared" si="159"/>
        <v>#VALUE!</v>
      </c>
      <c r="AM228" s="239"/>
      <c r="AO228" s="685">
        <f t="shared" si="184"/>
        <v>-0.5724771293843568</v>
      </c>
      <c r="AP228" s="276">
        <f t="shared" si="185"/>
        <v>-1.2223684781332853</v>
      </c>
      <c r="AQ228" s="276">
        <f t="shared" si="186"/>
        <v>-1.8878765790584024</v>
      </c>
      <c r="AR228" s="276">
        <f t="shared" si="187"/>
        <v>-1.1440392008816256</v>
      </c>
      <c r="AS228" s="276">
        <f t="shared" si="188"/>
        <v>-3.4495708276515389</v>
      </c>
      <c r="AT228" s="276">
        <f t="shared" si="189"/>
        <v>2.1292155582570009</v>
      </c>
      <c r="AU228" s="685">
        <f t="shared" si="190"/>
        <v>1.2929578239206074</v>
      </c>
      <c r="AV228" s="276">
        <f t="shared" si="191"/>
        <v>1.0235273131950315</v>
      </c>
      <c r="AW228" s="276">
        <f t="shared" si="192"/>
        <v>1.7686657425576995</v>
      </c>
      <c r="AX228" s="276">
        <f t="shared" si="193"/>
        <v>1.5112882097880076</v>
      </c>
      <c r="AY228" s="276">
        <f t="shared" si="194"/>
        <v>0.90398028210434123</v>
      </c>
      <c r="AZ228" s="686">
        <f t="shared" si="195"/>
        <v>1.4614975996944481</v>
      </c>
      <c r="BA228" s="685">
        <f t="shared" si="196"/>
        <v>0</v>
      </c>
      <c r="BB228" s="276">
        <f t="shared" si="197"/>
        <v>0</v>
      </c>
      <c r="BC228" s="276">
        <f t="shared" si="198"/>
        <v>0</v>
      </c>
      <c r="BD228" s="276">
        <f t="shared" si="199"/>
        <v>0</v>
      </c>
      <c r="BE228" s="276">
        <f t="shared" si="200"/>
        <v>0</v>
      </c>
      <c r="BF228" s="686">
        <f t="shared" si="201"/>
        <v>0</v>
      </c>
      <c r="BG228" s="685" t="e">
        <f t="shared" si="202"/>
        <v>#DIV/0!</v>
      </c>
      <c r="BH228" s="276" t="e">
        <f t="shared" si="203"/>
        <v>#DIV/0!</v>
      </c>
      <c r="BI228" s="276" t="e">
        <f t="shared" si="204"/>
        <v>#DIV/0!</v>
      </c>
      <c r="BJ228" s="276" t="e">
        <f t="shared" si="205"/>
        <v>#DIV/0!</v>
      </c>
      <c r="BK228" s="276" t="e">
        <f t="shared" si="206"/>
        <v>#DIV/0!</v>
      </c>
      <c r="BL228" s="686" t="e">
        <f t="shared" si="207"/>
        <v>#DIV/0!</v>
      </c>
      <c r="BM228" s="239"/>
      <c r="BN228" s="965" t="e">
        <f t="shared" si="208"/>
        <v>#VALUE!</v>
      </c>
      <c r="BO228" s="878" t="e">
        <f t="shared" si="209"/>
        <v>#VALUE!</v>
      </c>
      <c r="BP228" s="878" t="e">
        <f t="shared" si="210"/>
        <v>#VALUE!</v>
      </c>
      <c r="BQ228" s="878" t="e">
        <f t="shared" si="211"/>
        <v>#VALUE!</v>
      </c>
      <c r="BR228" s="878" t="e">
        <f t="shared" si="212"/>
        <v>#VALUE!</v>
      </c>
      <c r="BS228" s="966" t="e">
        <f t="shared" si="213"/>
        <v>#VALUE!</v>
      </c>
    </row>
    <row r="229" spans="1:71">
      <c r="A229" s="284">
        <f t="shared" si="214"/>
        <v>161</v>
      </c>
      <c r="B229" s="285">
        <v>4.7193213837593255</v>
      </c>
      <c r="C229" s="285">
        <v>2.6190694403783645</v>
      </c>
      <c r="D229" s="285">
        <v>0.98742101423256079</v>
      </c>
      <c r="E229" s="285">
        <v>-3.7061591051879881</v>
      </c>
      <c r="H229" s="685">
        <f t="shared" si="160"/>
        <v>3.5860875419902705</v>
      </c>
      <c r="I229" s="276">
        <f t="shared" si="161"/>
        <v>1.6890803666626322</v>
      </c>
      <c r="J229" s="276">
        <f t="shared" si="162"/>
        <v>-0.82143063766535573</v>
      </c>
      <c r="K229" s="276">
        <f t="shared" si="163"/>
        <v>-0.53851520975212819</v>
      </c>
      <c r="L229" s="276">
        <f t="shared" si="164"/>
        <v>0.104315396639862</v>
      </c>
      <c r="M229" s="276">
        <f t="shared" si="165"/>
        <v>-1.4185838876343235</v>
      </c>
      <c r="N229" s="685">
        <f t="shared" si="166"/>
        <v>1.4118982294064961</v>
      </c>
      <c r="O229" s="276">
        <f t="shared" si="167"/>
        <v>2.0399268625585343</v>
      </c>
      <c r="P229" s="276">
        <f t="shared" si="168"/>
        <v>1.1153214717934026</v>
      </c>
      <c r="Q229" s="276">
        <f t="shared" si="169"/>
        <v>1.2091700798856031</v>
      </c>
      <c r="R229" s="276">
        <f t="shared" si="170"/>
        <v>0.81786948369052026</v>
      </c>
      <c r="S229" s="686">
        <f t="shared" si="171"/>
        <v>0.85004599700339445</v>
      </c>
      <c r="T229" s="685">
        <f t="shared" si="172"/>
        <v>4.2657847045034867</v>
      </c>
      <c r="U229" s="276">
        <f t="shared" si="173"/>
        <v>4.6110993511036682</v>
      </c>
      <c r="V229" s="276">
        <f t="shared" si="174"/>
        <v>4.4495227781773767</v>
      </c>
      <c r="W229" s="276">
        <f t="shared" si="175"/>
        <v>5.6226085226425253</v>
      </c>
      <c r="X229" s="276">
        <f t="shared" si="176"/>
        <v>5.3336495355296822</v>
      </c>
      <c r="Y229" s="686">
        <f t="shared" si="177"/>
        <v>2.5770653898199951</v>
      </c>
      <c r="Z229" s="685" t="e">
        <f t="shared" si="178"/>
        <v>#DIV/0!</v>
      </c>
      <c r="AA229" s="276" t="e">
        <f t="shared" si="179"/>
        <v>#DIV/0!</v>
      </c>
      <c r="AB229" s="276" t="e">
        <f t="shared" si="180"/>
        <v>#DIV/0!</v>
      </c>
      <c r="AC229" s="276" t="e">
        <f t="shared" si="181"/>
        <v>#DIV/0!</v>
      </c>
      <c r="AD229" s="276" t="e">
        <f t="shared" si="182"/>
        <v>#DIV/0!</v>
      </c>
      <c r="AE229" s="686" t="e">
        <f t="shared" si="183"/>
        <v>#DIV/0!</v>
      </c>
      <c r="AF229" s="239"/>
      <c r="AG229" s="965" t="e">
        <f t="shared" si="154"/>
        <v>#VALUE!</v>
      </c>
      <c r="AH229" s="878" t="e">
        <f t="shared" si="155"/>
        <v>#VALUE!</v>
      </c>
      <c r="AI229" s="878" t="e">
        <f t="shared" si="156"/>
        <v>#VALUE!</v>
      </c>
      <c r="AJ229" s="878" t="e">
        <f t="shared" si="157"/>
        <v>#VALUE!</v>
      </c>
      <c r="AK229" s="878" t="e">
        <f t="shared" si="158"/>
        <v>#VALUE!</v>
      </c>
      <c r="AL229" s="966" t="e">
        <f t="shared" si="159"/>
        <v>#VALUE!</v>
      </c>
      <c r="AM229" s="239"/>
      <c r="AO229" s="685">
        <f t="shared" si="184"/>
        <v>3.5860875419902705</v>
      </c>
      <c r="AP229" s="276">
        <f t="shared" si="185"/>
        <v>1.6890803666626322</v>
      </c>
      <c r="AQ229" s="276">
        <f t="shared" si="186"/>
        <v>-0.82143063766535573</v>
      </c>
      <c r="AR229" s="276">
        <f t="shared" si="187"/>
        <v>-0.53851520975212819</v>
      </c>
      <c r="AS229" s="276">
        <f t="shared" si="188"/>
        <v>0.104315396639862</v>
      </c>
      <c r="AT229" s="276">
        <f t="shared" si="189"/>
        <v>-1.4185838876343235</v>
      </c>
      <c r="AU229" s="685">
        <f t="shared" si="190"/>
        <v>1.4118982294064961</v>
      </c>
      <c r="AV229" s="276">
        <f t="shared" si="191"/>
        <v>2.0399268625585343</v>
      </c>
      <c r="AW229" s="276">
        <f t="shared" si="192"/>
        <v>1.1153214717934026</v>
      </c>
      <c r="AX229" s="276">
        <f t="shared" si="193"/>
        <v>1.2091700798856031</v>
      </c>
      <c r="AY229" s="276">
        <f t="shared" si="194"/>
        <v>0.81786948369052026</v>
      </c>
      <c r="AZ229" s="686">
        <f t="shared" si="195"/>
        <v>0.85004599700339445</v>
      </c>
      <c r="BA229" s="685">
        <f t="shared" si="196"/>
        <v>0</v>
      </c>
      <c r="BB229" s="276">
        <f t="shared" si="197"/>
        <v>0</v>
      </c>
      <c r="BC229" s="276">
        <f t="shared" si="198"/>
        <v>0</v>
      </c>
      <c r="BD229" s="276">
        <f t="shared" si="199"/>
        <v>0</v>
      </c>
      <c r="BE229" s="276">
        <f t="shared" si="200"/>
        <v>0</v>
      </c>
      <c r="BF229" s="686">
        <f t="shared" si="201"/>
        <v>0</v>
      </c>
      <c r="BG229" s="685" t="e">
        <f t="shared" si="202"/>
        <v>#DIV/0!</v>
      </c>
      <c r="BH229" s="276" t="e">
        <f t="shared" si="203"/>
        <v>#DIV/0!</v>
      </c>
      <c r="BI229" s="276" t="e">
        <f t="shared" si="204"/>
        <v>#DIV/0!</v>
      </c>
      <c r="BJ229" s="276" t="e">
        <f t="shared" si="205"/>
        <v>#DIV/0!</v>
      </c>
      <c r="BK229" s="276" t="e">
        <f t="shared" si="206"/>
        <v>#DIV/0!</v>
      </c>
      <c r="BL229" s="686" t="e">
        <f t="shared" si="207"/>
        <v>#DIV/0!</v>
      </c>
      <c r="BM229" s="239"/>
      <c r="BN229" s="965" t="e">
        <f t="shared" si="208"/>
        <v>#VALUE!</v>
      </c>
      <c r="BO229" s="878" t="e">
        <f t="shared" si="209"/>
        <v>#VALUE!</v>
      </c>
      <c r="BP229" s="878" t="e">
        <f t="shared" si="210"/>
        <v>#VALUE!</v>
      </c>
      <c r="BQ229" s="878" t="e">
        <f t="shared" si="211"/>
        <v>#VALUE!</v>
      </c>
      <c r="BR229" s="878" t="e">
        <f t="shared" si="212"/>
        <v>#VALUE!</v>
      </c>
      <c r="BS229" s="966" t="e">
        <f t="shared" si="213"/>
        <v>#VALUE!</v>
      </c>
    </row>
    <row r="230" spans="1:71">
      <c r="A230" s="284">
        <f t="shared" si="214"/>
        <v>162</v>
      </c>
      <c r="B230" s="285">
        <v>0.75623131659534182</v>
      </c>
      <c r="C230" s="285">
        <v>3.0435450796571741</v>
      </c>
      <c r="D230" s="285">
        <v>0.79066137204750053</v>
      </c>
      <c r="E230" s="285">
        <v>1.7044391661517886</v>
      </c>
      <c r="H230" s="685">
        <f t="shared" si="160"/>
        <v>-0.37700252517371302</v>
      </c>
      <c r="I230" s="276">
        <f t="shared" si="161"/>
        <v>2.9649723385550999</v>
      </c>
      <c r="J230" s="276">
        <f t="shared" si="162"/>
        <v>-0.32884916932552255</v>
      </c>
      <c r="K230" s="276">
        <f t="shared" si="163"/>
        <v>-2.9992119784105795</v>
      </c>
      <c r="L230" s="276">
        <f t="shared" si="164"/>
        <v>0.82149154970190597</v>
      </c>
      <c r="M230" s="276">
        <f t="shared" si="165"/>
        <v>-4.1351829422000295</v>
      </c>
      <c r="N230" s="685">
        <f t="shared" si="166"/>
        <v>1.8363738686853057</v>
      </c>
      <c r="O230" s="276">
        <f t="shared" si="167"/>
        <v>1.7968112130197473</v>
      </c>
      <c r="P230" s="276">
        <f t="shared" si="168"/>
        <v>1.8804141521328221</v>
      </c>
      <c r="Q230" s="276">
        <f t="shared" si="169"/>
        <v>1.0005552539780387</v>
      </c>
      <c r="R230" s="276">
        <f t="shared" si="170"/>
        <v>1.5567495113853045</v>
      </c>
      <c r="S230" s="686">
        <f t="shared" si="171"/>
        <v>0.85986777028771511</v>
      </c>
      <c r="T230" s="685">
        <f t="shared" si="172"/>
        <v>4.0690250623184268</v>
      </c>
      <c r="U230" s="276">
        <f t="shared" si="173"/>
        <v>4.7586110070049727</v>
      </c>
      <c r="V230" s="276">
        <f t="shared" si="174"/>
        <v>3.6693866080617821</v>
      </c>
      <c r="W230" s="276">
        <f t="shared" si="175"/>
        <v>1.5781398215774729</v>
      </c>
      <c r="X230" s="276">
        <f t="shared" si="176"/>
        <v>5.9026556728593755</v>
      </c>
      <c r="Y230" s="686">
        <f t="shared" si="177"/>
        <v>4.1802894173634826</v>
      </c>
      <c r="Z230" s="685" t="e">
        <f t="shared" si="178"/>
        <v>#DIV/0!</v>
      </c>
      <c r="AA230" s="276" t="e">
        <f t="shared" si="179"/>
        <v>#DIV/0!</v>
      </c>
      <c r="AB230" s="276" t="e">
        <f t="shared" si="180"/>
        <v>#DIV/0!</v>
      </c>
      <c r="AC230" s="276" t="e">
        <f t="shared" si="181"/>
        <v>#DIV/0!</v>
      </c>
      <c r="AD230" s="276" t="e">
        <f t="shared" si="182"/>
        <v>#DIV/0!</v>
      </c>
      <c r="AE230" s="686" t="e">
        <f t="shared" si="183"/>
        <v>#DIV/0!</v>
      </c>
      <c r="AF230" s="239"/>
      <c r="AG230" s="965" t="e">
        <f t="shared" si="154"/>
        <v>#VALUE!</v>
      </c>
      <c r="AH230" s="878" t="e">
        <f t="shared" si="155"/>
        <v>#VALUE!</v>
      </c>
      <c r="AI230" s="878" t="e">
        <f t="shared" si="156"/>
        <v>#VALUE!</v>
      </c>
      <c r="AJ230" s="878" t="e">
        <f t="shared" si="157"/>
        <v>#VALUE!</v>
      </c>
      <c r="AK230" s="878" t="e">
        <f t="shared" si="158"/>
        <v>#VALUE!</v>
      </c>
      <c r="AL230" s="966" t="e">
        <f t="shared" si="159"/>
        <v>#VALUE!</v>
      </c>
      <c r="AM230" s="239"/>
      <c r="AO230" s="685">
        <f t="shared" si="184"/>
        <v>-0.37700252517371302</v>
      </c>
      <c r="AP230" s="276">
        <f t="shared" si="185"/>
        <v>2.9649723385550999</v>
      </c>
      <c r="AQ230" s="276">
        <f t="shared" si="186"/>
        <v>-0.32884916932552255</v>
      </c>
      <c r="AR230" s="276">
        <f t="shared" si="187"/>
        <v>-2.9992119784105795</v>
      </c>
      <c r="AS230" s="276">
        <f t="shared" si="188"/>
        <v>0.82149154970190597</v>
      </c>
      <c r="AT230" s="276">
        <f t="shared" si="189"/>
        <v>-4.1351829422000295</v>
      </c>
      <c r="AU230" s="685">
        <f t="shared" si="190"/>
        <v>1.8363738686853057</v>
      </c>
      <c r="AV230" s="276">
        <f t="shared" si="191"/>
        <v>1.7968112130197473</v>
      </c>
      <c r="AW230" s="276">
        <f t="shared" si="192"/>
        <v>1.8804141521328221</v>
      </c>
      <c r="AX230" s="276">
        <f t="shared" si="193"/>
        <v>1.0005552539780387</v>
      </c>
      <c r="AY230" s="276">
        <f t="shared" si="194"/>
        <v>1.5567495113853045</v>
      </c>
      <c r="AZ230" s="686">
        <f t="shared" si="195"/>
        <v>0.85986777028771511</v>
      </c>
      <c r="BA230" s="685">
        <f t="shared" si="196"/>
        <v>0</v>
      </c>
      <c r="BB230" s="276">
        <f t="shared" si="197"/>
        <v>0</v>
      </c>
      <c r="BC230" s="276">
        <f t="shared" si="198"/>
        <v>0</v>
      </c>
      <c r="BD230" s="276">
        <f t="shared" si="199"/>
        <v>0</v>
      </c>
      <c r="BE230" s="276">
        <f t="shared" si="200"/>
        <v>0</v>
      </c>
      <c r="BF230" s="686">
        <f t="shared" si="201"/>
        <v>0</v>
      </c>
      <c r="BG230" s="685" t="e">
        <f t="shared" si="202"/>
        <v>#DIV/0!</v>
      </c>
      <c r="BH230" s="276" t="e">
        <f t="shared" si="203"/>
        <v>#DIV/0!</v>
      </c>
      <c r="BI230" s="276" t="e">
        <f t="shared" si="204"/>
        <v>#DIV/0!</v>
      </c>
      <c r="BJ230" s="276" t="e">
        <f t="shared" si="205"/>
        <v>#DIV/0!</v>
      </c>
      <c r="BK230" s="276" t="e">
        <f t="shared" si="206"/>
        <v>#DIV/0!</v>
      </c>
      <c r="BL230" s="686" t="e">
        <f t="shared" si="207"/>
        <v>#DIV/0!</v>
      </c>
      <c r="BM230" s="239"/>
      <c r="BN230" s="965" t="e">
        <f t="shared" si="208"/>
        <v>#VALUE!</v>
      </c>
      <c r="BO230" s="878" t="e">
        <f t="shared" si="209"/>
        <v>#VALUE!</v>
      </c>
      <c r="BP230" s="878" t="e">
        <f t="shared" si="210"/>
        <v>#VALUE!</v>
      </c>
      <c r="BQ230" s="878" t="e">
        <f t="shared" si="211"/>
        <v>#VALUE!</v>
      </c>
      <c r="BR230" s="878" t="e">
        <f t="shared" si="212"/>
        <v>#VALUE!</v>
      </c>
      <c r="BS230" s="966" t="e">
        <f t="shared" si="213"/>
        <v>#VALUE!</v>
      </c>
    </row>
    <row r="231" spans="1:71">
      <c r="A231" s="284">
        <f t="shared" si="214"/>
        <v>163</v>
      </c>
      <c r="B231" s="285">
        <v>2.2606482744802633E-2</v>
      </c>
      <c r="C231" s="285">
        <v>2.2397954326244789</v>
      </c>
      <c r="D231" s="285">
        <v>-0.96990009796124088</v>
      </c>
      <c r="E231" s="285">
        <v>-11.402847266278684</v>
      </c>
      <c r="H231" s="685">
        <f t="shared" si="160"/>
        <v>-1.1106273590242521</v>
      </c>
      <c r="I231" s="276">
        <f t="shared" si="161"/>
        <v>-4.7074335739291584</v>
      </c>
      <c r="J231" s="276">
        <f t="shared" si="162"/>
        <v>-1.6809838697402628</v>
      </c>
      <c r="K231" s="276">
        <f t="shared" si="163"/>
        <v>0.32516735012281162</v>
      </c>
      <c r="L231" s="276">
        <f t="shared" si="164"/>
        <v>-0.96116373450931025</v>
      </c>
      <c r="M231" s="276">
        <f t="shared" si="165"/>
        <v>-2.2686210989539912</v>
      </c>
      <c r="N231" s="685">
        <f t="shared" si="166"/>
        <v>1.0326242216526105</v>
      </c>
      <c r="O231" s="276">
        <f t="shared" si="167"/>
        <v>0.22298562293046476</v>
      </c>
      <c r="P231" s="276">
        <f t="shared" si="168"/>
        <v>1.8005437908516611</v>
      </c>
      <c r="Q231" s="276">
        <f t="shared" si="169"/>
        <v>1.0254109653734373</v>
      </c>
      <c r="R231" s="276">
        <f t="shared" si="170"/>
        <v>1.5841957546182843</v>
      </c>
      <c r="S231" s="686">
        <f t="shared" si="171"/>
        <v>1.2543918367398292</v>
      </c>
      <c r="T231" s="685">
        <f t="shared" si="172"/>
        <v>2.308463592309685</v>
      </c>
      <c r="U231" s="276">
        <f t="shared" si="173"/>
        <v>6.5495309121915435</v>
      </c>
      <c r="V231" s="276">
        <f t="shared" si="174"/>
        <v>4.3382732457001278</v>
      </c>
      <c r="W231" s="276">
        <f t="shared" si="175"/>
        <v>2.639061931791475</v>
      </c>
      <c r="X231" s="276">
        <f t="shared" si="176"/>
        <v>5.6910044359977761</v>
      </c>
      <c r="Y231" s="686">
        <f t="shared" si="177"/>
        <v>4.1679035025070368</v>
      </c>
      <c r="Z231" s="685" t="e">
        <f t="shared" si="178"/>
        <v>#DIV/0!</v>
      </c>
      <c r="AA231" s="276" t="e">
        <f t="shared" si="179"/>
        <v>#DIV/0!</v>
      </c>
      <c r="AB231" s="276" t="e">
        <f t="shared" si="180"/>
        <v>#DIV/0!</v>
      </c>
      <c r="AC231" s="276" t="e">
        <f t="shared" si="181"/>
        <v>#DIV/0!</v>
      </c>
      <c r="AD231" s="276" t="e">
        <f t="shared" si="182"/>
        <v>#DIV/0!</v>
      </c>
      <c r="AE231" s="686" t="e">
        <f t="shared" si="183"/>
        <v>#DIV/0!</v>
      </c>
      <c r="AF231" s="239"/>
      <c r="AG231" s="965" t="e">
        <f t="shared" si="154"/>
        <v>#VALUE!</v>
      </c>
      <c r="AH231" s="878" t="e">
        <f t="shared" si="155"/>
        <v>#VALUE!</v>
      </c>
      <c r="AI231" s="878" t="e">
        <f t="shared" si="156"/>
        <v>#VALUE!</v>
      </c>
      <c r="AJ231" s="878" t="e">
        <f t="shared" si="157"/>
        <v>#VALUE!</v>
      </c>
      <c r="AK231" s="878" t="e">
        <f t="shared" si="158"/>
        <v>#VALUE!</v>
      </c>
      <c r="AL231" s="966" t="e">
        <f t="shared" si="159"/>
        <v>#VALUE!</v>
      </c>
      <c r="AM231" s="239"/>
      <c r="AO231" s="685">
        <f t="shared" si="184"/>
        <v>-1.1106273590242521</v>
      </c>
      <c r="AP231" s="276">
        <f t="shared" si="185"/>
        <v>-4.7074335739291584</v>
      </c>
      <c r="AQ231" s="276">
        <f t="shared" si="186"/>
        <v>-1.6809838697402628</v>
      </c>
      <c r="AR231" s="276">
        <f t="shared" si="187"/>
        <v>0.32516735012281162</v>
      </c>
      <c r="AS231" s="276">
        <f t="shared" si="188"/>
        <v>-0.96116373450931025</v>
      </c>
      <c r="AT231" s="276">
        <f t="shared" si="189"/>
        <v>-2.2686210989539912</v>
      </c>
      <c r="AU231" s="685">
        <f t="shared" si="190"/>
        <v>1.0326242216526105</v>
      </c>
      <c r="AV231" s="276">
        <f t="shared" si="191"/>
        <v>0.22298562293046476</v>
      </c>
      <c r="AW231" s="276">
        <f t="shared" si="192"/>
        <v>1.8005437908516611</v>
      </c>
      <c r="AX231" s="276">
        <f t="shared" si="193"/>
        <v>1.0254109653734373</v>
      </c>
      <c r="AY231" s="276">
        <f t="shared" si="194"/>
        <v>1.5841957546182843</v>
      </c>
      <c r="AZ231" s="686">
        <f t="shared" si="195"/>
        <v>1.2543918367398292</v>
      </c>
      <c r="BA231" s="685">
        <f t="shared" si="196"/>
        <v>0</v>
      </c>
      <c r="BB231" s="276">
        <f t="shared" si="197"/>
        <v>0</v>
      </c>
      <c r="BC231" s="276">
        <f t="shared" si="198"/>
        <v>0</v>
      </c>
      <c r="BD231" s="276">
        <f t="shared" si="199"/>
        <v>0</v>
      </c>
      <c r="BE231" s="276">
        <f t="shared" si="200"/>
        <v>0</v>
      </c>
      <c r="BF231" s="686">
        <f t="shared" si="201"/>
        <v>0</v>
      </c>
      <c r="BG231" s="685" t="e">
        <f t="shared" si="202"/>
        <v>#DIV/0!</v>
      </c>
      <c r="BH231" s="276" t="e">
        <f t="shared" si="203"/>
        <v>#DIV/0!</v>
      </c>
      <c r="BI231" s="276" t="e">
        <f t="shared" si="204"/>
        <v>#DIV/0!</v>
      </c>
      <c r="BJ231" s="276" t="e">
        <f t="shared" si="205"/>
        <v>#DIV/0!</v>
      </c>
      <c r="BK231" s="276" t="e">
        <f t="shared" si="206"/>
        <v>#DIV/0!</v>
      </c>
      <c r="BL231" s="686" t="e">
        <f t="shared" si="207"/>
        <v>#DIV/0!</v>
      </c>
      <c r="BM231" s="239"/>
      <c r="BN231" s="965" t="e">
        <f t="shared" si="208"/>
        <v>#VALUE!</v>
      </c>
      <c r="BO231" s="878" t="e">
        <f t="shared" si="209"/>
        <v>#VALUE!</v>
      </c>
      <c r="BP231" s="878" t="e">
        <f t="shared" si="210"/>
        <v>#VALUE!</v>
      </c>
      <c r="BQ231" s="878" t="e">
        <f t="shared" si="211"/>
        <v>#VALUE!</v>
      </c>
      <c r="BR231" s="878" t="e">
        <f t="shared" si="212"/>
        <v>#VALUE!</v>
      </c>
      <c r="BS231" s="966" t="e">
        <f t="shared" si="213"/>
        <v>#VALUE!</v>
      </c>
    </row>
    <row r="232" spans="1:71">
      <c r="A232" s="284">
        <f t="shared" si="214"/>
        <v>164</v>
      </c>
      <c r="B232" s="285">
        <v>5.2509264357056482</v>
      </c>
      <c r="C232" s="285">
        <v>3.2100086678939208</v>
      </c>
      <c r="D232" s="285">
        <v>0.19142829058783661</v>
      </c>
      <c r="E232" s="285">
        <v>-2.2529339736722513</v>
      </c>
      <c r="H232" s="685">
        <f t="shared" si="160"/>
        <v>4.1176925939365931</v>
      </c>
      <c r="I232" s="276">
        <f t="shared" si="161"/>
        <v>-1.8615683359203281</v>
      </c>
      <c r="J232" s="276">
        <f t="shared" si="162"/>
        <v>0.94375620271941973</v>
      </c>
      <c r="K232" s="276">
        <f t="shared" si="163"/>
        <v>-1.7193901168294281</v>
      </c>
      <c r="L232" s="276">
        <f t="shared" si="164"/>
        <v>-0.48481565088331535</v>
      </c>
      <c r="M232" s="276">
        <f t="shared" si="165"/>
        <v>-3.0362897934769886</v>
      </c>
      <c r="N232" s="685">
        <f t="shared" si="166"/>
        <v>2.0028374569220526</v>
      </c>
      <c r="O232" s="276">
        <f t="shared" si="167"/>
        <v>1.0356766505645589</v>
      </c>
      <c r="P232" s="276">
        <f t="shared" si="168"/>
        <v>1.5356835272662999</v>
      </c>
      <c r="Q232" s="276">
        <f t="shared" si="169"/>
        <v>1.2553271457623796</v>
      </c>
      <c r="R232" s="276">
        <f t="shared" si="170"/>
        <v>0.91205456815493924</v>
      </c>
      <c r="S232" s="686">
        <f t="shared" si="171"/>
        <v>1.5968888234685685</v>
      </c>
      <c r="T232" s="685">
        <f t="shared" si="172"/>
        <v>3.4697919808587625</v>
      </c>
      <c r="U232" s="276">
        <f t="shared" si="173"/>
        <v>4.4172099709805206</v>
      </c>
      <c r="V232" s="276">
        <f t="shared" si="174"/>
        <v>6.9815268234418042</v>
      </c>
      <c r="W232" s="276">
        <f t="shared" si="175"/>
        <v>5.2974039476468748</v>
      </c>
      <c r="X232" s="276">
        <f t="shared" si="176"/>
        <v>5.0705511536644305</v>
      </c>
      <c r="Y232" s="686">
        <f t="shared" si="177"/>
        <v>2.2618904244328135</v>
      </c>
      <c r="Z232" s="685" t="e">
        <f t="shared" si="178"/>
        <v>#DIV/0!</v>
      </c>
      <c r="AA232" s="276" t="e">
        <f t="shared" si="179"/>
        <v>#DIV/0!</v>
      </c>
      <c r="AB232" s="276" t="e">
        <f t="shared" si="180"/>
        <v>#DIV/0!</v>
      </c>
      <c r="AC232" s="276" t="e">
        <f t="shared" si="181"/>
        <v>#DIV/0!</v>
      </c>
      <c r="AD232" s="276" t="e">
        <f t="shared" si="182"/>
        <v>#DIV/0!</v>
      </c>
      <c r="AE232" s="686" t="e">
        <f t="shared" si="183"/>
        <v>#DIV/0!</v>
      </c>
      <c r="AF232" s="239"/>
      <c r="AG232" s="965" t="e">
        <f t="shared" si="154"/>
        <v>#VALUE!</v>
      </c>
      <c r="AH232" s="878" t="e">
        <f t="shared" si="155"/>
        <v>#VALUE!</v>
      </c>
      <c r="AI232" s="878" t="e">
        <f t="shared" si="156"/>
        <v>#VALUE!</v>
      </c>
      <c r="AJ232" s="878" t="e">
        <f t="shared" si="157"/>
        <v>#VALUE!</v>
      </c>
      <c r="AK232" s="878" t="e">
        <f t="shared" si="158"/>
        <v>#VALUE!</v>
      </c>
      <c r="AL232" s="966" t="e">
        <f t="shared" si="159"/>
        <v>#VALUE!</v>
      </c>
      <c r="AM232" s="239"/>
      <c r="AO232" s="685">
        <f t="shared" si="184"/>
        <v>4.1176925939365931</v>
      </c>
      <c r="AP232" s="276">
        <f t="shared" si="185"/>
        <v>-1.8615683359203281</v>
      </c>
      <c r="AQ232" s="276">
        <f t="shared" si="186"/>
        <v>0.94375620271941973</v>
      </c>
      <c r="AR232" s="276">
        <f t="shared" si="187"/>
        <v>-1.7193901168294281</v>
      </c>
      <c r="AS232" s="276">
        <f t="shared" si="188"/>
        <v>-0.48481565088331535</v>
      </c>
      <c r="AT232" s="276">
        <f t="shared" si="189"/>
        <v>-3.0362897934769886</v>
      </c>
      <c r="AU232" s="685">
        <f t="shared" si="190"/>
        <v>2.0028374569220526</v>
      </c>
      <c r="AV232" s="276">
        <f t="shared" si="191"/>
        <v>1.0356766505645589</v>
      </c>
      <c r="AW232" s="276">
        <f t="shared" si="192"/>
        <v>1.5356835272662999</v>
      </c>
      <c r="AX232" s="276">
        <f t="shared" si="193"/>
        <v>1.2553271457623796</v>
      </c>
      <c r="AY232" s="276">
        <f t="shared" si="194"/>
        <v>0.91205456815493924</v>
      </c>
      <c r="AZ232" s="686">
        <f t="shared" si="195"/>
        <v>1.5968888234685685</v>
      </c>
      <c r="BA232" s="685">
        <f t="shared" si="196"/>
        <v>0</v>
      </c>
      <c r="BB232" s="276">
        <f t="shared" si="197"/>
        <v>0</v>
      </c>
      <c r="BC232" s="276">
        <f t="shared" si="198"/>
        <v>0</v>
      </c>
      <c r="BD232" s="276">
        <f t="shared" si="199"/>
        <v>0</v>
      </c>
      <c r="BE232" s="276">
        <f t="shared" si="200"/>
        <v>0</v>
      </c>
      <c r="BF232" s="686">
        <f t="shared" si="201"/>
        <v>0</v>
      </c>
      <c r="BG232" s="685" t="e">
        <f t="shared" si="202"/>
        <v>#DIV/0!</v>
      </c>
      <c r="BH232" s="276" t="e">
        <f t="shared" si="203"/>
        <v>#DIV/0!</v>
      </c>
      <c r="BI232" s="276" t="e">
        <f t="shared" si="204"/>
        <v>#DIV/0!</v>
      </c>
      <c r="BJ232" s="276" t="e">
        <f t="shared" si="205"/>
        <v>#DIV/0!</v>
      </c>
      <c r="BK232" s="276" t="e">
        <f t="shared" si="206"/>
        <v>#DIV/0!</v>
      </c>
      <c r="BL232" s="686" t="e">
        <f t="shared" si="207"/>
        <v>#DIV/0!</v>
      </c>
      <c r="BM232" s="239"/>
      <c r="BN232" s="965" t="e">
        <f t="shared" si="208"/>
        <v>#VALUE!</v>
      </c>
      <c r="BO232" s="878" t="e">
        <f t="shared" si="209"/>
        <v>#VALUE!</v>
      </c>
      <c r="BP232" s="878" t="e">
        <f t="shared" si="210"/>
        <v>#VALUE!</v>
      </c>
      <c r="BQ232" s="878" t="e">
        <f t="shared" si="211"/>
        <v>#VALUE!</v>
      </c>
      <c r="BR232" s="878" t="e">
        <f t="shared" si="212"/>
        <v>#VALUE!</v>
      </c>
      <c r="BS232" s="966" t="e">
        <f t="shared" si="213"/>
        <v>#VALUE!</v>
      </c>
    </row>
    <row r="233" spans="1:71">
      <c r="A233" s="284">
        <f t="shared" si="214"/>
        <v>165</v>
      </c>
      <c r="B233" s="285">
        <v>-3.1024634552179933</v>
      </c>
      <c r="C233" s="285">
        <v>1.8223660786267966</v>
      </c>
      <c r="D233" s="285">
        <v>-0.50955202835558278</v>
      </c>
      <c r="E233" s="285">
        <v>-6.9207236569127613</v>
      </c>
      <c r="H233" s="685">
        <f t="shared" si="160"/>
        <v>-4.2356972969870483</v>
      </c>
      <c r="I233" s="276">
        <f t="shared" si="161"/>
        <v>0.67554855984649387</v>
      </c>
      <c r="J233" s="276">
        <f t="shared" si="162"/>
        <v>-2.1374334533630175</v>
      </c>
      <c r="K233" s="276">
        <f t="shared" si="163"/>
        <v>-0.19078271784053114</v>
      </c>
      <c r="L233" s="276">
        <f t="shared" si="164"/>
        <v>-1.9512533377809347</v>
      </c>
      <c r="M233" s="276">
        <f t="shared" si="165"/>
        <v>-2.0733641017030831</v>
      </c>
      <c r="N233" s="685">
        <f t="shared" si="166"/>
        <v>0.61519486765492815</v>
      </c>
      <c r="O233" s="276">
        <f t="shared" si="167"/>
        <v>1.0710103772446089</v>
      </c>
      <c r="P233" s="276">
        <f t="shared" si="168"/>
        <v>0.91404220140254844</v>
      </c>
      <c r="Q233" s="276">
        <f t="shared" si="169"/>
        <v>1.8995615974254878</v>
      </c>
      <c r="R233" s="276">
        <f t="shared" si="170"/>
        <v>1.0894617734477012</v>
      </c>
      <c r="S233" s="686">
        <f t="shared" si="171"/>
        <v>1.0807197119407765</v>
      </c>
      <c r="T233" s="685">
        <f t="shared" si="172"/>
        <v>2.7688116619153433</v>
      </c>
      <c r="U233" s="276">
        <f t="shared" si="173"/>
        <v>5.7162102162488075</v>
      </c>
      <c r="V233" s="276">
        <f t="shared" si="174"/>
        <v>6.0053654264713341</v>
      </c>
      <c r="W233" s="276">
        <f t="shared" si="175"/>
        <v>3.6644616733264757</v>
      </c>
      <c r="X233" s="276">
        <f t="shared" si="176"/>
        <v>5.0000416709277742</v>
      </c>
      <c r="Y233" s="686">
        <f t="shared" si="177"/>
        <v>5.5987705227542461</v>
      </c>
      <c r="Z233" s="685" t="e">
        <f t="shared" si="178"/>
        <v>#DIV/0!</v>
      </c>
      <c r="AA233" s="276" t="e">
        <f t="shared" si="179"/>
        <v>#DIV/0!</v>
      </c>
      <c r="AB233" s="276" t="e">
        <f t="shared" si="180"/>
        <v>#DIV/0!</v>
      </c>
      <c r="AC233" s="276" t="e">
        <f t="shared" si="181"/>
        <v>#DIV/0!</v>
      </c>
      <c r="AD233" s="276" t="e">
        <f t="shared" si="182"/>
        <v>#DIV/0!</v>
      </c>
      <c r="AE233" s="686" t="e">
        <f t="shared" si="183"/>
        <v>#DIV/0!</v>
      </c>
      <c r="AF233" s="239"/>
      <c r="AG233" s="965" t="e">
        <f t="shared" si="154"/>
        <v>#VALUE!</v>
      </c>
      <c r="AH233" s="878" t="e">
        <f t="shared" si="155"/>
        <v>#VALUE!</v>
      </c>
      <c r="AI233" s="878" t="e">
        <f t="shared" si="156"/>
        <v>#VALUE!</v>
      </c>
      <c r="AJ233" s="878" t="e">
        <f t="shared" si="157"/>
        <v>#VALUE!</v>
      </c>
      <c r="AK233" s="878" t="e">
        <f t="shared" si="158"/>
        <v>#VALUE!</v>
      </c>
      <c r="AL233" s="966" t="e">
        <f t="shared" si="159"/>
        <v>#VALUE!</v>
      </c>
      <c r="AM233" s="239"/>
      <c r="AO233" s="685">
        <f t="shared" si="184"/>
        <v>-4.2356972969870483</v>
      </c>
      <c r="AP233" s="276">
        <f t="shared" si="185"/>
        <v>0.67554855984649387</v>
      </c>
      <c r="AQ233" s="276">
        <f t="shared" si="186"/>
        <v>-2.1374334533630175</v>
      </c>
      <c r="AR233" s="276">
        <f t="shared" si="187"/>
        <v>-0.19078271784053114</v>
      </c>
      <c r="AS233" s="276">
        <f t="shared" si="188"/>
        <v>-1.9512533377809347</v>
      </c>
      <c r="AT233" s="276">
        <f t="shared" si="189"/>
        <v>-2.0733641017030831</v>
      </c>
      <c r="AU233" s="685">
        <f t="shared" si="190"/>
        <v>0.61519486765492815</v>
      </c>
      <c r="AV233" s="276">
        <f t="shared" si="191"/>
        <v>1.0710103772446089</v>
      </c>
      <c r="AW233" s="276">
        <f t="shared" si="192"/>
        <v>0.91404220140254844</v>
      </c>
      <c r="AX233" s="276">
        <f t="shared" si="193"/>
        <v>1.8995615974254878</v>
      </c>
      <c r="AY233" s="276">
        <f t="shared" si="194"/>
        <v>1.0894617734477012</v>
      </c>
      <c r="AZ233" s="686">
        <f t="shared" si="195"/>
        <v>1.0807197119407765</v>
      </c>
      <c r="BA233" s="685">
        <f t="shared" si="196"/>
        <v>0</v>
      </c>
      <c r="BB233" s="276">
        <f t="shared" si="197"/>
        <v>0</v>
      </c>
      <c r="BC233" s="276">
        <f t="shared" si="198"/>
        <v>0</v>
      </c>
      <c r="BD233" s="276">
        <f t="shared" si="199"/>
        <v>0</v>
      </c>
      <c r="BE233" s="276">
        <f t="shared" si="200"/>
        <v>0</v>
      </c>
      <c r="BF233" s="686">
        <f t="shared" si="201"/>
        <v>0</v>
      </c>
      <c r="BG233" s="685" t="e">
        <f t="shared" si="202"/>
        <v>#DIV/0!</v>
      </c>
      <c r="BH233" s="276" t="e">
        <f t="shared" si="203"/>
        <v>#DIV/0!</v>
      </c>
      <c r="BI233" s="276" t="e">
        <f t="shared" si="204"/>
        <v>#DIV/0!</v>
      </c>
      <c r="BJ233" s="276" t="e">
        <f t="shared" si="205"/>
        <v>#DIV/0!</v>
      </c>
      <c r="BK233" s="276" t="e">
        <f t="shared" si="206"/>
        <v>#DIV/0!</v>
      </c>
      <c r="BL233" s="686" t="e">
        <f t="shared" si="207"/>
        <v>#DIV/0!</v>
      </c>
      <c r="BM233" s="239"/>
      <c r="BN233" s="965" t="e">
        <f t="shared" si="208"/>
        <v>#VALUE!</v>
      </c>
      <c r="BO233" s="878" t="e">
        <f t="shared" si="209"/>
        <v>#VALUE!</v>
      </c>
      <c r="BP233" s="878" t="e">
        <f t="shared" si="210"/>
        <v>#VALUE!</v>
      </c>
      <c r="BQ233" s="878" t="e">
        <f t="shared" si="211"/>
        <v>#VALUE!</v>
      </c>
      <c r="BR233" s="878" t="e">
        <f t="shared" si="212"/>
        <v>#VALUE!</v>
      </c>
      <c r="BS233" s="966" t="e">
        <f t="shared" si="213"/>
        <v>#VALUE!</v>
      </c>
    </row>
    <row r="234" spans="1:71">
      <c r="A234" s="284">
        <f t="shared" si="214"/>
        <v>166</v>
      </c>
      <c r="B234" s="285">
        <v>2.0914360687947791</v>
      </c>
      <c r="C234" s="285">
        <v>2.2286977315449019</v>
      </c>
      <c r="D234" s="285">
        <v>3.8202291478437744</v>
      </c>
      <c r="E234" s="285">
        <v>-1.2459428865792801</v>
      </c>
      <c r="H234" s="685">
        <f t="shared" si="160"/>
        <v>0.95820222702572422</v>
      </c>
      <c r="I234" s="276">
        <f t="shared" si="161"/>
        <v>-3.6426689059381205</v>
      </c>
      <c r="J234" s="276">
        <f t="shared" si="162"/>
        <v>-0.98834123061896006</v>
      </c>
      <c r="K234" s="276">
        <f t="shared" si="163"/>
        <v>-0.76372902155491462</v>
      </c>
      <c r="L234" s="276">
        <f t="shared" si="164"/>
        <v>1.4521023148111902</v>
      </c>
      <c r="M234" s="276">
        <f t="shared" si="165"/>
        <v>-1.526100278321781</v>
      </c>
      <c r="N234" s="685">
        <f t="shared" si="166"/>
        <v>1.0215265205730335</v>
      </c>
      <c r="O234" s="276">
        <f t="shared" si="167"/>
        <v>0.85004215072667333</v>
      </c>
      <c r="P234" s="276">
        <f t="shared" si="168"/>
        <v>1.2870423404887881</v>
      </c>
      <c r="Q234" s="276">
        <f t="shared" si="169"/>
        <v>1.2452162380833058</v>
      </c>
      <c r="R234" s="276">
        <f t="shared" si="170"/>
        <v>1.943011691906021</v>
      </c>
      <c r="S234" s="686">
        <f t="shared" si="171"/>
        <v>1.5300005021861869</v>
      </c>
      <c r="T234" s="685">
        <f t="shared" si="172"/>
        <v>7.0985928381147003</v>
      </c>
      <c r="U234" s="276">
        <f t="shared" si="173"/>
        <v>3.6095159643024517</v>
      </c>
      <c r="V234" s="276">
        <f t="shared" si="174"/>
        <v>6.7876922742250336</v>
      </c>
      <c r="W234" s="276">
        <f t="shared" si="175"/>
        <v>4.2987704347612672</v>
      </c>
      <c r="X234" s="276">
        <f t="shared" si="176"/>
        <v>5.1877688274054066</v>
      </c>
      <c r="Y234" s="686">
        <f t="shared" si="177"/>
        <v>4.5937146490754923</v>
      </c>
      <c r="Z234" s="685" t="e">
        <f t="shared" si="178"/>
        <v>#DIV/0!</v>
      </c>
      <c r="AA234" s="276" t="e">
        <f t="shared" si="179"/>
        <v>#DIV/0!</v>
      </c>
      <c r="AB234" s="276" t="e">
        <f t="shared" si="180"/>
        <v>#DIV/0!</v>
      </c>
      <c r="AC234" s="276" t="e">
        <f t="shared" si="181"/>
        <v>#DIV/0!</v>
      </c>
      <c r="AD234" s="276" t="e">
        <f t="shared" si="182"/>
        <v>#DIV/0!</v>
      </c>
      <c r="AE234" s="686" t="e">
        <f t="shared" si="183"/>
        <v>#DIV/0!</v>
      </c>
      <c r="AF234" s="239"/>
      <c r="AG234" s="965" t="e">
        <f t="shared" si="154"/>
        <v>#VALUE!</v>
      </c>
      <c r="AH234" s="878" t="e">
        <f t="shared" si="155"/>
        <v>#VALUE!</v>
      </c>
      <c r="AI234" s="878" t="e">
        <f t="shared" si="156"/>
        <v>#VALUE!</v>
      </c>
      <c r="AJ234" s="878" t="e">
        <f t="shared" si="157"/>
        <v>#VALUE!</v>
      </c>
      <c r="AK234" s="878" t="e">
        <f t="shared" si="158"/>
        <v>#VALUE!</v>
      </c>
      <c r="AL234" s="966" t="e">
        <f t="shared" si="159"/>
        <v>#VALUE!</v>
      </c>
      <c r="AM234" s="239"/>
      <c r="AO234" s="685">
        <f t="shared" si="184"/>
        <v>0.95820222702572422</v>
      </c>
      <c r="AP234" s="276">
        <f t="shared" si="185"/>
        <v>-3.6426689059381205</v>
      </c>
      <c r="AQ234" s="276">
        <f t="shared" si="186"/>
        <v>-0.98834123061896006</v>
      </c>
      <c r="AR234" s="276">
        <f t="shared" si="187"/>
        <v>-0.76372902155491462</v>
      </c>
      <c r="AS234" s="276">
        <f t="shared" si="188"/>
        <v>1.4521023148111902</v>
      </c>
      <c r="AT234" s="276">
        <f t="shared" si="189"/>
        <v>-1.526100278321781</v>
      </c>
      <c r="AU234" s="685">
        <f t="shared" si="190"/>
        <v>1.0215265205730335</v>
      </c>
      <c r="AV234" s="276">
        <f t="shared" si="191"/>
        <v>0.85004215072667333</v>
      </c>
      <c r="AW234" s="276">
        <f t="shared" si="192"/>
        <v>1.2870423404887881</v>
      </c>
      <c r="AX234" s="276">
        <f t="shared" si="193"/>
        <v>1.2452162380833058</v>
      </c>
      <c r="AY234" s="276">
        <f t="shared" si="194"/>
        <v>1.943011691906021</v>
      </c>
      <c r="AZ234" s="686">
        <f t="shared" si="195"/>
        <v>1.5300005021861869</v>
      </c>
      <c r="BA234" s="685">
        <f t="shared" si="196"/>
        <v>0</v>
      </c>
      <c r="BB234" s="276">
        <f t="shared" si="197"/>
        <v>0</v>
      </c>
      <c r="BC234" s="276">
        <f t="shared" si="198"/>
        <v>0</v>
      </c>
      <c r="BD234" s="276">
        <f t="shared" si="199"/>
        <v>0</v>
      </c>
      <c r="BE234" s="276">
        <f t="shared" si="200"/>
        <v>0</v>
      </c>
      <c r="BF234" s="686">
        <f t="shared" si="201"/>
        <v>0</v>
      </c>
      <c r="BG234" s="685" t="e">
        <f t="shared" si="202"/>
        <v>#DIV/0!</v>
      </c>
      <c r="BH234" s="276" t="e">
        <f t="shared" si="203"/>
        <v>#DIV/0!</v>
      </c>
      <c r="BI234" s="276" t="e">
        <f t="shared" si="204"/>
        <v>#DIV/0!</v>
      </c>
      <c r="BJ234" s="276" t="e">
        <f t="shared" si="205"/>
        <v>#DIV/0!</v>
      </c>
      <c r="BK234" s="276" t="e">
        <f t="shared" si="206"/>
        <v>#DIV/0!</v>
      </c>
      <c r="BL234" s="686" t="e">
        <f t="shared" si="207"/>
        <v>#DIV/0!</v>
      </c>
      <c r="BM234" s="239"/>
      <c r="BN234" s="965" t="e">
        <f t="shared" si="208"/>
        <v>#VALUE!</v>
      </c>
      <c r="BO234" s="878" t="e">
        <f t="shared" si="209"/>
        <v>#VALUE!</v>
      </c>
      <c r="BP234" s="878" t="e">
        <f t="shared" si="210"/>
        <v>#VALUE!</v>
      </c>
      <c r="BQ234" s="878" t="e">
        <f t="shared" si="211"/>
        <v>#VALUE!</v>
      </c>
      <c r="BR234" s="878" t="e">
        <f t="shared" si="212"/>
        <v>#VALUE!</v>
      </c>
      <c r="BS234" s="966" t="e">
        <f t="shared" si="213"/>
        <v>#VALUE!</v>
      </c>
    </row>
    <row r="235" spans="1:71">
      <c r="A235" s="284">
        <f t="shared" si="214"/>
        <v>167</v>
      </c>
      <c r="B235" s="285">
        <v>-1.3625280972664107</v>
      </c>
      <c r="C235" s="285">
        <v>2.7599559251014765</v>
      </c>
      <c r="D235" s="285">
        <v>2.3315667529767605</v>
      </c>
      <c r="E235" s="285">
        <v>-1.9711056176184325</v>
      </c>
      <c r="H235" s="685">
        <f t="shared" si="160"/>
        <v>-2.4957619390354653</v>
      </c>
      <c r="I235" s="276">
        <f t="shared" si="161"/>
        <v>0.39516141553776296</v>
      </c>
      <c r="J235" s="276">
        <f t="shared" si="162"/>
        <v>-0.841922058061644</v>
      </c>
      <c r="K235" s="276">
        <f t="shared" si="163"/>
        <v>-0.51558021181045721</v>
      </c>
      <c r="L235" s="276">
        <f t="shared" si="164"/>
        <v>-1.5991986801160196</v>
      </c>
      <c r="M235" s="276">
        <f t="shared" si="165"/>
        <v>-3.5805638378299829</v>
      </c>
      <c r="N235" s="685">
        <f t="shared" si="166"/>
        <v>1.5527847141296081</v>
      </c>
      <c r="O235" s="276">
        <f t="shared" si="167"/>
        <v>1.5621646806726186</v>
      </c>
      <c r="P235" s="276">
        <f t="shared" si="168"/>
        <v>2.1857162472463152</v>
      </c>
      <c r="Q235" s="276">
        <f t="shared" si="169"/>
        <v>0.89457226992921313</v>
      </c>
      <c r="R235" s="276">
        <f t="shared" si="170"/>
        <v>1.7852359272207214</v>
      </c>
      <c r="S235" s="686">
        <f t="shared" si="171"/>
        <v>1.3177833621215427</v>
      </c>
      <c r="T235" s="685">
        <f t="shared" si="172"/>
        <v>5.609930443247686</v>
      </c>
      <c r="U235" s="276">
        <f t="shared" si="173"/>
        <v>3.5969708507959393</v>
      </c>
      <c r="V235" s="276">
        <f t="shared" si="174"/>
        <v>3.0895508281901898</v>
      </c>
      <c r="W235" s="276">
        <f t="shared" si="175"/>
        <v>5.5099919867218361</v>
      </c>
      <c r="X235" s="276">
        <f t="shared" si="176"/>
        <v>5.0056208075971469</v>
      </c>
      <c r="Y235" s="686">
        <f t="shared" si="177"/>
        <v>5.1060805749803286</v>
      </c>
      <c r="Z235" s="685" t="e">
        <f t="shared" si="178"/>
        <v>#DIV/0!</v>
      </c>
      <c r="AA235" s="276" t="e">
        <f t="shared" si="179"/>
        <v>#DIV/0!</v>
      </c>
      <c r="AB235" s="276" t="e">
        <f t="shared" si="180"/>
        <v>#DIV/0!</v>
      </c>
      <c r="AC235" s="276" t="e">
        <f t="shared" si="181"/>
        <v>#DIV/0!</v>
      </c>
      <c r="AD235" s="276" t="e">
        <f t="shared" si="182"/>
        <v>#DIV/0!</v>
      </c>
      <c r="AE235" s="686" t="e">
        <f t="shared" si="183"/>
        <v>#DIV/0!</v>
      </c>
      <c r="AF235" s="239"/>
      <c r="AG235" s="965" t="e">
        <f t="shared" si="154"/>
        <v>#VALUE!</v>
      </c>
      <c r="AH235" s="878" t="e">
        <f t="shared" si="155"/>
        <v>#VALUE!</v>
      </c>
      <c r="AI235" s="878" t="e">
        <f t="shared" si="156"/>
        <v>#VALUE!</v>
      </c>
      <c r="AJ235" s="878" t="e">
        <f t="shared" si="157"/>
        <v>#VALUE!</v>
      </c>
      <c r="AK235" s="878" t="e">
        <f t="shared" si="158"/>
        <v>#VALUE!</v>
      </c>
      <c r="AL235" s="966" t="e">
        <f t="shared" si="159"/>
        <v>#VALUE!</v>
      </c>
      <c r="AM235" s="239"/>
      <c r="AO235" s="685">
        <f t="shared" si="184"/>
        <v>-2.4957619390354653</v>
      </c>
      <c r="AP235" s="276">
        <f t="shared" si="185"/>
        <v>0.39516141553776296</v>
      </c>
      <c r="AQ235" s="276">
        <f t="shared" si="186"/>
        <v>-0.841922058061644</v>
      </c>
      <c r="AR235" s="276">
        <f t="shared" si="187"/>
        <v>-0.51558021181045721</v>
      </c>
      <c r="AS235" s="276">
        <f t="shared" si="188"/>
        <v>-1.5991986801160196</v>
      </c>
      <c r="AT235" s="276">
        <f t="shared" si="189"/>
        <v>-3.5805638378299829</v>
      </c>
      <c r="AU235" s="685">
        <f t="shared" si="190"/>
        <v>1.5527847141296081</v>
      </c>
      <c r="AV235" s="276">
        <f t="shared" si="191"/>
        <v>1.5621646806726186</v>
      </c>
      <c r="AW235" s="276">
        <f t="shared" si="192"/>
        <v>2.1857162472463152</v>
      </c>
      <c r="AX235" s="276">
        <f t="shared" si="193"/>
        <v>0.89457226992921313</v>
      </c>
      <c r="AY235" s="276">
        <f t="shared" si="194"/>
        <v>1.7852359272207214</v>
      </c>
      <c r="AZ235" s="686">
        <f t="shared" si="195"/>
        <v>1.3177833621215427</v>
      </c>
      <c r="BA235" s="685">
        <f t="shared" si="196"/>
        <v>0</v>
      </c>
      <c r="BB235" s="276">
        <f t="shared" si="197"/>
        <v>0</v>
      </c>
      <c r="BC235" s="276">
        <f t="shared" si="198"/>
        <v>0</v>
      </c>
      <c r="BD235" s="276">
        <f t="shared" si="199"/>
        <v>0</v>
      </c>
      <c r="BE235" s="276">
        <f t="shared" si="200"/>
        <v>0</v>
      </c>
      <c r="BF235" s="686">
        <f t="shared" si="201"/>
        <v>0</v>
      </c>
      <c r="BG235" s="685" t="e">
        <f t="shared" si="202"/>
        <v>#DIV/0!</v>
      </c>
      <c r="BH235" s="276" t="e">
        <f t="shared" si="203"/>
        <v>#DIV/0!</v>
      </c>
      <c r="BI235" s="276" t="e">
        <f t="shared" si="204"/>
        <v>#DIV/0!</v>
      </c>
      <c r="BJ235" s="276" t="e">
        <f t="shared" si="205"/>
        <v>#DIV/0!</v>
      </c>
      <c r="BK235" s="276" t="e">
        <f t="shared" si="206"/>
        <v>#DIV/0!</v>
      </c>
      <c r="BL235" s="686" t="e">
        <f t="shared" si="207"/>
        <v>#DIV/0!</v>
      </c>
      <c r="BM235" s="239"/>
      <c r="BN235" s="965" t="e">
        <f t="shared" si="208"/>
        <v>#VALUE!</v>
      </c>
      <c r="BO235" s="878" t="e">
        <f t="shared" si="209"/>
        <v>#VALUE!</v>
      </c>
      <c r="BP235" s="878" t="e">
        <f t="shared" si="210"/>
        <v>#VALUE!</v>
      </c>
      <c r="BQ235" s="878" t="e">
        <f t="shared" si="211"/>
        <v>#VALUE!</v>
      </c>
      <c r="BR235" s="878" t="e">
        <f t="shared" si="212"/>
        <v>#VALUE!</v>
      </c>
      <c r="BS235" s="966" t="e">
        <f t="shared" si="213"/>
        <v>#VALUE!</v>
      </c>
    </row>
    <row r="236" spans="1:71">
      <c r="A236" s="284">
        <f t="shared" si="214"/>
        <v>168</v>
      </c>
      <c r="B236" s="285">
        <v>5.2873599163986986</v>
      </c>
      <c r="C236" s="285">
        <v>2.8705063229059209</v>
      </c>
      <c r="D236" s="285">
        <v>2.0332636399272537</v>
      </c>
      <c r="E236" s="285">
        <v>-10.80984009313608</v>
      </c>
      <c r="H236" s="685">
        <f t="shared" si="160"/>
        <v>4.1541260746296436</v>
      </c>
      <c r="I236" s="276">
        <f t="shared" si="161"/>
        <v>2.1577722081353459</v>
      </c>
      <c r="J236" s="276">
        <f t="shared" si="162"/>
        <v>-1.5195455096243988</v>
      </c>
      <c r="K236" s="276">
        <f t="shared" si="163"/>
        <v>2.5351026533026486</v>
      </c>
      <c r="L236" s="276">
        <f t="shared" si="164"/>
        <v>-2.2266617234181463</v>
      </c>
      <c r="M236" s="276">
        <f t="shared" si="165"/>
        <v>-0.76768880361540115</v>
      </c>
      <c r="N236" s="685">
        <f t="shared" si="166"/>
        <v>1.6633351119340525</v>
      </c>
      <c r="O236" s="276">
        <f t="shared" si="167"/>
        <v>1.5214818396728009</v>
      </c>
      <c r="P236" s="276">
        <f t="shared" si="168"/>
        <v>1.2066580702126506</v>
      </c>
      <c r="Q236" s="276">
        <f t="shared" si="169"/>
        <v>1.8715764309913541</v>
      </c>
      <c r="R236" s="276">
        <f t="shared" si="170"/>
        <v>1.2039732745722647</v>
      </c>
      <c r="S236" s="686">
        <f t="shared" si="171"/>
        <v>0.87688086775697305</v>
      </c>
      <c r="T236" s="685">
        <f t="shared" si="172"/>
        <v>5.3116273301981796</v>
      </c>
      <c r="U236" s="276">
        <f t="shared" si="173"/>
        <v>5.4060882668597063</v>
      </c>
      <c r="V236" s="276">
        <f t="shared" si="174"/>
        <v>5.35786492048023</v>
      </c>
      <c r="W236" s="276">
        <f t="shared" si="175"/>
        <v>4.8174111755708573</v>
      </c>
      <c r="X236" s="276">
        <f t="shared" si="176"/>
        <v>4.2146533897850347</v>
      </c>
      <c r="Y236" s="686">
        <f t="shared" si="177"/>
        <v>4.7300331757232108</v>
      </c>
      <c r="Z236" s="685" t="e">
        <f t="shared" si="178"/>
        <v>#DIV/0!</v>
      </c>
      <c r="AA236" s="276" t="e">
        <f t="shared" si="179"/>
        <v>#DIV/0!</v>
      </c>
      <c r="AB236" s="276" t="e">
        <f t="shared" si="180"/>
        <v>#DIV/0!</v>
      </c>
      <c r="AC236" s="276" t="e">
        <f t="shared" si="181"/>
        <v>#DIV/0!</v>
      </c>
      <c r="AD236" s="276" t="e">
        <f t="shared" si="182"/>
        <v>#DIV/0!</v>
      </c>
      <c r="AE236" s="686" t="e">
        <f t="shared" si="183"/>
        <v>#DIV/0!</v>
      </c>
      <c r="AF236" s="239"/>
      <c r="AG236" s="965" t="e">
        <f t="shared" si="154"/>
        <v>#VALUE!</v>
      </c>
      <c r="AH236" s="878" t="e">
        <f t="shared" si="155"/>
        <v>#VALUE!</v>
      </c>
      <c r="AI236" s="878" t="e">
        <f t="shared" si="156"/>
        <v>#VALUE!</v>
      </c>
      <c r="AJ236" s="878" t="e">
        <f t="shared" si="157"/>
        <v>#VALUE!</v>
      </c>
      <c r="AK236" s="878" t="e">
        <f t="shared" si="158"/>
        <v>#VALUE!</v>
      </c>
      <c r="AL236" s="966" t="e">
        <f t="shared" si="159"/>
        <v>#VALUE!</v>
      </c>
      <c r="AM236" s="239"/>
      <c r="AO236" s="685">
        <f t="shared" si="184"/>
        <v>4.1541260746296436</v>
      </c>
      <c r="AP236" s="276">
        <f t="shared" si="185"/>
        <v>2.1577722081353459</v>
      </c>
      <c r="AQ236" s="276">
        <f t="shared" si="186"/>
        <v>-1.5195455096243988</v>
      </c>
      <c r="AR236" s="276">
        <f t="shared" si="187"/>
        <v>2.5351026533026486</v>
      </c>
      <c r="AS236" s="276">
        <f t="shared" si="188"/>
        <v>-2.2266617234181463</v>
      </c>
      <c r="AT236" s="276">
        <f t="shared" si="189"/>
        <v>-0.76768880361540115</v>
      </c>
      <c r="AU236" s="685">
        <f t="shared" si="190"/>
        <v>1.6633351119340525</v>
      </c>
      <c r="AV236" s="276">
        <f t="shared" si="191"/>
        <v>1.5214818396728009</v>
      </c>
      <c r="AW236" s="276">
        <f t="shared" si="192"/>
        <v>1.2066580702126506</v>
      </c>
      <c r="AX236" s="276">
        <f t="shared" si="193"/>
        <v>1.8715764309913541</v>
      </c>
      <c r="AY236" s="276">
        <f t="shared" si="194"/>
        <v>1.2039732745722647</v>
      </c>
      <c r="AZ236" s="686">
        <f t="shared" si="195"/>
        <v>0.87688086775697305</v>
      </c>
      <c r="BA236" s="685">
        <f t="shared" si="196"/>
        <v>0</v>
      </c>
      <c r="BB236" s="276">
        <f t="shared" si="197"/>
        <v>0</v>
      </c>
      <c r="BC236" s="276">
        <f t="shared" si="198"/>
        <v>0</v>
      </c>
      <c r="BD236" s="276">
        <f t="shared" si="199"/>
        <v>0</v>
      </c>
      <c r="BE236" s="276">
        <f t="shared" si="200"/>
        <v>0</v>
      </c>
      <c r="BF236" s="686">
        <f t="shared" si="201"/>
        <v>0</v>
      </c>
      <c r="BG236" s="685" t="e">
        <f t="shared" si="202"/>
        <v>#DIV/0!</v>
      </c>
      <c r="BH236" s="276" t="e">
        <f t="shared" si="203"/>
        <v>#DIV/0!</v>
      </c>
      <c r="BI236" s="276" t="e">
        <f t="shared" si="204"/>
        <v>#DIV/0!</v>
      </c>
      <c r="BJ236" s="276" t="e">
        <f t="shared" si="205"/>
        <v>#DIV/0!</v>
      </c>
      <c r="BK236" s="276" t="e">
        <f t="shared" si="206"/>
        <v>#DIV/0!</v>
      </c>
      <c r="BL236" s="686" t="e">
        <f t="shared" si="207"/>
        <v>#DIV/0!</v>
      </c>
      <c r="BM236" s="239"/>
      <c r="BN236" s="965" t="e">
        <f t="shared" si="208"/>
        <v>#VALUE!</v>
      </c>
      <c r="BO236" s="878" t="e">
        <f t="shared" si="209"/>
        <v>#VALUE!</v>
      </c>
      <c r="BP236" s="878" t="e">
        <f t="shared" si="210"/>
        <v>#VALUE!</v>
      </c>
      <c r="BQ236" s="878" t="e">
        <f t="shared" si="211"/>
        <v>#VALUE!</v>
      </c>
      <c r="BR236" s="878" t="e">
        <f t="shared" si="212"/>
        <v>#VALUE!</v>
      </c>
      <c r="BS236" s="966" t="e">
        <f t="shared" si="213"/>
        <v>#VALUE!</v>
      </c>
    </row>
    <row r="237" spans="1:71">
      <c r="A237" s="284">
        <f t="shared" si="214"/>
        <v>169</v>
      </c>
      <c r="B237" s="285">
        <v>1.9202455456160874</v>
      </c>
      <c r="C237" s="285">
        <v>3.4192450245715769</v>
      </c>
      <c r="D237" s="285">
        <v>2.7431184307084244E-2</v>
      </c>
      <c r="E237" s="285">
        <v>12.551437733718464</v>
      </c>
      <c r="H237" s="685">
        <f t="shared" si="160"/>
        <v>0.78701170384703256</v>
      </c>
      <c r="I237" s="276">
        <f t="shared" si="161"/>
        <v>-1.7533697007343501</v>
      </c>
      <c r="J237" s="276">
        <f t="shared" si="162"/>
        <v>-10.652417106217682</v>
      </c>
      <c r="K237" s="276">
        <f t="shared" si="163"/>
        <v>-3.6654303477197283</v>
      </c>
      <c r="L237" s="276">
        <f t="shared" si="164"/>
        <v>-0.91528460444447068</v>
      </c>
      <c r="M237" s="276">
        <f t="shared" si="165"/>
        <v>-2.5515081786847351</v>
      </c>
      <c r="N237" s="685">
        <f t="shared" si="166"/>
        <v>2.2120738135997087</v>
      </c>
      <c r="O237" s="276">
        <f t="shared" si="167"/>
        <v>0.9769253953457564</v>
      </c>
      <c r="P237" s="276">
        <f t="shared" si="168"/>
        <v>1.1074281532588677</v>
      </c>
      <c r="Q237" s="276">
        <f t="shared" si="169"/>
        <v>1.3161841754476538</v>
      </c>
      <c r="R237" s="276">
        <f t="shared" si="170"/>
        <v>0.85109134063503755</v>
      </c>
      <c r="S237" s="686">
        <f t="shared" si="171"/>
        <v>1.3258880406874327</v>
      </c>
      <c r="T237" s="685">
        <f t="shared" si="172"/>
        <v>3.3057948745780101</v>
      </c>
      <c r="U237" s="276">
        <f t="shared" si="173"/>
        <v>4.3840310397210196</v>
      </c>
      <c r="V237" s="276">
        <f t="shared" si="174"/>
        <v>2.9785318807705798</v>
      </c>
      <c r="W237" s="276">
        <f t="shared" si="175"/>
        <v>4.0631989563149862</v>
      </c>
      <c r="X237" s="276">
        <f t="shared" si="176"/>
        <v>4.9944497429874151</v>
      </c>
      <c r="Y237" s="686">
        <f t="shared" si="177"/>
        <v>5.5463144591117297</v>
      </c>
      <c r="Z237" s="685" t="e">
        <f t="shared" si="178"/>
        <v>#DIV/0!</v>
      </c>
      <c r="AA237" s="276" t="e">
        <f t="shared" si="179"/>
        <v>#DIV/0!</v>
      </c>
      <c r="AB237" s="276" t="e">
        <f t="shared" si="180"/>
        <v>#DIV/0!</v>
      </c>
      <c r="AC237" s="276" t="e">
        <f t="shared" si="181"/>
        <v>#DIV/0!</v>
      </c>
      <c r="AD237" s="276" t="e">
        <f t="shared" si="182"/>
        <v>#DIV/0!</v>
      </c>
      <c r="AE237" s="686" t="e">
        <f t="shared" si="183"/>
        <v>#DIV/0!</v>
      </c>
      <c r="AF237" s="239"/>
      <c r="AG237" s="965" t="e">
        <f t="shared" si="154"/>
        <v>#VALUE!</v>
      </c>
      <c r="AH237" s="878" t="e">
        <f t="shared" si="155"/>
        <v>#VALUE!</v>
      </c>
      <c r="AI237" s="878" t="e">
        <f t="shared" si="156"/>
        <v>#VALUE!</v>
      </c>
      <c r="AJ237" s="878" t="e">
        <f t="shared" si="157"/>
        <v>#VALUE!</v>
      </c>
      <c r="AK237" s="878" t="e">
        <f t="shared" si="158"/>
        <v>#VALUE!</v>
      </c>
      <c r="AL237" s="966" t="e">
        <f t="shared" si="159"/>
        <v>#VALUE!</v>
      </c>
      <c r="AM237" s="239"/>
      <c r="AO237" s="685">
        <f t="shared" si="184"/>
        <v>0.78701170384703256</v>
      </c>
      <c r="AP237" s="276">
        <f t="shared" si="185"/>
        <v>-1.7533697007343501</v>
      </c>
      <c r="AQ237" s="276">
        <f t="shared" si="186"/>
        <v>-10.652417106217682</v>
      </c>
      <c r="AR237" s="276">
        <f t="shared" si="187"/>
        <v>-3.6654303477197283</v>
      </c>
      <c r="AS237" s="276">
        <f t="shared" si="188"/>
        <v>-0.91528460444447068</v>
      </c>
      <c r="AT237" s="276">
        <f t="shared" si="189"/>
        <v>-2.5515081786847351</v>
      </c>
      <c r="AU237" s="685">
        <f t="shared" si="190"/>
        <v>2.2120738135997087</v>
      </c>
      <c r="AV237" s="276">
        <f t="shared" si="191"/>
        <v>0.9769253953457564</v>
      </c>
      <c r="AW237" s="276">
        <f t="shared" si="192"/>
        <v>1.1074281532588677</v>
      </c>
      <c r="AX237" s="276">
        <f t="shared" si="193"/>
        <v>1.3161841754476538</v>
      </c>
      <c r="AY237" s="276">
        <f t="shared" si="194"/>
        <v>0.85109134063503755</v>
      </c>
      <c r="AZ237" s="686">
        <f t="shared" si="195"/>
        <v>1.3258880406874327</v>
      </c>
      <c r="BA237" s="685">
        <f t="shared" si="196"/>
        <v>0</v>
      </c>
      <c r="BB237" s="276">
        <f t="shared" si="197"/>
        <v>0</v>
      </c>
      <c r="BC237" s="276">
        <f t="shared" si="198"/>
        <v>0</v>
      </c>
      <c r="BD237" s="276">
        <f t="shared" si="199"/>
        <v>0</v>
      </c>
      <c r="BE237" s="276">
        <f t="shared" si="200"/>
        <v>0</v>
      </c>
      <c r="BF237" s="686">
        <f t="shared" si="201"/>
        <v>0</v>
      </c>
      <c r="BG237" s="685" t="e">
        <f t="shared" si="202"/>
        <v>#DIV/0!</v>
      </c>
      <c r="BH237" s="276" t="e">
        <f t="shared" si="203"/>
        <v>#DIV/0!</v>
      </c>
      <c r="BI237" s="276" t="e">
        <f t="shared" si="204"/>
        <v>#DIV/0!</v>
      </c>
      <c r="BJ237" s="276" t="e">
        <f t="shared" si="205"/>
        <v>#DIV/0!</v>
      </c>
      <c r="BK237" s="276" t="e">
        <f t="shared" si="206"/>
        <v>#DIV/0!</v>
      </c>
      <c r="BL237" s="686" t="e">
        <f t="shared" si="207"/>
        <v>#DIV/0!</v>
      </c>
      <c r="BM237" s="239"/>
      <c r="BN237" s="965" t="e">
        <f t="shared" si="208"/>
        <v>#VALUE!</v>
      </c>
      <c r="BO237" s="878" t="e">
        <f t="shared" si="209"/>
        <v>#VALUE!</v>
      </c>
      <c r="BP237" s="878" t="e">
        <f t="shared" si="210"/>
        <v>#VALUE!</v>
      </c>
      <c r="BQ237" s="878" t="e">
        <f t="shared" si="211"/>
        <v>#VALUE!</v>
      </c>
      <c r="BR237" s="878" t="e">
        <f t="shared" si="212"/>
        <v>#VALUE!</v>
      </c>
      <c r="BS237" s="966" t="e">
        <f t="shared" si="213"/>
        <v>#VALUE!</v>
      </c>
    </row>
    <row r="238" spans="1:71">
      <c r="A238" s="284">
        <f t="shared" si="214"/>
        <v>170</v>
      </c>
      <c r="B238" s="285">
        <v>1.6405625912827582</v>
      </c>
      <c r="C238" s="285">
        <v>3.0232506028108586</v>
      </c>
      <c r="D238" s="285">
        <v>1.0110199062099219</v>
      </c>
      <c r="E238" s="285">
        <v>-1.6604724419002665</v>
      </c>
      <c r="H238" s="685">
        <f t="shared" si="160"/>
        <v>0.50732874951370333</v>
      </c>
      <c r="I238" s="276">
        <f t="shared" si="161"/>
        <v>-1.9348114360894915</v>
      </c>
      <c r="J238" s="276">
        <f t="shared" si="162"/>
        <v>-1.5828146511934453</v>
      </c>
      <c r="K238" s="276">
        <f t="shared" si="163"/>
        <v>1.0733019096022225</v>
      </c>
      <c r="L238" s="276">
        <f t="shared" si="164"/>
        <v>-3.636030755521646</v>
      </c>
      <c r="M238" s="276">
        <f t="shared" si="165"/>
        <v>-3.7656670279963143</v>
      </c>
      <c r="N238" s="685">
        <f t="shared" si="166"/>
        <v>1.8160793918389901</v>
      </c>
      <c r="O238" s="276">
        <f t="shared" si="167"/>
        <v>1.6719106453649173</v>
      </c>
      <c r="P238" s="276">
        <f t="shared" si="168"/>
        <v>1.5881337030645446</v>
      </c>
      <c r="Q238" s="276">
        <f t="shared" si="169"/>
        <v>0.94097128207682146</v>
      </c>
      <c r="R238" s="276">
        <f t="shared" si="170"/>
        <v>1.6134715935396453</v>
      </c>
      <c r="S238" s="686">
        <f t="shared" si="171"/>
        <v>1.3640366836958762</v>
      </c>
      <c r="T238" s="685">
        <f t="shared" si="172"/>
        <v>4.2893835964808478</v>
      </c>
      <c r="U238" s="276">
        <f t="shared" si="173"/>
        <v>5.8009290489016827</v>
      </c>
      <c r="V238" s="276">
        <f t="shared" si="174"/>
        <v>5.0614082026690905</v>
      </c>
      <c r="W238" s="276">
        <f t="shared" si="175"/>
        <v>3.052579077724801</v>
      </c>
      <c r="X238" s="276">
        <f t="shared" si="176"/>
        <v>5.7624820975039661</v>
      </c>
      <c r="Y238" s="686">
        <f t="shared" si="177"/>
        <v>4.6176271780774556</v>
      </c>
      <c r="Z238" s="685" t="e">
        <f t="shared" si="178"/>
        <v>#DIV/0!</v>
      </c>
      <c r="AA238" s="276" t="e">
        <f t="shared" si="179"/>
        <v>#DIV/0!</v>
      </c>
      <c r="AB238" s="276" t="e">
        <f t="shared" si="180"/>
        <v>#DIV/0!</v>
      </c>
      <c r="AC238" s="276" t="e">
        <f t="shared" si="181"/>
        <v>#DIV/0!</v>
      </c>
      <c r="AD238" s="276" t="e">
        <f t="shared" si="182"/>
        <v>#DIV/0!</v>
      </c>
      <c r="AE238" s="686" t="e">
        <f t="shared" si="183"/>
        <v>#DIV/0!</v>
      </c>
      <c r="AF238" s="239"/>
      <c r="AG238" s="965" t="e">
        <f t="shared" si="154"/>
        <v>#VALUE!</v>
      </c>
      <c r="AH238" s="878" t="e">
        <f t="shared" si="155"/>
        <v>#VALUE!</v>
      </c>
      <c r="AI238" s="878" t="e">
        <f t="shared" si="156"/>
        <v>#VALUE!</v>
      </c>
      <c r="AJ238" s="878" t="e">
        <f t="shared" si="157"/>
        <v>#VALUE!</v>
      </c>
      <c r="AK238" s="878" t="e">
        <f t="shared" si="158"/>
        <v>#VALUE!</v>
      </c>
      <c r="AL238" s="966" t="e">
        <f t="shared" si="159"/>
        <v>#VALUE!</v>
      </c>
      <c r="AM238" s="239"/>
      <c r="AO238" s="685">
        <f t="shared" si="184"/>
        <v>0.50732874951370333</v>
      </c>
      <c r="AP238" s="276">
        <f t="shared" si="185"/>
        <v>-1.9348114360894915</v>
      </c>
      <c r="AQ238" s="276">
        <f t="shared" si="186"/>
        <v>-1.5828146511934453</v>
      </c>
      <c r="AR238" s="276">
        <f t="shared" si="187"/>
        <v>1.0733019096022225</v>
      </c>
      <c r="AS238" s="276">
        <f t="shared" si="188"/>
        <v>-3.636030755521646</v>
      </c>
      <c r="AT238" s="276">
        <f t="shared" si="189"/>
        <v>-3.7656670279963143</v>
      </c>
      <c r="AU238" s="685">
        <f t="shared" si="190"/>
        <v>1.8160793918389901</v>
      </c>
      <c r="AV238" s="276">
        <f t="shared" si="191"/>
        <v>1.6719106453649173</v>
      </c>
      <c r="AW238" s="276">
        <f t="shared" si="192"/>
        <v>1.5881337030645446</v>
      </c>
      <c r="AX238" s="276">
        <f t="shared" si="193"/>
        <v>0.94097128207682146</v>
      </c>
      <c r="AY238" s="276">
        <f t="shared" si="194"/>
        <v>1.6134715935396453</v>
      </c>
      <c r="AZ238" s="686">
        <f t="shared" si="195"/>
        <v>1.3640366836958762</v>
      </c>
      <c r="BA238" s="685">
        <f t="shared" si="196"/>
        <v>0</v>
      </c>
      <c r="BB238" s="276">
        <f t="shared" si="197"/>
        <v>0</v>
      </c>
      <c r="BC238" s="276">
        <f t="shared" si="198"/>
        <v>0</v>
      </c>
      <c r="BD238" s="276">
        <f t="shared" si="199"/>
        <v>0</v>
      </c>
      <c r="BE238" s="276">
        <f t="shared" si="200"/>
        <v>0</v>
      </c>
      <c r="BF238" s="686">
        <f t="shared" si="201"/>
        <v>0</v>
      </c>
      <c r="BG238" s="685" t="e">
        <f t="shared" si="202"/>
        <v>#DIV/0!</v>
      </c>
      <c r="BH238" s="276" t="e">
        <f t="shared" si="203"/>
        <v>#DIV/0!</v>
      </c>
      <c r="BI238" s="276" t="e">
        <f t="shared" si="204"/>
        <v>#DIV/0!</v>
      </c>
      <c r="BJ238" s="276" t="e">
        <f t="shared" si="205"/>
        <v>#DIV/0!</v>
      </c>
      <c r="BK238" s="276" t="e">
        <f t="shared" si="206"/>
        <v>#DIV/0!</v>
      </c>
      <c r="BL238" s="686" t="e">
        <f t="shared" si="207"/>
        <v>#DIV/0!</v>
      </c>
      <c r="BM238" s="239"/>
      <c r="BN238" s="965" t="e">
        <f t="shared" si="208"/>
        <v>#VALUE!</v>
      </c>
      <c r="BO238" s="878" t="e">
        <f t="shared" si="209"/>
        <v>#VALUE!</v>
      </c>
      <c r="BP238" s="878" t="e">
        <f t="shared" si="210"/>
        <v>#VALUE!</v>
      </c>
      <c r="BQ238" s="878" t="e">
        <f t="shared" si="211"/>
        <v>#VALUE!</v>
      </c>
      <c r="BR238" s="878" t="e">
        <f t="shared" si="212"/>
        <v>#VALUE!</v>
      </c>
      <c r="BS238" s="966" t="e">
        <f t="shared" si="213"/>
        <v>#VALUE!</v>
      </c>
    </row>
    <row r="239" spans="1:71">
      <c r="A239" s="284">
        <f t="shared" si="214"/>
        <v>171</v>
      </c>
      <c r="B239" s="285">
        <v>-2.268827647320663E-2</v>
      </c>
      <c r="C239" s="285">
        <v>3.7373588182437736</v>
      </c>
      <c r="D239" s="285">
        <v>-0.4641584986656917</v>
      </c>
      <c r="E239" s="285">
        <v>17.504075934294999</v>
      </c>
      <c r="H239" s="685">
        <f t="shared" si="160"/>
        <v>-1.1559221182422614</v>
      </c>
      <c r="I239" s="276">
        <f t="shared" si="161"/>
        <v>-5.143139929419168</v>
      </c>
      <c r="J239" s="276">
        <f t="shared" si="162"/>
        <v>-2.6230412615036407</v>
      </c>
      <c r="K239" s="276">
        <f t="shared" si="163"/>
        <v>-1.7270728682761385</v>
      </c>
      <c r="L239" s="276">
        <f t="shared" si="164"/>
        <v>-5.4328910656704634</v>
      </c>
      <c r="M239" s="276">
        <f t="shared" si="165"/>
        <v>-2.9116294985615507</v>
      </c>
      <c r="N239" s="685">
        <f t="shared" si="166"/>
        <v>2.5301876072719054</v>
      </c>
      <c r="O239" s="276">
        <f t="shared" si="167"/>
        <v>1.5059204685135759</v>
      </c>
      <c r="P239" s="276">
        <f t="shared" si="168"/>
        <v>1.5032989638903824</v>
      </c>
      <c r="Q239" s="276">
        <f t="shared" si="169"/>
        <v>1.030419455112159</v>
      </c>
      <c r="R239" s="276">
        <f t="shared" si="170"/>
        <v>2.0214592129932676</v>
      </c>
      <c r="S239" s="686">
        <f t="shared" si="171"/>
        <v>1.1032252030467362</v>
      </c>
      <c r="T239" s="685">
        <f t="shared" si="172"/>
        <v>2.8142051916052342</v>
      </c>
      <c r="U239" s="276">
        <f t="shared" si="173"/>
        <v>5.8480377298804083</v>
      </c>
      <c r="V239" s="276">
        <f t="shared" si="174"/>
        <v>4.9464961788860116</v>
      </c>
      <c r="W239" s="276">
        <f t="shared" si="175"/>
        <v>4.9038876041730077</v>
      </c>
      <c r="X239" s="276">
        <f t="shared" si="176"/>
        <v>2.8511184161229393</v>
      </c>
      <c r="Y239" s="686">
        <f t="shared" si="177"/>
        <v>3.5683712410486299</v>
      </c>
      <c r="Z239" s="685" t="e">
        <f t="shared" si="178"/>
        <v>#DIV/0!</v>
      </c>
      <c r="AA239" s="276" t="e">
        <f t="shared" si="179"/>
        <v>#DIV/0!</v>
      </c>
      <c r="AB239" s="276" t="e">
        <f t="shared" si="180"/>
        <v>#DIV/0!</v>
      </c>
      <c r="AC239" s="276" t="e">
        <f t="shared" si="181"/>
        <v>#DIV/0!</v>
      </c>
      <c r="AD239" s="276" t="e">
        <f t="shared" si="182"/>
        <v>#DIV/0!</v>
      </c>
      <c r="AE239" s="686" t="e">
        <f t="shared" si="183"/>
        <v>#DIV/0!</v>
      </c>
      <c r="AF239" s="239"/>
      <c r="AG239" s="965" t="e">
        <f t="shared" si="154"/>
        <v>#VALUE!</v>
      </c>
      <c r="AH239" s="878" t="e">
        <f t="shared" si="155"/>
        <v>#VALUE!</v>
      </c>
      <c r="AI239" s="878" t="e">
        <f t="shared" si="156"/>
        <v>#VALUE!</v>
      </c>
      <c r="AJ239" s="878" t="e">
        <f t="shared" si="157"/>
        <v>#VALUE!</v>
      </c>
      <c r="AK239" s="878" t="e">
        <f t="shared" si="158"/>
        <v>#VALUE!</v>
      </c>
      <c r="AL239" s="966" t="e">
        <f t="shared" si="159"/>
        <v>#VALUE!</v>
      </c>
      <c r="AM239" s="239"/>
      <c r="AO239" s="685">
        <f t="shared" si="184"/>
        <v>-1.1559221182422614</v>
      </c>
      <c r="AP239" s="276">
        <f t="shared" si="185"/>
        <v>-5.143139929419168</v>
      </c>
      <c r="AQ239" s="276">
        <f t="shared" si="186"/>
        <v>-2.6230412615036407</v>
      </c>
      <c r="AR239" s="276">
        <f t="shared" si="187"/>
        <v>-1.7270728682761385</v>
      </c>
      <c r="AS239" s="276">
        <f t="shared" si="188"/>
        <v>-5.4328910656704634</v>
      </c>
      <c r="AT239" s="276">
        <f t="shared" si="189"/>
        <v>-2.9116294985615507</v>
      </c>
      <c r="AU239" s="685">
        <f t="shared" si="190"/>
        <v>2.5301876072719054</v>
      </c>
      <c r="AV239" s="276">
        <f t="shared" si="191"/>
        <v>1.5059204685135759</v>
      </c>
      <c r="AW239" s="276">
        <f t="shared" si="192"/>
        <v>1.5032989638903824</v>
      </c>
      <c r="AX239" s="276">
        <f t="shared" si="193"/>
        <v>1.030419455112159</v>
      </c>
      <c r="AY239" s="276">
        <f t="shared" si="194"/>
        <v>2.0214592129932676</v>
      </c>
      <c r="AZ239" s="686">
        <f t="shared" si="195"/>
        <v>1.1032252030467362</v>
      </c>
      <c r="BA239" s="685">
        <f t="shared" si="196"/>
        <v>0</v>
      </c>
      <c r="BB239" s="276">
        <f t="shared" si="197"/>
        <v>0</v>
      </c>
      <c r="BC239" s="276">
        <f t="shared" si="198"/>
        <v>0</v>
      </c>
      <c r="BD239" s="276">
        <f t="shared" si="199"/>
        <v>0</v>
      </c>
      <c r="BE239" s="276">
        <f t="shared" si="200"/>
        <v>0</v>
      </c>
      <c r="BF239" s="686">
        <f t="shared" si="201"/>
        <v>0</v>
      </c>
      <c r="BG239" s="685" t="e">
        <f t="shared" si="202"/>
        <v>#DIV/0!</v>
      </c>
      <c r="BH239" s="276" t="e">
        <f t="shared" si="203"/>
        <v>#DIV/0!</v>
      </c>
      <c r="BI239" s="276" t="e">
        <f t="shared" si="204"/>
        <v>#DIV/0!</v>
      </c>
      <c r="BJ239" s="276" t="e">
        <f t="shared" si="205"/>
        <v>#DIV/0!</v>
      </c>
      <c r="BK239" s="276" t="e">
        <f t="shared" si="206"/>
        <v>#DIV/0!</v>
      </c>
      <c r="BL239" s="686" t="e">
        <f t="shared" si="207"/>
        <v>#DIV/0!</v>
      </c>
      <c r="BM239" s="239"/>
      <c r="BN239" s="965" t="e">
        <f t="shared" si="208"/>
        <v>#VALUE!</v>
      </c>
      <c r="BO239" s="878" t="e">
        <f t="shared" si="209"/>
        <v>#VALUE!</v>
      </c>
      <c r="BP239" s="878" t="e">
        <f t="shared" si="210"/>
        <v>#VALUE!</v>
      </c>
      <c r="BQ239" s="878" t="e">
        <f t="shared" si="211"/>
        <v>#VALUE!</v>
      </c>
      <c r="BR239" s="878" t="e">
        <f t="shared" si="212"/>
        <v>#VALUE!</v>
      </c>
      <c r="BS239" s="966" t="e">
        <f t="shared" si="213"/>
        <v>#VALUE!</v>
      </c>
    </row>
    <row r="240" spans="1:71">
      <c r="A240" s="284">
        <f t="shared" si="214"/>
        <v>172</v>
      </c>
      <c r="B240" s="285">
        <v>1.6081004548095532</v>
      </c>
      <c r="C240" s="285">
        <v>1.9887190477645906</v>
      </c>
      <c r="D240" s="285">
        <v>-0.82378519656659766</v>
      </c>
      <c r="E240" s="285">
        <v>-17.674428734008242</v>
      </c>
      <c r="H240" s="685">
        <f t="shared" si="160"/>
        <v>0.47486661304049838</v>
      </c>
      <c r="I240" s="276">
        <f t="shared" si="161"/>
        <v>-2.879097578347257</v>
      </c>
      <c r="J240" s="276">
        <f t="shared" si="162"/>
        <v>-4.279073220351588</v>
      </c>
      <c r="K240" s="276">
        <f t="shared" si="163"/>
        <v>-2.7356926618198072</v>
      </c>
      <c r="L240" s="276">
        <f t="shared" si="164"/>
        <v>-2.1618268535760259</v>
      </c>
      <c r="M240" s="276">
        <f t="shared" si="165"/>
        <v>-0.15196126376853991</v>
      </c>
      <c r="N240" s="685">
        <f t="shared" si="166"/>
        <v>0.78154783679272222</v>
      </c>
      <c r="O240" s="276">
        <f t="shared" si="167"/>
        <v>0.46596204211801906</v>
      </c>
      <c r="P240" s="276">
        <f t="shared" si="168"/>
        <v>1.4342134921261149</v>
      </c>
      <c r="Q240" s="276">
        <f t="shared" si="169"/>
        <v>1.0211055036028436</v>
      </c>
      <c r="R240" s="276">
        <f t="shared" si="170"/>
        <v>0.54454949664947949</v>
      </c>
      <c r="S240" s="686">
        <f t="shared" si="171"/>
        <v>1.7152241425641901</v>
      </c>
      <c r="T240" s="685">
        <f t="shared" si="172"/>
        <v>2.4545784937043282</v>
      </c>
      <c r="U240" s="276">
        <f t="shared" si="173"/>
        <v>3.4009912209197886</v>
      </c>
      <c r="V240" s="276">
        <f t="shared" si="174"/>
        <v>3.1158157360877494</v>
      </c>
      <c r="W240" s="276">
        <f t="shared" si="175"/>
        <v>4.1762288720492293</v>
      </c>
      <c r="X240" s="276">
        <f t="shared" si="176"/>
        <v>6.1533876603426343</v>
      </c>
      <c r="Y240" s="686">
        <f t="shared" si="177"/>
        <v>5.4307910014566518</v>
      </c>
      <c r="Z240" s="685" t="e">
        <f t="shared" si="178"/>
        <v>#DIV/0!</v>
      </c>
      <c r="AA240" s="276" t="e">
        <f t="shared" si="179"/>
        <v>#DIV/0!</v>
      </c>
      <c r="AB240" s="276" t="e">
        <f t="shared" si="180"/>
        <v>#DIV/0!</v>
      </c>
      <c r="AC240" s="276" t="e">
        <f t="shared" si="181"/>
        <v>#DIV/0!</v>
      </c>
      <c r="AD240" s="276" t="e">
        <f t="shared" si="182"/>
        <v>#DIV/0!</v>
      </c>
      <c r="AE240" s="686" t="e">
        <f t="shared" si="183"/>
        <v>#DIV/0!</v>
      </c>
      <c r="AF240" s="239"/>
      <c r="AG240" s="965" t="e">
        <f t="shared" si="154"/>
        <v>#VALUE!</v>
      </c>
      <c r="AH240" s="878" t="e">
        <f t="shared" si="155"/>
        <v>#VALUE!</v>
      </c>
      <c r="AI240" s="878" t="e">
        <f t="shared" si="156"/>
        <v>#VALUE!</v>
      </c>
      <c r="AJ240" s="878" t="e">
        <f t="shared" si="157"/>
        <v>#VALUE!</v>
      </c>
      <c r="AK240" s="878" t="e">
        <f t="shared" si="158"/>
        <v>#VALUE!</v>
      </c>
      <c r="AL240" s="966" t="e">
        <f t="shared" si="159"/>
        <v>#VALUE!</v>
      </c>
      <c r="AM240" s="239"/>
      <c r="AO240" s="685">
        <f t="shared" si="184"/>
        <v>0.47486661304049838</v>
      </c>
      <c r="AP240" s="276">
        <f t="shared" si="185"/>
        <v>-2.879097578347257</v>
      </c>
      <c r="AQ240" s="276">
        <f t="shared" si="186"/>
        <v>-4.279073220351588</v>
      </c>
      <c r="AR240" s="276">
        <f t="shared" si="187"/>
        <v>-2.7356926618198072</v>
      </c>
      <c r="AS240" s="276">
        <f t="shared" si="188"/>
        <v>-2.1618268535760259</v>
      </c>
      <c r="AT240" s="276">
        <f t="shared" si="189"/>
        <v>-0.15196126376853991</v>
      </c>
      <c r="AU240" s="685">
        <f t="shared" si="190"/>
        <v>0.78154783679272222</v>
      </c>
      <c r="AV240" s="276">
        <f t="shared" si="191"/>
        <v>0.46596204211801906</v>
      </c>
      <c r="AW240" s="276">
        <f t="shared" si="192"/>
        <v>1.4342134921261149</v>
      </c>
      <c r="AX240" s="276">
        <f t="shared" si="193"/>
        <v>1.0211055036028436</v>
      </c>
      <c r="AY240" s="276">
        <f t="shared" si="194"/>
        <v>0.54454949664947949</v>
      </c>
      <c r="AZ240" s="686">
        <f t="shared" si="195"/>
        <v>1.7152241425641901</v>
      </c>
      <c r="BA240" s="685">
        <f t="shared" si="196"/>
        <v>0</v>
      </c>
      <c r="BB240" s="276">
        <f t="shared" si="197"/>
        <v>0</v>
      </c>
      <c r="BC240" s="276">
        <f t="shared" si="198"/>
        <v>0</v>
      </c>
      <c r="BD240" s="276">
        <f t="shared" si="199"/>
        <v>0</v>
      </c>
      <c r="BE240" s="276">
        <f t="shared" si="200"/>
        <v>0</v>
      </c>
      <c r="BF240" s="686">
        <f t="shared" si="201"/>
        <v>0</v>
      </c>
      <c r="BG240" s="685" t="e">
        <f t="shared" si="202"/>
        <v>#DIV/0!</v>
      </c>
      <c r="BH240" s="276" t="e">
        <f t="shared" si="203"/>
        <v>#DIV/0!</v>
      </c>
      <c r="BI240" s="276" t="e">
        <f t="shared" si="204"/>
        <v>#DIV/0!</v>
      </c>
      <c r="BJ240" s="276" t="e">
        <f t="shared" si="205"/>
        <v>#DIV/0!</v>
      </c>
      <c r="BK240" s="276" t="e">
        <f t="shared" si="206"/>
        <v>#DIV/0!</v>
      </c>
      <c r="BL240" s="686" t="e">
        <f t="shared" si="207"/>
        <v>#DIV/0!</v>
      </c>
      <c r="BM240" s="239"/>
      <c r="BN240" s="965" t="e">
        <f t="shared" si="208"/>
        <v>#VALUE!</v>
      </c>
      <c r="BO240" s="878" t="e">
        <f t="shared" si="209"/>
        <v>#VALUE!</v>
      </c>
      <c r="BP240" s="878" t="e">
        <f t="shared" si="210"/>
        <v>#VALUE!</v>
      </c>
      <c r="BQ240" s="878" t="e">
        <f t="shared" si="211"/>
        <v>#VALUE!</v>
      </c>
      <c r="BR240" s="878" t="e">
        <f t="shared" si="212"/>
        <v>#VALUE!</v>
      </c>
      <c r="BS240" s="966" t="e">
        <f t="shared" si="213"/>
        <v>#VALUE!</v>
      </c>
    </row>
    <row r="241" spans="1:71">
      <c r="A241" s="284">
        <f t="shared" si="214"/>
        <v>173</v>
      </c>
      <c r="B241" s="285">
        <v>-1.6378617511880209</v>
      </c>
      <c r="C241" s="285">
        <v>2.3857067194225352</v>
      </c>
      <c r="D241" s="285">
        <v>0.86955349465268772</v>
      </c>
      <c r="E241" s="285">
        <v>0.60257581744837996</v>
      </c>
      <c r="H241" s="685">
        <f t="shared" si="160"/>
        <v>-2.7710955929570757</v>
      </c>
      <c r="I241" s="276">
        <f t="shared" si="161"/>
        <v>-0.25870111482925651</v>
      </c>
      <c r="J241" s="276">
        <f t="shared" si="162"/>
        <v>2.1797305571456551</v>
      </c>
      <c r="K241" s="276">
        <f t="shared" si="163"/>
        <v>-4.9172083135563858</v>
      </c>
      <c r="L241" s="276">
        <f t="shared" si="164"/>
        <v>-4.086215873115342</v>
      </c>
      <c r="M241" s="276">
        <f t="shared" si="165"/>
        <v>-2.814351888912098</v>
      </c>
      <c r="N241" s="685">
        <f t="shared" si="166"/>
        <v>1.1785355084506668</v>
      </c>
      <c r="O241" s="276">
        <f t="shared" si="167"/>
        <v>1.6299421122764961</v>
      </c>
      <c r="P241" s="276">
        <f t="shared" si="168"/>
        <v>2.0184579317951403</v>
      </c>
      <c r="Q241" s="276">
        <f t="shared" si="169"/>
        <v>0.78114921290393746</v>
      </c>
      <c r="R241" s="276">
        <f t="shared" si="170"/>
        <v>0.89138346703317972</v>
      </c>
      <c r="S241" s="686">
        <f t="shared" si="171"/>
        <v>1.5856034950038833</v>
      </c>
      <c r="T241" s="685">
        <f t="shared" si="172"/>
        <v>4.1479171849236138</v>
      </c>
      <c r="U241" s="276">
        <f t="shared" si="173"/>
        <v>4.3415686922819701</v>
      </c>
      <c r="V241" s="276">
        <f t="shared" si="174"/>
        <v>2.2399893267854583</v>
      </c>
      <c r="W241" s="276">
        <f t="shared" si="175"/>
        <v>2.7490507720219055</v>
      </c>
      <c r="X241" s="276">
        <f t="shared" si="176"/>
        <v>2.941486956431719</v>
      </c>
      <c r="Y241" s="686">
        <f t="shared" si="177"/>
        <v>4.3588266889376914</v>
      </c>
      <c r="Z241" s="685" t="e">
        <f t="shared" si="178"/>
        <v>#DIV/0!</v>
      </c>
      <c r="AA241" s="276" t="e">
        <f t="shared" si="179"/>
        <v>#DIV/0!</v>
      </c>
      <c r="AB241" s="276" t="e">
        <f t="shared" si="180"/>
        <v>#DIV/0!</v>
      </c>
      <c r="AC241" s="276" t="e">
        <f t="shared" si="181"/>
        <v>#DIV/0!</v>
      </c>
      <c r="AD241" s="276" t="e">
        <f t="shared" si="182"/>
        <v>#DIV/0!</v>
      </c>
      <c r="AE241" s="686" t="e">
        <f t="shared" si="183"/>
        <v>#DIV/0!</v>
      </c>
      <c r="AF241" s="239"/>
      <c r="AG241" s="965" t="e">
        <f t="shared" si="154"/>
        <v>#VALUE!</v>
      </c>
      <c r="AH241" s="878" t="e">
        <f t="shared" si="155"/>
        <v>#VALUE!</v>
      </c>
      <c r="AI241" s="878" t="e">
        <f t="shared" si="156"/>
        <v>#VALUE!</v>
      </c>
      <c r="AJ241" s="878" t="e">
        <f t="shared" si="157"/>
        <v>#VALUE!</v>
      </c>
      <c r="AK241" s="878" t="e">
        <f t="shared" si="158"/>
        <v>#VALUE!</v>
      </c>
      <c r="AL241" s="966" t="e">
        <f t="shared" si="159"/>
        <v>#VALUE!</v>
      </c>
      <c r="AM241" s="239"/>
      <c r="AO241" s="685">
        <f t="shared" si="184"/>
        <v>-2.7710955929570757</v>
      </c>
      <c r="AP241" s="276">
        <f t="shared" si="185"/>
        <v>-0.25870111482925651</v>
      </c>
      <c r="AQ241" s="276">
        <f t="shared" si="186"/>
        <v>2.1797305571456551</v>
      </c>
      <c r="AR241" s="276">
        <f t="shared" si="187"/>
        <v>-4.9172083135563858</v>
      </c>
      <c r="AS241" s="276">
        <f t="shared" si="188"/>
        <v>-4.086215873115342</v>
      </c>
      <c r="AT241" s="276">
        <f t="shared" si="189"/>
        <v>-2.814351888912098</v>
      </c>
      <c r="AU241" s="685">
        <f t="shared" si="190"/>
        <v>1.1785355084506668</v>
      </c>
      <c r="AV241" s="276">
        <f t="shared" si="191"/>
        <v>1.6299421122764961</v>
      </c>
      <c r="AW241" s="276">
        <f t="shared" si="192"/>
        <v>2.0184579317951403</v>
      </c>
      <c r="AX241" s="276">
        <f t="shared" si="193"/>
        <v>0.78114921290393746</v>
      </c>
      <c r="AY241" s="276">
        <f t="shared" si="194"/>
        <v>0.89138346703317972</v>
      </c>
      <c r="AZ241" s="686">
        <f t="shared" si="195"/>
        <v>1.5856034950038833</v>
      </c>
      <c r="BA241" s="685">
        <f t="shared" si="196"/>
        <v>0</v>
      </c>
      <c r="BB241" s="276">
        <f t="shared" si="197"/>
        <v>0</v>
      </c>
      <c r="BC241" s="276">
        <f t="shared" si="198"/>
        <v>0</v>
      </c>
      <c r="BD241" s="276">
        <f t="shared" si="199"/>
        <v>0</v>
      </c>
      <c r="BE241" s="276">
        <f t="shared" si="200"/>
        <v>0</v>
      </c>
      <c r="BF241" s="686">
        <f t="shared" si="201"/>
        <v>0</v>
      </c>
      <c r="BG241" s="685" t="e">
        <f t="shared" si="202"/>
        <v>#DIV/0!</v>
      </c>
      <c r="BH241" s="276" t="e">
        <f t="shared" si="203"/>
        <v>#DIV/0!</v>
      </c>
      <c r="BI241" s="276" t="e">
        <f t="shared" si="204"/>
        <v>#DIV/0!</v>
      </c>
      <c r="BJ241" s="276" t="e">
        <f t="shared" si="205"/>
        <v>#DIV/0!</v>
      </c>
      <c r="BK241" s="276" t="e">
        <f t="shared" si="206"/>
        <v>#DIV/0!</v>
      </c>
      <c r="BL241" s="686" t="e">
        <f t="shared" si="207"/>
        <v>#DIV/0!</v>
      </c>
      <c r="BM241" s="239"/>
      <c r="BN241" s="965" t="e">
        <f t="shared" si="208"/>
        <v>#VALUE!</v>
      </c>
      <c r="BO241" s="878" t="e">
        <f t="shared" si="209"/>
        <v>#VALUE!</v>
      </c>
      <c r="BP241" s="878" t="e">
        <f t="shared" si="210"/>
        <v>#VALUE!</v>
      </c>
      <c r="BQ241" s="878" t="e">
        <f t="shared" si="211"/>
        <v>#VALUE!</v>
      </c>
      <c r="BR241" s="878" t="e">
        <f t="shared" si="212"/>
        <v>#VALUE!</v>
      </c>
      <c r="BS241" s="966" t="e">
        <f t="shared" si="213"/>
        <v>#VALUE!</v>
      </c>
    </row>
    <row r="242" spans="1:71">
      <c r="A242" s="284">
        <f t="shared" si="214"/>
        <v>174</v>
      </c>
      <c r="B242" s="285">
        <v>-1.2439903934693881</v>
      </c>
      <c r="C242" s="285">
        <v>2.1012282343485311</v>
      </c>
      <c r="D242" s="285">
        <v>1.3689695306201011</v>
      </c>
      <c r="E242" s="285">
        <v>-22.828949229332384</v>
      </c>
      <c r="H242" s="685">
        <f t="shared" si="160"/>
        <v>-2.377224235238443</v>
      </c>
      <c r="I242" s="276">
        <f t="shared" si="161"/>
        <v>1.2353369275870019</v>
      </c>
      <c r="J242" s="276">
        <f t="shared" si="162"/>
        <v>-3.1319637972336243</v>
      </c>
      <c r="K242" s="276">
        <f t="shared" si="163"/>
        <v>-4.0659378372835846</v>
      </c>
      <c r="L242" s="276">
        <f t="shared" si="164"/>
        <v>-3.3459404273871582</v>
      </c>
      <c r="M242" s="276">
        <f t="shared" si="165"/>
        <v>0.26685075179028894</v>
      </c>
      <c r="N242" s="685">
        <f t="shared" si="166"/>
        <v>0.89405702337666271</v>
      </c>
      <c r="O242" s="276">
        <f t="shared" si="167"/>
        <v>0.78777153822170054</v>
      </c>
      <c r="P242" s="276">
        <f t="shared" si="168"/>
        <v>1.0081046216919913</v>
      </c>
      <c r="Q242" s="276">
        <f t="shared" si="169"/>
        <v>1.6056081302667591</v>
      </c>
      <c r="R242" s="276">
        <f t="shared" si="170"/>
        <v>1.4114241787270736</v>
      </c>
      <c r="S242" s="686">
        <f t="shared" si="171"/>
        <v>1.6014121430900217</v>
      </c>
      <c r="T242" s="685">
        <f t="shared" si="172"/>
        <v>4.647333220891027</v>
      </c>
      <c r="U242" s="276">
        <f t="shared" si="173"/>
        <v>2.6202097814046077</v>
      </c>
      <c r="V242" s="276">
        <f t="shared" si="174"/>
        <v>4.5744628717864302</v>
      </c>
      <c r="W242" s="276">
        <f t="shared" si="175"/>
        <v>4.5180641841886562</v>
      </c>
      <c r="X242" s="276">
        <f t="shared" si="176"/>
        <v>4.9254731811887948</v>
      </c>
      <c r="Y242" s="686">
        <f t="shared" si="177"/>
        <v>4.5864722913879232</v>
      </c>
      <c r="Z242" s="685" t="e">
        <f t="shared" si="178"/>
        <v>#DIV/0!</v>
      </c>
      <c r="AA242" s="276" t="e">
        <f t="shared" si="179"/>
        <v>#DIV/0!</v>
      </c>
      <c r="AB242" s="276" t="e">
        <f t="shared" si="180"/>
        <v>#DIV/0!</v>
      </c>
      <c r="AC242" s="276" t="e">
        <f t="shared" si="181"/>
        <v>#DIV/0!</v>
      </c>
      <c r="AD242" s="276" t="e">
        <f t="shared" si="182"/>
        <v>#DIV/0!</v>
      </c>
      <c r="AE242" s="686" t="e">
        <f t="shared" si="183"/>
        <v>#DIV/0!</v>
      </c>
      <c r="AF242" s="239"/>
      <c r="AG242" s="965" t="e">
        <f t="shared" si="154"/>
        <v>#VALUE!</v>
      </c>
      <c r="AH242" s="878" t="e">
        <f t="shared" si="155"/>
        <v>#VALUE!</v>
      </c>
      <c r="AI242" s="878" t="e">
        <f t="shared" si="156"/>
        <v>#VALUE!</v>
      </c>
      <c r="AJ242" s="878" t="e">
        <f t="shared" si="157"/>
        <v>#VALUE!</v>
      </c>
      <c r="AK242" s="878" t="e">
        <f t="shared" si="158"/>
        <v>#VALUE!</v>
      </c>
      <c r="AL242" s="966" t="e">
        <f t="shared" si="159"/>
        <v>#VALUE!</v>
      </c>
      <c r="AM242" s="239"/>
      <c r="AO242" s="685">
        <f t="shared" si="184"/>
        <v>-2.377224235238443</v>
      </c>
      <c r="AP242" s="276">
        <f t="shared" si="185"/>
        <v>1.2353369275870019</v>
      </c>
      <c r="AQ242" s="276">
        <f t="shared" si="186"/>
        <v>-3.1319637972336243</v>
      </c>
      <c r="AR242" s="276">
        <f t="shared" si="187"/>
        <v>-4.0659378372835846</v>
      </c>
      <c r="AS242" s="276">
        <f t="shared" si="188"/>
        <v>-3.3459404273871582</v>
      </c>
      <c r="AT242" s="276">
        <f t="shared" si="189"/>
        <v>0.26685075179028894</v>
      </c>
      <c r="AU242" s="685">
        <f t="shared" si="190"/>
        <v>0.89405702337666271</v>
      </c>
      <c r="AV242" s="276">
        <f t="shared" si="191"/>
        <v>0.78777153822170054</v>
      </c>
      <c r="AW242" s="276">
        <f t="shared" si="192"/>
        <v>1.0081046216919913</v>
      </c>
      <c r="AX242" s="276">
        <f t="shared" si="193"/>
        <v>1.6056081302667591</v>
      </c>
      <c r="AY242" s="276">
        <f t="shared" si="194"/>
        <v>1.4114241787270736</v>
      </c>
      <c r="AZ242" s="686">
        <f t="shared" si="195"/>
        <v>1.6014121430900217</v>
      </c>
      <c r="BA242" s="685">
        <f t="shared" si="196"/>
        <v>0</v>
      </c>
      <c r="BB242" s="276">
        <f t="shared" si="197"/>
        <v>0</v>
      </c>
      <c r="BC242" s="276">
        <f t="shared" si="198"/>
        <v>0</v>
      </c>
      <c r="BD242" s="276">
        <f t="shared" si="199"/>
        <v>0</v>
      </c>
      <c r="BE242" s="276">
        <f t="shared" si="200"/>
        <v>0</v>
      </c>
      <c r="BF242" s="686">
        <f t="shared" si="201"/>
        <v>0</v>
      </c>
      <c r="BG242" s="685" t="e">
        <f t="shared" si="202"/>
        <v>#DIV/0!</v>
      </c>
      <c r="BH242" s="276" t="e">
        <f t="shared" si="203"/>
        <v>#DIV/0!</v>
      </c>
      <c r="BI242" s="276" t="e">
        <f t="shared" si="204"/>
        <v>#DIV/0!</v>
      </c>
      <c r="BJ242" s="276" t="e">
        <f t="shared" si="205"/>
        <v>#DIV/0!</v>
      </c>
      <c r="BK242" s="276" t="e">
        <f t="shared" si="206"/>
        <v>#DIV/0!</v>
      </c>
      <c r="BL242" s="686" t="e">
        <f t="shared" si="207"/>
        <v>#DIV/0!</v>
      </c>
      <c r="BM242" s="239"/>
      <c r="BN242" s="965" t="e">
        <f t="shared" si="208"/>
        <v>#VALUE!</v>
      </c>
      <c r="BO242" s="878" t="e">
        <f t="shared" si="209"/>
        <v>#VALUE!</v>
      </c>
      <c r="BP242" s="878" t="e">
        <f t="shared" si="210"/>
        <v>#VALUE!</v>
      </c>
      <c r="BQ242" s="878" t="e">
        <f t="shared" si="211"/>
        <v>#VALUE!</v>
      </c>
      <c r="BR242" s="878" t="e">
        <f t="shared" si="212"/>
        <v>#VALUE!</v>
      </c>
      <c r="BS242" s="966" t="e">
        <f t="shared" si="213"/>
        <v>#VALUE!</v>
      </c>
    </row>
    <row r="243" spans="1:71">
      <c r="A243" s="284">
        <f t="shared" si="214"/>
        <v>175</v>
      </c>
      <c r="B243" s="285">
        <v>0.71093179231058423</v>
      </c>
      <c r="C243" s="285">
        <v>1.502029555536446</v>
      </c>
      <c r="D243" s="285">
        <v>2.0380854136345219</v>
      </c>
      <c r="E243" s="285">
        <v>-22.717873277984847</v>
      </c>
      <c r="H243" s="685">
        <f t="shared" si="160"/>
        <v>-0.42230204945847061</v>
      </c>
      <c r="I243" s="276">
        <f t="shared" si="161"/>
        <v>-2.623994503350354</v>
      </c>
      <c r="J243" s="276">
        <f t="shared" si="162"/>
        <v>-4.6330432123299161</v>
      </c>
      <c r="K243" s="276">
        <f t="shared" si="163"/>
        <v>-1.7232126387123028</v>
      </c>
      <c r="L243" s="276">
        <f t="shared" si="164"/>
        <v>-1.5499060713017832</v>
      </c>
      <c r="M243" s="276">
        <f t="shared" si="165"/>
        <v>-0.75377782125423498</v>
      </c>
      <c r="N243" s="685">
        <f t="shared" si="166"/>
        <v>0.2948583445645776</v>
      </c>
      <c r="O243" s="276">
        <f t="shared" si="167"/>
        <v>1.2945045632814403</v>
      </c>
      <c r="P243" s="276">
        <f t="shared" si="168"/>
        <v>0.8131308303719178</v>
      </c>
      <c r="Q243" s="276">
        <f t="shared" si="169"/>
        <v>1.1643933276409648</v>
      </c>
      <c r="R243" s="276">
        <f t="shared" si="170"/>
        <v>1.0339928800906757</v>
      </c>
      <c r="S243" s="686">
        <f t="shared" si="171"/>
        <v>2.2169239218899035</v>
      </c>
      <c r="T243" s="685">
        <f t="shared" si="172"/>
        <v>5.3164491039054482</v>
      </c>
      <c r="U243" s="276">
        <f t="shared" si="173"/>
        <v>5.0349788632223182</v>
      </c>
      <c r="V243" s="276">
        <f t="shared" si="174"/>
        <v>3.7041523878704319</v>
      </c>
      <c r="W243" s="276">
        <f t="shared" si="175"/>
        <v>4.5312124478530302</v>
      </c>
      <c r="X243" s="276">
        <f t="shared" si="176"/>
        <v>2.8492910917956422</v>
      </c>
      <c r="Y243" s="686">
        <f t="shared" si="177"/>
        <v>2.6775167888182381</v>
      </c>
      <c r="Z243" s="685" t="e">
        <f t="shared" si="178"/>
        <v>#DIV/0!</v>
      </c>
      <c r="AA243" s="276" t="e">
        <f t="shared" si="179"/>
        <v>#DIV/0!</v>
      </c>
      <c r="AB243" s="276" t="e">
        <f t="shared" si="180"/>
        <v>#DIV/0!</v>
      </c>
      <c r="AC243" s="276" t="e">
        <f t="shared" si="181"/>
        <v>#DIV/0!</v>
      </c>
      <c r="AD243" s="276" t="e">
        <f t="shared" si="182"/>
        <v>#DIV/0!</v>
      </c>
      <c r="AE243" s="686" t="e">
        <f t="shared" si="183"/>
        <v>#DIV/0!</v>
      </c>
      <c r="AF243" s="239"/>
      <c r="AG243" s="965" t="e">
        <f t="shared" si="154"/>
        <v>#VALUE!</v>
      </c>
      <c r="AH243" s="878" t="e">
        <f t="shared" si="155"/>
        <v>#VALUE!</v>
      </c>
      <c r="AI243" s="878" t="e">
        <f t="shared" si="156"/>
        <v>#VALUE!</v>
      </c>
      <c r="AJ243" s="878" t="e">
        <f t="shared" si="157"/>
        <v>#VALUE!</v>
      </c>
      <c r="AK243" s="878" t="e">
        <f t="shared" si="158"/>
        <v>#VALUE!</v>
      </c>
      <c r="AL243" s="966" t="e">
        <f t="shared" si="159"/>
        <v>#VALUE!</v>
      </c>
      <c r="AM243" s="239"/>
      <c r="AO243" s="685">
        <f t="shared" si="184"/>
        <v>-0.42230204945847061</v>
      </c>
      <c r="AP243" s="276">
        <f t="shared" si="185"/>
        <v>-2.623994503350354</v>
      </c>
      <c r="AQ243" s="276">
        <f t="shared" si="186"/>
        <v>-4.6330432123299161</v>
      </c>
      <c r="AR243" s="276">
        <f t="shared" si="187"/>
        <v>-1.7232126387123028</v>
      </c>
      <c r="AS243" s="276">
        <f t="shared" si="188"/>
        <v>-1.5499060713017832</v>
      </c>
      <c r="AT243" s="276">
        <f t="shared" si="189"/>
        <v>-0.75377782125423498</v>
      </c>
      <c r="AU243" s="685">
        <f t="shared" si="190"/>
        <v>0.2948583445645776</v>
      </c>
      <c r="AV243" s="276">
        <f t="shared" si="191"/>
        <v>1.2945045632814403</v>
      </c>
      <c r="AW243" s="276">
        <f t="shared" si="192"/>
        <v>0.8131308303719178</v>
      </c>
      <c r="AX243" s="276">
        <f t="shared" si="193"/>
        <v>1.1643933276409648</v>
      </c>
      <c r="AY243" s="276">
        <f t="shared" si="194"/>
        <v>1.0339928800906757</v>
      </c>
      <c r="AZ243" s="686">
        <f t="shared" si="195"/>
        <v>2.2169239218899035</v>
      </c>
      <c r="BA243" s="685">
        <f t="shared" si="196"/>
        <v>0</v>
      </c>
      <c r="BB243" s="276">
        <f t="shared" si="197"/>
        <v>0</v>
      </c>
      <c r="BC243" s="276">
        <f t="shared" si="198"/>
        <v>0</v>
      </c>
      <c r="BD243" s="276">
        <f t="shared" si="199"/>
        <v>0</v>
      </c>
      <c r="BE243" s="276">
        <f t="shared" si="200"/>
        <v>0</v>
      </c>
      <c r="BF243" s="686">
        <f t="shared" si="201"/>
        <v>0</v>
      </c>
      <c r="BG243" s="685" t="e">
        <f t="shared" si="202"/>
        <v>#DIV/0!</v>
      </c>
      <c r="BH243" s="276" t="e">
        <f t="shared" si="203"/>
        <v>#DIV/0!</v>
      </c>
      <c r="BI243" s="276" t="e">
        <f t="shared" si="204"/>
        <v>#DIV/0!</v>
      </c>
      <c r="BJ243" s="276" t="e">
        <f t="shared" si="205"/>
        <v>#DIV/0!</v>
      </c>
      <c r="BK243" s="276" t="e">
        <f t="shared" si="206"/>
        <v>#DIV/0!</v>
      </c>
      <c r="BL243" s="686" t="e">
        <f t="shared" si="207"/>
        <v>#DIV/0!</v>
      </c>
      <c r="BM243" s="239"/>
      <c r="BN243" s="965" t="e">
        <f t="shared" si="208"/>
        <v>#VALUE!</v>
      </c>
      <c r="BO243" s="878" t="e">
        <f t="shared" si="209"/>
        <v>#VALUE!</v>
      </c>
      <c r="BP243" s="878" t="e">
        <f t="shared" si="210"/>
        <v>#VALUE!</v>
      </c>
      <c r="BQ243" s="878" t="e">
        <f t="shared" si="211"/>
        <v>#VALUE!</v>
      </c>
      <c r="BR243" s="878" t="e">
        <f t="shared" si="212"/>
        <v>#VALUE!</v>
      </c>
      <c r="BS243" s="966" t="e">
        <f t="shared" si="213"/>
        <v>#VALUE!</v>
      </c>
    </row>
    <row r="244" spans="1:71">
      <c r="A244" s="284">
        <f t="shared" si="214"/>
        <v>176</v>
      </c>
      <c r="B244" s="285">
        <v>3.1929303931642514</v>
      </c>
      <c r="C244" s="285">
        <v>2.1817779120279068</v>
      </c>
      <c r="D244" s="285">
        <v>2.2753651352200714</v>
      </c>
      <c r="E244" s="285">
        <v>-6.6392858857148749</v>
      </c>
      <c r="H244" s="685">
        <f t="shared" si="160"/>
        <v>2.0596965513951968</v>
      </c>
      <c r="I244" s="276">
        <f t="shared" si="161"/>
        <v>3.9536321806721286E-2</v>
      </c>
      <c r="J244" s="276">
        <f t="shared" si="162"/>
        <v>-1.2584564501662148</v>
      </c>
      <c r="K244" s="276">
        <f t="shared" si="163"/>
        <v>-1.4671633890947648</v>
      </c>
      <c r="L244" s="276">
        <f t="shared" si="164"/>
        <v>0.28866598407867761</v>
      </c>
      <c r="M244" s="276">
        <f t="shared" si="165"/>
        <v>-2.863743500954544</v>
      </c>
      <c r="N244" s="685">
        <f t="shared" si="166"/>
        <v>0.97460670105603842</v>
      </c>
      <c r="O244" s="276">
        <f t="shared" si="167"/>
        <v>1.5385023038159462</v>
      </c>
      <c r="P244" s="276">
        <f t="shared" si="168"/>
        <v>0.75889543895172573</v>
      </c>
      <c r="Q244" s="276">
        <f t="shared" si="169"/>
        <v>1.3620704028789927</v>
      </c>
      <c r="R244" s="276">
        <f t="shared" si="170"/>
        <v>1.5394401186842417</v>
      </c>
      <c r="S244" s="686">
        <f t="shared" si="171"/>
        <v>0.3208653725191819</v>
      </c>
      <c r="T244" s="685">
        <f t="shared" si="172"/>
        <v>5.5537288254909978</v>
      </c>
      <c r="U244" s="276">
        <f t="shared" si="173"/>
        <v>4.7301268453164358</v>
      </c>
      <c r="V244" s="276">
        <f t="shared" si="174"/>
        <v>6.0904569527284771</v>
      </c>
      <c r="W244" s="276">
        <f t="shared" si="175"/>
        <v>3.5672671416185828</v>
      </c>
      <c r="X244" s="276">
        <f t="shared" si="176"/>
        <v>5.1567166808160341</v>
      </c>
      <c r="Y244" s="686">
        <f t="shared" si="177"/>
        <v>4.5469992549500162</v>
      </c>
      <c r="Z244" s="685" t="e">
        <f t="shared" si="178"/>
        <v>#DIV/0!</v>
      </c>
      <c r="AA244" s="276" t="e">
        <f t="shared" si="179"/>
        <v>#DIV/0!</v>
      </c>
      <c r="AB244" s="276" t="e">
        <f t="shared" si="180"/>
        <v>#DIV/0!</v>
      </c>
      <c r="AC244" s="276" t="e">
        <f t="shared" si="181"/>
        <v>#DIV/0!</v>
      </c>
      <c r="AD244" s="276" t="e">
        <f t="shared" si="182"/>
        <v>#DIV/0!</v>
      </c>
      <c r="AE244" s="686" t="e">
        <f t="shared" si="183"/>
        <v>#DIV/0!</v>
      </c>
      <c r="AF244" s="239"/>
      <c r="AG244" s="965" t="e">
        <f t="shared" si="154"/>
        <v>#VALUE!</v>
      </c>
      <c r="AH244" s="878" t="e">
        <f t="shared" si="155"/>
        <v>#VALUE!</v>
      </c>
      <c r="AI244" s="878" t="e">
        <f t="shared" si="156"/>
        <v>#VALUE!</v>
      </c>
      <c r="AJ244" s="878" t="e">
        <f t="shared" si="157"/>
        <v>#VALUE!</v>
      </c>
      <c r="AK244" s="878" t="e">
        <f t="shared" si="158"/>
        <v>#VALUE!</v>
      </c>
      <c r="AL244" s="966" t="e">
        <f t="shared" si="159"/>
        <v>#VALUE!</v>
      </c>
      <c r="AM244" s="239"/>
      <c r="AO244" s="685">
        <f t="shared" si="184"/>
        <v>2.0596965513951968</v>
      </c>
      <c r="AP244" s="276">
        <f t="shared" si="185"/>
        <v>3.9536321806721286E-2</v>
      </c>
      <c r="AQ244" s="276">
        <f t="shared" si="186"/>
        <v>-1.2584564501662148</v>
      </c>
      <c r="AR244" s="276">
        <f t="shared" si="187"/>
        <v>-1.4671633890947648</v>
      </c>
      <c r="AS244" s="276">
        <f t="shared" si="188"/>
        <v>0.28866598407867761</v>
      </c>
      <c r="AT244" s="276">
        <f t="shared" si="189"/>
        <v>-2.863743500954544</v>
      </c>
      <c r="AU244" s="685">
        <f t="shared" si="190"/>
        <v>0.97460670105603842</v>
      </c>
      <c r="AV244" s="276">
        <f t="shared" si="191"/>
        <v>1.5385023038159462</v>
      </c>
      <c r="AW244" s="276">
        <f t="shared" si="192"/>
        <v>0.75889543895172573</v>
      </c>
      <c r="AX244" s="276">
        <f t="shared" si="193"/>
        <v>1.3620704028789927</v>
      </c>
      <c r="AY244" s="276">
        <f t="shared" si="194"/>
        <v>1.5394401186842417</v>
      </c>
      <c r="AZ244" s="686">
        <f t="shared" si="195"/>
        <v>0.3208653725191819</v>
      </c>
      <c r="BA244" s="685">
        <f t="shared" si="196"/>
        <v>0</v>
      </c>
      <c r="BB244" s="276">
        <f t="shared" si="197"/>
        <v>0</v>
      </c>
      <c r="BC244" s="276">
        <f t="shared" si="198"/>
        <v>0</v>
      </c>
      <c r="BD244" s="276">
        <f t="shared" si="199"/>
        <v>0</v>
      </c>
      <c r="BE244" s="276">
        <f t="shared" si="200"/>
        <v>0</v>
      </c>
      <c r="BF244" s="686">
        <f t="shared" si="201"/>
        <v>0</v>
      </c>
      <c r="BG244" s="685" t="e">
        <f t="shared" si="202"/>
        <v>#DIV/0!</v>
      </c>
      <c r="BH244" s="276" t="e">
        <f t="shared" si="203"/>
        <v>#DIV/0!</v>
      </c>
      <c r="BI244" s="276" t="e">
        <f t="shared" si="204"/>
        <v>#DIV/0!</v>
      </c>
      <c r="BJ244" s="276" t="e">
        <f t="shared" si="205"/>
        <v>#DIV/0!</v>
      </c>
      <c r="BK244" s="276" t="e">
        <f t="shared" si="206"/>
        <v>#DIV/0!</v>
      </c>
      <c r="BL244" s="686" t="e">
        <f t="shared" si="207"/>
        <v>#DIV/0!</v>
      </c>
      <c r="BM244" s="239"/>
      <c r="BN244" s="965" t="e">
        <f t="shared" si="208"/>
        <v>#VALUE!</v>
      </c>
      <c r="BO244" s="878" t="e">
        <f t="shared" si="209"/>
        <v>#VALUE!</v>
      </c>
      <c r="BP244" s="878" t="e">
        <f t="shared" si="210"/>
        <v>#VALUE!</v>
      </c>
      <c r="BQ244" s="878" t="e">
        <f t="shared" si="211"/>
        <v>#VALUE!</v>
      </c>
      <c r="BR244" s="878" t="e">
        <f t="shared" si="212"/>
        <v>#VALUE!</v>
      </c>
      <c r="BS244" s="966" t="e">
        <f t="shared" si="213"/>
        <v>#VALUE!</v>
      </c>
    </row>
    <row r="245" spans="1:71">
      <c r="A245" s="284">
        <f t="shared" si="214"/>
        <v>177</v>
      </c>
      <c r="B245" s="285">
        <v>-3.4192433057593861</v>
      </c>
      <c r="C245" s="285">
        <v>3.0905189520939356</v>
      </c>
      <c r="D245" s="285">
        <v>-0.1183211022239925</v>
      </c>
      <c r="E245" s="285">
        <v>7.2198060917774693</v>
      </c>
      <c r="H245" s="685">
        <f t="shared" si="160"/>
        <v>-4.5524771475284407</v>
      </c>
      <c r="I245" s="276">
        <f t="shared" si="161"/>
        <v>-1.5176860457617316</v>
      </c>
      <c r="J245" s="276">
        <f t="shared" si="162"/>
        <v>1.0387177069876803</v>
      </c>
      <c r="K245" s="276">
        <f t="shared" si="163"/>
        <v>-1.9714175070471753</v>
      </c>
      <c r="L245" s="276">
        <f t="shared" si="164"/>
        <v>-1.2815535357584247</v>
      </c>
      <c r="M245" s="276">
        <f t="shared" si="165"/>
        <v>-0.78796684046909315</v>
      </c>
      <c r="N245" s="685">
        <f t="shared" si="166"/>
        <v>1.8833477411220672</v>
      </c>
      <c r="O245" s="276">
        <f t="shared" si="167"/>
        <v>0.87871827124737778</v>
      </c>
      <c r="P245" s="276">
        <f t="shared" si="168"/>
        <v>1.6533634744164567</v>
      </c>
      <c r="Q245" s="276">
        <f t="shared" si="169"/>
        <v>1.7541631130460138</v>
      </c>
      <c r="R245" s="276">
        <f t="shared" si="170"/>
        <v>1.1795875207372892</v>
      </c>
      <c r="S245" s="686">
        <f t="shared" si="171"/>
        <v>0.87317523663842267</v>
      </c>
      <c r="T245" s="685">
        <f t="shared" si="172"/>
        <v>3.1600425880469336</v>
      </c>
      <c r="U245" s="276">
        <f t="shared" si="173"/>
        <v>5.4692623386528219</v>
      </c>
      <c r="V245" s="276">
        <f t="shared" si="174"/>
        <v>5.3927535632906718</v>
      </c>
      <c r="W245" s="276">
        <f t="shared" si="175"/>
        <v>4.4348861480383537</v>
      </c>
      <c r="X245" s="276">
        <f t="shared" si="176"/>
        <v>5.6673747149617384</v>
      </c>
      <c r="Y245" s="686">
        <f t="shared" si="177"/>
        <v>5.9176541658121646</v>
      </c>
      <c r="Z245" s="685" t="e">
        <f t="shared" si="178"/>
        <v>#DIV/0!</v>
      </c>
      <c r="AA245" s="276" t="e">
        <f t="shared" si="179"/>
        <v>#DIV/0!</v>
      </c>
      <c r="AB245" s="276" t="e">
        <f t="shared" si="180"/>
        <v>#DIV/0!</v>
      </c>
      <c r="AC245" s="276" t="e">
        <f t="shared" si="181"/>
        <v>#DIV/0!</v>
      </c>
      <c r="AD245" s="276" t="e">
        <f t="shared" si="182"/>
        <v>#DIV/0!</v>
      </c>
      <c r="AE245" s="686" t="e">
        <f t="shared" si="183"/>
        <v>#DIV/0!</v>
      </c>
      <c r="AF245" s="239"/>
      <c r="AG245" s="965" t="e">
        <f t="shared" si="154"/>
        <v>#VALUE!</v>
      </c>
      <c r="AH245" s="878" t="e">
        <f t="shared" si="155"/>
        <v>#VALUE!</v>
      </c>
      <c r="AI245" s="878" t="e">
        <f t="shared" si="156"/>
        <v>#VALUE!</v>
      </c>
      <c r="AJ245" s="878" t="e">
        <f t="shared" si="157"/>
        <v>#VALUE!</v>
      </c>
      <c r="AK245" s="878" t="e">
        <f t="shared" si="158"/>
        <v>#VALUE!</v>
      </c>
      <c r="AL245" s="966" t="e">
        <f t="shared" si="159"/>
        <v>#VALUE!</v>
      </c>
      <c r="AM245" s="239"/>
      <c r="AO245" s="685">
        <f t="shared" si="184"/>
        <v>-4.5524771475284407</v>
      </c>
      <c r="AP245" s="276">
        <f t="shared" si="185"/>
        <v>-1.5176860457617316</v>
      </c>
      <c r="AQ245" s="276">
        <f t="shared" si="186"/>
        <v>1.0387177069876803</v>
      </c>
      <c r="AR245" s="276">
        <f t="shared" si="187"/>
        <v>-1.9714175070471753</v>
      </c>
      <c r="AS245" s="276">
        <f t="shared" si="188"/>
        <v>-1.2815535357584247</v>
      </c>
      <c r="AT245" s="276">
        <f t="shared" si="189"/>
        <v>-0.78796684046909315</v>
      </c>
      <c r="AU245" s="685">
        <f t="shared" si="190"/>
        <v>1.8833477411220672</v>
      </c>
      <c r="AV245" s="276">
        <f t="shared" si="191"/>
        <v>0.87871827124737778</v>
      </c>
      <c r="AW245" s="276">
        <f t="shared" si="192"/>
        <v>1.6533634744164567</v>
      </c>
      <c r="AX245" s="276">
        <f t="shared" si="193"/>
        <v>1.7541631130460138</v>
      </c>
      <c r="AY245" s="276">
        <f t="shared" si="194"/>
        <v>1.1795875207372892</v>
      </c>
      <c r="AZ245" s="686">
        <f t="shared" si="195"/>
        <v>0.87317523663842267</v>
      </c>
      <c r="BA245" s="685">
        <f t="shared" si="196"/>
        <v>0</v>
      </c>
      <c r="BB245" s="276">
        <f t="shared" si="197"/>
        <v>0</v>
      </c>
      <c r="BC245" s="276">
        <f t="shared" si="198"/>
        <v>0</v>
      </c>
      <c r="BD245" s="276">
        <f t="shared" si="199"/>
        <v>0</v>
      </c>
      <c r="BE245" s="276">
        <f t="shared" si="200"/>
        <v>0</v>
      </c>
      <c r="BF245" s="686">
        <f t="shared" si="201"/>
        <v>0</v>
      </c>
      <c r="BG245" s="685" t="e">
        <f t="shared" si="202"/>
        <v>#DIV/0!</v>
      </c>
      <c r="BH245" s="276" t="e">
        <f t="shared" si="203"/>
        <v>#DIV/0!</v>
      </c>
      <c r="BI245" s="276" t="e">
        <f t="shared" si="204"/>
        <v>#DIV/0!</v>
      </c>
      <c r="BJ245" s="276" t="e">
        <f t="shared" si="205"/>
        <v>#DIV/0!</v>
      </c>
      <c r="BK245" s="276" t="e">
        <f t="shared" si="206"/>
        <v>#DIV/0!</v>
      </c>
      <c r="BL245" s="686" t="e">
        <f t="shared" si="207"/>
        <v>#DIV/0!</v>
      </c>
      <c r="BM245" s="239"/>
      <c r="BN245" s="965" t="e">
        <f t="shared" si="208"/>
        <v>#VALUE!</v>
      </c>
      <c r="BO245" s="878" t="e">
        <f t="shared" si="209"/>
        <v>#VALUE!</v>
      </c>
      <c r="BP245" s="878" t="e">
        <f t="shared" si="210"/>
        <v>#VALUE!</v>
      </c>
      <c r="BQ245" s="878" t="e">
        <f t="shared" si="211"/>
        <v>#VALUE!</v>
      </c>
      <c r="BR245" s="878" t="e">
        <f t="shared" si="212"/>
        <v>#VALUE!</v>
      </c>
      <c r="BS245" s="966" t="e">
        <f t="shared" si="213"/>
        <v>#VALUE!</v>
      </c>
    </row>
    <row r="246" spans="1:71">
      <c r="A246" s="284">
        <f t="shared" si="214"/>
        <v>178</v>
      </c>
      <c r="B246" s="285">
        <v>-1.3110969288308347</v>
      </c>
      <c r="C246" s="285">
        <v>2.6238611725093137</v>
      </c>
      <c r="D246" s="285">
        <v>0.38384287130776917</v>
      </c>
      <c r="E246" s="285">
        <v>-3.6156318458851882</v>
      </c>
      <c r="H246" s="685">
        <f t="shared" si="160"/>
        <v>-2.4443307705998896</v>
      </c>
      <c r="I246" s="276">
        <f t="shared" si="161"/>
        <v>-2.9582397666953151</v>
      </c>
      <c r="J246" s="276">
        <f t="shared" si="162"/>
        <v>-2.8543720258990493</v>
      </c>
      <c r="K246" s="276">
        <f t="shared" si="163"/>
        <v>-1.6274880630334239</v>
      </c>
      <c r="L246" s="276">
        <f t="shared" si="164"/>
        <v>4.444862809628165</v>
      </c>
      <c r="M246" s="276">
        <f t="shared" si="165"/>
        <v>-2.8137907418927561</v>
      </c>
      <c r="N246" s="685">
        <f t="shared" si="166"/>
        <v>1.4166899615374453</v>
      </c>
      <c r="O246" s="276">
        <f t="shared" si="167"/>
        <v>0.98290752458489883</v>
      </c>
      <c r="P246" s="276">
        <f t="shared" si="168"/>
        <v>1.3874182627942326</v>
      </c>
      <c r="Q246" s="276">
        <f t="shared" si="169"/>
        <v>0.86623041822924152</v>
      </c>
      <c r="R246" s="276">
        <f t="shared" si="170"/>
        <v>1.7910627038424758</v>
      </c>
      <c r="S246" s="686">
        <f t="shared" si="171"/>
        <v>1.1184272367938155</v>
      </c>
      <c r="T246" s="685">
        <f t="shared" si="172"/>
        <v>3.662206561578695</v>
      </c>
      <c r="U246" s="276">
        <f t="shared" si="173"/>
        <v>6.0237782241599191</v>
      </c>
      <c r="V246" s="276">
        <f t="shared" si="174"/>
        <v>4.7819532420713191</v>
      </c>
      <c r="W246" s="276">
        <f t="shared" si="175"/>
        <v>6.8112281033881477</v>
      </c>
      <c r="X246" s="276">
        <f t="shared" si="176"/>
        <v>4.2964424626953281</v>
      </c>
      <c r="Y246" s="686">
        <f t="shared" si="177"/>
        <v>4.5800686133784723</v>
      </c>
      <c r="Z246" s="685" t="e">
        <f t="shared" si="178"/>
        <v>#DIV/0!</v>
      </c>
      <c r="AA246" s="276" t="e">
        <f t="shared" si="179"/>
        <v>#DIV/0!</v>
      </c>
      <c r="AB246" s="276" t="e">
        <f t="shared" si="180"/>
        <v>#DIV/0!</v>
      </c>
      <c r="AC246" s="276" t="e">
        <f t="shared" si="181"/>
        <v>#DIV/0!</v>
      </c>
      <c r="AD246" s="276" t="e">
        <f t="shared" si="182"/>
        <v>#DIV/0!</v>
      </c>
      <c r="AE246" s="686" t="e">
        <f t="shared" si="183"/>
        <v>#DIV/0!</v>
      </c>
      <c r="AF246" s="239"/>
      <c r="AG246" s="965" t="e">
        <f t="shared" si="154"/>
        <v>#VALUE!</v>
      </c>
      <c r="AH246" s="878" t="e">
        <f t="shared" si="155"/>
        <v>#VALUE!</v>
      </c>
      <c r="AI246" s="878" t="e">
        <f t="shared" si="156"/>
        <v>#VALUE!</v>
      </c>
      <c r="AJ246" s="878" t="e">
        <f t="shared" si="157"/>
        <v>#VALUE!</v>
      </c>
      <c r="AK246" s="878" t="e">
        <f t="shared" si="158"/>
        <v>#VALUE!</v>
      </c>
      <c r="AL246" s="966" t="e">
        <f t="shared" si="159"/>
        <v>#VALUE!</v>
      </c>
      <c r="AM246" s="239"/>
      <c r="AO246" s="685">
        <f t="shared" si="184"/>
        <v>-2.4443307705998896</v>
      </c>
      <c r="AP246" s="276">
        <f t="shared" si="185"/>
        <v>-2.9582397666953151</v>
      </c>
      <c r="AQ246" s="276">
        <f t="shared" si="186"/>
        <v>-2.8543720258990493</v>
      </c>
      <c r="AR246" s="276">
        <f t="shared" si="187"/>
        <v>-1.6274880630334239</v>
      </c>
      <c r="AS246" s="276">
        <f t="shared" si="188"/>
        <v>4.444862809628165</v>
      </c>
      <c r="AT246" s="276">
        <f t="shared" si="189"/>
        <v>-2.8137907418927561</v>
      </c>
      <c r="AU246" s="685">
        <f t="shared" si="190"/>
        <v>1.4166899615374453</v>
      </c>
      <c r="AV246" s="276">
        <f t="shared" si="191"/>
        <v>0.98290752458489883</v>
      </c>
      <c r="AW246" s="276">
        <f t="shared" si="192"/>
        <v>1.3874182627942326</v>
      </c>
      <c r="AX246" s="276">
        <f t="shared" si="193"/>
        <v>0.86623041822924152</v>
      </c>
      <c r="AY246" s="276">
        <f t="shared" si="194"/>
        <v>1.7910627038424758</v>
      </c>
      <c r="AZ246" s="686">
        <f t="shared" si="195"/>
        <v>1.1184272367938155</v>
      </c>
      <c r="BA246" s="685">
        <f t="shared" si="196"/>
        <v>0</v>
      </c>
      <c r="BB246" s="276">
        <f t="shared" si="197"/>
        <v>0</v>
      </c>
      <c r="BC246" s="276">
        <f t="shared" si="198"/>
        <v>0</v>
      </c>
      <c r="BD246" s="276">
        <f t="shared" si="199"/>
        <v>0</v>
      </c>
      <c r="BE246" s="276">
        <f t="shared" si="200"/>
        <v>0</v>
      </c>
      <c r="BF246" s="686">
        <f t="shared" si="201"/>
        <v>0</v>
      </c>
      <c r="BG246" s="685" t="e">
        <f t="shared" si="202"/>
        <v>#DIV/0!</v>
      </c>
      <c r="BH246" s="276" t="e">
        <f t="shared" si="203"/>
        <v>#DIV/0!</v>
      </c>
      <c r="BI246" s="276" t="e">
        <f t="shared" si="204"/>
        <v>#DIV/0!</v>
      </c>
      <c r="BJ246" s="276" t="e">
        <f t="shared" si="205"/>
        <v>#DIV/0!</v>
      </c>
      <c r="BK246" s="276" t="e">
        <f t="shared" si="206"/>
        <v>#DIV/0!</v>
      </c>
      <c r="BL246" s="686" t="e">
        <f t="shared" si="207"/>
        <v>#DIV/0!</v>
      </c>
      <c r="BM246" s="239"/>
      <c r="BN246" s="965" t="e">
        <f t="shared" si="208"/>
        <v>#VALUE!</v>
      </c>
      <c r="BO246" s="878" t="e">
        <f t="shared" si="209"/>
        <v>#VALUE!</v>
      </c>
      <c r="BP246" s="878" t="e">
        <f t="shared" si="210"/>
        <v>#VALUE!</v>
      </c>
      <c r="BQ246" s="878" t="e">
        <f t="shared" si="211"/>
        <v>#VALUE!</v>
      </c>
      <c r="BR246" s="878" t="e">
        <f t="shared" si="212"/>
        <v>#VALUE!</v>
      </c>
      <c r="BS246" s="966" t="e">
        <f t="shared" si="213"/>
        <v>#VALUE!</v>
      </c>
    </row>
    <row r="247" spans="1:71">
      <c r="A247" s="284">
        <f t="shared" si="214"/>
        <v>179</v>
      </c>
      <c r="B247" s="285">
        <v>-0.34321008318801333</v>
      </c>
      <c r="C247" s="285">
        <v>2.5378443239706621</v>
      </c>
      <c r="D247" s="285">
        <v>2.490851509175843</v>
      </c>
      <c r="E247" s="285">
        <v>-3.3584621912199255</v>
      </c>
      <c r="H247" s="685">
        <f t="shared" si="160"/>
        <v>-1.4764439249570682</v>
      </c>
      <c r="I247" s="276">
        <f t="shared" si="161"/>
        <v>1.8264385097577176</v>
      </c>
      <c r="J247" s="276">
        <f t="shared" si="162"/>
        <v>-2.2462515850899951</v>
      </c>
      <c r="K247" s="276">
        <f t="shared" si="163"/>
        <v>-0.71506729973424932</v>
      </c>
      <c r="L247" s="276">
        <f t="shared" si="164"/>
        <v>-1.3736336250680476</v>
      </c>
      <c r="M247" s="276">
        <f t="shared" si="165"/>
        <v>-0.75455851198356727</v>
      </c>
      <c r="N247" s="685">
        <f t="shared" si="166"/>
        <v>1.3306731129987937</v>
      </c>
      <c r="O247" s="276">
        <f t="shared" si="167"/>
        <v>1.723197098530816</v>
      </c>
      <c r="P247" s="276">
        <f t="shared" si="168"/>
        <v>1.3771413395424157</v>
      </c>
      <c r="Q247" s="276">
        <f t="shared" si="169"/>
        <v>1.799188289182607</v>
      </c>
      <c r="R247" s="276">
        <f t="shared" si="170"/>
        <v>1.4860231798590366</v>
      </c>
      <c r="S247" s="686">
        <f t="shared" si="171"/>
        <v>0.5340711973331238</v>
      </c>
      <c r="T247" s="685">
        <f t="shared" si="172"/>
        <v>5.7692151994467693</v>
      </c>
      <c r="U247" s="276">
        <f t="shared" si="173"/>
        <v>4.7529857041376804</v>
      </c>
      <c r="V247" s="276">
        <f t="shared" si="174"/>
        <v>5.4194822616100922</v>
      </c>
      <c r="W247" s="276">
        <f t="shared" si="175"/>
        <v>5.0110288476944271</v>
      </c>
      <c r="X247" s="276">
        <f t="shared" si="176"/>
        <v>3.9460554785170325</v>
      </c>
      <c r="Y247" s="686">
        <f t="shared" si="177"/>
        <v>5.9435375176628522</v>
      </c>
      <c r="Z247" s="685" t="e">
        <f t="shared" si="178"/>
        <v>#DIV/0!</v>
      </c>
      <c r="AA247" s="276" t="e">
        <f t="shared" si="179"/>
        <v>#DIV/0!</v>
      </c>
      <c r="AB247" s="276" t="e">
        <f t="shared" si="180"/>
        <v>#DIV/0!</v>
      </c>
      <c r="AC247" s="276" t="e">
        <f t="shared" si="181"/>
        <v>#DIV/0!</v>
      </c>
      <c r="AD247" s="276" t="e">
        <f t="shared" si="182"/>
        <v>#DIV/0!</v>
      </c>
      <c r="AE247" s="686" t="e">
        <f t="shared" si="183"/>
        <v>#DIV/0!</v>
      </c>
      <c r="AF247" s="239"/>
      <c r="AG247" s="965" t="e">
        <f t="shared" si="154"/>
        <v>#VALUE!</v>
      </c>
      <c r="AH247" s="878" t="e">
        <f t="shared" si="155"/>
        <v>#VALUE!</v>
      </c>
      <c r="AI247" s="878" t="e">
        <f t="shared" si="156"/>
        <v>#VALUE!</v>
      </c>
      <c r="AJ247" s="878" t="e">
        <f t="shared" si="157"/>
        <v>#VALUE!</v>
      </c>
      <c r="AK247" s="878" t="e">
        <f t="shared" si="158"/>
        <v>#VALUE!</v>
      </c>
      <c r="AL247" s="966" t="e">
        <f t="shared" si="159"/>
        <v>#VALUE!</v>
      </c>
      <c r="AM247" s="239"/>
      <c r="AO247" s="685">
        <f t="shared" si="184"/>
        <v>-1.4764439249570682</v>
      </c>
      <c r="AP247" s="276">
        <f t="shared" si="185"/>
        <v>1.8264385097577176</v>
      </c>
      <c r="AQ247" s="276">
        <f t="shared" si="186"/>
        <v>-2.2462515850899951</v>
      </c>
      <c r="AR247" s="276">
        <f t="shared" si="187"/>
        <v>-0.71506729973424932</v>
      </c>
      <c r="AS247" s="276">
        <f t="shared" si="188"/>
        <v>-1.3736336250680476</v>
      </c>
      <c r="AT247" s="276">
        <f t="shared" si="189"/>
        <v>-0.75455851198356727</v>
      </c>
      <c r="AU247" s="685">
        <f t="shared" si="190"/>
        <v>1.3306731129987937</v>
      </c>
      <c r="AV247" s="276">
        <f t="shared" si="191"/>
        <v>1.723197098530816</v>
      </c>
      <c r="AW247" s="276">
        <f t="shared" si="192"/>
        <v>1.3771413395424157</v>
      </c>
      <c r="AX247" s="276">
        <f t="shared" si="193"/>
        <v>1.799188289182607</v>
      </c>
      <c r="AY247" s="276">
        <f t="shared" si="194"/>
        <v>1.4860231798590366</v>
      </c>
      <c r="AZ247" s="686">
        <f t="shared" si="195"/>
        <v>0.5340711973331238</v>
      </c>
      <c r="BA247" s="685">
        <f t="shared" si="196"/>
        <v>0</v>
      </c>
      <c r="BB247" s="276">
        <f t="shared" si="197"/>
        <v>0</v>
      </c>
      <c r="BC247" s="276">
        <f t="shared" si="198"/>
        <v>0</v>
      </c>
      <c r="BD247" s="276">
        <f t="shared" si="199"/>
        <v>0</v>
      </c>
      <c r="BE247" s="276">
        <f t="shared" si="200"/>
        <v>0</v>
      </c>
      <c r="BF247" s="686">
        <f t="shared" si="201"/>
        <v>0</v>
      </c>
      <c r="BG247" s="685" t="e">
        <f t="shared" si="202"/>
        <v>#DIV/0!</v>
      </c>
      <c r="BH247" s="276" t="e">
        <f t="shared" si="203"/>
        <v>#DIV/0!</v>
      </c>
      <c r="BI247" s="276" t="e">
        <f t="shared" si="204"/>
        <v>#DIV/0!</v>
      </c>
      <c r="BJ247" s="276" t="e">
        <f t="shared" si="205"/>
        <v>#DIV/0!</v>
      </c>
      <c r="BK247" s="276" t="e">
        <f t="shared" si="206"/>
        <v>#DIV/0!</v>
      </c>
      <c r="BL247" s="686" t="e">
        <f t="shared" si="207"/>
        <v>#DIV/0!</v>
      </c>
      <c r="BM247" s="239"/>
      <c r="BN247" s="965" t="e">
        <f t="shared" si="208"/>
        <v>#VALUE!</v>
      </c>
      <c r="BO247" s="878" t="e">
        <f t="shared" si="209"/>
        <v>#VALUE!</v>
      </c>
      <c r="BP247" s="878" t="e">
        <f t="shared" si="210"/>
        <v>#VALUE!</v>
      </c>
      <c r="BQ247" s="878" t="e">
        <f t="shared" si="211"/>
        <v>#VALUE!</v>
      </c>
      <c r="BR247" s="878" t="e">
        <f t="shared" si="212"/>
        <v>#VALUE!</v>
      </c>
      <c r="BS247" s="966" t="e">
        <f t="shared" si="213"/>
        <v>#VALUE!</v>
      </c>
    </row>
    <row r="248" spans="1:71">
      <c r="A248" s="284">
        <f t="shared" si="214"/>
        <v>180</v>
      </c>
      <c r="B248" s="285">
        <v>0.10102031025480997</v>
      </c>
      <c r="C248" s="285">
        <v>2.2106395972698536</v>
      </c>
      <c r="D248" s="285">
        <v>2.7017044239796726</v>
      </c>
      <c r="E248" s="285">
        <v>-19.362185620447885</v>
      </c>
      <c r="H248" s="685">
        <f t="shared" si="160"/>
        <v>-1.0322135315142449</v>
      </c>
      <c r="I248" s="276">
        <f t="shared" si="161"/>
        <v>-1.7995532184099401</v>
      </c>
      <c r="J248" s="276">
        <f t="shared" si="162"/>
        <v>-3.698396905296347</v>
      </c>
      <c r="K248" s="276">
        <f t="shared" si="163"/>
        <v>1.5184275463075501</v>
      </c>
      <c r="L248" s="276">
        <f t="shared" si="164"/>
        <v>-3.3198180411076894</v>
      </c>
      <c r="M248" s="276">
        <f t="shared" si="165"/>
        <v>-2.3196090539864942</v>
      </c>
      <c r="N248" s="685">
        <f t="shared" si="166"/>
        <v>1.0034683862979852</v>
      </c>
      <c r="O248" s="276">
        <f t="shared" si="167"/>
        <v>1.9376968440495428</v>
      </c>
      <c r="P248" s="276">
        <f t="shared" si="168"/>
        <v>1.4856717156238373</v>
      </c>
      <c r="Q248" s="276">
        <f t="shared" si="169"/>
        <v>2.3407124655576013</v>
      </c>
      <c r="R248" s="276">
        <f t="shared" si="170"/>
        <v>0.63786046581299227</v>
      </c>
      <c r="S248" s="686">
        <f t="shared" si="171"/>
        <v>1.3200510363918869</v>
      </c>
      <c r="T248" s="685">
        <f t="shared" si="172"/>
        <v>5.9800681142505985</v>
      </c>
      <c r="U248" s="276">
        <f t="shared" si="173"/>
        <v>5.0880160747918364</v>
      </c>
      <c r="V248" s="276">
        <f t="shared" si="174"/>
        <v>5.3121359177712719</v>
      </c>
      <c r="W248" s="276">
        <f t="shared" si="175"/>
        <v>5.09166218331855</v>
      </c>
      <c r="X248" s="276">
        <f t="shared" si="176"/>
        <v>4.4774856114625052</v>
      </c>
      <c r="Y248" s="686">
        <f t="shared" si="177"/>
        <v>3.6185036720467845</v>
      </c>
      <c r="Z248" s="685" t="e">
        <f t="shared" si="178"/>
        <v>#DIV/0!</v>
      </c>
      <c r="AA248" s="276" t="e">
        <f t="shared" si="179"/>
        <v>#DIV/0!</v>
      </c>
      <c r="AB248" s="276" t="e">
        <f t="shared" si="180"/>
        <v>#DIV/0!</v>
      </c>
      <c r="AC248" s="276" t="e">
        <f t="shared" si="181"/>
        <v>#DIV/0!</v>
      </c>
      <c r="AD248" s="276" t="e">
        <f t="shared" si="182"/>
        <v>#DIV/0!</v>
      </c>
      <c r="AE248" s="686" t="e">
        <f t="shared" si="183"/>
        <v>#DIV/0!</v>
      </c>
      <c r="AF248" s="239"/>
      <c r="AG248" s="965" t="e">
        <f t="shared" si="154"/>
        <v>#VALUE!</v>
      </c>
      <c r="AH248" s="878" t="e">
        <f t="shared" si="155"/>
        <v>#VALUE!</v>
      </c>
      <c r="AI248" s="878" t="e">
        <f t="shared" si="156"/>
        <v>#VALUE!</v>
      </c>
      <c r="AJ248" s="878" t="e">
        <f t="shared" si="157"/>
        <v>#VALUE!</v>
      </c>
      <c r="AK248" s="878" t="e">
        <f t="shared" si="158"/>
        <v>#VALUE!</v>
      </c>
      <c r="AL248" s="966" t="e">
        <f t="shared" si="159"/>
        <v>#VALUE!</v>
      </c>
      <c r="AM248" s="239"/>
      <c r="AO248" s="685">
        <f t="shared" si="184"/>
        <v>-1.0322135315142449</v>
      </c>
      <c r="AP248" s="276">
        <f t="shared" si="185"/>
        <v>-1.7995532184099401</v>
      </c>
      <c r="AQ248" s="276">
        <f t="shared" si="186"/>
        <v>-3.698396905296347</v>
      </c>
      <c r="AR248" s="276">
        <f t="shared" si="187"/>
        <v>1.5184275463075501</v>
      </c>
      <c r="AS248" s="276">
        <f t="shared" si="188"/>
        <v>-3.3198180411076894</v>
      </c>
      <c r="AT248" s="276">
        <f t="shared" si="189"/>
        <v>-2.3196090539864942</v>
      </c>
      <c r="AU248" s="685">
        <f t="shared" si="190"/>
        <v>1.0034683862979852</v>
      </c>
      <c r="AV248" s="276">
        <f t="shared" si="191"/>
        <v>1.9376968440495428</v>
      </c>
      <c r="AW248" s="276">
        <f t="shared" si="192"/>
        <v>1.4856717156238373</v>
      </c>
      <c r="AX248" s="276">
        <f t="shared" si="193"/>
        <v>2.3407124655576013</v>
      </c>
      <c r="AY248" s="276">
        <f t="shared" si="194"/>
        <v>0.63786046581299227</v>
      </c>
      <c r="AZ248" s="686">
        <f t="shared" si="195"/>
        <v>1.3200510363918869</v>
      </c>
      <c r="BA248" s="685">
        <f t="shared" si="196"/>
        <v>0</v>
      </c>
      <c r="BB248" s="276">
        <f t="shared" si="197"/>
        <v>0</v>
      </c>
      <c r="BC248" s="276">
        <f t="shared" si="198"/>
        <v>0</v>
      </c>
      <c r="BD248" s="276">
        <f t="shared" si="199"/>
        <v>0</v>
      </c>
      <c r="BE248" s="276">
        <f t="shared" si="200"/>
        <v>0</v>
      </c>
      <c r="BF248" s="686">
        <f t="shared" si="201"/>
        <v>0</v>
      </c>
      <c r="BG248" s="685" t="e">
        <f t="shared" si="202"/>
        <v>#DIV/0!</v>
      </c>
      <c r="BH248" s="276" t="e">
        <f t="shared" si="203"/>
        <v>#DIV/0!</v>
      </c>
      <c r="BI248" s="276" t="e">
        <f t="shared" si="204"/>
        <v>#DIV/0!</v>
      </c>
      <c r="BJ248" s="276" t="e">
        <f t="shared" si="205"/>
        <v>#DIV/0!</v>
      </c>
      <c r="BK248" s="276" t="e">
        <f t="shared" si="206"/>
        <v>#DIV/0!</v>
      </c>
      <c r="BL248" s="686" t="e">
        <f t="shared" si="207"/>
        <v>#DIV/0!</v>
      </c>
      <c r="BM248" s="239"/>
      <c r="BN248" s="965" t="e">
        <f t="shared" si="208"/>
        <v>#VALUE!</v>
      </c>
      <c r="BO248" s="878" t="e">
        <f t="shared" si="209"/>
        <v>#VALUE!</v>
      </c>
      <c r="BP248" s="878" t="e">
        <f t="shared" si="210"/>
        <v>#VALUE!</v>
      </c>
      <c r="BQ248" s="878" t="e">
        <f t="shared" si="211"/>
        <v>#VALUE!</v>
      </c>
      <c r="BR248" s="878" t="e">
        <f t="shared" si="212"/>
        <v>#VALUE!</v>
      </c>
      <c r="BS248" s="966" t="e">
        <f t="shared" si="213"/>
        <v>#VALUE!</v>
      </c>
    </row>
    <row r="249" spans="1:71">
      <c r="A249" s="284">
        <f t="shared" si="214"/>
        <v>181</v>
      </c>
      <c r="B249" s="285">
        <v>-2.6154281498044778</v>
      </c>
      <c r="C249" s="285">
        <v>2.7583894684524712</v>
      </c>
      <c r="D249" s="285">
        <v>-1.1083250731883645</v>
      </c>
      <c r="E249" s="285">
        <v>-5.278396657069921</v>
      </c>
      <c r="H249" s="685">
        <f t="shared" si="160"/>
        <v>-3.7486619915735329</v>
      </c>
      <c r="I249" s="276">
        <f t="shared" si="161"/>
        <v>-0.87513317181829131</v>
      </c>
      <c r="J249" s="276">
        <f t="shared" si="162"/>
        <v>-2.55695678064254</v>
      </c>
      <c r="K249" s="276">
        <f t="shared" si="163"/>
        <v>-1.0803310892260223</v>
      </c>
      <c r="L249" s="276">
        <f t="shared" si="164"/>
        <v>-4.1990300324427832</v>
      </c>
      <c r="M249" s="276">
        <f t="shared" si="165"/>
        <v>-0.54424717462766425</v>
      </c>
      <c r="N249" s="685">
        <f t="shared" si="166"/>
        <v>1.5512182574806028</v>
      </c>
      <c r="O249" s="276">
        <f t="shared" si="167"/>
        <v>1.6044907714230028</v>
      </c>
      <c r="P249" s="276">
        <f t="shared" si="168"/>
        <v>1.4622442737613184</v>
      </c>
      <c r="Q249" s="276">
        <f t="shared" si="169"/>
        <v>1.8033690838763616</v>
      </c>
      <c r="R249" s="276">
        <f t="shared" si="170"/>
        <v>1.1446302509760737</v>
      </c>
      <c r="S249" s="686">
        <f t="shared" si="171"/>
        <v>1.1163290622659814</v>
      </c>
      <c r="T249" s="685">
        <f t="shared" si="172"/>
        <v>2.1700386170825614</v>
      </c>
      <c r="U249" s="276">
        <f t="shared" si="173"/>
        <v>5.7119530296630447</v>
      </c>
      <c r="V249" s="276">
        <f t="shared" si="174"/>
        <v>4.314779312056352</v>
      </c>
      <c r="W249" s="276">
        <f t="shared" si="175"/>
        <v>3.3424298280568183</v>
      </c>
      <c r="X249" s="276">
        <f t="shared" si="176"/>
        <v>3.7503847383178464</v>
      </c>
      <c r="Y249" s="686">
        <f t="shared" si="177"/>
        <v>4.409313529661258</v>
      </c>
      <c r="Z249" s="685" t="e">
        <f t="shared" si="178"/>
        <v>#DIV/0!</v>
      </c>
      <c r="AA249" s="276" t="e">
        <f t="shared" si="179"/>
        <v>#DIV/0!</v>
      </c>
      <c r="AB249" s="276" t="e">
        <f t="shared" si="180"/>
        <v>#DIV/0!</v>
      </c>
      <c r="AC249" s="276" t="e">
        <f t="shared" si="181"/>
        <v>#DIV/0!</v>
      </c>
      <c r="AD249" s="276" t="e">
        <f t="shared" si="182"/>
        <v>#DIV/0!</v>
      </c>
      <c r="AE249" s="686" t="e">
        <f t="shared" si="183"/>
        <v>#DIV/0!</v>
      </c>
      <c r="AF249" s="239"/>
      <c r="AG249" s="965" t="e">
        <f t="shared" si="154"/>
        <v>#VALUE!</v>
      </c>
      <c r="AH249" s="878" t="e">
        <f t="shared" si="155"/>
        <v>#VALUE!</v>
      </c>
      <c r="AI249" s="878" t="e">
        <f t="shared" si="156"/>
        <v>#VALUE!</v>
      </c>
      <c r="AJ249" s="878" t="e">
        <f t="shared" si="157"/>
        <v>#VALUE!</v>
      </c>
      <c r="AK249" s="878" t="e">
        <f t="shared" si="158"/>
        <v>#VALUE!</v>
      </c>
      <c r="AL249" s="966" t="e">
        <f t="shared" si="159"/>
        <v>#VALUE!</v>
      </c>
      <c r="AM249" s="239"/>
      <c r="AO249" s="685">
        <f t="shared" si="184"/>
        <v>-3.7486619915735329</v>
      </c>
      <c r="AP249" s="276">
        <f t="shared" si="185"/>
        <v>-0.87513317181829131</v>
      </c>
      <c r="AQ249" s="276">
        <f t="shared" si="186"/>
        <v>-2.55695678064254</v>
      </c>
      <c r="AR249" s="276">
        <f t="shared" si="187"/>
        <v>-1.0803310892260223</v>
      </c>
      <c r="AS249" s="276">
        <f t="shared" si="188"/>
        <v>-4.1990300324427832</v>
      </c>
      <c r="AT249" s="276">
        <f t="shared" si="189"/>
        <v>-0.54424717462766425</v>
      </c>
      <c r="AU249" s="685">
        <f t="shared" si="190"/>
        <v>1.5512182574806028</v>
      </c>
      <c r="AV249" s="276">
        <f t="shared" si="191"/>
        <v>1.6044907714230028</v>
      </c>
      <c r="AW249" s="276">
        <f t="shared" si="192"/>
        <v>1.4622442737613184</v>
      </c>
      <c r="AX249" s="276">
        <f t="shared" si="193"/>
        <v>1.8033690838763616</v>
      </c>
      <c r="AY249" s="276">
        <f t="shared" si="194"/>
        <v>1.1446302509760737</v>
      </c>
      <c r="AZ249" s="686">
        <f t="shared" si="195"/>
        <v>1.1163290622659814</v>
      </c>
      <c r="BA249" s="685">
        <f t="shared" si="196"/>
        <v>0</v>
      </c>
      <c r="BB249" s="276">
        <f t="shared" si="197"/>
        <v>0</v>
      </c>
      <c r="BC249" s="276">
        <f t="shared" si="198"/>
        <v>0</v>
      </c>
      <c r="BD249" s="276">
        <f t="shared" si="199"/>
        <v>0</v>
      </c>
      <c r="BE249" s="276">
        <f t="shared" si="200"/>
        <v>0</v>
      </c>
      <c r="BF249" s="686">
        <f t="shared" si="201"/>
        <v>0</v>
      </c>
      <c r="BG249" s="685" t="e">
        <f t="shared" si="202"/>
        <v>#DIV/0!</v>
      </c>
      <c r="BH249" s="276" t="e">
        <f t="shared" si="203"/>
        <v>#DIV/0!</v>
      </c>
      <c r="BI249" s="276" t="e">
        <f t="shared" si="204"/>
        <v>#DIV/0!</v>
      </c>
      <c r="BJ249" s="276" t="e">
        <f t="shared" si="205"/>
        <v>#DIV/0!</v>
      </c>
      <c r="BK249" s="276" t="e">
        <f t="shared" si="206"/>
        <v>#DIV/0!</v>
      </c>
      <c r="BL249" s="686" t="e">
        <f t="shared" si="207"/>
        <v>#DIV/0!</v>
      </c>
      <c r="BM249" s="239"/>
      <c r="BN249" s="965" t="e">
        <f t="shared" si="208"/>
        <v>#VALUE!</v>
      </c>
      <c r="BO249" s="878" t="e">
        <f t="shared" si="209"/>
        <v>#VALUE!</v>
      </c>
      <c r="BP249" s="878" t="e">
        <f t="shared" si="210"/>
        <v>#VALUE!</v>
      </c>
      <c r="BQ249" s="878" t="e">
        <f t="shared" si="211"/>
        <v>#VALUE!</v>
      </c>
      <c r="BR249" s="878" t="e">
        <f t="shared" si="212"/>
        <v>#VALUE!</v>
      </c>
      <c r="BS249" s="966" t="e">
        <f t="shared" si="213"/>
        <v>#VALUE!</v>
      </c>
    </row>
    <row r="250" spans="1:71">
      <c r="A250" s="284">
        <f t="shared" si="214"/>
        <v>182</v>
      </c>
      <c r="B250" s="285">
        <v>-0.5993428047985232</v>
      </c>
      <c r="C250" s="285">
        <v>2.6383725775924565</v>
      </c>
      <c r="D250" s="285">
        <v>-0.23517235925283697</v>
      </c>
      <c r="E250" s="285">
        <v>-1.4376628455432712</v>
      </c>
      <c r="H250" s="685">
        <f t="shared" si="160"/>
        <v>-1.732576646567578</v>
      </c>
      <c r="I250" s="276">
        <f t="shared" si="161"/>
        <v>-2.1417159897503231</v>
      </c>
      <c r="J250" s="276">
        <f t="shared" si="162"/>
        <v>4.4014803008826533</v>
      </c>
      <c r="K250" s="276">
        <f t="shared" si="163"/>
        <v>-2.8259218947394555</v>
      </c>
      <c r="L250" s="276">
        <f t="shared" si="164"/>
        <v>0.37457192083433632</v>
      </c>
      <c r="M250" s="276">
        <f t="shared" si="165"/>
        <v>-2.4893616973133446</v>
      </c>
      <c r="N250" s="685">
        <f t="shared" si="166"/>
        <v>1.4312013666205881</v>
      </c>
      <c r="O250" s="276">
        <f t="shared" si="167"/>
        <v>0.53312178526906639</v>
      </c>
      <c r="P250" s="276">
        <f t="shared" si="168"/>
        <v>2.0390089508724341</v>
      </c>
      <c r="Q250" s="276">
        <f t="shared" si="169"/>
        <v>0.3941381910258861</v>
      </c>
      <c r="R250" s="276">
        <f t="shared" si="170"/>
        <v>1.0374461349666626</v>
      </c>
      <c r="S250" s="686">
        <f t="shared" si="171"/>
        <v>0.62371081945680085</v>
      </c>
      <c r="T250" s="685">
        <f t="shared" si="172"/>
        <v>3.0431913310180887</v>
      </c>
      <c r="U250" s="276">
        <f t="shared" si="173"/>
        <v>4.6312229104615987</v>
      </c>
      <c r="V250" s="276">
        <f t="shared" si="174"/>
        <v>5.8915367023455989</v>
      </c>
      <c r="W250" s="276">
        <f t="shared" si="175"/>
        <v>6.6583801776540614</v>
      </c>
      <c r="X250" s="276">
        <f t="shared" si="176"/>
        <v>6.1507170545185055</v>
      </c>
      <c r="Y250" s="686">
        <f t="shared" si="177"/>
        <v>4.3567590547660968</v>
      </c>
      <c r="Z250" s="685" t="e">
        <f t="shared" si="178"/>
        <v>#DIV/0!</v>
      </c>
      <c r="AA250" s="276" t="e">
        <f t="shared" si="179"/>
        <v>#DIV/0!</v>
      </c>
      <c r="AB250" s="276" t="e">
        <f t="shared" si="180"/>
        <v>#DIV/0!</v>
      </c>
      <c r="AC250" s="276" t="e">
        <f t="shared" si="181"/>
        <v>#DIV/0!</v>
      </c>
      <c r="AD250" s="276" t="e">
        <f t="shared" si="182"/>
        <v>#DIV/0!</v>
      </c>
      <c r="AE250" s="686" t="e">
        <f t="shared" si="183"/>
        <v>#DIV/0!</v>
      </c>
      <c r="AF250" s="239"/>
      <c r="AG250" s="965" t="e">
        <f t="shared" si="154"/>
        <v>#VALUE!</v>
      </c>
      <c r="AH250" s="878" t="e">
        <f t="shared" si="155"/>
        <v>#VALUE!</v>
      </c>
      <c r="AI250" s="878" t="e">
        <f t="shared" si="156"/>
        <v>#VALUE!</v>
      </c>
      <c r="AJ250" s="878" t="e">
        <f t="shared" si="157"/>
        <v>#VALUE!</v>
      </c>
      <c r="AK250" s="878" t="e">
        <f t="shared" si="158"/>
        <v>#VALUE!</v>
      </c>
      <c r="AL250" s="966" t="e">
        <f t="shared" si="159"/>
        <v>#VALUE!</v>
      </c>
      <c r="AM250" s="239"/>
      <c r="AO250" s="685">
        <f t="shared" si="184"/>
        <v>-1.732576646567578</v>
      </c>
      <c r="AP250" s="276">
        <f t="shared" si="185"/>
        <v>-2.1417159897503231</v>
      </c>
      <c r="AQ250" s="276">
        <f t="shared" si="186"/>
        <v>4.4014803008826533</v>
      </c>
      <c r="AR250" s="276">
        <f t="shared" si="187"/>
        <v>-2.8259218947394555</v>
      </c>
      <c r="AS250" s="276">
        <f t="shared" si="188"/>
        <v>0.37457192083433632</v>
      </c>
      <c r="AT250" s="276">
        <f t="shared" si="189"/>
        <v>-2.4893616973133446</v>
      </c>
      <c r="AU250" s="685">
        <f t="shared" si="190"/>
        <v>1.4312013666205881</v>
      </c>
      <c r="AV250" s="276">
        <f t="shared" si="191"/>
        <v>0.53312178526906639</v>
      </c>
      <c r="AW250" s="276">
        <f t="shared" si="192"/>
        <v>2.0390089508724341</v>
      </c>
      <c r="AX250" s="276">
        <f t="shared" si="193"/>
        <v>0.3941381910258861</v>
      </c>
      <c r="AY250" s="276">
        <f t="shared" si="194"/>
        <v>1.0374461349666626</v>
      </c>
      <c r="AZ250" s="686">
        <f t="shared" si="195"/>
        <v>0.62371081945680085</v>
      </c>
      <c r="BA250" s="685">
        <f t="shared" si="196"/>
        <v>0</v>
      </c>
      <c r="BB250" s="276">
        <f t="shared" si="197"/>
        <v>0</v>
      </c>
      <c r="BC250" s="276">
        <f t="shared" si="198"/>
        <v>0</v>
      </c>
      <c r="BD250" s="276">
        <f t="shared" si="199"/>
        <v>0</v>
      </c>
      <c r="BE250" s="276">
        <f t="shared" si="200"/>
        <v>0</v>
      </c>
      <c r="BF250" s="686">
        <f t="shared" si="201"/>
        <v>0</v>
      </c>
      <c r="BG250" s="685" t="e">
        <f t="shared" si="202"/>
        <v>#DIV/0!</v>
      </c>
      <c r="BH250" s="276" t="e">
        <f t="shared" si="203"/>
        <v>#DIV/0!</v>
      </c>
      <c r="BI250" s="276" t="e">
        <f t="shared" si="204"/>
        <v>#DIV/0!</v>
      </c>
      <c r="BJ250" s="276" t="e">
        <f t="shared" si="205"/>
        <v>#DIV/0!</v>
      </c>
      <c r="BK250" s="276" t="e">
        <f t="shared" si="206"/>
        <v>#DIV/0!</v>
      </c>
      <c r="BL250" s="686" t="e">
        <f t="shared" si="207"/>
        <v>#DIV/0!</v>
      </c>
      <c r="BM250" s="239"/>
      <c r="BN250" s="965" t="e">
        <f t="shared" si="208"/>
        <v>#VALUE!</v>
      </c>
      <c r="BO250" s="878" t="e">
        <f t="shared" si="209"/>
        <v>#VALUE!</v>
      </c>
      <c r="BP250" s="878" t="e">
        <f t="shared" si="210"/>
        <v>#VALUE!</v>
      </c>
      <c r="BQ250" s="878" t="e">
        <f t="shared" si="211"/>
        <v>#VALUE!</v>
      </c>
      <c r="BR250" s="878" t="e">
        <f t="shared" si="212"/>
        <v>#VALUE!</v>
      </c>
      <c r="BS250" s="966" t="e">
        <f t="shared" si="213"/>
        <v>#VALUE!</v>
      </c>
    </row>
    <row r="251" spans="1:71">
      <c r="A251" s="284">
        <f t="shared" si="214"/>
        <v>183</v>
      </c>
      <c r="B251" s="285">
        <v>4.974510608131383</v>
      </c>
      <c r="C251" s="285">
        <v>3.3264484702487844</v>
      </c>
      <c r="D251" s="285">
        <v>2.0332437724203563</v>
      </c>
      <c r="E251" s="285">
        <v>0.30746728431884041</v>
      </c>
      <c r="H251" s="685">
        <f t="shared" si="160"/>
        <v>3.841276766362328</v>
      </c>
      <c r="I251" s="276">
        <f t="shared" si="161"/>
        <v>-6.1797097159611996</v>
      </c>
      <c r="J251" s="276">
        <f t="shared" si="162"/>
        <v>-3.9277480117636268</v>
      </c>
      <c r="K251" s="276">
        <f t="shared" si="163"/>
        <v>-3.9787491319096508</v>
      </c>
      <c r="L251" s="276">
        <f t="shared" si="164"/>
        <v>2.2594265562069227E-2</v>
      </c>
      <c r="M251" s="276">
        <f t="shared" si="165"/>
        <v>-1.0238973708941668</v>
      </c>
      <c r="N251" s="685">
        <f t="shared" si="166"/>
        <v>2.1192772592769158</v>
      </c>
      <c r="O251" s="276">
        <f t="shared" si="167"/>
        <v>0.91390951016286404</v>
      </c>
      <c r="P251" s="276">
        <f t="shared" si="168"/>
        <v>0.9853392495167943</v>
      </c>
      <c r="Q251" s="276">
        <f t="shared" si="169"/>
        <v>1.2208753566237414</v>
      </c>
      <c r="R251" s="276">
        <f t="shared" si="170"/>
        <v>1.6189993886466032</v>
      </c>
      <c r="S251" s="686">
        <f t="shared" si="171"/>
        <v>1.3607348871737732</v>
      </c>
      <c r="T251" s="685">
        <f t="shared" si="172"/>
        <v>5.3116074626912821</v>
      </c>
      <c r="U251" s="276">
        <f t="shared" si="173"/>
        <v>4.1517287483028502</v>
      </c>
      <c r="V251" s="276">
        <f t="shared" si="174"/>
        <v>3.0863066622643771</v>
      </c>
      <c r="W251" s="276">
        <f t="shared" si="175"/>
        <v>5.2767404422300324</v>
      </c>
      <c r="X251" s="276">
        <f t="shared" si="176"/>
        <v>2.6094789179263604</v>
      </c>
      <c r="Y251" s="686">
        <f t="shared" si="177"/>
        <v>5.8170073031115113</v>
      </c>
      <c r="Z251" s="685" t="e">
        <f t="shared" si="178"/>
        <v>#DIV/0!</v>
      </c>
      <c r="AA251" s="276" t="e">
        <f t="shared" si="179"/>
        <v>#DIV/0!</v>
      </c>
      <c r="AB251" s="276" t="e">
        <f t="shared" si="180"/>
        <v>#DIV/0!</v>
      </c>
      <c r="AC251" s="276" t="e">
        <f t="shared" si="181"/>
        <v>#DIV/0!</v>
      </c>
      <c r="AD251" s="276" t="e">
        <f t="shared" si="182"/>
        <v>#DIV/0!</v>
      </c>
      <c r="AE251" s="686" t="e">
        <f t="shared" si="183"/>
        <v>#DIV/0!</v>
      </c>
      <c r="AF251" s="239"/>
      <c r="AG251" s="965" t="e">
        <f t="shared" si="154"/>
        <v>#VALUE!</v>
      </c>
      <c r="AH251" s="878" t="e">
        <f t="shared" si="155"/>
        <v>#VALUE!</v>
      </c>
      <c r="AI251" s="878" t="e">
        <f t="shared" si="156"/>
        <v>#VALUE!</v>
      </c>
      <c r="AJ251" s="878" t="e">
        <f t="shared" si="157"/>
        <v>#VALUE!</v>
      </c>
      <c r="AK251" s="878" t="e">
        <f t="shared" si="158"/>
        <v>#VALUE!</v>
      </c>
      <c r="AL251" s="966" t="e">
        <f t="shared" si="159"/>
        <v>#VALUE!</v>
      </c>
      <c r="AM251" s="239"/>
      <c r="AO251" s="685">
        <f t="shared" si="184"/>
        <v>3.841276766362328</v>
      </c>
      <c r="AP251" s="276">
        <f t="shared" si="185"/>
        <v>-6.1797097159611996</v>
      </c>
      <c r="AQ251" s="276">
        <f t="shared" si="186"/>
        <v>-3.9277480117636268</v>
      </c>
      <c r="AR251" s="276">
        <f t="shared" si="187"/>
        <v>-3.9787491319096508</v>
      </c>
      <c r="AS251" s="276">
        <f t="shared" si="188"/>
        <v>2.2594265562069227E-2</v>
      </c>
      <c r="AT251" s="276">
        <f t="shared" si="189"/>
        <v>-1.0238973708941668</v>
      </c>
      <c r="AU251" s="685">
        <f t="shared" si="190"/>
        <v>2.1192772592769158</v>
      </c>
      <c r="AV251" s="276">
        <f t="shared" si="191"/>
        <v>0.91390951016286404</v>
      </c>
      <c r="AW251" s="276">
        <f t="shared" si="192"/>
        <v>0.9853392495167943</v>
      </c>
      <c r="AX251" s="276">
        <f t="shared" si="193"/>
        <v>1.2208753566237414</v>
      </c>
      <c r="AY251" s="276">
        <f t="shared" si="194"/>
        <v>1.6189993886466032</v>
      </c>
      <c r="AZ251" s="686">
        <f t="shared" si="195"/>
        <v>1.3607348871737732</v>
      </c>
      <c r="BA251" s="685">
        <f t="shared" si="196"/>
        <v>0</v>
      </c>
      <c r="BB251" s="276">
        <f t="shared" si="197"/>
        <v>0</v>
      </c>
      <c r="BC251" s="276">
        <f t="shared" si="198"/>
        <v>0</v>
      </c>
      <c r="BD251" s="276">
        <f t="shared" si="199"/>
        <v>0</v>
      </c>
      <c r="BE251" s="276">
        <f t="shared" si="200"/>
        <v>0</v>
      </c>
      <c r="BF251" s="686">
        <f t="shared" si="201"/>
        <v>0</v>
      </c>
      <c r="BG251" s="685" t="e">
        <f t="shared" si="202"/>
        <v>#DIV/0!</v>
      </c>
      <c r="BH251" s="276" t="e">
        <f t="shared" si="203"/>
        <v>#DIV/0!</v>
      </c>
      <c r="BI251" s="276" t="e">
        <f t="shared" si="204"/>
        <v>#DIV/0!</v>
      </c>
      <c r="BJ251" s="276" t="e">
        <f t="shared" si="205"/>
        <v>#DIV/0!</v>
      </c>
      <c r="BK251" s="276" t="e">
        <f t="shared" si="206"/>
        <v>#DIV/0!</v>
      </c>
      <c r="BL251" s="686" t="e">
        <f t="shared" si="207"/>
        <v>#DIV/0!</v>
      </c>
      <c r="BM251" s="239"/>
      <c r="BN251" s="965" t="e">
        <f t="shared" si="208"/>
        <v>#VALUE!</v>
      </c>
      <c r="BO251" s="878" t="e">
        <f t="shared" si="209"/>
        <v>#VALUE!</v>
      </c>
      <c r="BP251" s="878" t="e">
        <f t="shared" si="210"/>
        <v>#VALUE!</v>
      </c>
      <c r="BQ251" s="878" t="e">
        <f t="shared" si="211"/>
        <v>#VALUE!</v>
      </c>
      <c r="BR251" s="878" t="e">
        <f t="shared" si="212"/>
        <v>#VALUE!</v>
      </c>
      <c r="BS251" s="966" t="e">
        <f t="shared" si="213"/>
        <v>#VALUE!</v>
      </c>
    </row>
    <row r="252" spans="1:71">
      <c r="A252" s="284">
        <f t="shared" si="214"/>
        <v>184</v>
      </c>
      <c r="B252" s="285">
        <v>-1.6735468940982692</v>
      </c>
      <c r="C252" s="285">
        <v>1.974794349562901</v>
      </c>
      <c r="D252" s="285">
        <v>4.5252955218433089E-2</v>
      </c>
      <c r="E252" s="285">
        <v>-21.237763541006398</v>
      </c>
      <c r="H252" s="685">
        <f t="shared" si="160"/>
        <v>-2.8067807358673242</v>
      </c>
      <c r="I252" s="276">
        <f t="shared" si="161"/>
        <v>0.58493355162388738</v>
      </c>
      <c r="J252" s="276">
        <f t="shared" si="162"/>
        <v>-3.5436325404145146</v>
      </c>
      <c r="K252" s="276">
        <f t="shared" si="163"/>
        <v>-0.87187391856691154</v>
      </c>
      <c r="L252" s="276">
        <f t="shared" si="164"/>
        <v>1.7858788988043137</v>
      </c>
      <c r="M252" s="276">
        <f t="shared" si="165"/>
        <v>-1.8921041608525342</v>
      </c>
      <c r="N252" s="685">
        <f t="shared" si="166"/>
        <v>0.76762313859103259</v>
      </c>
      <c r="O252" s="276">
        <f t="shared" si="167"/>
        <v>1.2652203366393244</v>
      </c>
      <c r="P252" s="276">
        <f t="shared" si="168"/>
        <v>1.4477381181836064</v>
      </c>
      <c r="Q252" s="276">
        <f t="shared" si="169"/>
        <v>1.3712982084634511</v>
      </c>
      <c r="R252" s="276">
        <f t="shared" si="170"/>
        <v>1.265490891532514</v>
      </c>
      <c r="S252" s="686">
        <f t="shared" si="171"/>
        <v>0.39319716315590281</v>
      </c>
      <c r="T252" s="685">
        <f t="shared" si="172"/>
        <v>3.3236166454893592</v>
      </c>
      <c r="U252" s="276">
        <f t="shared" si="173"/>
        <v>3.9973699967153369</v>
      </c>
      <c r="V252" s="276">
        <f t="shared" si="174"/>
        <v>5.4884764060011975</v>
      </c>
      <c r="W252" s="276">
        <f t="shared" si="175"/>
        <v>3.0893033846866143</v>
      </c>
      <c r="X252" s="276">
        <f t="shared" si="176"/>
        <v>6.4768185884716285</v>
      </c>
      <c r="Y252" s="686">
        <f t="shared" si="177"/>
        <v>6.5379048381189673</v>
      </c>
      <c r="Z252" s="685" t="e">
        <f t="shared" si="178"/>
        <v>#DIV/0!</v>
      </c>
      <c r="AA252" s="276" t="e">
        <f t="shared" si="179"/>
        <v>#DIV/0!</v>
      </c>
      <c r="AB252" s="276" t="e">
        <f t="shared" si="180"/>
        <v>#DIV/0!</v>
      </c>
      <c r="AC252" s="276" t="e">
        <f t="shared" si="181"/>
        <v>#DIV/0!</v>
      </c>
      <c r="AD252" s="276" t="e">
        <f t="shared" si="182"/>
        <v>#DIV/0!</v>
      </c>
      <c r="AE252" s="686" t="e">
        <f t="shared" si="183"/>
        <v>#DIV/0!</v>
      </c>
      <c r="AF252" s="239"/>
      <c r="AG252" s="965" t="e">
        <f t="shared" si="154"/>
        <v>#VALUE!</v>
      </c>
      <c r="AH252" s="878" t="e">
        <f t="shared" si="155"/>
        <v>#VALUE!</v>
      </c>
      <c r="AI252" s="878" t="e">
        <f t="shared" si="156"/>
        <v>#VALUE!</v>
      </c>
      <c r="AJ252" s="878" t="e">
        <f t="shared" si="157"/>
        <v>#VALUE!</v>
      </c>
      <c r="AK252" s="878" t="e">
        <f t="shared" si="158"/>
        <v>#VALUE!</v>
      </c>
      <c r="AL252" s="966" t="e">
        <f t="shared" si="159"/>
        <v>#VALUE!</v>
      </c>
      <c r="AM252" s="239"/>
      <c r="AO252" s="685">
        <f t="shared" si="184"/>
        <v>-2.8067807358673242</v>
      </c>
      <c r="AP252" s="276">
        <f t="shared" si="185"/>
        <v>0.58493355162388738</v>
      </c>
      <c r="AQ252" s="276">
        <f t="shared" si="186"/>
        <v>-3.5436325404145146</v>
      </c>
      <c r="AR252" s="276">
        <f t="shared" si="187"/>
        <v>-0.87187391856691154</v>
      </c>
      <c r="AS252" s="276">
        <f t="shared" si="188"/>
        <v>1.7858788988043137</v>
      </c>
      <c r="AT252" s="276">
        <f t="shared" si="189"/>
        <v>-1.8921041608525342</v>
      </c>
      <c r="AU252" s="685">
        <f t="shared" si="190"/>
        <v>0.76762313859103259</v>
      </c>
      <c r="AV252" s="276">
        <f t="shared" si="191"/>
        <v>1.2652203366393244</v>
      </c>
      <c r="AW252" s="276">
        <f t="shared" si="192"/>
        <v>1.4477381181836064</v>
      </c>
      <c r="AX252" s="276">
        <f t="shared" si="193"/>
        <v>1.3712982084634511</v>
      </c>
      <c r="AY252" s="276">
        <f t="shared" si="194"/>
        <v>1.265490891532514</v>
      </c>
      <c r="AZ252" s="686">
        <f t="shared" si="195"/>
        <v>0.39319716315590281</v>
      </c>
      <c r="BA252" s="685">
        <f t="shared" si="196"/>
        <v>0</v>
      </c>
      <c r="BB252" s="276">
        <f t="shared" si="197"/>
        <v>0</v>
      </c>
      <c r="BC252" s="276">
        <f t="shared" si="198"/>
        <v>0</v>
      </c>
      <c r="BD252" s="276">
        <f t="shared" si="199"/>
        <v>0</v>
      </c>
      <c r="BE252" s="276">
        <f t="shared" si="200"/>
        <v>0</v>
      </c>
      <c r="BF252" s="686">
        <f t="shared" si="201"/>
        <v>0</v>
      </c>
      <c r="BG252" s="685" t="e">
        <f t="shared" si="202"/>
        <v>#DIV/0!</v>
      </c>
      <c r="BH252" s="276" t="e">
        <f t="shared" si="203"/>
        <v>#DIV/0!</v>
      </c>
      <c r="BI252" s="276" t="e">
        <f t="shared" si="204"/>
        <v>#DIV/0!</v>
      </c>
      <c r="BJ252" s="276" t="e">
        <f t="shared" si="205"/>
        <v>#DIV/0!</v>
      </c>
      <c r="BK252" s="276" t="e">
        <f t="shared" si="206"/>
        <v>#DIV/0!</v>
      </c>
      <c r="BL252" s="686" t="e">
        <f t="shared" si="207"/>
        <v>#DIV/0!</v>
      </c>
      <c r="BM252" s="239"/>
      <c r="BN252" s="965" t="e">
        <f t="shared" si="208"/>
        <v>#VALUE!</v>
      </c>
      <c r="BO252" s="878" t="e">
        <f t="shared" si="209"/>
        <v>#VALUE!</v>
      </c>
      <c r="BP252" s="878" t="e">
        <f t="shared" si="210"/>
        <v>#VALUE!</v>
      </c>
      <c r="BQ252" s="878" t="e">
        <f t="shared" si="211"/>
        <v>#VALUE!</v>
      </c>
      <c r="BR252" s="878" t="e">
        <f t="shared" si="212"/>
        <v>#VALUE!</v>
      </c>
      <c r="BS252" s="966" t="e">
        <f t="shared" si="213"/>
        <v>#VALUE!</v>
      </c>
    </row>
    <row r="253" spans="1:71">
      <c r="A253" s="284">
        <f t="shared" si="214"/>
        <v>185</v>
      </c>
      <c r="B253" s="285">
        <v>5.786462175624556</v>
      </c>
      <c r="C253" s="285">
        <v>3.3284525094929442</v>
      </c>
      <c r="D253" s="285">
        <v>2.7054547691091702</v>
      </c>
      <c r="E253" s="285">
        <v>-3.3134394110518337</v>
      </c>
      <c r="H253" s="685">
        <f t="shared" si="160"/>
        <v>4.6532283338555009</v>
      </c>
      <c r="I253" s="276">
        <f t="shared" si="161"/>
        <v>-0.89930271601621903</v>
      </c>
      <c r="J253" s="276">
        <f t="shared" si="162"/>
        <v>1.8246168827785729</v>
      </c>
      <c r="K253" s="276">
        <f t="shared" si="163"/>
        <v>2.2131912277514676</v>
      </c>
      <c r="L253" s="276">
        <f t="shared" si="164"/>
        <v>-3.4485647864355755</v>
      </c>
      <c r="M253" s="276">
        <f t="shared" si="165"/>
        <v>-2.1910035658306448</v>
      </c>
      <c r="N253" s="685">
        <f t="shared" si="166"/>
        <v>2.1212812985210761</v>
      </c>
      <c r="O253" s="276">
        <f t="shared" si="167"/>
        <v>1.1371988119668044</v>
      </c>
      <c r="P253" s="276">
        <f t="shared" si="168"/>
        <v>1.2288774957583846</v>
      </c>
      <c r="Q253" s="276">
        <f t="shared" si="169"/>
        <v>1.6220667890448606</v>
      </c>
      <c r="R253" s="276">
        <f t="shared" si="170"/>
        <v>0.56760005321714879</v>
      </c>
      <c r="S253" s="686">
        <f t="shared" si="171"/>
        <v>0.6570642513484537</v>
      </c>
      <c r="T253" s="685">
        <f t="shared" si="172"/>
        <v>5.983818459380096</v>
      </c>
      <c r="U253" s="276">
        <f t="shared" si="173"/>
        <v>2.9603521705792781</v>
      </c>
      <c r="V253" s="276">
        <f t="shared" si="174"/>
        <v>4.5801326128362376</v>
      </c>
      <c r="W253" s="276">
        <f t="shared" si="175"/>
        <v>4.7608335883968964</v>
      </c>
      <c r="X253" s="276">
        <f t="shared" si="176"/>
        <v>4.8867213877939486</v>
      </c>
      <c r="Y253" s="686">
        <f t="shared" si="177"/>
        <v>3.9899270997581744</v>
      </c>
      <c r="Z253" s="685" t="e">
        <f t="shared" si="178"/>
        <v>#DIV/0!</v>
      </c>
      <c r="AA253" s="276" t="e">
        <f t="shared" si="179"/>
        <v>#DIV/0!</v>
      </c>
      <c r="AB253" s="276" t="e">
        <f t="shared" si="180"/>
        <v>#DIV/0!</v>
      </c>
      <c r="AC253" s="276" t="e">
        <f t="shared" si="181"/>
        <v>#DIV/0!</v>
      </c>
      <c r="AD253" s="276" t="e">
        <f t="shared" si="182"/>
        <v>#DIV/0!</v>
      </c>
      <c r="AE253" s="686" t="e">
        <f t="shared" si="183"/>
        <v>#DIV/0!</v>
      </c>
      <c r="AF253" s="239"/>
      <c r="AG253" s="965" t="e">
        <f t="shared" si="154"/>
        <v>#VALUE!</v>
      </c>
      <c r="AH253" s="878" t="e">
        <f t="shared" si="155"/>
        <v>#VALUE!</v>
      </c>
      <c r="AI253" s="878" t="e">
        <f t="shared" si="156"/>
        <v>#VALUE!</v>
      </c>
      <c r="AJ253" s="878" t="e">
        <f t="shared" si="157"/>
        <v>#VALUE!</v>
      </c>
      <c r="AK253" s="878" t="e">
        <f t="shared" si="158"/>
        <v>#VALUE!</v>
      </c>
      <c r="AL253" s="966" t="e">
        <f t="shared" si="159"/>
        <v>#VALUE!</v>
      </c>
      <c r="AM253" s="239"/>
      <c r="AO253" s="685">
        <f t="shared" si="184"/>
        <v>4.6532283338555009</v>
      </c>
      <c r="AP253" s="276">
        <f t="shared" si="185"/>
        <v>-0.89930271601621903</v>
      </c>
      <c r="AQ253" s="276">
        <f t="shared" si="186"/>
        <v>1.8246168827785729</v>
      </c>
      <c r="AR253" s="276">
        <f t="shared" si="187"/>
        <v>2.2131912277514676</v>
      </c>
      <c r="AS253" s="276">
        <f t="shared" si="188"/>
        <v>-3.4485647864355755</v>
      </c>
      <c r="AT253" s="276">
        <f t="shared" si="189"/>
        <v>-2.1910035658306448</v>
      </c>
      <c r="AU253" s="685">
        <f t="shared" si="190"/>
        <v>2.1212812985210761</v>
      </c>
      <c r="AV253" s="276">
        <f t="shared" si="191"/>
        <v>1.1371988119668044</v>
      </c>
      <c r="AW253" s="276">
        <f t="shared" si="192"/>
        <v>1.2288774957583846</v>
      </c>
      <c r="AX253" s="276">
        <f t="shared" si="193"/>
        <v>1.6220667890448606</v>
      </c>
      <c r="AY253" s="276">
        <f t="shared" si="194"/>
        <v>0.56760005321714879</v>
      </c>
      <c r="AZ253" s="686">
        <f t="shared" si="195"/>
        <v>0.6570642513484537</v>
      </c>
      <c r="BA253" s="685">
        <f t="shared" si="196"/>
        <v>0</v>
      </c>
      <c r="BB253" s="276">
        <f t="shared" si="197"/>
        <v>0</v>
      </c>
      <c r="BC253" s="276">
        <f t="shared" si="198"/>
        <v>0</v>
      </c>
      <c r="BD253" s="276">
        <f t="shared" si="199"/>
        <v>0</v>
      </c>
      <c r="BE253" s="276">
        <f t="shared" si="200"/>
        <v>0</v>
      </c>
      <c r="BF253" s="686">
        <f t="shared" si="201"/>
        <v>0</v>
      </c>
      <c r="BG253" s="685" t="e">
        <f t="shared" si="202"/>
        <v>#DIV/0!</v>
      </c>
      <c r="BH253" s="276" t="e">
        <f t="shared" si="203"/>
        <v>#DIV/0!</v>
      </c>
      <c r="BI253" s="276" t="e">
        <f t="shared" si="204"/>
        <v>#DIV/0!</v>
      </c>
      <c r="BJ253" s="276" t="e">
        <f t="shared" si="205"/>
        <v>#DIV/0!</v>
      </c>
      <c r="BK253" s="276" t="e">
        <f t="shared" si="206"/>
        <v>#DIV/0!</v>
      </c>
      <c r="BL253" s="686" t="e">
        <f t="shared" si="207"/>
        <v>#DIV/0!</v>
      </c>
      <c r="BM253" s="239"/>
      <c r="BN253" s="965" t="e">
        <f t="shared" si="208"/>
        <v>#VALUE!</v>
      </c>
      <c r="BO253" s="878" t="e">
        <f t="shared" si="209"/>
        <v>#VALUE!</v>
      </c>
      <c r="BP253" s="878" t="e">
        <f t="shared" si="210"/>
        <v>#VALUE!</v>
      </c>
      <c r="BQ253" s="878" t="e">
        <f t="shared" si="211"/>
        <v>#VALUE!</v>
      </c>
      <c r="BR253" s="878" t="e">
        <f t="shared" si="212"/>
        <v>#VALUE!</v>
      </c>
      <c r="BS253" s="966" t="e">
        <f t="shared" si="213"/>
        <v>#VALUE!</v>
      </c>
    </row>
    <row r="254" spans="1:71">
      <c r="A254" s="284">
        <f t="shared" si="214"/>
        <v>186</v>
      </c>
      <c r="B254" s="285">
        <v>1.5774504466595154</v>
      </c>
      <c r="C254" s="285">
        <v>2.6271120675587629</v>
      </c>
      <c r="D254" s="285">
        <v>3.1708924646448029</v>
      </c>
      <c r="E254" s="285">
        <v>-9.341124871235305</v>
      </c>
      <c r="H254" s="685">
        <f t="shared" si="160"/>
        <v>0.44421660489046055</v>
      </c>
      <c r="I254" s="276">
        <f t="shared" si="161"/>
        <v>-3.9914762804430621</v>
      </c>
      <c r="J254" s="276">
        <f t="shared" si="162"/>
        <v>-3.3290030207545547</v>
      </c>
      <c r="K254" s="276">
        <f t="shared" si="163"/>
        <v>1.7400023288246691</v>
      </c>
      <c r="L254" s="276">
        <f t="shared" si="164"/>
        <v>-3.3850585305709862</v>
      </c>
      <c r="M254" s="276">
        <f t="shared" si="165"/>
        <v>-4.0875059397559603</v>
      </c>
      <c r="N254" s="685">
        <f t="shared" si="166"/>
        <v>1.4199408565868945</v>
      </c>
      <c r="O254" s="276">
        <f t="shared" si="167"/>
        <v>0.27107863713229396</v>
      </c>
      <c r="P254" s="276">
        <f t="shared" si="168"/>
        <v>1.517725537533072</v>
      </c>
      <c r="Q254" s="276">
        <f t="shared" si="169"/>
        <v>1.4263237004568137</v>
      </c>
      <c r="R254" s="276">
        <f t="shared" si="170"/>
        <v>1.1243130244068642</v>
      </c>
      <c r="S254" s="686">
        <f t="shared" si="171"/>
        <v>0.57270950972542645</v>
      </c>
      <c r="T254" s="685">
        <f t="shared" si="172"/>
        <v>6.4492561549157283</v>
      </c>
      <c r="U254" s="276">
        <f t="shared" si="173"/>
        <v>4.1630351198872981</v>
      </c>
      <c r="V254" s="276">
        <f t="shared" si="174"/>
        <v>2.5207813124162324</v>
      </c>
      <c r="W254" s="276">
        <f t="shared" si="175"/>
        <v>7.4434538190373711</v>
      </c>
      <c r="X254" s="276">
        <f t="shared" si="176"/>
        <v>4.3162474185525781</v>
      </c>
      <c r="Y254" s="686">
        <f t="shared" si="177"/>
        <v>4.0758954113404506</v>
      </c>
      <c r="Z254" s="685" t="e">
        <f t="shared" si="178"/>
        <v>#DIV/0!</v>
      </c>
      <c r="AA254" s="276" t="e">
        <f t="shared" si="179"/>
        <v>#DIV/0!</v>
      </c>
      <c r="AB254" s="276" t="e">
        <f t="shared" si="180"/>
        <v>#DIV/0!</v>
      </c>
      <c r="AC254" s="276" t="e">
        <f t="shared" si="181"/>
        <v>#DIV/0!</v>
      </c>
      <c r="AD254" s="276" t="e">
        <f t="shared" si="182"/>
        <v>#DIV/0!</v>
      </c>
      <c r="AE254" s="686" t="e">
        <f t="shared" si="183"/>
        <v>#DIV/0!</v>
      </c>
      <c r="AF254" s="239"/>
      <c r="AG254" s="965" t="e">
        <f t="shared" si="154"/>
        <v>#VALUE!</v>
      </c>
      <c r="AH254" s="878" t="e">
        <f t="shared" si="155"/>
        <v>#VALUE!</v>
      </c>
      <c r="AI254" s="878" t="e">
        <f t="shared" si="156"/>
        <v>#VALUE!</v>
      </c>
      <c r="AJ254" s="878" t="e">
        <f t="shared" si="157"/>
        <v>#VALUE!</v>
      </c>
      <c r="AK254" s="878" t="e">
        <f t="shared" si="158"/>
        <v>#VALUE!</v>
      </c>
      <c r="AL254" s="966" t="e">
        <f t="shared" si="159"/>
        <v>#VALUE!</v>
      </c>
      <c r="AM254" s="239"/>
      <c r="AO254" s="685">
        <f t="shared" si="184"/>
        <v>0.44421660489046055</v>
      </c>
      <c r="AP254" s="276">
        <f t="shared" si="185"/>
        <v>-3.9914762804430621</v>
      </c>
      <c r="AQ254" s="276">
        <f t="shared" si="186"/>
        <v>-3.3290030207545547</v>
      </c>
      <c r="AR254" s="276">
        <f t="shared" si="187"/>
        <v>1.7400023288246691</v>
      </c>
      <c r="AS254" s="276">
        <f t="shared" si="188"/>
        <v>-3.3850585305709862</v>
      </c>
      <c r="AT254" s="276">
        <f t="shared" si="189"/>
        <v>-4.0875059397559603</v>
      </c>
      <c r="AU254" s="685">
        <f t="shared" si="190"/>
        <v>1.4199408565868945</v>
      </c>
      <c r="AV254" s="276">
        <f t="shared" si="191"/>
        <v>0.27107863713229396</v>
      </c>
      <c r="AW254" s="276">
        <f t="shared" si="192"/>
        <v>1.517725537533072</v>
      </c>
      <c r="AX254" s="276">
        <f t="shared" si="193"/>
        <v>1.4263237004568137</v>
      </c>
      <c r="AY254" s="276">
        <f t="shared" si="194"/>
        <v>1.1243130244068642</v>
      </c>
      <c r="AZ254" s="686">
        <f t="shared" si="195"/>
        <v>0.57270950972542645</v>
      </c>
      <c r="BA254" s="685">
        <f t="shared" si="196"/>
        <v>0</v>
      </c>
      <c r="BB254" s="276">
        <f t="shared" si="197"/>
        <v>0</v>
      </c>
      <c r="BC254" s="276">
        <f t="shared" si="198"/>
        <v>0</v>
      </c>
      <c r="BD254" s="276">
        <f t="shared" si="199"/>
        <v>0</v>
      </c>
      <c r="BE254" s="276">
        <f t="shared" si="200"/>
        <v>0</v>
      </c>
      <c r="BF254" s="686">
        <f t="shared" si="201"/>
        <v>0</v>
      </c>
      <c r="BG254" s="685" t="e">
        <f t="shared" si="202"/>
        <v>#DIV/0!</v>
      </c>
      <c r="BH254" s="276" t="e">
        <f t="shared" si="203"/>
        <v>#DIV/0!</v>
      </c>
      <c r="BI254" s="276" t="e">
        <f t="shared" si="204"/>
        <v>#DIV/0!</v>
      </c>
      <c r="BJ254" s="276" t="e">
        <f t="shared" si="205"/>
        <v>#DIV/0!</v>
      </c>
      <c r="BK254" s="276" t="e">
        <f t="shared" si="206"/>
        <v>#DIV/0!</v>
      </c>
      <c r="BL254" s="686" t="e">
        <f t="shared" si="207"/>
        <v>#DIV/0!</v>
      </c>
      <c r="BM254" s="239"/>
      <c r="BN254" s="965" t="e">
        <f t="shared" si="208"/>
        <v>#VALUE!</v>
      </c>
      <c r="BO254" s="878" t="e">
        <f t="shared" si="209"/>
        <v>#VALUE!</v>
      </c>
      <c r="BP254" s="878" t="e">
        <f t="shared" si="210"/>
        <v>#VALUE!</v>
      </c>
      <c r="BQ254" s="878" t="e">
        <f t="shared" si="211"/>
        <v>#VALUE!</v>
      </c>
      <c r="BR254" s="878" t="e">
        <f t="shared" si="212"/>
        <v>#VALUE!</v>
      </c>
      <c r="BS254" s="966" t="e">
        <f t="shared" si="213"/>
        <v>#VALUE!</v>
      </c>
    </row>
    <row r="255" spans="1:71">
      <c r="A255" s="284">
        <f t="shared" si="214"/>
        <v>187</v>
      </c>
      <c r="B255" s="285">
        <v>-3.1702974423889105</v>
      </c>
      <c r="C255" s="285">
        <v>2.537035449209804</v>
      </c>
      <c r="D255" s="285">
        <v>3.1161511294334727</v>
      </c>
      <c r="E255" s="285">
        <v>-12.333745210975781</v>
      </c>
      <c r="H255" s="685">
        <f t="shared" si="160"/>
        <v>-4.3035312841579652</v>
      </c>
      <c r="I255" s="276">
        <f t="shared" si="161"/>
        <v>-0.76122199748505326</v>
      </c>
      <c r="J255" s="276">
        <f t="shared" si="162"/>
        <v>2.7819848470959814</v>
      </c>
      <c r="K255" s="276">
        <f t="shared" si="163"/>
        <v>-2.4907167162029693</v>
      </c>
      <c r="L255" s="276">
        <f t="shared" si="164"/>
        <v>0.32583491437036649</v>
      </c>
      <c r="M255" s="276">
        <f t="shared" si="165"/>
        <v>-1.6978135382370412</v>
      </c>
      <c r="N255" s="685">
        <f t="shared" si="166"/>
        <v>1.3298642382379355</v>
      </c>
      <c r="O255" s="276">
        <f t="shared" si="167"/>
        <v>1.0424243895010219</v>
      </c>
      <c r="P255" s="276">
        <f t="shared" si="168"/>
        <v>1.1844148927212486</v>
      </c>
      <c r="Q255" s="276">
        <f t="shared" si="169"/>
        <v>1.2132735037492435</v>
      </c>
      <c r="R255" s="276">
        <f t="shared" si="170"/>
        <v>1.1505854489908225</v>
      </c>
      <c r="S255" s="686">
        <f t="shared" si="171"/>
        <v>1.8142945607997649</v>
      </c>
      <c r="T255" s="685">
        <f t="shared" si="172"/>
        <v>6.3945148197043986</v>
      </c>
      <c r="U255" s="276">
        <f t="shared" si="173"/>
        <v>6.2838016882866974</v>
      </c>
      <c r="V255" s="276">
        <f t="shared" si="174"/>
        <v>5.2794290896084881</v>
      </c>
      <c r="W255" s="276">
        <f t="shared" si="175"/>
        <v>4.7241210324301068</v>
      </c>
      <c r="X255" s="276">
        <f t="shared" si="176"/>
        <v>3.3443831278263536</v>
      </c>
      <c r="Y255" s="686">
        <f t="shared" si="177"/>
        <v>4.3091940721995607</v>
      </c>
      <c r="Z255" s="685" t="e">
        <f t="shared" si="178"/>
        <v>#DIV/0!</v>
      </c>
      <c r="AA255" s="276" t="e">
        <f t="shared" si="179"/>
        <v>#DIV/0!</v>
      </c>
      <c r="AB255" s="276" t="e">
        <f t="shared" si="180"/>
        <v>#DIV/0!</v>
      </c>
      <c r="AC255" s="276" t="e">
        <f t="shared" si="181"/>
        <v>#DIV/0!</v>
      </c>
      <c r="AD255" s="276" t="e">
        <f t="shared" si="182"/>
        <v>#DIV/0!</v>
      </c>
      <c r="AE255" s="686" t="e">
        <f t="shared" si="183"/>
        <v>#DIV/0!</v>
      </c>
      <c r="AF255" s="239"/>
      <c r="AG255" s="965" t="e">
        <f t="shared" si="154"/>
        <v>#VALUE!</v>
      </c>
      <c r="AH255" s="878" t="e">
        <f t="shared" si="155"/>
        <v>#VALUE!</v>
      </c>
      <c r="AI255" s="878" t="e">
        <f t="shared" si="156"/>
        <v>#VALUE!</v>
      </c>
      <c r="AJ255" s="878" t="e">
        <f t="shared" si="157"/>
        <v>#VALUE!</v>
      </c>
      <c r="AK255" s="878" t="e">
        <f t="shared" si="158"/>
        <v>#VALUE!</v>
      </c>
      <c r="AL255" s="966" t="e">
        <f t="shared" si="159"/>
        <v>#VALUE!</v>
      </c>
      <c r="AM255" s="239"/>
      <c r="AO255" s="685">
        <f t="shared" si="184"/>
        <v>-4.3035312841579652</v>
      </c>
      <c r="AP255" s="276">
        <f t="shared" si="185"/>
        <v>-0.76122199748505326</v>
      </c>
      <c r="AQ255" s="276">
        <f t="shared" si="186"/>
        <v>2.7819848470959814</v>
      </c>
      <c r="AR255" s="276">
        <f t="shared" si="187"/>
        <v>-2.4907167162029693</v>
      </c>
      <c r="AS255" s="276">
        <f t="shared" si="188"/>
        <v>0.32583491437036649</v>
      </c>
      <c r="AT255" s="276">
        <f t="shared" si="189"/>
        <v>-1.6978135382370412</v>
      </c>
      <c r="AU255" s="685">
        <f t="shared" si="190"/>
        <v>1.3298642382379355</v>
      </c>
      <c r="AV255" s="276">
        <f t="shared" si="191"/>
        <v>1.0424243895010219</v>
      </c>
      <c r="AW255" s="276">
        <f t="shared" si="192"/>
        <v>1.1844148927212486</v>
      </c>
      <c r="AX255" s="276">
        <f t="shared" si="193"/>
        <v>1.2132735037492435</v>
      </c>
      <c r="AY255" s="276">
        <f t="shared" si="194"/>
        <v>1.1505854489908225</v>
      </c>
      <c r="AZ255" s="686">
        <f t="shared" si="195"/>
        <v>1.8142945607997649</v>
      </c>
      <c r="BA255" s="685">
        <f t="shared" si="196"/>
        <v>0</v>
      </c>
      <c r="BB255" s="276">
        <f t="shared" si="197"/>
        <v>0</v>
      </c>
      <c r="BC255" s="276">
        <f t="shared" si="198"/>
        <v>0</v>
      </c>
      <c r="BD255" s="276">
        <f t="shared" si="199"/>
        <v>0</v>
      </c>
      <c r="BE255" s="276">
        <f t="shared" si="200"/>
        <v>0</v>
      </c>
      <c r="BF255" s="686">
        <f t="shared" si="201"/>
        <v>0</v>
      </c>
      <c r="BG255" s="685" t="e">
        <f t="shared" si="202"/>
        <v>#DIV/0!</v>
      </c>
      <c r="BH255" s="276" t="e">
        <f t="shared" si="203"/>
        <v>#DIV/0!</v>
      </c>
      <c r="BI255" s="276" t="e">
        <f t="shared" si="204"/>
        <v>#DIV/0!</v>
      </c>
      <c r="BJ255" s="276" t="e">
        <f t="shared" si="205"/>
        <v>#DIV/0!</v>
      </c>
      <c r="BK255" s="276" t="e">
        <f t="shared" si="206"/>
        <v>#DIV/0!</v>
      </c>
      <c r="BL255" s="686" t="e">
        <f t="shared" si="207"/>
        <v>#DIV/0!</v>
      </c>
      <c r="BM255" s="239"/>
      <c r="BN255" s="965" t="e">
        <f t="shared" si="208"/>
        <v>#VALUE!</v>
      </c>
      <c r="BO255" s="878" t="e">
        <f t="shared" si="209"/>
        <v>#VALUE!</v>
      </c>
      <c r="BP255" s="878" t="e">
        <f t="shared" si="210"/>
        <v>#VALUE!</v>
      </c>
      <c r="BQ255" s="878" t="e">
        <f t="shared" si="211"/>
        <v>#VALUE!</v>
      </c>
      <c r="BR255" s="878" t="e">
        <f t="shared" si="212"/>
        <v>#VALUE!</v>
      </c>
      <c r="BS255" s="966" t="e">
        <f t="shared" si="213"/>
        <v>#VALUE!</v>
      </c>
    </row>
    <row r="256" spans="1:71">
      <c r="A256" s="284">
        <f t="shared" si="214"/>
        <v>188</v>
      </c>
      <c r="B256" s="285">
        <v>1.5709536129580473</v>
      </c>
      <c r="C256" s="285">
        <v>3.1844926712386501</v>
      </c>
      <c r="D256" s="285">
        <v>1.085312240660171</v>
      </c>
      <c r="E256" s="285">
        <v>9.8729210398261795</v>
      </c>
      <c r="H256" s="685">
        <f t="shared" si="160"/>
        <v>0.43771977118899241</v>
      </c>
      <c r="I256" s="276">
        <f t="shared" si="161"/>
        <v>-2.7894458776116888</v>
      </c>
      <c r="J256" s="276">
        <f t="shared" si="162"/>
        <v>1.6965337851606572</v>
      </c>
      <c r="K256" s="276">
        <f t="shared" si="163"/>
        <v>-1.303484363278977</v>
      </c>
      <c r="L256" s="276">
        <f t="shared" si="164"/>
        <v>0.10213987543629321</v>
      </c>
      <c r="M256" s="276">
        <f t="shared" si="165"/>
        <v>-1.326420866438305</v>
      </c>
      <c r="N256" s="685">
        <f t="shared" si="166"/>
        <v>1.9773214602667817</v>
      </c>
      <c r="O256" s="276">
        <f t="shared" si="167"/>
        <v>2.0008563413605494</v>
      </c>
      <c r="P256" s="276">
        <f t="shared" si="168"/>
        <v>2.0078062873021203</v>
      </c>
      <c r="Q256" s="276">
        <f t="shared" si="169"/>
        <v>1.2529590756789089</v>
      </c>
      <c r="R256" s="276">
        <f t="shared" si="170"/>
        <v>1.2505815608008504</v>
      </c>
      <c r="S256" s="686">
        <f t="shared" si="171"/>
        <v>1.007986775577008</v>
      </c>
      <c r="T256" s="685">
        <f t="shared" si="172"/>
        <v>4.3636759309310964</v>
      </c>
      <c r="U256" s="276">
        <f t="shared" si="173"/>
        <v>4.3137168412191365</v>
      </c>
      <c r="V256" s="276">
        <f t="shared" si="174"/>
        <v>3.2762942885195865</v>
      </c>
      <c r="W256" s="276">
        <f t="shared" si="175"/>
        <v>4.1541854952801156</v>
      </c>
      <c r="X256" s="276">
        <f t="shared" si="176"/>
        <v>5.8737750453833524</v>
      </c>
      <c r="Y256" s="686">
        <f t="shared" si="177"/>
        <v>4.6439989782475992</v>
      </c>
      <c r="Z256" s="685" t="e">
        <f t="shared" si="178"/>
        <v>#DIV/0!</v>
      </c>
      <c r="AA256" s="276" t="e">
        <f t="shared" si="179"/>
        <v>#DIV/0!</v>
      </c>
      <c r="AB256" s="276" t="e">
        <f t="shared" si="180"/>
        <v>#DIV/0!</v>
      </c>
      <c r="AC256" s="276" t="e">
        <f t="shared" si="181"/>
        <v>#DIV/0!</v>
      </c>
      <c r="AD256" s="276" t="e">
        <f t="shared" si="182"/>
        <v>#DIV/0!</v>
      </c>
      <c r="AE256" s="686" t="e">
        <f t="shared" si="183"/>
        <v>#DIV/0!</v>
      </c>
      <c r="AF256" s="239"/>
      <c r="AG256" s="965" t="e">
        <f t="shared" si="154"/>
        <v>#VALUE!</v>
      </c>
      <c r="AH256" s="878" t="e">
        <f t="shared" si="155"/>
        <v>#VALUE!</v>
      </c>
      <c r="AI256" s="878" t="e">
        <f t="shared" si="156"/>
        <v>#VALUE!</v>
      </c>
      <c r="AJ256" s="878" t="e">
        <f t="shared" si="157"/>
        <v>#VALUE!</v>
      </c>
      <c r="AK256" s="878" t="e">
        <f t="shared" si="158"/>
        <v>#VALUE!</v>
      </c>
      <c r="AL256" s="966" t="e">
        <f t="shared" si="159"/>
        <v>#VALUE!</v>
      </c>
      <c r="AM256" s="239"/>
      <c r="AO256" s="685">
        <f t="shared" si="184"/>
        <v>0.43771977118899241</v>
      </c>
      <c r="AP256" s="276">
        <f t="shared" si="185"/>
        <v>-2.7894458776116888</v>
      </c>
      <c r="AQ256" s="276">
        <f t="shared" si="186"/>
        <v>1.6965337851606572</v>
      </c>
      <c r="AR256" s="276">
        <f t="shared" si="187"/>
        <v>-1.303484363278977</v>
      </c>
      <c r="AS256" s="276">
        <f t="shared" si="188"/>
        <v>0.10213987543629321</v>
      </c>
      <c r="AT256" s="276">
        <f t="shared" si="189"/>
        <v>-1.326420866438305</v>
      </c>
      <c r="AU256" s="685">
        <f t="shared" si="190"/>
        <v>1.9773214602667817</v>
      </c>
      <c r="AV256" s="276">
        <f t="shared" si="191"/>
        <v>2.0008563413605494</v>
      </c>
      <c r="AW256" s="276">
        <f t="shared" si="192"/>
        <v>2.0078062873021203</v>
      </c>
      <c r="AX256" s="276">
        <f t="shared" si="193"/>
        <v>1.2529590756789089</v>
      </c>
      <c r="AY256" s="276">
        <f t="shared" si="194"/>
        <v>1.2505815608008504</v>
      </c>
      <c r="AZ256" s="686">
        <f t="shared" si="195"/>
        <v>1.007986775577008</v>
      </c>
      <c r="BA256" s="685">
        <f t="shared" si="196"/>
        <v>0</v>
      </c>
      <c r="BB256" s="276">
        <f t="shared" si="197"/>
        <v>0</v>
      </c>
      <c r="BC256" s="276">
        <f t="shared" si="198"/>
        <v>0</v>
      </c>
      <c r="BD256" s="276">
        <f t="shared" si="199"/>
        <v>0</v>
      </c>
      <c r="BE256" s="276">
        <f t="shared" si="200"/>
        <v>0</v>
      </c>
      <c r="BF256" s="686">
        <f t="shared" si="201"/>
        <v>0</v>
      </c>
      <c r="BG256" s="685" t="e">
        <f t="shared" si="202"/>
        <v>#DIV/0!</v>
      </c>
      <c r="BH256" s="276" t="e">
        <f t="shared" si="203"/>
        <v>#DIV/0!</v>
      </c>
      <c r="BI256" s="276" t="e">
        <f t="shared" si="204"/>
        <v>#DIV/0!</v>
      </c>
      <c r="BJ256" s="276" t="e">
        <f t="shared" si="205"/>
        <v>#DIV/0!</v>
      </c>
      <c r="BK256" s="276" t="e">
        <f t="shared" si="206"/>
        <v>#DIV/0!</v>
      </c>
      <c r="BL256" s="686" t="e">
        <f t="shared" si="207"/>
        <v>#DIV/0!</v>
      </c>
      <c r="BM256" s="239"/>
      <c r="BN256" s="965" t="e">
        <f t="shared" si="208"/>
        <v>#VALUE!</v>
      </c>
      <c r="BO256" s="878" t="e">
        <f t="shared" si="209"/>
        <v>#VALUE!</v>
      </c>
      <c r="BP256" s="878" t="e">
        <f t="shared" si="210"/>
        <v>#VALUE!</v>
      </c>
      <c r="BQ256" s="878" t="e">
        <f t="shared" si="211"/>
        <v>#VALUE!</v>
      </c>
      <c r="BR256" s="878" t="e">
        <f t="shared" si="212"/>
        <v>#VALUE!</v>
      </c>
      <c r="BS256" s="966" t="e">
        <f t="shared" si="213"/>
        <v>#VALUE!</v>
      </c>
    </row>
    <row r="257" spans="1:71">
      <c r="A257" s="284">
        <f t="shared" si="214"/>
        <v>189</v>
      </c>
      <c r="B257" s="285">
        <v>-2.7116984799974895</v>
      </c>
      <c r="C257" s="285">
        <v>2.0465502327705494</v>
      </c>
      <c r="D257" s="285">
        <v>2.1245485890085725</v>
      </c>
      <c r="E257" s="285">
        <v>-9.41796588721175</v>
      </c>
      <c r="H257" s="685">
        <f t="shared" si="160"/>
        <v>-3.8449323217665441</v>
      </c>
      <c r="I257" s="276">
        <f t="shared" si="161"/>
        <v>-1.7238700840500403</v>
      </c>
      <c r="J257" s="276">
        <f t="shared" si="162"/>
        <v>-5.604196462737427</v>
      </c>
      <c r="K257" s="276">
        <f t="shared" si="163"/>
        <v>0.35749527168950301</v>
      </c>
      <c r="L257" s="276">
        <f t="shared" si="164"/>
        <v>-4.0729637351265291</v>
      </c>
      <c r="M257" s="276">
        <f t="shared" si="165"/>
        <v>1.3994492394901556</v>
      </c>
      <c r="N257" s="685">
        <f t="shared" si="166"/>
        <v>0.83937902179868096</v>
      </c>
      <c r="O257" s="276">
        <f t="shared" si="167"/>
        <v>1.9032391478563608</v>
      </c>
      <c r="P257" s="276">
        <f t="shared" si="168"/>
        <v>0.99754613685584448</v>
      </c>
      <c r="Q257" s="276">
        <f t="shared" si="169"/>
        <v>1.7960375407385676</v>
      </c>
      <c r="R257" s="276">
        <f t="shared" si="170"/>
        <v>2.0485419984005979</v>
      </c>
      <c r="S257" s="686">
        <f t="shared" si="171"/>
        <v>1.1056129080445694</v>
      </c>
      <c r="T257" s="685">
        <f t="shared" si="172"/>
        <v>5.4029122792794979</v>
      </c>
      <c r="U257" s="276">
        <f t="shared" si="173"/>
        <v>2.8654532733332458</v>
      </c>
      <c r="V257" s="276">
        <f t="shared" si="174"/>
        <v>5.0739320561577683</v>
      </c>
      <c r="W257" s="276">
        <f t="shared" si="175"/>
        <v>5.3199798140408099</v>
      </c>
      <c r="X257" s="276">
        <f t="shared" si="176"/>
        <v>3.7242318148637503</v>
      </c>
      <c r="Y257" s="686">
        <f t="shared" si="177"/>
        <v>6.8584452583963476</v>
      </c>
      <c r="Z257" s="685" t="e">
        <f t="shared" si="178"/>
        <v>#DIV/0!</v>
      </c>
      <c r="AA257" s="276" t="e">
        <f t="shared" si="179"/>
        <v>#DIV/0!</v>
      </c>
      <c r="AB257" s="276" t="e">
        <f t="shared" si="180"/>
        <v>#DIV/0!</v>
      </c>
      <c r="AC257" s="276" t="e">
        <f t="shared" si="181"/>
        <v>#DIV/0!</v>
      </c>
      <c r="AD257" s="276" t="e">
        <f t="shared" si="182"/>
        <v>#DIV/0!</v>
      </c>
      <c r="AE257" s="686" t="e">
        <f t="shared" si="183"/>
        <v>#DIV/0!</v>
      </c>
      <c r="AF257" s="239"/>
      <c r="AG257" s="965" t="e">
        <f t="shared" si="154"/>
        <v>#VALUE!</v>
      </c>
      <c r="AH257" s="878" t="e">
        <f t="shared" si="155"/>
        <v>#VALUE!</v>
      </c>
      <c r="AI257" s="878" t="e">
        <f t="shared" si="156"/>
        <v>#VALUE!</v>
      </c>
      <c r="AJ257" s="878" t="e">
        <f t="shared" si="157"/>
        <v>#VALUE!</v>
      </c>
      <c r="AK257" s="878" t="e">
        <f t="shared" si="158"/>
        <v>#VALUE!</v>
      </c>
      <c r="AL257" s="966" t="e">
        <f t="shared" si="159"/>
        <v>#VALUE!</v>
      </c>
      <c r="AM257" s="239"/>
      <c r="AO257" s="685">
        <f t="shared" si="184"/>
        <v>-3.8449323217665441</v>
      </c>
      <c r="AP257" s="276">
        <f t="shared" si="185"/>
        <v>-1.7238700840500403</v>
      </c>
      <c r="AQ257" s="276">
        <f t="shared" si="186"/>
        <v>-5.604196462737427</v>
      </c>
      <c r="AR257" s="276">
        <f t="shared" si="187"/>
        <v>0.35749527168950301</v>
      </c>
      <c r="AS257" s="276">
        <f t="shared" si="188"/>
        <v>-4.0729637351265291</v>
      </c>
      <c r="AT257" s="276">
        <f t="shared" si="189"/>
        <v>1.3994492394901556</v>
      </c>
      <c r="AU257" s="685">
        <f t="shared" si="190"/>
        <v>0.83937902179868096</v>
      </c>
      <c r="AV257" s="276">
        <f t="shared" si="191"/>
        <v>1.9032391478563608</v>
      </c>
      <c r="AW257" s="276">
        <f t="shared" si="192"/>
        <v>0.99754613685584448</v>
      </c>
      <c r="AX257" s="276">
        <f t="shared" si="193"/>
        <v>1.7960375407385676</v>
      </c>
      <c r="AY257" s="276">
        <f t="shared" si="194"/>
        <v>2.0485419984005979</v>
      </c>
      <c r="AZ257" s="686">
        <f t="shared" si="195"/>
        <v>1.1056129080445694</v>
      </c>
      <c r="BA257" s="685">
        <f t="shared" si="196"/>
        <v>0</v>
      </c>
      <c r="BB257" s="276">
        <f t="shared" si="197"/>
        <v>0</v>
      </c>
      <c r="BC257" s="276">
        <f t="shared" si="198"/>
        <v>0</v>
      </c>
      <c r="BD257" s="276">
        <f t="shared" si="199"/>
        <v>0</v>
      </c>
      <c r="BE257" s="276">
        <f t="shared" si="200"/>
        <v>0</v>
      </c>
      <c r="BF257" s="686">
        <f t="shared" si="201"/>
        <v>0</v>
      </c>
      <c r="BG257" s="685" t="e">
        <f t="shared" si="202"/>
        <v>#DIV/0!</v>
      </c>
      <c r="BH257" s="276" t="e">
        <f t="shared" si="203"/>
        <v>#DIV/0!</v>
      </c>
      <c r="BI257" s="276" t="e">
        <f t="shared" si="204"/>
        <v>#DIV/0!</v>
      </c>
      <c r="BJ257" s="276" t="e">
        <f t="shared" si="205"/>
        <v>#DIV/0!</v>
      </c>
      <c r="BK257" s="276" t="e">
        <f t="shared" si="206"/>
        <v>#DIV/0!</v>
      </c>
      <c r="BL257" s="686" t="e">
        <f t="shared" si="207"/>
        <v>#DIV/0!</v>
      </c>
      <c r="BM257" s="239"/>
      <c r="BN257" s="965" t="e">
        <f t="shared" si="208"/>
        <v>#VALUE!</v>
      </c>
      <c r="BO257" s="878" t="e">
        <f t="shared" si="209"/>
        <v>#VALUE!</v>
      </c>
      <c r="BP257" s="878" t="e">
        <f t="shared" si="210"/>
        <v>#VALUE!</v>
      </c>
      <c r="BQ257" s="878" t="e">
        <f t="shared" si="211"/>
        <v>#VALUE!</v>
      </c>
      <c r="BR257" s="878" t="e">
        <f t="shared" si="212"/>
        <v>#VALUE!</v>
      </c>
      <c r="BS257" s="966" t="e">
        <f t="shared" si="213"/>
        <v>#VALUE!</v>
      </c>
    </row>
    <row r="258" spans="1:71">
      <c r="A258" s="284">
        <f t="shared" si="214"/>
        <v>190</v>
      </c>
      <c r="B258" s="285">
        <v>-0.98336602123285954</v>
      </c>
      <c r="C258" s="285">
        <v>2.7097582049363353</v>
      </c>
      <c r="D258" s="285">
        <v>-0.47258061320370248</v>
      </c>
      <c r="E258" s="285">
        <v>7.0282812756145976</v>
      </c>
      <c r="H258" s="685">
        <f t="shared" si="160"/>
        <v>-2.1165998630019143</v>
      </c>
      <c r="I258" s="276">
        <f t="shared" si="161"/>
        <v>-2.8151663639487827</v>
      </c>
      <c r="J258" s="276">
        <f t="shared" si="162"/>
        <v>-4.0492718822918281</v>
      </c>
      <c r="K258" s="276">
        <f t="shared" si="163"/>
        <v>0.24675084603728048</v>
      </c>
      <c r="L258" s="276">
        <f t="shared" si="164"/>
        <v>-2.5521232523178581</v>
      </c>
      <c r="M258" s="276">
        <f t="shared" si="165"/>
        <v>-2.7877977271603873</v>
      </c>
      <c r="N258" s="685">
        <f t="shared" si="166"/>
        <v>1.5025869939644669</v>
      </c>
      <c r="O258" s="276">
        <f t="shared" si="167"/>
        <v>1.6487609672793291</v>
      </c>
      <c r="P258" s="276">
        <f t="shared" si="168"/>
        <v>0.42512928615153189</v>
      </c>
      <c r="Q258" s="276">
        <f t="shared" si="169"/>
        <v>1.6752046098511204</v>
      </c>
      <c r="R258" s="276">
        <f t="shared" si="170"/>
        <v>0.78447662009539987</v>
      </c>
      <c r="S258" s="686">
        <f t="shared" si="171"/>
        <v>1.6675035575233548</v>
      </c>
      <c r="T258" s="685">
        <f t="shared" si="172"/>
        <v>2.8057830770672236</v>
      </c>
      <c r="U258" s="276">
        <f t="shared" si="173"/>
        <v>2.8380848640354683</v>
      </c>
      <c r="V258" s="276">
        <f t="shared" si="174"/>
        <v>3.7985611943383493</v>
      </c>
      <c r="W258" s="276">
        <f t="shared" si="175"/>
        <v>3.3929070720864001</v>
      </c>
      <c r="X258" s="276">
        <f t="shared" si="176"/>
        <v>4.4871066144034017</v>
      </c>
      <c r="Y258" s="686">
        <f t="shared" si="177"/>
        <v>6.1854234202449518</v>
      </c>
      <c r="Z258" s="685" t="e">
        <f t="shared" si="178"/>
        <v>#DIV/0!</v>
      </c>
      <c r="AA258" s="276" t="e">
        <f t="shared" si="179"/>
        <v>#DIV/0!</v>
      </c>
      <c r="AB258" s="276" t="e">
        <f t="shared" si="180"/>
        <v>#DIV/0!</v>
      </c>
      <c r="AC258" s="276" t="e">
        <f t="shared" si="181"/>
        <v>#DIV/0!</v>
      </c>
      <c r="AD258" s="276" t="e">
        <f t="shared" si="182"/>
        <v>#DIV/0!</v>
      </c>
      <c r="AE258" s="686" t="e">
        <f t="shared" si="183"/>
        <v>#DIV/0!</v>
      </c>
      <c r="AF258" s="239"/>
      <c r="AG258" s="965" t="e">
        <f t="shared" si="154"/>
        <v>#VALUE!</v>
      </c>
      <c r="AH258" s="878" t="e">
        <f t="shared" si="155"/>
        <v>#VALUE!</v>
      </c>
      <c r="AI258" s="878" t="e">
        <f t="shared" si="156"/>
        <v>#VALUE!</v>
      </c>
      <c r="AJ258" s="878" t="e">
        <f t="shared" si="157"/>
        <v>#VALUE!</v>
      </c>
      <c r="AK258" s="878" t="e">
        <f t="shared" si="158"/>
        <v>#VALUE!</v>
      </c>
      <c r="AL258" s="966" t="e">
        <f t="shared" si="159"/>
        <v>#VALUE!</v>
      </c>
      <c r="AM258" s="239"/>
      <c r="AO258" s="685">
        <f t="shared" si="184"/>
        <v>-2.1165998630019143</v>
      </c>
      <c r="AP258" s="276">
        <f t="shared" si="185"/>
        <v>-2.8151663639487827</v>
      </c>
      <c r="AQ258" s="276">
        <f t="shared" si="186"/>
        <v>-4.0492718822918281</v>
      </c>
      <c r="AR258" s="276">
        <f t="shared" si="187"/>
        <v>0.24675084603728048</v>
      </c>
      <c r="AS258" s="276">
        <f t="shared" si="188"/>
        <v>-2.5521232523178581</v>
      </c>
      <c r="AT258" s="276">
        <f t="shared" si="189"/>
        <v>-2.7877977271603873</v>
      </c>
      <c r="AU258" s="685">
        <f t="shared" si="190"/>
        <v>1.5025869939644669</v>
      </c>
      <c r="AV258" s="276">
        <f t="shared" si="191"/>
        <v>1.6487609672793291</v>
      </c>
      <c r="AW258" s="276">
        <f t="shared" si="192"/>
        <v>0.42512928615153189</v>
      </c>
      <c r="AX258" s="276">
        <f t="shared" si="193"/>
        <v>1.6752046098511204</v>
      </c>
      <c r="AY258" s="276">
        <f t="shared" si="194"/>
        <v>0.78447662009539987</v>
      </c>
      <c r="AZ258" s="686">
        <f t="shared" si="195"/>
        <v>1.6675035575233548</v>
      </c>
      <c r="BA258" s="685">
        <f t="shared" si="196"/>
        <v>0</v>
      </c>
      <c r="BB258" s="276">
        <f t="shared" si="197"/>
        <v>0</v>
      </c>
      <c r="BC258" s="276">
        <f t="shared" si="198"/>
        <v>0</v>
      </c>
      <c r="BD258" s="276">
        <f t="shared" si="199"/>
        <v>0</v>
      </c>
      <c r="BE258" s="276">
        <f t="shared" si="200"/>
        <v>0</v>
      </c>
      <c r="BF258" s="686">
        <f t="shared" si="201"/>
        <v>0</v>
      </c>
      <c r="BG258" s="685" t="e">
        <f t="shared" si="202"/>
        <v>#DIV/0!</v>
      </c>
      <c r="BH258" s="276" t="e">
        <f t="shared" si="203"/>
        <v>#DIV/0!</v>
      </c>
      <c r="BI258" s="276" t="e">
        <f t="shared" si="204"/>
        <v>#DIV/0!</v>
      </c>
      <c r="BJ258" s="276" t="e">
        <f t="shared" si="205"/>
        <v>#DIV/0!</v>
      </c>
      <c r="BK258" s="276" t="e">
        <f t="shared" si="206"/>
        <v>#DIV/0!</v>
      </c>
      <c r="BL258" s="686" t="e">
        <f t="shared" si="207"/>
        <v>#DIV/0!</v>
      </c>
      <c r="BM258" s="239"/>
      <c r="BN258" s="965" t="e">
        <f t="shared" si="208"/>
        <v>#VALUE!</v>
      </c>
      <c r="BO258" s="878" t="e">
        <f t="shared" si="209"/>
        <v>#VALUE!</v>
      </c>
      <c r="BP258" s="878" t="e">
        <f t="shared" si="210"/>
        <v>#VALUE!</v>
      </c>
      <c r="BQ258" s="878" t="e">
        <f t="shared" si="211"/>
        <v>#VALUE!</v>
      </c>
      <c r="BR258" s="878" t="e">
        <f t="shared" si="212"/>
        <v>#VALUE!</v>
      </c>
      <c r="BS258" s="966" t="e">
        <f t="shared" si="213"/>
        <v>#VALUE!</v>
      </c>
    </row>
    <row r="259" spans="1:71">
      <c r="A259" s="284">
        <f t="shared" si="214"/>
        <v>191</v>
      </c>
      <c r="B259" s="285">
        <v>0.19155542027462236</v>
      </c>
      <c r="C259" s="285">
        <v>2.6841289456894293</v>
      </c>
      <c r="D259" s="285">
        <v>0.99335470688318539</v>
      </c>
      <c r="E259" s="285">
        <v>-4.6592540314005042</v>
      </c>
      <c r="H259" s="685">
        <f t="shared" si="160"/>
        <v>-0.94167842149443248</v>
      </c>
      <c r="I259" s="276">
        <f t="shared" si="161"/>
        <v>-1.3807453402091474</v>
      </c>
      <c r="J259" s="276">
        <f t="shared" si="162"/>
        <v>-5.7230039352325424</v>
      </c>
      <c r="K259" s="276">
        <f t="shared" si="163"/>
        <v>-6.4045337277693406</v>
      </c>
      <c r="L259" s="276">
        <f t="shared" si="164"/>
        <v>5.4999512565078401E-2</v>
      </c>
      <c r="M259" s="276">
        <f t="shared" si="165"/>
        <v>-1.0865680308698842</v>
      </c>
      <c r="N259" s="685">
        <f t="shared" si="166"/>
        <v>1.4769577347175609</v>
      </c>
      <c r="O259" s="276">
        <f t="shared" si="167"/>
        <v>1.5281011579232351</v>
      </c>
      <c r="P259" s="276">
        <f t="shared" si="168"/>
        <v>0.33188138953393276</v>
      </c>
      <c r="Q259" s="276">
        <f t="shared" si="169"/>
        <v>0.80268529470460748</v>
      </c>
      <c r="R259" s="276">
        <f t="shared" si="170"/>
        <v>1.8638047203185388</v>
      </c>
      <c r="S259" s="686">
        <f t="shared" si="171"/>
        <v>0.55484023671223182</v>
      </c>
      <c r="T259" s="685">
        <f t="shared" si="172"/>
        <v>4.2717183971541113</v>
      </c>
      <c r="U259" s="276">
        <f t="shared" si="173"/>
        <v>7.1420329875549147</v>
      </c>
      <c r="V259" s="276">
        <f t="shared" si="174"/>
        <v>5.1336352225665385</v>
      </c>
      <c r="W259" s="276">
        <f t="shared" si="175"/>
        <v>3.0638716728748063</v>
      </c>
      <c r="X259" s="276">
        <f t="shared" si="176"/>
        <v>4.82794053378481</v>
      </c>
      <c r="Y259" s="686">
        <f t="shared" si="177"/>
        <v>7.0516113574251289</v>
      </c>
      <c r="Z259" s="685" t="e">
        <f t="shared" si="178"/>
        <v>#DIV/0!</v>
      </c>
      <c r="AA259" s="276" t="e">
        <f t="shared" si="179"/>
        <v>#DIV/0!</v>
      </c>
      <c r="AB259" s="276" t="e">
        <f t="shared" si="180"/>
        <v>#DIV/0!</v>
      </c>
      <c r="AC259" s="276" t="e">
        <f t="shared" si="181"/>
        <v>#DIV/0!</v>
      </c>
      <c r="AD259" s="276" t="e">
        <f t="shared" si="182"/>
        <v>#DIV/0!</v>
      </c>
      <c r="AE259" s="686" t="e">
        <f t="shared" si="183"/>
        <v>#DIV/0!</v>
      </c>
      <c r="AF259" s="239"/>
      <c r="AG259" s="965" t="e">
        <f t="shared" si="154"/>
        <v>#VALUE!</v>
      </c>
      <c r="AH259" s="878" t="e">
        <f t="shared" si="155"/>
        <v>#VALUE!</v>
      </c>
      <c r="AI259" s="878" t="e">
        <f t="shared" si="156"/>
        <v>#VALUE!</v>
      </c>
      <c r="AJ259" s="878" t="e">
        <f t="shared" si="157"/>
        <v>#VALUE!</v>
      </c>
      <c r="AK259" s="878" t="e">
        <f t="shared" si="158"/>
        <v>#VALUE!</v>
      </c>
      <c r="AL259" s="966" t="e">
        <f t="shared" si="159"/>
        <v>#VALUE!</v>
      </c>
      <c r="AM259" s="239"/>
      <c r="AO259" s="685">
        <f t="shared" si="184"/>
        <v>-0.94167842149443248</v>
      </c>
      <c r="AP259" s="276">
        <f t="shared" si="185"/>
        <v>-1.3807453402091474</v>
      </c>
      <c r="AQ259" s="276">
        <f t="shared" si="186"/>
        <v>-5.7230039352325424</v>
      </c>
      <c r="AR259" s="276">
        <f t="shared" si="187"/>
        <v>-6.4045337277693406</v>
      </c>
      <c r="AS259" s="276">
        <f t="shared" si="188"/>
        <v>5.4999512565078401E-2</v>
      </c>
      <c r="AT259" s="276">
        <f t="shared" si="189"/>
        <v>-1.0865680308698842</v>
      </c>
      <c r="AU259" s="685">
        <f t="shared" si="190"/>
        <v>1.4769577347175609</v>
      </c>
      <c r="AV259" s="276">
        <f t="shared" si="191"/>
        <v>1.5281011579232351</v>
      </c>
      <c r="AW259" s="276">
        <f t="shared" si="192"/>
        <v>0.33188138953393276</v>
      </c>
      <c r="AX259" s="276">
        <f t="shared" si="193"/>
        <v>0.80268529470460748</v>
      </c>
      <c r="AY259" s="276">
        <f t="shared" si="194"/>
        <v>1.8638047203185388</v>
      </c>
      <c r="AZ259" s="686">
        <f t="shared" si="195"/>
        <v>0.55484023671223182</v>
      </c>
      <c r="BA259" s="685">
        <f t="shared" si="196"/>
        <v>0</v>
      </c>
      <c r="BB259" s="276">
        <f t="shared" si="197"/>
        <v>0</v>
      </c>
      <c r="BC259" s="276">
        <f t="shared" si="198"/>
        <v>0</v>
      </c>
      <c r="BD259" s="276">
        <f t="shared" si="199"/>
        <v>0</v>
      </c>
      <c r="BE259" s="276">
        <f t="shared" si="200"/>
        <v>0</v>
      </c>
      <c r="BF259" s="686">
        <f t="shared" si="201"/>
        <v>0</v>
      </c>
      <c r="BG259" s="685" t="e">
        <f t="shared" si="202"/>
        <v>#DIV/0!</v>
      </c>
      <c r="BH259" s="276" t="e">
        <f t="shared" si="203"/>
        <v>#DIV/0!</v>
      </c>
      <c r="BI259" s="276" t="e">
        <f t="shared" si="204"/>
        <v>#DIV/0!</v>
      </c>
      <c r="BJ259" s="276" t="e">
        <f t="shared" si="205"/>
        <v>#DIV/0!</v>
      </c>
      <c r="BK259" s="276" t="e">
        <f t="shared" si="206"/>
        <v>#DIV/0!</v>
      </c>
      <c r="BL259" s="686" t="e">
        <f t="shared" si="207"/>
        <v>#DIV/0!</v>
      </c>
      <c r="BM259" s="239"/>
      <c r="BN259" s="965" t="e">
        <f t="shared" si="208"/>
        <v>#VALUE!</v>
      </c>
      <c r="BO259" s="878" t="e">
        <f t="shared" si="209"/>
        <v>#VALUE!</v>
      </c>
      <c r="BP259" s="878" t="e">
        <f t="shared" si="210"/>
        <v>#VALUE!</v>
      </c>
      <c r="BQ259" s="878" t="e">
        <f t="shared" si="211"/>
        <v>#VALUE!</v>
      </c>
      <c r="BR259" s="878" t="e">
        <f t="shared" si="212"/>
        <v>#VALUE!</v>
      </c>
      <c r="BS259" s="966" t="e">
        <f t="shared" si="213"/>
        <v>#VALUE!</v>
      </c>
    </row>
    <row r="260" spans="1:71">
      <c r="A260" s="284">
        <f t="shared" si="214"/>
        <v>192</v>
      </c>
      <c r="B260" s="285">
        <v>-3.2546422485035245</v>
      </c>
      <c r="C260" s="285">
        <v>2.5665471313031278</v>
      </c>
      <c r="D260" s="285">
        <v>-1.9998527920815214</v>
      </c>
      <c r="E260" s="285">
        <v>6.6688545567453286</v>
      </c>
      <c r="H260" s="685">
        <f t="shared" si="160"/>
        <v>-4.3878760902725791</v>
      </c>
      <c r="I260" s="276">
        <f t="shared" si="161"/>
        <v>-2.9331913572088117</v>
      </c>
      <c r="J260" s="276">
        <f t="shared" si="162"/>
        <v>-3.9633197000773661</v>
      </c>
      <c r="K260" s="276">
        <f t="shared" si="163"/>
        <v>-2.4847635262927623</v>
      </c>
      <c r="L260" s="276">
        <f t="shared" si="164"/>
        <v>8.401743190501465E-3</v>
      </c>
      <c r="M260" s="276">
        <f t="shared" si="165"/>
        <v>-4.8726003083050848</v>
      </c>
      <c r="N260" s="685">
        <f t="shared" si="166"/>
        <v>1.3593759203312594</v>
      </c>
      <c r="O260" s="276">
        <f t="shared" si="167"/>
        <v>1.6857092563749452</v>
      </c>
      <c r="P260" s="276">
        <f t="shared" si="168"/>
        <v>0.66515549379888261</v>
      </c>
      <c r="Q260" s="276">
        <f t="shared" si="169"/>
        <v>1.2101056272415505</v>
      </c>
      <c r="R260" s="276">
        <f t="shared" si="170"/>
        <v>1.1979535901894838</v>
      </c>
      <c r="S260" s="686">
        <f t="shared" si="171"/>
        <v>1.1120897447349078</v>
      </c>
      <c r="T260" s="685">
        <f t="shared" si="172"/>
        <v>1.2785108981894044</v>
      </c>
      <c r="U260" s="276">
        <f t="shared" si="173"/>
        <v>5.7671061173316946</v>
      </c>
      <c r="V260" s="276">
        <f t="shared" si="174"/>
        <v>4.8402542398499602</v>
      </c>
      <c r="W260" s="276">
        <f t="shared" si="175"/>
        <v>4.4551135628493697</v>
      </c>
      <c r="X260" s="276">
        <f t="shared" si="176"/>
        <v>4.8537991636612325</v>
      </c>
      <c r="Y260" s="686">
        <f t="shared" si="177"/>
        <v>4.3281691480349433</v>
      </c>
      <c r="Z260" s="685" t="e">
        <f t="shared" si="178"/>
        <v>#DIV/0!</v>
      </c>
      <c r="AA260" s="276" t="e">
        <f t="shared" si="179"/>
        <v>#DIV/0!</v>
      </c>
      <c r="AB260" s="276" t="e">
        <f t="shared" si="180"/>
        <v>#DIV/0!</v>
      </c>
      <c r="AC260" s="276" t="e">
        <f t="shared" si="181"/>
        <v>#DIV/0!</v>
      </c>
      <c r="AD260" s="276" t="e">
        <f t="shared" si="182"/>
        <v>#DIV/0!</v>
      </c>
      <c r="AE260" s="686" t="e">
        <f t="shared" si="183"/>
        <v>#DIV/0!</v>
      </c>
      <c r="AF260" s="239"/>
      <c r="AG260" s="965" t="e">
        <f t="shared" si="154"/>
        <v>#VALUE!</v>
      </c>
      <c r="AH260" s="878" t="e">
        <f t="shared" si="155"/>
        <v>#VALUE!</v>
      </c>
      <c r="AI260" s="878" t="e">
        <f t="shared" si="156"/>
        <v>#VALUE!</v>
      </c>
      <c r="AJ260" s="878" t="e">
        <f t="shared" si="157"/>
        <v>#VALUE!</v>
      </c>
      <c r="AK260" s="878" t="e">
        <f t="shared" si="158"/>
        <v>#VALUE!</v>
      </c>
      <c r="AL260" s="966" t="e">
        <f t="shared" si="159"/>
        <v>#VALUE!</v>
      </c>
      <c r="AM260" s="239"/>
      <c r="AO260" s="685">
        <f t="shared" si="184"/>
        <v>-4.3878760902725791</v>
      </c>
      <c r="AP260" s="276">
        <f t="shared" si="185"/>
        <v>-2.9331913572088117</v>
      </c>
      <c r="AQ260" s="276">
        <f t="shared" si="186"/>
        <v>-3.9633197000773661</v>
      </c>
      <c r="AR260" s="276">
        <f t="shared" si="187"/>
        <v>-2.4847635262927623</v>
      </c>
      <c r="AS260" s="276">
        <f t="shared" si="188"/>
        <v>8.401743190501465E-3</v>
      </c>
      <c r="AT260" s="276">
        <f t="shared" si="189"/>
        <v>-4.8726003083050848</v>
      </c>
      <c r="AU260" s="685">
        <f t="shared" si="190"/>
        <v>1.3593759203312594</v>
      </c>
      <c r="AV260" s="276">
        <f t="shared" si="191"/>
        <v>1.6857092563749452</v>
      </c>
      <c r="AW260" s="276">
        <f t="shared" si="192"/>
        <v>0.66515549379888261</v>
      </c>
      <c r="AX260" s="276">
        <f t="shared" si="193"/>
        <v>1.2101056272415505</v>
      </c>
      <c r="AY260" s="276">
        <f t="shared" si="194"/>
        <v>1.1979535901894838</v>
      </c>
      <c r="AZ260" s="686">
        <f t="shared" si="195"/>
        <v>1.1120897447349078</v>
      </c>
      <c r="BA260" s="685">
        <f t="shared" si="196"/>
        <v>0</v>
      </c>
      <c r="BB260" s="276">
        <f t="shared" si="197"/>
        <v>0</v>
      </c>
      <c r="BC260" s="276">
        <f t="shared" si="198"/>
        <v>0</v>
      </c>
      <c r="BD260" s="276">
        <f t="shared" si="199"/>
        <v>0</v>
      </c>
      <c r="BE260" s="276">
        <f t="shared" si="200"/>
        <v>0</v>
      </c>
      <c r="BF260" s="686">
        <f t="shared" si="201"/>
        <v>0</v>
      </c>
      <c r="BG260" s="685" t="e">
        <f t="shared" si="202"/>
        <v>#DIV/0!</v>
      </c>
      <c r="BH260" s="276" t="e">
        <f t="shared" si="203"/>
        <v>#DIV/0!</v>
      </c>
      <c r="BI260" s="276" t="e">
        <f t="shared" si="204"/>
        <v>#DIV/0!</v>
      </c>
      <c r="BJ260" s="276" t="e">
        <f t="shared" si="205"/>
        <v>#DIV/0!</v>
      </c>
      <c r="BK260" s="276" t="e">
        <f t="shared" si="206"/>
        <v>#DIV/0!</v>
      </c>
      <c r="BL260" s="686" t="e">
        <f t="shared" si="207"/>
        <v>#DIV/0!</v>
      </c>
      <c r="BM260" s="239"/>
      <c r="BN260" s="965" t="e">
        <f t="shared" si="208"/>
        <v>#VALUE!</v>
      </c>
      <c r="BO260" s="878" t="e">
        <f t="shared" si="209"/>
        <v>#VALUE!</v>
      </c>
      <c r="BP260" s="878" t="e">
        <f t="shared" si="210"/>
        <v>#VALUE!</v>
      </c>
      <c r="BQ260" s="878" t="e">
        <f t="shared" si="211"/>
        <v>#VALUE!</v>
      </c>
      <c r="BR260" s="878" t="e">
        <f t="shared" si="212"/>
        <v>#VALUE!</v>
      </c>
      <c r="BS260" s="966" t="e">
        <f t="shared" si="213"/>
        <v>#VALUE!</v>
      </c>
    </row>
    <row r="261" spans="1:71">
      <c r="A261" s="284">
        <f t="shared" si="214"/>
        <v>193</v>
      </c>
      <c r="B261" s="285">
        <v>1.8819703862174841</v>
      </c>
      <c r="C261" s="285">
        <v>2.7120021193684556</v>
      </c>
      <c r="D261" s="285">
        <v>0.84394170468881557</v>
      </c>
      <c r="E261" s="285">
        <v>7.5461399524869286</v>
      </c>
      <c r="H261" s="685">
        <f t="shared" si="160"/>
        <v>0.7487365444484293</v>
      </c>
      <c r="I261" s="276">
        <f t="shared" si="161"/>
        <v>-2.7727624213391477</v>
      </c>
      <c r="J261" s="276">
        <f t="shared" si="162"/>
        <v>-2.5513207222040464</v>
      </c>
      <c r="K261" s="276">
        <f t="shared" si="163"/>
        <v>-3.5380686382062461</v>
      </c>
      <c r="L261" s="276">
        <f t="shared" si="164"/>
        <v>-0.99423915469408086</v>
      </c>
      <c r="M261" s="276">
        <f t="shared" si="165"/>
        <v>-4.508143948487386</v>
      </c>
      <c r="N261" s="685">
        <f t="shared" si="166"/>
        <v>1.5048309083965872</v>
      </c>
      <c r="O261" s="276">
        <f t="shared" si="167"/>
        <v>1.3120030817193211</v>
      </c>
      <c r="P261" s="276">
        <f t="shared" si="168"/>
        <v>0.55853751197422552</v>
      </c>
      <c r="Q261" s="276">
        <f t="shared" si="169"/>
        <v>0.93994228935406521</v>
      </c>
      <c r="R261" s="276">
        <f t="shared" si="170"/>
        <v>1.7735911147036398</v>
      </c>
      <c r="S261" s="686">
        <f t="shared" si="171"/>
        <v>0.92349027310238507</v>
      </c>
      <c r="T261" s="685">
        <f t="shared" si="172"/>
        <v>4.1223053949597412</v>
      </c>
      <c r="U261" s="276">
        <f t="shared" si="173"/>
        <v>5.900886060447708</v>
      </c>
      <c r="V261" s="276">
        <f t="shared" si="174"/>
        <v>4.0221177259946934</v>
      </c>
      <c r="W261" s="276">
        <f t="shared" si="175"/>
        <v>3.9294896778523922</v>
      </c>
      <c r="X261" s="276">
        <f t="shared" si="176"/>
        <v>5.5576050404064805</v>
      </c>
      <c r="Y261" s="686">
        <f t="shared" si="177"/>
        <v>5.9115062157784077</v>
      </c>
      <c r="Z261" s="685" t="e">
        <f t="shared" si="178"/>
        <v>#DIV/0!</v>
      </c>
      <c r="AA261" s="276" t="e">
        <f t="shared" si="179"/>
        <v>#DIV/0!</v>
      </c>
      <c r="AB261" s="276" t="e">
        <f t="shared" si="180"/>
        <v>#DIV/0!</v>
      </c>
      <c r="AC261" s="276" t="e">
        <f t="shared" si="181"/>
        <v>#DIV/0!</v>
      </c>
      <c r="AD261" s="276" t="e">
        <f t="shared" si="182"/>
        <v>#DIV/0!</v>
      </c>
      <c r="AE261" s="686" t="e">
        <f t="shared" si="183"/>
        <v>#DIV/0!</v>
      </c>
      <c r="AF261" s="239"/>
      <c r="AG261" s="965" t="e">
        <f t="shared" ref="AG261:AG324" si="215">S$53*(1+(T$55+N261)/100)*((1-S$62)+S$62*((1+(T$57+Z261)/100)))/(1+(T$54+H261)/100)-(T$56+T261)+T$58</f>
        <v>#VALUE!</v>
      </c>
      <c r="AH261" s="878" t="e">
        <f t="shared" ref="AH261:AH324" si="216">AG261*(1+(U$55+O261)/100)*((1-T$62)+T$62*((1+(U$57+AA261)/100)))/(1+(U$54+I261)/100)-(U$56+U261)+U$58</f>
        <v>#VALUE!</v>
      </c>
      <c r="AI261" s="878" t="e">
        <f t="shared" ref="AI261:AI324" si="217">AH261*(1+(V$55+P261)/100)*((1-U$62)+U$62*((1+(V$57+AB261)/100)))/(1+(V$54+J261)/100)-(V$56+V261)+V$58</f>
        <v>#VALUE!</v>
      </c>
      <c r="AJ261" s="878" t="e">
        <f t="shared" ref="AJ261:AJ324" si="218">AI261*(1+(W$55+Q261)/100)*((1-V$62)+V$62*((1+(W$57+AC261)/100)))/(1+(W$54+K261)/100)-(W$56+W261)+W$58</f>
        <v>#VALUE!</v>
      </c>
      <c r="AK261" s="878" t="e">
        <f t="shared" ref="AK261:AK324" si="219">AJ261*(1+(X$55+R261)/100)*((1-W$62)+W$62*((1+(X$57+AD261)/100)))/(1+(X$54+L261)/100)-(X$56+X261)+X$58</f>
        <v>#VALUE!</v>
      </c>
      <c r="AL261" s="966" t="e">
        <f t="shared" ref="AL261:AL324" si="220">AK261*(1+(Y$55+S261)/100)*((1-X$62)+X$62*((1+(Y$57+AE261)/100)))/(1+(Y$54+M261)/100)-(Y$56+Y261)+Y$58</f>
        <v>#VALUE!</v>
      </c>
      <c r="AM261" s="239"/>
      <c r="AO261" s="685">
        <f t="shared" si="184"/>
        <v>0.7487365444484293</v>
      </c>
      <c r="AP261" s="276">
        <f t="shared" si="185"/>
        <v>-2.7727624213391477</v>
      </c>
      <c r="AQ261" s="276">
        <f t="shared" si="186"/>
        <v>-2.5513207222040464</v>
      </c>
      <c r="AR261" s="276">
        <f t="shared" si="187"/>
        <v>-3.5380686382062461</v>
      </c>
      <c r="AS261" s="276">
        <f t="shared" si="188"/>
        <v>-0.99423915469408086</v>
      </c>
      <c r="AT261" s="276">
        <f t="shared" si="189"/>
        <v>-4.508143948487386</v>
      </c>
      <c r="AU261" s="685">
        <f t="shared" si="190"/>
        <v>1.5048309083965872</v>
      </c>
      <c r="AV261" s="276">
        <f t="shared" si="191"/>
        <v>1.3120030817193211</v>
      </c>
      <c r="AW261" s="276">
        <f t="shared" si="192"/>
        <v>0.55853751197422552</v>
      </c>
      <c r="AX261" s="276">
        <f t="shared" si="193"/>
        <v>0.93994228935406521</v>
      </c>
      <c r="AY261" s="276">
        <f t="shared" si="194"/>
        <v>1.7735911147036398</v>
      </c>
      <c r="AZ261" s="686">
        <f t="shared" si="195"/>
        <v>0.92349027310238507</v>
      </c>
      <c r="BA261" s="685">
        <f t="shared" si="196"/>
        <v>0</v>
      </c>
      <c r="BB261" s="276">
        <f t="shared" si="197"/>
        <v>0</v>
      </c>
      <c r="BC261" s="276">
        <f t="shared" si="198"/>
        <v>0</v>
      </c>
      <c r="BD261" s="276">
        <f t="shared" si="199"/>
        <v>0</v>
      </c>
      <c r="BE261" s="276">
        <f t="shared" si="200"/>
        <v>0</v>
      </c>
      <c r="BF261" s="686">
        <f t="shared" si="201"/>
        <v>0</v>
      </c>
      <c r="BG261" s="685" t="e">
        <f t="shared" si="202"/>
        <v>#DIV/0!</v>
      </c>
      <c r="BH261" s="276" t="e">
        <f t="shared" si="203"/>
        <v>#DIV/0!</v>
      </c>
      <c r="BI261" s="276" t="e">
        <f t="shared" si="204"/>
        <v>#DIV/0!</v>
      </c>
      <c r="BJ261" s="276" t="e">
        <f t="shared" si="205"/>
        <v>#DIV/0!</v>
      </c>
      <c r="BK261" s="276" t="e">
        <f t="shared" si="206"/>
        <v>#DIV/0!</v>
      </c>
      <c r="BL261" s="686" t="e">
        <f t="shared" si="207"/>
        <v>#DIV/0!</v>
      </c>
      <c r="BM261" s="239"/>
      <c r="BN261" s="965" t="e">
        <f t="shared" si="208"/>
        <v>#VALUE!</v>
      </c>
      <c r="BO261" s="878" t="e">
        <f t="shared" si="209"/>
        <v>#VALUE!</v>
      </c>
      <c r="BP261" s="878" t="e">
        <f t="shared" si="210"/>
        <v>#VALUE!</v>
      </c>
      <c r="BQ261" s="878" t="e">
        <f t="shared" si="211"/>
        <v>#VALUE!</v>
      </c>
      <c r="BR261" s="878" t="e">
        <f t="shared" si="212"/>
        <v>#VALUE!</v>
      </c>
      <c r="BS261" s="966" t="e">
        <f t="shared" si="213"/>
        <v>#VALUE!</v>
      </c>
    </row>
    <row r="262" spans="1:71">
      <c r="A262" s="284">
        <f t="shared" si="214"/>
        <v>194</v>
      </c>
      <c r="B262" s="285">
        <v>4.7605969040808391</v>
      </c>
      <c r="C262" s="285">
        <v>2.2028009020994568</v>
      </c>
      <c r="D262" s="285">
        <v>0.40589038968938729</v>
      </c>
      <c r="E262" s="285">
        <v>-19.930147403738879</v>
      </c>
      <c r="H262" s="685">
        <f t="shared" ref="H262:H325" si="221">IF($B$42="On",$B262-$D$15,0)</f>
        <v>3.6273630623117841</v>
      </c>
      <c r="I262" s="276">
        <f t="shared" ref="I262:I325" si="222">IF($B$42="On",$B1262-$D$15,0)</f>
        <v>-0.68480157628213745</v>
      </c>
      <c r="J262" s="276">
        <f t="shared" ref="J262:J325" si="223">IF($B$42="On",$B2262-$D$15,0)</f>
        <v>-1.0873616627471141</v>
      </c>
      <c r="K262" s="276">
        <f t="shared" ref="K262:K325" si="224">IF($B$42="On",$B3262-$D$15,0)</f>
        <v>0.89310594892607509</v>
      </c>
      <c r="L262" s="276">
        <f t="shared" ref="L262:L325" si="225">IF($B$42="On",$B4262-$D$15,0)</f>
        <v>-5.9313137657570429</v>
      </c>
      <c r="M262" s="276">
        <f t="shared" ref="M262:M325" si="226">IF($B$42="On",$B5262-$D$15,0)</f>
        <v>-1.0323633751800667</v>
      </c>
      <c r="N262" s="685">
        <f t="shared" ref="N262:N325" si="227">IF($B$43="On",$C262-$D$16,0)</f>
        <v>0.99562969112758837</v>
      </c>
      <c r="O262" s="276">
        <f t="shared" ref="O262:O325" si="228">IF($B$43="On",$C1262-$D$16,0)</f>
        <v>1.5439270934614895</v>
      </c>
      <c r="P262" s="276">
        <f t="shared" ref="P262:P325" si="229">IF($B$43="On",$C2262-$D$16,0)</f>
        <v>0.69142791600538778</v>
      </c>
      <c r="Q262" s="276">
        <f t="shared" ref="Q262:Q325" si="230">IF($B$43="On",$C3262-$D$16,0)</f>
        <v>1.5132740440281347</v>
      </c>
      <c r="R262" s="276">
        <f t="shared" ref="R262:R325" si="231">IF($B$43="On",$C4262-$D$16,0)</f>
        <v>0.6936214640867242</v>
      </c>
      <c r="S262" s="686">
        <f t="shared" ref="S262:S325" si="232">IF($B$43="On",$C5262-$D$16,0)</f>
        <v>0.87216139847653484</v>
      </c>
      <c r="T262" s="685">
        <f t="shared" ref="T262:T325" si="233">IF($B$44="On",$D262-$D$17,0)</f>
        <v>3.6842540799603132</v>
      </c>
      <c r="U262" s="276">
        <f t="shared" ref="U262:U325" si="234">IF($B$44="On",$D1262-$D$17,0)</f>
        <v>5.0471072350791255</v>
      </c>
      <c r="V262" s="276">
        <f t="shared" ref="V262:V325" si="235">IF($B$44="On",$D2262-$D$17,0)</f>
        <v>4.5650577150379519</v>
      </c>
      <c r="W262" s="276">
        <f t="shared" ref="W262:W325" si="236">IF($B$44="On",$D3262-$D$17,0)</f>
        <v>5.5547853712636588</v>
      </c>
      <c r="X262" s="276">
        <f t="shared" ref="X262:X325" si="237">IF($B$44="On",$D4262-$D$17,0)</f>
        <v>2.562280632985253</v>
      </c>
      <c r="Y262" s="686">
        <f t="shared" ref="Y262:Y325" si="238">IF($B$44="On",$D5262-$D$17,0)</f>
        <v>3.0549264054580489</v>
      </c>
      <c r="Z262" s="685" t="e">
        <f t="shared" ref="Z262:Z325" si="239">IF($B$45="On",$E262-$D$18,0)</f>
        <v>#DIV/0!</v>
      </c>
      <c r="AA262" s="276" t="e">
        <f t="shared" ref="AA262:AA325" si="240">IF($B$45="On",$E1262-$D$18,0)</f>
        <v>#DIV/0!</v>
      </c>
      <c r="AB262" s="276" t="e">
        <f t="shared" ref="AB262:AB325" si="241">IF($B$45="On",$E2262-$D$18,0)</f>
        <v>#DIV/0!</v>
      </c>
      <c r="AC262" s="276" t="e">
        <f t="shared" ref="AC262:AC325" si="242">IF($B$45="On",$E3262-$D$18,0)</f>
        <v>#DIV/0!</v>
      </c>
      <c r="AD262" s="276" t="e">
        <f t="shared" ref="AD262:AD325" si="243">IF($B$45="On",$E4262-$D$18,0)</f>
        <v>#DIV/0!</v>
      </c>
      <c r="AE262" s="686" t="e">
        <f t="shared" ref="AE262:AE325" si="244">IF($B$45="On",$E5262-$D$18,0)</f>
        <v>#DIV/0!</v>
      </c>
      <c r="AF262" s="239"/>
      <c r="AG262" s="965" t="e">
        <f t="shared" si="215"/>
        <v>#VALUE!</v>
      </c>
      <c r="AH262" s="878" t="e">
        <f t="shared" si="216"/>
        <v>#VALUE!</v>
      </c>
      <c r="AI262" s="878" t="e">
        <f t="shared" si="217"/>
        <v>#VALUE!</v>
      </c>
      <c r="AJ262" s="878" t="e">
        <f t="shared" si="218"/>
        <v>#VALUE!</v>
      </c>
      <c r="AK262" s="878" t="e">
        <f t="shared" si="219"/>
        <v>#VALUE!</v>
      </c>
      <c r="AL262" s="966" t="e">
        <f t="shared" si="220"/>
        <v>#VALUE!</v>
      </c>
      <c r="AM262" s="239"/>
      <c r="AO262" s="685">
        <f t="shared" ref="AO262:AO325" si="245">IF($B$42="On",MIN($B262-$D$15,$D$42),0)</f>
        <v>3.6273630623117841</v>
      </c>
      <c r="AP262" s="276">
        <f t="shared" ref="AP262:AP325" si="246">IF($B$42="On",MIN($B1262-$D$15,$D$42),0)</f>
        <v>-0.68480157628213745</v>
      </c>
      <c r="AQ262" s="276">
        <f t="shared" ref="AQ262:AQ325" si="247">IF($B$42="On",MIN($B2262-$D$15,$D$42),0)</f>
        <v>-1.0873616627471141</v>
      </c>
      <c r="AR262" s="276">
        <f t="shared" ref="AR262:AR325" si="248">IF($B$42="On",MIN($B3262-$D$15,$D$42),0)</f>
        <v>0.89310594892607509</v>
      </c>
      <c r="AS262" s="276">
        <f t="shared" ref="AS262:AS325" si="249">IF($B$42="On",MIN($B4262-$D$15,$D$42),0)</f>
        <v>-5.9313137657570429</v>
      </c>
      <c r="AT262" s="276">
        <f t="shared" ref="AT262:AT325" si="250">IF($B$42="On",MIN($B5262-$D$15,$D$42),0)</f>
        <v>-1.0323633751800667</v>
      </c>
      <c r="AU262" s="685">
        <f t="shared" ref="AU262:AU325" si="251">IF($B$43="On",MAX($C262-$D$16,$D$43),0)</f>
        <v>0.99562969112758837</v>
      </c>
      <c r="AV262" s="276">
        <f t="shared" ref="AV262:AV325" si="252">IF($B$43="On",MAX($C1262-$D$16,$D$43),0)</f>
        <v>1.5439270934614895</v>
      </c>
      <c r="AW262" s="276">
        <f t="shared" ref="AW262:AW325" si="253">IF($B$43="On",MAX($C2262-$D$16,$D$43),0)</f>
        <v>0.69142791600538778</v>
      </c>
      <c r="AX262" s="276">
        <f t="shared" ref="AX262:AX325" si="254">IF($B$43="On",MAX($C3262-$D$16,$D$43),0)</f>
        <v>1.5132740440281347</v>
      </c>
      <c r="AY262" s="276">
        <f t="shared" ref="AY262:AY325" si="255">IF($B$43="On",MAX($C4262-$D$16,$D$43),0)</f>
        <v>0.6936214640867242</v>
      </c>
      <c r="AZ262" s="686">
        <f t="shared" ref="AZ262:AZ325" si="256">IF($B$43="On",MAX($C5262-$D$16,$D$43),0)</f>
        <v>0.87216139847653484</v>
      </c>
      <c r="BA262" s="685">
        <f t="shared" ref="BA262:BA325" si="257">IF($B$44="On",MIN($D262-$D$17,$D$44),0)</f>
        <v>0</v>
      </c>
      <c r="BB262" s="276">
        <f t="shared" ref="BB262:BB325" si="258">IF($B$44="On",MIN($D1262-$D$17,$D$44),0)</f>
        <v>0</v>
      </c>
      <c r="BC262" s="276">
        <f t="shared" ref="BC262:BC325" si="259">IF($B$44="On",MIN($D2262-$D$17,$D$44),0)</f>
        <v>0</v>
      </c>
      <c r="BD262" s="276">
        <f t="shared" ref="BD262:BD325" si="260">IF($B$44="On",MIN($D3262-$D$17,$D$44),0)</f>
        <v>0</v>
      </c>
      <c r="BE262" s="276">
        <f t="shared" ref="BE262:BE325" si="261">IF($B$44="On",MIN($D4262-$D$17,$D$44),0)</f>
        <v>0</v>
      </c>
      <c r="BF262" s="686">
        <f t="shared" ref="BF262:BF325" si="262">IF($B$44="On",MIN($D5262-$D$17,$D$44),0)</f>
        <v>0</v>
      </c>
      <c r="BG262" s="685" t="e">
        <f t="shared" ref="BG262:BG325" si="263">IF($B$45="On",MAX($E262-$D$18,$D$45),0)</f>
        <v>#DIV/0!</v>
      </c>
      <c r="BH262" s="276" t="e">
        <f t="shared" ref="BH262:BH325" si="264">IF($B$45="On",MAX($E1262-$D$18,$D$45),0)</f>
        <v>#DIV/0!</v>
      </c>
      <c r="BI262" s="276" t="e">
        <f t="shared" ref="BI262:BI325" si="265">IF($B$45="On",MAX($E2262-$D$18,$D$45),0)</f>
        <v>#DIV/0!</v>
      </c>
      <c r="BJ262" s="276" t="e">
        <f t="shared" ref="BJ262:BJ325" si="266">IF($B$45="On",MAX($E3262-$D$18,$D$45),0)</f>
        <v>#DIV/0!</v>
      </c>
      <c r="BK262" s="276" t="e">
        <f t="shared" ref="BK262:BK325" si="267">IF($B$45="On",MAX($E4262-$D$18,$D$45),0)</f>
        <v>#DIV/0!</v>
      </c>
      <c r="BL262" s="686" t="e">
        <f t="shared" ref="BL262:BL325" si="268">IF($B$45="On",MAX($E5262-$D$18,$D$45),0)</f>
        <v>#DIV/0!</v>
      </c>
      <c r="BM262" s="239"/>
      <c r="BN262" s="965" t="e">
        <f t="shared" ref="BN262:BN325" si="269">S$53*(1+(T$55+AU262)/100)*((1-S$62)+S$62*((1+(T$57+BG262)/100)))/(1+(T$54+AO262)/100)-(T$56+BA262)+T$58</f>
        <v>#VALUE!</v>
      </c>
      <c r="BO262" s="878" t="e">
        <f t="shared" ref="BO262:BO325" si="270">BN262*(1+(U$55+AV262)/100)*((1-T$62)+T$62*((1+(U$57+BH262)/100)))/(1+(U$54+AP262)/100)-(U$56+BB262)+U$58</f>
        <v>#VALUE!</v>
      </c>
      <c r="BP262" s="878" t="e">
        <f t="shared" ref="BP262:BP325" si="271">BO262*(1+(V$55+AW262)/100)*((1-U$62)+U$62*((1+(V$57+BI262)/100)))/(1+(V$54+AQ262)/100)-(V$56+BC262)+V$58</f>
        <v>#VALUE!</v>
      </c>
      <c r="BQ262" s="878" t="e">
        <f t="shared" ref="BQ262:BQ325" si="272">BP262*(1+(W$55+AX262)/100)*((1-V$62)+V$62*((1+(W$57+BJ262)/100)))/(1+(W$54+AR262)/100)-(W$56+BD262)+W$58</f>
        <v>#VALUE!</v>
      </c>
      <c r="BR262" s="878" t="e">
        <f t="shared" ref="BR262:BR325" si="273">BQ262*(1+(X$55+AY262)/100)*((1-W$62)+W$62*((1+(X$57+BK262)/100)))/(1+(X$54+AS262)/100)-(X$56+BE262)+X$58</f>
        <v>#VALUE!</v>
      </c>
      <c r="BS262" s="966" t="e">
        <f t="shared" ref="BS262:BS325" si="274">BR262*(1+(Y$55+AZ262)/100)*((1-X$62)+X$62*((1+(Y$57+BL262)/100)))/(1+(Y$54+AT262)/100)-(Y$56+BF262)+Y$58</f>
        <v>#VALUE!</v>
      </c>
    </row>
    <row r="263" spans="1:71">
      <c r="A263" s="284">
        <f t="shared" ref="A263:A326" si="275">A262+1</f>
        <v>195</v>
      </c>
      <c r="B263" s="285">
        <v>-3.2294777698467336</v>
      </c>
      <c r="C263" s="285">
        <v>2.9027753773798928</v>
      </c>
      <c r="D263" s="285">
        <v>-1.196062290962141</v>
      </c>
      <c r="E263" s="285">
        <v>6.7986960546420114</v>
      </c>
      <c r="H263" s="685">
        <f t="shared" si="221"/>
        <v>-4.3627116116157882</v>
      </c>
      <c r="I263" s="276">
        <f t="shared" si="222"/>
        <v>-0.26624953591218448</v>
      </c>
      <c r="J263" s="276">
        <f t="shared" si="223"/>
        <v>-4.7333164019392333</v>
      </c>
      <c r="K263" s="276">
        <f t="shared" si="224"/>
        <v>2.3772916111802074</v>
      </c>
      <c r="L263" s="276">
        <f t="shared" si="225"/>
        <v>-0.22245410438060353</v>
      </c>
      <c r="M263" s="276">
        <f t="shared" si="226"/>
        <v>0.75826174365233134</v>
      </c>
      <c r="N263" s="685">
        <f t="shared" si="227"/>
        <v>1.6956041664080244</v>
      </c>
      <c r="O263" s="276">
        <f t="shared" si="228"/>
        <v>1.517871801295293</v>
      </c>
      <c r="P263" s="276">
        <f t="shared" si="229"/>
        <v>0.51737119261720865</v>
      </c>
      <c r="Q263" s="276">
        <f t="shared" si="230"/>
        <v>1.2738054094967308</v>
      </c>
      <c r="R263" s="276">
        <f t="shared" si="231"/>
        <v>0.75137443565785444</v>
      </c>
      <c r="S263" s="686">
        <f t="shared" si="232"/>
        <v>1.6817229577881176</v>
      </c>
      <c r="T263" s="685">
        <f t="shared" si="233"/>
        <v>2.0823013993087849</v>
      </c>
      <c r="U263" s="276">
        <f t="shared" si="234"/>
        <v>2.4903942915654671</v>
      </c>
      <c r="V263" s="276">
        <f t="shared" si="235"/>
        <v>5.611783595389932</v>
      </c>
      <c r="W263" s="276">
        <f t="shared" si="236"/>
        <v>6.0560372484224345</v>
      </c>
      <c r="X263" s="276">
        <f t="shared" si="237"/>
        <v>5.6457194146405261</v>
      </c>
      <c r="Y263" s="686">
        <f t="shared" si="238"/>
        <v>3.6710019546347996</v>
      </c>
      <c r="Z263" s="685" t="e">
        <f t="shared" si="239"/>
        <v>#DIV/0!</v>
      </c>
      <c r="AA263" s="276" t="e">
        <f t="shared" si="240"/>
        <v>#DIV/0!</v>
      </c>
      <c r="AB263" s="276" t="e">
        <f t="shared" si="241"/>
        <v>#DIV/0!</v>
      </c>
      <c r="AC263" s="276" t="e">
        <f t="shared" si="242"/>
        <v>#DIV/0!</v>
      </c>
      <c r="AD263" s="276" t="e">
        <f t="shared" si="243"/>
        <v>#DIV/0!</v>
      </c>
      <c r="AE263" s="686" t="e">
        <f t="shared" si="244"/>
        <v>#DIV/0!</v>
      </c>
      <c r="AF263" s="239"/>
      <c r="AG263" s="965" t="e">
        <f t="shared" si="215"/>
        <v>#VALUE!</v>
      </c>
      <c r="AH263" s="878" t="e">
        <f t="shared" si="216"/>
        <v>#VALUE!</v>
      </c>
      <c r="AI263" s="878" t="e">
        <f t="shared" si="217"/>
        <v>#VALUE!</v>
      </c>
      <c r="AJ263" s="878" t="e">
        <f t="shared" si="218"/>
        <v>#VALUE!</v>
      </c>
      <c r="AK263" s="878" t="e">
        <f t="shared" si="219"/>
        <v>#VALUE!</v>
      </c>
      <c r="AL263" s="966" t="e">
        <f t="shared" si="220"/>
        <v>#VALUE!</v>
      </c>
      <c r="AM263" s="239"/>
      <c r="AO263" s="685">
        <f t="shared" si="245"/>
        <v>-4.3627116116157882</v>
      </c>
      <c r="AP263" s="276">
        <f t="shared" si="246"/>
        <v>-0.26624953591218448</v>
      </c>
      <c r="AQ263" s="276">
        <f t="shared" si="247"/>
        <v>-4.7333164019392333</v>
      </c>
      <c r="AR263" s="276">
        <f t="shared" si="248"/>
        <v>2.3772916111802074</v>
      </c>
      <c r="AS263" s="276">
        <f t="shared" si="249"/>
        <v>-0.22245410438060353</v>
      </c>
      <c r="AT263" s="276">
        <f t="shared" si="250"/>
        <v>0.75826174365233134</v>
      </c>
      <c r="AU263" s="685">
        <f t="shared" si="251"/>
        <v>1.6956041664080244</v>
      </c>
      <c r="AV263" s="276">
        <f t="shared" si="252"/>
        <v>1.517871801295293</v>
      </c>
      <c r="AW263" s="276">
        <f t="shared" si="253"/>
        <v>0.51737119261720865</v>
      </c>
      <c r="AX263" s="276">
        <f t="shared" si="254"/>
        <v>1.2738054094967308</v>
      </c>
      <c r="AY263" s="276">
        <f t="shared" si="255"/>
        <v>0.75137443565785444</v>
      </c>
      <c r="AZ263" s="686">
        <f t="shared" si="256"/>
        <v>1.6817229577881176</v>
      </c>
      <c r="BA263" s="685">
        <f t="shared" si="257"/>
        <v>0</v>
      </c>
      <c r="BB263" s="276">
        <f t="shared" si="258"/>
        <v>0</v>
      </c>
      <c r="BC263" s="276">
        <f t="shared" si="259"/>
        <v>0</v>
      </c>
      <c r="BD263" s="276">
        <f t="shared" si="260"/>
        <v>0</v>
      </c>
      <c r="BE263" s="276">
        <f t="shared" si="261"/>
        <v>0</v>
      </c>
      <c r="BF263" s="686">
        <f t="shared" si="262"/>
        <v>0</v>
      </c>
      <c r="BG263" s="685" t="e">
        <f t="shared" si="263"/>
        <v>#DIV/0!</v>
      </c>
      <c r="BH263" s="276" t="e">
        <f t="shared" si="264"/>
        <v>#DIV/0!</v>
      </c>
      <c r="BI263" s="276" t="e">
        <f t="shared" si="265"/>
        <v>#DIV/0!</v>
      </c>
      <c r="BJ263" s="276" t="e">
        <f t="shared" si="266"/>
        <v>#DIV/0!</v>
      </c>
      <c r="BK263" s="276" t="e">
        <f t="shared" si="267"/>
        <v>#DIV/0!</v>
      </c>
      <c r="BL263" s="686" t="e">
        <f t="shared" si="268"/>
        <v>#DIV/0!</v>
      </c>
      <c r="BM263" s="239"/>
      <c r="BN263" s="965" t="e">
        <f t="shared" si="269"/>
        <v>#VALUE!</v>
      </c>
      <c r="BO263" s="878" t="e">
        <f t="shared" si="270"/>
        <v>#VALUE!</v>
      </c>
      <c r="BP263" s="878" t="e">
        <f t="shared" si="271"/>
        <v>#VALUE!</v>
      </c>
      <c r="BQ263" s="878" t="e">
        <f t="shared" si="272"/>
        <v>#VALUE!</v>
      </c>
      <c r="BR263" s="878" t="e">
        <f t="shared" si="273"/>
        <v>#VALUE!</v>
      </c>
      <c r="BS263" s="966" t="e">
        <f t="shared" si="274"/>
        <v>#VALUE!</v>
      </c>
    </row>
    <row r="264" spans="1:71">
      <c r="A264" s="284">
        <f t="shared" si="275"/>
        <v>196</v>
      </c>
      <c r="B264" s="285">
        <v>-0.19674554655098339</v>
      </c>
      <c r="C264" s="285">
        <v>2.4459829271435183</v>
      </c>
      <c r="D264" s="285">
        <v>2.2399681945542302</v>
      </c>
      <c r="E264" s="285">
        <v>-1.233278216638356</v>
      </c>
      <c r="H264" s="685">
        <f t="shared" si="221"/>
        <v>-1.3299793883200381</v>
      </c>
      <c r="I264" s="276">
        <f t="shared" si="222"/>
        <v>-4.841465967376366</v>
      </c>
      <c r="J264" s="276">
        <f t="shared" si="223"/>
        <v>-1.0802971967931965</v>
      </c>
      <c r="K264" s="276">
        <f t="shared" si="224"/>
        <v>-2.0602451784203994</v>
      </c>
      <c r="L264" s="276">
        <f t="shared" si="225"/>
        <v>-1.1042114265543228</v>
      </c>
      <c r="M264" s="276">
        <f t="shared" si="226"/>
        <v>1.1546752156763016</v>
      </c>
      <c r="N264" s="685">
        <f t="shared" si="227"/>
        <v>1.2388117161716499</v>
      </c>
      <c r="O264" s="276">
        <f t="shared" si="228"/>
        <v>1.25838014002844</v>
      </c>
      <c r="P264" s="276">
        <f t="shared" si="229"/>
        <v>1.597440182348022</v>
      </c>
      <c r="Q264" s="276">
        <f t="shared" si="230"/>
        <v>1.6994311681013363</v>
      </c>
      <c r="R264" s="276">
        <f t="shared" si="231"/>
        <v>1.7412965116181456</v>
      </c>
      <c r="S264" s="686">
        <f t="shared" si="232"/>
        <v>1.7596953364817833</v>
      </c>
      <c r="T264" s="685">
        <f t="shared" si="233"/>
        <v>5.5183318848251561</v>
      </c>
      <c r="U264" s="276">
        <f t="shared" si="234"/>
        <v>2.1621501778723125</v>
      </c>
      <c r="V264" s="276">
        <f t="shared" si="235"/>
        <v>3.8733492133556333</v>
      </c>
      <c r="W264" s="276">
        <f t="shared" si="236"/>
        <v>4.5476642201226882</v>
      </c>
      <c r="X264" s="276">
        <f t="shared" si="237"/>
        <v>5.0334364803207121</v>
      </c>
      <c r="Y264" s="686">
        <f t="shared" si="238"/>
        <v>5.9885309397618194</v>
      </c>
      <c r="Z264" s="685" t="e">
        <f t="shared" si="239"/>
        <v>#DIV/0!</v>
      </c>
      <c r="AA264" s="276" t="e">
        <f t="shared" si="240"/>
        <v>#DIV/0!</v>
      </c>
      <c r="AB264" s="276" t="e">
        <f t="shared" si="241"/>
        <v>#DIV/0!</v>
      </c>
      <c r="AC264" s="276" t="e">
        <f t="shared" si="242"/>
        <v>#DIV/0!</v>
      </c>
      <c r="AD264" s="276" t="e">
        <f t="shared" si="243"/>
        <v>#DIV/0!</v>
      </c>
      <c r="AE264" s="686" t="e">
        <f t="shared" si="244"/>
        <v>#DIV/0!</v>
      </c>
      <c r="AF264" s="239"/>
      <c r="AG264" s="965" t="e">
        <f t="shared" si="215"/>
        <v>#VALUE!</v>
      </c>
      <c r="AH264" s="878" t="e">
        <f t="shared" si="216"/>
        <v>#VALUE!</v>
      </c>
      <c r="AI264" s="878" t="e">
        <f t="shared" si="217"/>
        <v>#VALUE!</v>
      </c>
      <c r="AJ264" s="878" t="e">
        <f t="shared" si="218"/>
        <v>#VALUE!</v>
      </c>
      <c r="AK264" s="878" t="e">
        <f t="shared" si="219"/>
        <v>#VALUE!</v>
      </c>
      <c r="AL264" s="966" t="e">
        <f t="shared" si="220"/>
        <v>#VALUE!</v>
      </c>
      <c r="AM264" s="239"/>
      <c r="AO264" s="685">
        <f t="shared" si="245"/>
        <v>-1.3299793883200381</v>
      </c>
      <c r="AP264" s="276">
        <f t="shared" si="246"/>
        <v>-4.841465967376366</v>
      </c>
      <c r="AQ264" s="276">
        <f t="shared" si="247"/>
        <v>-1.0802971967931965</v>
      </c>
      <c r="AR264" s="276">
        <f t="shared" si="248"/>
        <v>-2.0602451784203994</v>
      </c>
      <c r="AS264" s="276">
        <f t="shared" si="249"/>
        <v>-1.1042114265543228</v>
      </c>
      <c r="AT264" s="276">
        <f t="shared" si="250"/>
        <v>1.1546752156763016</v>
      </c>
      <c r="AU264" s="685">
        <f t="shared" si="251"/>
        <v>1.2388117161716499</v>
      </c>
      <c r="AV264" s="276">
        <f t="shared" si="252"/>
        <v>1.25838014002844</v>
      </c>
      <c r="AW264" s="276">
        <f t="shared" si="253"/>
        <v>1.597440182348022</v>
      </c>
      <c r="AX264" s="276">
        <f t="shared" si="254"/>
        <v>1.6994311681013363</v>
      </c>
      <c r="AY264" s="276">
        <f t="shared" si="255"/>
        <v>1.7412965116181456</v>
      </c>
      <c r="AZ264" s="686">
        <f t="shared" si="256"/>
        <v>1.7596953364817833</v>
      </c>
      <c r="BA264" s="685">
        <f t="shared" si="257"/>
        <v>0</v>
      </c>
      <c r="BB264" s="276">
        <f t="shared" si="258"/>
        <v>0</v>
      </c>
      <c r="BC264" s="276">
        <f t="shared" si="259"/>
        <v>0</v>
      </c>
      <c r="BD264" s="276">
        <f t="shared" si="260"/>
        <v>0</v>
      </c>
      <c r="BE264" s="276">
        <f t="shared" si="261"/>
        <v>0</v>
      </c>
      <c r="BF264" s="686">
        <f t="shared" si="262"/>
        <v>0</v>
      </c>
      <c r="BG264" s="685" t="e">
        <f t="shared" si="263"/>
        <v>#DIV/0!</v>
      </c>
      <c r="BH264" s="276" t="e">
        <f t="shared" si="264"/>
        <v>#DIV/0!</v>
      </c>
      <c r="BI264" s="276" t="e">
        <f t="shared" si="265"/>
        <v>#DIV/0!</v>
      </c>
      <c r="BJ264" s="276" t="e">
        <f t="shared" si="266"/>
        <v>#DIV/0!</v>
      </c>
      <c r="BK264" s="276" t="e">
        <f t="shared" si="267"/>
        <v>#DIV/0!</v>
      </c>
      <c r="BL264" s="686" t="e">
        <f t="shared" si="268"/>
        <v>#DIV/0!</v>
      </c>
      <c r="BM264" s="239"/>
      <c r="BN264" s="965" t="e">
        <f t="shared" si="269"/>
        <v>#VALUE!</v>
      </c>
      <c r="BO264" s="878" t="e">
        <f t="shared" si="270"/>
        <v>#VALUE!</v>
      </c>
      <c r="BP264" s="878" t="e">
        <f t="shared" si="271"/>
        <v>#VALUE!</v>
      </c>
      <c r="BQ264" s="878" t="e">
        <f t="shared" si="272"/>
        <v>#VALUE!</v>
      </c>
      <c r="BR264" s="878" t="e">
        <f t="shared" si="273"/>
        <v>#VALUE!</v>
      </c>
      <c r="BS264" s="966" t="e">
        <f t="shared" si="274"/>
        <v>#VALUE!</v>
      </c>
    </row>
    <row r="265" spans="1:71">
      <c r="A265" s="284">
        <f t="shared" si="275"/>
        <v>197</v>
      </c>
      <c r="B265" s="285">
        <v>-1.5358263457343808</v>
      </c>
      <c r="C265" s="285">
        <v>2.7680159820899051</v>
      </c>
      <c r="D265" s="285">
        <v>-1.2478163340857016</v>
      </c>
      <c r="E265" s="285">
        <v>2.7357401902262137</v>
      </c>
      <c r="H265" s="685">
        <f t="shared" si="221"/>
        <v>-2.6690601875034359</v>
      </c>
      <c r="I265" s="276">
        <f t="shared" si="222"/>
        <v>0.94699730726117859</v>
      </c>
      <c r="J265" s="276">
        <f t="shared" si="223"/>
        <v>-2.5730649566136723</v>
      </c>
      <c r="K265" s="276">
        <f t="shared" si="224"/>
        <v>2.5190482672247949</v>
      </c>
      <c r="L265" s="276">
        <f t="shared" si="225"/>
        <v>-3.0588544529020361</v>
      </c>
      <c r="M265" s="276">
        <f t="shared" si="226"/>
        <v>-4.7522684426684387</v>
      </c>
      <c r="N265" s="685">
        <f t="shared" si="227"/>
        <v>1.5608447711180367</v>
      </c>
      <c r="O265" s="276">
        <f t="shared" si="228"/>
        <v>1.452230556145109</v>
      </c>
      <c r="P265" s="276">
        <f t="shared" si="229"/>
        <v>0.58242035215854693</v>
      </c>
      <c r="Q265" s="276">
        <f t="shared" si="230"/>
        <v>2.1054339473016208</v>
      </c>
      <c r="R265" s="276">
        <f t="shared" si="231"/>
        <v>1.3979328309104069</v>
      </c>
      <c r="S265" s="686">
        <f t="shared" si="232"/>
        <v>1.5095407753822381</v>
      </c>
      <c r="T265" s="685">
        <f t="shared" si="233"/>
        <v>2.0305473561852243</v>
      </c>
      <c r="U265" s="276">
        <f t="shared" si="234"/>
        <v>4.4285315590767294</v>
      </c>
      <c r="V265" s="276">
        <f t="shared" si="235"/>
        <v>5.0296109070894843</v>
      </c>
      <c r="W265" s="276">
        <f t="shared" si="236"/>
        <v>6.0956997893099985</v>
      </c>
      <c r="X265" s="276">
        <f t="shared" si="237"/>
        <v>3.6939816335890816</v>
      </c>
      <c r="Y265" s="686">
        <f t="shared" si="238"/>
        <v>4.7034647507301308</v>
      </c>
      <c r="Z265" s="685" t="e">
        <f t="shared" si="239"/>
        <v>#DIV/0!</v>
      </c>
      <c r="AA265" s="276" t="e">
        <f t="shared" si="240"/>
        <v>#DIV/0!</v>
      </c>
      <c r="AB265" s="276" t="e">
        <f t="shared" si="241"/>
        <v>#DIV/0!</v>
      </c>
      <c r="AC265" s="276" t="e">
        <f t="shared" si="242"/>
        <v>#DIV/0!</v>
      </c>
      <c r="AD265" s="276" t="e">
        <f t="shared" si="243"/>
        <v>#DIV/0!</v>
      </c>
      <c r="AE265" s="686" t="e">
        <f t="shared" si="244"/>
        <v>#DIV/0!</v>
      </c>
      <c r="AF265" s="239"/>
      <c r="AG265" s="965" t="e">
        <f t="shared" si="215"/>
        <v>#VALUE!</v>
      </c>
      <c r="AH265" s="878" t="e">
        <f t="shared" si="216"/>
        <v>#VALUE!</v>
      </c>
      <c r="AI265" s="878" t="e">
        <f t="shared" si="217"/>
        <v>#VALUE!</v>
      </c>
      <c r="AJ265" s="878" t="e">
        <f t="shared" si="218"/>
        <v>#VALUE!</v>
      </c>
      <c r="AK265" s="878" t="e">
        <f t="shared" si="219"/>
        <v>#VALUE!</v>
      </c>
      <c r="AL265" s="966" t="e">
        <f t="shared" si="220"/>
        <v>#VALUE!</v>
      </c>
      <c r="AM265" s="239"/>
      <c r="AO265" s="685">
        <f t="shared" si="245"/>
        <v>-2.6690601875034359</v>
      </c>
      <c r="AP265" s="276">
        <f t="shared" si="246"/>
        <v>0.94699730726117859</v>
      </c>
      <c r="AQ265" s="276">
        <f t="shared" si="247"/>
        <v>-2.5730649566136723</v>
      </c>
      <c r="AR265" s="276">
        <f t="shared" si="248"/>
        <v>2.5190482672247949</v>
      </c>
      <c r="AS265" s="276">
        <f t="shared" si="249"/>
        <v>-3.0588544529020361</v>
      </c>
      <c r="AT265" s="276">
        <f t="shared" si="250"/>
        <v>-4.7522684426684387</v>
      </c>
      <c r="AU265" s="685">
        <f t="shared" si="251"/>
        <v>1.5608447711180367</v>
      </c>
      <c r="AV265" s="276">
        <f t="shared" si="252"/>
        <v>1.452230556145109</v>
      </c>
      <c r="AW265" s="276">
        <f t="shared" si="253"/>
        <v>0.58242035215854693</v>
      </c>
      <c r="AX265" s="276">
        <f t="shared" si="254"/>
        <v>2.1054339473016208</v>
      </c>
      <c r="AY265" s="276">
        <f t="shared" si="255"/>
        <v>1.3979328309104069</v>
      </c>
      <c r="AZ265" s="686">
        <f t="shared" si="256"/>
        <v>1.5095407753822381</v>
      </c>
      <c r="BA265" s="685">
        <f t="shared" si="257"/>
        <v>0</v>
      </c>
      <c r="BB265" s="276">
        <f t="shared" si="258"/>
        <v>0</v>
      </c>
      <c r="BC265" s="276">
        <f t="shared" si="259"/>
        <v>0</v>
      </c>
      <c r="BD265" s="276">
        <f t="shared" si="260"/>
        <v>0</v>
      </c>
      <c r="BE265" s="276">
        <f t="shared" si="261"/>
        <v>0</v>
      </c>
      <c r="BF265" s="686">
        <f t="shared" si="262"/>
        <v>0</v>
      </c>
      <c r="BG265" s="685" t="e">
        <f t="shared" si="263"/>
        <v>#DIV/0!</v>
      </c>
      <c r="BH265" s="276" t="e">
        <f t="shared" si="264"/>
        <v>#DIV/0!</v>
      </c>
      <c r="BI265" s="276" t="e">
        <f t="shared" si="265"/>
        <v>#DIV/0!</v>
      </c>
      <c r="BJ265" s="276" t="e">
        <f t="shared" si="266"/>
        <v>#DIV/0!</v>
      </c>
      <c r="BK265" s="276" t="e">
        <f t="shared" si="267"/>
        <v>#DIV/0!</v>
      </c>
      <c r="BL265" s="686" t="e">
        <f t="shared" si="268"/>
        <v>#DIV/0!</v>
      </c>
      <c r="BM265" s="239"/>
      <c r="BN265" s="965" t="e">
        <f t="shared" si="269"/>
        <v>#VALUE!</v>
      </c>
      <c r="BO265" s="878" t="e">
        <f t="shared" si="270"/>
        <v>#VALUE!</v>
      </c>
      <c r="BP265" s="878" t="e">
        <f t="shared" si="271"/>
        <v>#VALUE!</v>
      </c>
      <c r="BQ265" s="878" t="e">
        <f t="shared" si="272"/>
        <v>#VALUE!</v>
      </c>
      <c r="BR265" s="878" t="e">
        <f t="shared" si="273"/>
        <v>#VALUE!</v>
      </c>
      <c r="BS265" s="966" t="e">
        <f t="shared" si="274"/>
        <v>#VALUE!</v>
      </c>
    </row>
    <row r="266" spans="1:71">
      <c r="A266" s="284">
        <f t="shared" si="275"/>
        <v>198</v>
      </c>
      <c r="B266" s="285">
        <v>2.7847105030035339E-3</v>
      </c>
      <c r="C266" s="285">
        <v>2.9827172078096122</v>
      </c>
      <c r="D266" s="285">
        <v>2.7560771902409256</v>
      </c>
      <c r="E266" s="285">
        <v>-8.5954493918371995</v>
      </c>
      <c r="H266" s="685">
        <f t="shared" si="221"/>
        <v>-1.1304491312660514</v>
      </c>
      <c r="I266" s="276">
        <f t="shared" si="222"/>
        <v>0.7466636355766938</v>
      </c>
      <c r="J266" s="276">
        <f t="shared" si="223"/>
        <v>2.1909367021194956</v>
      </c>
      <c r="K266" s="276">
        <f t="shared" si="224"/>
        <v>-4.8084893658278158</v>
      </c>
      <c r="L266" s="276">
        <f t="shared" si="225"/>
        <v>-1.246038755157588</v>
      </c>
      <c r="M266" s="276">
        <f t="shared" si="226"/>
        <v>-1.4153225796047928</v>
      </c>
      <c r="N266" s="685">
        <f t="shared" si="227"/>
        <v>1.7755459968377438</v>
      </c>
      <c r="O266" s="276">
        <f t="shared" si="228"/>
        <v>1.4228355359515816</v>
      </c>
      <c r="P266" s="276">
        <f t="shared" si="229"/>
        <v>1.1711012723251766</v>
      </c>
      <c r="Q266" s="276">
        <f t="shared" si="230"/>
        <v>0.7965562219635014</v>
      </c>
      <c r="R266" s="276">
        <f t="shared" si="231"/>
        <v>1.3879884000706755</v>
      </c>
      <c r="S266" s="686">
        <f t="shared" si="232"/>
        <v>1.4835607613052966</v>
      </c>
      <c r="T266" s="685">
        <f t="shared" si="233"/>
        <v>6.0344408805118519</v>
      </c>
      <c r="U266" s="276">
        <f t="shared" si="234"/>
        <v>4.998533998988302</v>
      </c>
      <c r="V266" s="276">
        <f t="shared" si="235"/>
        <v>6.6876361485506468</v>
      </c>
      <c r="W266" s="276">
        <f t="shared" si="236"/>
        <v>4.6088198793566431</v>
      </c>
      <c r="X266" s="276">
        <f t="shared" si="237"/>
        <v>3.1716935474282453</v>
      </c>
      <c r="Y266" s="686">
        <f t="shared" si="238"/>
        <v>6.6988766993935966</v>
      </c>
      <c r="Z266" s="685" t="e">
        <f t="shared" si="239"/>
        <v>#DIV/0!</v>
      </c>
      <c r="AA266" s="276" t="e">
        <f t="shared" si="240"/>
        <v>#DIV/0!</v>
      </c>
      <c r="AB266" s="276" t="e">
        <f t="shared" si="241"/>
        <v>#DIV/0!</v>
      </c>
      <c r="AC266" s="276" t="e">
        <f t="shared" si="242"/>
        <v>#DIV/0!</v>
      </c>
      <c r="AD266" s="276" t="e">
        <f t="shared" si="243"/>
        <v>#DIV/0!</v>
      </c>
      <c r="AE266" s="686" t="e">
        <f t="shared" si="244"/>
        <v>#DIV/0!</v>
      </c>
      <c r="AF266" s="239"/>
      <c r="AG266" s="965" t="e">
        <f t="shared" si="215"/>
        <v>#VALUE!</v>
      </c>
      <c r="AH266" s="878" t="e">
        <f t="shared" si="216"/>
        <v>#VALUE!</v>
      </c>
      <c r="AI266" s="878" t="e">
        <f t="shared" si="217"/>
        <v>#VALUE!</v>
      </c>
      <c r="AJ266" s="878" t="e">
        <f t="shared" si="218"/>
        <v>#VALUE!</v>
      </c>
      <c r="AK266" s="878" t="e">
        <f t="shared" si="219"/>
        <v>#VALUE!</v>
      </c>
      <c r="AL266" s="966" t="e">
        <f t="shared" si="220"/>
        <v>#VALUE!</v>
      </c>
      <c r="AM266" s="239"/>
      <c r="AO266" s="685">
        <f t="shared" si="245"/>
        <v>-1.1304491312660514</v>
      </c>
      <c r="AP266" s="276">
        <f t="shared" si="246"/>
        <v>0.7466636355766938</v>
      </c>
      <c r="AQ266" s="276">
        <f t="shared" si="247"/>
        <v>2.1909367021194956</v>
      </c>
      <c r="AR266" s="276">
        <f t="shared" si="248"/>
        <v>-4.8084893658278158</v>
      </c>
      <c r="AS266" s="276">
        <f t="shared" si="249"/>
        <v>-1.246038755157588</v>
      </c>
      <c r="AT266" s="276">
        <f t="shared" si="250"/>
        <v>-1.4153225796047928</v>
      </c>
      <c r="AU266" s="685">
        <f t="shared" si="251"/>
        <v>1.7755459968377438</v>
      </c>
      <c r="AV266" s="276">
        <f t="shared" si="252"/>
        <v>1.4228355359515816</v>
      </c>
      <c r="AW266" s="276">
        <f t="shared" si="253"/>
        <v>1.1711012723251766</v>
      </c>
      <c r="AX266" s="276">
        <f t="shared" si="254"/>
        <v>0.7965562219635014</v>
      </c>
      <c r="AY266" s="276">
        <f t="shared" si="255"/>
        <v>1.3879884000706755</v>
      </c>
      <c r="AZ266" s="686">
        <f t="shared" si="256"/>
        <v>1.4835607613052966</v>
      </c>
      <c r="BA266" s="685">
        <f t="shared" si="257"/>
        <v>0</v>
      </c>
      <c r="BB266" s="276">
        <f t="shared" si="258"/>
        <v>0</v>
      </c>
      <c r="BC266" s="276">
        <f t="shared" si="259"/>
        <v>0</v>
      </c>
      <c r="BD266" s="276">
        <f t="shared" si="260"/>
        <v>0</v>
      </c>
      <c r="BE266" s="276">
        <f t="shared" si="261"/>
        <v>0</v>
      </c>
      <c r="BF266" s="686">
        <f t="shared" si="262"/>
        <v>0</v>
      </c>
      <c r="BG266" s="685" t="e">
        <f t="shared" si="263"/>
        <v>#DIV/0!</v>
      </c>
      <c r="BH266" s="276" t="e">
        <f t="shared" si="264"/>
        <v>#DIV/0!</v>
      </c>
      <c r="BI266" s="276" t="e">
        <f t="shared" si="265"/>
        <v>#DIV/0!</v>
      </c>
      <c r="BJ266" s="276" t="e">
        <f t="shared" si="266"/>
        <v>#DIV/0!</v>
      </c>
      <c r="BK266" s="276" t="e">
        <f t="shared" si="267"/>
        <v>#DIV/0!</v>
      </c>
      <c r="BL266" s="686" t="e">
        <f t="shared" si="268"/>
        <v>#DIV/0!</v>
      </c>
      <c r="BM266" s="239"/>
      <c r="BN266" s="965" t="e">
        <f t="shared" si="269"/>
        <v>#VALUE!</v>
      </c>
      <c r="BO266" s="878" t="e">
        <f t="shared" si="270"/>
        <v>#VALUE!</v>
      </c>
      <c r="BP266" s="878" t="e">
        <f t="shared" si="271"/>
        <v>#VALUE!</v>
      </c>
      <c r="BQ266" s="878" t="e">
        <f t="shared" si="272"/>
        <v>#VALUE!</v>
      </c>
      <c r="BR266" s="878" t="e">
        <f t="shared" si="273"/>
        <v>#VALUE!</v>
      </c>
      <c r="BS266" s="966" t="e">
        <f t="shared" si="274"/>
        <v>#VALUE!</v>
      </c>
    </row>
    <row r="267" spans="1:71">
      <c r="A267" s="284">
        <f t="shared" si="275"/>
        <v>199</v>
      </c>
      <c r="B267" s="285">
        <v>1.8398240071197622</v>
      </c>
      <c r="C267" s="285">
        <v>2.9186604915566825</v>
      </c>
      <c r="D267" s="285">
        <v>2.5621835963106614</v>
      </c>
      <c r="E267" s="285">
        <v>4.6433313981852695</v>
      </c>
      <c r="H267" s="685">
        <f t="shared" si="221"/>
        <v>0.7065901653507074</v>
      </c>
      <c r="I267" s="276">
        <f t="shared" si="222"/>
        <v>-2.0141054429347598</v>
      </c>
      <c r="J267" s="276">
        <f t="shared" si="223"/>
        <v>-3.3133542586651989</v>
      </c>
      <c r="K267" s="276">
        <f t="shared" si="224"/>
        <v>1.0826680228454422</v>
      </c>
      <c r="L267" s="276">
        <f t="shared" si="225"/>
        <v>-0.98947496227646548</v>
      </c>
      <c r="M267" s="276">
        <f t="shared" si="226"/>
        <v>0.59767003022565701</v>
      </c>
      <c r="N267" s="685">
        <f t="shared" si="227"/>
        <v>1.7114892805848141</v>
      </c>
      <c r="O267" s="276">
        <f t="shared" si="228"/>
        <v>0.38520295187886822</v>
      </c>
      <c r="P267" s="276">
        <f t="shared" si="229"/>
        <v>1.0440905218266574</v>
      </c>
      <c r="Q267" s="276">
        <f t="shared" si="230"/>
        <v>0.64685130576223071</v>
      </c>
      <c r="R267" s="276">
        <f t="shared" si="231"/>
        <v>1.4694337615960402</v>
      </c>
      <c r="S267" s="686">
        <f t="shared" si="232"/>
        <v>1.2090898652836499</v>
      </c>
      <c r="T267" s="685">
        <f t="shared" si="233"/>
        <v>5.8405472865815877</v>
      </c>
      <c r="U267" s="276">
        <f t="shared" si="234"/>
        <v>5.4009642279295385</v>
      </c>
      <c r="V267" s="276">
        <f t="shared" si="235"/>
        <v>3.0314708210098855</v>
      </c>
      <c r="W267" s="276">
        <f t="shared" si="236"/>
        <v>6.474166546075141</v>
      </c>
      <c r="X267" s="276">
        <f t="shared" si="237"/>
        <v>3.8612279281017687</v>
      </c>
      <c r="Y267" s="686">
        <f t="shared" si="238"/>
        <v>5.9287405409657659</v>
      </c>
      <c r="Z267" s="685" t="e">
        <f t="shared" si="239"/>
        <v>#DIV/0!</v>
      </c>
      <c r="AA267" s="276" t="e">
        <f t="shared" si="240"/>
        <v>#DIV/0!</v>
      </c>
      <c r="AB267" s="276" t="e">
        <f t="shared" si="241"/>
        <v>#DIV/0!</v>
      </c>
      <c r="AC267" s="276" t="e">
        <f t="shared" si="242"/>
        <v>#DIV/0!</v>
      </c>
      <c r="AD267" s="276" t="e">
        <f t="shared" si="243"/>
        <v>#DIV/0!</v>
      </c>
      <c r="AE267" s="686" t="e">
        <f t="shared" si="244"/>
        <v>#DIV/0!</v>
      </c>
      <c r="AF267" s="239"/>
      <c r="AG267" s="965" t="e">
        <f t="shared" si="215"/>
        <v>#VALUE!</v>
      </c>
      <c r="AH267" s="878" t="e">
        <f t="shared" si="216"/>
        <v>#VALUE!</v>
      </c>
      <c r="AI267" s="878" t="e">
        <f t="shared" si="217"/>
        <v>#VALUE!</v>
      </c>
      <c r="AJ267" s="878" t="e">
        <f t="shared" si="218"/>
        <v>#VALUE!</v>
      </c>
      <c r="AK267" s="878" t="e">
        <f t="shared" si="219"/>
        <v>#VALUE!</v>
      </c>
      <c r="AL267" s="966" t="e">
        <f t="shared" si="220"/>
        <v>#VALUE!</v>
      </c>
      <c r="AM267" s="239"/>
      <c r="AO267" s="685">
        <f t="shared" si="245"/>
        <v>0.7065901653507074</v>
      </c>
      <c r="AP267" s="276">
        <f t="shared" si="246"/>
        <v>-2.0141054429347598</v>
      </c>
      <c r="AQ267" s="276">
        <f t="shared" si="247"/>
        <v>-3.3133542586651989</v>
      </c>
      <c r="AR267" s="276">
        <f t="shared" si="248"/>
        <v>1.0826680228454422</v>
      </c>
      <c r="AS267" s="276">
        <f t="shared" si="249"/>
        <v>-0.98947496227646548</v>
      </c>
      <c r="AT267" s="276">
        <f t="shared" si="250"/>
        <v>0.59767003022565701</v>
      </c>
      <c r="AU267" s="685">
        <f t="shared" si="251"/>
        <v>1.7114892805848141</v>
      </c>
      <c r="AV267" s="276">
        <f t="shared" si="252"/>
        <v>0.38520295187886822</v>
      </c>
      <c r="AW267" s="276">
        <f t="shared" si="253"/>
        <v>1.0440905218266574</v>
      </c>
      <c r="AX267" s="276">
        <f t="shared" si="254"/>
        <v>0.64685130576223071</v>
      </c>
      <c r="AY267" s="276">
        <f t="shared" si="255"/>
        <v>1.4694337615960402</v>
      </c>
      <c r="AZ267" s="686">
        <f t="shared" si="256"/>
        <v>1.2090898652836499</v>
      </c>
      <c r="BA267" s="685">
        <f t="shared" si="257"/>
        <v>0</v>
      </c>
      <c r="BB267" s="276">
        <f t="shared" si="258"/>
        <v>0</v>
      </c>
      <c r="BC267" s="276">
        <f t="shared" si="259"/>
        <v>0</v>
      </c>
      <c r="BD267" s="276">
        <f t="shared" si="260"/>
        <v>0</v>
      </c>
      <c r="BE267" s="276">
        <f t="shared" si="261"/>
        <v>0</v>
      </c>
      <c r="BF267" s="686">
        <f t="shared" si="262"/>
        <v>0</v>
      </c>
      <c r="BG267" s="685" t="e">
        <f t="shared" si="263"/>
        <v>#DIV/0!</v>
      </c>
      <c r="BH267" s="276" t="e">
        <f t="shared" si="264"/>
        <v>#DIV/0!</v>
      </c>
      <c r="BI267" s="276" t="e">
        <f t="shared" si="265"/>
        <v>#DIV/0!</v>
      </c>
      <c r="BJ267" s="276" t="e">
        <f t="shared" si="266"/>
        <v>#DIV/0!</v>
      </c>
      <c r="BK267" s="276" t="e">
        <f t="shared" si="267"/>
        <v>#DIV/0!</v>
      </c>
      <c r="BL267" s="686" t="e">
        <f t="shared" si="268"/>
        <v>#DIV/0!</v>
      </c>
      <c r="BM267" s="239"/>
      <c r="BN267" s="965" t="e">
        <f t="shared" si="269"/>
        <v>#VALUE!</v>
      </c>
      <c r="BO267" s="878" t="e">
        <f t="shared" si="270"/>
        <v>#VALUE!</v>
      </c>
      <c r="BP267" s="878" t="e">
        <f t="shared" si="271"/>
        <v>#VALUE!</v>
      </c>
      <c r="BQ267" s="878" t="e">
        <f t="shared" si="272"/>
        <v>#VALUE!</v>
      </c>
      <c r="BR267" s="878" t="e">
        <f t="shared" si="273"/>
        <v>#VALUE!</v>
      </c>
      <c r="BS267" s="966" t="e">
        <f t="shared" si="274"/>
        <v>#VALUE!</v>
      </c>
    </row>
    <row r="268" spans="1:71">
      <c r="A268" s="284">
        <f t="shared" si="275"/>
        <v>200</v>
      </c>
      <c r="B268" s="285">
        <v>1.5989284553946943</v>
      </c>
      <c r="C268" s="285">
        <v>2.9557041951763732</v>
      </c>
      <c r="D268" s="285">
        <v>0.99182164564353892</v>
      </c>
      <c r="E268" s="285">
        <v>13.335122376961671</v>
      </c>
      <c r="H268" s="685">
        <f t="shared" si="221"/>
        <v>0.46569461362563946</v>
      </c>
      <c r="I268" s="276">
        <f t="shared" si="222"/>
        <v>-2.509343994945568</v>
      </c>
      <c r="J268" s="276">
        <f t="shared" si="223"/>
        <v>4.0582953262642052</v>
      </c>
      <c r="K268" s="276">
        <f t="shared" si="224"/>
        <v>-0.96830592966224338</v>
      </c>
      <c r="L268" s="276">
        <f t="shared" si="225"/>
        <v>-1.3799383046268923</v>
      </c>
      <c r="M268" s="276">
        <f t="shared" si="226"/>
        <v>1.880811851821828</v>
      </c>
      <c r="N268" s="685">
        <f t="shared" si="227"/>
        <v>1.7485329842045048</v>
      </c>
      <c r="O268" s="276">
        <f t="shared" si="228"/>
        <v>1.6926173171137304</v>
      </c>
      <c r="P268" s="276">
        <f t="shared" si="229"/>
        <v>1.3558997793447125</v>
      </c>
      <c r="Q268" s="276">
        <f t="shared" si="230"/>
        <v>1.311569927900716</v>
      </c>
      <c r="R268" s="276">
        <f t="shared" si="231"/>
        <v>1.8019957344684256</v>
      </c>
      <c r="S268" s="686">
        <f t="shared" si="232"/>
        <v>1.5909357390089622</v>
      </c>
      <c r="T268" s="685">
        <f t="shared" si="233"/>
        <v>4.2701853359144648</v>
      </c>
      <c r="U268" s="276">
        <f t="shared" si="234"/>
        <v>3.8832222467551656</v>
      </c>
      <c r="V268" s="276">
        <f t="shared" si="235"/>
        <v>7.7811721551311983</v>
      </c>
      <c r="W268" s="276">
        <f t="shared" si="236"/>
        <v>4.6329609842770285</v>
      </c>
      <c r="X268" s="276">
        <f t="shared" si="237"/>
        <v>1.2820261782063977</v>
      </c>
      <c r="Y268" s="686">
        <f t="shared" si="238"/>
        <v>5.7838795776717138</v>
      </c>
      <c r="Z268" s="685" t="e">
        <f t="shared" si="239"/>
        <v>#DIV/0!</v>
      </c>
      <c r="AA268" s="276" t="e">
        <f t="shared" si="240"/>
        <v>#DIV/0!</v>
      </c>
      <c r="AB268" s="276" t="e">
        <f t="shared" si="241"/>
        <v>#DIV/0!</v>
      </c>
      <c r="AC268" s="276" t="e">
        <f t="shared" si="242"/>
        <v>#DIV/0!</v>
      </c>
      <c r="AD268" s="276" t="e">
        <f t="shared" si="243"/>
        <v>#DIV/0!</v>
      </c>
      <c r="AE268" s="686" t="e">
        <f t="shared" si="244"/>
        <v>#DIV/0!</v>
      </c>
      <c r="AF268" s="239"/>
      <c r="AG268" s="965" t="e">
        <f t="shared" si="215"/>
        <v>#VALUE!</v>
      </c>
      <c r="AH268" s="878" t="e">
        <f t="shared" si="216"/>
        <v>#VALUE!</v>
      </c>
      <c r="AI268" s="878" t="e">
        <f t="shared" si="217"/>
        <v>#VALUE!</v>
      </c>
      <c r="AJ268" s="878" t="e">
        <f t="shared" si="218"/>
        <v>#VALUE!</v>
      </c>
      <c r="AK268" s="878" t="e">
        <f t="shared" si="219"/>
        <v>#VALUE!</v>
      </c>
      <c r="AL268" s="966" t="e">
        <f t="shared" si="220"/>
        <v>#VALUE!</v>
      </c>
      <c r="AM268" s="239"/>
      <c r="AO268" s="685">
        <f t="shared" si="245"/>
        <v>0.46569461362563946</v>
      </c>
      <c r="AP268" s="276">
        <f t="shared" si="246"/>
        <v>-2.509343994945568</v>
      </c>
      <c r="AQ268" s="276">
        <f t="shared" si="247"/>
        <v>4.0582953262642052</v>
      </c>
      <c r="AR268" s="276">
        <f t="shared" si="248"/>
        <v>-0.96830592966224338</v>
      </c>
      <c r="AS268" s="276">
        <f t="shared" si="249"/>
        <v>-1.3799383046268923</v>
      </c>
      <c r="AT268" s="276">
        <f t="shared" si="250"/>
        <v>1.880811851821828</v>
      </c>
      <c r="AU268" s="685">
        <f t="shared" si="251"/>
        <v>1.7485329842045048</v>
      </c>
      <c r="AV268" s="276">
        <f t="shared" si="252"/>
        <v>1.6926173171137304</v>
      </c>
      <c r="AW268" s="276">
        <f t="shared" si="253"/>
        <v>1.3558997793447125</v>
      </c>
      <c r="AX268" s="276">
        <f t="shared" si="254"/>
        <v>1.311569927900716</v>
      </c>
      <c r="AY268" s="276">
        <f t="shared" si="255"/>
        <v>1.8019957344684256</v>
      </c>
      <c r="AZ268" s="686">
        <f t="shared" si="256"/>
        <v>1.5909357390089622</v>
      </c>
      <c r="BA268" s="685">
        <f t="shared" si="257"/>
        <v>0</v>
      </c>
      <c r="BB268" s="276">
        <f t="shared" si="258"/>
        <v>0</v>
      </c>
      <c r="BC268" s="276">
        <f t="shared" si="259"/>
        <v>0</v>
      </c>
      <c r="BD268" s="276">
        <f t="shared" si="260"/>
        <v>0</v>
      </c>
      <c r="BE268" s="276">
        <f t="shared" si="261"/>
        <v>0</v>
      </c>
      <c r="BF268" s="686">
        <f t="shared" si="262"/>
        <v>0</v>
      </c>
      <c r="BG268" s="685" t="e">
        <f t="shared" si="263"/>
        <v>#DIV/0!</v>
      </c>
      <c r="BH268" s="276" t="e">
        <f t="shared" si="264"/>
        <v>#DIV/0!</v>
      </c>
      <c r="BI268" s="276" t="e">
        <f t="shared" si="265"/>
        <v>#DIV/0!</v>
      </c>
      <c r="BJ268" s="276" t="e">
        <f t="shared" si="266"/>
        <v>#DIV/0!</v>
      </c>
      <c r="BK268" s="276" t="e">
        <f t="shared" si="267"/>
        <v>#DIV/0!</v>
      </c>
      <c r="BL268" s="686" t="e">
        <f t="shared" si="268"/>
        <v>#DIV/0!</v>
      </c>
      <c r="BM268" s="239"/>
      <c r="BN268" s="965" t="e">
        <f t="shared" si="269"/>
        <v>#VALUE!</v>
      </c>
      <c r="BO268" s="878" t="e">
        <f t="shared" si="270"/>
        <v>#VALUE!</v>
      </c>
      <c r="BP268" s="878" t="e">
        <f t="shared" si="271"/>
        <v>#VALUE!</v>
      </c>
      <c r="BQ268" s="878" t="e">
        <f t="shared" si="272"/>
        <v>#VALUE!</v>
      </c>
      <c r="BR268" s="878" t="e">
        <f t="shared" si="273"/>
        <v>#VALUE!</v>
      </c>
      <c r="BS268" s="966" t="e">
        <f t="shared" si="274"/>
        <v>#VALUE!</v>
      </c>
    </row>
    <row r="269" spans="1:71">
      <c r="A269" s="284">
        <f t="shared" si="275"/>
        <v>201</v>
      </c>
      <c r="B269" s="285">
        <v>0.53444251965957013</v>
      </c>
      <c r="C269" s="285">
        <v>2.0447656684100313</v>
      </c>
      <c r="D269" s="285">
        <v>-0.48275719521642135</v>
      </c>
      <c r="E269" s="285">
        <v>-12.368349295735129</v>
      </c>
      <c r="H269" s="685">
        <f t="shared" si="221"/>
        <v>-0.59879132210948471</v>
      </c>
      <c r="I269" s="276">
        <f t="shared" si="222"/>
        <v>-0.51606143262809712</v>
      </c>
      <c r="J269" s="276">
        <f t="shared" si="223"/>
        <v>0.44751975850110859</v>
      </c>
      <c r="K269" s="276">
        <f t="shared" si="224"/>
        <v>1.8118843238260818</v>
      </c>
      <c r="L269" s="276">
        <f t="shared" si="225"/>
        <v>-3.0266384222230904</v>
      </c>
      <c r="M269" s="276">
        <f t="shared" si="226"/>
        <v>-3.3435770188026828</v>
      </c>
      <c r="N269" s="685">
        <f t="shared" si="227"/>
        <v>0.83759445743816285</v>
      </c>
      <c r="O269" s="276">
        <f t="shared" si="228"/>
        <v>1.9488832847623041</v>
      </c>
      <c r="P269" s="276">
        <f t="shared" si="229"/>
        <v>1.1716987618364187</v>
      </c>
      <c r="Q269" s="276">
        <f t="shared" si="230"/>
        <v>1.262316132695428</v>
      </c>
      <c r="R269" s="276">
        <f t="shared" si="231"/>
        <v>0.57829815198751588</v>
      </c>
      <c r="S269" s="686">
        <f t="shared" si="232"/>
        <v>6.7973333016586146E-2</v>
      </c>
      <c r="T269" s="685">
        <f t="shared" si="233"/>
        <v>2.7956064950545043</v>
      </c>
      <c r="U269" s="276">
        <f t="shared" si="234"/>
        <v>4.5850989425360122</v>
      </c>
      <c r="V269" s="276">
        <f t="shared" si="235"/>
        <v>5.1899620257932071</v>
      </c>
      <c r="W269" s="276">
        <f t="shared" si="236"/>
        <v>5.7890515884273084</v>
      </c>
      <c r="X269" s="276">
        <f t="shared" si="237"/>
        <v>4.1453597498315986</v>
      </c>
      <c r="Y269" s="686">
        <f t="shared" si="238"/>
        <v>6.1770075829231352</v>
      </c>
      <c r="Z269" s="685" t="e">
        <f t="shared" si="239"/>
        <v>#DIV/0!</v>
      </c>
      <c r="AA269" s="276" t="e">
        <f t="shared" si="240"/>
        <v>#DIV/0!</v>
      </c>
      <c r="AB269" s="276" t="e">
        <f t="shared" si="241"/>
        <v>#DIV/0!</v>
      </c>
      <c r="AC269" s="276" t="e">
        <f t="shared" si="242"/>
        <v>#DIV/0!</v>
      </c>
      <c r="AD269" s="276" t="e">
        <f t="shared" si="243"/>
        <v>#DIV/0!</v>
      </c>
      <c r="AE269" s="686" t="e">
        <f t="shared" si="244"/>
        <v>#DIV/0!</v>
      </c>
      <c r="AF269" s="239"/>
      <c r="AG269" s="965" t="e">
        <f t="shared" si="215"/>
        <v>#VALUE!</v>
      </c>
      <c r="AH269" s="878" t="e">
        <f t="shared" si="216"/>
        <v>#VALUE!</v>
      </c>
      <c r="AI269" s="878" t="e">
        <f t="shared" si="217"/>
        <v>#VALUE!</v>
      </c>
      <c r="AJ269" s="878" t="e">
        <f t="shared" si="218"/>
        <v>#VALUE!</v>
      </c>
      <c r="AK269" s="878" t="e">
        <f t="shared" si="219"/>
        <v>#VALUE!</v>
      </c>
      <c r="AL269" s="966" t="e">
        <f t="shared" si="220"/>
        <v>#VALUE!</v>
      </c>
      <c r="AM269" s="239"/>
      <c r="AO269" s="685">
        <f t="shared" si="245"/>
        <v>-0.59879132210948471</v>
      </c>
      <c r="AP269" s="276">
        <f t="shared" si="246"/>
        <v>-0.51606143262809712</v>
      </c>
      <c r="AQ269" s="276">
        <f t="shared" si="247"/>
        <v>0.44751975850110859</v>
      </c>
      <c r="AR269" s="276">
        <f t="shared" si="248"/>
        <v>1.8118843238260818</v>
      </c>
      <c r="AS269" s="276">
        <f t="shared" si="249"/>
        <v>-3.0266384222230904</v>
      </c>
      <c r="AT269" s="276">
        <f t="shared" si="250"/>
        <v>-3.3435770188026828</v>
      </c>
      <c r="AU269" s="685">
        <f t="shared" si="251"/>
        <v>0.83759445743816285</v>
      </c>
      <c r="AV269" s="276">
        <f t="shared" si="252"/>
        <v>1.9488832847623041</v>
      </c>
      <c r="AW269" s="276">
        <f t="shared" si="253"/>
        <v>1.1716987618364187</v>
      </c>
      <c r="AX269" s="276">
        <f t="shared" si="254"/>
        <v>1.262316132695428</v>
      </c>
      <c r="AY269" s="276">
        <f t="shared" si="255"/>
        <v>0.57829815198751588</v>
      </c>
      <c r="AZ269" s="686">
        <f t="shared" si="256"/>
        <v>6.7973333016586146E-2</v>
      </c>
      <c r="BA269" s="685">
        <f t="shared" si="257"/>
        <v>0</v>
      </c>
      <c r="BB269" s="276">
        <f t="shared" si="258"/>
        <v>0</v>
      </c>
      <c r="BC269" s="276">
        <f t="shared" si="259"/>
        <v>0</v>
      </c>
      <c r="BD269" s="276">
        <f t="shared" si="260"/>
        <v>0</v>
      </c>
      <c r="BE269" s="276">
        <f t="shared" si="261"/>
        <v>0</v>
      </c>
      <c r="BF269" s="686">
        <f t="shared" si="262"/>
        <v>0</v>
      </c>
      <c r="BG269" s="685" t="e">
        <f t="shared" si="263"/>
        <v>#DIV/0!</v>
      </c>
      <c r="BH269" s="276" t="e">
        <f t="shared" si="264"/>
        <v>#DIV/0!</v>
      </c>
      <c r="BI269" s="276" t="e">
        <f t="shared" si="265"/>
        <v>#DIV/0!</v>
      </c>
      <c r="BJ269" s="276" t="e">
        <f t="shared" si="266"/>
        <v>#DIV/0!</v>
      </c>
      <c r="BK269" s="276" t="e">
        <f t="shared" si="267"/>
        <v>#DIV/0!</v>
      </c>
      <c r="BL269" s="686" t="e">
        <f t="shared" si="268"/>
        <v>#DIV/0!</v>
      </c>
      <c r="BM269" s="239"/>
      <c r="BN269" s="965" t="e">
        <f t="shared" si="269"/>
        <v>#VALUE!</v>
      </c>
      <c r="BO269" s="878" t="e">
        <f t="shared" si="270"/>
        <v>#VALUE!</v>
      </c>
      <c r="BP269" s="878" t="e">
        <f t="shared" si="271"/>
        <v>#VALUE!</v>
      </c>
      <c r="BQ269" s="878" t="e">
        <f t="shared" si="272"/>
        <v>#VALUE!</v>
      </c>
      <c r="BR269" s="878" t="e">
        <f t="shared" si="273"/>
        <v>#VALUE!</v>
      </c>
      <c r="BS269" s="966" t="e">
        <f t="shared" si="274"/>
        <v>#VALUE!</v>
      </c>
    </row>
    <row r="270" spans="1:71">
      <c r="A270" s="284">
        <f t="shared" si="275"/>
        <v>202</v>
      </c>
      <c r="B270" s="285">
        <v>-0.22176607152400277</v>
      </c>
      <c r="C270" s="285">
        <v>2.6915372372893271</v>
      </c>
      <c r="D270" s="285">
        <v>1.0320255944604992</v>
      </c>
      <c r="E270" s="285">
        <v>2.2165938765170581</v>
      </c>
      <c r="H270" s="685">
        <f t="shared" si="221"/>
        <v>-1.3549999132930577</v>
      </c>
      <c r="I270" s="276">
        <f t="shared" si="222"/>
        <v>-0.72508367901255566</v>
      </c>
      <c r="J270" s="276">
        <f t="shared" si="223"/>
        <v>-1.5136582395442262</v>
      </c>
      <c r="K270" s="276">
        <f t="shared" si="224"/>
        <v>-1.6973225789383424</v>
      </c>
      <c r="L270" s="276">
        <f t="shared" si="225"/>
        <v>-0.68139842902791548</v>
      </c>
      <c r="M270" s="276">
        <f t="shared" si="226"/>
        <v>-2.7675278750565715</v>
      </c>
      <c r="N270" s="685">
        <f t="shared" si="227"/>
        <v>1.4843660263174587</v>
      </c>
      <c r="O270" s="276">
        <f t="shared" si="228"/>
        <v>1.7310639199873401</v>
      </c>
      <c r="P270" s="276">
        <f t="shared" si="229"/>
        <v>1.4056575233616411</v>
      </c>
      <c r="Q270" s="276">
        <f t="shared" si="230"/>
        <v>1.6774110053824816</v>
      </c>
      <c r="R270" s="276">
        <f t="shared" si="231"/>
        <v>1.1741197566461794</v>
      </c>
      <c r="S270" s="686">
        <f t="shared" si="232"/>
        <v>0.64912944207709655</v>
      </c>
      <c r="T270" s="685">
        <f t="shared" si="233"/>
        <v>4.3103892847314249</v>
      </c>
      <c r="U270" s="276">
        <f t="shared" si="234"/>
        <v>3.8294354287227437</v>
      </c>
      <c r="V270" s="276">
        <f t="shared" si="235"/>
        <v>3.5969644478493588</v>
      </c>
      <c r="W270" s="276">
        <f t="shared" si="236"/>
        <v>6.1303343694471168</v>
      </c>
      <c r="X270" s="276">
        <f t="shared" si="237"/>
        <v>5.1536348499260658</v>
      </c>
      <c r="Y270" s="686">
        <f t="shared" si="238"/>
        <v>6.0862656460521549</v>
      </c>
      <c r="Z270" s="685" t="e">
        <f t="shared" si="239"/>
        <v>#DIV/0!</v>
      </c>
      <c r="AA270" s="276" t="e">
        <f t="shared" si="240"/>
        <v>#DIV/0!</v>
      </c>
      <c r="AB270" s="276" t="e">
        <f t="shared" si="241"/>
        <v>#DIV/0!</v>
      </c>
      <c r="AC270" s="276" t="e">
        <f t="shared" si="242"/>
        <v>#DIV/0!</v>
      </c>
      <c r="AD270" s="276" t="e">
        <f t="shared" si="243"/>
        <v>#DIV/0!</v>
      </c>
      <c r="AE270" s="686" t="e">
        <f t="shared" si="244"/>
        <v>#DIV/0!</v>
      </c>
      <c r="AF270" s="239"/>
      <c r="AG270" s="965" t="e">
        <f t="shared" si="215"/>
        <v>#VALUE!</v>
      </c>
      <c r="AH270" s="878" t="e">
        <f t="shared" si="216"/>
        <v>#VALUE!</v>
      </c>
      <c r="AI270" s="878" t="e">
        <f t="shared" si="217"/>
        <v>#VALUE!</v>
      </c>
      <c r="AJ270" s="878" t="e">
        <f t="shared" si="218"/>
        <v>#VALUE!</v>
      </c>
      <c r="AK270" s="878" t="e">
        <f t="shared" si="219"/>
        <v>#VALUE!</v>
      </c>
      <c r="AL270" s="966" t="e">
        <f t="shared" si="220"/>
        <v>#VALUE!</v>
      </c>
      <c r="AM270" s="239"/>
      <c r="AO270" s="685">
        <f t="shared" si="245"/>
        <v>-1.3549999132930577</v>
      </c>
      <c r="AP270" s="276">
        <f t="shared" si="246"/>
        <v>-0.72508367901255566</v>
      </c>
      <c r="AQ270" s="276">
        <f t="shared" si="247"/>
        <v>-1.5136582395442262</v>
      </c>
      <c r="AR270" s="276">
        <f t="shared" si="248"/>
        <v>-1.6973225789383424</v>
      </c>
      <c r="AS270" s="276">
        <f t="shared" si="249"/>
        <v>-0.68139842902791548</v>
      </c>
      <c r="AT270" s="276">
        <f t="shared" si="250"/>
        <v>-2.7675278750565715</v>
      </c>
      <c r="AU270" s="685">
        <f t="shared" si="251"/>
        <v>1.4843660263174587</v>
      </c>
      <c r="AV270" s="276">
        <f t="shared" si="252"/>
        <v>1.7310639199873401</v>
      </c>
      <c r="AW270" s="276">
        <f t="shared" si="253"/>
        <v>1.4056575233616411</v>
      </c>
      <c r="AX270" s="276">
        <f t="shared" si="254"/>
        <v>1.6774110053824816</v>
      </c>
      <c r="AY270" s="276">
        <f t="shared" si="255"/>
        <v>1.1741197566461794</v>
      </c>
      <c r="AZ270" s="686">
        <f t="shared" si="256"/>
        <v>0.64912944207709655</v>
      </c>
      <c r="BA270" s="685">
        <f t="shared" si="257"/>
        <v>0</v>
      </c>
      <c r="BB270" s="276">
        <f t="shared" si="258"/>
        <v>0</v>
      </c>
      <c r="BC270" s="276">
        <f t="shared" si="259"/>
        <v>0</v>
      </c>
      <c r="BD270" s="276">
        <f t="shared" si="260"/>
        <v>0</v>
      </c>
      <c r="BE270" s="276">
        <f t="shared" si="261"/>
        <v>0</v>
      </c>
      <c r="BF270" s="686">
        <f t="shared" si="262"/>
        <v>0</v>
      </c>
      <c r="BG270" s="685" t="e">
        <f t="shared" si="263"/>
        <v>#DIV/0!</v>
      </c>
      <c r="BH270" s="276" t="e">
        <f t="shared" si="264"/>
        <v>#DIV/0!</v>
      </c>
      <c r="BI270" s="276" t="e">
        <f t="shared" si="265"/>
        <v>#DIV/0!</v>
      </c>
      <c r="BJ270" s="276" t="e">
        <f t="shared" si="266"/>
        <v>#DIV/0!</v>
      </c>
      <c r="BK270" s="276" t="e">
        <f t="shared" si="267"/>
        <v>#DIV/0!</v>
      </c>
      <c r="BL270" s="686" t="e">
        <f t="shared" si="268"/>
        <v>#DIV/0!</v>
      </c>
      <c r="BM270" s="239"/>
      <c r="BN270" s="965" t="e">
        <f t="shared" si="269"/>
        <v>#VALUE!</v>
      </c>
      <c r="BO270" s="878" t="e">
        <f t="shared" si="270"/>
        <v>#VALUE!</v>
      </c>
      <c r="BP270" s="878" t="e">
        <f t="shared" si="271"/>
        <v>#VALUE!</v>
      </c>
      <c r="BQ270" s="878" t="e">
        <f t="shared" si="272"/>
        <v>#VALUE!</v>
      </c>
      <c r="BR270" s="878" t="e">
        <f t="shared" si="273"/>
        <v>#VALUE!</v>
      </c>
      <c r="BS270" s="966" t="e">
        <f t="shared" si="274"/>
        <v>#VALUE!</v>
      </c>
    </row>
    <row r="271" spans="1:71">
      <c r="A271" s="284">
        <f t="shared" si="275"/>
        <v>203</v>
      </c>
      <c r="B271" s="285">
        <v>-0.63886115688974388</v>
      </c>
      <c r="C271" s="285">
        <v>3.1332786707992568</v>
      </c>
      <c r="D271" s="285">
        <v>0.34043467098361124</v>
      </c>
      <c r="E271" s="285">
        <v>5.0277243443847048</v>
      </c>
      <c r="H271" s="685">
        <f t="shared" si="221"/>
        <v>-1.7720949986587988</v>
      </c>
      <c r="I271" s="276">
        <f t="shared" si="222"/>
        <v>1.7767307497900704</v>
      </c>
      <c r="J271" s="276">
        <f t="shared" si="223"/>
        <v>7.6222286753073076E-2</v>
      </c>
      <c r="K271" s="276">
        <f t="shared" si="224"/>
        <v>-2.4519719559848254</v>
      </c>
      <c r="L271" s="276">
        <f t="shared" si="225"/>
        <v>2.4941189480724786</v>
      </c>
      <c r="M271" s="276">
        <f t="shared" si="226"/>
        <v>-1.7052088686214031</v>
      </c>
      <c r="N271" s="685">
        <f t="shared" si="227"/>
        <v>1.9261074598273884</v>
      </c>
      <c r="O271" s="276">
        <f t="shared" si="228"/>
        <v>1.4733797867927965</v>
      </c>
      <c r="P271" s="276">
        <f t="shared" si="229"/>
        <v>2.3522938847257855</v>
      </c>
      <c r="Q271" s="276">
        <f t="shared" si="230"/>
        <v>1.2627437055038631</v>
      </c>
      <c r="R271" s="276">
        <f t="shared" si="231"/>
        <v>2.3004664730701654</v>
      </c>
      <c r="S271" s="686">
        <f t="shared" si="232"/>
        <v>1.484115840785553</v>
      </c>
      <c r="T271" s="685">
        <f t="shared" si="233"/>
        <v>3.6187983612545374</v>
      </c>
      <c r="U271" s="276">
        <f t="shared" si="234"/>
        <v>4.1797395129280055</v>
      </c>
      <c r="V271" s="276">
        <f t="shared" si="235"/>
        <v>3.0487203986814904</v>
      </c>
      <c r="W271" s="276">
        <f t="shared" si="236"/>
        <v>4.2897083155146669</v>
      </c>
      <c r="X271" s="276">
        <f t="shared" si="237"/>
        <v>6.0793051687178359</v>
      </c>
      <c r="Y271" s="686">
        <f t="shared" si="238"/>
        <v>4.0939657635755502</v>
      </c>
      <c r="Z271" s="685" t="e">
        <f t="shared" si="239"/>
        <v>#DIV/0!</v>
      </c>
      <c r="AA271" s="276" t="e">
        <f t="shared" si="240"/>
        <v>#DIV/0!</v>
      </c>
      <c r="AB271" s="276" t="e">
        <f t="shared" si="241"/>
        <v>#DIV/0!</v>
      </c>
      <c r="AC271" s="276" t="e">
        <f t="shared" si="242"/>
        <v>#DIV/0!</v>
      </c>
      <c r="AD271" s="276" t="e">
        <f t="shared" si="243"/>
        <v>#DIV/0!</v>
      </c>
      <c r="AE271" s="686" t="e">
        <f t="shared" si="244"/>
        <v>#DIV/0!</v>
      </c>
      <c r="AF271" s="239"/>
      <c r="AG271" s="965" t="e">
        <f t="shared" si="215"/>
        <v>#VALUE!</v>
      </c>
      <c r="AH271" s="878" t="e">
        <f t="shared" si="216"/>
        <v>#VALUE!</v>
      </c>
      <c r="AI271" s="878" t="e">
        <f t="shared" si="217"/>
        <v>#VALUE!</v>
      </c>
      <c r="AJ271" s="878" t="e">
        <f t="shared" si="218"/>
        <v>#VALUE!</v>
      </c>
      <c r="AK271" s="878" t="e">
        <f t="shared" si="219"/>
        <v>#VALUE!</v>
      </c>
      <c r="AL271" s="966" t="e">
        <f t="shared" si="220"/>
        <v>#VALUE!</v>
      </c>
      <c r="AM271" s="239"/>
      <c r="AO271" s="685">
        <f t="shared" si="245"/>
        <v>-1.7720949986587988</v>
      </c>
      <c r="AP271" s="276">
        <f t="shared" si="246"/>
        <v>1.7767307497900704</v>
      </c>
      <c r="AQ271" s="276">
        <f t="shared" si="247"/>
        <v>7.6222286753073076E-2</v>
      </c>
      <c r="AR271" s="276">
        <f t="shared" si="248"/>
        <v>-2.4519719559848254</v>
      </c>
      <c r="AS271" s="276">
        <f t="shared" si="249"/>
        <v>2.4941189480724786</v>
      </c>
      <c r="AT271" s="276">
        <f t="shared" si="250"/>
        <v>-1.7052088686214031</v>
      </c>
      <c r="AU271" s="685">
        <f t="shared" si="251"/>
        <v>1.9261074598273884</v>
      </c>
      <c r="AV271" s="276">
        <f t="shared" si="252"/>
        <v>1.4733797867927965</v>
      </c>
      <c r="AW271" s="276">
        <f t="shared" si="253"/>
        <v>2.3522938847257855</v>
      </c>
      <c r="AX271" s="276">
        <f t="shared" si="254"/>
        <v>1.2627437055038631</v>
      </c>
      <c r="AY271" s="276">
        <f t="shared" si="255"/>
        <v>2.3004664730701654</v>
      </c>
      <c r="AZ271" s="686">
        <f t="shared" si="256"/>
        <v>1.484115840785553</v>
      </c>
      <c r="BA271" s="685">
        <f t="shared" si="257"/>
        <v>0</v>
      </c>
      <c r="BB271" s="276">
        <f t="shared" si="258"/>
        <v>0</v>
      </c>
      <c r="BC271" s="276">
        <f t="shared" si="259"/>
        <v>0</v>
      </c>
      <c r="BD271" s="276">
        <f t="shared" si="260"/>
        <v>0</v>
      </c>
      <c r="BE271" s="276">
        <f t="shared" si="261"/>
        <v>0</v>
      </c>
      <c r="BF271" s="686">
        <f t="shared" si="262"/>
        <v>0</v>
      </c>
      <c r="BG271" s="685" t="e">
        <f t="shared" si="263"/>
        <v>#DIV/0!</v>
      </c>
      <c r="BH271" s="276" t="e">
        <f t="shared" si="264"/>
        <v>#DIV/0!</v>
      </c>
      <c r="BI271" s="276" t="e">
        <f t="shared" si="265"/>
        <v>#DIV/0!</v>
      </c>
      <c r="BJ271" s="276" t="e">
        <f t="shared" si="266"/>
        <v>#DIV/0!</v>
      </c>
      <c r="BK271" s="276" t="e">
        <f t="shared" si="267"/>
        <v>#DIV/0!</v>
      </c>
      <c r="BL271" s="686" t="e">
        <f t="shared" si="268"/>
        <v>#DIV/0!</v>
      </c>
      <c r="BM271" s="239"/>
      <c r="BN271" s="965" t="e">
        <f t="shared" si="269"/>
        <v>#VALUE!</v>
      </c>
      <c r="BO271" s="878" t="e">
        <f t="shared" si="270"/>
        <v>#VALUE!</v>
      </c>
      <c r="BP271" s="878" t="e">
        <f t="shared" si="271"/>
        <v>#VALUE!</v>
      </c>
      <c r="BQ271" s="878" t="e">
        <f t="shared" si="272"/>
        <v>#VALUE!</v>
      </c>
      <c r="BR271" s="878" t="e">
        <f t="shared" si="273"/>
        <v>#VALUE!</v>
      </c>
      <c r="BS271" s="966" t="e">
        <f t="shared" si="274"/>
        <v>#VALUE!</v>
      </c>
    </row>
    <row r="272" spans="1:71">
      <c r="A272" s="284">
        <f t="shared" si="275"/>
        <v>204</v>
      </c>
      <c r="B272" s="285">
        <v>2.2508671365988357</v>
      </c>
      <c r="C272" s="285">
        <v>2.7885641691676719</v>
      </c>
      <c r="D272" s="285">
        <v>1.8475203258155808</v>
      </c>
      <c r="E272" s="285">
        <v>9.7228022173774686E-2</v>
      </c>
      <c r="H272" s="685">
        <f t="shared" si="221"/>
        <v>1.1176332948297809</v>
      </c>
      <c r="I272" s="276">
        <f t="shared" si="222"/>
        <v>1.6412494899855321</v>
      </c>
      <c r="J272" s="276">
        <f t="shared" si="223"/>
        <v>-0.92816484643711705</v>
      </c>
      <c r="K272" s="276">
        <f t="shared" si="224"/>
        <v>-2.4063807151104974</v>
      </c>
      <c r="L272" s="276">
        <f t="shared" si="225"/>
        <v>0.11077261790672388</v>
      </c>
      <c r="M272" s="276">
        <f t="shared" si="226"/>
        <v>-2.5050862866269328</v>
      </c>
      <c r="N272" s="685">
        <f t="shared" si="227"/>
        <v>1.5813929581958035</v>
      </c>
      <c r="O272" s="276">
        <f t="shared" si="228"/>
        <v>2.0036142756327742</v>
      </c>
      <c r="P272" s="276">
        <f t="shared" si="229"/>
        <v>0.99950490889121757</v>
      </c>
      <c r="Q272" s="276">
        <f t="shared" si="230"/>
        <v>0.7265843918422572</v>
      </c>
      <c r="R272" s="276">
        <f t="shared" si="231"/>
        <v>1.5814410202613434</v>
      </c>
      <c r="S272" s="686">
        <f t="shared" si="232"/>
        <v>1.8809115631465805</v>
      </c>
      <c r="T272" s="685">
        <f t="shared" si="233"/>
        <v>5.1258840160865065</v>
      </c>
      <c r="U272" s="276">
        <f t="shared" si="234"/>
        <v>3.886618132573906</v>
      </c>
      <c r="V272" s="276">
        <f t="shared" si="235"/>
        <v>7.2971504726274894</v>
      </c>
      <c r="W272" s="276">
        <f t="shared" si="236"/>
        <v>6.0223042706885472</v>
      </c>
      <c r="X272" s="276">
        <f t="shared" si="237"/>
        <v>5.0275186852837912</v>
      </c>
      <c r="Y272" s="686">
        <f t="shared" si="238"/>
        <v>3.8525724877750229</v>
      </c>
      <c r="Z272" s="685" t="e">
        <f t="shared" si="239"/>
        <v>#DIV/0!</v>
      </c>
      <c r="AA272" s="276" t="e">
        <f t="shared" si="240"/>
        <v>#DIV/0!</v>
      </c>
      <c r="AB272" s="276" t="e">
        <f t="shared" si="241"/>
        <v>#DIV/0!</v>
      </c>
      <c r="AC272" s="276" t="e">
        <f t="shared" si="242"/>
        <v>#DIV/0!</v>
      </c>
      <c r="AD272" s="276" t="e">
        <f t="shared" si="243"/>
        <v>#DIV/0!</v>
      </c>
      <c r="AE272" s="686" t="e">
        <f t="shared" si="244"/>
        <v>#DIV/0!</v>
      </c>
      <c r="AF272" s="239"/>
      <c r="AG272" s="965" t="e">
        <f t="shared" si="215"/>
        <v>#VALUE!</v>
      </c>
      <c r="AH272" s="878" t="e">
        <f t="shared" si="216"/>
        <v>#VALUE!</v>
      </c>
      <c r="AI272" s="878" t="e">
        <f t="shared" si="217"/>
        <v>#VALUE!</v>
      </c>
      <c r="AJ272" s="878" t="e">
        <f t="shared" si="218"/>
        <v>#VALUE!</v>
      </c>
      <c r="AK272" s="878" t="e">
        <f t="shared" si="219"/>
        <v>#VALUE!</v>
      </c>
      <c r="AL272" s="966" t="e">
        <f t="shared" si="220"/>
        <v>#VALUE!</v>
      </c>
      <c r="AM272" s="239"/>
      <c r="AO272" s="685">
        <f t="shared" si="245"/>
        <v>1.1176332948297809</v>
      </c>
      <c r="AP272" s="276">
        <f t="shared" si="246"/>
        <v>1.6412494899855321</v>
      </c>
      <c r="AQ272" s="276">
        <f t="shared" si="247"/>
        <v>-0.92816484643711705</v>
      </c>
      <c r="AR272" s="276">
        <f t="shared" si="248"/>
        <v>-2.4063807151104974</v>
      </c>
      <c r="AS272" s="276">
        <f t="shared" si="249"/>
        <v>0.11077261790672388</v>
      </c>
      <c r="AT272" s="276">
        <f t="shared" si="250"/>
        <v>-2.5050862866269328</v>
      </c>
      <c r="AU272" s="685">
        <f t="shared" si="251"/>
        <v>1.5813929581958035</v>
      </c>
      <c r="AV272" s="276">
        <f t="shared" si="252"/>
        <v>2.0036142756327742</v>
      </c>
      <c r="AW272" s="276">
        <f t="shared" si="253"/>
        <v>0.99950490889121757</v>
      </c>
      <c r="AX272" s="276">
        <f t="shared" si="254"/>
        <v>0.7265843918422572</v>
      </c>
      <c r="AY272" s="276">
        <f t="shared" si="255"/>
        <v>1.5814410202613434</v>
      </c>
      <c r="AZ272" s="686">
        <f t="shared" si="256"/>
        <v>1.8809115631465805</v>
      </c>
      <c r="BA272" s="685">
        <f t="shared" si="257"/>
        <v>0</v>
      </c>
      <c r="BB272" s="276">
        <f t="shared" si="258"/>
        <v>0</v>
      </c>
      <c r="BC272" s="276">
        <f t="shared" si="259"/>
        <v>0</v>
      </c>
      <c r="BD272" s="276">
        <f t="shared" si="260"/>
        <v>0</v>
      </c>
      <c r="BE272" s="276">
        <f t="shared" si="261"/>
        <v>0</v>
      </c>
      <c r="BF272" s="686">
        <f t="shared" si="262"/>
        <v>0</v>
      </c>
      <c r="BG272" s="685" t="e">
        <f t="shared" si="263"/>
        <v>#DIV/0!</v>
      </c>
      <c r="BH272" s="276" t="e">
        <f t="shared" si="264"/>
        <v>#DIV/0!</v>
      </c>
      <c r="BI272" s="276" t="e">
        <f t="shared" si="265"/>
        <v>#DIV/0!</v>
      </c>
      <c r="BJ272" s="276" t="e">
        <f t="shared" si="266"/>
        <v>#DIV/0!</v>
      </c>
      <c r="BK272" s="276" t="e">
        <f t="shared" si="267"/>
        <v>#DIV/0!</v>
      </c>
      <c r="BL272" s="686" t="e">
        <f t="shared" si="268"/>
        <v>#DIV/0!</v>
      </c>
      <c r="BM272" s="239"/>
      <c r="BN272" s="965" t="e">
        <f t="shared" si="269"/>
        <v>#VALUE!</v>
      </c>
      <c r="BO272" s="878" t="e">
        <f t="shared" si="270"/>
        <v>#VALUE!</v>
      </c>
      <c r="BP272" s="878" t="e">
        <f t="shared" si="271"/>
        <v>#VALUE!</v>
      </c>
      <c r="BQ272" s="878" t="e">
        <f t="shared" si="272"/>
        <v>#VALUE!</v>
      </c>
      <c r="BR272" s="878" t="e">
        <f t="shared" si="273"/>
        <v>#VALUE!</v>
      </c>
      <c r="BS272" s="966" t="e">
        <f t="shared" si="274"/>
        <v>#VALUE!</v>
      </c>
    </row>
    <row r="273" spans="1:71">
      <c r="A273" s="284">
        <f t="shared" si="275"/>
        <v>205</v>
      </c>
      <c r="B273" s="285">
        <v>-2.0698638590569902</v>
      </c>
      <c r="C273" s="285">
        <v>2.0557712259729817</v>
      </c>
      <c r="D273" s="285">
        <v>1.7248441302851378</v>
      </c>
      <c r="E273" s="285">
        <v>-22.416476353777313</v>
      </c>
      <c r="H273" s="685">
        <f t="shared" si="221"/>
        <v>-3.2030977008260448</v>
      </c>
      <c r="I273" s="276">
        <f t="shared" si="222"/>
        <v>2.8289716668793075</v>
      </c>
      <c r="J273" s="276">
        <f t="shared" si="223"/>
        <v>-2.3066474956600604</v>
      </c>
      <c r="K273" s="276">
        <f t="shared" si="224"/>
        <v>-2.2607181803367786</v>
      </c>
      <c r="L273" s="276">
        <f t="shared" si="225"/>
        <v>-0.92854636152404713</v>
      </c>
      <c r="M273" s="276">
        <f t="shared" si="226"/>
        <v>-3.2003516612756844</v>
      </c>
      <c r="N273" s="685">
        <f t="shared" si="227"/>
        <v>0.84860001500111326</v>
      </c>
      <c r="O273" s="276">
        <f t="shared" si="228"/>
        <v>1.3679998066397181</v>
      </c>
      <c r="P273" s="276">
        <f t="shared" si="229"/>
        <v>1.6523326563904932</v>
      </c>
      <c r="Q273" s="276">
        <f t="shared" si="230"/>
        <v>1.3491444265931369</v>
      </c>
      <c r="R273" s="276">
        <f t="shared" si="231"/>
        <v>1.3100486856653186</v>
      </c>
      <c r="S273" s="686">
        <f t="shared" si="232"/>
        <v>1.981509289565204</v>
      </c>
      <c r="T273" s="685">
        <f t="shared" si="233"/>
        <v>5.0032078205560637</v>
      </c>
      <c r="U273" s="276">
        <f t="shared" si="234"/>
        <v>5.3374035837449396</v>
      </c>
      <c r="V273" s="276">
        <f t="shared" si="235"/>
        <v>3.1925318071672404</v>
      </c>
      <c r="W273" s="276">
        <f t="shared" si="236"/>
        <v>4.7207536028707757</v>
      </c>
      <c r="X273" s="276">
        <f t="shared" si="237"/>
        <v>4.4395926833119521</v>
      </c>
      <c r="Y273" s="686">
        <f t="shared" si="238"/>
        <v>2.3874984279830569</v>
      </c>
      <c r="Z273" s="685" t="e">
        <f t="shared" si="239"/>
        <v>#DIV/0!</v>
      </c>
      <c r="AA273" s="276" t="e">
        <f t="shared" si="240"/>
        <v>#DIV/0!</v>
      </c>
      <c r="AB273" s="276" t="e">
        <f t="shared" si="241"/>
        <v>#DIV/0!</v>
      </c>
      <c r="AC273" s="276" t="e">
        <f t="shared" si="242"/>
        <v>#DIV/0!</v>
      </c>
      <c r="AD273" s="276" t="e">
        <f t="shared" si="243"/>
        <v>#DIV/0!</v>
      </c>
      <c r="AE273" s="686" t="e">
        <f t="shared" si="244"/>
        <v>#DIV/0!</v>
      </c>
      <c r="AF273" s="239"/>
      <c r="AG273" s="965" t="e">
        <f t="shared" si="215"/>
        <v>#VALUE!</v>
      </c>
      <c r="AH273" s="878" t="e">
        <f t="shared" si="216"/>
        <v>#VALUE!</v>
      </c>
      <c r="AI273" s="878" t="e">
        <f t="shared" si="217"/>
        <v>#VALUE!</v>
      </c>
      <c r="AJ273" s="878" t="e">
        <f t="shared" si="218"/>
        <v>#VALUE!</v>
      </c>
      <c r="AK273" s="878" t="e">
        <f t="shared" si="219"/>
        <v>#VALUE!</v>
      </c>
      <c r="AL273" s="966" t="e">
        <f t="shared" si="220"/>
        <v>#VALUE!</v>
      </c>
      <c r="AM273" s="239"/>
      <c r="AO273" s="685">
        <f t="shared" si="245"/>
        <v>-3.2030977008260448</v>
      </c>
      <c r="AP273" s="276">
        <f t="shared" si="246"/>
        <v>2.8289716668793075</v>
      </c>
      <c r="AQ273" s="276">
        <f t="shared" si="247"/>
        <v>-2.3066474956600604</v>
      </c>
      <c r="AR273" s="276">
        <f t="shared" si="248"/>
        <v>-2.2607181803367786</v>
      </c>
      <c r="AS273" s="276">
        <f t="shared" si="249"/>
        <v>-0.92854636152404713</v>
      </c>
      <c r="AT273" s="276">
        <f t="shared" si="250"/>
        <v>-3.2003516612756844</v>
      </c>
      <c r="AU273" s="685">
        <f t="shared" si="251"/>
        <v>0.84860001500111326</v>
      </c>
      <c r="AV273" s="276">
        <f t="shared" si="252"/>
        <v>1.3679998066397181</v>
      </c>
      <c r="AW273" s="276">
        <f t="shared" si="253"/>
        <v>1.6523326563904932</v>
      </c>
      <c r="AX273" s="276">
        <f t="shared" si="254"/>
        <v>1.3491444265931369</v>
      </c>
      <c r="AY273" s="276">
        <f t="shared" si="255"/>
        <v>1.3100486856653186</v>
      </c>
      <c r="AZ273" s="686">
        <f t="shared" si="256"/>
        <v>1.981509289565204</v>
      </c>
      <c r="BA273" s="685">
        <f t="shared" si="257"/>
        <v>0</v>
      </c>
      <c r="BB273" s="276">
        <f t="shared" si="258"/>
        <v>0</v>
      </c>
      <c r="BC273" s="276">
        <f t="shared" si="259"/>
        <v>0</v>
      </c>
      <c r="BD273" s="276">
        <f t="shared" si="260"/>
        <v>0</v>
      </c>
      <c r="BE273" s="276">
        <f t="shared" si="261"/>
        <v>0</v>
      </c>
      <c r="BF273" s="686">
        <f t="shared" si="262"/>
        <v>0</v>
      </c>
      <c r="BG273" s="685" t="e">
        <f t="shared" si="263"/>
        <v>#DIV/0!</v>
      </c>
      <c r="BH273" s="276" t="e">
        <f t="shared" si="264"/>
        <v>#DIV/0!</v>
      </c>
      <c r="BI273" s="276" t="e">
        <f t="shared" si="265"/>
        <v>#DIV/0!</v>
      </c>
      <c r="BJ273" s="276" t="e">
        <f t="shared" si="266"/>
        <v>#DIV/0!</v>
      </c>
      <c r="BK273" s="276" t="e">
        <f t="shared" si="267"/>
        <v>#DIV/0!</v>
      </c>
      <c r="BL273" s="686" t="e">
        <f t="shared" si="268"/>
        <v>#DIV/0!</v>
      </c>
      <c r="BM273" s="239"/>
      <c r="BN273" s="965" t="e">
        <f t="shared" si="269"/>
        <v>#VALUE!</v>
      </c>
      <c r="BO273" s="878" t="e">
        <f t="shared" si="270"/>
        <v>#VALUE!</v>
      </c>
      <c r="BP273" s="878" t="e">
        <f t="shared" si="271"/>
        <v>#VALUE!</v>
      </c>
      <c r="BQ273" s="878" t="e">
        <f t="shared" si="272"/>
        <v>#VALUE!</v>
      </c>
      <c r="BR273" s="878" t="e">
        <f t="shared" si="273"/>
        <v>#VALUE!</v>
      </c>
      <c r="BS273" s="966" t="e">
        <f t="shared" si="274"/>
        <v>#VALUE!</v>
      </c>
    </row>
    <row r="274" spans="1:71">
      <c r="A274" s="284">
        <f t="shared" si="275"/>
        <v>206</v>
      </c>
      <c r="B274" s="285">
        <v>-1.3680752128610927</v>
      </c>
      <c r="C274" s="285">
        <v>2.1621662580251169</v>
      </c>
      <c r="D274" s="285">
        <v>9.6922947539151316E-2</v>
      </c>
      <c r="E274" s="285">
        <v>-5.0648771508752777</v>
      </c>
      <c r="H274" s="685">
        <f t="shared" si="221"/>
        <v>-2.5013090546301475</v>
      </c>
      <c r="I274" s="276">
        <f t="shared" si="222"/>
        <v>0.82288459275730919</v>
      </c>
      <c r="J274" s="276">
        <f t="shared" si="223"/>
        <v>-0.57203089629635695</v>
      </c>
      <c r="K274" s="276">
        <f t="shared" si="224"/>
        <v>-1.9323664732351609</v>
      </c>
      <c r="L274" s="276">
        <f t="shared" si="225"/>
        <v>-1.4605127073988018</v>
      </c>
      <c r="M274" s="276">
        <f t="shared" si="226"/>
        <v>-3.8779256258599641</v>
      </c>
      <c r="N274" s="685">
        <f t="shared" si="227"/>
        <v>0.95499504705324845</v>
      </c>
      <c r="O274" s="276">
        <f t="shared" si="228"/>
        <v>1.4484113673535874</v>
      </c>
      <c r="P274" s="276">
        <f t="shared" si="229"/>
        <v>1.4931468846673475</v>
      </c>
      <c r="Q274" s="276">
        <f t="shared" si="230"/>
        <v>0.60754960439472527</v>
      </c>
      <c r="R274" s="276">
        <f t="shared" si="231"/>
        <v>1.3390460545249054</v>
      </c>
      <c r="S274" s="686">
        <f t="shared" si="232"/>
        <v>0.91260511602405292</v>
      </c>
      <c r="T274" s="685">
        <f t="shared" si="233"/>
        <v>3.3752866378100772</v>
      </c>
      <c r="U274" s="276">
        <f t="shared" si="234"/>
        <v>2.5167223533974199</v>
      </c>
      <c r="V274" s="276">
        <f t="shared" si="235"/>
        <v>3.6353261457564638</v>
      </c>
      <c r="W274" s="276">
        <f t="shared" si="236"/>
        <v>5.6090024956563438</v>
      </c>
      <c r="X274" s="276">
        <f t="shared" si="237"/>
        <v>4.7137496447091323</v>
      </c>
      <c r="Y274" s="686">
        <f t="shared" si="238"/>
        <v>3.2409900591167071</v>
      </c>
      <c r="Z274" s="685" t="e">
        <f t="shared" si="239"/>
        <v>#DIV/0!</v>
      </c>
      <c r="AA274" s="276" t="e">
        <f t="shared" si="240"/>
        <v>#DIV/0!</v>
      </c>
      <c r="AB274" s="276" t="e">
        <f t="shared" si="241"/>
        <v>#DIV/0!</v>
      </c>
      <c r="AC274" s="276" t="e">
        <f t="shared" si="242"/>
        <v>#DIV/0!</v>
      </c>
      <c r="AD274" s="276" t="e">
        <f t="shared" si="243"/>
        <v>#DIV/0!</v>
      </c>
      <c r="AE274" s="686" t="e">
        <f t="shared" si="244"/>
        <v>#DIV/0!</v>
      </c>
      <c r="AF274" s="239"/>
      <c r="AG274" s="965" t="e">
        <f t="shared" si="215"/>
        <v>#VALUE!</v>
      </c>
      <c r="AH274" s="878" t="e">
        <f t="shared" si="216"/>
        <v>#VALUE!</v>
      </c>
      <c r="AI274" s="878" t="e">
        <f t="shared" si="217"/>
        <v>#VALUE!</v>
      </c>
      <c r="AJ274" s="878" t="e">
        <f t="shared" si="218"/>
        <v>#VALUE!</v>
      </c>
      <c r="AK274" s="878" t="e">
        <f t="shared" si="219"/>
        <v>#VALUE!</v>
      </c>
      <c r="AL274" s="966" t="e">
        <f t="shared" si="220"/>
        <v>#VALUE!</v>
      </c>
      <c r="AM274" s="239"/>
      <c r="AO274" s="685">
        <f t="shared" si="245"/>
        <v>-2.5013090546301475</v>
      </c>
      <c r="AP274" s="276">
        <f t="shared" si="246"/>
        <v>0.82288459275730919</v>
      </c>
      <c r="AQ274" s="276">
        <f t="shared" si="247"/>
        <v>-0.57203089629635695</v>
      </c>
      <c r="AR274" s="276">
        <f t="shared" si="248"/>
        <v>-1.9323664732351609</v>
      </c>
      <c r="AS274" s="276">
        <f t="shared" si="249"/>
        <v>-1.4605127073988018</v>
      </c>
      <c r="AT274" s="276">
        <f t="shared" si="250"/>
        <v>-3.8779256258599641</v>
      </c>
      <c r="AU274" s="685">
        <f t="shared" si="251"/>
        <v>0.95499504705324845</v>
      </c>
      <c r="AV274" s="276">
        <f t="shared" si="252"/>
        <v>1.4484113673535874</v>
      </c>
      <c r="AW274" s="276">
        <f t="shared" si="253"/>
        <v>1.4931468846673475</v>
      </c>
      <c r="AX274" s="276">
        <f t="shared" si="254"/>
        <v>0.60754960439472527</v>
      </c>
      <c r="AY274" s="276">
        <f t="shared" si="255"/>
        <v>1.3390460545249054</v>
      </c>
      <c r="AZ274" s="686">
        <f t="shared" si="256"/>
        <v>0.91260511602405292</v>
      </c>
      <c r="BA274" s="685">
        <f t="shared" si="257"/>
        <v>0</v>
      </c>
      <c r="BB274" s="276">
        <f t="shared" si="258"/>
        <v>0</v>
      </c>
      <c r="BC274" s="276">
        <f t="shared" si="259"/>
        <v>0</v>
      </c>
      <c r="BD274" s="276">
        <f t="shared" si="260"/>
        <v>0</v>
      </c>
      <c r="BE274" s="276">
        <f t="shared" si="261"/>
        <v>0</v>
      </c>
      <c r="BF274" s="686">
        <f t="shared" si="262"/>
        <v>0</v>
      </c>
      <c r="BG274" s="685" t="e">
        <f t="shared" si="263"/>
        <v>#DIV/0!</v>
      </c>
      <c r="BH274" s="276" t="e">
        <f t="shared" si="264"/>
        <v>#DIV/0!</v>
      </c>
      <c r="BI274" s="276" t="e">
        <f t="shared" si="265"/>
        <v>#DIV/0!</v>
      </c>
      <c r="BJ274" s="276" t="e">
        <f t="shared" si="266"/>
        <v>#DIV/0!</v>
      </c>
      <c r="BK274" s="276" t="e">
        <f t="shared" si="267"/>
        <v>#DIV/0!</v>
      </c>
      <c r="BL274" s="686" t="e">
        <f t="shared" si="268"/>
        <v>#DIV/0!</v>
      </c>
      <c r="BM274" s="239"/>
      <c r="BN274" s="965" t="e">
        <f t="shared" si="269"/>
        <v>#VALUE!</v>
      </c>
      <c r="BO274" s="878" t="e">
        <f t="shared" si="270"/>
        <v>#VALUE!</v>
      </c>
      <c r="BP274" s="878" t="e">
        <f t="shared" si="271"/>
        <v>#VALUE!</v>
      </c>
      <c r="BQ274" s="878" t="e">
        <f t="shared" si="272"/>
        <v>#VALUE!</v>
      </c>
      <c r="BR274" s="878" t="e">
        <f t="shared" si="273"/>
        <v>#VALUE!</v>
      </c>
      <c r="BS274" s="966" t="e">
        <f t="shared" si="274"/>
        <v>#VALUE!</v>
      </c>
    </row>
    <row r="275" spans="1:71">
      <c r="A275" s="284">
        <f t="shared" si="275"/>
        <v>207</v>
      </c>
      <c r="B275" s="285">
        <v>0.59636546637981824</v>
      </c>
      <c r="C275" s="285">
        <v>3.0499360431938718</v>
      </c>
      <c r="D275" s="285">
        <v>3.3552238619508428</v>
      </c>
      <c r="E275" s="285">
        <v>-1.070852898088908</v>
      </c>
      <c r="H275" s="685">
        <f t="shared" si="221"/>
        <v>-0.5368683753892366</v>
      </c>
      <c r="I275" s="276">
        <f t="shared" si="222"/>
        <v>0.86979306695462877</v>
      </c>
      <c r="J275" s="276">
        <f t="shared" si="223"/>
        <v>1.1011992335064551</v>
      </c>
      <c r="K275" s="276">
        <f t="shared" si="224"/>
        <v>-1.0473212230323237</v>
      </c>
      <c r="L275" s="276">
        <f t="shared" si="225"/>
        <v>-1.7607285015172875</v>
      </c>
      <c r="M275" s="276">
        <f t="shared" si="226"/>
        <v>-0.72138858407192941</v>
      </c>
      <c r="N275" s="685">
        <f t="shared" si="227"/>
        <v>1.8427648322220034</v>
      </c>
      <c r="O275" s="276">
        <f t="shared" si="228"/>
        <v>0.75610050618266</v>
      </c>
      <c r="P275" s="276">
        <f t="shared" si="229"/>
        <v>1.4336528498334526</v>
      </c>
      <c r="Q275" s="276">
        <f t="shared" si="230"/>
        <v>1.60545463017268</v>
      </c>
      <c r="R275" s="276">
        <f t="shared" si="231"/>
        <v>1.0085143973908413</v>
      </c>
      <c r="S275" s="686">
        <f t="shared" si="232"/>
        <v>1.4368087797247451</v>
      </c>
      <c r="T275" s="685">
        <f t="shared" si="233"/>
        <v>6.6335875522217691</v>
      </c>
      <c r="U275" s="276">
        <f t="shared" si="234"/>
        <v>4.9454629910367141</v>
      </c>
      <c r="V275" s="276">
        <f t="shared" si="235"/>
        <v>4.6395514738834409</v>
      </c>
      <c r="W275" s="276">
        <f t="shared" si="236"/>
        <v>4.7657627970944887</v>
      </c>
      <c r="X275" s="276">
        <f t="shared" si="237"/>
        <v>4.3816753644986726</v>
      </c>
      <c r="Y275" s="686">
        <f t="shared" si="238"/>
        <v>5.0526278974462304</v>
      </c>
      <c r="Z275" s="685" t="e">
        <f t="shared" si="239"/>
        <v>#DIV/0!</v>
      </c>
      <c r="AA275" s="276" t="e">
        <f t="shared" si="240"/>
        <v>#DIV/0!</v>
      </c>
      <c r="AB275" s="276" t="e">
        <f t="shared" si="241"/>
        <v>#DIV/0!</v>
      </c>
      <c r="AC275" s="276" t="e">
        <f t="shared" si="242"/>
        <v>#DIV/0!</v>
      </c>
      <c r="AD275" s="276" t="e">
        <f t="shared" si="243"/>
        <v>#DIV/0!</v>
      </c>
      <c r="AE275" s="686" t="e">
        <f t="shared" si="244"/>
        <v>#DIV/0!</v>
      </c>
      <c r="AF275" s="239"/>
      <c r="AG275" s="965" t="e">
        <f t="shared" si="215"/>
        <v>#VALUE!</v>
      </c>
      <c r="AH275" s="878" t="e">
        <f t="shared" si="216"/>
        <v>#VALUE!</v>
      </c>
      <c r="AI275" s="878" t="e">
        <f t="shared" si="217"/>
        <v>#VALUE!</v>
      </c>
      <c r="AJ275" s="878" t="e">
        <f t="shared" si="218"/>
        <v>#VALUE!</v>
      </c>
      <c r="AK275" s="878" t="e">
        <f t="shared" si="219"/>
        <v>#VALUE!</v>
      </c>
      <c r="AL275" s="966" t="e">
        <f t="shared" si="220"/>
        <v>#VALUE!</v>
      </c>
      <c r="AM275" s="239"/>
      <c r="AO275" s="685">
        <f t="shared" si="245"/>
        <v>-0.5368683753892366</v>
      </c>
      <c r="AP275" s="276">
        <f t="shared" si="246"/>
        <v>0.86979306695462877</v>
      </c>
      <c r="AQ275" s="276">
        <f t="shared" si="247"/>
        <v>1.1011992335064551</v>
      </c>
      <c r="AR275" s="276">
        <f t="shared" si="248"/>
        <v>-1.0473212230323237</v>
      </c>
      <c r="AS275" s="276">
        <f t="shared" si="249"/>
        <v>-1.7607285015172875</v>
      </c>
      <c r="AT275" s="276">
        <f t="shared" si="250"/>
        <v>-0.72138858407192941</v>
      </c>
      <c r="AU275" s="685">
        <f t="shared" si="251"/>
        <v>1.8427648322220034</v>
      </c>
      <c r="AV275" s="276">
        <f t="shared" si="252"/>
        <v>0.75610050618266</v>
      </c>
      <c r="AW275" s="276">
        <f t="shared" si="253"/>
        <v>1.4336528498334526</v>
      </c>
      <c r="AX275" s="276">
        <f t="shared" si="254"/>
        <v>1.60545463017268</v>
      </c>
      <c r="AY275" s="276">
        <f t="shared" si="255"/>
        <v>1.0085143973908413</v>
      </c>
      <c r="AZ275" s="686">
        <f t="shared" si="256"/>
        <v>1.4368087797247451</v>
      </c>
      <c r="BA275" s="685">
        <f t="shared" si="257"/>
        <v>0</v>
      </c>
      <c r="BB275" s="276">
        <f t="shared" si="258"/>
        <v>0</v>
      </c>
      <c r="BC275" s="276">
        <f t="shared" si="259"/>
        <v>0</v>
      </c>
      <c r="BD275" s="276">
        <f t="shared" si="260"/>
        <v>0</v>
      </c>
      <c r="BE275" s="276">
        <f t="shared" si="261"/>
        <v>0</v>
      </c>
      <c r="BF275" s="686">
        <f t="shared" si="262"/>
        <v>0</v>
      </c>
      <c r="BG275" s="685" t="e">
        <f t="shared" si="263"/>
        <v>#DIV/0!</v>
      </c>
      <c r="BH275" s="276" t="e">
        <f t="shared" si="264"/>
        <v>#DIV/0!</v>
      </c>
      <c r="BI275" s="276" t="e">
        <f t="shared" si="265"/>
        <v>#DIV/0!</v>
      </c>
      <c r="BJ275" s="276" t="e">
        <f t="shared" si="266"/>
        <v>#DIV/0!</v>
      </c>
      <c r="BK275" s="276" t="e">
        <f t="shared" si="267"/>
        <v>#DIV/0!</v>
      </c>
      <c r="BL275" s="686" t="e">
        <f t="shared" si="268"/>
        <v>#DIV/0!</v>
      </c>
      <c r="BM275" s="239"/>
      <c r="BN275" s="965" t="e">
        <f t="shared" si="269"/>
        <v>#VALUE!</v>
      </c>
      <c r="BO275" s="878" t="e">
        <f t="shared" si="270"/>
        <v>#VALUE!</v>
      </c>
      <c r="BP275" s="878" t="e">
        <f t="shared" si="271"/>
        <v>#VALUE!</v>
      </c>
      <c r="BQ275" s="878" t="e">
        <f t="shared" si="272"/>
        <v>#VALUE!</v>
      </c>
      <c r="BR275" s="878" t="e">
        <f t="shared" si="273"/>
        <v>#VALUE!</v>
      </c>
      <c r="BS275" s="966" t="e">
        <f t="shared" si="274"/>
        <v>#VALUE!</v>
      </c>
    </row>
    <row r="276" spans="1:71">
      <c r="A276" s="284">
        <f t="shared" si="275"/>
        <v>208</v>
      </c>
      <c r="B276" s="285">
        <v>-1.1852067685851264</v>
      </c>
      <c r="C276" s="285">
        <v>2.8027726424268451</v>
      </c>
      <c r="D276" s="285">
        <v>0.22430568814813978</v>
      </c>
      <c r="E276" s="285">
        <v>11.811168714859251</v>
      </c>
      <c r="H276" s="685">
        <f t="shared" si="221"/>
        <v>-2.3184406103541813</v>
      </c>
      <c r="I276" s="276">
        <f t="shared" si="222"/>
        <v>1.6821239949961038</v>
      </c>
      <c r="J276" s="276">
        <f t="shared" si="223"/>
        <v>0.90093245216200857</v>
      </c>
      <c r="K276" s="276">
        <f t="shared" si="224"/>
        <v>7.520181749663668E-2</v>
      </c>
      <c r="L276" s="276">
        <f t="shared" si="225"/>
        <v>0.3888297168163779</v>
      </c>
      <c r="M276" s="276">
        <f t="shared" si="226"/>
        <v>-1.4547283674544953</v>
      </c>
      <c r="N276" s="685">
        <f t="shared" si="227"/>
        <v>1.5956014314549767</v>
      </c>
      <c r="O276" s="276">
        <f t="shared" si="228"/>
        <v>1.6411763444866649</v>
      </c>
      <c r="P276" s="276">
        <f t="shared" si="229"/>
        <v>2.4597859478879487</v>
      </c>
      <c r="Q276" s="276">
        <f t="shared" si="230"/>
        <v>1.3492658775556341</v>
      </c>
      <c r="R276" s="276">
        <f t="shared" si="231"/>
        <v>1.1714453189603973</v>
      </c>
      <c r="S276" s="686">
        <f t="shared" si="232"/>
        <v>0.8165083484242015</v>
      </c>
      <c r="T276" s="685">
        <f t="shared" si="233"/>
        <v>3.5026693784190659</v>
      </c>
      <c r="U276" s="276">
        <f t="shared" si="234"/>
        <v>4.3314068263246313</v>
      </c>
      <c r="V276" s="276">
        <f t="shared" si="235"/>
        <v>6.6206099241380141</v>
      </c>
      <c r="W276" s="276">
        <f t="shared" si="236"/>
        <v>5.6813430513717407</v>
      </c>
      <c r="X276" s="276">
        <f t="shared" si="237"/>
        <v>5.1792231228061958</v>
      </c>
      <c r="Y276" s="686">
        <f t="shared" si="238"/>
        <v>6.7805269919269175</v>
      </c>
      <c r="Z276" s="685" t="e">
        <f t="shared" si="239"/>
        <v>#DIV/0!</v>
      </c>
      <c r="AA276" s="276" t="e">
        <f t="shared" si="240"/>
        <v>#DIV/0!</v>
      </c>
      <c r="AB276" s="276" t="e">
        <f t="shared" si="241"/>
        <v>#DIV/0!</v>
      </c>
      <c r="AC276" s="276" t="e">
        <f t="shared" si="242"/>
        <v>#DIV/0!</v>
      </c>
      <c r="AD276" s="276" t="e">
        <f t="shared" si="243"/>
        <v>#DIV/0!</v>
      </c>
      <c r="AE276" s="686" t="e">
        <f t="shared" si="244"/>
        <v>#DIV/0!</v>
      </c>
      <c r="AF276" s="239"/>
      <c r="AG276" s="965" t="e">
        <f t="shared" si="215"/>
        <v>#VALUE!</v>
      </c>
      <c r="AH276" s="878" t="e">
        <f t="shared" si="216"/>
        <v>#VALUE!</v>
      </c>
      <c r="AI276" s="878" t="e">
        <f t="shared" si="217"/>
        <v>#VALUE!</v>
      </c>
      <c r="AJ276" s="878" t="e">
        <f t="shared" si="218"/>
        <v>#VALUE!</v>
      </c>
      <c r="AK276" s="878" t="e">
        <f t="shared" si="219"/>
        <v>#VALUE!</v>
      </c>
      <c r="AL276" s="966" t="e">
        <f t="shared" si="220"/>
        <v>#VALUE!</v>
      </c>
      <c r="AM276" s="239"/>
      <c r="AO276" s="685">
        <f t="shared" si="245"/>
        <v>-2.3184406103541813</v>
      </c>
      <c r="AP276" s="276">
        <f t="shared" si="246"/>
        <v>1.6821239949961038</v>
      </c>
      <c r="AQ276" s="276">
        <f t="shared" si="247"/>
        <v>0.90093245216200857</v>
      </c>
      <c r="AR276" s="276">
        <f t="shared" si="248"/>
        <v>7.520181749663668E-2</v>
      </c>
      <c r="AS276" s="276">
        <f t="shared" si="249"/>
        <v>0.3888297168163779</v>
      </c>
      <c r="AT276" s="276">
        <f t="shared" si="250"/>
        <v>-1.4547283674544953</v>
      </c>
      <c r="AU276" s="685">
        <f t="shared" si="251"/>
        <v>1.5956014314549767</v>
      </c>
      <c r="AV276" s="276">
        <f t="shared" si="252"/>
        <v>1.6411763444866649</v>
      </c>
      <c r="AW276" s="276">
        <f t="shared" si="253"/>
        <v>2.4597859478879487</v>
      </c>
      <c r="AX276" s="276">
        <f t="shared" si="254"/>
        <v>1.3492658775556341</v>
      </c>
      <c r="AY276" s="276">
        <f t="shared" si="255"/>
        <v>1.1714453189603973</v>
      </c>
      <c r="AZ276" s="686">
        <f t="shared" si="256"/>
        <v>0.8165083484242015</v>
      </c>
      <c r="BA276" s="685">
        <f t="shared" si="257"/>
        <v>0</v>
      </c>
      <c r="BB276" s="276">
        <f t="shared" si="258"/>
        <v>0</v>
      </c>
      <c r="BC276" s="276">
        <f t="shared" si="259"/>
        <v>0</v>
      </c>
      <c r="BD276" s="276">
        <f t="shared" si="260"/>
        <v>0</v>
      </c>
      <c r="BE276" s="276">
        <f t="shared" si="261"/>
        <v>0</v>
      </c>
      <c r="BF276" s="686">
        <f t="shared" si="262"/>
        <v>0</v>
      </c>
      <c r="BG276" s="685" t="e">
        <f t="shared" si="263"/>
        <v>#DIV/0!</v>
      </c>
      <c r="BH276" s="276" t="e">
        <f t="shared" si="264"/>
        <v>#DIV/0!</v>
      </c>
      <c r="BI276" s="276" t="e">
        <f t="shared" si="265"/>
        <v>#DIV/0!</v>
      </c>
      <c r="BJ276" s="276" t="e">
        <f t="shared" si="266"/>
        <v>#DIV/0!</v>
      </c>
      <c r="BK276" s="276" t="e">
        <f t="shared" si="267"/>
        <v>#DIV/0!</v>
      </c>
      <c r="BL276" s="686" t="e">
        <f t="shared" si="268"/>
        <v>#DIV/0!</v>
      </c>
      <c r="BM276" s="239"/>
      <c r="BN276" s="965" t="e">
        <f t="shared" si="269"/>
        <v>#VALUE!</v>
      </c>
      <c r="BO276" s="878" t="e">
        <f t="shared" si="270"/>
        <v>#VALUE!</v>
      </c>
      <c r="BP276" s="878" t="e">
        <f t="shared" si="271"/>
        <v>#VALUE!</v>
      </c>
      <c r="BQ276" s="878" t="e">
        <f t="shared" si="272"/>
        <v>#VALUE!</v>
      </c>
      <c r="BR276" s="878" t="e">
        <f t="shared" si="273"/>
        <v>#VALUE!</v>
      </c>
      <c r="BS276" s="966" t="e">
        <f t="shared" si="274"/>
        <v>#VALUE!</v>
      </c>
    </row>
    <row r="277" spans="1:71">
      <c r="A277" s="284">
        <f t="shared" si="275"/>
        <v>209</v>
      </c>
      <c r="B277" s="285">
        <v>2.8328461156981857</v>
      </c>
      <c r="C277" s="285">
        <v>2.9319935310442427</v>
      </c>
      <c r="D277" s="285">
        <v>-0.54149765037910491</v>
      </c>
      <c r="E277" s="285">
        <v>8.9155603738319797</v>
      </c>
      <c r="H277" s="685">
        <f t="shared" si="221"/>
        <v>1.6996122739291308</v>
      </c>
      <c r="I277" s="276">
        <f t="shared" si="222"/>
        <v>0.56711316619726149</v>
      </c>
      <c r="J277" s="276">
        <f t="shared" si="223"/>
        <v>-0.27259467076535293</v>
      </c>
      <c r="K277" s="276">
        <f t="shared" si="224"/>
        <v>-8.026191217661502</v>
      </c>
      <c r="L277" s="276">
        <f t="shared" si="225"/>
        <v>0.52499144148807098</v>
      </c>
      <c r="M277" s="276">
        <f t="shared" si="226"/>
        <v>-1.9061674355765921</v>
      </c>
      <c r="N277" s="685">
        <f t="shared" si="227"/>
        <v>1.7248223200723742</v>
      </c>
      <c r="O277" s="276">
        <f t="shared" si="228"/>
        <v>1.4346663570743725</v>
      </c>
      <c r="P277" s="276">
        <f t="shared" si="229"/>
        <v>1.991614349491045</v>
      </c>
      <c r="Q277" s="276">
        <f t="shared" si="230"/>
        <v>1.1857618375013608</v>
      </c>
      <c r="R277" s="276">
        <f t="shared" si="231"/>
        <v>1.366739941227775</v>
      </c>
      <c r="S277" s="686">
        <f t="shared" si="232"/>
        <v>1.2907389215419569</v>
      </c>
      <c r="T277" s="685">
        <f t="shared" si="233"/>
        <v>2.736866039891821</v>
      </c>
      <c r="U277" s="276">
        <f t="shared" si="234"/>
        <v>4.6554298148447621</v>
      </c>
      <c r="V277" s="276">
        <f t="shared" si="235"/>
        <v>4.1751939531619326</v>
      </c>
      <c r="W277" s="276">
        <f t="shared" si="236"/>
        <v>4.9418100842063044</v>
      </c>
      <c r="X277" s="276">
        <f t="shared" si="237"/>
        <v>3.6435113034450017</v>
      </c>
      <c r="Y277" s="686">
        <f t="shared" si="238"/>
        <v>3.6327184730740796</v>
      </c>
      <c r="Z277" s="685" t="e">
        <f t="shared" si="239"/>
        <v>#DIV/0!</v>
      </c>
      <c r="AA277" s="276" t="e">
        <f t="shared" si="240"/>
        <v>#DIV/0!</v>
      </c>
      <c r="AB277" s="276" t="e">
        <f t="shared" si="241"/>
        <v>#DIV/0!</v>
      </c>
      <c r="AC277" s="276" t="e">
        <f t="shared" si="242"/>
        <v>#DIV/0!</v>
      </c>
      <c r="AD277" s="276" t="e">
        <f t="shared" si="243"/>
        <v>#DIV/0!</v>
      </c>
      <c r="AE277" s="686" t="e">
        <f t="shared" si="244"/>
        <v>#DIV/0!</v>
      </c>
      <c r="AF277" s="239"/>
      <c r="AG277" s="965" t="e">
        <f t="shared" si="215"/>
        <v>#VALUE!</v>
      </c>
      <c r="AH277" s="878" t="e">
        <f t="shared" si="216"/>
        <v>#VALUE!</v>
      </c>
      <c r="AI277" s="878" t="e">
        <f t="shared" si="217"/>
        <v>#VALUE!</v>
      </c>
      <c r="AJ277" s="878" t="e">
        <f t="shared" si="218"/>
        <v>#VALUE!</v>
      </c>
      <c r="AK277" s="878" t="e">
        <f t="shared" si="219"/>
        <v>#VALUE!</v>
      </c>
      <c r="AL277" s="966" t="e">
        <f t="shared" si="220"/>
        <v>#VALUE!</v>
      </c>
      <c r="AM277" s="239"/>
      <c r="AO277" s="685">
        <f t="shared" si="245"/>
        <v>1.6996122739291308</v>
      </c>
      <c r="AP277" s="276">
        <f t="shared" si="246"/>
        <v>0.56711316619726149</v>
      </c>
      <c r="AQ277" s="276">
        <f t="shared" si="247"/>
        <v>-0.27259467076535293</v>
      </c>
      <c r="AR277" s="276">
        <f t="shared" si="248"/>
        <v>-8.026191217661502</v>
      </c>
      <c r="AS277" s="276">
        <f t="shared" si="249"/>
        <v>0.52499144148807098</v>
      </c>
      <c r="AT277" s="276">
        <f t="shared" si="250"/>
        <v>-1.9061674355765921</v>
      </c>
      <c r="AU277" s="685">
        <f t="shared" si="251"/>
        <v>1.7248223200723742</v>
      </c>
      <c r="AV277" s="276">
        <f t="shared" si="252"/>
        <v>1.4346663570743725</v>
      </c>
      <c r="AW277" s="276">
        <f t="shared" si="253"/>
        <v>1.991614349491045</v>
      </c>
      <c r="AX277" s="276">
        <f t="shared" si="254"/>
        <v>1.1857618375013608</v>
      </c>
      <c r="AY277" s="276">
        <f t="shared" si="255"/>
        <v>1.366739941227775</v>
      </c>
      <c r="AZ277" s="686">
        <f t="shared" si="256"/>
        <v>1.2907389215419569</v>
      </c>
      <c r="BA277" s="685">
        <f t="shared" si="257"/>
        <v>0</v>
      </c>
      <c r="BB277" s="276">
        <f t="shared" si="258"/>
        <v>0</v>
      </c>
      <c r="BC277" s="276">
        <f t="shared" si="259"/>
        <v>0</v>
      </c>
      <c r="BD277" s="276">
        <f t="shared" si="260"/>
        <v>0</v>
      </c>
      <c r="BE277" s="276">
        <f t="shared" si="261"/>
        <v>0</v>
      </c>
      <c r="BF277" s="686">
        <f t="shared" si="262"/>
        <v>0</v>
      </c>
      <c r="BG277" s="685" t="e">
        <f t="shared" si="263"/>
        <v>#DIV/0!</v>
      </c>
      <c r="BH277" s="276" t="e">
        <f t="shared" si="264"/>
        <v>#DIV/0!</v>
      </c>
      <c r="BI277" s="276" t="e">
        <f t="shared" si="265"/>
        <v>#DIV/0!</v>
      </c>
      <c r="BJ277" s="276" t="e">
        <f t="shared" si="266"/>
        <v>#DIV/0!</v>
      </c>
      <c r="BK277" s="276" t="e">
        <f t="shared" si="267"/>
        <v>#DIV/0!</v>
      </c>
      <c r="BL277" s="686" t="e">
        <f t="shared" si="268"/>
        <v>#DIV/0!</v>
      </c>
      <c r="BM277" s="239"/>
      <c r="BN277" s="965" t="e">
        <f t="shared" si="269"/>
        <v>#VALUE!</v>
      </c>
      <c r="BO277" s="878" t="e">
        <f t="shared" si="270"/>
        <v>#VALUE!</v>
      </c>
      <c r="BP277" s="878" t="e">
        <f t="shared" si="271"/>
        <v>#VALUE!</v>
      </c>
      <c r="BQ277" s="878" t="e">
        <f t="shared" si="272"/>
        <v>#VALUE!</v>
      </c>
      <c r="BR277" s="878" t="e">
        <f t="shared" si="273"/>
        <v>#VALUE!</v>
      </c>
      <c r="BS277" s="966" t="e">
        <f t="shared" si="274"/>
        <v>#VALUE!</v>
      </c>
    </row>
    <row r="278" spans="1:71">
      <c r="A278" s="284">
        <f t="shared" si="275"/>
        <v>210</v>
      </c>
      <c r="B278" s="285">
        <v>4.0838182355930392</v>
      </c>
      <c r="C278" s="285">
        <v>3.2367920350718187</v>
      </c>
      <c r="D278" s="285">
        <v>-0.55480305507217365</v>
      </c>
      <c r="E278" s="285">
        <v>1.7545018877370411</v>
      </c>
      <c r="H278" s="685">
        <f t="shared" si="221"/>
        <v>2.9505843938239842</v>
      </c>
      <c r="I278" s="276">
        <f t="shared" si="222"/>
        <v>-2.0715843480207914</v>
      </c>
      <c r="J278" s="276">
        <f t="shared" si="223"/>
        <v>4.2383201832762589</v>
      </c>
      <c r="K278" s="276">
        <f t="shared" si="224"/>
        <v>-3.1850449112836037</v>
      </c>
      <c r="L278" s="276">
        <f t="shared" si="225"/>
        <v>-2.5403302297563606</v>
      </c>
      <c r="M278" s="276">
        <f t="shared" si="226"/>
        <v>-0.59170223763348917</v>
      </c>
      <c r="N278" s="685">
        <f t="shared" si="227"/>
        <v>2.0296208240999505</v>
      </c>
      <c r="O278" s="276">
        <f t="shared" si="228"/>
        <v>1.2791375101572087</v>
      </c>
      <c r="P278" s="276">
        <f t="shared" si="229"/>
        <v>2.3132549604895098</v>
      </c>
      <c r="Q278" s="276">
        <f t="shared" si="230"/>
        <v>0.90132219562240379</v>
      </c>
      <c r="R278" s="276">
        <f t="shared" si="231"/>
        <v>1.3480576190908209</v>
      </c>
      <c r="S278" s="686">
        <f t="shared" si="232"/>
        <v>1.0908489749564045</v>
      </c>
      <c r="T278" s="685">
        <f t="shared" si="233"/>
        <v>2.7235606351987522</v>
      </c>
      <c r="U278" s="276">
        <f t="shared" si="234"/>
        <v>3.5891350603868557</v>
      </c>
      <c r="V278" s="276">
        <f t="shared" si="235"/>
        <v>3.0989266122439534</v>
      </c>
      <c r="W278" s="276">
        <f t="shared" si="236"/>
        <v>5.1685255055351966</v>
      </c>
      <c r="X278" s="276">
        <f t="shared" si="237"/>
        <v>3.4394550944278821</v>
      </c>
      <c r="Y278" s="686">
        <f t="shared" si="238"/>
        <v>6.6206197735232806</v>
      </c>
      <c r="Z278" s="685" t="e">
        <f t="shared" si="239"/>
        <v>#DIV/0!</v>
      </c>
      <c r="AA278" s="276" t="e">
        <f t="shared" si="240"/>
        <v>#DIV/0!</v>
      </c>
      <c r="AB278" s="276" t="e">
        <f t="shared" si="241"/>
        <v>#DIV/0!</v>
      </c>
      <c r="AC278" s="276" t="e">
        <f t="shared" si="242"/>
        <v>#DIV/0!</v>
      </c>
      <c r="AD278" s="276" t="e">
        <f t="shared" si="243"/>
        <v>#DIV/0!</v>
      </c>
      <c r="AE278" s="686" t="e">
        <f t="shared" si="244"/>
        <v>#DIV/0!</v>
      </c>
      <c r="AF278" s="239"/>
      <c r="AG278" s="965" t="e">
        <f t="shared" si="215"/>
        <v>#VALUE!</v>
      </c>
      <c r="AH278" s="878" t="e">
        <f t="shared" si="216"/>
        <v>#VALUE!</v>
      </c>
      <c r="AI278" s="878" t="e">
        <f t="shared" si="217"/>
        <v>#VALUE!</v>
      </c>
      <c r="AJ278" s="878" t="e">
        <f t="shared" si="218"/>
        <v>#VALUE!</v>
      </c>
      <c r="AK278" s="878" t="e">
        <f t="shared" si="219"/>
        <v>#VALUE!</v>
      </c>
      <c r="AL278" s="966" t="e">
        <f t="shared" si="220"/>
        <v>#VALUE!</v>
      </c>
      <c r="AM278" s="239"/>
      <c r="AO278" s="685">
        <f t="shared" si="245"/>
        <v>2.9505843938239842</v>
      </c>
      <c r="AP278" s="276">
        <f t="shared" si="246"/>
        <v>-2.0715843480207914</v>
      </c>
      <c r="AQ278" s="276">
        <f t="shared" si="247"/>
        <v>4.2383201832762589</v>
      </c>
      <c r="AR278" s="276">
        <f t="shared" si="248"/>
        <v>-3.1850449112836037</v>
      </c>
      <c r="AS278" s="276">
        <f t="shared" si="249"/>
        <v>-2.5403302297563606</v>
      </c>
      <c r="AT278" s="276">
        <f t="shared" si="250"/>
        <v>-0.59170223763348917</v>
      </c>
      <c r="AU278" s="685">
        <f t="shared" si="251"/>
        <v>2.0296208240999505</v>
      </c>
      <c r="AV278" s="276">
        <f t="shared" si="252"/>
        <v>1.2791375101572087</v>
      </c>
      <c r="AW278" s="276">
        <f t="shared" si="253"/>
        <v>2.3132549604895098</v>
      </c>
      <c r="AX278" s="276">
        <f t="shared" si="254"/>
        <v>0.90132219562240379</v>
      </c>
      <c r="AY278" s="276">
        <f t="shared" si="255"/>
        <v>1.3480576190908209</v>
      </c>
      <c r="AZ278" s="686">
        <f t="shared" si="256"/>
        <v>1.0908489749564045</v>
      </c>
      <c r="BA278" s="685">
        <f t="shared" si="257"/>
        <v>0</v>
      </c>
      <c r="BB278" s="276">
        <f t="shared" si="258"/>
        <v>0</v>
      </c>
      <c r="BC278" s="276">
        <f t="shared" si="259"/>
        <v>0</v>
      </c>
      <c r="BD278" s="276">
        <f t="shared" si="260"/>
        <v>0</v>
      </c>
      <c r="BE278" s="276">
        <f t="shared" si="261"/>
        <v>0</v>
      </c>
      <c r="BF278" s="686">
        <f t="shared" si="262"/>
        <v>0</v>
      </c>
      <c r="BG278" s="685" t="e">
        <f t="shared" si="263"/>
        <v>#DIV/0!</v>
      </c>
      <c r="BH278" s="276" t="e">
        <f t="shared" si="264"/>
        <v>#DIV/0!</v>
      </c>
      <c r="BI278" s="276" t="e">
        <f t="shared" si="265"/>
        <v>#DIV/0!</v>
      </c>
      <c r="BJ278" s="276" t="e">
        <f t="shared" si="266"/>
        <v>#DIV/0!</v>
      </c>
      <c r="BK278" s="276" t="e">
        <f t="shared" si="267"/>
        <v>#DIV/0!</v>
      </c>
      <c r="BL278" s="686" t="e">
        <f t="shared" si="268"/>
        <v>#DIV/0!</v>
      </c>
      <c r="BM278" s="239"/>
      <c r="BN278" s="965" t="e">
        <f t="shared" si="269"/>
        <v>#VALUE!</v>
      </c>
      <c r="BO278" s="878" t="e">
        <f t="shared" si="270"/>
        <v>#VALUE!</v>
      </c>
      <c r="BP278" s="878" t="e">
        <f t="shared" si="271"/>
        <v>#VALUE!</v>
      </c>
      <c r="BQ278" s="878" t="e">
        <f t="shared" si="272"/>
        <v>#VALUE!</v>
      </c>
      <c r="BR278" s="878" t="e">
        <f t="shared" si="273"/>
        <v>#VALUE!</v>
      </c>
      <c r="BS278" s="966" t="e">
        <f t="shared" si="274"/>
        <v>#VALUE!</v>
      </c>
    </row>
    <row r="279" spans="1:71">
      <c r="A279" s="284">
        <f t="shared" si="275"/>
        <v>211</v>
      </c>
      <c r="B279" s="285">
        <v>-0.53642684498205651</v>
      </c>
      <c r="C279" s="285">
        <v>2.9757740241824187</v>
      </c>
      <c r="D279" s="285">
        <v>-0.2132346335120594</v>
      </c>
      <c r="E279" s="285">
        <v>8.5594216316142386</v>
      </c>
      <c r="H279" s="685">
        <f t="shared" si="221"/>
        <v>-1.6696606867511115</v>
      </c>
      <c r="I279" s="276">
        <f t="shared" si="222"/>
        <v>-1.4102219120476358</v>
      </c>
      <c r="J279" s="276">
        <f t="shared" si="223"/>
        <v>0.36685822710699711</v>
      </c>
      <c r="K279" s="276">
        <f t="shared" si="224"/>
        <v>-1.3254263105428858</v>
      </c>
      <c r="L279" s="276">
        <f t="shared" si="225"/>
        <v>2.2804067480679047</v>
      </c>
      <c r="M279" s="276">
        <f t="shared" si="226"/>
        <v>-3.9283335467236844</v>
      </c>
      <c r="N279" s="685">
        <f t="shared" si="227"/>
        <v>1.7686028132105502</v>
      </c>
      <c r="O279" s="276">
        <f t="shared" si="228"/>
        <v>0.81193194991633288</v>
      </c>
      <c r="P279" s="276">
        <f t="shared" si="229"/>
        <v>1.6654309505504357</v>
      </c>
      <c r="Q279" s="276">
        <f t="shared" si="230"/>
        <v>1.1351754494667106</v>
      </c>
      <c r="R279" s="276">
        <f t="shared" si="231"/>
        <v>1.666361557358963</v>
      </c>
      <c r="S279" s="686">
        <f t="shared" si="232"/>
        <v>1.2656622804235733</v>
      </c>
      <c r="T279" s="685">
        <f t="shared" si="233"/>
        <v>3.0651290567588667</v>
      </c>
      <c r="U279" s="276">
        <f t="shared" si="234"/>
        <v>3.5798972097860737</v>
      </c>
      <c r="V279" s="276">
        <f t="shared" si="235"/>
        <v>3.0296976967679994</v>
      </c>
      <c r="W279" s="276">
        <f t="shared" si="236"/>
        <v>2.1623298867507694</v>
      </c>
      <c r="X279" s="276">
        <f t="shared" si="237"/>
        <v>2.2726074307557949</v>
      </c>
      <c r="Y279" s="686">
        <f t="shared" si="238"/>
        <v>4.4795551459623457</v>
      </c>
      <c r="Z279" s="685" t="e">
        <f t="shared" si="239"/>
        <v>#DIV/0!</v>
      </c>
      <c r="AA279" s="276" t="e">
        <f t="shared" si="240"/>
        <v>#DIV/0!</v>
      </c>
      <c r="AB279" s="276" t="e">
        <f t="shared" si="241"/>
        <v>#DIV/0!</v>
      </c>
      <c r="AC279" s="276" t="e">
        <f t="shared" si="242"/>
        <v>#DIV/0!</v>
      </c>
      <c r="AD279" s="276" t="e">
        <f t="shared" si="243"/>
        <v>#DIV/0!</v>
      </c>
      <c r="AE279" s="686" t="e">
        <f t="shared" si="244"/>
        <v>#DIV/0!</v>
      </c>
      <c r="AF279" s="239"/>
      <c r="AG279" s="965" t="e">
        <f t="shared" si="215"/>
        <v>#VALUE!</v>
      </c>
      <c r="AH279" s="878" t="e">
        <f t="shared" si="216"/>
        <v>#VALUE!</v>
      </c>
      <c r="AI279" s="878" t="e">
        <f t="shared" si="217"/>
        <v>#VALUE!</v>
      </c>
      <c r="AJ279" s="878" t="e">
        <f t="shared" si="218"/>
        <v>#VALUE!</v>
      </c>
      <c r="AK279" s="878" t="e">
        <f t="shared" si="219"/>
        <v>#VALUE!</v>
      </c>
      <c r="AL279" s="966" t="e">
        <f t="shared" si="220"/>
        <v>#VALUE!</v>
      </c>
      <c r="AM279" s="239"/>
      <c r="AO279" s="685">
        <f t="shared" si="245"/>
        <v>-1.6696606867511115</v>
      </c>
      <c r="AP279" s="276">
        <f t="shared" si="246"/>
        <v>-1.4102219120476358</v>
      </c>
      <c r="AQ279" s="276">
        <f t="shared" si="247"/>
        <v>0.36685822710699711</v>
      </c>
      <c r="AR279" s="276">
        <f t="shared" si="248"/>
        <v>-1.3254263105428858</v>
      </c>
      <c r="AS279" s="276">
        <f t="shared" si="249"/>
        <v>2.2804067480679047</v>
      </c>
      <c r="AT279" s="276">
        <f t="shared" si="250"/>
        <v>-3.9283335467236844</v>
      </c>
      <c r="AU279" s="685">
        <f t="shared" si="251"/>
        <v>1.7686028132105502</v>
      </c>
      <c r="AV279" s="276">
        <f t="shared" si="252"/>
        <v>0.81193194991633288</v>
      </c>
      <c r="AW279" s="276">
        <f t="shared" si="253"/>
        <v>1.6654309505504357</v>
      </c>
      <c r="AX279" s="276">
        <f t="shared" si="254"/>
        <v>1.1351754494667106</v>
      </c>
      <c r="AY279" s="276">
        <f t="shared" si="255"/>
        <v>1.666361557358963</v>
      </c>
      <c r="AZ279" s="686">
        <f t="shared" si="256"/>
        <v>1.2656622804235733</v>
      </c>
      <c r="BA279" s="685">
        <f t="shared" si="257"/>
        <v>0</v>
      </c>
      <c r="BB279" s="276">
        <f t="shared" si="258"/>
        <v>0</v>
      </c>
      <c r="BC279" s="276">
        <f t="shared" si="259"/>
        <v>0</v>
      </c>
      <c r="BD279" s="276">
        <f t="shared" si="260"/>
        <v>0</v>
      </c>
      <c r="BE279" s="276">
        <f t="shared" si="261"/>
        <v>0</v>
      </c>
      <c r="BF279" s="686">
        <f t="shared" si="262"/>
        <v>0</v>
      </c>
      <c r="BG279" s="685" t="e">
        <f t="shared" si="263"/>
        <v>#DIV/0!</v>
      </c>
      <c r="BH279" s="276" t="e">
        <f t="shared" si="264"/>
        <v>#DIV/0!</v>
      </c>
      <c r="BI279" s="276" t="e">
        <f t="shared" si="265"/>
        <v>#DIV/0!</v>
      </c>
      <c r="BJ279" s="276" t="e">
        <f t="shared" si="266"/>
        <v>#DIV/0!</v>
      </c>
      <c r="BK279" s="276" t="e">
        <f t="shared" si="267"/>
        <v>#DIV/0!</v>
      </c>
      <c r="BL279" s="686" t="e">
        <f t="shared" si="268"/>
        <v>#DIV/0!</v>
      </c>
      <c r="BM279" s="239"/>
      <c r="BN279" s="965" t="e">
        <f t="shared" si="269"/>
        <v>#VALUE!</v>
      </c>
      <c r="BO279" s="878" t="e">
        <f t="shared" si="270"/>
        <v>#VALUE!</v>
      </c>
      <c r="BP279" s="878" t="e">
        <f t="shared" si="271"/>
        <v>#VALUE!</v>
      </c>
      <c r="BQ279" s="878" t="e">
        <f t="shared" si="272"/>
        <v>#VALUE!</v>
      </c>
      <c r="BR279" s="878" t="e">
        <f t="shared" si="273"/>
        <v>#VALUE!</v>
      </c>
      <c r="BS279" s="966" t="e">
        <f t="shared" si="274"/>
        <v>#VALUE!</v>
      </c>
    </row>
    <row r="280" spans="1:71">
      <c r="A280" s="284">
        <f t="shared" si="275"/>
        <v>212</v>
      </c>
      <c r="B280" s="285">
        <v>-1.108712835015619</v>
      </c>
      <c r="C280" s="285">
        <v>2.7614515305597132</v>
      </c>
      <c r="D280" s="285">
        <v>1.3099452961680136E-2</v>
      </c>
      <c r="E280" s="285">
        <v>-1.2891696957594623</v>
      </c>
      <c r="H280" s="685">
        <f t="shared" si="221"/>
        <v>-2.2419466767846741</v>
      </c>
      <c r="I280" s="276">
        <f t="shared" si="222"/>
        <v>-1.9696528974387384</v>
      </c>
      <c r="J280" s="276">
        <f t="shared" si="223"/>
        <v>-6.0234312850633973</v>
      </c>
      <c r="K280" s="276">
        <f t="shared" si="224"/>
        <v>-0.19732583660738401</v>
      </c>
      <c r="L280" s="276">
        <f t="shared" si="225"/>
        <v>0.3157526419943335</v>
      </c>
      <c r="M280" s="276">
        <f t="shared" si="226"/>
        <v>-3.0326244580648458</v>
      </c>
      <c r="N280" s="685">
        <f t="shared" si="227"/>
        <v>1.5542803195878447</v>
      </c>
      <c r="O280" s="276">
        <f t="shared" si="228"/>
        <v>1.2688075748974892</v>
      </c>
      <c r="P280" s="276">
        <f t="shared" si="229"/>
        <v>0.83828791774497957</v>
      </c>
      <c r="Q280" s="276">
        <f t="shared" si="230"/>
        <v>1.2722126612385043</v>
      </c>
      <c r="R280" s="276">
        <f t="shared" si="231"/>
        <v>1.6706750305472322</v>
      </c>
      <c r="S280" s="686">
        <f t="shared" si="232"/>
        <v>1.4894455702983256</v>
      </c>
      <c r="T280" s="685">
        <f t="shared" si="233"/>
        <v>3.291463143232606</v>
      </c>
      <c r="U280" s="276">
        <f t="shared" si="234"/>
        <v>2.854454206605554</v>
      </c>
      <c r="V280" s="276">
        <f t="shared" si="235"/>
        <v>3.3371142867123171</v>
      </c>
      <c r="W280" s="276">
        <f t="shared" si="236"/>
        <v>4.7438036087602447</v>
      </c>
      <c r="X280" s="276">
        <f t="shared" si="237"/>
        <v>6.1760940750478923</v>
      </c>
      <c r="Y280" s="686">
        <f t="shared" si="238"/>
        <v>4.9496954058538876</v>
      </c>
      <c r="Z280" s="685" t="e">
        <f t="shared" si="239"/>
        <v>#DIV/0!</v>
      </c>
      <c r="AA280" s="276" t="e">
        <f t="shared" si="240"/>
        <v>#DIV/0!</v>
      </c>
      <c r="AB280" s="276" t="e">
        <f t="shared" si="241"/>
        <v>#DIV/0!</v>
      </c>
      <c r="AC280" s="276" t="e">
        <f t="shared" si="242"/>
        <v>#DIV/0!</v>
      </c>
      <c r="AD280" s="276" t="e">
        <f t="shared" si="243"/>
        <v>#DIV/0!</v>
      </c>
      <c r="AE280" s="686" t="e">
        <f t="shared" si="244"/>
        <v>#DIV/0!</v>
      </c>
      <c r="AF280" s="239"/>
      <c r="AG280" s="965" t="e">
        <f t="shared" si="215"/>
        <v>#VALUE!</v>
      </c>
      <c r="AH280" s="878" t="e">
        <f t="shared" si="216"/>
        <v>#VALUE!</v>
      </c>
      <c r="AI280" s="878" t="e">
        <f t="shared" si="217"/>
        <v>#VALUE!</v>
      </c>
      <c r="AJ280" s="878" t="e">
        <f t="shared" si="218"/>
        <v>#VALUE!</v>
      </c>
      <c r="AK280" s="878" t="e">
        <f t="shared" si="219"/>
        <v>#VALUE!</v>
      </c>
      <c r="AL280" s="966" t="e">
        <f t="shared" si="220"/>
        <v>#VALUE!</v>
      </c>
      <c r="AM280" s="239"/>
      <c r="AO280" s="685">
        <f t="shared" si="245"/>
        <v>-2.2419466767846741</v>
      </c>
      <c r="AP280" s="276">
        <f t="shared" si="246"/>
        <v>-1.9696528974387384</v>
      </c>
      <c r="AQ280" s="276">
        <f t="shared" si="247"/>
        <v>-6.0234312850633973</v>
      </c>
      <c r="AR280" s="276">
        <f t="shared" si="248"/>
        <v>-0.19732583660738401</v>
      </c>
      <c r="AS280" s="276">
        <f t="shared" si="249"/>
        <v>0.3157526419943335</v>
      </c>
      <c r="AT280" s="276">
        <f t="shared" si="250"/>
        <v>-3.0326244580648458</v>
      </c>
      <c r="AU280" s="685">
        <f t="shared" si="251"/>
        <v>1.5542803195878447</v>
      </c>
      <c r="AV280" s="276">
        <f t="shared" si="252"/>
        <v>1.2688075748974892</v>
      </c>
      <c r="AW280" s="276">
        <f t="shared" si="253"/>
        <v>0.83828791774497957</v>
      </c>
      <c r="AX280" s="276">
        <f t="shared" si="254"/>
        <v>1.2722126612385043</v>
      </c>
      <c r="AY280" s="276">
        <f t="shared" si="255"/>
        <v>1.6706750305472322</v>
      </c>
      <c r="AZ280" s="686">
        <f t="shared" si="256"/>
        <v>1.4894455702983256</v>
      </c>
      <c r="BA280" s="685">
        <f t="shared" si="257"/>
        <v>0</v>
      </c>
      <c r="BB280" s="276">
        <f t="shared" si="258"/>
        <v>0</v>
      </c>
      <c r="BC280" s="276">
        <f t="shared" si="259"/>
        <v>0</v>
      </c>
      <c r="BD280" s="276">
        <f t="shared" si="260"/>
        <v>0</v>
      </c>
      <c r="BE280" s="276">
        <f t="shared" si="261"/>
        <v>0</v>
      </c>
      <c r="BF280" s="686">
        <f t="shared" si="262"/>
        <v>0</v>
      </c>
      <c r="BG280" s="685" t="e">
        <f t="shared" si="263"/>
        <v>#DIV/0!</v>
      </c>
      <c r="BH280" s="276" t="e">
        <f t="shared" si="264"/>
        <v>#DIV/0!</v>
      </c>
      <c r="BI280" s="276" t="e">
        <f t="shared" si="265"/>
        <v>#DIV/0!</v>
      </c>
      <c r="BJ280" s="276" t="e">
        <f t="shared" si="266"/>
        <v>#DIV/0!</v>
      </c>
      <c r="BK280" s="276" t="e">
        <f t="shared" si="267"/>
        <v>#DIV/0!</v>
      </c>
      <c r="BL280" s="686" t="e">
        <f t="shared" si="268"/>
        <v>#DIV/0!</v>
      </c>
      <c r="BM280" s="239"/>
      <c r="BN280" s="965" t="e">
        <f t="shared" si="269"/>
        <v>#VALUE!</v>
      </c>
      <c r="BO280" s="878" t="e">
        <f t="shared" si="270"/>
        <v>#VALUE!</v>
      </c>
      <c r="BP280" s="878" t="e">
        <f t="shared" si="271"/>
        <v>#VALUE!</v>
      </c>
      <c r="BQ280" s="878" t="e">
        <f t="shared" si="272"/>
        <v>#VALUE!</v>
      </c>
      <c r="BR280" s="878" t="e">
        <f t="shared" si="273"/>
        <v>#VALUE!</v>
      </c>
      <c r="BS280" s="966" t="e">
        <f t="shared" si="274"/>
        <v>#VALUE!</v>
      </c>
    </row>
    <row r="281" spans="1:71">
      <c r="A281" s="284">
        <f t="shared" si="275"/>
        <v>213</v>
      </c>
      <c r="B281" s="285">
        <v>0.28230116220747542</v>
      </c>
      <c r="C281" s="285">
        <v>3.5978074250247873</v>
      </c>
      <c r="D281" s="285">
        <v>0.68318318783364229</v>
      </c>
      <c r="E281" s="285">
        <v>9.3386687373892947</v>
      </c>
      <c r="H281" s="685">
        <f t="shared" si="221"/>
        <v>-0.85093267956157947</v>
      </c>
      <c r="I281" s="276">
        <f t="shared" si="222"/>
        <v>-5.4837431130365584</v>
      </c>
      <c r="J281" s="276">
        <f t="shared" si="223"/>
        <v>1.3202861536752823</v>
      </c>
      <c r="K281" s="276">
        <f t="shared" si="224"/>
        <v>-3.4936913817714759</v>
      </c>
      <c r="L281" s="276">
        <f t="shared" si="225"/>
        <v>-1.6838217431166671</v>
      </c>
      <c r="M281" s="276">
        <f t="shared" si="226"/>
        <v>-0.24091861765839162</v>
      </c>
      <c r="N281" s="685">
        <f t="shared" si="227"/>
        <v>2.3906362140529192</v>
      </c>
      <c r="O281" s="276">
        <f t="shared" si="228"/>
        <v>0.73459970668913344</v>
      </c>
      <c r="P281" s="276">
        <f t="shared" si="229"/>
        <v>1.4808920980796116</v>
      </c>
      <c r="Q281" s="276">
        <f t="shared" si="230"/>
        <v>0.6302118382559363</v>
      </c>
      <c r="R281" s="276">
        <f t="shared" si="231"/>
        <v>1.5179837670703111</v>
      </c>
      <c r="S281" s="686">
        <f t="shared" si="232"/>
        <v>1.6090212601857992</v>
      </c>
      <c r="T281" s="685">
        <f t="shared" si="233"/>
        <v>3.961546878104568</v>
      </c>
      <c r="U281" s="276">
        <f t="shared" si="234"/>
        <v>3.5299470651729643</v>
      </c>
      <c r="V281" s="276">
        <f t="shared" si="235"/>
        <v>5.9256833203539063</v>
      </c>
      <c r="W281" s="276">
        <f t="shared" si="236"/>
        <v>1.7639581572738581</v>
      </c>
      <c r="X281" s="276">
        <f t="shared" si="237"/>
        <v>4.6467495264730321</v>
      </c>
      <c r="Y281" s="686">
        <f t="shared" si="238"/>
        <v>3.6760971124446575</v>
      </c>
      <c r="Z281" s="685" t="e">
        <f t="shared" si="239"/>
        <v>#DIV/0!</v>
      </c>
      <c r="AA281" s="276" t="e">
        <f t="shared" si="240"/>
        <v>#DIV/0!</v>
      </c>
      <c r="AB281" s="276" t="e">
        <f t="shared" si="241"/>
        <v>#DIV/0!</v>
      </c>
      <c r="AC281" s="276" t="e">
        <f t="shared" si="242"/>
        <v>#DIV/0!</v>
      </c>
      <c r="AD281" s="276" t="e">
        <f t="shared" si="243"/>
        <v>#DIV/0!</v>
      </c>
      <c r="AE281" s="686" t="e">
        <f t="shared" si="244"/>
        <v>#DIV/0!</v>
      </c>
      <c r="AF281" s="239"/>
      <c r="AG281" s="965" t="e">
        <f t="shared" si="215"/>
        <v>#VALUE!</v>
      </c>
      <c r="AH281" s="878" t="e">
        <f t="shared" si="216"/>
        <v>#VALUE!</v>
      </c>
      <c r="AI281" s="878" t="e">
        <f t="shared" si="217"/>
        <v>#VALUE!</v>
      </c>
      <c r="AJ281" s="878" t="e">
        <f t="shared" si="218"/>
        <v>#VALUE!</v>
      </c>
      <c r="AK281" s="878" t="e">
        <f t="shared" si="219"/>
        <v>#VALUE!</v>
      </c>
      <c r="AL281" s="966" t="e">
        <f t="shared" si="220"/>
        <v>#VALUE!</v>
      </c>
      <c r="AM281" s="239"/>
      <c r="AO281" s="685">
        <f t="shared" si="245"/>
        <v>-0.85093267956157947</v>
      </c>
      <c r="AP281" s="276">
        <f t="shared" si="246"/>
        <v>-5.4837431130365584</v>
      </c>
      <c r="AQ281" s="276">
        <f t="shared" si="247"/>
        <v>1.3202861536752823</v>
      </c>
      <c r="AR281" s="276">
        <f t="shared" si="248"/>
        <v>-3.4936913817714759</v>
      </c>
      <c r="AS281" s="276">
        <f t="shared" si="249"/>
        <v>-1.6838217431166671</v>
      </c>
      <c r="AT281" s="276">
        <f t="shared" si="250"/>
        <v>-0.24091861765839162</v>
      </c>
      <c r="AU281" s="685">
        <f t="shared" si="251"/>
        <v>2.3906362140529192</v>
      </c>
      <c r="AV281" s="276">
        <f t="shared" si="252"/>
        <v>0.73459970668913344</v>
      </c>
      <c r="AW281" s="276">
        <f t="shared" si="253"/>
        <v>1.4808920980796116</v>
      </c>
      <c r="AX281" s="276">
        <f t="shared" si="254"/>
        <v>0.6302118382559363</v>
      </c>
      <c r="AY281" s="276">
        <f t="shared" si="255"/>
        <v>1.5179837670703111</v>
      </c>
      <c r="AZ281" s="686">
        <f t="shared" si="256"/>
        <v>1.6090212601857992</v>
      </c>
      <c r="BA281" s="685">
        <f t="shared" si="257"/>
        <v>0</v>
      </c>
      <c r="BB281" s="276">
        <f t="shared" si="258"/>
        <v>0</v>
      </c>
      <c r="BC281" s="276">
        <f t="shared" si="259"/>
        <v>0</v>
      </c>
      <c r="BD281" s="276">
        <f t="shared" si="260"/>
        <v>0</v>
      </c>
      <c r="BE281" s="276">
        <f t="shared" si="261"/>
        <v>0</v>
      </c>
      <c r="BF281" s="686">
        <f t="shared" si="262"/>
        <v>0</v>
      </c>
      <c r="BG281" s="685" t="e">
        <f t="shared" si="263"/>
        <v>#DIV/0!</v>
      </c>
      <c r="BH281" s="276" t="e">
        <f t="shared" si="264"/>
        <v>#DIV/0!</v>
      </c>
      <c r="BI281" s="276" t="e">
        <f t="shared" si="265"/>
        <v>#DIV/0!</v>
      </c>
      <c r="BJ281" s="276" t="e">
        <f t="shared" si="266"/>
        <v>#DIV/0!</v>
      </c>
      <c r="BK281" s="276" t="e">
        <f t="shared" si="267"/>
        <v>#DIV/0!</v>
      </c>
      <c r="BL281" s="686" t="e">
        <f t="shared" si="268"/>
        <v>#DIV/0!</v>
      </c>
      <c r="BM281" s="239"/>
      <c r="BN281" s="965" t="e">
        <f t="shared" si="269"/>
        <v>#VALUE!</v>
      </c>
      <c r="BO281" s="878" t="e">
        <f t="shared" si="270"/>
        <v>#VALUE!</v>
      </c>
      <c r="BP281" s="878" t="e">
        <f t="shared" si="271"/>
        <v>#VALUE!</v>
      </c>
      <c r="BQ281" s="878" t="e">
        <f t="shared" si="272"/>
        <v>#VALUE!</v>
      </c>
      <c r="BR281" s="878" t="e">
        <f t="shared" si="273"/>
        <v>#VALUE!</v>
      </c>
      <c r="BS281" s="966" t="e">
        <f t="shared" si="274"/>
        <v>#VALUE!</v>
      </c>
    </row>
    <row r="282" spans="1:71">
      <c r="A282" s="284">
        <f t="shared" si="275"/>
        <v>214</v>
      </c>
      <c r="B282" s="285">
        <v>1.3035153415353704</v>
      </c>
      <c r="C282" s="285">
        <v>2.5637917885299673</v>
      </c>
      <c r="D282" s="285">
        <v>1.3223427138092159</v>
      </c>
      <c r="E282" s="285">
        <v>-6.1507317160280586</v>
      </c>
      <c r="H282" s="685">
        <f t="shared" si="221"/>
        <v>0.17028149976631557</v>
      </c>
      <c r="I282" s="276">
        <f t="shared" si="222"/>
        <v>0.46211721148273122</v>
      </c>
      <c r="J282" s="276">
        <f t="shared" si="223"/>
        <v>-4.7548199332271741</v>
      </c>
      <c r="K282" s="276">
        <f t="shared" si="224"/>
        <v>0.10820371391890249</v>
      </c>
      <c r="L282" s="276">
        <f t="shared" si="225"/>
        <v>-1.4883382450963425</v>
      </c>
      <c r="M282" s="276">
        <f t="shared" si="226"/>
        <v>-2.3984229171093827</v>
      </c>
      <c r="N282" s="685">
        <f t="shared" si="227"/>
        <v>1.3566205775580988</v>
      </c>
      <c r="O282" s="276">
        <f t="shared" si="228"/>
        <v>1.8327254495563123</v>
      </c>
      <c r="P282" s="276">
        <f t="shared" si="229"/>
        <v>0.92967788774107363</v>
      </c>
      <c r="Q282" s="276">
        <f t="shared" si="230"/>
        <v>1.1571572270880648</v>
      </c>
      <c r="R282" s="276">
        <f t="shared" si="231"/>
        <v>1.6783346464449915</v>
      </c>
      <c r="S282" s="686">
        <f t="shared" si="232"/>
        <v>0.27824857574517936</v>
      </c>
      <c r="T282" s="685">
        <f t="shared" si="233"/>
        <v>4.6007064040801415</v>
      </c>
      <c r="U282" s="276">
        <f t="shared" si="234"/>
        <v>5.1843836791144993</v>
      </c>
      <c r="V282" s="276">
        <f t="shared" si="235"/>
        <v>4.5414264171179353</v>
      </c>
      <c r="W282" s="276">
        <f t="shared" si="236"/>
        <v>5.9511262372012492</v>
      </c>
      <c r="X282" s="276">
        <f t="shared" si="237"/>
        <v>3.062601750649403</v>
      </c>
      <c r="Y282" s="686">
        <f t="shared" si="238"/>
        <v>3.900398767468598</v>
      </c>
      <c r="Z282" s="685" t="e">
        <f t="shared" si="239"/>
        <v>#DIV/0!</v>
      </c>
      <c r="AA282" s="276" t="e">
        <f t="shared" si="240"/>
        <v>#DIV/0!</v>
      </c>
      <c r="AB282" s="276" t="e">
        <f t="shared" si="241"/>
        <v>#DIV/0!</v>
      </c>
      <c r="AC282" s="276" t="e">
        <f t="shared" si="242"/>
        <v>#DIV/0!</v>
      </c>
      <c r="AD282" s="276" t="e">
        <f t="shared" si="243"/>
        <v>#DIV/0!</v>
      </c>
      <c r="AE282" s="686" t="e">
        <f t="shared" si="244"/>
        <v>#DIV/0!</v>
      </c>
      <c r="AF282" s="239"/>
      <c r="AG282" s="965" t="e">
        <f t="shared" si="215"/>
        <v>#VALUE!</v>
      </c>
      <c r="AH282" s="878" t="e">
        <f t="shared" si="216"/>
        <v>#VALUE!</v>
      </c>
      <c r="AI282" s="878" t="e">
        <f t="shared" si="217"/>
        <v>#VALUE!</v>
      </c>
      <c r="AJ282" s="878" t="e">
        <f t="shared" si="218"/>
        <v>#VALUE!</v>
      </c>
      <c r="AK282" s="878" t="e">
        <f t="shared" si="219"/>
        <v>#VALUE!</v>
      </c>
      <c r="AL282" s="966" t="e">
        <f t="shared" si="220"/>
        <v>#VALUE!</v>
      </c>
      <c r="AM282" s="239"/>
      <c r="AO282" s="685">
        <f t="shared" si="245"/>
        <v>0.17028149976631557</v>
      </c>
      <c r="AP282" s="276">
        <f t="shared" si="246"/>
        <v>0.46211721148273122</v>
      </c>
      <c r="AQ282" s="276">
        <f t="shared" si="247"/>
        <v>-4.7548199332271741</v>
      </c>
      <c r="AR282" s="276">
        <f t="shared" si="248"/>
        <v>0.10820371391890249</v>
      </c>
      <c r="AS282" s="276">
        <f t="shared" si="249"/>
        <v>-1.4883382450963425</v>
      </c>
      <c r="AT282" s="276">
        <f t="shared" si="250"/>
        <v>-2.3984229171093827</v>
      </c>
      <c r="AU282" s="685">
        <f t="shared" si="251"/>
        <v>1.3566205775580988</v>
      </c>
      <c r="AV282" s="276">
        <f t="shared" si="252"/>
        <v>1.8327254495563123</v>
      </c>
      <c r="AW282" s="276">
        <f t="shared" si="253"/>
        <v>0.92967788774107363</v>
      </c>
      <c r="AX282" s="276">
        <f t="shared" si="254"/>
        <v>1.1571572270880648</v>
      </c>
      <c r="AY282" s="276">
        <f t="shared" si="255"/>
        <v>1.6783346464449915</v>
      </c>
      <c r="AZ282" s="686">
        <f t="shared" si="256"/>
        <v>0.27824857574517936</v>
      </c>
      <c r="BA282" s="685">
        <f t="shared" si="257"/>
        <v>0</v>
      </c>
      <c r="BB282" s="276">
        <f t="shared" si="258"/>
        <v>0</v>
      </c>
      <c r="BC282" s="276">
        <f t="shared" si="259"/>
        <v>0</v>
      </c>
      <c r="BD282" s="276">
        <f t="shared" si="260"/>
        <v>0</v>
      </c>
      <c r="BE282" s="276">
        <f t="shared" si="261"/>
        <v>0</v>
      </c>
      <c r="BF282" s="686">
        <f t="shared" si="262"/>
        <v>0</v>
      </c>
      <c r="BG282" s="685" t="e">
        <f t="shared" si="263"/>
        <v>#DIV/0!</v>
      </c>
      <c r="BH282" s="276" t="e">
        <f t="shared" si="264"/>
        <v>#DIV/0!</v>
      </c>
      <c r="BI282" s="276" t="e">
        <f t="shared" si="265"/>
        <v>#DIV/0!</v>
      </c>
      <c r="BJ282" s="276" t="e">
        <f t="shared" si="266"/>
        <v>#DIV/0!</v>
      </c>
      <c r="BK282" s="276" t="e">
        <f t="shared" si="267"/>
        <v>#DIV/0!</v>
      </c>
      <c r="BL282" s="686" t="e">
        <f t="shared" si="268"/>
        <v>#DIV/0!</v>
      </c>
      <c r="BM282" s="239"/>
      <c r="BN282" s="965" t="e">
        <f t="shared" si="269"/>
        <v>#VALUE!</v>
      </c>
      <c r="BO282" s="878" t="e">
        <f t="shared" si="270"/>
        <v>#VALUE!</v>
      </c>
      <c r="BP282" s="878" t="e">
        <f t="shared" si="271"/>
        <v>#VALUE!</v>
      </c>
      <c r="BQ282" s="878" t="e">
        <f t="shared" si="272"/>
        <v>#VALUE!</v>
      </c>
      <c r="BR282" s="878" t="e">
        <f t="shared" si="273"/>
        <v>#VALUE!</v>
      </c>
      <c r="BS282" s="966" t="e">
        <f t="shared" si="274"/>
        <v>#VALUE!</v>
      </c>
    </row>
    <row r="283" spans="1:71">
      <c r="A283" s="284">
        <f t="shared" si="275"/>
        <v>215</v>
      </c>
      <c r="B283" s="285">
        <v>2.2726787499542946</v>
      </c>
      <c r="C283" s="285">
        <v>2.6931308090747192</v>
      </c>
      <c r="D283" s="285">
        <v>1.3807624537948806</v>
      </c>
      <c r="E283" s="285">
        <v>1.4780514691831796</v>
      </c>
      <c r="H283" s="685">
        <f t="shared" si="221"/>
        <v>1.1394449081852398</v>
      </c>
      <c r="I283" s="276">
        <f t="shared" si="222"/>
        <v>1.5713355490157703</v>
      </c>
      <c r="J283" s="276">
        <f t="shared" si="223"/>
        <v>-8.8551965465335503E-3</v>
      </c>
      <c r="K283" s="276">
        <f t="shared" si="224"/>
        <v>-1.5418068968566723</v>
      </c>
      <c r="L283" s="276">
        <f t="shared" si="225"/>
        <v>-1.0524900135883979</v>
      </c>
      <c r="M283" s="276">
        <f t="shared" si="226"/>
        <v>-0.14562079365255687</v>
      </c>
      <c r="N283" s="685">
        <f t="shared" si="227"/>
        <v>1.4859595981028508</v>
      </c>
      <c r="O283" s="276">
        <f t="shared" si="228"/>
        <v>1.6416652582274234</v>
      </c>
      <c r="P283" s="276">
        <f t="shared" si="229"/>
        <v>0.90680455903625812</v>
      </c>
      <c r="Q283" s="276">
        <f t="shared" si="230"/>
        <v>2.006279651840063</v>
      </c>
      <c r="R283" s="276">
        <f t="shared" si="231"/>
        <v>1.3223893618523814</v>
      </c>
      <c r="S283" s="686">
        <f t="shared" si="232"/>
        <v>1.3617128332314541</v>
      </c>
      <c r="T283" s="685">
        <f t="shared" si="233"/>
        <v>4.6591261440658069</v>
      </c>
      <c r="U283" s="276">
        <f t="shared" si="234"/>
        <v>2.9946460600935811</v>
      </c>
      <c r="V283" s="276">
        <f t="shared" si="235"/>
        <v>4.8279224017798201</v>
      </c>
      <c r="W283" s="276">
        <f t="shared" si="236"/>
        <v>4.7338125946351823</v>
      </c>
      <c r="X283" s="276">
        <f t="shared" si="237"/>
        <v>4.3850401382838369</v>
      </c>
      <c r="Y283" s="686">
        <f t="shared" si="238"/>
        <v>5.9420460103133959</v>
      </c>
      <c r="Z283" s="685" t="e">
        <f t="shared" si="239"/>
        <v>#DIV/0!</v>
      </c>
      <c r="AA283" s="276" t="e">
        <f t="shared" si="240"/>
        <v>#DIV/0!</v>
      </c>
      <c r="AB283" s="276" t="e">
        <f t="shared" si="241"/>
        <v>#DIV/0!</v>
      </c>
      <c r="AC283" s="276" t="e">
        <f t="shared" si="242"/>
        <v>#DIV/0!</v>
      </c>
      <c r="AD283" s="276" t="e">
        <f t="shared" si="243"/>
        <v>#DIV/0!</v>
      </c>
      <c r="AE283" s="686" t="e">
        <f t="shared" si="244"/>
        <v>#DIV/0!</v>
      </c>
      <c r="AF283" s="239"/>
      <c r="AG283" s="965" t="e">
        <f t="shared" si="215"/>
        <v>#VALUE!</v>
      </c>
      <c r="AH283" s="878" t="e">
        <f t="shared" si="216"/>
        <v>#VALUE!</v>
      </c>
      <c r="AI283" s="878" t="e">
        <f t="shared" si="217"/>
        <v>#VALUE!</v>
      </c>
      <c r="AJ283" s="878" t="e">
        <f t="shared" si="218"/>
        <v>#VALUE!</v>
      </c>
      <c r="AK283" s="878" t="e">
        <f t="shared" si="219"/>
        <v>#VALUE!</v>
      </c>
      <c r="AL283" s="966" t="e">
        <f t="shared" si="220"/>
        <v>#VALUE!</v>
      </c>
      <c r="AM283" s="239"/>
      <c r="AO283" s="685">
        <f t="shared" si="245"/>
        <v>1.1394449081852398</v>
      </c>
      <c r="AP283" s="276">
        <f t="shared" si="246"/>
        <v>1.5713355490157703</v>
      </c>
      <c r="AQ283" s="276">
        <f t="shared" si="247"/>
        <v>-8.8551965465335503E-3</v>
      </c>
      <c r="AR283" s="276">
        <f t="shared" si="248"/>
        <v>-1.5418068968566723</v>
      </c>
      <c r="AS283" s="276">
        <f t="shared" si="249"/>
        <v>-1.0524900135883979</v>
      </c>
      <c r="AT283" s="276">
        <f t="shared" si="250"/>
        <v>-0.14562079365255687</v>
      </c>
      <c r="AU283" s="685">
        <f t="shared" si="251"/>
        <v>1.4859595981028508</v>
      </c>
      <c r="AV283" s="276">
        <f t="shared" si="252"/>
        <v>1.6416652582274234</v>
      </c>
      <c r="AW283" s="276">
        <f t="shared" si="253"/>
        <v>0.90680455903625812</v>
      </c>
      <c r="AX283" s="276">
        <f t="shared" si="254"/>
        <v>2.006279651840063</v>
      </c>
      <c r="AY283" s="276">
        <f t="shared" si="255"/>
        <v>1.3223893618523814</v>
      </c>
      <c r="AZ283" s="686">
        <f t="shared" si="256"/>
        <v>1.3617128332314541</v>
      </c>
      <c r="BA283" s="685">
        <f t="shared" si="257"/>
        <v>0</v>
      </c>
      <c r="BB283" s="276">
        <f t="shared" si="258"/>
        <v>0</v>
      </c>
      <c r="BC283" s="276">
        <f t="shared" si="259"/>
        <v>0</v>
      </c>
      <c r="BD283" s="276">
        <f t="shared" si="260"/>
        <v>0</v>
      </c>
      <c r="BE283" s="276">
        <f t="shared" si="261"/>
        <v>0</v>
      </c>
      <c r="BF283" s="686">
        <f t="shared" si="262"/>
        <v>0</v>
      </c>
      <c r="BG283" s="685" t="e">
        <f t="shared" si="263"/>
        <v>#DIV/0!</v>
      </c>
      <c r="BH283" s="276" t="e">
        <f t="shared" si="264"/>
        <v>#DIV/0!</v>
      </c>
      <c r="BI283" s="276" t="e">
        <f t="shared" si="265"/>
        <v>#DIV/0!</v>
      </c>
      <c r="BJ283" s="276" t="e">
        <f t="shared" si="266"/>
        <v>#DIV/0!</v>
      </c>
      <c r="BK283" s="276" t="e">
        <f t="shared" si="267"/>
        <v>#DIV/0!</v>
      </c>
      <c r="BL283" s="686" t="e">
        <f t="shared" si="268"/>
        <v>#DIV/0!</v>
      </c>
      <c r="BM283" s="239"/>
      <c r="BN283" s="965" t="e">
        <f t="shared" si="269"/>
        <v>#VALUE!</v>
      </c>
      <c r="BO283" s="878" t="e">
        <f t="shared" si="270"/>
        <v>#VALUE!</v>
      </c>
      <c r="BP283" s="878" t="e">
        <f t="shared" si="271"/>
        <v>#VALUE!</v>
      </c>
      <c r="BQ283" s="878" t="e">
        <f t="shared" si="272"/>
        <v>#VALUE!</v>
      </c>
      <c r="BR283" s="878" t="e">
        <f t="shared" si="273"/>
        <v>#VALUE!</v>
      </c>
      <c r="BS283" s="966" t="e">
        <f t="shared" si="274"/>
        <v>#VALUE!</v>
      </c>
    </row>
    <row r="284" spans="1:71">
      <c r="A284" s="284">
        <f t="shared" si="275"/>
        <v>216</v>
      </c>
      <c r="B284" s="285">
        <v>-3.6586821805986234</v>
      </c>
      <c r="C284" s="285">
        <v>2.4211446169563771</v>
      </c>
      <c r="D284" s="285">
        <v>-1.3154073336491221</v>
      </c>
      <c r="E284" s="285">
        <v>16.912944333041441</v>
      </c>
      <c r="H284" s="685">
        <f t="shared" si="221"/>
        <v>-4.791916022367678</v>
      </c>
      <c r="I284" s="276">
        <f t="shared" si="222"/>
        <v>-2.1321180060936582</v>
      </c>
      <c r="J284" s="276">
        <f t="shared" si="223"/>
        <v>-3.3109983585991358</v>
      </c>
      <c r="K284" s="276">
        <f t="shared" si="224"/>
        <v>-1.1489700515133094</v>
      </c>
      <c r="L284" s="276">
        <f t="shared" si="225"/>
        <v>1.4091430071108333</v>
      </c>
      <c r="M284" s="276">
        <f t="shared" si="226"/>
        <v>-5.2307752428205232</v>
      </c>
      <c r="N284" s="685">
        <f t="shared" si="227"/>
        <v>1.2139734059845086</v>
      </c>
      <c r="O284" s="276">
        <f t="shared" si="228"/>
        <v>0.4861251263941011</v>
      </c>
      <c r="P284" s="276">
        <f t="shared" si="229"/>
        <v>1.3578819362012762</v>
      </c>
      <c r="Q284" s="276">
        <f t="shared" si="230"/>
        <v>0.62094163875461539</v>
      </c>
      <c r="R284" s="276">
        <f t="shared" si="231"/>
        <v>0.71375365903058241</v>
      </c>
      <c r="S284" s="686">
        <f t="shared" si="232"/>
        <v>1.1523361451808791</v>
      </c>
      <c r="T284" s="685">
        <f t="shared" si="233"/>
        <v>1.9629563566218038</v>
      </c>
      <c r="U284" s="276">
        <f t="shared" si="234"/>
        <v>6.0799758809165887</v>
      </c>
      <c r="V284" s="276">
        <f t="shared" si="235"/>
        <v>3.2664573963915218</v>
      </c>
      <c r="W284" s="276">
        <f t="shared" si="236"/>
        <v>4.396965048721178</v>
      </c>
      <c r="X284" s="276">
        <f t="shared" si="237"/>
        <v>5.7539204894100315</v>
      </c>
      <c r="Y284" s="686">
        <f t="shared" si="238"/>
        <v>2.4442997059027927</v>
      </c>
      <c r="Z284" s="685" t="e">
        <f t="shared" si="239"/>
        <v>#DIV/0!</v>
      </c>
      <c r="AA284" s="276" t="e">
        <f t="shared" si="240"/>
        <v>#DIV/0!</v>
      </c>
      <c r="AB284" s="276" t="e">
        <f t="shared" si="241"/>
        <v>#DIV/0!</v>
      </c>
      <c r="AC284" s="276" t="e">
        <f t="shared" si="242"/>
        <v>#DIV/0!</v>
      </c>
      <c r="AD284" s="276" t="e">
        <f t="shared" si="243"/>
        <v>#DIV/0!</v>
      </c>
      <c r="AE284" s="686" t="e">
        <f t="shared" si="244"/>
        <v>#DIV/0!</v>
      </c>
      <c r="AF284" s="239"/>
      <c r="AG284" s="965" t="e">
        <f t="shared" si="215"/>
        <v>#VALUE!</v>
      </c>
      <c r="AH284" s="878" t="e">
        <f t="shared" si="216"/>
        <v>#VALUE!</v>
      </c>
      <c r="AI284" s="878" t="e">
        <f t="shared" si="217"/>
        <v>#VALUE!</v>
      </c>
      <c r="AJ284" s="878" t="e">
        <f t="shared" si="218"/>
        <v>#VALUE!</v>
      </c>
      <c r="AK284" s="878" t="e">
        <f t="shared" si="219"/>
        <v>#VALUE!</v>
      </c>
      <c r="AL284" s="966" t="e">
        <f t="shared" si="220"/>
        <v>#VALUE!</v>
      </c>
      <c r="AM284" s="239"/>
      <c r="AO284" s="685">
        <f t="shared" si="245"/>
        <v>-4.791916022367678</v>
      </c>
      <c r="AP284" s="276">
        <f t="shared" si="246"/>
        <v>-2.1321180060936582</v>
      </c>
      <c r="AQ284" s="276">
        <f t="shared" si="247"/>
        <v>-3.3109983585991358</v>
      </c>
      <c r="AR284" s="276">
        <f t="shared" si="248"/>
        <v>-1.1489700515133094</v>
      </c>
      <c r="AS284" s="276">
        <f t="shared" si="249"/>
        <v>1.4091430071108333</v>
      </c>
      <c r="AT284" s="276">
        <f t="shared" si="250"/>
        <v>-5.2307752428205232</v>
      </c>
      <c r="AU284" s="685">
        <f t="shared" si="251"/>
        <v>1.2139734059845086</v>
      </c>
      <c r="AV284" s="276">
        <f t="shared" si="252"/>
        <v>0.4861251263941011</v>
      </c>
      <c r="AW284" s="276">
        <f t="shared" si="253"/>
        <v>1.3578819362012762</v>
      </c>
      <c r="AX284" s="276">
        <f t="shared" si="254"/>
        <v>0.62094163875461539</v>
      </c>
      <c r="AY284" s="276">
        <f t="shared" si="255"/>
        <v>0.71375365903058241</v>
      </c>
      <c r="AZ284" s="686">
        <f t="shared" si="256"/>
        <v>1.1523361451808791</v>
      </c>
      <c r="BA284" s="685">
        <f t="shared" si="257"/>
        <v>0</v>
      </c>
      <c r="BB284" s="276">
        <f t="shared" si="258"/>
        <v>0</v>
      </c>
      <c r="BC284" s="276">
        <f t="shared" si="259"/>
        <v>0</v>
      </c>
      <c r="BD284" s="276">
        <f t="shared" si="260"/>
        <v>0</v>
      </c>
      <c r="BE284" s="276">
        <f t="shared" si="261"/>
        <v>0</v>
      </c>
      <c r="BF284" s="686">
        <f t="shared" si="262"/>
        <v>0</v>
      </c>
      <c r="BG284" s="685" t="e">
        <f t="shared" si="263"/>
        <v>#DIV/0!</v>
      </c>
      <c r="BH284" s="276" t="e">
        <f t="shared" si="264"/>
        <v>#DIV/0!</v>
      </c>
      <c r="BI284" s="276" t="e">
        <f t="shared" si="265"/>
        <v>#DIV/0!</v>
      </c>
      <c r="BJ284" s="276" t="e">
        <f t="shared" si="266"/>
        <v>#DIV/0!</v>
      </c>
      <c r="BK284" s="276" t="e">
        <f t="shared" si="267"/>
        <v>#DIV/0!</v>
      </c>
      <c r="BL284" s="686" t="e">
        <f t="shared" si="268"/>
        <v>#DIV/0!</v>
      </c>
      <c r="BM284" s="239"/>
      <c r="BN284" s="965" t="e">
        <f t="shared" si="269"/>
        <v>#VALUE!</v>
      </c>
      <c r="BO284" s="878" t="e">
        <f t="shared" si="270"/>
        <v>#VALUE!</v>
      </c>
      <c r="BP284" s="878" t="e">
        <f t="shared" si="271"/>
        <v>#VALUE!</v>
      </c>
      <c r="BQ284" s="878" t="e">
        <f t="shared" si="272"/>
        <v>#VALUE!</v>
      </c>
      <c r="BR284" s="878" t="e">
        <f t="shared" si="273"/>
        <v>#VALUE!</v>
      </c>
      <c r="BS284" s="966" t="e">
        <f t="shared" si="274"/>
        <v>#VALUE!</v>
      </c>
    </row>
    <row r="285" spans="1:71">
      <c r="A285" s="284">
        <f t="shared" si="275"/>
        <v>217</v>
      </c>
      <c r="B285" s="285">
        <v>-0.80898260782859133</v>
      </c>
      <c r="C285" s="285">
        <v>2.0317511190409192</v>
      </c>
      <c r="D285" s="285">
        <v>2.2294508108973758</v>
      </c>
      <c r="E285" s="285">
        <v>-16.943491122019289</v>
      </c>
      <c r="H285" s="685">
        <f t="shared" si="221"/>
        <v>-1.9422164495976462</v>
      </c>
      <c r="I285" s="276">
        <f t="shared" si="222"/>
        <v>-0.80782723536695866</v>
      </c>
      <c r="J285" s="276">
        <f t="shared" si="223"/>
        <v>-0.62226352669100193</v>
      </c>
      <c r="K285" s="276">
        <f t="shared" si="224"/>
        <v>-2.2808862151937634</v>
      </c>
      <c r="L285" s="276">
        <f t="shared" si="225"/>
        <v>-1.8855646098579162</v>
      </c>
      <c r="M285" s="276">
        <f t="shared" si="226"/>
        <v>-1.0699977676259844</v>
      </c>
      <c r="N285" s="685">
        <f t="shared" si="227"/>
        <v>0.82457990806905079</v>
      </c>
      <c r="O285" s="276">
        <f t="shared" si="228"/>
        <v>1.341229589159233</v>
      </c>
      <c r="P285" s="276">
        <f t="shared" si="229"/>
        <v>1.8322696562716383</v>
      </c>
      <c r="Q285" s="276">
        <f t="shared" si="230"/>
        <v>1.5648951917422329</v>
      </c>
      <c r="R285" s="276">
        <f t="shared" si="231"/>
        <v>1.9782368827752264</v>
      </c>
      <c r="S285" s="686">
        <f t="shared" si="232"/>
        <v>1.2601325574154092</v>
      </c>
      <c r="T285" s="685">
        <f t="shared" si="233"/>
        <v>5.5078145011683013</v>
      </c>
      <c r="U285" s="276">
        <f t="shared" si="234"/>
        <v>4.4898925219146815</v>
      </c>
      <c r="V285" s="276">
        <f t="shared" si="235"/>
        <v>2.865126467897344</v>
      </c>
      <c r="W285" s="276">
        <f t="shared" si="236"/>
        <v>4.6815190111769356</v>
      </c>
      <c r="X285" s="276">
        <f t="shared" si="237"/>
        <v>2.1536964478318121</v>
      </c>
      <c r="Y285" s="686">
        <f t="shared" si="238"/>
        <v>4.0811321582307505</v>
      </c>
      <c r="Z285" s="685" t="e">
        <f t="shared" si="239"/>
        <v>#DIV/0!</v>
      </c>
      <c r="AA285" s="276" t="e">
        <f t="shared" si="240"/>
        <v>#DIV/0!</v>
      </c>
      <c r="AB285" s="276" t="e">
        <f t="shared" si="241"/>
        <v>#DIV/0!</v>
      </c>
      <c r="AC285" s="276" t="e">
        <f t="shared" si="242"/>
        <v>#DIV/0!</v>
      </c>
      <c r="AD285" s="276" t="e">
        <f t="shared" si="243"/>
        <v>#DIV/0!</v>
      </c>
      <c r="AE285" s="686" t="e">
        <f t="shared" si="244"/>
        <v>#DIV/0!</v>
      </c>
      <c r="AF285" s="239"/>
      <c r="AG285" s="965" t="e">
        <f t="shared" si="215"/>
        <v>#VALUE!</v>
      </c>
      <c r="AH285" s="878" t="e">
        <f t="shared" si="216"/>
        <v>#VALUE!</v>
      </c>
      <c r="AI285" s="878" t="e">
        <f t="shared" si="217"/>
        <v>#VALUE!</v>
      </c>
      <c r="AJ285" s="878" t="e">
        <f t="shared" si="218"/>
        <v>#VALUE!</v>
      </c>
      <c r="AK285" s="878" t="e">
        <f t="shared" si="219"/>
        <v>#VALUE!</v>
      </c>
      <c r="AL285" s="966" t="e">
        <f t="shared" si="220"/>
        <v>#VALUE!</v>
      </c>
      <c r="AM285" s="239"/>
      <c r="AO285" s="685">
        <f t="shared" si="245"/>
        <v>-1.9422164495976462</v>
      </c>
      <c r="AP285" s="276">
        <f t="shared" si="246"/>
        <v>-0.80782723536695866</v>
      </c>
      <c r="AQ285" s="276">
        <f t="shared" si="247"/>
        <v>-0.62226352669100193</v>
      </c>
      <c r="AR285" s="276">
        <f t="shared" si="248"/>
        <v>-2.2808862151937634</v>
      </c>
      <c r="AS285" s="276">
        <f t="shared" si="249"/>
        <v>-1.8855646098579162</v>
      </c>
      <c r="AT285" s="276">
        <f t="shared" si="250"/>
        <v>-1.0699977676259844</v>
      </c>
      <c r="AU285" s="685">
        <f t="shared" si="251"/>
        <v>0.82457990806905079</v>
      </c>
      <c r="AV285" s="276">
        <f t="shared" si="252"/>
        <v>1.341229589159233</v>
      </c>
      <c r="AW285" s="276">
        <f t="shared" si="253"/>
        <v>1.8322696562716383</v>
      </c>
      <c r="AX285" s="276">
        <f t="shared" si="254"/>
        <v>1.5648951917422329</v>
      </c>
      <c r="AY285" s="276">
        <f t="shared" si="255"/>
        <v>1.9782368827752264</v>
      </c>
      <c r="AZ285" s="686">
        <f t="shared" si="256"/>
        <v>1.2601325574154092</v>
      </c>
      <c r="BA285" s="685">
        <f t="shared" si="257"/>
        <v>0</v>
      </c>
      <c r="BB285" s="276">
        <f t="shared" si="258"/>
        <v>0</v>
      </c>
      <c r="BC285" s="276">
        <f t="shared" si="259"/>
        <v>0</v>
      </c>
      <c r="BD285" s="276">
        <f t="shared" si="260"/>
        <v>0</v>
      </c>
      <c r="BE285" s="276">
        <f t="shared" si="261"/>
        <v>0</v>
      </c>
      <c r="BF285" s="686">
        <f t="shared" si="262"/>
        <v>0</v>
      </c>
      <c r="BG285" s="685" t="e">
        <f t="shared" si="263"/>
        <v>#DIV/0!</v>
      </c>
      <c r="BH285" s="276" t="e">
        <f t="shared" si="264"/>
        <v>#DIV/0!</v>
      </c>
      <c r="BI285" s="276" t="e">
        <f t="shared" si="265"/>
        <v>#DIV/0!</v>
      </c>
      <c r="BJ285" s="276" t="e">
        <f t="shared" si="266"/>
        <v>#DIV/0!</v>
      </c>
      <c r="BK285" s="276" t="e">
        <f t="shared" si="267"/>
        <v>#DIV/0!</v>
      </c>
      <c r="BL285" s="686" t="e">
        <f t="shared" si="268"/>
        <v>#DIV/0!</v>
      </c>
      <c r="BM285" s="239"/>
      <c r="BN285" s="965" t="e">
        <f t="shared" si="269"/>
        <v>#VALUE!</v>
      </c>
      <c r="BO285" s="878" t="e">
        <f t="shared" si="270"/>
        <v>#VALUE!</v>
      </c>
      <c r="BP285" s="878" t="e">
        <f t="shared" si="271"/>
        <v>#VALUE!</v>
      </c>
      <c r="BQ285" s="878" t="e">
        <f t="shared" si="272"/>
        <v>#VALUE!</v>
      </c>
      <c r="BR285" s="878" t="e">
        <f t="shared" si="273"/>
        <v>#VALUE!</v>
      </c>
      <c r="BS285" s="966" t="e">
        <f t="shared" si="274"/>
        <v>#VALUE!</v>
      </c>
    </row>
    <row r="286" spans="1:71">
      <c r="A286" s="284">
        <f t="shared" si="275"/>
        <v>218</v>
      </c>
      <c r="B286" s="285">
        <v>-2.4198652274385064</v>
      </c>
      <c r="C286" s="285">
        <v>2.0758709508683837</v>
      </c>
      <c r="D286" s="285">
        <v>0.49060501117052446</v>
      </c>
      <c r="E286" s="285">
        <v>2.5346159724230426</v>
      </c>
      <c r="H286" s="685">
        <f t="shared" si="221"/>
        <v>-3.553099069207561</v>
      </c>
      <c r="I286" s="276">
        <f t="shared" si="222"/>
        <v>-2.3667333771898127</v>
      </c>
      <c r="J286" s="276">
        <f t="shared" si="223"/>
        <v>-1.9019760378639752</v>
      </c>
      <c r="K286" s="276">
        <f t="shared" si="224"/>
        <v>-2.3802451853078237</v>
      </c>
      <c r="L286" s="276">
        <f t="shared" si="225"/>
        <v>-0.32378249055693176</v>
      </c>
      <c r="M286" s="276">
        <f t="shared" si="226"/>
        <v>-3.0833556225265761</v>
      </c>
      <c r="N286" s="685">
        <f t="shared" si="227"/>
        <v>0.86869973989651528</v>
      </c>
      <c r="O286" s="276">
        <f t="shared" si="228"/>
        <v>1.4131116377973074</v>
      </c>
      <c r="P286" s="276">
        <f t="shared" si="229"/>
        <v>1.7420273697562509</v>
      </c>
      <c r="Q286" s="276">
        <f t="shared" si="230"/>
        <v>0.89579233325019714</v>
      </c>
      <c r="R286" s="276">
        <f t="shared" si="231"/>
        <v>1.385398754742529</v>
      </c>
      <c r="S286" s="686">
        <f t="shared" si="232"/>
        <v>0.84923614738466413</v>
      </c>
      <c r="T286" s="685">
        <f t="shared" si="233"/>
        <v>3.7689687014414504</v>
      </c>
      <c r="U286" s="276">
        <f t="shared" si="234"/>
        <v>3.6872811352206512</v>
      </c>
      <c r="V286" s="276">
        <f t="shared" si="235"/>
        <v>3.7540898465585251</v>
      </c>
      <c r="W286" s="276">
        <f t="shared" si="236"/>
        <v>3.4914712995209802</v>
      </c>
      <c r="X286" s="276">
        <f t="shared" si="237"/>
        <v>4.0187118748018085</v>
      </c>
      <c r="Y286" s="686">
        <f t="shared" si="238"/>
        <v>4.2872273236841441</v>
      </c>
      <c r="Z286" s="685" t="e">
        <f t="shared" si="239"/>
        <v>#DIV/0!</v>
      </c>
      <c r="AA286" s="276" t="e">
        <f t="shared" si="240"/>
        <v>#DIV/0!</v>
      </c>
      <c r="AB286" s="276" t="e">
        <f t="shared" si="241"/>
        <v>#DIV/0!</v>
      </c>
      <c r="AC286" s="276" t="e">
        <f t="shared" si="242"/>
        <v>#DIV/0!</v>
      </c>
      <c r="AD286" s="276" t="e">
        <f t="shared" si="243"/>
        <v>#DIV/0!</v>
      </c>
      <c r="AE286" s="686" t="e">
        <f t="shared" si="244"/>
        <v>#DIV/0!</v>
      </c>
      <c r="AF286" s="239"/>
      <c r="AG286" s="965" t="e">
        <f t="shared" si="215"/>
        <v>#VALUE!</v>
      </c>
      <c r="AH286" s="878" t="e">
        <f t="shared" si="216"/>
        <v>#VALUE!</v>
      </c>
      <c r="AI286" s="878" t="e">
        <f t="shared" si="217"/>
        <v>#VALUE!</v>
      </c>
      <c r="AJ286" s="878" t="e">
        <f t="shared" si="218"/>
        <v>#VALUE!</v>
      </c>
      <c r="AK286" s="878" t="e">
        <f t="shared" si="219"/>
        <v>#VALUE!</v>
      </c>
      <c r="AL286" s="966" t="e">
        <f t="shared" si="220"/>
        <v>#VALUE!</v>
      </c>
      <c r="AM286" s="239"/>
      <c r="AO286" s="685">
        <f t="shared" si="245"/>
        <v>-3.553099069207561</v>
      </c>
      <c r="AP286" s="276">
        <f t="shared" si="246"/>
        <v>-2.3667333771898127</v>
      </c>
      <c r="AQ286" s="276">
        <f t="shared" si="247"/>
        <v>-1.9019760378639752</v>
      </c>
      <c r="AR286" s="276">
        <f t="shared" si="248"/>
        <v>-2.3802451853078237</v>
      </c>
      <c r="AS286" s="276">
        <f t="shared" si="249"/>
        <v>-0.32378249055693176</v>
      </c>
      <c r="AT286" s="276">
        <f t="shared" si="250"/>
        <v>-3.0833556225265761</v>
      </c>
      <c r="AU286" s="685">
        <f t="shared" si="251"/>
        <v>0.86869973989651528</v>
      </c>
      <c r="AV286" s="276">
        <f t="shared" si="252"/>
        <v>1.4131116377973074</v>
      </c>
      <c r="AW286" s="276">
        <f t="shared" si="253"/>
        <v>1.7420273697562509</v>
      </c>
      <c r="AX286" s="276">
        <f t="shared" si="254"/>
        <v>0.89579233325019714</v>
      </c>
      <c r="AY286" s="276">
        <f t="shared" si="255"/>
        <v>1.385398754742529</v>
      </c>
      <c r="AZ286" s="686">
        <f t="shared" si="256"/>
        <v>0.84923614738466413</v>
      </c>
      <c r="BA286" s="685">
        <f t="shared" si="257"/>
        <v>0</v>
      </c>
      <c r="BB286" s="276">
        <f t="shared" si="258"/>
        <v>0</v>
      </c>
      <c r="BC286" s="276">
        <f t="shared" si="259"/>
        <v>0</v>
      </c>
      <c r="BD286" s="276">
        <f t="shared" si="260"/>
        <v>0</v>
      </c>
      <c r="BE286" s="276">
        <f t="shared" si="261"/>
        <v>0</v>
      </c>
      <c r="BF286" s="686">
        <f t="shared" si="262"/>
        <v>0</v>
      </c>
      <c r="BG286" s="685" t="e">
        <f t="shared" si="263"/>
        <v>#DIV/0!</v>
      </c>
      <c r="BH286" s="276" t="e">
        <f t="shared" si="264"/>
        <v>#DIV/0!</v>
      </c>
      <c r="BI286" s="276" t="e">
        <f t="shared" si="265"/>
        <v>#DIV/0!</v>
      </c>
      <c r="BJ286" s="276" t="e">
        <f t="shared" si="266"/>
        <v>#DIV/0!</v>
      </c>
      <c r="BK286" s="276" t="e">
        <f t="shared" si="267"/>
        <v>#DIV/0!</v>
      </c>
      <c r="BL286" s="686" t="e">
        <f t="shared" si="268"/>
        <v>#DIV/0!</v>
      </c>
      <c r="BM286" s="239"/>
      <c r="BN286" s="965" t="e">
        <f t="shared" si="269"/>
        <v>#VALUE!</v>
      </c>
      <c r="BO286" s="878" t="e">
        <f t="shared" si="270"/>
        <v>#VALUE!</v>
      </c>
      <c r="BP286" s="878" t="e">
        <f t="shared" si="271"/>
        <v>#VALUE!</v>
      </c>
      <c r="BQ286" s="878" t="e">
        <f t="shared" si="272"/>
        <v>#VALUE!</v>
      </c>
      <c r="BR286" s="878" t="e">
        <f t="shared" si="273"/>
        <v>#VALUE!</v>
      </c>
      <c r="BS286" s="966" t="e">
        <f t="shared" si="274"/>
        <v>#VALUE!</v>
      </c>
    </row>
    <row r="287" spans="1:71">
      <c r="A287" s="284">
        <f t="shared" si="275"/>
        <v>219</v>
      </c>
      <c r="B287" s="285">
        <v>-2.2743114320107889</v>
      </c>
      <c r="C287" s="285">
        <v>2.2961075385097254</v>
      </c>
      <c r="D287" s="285">
        <v>2.3073722673353845</v>
      </c>
      <c r="E287" s="285">
        <v>-3.7905026456625563</v>
      </c>
      <c r="H287" s="685">
        <f t="shared" si="221"/>
        <v>-3.407545273779844</v>
      </c>
      <c r="I287" s="276">
        <f t="shared" si="222"/>
        <v>-0.69880832186227926</v>
      </c>
      <c r="J287" s="276">
        <f t="shared" si="223"/>
        <v>-1.8174835598122976</v>
      </c>
      <c r="K287" s="276">
        <f t="shared" si="224"/>
        <v>0.62293721472427666</v>
      </c>
      <c r="L287" s="276">
        <f t="shared" si="225"/>
        <v>-1.5745371308285929</v>
      </c>
      <c r="M287" s="276">
        <f t="shared" si="226"/>
        <v>-4.4602864432766882</v>
      </c>
      <c r="N287" s="685">
        <f t="shared" si="227"/>
        <v>1.088936327537857</v>
      </c>
      <c r="O287" s="276">
        <f t="shared" si="228"/>
        <v>1.624774853388405</v>
      </c>
      <c r="P287" s="276">
        <f t="shared" si="229"/>
        <v>1.3796277151049907</v>
      </c>
      <c r="Q287" s="276">
        <f t="shared" si="230"/>
        <v>0.75461634387039589</v>
      </c>
      <c r="R287" s="276">
        <f t="shared" si="231"/>
        <v>1.2573257405756733</v>
      </c>
      <c r="S287" s="686">
        <f t="shared" si="232"/>
        <v>0.64930602389310965</v>
      </c>
      <c r="T287" s="685">
        <f t="shared" si="233"/>
        <v>5.5857359576063104</v>
      </c>
      <c r="U287" s="276">
        <f t="shared" si="234"/>
        <v>4.0330886884954351</v>
      </c>
      <c r="V287" s="276">
        <f t="shared" si="235"/>
        <v>1.3645314861712015</v>
      </c>
      <c r="W287" s="276">
        <f t="shared" si="236"/>
        <v>6.5202454959777842</v>
      </c>
      <c r="X287" s="276">
        <f t="shared" si="237"/>
        <v>5.4544229593631703</v>
      </c>
      <c r="Y287" s="686">
        <f t="shared" si="238"/>
        <v>5.3410375930256091</v>
      </c>
      <c r="Z287" s="685" t="e">
        <f t="shared" si="239"/>
        <v>#DIV/0!</v>
      </c>
      <c r="AA287" s="276" t="e">
        <f t="shared" si="240"/>
        <v>#DIV/0!</v>
      </c>
      <c r="AB287" s="276" t="e">
        <f t="shared" si="241"/>
        <v>#DIV/0!</v>
      </c>
      <c r="AC287" s="276" t="e">
        <f t="shared" si="242"/>
        <v>#DIV/0!</v>
      </c>
      <c r="AD287" s="276" t="e">
        <f t="shared" si="243"/>
        <v>#DIV/0!</v>
      </c>
      <c r="AE287" s="686" t="e">
        <f t="shared" si="244"/>
        <v>#DIV/0!</v>
      </c>
      <c r="AF287" s="239"/>
      <c r="AG287" s="965" t="e">
        <f t="shared" si="215"/>
        <v>#VALUE!</v>
      </c>
      <c r="AH287" s="878" t="e">
        <f t="shared" si="216"/>
        <v>#VALUE!</v>
      </c>
      <c r="AI287" s="878" t="e">
        <f t="shared" si="217"/>
        <v>#VALUE!</v>
      </c>
      <c r="AJ287" s="878" t="e">
        <f t="shared" si="218"/>
        <v>#VALUE!</v>
      </c>
      <c r="AK287" s="878" t="e">
        <f t="shared" si="219"/>
        <v>#VALUE!</v>
      </c>
      <c r="AL287" s="966" t="e">
        <f t="shared" si="220"/>
        <v>#VALUE!</v>
      </c>
      <c r="AM287" s="239"/>
      <c r="AO287" s="685">
        <f t="shared" si="245"/>
        <v>-3.407545273779844</v>
      </c>
      <c r="AP287" s="276">
        <f t="shared" si="246"/>
        <v>-0.69880832186227926</v>
      </c>
      <c r="AQ287" s="276">
        <f t="shared" si="247"/>
        <v>-1.8174835598122976</v>
      </c>
      <c r="AR287" s="276">
        <f t="shared" si="248"/>
        <v>0.62293721472427666</v>
      </c>
      <c r="AS287" s="276">
        <f t="shared" si="249"/>
        <v>-1.5745371308285929</v>
      </c>
      <c r="AT287" s="276">
        <f t="shared" si="250"/>
        <v>-4.4602864432766882</v>
      </c>
      <c r="AU287" s="685">
        <f t="shared" si="251"/>
        <v>1.088936327537857</v>
      </c>
      <c r="AV287" s="276">
        <f t="shared" si="252"/>
        <v>1.624774853388405</v>
      </c>
      <c r="AW287" s="276">
        <f t="shared" si="253"/>
        <v>1.3796277151049907</v>
      </c>
      <c r="AX287" s="276">
        <f t="shared" si="254"/>
        <v>0.75461634387039589</v>
      </c>
      <c r="AY287" s="276">
        <f t="shared" si="255"/>
        <v>1.2573257405756733</v>
      </c>
      <c r="AZ287" s="686">
        <f t="shared" si="256"/>
        <v>0.64930602389310965</v>
      </c>
      <c r="BA287" s="685">
        <f t="shared" si="257"/>
        <v>0</v>
      </c>
      <c r="BB287" s="276">
        <f t="shared" si="258"/>
        <v>0</v>
      </c>
      <c r="BC287" s="276">
        <f t="shared" si="259"/>
        <v>0</v>
      </c>
      <c r="BD287" s="276">
        <f t="shared" si="260"/>
        <v>0</v>
      </c>
      <c r="BE287" s="276">
        <f t="shared" si="261"/>
        <v>0</v>
      </c>
      <c r="BF287" s="686">
        <f t="shared" si="262"/>
        <v>0</v>
      </c>
      <c r="BG287" s="685" t="e">
        <f t="shared" si="263"/>
        <v>#DIV/0!</v>
      </c>
      <c r="BH287" s="276" t="e">
        <f t="shared" si="264"/>
        <v>#DIV/0!</v>
      </c>
      <c r="BI287" s="276" t="e">
        <f t="shared" si="265"/>
        <v>#DIV/0!</v>
      </c>
      <c r="BJ287" s="276" t="e">
        <f t="shared" si="266"/>
        <v>#DIV/0!</v>
      </c>
      <c r="BK287" s="276" t="e">
        <f t="shared" si="267"/>
        <v>#DIV/0!</v>
      </c>
      <c r="BL287" s="686" t="e">
        <f t="shared" si="268"/>
        <v>#DIV/0!</v>
      </c>
      <c r="BM287" s="239"/>
      <c r="BN287" s="965" t="e">
        <f t="shared" si="269"/>
        <v>#VALUE!</v>
      </c>
      <c r="BO287" s="878" t="e">
        <f t="shared" si="270"/>
        <v>#VALUE!</v>
      </c>
      <c r="BP287" s="878" t="e">
        <f t="shared" si="271"/>
        <v>#VALUE!</v>
      </c>
      <c r="BQ287" s="878" t="e">
        <f t="shared" si="272"/>
        <v>#VALUE!</v>
      </c>
      <c r="BR287" s="878" t="e">
        <f t="shared" si="273"/>
        <v>#VALUE!</v>
      </c>
      <c r="BS287" s="966" t="e">
        <f t="shared" si="274"/>
        <v>#VALUE!</v>
      </c>
    </row>
    <row r="288" spans="1:71">
      <c r="A288" s="284">
        <f t="shared" si="275"/>
        <v>220</v>
      </c>
      <c r="B288" s="285">
        <v>2.260390357554757</v>
      </c>
      <c r="C288" s="285">
        <v>2.3681970306863209</v>
      </c>
      <c r="D288" s="285">
        <v>1.0745068755648766</v>
      </c>
      <c r="E288" s="285">
        <v>-6.8620094494109019</v>
      </c>
      <c r="H288" s="685">
        <f t="shared" si="221"/>
        <v>1.1271565157857022</v>
      </c>
      <c r="I288" s="276">
        <f t="shared" si="222"/>
        <v>0.13792785795415807</v>
      </c>
      <c r="J288" s="276">
        <f t="shared" si="223"/>
        <v>-1.3709726842431122</v>
      </c>
      <c r="K288" s="276">
        <f t="shared" si="224"/>
        <v>1.5647327168324818</v>
      </c>
      <c r="L288" s="276">
        <f t="shared" si="225"/>
        <v>-2.0895787899406812</v>
      </c>
      <c r="M288" s="276">
        <f t="shared" si="226"/>
        <v>4.4430955666103555E-2</v>
      </c>
      <c r="N288" s="685">
        <f t="shared" si="227"/>
        <v>1.1610258197144525</v>
      </c>
      <c r="O288" s="276">
        <f t="shared" si="228"/>
        <v>1.6720419784549814</v>
      </c>
      <c r="P288" s="276">
        <f t="shared" si="229"/>
        <v>0.6048335446741826</v>
      </c>
      <c r="Q288" s="276">
        <f t="shared" si="230"/>
        <v>0.91665457188042088</v>
      </c>
      <c r="R288" s="276">
        <f t="shared" si="231"/>
        <v>0.90945390605602872</v>
      </c>
      <c r="S288" s="686">
        <f t="shared" si="232"/>
        <v>1.9568241191657074</v>
      </c>
      <c r="T288" s="685">
        <f t="shared" si="233"/>
        <v>4.3528705658358025</v>
      </c>
      <c r="U288" s="276">
        <f t="shared" si="234"/>
        <v>4.562876744765207</v>
      </c>
      <c r="V288" s="276">
        <f t="shared" si="235"/>
        <v>5.5779152318527707</v>
      </c>
      <c r="W288" s="276">
        <f t="shared" si="236"/>
        <v>3.3337828495693311</v>
      </c>
      <c r="X288" s="276">
        <f t="shared" si="237"/>
        <v>4.5777904278327588</v>
      </c>
      <c r="Y288" s="686">
        <f t="shared" si="238"/>
        <v>3.729004380757873</v>
      </c>
      <c r="Z288" s="685" t="e">
        <f t="shared" si="239"/>
        <v>#DIV/0!</v>
      </c>
      <c r="AA288" s="276" t="e">
        <f t="shared" si="240"/>
        <v>#DIV/0!</v>
      </c>
      <c r="AB288" s="276" t="e">
        <f t="shared" si="241"/>
        <v>#DIV/0!</v>
      </c>
      <c r="AC288" s="276" t="e">
        <f t="shared" si="242"/>
        <v>#DIV/0!</v>
      </c>
      <c r="AD288" s="276" t="e">
        <f t="shared" si="243"/>
        <v>#DIV/0!</v>
      </c>
      <c r="AE288" s="686" t="e">
        <f t="shared" si="244"/>
        <v>#DIV/0!</v>
      </c>
      <c r="AF288" s="239"/>
      <c r="AG288" s="965" t="e">
        <f t="shared" si="215"/>
        <v>#VALUE!</v>
      </c>
      <c r="AH288" s="878" t="e">
        <f t="shared" si="216"/>
        <v>#VALUE!</v>
      </c>
      <c r="AI288" s="878" t="e">
        <f t="shared" si="217"/>
        <v>#VALUE!</v>
      </c>
      <c r="AJ288" s="878" t="e">
        <f t="shared" si="218"/>
        <v>#VALUE!</v>
      </c>
      <c r="AK288" s="878" t="e">
        <f t="shared" si="219"/>
        <v>#VALUE!</v>
      </c>
      <c r="AL288" s="966" t="e">
        <f t="shared" si="220"/>
        <v>#VALUE!</v>
      </c>
      <c r="AM288" s="239"/>
      <c r="AO288" s="685">
        <f t="shared" si="245"/>
        <v>1.1271565157857022</v>
      </c>
      <c r="AP288" s="276">
        <f t="shared" si="246"/>
        <v>0.13792785795415807</v>
      </c>
      <c r="AQ288" s="276">
        <f t="shared" si="247"/>
        <v>-1.3709726842431122</v>
      </c>
      <c r="AR288" s="276">
        <f t="shared" si="248"/>
        <v>1.5647327168324818</v>
      </c>
      <c r="AS288" s="276">
        <f t="shared" si="249"/>
        <v>-2.0895787899406812</v>
      </c>
      <c r="AT288" s="276">
        <f t="shared" si="250"/>
        <v>4.4430955666103555E-2</v>
      </c>
      <c r="AU288" s="685">
        <f t="shared" si="251"/>
        <v>1.1610258197144525</v>
      </c>
      <c r="AV288" s="276">
        <f t="shared" si="252"/>
        <v>1.6720419784549814</v>
      </c>
      <c r="AW288" s="276">
        <f t="shared" si="253"/>
        <v>0.6048335446741826</v>
      </c>
      <c r="AX288" s="276">
        <f t="shared" si="254"/>
        <v>0.91665457188042088</v>
      </c>
      <c r="AY288" s="276">
        <f t="shared" si="255"/>
        <v>0.90945390605602872</v>
      </c>
      <c r="AZ288" s="686">
        <f t="shared" si="256"/>
        <v>1.9568241191657074</v>
      </c>
      <c r="BA288" s="685">
        <f t="shared" si="257"/>
        <v>0</v>
      </c>
      <c r="BB288" s="276">
        <f t="shared" si="258"/>
        <v>0</v>
      </c>
      <c r="BC288" s="276">
        <f t="shared" si="259"/>
        <v>0</v>
      </c>
      <c r="BD288" s="276">
        <f t="shared" si="260"/>
        <v>0</v>
      </c>
      <c r="BE288" s="276">
        <f t="shared" si="261"/>
        <v>0</v>
      </c>
      <c r="BF288" s="686">
        <f t="shared" si="262"/>
        <v>0</v>
      </c>
      <c r="BG288" s="685" t="e">
        <f t="shared" si="263"/>
        <v>#DIV/0!</v>
      </c>
      <c r="BH288" s="276" t="e">
        <f t="shared" si="264"/>
        <v>#DIV/0!</v>
      </c>
      <c r="BI288" s="276" t="e">
        <f t="shared" si="265"/>
        <v>#DIV/0!</v>
      </c>
      <c r="BJ288" s="276" t="e">
        <f t="shared" si="266"/>
        <v>#DIV/0!</v>
      </c>
      <c r="BK288" s="276" t="e">
        <f t="shared" si="267"/>
        <v>#DIV/0!</v>
      </c>
      <c r="BL288" s="686" t="e">
        <f t="shared" si="268"/>
        <v>#DIV/0!</v>
      </c>
      <c r="BM288" s="239"/>
      <c r="BN288" s="965" t="e">
        <f t="shared" si="269"/>
        <v>#VALUE!</v>
      </c>
      <c r="BO288" s="878" t="e">
        <f t="shared" si="270"/>
        <v>#VALUE!</v>
      </c>
      <c r="BP288" s="878" t="e">
        <f t="shared" si="271"/>
        <v>#VALUE!</v>
      </c>
      <c r="BQ288" s="878" t="e">
        <f t="shared" si="272"/>
        <v>#VALUE!</v>
      </c>
      <c r="BR288" s="878" t="e">
        <f t="shared" si="273"/>
        <v>#VALUE!</v>
      </c>
      <c r="BS288" s="966" t="e">
        <f t="shared" si="274"/>
        <v>#VALUE!</v>
      </c>
    </row>
    <row r="289" spans="1:71">
      <c r="A289" s="284">
        <f t="shared" si="275"/>
        <v>221</v>
      </c>
      <c r="B289" s="285">
        <v>6.1960668377546053E-2</v>
      </c>
      <c r="C289" s="285">
        <v>3.4020635853111236</v>
      </c>
      <c r="D289" s="285">
        <v>-1.0665275205027536</v>
      </c>
      <c r="E289" s="285">
        <v>21.411118451199105</v>
      </c>
      <c r="H289" s="685">
        <f t="shared" si="221"/>
        <v>-1.0712731733915088</v>
      </c>
      <c r="I289" s="276">
        <f t="shared" si="222"/>
        <v>0.86227883554741047</v>
      </c>
      <c r="J289" s="276">
        <f t="shared" si="223"/>
        <v>-1.4525341392869642</v>
      </c>
      <c r="K289" s="276">
        <f t="shared" si="224"/>
        <v>-0.74657484379011574</v>
      </c>
      <c r="L289" s="276">
        <f t="shared" si="225"/>
        <v>-1.6835663832085634</v>
      </c>
      <c r="M289" s="276">
        <f t="shared" si="226"/>
        <v>4.3147420634752409E-2</v>
      </c>
      <c r="N289" s="685">
        <f t="shared" si="227"/>
        <v>2.194892374339255</v>
      </c>
      <c r="O289" s="276">
        <f t="shared" si="228"/>
        <v>1.3274473125618742</v>
      </c>
      <c r="P289" s="276">
        <f t="shared" si="229"/>
        <v>2.00749882999955</v>
      </c>
      <c r="Q289" s="276">
        <f t="shared" si="230"/>
        <v>0.86006261530647365</v>
      </c>
      <c r="R289" s="276">
        <f t="shared" si="231"/>
        <v>1.1018776536655335</v>
      </c>
      <c r="S289" s="686">
        <f t="shared" si="232"/>
        <v>1.6677559518268772</v>
      </c>
      <c r="T289" s="685">
        <f t="shared" si="233"/>
        <v>2.2118361697681723</v>
      </c>
      <c r="U289" s="276">
        <f t="shared" si="234"/>
        <v>4.6434966623087615</v>
      </c>
      <c r="V289" s="276">
        <f t="shared" si="235"/>
        <v>3.7557966332315829</v>
      </c>
      <c r="W289" s="276">
        <f t="shared" si="236"/>
        <v>5.2825663000869412</v>
      </c>
      <c r="X289" s="276">
        <f t="shared" si="237"/>
        <v>1.6643026383630724</v>
      </c>
      <c r="Y289" s="686">
        <f t="shared" si="238"/>
        <v>5.4698980011279259</v>
      </c>
      <c r="Z289" s="685" t="e">
        <f t="shared" si="239"/>
        <v>#DIV/0!</v>
      </c>
      <c r="AA289" s="276" t="e">
        <f t="shared" si="240"/>
        <v>#DIV/0!</v>
      </c>
      <c r="AB289" s="276" t="e">
        <f t="shared" si="241"/>
        <v>#DIV/0!</v>
      </c>
      <c r="AC289" s="276" t="e">
        <f t="shared" si="242"/>
        <v>#DIV/0!</v>
      </c>
      <c r="AD289" s="276" t="e">
        <f t="shared" si="243"/>
        <v>#DIV/0!</v>
      </c>
      <c r="AE289" s="686" t="e">
        <f t="shared" si="244"/>
        <v>#DIV/0!</v>
      </c>
      <c r="AF289" s="239"/>
      <c r="AG289" s="965" t="e">
        <f t="shared" si="215"/>
        <v>#VALUE!</v>
      </c>
      <c r="AH289" s="878" t="e">
        <f t="shared" si="216"/>
        <v>#VALUE!</v>
      </c>
      <c r="AI289" s="878" t="e">
        <f t="shared" si="217"/>
        <v>#VALUE!</v>
      </c>
      <c r="AJ289" s="878" t="e">
        <f t="shared" si="218"/>
        <v>#VALUE!</v>
      </c>
      <c r="AK289" s="878" t="e">
        <f t="shared" si="219"/>
        <v>#VALUE!</v>
      </c>
      <c r="AL289" s="966" t="e">
        <f t="shared" si="220"/>
        <v>#VALUE!</v>
      </c>
      <c r="AM289" s="239"/>
      <c r="AO289" s="685">
        <f t="shared" si="245"/>
        <v>-1.0712731733915088</v>
      </c>
      <c r="AP289" s="276">
        <f t="shared" si="246"/>
        <v>0.86227883554741047</v>
      </c>
      <c r="AQ289" s="276">
        <f t="shared" si="247"/>
        <v>-1.4525341392869642</v>
      </c>
      <c r="AR289" s="276">
        <f t="shared" si="248"/>
        <v>-0.74657484379011574</v>
      </c>
      <c r="AS289" s="276">
        <f t="shared" si="249"/>
        <v>-1.6835663832085634</v>
      </c>
      <c r="AT289" s="276">
        <f t="shared" si="250"/>
        <v>4.3147420634752409E-2</v>
      </c>
      <c r="AU289" s="685">
        <f t="shared" si="251"/>
        <v>2.194892374339255</v>
      </c>
      <c r="AV289" s="276">
        <f t="shared" si="252"/>
        <v>1.3274473125618742</v>
      </c>
      <c r="AW289" s="276">
        <f t="shared" si="253"/>
        <v>2.00749882999955</v>
      </c>
      <c r="AX289" s="276">
        <f t="shared" si="254"/>
        <v>0.86006261530647365</v>
      </c>
      <c r="AY289" s="276">
        <f t="shared" si="255"/>
        <v>1.1018776536655335</v>
      </c>
      <c r="AZ289" s="686">
        <f t="shared" si="256"/>
        <v>1.6677559518268772</v>
      </c>
      <c r="BA289" s="685">
        <f t="shared" si="257"/>
        <v>0</v>
      </c>
      <c r="BB289" s="276">
        <f t="shared" si="258"/>
        <v>0</v>
      </c>
      <c r="BC289" s="276">
        <f t="shared" si="259"/>
        <v>0</v>
      </c>
      <c r="BD289" s="276">
        <f t="shared" si="260"/>
        <v>0</v>
      </c>
      <c r="BE289" s="276">
        <f t="shared" si="261"/>
        <v>0</v>
      </c>
      <c r="BF289" s="686">
        <f t="shared" si="262"/>
        <v>0</v>
      </c>
      <c r="BG289" s="685" t="e">
        <f t="shared" si="263"/>
        <v>#DIV/0!</v>
      </c>
      <c r="BH289" s="276" t="e">
        <f t="shared" si="264"/>
        <v>#DIV/0!</v>
      </c>
      <c r="BI289" s="276" t="e">
        <f t="shared" si="265"/>
        <v>#DIV/0!</v>
      </c>
      <c r="BJ289" s="276" t="e">
        <f t="shared" si="266"/>
        <v>#DIV/0!</v>
      </c>
      <c r="BK289" s="276" t="e">
        <f t="shared" si="267"/>
        <v>#DIV/0!</v>
      </c>
      <c r="BL289" s="686" t="e">
        <f t="shared" si="268"/>
        <v>#DIV/0!</v>
      </c>
      <c r="BM289" s="239"/>
      <c r="BN289" s="965" t="e">
        <f t="shared" si="269"/>
        <v>#VALUE!</v>
      </c>
      <c r="BO289" s="878" t="e">
        <f t="shared" si="270"/>
        <v>#VALUE!</v>
      </c>
      <c r="BP289" s="878" t="e">
        <f t="shared" si="271"/>
        <v>#VALUE!</v>
      </c>
      <c r="BQ289" s="878" t="e">
        <f t="shared" si="272"/>
        <v>#VALUE!</v>
      </c>
      <c r="BR289" s="878" t="e">
        <f t="shared" si="273"/>
        <v>#VALUE!</v>
      </c>
      <c r="BS289" s="966" t="e">
        <f t="shared" si="274"/>
        <v>#VALUE!</v>
      </c>
    </row>
    <row r="290" spans="1:71">
      <c r="A290" s="284">
        <f t="shared" si="275"/>
        <v>222</v>
      </c>
      <c r="B290" s="285">
        <v>-1.0775011092154785</v>
      </c>
      <c r="C290" s="285">
        <v>2.9559872519425738</v>
      </c>
      <c r="D290" s="285">
        <v>-0.77099562388656784</v>
      </c>
      <c r="E290" s="285">
        <v>6.7267883796063472</v>
      </c>
      <c r="H290" s="685">
        <f t="shared" si="221"/>
        <v>-2.2107349509845333</v>
      </c>
      <c r="I290" s="276">
        <f t="shared" si="222"/>
        <v>-0.94941784024333564</v>
      </c>
      <c r="J290" s="276">
        <f t="shared" si="223"/>
        <v>-3.9526507967261191</v>
      </c>
      <c r="K290" s="276">
        <f t="shared" si="224"/>
        <v>-0.99435614571237674</v>
      </c>
      <c r="L290" s="276">
        <f t="shared" si="225"/>
        <v>-3.5871359502965632</v>
      </c>
      <c r="M290" s="276">
        <f t="shared" si="226"/>
        <v>-6.3954706780263493E-2</v>
      </c>
      <c r="N290" s="685">
        <f t="shared" si="227"/>
        <v>1.7488160409707054</v>
      </c>
      <c r="O290" s="276">
        <f t="shared" si="228"/>
        <v>1.5304318920144053</v>
      </c>
      <c r="P290" s="276">
        <f t="shared" si="229"/>
        <v>0.44691191730748314</v>
      </c>
      <c r="Q290" s="276">
        <f t="shared" si="230"/>
        <v>1.3538221777829345</v>
      </c>
      <c r="R290" s="276">
        <f t="shared" si="231"/>
        <v>1.067376132714333</v>
      </c>
      <c r="S290" s="686">
        <f t="shared" si="232"/>
        <v>1.8518655623706664</v>
      </c>
      <c r="T290" s="685">
        <f t="shared" si="233"/>
        <v>2.5073680663843581</v>
      </c>
      <c r="U290" s="276">
        <f t="shared" si="234"/>
        <v>2.9809788014799965</v>
      </c>
      <c r="V290" s="276">
        <f t="shared" si="235"/>
        <v>5.3109068498845229</v>
      </c>
      <c r="W290" s="276">
        <f t="shared" si="236"/>
        <v>5.3284794402793612</v>
      </c>
      <c r="X290" s="276">
        <f t="shared" si="237"/>
        <v>3.6260859130943657</v>
      </c>
      <c r="Y290" s="686">
        <f t="shared" si="238"/>
        <v>2.9862403087078842</v>
      </c>
      <c r="Z290" s="685" t="e">
        <f t="shared" si="239"/>
        <v>#DIV/0!</v>
      </c>
      <c r="AA290" s="276" t="e">
        <f t="shared" si="240"/>
        <v>#DIV/0!</v>
      </c>
      <c r="AB290" s="276" t="e">
        <f t="shared" si="241"/>
        <v>#DIV/0!</v>
      </c>
      <c r="AC290" s="276" t="e">
        <f t="shared" si="242"/>
        <v>#DIV/0!</v>
      </c>
      <c r="AD290" s="276" t="e">
        <f t="shared" si="243"/>
        <v>#DIV/0!</v>
      </c>
      <c r="AE290" s="686" t="e">
        <f t="shared" si="244"/>
        <v>#DIV/0!</v>
      </c>
      <c r="AF290" s="239"/>
      <c r="AG290" s="965" t="e">
        <f t="shared" si="215"/>
        <v>#VALUE!</v>
      </c>
      <c r="AH290" s="878" t="e">
        <f t="shared" si="216"/>
        <v>#VALUE!</v>
      </c>
      <c r="AI290" s="878" t="e">
        <f t="shared" si="217"/>
        <v>#VALUE!</v>
      </c>
      <c r="AJ290" s="878" t="e">
        <f t="shared" si="218"/>
        <v>#VALUE!</v>
      </c>
      <c r="AK290" s="878" t="e">
        <f t="shared" si="219"/>
        <v>#VALUE!</v>
      </c>
      <c r="AL290" s="966" t="e">
        <f t="shared" si="220"/>
        <v>#VALUE!</v>
      </c>
      <c r="AM290" s="239"/>
      <c r="AO290" s="685">
        <f t="shared" si="245"/>
        <v>-2.2107349509845333</v>
      </c>
      <c r="AP290" s="276">
        <f t="shared" si="246"/>
        <v>-0.94941784024333564</v>
      </c>
      <c r="AQ290" s="276">
        <f t="shared" si="247"/>
        <v>-3.9526507967261191</v>
      </c>
      <c r="AR290" s="276">
        <f t="shared" si="248"/>
        <v>-0.99435614571237674</v>
      </c>
      <c r="AS290" s="276">
        <f t="shared" si="249"/>
        <v>-3.5871359502965632</v>
      </c>
      <c r="AT290" s="276">
        <f t="shared" si="250"/>
        <v>-6.3954706780263493E-2</v>
      </c>
      <c r="AU290" s="685">
        <f t="shared" si="251"/>
        <v>1.7488160409707054</v>
      </c>
      <c r="AV290" s="276">
        <f t="shared" si="252"/>
        <v>1.5304318920144053</v>
      </c>
      <c r="AW290" s="276">
        <f t="shared" si="253"/>
        <v>0.44691191730748314</v>
      </c>
      <c r="AX290" s="276">
        <f t="shared" si="254"/>
        <v>1.3538221777829345</v>
      </c>
      <c r="AY290" s="276">
        <f t="shared" si="255"/>
        <v>1.067376132714333</v>
      </c>
      <c r="AZ290" s="686">
        <f t="shared" si="256"/>
        <v>1.8518655623706664</v>
      </c>
      <c r="BA290" s="685">
        <f t="shared" si="257"/>
        <v>0</v>
      </c>
      <c r="BB290" s="276">
        <f t="shared" si="258"/>
        <v>0</v>
      </c>
      <c r="BC290" s="276">
        <f t="shared" si="259"/>
        <v>0</v>
      </c>
      <c r="BD290" s="276">
        <f t="shared" si="260"/>
        <v>0</v>
      </c>
      <c r="BE290" s="276">
        <f t="shared" si="261"/>
        <v>0</v>
      </c>
      <c r="BF290" s="686">
        <f t="shared" si="262"/>
        <v>0</v>
      </c>
      <c r="BG290" s="685" t="e">
        <f t="shared" si="263"/>
        <v>#DIV/0!</v>
      </c>
      <c r="BH290" s="276" t="e">
        <f t="shared" si="264"/>
        <v>#DIV/0!</v>
      </c>
      <c r="BI290" s="276" t="e">
        <f t="shared" si="265"/>
        <v>#DIV/0!</v>
      </c>
      <c r="BJ290" s="276" t="e">
        <f t="shared" si="266"/>
        <v>#DIV/0!</v>
      </c>
      <c r="BK290" s="276" t="e">
        <f t="shared" si="267"/>
        <v>#DIV/0!</v>
      </c>
      <c r="BL290" s="686" t="e">
        <f t="shared" si="268"/>
        <v>#DIV/0!</v>
      </c>
      <c r="BM290" s="239"/>
      <c r="BN290" s="965" t="e">
        <f t="shared" si="269"/>
        <v>#VALUE!</v>
      </c>
      <c r="BO290" s="878" t="e">
        <f t="shared" si="270"/>
        <v>#VALUE!</v>
      </c>
      <c r="BP290" s="878" t="e">
        <f t="shared" si="271"/>
        <v>#VALUE!</v>
      </c>
      <c r="BQ290" s="878" t="e">
        <f t="shared" si="272"/>
        <v>#VALUE!</v>
      </c>
      <c r="BR290" s="878" t="e">
        <f t="shared" si="273"/>
        <v>#VALUE!</v>
      </c>
      <c r="BS290" s="966" t="e">
        <f t="shared" si="274"/>
        <v>#VALUE!</v>
      </c>
    </row>
    <row r="291" spans="1:71">
      <c r="A291" s="284">
        <f t="shared" si="275"/>
        <v>223</v>
      </c>
      <c r="B291" s="285">
        <v>1.8693127374238052</v>
      </c>
      <c r="C291" s="285">
        <v>2.4554328624964881</v>
      </c>
      <c r="D291" s="285">
        <v>-1.3437096656330123</v>
      </c>
      <c r="E291" s="285">
        <v>-1.03454048601701</v>
      </c>
      <c r="H291" s="685">
        <f t="shared" si="221"/>
        <v>0.73607889565475038</v>
      </c>
      <c r="I291" s="276">
        <f t="shared" si="222"/>
        <v>0.35883745440120318</v>
      </c>
      <c r="J291" s="276">
        <f t="shared" si="223"/>
        <v>-1.0057761349333227</v>
      </c>
      <c r="K291" s="276">
        <f t="shared" si="224"/>
        <v>0.88083122276877934</v>
      </c>
      <c r="L291" s="276">
        <f t="shared" si="225"/>
        <v>-1.267227235941635</v>
      </c>
      <c r="M291" s="276">
        <f t="shared" si="226"/>
        <v>-1.3826365954331452</v>
      </c>
      <c r="N291" s="685">
        <f t="shared" si="227"/>
        <v>1.2482616515246197</v>
      </c>
      <c r="O291" s="276">
        <f t="shared" si="228"/>
        <v>1.258784194930757</v>
      </c>
      <c r="P291" s="276">
        <f t="shared" si="229"/>
        <v>1.1907500515204033</v>
      </c>
      <c r="Q291" s="276">
        <f t="shared" si="230"/>
        <v>1.4553967118394053</v>
      </c>
      <c r="R291" s="276">
        <f t="shared" si="231"/>
        <v>2.3799645545503649</v>
      </c>
      <c r="S291" s="686">
        <f t="shared" si="232"/>
        <v>1.6534720926899722</v>
      </c>
      <c r="T291" s="685">
        <f t="shared" si="233"/>
        <v>1.9346540246379136</v>
      </c>
      <c r="U291" s="276">
        <f t="shared" si="234"/>
        <v>3.3798596819622553</v>
      </c>
      <c r="V291" s="276">
        <f t="shared" si="235"/>
        <v>4.3435858890541352</v>
      </c>
      <c r="W291" s="276">
        <f t="shared" si="236"/>
        <v>3.6120766875872055</v>
      </c>
      <c r="X291" s="276">
        <f t="shared" si="237"/>
        <v>4.8402326727426921</v>
      </c>
      <c r="Y291" s="686">
        <f t="shared" si="238"/>
        <v>5.7007965154586024</v>
      </c>
      <c r="Z291" s="685" t="e">
        <f t="shared" si="239"/>
        <v>#DIV/0!</v>
      </c>
      <c r="AA291" s="276" t="e">
        <f t="shared" si="240"/>
        <v>#DIV/0!</v>
      </c>
      <c r="AB291" s="276" t="e">
        <f t="shared" si="241"/>
        <v>#DIV/0!</v>
      </c>
      <c r="AC291" s="276" t="e">
        <f t="shared" si="242"/>
        <v>#DIV/0!</v>
      </c>
      <c r="AD291" s="276" t="e">
        <f t="shared" si="243"/>
        <v>#DIV/0!</v>
      </c>
      <c r="AE291" s="686" t="e">
        <f t="shared" si="244"/>
        <v>#DIV/0!</v>
      </c>
      <c r="AF291" s="239"/>
      <c r="AG291" s="965" t="e">
        <f t="shared" si="215"/>
        <v>#VALUE!</v>
      </c>
      <c r="AH291" s="878" t="e">
        <f t="shared" si="216"/>
        <v>#VALUE!</v>
      </c>
      <c r="AI291" s="878" t="e">
        <f t="shared" si="217"/>
        <v>#VALUE!</v>
      </c>
      <c r="AJ291" s="878" t="e">
        <f t="shared" si="218"/>
        <v>#VALUE!</v>
      </c>
      <c r="AK291" s="878" t="e">
        <f t="shared" si="219"/>
        <v>#VALUE!</v>
      </c>
      <c r="AL291" s="966" t="e">
        <f t="shared" si="220"/>
        <v>#VALUE!</v>
      </c>
      <c r="AM291" s="239"/>
      <c r="AO291" s="685">
        <f t="shared" si="245"/>
        <v>0.73607889565475038</v>
      </c>
      <c r="AP291" s="276">
        <f t="shared" si="246"/>
        <v>0.35883745440120318</v>
      </c>
      <c r="AQ291" s="276">
        <f t="shared" si="247"/>
        <v>-1.0057761349333227</v>
      </c>
      <c r="AR291" s="276">
        <f t="shared" si="248"/>
        <v>0.88083122276877934</v>
      </c>
      <c r="AS291" s="276">
        <f t="shared" si="249"/>
        <v>-1.267227235941635</v>
      </c>
      <c r="AT291" s="276">
        <f t="shared" si="250"/>
        <v>-1.3826365954331452</v>
      </c>
      <c r="AU291" s="685">
        <f t="shared" si="251"/>
        <v>1.2482616515246197</v>
      </c>
      <c r="AV291" s="276">
        <f t="shared" si="252"/>
        <v>1.258784194930757</v>
      </c>
      <c r="AW291" s="276">
        <f t="shared" si="253"/>
        <v>1.1907500515204033</v>
      </c>
      <c r="AX291" s="276">
        <f t="shared" si="254"/>
        <v>1.4553967118394053</v>
      </c>
      <c r="AY291" s="276">
        <f t="shared" si="255"/>
        <v>2.3799645545503649</v>
      </c>
      <c r="AZ291" s="686">
        <f t="shared" si="256"/>
        <v>1.6534720926899722</v>
      </c>
      <c r="BA291" s="685">
        <f t="shared" si="257"/>
        <v>0</v>
      </c>
      <c r="BB291" s="276">
        <f t="shared" si="258"/>
        <v>0</v>
      </c>
      <c r="BC291" s="276">
        <f t="shared" si="259"/>
        <v>0</v>
      </c>
      <c r="BD291" s="276">
        <f t="shared" si="260"/>
        <v>0</v>
      </c>
      <c r="BE291" s="276">
        <f t="shared" si="261"/>
        <v>0</v>
      </c>
      <c r="BF291" s="686">
        <f t="shared" si="262"/>
        <v>0</v>
      </c>
      <c r="BG291" s="685" t="e">
        <f t="shared" si="263"/>
        <v>#DIV/0!</v>
      </c>
      <c r="BH291" s="276" t="e">
        <f t="shared" si="264"/>
        <v>#DIV/0!</v>
      </c>
      <c r="BI291" s="276" t="e">
        <f t="shared" si="265"/>
        <v>#DIV/0!</v>
      </c>
      <c r="BJ291" s="276" t="e">
        <f t="shared" si="266"/>
        <v>#DIV/0!</v>
      </c>
      <c r="BK291" s="276" t="e">
        <f t="shared" si="267"/>
        <v>#DIV/0!</v>
      </c>
      <c r="BL291" s="686" t="e">
        <f t="shared" si="268"/>
        <v>#DIV/0!</v>
      </c>
      <c r="BM291" s="239"/>
      <c r="BN291" s="965" t="e">
        <f t="shared" si="269"/>
        <v>#VALUE!</v>
      </c>
      <c r="BO291" s="878" t="e">
        <f t="shared" si="270"/>
        <v>#VALUE!</v>
      </c>
      <c r="BP291" s="878" t="e">
        <f t="shared" si="271"/>
        <v>#VALUE!</v>
      </c>
      <c r="BQ291" s="878" t="e">
        <f t="shared" si="272"/>
        <v>#VALUE!</v>
      </c>
      <c r="BR291" s="878" t="e">
        <f t="shared" si="273"/>
        <v>#VALUE!</v>
      </c>
      <c r="BS291" s="966" t="e">
        <f t="shared" si="274"/>
        <v>#VALUE!</v>
      </c>
    </row>
    <row r="292" spans="1:71">
      <c r="A292" s="284">
        <f t="shared" si="275"/>
        <v>224</v>
      </c>
      <c r="B292" s="285">
        <v>2.5670136145322338</v>
      </c>
      <c r="C292" s="285">
        <v>3.2107704051832764</v>
      </c>
      <c r="D292" s="285">
        <v>0.73268945731124702</v>
      </c>
      <c r="E292" s="285">
        <v>3.1411505982992085</v>
      </c>
      <c r="H292" s="685">
        <f t="shared" si="221"/>
        <v>1.4337797727631789</v>
      </c>
      <c r="I292" s="276">
        <f t="shared" si="222"/>
        <v>-1.0758981319147631</v>
      </c>
      <c r="J292" s="276">
        <f t="shared" si="223"/>
        <v>3.0607167396842545</v>
      </c>
      <c r="K292" s="276">
        <f t="shared" si="224"/>
        <v>1.0011252984740919</v>
      </c>
      <c r="L292" s="276">
        <f t="shared" si="225"/>
        <v>-0.88543488482919308</v>
      </c>
      <c r="M292" s="276">
        <f t="shared" si="226"/>
        <v>-3.2495461932007768</v>
      </c>
      <c r="N292" s="685">
        <f t="shared" si="227"/>
        <v>2.0035991942114082</v>
      </c>
      <c r="O292" s="276">
        <f t="shared" si="228"/>
        <v>1.5825183621205705</v>
      </c>
      <c r="P292" s="276">
        <f t="shared" si="229"/>
        <v>2.4321396329086111</v>
      </c>
      <c r="Q292" s="276">
        <f t="shared" si="230"/>
        <v>1.3644290363605369</v>
      </c>
      <c r="R292" s="276">
        <f t="shared" si="231"/>
        <v>1.7694762456073303</v>
      </c>
      <c r="S292" s="686">
        <f t="shared" si="232"/>
        <v>0.57844286258310151</v>
      </c>
      <c r="T292" s="685">
        <f t="shared" si="233"/>
        <v>4.0110531475821727</v>
      </c>
      <c r="U292" s="276">
        <f t="shared" si="234"/>
        <v>4.2202399810875262</v>
      </c>
      <c r="V292" s="276">
        <f t="shared" si="235"/>
        <v>4.1604500575181831</v>
      </c>
      <c r="W292" s="276">
        <f t="shared" si="236"/>
        <v>3.6557187921427245</v>
      </c>
      <c r="X292" s="276">
        <f t="shared" si="237"/>
        <v>6.5584050196445789</v>
      </c>
      <c r="Y292" s="686">
        <f t="shared" si="238"/>
        <v>6.1836151954833394</v>
      </c>
      <c r="Z292" s="685" t="e">
        <f t="shared" si="239"/>
        <v>#DIV/0!</v>
      </c>
      <c r="AA292" s="276" t="e">
        <f t="shared" si="240"/>
        <v>#DIV/0!</v>
      </c>
      <c r="AB292" s="276" t="e">
        <f t="shared" si="241"/>
        <v>#DIV/0!</v>
      </c>
      <c r="AC292" s="276" t="e">
        <f t="shared" si="242"/>
        <v>#DIV/0!</v>
      </c>
      <c r="AD292" s="276" t="e">
        <f t="shared" si="243"/>
        <v>#DIV/0!</v>
      </c>
      <c r="AE292" s="686" t="e">
        <f t="shared" si="244"/>
        <v>#DIV/0!</v>
      </c>
      <c r="AF292" s="239"/>
      <c r="AG292" s="965" t="e">
        <f t="shared" si="215"/>
        <v>#VALUE!</v>
      </c>
      <c r="AH292" s="878" t="e">
        <f t="shared" si="216"/>
        <v>#VALUE!</v>
      </c>
      <c r="AI292" s="878" t="e">
        <f t="shared" si="217"/>
        <v>#VALUE!</v>
      </c>
      <c r="AJ292" s="878" t="e">
        <f t="shared" si="218"/>
        <v>#VALUE!</v>
      </c>
      <c r="AK292" s="878" t="e">
        <f t="shared" si="219"/>
        <v>#VALUE!</v>
      </c>
      <c r="AL292" s="966" t="e">
        <f t="shared" si="220"/>
        <v>#VALUE!</v>
      </c>
      <c r="AM292" s="239"/>
      <c r="AO292" s="685">
        <f t="shared" si="245"/>
        <v>1.4337797727631789</v>
      </c>
      <c r="AP292" s="276">
        <f t="shared" si="246"/>
        <v>-1.0758981319147631</v>
      </c>
      <c r="AQ292" s="276">
        <f t="shared" si="247"/>
        <v>3.0607167396842545</v>
      </c>
      <c r="AR292" s="276">
        <f t="shared" si="248"/>
        <v>1.0011252984740919</v>
      </c>
      <c r="AS292" s="276">
        <f t="shared" si="249"/>
        <v>-0.88543488482919308</v>
      </c>
      <c r="AT292" s="276">
        <f t="shared" si="250"/>
        <v>-3.2495461932007768</v>
      </c>
      <c r="AU292" s="685">
        <f t="shared" si="251"/>
        <v>2.0035991942114082</v>
      </c>
      <c r="AV292" s="276">
        <f t="shared" si="252"/>
        <v>1.5825183621205705</v>
      </c>
      <c r="AW292" s="276">
        <f t="shared" si="253"/>
        <v>2.4321396329086111</v>
      </c>
      <c r="AX292" s="276">
        <f t="shared" si="254"/>
        <v>1.3644290363605369</v>
      </c>
      <c r="AY292" s="276">
        <f t="shared" si="255"/>
        <v>1.7694762456073303</v>
      </c>
      <c r="AZ292" s="686">
        <f t="shared" si="256"/>
        <v>0.57844286258310151</v>
      </c>
      <c r="BA292" s="685">
        <f t="shared" si="257"/>
        <v>0</v>
      </c>
      <c r="BB292" s="276">
        <f t="shared" si="258"/>
        <v>0</v>
      </c>
      <c r="BC292" s="276">
        <f t="shared" si="259"/>
        <v>0</v>
      </c>
      <c r="BD292" s="276">
        <f t="shared" si="260"/>
        <v>0</v>
      </c>
      <c r="BE292" s="276">
        <f t="shared" si="261"/>
        <v>0</v>
      </c>
      <c r="BF292" s="686">
        <f t="shared" si="262"/>
        <v>0</v>
      </c>
      <c r="BG292" s="685" t="e">
        <f t="shared" si="263"/>
        <v>#DIV/0!</v>
      </c>
      <c r="BH292" s="276" t="e">
        <f t="shared" si="264"/>
        <v>#DIV/0!</v>
      </c>
      <c r="BI292" s="276" t="e">
        <f t="shared" si="265"/>
        <v>#DIV/0!</v>
      </c>
      <c r="BJ292" s="276" t="e">
        <f t="shared" si="266"/>
        <v>#DIV/0!</v>
      </c>
      <c r="BK292" s="276" t="e">
        <f t="shared" si="267"/>
        <v>#DIV/0!</v>
      </c>
      <c r="BL292" s="686" t="e">
        <f t="shared" si="268"/>
        <v>#DIV/0!</v>
      </c>
      <c r="BM292" s="239"/>
      <c r="BN292" s="965" t="e">
        <f t="shared" si="269"/>
        <v>#VALUE!</v>
      </c>
      <c r="BO292" s="878" t="e">
        <f t="shared" si="270"/>
        <v>#VALUE!</v>
      </c>
      <c r="BP292" s="878" t="e">
        <f t="shared" si="271"/>
        <v>#VALUE!</v>
      </c>
      <c r="BQ292" s="878" t="e">
        <f t="shared" si="272"/>
        <v>#VALUE!</v>
      </c>
      <c r="BR292" s="878" t="e">
        <f t="shared" si="273"/>
        <v>#VALUE!</v>
      </c>
      <c r="BS292" s="966" t="e">
        <f t="shared" si="274"/>
        <v>#VALUE!</v>
      </c>
    </row>
    <row r="293" spans="1:71">
      <c r="A293" s="284">
        <f t="shared" si="275"/>
        <v>225</v>
      </c>
      <c r="B293" s="285">
        <v>-1.6044893337320714</v>
      </c>
      <c r="C293" s="285">
        <v>2.2157405387190781</v>
      </c>
      <c r="D293" s="285">
        <v>1.5027262400634938</v>
      </c>
      <c r="E293" s="285">
        <v>-8.3632567099781063</v>
      </c>
      <c r="H293" s="685">
        <f t="shared" si="221"/>
        <v>-2.7377231755011264</v>
      </c>
      <c r="I293" s="276">
        <f t="shared" si="222"/>
        <v>1.13023919505218</v>
      </c>
      <c r="J293" s="276">
        <f t="shared" si="223"/>
        <v>-5.2401047013706004</v>
      </c>
      <c r="K293" s="276">
        <f t="shared" si="224"/>
        <v>-4.347799520488155</v>
      </c>
      <c r="L293" s="276">
        <f t="shared" si="225"/>
        <v>-0.92954856661839269</v>
      </c>
      <c r="M293" s="276">
        <f t="shared" si="226"/>
        <v>-0.72988614294758136</v>
      </c>
      <c r="N293" s="685">
        <f t="shared" si="227"/>
        <v>1.0085693277472096</v>
      </c>
      <c r="O293" s="276">
        <f t="shared" si="228"/>
        <v>1.165913507774605</v>
      </c>
      <c r="P293" s="276">
        <f t="shared" si="229"/>
        <v>1.0374506298946986</v>
      </c>
      <c r="Q293" s="276">
        <f t="shared" si="230"/>
        <v>1.1881656458851266</v>
      </c>
      <c r="R293" s="276">
        <f t="shared" si="231"/>
        <v>2.0536351667137911</v>
      </c>
      <c r="S293" s="686">
        <f t="shared" si="232"/>
        <v>0.95249497935807459</v>
      </c>
      <c r="T293" s="685">
        <f t="shared" si="233"/>
        <v>4.7810899303344199</v>
      </c>
      <c r="U293" s="276">
        <f t="shared" si="234"/>
        <v>6.838824363869529</v>
      </c>
      <c r="V293" s="276">
        <f t="shared" si="235"/>
        <v>5.3435993614386934</v>
      </c>
      <c r="W293" s="276">
        <f t="shared" si="236"/>
        <v>3.9446258237973071</v>
      </c>
      <c r="X293" s="276">
        <f t="shared" si="237"/>
        <v>3.9123813574300605</v>
      </c>
      <c r="Y293" s="686">
        <f t="shared" si="238"/>
        <v>4.3322233569417818</v>
      </c>
      <c r="Z293" s="685" t="e">
        <f t="shared" si="239"/>
        <v>#DIV/0!</v>
      </c>
      <c r="AA293" s="276" t="e">
        <f t="shared" si="240"/>
        <v>#DIV/0!</v>
      </c>
      <c r="AB293" s="276" t="e">
        <f t="shared" si="241"/>
        <v>#DIV/0!</v>
      </c>
      <c r="AC293" s="276" t="e">
        <f t="shared" si="242"/>
        <v>#DIV/0!</v>
      </c>
      <c r="AD293" s="276" t="e">
        <f t="shared" si="243"/>
        <v>#DIV/0!</v>
      </c>
      <c r="AE293" s="686" t="e">
        <f t="shared" si="244"/>
        <v>#DIV/0!</v>
      </c>
      <c r="AF293" s="239"/>
      <c r="AG293" s="965" t="e">
        <f t="shared" si="215"/>
        <v>#VALUE!</v>
      </c>
      <c r="AH293" s="878" t="e">
        <f t="shared" si="216"/>
        <v>#VALUE!</v>
      </c>
      <c r="AI293" s="878" t="e">
        <f t="shared" si="217"/>
        <v>#VALUE!</v>
      </c>
      <c r="AJ293" s="878" t="e">
        <f t="shared" si="218"/>
        <v>#VALUE!</v>
      </c>
      <c r="AK293" s="878" t="e">
        <f t="shared" si="219"/>
        <v>#VALUE!</v>
      </c>
      <c r="AL293" s="966" t="e">
        <f t="shared" si="220"/>
        <v>#VALUE!</v>
      </c>
      <c r="AM293" s="239"/>
      <c r="AO293" s="685">
        <f t="shared" si="245"/>
        <v>-2.7377231755011264</v>
      </c>
      <c r="AP293" s="276">
        <f t="shared" si="246"/>
        <v>1.13023919505218</v>
      </c>
      <c r="AQ293" s="276">
        <f t="shared" si="247"/>
        <v>-5.2401047013706004</v>
      </c>
      <c r="AR293" s="276">
        <f t="shared" si="248"/>
        <v>-4.347799520488155</v>
      </c>
      <c r="AS293" s="276">
        <f t="shared" si="249"/>
        <v>-0.92954856661839269</v>
      </c>
      <c r="AT293" s="276">
        <f t="shared" si="250"/>
        <v>-0.72988614294758136</v>
      </c>
      <c r="AU293" s="685">
        <f t="shared" si="251"/>
        <v>1.0085693277472096</v>
      </c>
      <c r="AV293" s="276">
        <f t="shared" si="252"/>
        <v>1.165913507774605</v>
      </c>
      <c r="AW293" s="276">
        <f t="shared" si="253"/>
        <v>1.0374506298946986</v>
      </c>
      <c r="AX293" s="276">
        <f t="shared" si="254"/>
        <v>1.1881656458851266</v>
      </c>
      <c r="AY293" s="276">
        <f t="shared" si="255"/>
        <v>2.0536351667137911</v>
      </c>
      <c r="AZ293" s="686">
        <f t="shared" si="256"/>
        <v>0.95249497935807459</v>
      </c>
      <c r="BA293" s="685">
        <f t="shared" si="257"/>
        <v>0</v>
      </c>
      <c r="BB293" s="276">
        <f t="shared" si="258"/>
        <v>0</v>
      </c>
      <c r="BC293" s="276">
        <f t="shared" si="259"/>
        <v>0</v>
      </c>
      <c r="BD293" s="276">
        <f t="shared" si="260"/>
        <v>0</v>
      </c>
      <c r="BE293" s="276">
        <f t="shared" si="261"/>
        <v>0</v>
      </c>
      <c r="BF293" s="686">
        <f t="shared" si="262"/>
        <v>0</v>
      </c>
      <c r="BG293" s="685" t="e">
        <f t="shared" si="263"/>
        <v>#DIV/0!</v>
      </c>
      <c r="BH293" s="276" t="e">
        <f t="shared" si="264"/>
        <v>#DIV/0!</v>
      </c>
      <c r="BI293" s="276" t="e">
        <f t="shared" si="265"/>
        <v>#DIV/0!</v>
      </c>
      <c r="BJ293" s="276" t="e">
        <f t="shared" si="266"/>
        <v>#DIV/0!</v>
      </c>
      <c r="BK293" s="276" t="e">
        <f t="shared" si="267"/>
        <v>#DIV/0!</v>
      </c>
      <c r="BL293" s="686" t="e">
        <f t="shared" si="268"/>
        <v>#DIV/0!</v>
      </c>
      <c r="BM293" s="239"/>
      <c r="BN293" s="965" t="e">
        <f t="shared" si="269"/>
        <v>#VALUE!</v>
      </c>
      <c r="BO293" s="878" t="e">
        <f t="shared" si="270"/>
        <v>#VALUE!</v>
      </c>
      <c r="BP293" s="878" t="e">
        <f t="shared" si="271"/>
        <v>#VALUE!</v>
      </c>
      <c r="BQ293" s="878" t="e">
        <f t="shared" si="272"/>
        <v>#VALUE!</v>
      </c>
      <c r="BR293" s="878" t="e">
        <f t="shared" si="273"/>
        <v>#VALUE!</v>
      </c>
      <c r="BS293" s="966" t="e">
        <f t="shared" si="274"/>
        <v>#VALUE!</v>
      </c>
    </row>
    <row r="294" spans="1:71">
      <c r="A294" s="284">
        <f t="shared" si="275"/>
        <v>226</v>
      </c>
      <c r="B294" s="285">
        <v>1.1999352306355859</v>
      </c>
      <c r="C294" s="285">
        <v>2.9999151086297009</v>
      </c>
      <c r="D294" s="285">
        <v>1.7096982073537808</v>
      </c>
      <c r="E294" s="285">
        <v>-0.40755843470460729</v>
      </c>
      <c r="H294" s="685">
        <f t="shared" si="221"/>
        <v>6.6701388866531097E-2</v>
      </c>
      <c r="I294" s="276">
        <f t="shared" si="222"/>
        <v>-3.6634477756804875</v>
      </c>
      <c r="J294" s="276">
        <f t="shared" si="223"/>
        <v>-0.41337813955843761</v>
      </c>
      <c r="K294" s="276">
        <f t="shared" si="224"/>
        <v>0.59720850243147838</v>
      </c>
      <c r="L294" s="276">
        <f t="shared" si="225"/>
        <v>-0.47749420644940288</v>
      </c>
      <c r="M294" s="276">
        <f t="shared" si="226"/>
        <v>-6.3414565893780352</v>
      </c>
      <c r="N294" s="685">
        <f t="shared" si="227"/>
        <v>1.7927438976578325</v>
      </c>
      <c r="O294" s="276">
        <f t="shared" si="228"/>
        <v>1.2748294780403919</v>
      </c>
      <c r="P294" s="276">
        <f t="shared" si="229"/>
        <v>2.2139111222057544</v>
      </c>
      <c r="Q294" s="276">
        <f t="shared" si="230"/>
        <v>1.1108993702794907</v>
      </c>
      <c r="R294" s="276">
        <f t="shared" si="231"/>
        <v>1.094813985088565</v>
      </c>
      <c r="S294" s="686">
        <f t="shared" si="232"/>
        <v>0.20182737179088561</v>
      </c>
      <c r="T294" s="685">
        <f t="shared" si="233"/>
        <v>4.9880618976247071</v>
      </c>
      <c r="U294" s="276">
        <f t="shared" si="234"/>
        <v>4.5202183363334338</v>
      </c>
      <c r="V294" s="276">
        <f t="shared" si="235"/>
        <v>3.8821943658055296</v>
      </c>
      <c r="W294" s="276">
        <f t="shared" si="236"/>
        <v>5.3232034566095141</v>
      </c>
      <c r="X294" s="276">
        <f t="shared" si="237"/>
        <v>4.0128751016116846</v>
      </c>
      <c r="Y294" s="686">
        <f t="shared" si="238"/>
        <v>3.8594389997777219</v>
      </c>
      <c r="Z294" s="685" t="e">
        <f t="shared" si="239"/>
        <v>#DIV/0!</v>
      </c>
      <c r="AA294" s="276" t="e">
        <f t="shared" si="240"/>
        <v>#DIV/0!</v>
      </c>
      <c r="AB294" s="276" t="e">
        <f t="shared" si="241"/>
        <v>#DIV/0!</v>
      </c>
      <c r="AC294" s="276" t="e">
        <f t="shared" si="242"/>
        <v>#DIV/0!</v>
      </c>
      <c r="AD294" s="276" t="e">
        <f t="shared" si="243"/>
        <v>#DIV/0!</v>
      </c>
      <c r="AE294" s="686" t="e">
        <f t="shared" si="244"/>
        <v>#DIV/0!</v>
      </c>
      <c r="AF294" s="239"/>
      <c r="AG294" s="965" t="e">
        <f t="shared" si="215"/>
        <v>#VALUE!</v>
      </c>
      <c r="AH294" s="878" t="e">
        <f t="shared" si="216"/>
        <v>#VALUE!</v>
      </c>
      <c r="AI294" s="878" t="e">
        <f t="shared" si="217"/>
        <v>#VALUE!</v>
      </c>
      <c r="AJ294" s="878" t="e">
        <f t="shared" si="218"/>
        <v>#VALUE!</v>
      </c>
      <c r="AK294" s="878" t="e">
        <f t="shared" si="219"/>
        <v>#VALUE!</v>
      </c>
      <c r="AL294" s="966" t="e">
        <f t="shared" si="220"/>
        <v>#VALUE!</v>
      </c>
      <c r="AM294" s="239"/>
      <c r="AO294" s="685">
        <f t="shared" si="245"/>
        <v>6.6701388866531097E-2</v>
      </c>
      <c r="AP294" s="276">
        <f t="shared" si="246"/>
        <v>-3.6634477756804875</v>
      </c>
      <c r="AQ294" s="276">
        <f t="shared" si="247"/>
        <v>-0.41337813955843761</v>
      </c>
      <c r="AR294" s="276">
        <f t="shared" si="248"/>
        <v>0.59720850243147838</v>
      </c>
      <c r="AS294" s="276">
        <f t="shared" si="249"/>
        <v>-0.47749420644940288</v>
      </c>
      <c r="AT294" s="276">
        <f t="shared" si="250"/>
        <v>-6.3414565893780352</v>
      </c>
      <c r="AU294" s="685">
        <f t="shared" si="251"/>
        <v>1.7927438976578325</v>
      </c>
      <c r="AV294" s="276">
        <f t="shared" si="252"/>
        <v>1.2748294780403919</v>
      </c>
      <c r="AW294" s="276">
        <f t="shared" si="253"/>
        <v>2.2139111222057544</v>
      </c>
      <c r="AX294" s="276">
        <f t="shared" si="254"/>
        <v>1.1108993702794907</v>
      </c>
      <c r="AY294" s="276">
        <f t="shared" si="255"/>
        <v>1.094813985088565</v>
      </c>
      <c r="AZ294" s="686">
        <f t="shared" si="256"/>
        <v>0.20182737179088561</v>
      </c>
      <c r="BA294" s="685">
        <f t="shared" si="257"/>
        <v>0</v>
      </c>
      <c r="BB294" s="276">
        <f t="shared" si="258"/>
        <v>0</v>
      </c>
      <c r="BC294" s="276">
        <f t="shared" si="259"/>
        <v>0</v>
      </c>
      <c r="BD294" s="276">
        <f t="shared" si="260"/>
        <v>0</v>
      </c>
      <c r="BE294" s="276">
        <f t="shared" si="261"/>
        <v>0</v>
      </c>
      <c r="BF294" s="686">
        <f t="shared" si="262"/>
        <v>0</v>
      </c>
      <c r="BG294" s="685" t="e">
        <f t="shared" si="263"/>
        <v>#DIV/0!</v>
      </c>
      <c r="BH294" s="276" t="e">
        <f t="shared" si="264"/>
        <v>#DIV/0!</v>
      </c>
      <c r="BI294" s="276" t="e">
        <f t="shared" si="265"/>
        <v>#DIV/0!</v>
      </c>
      <c r="BJ294" s="276" t="e">
        <f t="shared" si="266"/>
        <v>#DIV/0!</v>
      </c>
      <c r="BK294" s="276" t="e">
        <f t="shared" si="267"/>
        <v>#DIV/0!</v>
      </c>
      <c r="BL294" s="686" t="e">
        <f t="shared" si="268"/>
        <v>#DIV/0!</v>
      </c>
      <c r="BM294" s="239"/>
      <c r="BN294" s="965" t="e">
        <f t="shared" si="269"/>
        <v>#VALUE!</v>
      </c>
      <c r="BO294" s="878" t="e">
        <f t="shared" si="270"/>
        <v>#VALUE!</v>
      </c>
      <c r="BP294" s="878" t="e">
        <f t="shared" si="271"/>
        <v>#VALUE!</v>
      </c>
      <c r="BQ294" s="878" t="e">
        <f t="shared" si="272"/>
        <v>#VALUE!</v>
      </c>
      <c r="BR294" s="878" t="e">
        <f t="shared" si="273"/>
        <v>#VALUE!</v>
      </c>
      <c r="BS294" s="966" t="e">
        <f t="shared" si="274"/>
        <v>#VALUE!</v>
      </c>
    </row>
    <row r="295" spans="1:71">
      <c r="A295" s="284">
        <f t="shared" si="275"/>
        <v>227</v>
      </c>
      <c r="B295" s="285">
        <v>-1.8766118928463051</v>
      </c>
      <c r="C295" s="285">
        <v>2.511029862225528</v>
      </c>
      <c r="D295" s="285">
        <v>6.4515391571447145E-2</v>
      </c>
      <c r="E295" s="285">
        <v>0.7417179038631958</v>
      </c>
      <c r="H295" s="685">
        <f t="shared" si="221"/>
        <v>-3.00984573461536</v>
      </c>
      <c r="I295" s="276">
        <f t="shared" si="222"/>
        <v>-2.5530363639723044</v>
      </c>
      <c r="J295" s="276">
        <f t="shared" si="223"/>
        <v>0.69590520068010786</v>
      </c>
      <c r="K295" s="276">
        <f t="shared" si="224"/>
        <v>-4.4200414973355384</v>
      </c>
      <c r="L295" s="276">
        <f t="shared" si="225"/>
        <v>-1.2011301952287339</v>
      </c>
      <c r="M295" s="276">
        <f t="shared" si="226"/>
        <v>-1.1223563025909555</v>
      </c>
      <c r="N295" s="685">
        <f t="shared" si="227"/>
        <v>1.3038586512536596</v>
      </c>
      <c r="O295" s="276">
        <f t="shared" si="228"/>
        <v>0.92944826070121445</v>
      </c>
      <c r="P295" s="276">
        <f t="shared" si="229"/>
        <v>1.0672450408325374</v>
      </c>
      <c r="Q295" s="276">
        <f t="shared" si="230"/>
        <v>1.5090806365143388</v>
      </c>
      <c r="R295" s="276">
        <f t="shared" si="231"/>
        <v>0.94151117705715026</v>
      </c>
      <c r="S295" s="686">
        <f t="shared" si="232"/>
        <v>0.7331844285895277</v>
      </c>
      <c r="T295" s="685">
        <f t="shared" si="233"/>
        <v>3.3428790818423728</v>
      </c>
      <c r="U295" s="276">
        <f t="shared" si="234"/>
        <v>4.536482216324714</v>
      </c>
      <c r="V295" s="276">
        <f t="shared" si="235"/>
        <v>5.7232244567400468</v>
      </c>
      <c r="W295" s="276">
        <f t="shared" si="236"/>
        <v>4.0053840513901289</v>
      </c>
      <c r="X295" s="276">
        <f t="shared" si="237"/>
        <v>3.6286411091712703</v>
      </c>
      <c r="Y295" s="686">
        <f t="shared" si="238"/>
        <v>6.1024421404138174</v>
      </c>
      <c r="Z295" s="685" t="e">
        <f t="shared" si="239"/>
        <v>#DIV/0!</v>
      </c>
      <c r="AA295" s="276" t="e">
        <f t="shared" si="240"/>
        <v>#DIV/0!</v>
      </c>
      <c r="AB295" s="276" t="e">
        <f t="shared" si="241"/>
        <v>#DIV/0!</v>
      </c>
      <c r="AC295" s="276" t="e">
        <f t="shared" si="242"/>
        <v>#DIV/0!</v>
      </c>
      <c r="AD295" s="276" t="e">
        <f t="shared" si="243"/>
        <v>#DIV/0!</v>
      </c>
      <c r="AE295" s="686" t="e">
        <f t="shared" si="244"/>
        <v>#DIV/0!</v>
      </c>
      <c r="AF295" s="239"/>
      <c r="AG295" s="965" t="e">
        <f t="shared" si="215"/>
        <v>#VALUE!</v>
      </c>
      <c r="AH295" s="878" t="e">
        <f t="shared" si="216"/>
        <v>#VALUE!</v>
      </c>
      <c r="AI295" s="878" t="e">
        <f t="shared" si="217"/>
        <v>#VALUE!</v>
      </c>
      <c r="AJ295" s="878" t="e">
        <f t="shared" si="218"/>
        <v>#VALUE!</v>
      </c>
      <c r="AK295" s="878" t="e">
        <f t="shared" si="219"/>
        <v>#VALUE!</v>
      </c>
      <c r="AL295" s="966" t="e">
        <f t="shared" si="220"/>
        <v>#VALUE!</v>
      </c>
      <c r="AM295" s="239"/>
      <c r="AO295" s="685">
        <f t="shared" si="245"/>
        <v>-3.00984573461536</v>
      </c>
      <c r="AP295" s="276">
        <f t="shared" si="246"/>
        <v>-2.5530363639723044</v>
      </c>
      <c r="AQ295" s="276">
        <f t="shared" si="247"/>
        <v>0.69590520068010786</v>
      </c>
      <c r="AR295" s="276">
        <f t="shared" si="248"/>
        <v>-4.4200414973355384</v>
      </c>
      <c r="AS295" s="276">
        <f t="shared" si="249"/>
        <v>-1.2011301952287339</v>
      </c>
      <c r="AT295" s="276">
        <f t="shared" si="250"/>
        <v>-1.1223563025909555</v>
      </c>
      <c r="AU295" s="685">
        <f t="shared" si="251"/>
        <v>1.3038586512536596</v>
      </c>
      <c r="AV295" s="276">
        <f t="shared" si="252"/>
        <v>0.92944826070121445</v>
      </c>
      <c r="AW295" s="276">
        <f t="shared" si="253"/>
        <v>1.0672450408325374</v>
      </c>
      <c r="AX295" s="276">
        <f t="shared" si="254"/>
        <v>1.5090806365143388</v>
      </c>
      <c r="AY295" s="276">
        <f t="shared" si="255"/>
        <v>0.94151117705715026</v>
      </c>
      <c r="AZ295" s="686">
        <f t="shared" si="256"/>
        <v>0.7331844285895277</v>
      </c>
      <c r="BA295" s="685">
        <f t="shared" si="257"/>
        <v>0</v>
      </c>
      <c r="BB295" s="276">
        <f t="shared" si="258"/>
        <v>0</v>
      </c>
      <c r="BC295" s="276">
        <f t="shared" si="259"/>
        <v>0</v>
      </c>
      <c r="BD295" s="276">
        <f t="shared" si="260"/>
        <v>0</v>
      </c>
      <c r="BE295" s="276">
        <f t="shared" si="261"/>
        <v>0</v>
      </c>
      <c r="BF295" s="686">
        <f t="shared" si="262"/>
        <v>0</v>
      </c>
      <c r="BG295" s="685" t="e">
        <f t="shared" si="263"/>
        <v>#DIV/0!</v>
      </c>
      <c r="BH295" s="276" t="e">
        <f t="shared" si="264"/>
        <v>#DIV/0!</v>
      </c>
      <c r="BI295" s="276" t="e">
        <f t="shared" si="265"/>
        <v>#DIV/0!</v>
      </c>
      <c r="BJ295" s="276" t="e">
        <f t="shared" si="266"/>
        <v>#DIV/0!</v>
      </c>
      <c r="BK295" s="276" t="e">
        <f t="shared" si="267"/>
        <v>#DIV/0!</v>
      </c>
      <c r="BL295" s="686" t="e">
        <f t="shared" si="268"/>
        <v>#DIV/0!</v>
      </c>
      <c r="BM295" s="239"/>
      <c r="BN295" s="965" t="e">
        <f t="shared" si="269"/>
        <v>#VALUE!</v>
      </c>
      <c r="BO295" s="878" t="e">
        <f t="shared" si="270"/>
        <v>#VALUE!</v>
      </c>
      <c r="BP295" s="878" t="e">
        <f t="shared" si="271"/>
        <v>#VALUE!</v>
      </c>
      <c r="BQ295" s="878" t="e">
        <f t="shared" si="272"/>
        <v>#VALUE!</v>
      </c>
      <c r="BR295" s="878" t="e">
        <f t="shared" si="273"/>
        <v>#VALUE!</v>
      </c>
      <c r="BS295" s="966" t="e">
        <f t="shared" si="274"/>
        <v>#VALUE!</v>
      </c>
    </row>
    <row r="296" spans="1:71">
      <c r="A296" s="284">
        <f t="shared" si="275"/>
        <v>228</v>
      </c>
      <c r="B296" s="285">
        <v>-0.13263576641314176</v>
      </c>
      <c r="C296" s="285">
        <v>2.8232314238323784</v>
      </c>
      <c r="D296" s="285">
        <v>-9.4790766965649365E-2</v>
      </c>
      <c r="E296" s="285">
        <v>-0.91070337163154491</v>
      </c>
      <c r="H296" s="685">
        <f t="shared" si="221"/>
        <v>-1.2658696081821965</v>
      </c>
      <c r="I296" s="276">
        <f t="shared" si="222"/>
        <v>-6.6771209070504502</v>
      </c>
      <c r="J296" s="276">
        <f t="shared" si="223"/>
        <v>1.4858672163037017</v>
      </c>
      <c r="K296" s="276">
        <f t="shared" si="224"/>
        <v>3.0354692163881385</v>
      </c>
      <c r="L296" s="276">
        <f t="shared" si="225"/>
        <v>-2.0985151737376651</v>
      </c>
      <c r="M296" s="276">
        <f t="shared" si="226"/>
        <v>-0.27709866611834244</v>
      </c>
      <c r="N296" s="685">
        <f t="shared" si="227"/>
        <v>1.6160602128605099</v>
      </c>
      <c r="O296" s="276">
        <f t="shared" si="228"/>
        <v>0.43162515646806621</v>
      </c>
      <c r="P296" s="276">
        <f t="shared" si="229"/>
        <v>1.7138850422827046</v>
      </c>
      <c r="Q296" s="276">
        <f t="shared" si="230"/>
        <v>2.3329420351992161</v>
      </c>
      <c r="R296" s="276">
        <f t="shared" si="231"/>
        <v>1.5011031694924306</v>
      </c>
      <c r="S296" s="686">
        <f t="shared" si="232"/>
        <v>1.5625598360462327</v>
      </c>
      <c r="T296" s="685">
        <f t="shared" si="233"/>
        <v>3.1835729233052765</v>
      </c>
      <c r="U296" s="276">
        <f t="shared" si="234"/>
        <v>2.0049417785052652</v>
      </c>
      <c r="V296" s="276">
        <f t="shared" si="235"/>
        <v>5.0038539879043498</v>
      </c>
      <c r="W296" s="276">
        <f t="shared" si="236"/>
        <v>5.5013973978401198</v>
      </c>
      <c r="X296" s="276">
        <f t="shared" si="237"/>
        <v>4.2664992853041053</v>
      </c>
      <c r="Y296" s="686">
        <f t="shared" si="238"/>
        <v>5.8346351039861659</v>
      </c>
      <c r="Z296" s="685" t="e">
        <f t="shared" si="239"/>
        <v>#DIV/0!</v>
      </c>
      <c r="AA296" s="276" t="e">
        <f t="shared" si="240"/>
        <v>#DIV/0!</v>
      </c>
      <c r="AB296" s="276" t="e">
        <f t="shared" si="241"/>
        <v>#DIV/0!</v>
      </c>
      <c r="AC296" s="276" t="e">
        <f t="shared" si="242"/>
        <v>#DIV/0!</v>
      </c>
      <c r="AD296" s="276" t="e">
        <f t="shared" si="243"/>
        <v>#DIV/0!</v>
      </c>
      <c r="AE296" s="686" t="e">
        <f t="shared" si="244"/>
        <v>#DIV/0!</v>
      </c>
      <c r="AF296" s="239"/>
      <c r="AG296" s="965" t="e">
        <f t="shared" si="215"/>
        <v>#VALUE!</v>
      </c>
      <c r="AH296" s="878" t="e">
        <f t="shared" si="216"/>
        <v>#VALUE!</v>
      </c>
      <c r="AI296" s="878" t="e">
        <f t="shared" si="217"/>
        <v>#VALUE!</v>
      </c>
      <c r="AJ296" s="878" t="e">
        <f t="shared" si="218"/>
        <v>#VALUE!</v>
      </c>
      <c r="AK296" s="878" t="e">
        <f t="shared" si="219"/>
        <v>#VALUE!</v>
      </c>
      <c r="AL296" s="966" t="e">
        <f t="shared" si="220"/>
        <v>#VALUE!</v>
      </c>
      <c r="AM296" s="239"/>
      <c r="AO296" s="685">
        <f t="shared" si="245"/>
        <v>-1.2658696081821965</v>
      </c>
      <c r="AP296" s="276">
        <f t="shared" si="246"/>
        <v>-6.6771209070504502</v>
      </c>
      <c r="AQ296" s="276">
        <f t="shared" si="247"/>
        <v>1.4858672163037017</v>
      </c>
      <c r="AR296" s="276">
        <f t="shared" si="248"/>
        <v>3.0354692163881385</v>
      </c>
      <c r="AS296" s="276">
        <f t="shared" si="249"/>
        <v>-2.0985151737376651</v>
      </c>
      <c r="AT296" s="276">
        <f t="shared" si="250"/>
        <v>-0.27709866611834244</v>
      </c>
      <c r="AU296" s="685">
        <f t="shared" si="251"/>
        <v>1.6160602128605099</v>
      </c>
      <c r="AV296" s="276">
        <f t="shared" si="252"/>
        <v>0.43162515646806621</v>
      </c>
      <c r="AW296" s="276">
        <f t="shared" si="253"/>
        <v>1.7138850422827046</v>
      </c>
      <c r="AX296" s="276">
        <f t="shared" si="254"/>
        <v>2.3329420351992161</v>
      </c>
      <c r="AY296" s="276">
        <f t="shared" si="255"/>
        <v>1.5011031694924306</v>
      </c>
      <c r="AZ296" s="686">
        <f t="shared" si="256"/>
        <v>1.5625598360462327</v>
      </c>
      <c r="BA296" s="685">
        <f t="shared" si="257"/>
        <v>0</v>
      </c>
      <c r="BB296" s="276">
        <f t="shared" si="258"/>
        <v>0</v>
      </c>
      <c r="BC296" s="276">
        <f t="shared" si="259"/>
        <v>0</v>
      </c>
      <c r="BD296" s="276">
        <f t="shared" si="260"/>
        <v>0</v>
      </c>
      <c r="BE296" s="276">
        <f t="shared" si="261"/>
        <v>0</v>
      </c>
      <c r="BF296" s="686">
        <f t="shared" si="262"/>
        <v>0</v>
      </c>
      <c r="BG296" s="685" t="e">
        <f t="shared" si="263"/>
        <v>#DIV/0!</v>
      </c>
      <c r="BH296" s="276" t="e">
        <f t="shared" si="264"/>
        <v>#DIV/0!</v>
      </c>
      <c r="BI296" s="276" t="e">
        <f t="shared" si="265"/>
        <v>#DIV/0!</v>
      </c>
      <c r="BJ296" s="276" t="e">
        <f t="shared" si="266"/>
        <v>#DIV/0!</v>
      </c>
      <c r="BK296" s="276" t="e">
        <f t="shared" si="267"/>
        <v>#DIV/0!</v>
      </c>
      <c r="BL296" s="686" t="e">
        <f t="shared" si="268"/>
        <v>#DIV/0!</v>
      </c>
      <c r="BM296" s="239"/>
      <c r="BN296" s="965" t="e">
        <f t="shared" si="269"/>
        <v>#VALUE!</v>
      </c>
      <c r="BO296" s="878" t="e">
        <f t="shared" si="270"/>
        <v>#VALUE!</v>
      </c>
      <c r="BP296" s="878" t="e">
        <f t="shared" si="271"/>
        <v>#VALUE!</v>
      </c>
      <c r="BQ296" s="878" t="e">
        <f t="shared" si="272"/>
        <v>#VALUE!</v>
      </c>
      <c r="BR296" s="878" t="e">
        <f t="shared" si="273"/>
        <v>#VALUE!</v>
      </c>
      <c r="BS296" s="966" t="e">
        <f t="shared" si="274"/>
        <v>#VALUE!</v>
      </c>
    </row>
    <row r="297" spans="1:71">
      <c r="A297" s="284">
        <f t="shared" si="275"/>
        <v>229</v>
      </c>
      <c r="B297" s="285">
        <v>1.3736129983804997</v>
      </c>
      <c r="C297" s="285">
        <v>2.012395944161419</v>
      </c>
      <c r="D297" s="285">
        <v>1.5762955981884026</v>
      </c>
      <c r="E297" s="285">
        <v>-17.307564776788443</v>
      </c>
      <c r="H297" s="685">
        <f t="shared" si="221"/>
        <v>0.24037915661144482</v>
      </c>
      <c r="I297" s="276">
        <f t="shared" si="222"/>
        <v>1.2890894160460056</v>
      </c>
      <c r="J297" s="276">
        <f t="shared" si="223"/>
        <v>-1.2245738059267888</v>
      </c>
      <c r="K297" s="276">
        <f t="shared" si="224"/>
        <v>1.1008436566943394</v>
      </c>
      <c r="L297" s="276">
        <f t="shared" si="225"/>
        <v>2.0036161019790066</v>
      </c>
      <c r="M297" s="276">
        <f t="shared" si="226"/>
        <v>2.327649981694571</v>
      </c>
      <c r="N297" s="685">
        <f t="shared" si="227"/>
        <v>0.80522473318955057</v>
      </c>
      <c r="O297" s="276">
        <f t="shared" si="228"/>
        <v>1.0810207472605298</v>
      </c>
      <c r="P297" s="276">
        <f t="shared" si="229"/>
        <v>0.9149259534197689</v>
      </c>
      <c r="Q297" s="276">
        <f t="shared" si="230"/>
        <v>1.5050987745463191</v>
      </c>
      <c r="R297" s="276">
        <f t="shared" si="231"/>
        <v>1.2432248447603651</v>
      </c>
      <c r="S297" s="686">
        <f t="shared" si="232"/>
        <v>1.6356988991448411</v>
      </c>
      <c r="T297" s="685">
        <f t="shared" si="233"/>
        <v>4.8546592884593283</v>
      </c>
      <c r="U297" s="276">
        <f t="shared" si="234"/>
        <v>4.0881765937763932</v>
      </c>
      <c r="V297" s="276">
        <f t="shared" si="235"/>
        <v>3.1722758176436443</v>
      </c>
      <c r="W297" s="276">
        <f t="shared" si="236"/>
        <v>4.2183475610426928</v>
      </c>
      <c r="X297" s="276">
        <f t="shared" si="237"/>
        <v>7.3332233148380279</v>
      </c>
      <c r="Y297" s="686">
        <f t="shared" si="238"/>
        <v>4.6914417010489045</v>
      </c>
      <c r="Z297" s="685" t="e">
        <f t="shared" si="239"/>
        <v>#DIV/0!</v>
      </c>
      <c r="AA297" s="276" t="e">
        <f t="shared" si="240"/>
        <v>#DIV/0!</v>
      </c>
      <c r="AB297" s="276" t="e">
        <f t="shared" si="241"/>
        <v>#DIV/0!</v>
      </c>
      <c r="AC297" s="276" t="e">
        <f t="shared" si="242"/>
        <v>#DIV/0!</v>
      </c>
      <c r="AD297" s="276" t="e">
        <f t="shared" si="243"/>
        <v>#DIV/0!</v>
      </c>
      <c r="AE297" s="686" t="e">
        <f t="shared" si="244"/>
        <v>#DIV/0!</v>
      </c>
      <c r="AF297" s="239"/>
      <c r="AG297" s="965" t="e">
        <f t="shared" si="215"/>
        <v>#VALUE!</v>
      </c>
      <c r="AH297" s="878" t="e">
        <f t="shared" si="216"/>
        <v>#VALUE!</v>
      </c>
      <c r="AI297" s="878" t="e">
        <f t="shared" si="217"/>
        <v>#VALUE!</v>
      </c>
      <c r="AJ297" s="878" t="e">
        <f t="shared" si="218"/>
        <v>#VALUE!</v>
      </c>
      <c r="AK297" s="878" t="e">
        <f t="shared" si="219"/>
        <v>#VALUE!</v>
      </c>
      <c r="AL297" s="966" t="e">
        <f t="shared" si="220"/>
        <v>#VALUE!</v>
      </c>
      <c r="AM297" s="239"/>
      <c r="AO297" s="685">
        <f t="shared" si="245"/>
        <v>0.24037915661144482</v>
      </c>
      <c r="AP297" s="276">
        <f t="shared" si="246"/>
        <v>1.2890894160460056</v>
      </c>
      <c r="AQ297" s="276">
        <f t="shared" si="247"/>
        <v>-1.2245738059267888</v>
      </c>
      <c r="AR297" s="276">
        <f t="shared" si="248"/>
        <v>1.1008436566943394</v>
      </c>
      <c r="AS297" s="276">
        <f t="shared" si="249"/>
        <v>2.0036161019790066</v>
      </c>
      <c r="AT297" s="276">
        <f t="shared" si="250"/>
        <v>2.327649981694571</v>
      </c>
      <c r="AU297" s="685">
        <f t="shared" si="251"/>
        <v>0.80522473318955057</v>
      </c>
      <c r="AV297" s="276">
        <f t="shared" si="252"/>
        <v>1.0810207472605298</v>
      </c>
      <c r="AW297" s="276">
        <f t="shared" si="253"/>
        <v>0.9149259534197689</v>
      </c>
      <c r="AX297" s="276">
        <f t="shared" si="254"/>
        <v>1.5050987745463191</v>
      </c>
      <c r="AY297" s="276">
        <f t="shared" si="255"/>
        <v>1.2432248447603651</v>
      </c>
      <c r="AZ297" s="686">
        <f t="shared" si="256"/>
        <v>1.6356988991448411</v>
      </c>
      <c r="BA297" s="685">
        <f t="shared" si="257"/>
        <v>0</v>
      </c>
      <c r="BB297" s="276">
        <f t="shared" si="258"/>
        <v>0</v>
      </c>
      <c r="BC297" s="276">
        <f t="shared" si="259"/>
        <v>0</v>
      </c>
      <c r="BD297" s="276">
        <f t="shared" si="260"/>
        <v>0</v>
      </c>
      <c r="BE297" s="276">
        <f t="shared" si="261"/>
        <v>0</v>
      </c>
      <c r="BF297" s="686">
        <f t="shared" si="262"/>
        <v>0</v>
      </c>
      <c r="BG297" s="685" t="e">
        <f t="shared" si="263"/>
        <v>#DIV/0!</v>
      </c>
      <c r="BH297" s="276" t="e">
        <f t="shared" si="264"/>
        <v>#DIV/0!</v>
      </c>
      <c r="BI297" s="276" t="e">
        <f t="shared" si="265"/>
        <v>#DIV/0!</v>
      </c>
      <c r="BJ297" s="276" t="e">
        <f t="shared" si="266"/>
        <v>#DIV/0!</v>
      </c>
      <c r="BK297" s="276" t="e">
        <f t="shared" si="267"/>
        <v>#DIV/0!</v>
      </c>
      <c r="BL297" s="686" t="e">
        <f t="shared" si="268"/>
        <v>#DIV/0!</v>
      </c>
      <c r="BM297" s="239"/>
      <c r="BN297" s="965" t="e">
        <f t="shared" si="269"/>
        <v>#VALUE!</v>
      </c>
      <c r="BO297" s="878" t="e">
        <f t="shared" si="270"/>
        <v>#VALUE!</v>
      </c>
      <c r="BP297" s="878" t="e">
        <f t="shared" si="271"/>
        <v>#VALUE!</v>
      </c>
      <c r="BQ297" s="878" t="e">
        <f t="shared" si="272"/>
        <v>#VALUE!</v>
      </c>
      <c r="BR297" s="878" t="e">
        <f t="shared" si="273"/>
        <v>#VALUE!</v>
      </c>
      <c r="BS297" s="966" t="e">
        <f t="shared" si="274"/>
        <v>#VALUE!</v>
      </c>
    </row>
    <row r="298" spans="1:71">
      <c r="A298" s="284">
        <f t="shared" si="275"/>
        <v>230</v>
      </c>
      <c r="B298" s="285">
        <v>3.6851030149832051</v>
      </c>
      <c r="C298" s="285">
        <v>2.5850830271208962</v>
      </c>
      <c r="D298" s="285">
        <v>-0.44434214314306764</v>
      </c>
      <c r="E298" s="285">
        <v>-17.81441409695719</v>
      </c>
      <c r="H298" s="685">
        <f t="shared" si="221"/>
        <v>2.5518691732141505</v>
      </c>
      <c r="I298" s="276">
        <f t="shared" si="222"/>
        <v>0.10002463693423702</v>
      </c>
      <c r="J298" s="276">
        <f t="shared" si="223"/>
        <v>1.0684512334239857</v>
      </c>
      <c r="K298" s="276">
        <f t="shared" si="224"/>
        <v>-5.1978965930314169</v>
      </c>
      <c r="L298" s="276">
        <f t="shared" si="225"/>
        <v>-5.6746299522378427</v>
      </c>
      <c r="M298" s="276">
        <f t="shared" si="226"/>
        <v>-2.3064349958179293</v>
      </c>
      <c r="N298" s="685">
        <f t="shared" si="227"/>
        <v>1.3779118161490278</v>
      </c>
      <c r="O298" s="276">
        <f t="shared" si="228"/>
        <v>2.320076298252161</v>
      </c>
      <c r="P298" s="276">
        <f t="shared" si="229"/>
        <v>0.77874868597173386</v>
      </c>
      <c r="Q298" s="276">
        <f t="shared" si="230"/>
        <v>0.97954658847952936</v>
      </c>
      <c r="R298" s="276">
        <f t="shared" si="231"/>
        <v>4.5414953478915887E-2</v>
      </c>
      <c r="S298" s="686">
        <f t="shared" si="232"/>
        <v>1.1168069255353459</v>
      </c>
      <c r="T298" s="685">
        <f t="shared" si="233"/>
        <v>2.8340215471278585</v>
      </c>
      <c r="U298" s="276">
        <f t="shared" si="234"/>
        <v>4.0927912996776978</v>
      </c>
      <c r="V298" s="276">
        <f t="shared" si="235"/>
        <v>4.6162614059784399</v>
      </c>
      <c r="W298" s="276">
        <f t="shared" si="236"/>
        <v>3.4977278165174326</v>
      </c>
      <c r="X298" s="276">
        <f t="shared" si="237"/>
        <v>4.7713175293825802</v>
      </c>
      <c r="Y298" s="686">
        <f t="shared" si="238"/>
        <v>4.2174220961234372</v>
      </c>
      <c r="Z298" s="685" t="e">
        <f t="shared" si="239"/>
        <v>#DIV/0!</v>
      </c>
      <c r="AA298" s="276" t="e">
        <f t="shared" si="240"/>
        <v>#DIV/0!</v>
      </c>
      <c r="AB298" s="276" t="e">
        <f t="shared" si="241"/>
        <v>#DIV/0!</v>
      </c>
      <c r="AC298" s="276" t="e">
        <f t="shared" si="242"/>
        <v>#DIV/0!</v>
      </c>
      <c r="AD298" s="276" t="e">
        <f t="shared" si="243"/>
        <v>#DIV/0!</v>
      </c>
      <c r="AE298" s="686" t="e">
        <f t="shared" si="244"/>
        <v>#DIV/0!</v>
      </c>
      <c r="AF298" s="239"/>
      <c r="AG298" s="965" t="e">
        <f t="shared" si="215"/>
        <v>#VALUE!</v>
      </c>
      <c r="AH298" s="878" t="e">
        <f t="shared" si="216"/>
        <v>#VALUE!</v>
      </c>
      <c r="AI298" s="878" t="e">
        <f t="shared" si="217"/>
        <v>#VALUE!</v>
      </c>
      <c r="AJ298" s="878" t="e">
        <f t="shared" si="218"/>
        <v>#VALUE!</v>
      </c>
      <c r="AK298" s="878" t="e">
        <f t="shared" si="219"/>
        <v>#VALUE!</v>
      </c>
      <c r="AL298" s="966" t="e">
        <f t="shared" si="220"/>
        <v>#VALUE!</v>
      </c>
      <c r="AM298" s="239"/>
      <c r="AO298" s="685">
        <f t="shared" si="245"/>
        <v>2.5518691732141505</v>
      </c>
      <c r="AP298" s="276">
        <f t="shared" si="246"/>
        <v>0.10002463693423702</v>
      </c>
      <c r="AQ298" s="276">
        <f t="shared" si="247"/>
        <v>1.0684512334239857</v>
      </c>
      <c r="AR298" s="276">
        <f t="shared" si="248"/>
        <v>-5.1978965930314169</v>
      </c>
      <c r="AS298" s="276">
        <f t="shared" si="249"/>
        <v>-5.6746299522378427</v>
      </c>
      <c r="AT298" s="276">
        <f t="shared" si="250"/>
        <v>-2.3064349958179293</v>
      </c>
      <c r="AU298" s="685">
        <f t="shared" si="251"/>
        <v>1.3779118161490278</v>
      </c>
      <c r="AV298" s="276">
        <f t="shared" si="252"/>
        <v>2.320076298252161</v>
      </c>
      <c r="AW298" s="276">
        <f t="shared" si="253"/>
        <v>0.77874868597173386</v>
      </c>
      <c r="AX298" s="276">
        <f t="shared" si="254"/>
        <v>0.97954658847952936</v>
      </c>
      <c r="AY298" s="276">
        <f t="shared" si="255"/>
        <v>4.5414953478915887E-2</v>
      </c>
      <c r="AZ298" s="686">
        <f t="shared" si="256"/>
        <v>1.1168069255353459</v>
      </c>
      <c r="BA298" s="685">
        <f t="shared" si="257"/>
        <v>0</v>
      </c>
      <c r="BB298" s="276">
        <f t="shared" si="258"/>
        <v>0</v>
      </c>
      <c r="BC298" s="276">
        <f t="shared" si="259"/>
        <v>0</v>
      </c>
      <c r="BD298" s="276">
        <f t="shared" si="260"/>
        <v>0</v>
      </c>
      <c r="BE298" s="276">
        <f t="shared" si="261"/>
        <v>0</v>
      </c>
      <c r="BF298" s="686">
        <f t="shared" si="262"/>
        <v>0</v>
      </c>
      <c r="BG298" s="685" t="e">
        <f t="shared" si="263"/>
        <v>#DIV/0!</v>
      </c>
      <c r="BH298" s="276" t="e">
        <f t="shared" si="264"/>
        <v>#DIV/0!</v>
      </c>
      <c r="BI298" s="276" t="e">
        <f t="shared" si="265"/>
        <v>#DIV/0!</v>
      </c>
      <c r="BJ298" s="276" t="e">
        <f t="shared" si="266"/>
        <v>#DIV/0!</v>
      </c>
      <c r="BK298" s="276" t="e">
        <f t="shared" si="267"/>
        <v>#DIV/0!</v>
      </c>
      <c r="BL298" s="686" t="e">
        <f t="shared" si="268"/>
        <v>#DIV/0!</v>
      </c>
      <c r="BM298" s="239"/>
      <c r="BN298" s="965" t="e">
        <f t="shared" si="269"/>
        <v>#VALUE!</v>
      </c>
      <c r="BO298" s="878" t="e">
        <f t="shared" si="270"/>
        <v>#VALUE!</v>
      </c>
      <c r="BP298" s="878" t="e">
        <f t="shared" si="271"/>
        <v>#VALUE!</v>
      </c>
      <c r="BQ298" s="878" t="e">
        <f t="shared" si="272"/>
        <v>#VALUE!</v>
      </c>
      <c r="BR298" s="878" t="e">
        <f t="shared" si="273"/>
        <v>#VALUE!</v>
      </c>
      <c r="BS298" s="966" t="e">
        <f t="shared" si="274"/>
        <v>#VALUE!</v>
      </c>
    </row>
    <row r="299" spans="1:71">
      <c r="A299" s="284">
        <f t="shared" si="275"/>
        <v>231</v>
      </c>
      <c r="B299" s="285">
        <v>2.4610229484639223</v>
      </c>
      <c r="C299" s="285">
        <v>2.5966040626896385</v>
      </c>
      <c r="D299" s="285">
        <v>3.3086278698393183</v>
      </c>
      <c r="E299" s="285">
        <v>-12.001195494069641</v>
      </c>
      <c r="H299" s="685">
        <f t="shared" si="221"/>
        <v>1.3277891066948675</v>
      </c>
      <c r="I299" s="276">
        <f t="shared" si="222"/>
        <v>-2.6531487979890391</v>
      </c>
      <c r="J299" s="276">
        <f t="shared" si="223"/>
        <v>-3.6444185429644405</v>
      </c>
      <c r="K299" s="276">
        <f t="shared" si="224"/>
        <v>2.5343126948810299</v>
      </c>
      <c r="L299" s="276">
        <f t="shared" si="225"/>
        <v>0.8434225086205025</v>
      </c>
      <c r="M299" s="276">
        <f t="shared" si="226"/>
        <v>-0.82215408312006466</v>
      </c>
      <c r="N299" s="685">
        <f t="shared" si="227"/>
        <v>1.3894328517177701</v>
      </c>
      <c r="O299" s="276">
        <f t="shared" si="228"/>
        <v>0.64437820404917012</v>
      </c>
      <c r="P299" s="276">
        <f t="shared" si="229"/>
        <v>0.87339843829889996</v>
      </c>
      <c r="Q299" s="276">
        <f t="shared" si="230"/>
        <v>1.5835130975984757</v>
      </c>
      <c r="R299" s="276">
        <f t="shared" si="231"/>
        <v>1.9604773271381315</v>
      </c>
      <c r="S299" s="686">
        <f t="shared" si="232"/>
        <v>1.4420570833481381</v>
      </c>
      <c r="T299" s="685">
        <f t="shared" si="233"/>
        <v>6.5869915601102438</v>
      </c>
      <c r="U299" s="276">
        <f t="shared" si="234"/>
        <v>3.5771159340635594</v>
      </c>
      <c r="V299" s="276">
        <f t="shared" si="235"/>
        <v>2.7006099794813139</v>
      </c>
      <c r="W299" s="276">
        <f t="shared" si="236"/>
        <v>3.6221293010392941</v>
      </c>
      <c r="X299" s="276">
        <f t="shared" si="237"/>
        <v>5.9271950038937682</v>
      </c>
      <c r="Y299" s="686">
        <f t="shared" si="238"/>
        <v>4.4402153953785763</v>
      </c>
      <c r="Z299" s="685" t="e">
        <f t="shared" si="239"/>
        <v>#DIV/0!</v>
      </c>
      <c r="AA299" s="276" t="e">
        <f t="shared" si="240"/>
        <v>#DIV/0!</v>
      </c>
      <c r="AB299" s="276" t="e">
        <f t="shared" si="241"/>
        <v>#DIV/0!</v>
      </c>
      <c r="AC299" s="276" t="e">
        <f t="shared" si="242"/>
        <v>#DIV/0!</v>
      </c>
      <c r="AD299" s="276" t="e">
        <f t="shared" si="243"/>
        <v>#DIV/0!</v>
      </c>
      <c r="AE299" s="686" t="e">
        <f t="shared" si="244"/>
        <v>#DIV/0!</v>
      </c>
      <c r="AF299" s="239"/>
      <c r="AG299" s="965" t="e">
        <f t="shared" si="215"/>
        <v>#VALUE!</v>
      </c>
      <c r="AH299" s="878" t="e">
        <f t="shared" si="216"/>
        <v>#VALUE!</v>
      </c>
      <c r="AI299" s="878" t="e">
        <f t="shared" si="217"/>
        <v>#VALUE!</v>
      </c>
      <c r="AJ299" s="878" t="e">
        <f t="shared" si="218"/>
        <v>#VALUE!</v>
      </c>
      <c r="AK299" s="878" t="e">
        <f t="shared" si="219"/>
        <v>#VALUE!</v>
      </c>
      <c r="AL299" s="966" t="e">
        <f t="shared" si="220"/>
        <v>#VALUE!</v>
      </c>
      <c r="AM299" s="239"/>
      <c r="AO299" s="685">
        <f t="shared" si="245"/>
        <v>1.3277891066948675</v>
      </c>
      <c r="AP299" s="276">
        <f t="shared" si="246"/>
        <v>-2.6531487979890391</v>
      </c>
      <c r="AQ299" s="276">
        <f t="shared" si="247"/>
        <v>-3.6444185429644405</v>
      </c>
      <c r="AR299" s="276">
        <f t="shared" si="248"/>
        <v>2.5343126948810299</v>
      </c>
      <c r="AS299" s="276">
        <f t="shared" si="249"/>
        <v>0.8434225086205025</v>
      </c>
      <c r="AT299" s="276">
        <f t="shared" si="250"/>
        <v>-0.82215408312006466</v>
      </c>
      <c r="AU299" s="685">
        <f t="shared" si="251"/>
        <v>1.3894328517177701</v>
      </c>
      <c r="AV299" s="276">
        <f t="shared" si="252"/>
        <v>0.64437820404917012</v>
      </c>
      <c r="AW299" s="276">
        <f t="shared" si="253"/>
        <v>0.87339843829889996</v>
      </c>
      <c r="AX299" s="276">
        <f t="shared" si="254"/>
        <v>1.5835130975984757</v>
      </c>
      <c r="AY299" s="276">
        <f t="shared" si="255"/>
        <v>1.9604773271381315</v>
      </c>
      <c r="AZ299" s="686">
        <f t="shared" si="256"/>
        <v>1.4420570833481381</v>
      </c>
      <c r="BA299" s="685">
        <f t="shared" si="257"/>
        <v>0</v>
      </c>
      <c r="BB299" s="276">
        <f t="shared" si="258"/>
        <v>0</v>
      </c>
      <c r="BC299" s="276">
        <f t="shared" si="259"/>
        <v>0</v>
      </c>
      <c r="BD299" s="276">
        <f t="shared" si="260"/>
        <v>0</v>
      </c>
      <c r="BE299" s="276">
        <f t="shared" si="261"/>
        <v>0</v>
      </c>
      <c r="BF299" s="686">
        <f t="shared" si="262"/>
        <v>0</v>
      </c>
      <c r="BG299" s="685" t="e">
        <f t="shared" si="263"/>
        <v>#DIV/0!</v>
      </c>
      <c r="BH299" s="276" t="e">
        <f t="shared" si="264"/>
        <v>#DIV/0!</v>
      </c>
      <c r="BI299" s="276" t="e">
        <f t="shared" si="265"/>
        <v>#DIV/0!</v>
      </c>
      <c r="BJ299" s="276" t="e">
        <f t="shared" si="266"/>
        <v>#DIV/0!</v>
      </c>
      <c r="BK299" s="276" t="e">
        <f t="shared" si="267"/>
        <v>#DIV/0!</v>
      </c>
      <c r="BL299" s="686" t="e">
        <f t="shared" si="268"/>
        <v>#DIV/0!</v>
      </c>
      <c r="BM299" s="239"/>
      <c r="BN299" s="965" t="e">
        <f t="shared" si="269"/>
        <v>#VALUE!</v>
      </c>
      <c r="BO299" s="878" t="e">
        <f t="shared" si="270"/>
        <v>#VALUE!</v>
      </c>
      <c r="BP299" s="878" t="e">
        <f t="shared" si="271"/>
        <v>#VALUE!</v>
      </c>
      <c r="BQ299" s="878" t="e">
        <f t="shared" si="272"/>
        <v>#VALUE!</v>
      </c>
      <c r="BR299" s="878" t="e">
        <f t="shared" si="273"/>
        <v>#VALUE!</v>
      </c>
      <c r="BS299" s="966" t="e">
        <f t="shared" si="274"/>
        <v>#VALUE!</v>
      </c>
    </row>
    <row r="300" spans="1:71">
      <c r="A300" s="284">
        <f t="shared" si="275"/>
        <v>232</v>
      </c>
      <c r="B300" s="285">
        <v>-1.3453947731558238</v>
      </c>
      <c r="C300" s="285">
        <v>1.8383485295955051</v>
      </c>
      <c r="D300" s="285">
        <v>2.0232635640324799</v>
      </c>
      <c r="E300" s="285">
        <v>-10.31193852104116</v>
      </c>
      <c r="H300" s="685">
        <f t="shared" si="221"/>
        <v>-2.4786286149248786</v>
      </c>
      <c r="I300" s="276">
        <f t="shared" si="222"/>
        <v>-2.2549243949210882</v>
      </c>
      <c r="J300" s="276">
        <f t="shared" si="223"/>
        <v>0.35467647310029671</v>
      </c>
      <c r="K300" s="276">
        <f t="shared" si="224"/>
        <v>-4.0564795839023908</v>
      </c>
      <c r="L300" s="276">
        <f t="shared" si="225"/>
        <v>-0.55840101025683575</v>
      </c>
      <c r="M300" s="276">
        <f t="shared" si="226"/>
        <v>-5.981945513933046</v>
      </c>
      <c r="N300" s="685">
        <f t="shared" si="227"/>
        <v>0.63117731862363669</v>
      </c>
      <c r="O300" s="276">
        <f t="shared" si="228"/>
        <v>1.8503736549578835</v>
      </c>
      <c r="P300" s="276">
        <f t="shared" si="229"/>
        <v>0.73768338183200943</v>
      </c>
      <c r="Q300" s="276">
        <f t="shared" si="230"/>
        <v>0.82625649313808247</v>
      </c>
      <c r="R300" s="276">
        <f t="shared" si="231"/>
        <v>1.6128475183540358</v>
      </c>
      <c r="S300" s="686">
        <f t="shared" si="232"/>
        <v>1.2304993454255995</v>
      </c>
      <c r="T300" s="685">
        <f t="shared" si="233"/>
        <v>5.3016272543034058</v>
      </c>
      <c r="U300" s="276">
        <f t="shared" si="234"/>
        <v>5.0301975920339501</v>
      </c>
      <c r="V300" s="276">
        <f t="shared" si="235"/>
        <v>5.0722520731687926</v>
      </c>
      <c r="W300" s="276">
        <f t="shared" si="236"/>
        <v>3.1803140690452976</v>
      </c>
      <c r="X300" s="276">
        <f t="shared" si="237"/>
        <v>5.0624857176676317</v>
      </c>
      <c r="Y300" s="686">
        <f t="shared" si="238"/>
        <v>5.1220732966690274</v>
      </c>
      <c r="Z300" s="685" t="e">
        <f t="shared" si="239"/>
        <v>#DIV/0!</v>
      </c>
      <c r="AA300" s="276" t="e">
        <f t="shared" si="240"/>
        <v>#DIV/0!</v>
      </c>
      <c r="AB300" s="276" t="e">
        <f t="shared" si="241"/>
        <v>#DIV/0!</v>
      </c>
      <c r="AC300" s="276" t="e">
        <f t="shared" si="242"/>
        <v>#DIV/0!</v>
      </c>
      <c r="AD300" s="276" t="e">
        <f t="shared" si="243"/>
        <v>#DIV/0!</v>
      </c>
      <c r="AE300" s="686" t="e">
        <f t="shared" si="244"/>
        <v>#DIV/0!</v>
      </c>
      <c r="AF300" s="239"/>
      <c r="AG300" s="965" t="e">
        <f t="shared" si="215"/>
        <v>#VALUE!</v>
      </c>
      <c r="AH300" s="878" t="e">
        <f t="shared" si="216"/>
        <v>#VALUE!</v>
      </c>
      <c r="AI300" s="878" t="e">
        <f t="shared" si="217"/>
        <v>#VALUE!</v>
      </c>
      <c r="AJ300" s="878" t="e">
        <f t="shared" si="218"/>
        <v>#VALUE!</v>
      </c>
      <c r="AK300" s="878" t="e">
        <f t="shared" si="219"/>
        <v>#VALUE!</v>
      </c>
      <c r="AL300" s="966" t="e">
        <f t="shared" si="220"/>
        <v>#VALUE!</v>
      </c>
      <c r="AM300" s="239"/>
      <c r="AO300" s="685">
        <f t="shared" si="245"/>
        <v>-2.4786286149248786</v>
      </c>
      <c r="AP300" s="276">
        <f t="shared" si="246"/>
        <v>-2.2549243949210882</v>
      </c>
      <c r="AQ300" s="276">
        <f t="shared" si="247"/>
        <v>0.35467647310029671</v>
      </c>
      <c r="AR300" s="276">
        <f t="shared" si="248"/>
        <v>-4.0564795839023908</v>
      </c>
      <c r="AS300" s="276">
        <f t="shared" si="249"/>
        <v>-0.55840101025683575</v>
      </c>
      <c r="AT300" s="276">
        <f t="shared" si="250"/>
        <v>-5.981945513933046</v>
      </c>
      <c r="AU300" s="685">
        <f t="shared" si="251"/>
        <v>0.63117731862363669</v>
      </c>
      <c r="AV300" s="276">
        <f t="shared" si="252"/>
        <v>1.8503736549578835</v>
      </c>
      <c r="AW300" s="276">
        <f t="shared" si="253"/>
        <v>0.73768338183200943</v>
      </c>
      <c r="AX300" s="276">
        <f t="shared" si="254"/>
        <v>0.82625649313808247</v>
      </c>
      <c r="AY300" s="276">
        <f t="shared" si="255"/>
        <v>1.6128475183540358</v>
      </c>
      <c r="AZ300" s="686">
        <f t="shared" si="256"/>
        <v>1.2304993454255995</v>
      </c>
      <c r="BA300" s="685">
        <f t="shared" si="257"/>
        <v>0</v>
      </c>
      <c r="BB300" s="276">
        <f t="shared" si="258"/>
        <v>0</v>
      </c>
      <c r="BC300" s="276">
        <f t="shared" si="259"/>
        <v>0</v>
      </c>
      <c r="BD300" s="276">
        <f t="shared" si="260"/>
        <v>0</v>
      </c>
      <c r="BE300" s="276">
        <f t="shared" si="261"/>
        <v>0</v>
      </c>
      <c r="BF300" s="686">
        <f t="shared" si="262"/>
        <v>0</v>
      </c>
      <c r="BG300" s="685" t="e">
        <f t="shared" si="263"/>
        <v>#DIV/0!</v>
      </c>
      <c r="BH300" s="276" t="e">
        <f t="shared" si="264"/>
        <v>#DIV/0!</v>
      </c>
      <c r="BI300" s="276" t="e">
        <f t="shared" si="265"/>
        <v>#DIV/0!</v>
      </c>
      <c r="BJ300" s="276" t="e">
        <f t="shared" si="266"/>
        <v>#DIV/0!</v>
      </c>
      <c r="BK300" s="276" t="e">
        <f t="shared" si="267"/>
        <v>#DIV/0!</v>
      </c>
      <c r="BL300" s="686" t="e">
        <f t="shared" si="268"/>
        <v>#DIV/0!</v>
      </c>
      <c r="BM300" s="239"/>
      <c r="BN300" s="965" t="e">
        <f t="shared" si="269"/>
        <v>#VALUE!</v>
      </c>
      <c r="BO300" s="878" t="e">
        <f t="shared" si="270"/>
        <v>#VALUE!</v>
      </c>
      <c r="BP300" s="878" t="e">
        <f t="shared" si="271"/>
        <v>#VALUE!</v>
      </c>
      <c r="BQ300" s="878" t="e">
        <f t="shared" si="272"/>
        <v>#VALUE!</v>
      </c>
      <c r="BR300" s="878" t="e">
        <f t="shared" si="273"/>
        <v>#VALUE!</v>
      </c>
      <c r="BS300" s="966" t="e">
        <f t="shared" si="274"/>
        <v>#VALUE!</v>
      </c>
    </row>
    <row r="301" spans="1:71">
      <c r="A301" s="284">
        <f t="shared" si="275"/>
        <v>233</v>
      </c>
      <c r="B301" s="285">
        <v>-4.092424764218312</v>
      </c>
      <c r="C301" s="285">
        <v>1.8630069242730718</v>
      </c>
      <c r="D301" s="285">
        <v>0.82544834506545972</v>
      </c>
      <c r="E301" s="285">
        <v>-1.465957005333554</v>
      </c>
      <c r="H301" s="685">
        <f t="shared" si="221"/>
        <v>-5.2256586059873671</v>
      </c>
      <c r="I301" s="276">
        <f t="shared" si="222"/>
        <v>-0.2247653061379401</v>
      </c>
      <c r="J301" s="276">
        <f t="shared" si="223"/>
        <v>-1.4632811859464041</v>
      </c>
      <c r="K301" s="276">
        <f t="shared" si="224"/>
        <v>-3.362160145361285</v>
      </c>
      <c r="L301" s="276">
        <f t="shared" si="225"/>
        <v>0.61924752516103609</v>
      </c>
      <c r="M301" s="276">
        <f t="shared" si="226"/>
        <v>0.20580754797227319</v>
      </c>
      <c r="N301" s="685">
        <f t="shared" si="227"/>
        <v>0.65583571330120338</v>
      </c>
      <c r="O301" s="276">
        <f t="shared" si="228"/>
        <v>1.4199744280993982</v>
      </c>
      <c r="P301" s="276">
        <f t="shared" si="229"/>
        <v>1.4842264684200688</v>
      </c>
      <c r="Q301" s="276">
        <f t="shared" si="230"/>
        <v>1.676242714892666</v>
      </c>
      <c r="R301" s="276">
        <f t="shared" si="231"/>
        <v>1.1681072299828015</v>
      </c>
      <c r="S301" s="686">
        <f t="shared" si="232"/>
        <v>1.6942296563774126</v>
      </c>
      <c r="T301" s="685">
        <f t="shared" si="233"/>
        <v>4.1038120353363858</v>
      </c>
      <c r="U301" s="276">
        <f t="shared" si="234"/>
        <v>3.2696923723202196</v>
      </c>
      <c r="V301" s="276">
        <f t="shared" si="235"/>
        <v>5.3494486711862645</v>
      </c>
      <c r="W301" s="276">
        <f t="shared" si="236"/>
        <v>5.297785878524178</v>
      </c>
      <c r="X301" s="276">
        <f t="shared" si="237"/>
        <v>4.331632462137156</v>
      </c>
      <c r="Y301" s="686">
        <f t="shared" si="238"/>
        <v>6.454159103334546</v>
      </c>
      <c r="Z301" s="685" t="e">
        <f t="shared" si="239"/>
        <v>#DIV/0!</v>
      </c>
      <c r="AA301" s="276" t="e">
        <f t="shared" si="240"/>
        <v>#DIV/0!</v>
      </c>
      <c r="AB301" s="276" t="e">
        <f t="shared" si="241"/>
        <v>#DIV/0!</v>
      </c>
      <c r="AC301" s="276" t="e">
        <f t="shared" si="242"/>
        <v>#DIV/0!</v>
      </c>
      <c r="AD301" s="276" t="e">
        <f t="shared" si="243"/>
        <v>#DIV/0!</v>
      </c>
      <c r="AE301" s="686" t="e">
        <f t="shared" si="244"/>
        <v>#DIV/0!</v>
      </c>
      <c r="AF301" s="239"/>
      <c r="AG301" s="965" t="e">
        <f t="shared" si="215"/>
        <v>#VALUE!</v>
      </c>
      <c r="AH301" s="878" t="e">
        <f t="shared" si="216"/>
        <v>#VALUE!</v>
      </c>
      <c r="AI301" s="878" t="e">
        <f t="shared" si="217"/>
        <v>#VALUE!</v>
      </c>
      <c r="AJ301" s="878" t="e">
        <f t="shared" si="218"/>
        <v>#VALUE!</v>
      </c>
      <c r="AK301" s="878" t="e">
        <f t="shared" si="219"/>
        <v>#VALUE!</v>
      </c>
      <c r="AL301" s="966" t="e">
        <f t="shared" si="220"/>
        <v>#VALUE!</v>
      </c>
      <c r="AM301" s="239"/>
      <c r="AO301" s="685">
        <f t="shared" si="245"/>
        <v>-5.2256586059873671</v>
      </c>
      <c r="AP301" s="276">
        <f t="shared" si="246"/>
        <v>-0.2247653061379401</v>
      </c>
      <c r="AQ301" s="276">
        <f t="shared" si="247"/>
        <v>-1.4632811859464041</v>
      </c>
      <c r="AR301" s="276">
        <f t="shared" si="248"/>
        <v>-3.362160145361285</v>
      </c>
      <c r="AS301" s="276">
        <f t="shared" si="249"/>
        <v>0.61924752516103609</v>
      </c>
      <c r="AT301" s="276">
        <f t="shared" si="250"/>
        <v>0.20580754797227319</v>
      </c>
      <c r="AU301" s="685">
        <f t="shared" si="251"/>
        <v>0.65583571330120338</v>
      </c>
      <c r="AV301" s="276">
        <f t="shared" si="252"/>
        <v>1.4199744280993982</v>
      </c>
      <c r="AW301" s="276">
        <f t="shared" si="253"/>
        <v>1.4842264684200688</v>
      </c>
      <c r="AX301" s="276">
        <f t="shared" si="254"/>
        <v>1.676242714892666</v>
      </c>
      <c r="AY301" s="276">
        <f t="shared" si="255"/>
        <v>1.1681072299828015</v>
      </c>
      <c r="AZ301" s="686">
        <f t="shared" si="256"/>
        <v>1.6942296563774126</v>
      </c>
      <c r="BA301" s="685">
        <f t="shared" si="257"/>
        <v>0</v>
      </c>
      <c r="BB301" s="276">
        <f t="shared" si="258"/>
        <v>0</v>
      </c>
      <c r="BC301" s="276">
        <f t="shared" si="259"/>
        <v>0</v>
      </c>
      <c r="BD301" s="276">
        <f t="shared" si="260"/>
        <v>0</v>
      </c>
      <c r="BE301" s="276">
        <f t="shared" si="261"/>
        <v>0</v>
      </c>
      <c r="BF301" s="686">
        <f t="shared" si="262"/>
        <v>0</v>
      </c>
      <c r="BG301" s="685" t="e">
        <f t="shared" si="263"/>
        <v>#DIV/0!</v>
      </c>
      <c r="BH301" s="276" t="e">
        <f t="shared" si="264"/>
        <v>#DIV/0!</v>
      </c>
      <c r="BI301" s="276" t="e">
        <f t="shared" si="265"/>
        <v>#DIV/0!</v>
      </c>
      <c r="BJ301" s="276" t="e">
        <f t="shared" si="266"/>
        <v>#DIV/0!</v>
      </c>
      <c r="BK301" s="276" t="e">
        <f t="shared" si="267"/>
        <v>#DIV/0!</v>
      </c>
      <c r="BL301" s="686" t="e">
        <f t="shared" si="268"/>
        <v>#DIV/0!</v>
      </c>
      <c r="BM301" s="239"/>
      <c r="BN301" s="965" t="e">
        <f t="shared" si="269"/>
        <v>#VALUE!</v>
      </c>
      <c r="BO301" s="878" t="e">
        <f t="shared" si="270"/>
        <v>#VALUE!</v>
      </c>
      <c r="BP301" s="878" t="e">
        <f t="shared" si="271"/>
        <v>#VALUE!</v>
      </c>
      <c r="BQ301" s="878" t="e">
        <f t="shared" si="272"/>
        <v>#VALUE!</v>
      </c>
      <c r="BR301" s="878" t="e">
        <f t="shared" si="273"/>
        <v>#VALUE!</v>
      </c>
      <c r="BS301" s="966" t="e">
        <f t="shared" si="274"/>
        <v>#VALUE!</v>
      </c>
    </row>
    <row r="302" spans="1:71">
      <c r="A302" s="284">
        <f t="shared" si="275"/>
        <v>234</v>
      </c>
      <c r="B302" s="285">
        <v>-0.98426482674717697</v>
      </c>
      <c r="C302" s="285">
        <v>2.0531542703263699</v>
      </c>
      <c r="D302" s="285">
        <v>2.3916656435484143</v>
      </c>
      <c r="E302" s="285">
        <v>-10.867369509190375</v>
      </c>
      <c r="H302" s="685">
        <f t="shared" si="221"/>
        <v>-2.117498668516232</v>
      </c>
      <c r="I302" s="276">
        <f t="shared" si="222"/>
        <v>-4.7736227680540164</v>
      </c>
      <c r="J302" s="276">
        <f t="shared" si="223"/>
        <v>1.1281904361628061</v>
      </c>
      <c r="K302" s="276">
        <f t="shared" si="224"/>
        <v>1.783573368802952</v>
      </c>
      <c r="L302" s="276">
        <f t="shared" si="225"/>
        <v>-6.0798117330766379</v>
      </c>
      <c r="M302" s="276">
        <f t="shared" si="226"/>
        <v>-5.5239876513184747</v>
      </c>
      <c r="N302" s="685">
        <f t="shared" si="227"/>
        <v>0.84598305935450147</v>
      </c>
      <c r="O302" s="276">
        <f t="shared" si="228"/>
        <v>0.88011043257676591</v>
      </c>
      <c r="P302" s="276">
        <f t="shared" si="229"/>
        <v>1.3166193466215843</v>
      </c>
      <c r="Q302" s="276">
        <f t="shared" si="230"/>
        <v>1.3489732468134863</v>
      </c>
      <c r="R302" s="276">
        <f t="shared" si="231"/>
        <v>0.66351286896403572</v>
      </c>
      <c r="S302" s="686">
        <f t="shared" si="232"/>
        <v>0.81935962421472186</v>
      </c>
      <c r="T302" s="685">
        <f t="shared" si="233"/>
        <v>5.6700293338193397</v>
      </c>
      <c r="U302" s="276">
        <f t="shared" si="234"/>
        <v>4.5774111508526314</v>
      </c>
      <c r="V302" s="276">
        <f t="shared" si="235"/>
        <v>3.9210724042529304</v>
      </c>
      <c r="W302" s="276">
        <f t="shared" si="236"/>
        <v>5.5545220081313582</v>
      </c>
      <c r="X302" s="276">
        <f t="shared" si="237"/>
        <v>4.378129851024557</v>
      </c>
      <c r="Y302" s="686">
        <f t="shared" si="238"/>
        <v>1.9039859879903669</v>
      </c>
      <c r="Z302" s="685" t="e">
        <f t="shared" si="239"/>
        <v>#DIV/0!</v>
      </c>
      <c r="AA302" s="276" t="e">
        <f t="shared" si="240"/>
        <v>#DIV/0!</v>
      </c>
      <c r="AB302" s="276" t="e">
        <f t="shared" si="241"/>
        <v>#DIV/0!</v>
      </c>
      <c r="AC302" s="276" t="e">
        <f t="shared" si="242"/>
        <v>#DIV/0!</v>
      </c>
      <c r="AD302" s="276" t="e">
        <f t="shared" si="243"/>
        <v>#DIV/0!</v>
      </c>
      <c r="AE302" s="686" t="e">
        <f t="shared" si="244"/>
        <v>#DIV/0!</v>
      </c>
      <c r="AF302" s="239"/>
      <c r="AG302" s="965" t="e">
        <f t="shared" si="215"/>
        <v>#VALUE!</v>
      </c>
      <c r="AH302" s="878" t="e">
        <f t="shared" si="216"/>
        <v>#VALUE!</v>
      </c>
      <c r="AI302" s="878" t="e">
        <f t="shared" si="217"/>
        <v>#VALUE!</v>
      </c>
      <c r="AJ302" s="878" t="e">
        <f t="shared" si="218"/>
        <v>#VALUE!</v>
      </c>
      <c r="AK302" s="878" t="e">
        <f t="shared" si="219"/>
        <v>#VALUE!</v>
      </c>
      <c r="AL302" s="966" t="e">
        <f t="shared" si="220"/>
        <v>#VALUE!</v>
      </c>
      <c r="AM302" s="239"/>
      <c r="AO302" s="685">
        <f t="shared" si="245"/>
        <v>-2.117498668516232</v>
      </c>
      <c r="AP302" s="276">
        <f t="shared" si="246"/>
        <v>-4.7736227680540164</v>
      </c>
      <c r="AQ302" s="276">
        <f t="shared" si="247"/>
        <v>1.1281904361628061</v>
      </c>
      <c r="AR302" s="276">
        <f t="shared" si="248"/>
        <v>1.783573368802952</v>
      </c>
      <c r="AS302" s="276">
        <f t="shared" si="249"/>
        <v>-6.0798117330766379</v>
      </c>
      <c r="AT302" s="276">
        <f t="shared" si="250"/>
        <v>-5.5239876513184747</v>
      </c>
      <c r="AU302" s="685">
        <f t="shared" si="251"/>
        <v>0.84598305935450147</v>
      </c>
      <c r="AV302" s="276">
        <f t="shared" si="252"/>
        <v>0.88011043257676591</v>
      </c>
      <c r="AW302" s="276">
        <f t="shared" si="253"/>
        <v>1.3166193466215843</v>
      </c>
      <c r="AX302" s="276">
        <f t="shared" si="254"/>
        <v>1.3489732468134863</v>
      </c>
      <c r="AY302" s="276">
        <f t="shared" si="255"/>
        <v>0.66351286896403572</v>
      </c>
      <c r="AZ302" s="686">
        <f t="shared" si="256"/>
        <v>0.81935962421472186</v>
      </c>
      <c r="BA302" s="685">
        <f t="shared" si="257"/>
        <v>0</v>
      </c>
      <c r="BB302" s="276">
        <f t="shared" si="258"/>
        <v>0</v>
      </c>
      <c r="BC302" s="276">
        <f t="shared" si="259"/>
        <v>0</v>
      </c>
      <c r="BD302" s="276">
        <f t="shared" si="260"/>
        <v>0</v>
      </c>
      <c r="BE302" s="276">
        <f t="shared" si="261"/>
        <v>0</v>
      </c>
      <c r="BF302" s="686">
        <f t="shared" si="262"/>
        <v>0</v>
      </c>
      <c r="BG302" s="685" t="e">
        <f t="shared" si="263"/>
        <v>#DIV/0!</v>
      </c>
      <c r="BH302" s="276" t="e">
        <f t="shared" si="264"/>
        <v>#DIV/0!</v>
      </c>
      <c r="BI302" s="276" t="e">
        <f t="shared" si="265"/>
        <v>#DIV/0!</v>
      </c>
      <c r="BJ302" s="276" t="e">
        <f t="shared" si="266"/>
        <v>#DIV/0!</v>
      </c>
      <c r="BK302" s="276" t="e">
        <f t="shared" si="267"/>
        <v>#DIV/0!</v>
      </c>
      <c r="BL302" s="686" t="e">
        <f t="shared" si="268"/>
        <v>#DIV/0!</v>
      </c>
      <c r="BM302" s="239"/>
      <c r="BN302" s="965" t="e">
        <f t="shared" si="269"/>
        <v>#VALUE!</v>
      </c>
      <c r="BO302" s="878" t="e">
        <f t="shared" si="270"/>
        <v>#VALUE!</v>
      </c>
      <c r="BP302" s="878" t="e">
        <f t="shared" si="271"/>
        <v>#VALUE!</v>
      </c>
      <c r="BQ302" s="878" t="e">
        <f t="shared" si="272"/>
        <v>#VALUE!</v>
      </c>
      <c r="BR302" s="878" t="e">
        <f t="shared" si="273"/>
        <v>#VALUE!</v>
      </c>
      <c r="BS302" s="966" t="e">
        <f t="shared" si="274"/>
        <v>#VALUE!</v>
      </c>
    </row>
    <row r="303" spans="1:71">
      <c r="A303" s="284">
        <f t="shared" si="275"/>
        <v>235</v>
      </c>
      <c r="B303" s="285">
        <v>2.9275803429406393</v>
      </c>
      <c r="C303" s="285">
        <v>2.9706675187405982</v>
      </c>
      <c r="D303" s="285">
        <v>1.3561004878772938</v>
      </c>
      <c r="E303" s="285">
        <v>2.9098321674360554</v>
      </c>
      <c r="H303" s="685">
        <f t="shared" si="221"/>
        <v>1.7943465011715845</v>
      </c>
      <c r="I303" s="276">
        <f t="shared" si="222"/>
        <v>-2.4272325177584921</v>
      </c>
      <c r="J303" s="276">
        <f t="shared" si="223"/>
        <v>1.651669708064339</v>
      </c>
      <c r="K303" s="276">
        <f t="shared" si="224"/>
        <v>-1.8427665544716048</v>
      </c>
      <c r="L303" s="276">
        <f t="shared" si="225"/>
        <v>-1.2473920227384052</v>
      </c>
      <c r="M303" s="276">
        <f t="shared" si="226"/>
        <v>9.1561628066658463E-2</v>
      </c>
      <c r="N303" s="685">
        <f t="shared" si="227"/>
        <v>1.7634963077687298</v>
      </c>
      <c r="O303" s="276">
        <f t="shared" si="228"/>
        <v>1.4869399990059418</v>
      </c>
      <c r="P303" s="276">
        <f t="shared" si="229"/>
        <v>1.1361748376281386</v>
      </c>
      <c r="Q303" s="276">
        <f t="shared" si="230"/>
        <v>1.1778713080231007</v>
      </c>
      <c r="R303" s="276">
        <f t="shared" si="231"/>
        <v>1.2960780043071509</v>
      </c>
      <c r="S303" s="686">
        <f t="shared" si="232"/>
        <v>0.48874193782320208</v>
      </c>
      <c r="T303" s="685">
        <f t="shared" si="233"/>
        <v>4.6344641781482192</v>
      </c>
      <c r="U303" s="276">
        <f t="shared" si="234"/>
        <v>2.8806558421308646</v>
      </c>
      <c r="V303" s="276">
        <f t="shared" si="235"/>
        <v>5.7332279007064741</v>
      </c>
      <c r="W303" s="276">
        <f t="shared" si="236"/>
        <v>3.7533534342961676</v>
      </c>
      <c r="X303" s="276">
        <f t="shared" si="237"/>
        <v>2.0728301736030312</v>
      </c>
      <c r="Y303" s="686">
        <f t="shared" si="238"/>
        <v>4.2525221994121667</v>
      </c>
      <c r="Z303" s="685" t="e">
        <f t="shared" si="239"/>
        <v>#DIV/0!</v>
      </c>
      <c r="AA303" s="276" t="e">
        <f t="shared" si="240"/>
        <v>#DIV/0!</v>
      </c>
      <c r="AB303" s="276" t="e">
        <f t="shared" si="241"/>
        <v>#DIV/0!</v>
      </c>
      <c r="AC303" s="276" t="e">
        <f t="shared" si="242"/>
        <v>#DIV/0!</v>
      </c>
      <c r="AD303" s="276" t="e">
        <f t="shared" si="243"/>
        <v>#DIV/0!</v>
      </c>
      <c r="AE303" s="686" t="e">
        <f t="shared" si="244"/>
        <v>#DIV/0!</v>
      </c>
      <c r="AF303" s="239"/>
      <c r="AG303" s="965" t="e">
        <f t="shared" si="215"/>
        <v>#VALUE!</v>
      </c>
      <c r="AH303" s="878" t="e">
        <f t="shared" si="216"/>
        <v>#VALUE!</v>
      </c>
      <c r="AI303" s="878" t="e">
        <f t="shared" si="217"/>
        <v>#VALUE!</v>
      </c>
      <c r="AJ303" s="878" t="e">
        <f t="shared" si="218"/>
        <v>#VALUE!</v>
      </c>
      <c r="AK303" s="878" t="e">
        <f t="shared" si="219"/>
        <v>#VALUE!</v>
      </c>
      <c r="AL303" s="966" t="e">
        <f t="shared" si="220"/>
        <v>#VALUE!</v>
      </c>
      <c r="AM303" s="239"/>
      <c r="AO303" s="685">
        <f t="shared" si="245"/>
        <v>1.7943465011715845</v>
      </c>
      <c r="AP303" s="276">
        <f t="shared" si="246"/>
        <v>-2.4272325177584921</v>
      </c>
      <c r="AQ303" s="276">
        <f t="shared" si="247"/>
        <v>1.651669708064339</v>
      </c>
      <c r="AR303" s="276">
        <f t="shared" si="248"/>
        <v>-1.8427665544716048</v>
      </c>
      <c r="AS303" s="276">
        <f t="shared" si="249"/>
        <v>-1.2473920227384052</v>
      </c>
      <c r="AT303" s="276">
        <f t="shared" si="250"/>
        <v>9.1561628066658463E-2</v>
      </c>
      <c r="AU303" s="685">
        <f t="shared" si="251"/>
        <v>1.7634963077687298</v>
      </c>
      <c r="AV303" s="276">
        <f t="shared" si="252"/>
        <v>1.4869399990059418</v>
      </c>
      <c r="AW303" s="276">
        <f t="shared" si="253"/>
        <v>1.1361748376281386</v>
      </c>
      <c r="AX303" s="276">
        <f t="shared" si="254"/>
        <v>1.1778713080231007</v>
      </c>
      <c r="AY303" s="276">
        <f t="shared" si="255"/>
        <v>1.2960780043071509</v>
      </c>
      <c r="AZ303" s="686">
        <f t="shared" si="256"/>
        <v>0.48874193782320208</v>
      </c>
      <c r="BA303" s="685">
        <f t="shared" si="257"/>
        <v>0</v>
      </c>
      <c r="BB303" s="276">
        <f t="shared" si="258"/>
        <v>0</v>
      </c>
      <c r="BC303" s="276">
        <f t="shared" si="259"/>
        <v>0</v>
      </c>
      <c r="BD303" s="276">
        <f t="shared" si="260"/>
        <v>0</v>
      </c>
      <c r="BE303" s="276">
        <f t="shared" si="261"/>
        <v>0</v>
      </c>
      <c r="BF303" s="686">
        <f t="shared" si="262"/>
        <v>0</v>
      </c>
      <c r="BG303" s="685" t="e">
        <f t="shared" si="263"/>
        <v>#DIV/0!</v>
      </c>
      <c r="BH303" s="276" t="e">
        <f t="shared" si="264"/>
        <v>#DIV/0!</v>
      </c>
      <c r="BI303" s="276" t="e">
        <f t="shared" si="265"/>
        <v>#DIV/0!</v>
      </c>
      <c r="BJ303" s="276" t="e">
        <f t="shared" si="266"/>
        <v>#DIV/0!</v>
      </c>
      <c r="BK303" s="276" t="e">
        <f t="shared" si="267"/>
        <v>#DIV/0!</v>
      </c>
      <c r="BL303" s="686" t="e">
        <f t="shared" si="268"/>
        <v>#DIV/0!</v>
      </c>
      <c r="BM303" s="239"/>
      <c r="BN303" s="965" t="e">
        <f t="shared" si="269"/>
        <v>#VALUE!</v>
      </c>
      <c r="BO303" s="878" t="e">
        <f t="shared" si="270"/>
        <v>#VALUE!</v>
      </c>
      <c r="BP303" s="878" t="e">
        <f t="shared" si="271"/>
        <v>#VALUE!</v>
      </c>
      <c r="BQ303" s="878" t="e">
        <f t="shared" si="272"/>
        <v>#VALUE!</v>
      </c>
      <c r="BR303" s="878" t="e">
        <f t="shared" si="273"/>
        <v>#VALUE!</v>
      </c>
      <c r="BS303" s="966" t="e">
        <f t="shared" si="274"/>
        <v>#VALUE!</v>
      </c>
    </row>
    <row r="304" spans="1:71">
      <c r="A304" s="284">
        <f t="shared" si="275"/>
        <v>236</v>
      </c>
      <c r="B304" s="285">
        <v>-2.1714557975003022</v>
      </c>
      <c r="C304" s="285">
        <v>1.7425575477700779</v>
      </c>
      <c r="D304" s="285">
        <v>0.56875373556041331</v>
      </c>
      <c r="E304" s="285">
        <v>-8.9827540708572666</v>
      </c>
      <c r="H304" s="685">
        <f t="shared" si="221"/>
        <v>-3.3046896392693572</v>
      </c>
      <c r="I304" s="276">
        <f t="shared" si="222"/>
        <v>-0.36442125775039846</v>
      </c>
      <c r="J304" s="276">
        <f t="shared" si="223"/>
        <v>2.2383904268762072</v>
      </c>
      <c r="K304" s="276">
        <f t="shared" si="224"/>
        <v>-4.7297466763126899</v>
      </c>
      <c r="L304" s="276">
        <f t="shared" si="225"/>
        <v>0.85554777751821964</v>
      </c>
      <c r="M304" s="276">
        <f t="shared" si="226"/>
        <v>-0.17397814340877993</v>
      </c>
      <c r="N304" s="685">
        <f t="shared" si="227"/>
        <v>0.53538633679820946</v>
      </c>
      <c r="O304" s="276">
        <f t="shared" si="228"/>
        <v>1.1815727829767215</v>
      </c>
      <c r="P304" s="276">
        <f t="shared" si="229"/>
        <v>1.7465622412431736</v>
      </c>
      <c r="Q304" s="276">
        <f t="shared" si="230"/>
        <v>1.0174554362987929</v>
      </c>
      <c r="R304" s="276">
        <f t="shared" si="231"/>
        <v>1.45582619963071</v>
      </c>
      <c r="S304" s="686">
        <f t="shared" si="232"/>
        <v>1.0119758073054335</v>
      </c>
      <c r="T304" s="685">
        <f t="shared" si="233"/>
        <v>3.847117425831339</v>
      </c>
      <c r="U304" s="276">
        <f t="shared" si="234"/>
        <v>4.4728376028923575</v>
      </c>
      <c r="V304" s="276">
        <f t="shared" si="235"/>
        <v>3.6692090829550583</v>
      </c>
      <c r="W304" s="276">
        <f t="shared" si="236"/>
        <v>4.8995713475516638</v>
      </c>
      <c r="X304" s="276">
        <f t="shared" si="237"/>
        <v>7.2409048523806758</v>
      </c>
      <c r="Y304" s="686">
        <f t="shared" si="238"/>
        <v>4.5384447469868787</v>
      </c>
      <c r="Z304" s="685" t="e">
        <f t="shared" si="239"/>
        <v>#DIV/0!</v>
      </c>
      <c r="AA304" s="276" t="e">
        <f t="shared" si="240"/>
        <v>#DIV/0!</v>
      </c>
      <c r="AB304" s="276" t="e">
        <f t="shared" si="241"/>
        <v>#DIV/0!</v>
      </c>
      <c r="AC304" s="276" t="e">
        <f t="shared" si="242"/>
        <v>#DIV/0!</v>
      </c>
      <c r="AD304" s="276" t="e">
        <f t="shared" si="243"/>
        <v>#DIV/0!</v>
      </c>
      <c r="AE304" s="686" t="e">
        <f t="shared" si="244"/>
        <v>#DIV/0!</v>
      </c>
      <c r="AF304" s="239"/>
      <c r="AG304" s="965" t="e">
        <f t="shared" si="215"/>
        <v>#VALUE!</v>
      </c>
      <c r="AH304" s="878" t="e">
        <f t="shared" si="216"/>
        <v>#VALUE!</v>
      </c>
      <c r="AI304" s="878" t="e">
        <f t="shared" si="217"/>
        <v>#VALUE!</v>
      </c>
      <c r="AJ304" s="878" t="e">
        <f t="shared" si="218"/>
        <v>#VALUE!</v>
      </c>
      <c r="AK304" s="878" t="e">
        <f t="shared" si="219"/>
        <v>#VALUE!</v>
      </c>
      <c r="AL304" s="966" t="e">
        <f t="shared" si="220"/>
        <v>#VALUE!</v>
      </c>
      <c r="AM304" s="239"/>
      <c r="AO304" s="685">
        <f t="shared" si="245"/>
        <v>-3.3046896392693572</v>
      </c>
      <c r="AP304" s="276">
        <f t="shared" si="246"/>
        <v>-0.36442125775039846</v>
      </c>
      <c r="AQ304" s="276">
        <f t="shared" si="247"/>
        <v>2.2383904268762072</v>
      </c>
      <c r="AR304" s="276">
        <f t="shared" si="248"/>
        <v>-4.7297466763126899</v>
      </c>
      <c r="AS304" s="276">
        <f t="shared" si="249"/>
        <v>0.85554777751821964</v>
      </c>
      <c r="AT304" s="276">
        <f t="shared" si="250"/>
        <v>-0.17397814340877993</v>
      </c>
      <c r="AU304" s="685">
        <f t="shared" si="251"/>
        <v>0.53538633679820946</v>
      </c>
      <c r="AV304" s="276">
        <f t="shared" si="252"/>
        <v>1.1815727829767215</v>
      </c>
      <c r="AW304" s="276">
        <f t="shared" si="253"/>
        <v>1.7465622412431736</v>
      </c>
      <c r="AX304" s="276">
        <f t="shared" si="254"/>
        <v>1.0174554362987929</v>
      </c>
      <c r="AY304" s="276">
        <f t="shared" si="255"/>
        <v>1.45582619963071</v>
      </c>
      <c r="AZ304" s="686">
        <f t="shared" si="256"/>
        <v>1.0119758073054335</v>
      </c>
      <c r="BA304" s="685">
        <f t="shared" si="257"/>
        <v>0</v>
      </c>
      <c r="BB304" s="276">
        <f t="shared" si="258"/>
        <v>0</v>
      </c>
      <c r="BC304" s="276">
        <f t="shared" si="259"/>
        <v>0</v>
      </c>
      <c r="BD304" s="276">
        <f t="shared" si="260"/>
        <v>0</v>
      </c>
      <c r="BE304" s="276">
        <f t="shared" si="261"/>
        <v>0</v>
      </c>
      <c r="BF304" s="686">
        <f t="shared" si="262"/>
        <v>0</v>
      </c>
      <c r="BG304" s="685" t="e">
        <f t="shared" si="263"/>
        <v>#DIV/0!</v>
      </c>
      <c r="BH304" s="276" t="e">
        <f t="shared" si="264"/>
        <v>#DIV/0!</v>
      </c>
      <c r="BI304" s="276" t="e">
        <f t="shared" si="265"/>
        <v>#DIV/0!</v>
      </c>
      <c r="BJ304" s="276" t="e">
        <f t="shared" si="266"/>
        <v>#DIV/0!</v>
      </c>
      <c r="BK304" s="276" t="e">
        <f t="shared" si="267"/>
        <v>#DIV/0!</v>
      </c>
      <c r="BL304" s="686" t="e">
        <f t="shared" si="268"/>
        <v>#DIV/0!</v>
      </c>
      <c r="BM304" s="239"/>
      <c r="BN304" s="965" t="e">
        <f t="shared" si="269"/>
        <v>#VALUE!</v>
      </c>
      <c r="BO304" s="878" t="e">
        <f t="shared" si="270"/>
        <v>#VALUE!</v>
      </c>
      <c r="BP304" s="878" t="e">
        <f t="shared" si="271"/>
        <v>#VALUE!</v>
      </c>
      <c r="BQ304" s="878" t="e">
        <f t="shared" si="272"/>
        <v>#VALUE!</v>
      </c>
      <c r="BR304" s="878" t="e">
        <f t="shared" si="273"/>
        <v>#VALUE!</v>
      </c>
      <c r="BS304" s="966" t="e">
        <f t="shared" si="274"/>
        <v>#VALUE!</v>
      </c>
    </row>
    <row r="305" spans="1:71">
      <c r="A305" s="284">
        <f t="shared" si="275"/>
        <v>237</v>
      </c>
      <c r="B305" s="285">
        <v>1.8029075403668706</v>
      </c>
      <c r="C305" s="285">
        <v>2.7700010250702194</v>
      </c>
      <c r="D305" s="285">
        <v>1.8801934706328272</v>
      </c>
      <c r="E305" s="285">
        <v>0.22033584347109025</v>
      </c>
      <c r="H305" s="685">
        <f t="shared" si="221"/>
        <v>0.66967369859781578</v>
      </c>
      <c r="I305" s="276">
        <f t="shared" si="222"/>
        <v>-6.1158627013634552</v>
      </c>
      <c r="J305" s="276">
        <f t="shared" si="223"/>
        <v>-3.0675252030052222</v>
      </c>
      <c r="K305" s="276">
        <f t="shared" si="224"/>
        <v>0.29567527493910073</v>
      </c>
      <c r="L305" s="276">
        <f t="shared" si="225"/>
        <v>-2.1510051167852176</v>
      </c>
      <c r="M305" s="276">
        <f t="shared" si="226"/>
        <v>1.0569756960228771E-2</v>
      </c>
      <c r="N305" s="685">
        <f t="shared" si="227"/>
        <v>1.562829814098351</v>
      </c>
      <c r="O305" s="276">
        <f t="shared" si="228"/>
        <v>1.1339125336858082</v>
      </c>
      <c r="P305" s="276">
        <f t="shared" si="229"/>
        <v>1.2841253556997392</v>
      </c>
      <c r="Q305" s="276">
        <f t="shared" si="230"/>
        <v>2.1923158501214415</v>
      </c>
      <c r="R305" s="276">
        <f t="shared" si="231"/>
        <v>1.4678694460736408</v>
      </c>
      <c r="S305" s="686">
        <f t="shared" si="232"/>
        <v>1.051737300854924</v>
      </c>
      <c r="T305" s="685">
        <f t="shared" si="233"/>
        <v>5.1585571609037526</v>
      </c>
      <c r="U305" s="276">
        <f t="shared" si="234"/>
        <v>3.7125833978286562</v>
      </c>
      <c r="V305" s="276">
        <f t="shared" si="235"/>
        <v>3.5123694788151019</v>
      </c>
      <c r="W305" s="276">
        <f t="shared" si="236"/>
        <v>3.6610218555683343</v>
      </c>
      <c r="X305" s="276">
        <f t="shared" si="237"/>
        <v>4.8685008668761274</v>
      </c>
      <c r="Y305" s="686">
        <f t="shared" si="238"/>
        <v>4.0892247034091183</v>
      </c>
      <c r="Z305" s="685" t="e">
        <f t="shared" si="239"/>
        <v>#DIV/0!</v>
      </c>
      <c r="AA305" s="276" t="e">
        <f t="shared" si="240"/>
        <v>#DIV/0!</v>
      </c>
      <c r="AB305" s="276" t="e">
        <f t="shared" si="241"/>
        <v>#DIV/0!</v>
      </c>
      <c r="AC305" s="276" t="e">
        <f t="shared" si="242"/>
        <v>#DIV/0!</v>
      </c>
      <c r="AD305" s="276" t="e">
        <f t="shared" si="243"/>
        <v>#DIV/0!</v>
      </c>
      <c r="AE305" s="686" t="e">
        <f t="shared" si="244"/>
        <v>#DIV/0!</v>
      </c>
      <c r="AF305" s="239"/>
      <c r="AG305" s="965" t="e">
        <f t="shared" si="215"/>
        <v>#VALUE!</v>
      </c>
      <c r="AH305" s="878" t="e">
        <f t="shared" si="216"/>
        <v>#VALUE!</v>
      </c>
      <c r="AI305" s="878" t="e">
        <f t="shared" si="217"/>
        <v>#VALUE!</v>
      </c>
      <c r="AJ305" s="878" t="e">
        <f t="shared" si="218"/>
        <v>#VALUE!</v>
      </c>
      <c r="AK305" s="878" t="e">
        <f t="shared" si="219"/>
        <v>#VALUE!</v>
      </c>
      <c r="AL305" s="966" t="e">
        <f t="shared" si="220"/>
        <v>#VALUE!</v>
      </c>
      <c r="AM305" s="239"/>
      <c r="AO305" s="685">
        <f t="shared" si="245"/>
        <v>0.66967369859781578</v>
      </c>
      <c r="AP305" s="276">
        <f t="shared" si="246"/>
        <v>-6.1158627013634552</v>
      </c>
      <c r="AQ305" s="276">
        <f t="shared" si="247"/>
        <v>-3.0675252030052222</v>
      </c>
      <c r="AR305" s="276">
        <f t="shared" si="248"/>
        <v>0.29567527493910073</v>
      </c>
      <c r="AS305" s="276">
        <f t="shared" si="249"/>
        <v>-2.1510051167852176</v>
      </c>
      <c r="AT305" s="276">
        <f t="shared" si="250"/>
        <v>1.0569756960228771E-2</v>
      </c>
      <c r="AU305" s="685">
        <f t="shared" si="251"/>
        <v>1.562829814098351</v>
      </c>
      <c r="AV305" s="276">
        <f t="shared" si="252"/>
        <v>1.1339125336858082</v>
      </c>
      <c r="AW305" s="276">
        <f t="shared" si="253"/>
        <v>1.2841253556997392</v>
      </c>
      <c r="AX305" s="276">
        <f t="shared" si="254"/>
        <v>2.1923158501214415</v>
      </c>
      <c r="AY305" s="276">
        <f t="shared" si="255"/>
        <v>1.4678694460736408</v>
      </c>
      <c r="AZ305" s="686">
        <f t="shared" si="256"/>
        <v>1.051737300854924</v>
      </c>
      <c r="BA305" s="685">
        <f t="shared" si="257"/>
        <v>0</v>
      </c>
      <c r="BB305" s="276">
        <f t="shared" si="258"/>
        <v>0</v>
      </c>
      <c r="BC305" s="276">
        <f t="shared" si="259"/>
        <v>0</v>
      </c>
      <c r="BD305" s="276">
        <f t="shared" si="260"/>
        <v>0</v>
      </c>
      <c r="BE305" s="276">
        <f t="shared" si="261"/>
        <v>0</v>
      </c>
      <c r="BF305" s="686">
        <f t="shared" si="262"/>
        <v>0</v>
      </c>
      <c r="BG305" s="685" t="e">
        <f t="shared" si="263"/>
        <v>#DIV/0!</v>
      </c>
      <c r="BH305" s="276" t="e">
        <f t="shared" si="264"/>
        <v>#DIV/0!</v>
      </c>
      <c r="BI305" s="276" t="e">
        <f t="shared" si="265"/>
        <v>#DIV/0!</v>
      </c>
      <c r="BJ305" s="276" t="e">
        <f t="shared" si="266"/>
        <v>#DIV/0!</v>
      </c>
      <c r="BK305" s="276" t="e">
        <f t="shared" si="267"/>
        <v>#DIV/0!</v>
      </c>
      <c r="BL305" s="686" t="e">
        <f t="shared" si="268"/>
        <v>#DIV/0!</v>
      </c>
      <c r="BM305" s="239"/>
      <c r="BN305" s="965" t="e">
        <f t="shared" si="269"/>
        <v>#VALUE!</v>
      </c>
      <c r="BO305" s="878" t="e">
        <f t="shared" si="270"/>
        <v>#VALUE!</v>
      </c>
      <c r="BP305" s="878" t="e">
        <f t="shared" si="271"/>
        <v>#VALUE!</v>
      </c>
      <c r="BQ305" s="878" t="e">
        <f t="shared" si="272"/>
        <v>#VALUE!</v>
      </c>
      <c r="BR305" s="878" t="e">
        <f t="shared" si="273"/>
        <v>#VALUE!</v>
      </c>
      <c r="BS305" s="966" t="e">
        <f t="shared" si="274"/>
        <v>#VALUE!</v>
      </c>
    </row>
    <row r="306" spans="1:71">
      <c r="A306" s="284">
        <f t="shared" si="275"/>
        <v>238</v>
      </c>
      <c r="B306" s="285">
        <v>-4.5423364758524301</v>
      </c>
      <c r="C306" s="285">
        <v>2.3980594787785061</v>
      </c>
      <c r="D306" s="285">
        <v>0.70706539290196724</v>
      </c>
      <c r="E306" s="285">
        <v>-2.2876820863142457</v>
      </c>
      <c r="H306" s="685">
        <f t="shared" si="221"/>
        <v>-5.6755703176214851</v>
      </c>
      <c r="I306" s="276">
        <f t="shared" si="222"/>
        <v>-1.5634483793355995</v>
      </c>
      <c r="J306" s="276">
        <f t="shared" si="223"/>
        <v>-2.1011345882355443</v>
      </c>
      <c r="K306" s="276">
        <f t="shared" si="224"/>
        <v>2.4391474797849551</v>
      </c>
      <c r="L306" s="276">
        <f t="shared" si="225"/>
        <v>0.80725394173634446</v>
      </c>
      <c r="M306" s="276">
        <f t="shared" si="226"/>
        <v>-5.8606895379261887</v>
      </c>
      <c r="N306" s="685">
        <f t="shared" si="227"/>
        <v>1.1908882678066377</v>
      </c>
      <c r="O306" s="276">
        <f t="shared" si="228"/>
        <v>1.3385870470447141</v>
      </c>
      <c r="P306" s="276">
        <f t="shared" si="229"/>
        <v>1.247693055800742</v>
      </c>
      <c r="Q306" s="276">
        <f t="shared" si="230"/>
        <v>1.9013506608896582</v>
      </c>
      <c r="R306" s="276">
        <f t="shared" si="231"/>
        <v>1.4463561330148564</v>
      </c>
      <c r="S306" s="686">
        <f t="shared" si="232"/>
        <v>1.3593290731752716</v>
      </c>
      <c r="T306" s="685">
        <f t="shared" si="233"/>
        <v>3.9854290831728933</v>
      </c>
      <c r="U306" s="276">
        <f t="shared" si="234"/>
        <v>4.4135275888176206</v>
      </c>
      <c r="V306" s="276">
        <f t="shared" si="235"/>
        <v>4.2765221517732304</v>
      </c>
      <c r="W306" s="276">
        <f t="shared" si="236"/>
        <v>4.0152242476253752</v>
      </c>
      <c r="X306" s="276">
        <f t="shared" si="237"/>
        <v>4.201030906801515</v>
      </c>
      <c r="Y306" s="686">
        <f t="shared" si="238"/>
        <v>2.1589493730910054</v>
      </c>
      <c r="Z306" s="685" t="e">
        <f t="shared" si="239"/>
        <v>#DIV/0!</v>
      </c>
      <c r="AA306" s="276" t="e">
        <f t="shared" si="240"/>
        <v>#DIV/0!</v>
      </c>
      <c r="AB306" s="276" t="e">
        <f t="shared" si="241"/>
        <v>#DIV/0!</v>
      </c>
      <c r="AC306" s="276" t="e">
        <f t="shared" si="242"/>
        <v>#DIV/0!</v>
      </c>
      <c r="AD306" s="276" t="e">
        <f t="shared" si="243"/>
        <v>#DIV/0!</v>
      </c>
      <c r="AE306" s="686" t="e">
        <f t="shared" si="244"/>
        <v>#DIV/0!</v>
      </c>
      <c r="AF306" s="239"/>
      <c r="AG306" s="965" t="e">
        <f t="shared" si="215"/>
        <v>#VALUE!</v>
      </c>
      <c r="AH306" s="878" t="e">
        <f t="shared" si="216"/>
        <v>#VALUE!</v>
      </c>
      <c r="AI306" s="878" t="e">
        <f t="shared" si="217"/>
        <v>#VALUE!</v>
      </c>
      <c r="AJ306" s="878" t="e">
        <f t="shared" si="218"/>
        <v>#VALUE!</v>
      </c>
      <c r="AK306" s="878" t="e">
        <f t="shared" si="219"/>
        <v>#VALUE!</v>
      </c>
      <c r="AL306" s="966" t="e">
        <f t="shared" si="220"/>
        <v>#VALUE!</v>
      </c>
      <c r="AM306" s="239"/>
      <c r="AO306" s="685">
        <f t="shared" si="245"/>
        <v>-5.6755703176214851</v>
      </c>
      <c r="AP306" s="276">
        <f t="shared" si="246"/>
        <v>-1.5634483793355995</v>
      </c>
      <c r="AQ306" s="276">
        <f t="shared" si="247"/>
        <v>-2.1011345882355443</v>
      </c>
      <c r="AR306" s="276">
        <f t="shared" si="248"/>
        <v>2.4391474797849551</v>
      </c>
      <c r="AS306" s="276">
        <f t="shared" si="249"/>
        <v>0.80725394173634446</v>
      </c>
      <c r="AT306" s="276">
        <f t="shared" si="250"/>
        <v>-5.8606895379261887</v>
      </c>
      <c r="AU306" s="685">
        <f t="shared" si="251"/>
        <v>1.1908882678066377</v>
      </c>
      <c r="AV306" s="276">
        <f t="shared" si="252"/>
        <v>1.3385870470447141</v>
      </c>
      <c r="AW306" s="276">
        <f t="shared" si="253"/>
        <v>1.247693055800742</v>
      </c>
      <c r="AX306" s="276">
        <f t="shared" si="254"/>
        <v>1.9013506608896582</v>
      </c>
      <c r="AY306" s="276">
        <f t="shared" si="255"/>
        <v>1.4463561330148564</v>
      </c>
      <c r="AZ306" s="686">
        <f t="shared" si="256"/>
        <v>1.3593290731752716</v>
      </c>
      <c r="BA306" s="685">
        <f t="shared" si="257"/>
        <v>0</v>
      </c>
      <c r="BB306" s="276">
        <f t="shared" si="258"/>
        <v>0</v>
      </c>
      <c r="BC306" s="276">
        <f t="shared" si="259"/>
        <v>0</v>
      </c>
      <c r="BD306" s="276">
        <f t="shared" si="260"/>
        <v>0</v>
      </c>
      <c r="BE306" s="276">
        <f t="shared" si="261"/>
        <v>0</v>
      </c>
      <c r="BF306" s="686">
        <f t="shared" si="262"/>
        <v>0</v>
      </c>
      <c r="BG306" s="685" t="e">
        <f t="shared" si="263"/>
        <v>#DIV/0!</v>
      </c>
      <c r="BH306" s="276" t="e">
        <f t="shared" si="264"/>
        <v>#DIV/0!</v>
      </c>
      <c r="BI306" s="276" t="e">
        <f t="shared" si="265"/>
        <v>#DIV/0!</v>
      </c>
      <c r="BJ306" s="276" t="e">
        <f t="shared" si="266"/>
        <v>#DIV/0!</v>
      </c>
      <c r="BK306" s="276" t="e">
        <f t="shared" si="267"/>
        <v>#DIV/0!</v>
      </c>
      <c r="BL306" s="686" t="e">
        <f t="shared" si="268"/>
        <v>#DIV/0!</v>
      </c>
      <c r="BM306" s="239"/>
      <c r="BN306" s="965" t="e">
        <f t="shared" si="269"/>
        <v>#VALUE!</v>
      </c>
      <c r="BO306" s="878" t="e">
        <f t="shared" si="270"/>
        <v>#VALUE!</v>
      </c>
      <c r="BP306" s="878" t="e">
        <f t="shared" si="271"/>
        <v>#VALUE!</v>
      </c>
      <c r="BQ306" s="878" t="e">
        <f t="shared" si="272"/>
        <v>#VALUE!</v>
      </c>
      <c r="BR306" s="878" t="e">
        <f t="shared" si="273"/>
        <v>#VALUE!</v>
      </c>
      <c r="BS306" s="966" t="e">
        <f t="shared" si="274"/>
        <v>#VALUE!</v>
      </c>
    </row>
    <row r="307" spans="1:71">
      <c r="A307" s="284">
        <f t="shared" si="275"/>
        <v>239</v>
      </c>
      <c r="B307" s="285">
        <v>3.1504062772123422</v>
      </c>
      <c r="C307" s="285">
        <v>2.6175008441687395</v>
      </c>
      <c r="D307" s="285">
        <v>1.8777786499624805</v>
      </c>
      <c r="E307" s="285">
        <v>-10.439271016433235</v>
      </c>
      <c r="H307" s="685">
        <f t="shared" si="221"/>
        <v>2.0171724354432872</v>
      </c>
      <c r="I307" s="276">
        <f t="shared" si="222"/>
        <v>-2.7129425939518255</v>
      </c>
      <c r="J307" s="276">
        <f t="shared" si="223"/>
        <v>-0.50263312996959397</v>
      </c>
      <c r="K307" s="276">
        <f t="shared" si="224"/>
        <v>-0.27797863081199348</v>
      </c>
      <c r="L307" s="276">
        <f t="shared" si="225"/>
        <v>-0.11835058649867536</v>
      </c>
      <c r="M307" s="276">
        <f t="shared" si="226"/>
        <v>-1.7767365467287974</v>
      </c>
      <c r="N307" s="685">
        <f t="shared" si="227"/>
        <v>1.4103296331968711</v>
      </c>
      <c r="O307" s="276">
        <f t="shared" si="228"/>
        <v>1.9661090240312415</v>
      </c>
      <c r="P307" s="276">
        <f t="shared" si="229"/>
        <v>2.3262253347681723</v>
      </c>
      <c r="Q307" s="276">
        <f t="shared" si="230"/>
        <v>1.6730801341700767</v>
      </c>
      <c r="R307" s="276">
        <f t="shared" si="231"/>
        <v>1.3225515148984692</v>
      </c>
      <c r="S307" s="686">
        <f t="shared" si="232"/>
        <v>1.4827653429610004</v>
      </c>
      <c r="T307" s="685">
        <f t="shared" si="233"/>
        <v>5.1561423402334068</v>
      </c>
      <c r="U307" s="276">
        <f t="shared" si="234"/>
        <v>2.6172029010740108</v>
      </c>
      <c r="V307" s="276">
        <f t="shared" si="235"/>
        <v>4.7540334276343348</v>
      </c>
      <c r="W307" s="276">
        <f t="shared" si="236"/>
        <v>4.4567693816898579</v>
      </c>
      <c r="X307" s="276">
        <f t="shared" si="237"/>
        <v>2.8933540716043638</v>
      </c>
      <c r="Y307" s="686">
        <f t="shared" si="238"/>
        <v>4.678640989640062</v>
      </c>
      <c r="Z307" s="685" t="e">
        <f t="shared" si="239"/>
        <v>#DIV/0!</v>
      </c>
      <c r="AA307" s="276" t="e">
        <f t="shared" si="240"/>
        <v>#DIV/0!</v>
      </c>
      <c r="AB307" s="276" t="e">
        <f t="shared" si="241"/>
        <v>#DIV/0!</v>
      </c>
      <c r="AC307" s="276" t="e">
        <f t="shared" si="242"/>
        <v>#DIV/0!</v>
      </c>
      <c r="AD307" s="276" t="e">
        <f t="shared" si="243"/>
        <v>#DIV/0!</v>
      </c>
      <c r="AE307" s="686" t="e">
        <f t="shared" si="244"/>
        <v>#DIV/0!</v>
      </c>
      <c r="AF307" s="239"/>
      <c r="AG307" s="965" t="e">
        <f t="shared" si="215"/>
        <v>#VALUE!</v>
      </c>
      <c r="AH307" s="878" t="e">
        <f t="shared" si="216"/>
        <v>#VALUE!</v>
      </c>
      <c r="AI307" s="878" t="e">
        <f t="shared" si="217"/>
        <v>#VALUE!</v>
      </c>
      <c r="AJ307" s="878" t="e">
        <f t="shared" si="218"/>
        <v>#VALUE!</v>
      </c>
      <c r="AK307" s="878" t="e">
        <f t="shared" si="219"/>
        <v>#VALUE!</v>
      </c>
      <c r="AL307" s="966" t="e">
        <f t="shared" si="220"/>
        <v>#VALUE!</v>
      </c>
      <c r="AM307" s="239"/>
      <c r="AO307" s="685">
        <f t="shared" si="245"/>
        <v>2.0171724354432872</v>
      </c>
      <c r="AP307" s="276">
        <f t="shared" si="246"/>
        <v>-2.7129425939518255</v>
      </c>
      <c r="AQ307" s="276">
        <f t="shared" si="247"/>
        <v>-0.50263312996959397</v>
      </c>
      <c r="AR307" s="276">
        <f t="shared" si="248"/>
        <v>-0.27797863081199348</v>
      </c>
      <c r="AS307" s="276">
        <f t="shared" si="249"/>
        <v>-0.11835058649867536</v>
      </c>
      <c r="AT307" s="276">
        <f t="shared" si="250"/>
        <v>-1.7767365467287974</v>
      </c>
      <c r="AU307" s="685">
        <f t="shared" si="251"/>
        <v>1.4103296331968711</v>
      </c>
      <c r="AV307" s="276">
        <f t="shared" si="252"/>
        <v>1.9661090240312415</v>
      </c>
      <c r="AW307" s="276">
        <f t="shared" si="253"/>
        <v>2.3262253347681723</v>
      </c>
      <c r="AX307" s="276">
        <f t="shared" si="254"/>
        <v>1.6730801341700767</v>
      </c>
      <c r="AY307" s="276">
        <f t="shared" si="255"/>
        <v>1.3225515148984692</v>
      </c>
      <c r="AZ307" s="686">
        <f t="shared" si="256"/>
        <v>1.4827653429610004</v>
      </c>
      <c r="BA307" s="685">
        <f t="shared" si="257"/>
        <v>0</v>
      </c>
      <c r="BB307" s="276">
        <f t="shared" si="258"/>
        <v>0</v>
      </c>
      <c r="BC307" s="276">
        <f t="shared" si="259"/>
        <v>0</v>
      </c>
      <c r="BD307" s="276">
        <f t="shared" si="260"/>
        <v>0</v>
      </c>
      <c r="BE307" s="276">
        <f t="shared" si="261"/>
        <v>0</v>
      </c>
      <c r="BF307" s="686">
        <f t="shared" si="262"/>
        <v>0</v>
      </c>
      <c r="BG307" s="685" t="e">
        <f t="shared" si="263"/>
        <v>#DIV/0!</v>
      </c>
      <c r="BH307" s="276" t="e">
        <f t="shared" si="264"/>
        <v>#DIV/0!</v>
      </c>
      <c r="BI307" s="276" t="e">
        <f t="shared" si="265"/>
        <v>#DIV/0!</v>
      </c>
      <c r="BJ307" s="276" t="e">
        <f t="shared" si="266"/>
        <v>#DIV/0!</v>
      </c>
      <c r="BK307" s="276" t="e">
        <f t="shared" si="267"/>
        <v>#DIV/0!</v>
      </c>
      <c r="BL307" s="686" t="e">
        <f t="shared" si="268"/>
        <v>#DIV/0!</v>
      </c>
      <c r="BM307" s="239"/>
      <c r="BN307" s="965" t="e">
        <f t="shared" si="269"/>
        <v>#VALUE!</v>
      </c>
      <c r="BO307" s="878" t="e">
        <f t="shared" si="270"/>
        <v>#VALUE!</v>
      </c>
      <c r="BP307" s="878" t="e">
        <f t="shared" si="271"/>
        <v>#VALUE!</v>
      </c>
      <c r="BQ307" s="878" t="e">
        <f t="shared" si="272"/>
        <v>#VALUE!</v>
      </c>
      <c r="BR307" s="878" t="e">
        <f t="shared" si="273"/>
        <v>#VALUE!</v>
      </c>
      <c r="BS307" s="966" t="e">
        <f t="shared" si="274"/>
        <v>#VALUE!</v>
      </c>
    </row>
    <row r="308" spans="1:71">
      <c r="A308" s="284">
        <f t="shared" si="275"/>
        <v>240</v>
      </c>
      <c r="B308" s="285">
        <v>0.29916470340813422</v>
      </c>
      <c r="C308" s="285">
        <v>2.7215427103654286</v>
      </c>
      <c r="D308" s="285">
        <v>8.2907438399819178E-2</v>
      </c>
      <c r="E308" s="285">
        <v>-1.0840176967798634</v>
      </c>
      <c r="H308" s="685">
        <f t="shared" si="221"/>
        <v>-0.83406913836092067</v>
      </c>
      <c r="I308" s="276">
        <f t="shared" si="222"/>
        <v>-0.21509785023336436</v>
      </c>
      <c r="J308" s="276">
        <f t="shared" si="223"/>
        <v>-0.12391727903385408</v>
      </c>
      <c r="K308" s="276">
        <f t="shared" si="224"/>
        <v>-3.103266586722099</v>
      </c>
      <c r="L308" s="276">
        <f t="shared" si="225"/>
        <v>-2.2412276569053757</v>
      </c>
      <c r="M308" s="276">
        <f t="shared" si="226"/>
        <v>-0.66025200416602026</v>
      </c>
      <c r="N308" s="685">
        <f t="shared" si="227"/>
        <v>1.5143714993935602</v>
      </c>
      <c r="O308" s="276">
        <f t="shared" si="228"/>
        <v>1.2436802578551445</v>
      </c>
      <c r="P308" s="276">
        <f t="shared" si="229"/>
        <v>0.76313772734857643</v>
      </c>
      <c r="Q308" s="276">
        <f t="shared" si="230"/>
        <v>0.95828562652203497</v>
      </c>
      <c r="R308" s="276">
        <f t="shared" si="231"/>
        <v>0.98855929246810503</v>
      </c>
      <c r="S308" s="686">
        <f t="shared" si="232"/>
        <v>1.2617188322147104</v>
      </c>
      <c r="T308" s="685">
        <f t="shared" si="233"/>
        <v>3.3612711286707451</v>
      </c>
      <c r="U308" s="276">
        <f t="shared" si="234"/>
        <v>4.7947572329181094</v>
      </c>
      <c r="V308" s="276">
        <f t="shared" si="235"/>
        <v>3.8586527201060683</v>
      </c>
      <c r="W308" s="276">
        <f t="shared" si="236"/>
        <v>2.8541956157988775</v>
      </c>
      <c r="X308" s="276">
        <f t="shared" si="237"/>
        <v>4.8928597644572127</v>
      </c>
      <c r="Y308" s="686">
        <f t="shared" si="238"/>
        <v>3.4444038564768746</v>
      </c>
      <c r="Z308" s="685" t="e">
        <f t="shared" si="239"/>
        <v>#DIV/0!</v>
      </c>
      <c r="AA308" s="276" t="e">
        <f t="shared" si="240"/>
        <v>#DIV/0!</v>
      </c>
      <c r="AB308" s="276" t="e">
        <f t="shared" si="241"/>
        <v>#DIV/0!</v>
      </c>
      <c r="AC308" s="276" t="e">
        <f t="shared" si="242"/>
        <v>#DIV/0!</v>
      </c>
      <c r="AD308" s="276" t="e">
        <f t="shared" si="243"/>
        <v>#DIV/0!</v>
      </c>
      <c r="AE308" s="686" t="e">
        <f t="shared" si="244"/>
        <v>#DIV/0!</v>
      </c>
      <c r="AF308" s="239"/>
      <c r="AG308" s="965" t="e">
        <f t="shared" si="215"/>
        <v>#VALUE!</v>
      </c>
      <c r="AH308" s="878" t="e">
        <f t="shared" si="216"/>
        <v>#VALUE!</v>
      </c>
      <c r="AI308" s="878" t="e">
        <f t="shared" si="217"/>
        <v>#VALUE!</v>
      </c>
      <c r="AJ308" s="878" t="e">
        <f t="shared" si="218"/>
        <v>#VALUE!</v>
      </c>
      <c r="AK308" s="878" t="e">
        <f t="shared" si="219"/>
        <v>#VALUE!</v>
      </c>
      <c r="AL308" s="966" t="e">
        <f t="shared" si="220"/>
        <v>#VALUE!</v>
      </c>
      <c r="AM308" s="239"/>
      <c r="AO308" s="685">
        <f t="shared" si="245"/>
        <v>-0.83406913836092067</v>
      </c>
      <c r="AP308" s="276">
        <f t="shared" si="246"/>
        <v>-0.21509785023336436</v>
      </c>
      <c r="AQ308" s="276">
        <f t="shared" si="247"/>
        <v>-0.12391727903385408</v>
      </c>
      <c r="AR308" s="276">
        <f t="shared" si="248"/>
        <v>-3.103266586722099</v>
      </c>
      <c r="AS308" s="276">
        <f t="shared" si="249"/>
        <v>-2.2412276569053757</v>
      </c>
      <c r="AT308" s="276">
        <f t="shared" si="250"/>
        <v>-0.66025200416602026</v>
      </c>
      <c r="AU308" s="685">
        <f t="shared" si="251"/>
        <v>1.5143714993935602</v>
      </c>
      <c r="AV308" s="276">
        <f t="shared" si="252"/>
        <v>1.2436802578551445</v>
      </c>
      <c r="AW308" s="276">
        <f t="shared" si="253"/>
        <v>0.76313772734857643</v>
      </c>
      <c r="AX308" s="276">
        <f t="shared" si="254"/>
        <v>0.95828562652203497</v>
      </c>
      <c r="AY308" s="276">
        <f t="shared" si="255"/>
        <v>0.98855929246810503</v>
      </c>
      <c r="AZ308" s="686">
        <f t="shared" si="256"/>
        <v>1.2617188322147104</v>
      </c>
      <c r="BA308" s="685">
        <f t="shared" si="257"/>
        <v>0</v>
      </c>
      <c r="BB308" s="276">
        <f t="shared" si="258"/>
        <v>0</v>
      </c>
      <c r="BC308" s="276">
        <f t="shared" si="259"/>
        <v>0</v>
      </c>
      <c r="BD308" s="276">
        <f t="shared" si="260"/>
        <v>0</v>
      </c>
      <c r="BE308" s="276">
        <f t="shared" si="261"/>
        <v>0</v>
      </c>
      <c r="BF308" s="686">
        <f t="shared" si="262"/>
        <v>0</v>
      </c>
      <c r="BG308" s="685" t="e">
        <f t="shared" si="263"/>
        <v>#DIV/0!</v>
      </c>
      <c r="BH308" s="276" t="e">
        <f t="shared" si="264"/>
        <v>#DIV/0!</v>
      </c>
      <c r="BI308" s="276" t="e">
        <f t="shared" si="265"/>
        <v>#DIV/0!</v>
      </c>
      <c r="BJ308" s="276" t="e">
        <f t="shared" si="266"/>
        <v>#DIV/0!</v>
      </c>
      <c r="BK308" s="276" t="e">
        <f t="shared" si="267"/>
        <v>#DIV/0!</v>
      </c>
      <c r="BL308" s="686" t="e">
        <f t="shared" si="268"/>
        <v>#DIV/0!</v>
      </c>
      <c r="BM308" s="239"/>
      <c r="BN308" s="965" t="e">
        <f t="shared" si="269"/>
        <v>#VALUE!</v>
      </c>
      <c r="BO308" s="878" t="e">
        <f t="shared" si="270"/>
        <v>#VALUE!</v>
      </c>
      <c r="BP308" s="878" t="e">
        <f t="shared" si="271"/>
        <v>#VALUE!</v>
      </c>
      <c r="BQ308" s="878" t="e">
        <f t="shared" si="272"/>
        <v>#VALUE!</v>
      </c>
      <c r="BR308" s="878" t="e">
        <f t="shared" si="273"/>
        <v>#VALUE!</v>
      </c>
      <c r="BS308" s="966" t="e">
        <f t="shared" si="274"/>
        <v>#VALUE!</v>
      </c>
    </row>
    <row r="309" spans="1:71">
      <c r="A309" s="284">
        <f t="shared" si="275"/>
        <v>241</v>
      </c>
      <c r="B309" s="285">
        <v>-3.637744414894932E-2</v>
      </c>
      <c r="C309" s="285">
        <v>2.9444138403929503</v>
      </c>
      <c r="D309" s="285">
        <v>0.43330927800390451</v>
      </c>
      <c r="E309" s="285">
        <v>6.8871817272929121</v>
      </c>
      <c r="H309" s="685">
        <f t="shared" si="221"/>
        <v>-1.1696112859180041</v>
      </c>
      <c r="I309" s="276">
        <f t="shared" si="222"/>
        <v>-2.3431262302894593</v>
      </c>
      <c r="J309" s="276">
        <f t="shared" si="223"/>
        <v>-0.12707121029892177</v>
      </c>
      <c r="K309" s="276">
        <f t="shared" si="224"/>
        <v>-1.4189832411676648</v>
      </c>
      <c r="L309" s="276">
        <f t="shared" si="225"/>
        <v>0.93775210021104072</v>
      </c>
      <c r="M309" s="276">
        <f t="shared" si="226"/>
        <v>-2.3444695822231258</v>
      </c>
      <c r="N309" s="685">
        <f t="shared" si="227"/>
        <v>1.7372426294210819</v>
      </c>
      <c r="O309" s="276">
        <f t="shared" si="228"/>
        <v>0.7578214533115184</v>
      </c>
      <c r="P309" s="276">
        <f t="shared" si="229"/>
        <v>0.82755859336759374</v>
      </c>
      <c r="Q309" s="276">
        <f t="shared" si="230"/>
        <v>0.7772964499476247</v>
      </c>
      <c r="R309" s="276">
        <f t="shared" si="231"/>
        <v>1.8906194176949225</v>
      </c>
      <c r="S309" s="686">
        <f t="shared" si="232"/>
        <v>1.4397444630031611</v>
      </c>
      <c r="T309" s="685">
        <f t="shared" si="233"/>
        <v>3.7116729682748302</v>
      </c>
      <c r="U309" s="276">
        <f t="shared" si="234"/>
        <v>2.9328109191073266</v>
      </c>
      <c r="V309" s="276">
        <f t="shared" si="235"/>
        <v>5.1428999257575114</v>
      </c>
      <c r="W309" s="276">
        <f t="shared" si="236"/>
        <v>7.3845244836251389</v>
      </c>
      <c r="X309" s="276">
        <f t="shared" si="237"/>
        <v>3.2239250798807157</v>
      </c>
      <c r="Y309" s="686">
        <f t="shared" si="238"/>
        <v>4.8171779037139038</v>
      </c>
      <c r="Z309" s="685" t="e">
        <f t="shared" si="239"/>
        <v>#DIV/0!</v>
      </c>
      <c r="AA309" s="276" t="e">
        <f t="shared" si="240"/>
        <v>#DIV/0!</v>
      </c>
      <c r="AB309" s="276" t="e">
        <f t="shared" si="241"/>
        <v>#DIV/0!</v>
      </c>
      <c r="AC309" s="276" t="e">
        <f t="shared" si="242"/>
        <v>#DIV/0!</v>
      </c>
      <c r="AD309" s="276" t="e">
        <f t="shared" si="243"/>
        <v>#DIV/0!</v>
      </c>
      <c r="AE309" s="686" t="e">
        <f t="shared" si="244"/>
        <v>#DIV/0!</v>
      </c>
      <c r="AF309" s="239"/>
      <c r="AG309" s="965" t="e">
        <f t="shared" si="215"/>
        <v>#VALUE!</v>
      </c>
      <c r="AH309" s="878" t="e">
        <f t="shared" si="216"/>
        <v>#VALUE!</v>
      </c>
      <c r="AI309" s="878" t="e">
        <f t="shared" si="217"/>
        <v>#VALUE!</v>
      </c>
      <c r="AJ309" s="878" t="e">
        <f t="shared" si="218"/>
        <v>#VALUE!</v>
      </c>
      <c r="AK309" s="878" t="e">
        <f t="shared" si="219"/>
        <v>#VALUE!</v>
      </c>
      <c r="AL309" s="966" t="e">
        <f t="shared" si="220"/>
        <v>#VALUE!</v>
      </c>
      <c r="AM309" s="239"/>
      <c r="AO309" s="685">
        <f t="shared" si="245"/>
        <v>-1.1696112859180041</v>
      </c>
      <c r="AP309" s="276">
        <f t="shared" si="246"/>
        <v>-2.3431262302894593</v>
      </c>
      <c r="AQ309" s="276">
        <f t="shared" si="247"/>
        <v>-0.12707121029892177</v>
      </c>
      <c r="AR309" s="276">
        <f t="shared" si="248"/>
        <v>-1.4189832411676648</v>
      </c>
      <c r="AS309" s="276">
        <f t="shared" si="249"/>
        <v>0.93775210021104072</v>
      </c>
      <c r="AT309" s="276">
        <f t="shared" si="250"/>
        <v>-2.3444695822231258</v>
      </c>
      <c r="AU309" s="685">
        <f t="shared" si="251"/>
        <v>1.7372426294210819</v>
      </c>
      <c r="AV309" s="276">
        <f t="shared" si="252"/>
        <v>0.7578214533115184</v>
      </c>
      <c r="AW309" s="276">
        <f t="shared" si="253"/>
        <v>0.82755859336759374</v>
      </c>
      <c r="AX309" s="276">
        <f t="shared" si="254"/>
        <v>0.7772964499476247</v>
      </c>
      <c r="AY309" s="276">
        <f t="shared" si="255"/>
        <v>1.8906194176949225</v>
      </c>
      <c r="AZ309" s="686">
        <f t="shared" si="256"/>
        <v>1.4397444630031611</v>
      </c>
      <c r="BA309" s="685">
        <f t="shared" si="257"/>
        <v>0</v>
      </c>
      <c r="BB309" s="276">
        <f t="shared" si="258"/>
        <v>0</v>
      </c>
      <c r="BC309" s="276">
        <f t="shared" si="259"/>
        <v>0</v>
      </c>
      <c r="BD309" s="276">
        <f t="shared" si="260"/>
        <v>0</v>
      </c>
      <c r="BE309" s="276">
        <f t="shared" si="261"/>
        <v>0</v>
      </c>
      <c r="BF309" s="686">
        <f t="shared" si="262"/>
        <v>0</v>
      </c>
      <c r="BG309" s="685" t="e">
        <f t="shared" si="263"/>
        <v>#DIV/0!</v>
      </c>
      <c r="BH309" s="276" t="e">
        <f t="shared" si="264"/>
        <v>#DIV/0!</v>
      </c>
      <c r="BI309" s="276" t="e">
        <f t="shared" si="265"/>
        <v>#DIV/0!</v>
      </c>
      <c r="BJ309" s="276" t="e">
        <f t="shared" si="266"/>
        <v>#DIV/0!</v>
      </c>
      <c r="BK309" s="276" t="e">
        <f t="shared" si="267"/>
        <v>#DIV/0!</v>
      </c>
      <c r="BL309" s="686" t="e">
        <f t="shared" si="268"/>
        <v>#DIV/0!</v>
      </c>
      <c r="BM309" s="239"/>
      <c r="BN309" s="965" t="e">
        <f t="shared" si="269"/>
        <v>#VALUE!</v>
      </c>
      <c r="BO309" s="878" t="e">
        <f t="shared" si="270"/>
        <v>#VALUE!</v>
      </c>
      <c r="BP309" s="878" t="e">
        <f t="shared" si="271"/>
        <v>#VALUE!</v>
      </c>
      <c r="BQ309" s="878" t="e">
        <f t="shared" si="272"/>
        <v>#VALUE!</v>
      </c>
      <c r="BR309" s="878" t="e">
        <f t="shared" si="273"/>
        <v>#VALUE!</v>
      </c>
      <c r="BS309" s="966" t="e">
        <f t="shared" si="274"/>
        <v>#VALUE!</v>
      </c>
    </row>
    <row r="310" spans="1:71">
      <c r="A310" s="284">
        <f t="shared" si="275"/>
        <v>242</v>
      </c>
      <c r="B310" s="285">
        <v>1.4859735624110815</v>
      </c>
      <c r="C310" s="285">
        <v>2.1265018310644437</v>
      </c>
      <c r="D310" s="285">
        <v>1.6972435485134556</v>
      </c>
      <c r="E310" s="285">
        <v>1.4391444480678577</v>
      </c>
      <c r="H310" s="685">
        <f t="shared" si="221"/>
        <v>0.35273972064202663</v>
      </c>
      <c r="I310" s="276">
        <f t="shared" si="222"/>
        <v>-1.0527173114727704</v>
      </c>
      <c r="J310" s="276">
        <f t="shared" si="223"/>
        <v>0.21483730743930196</v>
      </c>
      <c r="K310" s="276">
        <f t="shared" si="224"/>
        <v>-2.2324731892274245</v>
      </c>
      <c r="L310" s="276">
        <f t="shared" si="225"/>
        <v>-1.9330949064544205</v>
      </c>
      <c r="M310" s="276">
        <f t="shared" si="226"/>
        <v>-0.26839292830823402</v>
      </c>
      <c r="N310" s="685">
        <f t="shared" si="227"/>
        <v>0.91933062009257527</v>
      </c>
      <c r="O310" s="276">
        <f t="shared" si="228"/>
        <v>0.67881497206142338</v>
      </c>
      <c r="P310" s="276">
        <f t="shared" si="229"/>
        <v>0.9228905503555509</v>
      </c>
      <c r="Q310" s="276">
        <f t="shared" si="230"/>
        <v>0.87215999294576396</v>
      </c>
      <c r="R310" s="276">
        <f t="shared" si="231"/>
        <v>0.74594903619254782</v>
      </c>
      <c r="S310" s="686">
        <f t="shared" si="232"/>
        <v>1.5552953896166428</v>
      </c>
      <c r="T310" s="685">
        <f t="shared" si="233"/>
        <v>4.9756072387843817</v>
      </c>
      <c r="U310" s="276">
        <f t="shared" si="234"/>
        <v>5.0431716068371824</v>
      </c>
      <c r="V310" s="276">
        <f t="shared" si="235"/>
        <v>4.2103345644418679</v>
      </c>
      <c r="W310" s="276">
        <f t="shared" si="236"/>
        <v>3.9719591207173695</v>
      </c>
      <c r="X310" s="276">
        <f t="shared" si="237"/>
        <v>4.2102642951693419</v>
      </c>
      <c r="Y310" s="686">
        <f t="shared" si="238"/>
        <v>4.199766838020496</v>
      </c>
      <c r="Z310" s="685" t="e">
        <f t="shared" si="239"/>
        <v>#DIV/0!</v>
      </c>
      <c r="AA310" s="276" t="e">
        <f t="shared" si="240"/>
        <v>#DIV/0!</v>
      </c>
      <c r="AB310" s="276" t="e">
        <f t="shared" si="241"/>
        <v>#DIV/0!</v>
      </c>
      <c r="AC310" s="276" t="e">
        <f t="shared" si="242"/>
        <v>#DIV/0!</v>
      </c>
      <c r="AD310" s="276" t="e">
        <f t="shared" si="243"/>
        <v>#DIV/0!</v>
      </c>
      <c r="AE310" s="686" t="e">
        <f t="shared" si="244"/>
        <v>#DIV/0!</v>
      </c>
      <c r="AF310" s="239"/>
      <c r="AG310" s="965" t="e">
        <f t="shared" si="215"/>
        <v>#VALUE!</v>
      </c>
      <c r="AH310" s="878" t="e">
        <f t="shared" si="216"/>
        <v>#VALUE!</v>
      </c>
      <c r="AI310" s="878" t="e">
        <f t="shared" si="217"/>
        <v>#VALUE!</v>
      </c>
      <c r="AJ310" s="878" t="e">
        <f t="shared" si="218"/>
        <v>#VALUE!</v>
      </c>
      <c r="AK310" s="878" t="e">
        <f t="shared" si="219"/>
        <v>#VALUE!</v>
      </c>
      <c r="AL310" s="966" t="e">
        <f t="shared" si="220"/>
        <v>#VALUE!</v>
      </c>
      <c r="AM310" s="239"/>
      <c r="AO310" s="685">
        <f t="shared" si="245"/>
        <v>0.35273972064202663</v>
      </c>
      <c r="AP310" s="276">
        <f t="shared" si="246"/>
        <v>-1.0527173114727704</v>
      </c>
      <c r="AQ310" s="276">
        <f t="shared" si="247"/>
        <v>0.21483730743930196</v>
      </c>
      <c r="AR310" s="276">
        <f t="shared" si="248"/>
        <v>-2.2324731892274245</v>
      </c>
      <c r="AS310" s="276">
        <f t="shared" si="249"/>
        <v>-1.9330949064544205</v>
      </c>
      <c r="AT310" s="276">
        <f t="shared" si="250"/>
        <v>-0.26839292830823402</v>
      </c>
      <c r="AU310" s="685">
        <f t="shared" si="251"/>
        <v>0.91933062009257527</v>
      </c>
      <c r="AV310" s="276">
        <f t="shared" si="252"/>
        <v>0.67881497206142338</v>
      </c>
      <c r="AW310" s="276">
        <f t="shared" si="253"/>
        <v>0.9228905503555509</v>
      </c>
      <c r="AX310" s="276">
        <f t="shared" si="254"/>
        <v>0.87215999294576396</v>
      </c>
      <c r="AY310" s="276">
        <f t="shared" si="255"/>
        <v>0.74594903619254782</v>
      </c>
      <c r="AZ310" s="686">
        <f t="shared" si="256"/>
        <v>1.5552953896166428</v>
      </c>
      <c r="BA310" s="685">
        <f t="shared" si="257"/>
        <v>0</v>
      </c>
      <c r="BB310" s="276">
        <f t="shared" si="258"/>
        <v>0</v>
      </c>
      <c r="BC310" s="276">
        <f t="shared" si="259"/>
        <v>0</v>
      </c>
      <c r="BD310" s="276">
        <f t="shared" si="260"/>
        <v>0</v>
      </c>
      <c r="BE310" s="276">
        <f t="shared" si="261"/>
        <v>0</v>
      </c>
      <c r="BF310" s="686">
        <f t="shared" si="262"/>
        <v>0</v>
      </c>
      <c r="BG310" s="685" t="e">
        <f t="shared" si="263"/>
        <v>#DIV/0!</v>
      </c>
      <c r="BH310" s="276" t="e">
        <f t="shared" si="264"/>
        <v>#DIV/0!</v>
      </c>
      <c r="BI310" s="276" t="e">
        <f t="shared" si="265"/>
        <v>#DIV/0!</v>
      </c>
      <c r="BJ310" s="276" t="e">
        <f t="shared" si="266"/>
        <v>#DIV/0!</v>
      </c>
      <c r="BK310" s="276" t="e">
        <f t="shared" si="267"/>
        <v>#DIV/0!</v>
      </c>
      <c r="BL310" s="686" t="e">
        <f t="shared" si="268"/>
        <v>#DIV/0!</v>
      </c>
      <c r="BM310" s="239"/>
      <c r="BN310" s="965" t="e">
        <f t="shared" si="269"/>
        <v>#VALUE!</v>
      </c>
      <c r="BO310" s="878" t="e">
        <f t="shared" si="270"/>
        <v>#VALUE!</v>
      </c>
      <c r="BP310" s="878" t="e">
        <f t="shared" si="271"/>
        <v>#VALUE!</v>
      </c>
      <c r="BQ310" s="878" t="e">
        <f t="shared" si="272"/>
        <v>#VALUE!</v>
      </c>
      <c r="BR310" s="878" t="e">
        <f t="shared" si="273"/>
        <v>#VALUE!</v>
      </c>
      <c r="BS310" s="966" t="e">
        <f t="shared" si="274"/>
        <v>#VALUE!</v>
      </c>
    </row>
    <row r="311" spans="1:71">
      <c r="A311" s="284">
        <f t="shared" si="275"/>
        <v>243</v>
      </c>
      <c r="B311" s="285">
        <v>2.1752543427612934</v>
      </c>
      <c r="C311" s="285">
        <v>2.6356058025918099</v>
      </c>
      <c r="D311" s="285">
        <v>0.64265437027381511</v>
      </c>
      <c r="E311" s="285">
        <v>-6.5585357553615857</v>
      </c>
      <c r="H311" s="685">
        <f t="shared" si="221"/>
        <v>1.0420205009922385</v>
      </c>
      <c r="I311" s="276">
        <f t="shared" si="222"/>
        <v>-0.37419849131853622</v>
      </c>
      <c r="J311" s="276">
        <f t="shared" si="223"/>
        <v>-0.86622837919148288</v>
      </c>
      <c r="K311" s="276">
        <f t="shared" si="224"/>
        <v>0.72637531073909423</v>
      </c>
      <c r="L311" s="276">
        <f t="shared" si="225"/>
        <v>-2.7609600486485055</v>
      </c>
      <c r="M311" s="276">
        <f t="shared" si="226"/>
        <v>1.6116966877811467</v>
      </c>
      <c r="N311" s="685">
        <f t="shared" si="227"/>
        <v>1.4284345916199415</v>
      </c>
      <c r="O311" s="276">
        <f t="shared" si="228"/>
        <v>1.0090905480946766</v>
      </c>
      <c r="P311" s="276">
        <f t="shared" si="229"/>
        <v>0.82546761664935464</v>
      </c>
      <c r="Q311" s="276">
        <f t="shared" si="230"/>
        <v>0.90129415388108103</v>
      </c>
      <c r="R311" s="276">
        <f t="shared" si="231"/>
        <v>0.1355202269535607</v>
      </c>
      <c r="S311" s="686">
        <f t="shared" si="232"/>
        <v>2.0009782017987954</v>
      </c>
      <c r="T311" s="685">
        <f t="shared" si="233"/>
        <v>3.9210180605447409</v>
      </c>
      <c r="U311" s="276">
        <f t="shared" si="234"/>
        <v>5.3323406250231509</v>
      </c>
      <c r="V311" s="276">
        <f t="shared" si="235"/>
        <v>5.2399816107917836</v>
      </c>
      <c r="W311" s="276">
        <f t="shared" si="236"/>
        <v>5.4340100283484425</v>
      </c>
      <c r="X311" s="276">
        <f t="shared" si="237"/>
        <v>3.0297727481405383</v>
      </c>
      <c r="Y311" s="686">
        <f t="shared" si="238"/>
        <v>4.5390829572580476</v>
      </c>
      <c r="Z311" s="685" t="e">
        <f t="shared" si="239"/>
        <v>#DIV/0!</v>
      </c>
      <c r="AA311" s="276" t="e">
        <f t="shared" si="240"/>
        <v>#DIV/0!</v>
      </c>
      <c r="AB311" s="276" t="e">
        <f t="shared" si="241"/>
        <v>#DIV/0!</v>
      </c>
      <c r="AC311" s="276" t="e">
        <f t="shared" si="242"/>
        <v>#DIV/0!</v>
      </c>
      <c r="AD311" s="276" t="e">
        <f t="shared" si="243"/>
        <v>#DIV/0!</v>
      </c>
      <c r="AE311" s="686" t="e">
        <f t="shared" si="244"/>
        <v>#DIV/0!</v>
      </c>
      <c r="AF311" s="239"/>
      <c r="AG311" s="965" t="e">
        <f t="shared" si="215"/>
        <v>#VALUE!</v>
      </c>
      <c r="AH311" s="878" t="e">
        <f t="shared" si="216"/>
        <v>#VALUE!</v>
      </c>
      <c r="AI311" s="878" t="e">
        <f t="shared" si="217"/>
        <v>#VALUE!</v>
      </c>
      <c r="AJ311" s="878" t="e">
        <f t="shared" si="218"/>
        <v>#VALUE!</v>
      </c>
      <c r="AK311" s="878" t="e">
        <f t="shared" si="219"/>
        <v>#VALUE!</v>
      </c>
      <c r="AL311" s="966" t="e">
        <f t="shared" si="220"/>
        <v>#VALUE!</v>
      </c>
      <c r="AM311" s="239"/>
      <c r="AO311" s="685">
        <f t="shared" si="245"/>
        <v>1.0420205009922385</v>
      </c>
      <c r="AP311" s="276">
        <f t="shared" si="246"/>
        <v>-0.37419849131853622</v>
      </c>
      <c r="AQ311" s="276">
        <f t="shared" si="247"/>
        <v>-0.86622837919148288</v>
      </c>
      <c r="AR311" s="276">
        <f t="shared" si="248"/>
        <v>0.72637531073909423</v>
      </c>
      <c r="AS311" s="276">
        <f t="shared" si="249"/>
        <v>-2.7609600486485055</v>
      </c>
      <c r="AT311" s="276">
        <f t="shared" si="250"/>
        <v>1.6116966877811467</v>
      </c>
      <c r="AU311" s="685">
        <f t="shared" si="251"/>
        <v>1.4284345916199415</v>
      </c>
      <c r="AV311" s="276">
        <f t="shared" si="252"/>
        <v>1.0090905480946766</v>
      </c>
      <c r="AW311" s="276">
        <f t="shared" si="253"/>
        <v>0.82546761664935464</v>
      </c>
      <c r="AX311" s="276">
        <f t="shared" si="254"/>
        <v>0.90129415388108103</v>
      </c>
      <c r="AY311" s="276">
        <f t="shared" si="255"/>
        <v>0.1355202269535607</v>
      </c>
      <c r="AZ311" s="686">
        <f t="shared" si="256"/>
        <v>2.0009782017987954</v>
      </c>
      <c r="BA311" s="685">
        <f t="shared" si="257"/>
        <v>0</v>
      </c>
      <c r="BB311" s="276">
        <f t="shared" si="258"/>
        <v>0</v>
      </c>
      <c r="BC311" s="276">
        <f t="shared" si="259"/>
        <v>0</v>
      </c>
      <c r="BD311" s="276">
        <f t="shared" si="260"/>
        <v>0</v>
      </c>
      <c r="BE311" s="276">
        <f t="shared" si="261"/>
        <v>0</v>
      </c>
      <c r="BF311" s="686">
        <f t="shared" si="262"/>
        <v>0</v>
      </c>
      <c r="BG311" s="685" t="e">
        <f t="shared" si="263"/>
        <v>#DIV/0!</v>
      </c>
      <c r="BH311" s="276" t="e">
        <f t="shared" si="264"/>
        <v>#DIV/0!</v>
      </c>
      <c r="BI311" s="276" t="e">
        <f t="shared" si="265"/>
        <v>#DIV/0!</v>
      </c>
      <c r="BJ311" s="276" t="e">
        <f t="shared" si="266"/>
        <v>#DIV/0!</v>
      </c>
      <c r="BK311" s="276" t="e">
        <f t="shared" si="267"/>
        <v>#DIV/0!</v>
      </c>
      <c r="BL311" s="686" t="e">
        <f t="shared" si="268"/>
        <v>#DIV/0!</v>
      </c>
      <c r="BM311" s="239"/>
      <c r="BN311" s="965" t="e">
        <f t="shared" si="269"/>
        <v>#VALUE!</v>
      </c>
      <c r="BO311" s="878" t="e">
        <f t="shared" si="270"/>
        <v>#VALUE!</v>
      </c>
      <c r="BP311" s="878" t="e">
        <f t="shared" si="271"/>
        <v>#VALUE!</v>
      </c>
      <c r="BQ311" s="878" t="e">
        <f t="shared" si="272"/>
        <v>#VALUE!</v>
      </c>
      <c r="BR311" s="878" t="e">
        <f t="shared" si="273"/>
        <v>#VALUE!</v>
      </c>
      <c r="BS311" s="966" t="e">
        <f t="shared" si="274"/>
        <v>#VALUE!</v>
      </c>
    </row>
    <row r="312" spans="1:71">
      <c r="A312" s="284">
        <f t="shared" si="275"/>
        <v>244</v>
      </c>
      <c r="B312" s="285">
        <v>0.9980837725954842</v>
      </c>
      <c r="C312" s="285">
        <v>2.8773421160914645</v>
      </c>
      <c r="D312" s="285">
        <v>-0.27581757031931886</v>
      </c>
      <c r="E312" s="285">
        <v>-2.1723756445031372</v>
      </c>
      <c r="H312" s="685">
        <f t="shared" si="221"/>
        <v>-0.13515006917357064</v>
      </c>
      <c r="I312" s="276">
        <f t="shared" si="222"/>
        <v>-3.3908419161792338</v>
      </c>
      <c r="J312" s="276">
        <f t="shared" si="223"/>
        <v>-3.2953663777815763</v>
      </c>
      <c r="K312" s="276">
        <f t="shared" si="224"/>
        <v>2.324761337429841</v>
      </c>
      <c r="L312" s="276">
        <f t="shared" si="225"/>
        <v>0.24794920177843682</v>
      </c>
      <c r="M312" s="276">
        <f t="shared" si="226"/>
        <v>1.1526984736527519</v>
      </c>
      <c r="N312" s="685">
        <f t="shared" si="227"/>
        <v>1.6701709051195961</v>
      </c>
      <c r="O312" s="276">
        <f t="shared" si="228"/>
        <v>1.493013529203185</v>
      </c>
      <c r="P312" s="276">
        <f t="shared" si="229"/>
        <v>1.3529807342660611</v>
      </c>
      <c r="Q312" s="276">
        <f t="shared" si="230"/>
        <v>1.4442405491616419</v>
      </c>
      <c r="R312" s="276">
        <f t="shared" si="231"/>
        <v>1.0869081505158114</v>
      </c>
      <c r="S312" s="686">
        <f t="shared" si="232"/>
        <v>1.0067770268438034</v>
      </c>
      <c r="T312" s="685">
        <f t="shared" si="233"/>
        <v>3.002546119951607</v>
      </c>
      <c r="U312" s="276">
        <f t="shared" si="234"/>
        <v>3.0318414864806851</v>
      </c>
      <c r="V312" s="276">
        <f t="shared" si="235"/>
        <v>4.4653902705704933</v>
      </c>
      <c r="W312" s="276">
        <f t="shared" si="236"/>
        <v>6.0112969347285734</v>
      </c>
      <c r="X312" s="276">
        <f t="shared" si="237"/>
        <v>4.608381456788659</v>
      </c>
      <c r="Y312" s="686">
        <f t="shared" si="238"/>
        <v>6.7209292890236334</v>
      </c>
      <c r="Z312" s="685" t="e">
        <f t="shared" si="239"/>
        <v>#DIV/0!</v>
      </c>
      <c r="AA312" s="276" t="e">
        <f t="shared" si="240"/>
        <v>#DIV/0!</v>
      </c>
      <c r="AB312" s="276" t="e">
        <f t="shared" si="241"/>
        <v>#DIV/0!</v>
      </c>
      <c r="AC312" s="276" t="e">
        <f t="shared" si="242"/>
        <v>#DIV/0!</v>
      </c>
      <c r="AD312" s="276" t="e">
        <f t="shared" si="243"/>
        <v>#DIV/0!</v>
      </c>
      <c r="AE312" s="686" t="e">
        <f t="shared" si="244"/>
        <v>#DIV/0!</v>
      </c>
      <c r="AF312" s="239"/>
      <c r="AG312" s="965" t="e">
        <f t="shared" si="215"/>
        <v>#VALUE!</v>
      </c>
      <c r="AH312" s="878" t="e">
        <f t="shared" si="216"/>
        <v>#VALUE!</v>
      </c>
      <c r="AI312" s="878" t="e">
        <f t="shared" si="217"/>
        <v>#VALUE!</v>
      </c>
      <c r="AJ312" s="878" t="e">
        <f t="shared" si="218"/>
        <v>#VALUE!</v>
      </c>
      <c r="AK312" s="878" t="e">
        <f t="shared" si="219"/>
        <v>#VALUE!</v>
      </c>
      <c r="AL312" s="966" t="e">
        <f t="shared" si="220"/>
        <v>#VALUE!</v>
      </c>
      <c r="AM312" s="239"/>
      <c r="AO312" s="685">
        <f t="shared" si="245"/>
        <v>-0.13515006917357064</v>
      </c>
      <c r="AP312" s="276">
        <f t="shared" si="246"/>
        <v>-3.3908419161792338</v>
      </c>
      <c r="AQ312" s="276">
        <f t="shared" si="247"/>
        <v>-3.2953663777815763</v>
      </c>
      <c r="AR312" s="276">
        <f t="shared" si="248"/>
        <v>2.324761337429841</v>
      </c>
      <c r="AS312" s="276">
        <f t="shared" si="249"/>
        <v>0.24794920177843682</v>
      </c>
      <c r="AT312" s="276">
        <f t="shared" si="250"/>
        <v>1.1526984736527519</v>
      </c>
      <c r="AU312" s="685">
        <f t="shared" si="251"/>
        <v>1.6701709051195961</v>
      </c>
      <c r="AV312" s="276">
        <f t="shared" si="252"/>
        <v>1.493013529203185</v>
      </c>
      <c r="AW312" s="276">
        <f t="shared" si="253"/>
        <v>1.3529807342660611</v>
      </c>
      <c r="AX312" s="276">
        <f t="shared" si="254"/>
        <v>1.4442405491616419</v>
      </c>
      <c r="AY312" s="276">
        <f t="shared" si="255"/>
        <v>1.0869081505158114</v>
      </c>
      <c r="AZ312" s="686">
        <f t="shared" si="256"/>
        <v>1.0067770268438034</v>
      </c>
      <c r="BA312" s="685">
        <f t="shared" si="257"/>
        <v>0</v>
      </c>
      <c r="BB312" s="276">
        <f t="shared" si="258"/>
        <v>0</v>
      </c>
      <c r="BC312" s="276">
        <f t="shared" si="259"/>
        <v>0</v>
      </c>
      <c r="BD312" s="276">
        <f t="shared" si="260"/>
        <v>0</v>
      </c>
      <c r="BE312" s="276">
        <f t="shared" si="261"/>
        <v>0</v>
      </c>
      <c r="BF312" s="686">
        <f t="shared" si="262"/>
        <v>0</v>
      </c>
      <c r="BG312" s="685" t="e">
        <f t="shared" si="263"/>
        <v>#DIV/0!</v>
      </c>
      <c r="BH312" s="276" t="e">
        <f t="shared" si="264"/>
        <v>#DIV/0!</v>
      </c>
      <c r="BI312" s="276" t="e">
        <f t="shared" si="265"/>
        <v>#DIV/0!</v>
      </c>
      <c r="BJ312" s="276" t="e">
        <f t="shared" si="266"/>
        <v>#DIV/0!</v>
      </c>
      <c r="BK312" s="276" t="e">
        <f t="shared" si="267"/>
        <v>#DIV/0!</v>
      </c>
      <c r="BL312" s="686" t="e">
        <f t="shared" si="268"/>
        <v>#DIV/0!</v>
      </c>
      <c r="BM312" s="239"/>
      <c r="BN312" s="965" t="e">
        <f t="shared" si="269"/>
        <v>#VALUE!</v>
      </c>
      <c r="BO312" s="878" t="e">
        <f t="shared" si="270"/>
        <v>#VALUE!</v>
      </c>
      <c r="BP312" s="878" t="e">
        <f t="shared" si="271"/>
        <v>#VALUE!</v>
      </c>
      <c r="BQ312" s="878" t="e">
        <f t="shared" si="272"/>
        <v>#VALUE!</v>
      </c>
      <c r="BR312" s="878" t="e">
        <f t="shared" si="273"/>
        <v>#VALUE!</v>
      </c>
      <c r="BS312" s="966" t="e">
        <f t="shared" si="274"/>
        <v>#VALUE!</v>
      </c>
    </row>
    <row r="313" spans="1:71">
      <c r="A313" s="284">
        <f t="shared" si="275"/>
        <v>245</v>
      </c>
      <c r="B313" s="285">
        <v>-3.5211736981734827</v>
      </c>
      <c r="C313" s="285">
        <v>3.0446626937074539</v>
      </c>
      <c r="D313" s="285">
        <v>-1.7850632105089668</v>
      </c>
      <c r="E313" s="285">
        <v>17.564702281207161</v>
      </c>
      <c r="H313" s="685">
        <f t="shared" si="221"/>
        <v>-4.6544075399425378</v>
      </c>
      <c r="I313" s="276">
        <f t="shared" si="222"/>
        <v>-0.10844705611266225</v>
      </c>
      <c r="J313" s="276">
        <f t="shared" si="223"/>
        <v>2.5351702990291711</v>
      </c>
      <c r="K313" s="276">
        <f t="shared" si="224"/>
        <v>-1.6335205068485406</v>
      </c>
      <c r="L313" s="276">
        <f t="shared" si="225"/>
        <v>-2.1387923967956954</v>
      </c>
      <c r="M313" s="276">
        <f t="shared" si="226"/>
        <v>0.72383026801579486</v>
      </c>
      <c r="N313" s="685">
        <f t="shared" si="227"/>
        <v>1.8374914827355855</v>
      </c>
      <c r="O313" s="276">
        <f t="shared" si="228"/>
        <v>2.4220498521224219</v>
      </c>
      <c r="P313" s="276">
        <f t="shared" si="229"/>
        <v>1.2668047066367281</v>
      </c>
      <c r="Q313" s="276">
        <f t="shared" si="230"/>
        <v>1.3583242575042693</v>
      </c>
      <c r="R313" s="276">
        <f t="shared" si="231"/>
        <v>1.026406894481857</v>
      </c>
      <c r="S313" s="686">
        <f t="shared" si="232"/>
        <v>0.88568865937816299</v>
      </c>
      <c r="T313" s="685">
        <f t="shared" si="233"/>
        <v>1.4933004797619591</v>
      </c>
      <c r="U313" s="276">
        <f t="shared" si="234"/>
        <v>4.7878062010458882</v>
      </c>
      <c r="V313" s="276">
        <f t="shared" si="235"/>
        <v>4.7286880640290923</v>
      </c>
      <c r="W313" s="276">
        <f t="shared" si="236"/>
        <v>2.9615307210586526</v>
      </c>
      <c r="X313" s="276">
        <f t="shared" si="237"/>
        <v>4.8468594403563268</v>
      </c>
      <c r="Y313" s="686">
        <f t="shared" si="238"/>
        <v>5.5560923632024011</v>
      </c>
      <c r="Z313" s="685" t="e">
        <f t="shared" si="239"/>
        <v>#DIV/0!</v>
      </c>
      <c r="AA313" s="276" t="e">
        <f t="shared" si="240"/>
        <v>#DIV/0!</v>
      </c>
      <c r="AB313" s="276" t="e">
        <f t="shared" si="241"/>
        <v>#DIV/0!</v>
      </c>
      <c r="AC313" s="276" t="e">
        <f t="shared" si="242"/>
        <v>#DIV/0!</v>
      </c>
      <c r="AD313" s="276" t="e">
        <f t="shared" si="243"/>
        <v>#DIV/0!</v>
      </c>
      <c r="AE313" s="686" t="e">
        <f t="shared" si="244"/>
        <v>#DIV/0!</v>
      </c>
      <c r="AF313" s="239"/>
      <c r="AG313" s="965" t="e">
        <f t="shared" si="215"/>
        <v>#VALUE!</v>
      </c>
      <c r="AH313" s="878" t="e">
        <f t="shared" si="216"/>
        <v>#VALUE!</v>
      </c>
      <c r="AI313" s="878" t="e">
        <f t="shared" si="217"/>
        <v>#VALUE!</v>
      </c>
      <c r="AJ313" s="878" t="e">
        <f t="shared" si="218"/>
        <v>#VALUE!</v>
      </c>
      <c r="AK313" s="878" t="e">
        <f t="shared" si="219"/>
        <v>#VALUE!</v>
      </c>
      <c r="AL313" s="966" t="e">
        <f t="shared" si="220"/>
        <v>#VALUE!</v>
      </c>
      <c r="AM313" s="239"/>
      <c r="AO313" s="685">
        <f t="shared" si="245"/>
        <v>-4.6544075399425378</v>
      </c>
      <c r="AP313" s="276">
        <f t="shared" si="246"/>
        <v>-0.10844705611266225</v>
      </c>
      <c r="AQ313" s="276">
        <f t="shared" si="247"/>
        <v>2.5351702990291711</v>
      </c>
      <c r="AR313" s="276">
        <f t="shared" si="248"/>
        <v>-1.6335205068485406</v>
      </c>
      <c r="AS313" s="276">
        <f t="shared" si="249"/>
        <v>-2.1387923967956954</v>
      </c>
      <c r="AT313" s="276">
        <f t="shared" si="250"/>
        <v>0.72383026801579486</v>
      </c>
      <c r="AU313" s="685">
        <f t="shared" si="251"/>
        <v>1.8374914827355855</v>
      </c>
      <c r="AV313" s="276">
        <f t="shared" si="252"/>
        <v>2.4220498521224219</v>
      </c>
      <c r="AW313" s="276">
        <f t="shared" si="253"/>
        <v>1.2668047066367281</v>
      </c>
      <c r="AX313" s="276">
        <f t="shared" si="254"/>
        <v>1.3583242575042693</v>
      </c>
      <c r="AY313" s="276">
        <f t="shared" si="255"/>
        <v>1.026406894481857</v>
      </c>
      <c r="AZ313" s="686">
        <f t="shared" si="256"/>
        <v>0.88568865937816299</v>
      </c>
      <c r="BA313" s="685">
        <f t="shared" si="257"/>
        <v>0</v>
      </c>
      <c r="BB313" s="276">
        <f t="shared" si="258"/>
        <v>0</v>
      </c>
      <c r="BC313" s="276">
        <f t="shared" si="259"/>
        <v>0</v>
      </c>
      <c r="BD313" s="276">
        <f t="shared" si="260"/>
        <v>0</v>
      </c>
      <c r="BE313" s="276">
        <f t="shared" si="261"/>
        <v>0</v>
      </c>
      <c r="BF313" s="686">
        <f t="shared" si="262"/>
        <v>0</v>
      </c>
      <c r="BG313" s="685" t="e">
        <f t="shared" si="263"/>
        <v>#DIV/0!</v>
      </c>
      <c r="BH313" s="276" t="e">
        <f t="shared" si="264"/>
        <v>#DIV/0!</v>
      </c>
      <c r="BI313" s="276" t="e">
        <f t="shared" si="265"/>
        <v>#DIV/0!</v>
      </c>
      <c r="BJ313" s="276" t="e">
        <f t="shared" si="266"/>
        <v>#DIV/0!</v>
      </c>
      <c r="BK313" s="276" t="e">
        <f t="shared" si="267"/>
        <v>#DIV/0!</v>
      </c>
      <c r="BL313" s="686" t="e">
        <f t="shared" si="268"/>
        <v>#DIV/0!</v>
      </c>
      <c r="BM313" s="239"/>
      <c r="BN313" s="965" t="e">
        <f t="shared" si="269"/>
        <v>#VALUE!</v>
      </c>
      <c r="BO313" s="878" t="e">
        <f t="shared" si="270"/>
        <v>#VALUE!</v>
      </c>
      <c r="BP313" s="878" t="e">
        <f t="shared" si="271"/>
        <v>#VALUE!</v>
      </c>
      <c r="BQ313" s="878" t="e">
        <f t="shared" si="272"/>
        <v>#VALUE!</v>
      </c>
      <c r="BR313" s="878" t="e">
        <f t="shared" si="273"/>
        <v>#VALUE!</v>
      </c>
      <c r="BS313" s="966" t="e">
        <f t="shared" si="274"/>
        <v>#VALUE!</v>
      </c>
    </row>
    <row r="314" spans="1:71">
      <c r="A314" s="284">
        <f t="shared" si="275"/>
        <v>246</v>
      </c>
      <c r="B314" s="285">
        <v>-2.9322983229171484</v>
      </c>
      <c r="C314" s="285">
        <v>2.9812623596660415</v>
      </c>
      <c r="D314" s="285">
        <v>1.3660377837884183</v>
      </c>
      <c r="E314" s="285">
        <v>12.83867028559575</v>
      </c>
      <c r="H314" s="685">
        <f t="shared" si="221"/>
        <v>-4.0655321646862035</v>
      </c>
      <c r="I314" s="276">
        <f t="shared" si="222"/>
        <v>-1.537727838785341</v>
      </c>
      <c r="J314" s="276">
        <f t="shared" si="223"/>
        <v>-2.0591594125575066</v>
      </c>
      <c r="K314" s="276">
        <f t="shared" si="224"/>
        <v>-2.7139596548365703</v>
      </c>
      <c r="L314" s="276">
        <f t="shared" si="225"/>
        <v>-2.4476122229291741</v>
      </c>
      <c r="M314" s="276">
        <f t="shared" si="226"/>
        <v>-0.837272960240802</v>
      </c>
      <c r="N314" s="685">
        <f t="shared" si="227"/>
        <v>1.7740911486941731</v>
      </c>
      <c r="O314" s="276">
        <f t="shared" si="228"/>
        <v>0.98202661444995676</v>
      </c>
      <c r="P314" s="276">
        <f t="shared" si="229"/>
        <v>1.4305390853547391</v>
      </c>
      <c r="Q314" s="276">
        <f t="shared" si="230"/>
        <v>1.2580090458268207</v>
      </c>
      <c r="R314" s="276">
        <f t="shared" si="231"/>
        <v>1.6482484918586777</v>
      </c>
      <c r="S314" s="686">
        <f t="shared" si="232"/>
        <v>1.487999086019008</v>
      </c>
      <c r="T314" s="685">
        <f t="shared" si="233"/>
        <v>4.644401474059344</v>
      </c>
      <c r="U314" s="276">
        <f t="shared" si="234"/>
        <v>3.8046184967043586</v>
      </c>
      <c r="V314" s="276">
        <f t="shared" si="235"/>
        <v>4.5403333981582419</v>
      </c>
      <c r="W314" s="276">
        <f t="shared" si="236"/>
        <v>2.7872493892013779</v>
      </c>
      <c r="X314" s="276">
        <f t="shared" si="237"/>
        <v>3.0470018489377999</v>
      </c>
      <c r="Y314" s="686">
        <f t="shared" si="238"/>
        <v>5.1342940993612984</v>
      </c>
      <c r="Z314" s="685" t="e">
        <f t="shared" si="239"/>
        <v>#DIV/0!</v>
      </c>
      <c r="AA314" s="276" t="e">
        <f t="shared" si="240"/>
        <v>#DIV/0!</v>
      </c>
      <c r="AB314" s="276" t="e">
        <f t="shared" si="241"/>
        <v>#DIV/0!</v>
      </c>
      <c r="AC314" s="276" t="e">
        <f t="shared" si="242"/>
        <v>#DIV/0!</v>
      </c>
      <c r="AD314" s="276" t="e">
        <f t="shared" si="243"/>
        <v>#DIV/0!</v>
      </c>
      <c r="AE314" s="686" t="e">
        <f t="shared" si="244"/>
        <v>#DIV/0!</v>
      </c>
      <c r="AF314" s="239"/>
      <c r="AG314" s="965" t="e">
        <f t="shared" si="215"/>
        <v>#VALUE!</v>
      </c>
      <c r="AH314" s="878" t="e">
        <f t="shared" si="216"/>
        <v>#VALUE!</v>
      </c>
      <c r="AI314" s="878" t="e">
        <f t="shared" si="217"/>
        <v>#VALUE!</v>
      </c>
      <c r="AJ314" s="878" t="e">
        <f t="shared" si="218"/>
        <v>#VALUE!</v>
      </c>
      <c r="AK314" s="878" t="e">
        <f t="shared" si="219"/>
        <v>#VALUE!</v>
      </c>
      <c r="AL314" s="966" t="e">
        <f t="shared" si="220"/>
        <v>#VALUE!</v>
      </c>
      <c r="AM314" s="239"/>
      <c r="AO314" s="685">
        <f t="shared" si="245"/>
        <v>-4.0655321646862035</v>
      </c>
      <c r="AP314" s="276">
        <f t="shared" si="246"/>
        <v>-1.537727838785341</v>
      </c>
      <c r="AQ314" s="276">
        <f t="shared" si="247"/>
        <v>-2.0591594125575066</v>
      </c>
      <c r="AR314" s="276">
        <f t="shared" si="248"/>
        <v>-2.7139596548365703</v>
      </c>
      <c r="AS314" s="276">
        <f t="shared" si="249"/>
        <v>-2.4476122229291741</v>
      </c>
      <c r="AT314" s="276">
        <f t="shared" si="250"/>
        <v>-0.837272960240802</v>
      </c>
      <c r="AU314" s="685">
        <f t="shared" si="251"/>
        <v>1.7740911486941731</v>
      </c>
      <c r="AV314" s="276">
        <f t="shared" si="252"/>
        <v>0.98202661444995676</v>
      </c>
      <c r="AW314" s="276">
        <f t="shared" si="253"/>
        <v>1.4305390853547391</v>
      </c>
      <c r="AX314" s="276">
        <f t="shared" si="254"/>
        <v>1.2580090458268207</v>
      </c>
      <c r="AY314" s="276">
        <f t="shared" si="255"/>
        <v>1.6482484918586777</v>
      </c>
      <c r="AZ314" s="686">
        <f t="shared" si="256"/>
        <v>1.487999086019008</v>
      </c>
      <c r="BA314" s="685">
        <f t="shared" si="257"/>
        <v>0</v>
      </c>
      <c r="BB314" s="276">
        <f t="shared" si="258"/>
        <v>0</v>
      </c>
      <c r="BC314" s="276">
        <f t="shared" si="259"/>
        <v>0</v>
      </c>
      <c r="BD314" s="276">
        <f t="shared" si="260"/>
        <v>0</v>
      </c>
      <c r="BE314" s="276">
        <f t="shared" si="261"/>
        <v>0</v>
      </c>
      <c r="BF314" s="686">
        <f t="shared" si="262"/>
        <v>0</v>
      </c>
      <c r="BG314" s="685" t="e">
        <f t="shared" si="263"/>
        <v>#DIV/0!</v>
      </c>
      <c r="BH314" s="276" t="e">
        <f t="shared" si="264"/>
        <v>#DIV/0!</v>
      </c>
      <c r="BI314" s="276" t="e">
        <f t="shared" si="265"/>
        <v>#DIV/0!</v>
      </c>
      <c r="BJ314" s="276" t="e">
        <f t="shared" si="266"/>
        <v>#DIV/0!</v>
      </c>
      <c r="BK314" s="276" t="e">
        <f t="shared" si="267"/>
        <v>#DIV/0!</v>
      </c>
      <c r="BL314" s="686" t="e">
        <f t="shared" si="268"/>
        <v>#DIV/0!</v>
      </c>
      <c r="BM314" s="239"/>
      <c r="BN314" s="965" t="e">
        <f t="shared" si="269"/>
        <v>#VALUE!</v>
      </c>
      <c r="BO314" s="878" t="e">
        <f t="shared" si="270"/>
        <v>#VALUE!</v>
      </c>
      <c r="BP314" s="878" t="e">
        <f t="shared" si="271"/>
        <v>#VALUE!</v>
      </c>
      <c r="BQ314" s="878" t="e">
        <f t="shared" si="272"/>
        <v>#VALUE!</v>
      </c>
      <c r="BR314" s="878" t="e">
        <f t="shared" si="273"/>
        <v>#VALUE!</v>
      </c>
      <c r="BS314" s="966" t="e">
        <f t="shared" si="274"/>
        <v>#VALUE!</v>
      </c>
    </row>
    <row r="315" spans="1:71">
      <c r="A315" s="284">
        <f t="shared" si="275"/>
        <v>247</v>
      </c>
      <c r="B315" s="285">
        <v>-1.4275776830932403</v>
      </c>
      <c r="C315" s="285">
        <v>2.1057022026721515</v>
      </c>
      <c r="D315" s="285">
        <v>1.5250286119889362</v>
      </c>
      <c r="E315" s="285">
        <v>-4.593657882963992</v>
      </c>
      <c r="H315" s="685">
        <f t="shared" si="221"/>
        <v>-2.5608115248622951</v>
      </c>
      <c r="I315" s="276">
        <f t="shared" si="222"/>
        <v>0.14216942268779764</v>
      </c>
      <c r="J315" s="276">
        <f t="shared" si="223"/>
        <v>-1.8747484283720881</v>
      </c>
      <c r="K315" s="276">
        <f t="shared" si="224"/>
        <v>-0.64581331489136162</v>
      </c>
      <c r="L315" s="276">
        <f t="shared" si="225"/>
        <v>0.73106280375696042</v>
      </c>
      <c r="M315" s="276">
        <f t="shared" si="226"/>
        <v>-2.1523585110427339</v>
      </c>
      <c r="N315" s="685">
        <f t="shared" si="227"/>
        <v>0.89853099170028305</v>
      </c>
      <c r="O315" s="276">
        <f t="shared" si="228"/>
        <v>1.7768088997616782</v>
      </c>
      <c r="P315" s="276">
        <f t="shared" si="229"/>
        <v>0.72953553981454777</v>
      </c>
      <c r="Q315" s="276">
        <f t="shared" si="230"/>
        <v>2.1935334417691132</v>
      </c>
      <c r="R315" s="276">
        <f t="shared" si="231"/>
        <v>0.93980445066218521</v>
      </c>
      <c r="S315" s="686">
        <f t="shared" si="232"/>
        <v>7.0197190767066209E-2</v>
      </c>
      <c r="T315" s="685">
        <f t="shared" si="233"/>
        <v>4.8033923022598621</v>
      </c>
      <c r="U315" s="276">
        <f t="shared" si="234"/>
        <v>3.0271933372809969</v>
      </c>
      <c r="V315" s="276">
        <f t="shared" si="235"/>
        <v>5.6957615890572661</v>
      </c>
      <c r="W315" s="276">
        <f t="shared" si="236"/>
        <v>6.6258344778345393</v>
      </c>
      <c r="X315" s="276">
        <f t="shared" si="237"/>
        <v>6.2391331942220809</v>
      </c>
      <c r="Y315" s="686">
        <f t="shared" si="238"/>
        <v>4.98063354323941</v>
      </c>
      <c r="Z315" s="685" t="e">
        <f t="shared" si="239"/>
        <v>#DIV/0!</v>
      </c>
      <c r="AA315" s="276" t="e">
        <f t="shared" si="240"/>
        <v>#DIV/0!</v>
      </c>
      <c r="AB315" s="276" t="e">
        <f t="shared" si="241"/>
        <v>#DIV/0!</v>
      </c>
      <c r="AC315" s="276" t="e">
        <f t="shared" si="242"/>
        <v>#DIV/0!</v>
      </c>
      <c r="AD315" s="276" t="e">
        <f t="shared" si="243"/>
        <v>#DIV/0!</v>
      </c>
      <c r="AE315" s="686" t="e">
        <f t="shared" si="244"/>
        <v>#DIV/0!</v>
      </c>
      <c r="AF315" s="239"/>
      <c r="AG315" s="965" t="e">
        <f t="shared" si="215"/>
        <v>#VALUE!</v>
      </c>
      <c r="AH315" s="878" t="e">
        <f t="shared" si="216"/>
        <v>#VALUE!</v>
      </c>
      <c r="AI315" s="878" t="e">
        <f t="shared" si="217"/>
        <v>#VALUE!</v>
      </c>
      <c r="AJ315" s="878" t="e">
        <f t="shared" si="218"/>
        <v>#VALUE!</v>
      </c>
      <c r="AK315" s="878" t="e">
        <f t="shared" si="219"/>
        <v>#VALUE!</v>
      </c>
      <c r="AL315" s="966" t="e">
        <f t="shared" si="220"/>
        <v>#VALUE!</v>
      </c>
      <c r="AM315" s="239"/>
      <c r="AO315" s="685">
        <f t="shared" si="245"/>
        <v>-2.5608115248622951</v>
      </c>
      <c r="AP315" s="276">
        <f t="shared" si="246"/>
        <v>0.14216942268779764</v>
      </c>
      <c r="AQ315" s="276">
        <f t="shared" si="247"/>
        <v>-1.8747484283720881</v>
      </c>
      <c r="AR315" s="276">
        <f t="shared" si="248"/>
        <v>-0.64581331489136162</v>
      </c>
      <c r="AS315" s="276">
        <f t="shared" si="249"/>
        <v>0.73106280375696042</v>
      </c>
      <c r="AT315" s="276">
        <f t="shared" si="250"/>
        <v>-2.1523585110427339</v>
      </c>
      <c r="AU315" s="685">
        <f t="shared" si="251"/>
        <v>0.89853099170028305</v>
      </c>
      <c r="AV315" s="276">
        <f t="shared" si="252"/>
        <v>1.7768088997616782</v>
      </c>
      <c r="AW315" s="276">
        <f t="shared" si="253"/>
        <v>0.72953553981454777</v>
      </c>
      <c r="AX315" s="276">
        <f t="shared" si="254"/>
        <v>2.1935334417691132</v>
      </c>
      <c r="AY315" s="276">
        <f t="shared" si="255"/>
        <v>0.93980445066218521</v>
      </c>
      <c r="AZ315" s="686">
        <f t="shared" si="256"/>
        <v>7.0197190767066209E-2</v>
      </c>
      <c r="BA315" s="685">
        <f t="shared" si="257"/>
        <v>0</v>
      </c>
      <c r="BB315" s="276">
        <f t="shared" si="258"/>
        <v>0</v>
      </c>
      <c r="BC315" s="276">
        <f t="shared" si="259"/>
        <v>0</v>
      </c>
      <c r="BD315" s="276">
        <f t="shared" si="260"/>
        <v>0</v>
      </c>
      <c r="BE315" s="276">
        <f t="shared" si="261"/>
        <v>0</v>
      </c>
      <c r="BF315" s="686">
        <f t="shared" si="262"/>
        <v>0</v>
      </c>
      <c r="BG315" s="685" t="e">
        <f t="shared" si="263"/>
        <v>#DIV/0!</v>
      </c>
      <c r="BH315" s="276" t="e">
        <f t="shared" si="264"/>
        <v>#DIV/0!</v>
      </c>
      <c r="BI315" s="276" t="e">
        <f t="shared" si="265"/>
        <v>#DIV/0!</v>
      </c>
      <c r="BJ315" s="276" t="e">
        <f t="shared" si="266"/>
        <v>#DIV/0!</v>
      </c>
      <c r="BK315" s="276" t="e">
        <f t="shared" si="267"/>
        <v>#DIV/0!</v>
      </c>
      <c r="BL315" s="686" t="e">
        <f t="shared" si="268"/>
        <v>#DIV/0!</v>
      </c>
      <c r="BM315" s="239"/>
      <c r="BN315" s="965" t="e">
        <f t="shared" si="269"/>
        <v>#VALUE!</v>
      </c>
      <c r="BO315" s="878" t="e">
        <f t="shared" si="270"/>
        <v>#VALUE!</v>
      </c>
      <c r="BP315" s="878" t="e">
        <f t="shared" si="271"/>
        <v>#VALUE!</v>
      </c>
      <c r="BQ315" s="878" t="e">
        <f t="shared" si="272"/>
        <v>#VALUE!</v>
      </c>
      <c r="BR315" s="878" t="e">
        <f t="shared" si="273"/>
        <v>#VALUE!</v>
      </c>
      <c r="BS315" s="966" t="e">
        <f t="shared" si="274"/>
        <v>#VALUE!</v>
      </c>
    </row>
    <row r="316" spans="1:71">
      <c r="A316" s="284">
        <f t="shared" si="275"/>
        <v>248</v>
      </c>
      <c r="B316" s="285">
        <v>-1.9793784304016528</v>
      </c>
      <c r="C316" s="285">
        <v>1.9860487101579796</v>
      </c>
      <c r="D316" s="285">
        <v>2.0844713868754985</v>
      </c>
      <c r="E316" s="285">
        <v>-6.097170626244699</v>
      </c>
      <c r="H316" s="685">
        <f t="shared" si="221"/>
        <v>-3.1126122721707077</v>
      </c>
      <c r="I316" s="276">
        <f t="shared" si="222"/>
        <v>4.0596943008357478E-3</v>
      </c>
      <c r="J316" s="276">
        <f t="shared" si="223"/>
        <v>-1.7740835886255311</v>
      </c>
      <c r="K316" s="276">
        <f t="shared" si="224"/>
        <v>-4.1114534399434284</v>
      </c>
      <c r="L316" s="276">
        <f t="shared" si="225"/>
        <v>-0.58846770966457707</v>
      </c>
      <c r="M316" s="276">
        <f t="shared" si="226"/>
        <v>-2.6966148834688624</v>
      </c>
      <c r="N316" s="685">
        <f t="shared" si="227"/>
        <v>0.77887749918611116</v>
      </c>
      <c r="O316" s="276">
        <f t="shared" si="228"/>
        <v>1.4270699713256023</v>
      </c>
      <c r="P316" s="276">
        <f t="shared" si="229"/>
        <v>0.82123841341371695</v>
      </c>
      <c r="Q316" s="276">
        <f t="shared" si="230"/>
        <v>0.87432232224929929</v>
      </c>
      <c r="R316" s="276">
        <f t="shared" si="231"/>
        <v>1.2571165933827475</v>
      </c>
      <c r="S316" s="686">
        <f t="shared" si="232"/>
        <v>1.2167167027246701</v>
      </c>
      <c r="T316" s="685">
        <f t="shared" si="233"/>
        <v>5.3628350771464248</v>
      </c>
      <c r="U316" s="276">
        <f t="shared" si="234"/>
        <v>4.0153317866431912</v>
      </c>
      <c r="V316" s="276">
        <f t="shared" si="235"/>
        <v>6.4445484326105777</v>
      </c>
      <c r="W316" s="276">
        <f t="shared" si="236"/>
        <v>3.2663730329828731</v>
      </c>
      <c r="X316" s="276">
        <f t="shared" si="237"/>
        <v>4.4276131177146105</v>
      </c>
      <c r="Y316" s="686">
        <f t="shared" si="238"/>
        <v>5.0706057388358516</v>
      </c>
      <c r="Z316" s="685" t="e">
        <f t="shared" si="239"/>
        <v>#DIV/0!</v>
      </c>
      <c r="AA316" s="276" t="e">
        <f t="shared" si="240"/>
        <v>#DIV/0!</v>
      </c>
      <c r="AB316" s="276" t="e">
        <f t="shared" si="241"/>
        <v>#DIV/0!</v>
      </c>
      <c r="AC316" s="276" t="e">
        <f t="shared" si="242"/>
        <v>#DIV/0!</v>
      </c>
      <c r="AD316" s="276" t="e">
        <f t="shared" si="243"/>
        <v>#DIV/0!</v>
      </c>
      <c r="AE316" s="686" t="e">
        <f t="shared" si="244"/>
        <v>#DIV/0!</v>
      </c>
      <c r="AF316" s="239"/>
      <c r="AG316" s="965" t="e">
        <f t="shared" si="215"/>
        <v>#VALUE!</v>
      </c>
      <c r="AH316" s="878" t="e">
        <f t="shared" si="216"/>
        <v>#VALUE!</v>
      </c>
      <c r="AI316" s="878" t="e">
        <f t="shared" si="217"/>
        <v>#VALUE!</v>
      </c>
      <c r="AJ316" s="878" t="e">
        <f t="shared" si="218"/>
        <v>#VALUE!</v>
      </c>
      <c r="AK316" s="878" t="e">
        <f t="shared" si="219"/>
        <v>#VALUE!</v>
      </c>
      <c r="AL316" s="966" t="e">
        <f t="shared" si="220"/>
        <v>#VALUE!</v>
      </c>
      <c r="AM316" s="239"/>
      <c r="AO316" s="685">
        <f t="shared" si="245"/>
        <v>-3.1126122721707077</v>
      </c>
      <c r="AP316" s="276">
        <f t="shared" si="246"/>
        <v>4.0596943008357478E-3</v>
      </c>
      <c r="AQ316" s="276">
        <f t="shared" si="247"/>
        <v>-1.7740835886255311</v>
      </c>
      <c r="AR316" s="276">
        <f t="shared" si="248"/>
        <v>-4.1114534399434284</v>
      </c>
      <c r="AS316" s="276">
        <f t="shared" si="249"/>
        <v>-0.58846770966457707</v>
      </c>
      <c r="AT316" s="276">
        <f t="shared" si="250"/>
        <v>-2.6966148834688624</v>
      </c>
      <c r="AU316" s="685">
        <f t="shared" si="251"/>
        <v>0.77887749918611116</v>
      </c>
      <c r="AV316" s="276">
        <f t="shared" si="252"/>
        <v>1.4270699713256023</v>
      </c>
      <c r="AW316" s="276">
        <f t="shared" si="253"/>
        <v>0.82123841341371695</v>
      </c>
      <c r="AX316" s="276">
        <f t="shared" si="254"/>
        <v>0.87432232224929929</v>
      </c>
      <c r="AY316" s="276">
        <f t="shared" si="255"/>
        <v>1.2571165933827475</v>
      </c>
      <c r="AZ316" s="686">
        <f t="shared" si="256"/>
        <v>1.2167167027246701</v>
      </c>
      <c r="BA316" s="685">
        <f t="shared" si="257"/>
        <v>0</v>
      </c>
      <c r="BB316" s="276">
        <f t="shared" si="258"/>
        <v>0</v>
      </c>
      <c r="BC316" s="276">
        <f t="shared" si="259"/>
        <v>0</v>
      </c>
      <c r="BD316" s="276">
        <f t="shared" si="260"/>
        <v>0</v>
      </c>
      <c r="BE316" s="276">
        <f t="shared" si="261"/>
        <v>0</v>
      </c>
      <c r="BF316" s="686">
        <f t="shared" si="262"/>
        <v>0</v>
      </c>
      <c r="BG316" s="685" t="e">
        <f t="shared" si="263"/>
        <v>#DIV/0!</v>
      </c>
      <c r="BH316" s="276" t="e">
        <f t="shared" si="264"/>
        <v>#DIV/0!</v>
      </c>
      <c r="BI316" s="276" t="e">
        <f t="shared" si="265"/>
        <v>#DIV/0!</v>
      </c>
      <c r="BJ316" s="276" t="e">
        <f t="shared" si="266"/>
        <v>#DIV/0!</v>
      </c>
      <c r="BK316" s="276" t="e">
        <f t="shared" si="267"/>
        <v>#DIV/0!</v>
      </c>
      <c r="BL316" s="686" t="e">
        <f t="shared" si="268"/>
        <v>#DIV/0!</v>
      </c>
      <c r="BM316" s="239"/>
      <c r="BN316" s="965" t="e">
        <f t="shared" si="269"/>
        <v>#VALUE!</v>
      </c>
      <c r="BO316" s="878" t="e">
        <f t="shared" si="270"/>
        <v>#VALUE!</v>
      </c>
      <c r="BP316" s="878" t="e">
        <f t="shared" si="271"/>
        <v>#VALUE!</v>
      </c>
      <c r="BQ316" s="878" t="e">
        <f t="shared" si="272"/>
        <v>#VALUE!</v>
      </c>
      <c r="BR316" s="878" t="e">
        <f t="shared" si="273"/>
        <v>#VALUE!</v>
      </c>
      <c r="BS316" s="966" t="e">
        <f t="shared" si="274"/>
        <v>#VALUE!</v>
      </c>
    </row>
    <row r="317" spans="1:71">
      <c r="A317" s="284">
        <f t="shared" si="275"/>
        <v>249</v>
      </c>
      <c r="B317" s="285">
        <v>-0.79023875455849124</v>
      </c>
      <c r="C317" s="285">
        <v>2.0053364012816743</v>
      </c>
      <c r="D317" s="285">
        <v>1.6527146073277217</v>
      </c>
      <c r="E317" s="285">
        <v>-17.750379765999483</v>
      </c>
      <c r="H317" s="685">
        <f t="shared" si="221"/>
        <v>-1.9234725963275461</v>
      </c>
      <c r="I317" s="276">
        <f t="shared" si="222"/>
        <v>-1.3371289658825773</v>
      </c>
      <c r="J317" s="276">
        <f t="shared" si="223"/>
        <v>-4.3228439039124726</v>
      </c>
      <c r="K317" s="276">
        <f t="shared" si="224"/>
        <v>-3.6119227525658175</v>
      </c>
      <c r="L317" s="276">
        <f t="shared" si="225"/>
        <v>-0.19691017093354035</v>
      </c>
      <c r="M317" s="276">
        <f t="shared" si="226"/>
        <v>1.0399131288346732</v>
      </c>
      <c r="N317" s="685">
        <f t="shared" si="227"/>
        <v>0.79816519030980593</v>
      </c>
      <c r="O317" s="276">
        <f t="shared" si="228"/>
        <v>1.56879695751783</v>
      </c>
      <c r="P317" s="276">
        <f t="shared" si="229"/>
        <v>1.1611774919746145</v>
      </c>
      <c r="Q317" s="276">
        <f t="shared" si="230"/>
        <v>1.3166868768283868</v>
      </c>
      <c r="R317" s="276">
        <f t="shared" si="231"/>
        <v>1.0643245645080193</v>
      </c>
      <c r="S317" s="686">
        <f t="shared" si="232"/>
        <v>1.0583260703873891</v>
      </c>
      <c r="T317" s="685">
        <f t="shared" si="233"/>
        <v>4.9310782975986474</v>
      </c>
      <c r="U317" s="276">
        <f t="shared" si="234"/>
        <v>6.0488780670380979</v>
      </c>
      <c r="V317" s="276">
        <f t="shared" si="235"/>
        <v>2.6464559900678948</v>
      </c>
      <c r="W317" s="276">
        <f t="shared" si="236"/>
        <v>5.4062996077730965</v>
      </c>
      <c r="X317" s="276">
        <f t="shared" si="237"/>
        <v>6.7335936470576758</v>
      </c>
      <c r="Y317" s="686">
        <f t="shared" si="238"/>
        <v>6.9843736879075493</v>
      </c>
      <c r="Z317" s="685" t="e">
        <f t="shared" si="239"/>
        <v>#DIV/0!</v>
      </c>
      <c r="AA317" s="276" t="e">
        <f t="shared" si="240"/>
        <v>#DIV/0!</v>
      </c>
      <c r="AB317" s="276" t="e">
        <f t="shared" si="241"/>
        <v>#DIV/0!</v>
      </c>
      <c r="AC317" s="276" t="e">
        <f t="shared" si="242"/>
        <v>#DIV/0!</v>
      </c>
      <c r="AD317" s="276" t="e">
        <f t="shared" si="243"/>
        <v>#DIV/0!</v>
      </c>
      <c r="AE317" s="686" t="e">
        <f t="shared" si="244"/>
        <v>#DIV/0!</v>
      </c>
      <c r="AF317" s="239"/>
      <c r="AG317" s="965" t="e">
        <f t="shared" si="215"/>
        <v>#VALUE!</v>
      </c>
      <c r="AH317" s="878" t="e">
        <f t="shared" si="216"/>
        <v>#VALUE!</v>
      </c>
      <c r="AI317" s="878" t="e">
        <f t="shared" si="217"/>
        <v>#VALUE!</v>
      </c>
      <c r="AJ317" s="878" t="e">
        <f t="shared" si="218"/>
        <v>#VALUE!</v>
      </c>
      <c r="AK317" s="878" t="e">
        <f t="shared" si="219"/>
        <v>#VALUE!</v>
      </c>
      <c r="AL317" s="966" t="e">
        <f t="shared" si="220"/>
        <v>#VALUE!</v>
      </c>
      <c r="AM317" s="239"/>
      <c r="AO317" s="685">
        <f t="shared" si="245"/>
        <v>-1.9234725963275461</v>
      </c>
      <c r="AP317" s="276">
        <f t="shared" si="246"/>
        <v>-1.3371289658825773</v>
      </c>
      <c r="AQ317" s="276">
        <f t="shared" si="247"/>
        <v>-4.3228439039124726</v>
      </c>
      <c r="AR317" s="276">
        <f t="shared" si="248"/>
        <v>-3.6119227525658175</v>
      </c>
      <c r="AS317" s="276">
        <f t="shared" si="249"/>
        <v>-0.19691017093354035</v>
      </c>
      <c r="AT317" s="276">
        <f t="shared" si="250"/>
        <v>1.0399131288346732</v>
      </c>
      <c r="AU317" s="685">
        <f t="shared" si="251"/>
        <v>0.79816519030980593</v>
      </c>
      <c r="AV317" s="276">
        <f t="shared" si="252"/>
        <v>1.56879695751783</v>
      </c>
      <c r="AW317" s="276">
        <f t="shared" si="253"/>
        <v>1.1611774919746145</v>
      </c>
      <c r="AX317" s="276">
        <f t="shared" si="254"/>
        <v>1.3166868768283868</v>
      </c>
      <c r="AY317" s="276">
        <f t="shared" si="255"/>
        <v>1.0643245645080193</v>
      </c>
      <c r="AZ317" s="686">
        <f t="shared" si="256"/>
        <v>1.0583260703873891</v>
      </c>
      <c r="BA317" s="685">
        <f t="shared" si="257"/>
        <v>0</v>
      </c>
      <c r="BB317" s="276">
        <f t="shared" si="258"/>
        <v>0</v>
      </c>
      <c r="BC317" s="276">
        <f t="shared" si="259"/>
        <v>0</v>
      </c>
      <c r="BD317" s="276">
        <f t="shared" si="260"/>
        <v>0</v>
      </c>
      <c r="BE317" s="276">
        <f t="shared" si="261"/>
        <v>0</v>
      </c>
      <c r="BF317" s="686">
        <f t="shared" si="262"/>
        <v>0</v>
      </c>
      <c r="BG317" s="685" t="e">
        <f t="shared" si="263"/>
        <v>#DIV/0!</v>
      </c>
      <c r="BH317" s="276" t="e">
        <f t="shared" si="264"/>
        <v>#DIV/0!</v>
      </c>
      <c r="BI317" s="276" t="e">
        <f t="shared" si="265"/>
        <v>#DIV/0!</v>
      </c>
      <c r="BJ317" s="276" t="e">
        <f t="shared" si="266"/>
        <v>#DIV/0!</v>
      </c>
      <c r="BK317" s="276" t="e">
        <f t="shared" si="267"/>
        <v>#DIV/0!</v>
      </c>
      <c r="BL317" s="686" t="e">
        <f t="shared" si="268"/>
        <v>#DIV/0!</v>
      </c>
      <c r="BM317" s="239"/>
      <c r="BN317" s="965" t="e">
        <f t="shared" si="269"/>
        <v>#VALUE!</v>
      </c>
      <c r="BO317" s="878" t="e">
        <f t="shared" si="270"/>
        <v>#VALUE!</v>
      </c>
      <c r="BP317" s="878" t="e">
        <f t="shared" si="271"/>
        <v>#VALUE!</v>
      </c>
      <c r="BQ317" s="878" t="e">
        <f t="shared" si="272"/>
        <v>#VALUE!</v>
      </c>
      <c r="BR317" s="878" t="e">
        <f t="shared" si="273"/>
        <v>#VALUE!</v>
      </c>
      <c r="BS317" s="966" t="e">
        <f t="shared" si="274"/>
        <v>#VALUE!</v>
      </c>
    </row>
    <row r="318" spans="1:71">
      <c r="A318" s="284">
        <f t="shared" si="275"/>
        <v>250</v>
      </c>
      <c r="B318" s="285">
        <v>-0.99705404942923381</v>
      </c>
      <c r="C318" s="285">
        <v>2.7614931351225147</v>
      </c>
      <c r="D318" s="285">
        <v>3.0840119239229704</v>
      </c>
      <c r="E318" s="285">
        <v>-2.5208966956150678</v>
      </c>
      <c r="H318" s="685">
        <f t="shared" si="221"/>
        <v>-2.1302878911982885</v>
      </c>
      <c r="I318" s="276">
        <f t="shared" si="222"/>
        <v>-0.67901178173141608</v>
      </c>
      <c r="J318" s="276">
        <f t="shared" si="223"/>
        <v>2.9017962759689091</v>
      </c>
      <c r="K318" s="276">
        <f t="shared" si="224"/>
        <v>1.6342804120710033</v>
      </c>
      <c r="L318" s="276">
        <f t="shared" si="225"/>
        <v>6.3596146975755108E-3</v>
      </c>
      <c r="M318" s="276">
        <f t="shared" si="226"/>
        <v>-0.56733135496649223</v>
      </c>
      <c r="N318" s="685">
        <f t="shared" si="227"/>
        <v>1.5543219241506463</v>
      </c>
      <c r="O318" s="276">
        <f t="shared" si="228"/>
        <v>1.1855861434814348</v>
      </c>
      <c r="P318" s="276">
        <f t="shared" si="229"/>
        <v>1.3940338629119406</v>
      </c>
      <c r="Q318" s="276">
        <f t="shared" si="230"/>
        <v>1.9204398858631733</v>
      </c>
      <c r="R318" s="276">
        <f t="shared" si="231"/>
        <v>1.466949983088053</v>
      </c>
      <c r="S318" s="686">
        <f t="shared" si="232"/>
        <v>1.215265150049176</v>
      </c>
      <c r="T318" s="685">
        <f t="shared" si="233"/>
        <v>6.3623756141938959</v>
      </c>
      <c r="U318" s="276">
        <f t="shared" si="234"/>
        <v>5.4951556344203372</v>
      </c>
      <c r="V318" s="276">
        <f t="shared" si="235"/>
        <v>5.6341374199317613</v>
      </c>
      <c r="W318" s="276">
        <f t="shared" si="236"/>
        <v>4.7158790497198657</v>
      </c>
      <c r="X318" s="276">
        <f t="shared" si="237"/>
        <v>4.4183865292463178</v>
      </c>
      <c r="Y318" s="686">
        <f t="shared" si="238"/>
        <v>3.5081580702371635</v>
      </c>
      <c r="Z318" s="685" t="e">
        <f t="shared" si="239"/>
        <v>#DIV/0!</v>
      </c>
      <c r="AA318" s="276" t="e">
        <f t="shared" si="240"/>
        <v>#DIV/0!</v>
      </c>
      <c r="AB318" s="276" t="e">
        <f t="shared" si="241"/>
        <v>#DIV/0!</v>
      </c>
      <c r="AC318" s="276" t="e">
        <f t="shared" si="242"/>
        <v>#DIV/0!</v>
      </c>
      <c r="AD318" s="276" t="e">
        <f t="shared" si="243"/>
        <v>#DIV/0!</v>
      </c>
      <c r="AE318" s="686" t="e">
        <f t="shared" si="244"/>
        <v>#DIV/0!</v>
      </c>
      <c r="AF318" s="239"/>
      <c r="AG318" s="965" t="e">
        <f t="shared" si="215"/>
        <v>#VALUE!</v>
      </c>
      <c r="AH318" s="878" t="e">
        <f t="shared" si="216"/>
        <v>#VALUE!</v>
      </c>
      <c r="AI318" s="878" t="e">
        <f t="shared" si="217"/>
        <v>#VALUE!</v>
      </c>
      <c r="AJ318" s="878" t="e">
        <f t="shared" si="218"/>
        <v>#VALUE!</v>
      </c>
      <c r="AK318" s="878" t="e">
        <f t="shared" si="219"/>
        <v>#VALUE!</v>
      </c>
      <c r="AL318" s="966" t="e">
        <f t="shared" si="220"/>
        <v>#VALUE!</v>
      </c>
      <c r="AM318" s="239"/>
      <c r="AO318" s="685">
        <f t="shared" si="245"/>
        <v>-2.1302878911982885</v>
      </c>
      <c r="AP318" s="276">
        <f t="shared" si="246"/>
        <v>-0.67901178173141608</v>
      </c>
      <c r="AQ318" s="276">
        <f t="shared" si="247"/>
        <v>2.9017962759689091</v>
      </c>
      <c r="AR318" s="276">
        <f t="shared" si="248"/>
        <v>1.6342804120710033</v>
      </c>
      <c r="AS318" s="276">
        <f t="shared" si="249"/>
        <v>6.3596146975755108E-3</v>
      </c>
      <c r="AT318" s="276">
        <f t="shared" si="250"/>
        <v>-0.56733135496649223</v>
      </c>
      <c r="AU318" s="685">
        <f t="shared" si="251"/>
        <v>1.5543219241506463</v>
      </c>
      <c r="AV318" s="276">
        <f t="shared" si="252"/>
        <v>1.1855861434814348</v>
      </c>
      <c r="AW318" s="276">
        <f t="shared" si="253"/>
        <v>1.3940338629119406</v>
      </c>
      <c r="AX318" s="276">
        <f t="shared" si="254"/>
        <v>1.9204398858631733</v>
      </c>
      <c r="AY318" s="276">
        <f t="shared" si="255"/>
        <v>1.466949983088053</v>
      </c>
      <c r="AZ318" s="686">
        <f t="shared" si="256"/>
        <v>1.215265150049176</v>
      </c>
      <c r="BA318" s="685">
        <f t="shared" si="257"/>
        <v>0</v>
      </c>
      <c r="BB318" s="276">
        <f t="shared" si="258"/>
        <v>0</v>
      </c>
      <c r="BC318" s="276">
        <f t="shared" si="259"/>
        <v>0</v>
      </c>
      <c r="BD318" s="276">
        <f t="shared" si="260"/>
        <v>0</v>
      </c>
      <c r="BE318" s="276">
        <f t="shared" si="261"/>
        <v>0</v>
      </c>
      <c r="BF318" s="686">
        <f t="shared" si="262"/>
        <v>0</v>
      </c>
      <c r="BG318" s="685" t="e">
        <f t="shared" si="263"/>
        <v>#DIV/0!</v>
      </c>
      <c r="BH318" s="276" t="e">
        <f t="shared" si="264"/>
        <v>#DIV/0!</v>
      </c>
      <c r="BI318" s="276" t="e">
        <f t="shared" si="265"/>
        <v>#DIV/0!</v>
      </c>
      <c r="BJ318" s="276" t="e">
        <f t="shared" si="266"/>
        <v>#DIV/0!</v>
      </c>
      <c r="BK318" s="276" t="e">
        <f t="shared" si="267"/>
        <v>#DIV/0!</v>
      </c>
      <c r="BL318" s="686" t="e">
        <f t="shared" si="268"/>
        <v>#DIV/0!</v>
      </c>
      <c r="BM318" s="239"/>
      <c r="BN318" s="965" t="e">
        <f t="shared" si="269"/>
        <v>#VALUE!</v>
      </c>
      <c r="BO318" s="878" t="e">
        <f t="shared" si="270"/>
        <v>#VALUE!</v>
      </c>
      <c r="BP318" s="878" t="e">
        <f t="shared" si="271"/>
        <v>#VALUE!</v>
      </c>
      <c r="BQ318" s="878" t="e">
        <f t="shared" si="272"/>
        <v>#VALUE!</v>
      </c>
      <c r="BR318" s="878" t="e">
        <f t="shared" si="273"/>
        <v>#VALUE!</v>
      </c>
      <c r="BS318" s="966" t="e">
        <f t="shared" si="274"/>
        <v>#VALUE!</v>
      </c>
    </row>
    <row r="319" spans="1:71">
      <c r="A319" s="284">
        <f t="shared" si="275"/>
        <v>251</v>
      </c>
      <c r="B319" s="285">
        <v>0.84592444978633075</v>
      </c>
      <c r="C319" s="285">
        <v>1.9427586746327534</v>
      </c>
      <c r="D319" s="285">
        <v>2.8682707006210859</v>
      </c>
      <c r="E319" s="285">
        <v>-21.351033722804935</v>
      </c>
      <c r="H319" s="685">
        <f t="shared" si="221"/>
        <v>-0.28730939198272409</v>
      </c>
      <c r="I319" s="276">
        <f t="shared" si="222"/>
        <v>0.56653966682452883</v>
      </c>
      <c r="J319" s="276">
        <f t="shared" si="223"/>
        <v>-2.9029139479559158</v>
      </c>
      <c r="K319" s="276">
        <f t="shared" si="224"/>
        <v>1.5925968313784595</v>
      </c>
      <c r="L319" s="276">
        <f t="shared" si="225"/>
        <v>-3.1109090228179932</v>
      </c>
      <c r="M319" s="276">
        <f t="shared" si="226"/>
        <v>3.1855346059926033</v>
      </c>
      <c r="N319" s="685">
        <f t="shared" si="227"/>
        <v>0.73558746366088501</v>
      </c>
      <c r="O319" s="276">
        <f t="shared" si="228"/>
        <v>1.8996160665091721</v>
      </c>
      <c r="P319" s="276">
        <f t="shared" si="229"/>
        <v>1.577739868256234</v>
      </c>
      <c r="Q319" s="276">
        <f t="shared" si="230"/>
        <v>1.463186565708446</v>
      </c>
      <c r="R319" s="276">
        <f t="shared" si="231"/>
        <v>1.4288032438744975</v>
      </c>
      <c r="S319" s="686">
        <f t="shared" si="232"/>
        <v>2.0216469193420163</v>
      </c>
      <c r="T319" s="685">
        <f t="shared" si="233"/>
        <v>6.1466343908920118</v>
      </c>
      <c r="U319" s="276">
        <f t="shared" si="234"/>
        <v>3.5499462143918743</v>
      </c>
      <c r="V319" s="276">
        <f t="shared" si="235"/>
        <v>3.5138739674680837</v>
      </c>
      <c r="W319" s="276">
        <f t="shared" si="236"/>
        <v>3.6033260776735889</v>
      </c>
      <c r="X319" s="276">
        <f t="shared" si="237"/>
        <v>4.2423751831747438</v>
      </c>
      <c r="Y319" s="686">
        <f t="shared" si="238"/>
        <v>5.3433862547297508</v>
      </c>
      <c r="Z319" s="685" t="e">
        <f t="shared" si="239"/>
        <v>#DIV/0!</v>
      </c>
      <c r="AA319" s="276" t="e">
        <f t="shared" si="240"/>
        <v>#DIV/0!</v>
      </c>
      <c r="AB319" s="276" t="e">
        <f t="shared" si="241"/>
        <v>#DIV/0!</v>
      </c>
      <c r="AC319" s="276" t="e">
        <f t="shared" si="242"/>
        <v>#DIV/0!</v>
      </c>
      <c r="AD319" s="276" t="e">
        <f t="shared" si="243"/>
        <v>#DIV/0!</v>
      </c>
      <c r="AE319" s="686" t="e">
        <f t="shared" si="244"/>
        <v>#DIV/0!</v>
      </c>
      <c r="AF319" s="239"/>
      <c r="AG319" s="965" t="e">
        <f t="shared" si="215"/>
        <v>#VALUE!</v>
      </c>
      <c r="AH319" s="878" t="e">
        <f t="shared" si="216"/>
        <v>#VALUE!</v>
      </c>
      <c r="AI319" s="878" t="e">
        <f t="shared" si="217"/>
        <v>#VALUE!</v>
      </c>
      <c r="AJ319" s="878" t="e">
        <f t="shared" si="218"/>
        <v>#VALUE!</v>
      </c>
      <c r="AK319" s="878" t="e">
        <f t="shared" si="219"/>
        <v>#VALUE!</v>
      </c>
      <c r="AL319" s="966" t="e">
        <f t="shared" si="220"/>
        <v>#VALUE!</v>
      </c>
      <c r="AM319" s="239"/>
      <c r="AO319" s="685">
        <f t="shared" si="245"/>
        <v>-0.28730939198272409</v>
      </c>
      <c r="AP319" s="276">
        <f t="shared" si="246"/>
        <v>0.56653966682452883</v>
      </c>
      <c r="AQ319" s="276">
        <f t="shared" si="247"/>
        <v>-2.9029139479559158</v>
      </c>
      <c r="AR319" s="276">
        <f t="shared" si="248"/>
        <v>1.5925968313784595</v>
      </c>
      <c r="AS319" s="276">
        <f t="shared" si="249"/>
        <v>-3.1109090228179932</v>
      </c>
      <c r="AT319" s="276">
        <f t="shared" si="250"/>
        <v>3.1855346059926033</v>
      </c>
      <c r="AU319" s="685">
        <f t="shared" si="251"/>
        <v>0.73558746366088501</v>
      </c>
      <c r="AV319" s="276">
        <f t="shared" si="252"/>
        <v>1.8996160665091721</v>
      </c>
      <c r="AW319" s="276">
        <f t="shared" si="253"/>
        <v>1.577739868256234</v>
      </c>
      <c r="AX319" s="276">
        <f t="shared" si="254"/>
        <v>1.463186565708446</v>
      </c>
      <c r="AY319" s="276">
        <f t="shared" si="255"/>
        <v>1.4288032438744975</v>
      </c>
      <c r="AZ319" s="686">
        <f t="shared" si="256"/>
        <v>2.0216469193420163</v>
      </c>
      <c r="BA319" s="685">
        <f t="shared" si="257"/>
        <v>0</v>
      </c>
      <c r="BB319" s="276">
        <f t="shared" si="258"/>
        <v>0</v>
      </c>
      <c r="BC319" s="276">
        <f t="shared" si="259"/>
        <v>0</v>
      </c>
      <c r="BD319" s="276">
        <f t="shared" si="260"/>
        <v>0</v>
      </c>
      <c r="BE319" s="276">
        <f t="shared" si="261"/>
        <v>0</v>
      </c>
      <c r="BF319" s="686">
        <f t="shared" si="262"/>
        <v>0</v>
      </c>
      <c r="BG319" s="685" t="e">
        <f t="shared" si="263"/>
        <v>#DIV/0!</v>
      </c>
      <c r="BH319" s="276" t="e">
        <f t="shared" si="264"/>
        <v>#DIV/0!</v>
      </c>
      <c r="BI319" s="276" t="e">
        <f t="shared" si="265"/>
        <v>#DIV/0!</v>
      </c>
      <c r="BJ319" s="276" t="e">
        <f t="shared" si="266"/>
        <v>#DIV/0!</v>
      </c>
      <c r="BK319" s="276" t="e">
        <f t="shared" si="267"/>
        <v>#DIV/0!</v>
      </c>
      <c r="BL319" s="686" t="e">
        <f t="shared" si="268"/>
        <v>#DIV/0!</v>
      </c>
      <c r="BM319" s="239"/>
      <c r="BN319" s="965" t="e">
        <f t="shared" si="269"/>
        <v>#VALUE!</v>
      </c>
      <c r="BO319" s="878" t="e">
        <f t="shared" si="270"/>
        <v>#VALUE!</v>
      </c>
      <c r="BP319" s="878" t="e">
        <f t="shared" si="271"/>
        <v>#VALUE!</v>
      </c>
      <c r="BQ319" s="878" t="e">
        <f t="shared" si="272"/>
        <v>#VALUE!</v>
      </c>
      <c r="BR319" s="878" t="e">
        <f t="shared" si="273"/>
        <v>#VALUE!</v>
      </c>
      <c r="BS319" s="966" t="e">
        <f t="shared" si="274"/>
        <v>#VALUE!</v>
      </c>
    </row>
    <row r="320" spans="1:71">
      <c r="A320" s="284">
        <f t="shared" si="275"/>
        <v>252</v>
      </c>
      <c r="B320" s="285">
        <v>5.821694728818863</v>
      </c>
      <c r="C320" s="285">
        <v>2.9525704797163388</v>
      </c>
      <c r="D320" s="285">
        <v>3.2546675602480244</v>
      </c>
      <c r="E320" s="285">
        <v>-4.9230996646531553</v>
      </c>
      <c r="H320" s="685">
        <f t="shared" si="221"/>
        <v>4.6884608870498079</v>
      </c>
      <c r="I320" s="276">
        <f t="shared" si="222"/>
        <v>-2.6461052216248055</v>
      </c>
      <c r="J320" s="276">
        <f t="shared" si="223"/>
        <v>0.65801127595425069</v>
      </c>
      <c r="K320" s="276">
        <f t="shared" si="224"/>
        <v>-6.1020746520560811</v>
      </c>
      <c r="L320" s="276">
        <f t="shared" si="225"/>
        <v>-2.7918112359188676</v>
      </c>
      <c r="M320" s="276">
        <f t="shared" si="226"/>
        <v>3.2430473355269775</v>
      </c>
      <c r="N320" s="685">
        <f t="shared" si="227"/>
        <v>1.7453992687444704</v>
      </c>
      <c r="O320" s="276">
        <f t="shared" si="228"/>
        <v>1.4129115685531246</v>
      </c>
      <c r="P320" s="276">
        <f t="shared" si="229"/>
        <v>1.2911408971909324</v>
      </c>
      <c r="Q320" s="276">
        <f t="shared" si="230"/>
        <v>1.2458842136694377</v>
      </c>
      <c r="R320" s="276">
        <f t="shared" si="231"/>
        <v>1.2258864501331657</v>
      </c>
      <c r="S320" s="686">
        <f t="shared" si="232"/>
        <v>1.5015535525719022</v>
      </c>
      <c r="T320" s="685">
        <f t="shared" si="233"/>
        <v>6.5330312505189507</v>
      </c>
      <c r="U320" s="276">
        <f t="shared" si="234"/>
        <v>8.4203236785843547</v>
      </c>
      <c r="V320" s="276">
        <f t="shared" si="235"/>
        <v>4.8500811924010021</v>
      </c>
      <c r="W320" s="276">
        <f t="shared" si="236"/>
        <v>1.2352939082318959</v>
      </c>
      <c r="X320" s="276">
        <f t="shared" si="237"/>
        <v>3.5196349500161395</v>
      </c>
      <c r="Y320" s="686">
        <f t="shared" si="238"/>
        <v>5.0160352680621996</v>
      </c>
      <c r="Z320" s="685" t="e">
        <f t="shared" si="239"/>
        <v>#DIV/0!</v>
      </c>
      <c r="AA320" s="276" t="e">
        <f t="shared" si="240"/>
        <v>#DIV/0!</v>
      </c>
      <c r="AB320" s="276" t="e">
        <f t="shared" si="241"/>
        <v>#DIV/0!</v>
      </c>
      <c r="AC320" s="276" t="e">
        <f t="shared" si="242"/>
        <v>#DIV/0!</v>
      </c>
      <c r="AD320" s="276" t="e">
        <f t="shared" si="243"/>
        <v>#DIV/0!</v>
      </c>
      <c r="AE320" s="686" t="e">
        <f t="shared" si="244"/>
        <v>#DIV/0!</v>
      </c>
      <c r="AF320" s="239"/>
      <c r="AG320" s="965" t="e">
        <f t="shared" si="215"/>
        <v>#VALUE!</v>
      </c>
      <c r="AH320" s="878" t="e">
        <f t="shared" si="216"/>
        <v>#VALUE!</v>
      </c>
      <c r="AI320" s="878" t="e">
        <f t="shared" si="217"/>
        <v>#VALUE!</v>
      </c>
      <c r="AJ320" s="878" t="e">
        <f t="shared" si="218"/>
        <v>#VALUE!</v>
      </c>
      <c r="AK320" s="878" t="e">
        <f t="shared" si="219"/>
        <v>#VALUE!</v>
      </c>
      <c r="AL320" s="966" t="e">
        <f t="shared" si="220"/>
        <v>#VALUE!</v>
      </c>
      <c r="AM320" s="239"/>
      <c r="AO320" s="685">
        <f t="shared" si="245"/>
        <v>4.6884608870498079</v>
      </c>
      <c r="AP320" s="276">
        <f t="shared" si="246"/>
        <v>-2.6461052216248055</v>
      </c>
      <c r="AQ320" s="276">
        <f t="shared" si="247"/>
        <v>0.65801127595425069</v>
      </c>
      <c r="AR320" s="276">
        <f t="shared" si="248"/>
        <v>-6.1020746520560811</v>
      </c>
      <c r="AS320" s="276">
        <f t="shared" si="249"/>
        <v>-2.7918112359188676</v>
      </c>
      <c r="AT320" s="276">
        <f t="shared" si="250"/>
        <v>3.2430473355269775</v>
      </c>
      <c r="AU320" s="685">
        <f t="shared" si="251"/>
        <v>1.7453992687444704</v>
      </c>
      <c r="AV320" s="276">
        <f t="shared" si="252"/>
        <v>1.4129115685531246</v>
      </c>
      <c r="AW320" s="276">
        <f t="shared" si="253"/>
        <v>1.2911408971909324</v>
      </c>
      <c r="AX320" s="276">
        <f t="shared" si="254"/>
        <v>1.2458842136694377</v>
      </c>
      <c r="AY320" s="276">
        <f t="shared" si="255"/>
        <v>1.2258864501331657</v>
      </c>
      <c r="AZ320" s="686">
        <f t="shared" si="256"/>
        <v>1.5015535525719022</v>
      </c>
      <c r="BA320" s="685">
        <f t="shared" si="257"/>
        <v>0</v>
      </c>
      <c r="BB320" s="276">
        <f t="shared" si="258"/>
        <v>0</v>
      </c>
      <c r="BC320" s="276">
        <f t="shared" si="259"/>
        <v>0</v>
      </c>
      <c r="BD320" s="276">
        <f t="shared" si="260"/>
        <v>0</v>
      </c>
      <c r="BE320" s="276">
        <f t="shared" si="261"/>
        <v>0</v>
      </c>
      <c r="BF320" s="686">
        <f t="shared" si="262"/>
        <v>0</v>
      </c>
      <c r="BG320" s="685" t="e">
        <f t="shared" si="263"/>
        <v>#DIV/0!</v>
      </c>
      <c r="BH320" s="276" t="e">
        <f t="shared" si="264"/>
        <v>#DIV/0!</v>
      </c>
      <c r="BI320" s="276" t="e">
        <f t="shared" si="265"/>
        <v>#DIV/0!</v>
      </c>
      <c r="BJ320" s="276" t="e">
        <f t="shared" si="266"/>
        <v>#DIV/0!</v>
      </c>
      <c r="BK320" s="276" t="e">
        <f t="shared" si="267"/>
        <v>#DIV/0!</v>
      </c>
      <c r="BL320" s="686" t="e">
        <f t="shared" si="268"/>
        <v>#DIV/0!</v>
      </c>
      <c r="BM320" s="239"/>
      <c r="BN320" s="965" t="e">
        <f t="shared" si="269"/>
        <v>#VALUE!</v>
      </c>
      <c r="BO320" s="878" t="e">
        <f t="shared" si="270"/>
        <v>#VALUE!</v>
      </c>
      <c r="BP320" s="878" t="e">
        <f t="shared" si="271"/>
        <v>#VALUE!</v>
      </c>
      <c r="BQ320" s="878" t="e">
        <f t="shared" si="272"/>
        <v>#VALUE!</v>
      </c>
      <c r="BR320" s="878" t="e">
        <f t="shared" si="273"/>
        <v>#VALUE!</v>
      </c>
      <c r="BS320" s="966" t="e">
        <f t="shared" si="274"/>
        <v>#VALUE!</v>
      </c>
    </row>
    <row r="321" spans="1:71">
      <c r="A321" s="284">
        <f t="shared" si="275"/>
        <v>253</v>
      </c>
      <c r="B321" s="285">
        <v>0.88179262032721406</v>
      </c>
      <c r="C321" s="285">
        <v>2.76531522562022</v>
      </c>
      <c r="D321" s="285">
        <v>0.39057143704284158</v>
      </c>
      <c r="E321" s="285">
        <v>1.4208558371071889</v>
      </c>
      <c r="H321" s="685">
        <f t="shared" si="221"/>
        <v>-0.25144122144184078</v>
      </c>
      <c r="I321" s="276">
        <f t="shared" si="222"/>
        <v>1.9812754279514262</v>
      </c>
      <c r="J321" s="276">
        <f t="shared" si="223"/>
        <v>1.0251929687319328</v>
      </c>
      <c r="K321" s="276">
        <f t="shared" si="224"/>
        <v>-4.4047688513455778</v>
      </c>
      <c r="L321" s="276">
        <f t="shared" si="225"/>
        <v>-1.5940354852620751</v>
      </c>
      <c r="M321" s="276">
        <f t="shared" si="226"/>
        <v>-4.9636726869619778</v>
      </c>
      <c r="N321" s="685">
        <f t="shared" si="227"/>
        <v>1.5581440146483516</v>
      </c>
      <c r="O321" s="276">
        <f t="shared" si="228"/>
        <v>1.4997627713401254</v>
      </c>
      <c r="P321" s="276">
        <f t="shared" si="229"/>
        <v>1.428642632468289</v>
      </c>
      <c r="Q321" s="276">
        <f t="shared" si="230"/>
        <v>0.88331045304768341</v>
      </c>
      <c r="R321" s="276">
        <f t="shared" si="231"/>
        <v>2.0782639410789372</v>
      </c>
      <c r="S321" s="686">
        <f t="shared" si="232"/>
        <v>1.079732777461319</v>
      </c>
      <c r="T321" s="685">
        <f t="shared" si="233"/>
        <v>3.6689351273137674</v>
      </c>
      <c r="U321" s="276">
        <f t="shared" si="234"/>
        <v>4.837608025345749</v>
      </c>
      <c r="V321" s="276">
        <f t="shared" si="235"/>
        <v>5.6721445764224594</v>
      </c>
      <c r="W321" s="276">
        <f t="shared" si="236"/>
        <v>6.0239473348302521</v>
      </c>
      <c r="X321" s="276">
        <f t="shared" si="237"/>
        <v>3.7451722953905331</v>
      </c>
      <c r="Y321" s="686">
        <f t="shared" si="238"/>
        <v>2.6482705163997053</v>
      </c>
      <c r="Z321" s="685" t="e">
        <f t="shared" si="239"/>
        <v>#DIV/0!</v>
      </c>
      <c r="AA321" s="276" t="e">
        <f t="shared" si="240"/>
        <v>#DIV/0!</v>
      </c>
      <c r="AB321" s="276" t="e">
        <f t="shared" si="241"/>
        <v>#DIV/0!</v>
      </c>
      <c r="AC321" s="276" t="e">
        <f t="shared" si="242"/>
        <v>#DIV/0!</v>
      </c>
      <c r="AD321" s="276" t="e">
        <f t="shared" si="243"/>
        <v>#DIV/0!</v>
      </c>
      <c r="AE321" s="686" t="e">
        <f t="shared" si="244"/>
        <v>#DIV/0!</v>
      </c>
      <c r="AF321" s="239"/>
      <c r="AG321" s="965" t="e">
        <f t="shared" si="215"/>
        <v>#VALUE!</v>
      </c>
      <c r="AH321" s="878" t="e">
        <f t="shared" si="216"/>
        <v>#VALUE!</v>
      </c>
      <c r="AI321" s="878" t="e">
        <f t="shared" si="217"/>
        <v>#VALUE!</v>
      </c>
      <c r="AJ321" s="878" t="e">
        <f t="shared" si="218"/>
        <v>#VALUE!</v>
      </c>
      <c r="AK321" s="878" t="e">
        <f t="shared" si="219"/>
        <v>#VALUE!</v>
      </c>
      <c r="AL321" s="966" t="e">
        <f t="shared" si="220"/>
        <v>#VALUE!</v>
      </c>
      <c r="AM321" s="239"/>
      <c r="AO321" s="685">
        <f t="shared" si="245"/>
        <v>-0.25144122144184078</v>
      </c>
      <c r="AP321" s="276">
        <f t="shared" si="246"/>
        <v>1.9812754279514262</v>
      </c>
      <c r="AQ321" s="276">
        <f t="shared" si="247"/>
        <v>1.0251929687319328</v>
      </c>
      <c r="AR321" s="276">
        <f t="shared" si="248"/>
        <v>-4.4047688513455778</v>
      </c>
      <c r="AS321" s="276">
        <f t="shared" si="249"/>
        <v>-1.5940354852620751</v>
      </c>
      <c r="AT321" s="276">
        <f t="shared" si="250"/>
        <v>-4.9636726869619778</v>
      </c>
      <c r="AU321" s="685">
        <f t="shared" si="251"/>
        <v>1.5581440146483516</v>
      </c>
      <c r="AV321" s="276">
        <f t="shared" si="252"/>
        <v>1.4997627713401254</v>
      </c>
      <c r="AW321" s="276">
        <f t="shared" si="253"/>
        <v>1.428642632468289</v>
      </c>
      <c r="AX321" s="276">
        <f t="shared" si="254"/>
        <v>0.88331045304768341</v>
      </c>
      <c r="AY321" s="276">
        <f t="shared" si="255"/>
        <v>2.0782639410789372</v>
      </c>
      <c r="AZ321" s="686">
        <f t="shared" si="256"/>
        <v>1.079732777461319</v>
      </c>
      <c r="BA321" s="685">
        <f t="shared" si="257"/>
        <v>0</v>
      </c>
      <c r="BB321" s="276">
        <f t="shared" si="258"/>
        <v>0</v>
      </c>
      <c r="BC321" s="276">
        <f t="shared" si="259"/>
        <v>0</v>
      </c>
      <c r="BD321" s="276">
        <f t="shared" si="260"/>
        <v>0</v>
      </c>
      <c r="BE321" s="276">
        <f t="shared" si="261"/>
        <v>0</v>
      </c>
      <c r="BF321" s="686">
        <f t="shared" si="262"/>
        <v>0</v>
      </c>
      <c r="BG321" s="685" t="e">
        <f t="shared" si="263"/>
        <v>#DIV/0!</v>
      </c>
      <c r="BH321" s="276" t="e">
        <f t="shared" si="264"/>
        <v>#DIV/0!</v>
      </c>
      <c r="BI321" s="276" t="e">
        <f t="shared" si="265"/>
        <v>#DIV/0!</v>
      </c>
      <c r="BJ321" s="276" t="e">
        <f t="shared" si="266"/>
        <v>#DIV/0!</v>
      </c>
      <c r="BK321" s="276" t="e">
        <f t="shared" si="267"/>
        <v>#DIV/0!</v>
      </c>
      <c r="BL321" s="686" t="e">
        <f t="shared" si="268"/>
        <v>#DIV/0!</v>
      </c>
      <c r="BM321" s="239"/>
      <c r="BN321" s="965" t="e">
        <f t="shared" si="269"/>
        <v>#VALUE!</v>
      </c>
      <c r="BO321" s="878" t="e">
        <f t="shared" si="270"/>
        <v>#VALUE!</v>
      </c>
      <c r="BP321" s="878" t="e">
        <f t="shared" si="271"/>
        <v>#VALUE!</v>
      </c>
      <c r="BQ321" s="878" t="e">
        <f t="shared" si="272"/>
        <v>#VALUE!</v>
      </c>
      <c r="BR321" s="878" t="e">
        <f t="shared" si="273"/>
        <v>#VALUE!</v>
      </c>
      <c r="BS321" s="966" t="e">
        <f t="shared" si="274"/>
        <v>#VALUE!</v>
      </c>
    </row>
    <row r="322" spans="1:71">
      <c r="A322" s="284">
        <f t="shared" si="275"/>
        <v>254</v>
      </c>
      <c r="B322" s="285">
        <v>9.1057477597819958E-2</v>
      </c>
      <c r="C322" s="285">
        <v>3.1806869873698211</v>
      </c>
      <c r="D322" s="285">
        <v>0.65317671042157233</v>
      </c>
      <c r="E322" s="285">
        <v>10.437178800777582</v>
      </c>
      <c r="H322" s="685">
        <f t="shared" si="221"/>
        <v>-1.0421763641712349</v>
      </c>
      <c r="I322" s="276">
        <f t="shared" si="222"/>
        <v>-0.58204008966952669</v>
      </c>
      <c r="J322" s="276">
        <f t="shared" si="223"/>
        <v>2.3008500367211013</v>
      </c>
      <c r="K322" s="276">
        <f t="shared" si="224"/>
        <v>-1.0673633123220132</v>
      </c>
      <c r="L322" s="276">
        <f t="shared" si="225"/>
        <v>-3.4844546670470793</v>
      </c>
      <c r="M322" s="276">
        <f t="shared" si="226"/>
        <v>-5.1394353059686617</v>
      </c>
      <c r="N322" s="685">
        <f t="shared" si="227"/>
        <v>1.9735157763979527</v>
      </c>
      <c r="O322" s="276">
        <f t="shared" si="228"/>
        <v>0.74702940168093535</v>
      </c>
      <c r="P322" s="276">
        <f t="shared" si="229"/>
        <v>1.6377946555856273</v>
      </c>
      <c r="Q322" s="276">
        <f t="shared" si="230"/>
        <v>1.4177861166349126</v>
      </c>
      <c r="R322" s="276">
        <f t="shared" si="231"/>
        <v>-9.564056365107021E-2</v>
      </c>
      <c r="S322" s="686">
        <f t="shared" si="232"/>
        <v>1.3791153019984319</v>
      </c>
      <c r="T322" s="685">
        <f t="shared" si="233"/>
        <v>3.9315404006924983</v>
      </c>
      <c r="U322" s="276">
        <f t="shared" si="234"/>
        <v>7.0041540504360675</v>
      </c>
      <c r="V322" s="276">
        <f t="shared" si="235"/>
        <v>6.8922577230484592</v>
      </c>
      <c r="W322" s="276">
        <f t="shared" si="236"/>
        <v>4.2795813329143018</v>
      </c>
      <c r="X322" s="276">
        <f t="shared" si="237"/>
        <v>4.7504269420094989</v>
      </c>
      <c r="Y322" s="686">
        <f t="shared" si="238"/>
        <v>4.1096441055545805</v>
      </c>
      <c r="Z322" s="685" t="e">
        <f t="shared" si="239"/>
        <v>#DIV/0!</v>
      </c>
      <c r="AA322" s="276" t="e">
        <f t="shared" si="240"/>
        <v>#DIV/0!</v>
      </c>
      <c r="AB322" s="276" t="e">
        <f t="shared" si="241"/>
        <v>#DIV/0!</v>
      </c>
      <c r="AC322" s="276" t="e">
        <f t="shared" si="242"/>
        <v>#DIV/0!</v>
      </c>
      <c r="AD322" s="276" t="e">
        <f t="shared" si="243"/>
        <v>#DIV/0!</v>
      </c>
      <c r="AE322" s="686" t="e">
        <f t="shared" si="244"/>
        <v>#DIV/0!</v>
      </c>
      <c r="AF322" s="239"/>
      <c r="AG322" s="965" t="e">
        <f t="shared" si="215"/>
        <v>#VALUE!</v>
      </c>
      <c r="AH322" s="878" t="e">
        <f t="shared" si="216"/>
        <v>#VALUE!</v>
      </c>
      <c r="AI322" s="878" t="e">
        <f t="shared" si="217"/>
        <v>#VALUE!</v>
      </c>
      <c r="AJ322" s="878" t="e">
        <f t="shared" si="218"/>
        <v>#VALUE!</v>
      </c>
      <c r="AK322" s="878" t="e">
        <f t="shared" si="219"/>
        <v>#VALUE!</v>
      </c>
      <c r="AL322" s="966" t="e">
        <f t="shared" si="220"/>
        <v>#VALUE!</v>
      </c>
      <c r="AM322" s="239"/>
      <c r="AO322" s="685">
        <f t="shared" si="245"/>
        <v>-1.0421763641712349</v>
      </c>
      <c r="AP322" s="276">
        <f t="shared" si="246"/>
        <v>-0.58204008966952669</v>
      </c>
      <c r="AQ322" s="276">
        <f t="shared" si="247"/>
        <v>2.3008500367211013</v>
      </c>
      <c r="AR322" s="276">
        <f t="shared" si="248"/>
        <v>-1.0673633123220132</v>
      </c>
      <c r="AS322" s="276">
        <f t="shared" si="249"/>
        <v>-3.4844546670470793</v>
      </c>
      <c r="AT322" s="276">
        <f t="shared" si="250"/>
        <v>-5.1394353059686617</v>
      </c>
      <c r="AU322" s="685">
        <f t="shared" si="251"/>
        <v>1.9735157763979527</v>
      </c>
      <c r="AV322" s="276">
        <f t="shared" si="252"/>
        <v>0.74702940168093535</v>
      </c>
      <c r="AW322" s="276">
        <f t="shared" si="253"/>
        <v>1.6377946555856273</v>
      </c>
      <c r="AX322" s="276">
        <f t="shared" si="254"/>
        <v>1.4177861166349126</v>
      </c>
      <c r="AY322" s="276">
        <f t="shared" si="255"/>
        <v>-9.564056365107021E-2</v>
      </c>
      <c r="AZ322" s="686">
        <f t="shared" si="256"/>
        <v>1.3791153019984319</v>
      </c>
      <c r="BA322" s="685">
        <f t="shared" si="257"/>
        <v>0</v>
      </c>
      <c r="BB322" s="276">
        <f t="shared" si="258"/>
        <v>0</v>
      </c>
      <c r="BC322" s="276">
        <f t="shared" si="259"/>
        <v>0</v>
      </c>
      <c r="BD322" s="276">
        <f t="shared" si="260"/>
        <v>0</v>
      </c>
      <c r="BE322" s="276">
        <f t="shared" si="261"/>
        <v>0</v>
      </c>
      <c r="BF322" s="686">
        <f t="shared" si="262"/>
        <v>0</v>
      </c>
      <c r="BG322" s="685" t="e">
        <f t="shared" si="263"/>
        <v>#DIV/0!</v>
      </c>
      <c r="BH322" s="276" t="e">
        <f t="shared" si="264"/>
        <v>#DIV/0!</v>
      </c>
      <c r="BI322" s="276" t="e">
        <f t="shared" si="265"/>
        <v>#DIV/0!</v>
      </c>
      <c r="BJ322" s="276" t="e">
        <f t="shared" si="266"/>
        <v>#DIV/0!</v>
      </c>
      <c r="BK322" s="276" t="e">
        <f t="shared" si="267"/>
        <v>#DIV/0!</v>
      </c>
      <c r="BL322" s="686" t="e">
        <f t="shared" si="268"/>
        <v>#DIV/0!</v>
      </c>
      <c r="BM322" s="239"/>
      <c r="BN322" s="965" t="e">
        <f t="shared" si="269"/>
        <v>#VALUE!</v>
      </c>
      <c r="BO322" s="878" t="e">
        <f t="shared" si="270"/>
        <v>#VALUE!</v>
      </c>
      <c r="BP322" s="878" t="e">
        <f t="shared" si="271"/>
        <v>#VALUE!</v>
      </c>
      <c r="BQ322" s="878" t="e">
        <f t="shared" si="272"/>
        <v>#VALUE!</v>
      </c>
      <c r="BR322" s="878" t="e">
        <f t="shared" si="273"/>
        <v>#VALUE!</v>
      </c>
      <c r="BS322" s="966" t="e">
        <f t="shared" si="274"/>
        <v>#VALUE!</v>
      </c>
    </row>
    <row r="323" spans="1:71">
      <c r="A323" s="284">
        <f t="shared" si="275"/>
        <v>255</v>
      </c>
      <c r="B323" s="285">
        <v>-1.9644792647620739</v>
      </c>
      <c r="C323" s="285">
        <v>2.5735654761825617</v>
      </c>
      <c r="D323" s="285">
        <v>1.7718443386482794</v>
      </c>
      <c r="E323" s="285">
        <v>6.1259383657403923</v>
      </c>
      <c r="H323" s="685">
        <f t="shared" si="221"/>
        <v>-3.0977131065311285</v>
      </c>
      <c r="I323" s="276">
        <f t="shared" si="222"/>
        <v>-2.6644652354476026</v>
      </c>
      <c r="J323" s="276">
        <f t="shared" si="223"/>
        <v>-2.8478646156569489</v>
      </c>
      <c r="K323" s="276">
        <f t="shared" si="224"/>
        <v>-7.1411261071869365</v>
      </c>
      <c r="L323" s="276">
        <f t="shared" si="225"/>
        <v>-2.2254271491028144</v>
      </c>
      <c r="M323" s="276">
        <f t="shared" si="226"/>
        <v>-2.961655229862683</v>
      </c>
      <c r="N323" s="685">
        <f t="shared" si="227"/>
        <v>1.3663942652106933</v>
      </c>
      <c r="O323" s="276">
        <f t="shared" si="228"/>
        <v>0.93964799387083775</v>
      </c>
      <c r="P323" s="276">
        <f t="shared" si="229"/>
        <v>1.5276184856671036</v>
      </c>
      <c r="Q323" s="276">
        <f t="shared" si="230"/>
        <v>0.74507300447728819</v>
      </c>
      <c r="R323" s="276">
        <f t="shared" si="231"/>
        <v>0.76489820423739641</v>
      </c>
      <c r="S323" s="686">
        <f t="shared" si="232"/>
        <v>0.7373482016782178</v>
      </c>
      <c r="T323" s="685">
        <f t="shared" si="233"/>
        <v>5.0502080289192053</v>
      </c>
      <c r="U323" s="276">
        <f t="shared" si="234"/>
        <v>3.493453607541372</v>
      </c>
      <c r="V323" s="276">
        <f t="shared" si="235"/>
        <v>3.881244903467433</v>
      </c>
      <c r="W323" s="276">
        <f t="shared" si="236"/>
        <v>5.840398130503706</v>
      </c>
      <c r="X323" s="276">
        <f t="shared" si="237"/>
        <v>3.5948204387942342</v>
      </c>
      <c r="Y323" s="686">
        <f t="shared" si="238"/>
        <v>3.827221444231713</v>
      </c>
      <c r="Z323" s="685" t="e">
        <f t="shared" si="239"/>
        <v>#DIV/0!</v>
      </c>
      <c r="AA323" s="276" t="e">
        <f t="shared" si="240"/>
        <v>#DIV/0!</v>
      </c>
      <c r="AB323" s="276" t="e">
        <f t="shared" si="241"/>
        <v>#DIV/0!</v>
      </c>
      <c r="AC323" s="276" t="e">
        <f t="shared" si="242"/>
        <v>#DIV/0!</v>
      </c>
      <c r="AD323" s="276" t="e">
        <f t="shared" si="243"/>
        <v>#DIV/0!</v>
      </c>
      <c r="AE323" s="686" t="e">
        <f t="shared" si="244"/>
        <v>#DIV/0!</v>
      </c>
      <c r="AF323" s="239"/>
      <c r="AG323" s="965" t="e">
        <f t="shared" si="215"/>
        <v>#VALUE!</v>
      </c>
      <c r="AH323" s="878" t="e">
        <f t="shared" si="216"/>
        <v>#VALUE!</v>
      </c>
      <c r="AI323" s="878" t="e">
        <f t="shared" si="217"/>
        <v>#VALUE!</v>
      </c>
      <c r="AJ323" s="878" t="e">
        <f t="shared" si="218"/>
        <v>#VALUE!</v>
      </c>
      <c r="AK323" s="878" t="e">
        <f t="shared" si="219"/>
        <v>#VALUE!</v>
      </c>
      <c r="AL323" s="966" t="e">
        <f t="shared" si="220"/>
        <v>#VALUE!</v>
      </c>
      <c r="AM323" s="239"/>
      <c r="AO323" s="685">
        <f t="shared" si="245"/>
        <v>-3.0977131065311285</v>
      </c>
      <c r="AP323" s="276">
        <f t="shared" si="246"/>
        <v>-2.6644652354476026</v>
      </c>
      <c r="AQ323" s="276">
        <f t="shared" si="247"/>
        <v>-2.8478646156569489</v>
      </c>
      <c r="AR323" s="276">
        <f t="shared" si="248"/>
        <v>-7.1411261071869365</v>
      </c>
      <c r="AS323" s="276">
        <f t="shared" si="249"/>
        <v>-2.2254271491028144</v>
      </c>
      <c r="AT323" s="276">
        <f t="shared" si="250"/>
        <v>-2.961655229862683</v>
      </c>
      <c r="AU323" s="685">
        <f t="shared" si="251"/>
        <v>1.3663942652106933</v>
      </c>
      <c r="AV323" s="276">
        <f t="shared" si="252"/>
        <v>0.93964799387083775</v>
      </c>
      <c r="AW323" s="276">
        <f t="shared" si="253"/>
        <v>1.5276184856671036</v>
      </c>
      <c r="AX323" s="276">
        <f t="shared" si="254"/>
        <v>0.74507300447728819</v>
      </c>
      <c r="AY323" s="276">
        <f t="shared" si="255"/>
        <v>0.76489820423739641</v>
      </c>
      <c r="AZ323" s="686">
        <f t="shared" si="256"/>
        <v>0.7373482016782178</v>
      </c>
      <c r="BA323" s="685">
        <f t="shared" si="257"/>
        <v>0</v>
      </c>
      <c r="BB323" s="276">
        <f t="shared" si="258"/>
        <v>0</v>
      </c>
      <c r="BC323" s="276">
        <f t="shared" si="259"/>
        <v>0</v>
      </c>
      <c r="BD323" s="276">
        <f t="shared" si="260"/>
        <v>0</v>
      </c>
      <c r="BE323" s="276">
        <f t="shared" si="261"/>
        <v>0</v>
      </c>
      <c r="BF323" s="686">
        <f t="shared" si="262"/>
        <v>0</v>
      </c>
      <c r="BG323" s="685" t="e">
        <f t="shared" si="263"/>
        <v>#DIV/0!</v>
      </c>
      <c r="BH323" s="276" t="e">
        <f t="shared" si="264"/>
        <v>#DIV/0!</v>
      </c>
      <c r="BI323" s="276" t="e">
        <f t="shared" si="265"/>
        <v>#DIV/0!</v>
      </c>
      <c r="BJ323" s="276" t="e">
        <f t="shared" si="266"/>
        <v>#DIV/0!</v>
      </c>
      <c r="BK323" s="276" t="e">
        <f t="shared" si="267"/>
        <v>#DIV/0!</v>
      </c>
      <c r="BL323" s="686" t="e">
        <f t="shared" si="268"/>
        <v>#DIV/0!</v>
      </c>
      <c r="BM323" s="239"/>
      <c r="BN323" s="965" t="e">
        <f t="shared" si="269"/>
        <v>#VALUE!</v>
      </c>
      <c r="BO323" s="878" t="e">
        <f t="shared" si="270"/>
        <v>#VALUE!</v>
      </c>
      <c r="BP323" s="878" t="e">
        <f t="shared" si="271"/>
        <v>#VALUE!</v>
      </c>
      <c r="BQ323" s="878" t="e">
        <f t="shared" si="272"/>
        <v>#VALUE!</v>
      </c>
      <c r="BR323" s="878" t="e">
        <f t="shared" si="273"/>
        <v>#VALUE!</v>
      </c>
      <c r="BS323" s="966" t="e">
        <f t="shared" si="274"/>
        <v>#VALUE!</v>
      </c>
    </row>
    <row r="324" spans="1:71">
      <c r="A324" s="284">
        <f t="shared" si="275"/>
        <v>256</v>
      </c>
      <c r="B324" s="285">
        <v>-2.580290627451767E-3</v>
      </c>
      <c r="C324" s="285">
        <v>2.6650980462055891</v>
      </c>
      <c r="D324" s="285">
        <v>1.4173448808871902</v>
      </c>
      <c r="E324" s="285">
        <v>-2.7657728005233988</v>
      </c>
      <c r="H324" s="685">
        <f t="shared" si="221"/>
        <v>-1.1358141323965065</v>
      </c>
      <c r="I324" s="276">
        <f t="shared" si="222"/>
        <v>0.39763116147215793</v>
      </c>
      <c r="J324" s="276">
        <f t="shared" si="223"/>
        <v>2.5735108494441308</v>
      </c>
      <c r="K324" s="276">
        <f t="shared" si="224"/>
        <v>3.9209720250035156</v>
      </c>
      <c r="L324" s="276">
        <f t="shared" si="225"/>
        <v>0.7360470075789427</v>
      </c>
      <c r="M324" s="276">
        <f t="shared" si="226"/>
        <v>-3.7196176776254353</v>
      </c>
      <c r="N324" s="685">
        <f t="shared" si="227"/>
        <v>1.4579268352337207</v>
      </c>
      <c r="O324" s="276">
        <f t="shared" si="228"/>
        <v>1.7107490740538458</v>
      </c>
      <c r="P324" s="276">
        <f t="shared" si="229"/>
        <v>2.5992305919902119</v>
      </c>
      <c r="Q324" s="276">
        <f t="shared" si="230"/>
        <v>2.074322031177382</v>
      </c>
      <c r="R324" s="276">
        <f t="shared" si="231"/>
        <v>1.5725400527023667</v>
      </c>
      <c r="S324" s="686">
        <f t="shared" si="232"/>
        <v>1.1578474736795641</v>
      </c>
      <c r="T324" s="685">
        <f t="shared" si="233"/>
        <v>4.6957085711581161</v>
      </c>
      <c r="U324" s="276">
        <f t="shared" si="234"/>
        <v>6.4997113248715781</v>
      </c>
      <c r="V324" s="276">
        <f t="shared" si="235"/>
        <v>3.3563689716544198</v>
      </c>
      <c r="W324" s="276">
        <f t="shared" si="236"/>
        <v>3.8759308874876583</v>
      </c>
      <c r="X324" s="276">
        <f t="shared" si="237"/>
        <v>4.4552496473471592</v>
      </c>
      <c r="Y324" s="686">
        <f t="shared" si="238"/>
        <v>3.1817517782044367</v>
      </c>
      <c r="Z324" s="685" t="e">
        <f t="shared" si="239"/>
        <v>#DIV/0!</v>
      </c>
      <c r="AA324" s="276" t="e">
        <f t="shared" si="240"/>
        <v>#DIV/0!</v>
      </c>
      <c r="AB324" s="276" t="e">
        <f t="shared" si="241"/>
        <v>#DIV/0!</v>
      </c>
      <c r="AC324" s="276" t="e">
        <f t="shared" si="242"/>
        <v>#DIV/0!</v>
      </c>
      <c r="AD324" s="276" t="e">
        <f t="shared" si="243"/>
        <v>#DIV/0!</v>
      </c>
      <c r="AE324" s="686" t="e">
        <f t="shared" si="244"/>
        <v>#DIV/0!</v>
      </c>
      <c r="AF324" s="239"/>
      <c r="AG324" s="965" t="e">
        <f t="shared" si="215"/>
        <v>#VALUE!</v>
      </c>
      <c r="AH324" s="878" t="e">
        <f t="shared" si="216"/>
        <v>#VALUE!</v>
      </c>
      <c r="AI324" s="878" t="e">
        <f t="shared" si="217"/>
        <v>#VALUE!</v>
      </c>
      <c r="AJ324" s="878" t="e">
        <f t="shared" si="218"/>
        <v>#VALUE!</v>
      </c>
      <c r="AK324" s="878" t="e">
        <f t="shared" si="219"/>
        <v>#VALUE!</v>
      </c>
      <c r="AL324" s="966" t="e">
        <f t="shared" si="220"/>
        <v>#VALUE!</v>
      </c>
      <c r="AM324" s="239"/>
      <c r="AO324" s="685">
        <f t="shared" si="245"/>
        <v>-1.1358141323965065</v>
      </c>
      <c r="AP324" s="276">
        <f t="shared" si="246"/>
        <v>0.39763116147215793</v>
      </c>
      <c r="AQ324" s="276">
        <f t="shared" si="247"/>
        <v>2.5735108494441308</v>
      </c>
      <c r="AR324" s="276">
        <f t="shared" si="248"/>
        <v>3.9209720250035156</v>
      </c>
      <c r="AS324" s="276">
        <f t="shared" si="249"/>
        <v>0.7360470075789427</v>
      </c>
      <c r="AT324" s="276">
        <f t="shared" si="250"/>
        <v>-3.7196176776254353</v>
      </c>
      <c r="AU324" s="685">
        <f t="shared" si="251"/>
        <v>1.4579268352337207</v>
      </c>
      <c r="AV324" s="276">
        <f t="shared" si="252"/>
        <v>1.7107490740538458</v>
      </c>
      <c r="AW324" s="276">
        <f t="shared" si="253"/>
        <v>2.5992305919902119</v>
      </c>
      <c r="AX324" s="276">
        <f t="shared" si="254"/>
        <v>2.074322031177382</v>
      </c>
      <c r="AY324" s="276">
        <f t="shared" si="255"/>
        <v>1.5725400527023667</v>
      </c>
      <c r="AZ324" s="686">
        <f t="shared" si="256"/>
        <v>1.1578474736795641</v>
      </c>
      <c r="BA324" s="685">
        <f t="shared" si="257"/>
        <v>0</v>
      </c>
      <c r="BB324" s="276">
        <f t="shared" si="258"/>
        <v>0</v>
      </c>
      <c r="BC324" s="276">
        <f t="shared" si="259"/>
        <v>0</v>
      </c>
      <c r="BD324" s="276">
        <f t="shared" si="260"/>
        <v>0</v>
      </c>
      <c r="BE324" s="276">
        <f t="shared" si="261"/>
        <v>0</v>
      </c>
      <c r="BF324" s="686">
        <f t="shared" si="262"/>
        <v>0</v>
      </c>
      <c r="BG324" s="685" t="e">
        <f t="shared" si="263"/>
        <v>#DIV/0!</v>
      </c>
      <c r="BH324" s="276" t="e">
        <f t="shared" si="264"/>
        <v>#DIV/0!</v>
      </c>
      <c r="BI324" s="276" t="e">
        <f t="shared" si="265"/>
        <v>#DIV/0!</v>
      </c>
      <c r="BJ324" s="276" t="e">
        <f t="shared" si="266"/>
        <v>#DIV/0!</v>
      </c>
      <c r="BK324" s="276" t="e">
        <f t="shared" si="267"/>
        <v>#DIV/0!</v>
      </c>
      <c r="BL324" s="686" t="e">
        <f t="shared" si="268"/>
        <v>#DIV/0!</v>
      </c>
      <c r="BM324" s="239"/>
      <c r="BN324" s="965" t="e">
        <f t="shared" si="269"/>
        <v>#VALUE!</v>
      </c>
      <c r="BO324" s="878" t="e">
        <f t="shared" si="270"/>
        <v>#VALUE!</v>
      </c>
      <c r="BP324" s="878" t="e">
        <f t="shared" si="271"/>
        <v>#VALUE!</v>
      </c>
      <c r="BQ324" s="878" t="e">
        <f t="shared" si="272"/>
        <v>#VALUE!</v>
      </c>
      <c r="BR324" s="878" t="e">
        <f t="shared" si="273"/>
        <v>#VALUE!</v>
      </c>
      <c r="BS324" s="966" t="e">
        <f t="shared" si="274"/>
        <v>#VALUE!</v>
      </c>
    </row>
    <row r="325" spans="1:71">
      <c r="A325" s="284">
        <f t="shared" si="275"/>
        <v>257</v>
      </c>
      <c r="B325" s="285">
        <v>2.0718643610768703</v>
      </c>
      <c r="C325" s="285">
        <v>2.1454395528871908</v>
      </c>
      <c r="D325" s="285">
        <v>2.6232471173995622</v>
      </c>
      <c r="E325" s="285">
        <v>-10.393029160511714</v>
      </c>
      <c r="H325" s="685">
        <f t="shared" si="221"/>
        <v>0.93863051930781549</v>
      </c>
      <c r="I325" s="276">
        <f t="shared" si="222"/>
        <v>-4.7141670222202841</v>
      </c>
      <c r="J325" s="276">
        <f t="shared" si="223"/>
        <v>-0.84104728373399495</v>
      </c>
      <c r="K325" s="276">
        <f t="shared" si="224"/>
        <v>-0.71444650581393709</v>
      </c>
      <c r="L325" s="276">
        <f t="shared" si="225"/>
        <v>-1.23312870011774</v>
      </c>
      <c r="M325" s="276">
        <f t="shared" si="226"/>
        <v>-0.51934449269802463</v>
      </c>
      <c r="N325" s="685">
        <f t="shared" si="227"/>
        <v>0.93826834191532238</v>
      </c>
      <c r="O325" s="276">
        <f t="shared" si="228"/>
        <v>0.3287426361172634</v>
      </c>
      <c r="P325" s="276">
        <f t="shared" si="229"/>
        <v>2.0301804198034423</v>
      </c>
      <c r="Q325" s="276">
        <f t="shared" si="230"/>
        <v>1.7742727647625205</v>
      </c>
      <c r="R325" s="276">
        <f t="shared" si="231"/>
        <v>1.7866665613632906</v>
      </c>
      <c r="S325" s="686">
        <f t="shared" si="232"/>
        <v>1.8027802312011729</v>
      </c>
      <c r="T325" s="685">
        <f t="shared" si="233"/>
        <v>5.9016108076704885</v>
      </c>
      <c r="U325" s="276">
        <f t="shared" si="234"/>
        <v>4.6314183988515021</v>
      </c>
      <c r="V325" s="276">
        <f t="shared" si="235"/>
        <v>2.9741030237064172</v>
      </c>
      <c r="W325" s="276">
        <f t="shared" si="236"/>
        <v>5.3699266670529457</v>
      </c>
      <c r="X325" s="276">
        <f t="shared" si="237"/>
        <v>4.2609533094492988</v>
      </c>
      <c r="Y325" s="686">
        <f t="shared" si="238"/>
        <v>5.331487660100187</v>
      </c>
      <c r="Z325" s="685" t="e">
        <f t="shared" si="239"/>
        <v>#DIV/0!</v>
      </c>
      <c r="AA325" s="276" t="e">
        <f t="shared" si="240"/>
        <v>#DIV/0!</v>
      </c>
      <c r="AB325" s="276" t="e">
        <f t="shared" si="241"/>
        <v>#DIV/0!</v>
      </c>
      <c r="AC325" s="276" t="e">
        <f t="shared" si="242"/>
        <v>#DIV/0!</v>
      </c>
      <c r="AD325" s="276" t="e">
        <f t="shared" si="243"/>
        <v>#DIV/0!</v>
      </c>
      <c r="AE325" s="686" t="e">
        <f t="shared" si="244"/>
        <v>#DIV/0!</v>
      </c>
      <c r="AF325" s="239"/>
      <c r="AG325" s="965" t="e">
        <f t="shared" ref="AG325:AG388" si="276">S$53*(1+(T$55+N325)/100)*((1-S$62)+S$62*((1+(T$57+Z325)/100)))/(1+(T$54+H325)/100)-(T$56+T325)+T$58</f>
        <v>#VALUE!</v>
      </c>
      <c r="AH325" s="878" t="e">
        <f t="shared" ref="AH325:AH388" si="277">AG325*(1+(U$55+O325)/100)*((1-T$62)+T$62*((1+(U$57+AA325)/100)))/(1+(U$54+I325)/100)-(U$56+U325)+U$58</f>
        <v>#VALUE!</v>
      </c>
      <c r="AI325" s="878" t="e">
        <f t="shared" ref="AI325:AI388" si="278">AH325*(1+(V$55+P325)/100)*((1-U$62)+U$62*((1+(V$57+AB325)/100)))/(1+(V$54+J325)/100)-(V$56+V325)+V$58</f>
        <v>#VALUE!</v>
      </c>
      <c r="AJ325" s="878" t="e">
        <f t="shared" ref="AJ325:AJ388" si="279">AI325*(1+(W$55+Q325)/100)*((1-V$62)+V$62*((1+(W$57+AC325)/100)))/(1+(W$54+K325)/100)-(W$56+W325)+W$58</f>
        <v>#VALUE!</v>
      </c>
      <c r="AK325" s="878" t="e">
        <f t="shared" ref="AK325:AK388" si="280">AJ325*(1+(X$55+R325)/100)*((1-W$62)+W$62*((1+(X$57+AD325)/100)))/(1+(X$54+L325)/100)-(X$56+X325)+X$58</f>
        <v>#VALUE!</v>
      </c>
      <c r="AL325" s="966" t="e">
        <f t="shared" ref="AL325:AL388" si="281">AK325*(1+(Y$55+S325)/100)*((1-X$62)+X$62*((1+(Y$57+AE325)/100)))/(1+(Y$54+M325)/100)-(Y$56+Y325)+Y$58</f>
        <v>#VALUE!</v>
      </c>
      <c r="AM325" s="239"/>
      <c r="AO325" s="685">
        <f t="shared" si="245"/>
        <v>0.93863051930781549</v>
      </c>
      <c r="AP325" s="276">
        <f t="shared" si="246"/>
        <v>-4.7141670222202841</v>
      </c>
      <c r="AQ325" s="276">
        <f t="shared" si="247"/>
        <v>-0.84104728373399495</v>
      </c>
      <c r="AR325" s="276">
        <f t="shared" si="248"/>
        <v>-0.71444650581393709</v>
      </c>
      <c r="AS325" s="276">
        <f t="shared" si="249"/>
        <v>-1.23312870011774</v>
      </c>
      <c r="AT325" s="276">
        <f t="shared" si="250"/>
        <v>-0.51934449269802463</v>
      </c>
      <c r="AU325" s="685">
        <f t="shared" si="251"/>
        <v>0.93826834191532238</v>
      </c>
      <c r="AV325" s="276">
        <f t="shared" si="252"/>
        <v>0.3287426361172634</v>
      </c>
      <c r="AW325" s="276">
        <f t="shared" si="253"/>
        <v>2.0301804198034423</v>
      </c>
      <c r="AX325" s="276">
        <f t="shared" si="254"/>
        <v>1.7742727647625205</v>
      </c>
      <c r="AY325" s="276">
        <f t="shared" si="255"/>
        <v>1.7866665613632906</v>
      </c>
      <c r="AZ325" s="686">
        <f t="shared" si="256"/>
        <v>1.8027802312011729</v>
      </c>
      <c r="BA325" s="685">
        <f t="shared" si="257"/>
        <v>0</v>
      </c>
      <c r="BB325" s="276">
        <f t="shared" si="258"/>
        <v>0</v>
      </c>
      <c r="BC325" s="276">
        <f t="shared" si="259"/>
        <v>0</v>
      </c>
      <c r="BD325" s="276">
        <f t="shared" si="260"/>
        <v>0</v>
      </c>
      <c r="BE325" s="276">
        <f t="shared" si="261"/>
        <v>0</v>
      </c>
      <c r="BF325" s="686">
        <f t="shared" si="262"/>
        <v>0</v>
      </c>
      <c r="BG325" s="685" t="e">
        <f t="shared" si="263"/>
        <v>#DIV/0!</v>
      </c>
      <c r="BH325" s="276" t="e">
        <f t="shared" si="264"/>
        <v>#DIV/0!</v>
      </c>
      <c r="BI325" s="276" t="e">
        <f t="shared" si="265"/>
        <v>#DIV/0!</v>
      </c>
      <c r="BJ325" s="276" t="e">
        <f t="shared" si="266"/>
        <v>#DIV/0!</v>
      </c>
      <c r="BK325" s="276" t="e">
        <f t="shared" si="267"/>
        <v>#DIV/0!</v>
      </c>
      <c r="BL325" s="686" t="e">
        <f t="shared" si="268"/>
        <v>#DIV/0!</v>
      </c>
      <c r="BM325" s="239"/>
      <c r="BN325" s="965" t="e">
        <f t="shared" si="269"/>
        <v>#VALUE!</v>
      </c>
      <c r="BO325" s="878" t="e">
        <f t="shared" si="270"/>
        <v>#VALUE!</v>
      </c>
      <c r="BP325" s="878" t="e">
        <f t="shared" si="271"/>
        <v>#VALUE!</v>
      </c>
      <c r="BQ325" s="878" t="e">
        <f t="shared" si="272"/>
        <v>#VALUE!</v>
      </c>
      <c r="BR325" s="878" t="e">
        <f t="shared" si="273"/>
        <v>#VALUE!</v>
      </c>
      <c r="BS325" s="966" t="e">
        <f t="shared" si="274"/>
        <v>#VALUE!</v>
      </c>
    </row>
    <row r="326" spans="1:71">
      <c r="A326" s="284">
        <f t="shared" si="275"/>
        <v>258</v>
      </c>
      <c r="B326" s="285">
        <v>-0.49241484656535889</v>
      </c>
      <c r="C326" s="285">
        <v>2.1370486476907606</v>
      </c>
      <c r="D326" s="285">
        <v>1.6918440112870676</v>
      </c>
      <c r="E326" s="285">
        <v>-14.996142233981065</v>
      </c>
      <c r="H326" s="685">
        <f t="shared" ref="H326:H389" si="282">IF($B$42="On",$B326-$D$15,0)</f>
        <v>-1.6256486883344137</v>
      </c>
      <c r="I326" s="276">
        <f t="shared" ref="I326:I389" si="283">IF($B$42="On",$B1326-$D$15,0)</f>
        <v>2.4195222662705618</v>
      </c>
      <c r="J326" s="276">
        <f t="shared" ref="J326:J389" si="284">IF($B$42="On",$B2326-$D$15,0)</f>
        <v>-2.6110105963535308</v>
      </c>
      <c r="K326" s="276">
        <f t="shared" ref="K326:K389" si="285">IF($B$42="On",$B3326-$D$15,0)</f>
        <v>-5.4706601639643129</v>
      </c>
      <c r="L326" s="276">
        <f t="shared" ref="L326:L389" si="286">IF($B$42="On",$B4326-$D$15,0)</f>
        <v>-1.4921323855849902</v>
      </c>
      <c r="M326" s="276">
        <f t="shared" ref="M326:M389" si="287">IF($B$42="On",$B5326-$D$15,0)</f>
        <v>2.0435709615044368</v>
      </c>
      <c r="N326" s="685">
        <f t="shared" ref="N326:N389" si="288">IF($B$43="On",$C326-$D$16,0)</f>
        <v>0.92987743671889223</v>
      </c>
      <c r="O326" s="276">
        <f t="shared" ref="O326:O389" si="289">IF($B$43="On",$C1326-$D$16,0)</f>
        <v>2.294642099100316</v>
      </c>
      <c r="P326" s="276">
        <f t="shared" ref="P326:P389" si="290">IF($B$43="On",$C2326-$D$16,0)</f>
        <v>0.71330036728767454</v>
      </c>
      <c r="Q326" s="276">
        <f t="shared" ref="Q326:Q389" si="291">IF($B$43="On",$C3326-$D$16,0)</f>
        <v>0.5335731595109221</v>
      </c>
      <c r="R326" s="276">
        <f t="shared" ref="R326:R389" si="292">IF($B$43="On",$C4326-$D$16,0)</f>
        <v>1.5764047825387821</v>
      </c>
      <c r="S326" s="686">
        <f t="shared" ref="S326:S389" si="293">IF($B$43="On",$C5326-$D$16,0)</f>
        <v>1.4055876750338789</v>
      </c>
      <c r="T326" s="685">
        <f t="shared" ref="T326:T389" si="294">IF($B$44="On",$D326-$D$17,0)</f>
        <v>4.9702077015579933</v>
      </c>
      <c r="U326" s="276">
        <f t="shared" ref="U326:U389" si="295">IF($B$44="On",$D1326-$D$17,0)</f>
        <v>3.5420948772715244</v>
      </c>
      <c r="V326" s="276">
        <f t="shared" ref="V326:V389" si="296">IF($B$44="On",$D2326-$D$17,0)</f>
        <v>0.85779100123036134</v>
      </c>
      <c r="W326" s="276">
        <f t="shared" ref="W326:W389" si="297">IF($B$44="On",$D3326-$D$17,0)</f>
        <v>5.0428054075166227</v>
      </c>
      <c r="X326" s="276">
        <f t="shared" ref="X326:X389" si="298">IF($B$44="On",$D4326-$D$17,0)</f>
        <v>6.8344100664108591</v>
      </c>
      <c r="Y326" s="686">
        <f t="shared" ref="Y326:Y389" si="299">IF($B$44="On",$D5326-$D$17,0)</f>
        <v>5.0176883050332748</v>
      </c>
      <c r="Z326" s="685" t="e">
        <f t="shared" ref="Z326:Z389" si="300">IF($B$45="On",$E326-$D$18,0)</f>
        <v>#DIV/0!</v>
      </c>
      <c r="AA326" s="276" t="e">
        <f t="shared" ref="AA326:AA389" si="301">IF($B$45="On",$E1326-$D$18,0)</f>
        <v>#DIV/0!</v>
      </c>
      <c r="AB326" s="276" t="e">
        <f t="shared" ref="AB326:AB389" si="302">IF($B$45="On",$E2326-$D$18,0)</f>
        <v>#DIV/0!</v>
      </c>
      <c r="AC326" s="276" t="e">
        <f t="shared" ref="AC326:AC389" si="303">IF($B$45="On",$E3326-$D$18,0)</f>
        <v>#DIV/0!</v>
      </c>
      <c r="AD326" s="276" t="e">
        <f t="shared" ref="AD326:AD389" si="304">IF($B$45="On",$E4326-$D$18,0)</f>
        <v>#DIV/0!</v>
      </c>
      <c r="AE326" s="686" t="e">
        <f t="shared" ref="AE326:AE389" si="305">IF($B$45="On",$E5326-$D$18,0)</f>
        <v>#DIV/0!</v>
      </c>
      <c r="AF326" s="239"/>
      <c r="AG326" s="965" t="e">
        <f t="shared" si="276"/>
        <v>#VALUE!</v>
      </c>
      <c r="AH326" s="878" t="e">
        <f t="shared" si="277"/>
        <v>#VALUE!</v>
      </c>
      <c r="AI326" s="878" t="e">
        <f t="shared" si="278"/>
        <v>#VALUE!</v>
      </c>
      <c r="AJ326" s="878" t="e">
        <f t="shared" si="279"/>
        <v>#VALUE!</v>
      </c>
      <c r="AK326" s="878" t="e">
        <f t="shared" si="280"/>
        <v>#VALUE!</v>
      </c>
      <c r="AL326" s="966" t="e">
        <f t="shared" si="281"/>
        <v>#VALUE!</v>
      </c>
      <c r="AM326" s="239"/>
      <c r="AO326" s="685">
        <f t="shared" ref="AO326:AO389" si="306">IF($B$42="On",MIN($B326-$D$15,$D$42),0)</f>
        <v>-1.6256486883344137</v>
      </c>
      <c r="AP326" s="276">
        <f t="shared" ref="AP326:AP389" si="307">IF($B$42="On",MIN($B1326-$D$15,$D$42),0)</f>
        <v>2.4195222662705618</v>
      </c>
      <c r="AQ326" s="276">
        <f t="shared" ref="AQ326:AQ389" si="308">IF($B$42="On",MIN($B2326-$D$15,$D$42),0)</f>
        <v>-2.6110105963535308</v>
      </c>
      <c r="AR326" s="276">
        <f t="shared" ref="AR326:AR389" si="309">IF($B$42="On",MIN($B3326-$D$15,$D$42),0)</f>
        <v>-5.4706601639643129</v>
      </c>
      <c r="AS326" s="276">
        <f t="shared" ref="AS326:AS389" si="310">IF($B$42="On",MIN($B4326-$D$15,$D$42),0)</f>
        <v>-1.4921323855849902</v>
      </c>
      <c r="AT326" s="276">
        <f t="shared" ref="AT326:AT389" si="311">IF($B$42="On",MIN($B5326-$D$15,$D$42),0)</f>
        <v>2.0435709615044368</v>
      </c>
      <c r="AU326" s="685">
        <f t="shared" ref="AU326:AU389" si="312">IF($B$43="On",MAX($C326-$D$16,$D$43),0)</f>
        <v>0.92987743671889223</v>
      </c>
      <c r="AV326" s="276">
        <f t="shared" ref="AV326:AV389" si="313">IF($B$43="On",MAX($C1326-$D$16,$D$43),0)</f>
        <v>2.294642099100316</v>
      </c>
      <c r="AW326" s="276">
        <f t="shared" ref="AW326:AW389" si="314">IF($B$43="On",MAX($C2326-$D$16,$D$43),0)</f>
        <v>0.71330036728767454</v>
      </c>
      <c r="AX326" s="276">
        <f t="shared" ref="AX326:AX389" si="315">IF($B$43="On",MAX($C3326-$D$16,$D$43),0)</f>
        <v>0.5335731595109221</v>
      </c>
      <c r="AY326" s="276">
        <f t="shared" ref="AY326:AY389" si="316">IF($B$43="On",MAX($C4326-$D$16,$D$43),0)</f>
        <v>1.5764047825387821</v>
      </c>
      <c r="AZ326" s="686">
        <f t="shared" ref="AZ326:AZ389" si="317">IF($B$43="On",MAX($C5326-$D$16,$D$43),0)</f>
        <v>1.4055876750338789</v>
      </c>
      <c r="BA326" s="685">
        <f t="shared" ref="BA326:BA389" si="318">IF($B$44="On",MIN($D326-$D$17,$D$44),0)</f>
        <v>0</v>
      </c>
      <c r="BB326" s="276">
        <f t="shared" ref="BB326:BB389" si="319">IF($B$44="On",MIN($D1326-$D$17,$D$44),0)</f>
        <v>0</v>
      </c>
      <c r="BC326" s="276">
        <f t="shared" ref="BC326:BC389" si="320">IF($B$44="On",MIN($D2326-$D$17,$D$44),0)</f>
        <v>0</v>
      </c>
      <c r="BD326" s="276">
        <f t="shared" ref="BD326:BD389" si="321">IF($B$44="On",MIN($D3326-$D$17,$D$44),0)</f>
        <v>0</v>
      </c>
      <c r="BE326" s="276">
        <f t="shared" ref="BE326:BE389" si="322">IF($B$44="On",MIN($D4326-$D$17,$D$44),0)</f>
        <v>0</v>
      </c>
      <c r="BF326" s="686">
        <f t="shared" ref="BF326:BF389" si="323">IF($B$44="On",MIN($D5326-$D$17,$D$44),0)</f>
        <v>0</v>
      </c>
      <c r="BG326" s="685" t="e">
        <f t="shared" ref="BG326:BG389" si="324">IF($B$45="On",MAX($E326-$D$18,$D$45),0)</f>
        <v>#DIV/0!</v>
      </c>
      <c r="BH326" s="276" t="e">
        <f t="shared" ref="BH326:BH389" si="325">IF($B$45="On",MAX($E1326-$D$18,$D$45),0)</f>
        <v>#DIV/0!</v>
      </c>
      <c r="BI326" s="276" t="e">
        <f t="shared" ref="BI326:BI389" si="326">IF($B$45="On",MAX($E2326-$D$18,$D$45),0)</f>
        <v>#DIV/0!</v>
      </c>
      <c r="BJ326" s="276" t="e">
        <f t="shared" ref="BJ326:BJ389" si="327">IF($B$45="On",MAX($E3326-$D$18,$D$45),0)</f>
        <v>#DIV/0!</v>
      </c>
      <c r="BK326" s="276" t="e">
        <f t="shared" ref="BK326:BK389" si="328">IF($B$45="On",MAX($E4326-$D$18,$D$45),0)</f>
        <v>#DIV/0!</v>
      </c>
      <c r="BL326" s="686" t="e">
        <f t="shared" ref="BL326:BL389" si="329">IF($B$45="On",MAX($E5326-$D$18,$D$45),0)</f>
        <v>#DIV/0!</v>
      </c>
      <c r="BM326" s="239"/>
      <c r="BN326" s="965" t="e">
        <f t="shared" ref="BN326:BN389" si="330">S$53*(1+(T$55+AU326)/100)*((1-S$62)+S$62*((1+(T$57+BG326)/100)))/(1+(T$54+AO326)/100)-(T$56+BA326)+T$58</f>
        <v>#VALUE!</v>
      </c>
      <c r="BO326" s="878" t="e">
        <f t="shared" ref="BO326:BO389" si="331">BN326*(1+(U$55+AV326)/100)*((1-T$62)+T$62*((1+(U$57+BH326)/100)))/(1+(U$54+AP326)/100)-(U$56+BB326)+U$58</f>
        <v>#VALUE!</v>
      </c>
      <c r="BP326" s="878" t="e">
        <f t="shared" ref="BP326:BP389" si="332">BO326*(1+(V$55+AW326)/100)*((1-U$62)+U$62*((1+(V$57+BI326)/100)))/(1+(V$54+AQ326)/100)-(V$56+BC326)+V$58</f>
        <v>#VALUE!</v>
      </c>
      <c r="BQ326" s="878" t="e">
        <f t="shared" ref="BQ326:BQ389" si="333">BP326*(1+(W$55+AX326)/100)*((1-V$62)+V$62*((1+(W$57+BJ326)/100)))/(1+(W$54+AR326)/100)-(W$56+BD326)+W$58</f>
        <v>#VALUE!</v>
      </c>
      <c r="BR326" s="878" t="e">
        <f t="shared" ref="BR326:BR389" si="334">BQ326*(1+(X$55+AY326)/100)*((1-W$62)+W$62*((1+(X$57+BK326)/100)))/(1+(X$54+AS326)/100)-(X$56+BE326)+X$58</f>
        <v>#VALUE!</v>
      </c>
      <c r="BS326" s="966" t="e">
        <f t="shared" ref="BS326:BS389" si="335">BR326*(1+(Y$55+AZ326)/100)*((1-X$62)+X$62*((1+(Y$57+BL326)/100)))/(1+(Y$54+AT326)/100)-(Y$56+BF326)+Y$58</f>
        <v>#VALUE!</v>
      </c>
    </row>
    <row r="327" spans="1:71">
      <c r="A327" s="284">
        <f t="shared" ref="A327:A390" si="336">A326+1</f>
        <v>259</v>
      </c>
      <c r="B327" s="285">
        <v>2.5038568745848591</v>
      </c>
      <c r="C327" s="285">
        <v>2.1911223238291662</v>
      </c>
      <c r="D327" s="285">
        <v>1.1793154725303108</v>
      </c>
      <c r="E327" s="285">
        <v>-9.8465600869707579</v>
      </c>
      <c r="H327" s="685">
        <f t="shared" si="282"/>
        <v>1.3706230328158042</v>
      </c>
      <c r="I327" s="276">
        <f t="shared" si="283"/>
        <v>-2.1782873666976794</v>
      </c>
      <c r="J327" s="276">
        <f t="shared" si="284"/>
        <v>-4.4714784751186611</v>
      </c>
      <c r="K327" s="276">
        <f t="shared" si="285"/>
        <v>-1.6250964843556581</v>
      </c>
      <c r="L327" s="276">
        <f t="shared" si="286"/>
        <v>-3.7309929122237664</v>
      </c>
      <c r="M327" s="276">
        <f t="shared" si="287"/>
        <v>-3.026616954121585</v>
      </c>
      <c r="N327" s="685">
        <f t="shared" si="288"/>
        <v>0.98395111285729775</v>
      </c>
      <c r="O327" s="276">
        <f t="shared" si="289"/>
        <v>1.370482530504386</v>
      </c>
      <c r="P327" s="276">
        <f t="shared" si="290"/>
        <v>0.7185441453877135</v>
      </c>
      <c r="Q327" s="276">
        <f t="shared" si="291"/>
        <v>0.7792247819116549</v>
      </c>
      <c r="R327" s="276">
        <f t="shared" si="292"/>
        <v>1.3368902315365851</v>
      </c>
      <c r="S327" s="686">
        <f t="shared" si="293"/>
        <v>0.5156179919467816</v>
      </c>
      <c r="T327" s="685">
        <f t="shared" si="294"/>
        <v>4.4576791628012362</v>
      </c>
      <c r="U327" s="276">
        <f t="shared" si="295"/>
        <v>3.0783464396495965</v>
      </c>
      <c r="V327" s="276">
        <f t="shared" si="296"/>
        <v>2.6304049563275242</v>
      </c>
      <c r="W327" s="276">
        <f t="shared" si="297"/>
        <v>5.0624948262367564</v>
      </c>
      <c r="X327" s="276">
        <f t="shared" si="298"/>
        <v>5.5287233027261955</v>
      </c>
      <c r="Y327" s="686">
        <f t="shared" si="299"/>
        <v>3.8080115851965992</v>
      </c>
      <c r="Z327" s="685" t="e">
        <f t="shared" si="300"/>
        <v>#DIV/0!</v>
      </c>
      <c r="AA327" s="276" t="e">
        <f t="shared" si="301"/>
        <v>#DIV/0!</v>
      </c>
      <c r="AB327" s="276" t="e">
        <f t="shared" si="302"/>
        <v>#DIV/0!</v>
      </c>
      <c r="AC327" s="276" t="e">
        <f t="shared" si="303"/>
        <v>#DIV/0!</v>
      </c>
      <c r="AD327" s="276" t="e">
        <f t="shared" si="304"/>
        <v>#DIV/0!</v>
      </c>
      <c r="AE327" s="686" t="e">
        <f t="shared" si="305"/>
        <v>#DIV/0!</v>
      </c>
      <c r="AF327" s="239"/>
      <c r="AG327" s="965" t="e">
        <f t="shared" si="276"/>
        <v>#VALUE!</v>
      </c>
      <c r="AH327" s="878" t="e">
        <f t="shared" si="277"/>
        <v>#VALUE!</v>
      </c>
      <c r="AI327" s="878" t="e">
        <f t="shared" si="278"/>
        <v>#VALUE!</v>
      </c>
      <c r="AJ327" s="878" t="e">
        <f t="shared" si="279"/>
        <v>#VALUE!</v>
      </c>
      <c r="AK327" s="878" t="e">
        <f t="shared" si="280"/>
        <v>#VALUE!</v>
      </c>
      <c r="AL327" s="966" t="e">
        <f t="shared" si="281"/>
        <v>#VALUE!</v>
      </c>
      <c r="AM327" s="239"/>
      <c r="AO327" s="685">
        <f t="shared" si="306"/>
        <v>1.3706230328158042</v>
      </c>
      <c r="AP327" s="276">
        <f t="shared" si="307"/>
        <v>-2.1782873666976794</v>
      </c>
      <c r="AQ327" s="276">
        <f t="shared" si="308"/>
        <v>-4.4714784751186611</v>
      </c>
      <c r="AR327" s="276">
        <f t="shared" si="309"/>
        <v>-1.6250964843556581</v>
      </c>
      <c r="AS327" s="276">
        <f t="shared" si="310"/>
        <v>-3.7309929122237664</v>
      </c>
      <c r="AT327" s="276">
        <f t="shared" si="311"/>
        <v>-3.026616954121585</v>
      </c>
      <c r="AU327" s="685">
        <f t="shared" si="312"/>
        <v>0.98395111285729775</v>
      </c>
      <c r="AV327" s="276">
        <f t="shared" si="313"/>
        <v>1.370482530504386</v>
      </c>
      <c r="AW327" s="276">
        <f t="shared" si="314"/>
        <v>0.7185441453877135</v>
      </c>
      <c r="AX327" s="276">
        <f t="shared" si="315"/>
        <v>0.7792247819116549</v>
      </c>
      <c r="AY327" s="276">
        <f t="shared" si="316"/>
        <v>1.3368902315365851</v>
      </c>
      <c r="AZ327" s="686">
        <f t="shared" si="317"/>
        <v>0.5156179919467816</v>
      </c>
      <c r="BA327" s="685">
        <f t="shared" si="318"/>
        <v>0</v>
      </c>
      <c r="BB327" s="276">
        <f t="shared" si="319"/>
        <v>0</v>
      </c>
      <c r="BC327" s="276">
        <f t="shared" si="320"/>
        <v>0</v>
      </c>
      <c r="BD327" s="276">
        <f t="shared" si="321"/>
        <v>0</v>
      </c>
      <c r="BE327" s="276">
        <f t="shared" si="322"/>
        <v>0</v>
      </c>
      <c r="BF327" s="686">
        <f t="shared" si="323"/>
        <v>0</v>
      </c>
      <c r="BG327" s="685" t="e">
        <f t="shared" si="324"/>
        <v>#DIV/0!</v>
      </c>
      <c r="BH327" s="276" t="e">
        <f t="shared" si="325"/>
        <v>#DIV/0!</v>
      </c>
      <c r="BI327" s="276" t="e">
        <f t="shared" si="326"/>
        <v>#DIV/0!</v>
      </c>
      <c r="BJ327" s="276" t="e">
        <f t="shared" si="327"/>
        <v>#DIV/0!</v>
      </c>
      <c r="BK327" s="276" t="e">
        <f t="shared" si="328"/>
        <v>#DIV/0!</v>
      </c>
      <c r="BL327" s="686" t="e">
        <f t="shared" si="329"/>
        <v>#DIV/0!</v>
      </c>
      <c r="BM327" s="239"/>
      <c r="BN327" s="965" t="e">
        <f t="shared" si="330"/>
        <v>#VALUE!</v>
      </c>
      <c r="BO327" s="878" t="e">
        <f t="shared" si="331"/>
        <v>#VALUE!</v>
      </c>
      <c r="BP327" s="878" t="e">
        <f t="shared" si="332"/>
        <v>#VALUE!</v>
      </c>
      <c r="BQ327" s="878" t="e">
        <f t="shared" si="333"/>
        <v>#VALUE!</v>
      </c>
      <c r="BR327" s="878" t="e">
        <f t="shared" si="334"/>
        <v>#VALUE!</v>
      </c>
      <c r="BS327" s="966" t="e">
        <f t="shared" si="335"/>
        <v>#VALUE!</v>
      </c>
    </row>
    <row r="328" spans="1:71">
      <c r="A328" s="284">
        <f t="shared" si="336"/>
        <v>260</v>
      </c>
      <c r="B328" s="285">
        <v>3.0933809716001792</v>
      </c>
      <c r="C328" s="285">
        <v>3.725008993061651</v>
      </c>
      <c r="D328" s="285">
        <v>0.48080649311180157</v>
      </c>
      <c r="E328" s="285">
        <v>11.039136537434732</v>
      </c>
      <c r="H328" s="685">
        <f t="shared" si="282"/>
        <v>1.9601471298311244</v>
      </c>
      <c r="I328" s="276">
        <f t="shared" si="283"/>
        <v>-3.8051739600814045</v>
      </c>
      <c r="J328" s="276">
        <f t="shared" si="284"/>
        <v>-3.4310794139865264</v>
      </c>
      <c r="K328" s="276">
        <f t="shared" si="285"/>
        <v>-0.37898384156364384</v>
      </c>
      <c r="L328" s="276">
        <f t="shared" si="286"/>
        <v>0.48855687017983618</v>
      </c>
      <c r="M328" s="276">
        <f t="shared" si="287"/>
        <v>-2.3875368752531636</v>
      </c>
      <c r="N328" s="685">
        <f t="shared" si="288"/>
        <v>2.5178377820897824</v>
      </c>
      <c r="O328" s="276">
        <f t="shared" si="289"/>
        <v>2.2397272861817434</v>
      </c>
      <c r="P328" s="276">
        <f t="shared" si="290"/>
        <v>2.1534529241697848</v>
      </c>
      <c r="Q328" s="276">
        <f t="shared" si="291"/>
        <v>1.6874706090998337</v>
      </c>
      <c r="R328" s="276">
        <f t="shared" si="292"/>
        <v>1.6056512511647811</v>
      </c>
      <c r="S328" s="686">
        <f t="shared" si="293"/>
        <v>1.3144202353554186</v>
      </c>
      <c r="T328" s="685">
        <f t="shared" si="294"/>
        <v>3.7591701833827273</v>
      </c>
      <c r="U328" s="276">
        <f t="shared" si="295"/>
        <v>2.7481355067108981</v>
      </c>
      <c r="V328" s="276">
        <f t="shared" si="296"/>
        <v>4.0142489607838296</v>
      </c>
      <c r="W328" s="276">
        <f t="shared" si="297"/>
        <v>3.582801089550637</v>
      </c>
      <c r="X328" s="276">
        <f t="shared" si="298"/>
        <v>4.5518582951459292</v>
      </c>
      <c r="Y328" s="686">
        <f t="shared" si="299"/>
        <v>5.3702016926008511</v>
      </c>
      <c r="Z328" s="685" t="e">
        <f t="shared" si="300"/>
        <v>#DIV/0!</v>
      </c>
      <c r="AA328" s="276" t="e">
        <f t="shared" si="301"/>
        <v>#DIV/0!</v>
      </c>
      <c r="AB328" s="276" t="e">
        <f t="shared" si="302"/>
        <v>#DIV/0!</v>
      </c>
      <c r="AC328" s="276" t="e">
        <f t="shared" si="303"/>
        <v>#DIV/0!</v>
      </c>
      <c r="AD328" s="276" t="e">
        <f t="shared" si="304"/>
        <v>#DIV/0!</v>
      </c>
      <c r="AE328" s="686" t="e">
        <f t="shared" si="305"/>
        <v>#DIV/0!</v>
      </c>
      <c r="AF328" s="239"/>
      <c r="AG328" s="965" t="e">
        <f t="shared" si="276"/>
        <v>#VALUE!</v>
      </c>
      <c r="AH328" s="878" t="e">
        <f t="shared" si="277"/>
        <v>#VALUE!</v>
      </c>
      <c r="AI328" s="878" t="e">
        <f t="shared" si="278"/>
        <v>#VALUE!</v>
      </c>
      <c r="AJ328" s="878" t="e">
        <f t="shared" si="279"/>
        <v>#VALUE!</v>
      </c>
      <c r="AK328" s="878" t="e">
        <f t="shared" si="280"/>
        <v>#VALUE!</v>
      </c>
      <c r="AL328" s="966" t="e">
        <f t="shared" si="281"/>
        <v>#VALUE!</v>
      </c>
      <c r="AM328" s="239"/>
      <c r="AO328" s="685">
        <f t="shared" si="306"/>
        <v>1.9601471298311244</v>
      </c>
      <c r="AP328" s="276">
        <f t="shared" si="307"/>
        <v>-3.8051739600814045</v>
      </c>
      <c r="AQ328" s="276">
        <f t="shared" si="308"/>
        <v>-3.4310794139865264</v>
      </c>
      <c r="AR328" s="276">
        <f t="shared" si="309"/>
        <v>-0.37898384156364384</v>
      </c>
      <c r="AS328" s="276">
        <f t="shared" si="310"/>
        <v>0.48855687017983618</v>
      </c>
      <c r="AT328" s="276">
        <f t="shared" si="311"/>
        <v>-2.3875368752531636</v>
      </c>
      <c r="AU328" s="685">
        <f t="shared" si="312"/>
        <v>2.5178377820897824</v>
      </c>
      <c r="AV328" s="276">
        <f t="shared" si="313"/>
        <v>2.2397272861817434</v>
      </c>
      <c r="AW328" s="276">
        <f t="shared" si="314"/>
        <v>2.1534529241697848</v>
      </c>
      <c r="AX328" s="276">
        <f t="shared" si="315"/>
        <v>1.6874706090998337</v>
      </c>
      <c r="AY328" s="276">
        <f t="shared" si="316"/>
        <v>1.6056512511647811</v>
      </c>
      <c r="AZ328" s="686">
        <f t="shared" si="317"/>
        <v>1.3144202353554186</v>
      </c>
      <c r="BA328" s="685">
        <f t="shared" si="318"/>
        <v>0</v>
      </c>
      <c r="BB328" s="276">
        <f t="shared" si="319"/>
        <v>0</v>
      </c>
      <c r="BC328" s="276">
        <f t="shared" si="320"/>
        <v>0</v>
      </c>
      <c r="BD328" s="276">
        <f t="shared" si="321"/>
        <v>0</v>
      </c>
      <c r="BE328" s="276">
        <f t="shared" si="322"/>
        <v>0</v>
      </c>
      <c r="BF328" s="686">
        <f t="shared" si="323"/>
        <v>0</v>
      </c>
      <c r="BG328" s="685" t="e">
        <f t="shared" si="324"/>
        <v>#DIV/0!</v>
      </c>
      <c r="BH328" s="276" t="e">
        <f t="shared" si="325"/>
        <v>#DIV/0!</v>
      </c>
      <c r="BI328" s="276" t="e">
        <f t="shared" si="326"/>
        <v>#DIV/0!</v>
      </c>
      <c r="BJ328" s="276" t="e">
        <f t="shared" si="327"/>
        <v>#DIV/0!</v>
      </c>
      <c r="BK328" s="276" t="e">
        <f t="shared" si="328"/>
        <v>#DIV/0!</v>
      </c>
      <c r="BL328" s="686" t="e">
        <f t="shared" si="329"/>
        <v>#DIV/0!</v>
      </c>
      <c r="BM328" s="239"/>
      <c r="BN328" s="965" t="e">
        <f t="shared" si="330"/>
        <v>#VALUE!</v>
      </c>
      <c r="BO328" s="878" t="e">
        <f t="shared" si="331"/>
        <v>#VALUE!</v>
      </c>
      <c r="BP328" s="878" t="e">
        <f t="shared" si="332"/>
        <v>#VALUE!</v>
      </c>
      <c r="BQ328" s="878" t="e">
        <f t="shared" si="333"/>
        <v>#VALUE!</v>
      </c>
      <c r="BR328" s="878" t="e">
        <f t="shared" si="334"/>
        <v>#VALUE!</v>
      </c>
      <c r="BS328" s="966" t="e">
        <f t="shared" si="335"/>
        <v>#VALUE!</v>
      </c>
    </row>
    <row r="329" spans="1:71">
      <c r="A329" s="284">
        <f t="shared" si="336"/>
        <v>261</v>
      </c>
      <c r="B329" s="285">
        <v>1.3758173011692314</v>
      </c>
      <c r="C329" s="285">
        <v>3.0132252706641713</v>
      </c>
      <c r="D329" s="285">
        <v>0.60707001443853348</v>
      </c>
      <c r="E329" s="285">
        <v>9.5344783352966971</v>
      </c>
      <c r="H329" s="685">
        <f t="shared" si="282"/>
        <v>0.24258345940017656</v>
      </c>
      <c r="I329" s="276">
        <f t="shared" si="283"/>
        <v>-0.80047735657403973</v>
      </c>
      <c r="J329" s="276">
        <f t="shared" si="284"/>
        <v>-2.7379605073450115</v>
      </c>
      <c r="K329" s="276">
        <f t="shared" si="285"/>
        <v>1.9147849852107053</v>
      </c>
      <c r="L329" s="276">
        <f t="shared" si="286"/>
        <v>-3.4358283001562491</v>
      </c>
      <c r="M329" s="276">
        <f t="shared" si="287"/>
        <v>-1.0641988160209193</v>
      </c>
      <c r="N329" s="685">
        <f t="shared" si="288"/>
        <v>1.8060540596923029</v>
      </c>
      <c r="O329" s="276">
        <f t="shared" si="289"/>
        <v>1.3986880576311769</v>
      </c>
      <c r="P329" s="276">
        <f t="shared" si="290"/>
        <v>1.320986000260066</v>
      </c>
      <c r="Q329" s="276">
        <f t="shared" si="291"/>
        <v>1.4788995072864244</v>
      </c>
      <c r="R329" s="276">
        <f t="shared" si="292"/>
        <v>1.3860671743116082</v>
      </c>
      <c r="S329" s="686">
        <f t="shared" si="293"/>
        <v>1.7414218778757531</v>
      </c>
      <c r="T329" s="685">
        <f t="shared" si="294"/>
        <v>3.8854337047094596</v>
      </c>
      <c r="U329" s="276">
        <f t="shared" si="295"/>
        <v>2.8427436465721136</v>
      </c>
      <c r="V329" s="276">
        <f t="shared" si="296"/>
        <v>3.3323179655449735</v>
      </c>
      <c r="W329" s="276">
        <f t="shared" si="297"/>
        <v>6.0334545577800576</v>
      </c>
      <c r="X329" s="276">
        <f t="shared" si="298"/>
        <v>2.9929969411482844</v>
      </c>
      <c r="Y329" s="686">
        <f t="shared" si="299"/>
        <v>4.2716091615302103</v>
      </c>
      <c r="Z329" s="685" t="e">
        <f t="shared" si="300"/>
        <v>#DIV/0!</v>
      </c>
      <c r="AA329" s="276" t="e">
        <f t="shared" si="301"/>
        <v>#DIV/0!</v>
      </c>
      <c r="AB329" s="276" t="e">
        <f t="shared" si="302"/>
        <v>#DIV/0!</v>
      </c>
      <c r="AC329" s="276" t="e">
        <f t="shared" si="303"/>
        <v>#DIV/0!</v>
      </c>
      <c r="AD329" s="276" t="e">
        <f t="shared" si="304"/>
        <v>#DIV/0!</v>
      </c>
      <c r="AE329" s="686" t="e">
        <f t="shared" si="305"/>
        <v>#DIV/0!</v>
      </c>
      <c r="AF329" s="239"/>
      <c r="AG329" s="965" t="e">
        <f t="shared" si="276"/>
        <v>#VALUE!</v>
      </c>
      <c r="AH329" s="878" t="e">
        <f t="shared" si="277"/>
        <v>#VALUE!</v>
      </c>
      <c r="AI329" s="878" t="e">
        <f t="shared" si="278"/>
        <v>#VALUE!</v>
      </c>
      <c r="AJ329" s="878" t="e">
        <f t="shared" si="279"/>
        <v>#VALUE!</v>
      </c>
      <c r="AK329" s="878" t="e">
        <f t="shared" si="280"/>
        <v>#VALUE!</v>
      </c>
      <c r="AL329" s="966" t="e">
        <f t="shared" si="281"/>
        <v>#VALUE!</v>
      </c>
      <c r="AM329" s="239"/>
      <c r="AO329" s="685">
        <f t="shared" si="306"/>
        <v>0.24258345940017656</v>
      </c>
      <c r="AP329" s="276">
        <f t="shared" si="307"/>
        <v>-0.80047735657403973</v>
      </c>
      <c r="AQ329" s="276">
        <f t="shared" si="308"/>
        <v>-2.7379605073450115</v>
      </c>
      <c r="AR329" s="276">
        <f t="shared" si="309"/>
        <v>1.9147849852107053</v>
      </c>
      <c r="AS329" s="276">
        <f t="shared" si="310"/>
        <v>-3.4358283001562491</v>
      </c>
      <c r="AT329" s="276">
        <f t="shared" si="311"/>
        <v>-1.0641988160209193</v>
      </c>
      <c r="AU329" s="685">
        <f t="shared" si="312"/>
        <v>1.8060540596923029</v>
      </c>
      <c r="AV329" s="276">
        <f t="shared" si="313"/>
        <v>1.3986880576311769</v>
      </c>
      <c r="AW329" s="276">
        <f t="shared" si="314"/>
        <v>1.320986000260066</v>
      </c>
      <c r="AX329" s="276">
        <f t="shared" si="315"/>
        <v>1.4788995072864244</v>
      </c>
      <c r="AY329" s="276">
        <f t="shared" si="316"/>
        <v>1.3860671743116082</v>
      </c>
      <c r="AZ329" s="686">
        <f t="shared" si="317"/>
        <v>1.7414218778757531</v>
      </c>
      <c r="BA329" s="685">
        <f t="shared" si="318"/>
        <v>0</v>
      </c>
      <c r="BB329" s="276">
        <f t="shared" si="319"/>
        <v>0</v>
      </c>
      <c r="BC329" s="276">
        <f t="shared" si="320"/>
        <v>0</v>
      </c>
      <c r="BD329" s="276">
        <f t="shared" si="321"/>
        <v>0</v>
      </c>
      <c r="BE329" s="276">
        <f t="shared" si="322"/>
        <v>0</v>
      </c>
      <c r="BF329" s="686">
        <f t="shared" si="323"/>
        <v>0</v>
      </c>
      <c r="BG329" s="685" t="e">
        <f t="shared" si="324"/>
        <v>#DIV/0!</v>
      </c>
      <c r="BH329" s="276" t="e">
        <f t="shared" si="325"/>
        <v>#DIV/0!</v>
      </c>
      <c r="BI329" s="276" t="e">
        <f t="shared" si="326"/>
        <v>#DIV/0!</v>
      </c>
      <c r="BJ329" s="276" t="e">
        <f t="shared" si="327"/>
        <v>#DIV/0!</v>
      </c>
      <c r="BK329" s="276" t="e">
        <f t="shared" si="328"/>
        <v>#DIV/0!</v>
      </c>
      <c r="BL329" s="686" t="e">
        <f t="shared" si="329"/>
        <v>#DIV/0!</v>
      </c>
      <c r="BM329" s="239"/>
      <c r="BN329" s="965" t="e">
        <f t="shared" si="330"/>
        <v>#VALUE!</v>
      </c>
      <c r="BO329" s="878" t="e">
        <f t="shared" si="331"/>
        <v>#VALUE!</v>
      </c>
      <c r="BP329" s="878" t="e">
        <f t="shared" si="332"/>
        <v>#VALUE!</v>
      </c>
      <c r="BQ329" s="878" t="e">
        <f t="shared" si="333"/>
        <v>#VALUE!</v>
      </c>
      <c r="BR329" s="878" t="e">
        <f t="shared" si="334"/>
        <v>#VALUE!</v>
      </c>
      <c r="BS329" s="966" t="e">
        <f t="shared" si="335"/>
        <v>#VALUE!</v>
      </c>
    </row>
    <row r="330" spans="1:71">
      <c r="A330" s="284">
        <f t="shared" si="336"/>
        <v>262</v>
      </c>
      <c r="B330" s="285">
        <v>2.9857535992848319</v>
      </c>
      <c r="C330" s="285">
        <v>2.5104029774059677</v>
      </c>
      <c r="D330" s="285">
        <v>3.1698741117043552</v>
      </c>
      <c r="E330" s="285">
        <v>-19.851248229902641</v>
      </c>
      <c r="H330" s="685">
        <f t="shared" si="282"/>
        <v>1.852519757515777</v>
      </c>
      <c r="I330" s="276">
        <f t="shared" si="283"/>
        <v>-2.7989786348132344</v>
      </c>
      <c r="J330" s="276">
        <f t="shared" si="284"/>
        <v>-1.3106192095570457</v>
      </c>
      <c r="K330" s="276">
        <f t="shared" si="285"/>
        <v>4.3825704525381832</v>
      </c>
      <c r="L330" s="276">
        <f t="shared" si="286"/>
        <v>-3.892005377810106</v>
      </c>
      <c r="M330" s="276">
        <f t="shared" si="287"/>
        <v>-3.0267546183604308</v>
      </c>
      <c r="N330" s="685">
        <f t="shared" si="288"/>
        <v>1.3032317664340993</v>
      </c>
      <c r="O330" s="276">
        <f t="shared" si="289"/>
        <v>1.1377797820575875</v>
      </c>
      <c r="P330" s="276">
        <f t="shared" si="290"/>
        <v>1.2440370394259486</v>
      </c>
      <c r="Q330" s="276">
        <f t="shared" si="291"/>
        <v>2.5807296368029329</v>
      </c>
      <c r="R330" s="276">
        <f t="shared" si="292"/>
        <v>1.3338292561139229</v>
      </c>
      <c r="S330" s="686">
        <f t="shared" si="293"/>
        <v>1.4094435451385861</v>
      </c>
      <c r="T330" s="685">
        <f t="shared" si="294"/>
        <v>6.4482378019752815</v>
      </c>
      <c r="U330" s="276">
        <f t="shared" si="295"/>
        <v>2.7099987775851413</v>
      </c>
      <c r="V330" s="276">
        <f t="shared" si="296"/>
        <v>3.5601467793877797</v>
      </c>
      <c r="W330" s="276">
        <f t="shared" si="297"/>
        <v>3.9394130971604695</v>
      </c>
      <c r="X330" s="276">
        <f t="shared" si="298"/>
        <v>4.0014070258993479</v>
      </c>
      <c r="Y330" s="686">
        <f t="shared" si="299"/>
        <v>5.2269811789665086</v>
      </c>
      <c r="Z330" s="685" t="e">
        <f t="shared" si="300"/>
        <v>#DIV/0!</v>
      </c>
      <c r="AA330" s="276" t="e">
        <f t="shared" si="301"/>
        <v>#DIV/0!</v>
      </c>
      <c r="AB330" s="276" t="e">
        <f t="shared" si="302"/>
        <v>#DIV/0!</v>
      </c>
      <c r="AC330" s="276" t="e">
        <f t="shared" si="303"/>
        <v>#DIV/0!</v>
      </c>
      <c r="AD330" s="276" t="e">
        <f t="shared" si="304"/>
        <v>#DIV/0!</v>
      </c>
      <c r="AE330" s="686" t="e">
        <f t="shared" si="305"/>
        <v>#DIV/0!</v>
      </c>
      <c r="AF330" s="239"/>
      <c r="AG330" s="965" t="e">
        <f t="shared" si="276"/>
        <v>#VALUE!</v>
      </c>
      <c r="AH330" s="878" t="e">
        <f t="shared" si="277"/>
        <v>#VALUE!</v>
      </c>
      <c r="AI330" s="878" t="e">
        <f t="shared" si="278"/>
        <v>#VALUE!</v>
      </c>
      <c r="AJ330" s="878" t="e">
        <f t="shared" si="279"/>
        <v>#VALUE!</v>
      </c>
      <c r="AK330" s="878" t="e">
        <f t="shared" si="280"/>
        <v>#VALUE!</v>
      </c>
      <c r="AL330" s="966" t="e">
        <f t="shared" si="281"/>
        <v>#VALUE!</v>
      </c>
      <c r="AM330" s="239"/>
      <c r="AO330" s="685">
        <f t="shared" si="306"/>
        <v>1.852519757515777</v>
      </c>
      <c r="AP330" s="276">
        <f t="shared" si="307"/>
        <v>-2.7989786348132344</v>
      </c>
      <c r="AQ330" s="276">
        <f t="shared" si="308"/>
        <v>-1.3106192095570457</v>
      </c>
      <c r="AR330" s="276">
        <f t="shared" si="309"/>
        <v>4.3825704525381832</v>
      </c>
      <c r="AS330" s="276">
        <f t="shared" si="310"/>
        <v>-3.892005377810106</v>
      </c>
      <c r="AT330" s="276">
        <f t="shared" si="311"/>
        <v>-3.0267546183604308</v>
      </c>
      <c r="AU330" s="685">
        <f t="shared" si="312"/>
        <v>1.3032317664340993</v>
      </c>
      <c r="AV330" s="276">
        <f t="shared" si="313"/>
        <v>1.1377797820575875</v>
      </c>
      <c r="AW330" s="276">
        <f t="shared" si="314"/>
        <v>1.2440370394259486</v>
      </c>
      <c r="AX330" s="276">
        <f t="shared" si="315"/>
        <v>2.5807296368029329</v>
      </c>
      <c r="AY330" s="276">
        <f t="shared" si="316"/>
        <v>1.3338292561139229</v>
      </c>
      <c r="AZ330" s="686">
        <f t="shared" si="317"/>
        <v>1.4094435451385861</v>
      </c>
      <c r="BA330" s="685">
        <f t="shared" si="318"/>
        <v>0</v>
      </c>
      <c r="BB330" s="276">
        <f t="shared" si="319"/>
        <v>0</v>
      </c>
      <c r="BC330" s="276">
        <f t="shared" si="320"/>
        <v>0</v>
      </c>
      <c r="BD330" s="276">
        <f t="shared" si="321"/>
        <v>0</v>
      </c>
      <c r="BE330" s="276">
        <f t="shared" si="322"/>
        <v>0</v>
      </c>
      <c r="BF330" s="686">
        <f t="shared" si="323"/>
        <v>0</v>
      </c>
      <c r="BG330" s="685" t="e">
        <f t="shared" si="324"/>
        <v>#DIV/0!</v>
      </c>
      <c r="BH330" s="276" t="e">
        <f t="shared" si="325"/>
        <v>#DIV/0!</v>
      </c>
      <c r="BI330" s="276" t="e">
        <f t="shared" si="326"/>
        <v>#DIV/0!</v>
      </c>
      <c r="BJ330" s="276" t="e">
        <f t="shared" si="327"/>
        <v>#DIV/0!</v>
      </c>
      <c r="BK330" s="276" t="e">
        <f t="shared" si="328"/>
        <v>#DIV/0!</v>
      </c>
      <c r="BL330" s="686" t="e">
        <f t="shared" si="329"/>
        <v>#DIV/0!</v>
      </c>
      <c r="BM330" s="239"/>
      <c r="BN330" s="965" t="e">
        <f t="shared" si="330"/>
        <v>#VALUE!</v>
      </c>
      <c r="BO330" s="878" t="e">
        <f t="shared" si="331"/>
        <v>#VALUE!</v>
      </c>
      <c r="BP330" s="878" t="e">
        <f t="shared" si="332"/>
        <v>#VALUE!</v>
      </c>
      <c r="BQ330" s="878" t="e">
        <f t="shared" si="333"/>
        <v>#VALUE!</v>
      </c>
      <c r="BR330" s="878" t="e">
        <f t="shared" si="334"/>
        <v>#VALUE!</v>
      </c>
      <c r="BS330" s="966" t="e">
        <f t="shared" si="335"/>
        <v>#VALUE!</v>
      </c>
    </row>
    <row r="331" spans="1:71">
      <c r="A331" s="284">
        <f t="shared" si="336"/>
        <v>263</v>
      </c>
      <c r="B331" s="285">
        <v>4.8826937094140082</v>
      </c>
      <c r="C331" s="285">
        <v>1.7987277017583141</v>
      </c>
      <c r="D331" s="285">
        <v>3.2891244746307704</v>
      </c>
      <c r="E331" s="285">
        <v>-13.065499967845188</v>
      </c>
      <c r="H331" s="685">
        <f t="shared" si="282"/>
        <v>3.7494598676449531</v>
      </c>
      <c r="I331" s="276">
        <f t="shared" si="283"/>
        <v>-1.1157211337098576</v>
      </c>
      <c r="J331" s="276">
        <f t="shared" si="284"/>
        <v>-1.8710853004136212</v>
      </c>
      <c r="K331" s="276">
        <f t="shared" si="285"/>
        <v>0.6384185649741807</v>
      </c>
      <c r="L331" s="276">
        <f t="shared" si="286"/>
        <v>1.204339288002388</v>
      </c>
      <c r="M331" s="276">
        <f t="shared" si="287"/>
        <v>-1.7211896562642335</v>
      </c>
      <c r="N331" s="685">
        <f t="shared" si="288"/>
        <v>0.59155649078644568</v>
      </c>
      <c r="O331" s="276">
        <f t="shared" si="289"/>
        <v>1.8509354771617226</v>
      </c>
      <c r="P331" s="276">
        <f t="shared" si="290"/>
        <v>0.97046381069639165</v>
      </c>
      <c r="Q331" s="276">
        <f t="shared" si="291"/>
        <v>1.5894108144037944</v>
      </c>
      <c r="R331" s="276">
        <f t="shared" si="292"/>
        <v>1.4058073466835717</v>
      </c>
      <c r="S331" s="686">
        <f t="shared" si="293"/>
        <v>0.7647743031336951</v>
      </c>
      <c r="T331" s="685">
        <f t="shared" si="294"/>
        <v>6.5674881649016967</v>
      </c>
      <c r="U331" s="276">
        <f t="shared" si="295"/>
        <v>3.9244480466569605</v>
      </c>
      <c r="V331" s="276">
        <f t="shared" si="296"/>
        <v>5.6652320462623429</v>
      </c>
      <c r="W331" s="276">
        <f t="shared" si="297"/>
        <v>4.8217943957971308</v>
      </c>
      <c r="X331" s="276">
        <f t="shared" si="298"/>
        <v>5.7324176893065486</v>
      </c>
      <c r="Y331" s="686">
        <f t="shared" si="299"/>
        <v>5.6703713438718424</v>
      </c>
      <c r="Z331" s="685" t="e">
        <f t="shared" si="300"/>
        <v>#DIV/0!</v>
      </c>
      <c r="AA331" s="276" t="e">
        <f t="shared" si="301"/>
        <v>#DIV/0!</v>
      </c>
      <c r="AB331" s="276" t="e">
        <f t="shared" si="302"/>
        <v>#DIV/0!</v>
      </c>
      <c r="AC331" s="276" t="e">
        <f t="shared" si="303"/>
        <v>#DIV/0!</v>
      </c>
      <c r="AD331" s="276" t="e">
        <f t="shared" si="304"/>
        <v>#DIV/0!</v>
      </c>
      <c r="AE331" s="686" t="e">
        <f t="shared" si="305"/>
        <v>#DIV/0!</v>
      </c>
      <c r="AF331" s="239"/>
      <c r="AG331" s="965" t="e">
        <f t="shared" si="276"/>
        <v>#VALUE!</v>
      </c>
      <c r="AH331" s="878" t="e">
        <f t="shared" si="277"/>
        <v>#VALUE!</v>
      </c>
      <c r="AI331" s="878" t="e">
        <f t="shared" si="278"/>
        <v>#VALUE!</v>
      </c>
      <c r="AJ331" s="878" t="e">
        <f t="shared" si="279"/>
        <v>#VALUE!</v>
      </c>
      <c r="AK331" s="878" t="e">
        <f t="shared" si="280"/>
        <v>#VALUE!</v>
      </c>
      <c r="AL331" s="966" t="e">
        <f t="shared" si="281"/>
        <v>#VALUE!</v>
      </c>
      <c r="AM331" s="239"/>
      <c r="AO331" s="685">
        <f t="shared" si="306"/>
        <v>3.7494598676449531</v>
      </c>
      <c r="AP331" s="276">
        <f t="shared" si="307"/>
        <v>-1.1157211337098576</v>
      </c>
      <c r="AQ331" s="276">
        <f t="shared" si="308"/>
        <v>-1.8710853004136212</v>
      </c>
      <c r="AR331" s="276">
        <f t="shared" si="309"/>
        <v>0.6384185649741807</v>
      </c>
      <c r="AS331" s="276">
        <f t="shared" si="310"/>
        <v>1.204339288002388</v>
      </c>
      <c r="AT331" s="276">
        <f t="shared" si="311"/>
        <v>-1.7211896562642335</v>
      </c>
      <c r="AU331" s="685">
        <f t="shared" si="312"/>
        <v>0.59155649078644568</v>
      </c>
      <c r="AV331" s="276">
        <f t="shared" si="313"/>
        <v>1.8509354771617226</v>
      </c>
      <c r="AW331" s="276">
        <f t="shared" si="314"/>
        <v>0.97046381069639165</v>
      </c>
      <c r="AX331" s="276">
        <f t="shared" si="315"/>
        <v>1.5894108144037944</v>
      </c>
      <c r="AY331" s="276">
        <f t="shared" si="316"/>
        <v>1.4058073466835717</v>
      </c>
      <c r="AZ331" s="686">
        <f t="shared" si="317"/>
        <v>0.7647743031336951</v>
      </c>
      <c r="BA331" s="685">
        <f t="shared" si="318"/>
        <v>0</v>
      </c>
      <c r="BB331" s="276">
        <f t="shared" si="319"/>
        <v>0</v>
      </c>
      <c r="BC331" s="276">
        <f t="shared" si="320"/>
        <v>0</v>
      </c>
      <c r="BD331" s="276">
        <f t="shared" si="321"/>
        <v>0</v>
      </c>
      <c r="BE331" s="276">
        <f t="shared" si="322"/>
        <v>0</v>
      </c>
      <c r="BF331" s="686">
        <f t="shared" si="323"/>
        <v>0</v>
      </c>
      <c r="BG331" s="685" t="e">
        <f t="shared" si="324"/>
        <v>#DIV/0!</v>
      </c>
      <c r="BH331" s="276" t="e">
        <f t="shared" si="325"/>
        <v>#DIV/0!</v>
      </c>
      <c r="BI331" s="276" t="e">
        <f t="shared" si="326"/>
        <v>#DIV/0!</v>
      </c>
      <c r="BJ331" s="276" t="e">
        <f t="shared" si="327"/>
        <v>#DIV/0!</v>
      </c>
      <c r="BK331" s="276" t="e">
        <f t="shared" si="328"/>
        <v>#DIV/0!</v>
      </c>
      <c r="BL331" s="686" t="e">
        <f t="shared" si="329"/>
        <v>#DIV/0!</v>
      </c>
      <c r="BM331" s="239"/>
      <c r="BN331" s="965" t="e">
        <f t="shared" si="330"/>
        <v>#VALUE!</v>
      </c>
      <c r="BO331" s="878" t="e">
        <f t="shared" si="331"/>
        <v>#VALUE!</v>
      </c>
      <c r="BP331" s="878" t="e">
        <f t="shared" si="332"/>
        <v>#VALUE!</v>
      </c>
      <c r="BQ331" s="878" t="e">
        <f t="shared" si="333"/>
        <v>#VALUE!</v>
      </c>
      <c r="BR331" s="878" t="e">
        <f t="shared" si="334"/>
        <v>#VALUE!</v>
      </c>
      <c r="BS331" s="966" t="e">
        <f t="shared" si="335"/>
        <v>#VALUE!</v>
      </c>
    </row>
    <row r="332" spans="1:71">
      <c r="A332" s="284">
        <f t="shared" si="336"/>
        <v>264</v>
      </c>
      <c r="B332" s="285">
        <v>-1.9581678167706067</v>
      </c>
      <c r="C332" s="285">
        <v>1.8788804854697496</v>
      </c>
      <c r="D332" s="285">
        <v>1.980664700107164</v>
      </c>
      <c r="E332" s="285">
        <v>-15.094262981206739</v>
      </c>
      <c r="H332" s="685">
        <f t="shared" si="282"/>
        <v>-3.0914016585396613</v>
      </c>
      <c r="I332" s="276">
        <f t="shared" si="283"/>
        <v>-2.3905397976317246</v>
      </c>
      <c r="J332" s="276">
        <f t="shared" si="284"/>
        <v>-3.5449816991477539</v>
      </c>
      <c r="K332" s="276">
        <f t="shared" si="285"/>
        <v>-1.0094687568453402</v>
      </c>
      <c r="L332" s="276">
        <f t="shared" si="286"/>
        <v>-1.4381269341036682</v>
      </c>
      <c r="M332" s="276">
        <f t="shared" si="287"/>
        <v>-1.4306802151335094</v>
      </c>
      <c r="N332" s="685">
        <f t="shared" si="288"/>
        <v>0.6717092744978812</v>
      </c>
      <c r="O332" s="276">
        <f t="shared" si="289"/>
        <v>0.66204740360092029</v>
      </c>
      <c r="P332" s="276">
        <f t="shared" si="290"/>
        <v>0.68723288937959603</v>
      </c>
      <c r="Q332" s="276">
        <f t="shared" si="291"/>
        <v>1.6782545042186141</v>
      </c>
      <c r="R332" s="276">
        <f t="shared" si="292"/>
        <v>1.1323388131374601</v>
      </c>
      <c r="S332" s="686">
        <f t="shared" si="293"/>
        <v>1.7449234666540325</v>
      </c>
      <c r="T332" s="685">
        <f t="shared" si="294"/>
        <v>5.2590283903780897</v>
      </c>
      <c r="U332" s="276">
        <f t="shared" si="295"/>
        <v>2.3567958950359404</v>
      </c>
      <c r="V332" s="276">
        <f t="shared" si="296"/>
        <v>3.7364551972737052</v>
      </c>
      <c r="W332" s="276">
        <f t="shared" si="297"/>
        <v>6.4563900007586179</v>
      </c>
      <c r="X332" s="276">
        <f t="shared" si="298"/>
        <v>4.5573258183472518</v>
      </c>
      <c r="Y332" s="686">
        <f t="shared" si="299"/>
        <v>4.2764918989665004</v>
      </c>
      <c r="Z332" s="685" t="e">
        <f t="shared" si="300"/>
        <v>#DIV/0!</v>
      </c>
      <c r="AA332" s="276" t="e">
        <f t="shared" si="301"/>
        <v>#DIV/0!</v>
      </c>
      <c r="AB332" s="276" t="e">
        <f t="shared" si="302"/>
        <v>#DIV/0!</v>
      </c>
      <c r="AC332" s="276" t="e">
        <f t="shared" si="303"/>
        <v>#DIV/0!</v>
      </c>
      <c r="AD332" s="276" t="e">
        <f t="shared" si="304"/>
        <v>#DIV/0!</v>
      </c>
      <c r="AE332" s="686" t="e">
        <f t="shared" si="305"/>
        <v>#DIV/0!</v>
      </c>
      <c r="AF332" s="239"/>
      <c r="AG332" s="965" t="e">
        <f t="shared" si="276"/>
        <v>#VALUE!</v>
      </c>
      <c r="AH332" s="878" t="e">
        <f t="shared" si="277"/>
        <v>#VALUE!</v>
      </c>
      <c r="AI332" s="878" t="e">
        <f t="shared" si="278"/>
        <v>#VALUE!</v>
      </c>
      <c r="AJ332" s="878" t="e">
        <f t="shared" si="279"/>
        <v>#VALUE!</v>
      </c>
      <c r="AK332" s="878" t="e">
        <f t="shared" si="280"/>
        <v>#VALUE!</v>
      </c>
      <c r="AL332" s="966" t="e">
        <f t="shared" si="281"/>
        <v>#VALUE!</v>
      </c>
      <c r="AM332" s="239"/>
      <c r="AO332" s="685">
        <f t="shared" si="306"/>
        <v>-3.0914016585396613</v>
      </c>
      <c r="AP332" s="276">
        <f t="shared" si="307"/>
        <v>-2.3905397976317246</v>
      </c>
      <c r="AQ332" s="276">
        <f t="shared" si="308"/>
        <v>-3.5449816991477539</v>
      </c>
      <c r="AR332" s="276">
        <f t="shared" si="309"/>
        <v>-1.0094687568453402</v>
      </c>
      <c r="AS332" s="276">
        <f t="shared" si="310"/>
        <v>-1.4381269341036682</v>
      </c>
      <c r="AT332" s="276">
        <f t="shared" si="311"/>
        <v>-1.4306802151335094</v>
      </c>
      <c r="AU332" s="685">
        <f t="shared" si="312"/>
        <v>0.6717092744978812</v>
      </c>
      <c r="AV332" s="276">
        <f t="shared" si="313"/>
        <v>0.66204740360092029</v>
      </c>
      <c r="AW332" s="276">
        <f t="shared" si="314"/>
        <v>0.68723288937959603</v>
      </c>
      <c r="AX332" s="276">
        <f t="shared" si="315"/>
        <v>1.6782545042186141</v>
      </c>
      <c r="AY332" s="276">
        <f t="shared" si="316"/>
        <v>1.1323388131374601</v>
      </c>
      <c r="AZ332" s="686">
        <f t="shared" si="317"/>
        <v>1.7449234666540325</v>
      </c>
      <c r="BA332" s="685">
        <f t="shared" si="318"/>
        <v>0</v>
      </c>
      <c r="BB332" s="276">
        <f t="shared" si="319"/>
        <v>0</v>
      </c>
      <c r="BC332" s="276">
        <f t="shared" si="320"/>
        <v>0</v>
      </c>
      <c r="BD332" s="276">
        <f t="shared" si="321"/>
        <v>0</v>
      </c>
      <c r="BE332" s="276">
        <f t="shared" si="322"/>
        <v>0</v>
      </c>
      <c r="BF332" s="686">
        <f t="shared" si="323"/>
        <v>0</v>
      </c>
      <c r="BG332" s="685" t="e">
        <f t="shared" si="324"/>
        <v>#DIV/0!</v>
      </c>
      <c r="BH332" s="276" t="e">
        <f t="shared" si="325"/>
        <v>#DIV/0!</v>
      </c>
      <c r="BI332" s="276" t="e">
        <f t="shared" si="326"/>
        <v>#DIV/0!</v>
      </c>
      <c r="BJ332" s="276" t="e">
        <f t="shared" si="327"/>
        <v>#DIV/0!</v>
      </c>
      <c r="BK332" s="276" t="e">
        <f t="shared" si="328"/>
        <v>#DIV/0!</v>
      </c>
      <c r="BL332" s="686" t="e">
        <f t="shared" si="329"/>
        <v>#DIV/0!</v>
      </c>
      <c r="BM332" s="239"/>
      <c r="BN332" s="965" t="e">
        <f t="shared" si="330"/>
        <v>#VALUE!</v>
      </c>
      <c r="BO332" s="878" t="e">
        <f t="shared" si="331"/>
        <v>#VALUE!</v>
      </c>
      <c r="BP332" s="878" t="e">
        <f t="shared" si="332"/>
        <v>#VALUE!</v>
      </c>
      <c r="BQ332" s="878" t="e">
        <f t="shared" si="333"/>
        <v>#VALUE!</v>
      </c>
      <c r="BR332" s="878" t="e">
        <f t="shared" si="334"/>
        <v>#VALUE!</v>
      </c>
      <c r="BS332" s="966" t="e">
        <f t="shared" si="335"/>
        <v>#VALUE!</v>
      </c>
    </row>
    <row r="333" spans="1:71">
      <c r="A333" s="284">
        <f t="shared" si="336"/>
        <v>265</v>
      </c>
      <c r="B333" s="285">
        <v>-0.62234562122572745</v>
      </c>
      <c r="C333" s="285">
        <v>2.3706849968670336</v>
      </c>
      <c r="D333" s="285">
        <v>0.58671896199410134</v>
      </c>
      <c r="E333" s="285">
        <v>-8.9134605877286823</v>
      </c>
      <c r="H333" s="685">
        <f t="shared" si="282"/>
        <v>-1.7555794629947823</v>
      </c>
      <c r="I333" s="276">
        <f t="shared" si="283"/>
        <v>-4.9648270733571165</v>
      </c>
      <c r="J333" s="276">
        <f t="shared" si="284"/>
        <v>0.72607671236896909</v>
      </c>
      <c r="K333" s="276">
        <f t="shared" si="285"/>
        <v>0.31601281581605267</v>
      </c>
      <c r="L333" s="276">
        <f t="shared" si="286"/>
        <v>-0.48015498170110915</v>
      </c>
      <c r="M333" s="276">
        <f t="shared" si="287"/>
        <v>0.10696175472126535</v>
      </c>
      <c r="N333" s="685">
        <f t="shared" si="288"/>
        <v>1.1635137858951652</v>
      </c>
      <c r="O333" s="276">
        <f t="shared" si="289"/>
        <v>1.1811210096499438</v>
      </c>
      <c r="P333" s="276">
        <f t="shared" si="290"/>
        <v>1.3051816253903785</v>
      </c>
      <c r="Q333" s="276">
        <f t="shared" si="291"/>
        <v>1.6566720876312424</v>
      </c>
      <c r="R333" s="276">
        <f t="shared" si="292"/>
        <v>1.6567305741244265</v>
      </c>
      <c r="S333" s="686">
        <f t="shared" si="293"/>
        <v>1.5615629182631523</v>
      </c>
      <c r="T333" s="685">
        <f t="shared" si="294"/>
        <v>3.865082652265027</v>
      </c>
      <c r="U333" s="276">
        <f t="shared" si="295"/>
        <v>4.3766803074028378</v>
      </c>
      <c r="V333" s="276">
        <f t="shared" si="296"/>
        <v>5.8179143663658142</v>
      </c>
      <c r="W333" s="276">
        <f t="shared" si="297"/>
        <v>4.1819630419003282</v>
      </c>
      <c r="X333" s="276">
        <f t="shared" si="298"/>
        <v>4.7149839559620066</v>
      </c>
      <c r="Y333" s="686">
        <f t="shared" si="299"/>
        <v>5.5948761737405555</v>
      </c>
      <c r="Z333" s="685" t="e">
        <f t="shared" si="300"/>
        <v>#DIV/0!</v>
      </c>
      <c r="AA333" s="276" t="e">
        <f t="shared" si="301"/>
        <v>#DIV/0!</v>
      </c>
      <c r="AB333" s="276" t="e">
        <f t="shared" si="302"/>
        <v>#DIV/0!</v>
      </c>
      <c r="AC333" s="276" t="e">
        <f t="shared" si="303"/>
        <v>#DIV/0!</v>
      </c>
      <c r="AD333" s="276" t="e">
        <f t="shared" si="304"/>
        <v>#DIV/0!</v>
      </c>
      <c r="AE333" s="686" t="e">
        <f t="shared" si="305"/>
        <v>#DIV/0!</v>
      </c>
      <c r="AF333" s="239"/>
      <c r="AG333" s="965" t="e">
        <f t="shared" si="276"/>
        <v>#VALUE!</v>
      </c>
      <c r="AH333" s="878" t="e">
        <f t="shared" si="277"/>
        <v>#VALUE!</v>
      </c>
      <c r="AI333" s="878" t="e">
        <f t="shared" si="278"/>
        <v>#VALUE!</v>
      </c>
      <c r="AJ333" s="878" t="e">
        <f t="shared" si="279"/>
        <v>#VALUE!</v>
      </c>
      <c r="AK333" s="878" t="e">
        <f t="shared" si="280"/>
        <v>#VALUE!</v>
      </c>
      <c r="AL333" s="966" t="e">
        <f t="shared" si="281"/>
        <v>#VALUE!</v>
      </c>
      <c r="AM333" s="239"/>
      <c r="AO333" s="685">
        <f t="shared" si="306"/>
        <v>-1.7555794629947823</v>
      </c>
      <c r="AP333" s="276">
        <f t="shared" si="307"/>
        <v>-4.9648270733571165</v>
      </c>
      <c r="AQ333" s="276">
        <f t="shared" si="308"/>
        <v>0.72607671236896909</v>
      </c>
      <c r="AR333" s="276">
        <f t="shared" si="309"/>
        <v>0.31601281581605267</v>
      </c>
      <c r="AS333" s="276">
        <f t="shared" si="310"/>
        <v>-0.48015498170110915</v>
      </c>
      <c r="AT333" s="276">
        <f t="shared" si="311"/>
        <v>0.10696175472126535</v>
      </c>
      <c r="AU333" s="685">
        <f t="shared" si="312"/>
        <v>1.1635137858951652</v>
      </c>
      <c r="AV333" s="276">
        <f t="shared" si="313"/>
        <v>1.1811210096499438</v>
      </c>
      <c r="AW333" s="276">
        <f t="shared" si="314"/>
        <v>1.3051816253903785</v>
      </c>
      <c r="AX333" s="276">
        <f t="shared" si="315"/>
        <v>1.6566720876312424</v>
      </c>
      <c r="AY333" s="276">
        <f t="shared" si="316"/>
        <v>1.6567305741244265</v>
      </c>
      <c r="AZ333" s="686">
        <f t="shared" si="317"/>
        <v>1.5615629182631523</v>
      </c>
      <c r="BA333" s="685">
        <f t="shared" si="318"/>
        <v>0</v>
      </c>
      <c r="BB333" s="276">
        <f t="shared" si="319"/>
        <v>0</v>
      </c>
      <c r="BC333" s="276">
        <f t="shared" si="320"/>
        <v>0</v>
      </c>
      <c r="BD333" s="276">
        <f t="shared" si="321"/>
        <v>0</v>
      </c>
      <c r="BE333" s="276">
        <f t="shared" si="322"/>
        <v>0</v>
      </c>
      <c r="BF333" s="686">
        <f t="shared" si="323"/>
        <v>0</v>
      </c>
      <c r="BG333" s="685" t="e">
        <f t="shared" si="324"/>
        <v>#DIV/0!</v>
      </c>
      <c r="BH333" s="276" t="e">
        <f t="shared" si="325"/>
        <v>#DIV/0!</v>
      </c>
      <c r="BI333" s="276" t="e">
        <f t="shared" si="326"/>
        <v>#DIV/0!</v>
      </c>
      <c r="BJ333" s="276" t="e">
        <f t="shared" si="327"/>
        <v>#DIV/0!</v>
      </c>
      <c r="BK333" s="276" t="e">
        <f t="shared" si="328"/>
        <v>#DIV/0!</v>
      </c>
      <c r="BL333" s="686" t="e">
        <f t="shared" si="329"/>
        <v>#DIV/0!</v>
      </c>
      <c r="BM333" s="239"/>
      <c r="BN333" s="965" t="e">
        <f t="shared" si="330"/>
        <v>#VALUE!</v>
      </c>
      <c r="BO333" s="878" t="e">
        <f t="shared" si="331"/>
        <v>#VALUE!</v>
      </c>
      <c r="BP333" s="878" t="e">
        <f t="shared" si="332"/>
        <v>#VALUE!</v>
      </c>
      <c r="BQ333" s="878" t="e">
        <f t="shared" si="333"/>
        <v>#VALUE!</v>
      </c>
      <c r="BR333" s="878" t="e">
        <f t="shared" si="334"/>
        <v>#VALUE!</v>
      </c>
      <c r="BS333" s="966" t="e">
        <f t="shared" si="335"/>
        <v>#VALUE!</v>
      </c>
    </row>
    <row r="334" spans="1:71">
      <c r="A334" s="284">
        <f t="shared" si="336"/>
        <v>266</v>
      </c>
      <c r="B334" s="285">
        <v>6.8596813988161393E-2</v>
      </c>
      <c r="C334" s="285">
        <v>2.7841285608252742</v>
      </c>
      <c r="D334" s="285">
        <v>9.6275563405793685E-2</v>
      </c>
      <c r="E334" s="285">
        <v>-8.0525840977173413</v>
      </c>
      <c r="H334" s="685">
        <f t="shared" si="282"/>
        <v>-1.0646370277808934</v>
      </c>
      <c r="I334" s="276">
        <f t="shared" si="283"/>
        <v>-0.39903843018485274</v>
      </c>
      <c r="J334" s="276">
        <f t="shared" si="284"/>
        <v>1.5532258093568065</v>
      </c>
      <c r="K334" s="276">
        <f t="shared" si="285"/>
        <v>0.64308253124547332</v>
      </c>
      <c r="L334" s="276">
        <f t="shared" si="286"/>
        <v>0.60148600764234117</v>
      </c>
      <c r="M334" s="276">
        <f t="shared" si="287"/>
        <v>-5.4123896894478571</v>
      </c>
      <c r="N334" s="685">
        <f t="shared" si="288"/>
        <v>1.5769573498534057</v>
      </c>
      <c r="O334" s="276">
        <f t="shared" si="289"/>
        <v>1.44531393228431</v>
      </c>
      <c r="P334" s="276">
        <f t="shared" si="290"/>
        <v>1.7292739920741516</v>
      </c>
      <c r="Q334" s="276">
        <f t="shared" si="291"/>
        <v>1.7307847373897667</v>
      </c>
      <c r="R334" s="276">
        <f t="shared" si="292"/>
        <v>1.7176244543786792</v>
      </c>
      <c r="S334" s="686">
        <f t="shared" si="293"/>
        <v>0.62946236067536865</v>
      </c>
      <c r="T334" s="685">
        <f t="shared" si="294"/>
        <v>3.3746392536767198</v>
      </c>
      <c r="U334" s="276">
        <f t="shared" si="295"/>
        <v>3.8043849201624669</v>
      </c>
      <c r="V334" s="276">
        <f t="shared" si="296"/>
        <v>4.6783630810130452</v>
      </c>
      <c r="W334" s="276">
        <f t="shared" si="297"/>
        <v>4.6250786046748527</v>
      </c>
      <c r="X334" s="276">
        <f t="shared" si="298"/>
        <v>6.1643369677286906</v>
      </c>
      <c r="Y334" s="686">
        <f t="shared" si="299"/>
        <v>5.3233353129395962</v>
      </c>
      <c r="Z334" s="685" t="e">
        <f t="shared" si="300"/>
        <v>#DIV/0!</v>
      </c>
      <c r="AA334" s="276" t="e">
        <f t="shared" si="301"/>
        <v>#DIV/0!</v>
      </c>
      <c r="AB334" s="276" t="e">
        <f t="shared" si="302"/>
        <v>#DIV/0!</v>
      </c>
      <c r="AC334" s="276" t="e">
        <f t="shared" si="303"/>
        <v>#DIV/0!</v>
      </c>
      <c r="AD334" s="276" t="e">
        <f t="shared" si="304"/>
        <v>#DIV/0!</v>
      </c>
      <c r="AE334" s="686" t="e">
        <f t="shared" si="305"/>
        <v>#DIV/0!</v>
      </c>
      <c r="AF334" s="239"/>
      <c r="AG334" s="965" t="e">
        <f t="shared" si="276"/>
        <v>#VALUE!</v>
      </c>
      <c r="AH334" s="878" t="e">
        <f t="shared" si="277"/>
        <v>#VALUE!</v>
      </c>
      <c r="AI334" s="878" t="e">
        <f t="shared" si="278"/>
        <v>#VALUE!</v>
      </c>
      <c r="AJ334" s="878" t="e">
        <f t="shared" si="279"/>
        <v>#VALUE!</v>
      </c>
      <c r="AK334" s="878" t="e">
        <f t="shared" si="280"/>
        <v>#VALUE!</v>
      </c>
      <c r="AL334" s="966" t="e">
        <f t="shared" si="281"/>
        <v>#VALUE!</v>
      </c>
      <c r="AM334" s="239"/>
      <c r="AO334" s="685">
        <f t="shared" si="306"/>
        <v>-1.0646370277808934</v>
      </c>
      <c r="AP334" s="276">
        <f t="shared" si="307"/>
        <v>-0.39903843018485274</v>
      </c>
      <c r="AQ334" s="276">
        <f t="shared" si="308"/>
        <v>1.5532258093568065</v>
      </c>
      <c r="AR334" s="276">
        <f t="shared" si="309"/>
        <v>0.64308253124547332</v>
      </c>
      <c r="AS334" s="276">
        <f t="shared" si="310"/>
        <v>0.60148600764234117</v>
      </c>
      <c r="AT334" s="276">
        <f t="shared" si="311"/>
        <v>-5.4123896894478571</v>
      </c>
      <c r="AU334" s="685">
        <f t="shared" si="312"/>
        <v>1.5769573498534057</v>
      </c>
      <c r="AV334" s="276">
        <f t="shared" si="313"/>
        <v>1.44531393228431</v>
      </c>
      <c r="AW334" s="276">
        <f t="shared" si="314"/>
        <v>1.7292739920741516</v>
      </c>
      <c r="AX334" s="276">
        <f t="shared" si="315"/>
        <v>1.7307847373897667</v>
      </c>
      <c r="AY334" s="276">
        <f t="shared" si="316"/>
        <v>1.7176244543786792</v>
      </c>
      <c r="AZ334" s="686">
        <f t="shared" si="317"/>
        <v>0.62946236067536865</v>
      </c>
      <c r="BA334" s="685">
        <f t="shared" si="318"/>
        <v>0</v>
      </c>
      <c r="BB334" s="276">
        <f t="shared" si="319"/>
        <v>0</v>
      </c>
      <c r="BC334" s="276">
        <f t="shared" si="320"/>
        <v>0</v>
      </c>
      <c r="BD334" s="276">
        <f t="shared" si="321"/>
        <v>0</v>
      </c>
      <c r="BE334" s="276">
        <f t="shared" si="322"/>
        <v>0</v>
      </c>
      <c r="BF334" s="686">
        <f t="shared" si="323"/>
        <v>0</v>
      </c>
      <c r="BG334" s="685" t="e">
        <f t="shared" si="324"/>
        <v>#DIV/0!</v>
      </c>
      <c r="BH334" s="276" t="e">
        <f t="shared" si="325"/>
        <v>#DIV/0!</v>
      </c>
      <c r="BI334" s="276" t="e">
        <f t="shared" si="326"/>
        <v>#DIV/0!</v>
      </c>
      <c r="BJ334" s="276" t="e">
        <f t="shared" si="327"/>
        <v>#DIV/0!</v>
      </c>
      <c r="BK334" s="276" t="e">
        <f t="shared" si="328"/>
        <v>#DIV/0!</v>
      </c>
      <c r="BL334" s="686" t="e">
        <f t="shared" si="329"/>
        <v>#DIV/0!</v>
      </c>
      <c r="BM334" s="239"/>
      <c r="BN334" s="965" t="e">
        <f t="shared" si="330"/>
        <v>#VALUE!</v>
      </c>
      <c r="BO334" s="878" t="e">
        <f t="shared" si="331"/>
        <v>#VALUE!</v>
      </c>
      <c r="BP334" s="878" t="e">
        <f t="shared" si="332"/>
        <v>#VALUE!</v>
      </c>
      <c r="BQ334" s="878" t="e">
        <f t="shared" si="333"/>
        <v>#VALUE!</v>
      </c>
      <c r="BR334" s="878" t="e">
        <f t="shared" si="334"/>
        <v>#VALUE!</v>
      </c>
      <c r="BS334" s="966" t="e">
        <f t="shared" si="335"/>
        <v>#VALUE!</v>
      </c>
    </row>
    <row r="335" spans="1:71">
      <c r="A335" s="284">
        <f t="shared" si="336"/>
        <v>267</v>
      </c>
      <c r="B335" s="285">
        <v>1.6508795902464972</v>
      </c>
      <c r="C335" s="285">
        <v>2.1623690494843593</v>
      </c>
      <c r="D335" s="285">
        <v>3.1954079178664196</v>
      </c>
      <c r="E335" s="285">
        <v>-19.547673302499948</v>
      </c>
      <c r="H335" s="685">
        <f t="shared" si="282"/>
        <v>0.51764574847744238</v>
      </c>
      <c r="I335" s="276">
        <f t="shared" si="283"/>
        <v>-1.1373846872526423</v>
      </c>
      <c r="J335" s="276">
        <f t="shared" si="284"/>
        <v>-3.6988031370238632</v>
      </c>
      <c r="K335" s="276">
        <f t="shared" si="285"/>
        <v>1.9080298708543866</v>
      </c>
      <c r="L335" s="276">
        <f t="shared" si="286"/>
        <v>-0.18858981613006043</v>
      </c>
      <c r="M335" s="276">
        <f t="shared" si="287"/>
        <v>-2.9518211604669315</v>
      </c>
      <c r="N335" s="685">
        <f t="shared" si="288"/>
        <v>0.95519783851249085</v>
      </c>
      <c r="O335" s="276">
        <f t="shared" si="289"/>
        <v>1.2857131396616934</v>
      </c>
      <c r="P335" s="276">
        <f t="shared" si="290"/>
        <v>0.81151524492084071</v>
      </c>
      <c r="Q335" s="276">
        <f t="shared" si="291"/>
        <v>2.0566780800698456</v>
      </c>
      <c r="R335" s="276">
        <f t="shared" si="292"/>
        <v>0.97471497031823451</v>
      </c>
      <c r="S335" s="686">
        <f t="shared" si="293"/>
        <v>0.67030235055785758</v>
      </c>
      <c r="T335" s="685">
        <f t="shared" si="294"/>
        <v>6.473771608137346</v>
      </c>
      <c r="U335" s="276">
        <f t="shared" si="295"/>
        <v>4.0721744229256087</v>
      </c>
      <c r="V335" s="276">
        <f t="shared" si="296"/>
        <v>5.2224456930794041</v>
      </c>
      <c r="W335" s="276">
        <f t="shared" si="297"/>
        <v>3.0960568532158246</v>
      </c>
      <c r="X335" s="276">
        <f t="shared" si="298"/>
        <v>6.0629867130414343</v>
      </c>
      <c r="Y335" s="686">
        <f t="shared" si="299"/>
        <v>4.309930543689128</v>
      </c>
      <c r="Z335" s="685" t="e">
        <f t="shared" si="300"/>
        <v>#DIV/0!</v>
      </c>
      <c r="AA335" s="276" t="e">
        <f t="shared" si="301"/>
        <v>#DIV/0!</v>
      </c>
      <c r="AB335" s="276" t="e">
        <f t="shared" si="302"/>
        <v>#DIV/0!</v>
      </c>
      <c r="AC335" s="276" t="e">
        <f t="shared" si="303"/>
        <v>#DIV/0!</v>
      </c>
      <c r="AD335" s="276" t="e">
        <f t="shared" si="304"/>
        <v>#DIV/0!</v>
      </c>
      <c r="AE335" s="686" t="e">
        <f t="shared" si="305"/>
        <v>#DIV/0!</v>
      </c>
      <c r="AF335" s="239"/>
      <c r="AG335" s="965" t="e">
        <f t="shared" si="276"/>
        <v>#VALUE!</v>
      </c>
      <c r="AH335" s="878" t="e">
        <f t="shared" si="277"/>
        <v>#VALUE!</v>
      </c>
      <c r="AI335" s="878" t="e">
        <f t="shared" si="278"/>
        <v>#VALUE!</v>
      </c>
      <c r="AJ335" s="878" t="e">
        <f t="shared" si="279"/>
        <v>#VALUE!</v>
      </c>
      <c r="AK335" s="878" t="e">
        <f t="shared" si="280"/>
        <v>#VALUE!</v>
      </c>
      <c r="AL335" s="966" t="e">
        <f t="shared" si="281"/>
        <v>#VALUE!</v>
      </c>
      <c r="AM335" s="239"/>
      <c r="AO335" s="685">
        <f t="shared" si="306"/>
        <v>0.51764574847744238</v>
      </c>
      <c r="AP335" s="276">
        <f t="shared" si="307"/>
        <v>-1.1373846872526423</v>
      </c>
      <c r="AQ335" s="276">
        <f t="shared" si="308"/>
        <v>-3.6988031370238632</v>
      </c>
      <c r="AR335" s="276">
        <f t="shared" si="309"/>
        <v>1.9080298708543866</v>
      </c>
      <c r="AS335" s="276">
        <f t="shared" si="310"/>
        <v>-0.18858981613006043</v>
      </c>
      <c r="AT335" s="276">
        <f t="shared" si="311"/>
        <v>-2.9518211604669315</v>
      </c>
      <c r="AU335" s="685">
        <f t="shared" si="312"/>
        <v>0.95519783851249085</v>
      </c>
      <c r="AV335" s="276">
        <f t="shared" si="313"/>
        <v>1.2857131396616934</v>
      </c>
      <c r="AW335" s="276">
        <f t="shared" si="314"/>
        <v>0.81151524492084071</v>
      </c>
      <c r="AX335" s="276">
        <f t="shared" si="315"/>
        <v>2.0566780800698456</v>
      </c>
      <c r="AY335" s="276">
        <f t="shared" si="316"/>
        <v>0.97471497031823451</v>
      </c>
      <c r="AZ335" s="686">
        <f t="shared" si="317"/>
        <v>0.67030235055785758</v>
      </c>
      <c r="BA335" s="685">
        <f t="shared" si="318"/>
        <v>0</v>
      </c>
      <c r="BB335" s="276">
        <f t="shared" si="319"/>
        <v>0</v>
      </c>
      <c r="BC335" s="276">
        <f t="shared" si="320"/>
        <v>0</v>
      </c>
      <c r="BD335" s="276">
        <f t="shared" si="321"/>
        <v>0</v>
      </c>
      <c r="BE335" s="276">
        <f t="shared" si="322"/>
        <v>0</v>
      </c>
      <c r="BF335" s="686">
        <f t="shared" si="323"/>
        <v>0</v>
      </c>
      <c r="BG335" s="685" t="e">
        <f t="shared" si="324"/>
        <v>#DIV/0!</v>
      </c>
      <c r="BH335" s="276" t="e">
        <f t="shared" si="325"/>
        <v>#DIV/0!</v>
      </c>
      <c r="BI335" s="276" t="e">
        <f t="shared" si="326"/>
        <v>#DIV/0!</v>
      </c>
      <c r="BJ335" s="276" t="e">
        <f t="shared" si="327"/>
        <v>#DIV/0!</v>
      </c>
      <c r="BK335" s="276" t="e">
        <f t="shared" si="328"/>
        <v>#DIV/0!</v>
      </c>
      <c r="BL335" s="686" t="e">
        <f t="shared" si="329"/>
        <v>#DIV/0!</v>
      </c>
      <c r="BM335" s="239"/>
      <c r="BN335" s="965" t="e">
        <f t="shared" si="330"/>
        <v>#VALUE!</v>
      </c>
      <c r="BO335" s="878" t="e">
        <f t="shared" si="331"/>
        <v>#VALUE!</v>
      </c>
      <c r="BP335" s="878" t="e">
        <f t="shared" si="332"/>
        <v>#VALUE!</v>
      </c>
      <c r="BQ335" s="878" t="e">
        <f t="shared" si="333"/>
        <v>#VALUE!</v>
      </c>
      <c r="BR335" s="878" t="e">
        <f t="shared" si="334"/>
        <v>#VALUE!</v>
      </c>
      <c r="BS335" s="966" t="e">
        <f t="shared" si="335"/>
        <v>#VALUE!</v>
      </c>
    </row>
    <row r="336" spans="1:71">
      <c r="A336" s="284">
        <f t="shared" si="336"/>
        <v>268</v>
      </c>
      <c r="B336" s="285">
        <v>-2.6956721133291746</v>
      </c>
      <c r="C336" s="285">
        <v>2.7366642648588955</v>
      </c>
      <c r="D336" s="285">
        <v>-1.9336122082235505</v>
      </c>
      <c r="E336" s="285">
        <v>1.5141624520974371</v>
      </c>
      <c r="H336" s="685">
        <f t="shared" si="282"/>
        <v>-3.8289059550982296</v>
      </c>
      <c r="I336" s="276">
        <f t="shared" si="283"/>
        <v>-0.62968999690958605</v>
      </c>
      <c r="J336" s="276">
        <f t="shared" si="284"/>
        <v>-5.3251833861359081</v>
      </c>
      <c r="K336" s="276">
        <f t="shared" si="285"/>
        <v>2.0580911344339414</v>
      </c>
      <c r="L336" s="276">
        <f t="shared" si="286"/>
        <v>-2.6240428841782548</v>
      </c>
      <c r="M336" s="276">
        <f t="shared" si="287"/>
        <v>-1.3520774574717369</v>
      </c>
      <c r="N336" s="685">
        <f t="shared" si="288"/>
        <v>1.5294930538870271</v>
      </c>
      <c r="O336" s="276">
        <f t="shared" si="289"/>
        <v>1.8918353697489139</v>
      </c>
      <c r="P336" s="276">
        <f t="shared" si="290"/>
        <v>1.3524029295646083</v>
      </c>
      <c r="Q336" s="276">
        <f t="shared" si="291"/>
        <v>1.7058729694833745</v>
      </c>
      <c r="R336" s="276">
        <f t="shared" si="292"/>
        <v>0.84206054556964749</v>
      </c>
      <c r="S336" s="686">
        <f t="shared" si="293"/>
        <v>1.9552183378408168</v>
      </c>
      <c r="T336" s="685">
        <f t="shared" si="294"/>
        <v>1.3447514820473754</v>
      </c>
      <c r="U336" s="276">
        <f t="shared" si="295"/>
        <v>4.4428776302127373</v>
      </c>
      <c r="V336" s="276">
        <f t="shared" si="296"/>
        <v>3.653767003972725</v>
      </c>
      <c r="W336" s="276">
        <f t="shared" si="297"/>
        <v>6.0785609435901975</v>
      </c>
      <c r="X336" s="276">
        <f t="shared" si="298"/>
        <v>3.2653058557088697</v>
      </c>
      <c r="Y336" s="686">
        <f t="shared" si="299"/>
        <v>3.8244464101531115</v>
      </c>
      <c r="Z336" s="685" t="e">
        <f t="shared" si="300"/>
        <v>#DIV/0!</v>
      </c>
      <c r="AA336" s="276" t="e">
        <f t="shared" si="301"/>
        <v>#DIV/0!</v>
      </c>
      <c r="AB336" s="276" t="e">
        <f t="shared" si="302"/>
        <v>#DIV/0!</v>
      </c>
      <c r="AC336" s="276" t="e">
        <f t="shared" si="303"/>
        <v>#DIV/0!</v>
      </c>
      <c r="AD336" s="276" t="e">
        <f t="shared" si="304"/>
        <v>#DIV/0!</v>
      </c>
      <c r="AE336" s="686" t="e">
        <f t="shared" si="305"/>
        <v>#DIV/0!</v>
      </c>
      <c r="AF336" s="239"/>
      <c r="AG336" s="965" t="e">
        <f t="shared" si="276"/>
        <v>#VALUE!</v>
      </c>
      <c r="AH336" s="878" t="e">
        <f t="shared" si="277"/>
        <v>#VALUE!</v>
      </c>
      <c r="AI336" s="878" t="e">
        <f t="shared" si="278"/>
        <v>#VALUE!</v>
      </c>
      <c r="AJ336" s="878" t="e">
        <f t="shared" si="279"/>
        <v>#VALUE!</v>
      </c>
      <c r="AK336" s="878" t="e">
        <f t="shared" si="280"/>
        <v>#VALUE!</v>
      </c>
      <c r="AL336" s="966" t="e">
        <f t="shared" si="281"/>
        <v>#VALUE!</v>
      </c>
      <c r="AM336" s="239"/>
      <c r="AO336" s="685">
        <f t="shared" si="306"/>
        <v>-3.8289059550982296</v>
      </c>
      <c r="AP336" s="276">
        <f t="shared" si="307"/>
        <v>-0.62968999690958605</v>
      </c>
      <c r="AQ336" s="276">
        <f t="shared" si="308"/>
        <v>-5.3251833861359081</v>
      </c>
      <c r="AR336" s="276">
        <f t="shared" si="309"/>
        <v>2.0580911344339414</v>
      </c>
      <c r="AS336" s="276">
        <f t="shared" si="310"/>
        <v>-2.6240428841782548</v>
      </c>
      <c r="AT336" s="276">
        <f t="shared" si="311"/>
        <v>-1.3520774574717369</v>
      </c>
      <c r="AU336" s="685">
        <f t="shared" si="312"/>
        <v>1.5294930538870271</v>
      </c>
      <c r="AV336" s="276">
        <f t="shared" si="313"/>
        <v>1.8918353697489139</v>
      </c>
      <c r="AW336" s="276">
        <f t="shared" si="314"/>
        <v>1.3524029295646083</v>
      </c>
      <c r="AX336" s="276">
        <f t="shared" si="315"/>
        <v>1.7058729694833745</v>
      </c>
      <c r="AY336" s="276">
        <f t="shared" si="316"/>
        <v>0.84206054556964749</v>
      </c>
      <c r="AZ336" s="686">
        <f t="shared" si="317"/>
        <v>1.9552183378408168</v>
      </c>
      <c r="BA336" s="685">
        <f t="shared" si="318"/>
        <v>0</v>
      </c>
      <c r="BB336" s="276">
        <f t="shared" si="319"/>
        <v>0</v>
      </c>
      <c r="BC336" s="276">
        <f t="shared" si="320"/>
        <v>0</v>
      </c>
      <c r="BD336" s="276">
        <f t="shared" si="321"/>
        <v>0</v>
      </c>
      <c r="BE336" s="276">
        <f t="shared" si="322"/>
        <v>0</v>
      </c>
      <c r="BF336" s="686">
        <f t="shared" si="323"/>
        <v>0</v>
      </c>
      <c r="BG336" s="685" t="e">
        <f t="shared" si="324"/>
        <v>#DIV/0!</v>
      </c>
      <c r="BH336" s="276" t="e">
        <f t="shared" si="325"/>
        <v>#DIV/0!</v>
      </c>
      <c r="BI336" s="276" t="e">
        <f t="shared" si="326"/>
        <v>#DIV/0!</v>
      </c>
      <c r="BJ336" s="276" t="e">
        <f t="shared" si="327"/>
        <v>#DIV/0!</v>
      </c>
      <c r="BK336" s="276" t="e">
        <f t="shared" si="328"/>
        <v>#DIV/0!</v>
      </c>
      <c r="BL336" s="686" t="e">
        <f t="shared" si="329"/>
        <v>#DIV/0!</v>
      </c>
      <c r="BM336" s="239"/>
      <c r="BN336" s="965" t="e">
        <f t="shared" si="330"/>
        <v>#VALUE!</v>
      </c>
      <c r="BO336" s="878" t="e">
        <f t="shared" si="331"/>
        <v>#VALUE!</v>
      </c>
      <c r="BP336" s="878" t="e">
        <f t="shared" si="332"/>
        <v>#VALUE!</v>
      </c>
      <c r="BQ336" s="878" t="e">
        <f t="shared" si="333"/>
        <v>#VALUE!</v>
      </c>
      <c r="BR336" s="878" t="e">
        <f t="shared" si="334"/>
        <v>#VALUE!</v>
      </c>
      <c r="BS336" s="966" t="e">
        <f t="shared" si="335"/>
        <v>#VALUE!</v>
      </c>
    </row>
    <row r="337" spans="1:71">
      <c r="A337" s="284">
        <f t="shared" si="336"/>
        <v>269</v>
      </c>
      <c r="B337" s="285">
        <v>1.9775714594904257</v>
      </c>
      <c r="C337" s="285">
        <v>2.2573869622431975</v>
      </c>
      <c r="D337" s="285">
        <v>2.2945449018246333</v>
      </c>
      <c r="E337" s="285">
        <v>-8.621714003376459</v>
      </c>
      <c r="H337" s="685">
        <f t="shared" si="282"/>
        <v>0.84433761772137084</v>
      </c>
      <c r="I337" s="276">
        <f t="shared" si="283"/>
        <v>-1.1843473729712759</v>
      </c>
      <c r="J337" s="276">
        <f t="shared" si="284"/>
        <v>-5.5988209650759133</v>
      </c>
      <c r="K337" s="276">
        <f t="shared" si="285"/>
        <v>2.2722688334237544</v>
      </c>
      <c r="L337" s="276">
        <f t="shared" si="286"/>
        <v>2.3323309825159821</v>
      </c>
      <c r="M337" s="276">
        <f t="shared" si="287"/>
        <v>-0.90377242659027623</v>
      </c>
      <c r="N337" s="685">
        <f t="shared" si="288"/>
        <v>1.050215751271329</v>
      </c>
      <c r="O337" s="276">
        <f t="shared" si="289"/>
        <v>1.962610970565285</v>
      </c>
      <c r="P337" s="276">
        <f t="shared" si="290"/>
        <v>0.96392813957702006</v>
      </c>
      <c r="Q337" s="276">
        <f t="shared" si="291"/>
        <v>2.087643356560374</v>
      </c>
      <c r="R337" s="276">
        <f t="shared" si="292"/>
        <v>2.0504073344817204</v>
      </c>
      <c r="S337" s="686">
        <f t="shared" si="293"/>
        <v>1.2382374819896327</v>
      </c>
      <c r="T337" s="685">
        <f t="shared" si="294"/>
        <v>5.5729085920955592</v>
      </c>
      <c r="U337" s="276">
        <f t="shared" si="295"/>
        <v>4.6003671414750613</v>
      </c>
      <c r="V337" s="276">
        <f t="shared" si="296"/>
        <v>4.3587798171279619</v>
      </c>
      <c r="W337" s="276">
        <f t="shared" si="297"/>
        <v>5.4341181541357253</v>
      </c>
      <c r="X337" s="276">
        <f t="shared" si="298"/>
        <v>4.4572436085360749</v>
      </c>
      <c r="Y337" s="686">
        <f t="shared" si="299"/>
        <v>4.1501442086596931</v>
      </c>
      <c r="Z337" s="685" t="e">
        <f t="shared" si="300"/>
        <v>#DIV/0!</v>
      </c>
      <c r="AA337" s="276" t="e">
        <f t="shared" si="301"/>
        <v>#DIV/0!</v>
      </c>
      <c r="AB337" s="276" t="e">
        <f t="shared" si="302"/>
        <v>#DIV/0!</v>
      </c>
      <c r="AC337" s="276" t="e">
        <f t="shared" si="303"/>
        <v>#DIV/0!</v>
      </c>
      <c r="AD337" s="276" t="e">
        <f t="shared" si="304"/>
        <v>#DIV/0!</v>
      </c>
      <c r="AE337" s="686" t="e">
        <f t="shared" si="305"/>
        <v>#DIV/0!</v>
      </c>
      <c r="AF337" s="239"/>
      <c r="AG337" s="965" t="e">
        <f t="shared" si="276"/>
        <v>#VALUE!</v>
      </c>
      <c r="AH337" s="878" t="e">
        <f t="shared" si="277"/>
        <v>#VALUE!</v>
      </c>
      <c r="AI337" s="878" t="e">
        <f t="shared" si="278"/>
        <v>#VALUE!</v>
      </c>
      <c r="AJ337" s="878" t="e">
        <f t="shared" si="279"/>
        <v>#VALUE!</v>
      </c>
      <c r="AK337" s="878" t="e">
        <f t="shared" si="280"/>
        <v>#VALUE!</v>
      </c>
      <c r="AL337" s="966" t="e">
        <f t="shared" si="281"/>
        <v>#VALUE!</v>
      </c>
      <c r="AM337" s="239"/>
      <c r="AO337" s="685">
        <f t="shared" si="306"/>
        <v>0.84433761772137084</v>
      </c>
      <c r="AP337" s="276">
        <f t="shared" si="307"/>
        <v>-1.1843473729712759</v>
      </c>
      <c r="AQ337" s="276">
        <f t="shared" si="308"/>
        <v>-5.5988209650759133</v>
      </c>
      <c r="AR337" s="276">
        <f t="shared" si="309"/>
        <v>2.2722688334237544</v>
      </c>
      <c r="AS337" s="276">
        <f t="shared" si="310"/>
        <v>2.3323309825159821</v>
      </c>
      <c r="AT337" s="276">
        <f t="shared" si="311"/>
        <v>-0.90377242659027623</v>
      </c>
      <c r="AU337" s="685">
        <f t="shared" si="312"/>
        <v>1.050215751271329</v>
      </c>
      <c r="AV337" s="276">
        <f t="shared" si="313"/>
        <v>1.962610970565285</v>
      </c>
      <c r="AW337" s="276">
        <f t="shared" si="314"/>
        <v>0.96392813957702006</v>
      </c>
      <c r="AX337" s="276">
        <f t="shared" si="315"/>
        <v>2.087643356560374</v>
      </c>
      <c r="AY337" s="276">
        <f t="shared" si="316"/>
        <v>2.0504073344817204</v>
      </c>
      <c r="AZ337" s="686">
        <f t="shared" si="317"/>
        <v>1.2382374819896327</v>
      </c>
      <c r="BA337" s="685">
        <f t="shared" si="318"/>
        <v>0</v>
      </c>
      <c r="BB337" s="276">
        <f t="shared" si="319"/>
        <v>0</v>
      </c>
      <c r="BC337" s="276">
        <f t="shared" si="320"/>
        <v>0</v>
      </c>
      <c r="BD337" s="276">
        <f t="shared" si="321"/>
        <v>0</v>
      </c>
      <c r="BE337" s="276">
        <f t="shared" si="322"/>
        <v>0</v>
      </c>
      <c r="BF337" s="686">
        <f t="shared" si="323"/>
        <v>0</v>
      </c>
      <c r="BG337" s="685" t="e">
        <f t="shared" si="324"/>
        <v>#DIV/0!</v>
      </c>
      <c r="BH337" s="276" t="e">
        <f t="shared" si="325"/>
        <v>#DIV/0!</v>
      </c>
      <c r="BI337" s="276" t="e">
        <f t="shared" si="326"/>
        <v>#DIV/0!</v>
      </c>
      <c r="BJ337" s="276" t="e">
        <f t="shared" si="327"/>
        <v>#DIV/0!</v>
      </c>
      <c r="BK337" s="276" t="e">
        <f t="shared" si="328"/>
        <v>#DIV/0!</v>
      </c>
      <c r="BL337" s="686" t="e">
        <f t="shared" si="329"/>
        <v>#DIV/0!</v>
      </c>
      <c r="BM337" s="239"/>
      <c r="BN337" s="965" t="e">
        <f t="shared" si="330"/>
        <v>#VALUE!</v>
      </c>
      <c r="BO337" s="878" t="e">
        <f t="shared" si="331"/>
        <v>#VALUE!</v>
      </c>
      <c r="BP337" s="878" t="e">
        <f t="shared" si="332"/>
        <v>#VALUE!</v>
      </c>
      <c r="BQ337" s="878" t="e">
        <f t="shared" si="333"/>
        <v>#VALUE!</v>
      </c>
      <c r="BR337" s="878" t="e">
        <f t="shared" si="334"/>
        <v>#VALUE!</v>
      </c>
      <c r="BS337" s="966" t="e">
        <f t="shared" si="335"/>
        <v>#VALUE!</v>
      </c>
    </row>
    <row r="338" spans="1:71">
      <c r="A338" s="284">
        <f t="shared" si="336"/>
        <v>270</v>
      </c>
      <c r="B338" s="285">
        <v>-0.22868087776705198</v>
      </c>
      <c r="C338" s="285">
        <v>2.0548061117502772</v>
      </c>
      <c r="D338" s="285">
        <v>0.68806085350420698</v>
      </c>
      <c r="E338" s="285">
        <v>-14.327918480686563</v>
      </c>
      <c r="H338" s="685">
        <f t="shared" si="282"/>
        <v>-1.3619147195361068</v>
      </c>
      <c r="I338" s="276">
        <f t="shared" si="283"/>
        <v>-4.0872968044841933</v>
      </c>
      <c r="J338" s="276">
        <f t="shared" si="284"/>
        <v>0.14698138840128738</v>
      </c>
      <c r="K338" s="276">
        <f t="shared" si="285"/>
        <v>-0.72013464646053826</v>
      </c>
      <c r="L338" s="276">
        <f t="shared" si="286"/>
        <v>1.5526360048855421</v>
      </c>
      <c r="M338" s="276">
        <f t="shared" si="287"/>
        <v>-2.7857639943459587</v>
      </c>
      <c r="N338" s="685">
        <f t="shared" si="288"/>
        <v>0.84763490077840875</v>
      </c>
      <c r="O338" s="276">
        <f t="shared" si="289"/>
        <v>0.35617729062221004</v>
      </c>
      <c r="P338" s="276">
        <f t="shared" si="290"/>
        <v>1.5149551575449902</v>
      </c>
      <c r="Q338" s="276">
        <f t="shared" si="291"/>
        <v>0.9988848539214612</v>
      </c>
      <c r="R338" s="276">
        <f t="shared" si="292"/>
        <v>1.4594621855045433</v>
      </c>
      <c r="S338" s="686">
        <f t="shared" si="293"/>
        <v>1.6267070128097008</v>
      </c>
      <c r="T338" s="685">
        <f t="shared" si="294"/>
        <v>3.9664245437751329</v>
      </c>
      <c r="U338" s="276">
        <f t="shared" si="295"/>
        <v>3.9476239220191633</v>
      </c>
      <c r="V338" s="276">
        <f t="shared" si="296"/>
        <v>3.3225627920154062</v>
      </c>
      <c r="W338" s="276">
        <f t="shared" si="297"/>
        <v>6.3123350536454197</v>
      </c>
      <c r="X338" s="276">
        <f t="shared" si="298"/>
        <v>3.837477398189701</v>
      </c>
      <c r="Y338" s="686">
        <f t="shared" si="299"/>
        <v>4.8316346064617175</v>
      </c>
      <c r="Z338" s="685" t="e">
        <f t="shared" si="300"/>
        <v>#DIV/0!</v>
      </c>
      <c r="AA338" s="276" t="e">
        <f t="shared" si="301"/>
        <v>#DIV/0!</v>
      </c>
      <c r="AB338" s="276" t="e">
        <f t="shared" si="302"/>
        <v>#DIV/0!</v>
      </c>
      <c r="AC338" s="276" t="e">
        <f t="shared" si="303"/>
        <v>#DIV/0!</v>
      </c>
      <c r="AD338" s="276" t="e">
        <f t="shared" si="304"/>
        <v>#DIV/0!</v>
      </c>
      <c r="AE338" s="686" t="e">
        <f t="shared" si="305"/>
        <v>#DIV/0!</v>
      </c>
      <c r="AF338" s="239"/>
      <c r="AG338" s="965" t="e">
        <f t="shared" si="276"/>
        <v>#VALUE!</v>
      </c>
      <c r="AH338" s="878" t="e">
        <f t="shared" si="277"/>
        <v>#VALUE!</v>
      </c>
      <c r="AI338" s="878" t="e">
        <f t="shared" si="278"/>
        <v>#VALUE!</v>
      </c>
      <c r="AJ338" s="878" t="e">
        <f t="shared" si="279"/>
        <v>#VALUE!</v>
      </c>
      <c r="AK338" s="878" t="e">
        <f t="shared" si="280"/>
        <v>#VALUE!</v>
      </c>
      <c r="AL338" s="966" t="e">
        <f t="shared" si="281"/>
        <v>#VALUE!</v>
      </c>
      <c r="AM338" s="239"/>
      <c r="AO338" s="685">
        <f t="shared" si="306"/>
        <v>-1.3619147195361068</v>
      </c>
      <c r="AP338" s="276">
        <f t="shared" si="307"/>
        <v>-4.0872968044841933</v>
      </c>
      <c r="AQ338" s="276">
        <f t="shared" si="308"/>
        <v>0.14698138840128738</v>
      </c>
      <c r="AR338" s="276">
        <f t="shared" si="309"/>
        <v>-0.72013464646053826</v>
      </c>
      <c r="AS338" s="276">
        <f t="shared" si="310"/>
        <v>1.5526360048855421</v>
      </c>
      <c r="AT338" s="276">
        <f t="shared" si="311"/>
        <v>-2.7857639943459587</v>
      </c>
      <c r="AU338" s="685">
        <f t="shared" si="312"/>
        <v>0.84763490077840875</v>
      </c>
      <c r="AV338" s="276">
        <f t="shared" si="313"/>
        <v>0.35617729062221004</v>
      </c>
      <c r="AW338" s="276">
        <f t="shared" si="314"/>
        <v>1.5149551575449902</v>
      </c>
      <c r="AX338" s="276">
        <f t="shared" si="315"/>
        <v>0.9988848539214612</v>
      </c>
      <c r="AY338" s="276">
        <f t="shared" si="316"/>
        <v>1.4594621855045433</v>
      </c>
      <c r="AZ338" s="686">
        <f t="shared" si="317"/>
        <v>1.6267070128097008</v>
      </c>
      <c r="BA338" s="685">
        <f t="shared" si="318"/>
        <v>0</v>
      </c>
      <c r="BB338" s="276">
        <f t="shared" si="319"/>
        <v>0</v>
      </c>
      <c r="BC338" s="276">
        <f t="shared" si="320"/>
        <v>0</v>
      </c>
      <c r="BD338" s="276">
        <f t="shared" si="321"/>
        <v>0</v>
      </c>
      <c r="BE338" s="276">
        <f t="shared" si="322"/>
        <v>0</v>
      </c>
      <c r="BF338" s="686">
        <f t="shared" si="323"/>
        <v>0</v>
      </c>
      <c r="BG338" s="685" t="e">
        <f t="shared" si="324"/>
        <v>#DIV/0!</v>
      </c>
      <c r="BH338" s="276" t="e">
        <f t="shared" si="325"/>
        <v>#DIV/0!</v>
      </c>
      <c r="BI338" s="276" t="e">
        <f t="shared" si="326"/>
        <v>#DIV/0!</v>
      </c>
      <c r="BJ338" s="276" t="e">
        <f t="shared" si="327"/>
        <v>#DIV/0!</v>
      </c>
      <c r="BK338" s="276" t="e">
        <f t="shared" si="328"/>
        <v>#DIV/0!</v>
      </c>
      <c r="BL338" s="686" t="e">
        <f t="shared" si="329"/>
        <v>#DIV/0!</v>
      </c>
      <c r="BM338" s="239"/>
      <c r="BN338" s="965" t="e">
        <f t="shared" si="330"/>
        <v>#VALUE!</v>
      </c>
      <c r="BO338" s="878" t="e">
        <f t="shared" si="331"/>
        <v>#VALUE!</v>
      </c>
      <c r="BP338" s="878" t="e">
        <f t="shared" si="332"/>
        <v>#VALUE!</v>
      </c>
      <c r="BQ338" s="878" t="e">
        <f t="shared" si="333"/>
        <v>#VALUE!</v>
      </c>
      <c r="BR338" s="878" t="e">
        <f t="shared" si="334"/>
        <v>#VALUE!</v>
      </c>
      <c r="BS338" s="966" t="e">
        <f t="shared" si="335"/>
        <v>#VALUE!</v>
      </c>
    </row>
    <row r="339" spans="1:71">
      <c r="A339" s="284">
        <f t="shared" si="336"/>
        <v>271</v>
      </c>
      <c r="B339" s="285">
        <v>-2.2374594524374816</v>
      </c>
      <c r="C339" s="285">
        <v>2.8987447951045699</v>
      </c>
      <c r="D339" s="285">
        <v>-0.84437355133293757</v>
      </c>
      <c r="E339" s="285">
        <v>0.75540774546577394</v>
      </c>
      <c r="H339" s="685">
        <f t="shared" si="282"/>
        <v>-3.3706932942065366</v>
      </c>
      <c r="I339" s="276">
        <f t="shared" si="283"/>
        <v>-0.34847837762624212</v>
      </c>
      <c r="J339" s="276">
        <f t="shared" si="284"/>
        <v>-0.31595235515003794</v>
      </c>
      <c r="K339" s="276">
        <f t="shared" si="285"/>
        <v>-2.3098937644761066</v>
      </c>
      <c r="L339" s="276">
        <f t="shared" si="286"/>
        <v>-1.6807512368602135</v>
      </c>
      <c r="M339" s="276">
        <f t="shared" si="287"/>
        <v>-3.8024320685669437</v>
      </c>
      <c r="N339" s="685">
        <f t="shared" si="288"/>
        <v>1.6915735841327015</v>
      </c>
      <c r="O339" s="276">
        <f t="shared" si="289"/>
        <v>0.75180591317016954</v>
      </c>
      <c r="P339" s="276">
        <f t="shared" si="290"/>
        <v>1.174207593220159</v>
      </c>
      <c r="Q339" s="276">
        <f t="shared" si="291"/>
        <v>1.3890023095704966</v>
      </c>
      <c r="R339" s="276">
        <f t="shared" si="292"/>
        <v>1.0471845123957231</v>
      </c>
      <c r="S339" s="686">
        <f t="shared" si="293"/>
        <v>0.4483679620430443</v>
      </c>
      <c r="T339" s="685">
        <f t="shared" si="294"/>
        <v>2.4339901389379883</v>
      </c>
      <c r="U339" s="276">
        <f t="shared" si="295"/>
        <v>3.872830504854829</v>
      </c>
      <c r="V339" s="276">
        <f t="shared" si="296"/>
        <v>5.772220136463373</v>
      </c>
      <c r="W339" s="276">
        <f t="shared" si="297"/>
        <v>4.5027151502070977</v>
      </c>
      <c r="X339" s="276">
        <f t="shared" si="298"/>
        <v>5.2188480074547758</v>
      </c>
      <c r="Y339" s="686">
        <f t="shared" si="299"/>
        <v>4.7185157347245408</v>
      </c>
      <c r="Z339" s="685" t="e">
        <f t="shared" si="300"/>
        <v>#DIV/0!</v>
      </c>
      <c r="AA339" s="276" t="e">
        <f t="shared" si="301"/>
        <v>#DIV/0!</v>
      </c>
      <c r="AB339" s="276" t="e">
        <f t="shared" si="302"/>
        <v>#DIV/0!</v>
      </c>
      <c r="AC339" s="276" t="e">
        <f t="shared" si="303"/>
        <v>#DIV/0!</v>
      </c>
      <c r="AD339" s="276" t="e">
        <f t="shared" si="304"/>
        <v>#DIV/0!</v>
      </c>
      <c r="AE339" s="686" t="e">
        <f t="shared" si="305"/>
        <v>#DIV/0!</v>
      </c>
      <c r="AF339" s="239"/>
      <c r="AG339" s="965" t="e">
        <f t="shared" si="276"/>
        <v>#VALUE!</v>
      </c>
      <c r="AH339" s="878" t="e">
        <f t="shared" si="277"/>
        <v>#VALUE!</v>
      </c>
      <c r="AI339" s="878" t="e">
        <f t="shared" si="278"/>
        <v>#VALUE!</v>
      </c>
      <c r="AJ339" s="878" t="e">
        <f t="shared" si="279"/>
        <v>#VALUE!</v>
      </c>
      <c r="AK339" s="878" t="e">
        <f t="shared" si="280"/>
        <v>#VALUE!</v>
      </c>
      <c r="AL339" s="966" t="e">
        <f t="shared" si="281"/>
        <v>#VALUE!</v>
      </c>
      <c r="AM339" s="239"/>
      <c r="AO339" s="685">
        <f t="shared" si="306"/>
        <v>-3.3706932942065366</v>
      </c>
      <c r="AP339" s="276">
        <f t="shared" si="307"/>
        <v>-0.34847837762624212</v>
      </c>
      <c r="AQ339" s="276">
        <f t="shared" si="308"/>
        <v>-0.31595235515003794</v>
      </c>
      <c r="AR339" s="276">
        <f t="shared" si="309"/>
        <v>-2.3098937644761066</v>
      </c>
      <c r="AS339" s="276">
        <f t="shared" si="310"/>
        <v>-1.6807512368602135</v>
      </c>
      <c r="AT339" s="276">
        <f t="shared" si="311"/>
        <v>-3.8024320685669437</v>
      </c>
      <c r="AU339" s="685">
        <f t="shared" si="312"/>
        <v>1.6915735841327015</v>
      </c>
      <c r="AV339" s="276">
        <f t="shared" si="313"/>
        <v>0.75180591317016954</v>
      </c>
      <c r="AW339" s="276">
        <f t="shared" si="314"/>
        <v>1.174207593220159</v>
      </c>
      <c r="AX339" s="276">
        <f t="shared" si="315"/>
        <v>1.3890023095704966</v>
      </c>
      <c r="AY339" s="276">
        <f t="shared" si="316"/>
        <v>1.0471845123957231</v>
      </c>
      <c r="AZ339" s="686">
        <f t="shared" si="317"/>
        <v>0.4483679620430443</v>
      </c>
      <c r="BA339" s="685">
        <f t="shared" si="318"/>
        <v>0</v>
      </c>
      <c r="BB339" s="276">
        <f t="shared" si="319"/>
        <v>0</v>
      </c>
      <c r="BC339" s="276">
        <f t="shared" si="320"/>
        <v>0</v>
      </c>
      <c r="BD339" s="276">
        <f t="shared" si="321"/>
        <v>0</v>
      </c>
      <c r="BE339" s="276">
        <f t="shared" si="322"/>
        <v>0</v>
      </c>
      <c r="BF339" s="686">
        <f t="shared" si="323"/>
        <v>0</v>
      </c>
      <c r="BG339" s="685" t="e">
        <f t="shared" si="324"/>
        <v>#DIV/0!</v>
      </c>
      <c r="BH339" s="276" t="e">
        <f t="shared" si="325"/>
        <v>#DIV/0!</v>
      </c>
      <c r="BI339" s="276" t="e">
        <f t="shared" si="326"/>
        <v>#DIV/0!</v>
      </c>
      <c r="BJ339" s="276" t="e">
        <f t="shared" si="327"/>
        <v>#DIV/0!</v>
      </c>
      <c r="BK339" s="276" t="e">
        <f t="shared" si="328"/>
        <v>#DIV/0!</v>
      </c>
      <c r="BL339" s="686" t="e">
        <f t="shared" si="329"/>
        <v>#DIV/0!</v>
      </c>
      <c r="BM339" s="239"/>
      <c r="BN339" s="965" t="e">
        <f t="shared" si="330"/>
        <v>#VALUE!</v>
      </c>
      <c r="BO339" s="878" t="e">
        <f t="shared" si="331"/>
        <v>#VALUE!</v>
      </c>
      <c r="BP339" s="878" t="e">
        <f t="shared" si="332"/>
        <v>#VALUE!</v>
      </c>
      <c r="BQ339" s="878" t="e">
        <f t="shared" si="333"/>
        <v>#VALUE!</v>
      </c>
      <c r="BR339" s="878" t="e">
        <f t="shared" si="334"/>
        <v>#VALUE!</v>
      </c>
      <c r="BS339" s="966" t="e">
        <f t="shared" si="335"/>
        <v>#VALUE!</v>
      </c>
    </row>
    <row r="340" spans="1:71">
      <c r="A340" s="284">
        <f t="shared" si="336"/>
        <v>272</v>
      </c>
      <c r="B340" s="285">
        <v>-1.9931194925244813</v>
      </c>
      <c r="C340" s="285">
        <v>2.1970692714508684</v>
      </c>
      <c r="D340" s="285">
        <v>0.99545067711141866</v>
      </c>
      <c r="E340" s="285">
        <v>-1.2492958989635312</v>
      </c>
      <c r="H340" s="685">
        <f t="shared" si="282"/>
        <v>-3.1263533342935359</v>
      </c>
      <c r="I340" s="276">
        <f t="shared" si="283"/>
        <v>1.1053913245401656</v>
      </c>
      <c r="J340" s="276">
        <f t="shared" si="284"/>
        <v>-1.2995097856787781</v>
      </c>
      <c r="K340" s="276">
        <f t="shared" si="285"/>
        <v>-2.0345117673389717</v>
      </c>
      <c r="L340" s="276">
        <f t="shared" si="286"/>
        <v>-4.7928979426503471</v>
      </c>
      <c r="M340" s="276">
        <f t="shared" si="287"/>
        <v>-2.1585563803475636</v>
      </c>
      <c r="N340" s="685">
        <f t="shared" si="288"/>
        <v>0.98989806047899997</v>
      </c>
      <c r="O340" s="276">
        <f t="shared" si="289"/>
        <v>1.4224585580535611</v>
      </c>
      <c r="P340" s="276">
        <f t="shared" si="290"/>
        <v>1.4008380623657823</v>
      </c>
      <c r="Q340" s="276">
        <f t="shared" si="291"/>
        <v>1.4716494937544138</v>
      </c>
      <c r="R340" s="276">
        <f t="shared" si="292"/>
        <v>0.9446048657336974</v>
      </c>
      <c r="S340" s="686">
        <f t="shared" si="293"/>
        <v>1.5913232363680214</v>
      </c>
      <c r="T340" s="685">
        <f t="shared" si="294"/>
        <v>4.2738143673823448</v>
      </c>
      <c r="U340" s="276">
        <f t="shared" si="295"/>
        <v>3.7463554065638602</v>
      </c>
      <c r="V340" s="276">
        <f t="shared" si="296"/>
        <v>3.7247874745262353</v>
      </c>
      <c r="W340" s="276">
        <f t="shared" si="297"/>
        <v>5.8365894380676355</v>
      </c>
      <c r="X340" s="276">
        <f t="shared" si="298"/>
        <v>2.8489207887480115</v>
      </c>
      <c r="Y340" s="686">
        <f t="shared" si="299"/>
        <v>6.7042777708972707</v>
      </c>
      <c r="Z340" s="685" t="e">
        <f t="shared" si="300"/>
        <v>#DIV/0!</v>
      </c>
      <c r="AA340" s="276" t="e">
        <f t="shared" si="301"/>
        <v>#DIV/0!</v>
      </c>
      <c r="AB340" s="276" t="e">
        <f t="shared" si="302"/>
        <v>#DIV/0!</v>
      </c>
      <c r="AC340" s="276" t="e">
        <f t="shared" si="303"/>
        <v>#DIV/0!</v>
      </c>
      <c r="AD340" s="276" t="e">
        <f t="shared" si="304"/>
        <v>#DIV/0!</v>
      </c>
      <c r="AE340" s="686" t="e">
        <f t="shared" si="305"/>
        <v>#DIV/0!</v>
      </c>
      <c r="AF340" s="239"/>
      <c r="AG340" s="965" t="e">
        <f t="shared" si="276"/>
        <v>#VALUE!</v>
      </c>
      <c r="AH340" s="878" t="e">
        <f t="shared" si="277"/>
        <v>#VALUE!</v>
      </c>
      <c r="AI340" s="878" t="e">
        <f t="shared" si="278"/>
        <v>#VALUE!</v>
      </c>
      <c r="AJ340" s="878" t="e">
        <f t="shared" si="279"/>
        <v>#VALUE!</v>
      </c>
      <c r="AK340" s="878" t="e">
        <f t="shared" si="280"/>
        <v>#VALUE!</v>
      </c>
      <c r="AL340" s="966" t="e">
        <f t="shared" si="281"/>
        <v>#VALUE!</v>
      </c>
      <c r="AM340" s="239"/>
      <c r="AO340" s="685">
        <f t="shared" si="306"/>
        <v>-3.1263533342935359</v>
      </c>
      <c r="AP340" s="276">
        <f t="shared" si="307"/>
        <v>1.1053913245401656</v>
      </c>
      <c r="AQ340" s="276">
        <f t="shared" si="308"/>
        <v>-1.2995097856787781</v>
      </c>
      <c r="AR340" s="276">
        <f t="shared" si="309"/>
        <v>-2.0345117673389717</v>
      </c>
      <c r="AS340" s="276">
        <f t="shared" si="310"/>
        <v>-4.7928979426503471</v>
      </c>
      <c r="AT340" s="276">
        <f t="shared" si="311"/>
        <v>-2.1585563803475636</v>
      </c>
      <c r="AU340" s="685">
        <f t="shared" si="312"/>
        <v>0.98989806047899997</v>
      </c>
      <c r="AV340" s="276">
        <f t="shared" si="313"/>
        <v>1.4224585580535611</v>
      </c>
      <c r="AW340" s="276">
        <f t="shared" si="314"/>
        <v>1.4008380623657823</v>
      </c>
      <c r="AX340" s="276">
        <f t="shared" si="315"/>
        <v>1.4716494937544138</v>
      </c>
      <c r="AY340" s="276">
        <f t="shared" si="316"/>
        <v>0.9446048657336974</v>
      </c>
      <c r="AZ340" s="686">
        <f t="shared" si="317"/>
        <v>1.5913232363680214</v>
      </c>
      <c r="BA340" s="685">
        <f t="shared" si="318"/>
        <v>0</v>
      </c>
      <c r="BB340" s="276">
        <f t="shared" si="319"/>
        <v>0</v>
      </c>
      <c r="BC340" s="276">
        <f t="shared" si="320"/>
        <v>0</v>
      </c>
      <c r="BD340" s="276">
        <f t="shared" si="321"/>
        <v>0</v>
      </c>
      <c r="BE340" s="276">
        <f t="shared" si="322"/>
        <v>0</v>
      </c>
      <c r="BF340" s="686">
        <f t="shared" si="323"/>
        <v>0</v>
      </c>
      <c r="BG340" s="685" t="e">
        <f t="shared" si="324"/>
        <v>#DIV/0!</v>
      </c>
      <c r="BH340" s="276" t="e">
        <f t="shared" si="325"/>
        <v>#DIV/0!</v>
      </c>
      <c r="BI340" s="276" t="e">
        <f t="shared" si="326"/>
        <v>#DIV/0!</v>
      </c>
      <c r="BJ340" s="276" t="e">
        <f t="shared" si="327"/>
        <v>#DIV/0!</v>
      </c>
      <c r="BK340" s="276" t="e">
        <f t="shared" si="328"/>
        <v>#DIV/0!</v>
      </c>
      <c r="BL340" s="686" t="e">
        <f t="shared" si="329"/>
        <v>#DIV/0!</v>
      </c>
      <c r="BM340" s="239"/>
      <c r="BN340" s="965" t="e">
        <f t="shared" si="330"/>
        <v>#VALUE!</v>
      </c>
      <c r="BO340" s="878" t="e">
        <f t="shared" si="331"/>
        <v>#VALUE!</v>
      </c>
      <c r="BP340" s="878" t="e">
        <f t="shared" si="332"/>
        <v>#VALUE!</v>
      </c>
      <c r="BQ340" s="878" t="e">
        <f t="shared" si="333"/>
        <v>#VALUE!</v>
      </c>
      <c r="BR340" s="878" t="e">
        <f t="shared" si="334"/>
        <v>#VALUE!</v>
      </c>
      <c r="BS340" s="966" t="e">
        <f t="shared" si="335"/>
        <v>#VALUE!</v>
      </c>
    </row>
    <row r="341" spans="1:71">
      <c r="A341" s="284">
        <f t="shared" si="336"/>
        <v>273</v>
      </c>
      <c r="B341" s="285">
        <v>-1.4794195649986963</v>
      </c>
      <c r="C341" s="285">
        <v>2.5137559411280423</v>
      </c>
      <c r="D341" s="285">
        <v>1.6990685085801558</v>
      </c>
      <c r="E341" s="285">
        <v>4.4219810117189766</v>
      </c>
      <c r="H341" s="685">
        <f t="shared" si="282"/>
        <v>-2.6126534067677509</v>
      </c>
      <c r="I341" s="276">
        <f t="shared" si="283"/>
        <v>-1.7224655360728434</v>
      </c>
      <c r="J341" s="276">
        <f t="shared" si="284"/>
        <v>-0.58164158048319003</v>
      </c>
      <c r="K341" s="276">
        <f t="shared" si="285"/>
        <v>-2.1054565015990994</v>
      </c>
      <c r="L341" s="276">
        <f t="shared" si="286"/>
        <v>0.33165310864946673</v>
      </c>
      <c r="M341" s="276">
        <f t="shared" si="287"/>
        <v>-1.4935181288725006</v>
      </c>
      <c r="N341" s="685">
        <f t="shared" si="288"/>
        <v>1.3065847301561739</v>
      </c>
      <c r="O341" s="276">
        <f t="shared" si="289"/>
        <v>1.1176983006952301</v>
      </c>
      <c r="P341" s="276">
        <f t="shared" si="290"/>
        <v>0.69290129302588466</v>
      </c>
      <c r="Q341" s="276">
        <f t="shared" si="291"/>
        <v>0.88142497189216606</v>
      </c>
      <c r="R341" s="276">
        <f t="shared" si="292"/>
        <v>1.4205511059971123</v>
      </c>
      <c r="S341" s="686">
        <f t="shared" si="293"/>
        <v>1.2211560848866194</v>
      </c>
      <c r="T341" s="685">
        <f t="shared" si="294"/>
        <v>4.9774321988510817</v>
      </c>
      <c r="U341" s="276">
        <f t="shared" si="295"/>
        <v>3.2094547351649463</v>
      </c>
      <c r="V341" s="276">
        <f t="shared" si="296"/>
        <v>6.0645251531942783</v>
      </c>
      <c r="W341" s="276">
        <f t="shared" si="297"/>
        <v>3.6438910935585209</v>
      </c>
      <c r="X341" s="276">
        <f t="shared" si="298"/>
        <v>3.9303622971294025</v>
      </c>
      <c r="Y341" s="686">
        <f t="shared" si="299"/>
        <v>3.1155203732100807</v>
      </c>
      <c r="Z341" s="685" t="e">
        <f t="shared" si="300"/>
        <v>#DIV/0!</v>
      </c>
      <c r="AA341" s="276" t="e">
        <f t="shared" si="301"/>
        <v>#DIV/0!</v>
      </c>
      <c r="AB341" s="276" t="e">
        <f t="shared" si="302"/>
        <v>#DIV/0!</v>
      </c>
      <c r="AC341" s="276" t="e">
        <f t="shared" si="303"/>
        <v>#DIV/0!</v>
      </c>
      <c r="AD341" s="276" t="e">
        <f t="shared" si="304"/>
        <v>#DIV/0!</v>
      </c>
      <c r="AE341" s="686" t="e">
        <f t="shared" si="305"/>
        <v>#DIV/0!</v>
      </c>
      <c r="AF341" s="239"/>
      <c r="AG341" s="965" t="e">
        <f t="shared" si="276"/>
        <v>#VALUE!</v>
      </c>
      <c r="AH341" s="878" t="e">
        <f t="shared" si="277"/>
        <v>#VALUE!</v>
      </c>
      <c r="AI341" s="878" t="e">
        <f t="shared" si="278"/>
        <v>#VALUE!</v>
      </c>
      <c r="AJ341" s="878" t="e">
        <f t="shared" si="279"/>
        <v>#VALUE!</v>
      </c>
      <c r="AK341" s="878" t="e">
        <f t="shared" si="280"/>
        <v>#VALUE!</v>
      </c>
      <c r="AL341" s="966" t="e">
        <f t="shared" si="281"/>
        <v>#VALUE!</v>
      </c>
      <c r="AM341" s="239"/>
      <c r="AO341" s="685">
        <f t="shared" si="306"/>
        <v>-2.6126534067677509</v>
      </c>
      <c r="AP341" s="276">
        <f t="shared" si="307"/>
        <v>-1.7224655360728434</v>
      </c>
      <c r="AQ341" s="276">
        <f t="shared" si="308"/>
        <v>-0.58164158048319003</v>
      </c>
      <c r="AR341" s="276">
        <f t="shared" si="309"/>
        <v>-2.1054565015990994</v>
      </c>
      <c r="AS341" s="276">
        <f t="shared" si="310"/>
        <v>0.33165310864946673</v>
      </c>
      <c r="AT341" s="276">
        <f t="shared" si="311"/>
        <v>-1.4935181288725006</v>
      </c>
      <c r="AU341" s="685">
        <f t="shared" si="312"/>
        <v>1.3065847301561739</v>
      </c>
      <c r="AV341" s="276">
        <f t="shared" si="313"/>
        <v>1.1176983006952301</v>
      </c>
      <c r="AW341" s="276">
        <f t="shared" si="314"/>
        <v>0.69290129302588466</v>
      </c>
      <c r="AX341" s="276">
        <f t="shared" si="315"/>
        <v>0.88142497189216606</v>
      </c>
      <c r="AY341" s="276">
        <f t="shared" si="316"/>
        <v>1.4205511059971123</v>
      </c>
      <c r="AZ341" s="686">
        <f t="shared" si="317"/>
        <v>1.2211560848866194</v>
      </c>
      <c r="BA341" s="685">
        <f t="shared" si="318"/>
        <v>0</v>
      </c>
      <c r="BB341" s="276">
        <f t="shared" si="319"/>
        <v>0</v>
      </c>
      <c r="BC341" s="276">
        <f t="shared" si="320"/>
        <v>0</v>
      </c>
      <c r="BD341" s="276">
        <f t="shared" si="321"/>
        <v>0</v>
      </c>
      <c r="BE341" s="276">
        <f t="shared" si="322"/>
        <v>0</v>
      </c>
      <c r="BF341" s="686">
        <f t="shared" si="323"/>
        <v>0</v>
      </c>
      <c r="BG341" s="685" t="e">
        <f t="shared" si="324"/>
        <v>#DIV/0!</v>
      </c>
      <c r="BH341" s="276" t="e">
        <f t="shared" si="325"/>
        <v>#DIV/0!</v>
      </c>
      <c r="BI341" s="276" t="e">
        <f t="shared" si="326"/>
        <v>#DIV/0!</v>
      </c>
      <c r="BJ341" s="276" t="e">
        <f t="shared" si="327"/>
        <v>#DIV/0!</v>
      </c>
      <c r="BK341" s="276" t="e">
        <f t="shared" si="328"/>
        <v>#DIV/0!</v>
      </c>
      <c r="BL341" s="686" t="e">
        <f t="shared" si="329"/>
        <v>#DIV/0!</v>
      </c>
      <c r="BM341" s="239"/>
      <c r="BN341" s="965" t="e">
        <f t="shared" si="330"/>
        <v>#VALUE!</v>
      </c>
      <c r="BO341" s="878" t="e">
        <f t="shared" si="331"/>
        <v>#VALUE!</v>
      </c>
      <c r="BP341" s="878" t="e">
        <f t="shared" si="332"/>
        <v>#VALUE!</v>
      </c>
      <c r="BQ341" s="878" t="e">
        <f t="shared" si="333"/>
        <v>#VALUE!</v>
      </c>
      <c r="BR341" s="878" t="e">
        <f t="shared" si="334"/>
        <v>#VALUE!</v>
      </c>
      <c r="BS341" s="966" t="e">
        <f t="shared" si="335"/>
        <v>#VALUE!</v>
      </c>
    </row>
    <row r="342" spans="1:71">
      <c r="A342" s="284">
        <f t="shared" si="336"/>
        <v>274</v>
      </c>
      <c r="B342" s="285">
        <v>-1.1993362698226628</v>
      </c>
      <c r="C342" s="285">
        <v>3.0786012915294316</v>
      </c>
      <c r="D342" s="285">
        <v>0.29827002383299694</v>
      </c>
      <c r="E342" s="285">
        <v>4.822051122403316</v>
      </c>
      <c r="H342" s="685">
        <f t="shared" si="282"/>
        <v>-2.3325701115917177</v>
      </c>
      <c r="I342" s="276">
        <f t="shared" si="283"/>
        <v>-0.21940590132150717</v>
      </c>
      <c r="J342" s="276">
        <f t="shared" si="284"/>
        <v>-0.30851366490676002</v>
      </c>
      <c r="K342" s="276">
        <f t="shared" si="285"/>
        <v>1.2616637745409836</v>
      </c>
      <c r="L342" s="276">
        <f t="shared" si="286"/>
        <v>-2.5114990817712526</v>
      </c>
      <c r="M342" s="276">
        <f t="shared" si="287"/>
        <v>-6.3244713592714197</v>
      </c>
      <c r="N342" s="685">
        <f t="shared" si="288"/>
        <v>1.8714300805575632</v>
      </c>
      <c r="O342" s="276">
        <f t="shared" si="289"/>
        <v>1.2198654114080243</v>
      </c>
      <c r="P342" s="276">
        <f t="shared" si="290"/>
        <v>1.3886674691933496</v>
      </c>
      <c r="Q342" s="276">
        <f t="shared" si="291"/>
        <v>0.96905750922219336</v>
      </c>
      <c r="R342" s="276">
        <f t="shared" si="292"/>
        <v>1.1819784234268707</v>
      </c>
      <c r="S342" s="686">
        <f t="shared" si="293"/>
        <v>0.95138645473970862</v>
      </c>
      <c r="T342" s="685">
        <f t="shared" si="294"/>
        <v>3.5766337141039228</v>
      </c>
      <c r="U342" s="276">
        <f t="shared" si="295"/>
        <v>4.1787174984944464</v>
      </c>
      <c r="V342" s="276">
        <f t="shared" si="296"/>
        <v>3.5132498695831389</v>
      </c>
      <c r="W342" s="276">
        <f t="shared" si="297"/>
        <v>4.7732233257050076</v>
      </c>
      <c r="X342" s="276">
        <f t="shared" si="298"/>
        <v>4.058889209832591</v>
      </c>
      <c r="Y342" s="686">
        <f t="shared" si="299"/>
        <v>4.092986073903071</v>
      </c>
      <c r="Z342" s="685" t="e">
        <f t="shared" si="300"/>
        <v>#DIV/0!</v>
      </c>
      <c r="AA342" s="276" t="e">
        <f t="shared" si="301"/>
        <v>#DIV/0!</v>
      </c>
      <c r="AB342" s="276" t="e">
        <f t="shared" si="302"/>
        <v>#DIV/0!</v>
      </c>
      <c r="AC342" s="276" t="e">
        <f t="shared" si="303"/>
        <v>#DIV/0!</v>
      </c>
      <c r="AD342" s="276" t="e">
        <f t="shared" si="304"/>
        <v>#DIV/0!</v>
      </c>
      <c r="AE342" s="686" t="e">
        <f t="shared" si="305"/>
        <v>#DIV/0!</v>
      </c>
      <c r="AF342" s="239"/>
      <c r="AG342" s="965" t="e">
        <f t="shared" si="276"/>
        <v>#VALUE!</v>
      </c>
      <c r="AH342" s="878" t="e">
        <f t="shared" si="277"/>
        <v>#VALUE!</v>
      </c>
      <c r="AI342" s="878" t="e">
        <f t="shared" si="278"/>
        <v>#VALUE!</v>
      </c>
      <c r="AJ342" s="878" t="e">
        <f t="shared" si="279"/>
        <v>#VALUE!</v>
      </c>
      <c r="AK342" s="878" t="e">
        <f t="shared" si="280"/>
        <v>#VALUE!</v>
      </c>
      <c r="AL342" s="966" t="e">
        <f t="shared" si="281"/>
        <v>#VALUE!</v>
      </c>
      <c r="AM342" s="239"/>
      <c r="AO342" s="685">
        <f t="shared" si="306"/>
        <v>-2.3325701115917177</v>
      </c>
      <c r="AP342" s="276">
        <f t="shared" si="307"/>
        <v>-0.21940590132150717</v>
      </c>
      <c r="AQ342" s="276">
        <f t="shared" si="308"/>
        <v>-0.30851366490676002</v>
      </c>
      <c r="AR342" s="276">
        <f t="shared" si="309"/>
        <v>1.2616637745409836</v>
      </c>
      <c r="AS342" s="276">
        <f t="shared" si="310"/>
        <v>-2.5114990817712526</v>
      </c>
      <c r="AT342" s="276">
        <f t="shared" si="311"/>
        <v>-6.3244713592714197</v>
      </c>
      <c r="AU342" s="685">
        <f t="shared" si="312"/>
        <v>1.8714300805575632</v>
      </c>
      <c r="AV342" s="276">
        <f t="shared" si="313"/>
        <v>1.2198654114080243</v>
      </c>
      <c r="AW342" s="276">
        <f t="shared" si="314"/>
        <v>1.3886674691933496</v>
      </c>
      <c r="AX342" s="276">
        <f t="shared" si="315"/>
        <v>0.96905750922219336</v>
      </c>
      <c r="AY342" s="276">
        <f t="shared" si="316"/>
        <v>1.1819784234268707</v>
      </c>
      <c r="AZ342" s="686">
        <f t="shared" si="317"/>
        <v>0.95138645473970862</v>
      </c>
      <c r="BA342" s="685">
        <f t="shared" si="318"/>
        <v>0</v>
      </c>
      <c r="BB342" s="276">
        <f t="shared" si="319"/>
        <v>0</v>
      </c>
      <c r="BC342" s="276">
        <f t="shared" si="320"/>
        <v>0</v>
      </c>
      <c r="BD342" s="276">
        <f t="shared" si="321"/>
        <v>0</v>
      </c>
      <c r="BE342" s="276">
        <f t="shared" si="322"/>
        <v>0</v>
      </c>
      <c r="BF342" s="686">
        <f t="shared" si="323"/>
        <v>0</v>
      </c>
      <c r="BG342" s="685" t="e">
        <f t="shared" si="324"/>
        <v>#DIV/0!</v>
      </c>
      <c r="BH342" s="276" t="e">
        <f t="shared" si="325"/>
        <v>#DIV/0!</v>
      </c>
      <c r="BI342" s="276" t="e">
        <f t="shared" si="326"/>
        <v>#DIV/0!</v>
      </c>
      <c r="BJ342" s="276" t="e">
        <f t="shared" si="327"/>
        <v>#DIV/0!</v>
      </c>
      <c r="BK342" s="276" t="e">
        <f t="shared" si="328"/>
        <v>#DIV/0!</v>
      </c>
      <c r="BL342" s="686" t="e">
        <f t="shared" si="329"/>
        <v>#DIV/0!</v>
      </c>
      <c r="BM342" s="239"/>
      <c r="BN342" s="965" t="e">
        <f t="shared" si="330"/>
        <v>#VALUE!</v>
      </c>
      <c r="BO342" s="878" t="e">
        <f t="shared" si="331"/>
        <v>#VALUE!</v>
      </c>
      <c r="BP342" s="878" t="e">
        <f t="shared" si="332"/>
        <v>#VALUE!</v>
      </c>
      <c r="BQ342" s="878" t="e">
        <f t="shared" si="333"/>
        <v>#VALUE!</v>
      </c>
      <c r="BR342" s="878" t="e">
        <f t="shared" si="334"/>
        <v>#VALUE!</v>
      </c>
      <c r="BS342" s="966" t="e">
        <f t="shared" si="335"/>
        <v>#VALUE!</v>
      </c>
    </row>
    <row r="343" spans="1:71">
      <c r="A343" s="284">
        <f t="shared" si="336"/>
        <v>275</v>
      </c>
      <c r="B343" s="285">
        <v>-3.0349444311622027</v>
      </c>
      <c r="C343" s="285">
        <v>2.7488280125764848</v>
      </c>
      <c r="D343" s="285">
        <v>-0.95519845567935224</v>
      </c>
      <c r="E343" s="285">
        <v>4.0296410029413181</v>
      </c>
      <c r="H343" s="685">
        <f t="shared" si="282"/>
        <v>-4.1681782729312573</v>
      </c>
      <c r="I343" s="276">
        <f t="shared" si="283"/>
        <v>-4.2737488175448117</v>
      </c>
      <c r="J343" s="276">
        <f t="shared" si="284"/>
        <v>-3.2624279210681895</v>
      </c>
      <c r="K343" s="276">
        <f t="shared" si="285"/>
        <v>-0.62210713837010512</v>
      </c>
      <c r="L343" s="276">
        <f t="shared" si="286"/>
        <v>5.2245433996524735</v>
      </c>
      <c r="M343" s="276">
        <f t="shared" si="287"/>
        <v>-0.65100601316930073</v>
      </c>
      <c r="N343" s="685">
        <f t="shared" si="288"/>
        <v>1.5416568016046164</v>
      </c>
      <c r="O343" s="276">
        <f t="shared" si="289"/>
        <v>1.5903614480860206</v>
      </c>
      <c r="P343" s="276">
        <f t="shared" si="290"/>
        <v>1.4739761931648079</v>
      </c>
      <c r="Q343" s="276">
        <f t="shared" si="291"/>
        <v>1.4595519117589799</v>
      </c>
      <c r="R343" s="276">
        <f t="shared" si="292"/>
        <v>1.9111698663356635</v>
      </c>
      <c r="S343" s="686">
        <f t="shared" si="293"/>
        <v>0.74968442267538049</v>
      </c>
      <c r="T343" s="685">
        <f t="shared" si="294"/>
        <v>2.3231652345915736</v>
      </c>
      <c r="U343" s="276">
        <f t="shared" si="295"/>
        <v>3.289454525971677</v>
      </c>
      <c r="V343" s="276">
        <f t="shared" si="296"/>
        <v>3.211041237327525</v>
      </c>
      <c r="W343" s="276">
        <f t="shared" si="297"/>
        <v>4.9081732734411068</v>
      </c>
      <c r="X343" s="276">
        <f t="shared" si="298"/>
        <v>4.9521043644841694</v>
      </c>
      <c r="Y343" s="686">
        <f t="shared" si="299"/>
        <v>3.9665801928243711</v>
      </c>
      <c r="Z343" s="685" t="e">
        <f t="shared" si="300"/>
        <v>#DIV/0!</v>
      </c>
      <c r="AA343" s="276" t="e">
        <f t="shared" si="301"/>
        <v>#DIV/0!</v>
      </c>
      <c r="AB343" s="276" t="e">
        <f t="shared" si="302"/>
        <v>#DIV/0!</v>
      </c>
      <c r="AC343" s="276" t="e">
        <f t="shared" si="303"/>
        <v>#DIV/0!</v>
      </c>
      <c r="AD343" s="276" t="e">
        <f t="shared" si="304"/>
        <v>#DIV/0!</v>
      </c>
      <c r="AE343" s="686" t="e">
        <f t="shared" si="305"/>
        <v>#DIV/0!</v>
      </c>
      <c r="AF343" s="239"/>
      <c r="AG343" s="965" t="e">
        <f t="shared" si="276"/>
        <v>#VALUE!</v>
      </c>
      <c r="AH343" s="878" t="e">
        <f t="shared" si="277"/>
        <v>#VALUE!</v>
      </c>
      <c r="AI343" s="878" t="e">
        <f t="shared" si="278"/>
        <v>#VALUE!</v>
      </c>
      <c r="AJ343" s="878" t="e">
        <f t="shared" si="279"/>
        <v>#VALUE!</v>
      </c>
      <c r="AK343" s="878" t="e">
        <f t="shared" si="280"/>
        <v>#VALUE!</v>
      </c>
      <c r="AL343" s="966" t="e">
        <f t="shared" si="281"/>
        <v>#VALUE!</v>
      </c>
      <c r="AM343" s="239"/>
      <c r="AO343" s="685">
        <f t="shared" si="306"/>
        <v>-4.1681782729312573</v>
      </c>
      <c r="AP343" s="276">
        <f t="shared" si="307"/>
        <v>-4.2737488175448117</v>
      </c>
      <c r="AQ343" s="276">
        <f t="shared" si="308"/>
        <v>-3.2624279210681895</v>
      </c>
      <c r="AR343" s="276">
        <f t="shared" si="309"/>
        <v>-0.62210713837010512</v>
      </c>
      <c r="AS343" s="276">
        <f t="shared" si="310"/>
        <v>5.2245433996524735</v>
      </c>
      <c r="AT343" s="276">
        <f t="shared" si="311"/>
        <v>-0.65100601316930073</v>
      </c>
      <c r="AU343" s="685">
        <f t="shared" si="312"/>
        <v>1.5416568016046164</v>
      </c>
      <c r="AV343" s="276">
        <f t="shared" si="313"/>
        <v>1.5903614480860206</v>
      </c>
      <c r="AW343" s="276">
        <f t="shared" si="314"/>
        <v>1.4739761931648079</v>
      </c>
      <c r="AX343" s="276">
        <f t="shared" si="315"/>
        <v>1.4595519117589799</v>
      </c>
      <c r="AY343" s="276">
        <f t="shared" si="316"/>
        <v>1.9111698663356635</v>
      </c>
      <c r="AZ343" s="686">
        <f t="shared" si="317"/>
        <v>0.74968442267538049</v>
      </c>
      <c r="BA343" s="685">
        <f t="shared" si="318"/>
        <v>0</v>
      </c>
      <c r="BB343" s="276">
        <f t="shared" si="319"/>
        <v>0</v>
      </c>
      <c r="BC343" s="276">
        <f t="shared" si="320"/>
        <v>0</v>
      </c>
      <c r="BD343" s="276">
        <f t="shared" si="321"/>
        <v>0</v>
      </c>
      <c r="BE343" s="276">
        <f t="shared" si="322"/>
        <v>0</v>
      </c>
      <c r="BF343" s="686">
        <f t="shared" si="323"/>
        <v>0</v>
      </c>
      <c r="BG343" s="685" t="e">
        <f t="shared" si="324"/>
        <v>#DIV/0!</v>
      </c>
      <c r="BH343" s="276" t="e">
        <f t="shared" si="325"/>
        <v>#DIV/0!</v>
      </c>
      <c r="BI343" s="276" t="e">
        <f t="shared" si="326"/>
        <v>#DIV/0!</v>
      </c>
      <c r="BJ343" s="276" t="e">
        <f t="shared" si="327"/>
        <v>#DIV/0!</v>
      </c>
      <c r="BK343" s="276" t="e">
        <f t="shared" si="328"/>
        <v>#DIV/0!</v>
      </c>
      <c r="BL343" s="686" t="e">
        <f t="shared" si="329"/>
        <v>#DIV/0!</v>
      </c>
      <c r="BM343" s="239"/>
      <c r="BN343" s="965" t="e">
        <f t="shared" si="330"/>
        <v>#VALUE!</v>
      </c>
      <c r="BO343" s="878" t="e">
        <f t="shared" si="331"/>
        <v>#VALUE!</v>
      </c>
      <c r="BP343" s="878" t="e">
        <f t="shared" si="332"/>
        <v>#VALUE!</v>
      </c>
      <c r="BQ343" s="878" t="e">
        <f t="shared" si="333"/>
        <v>#VALUE!</v>
      </c>
      <c r="BR343" s="878" t="e">
        <f t="shared" si="334"/>
        <v>#VALUE!</v>
      </c>
      <c r="BS343" s="966" t="e">
        <f t="shared" si="335"/>
        <v>#VALUE!</v>
      </c>
    </row>
    <row r="344" spans="1:71">
      <c r="A344" s="284">
        <f t="shared" si="336"/>
        <v>276</v>
      </c>
      <c r="B344" s="285">
        <v>1.7965895091530393</v>
      </c>
      <c r="C344" s="285">
        <v>2.6390475548718926</v>
      </c>
      <c r="D344" s="285">
        <v>1.7403462440824611</v>
      </c>
      <c r="E344" s="285">
        <v>-3.8525081629449933</v>
      </c>
      <c r="H344" s="685">
        <f t="shared" si="282"/>
        <v>0.66335566738398444</v>
      </c>
      <c r="I344" s="276">
        <f t="shared" si="283"/>
        <v>8.1353042152520594E-2</v>
      </c>
      <c r="J344" s="276">
        <f t="shared" si="284"/>
        <v>-0.69896638214974893</v>
      </c>
      <c r="K344" s="276">
        <f t="shared" si="285"/>
        <v>-1.0533152055865234</v>
      </c>
      <c r="L344" s="276">
        <f t="shared" si="286"/>
        <v>-1.4288399960555724</v>
      </c>
      <c r="M344" s="276">
        <f t="shared" si="287"/>
        <v>-1.1992139335427843</v>
      </c>
      <c r="N344" s="685">
        <f t="shared" si="288"/>
        <v>1.4318763439000242</v>
      </c>
      <c r="O344" s="276">
        <f t="shared" si="289"/>
        <v>1.1671473123802059</v>
      </c>
      <c r="P344" s="276">
        <f t="shared" si="290"/>
        <v>0.33146411504259143</v>
      </c>
      <c r="Q344" s="276">
        <f t="shared" si="291"/>
        <v>1.1822545017587849</v>
      </c>
      <c r="R344" s="276">
        <f t="shared" si="292"/>
        <v>1.7133192683914282</v>
      </c>
      <c r="S344" s="686">
        <f t="shared" si="293"/>
        <v>0.97535902516644035</v>
      </c>
      <c r="T344" s="685">
        <f t="shared" si="294"/>
        <v>5.018709934353387</v>
      </c>
      <c r="U344" s="276">
        <f t="shared" si="295"/>
        <v>3.8148128576447857</v>
      </c>
      <c r="V344" s="276">
        <f t="shared" si="296"/>
        <v>5.7007003279798933</v>
      </c>
      <c r="W344" s="276">
        <f t="shared" si="297"/>
        <v>5.5753317896500247</v>
      </c>
      <c r="X344" s="276">
        <f t="shared" si="298"/>
        <v>4.1149657786468996</v>
      </c>
      <c r="Y344" s="686">
        <f t="shared" si="299"/>
        <v>6.0625040106705415</v>
      </c>
      <c r="Z344" s="685" t="e">
        <f t="shared" si="300"/>
        <v>#DIV/0!</v>
      </c>
      <c r="AA344" s="276" t="e">
        <f t="shared" si="301"/>
        <v>#DIV/0!</v>
      </c>
      <c r="AB344" s="276" t="e">
        <f t="shared" si="302"/>
        <v>#DIV/0!</v>
      </c>
      <c r="AC344" s="276" t="e">
        <f t="shared" si="303"/>
        <v>#DIV/0!</v>
      </c>
      <c r="AD344" s="276" t="e">
        <f t="shared" si="304"/>
        <v>#DIV/0!</v>
      </c>
      <c r="AE344" s="686" t="e">
        <f t="shared" si="305"/>
        <v>#DIV/0!</v>
      </c>
      <c r="AF344" s="239"/>
      <c r="AG344" s="965" t="e">
        <f t="shared" si="276"/>
        <v>#VALUE!</v>
      </c>
      <c r="AH344" s="878" t="e">
        <f t="shared" si="277"/>
        <v>#VALUE!</v>
      </c>
      <c r="AI344" s="878" t="e">
        <f t="shared" si="278"/>
        <v>#VALUE!</v>
      </c>
      <c r="AJ344" s="878" t="e">
        <f t="shared" si="279"/>
        <v>#VALUE!</v>
      </c>
      <c r="AK344" s="878" t="e">
        <f t="shared" si="280"/>
        <v>#VALUE!</v>
      </c>
      <c r="AL344" s="966" t="e">
        <f t="shared" si="281"/>
        <v>#VALUE!</v>
      </c>
      <c r="AM344" s="239"/>
      <c r="AO344" s="685">
        <f t="shared" si="306"/>
        <v>0.66335566738398444</v>
      </c>
      <c r="AP344" s="276">
        <f t="shared" si="307"/>
        <v>8.1353042152520594E-2</v>
      </c>
      <c r="AQ344" s="276">
        <f t="shared" si="308"/>
        <v>-0.69896638214974893</v>
      </c>
      <c r="AR344" s="276">
        <f t="shared" si="309"/>
        <v>-1.0533152055865234</v>
      </c>
      <c r="AS344" s="276">
        <f t="shared" si="310"/>
        <v>-1.4288399960555724</v>
      </c>
      <c r="AT344" s="276">
        <f t="shared" si="311"/>
        <v>-1.1992139335427843</v>
      </c>
      <c r="AU344" s="685">
        <f t="shared" si="312"/>
        <v>1.4318763439000242</v>
      </c>
      <c r="AV344" s="276">
        <f t="shared" si="313"/>
        <v>1.1671473123802059</v>
      </c>
      <c r="AW344" s="276">
        <f t="shared" si="314"/>
        <v>0.33146411504259143</v>
      </c>
      <c r="AX344" s="276">
        <f t="shared" si="315"/>
        <v>1.1822545017587849</v>
      </c>
      <c r="AY344" s="276">
        <f t="shared" si="316"/>
        <v>1.7133192683914282</v>
      </c>
      <c r="AZ344" s="686">
        <f t="shared" si="317"/>
        <v>0.97535902516644035</v>
      </c>
      <c r="BA344" s="685">
        <f t="shared" si="318"/>
        <v>0</v>
      </c>
      <c r="BB344" s="276">
        <f t="shared" si="319"/>
        <v>0</v>
      </c>
      <c r="BC344" s="276">
        <f t="shared" si="320"/>
        <v>0</v>
      </c>
      <c r="BD344" s="276">
        <f t="shared" si="321"/>
        <v>0</v>
      </c>
      <c r="BE344" s="276">
        <f t="shared" si="322"/>
        <v>0</v>
      </c>
      <c r="BF344" s="686">
        <f t="shared" si="323"/>
        <v>0</v>
      </c>
      <c r="BG344" s="685" t="e">
        <f t="shared" si="324"/>
        <v>#DIV/0!</v>
      </c>
      <c r="BH344" s="276" t="e">
        <f t="shared" si="325"/>
        <v>#DIV/0!</v>
      </c>
      <c r="BI344" s="276" t="e">
        <f t="shared" si="326"/>
        <v>#DIV/0!</v>
      </c>
      <c r="BJ344" s="276" t="e">
        <f t="shared" si="327"/>
        <v>#DIV/0!</v>
      </c>
      <c r="BK344" s="276" t="e">
        <f t="shared" si="328"/>
        <v>#DIV/0!</v>
      </c>
      <c r="BL344" s="686" t="e">
        <f t="shared" si="329"/>
        <v>#DIV/0!</v>
      </c>
      <c r="BM344" s="239"/>
      <c r="BN344" s="965" t="e">
        <f t="shared" si="330"/>
        <v>#VALUE!</v>
      </c>
      <c r="BO344" s="878" t="e">
        <f t="shared" si="331"/>
        <v>#VALUE!</v>
      </c>
      <c r="BP344" s="878" t="e">
        <f t="shared" si="332"/>
        <v>#VALUE!</v>
      </c>
      <c r="BQ344" s="878" t="e">
        <f t="shared" si="333"/>
        <v>#VALUE!</v>
      </c>
      <c r="BR344" s="878" t="e">
        <f t="shared" si="334"/>
        <v>#VALUE!</v>
      </c>
      <c r="BS344" s="966" t="e">
        <f t="shared" si="335"/>
        <v>#VALUE!</v>
      </c>
    </row>
    <row r="345" spans="1:71">
      <c r="A345" s="284">
        <f t="shared" si="336"/>
        <v>277</v>
      </c>
      <c r="B345" s="285">
        <v>2.2041302309447706</v>
      </c>
      <c r="C345" s="285">
        <v>3.0330088139963394</v>
      </c>
      <c r="D345" s="285">
        <v>0.76543394794563857</v>
      </c>
      <c r="E345" s="285">
        <v>3.063519112932811E-2</v>
      </c>
      <c r="H345" s="685">
        <f t="shared" si="282"/>
        <v>1.0708963891757157</v>
      </c>
      <c r="I345" s="276">
        <f t="shared" si="283"/>
        <v>-3.1478277858334573</v>
      </c>
      <c r="J345" s="276">
        <f t="shared" si="284"/>
        <v>-5.2797897728761622</v>
      </c>
      <c r="K345" s="276">
        <f t="shared" si="285"/>
        <v>-1.1615447199384421</v>
      </c>
      <c r="L345" s="276">
        <f t="shared" si="286"/>
        <v>-2.0517176283914793</v>
      </c>
      <c r="M345" s="276">
        <f t="shared" si="287"/>
        <v>0.13308471788916609</v>
      </c>
      <c r="N345" s="685">
        <f t="shared" si="288"/>
        <v>1.825837603024471</v>
      </c>
      <c r="O345" s="276">
        <f t="shared" si="289"/>
        <v>1.0307990822013287</v>
      </c>
      <c r="P345" s="276">
        <f t="shared" si="290"/>
        <v>3.2345262075638814E-2</v>
      </c>
      <c r="Q345" s="276">
        <f t="shared" si="291"/>
        <v>1.5369958963850834</v>
      </c>
      <c r="R345" s="276">
        <f t="shared" si="292"/>
        <v>1.2871300999679092</v>
      </c>
      <c r="S345" s="686">
        <f t="shared" si="293"/>
        <v>1.1739872529594908</v>
      </c>
      <c r="T345" s="685">
        <f t="shared" si="294"/>
        <v>4.0437976382165646</v>
      </c>
      <c r="U345" s="276">
        <f t="shared" si="295"/>
        <v>3.6168757103142899</v>
      </c>
      <c r="V345" s="276">
        <f t="shared" si="296"/>
        <v>4.4484981006605731</v>
      </c>
      <c r="W345" s="276">
        <f t="shared" si="297"/>
        <v>6.4673370815758524</v>
      </c>
      <c r="X345" s="276">
        <f t="shared" si="298"/>
        <v>3.3514184227811366</v>
      </c>
      <c r="Y345" s="686">
        <f t="shared" si="299"/>
        <v>8.4654409242005464</v>
      </c>
      <c r="Z345" s="685" t="e">
        <f t="shared" si="300"/>
        <v>#DIV/0!</v>
      </c>
      <c r="AA345" s="276" t="e">
        <f t="shared" si="301"/>
        <v>#DIV/0!</v>
      </c>
      <c r="AB345" s="276" t="e">
        <f t="shared" si="302"/>
        <v>#DIV/0!</v>
      </c>
      <c r="AC345" s="276" t="e">
        <f t="shared" si="303"/>
        <v>#DIV/0!</v>
      </c>
      <c r="AD345" s="276" t="e">
        <f t="shared" si="304"/>
        <v>#DIV/0!</v>
      </c>
      <c r="AE345" s="686" t="e">
        <f t="shared" si="305"/>
        <v>#DIV/0!</v>
      </c>
      <c r="AF345" s="239"/>
      <c r="AG345" s="965" t="e">
        <f t="shared" si="276"/>
        <v>#VALUE!</v>
      </c>
      <c r="AH345" s="878" t="e">
        <f t="shared" si="277"/>
        <v>#VALUE!</v>
      </c>
      <c r="AI345" s="878" t="e">
        <f t="shared" si="278"/>
        <v>#VALUE!</v>
      </c>
      <c r="AJ345" s="878" t="e">
        <f t="shared" si="279"/>
        <v>#VALUE!</v>
      </c>
      <c r="AK345" s="878" t="e">
        <f t="shared" si="280"/>
        <v>#VALUE!</v>
      </c>
      <c r="AL345" s="966" t="e">
        <f t="shared" si="281"/>
        <v>#VALUE!</v>
      </c>
      <c r="AM345" s="239"/>
      <c r="AO345" s="685">
        <f t="shared" si="306"/>
        <v>1.0708963891757157</v>
      </c>
      <c r="AP345" s="276">
        <f t="shared" si="307"/>
        <v>-3.1478277858334573</v>
      </c>
      <c r="AQ345" s="276">
        <f t="shared" si="308"/>
        <v>-5.2797897728761622</v>
      </c>
      <c r="AR345" s="276">
        <f t="shared" si="309"/>
        <v>-1.1615447199384421</v>
      </c>
      <c r="AS345" s="276">
        <f t="shared" si="310"/>
        <v>-2.0517176283914793</v>
      </c>
      <c r="AT345" s="276">
        <f t="shared" si="311"/>
        <v>0.13308471788916609</v>
      </c>
      <c r="AU345" s="685">
        <f t="shared" si="312"/>
        <v>1.825837603024471</v>
      </c>
      <c r="AV345" s="276">
        <f t="shared" si="313"/>
        <v>1.0307990822013287</v>
      </c>
      <c r="AW345" s="276">
        <f t="shared" si="314"/>
        <v>3.2345262075638814E-2</v>
      </c>
      <c r="AX345" s="276">
        <f t="shared" si="315"/>
        <v>1.5369958963850834</v>
      </c>
      <c r="AY345" s="276">
        <f t="shared" si="316"/>
        <v>1.2871300999679092</v>
      </c>
      <c r="AZ345" s="686">
        <f t="shared" si="317"/>
        <v>1.1739872529594908</v>
      </c>
      <c r="BA345" s="685">
        <f t="shared" si="318"/>
        <v>0</v>
      </c>
      <c r="BB345" s="276">
        <f t="shared" si="319"/>
        <v>0</v>
      </c>
      <c r="BC345" s="276">
        <f t="shared" si="320"/>
        <v>0</v>
      </c>
      <c r="BD345" s="276">
        <f t="shared" si="321"/>
        <v>0</v>
      </c>
      <c r="BE345" s="276">
        <f t="shared" si="322"/>
        <v>0</v>
      </c>
      <c r="BF345" s="686">
        <f t="shared" si="323"/>
        <v>0</v>
      </c>
      <c r="BG345" s="685" t="e">
        <f t="shared" si="324"/>
        <v>#DIV/0!</v>
      </c>
      <c r="BH345" s="276" t="e">
        <f t="shared" si="325"/>
        <v>#DIV/0!</v>
      </c>
      <c r="BI345" s="276" t="e">
        <f t="shared" si="326"/>
        <v>#DIV/0!</v>
      </c>
      <c r="BJ345" s="276" t="e">
        <f t="shared" si="327"/>
        <v>#DIV/0!</v>
      </c>
      <c r="BK345" s="276" t="e">
        <f t="shared" si="328"/>
        <v>#DIV/0!</v>
      </c>
      <c r="BL345" s="686" t="e">
        <f t="shared" si="329"/>
        <v>#DIV/0!</v>
      </c>
      <c r="BM345" s="239"/>
      <c r="BN345" s="965" t="e">
        <f t="shared" si="330"/>
        <v>#VALUE!</v>
      </c>
      <c r="BO345" s="878" t="e">
        <f t="shared" si="331"/>
        <v>#VALUE!</v>
      </c>
      <c r="BP345" s="878" t="e">
        <f t="shared" si="332"/>
        <v>#VALUE!</v>
      </c>
      <c r="BQ345" s="878" t="e">
        <f t="shared" si="333"/>
        <v>#VALUE!</v>
      </c>
      <c r="BR345" s="878" t="e">
        <f t="shared" si="334"/>
        <v>#VALUE!</v>
      </c>
      <c r="BS345" s="966" t="e">
        <f t="shared" si="335"/>
        <v>#VALUE!</v>
      </c>
    </row>
    <row r="346" spans="1:71">
      <c r="A346" s="284">
        <f t="shared" si="336"/>
        <v>278</v>
      </c>
      <c r="B346" s="285">
        <v>3.3512491391189001</v>
      </c>
      <c r="C346" s="285">
        <v>2.9384935331436735</v>
      </c>
      <c r="D346" s="285">
        <v>0.72017921733167911</v>
      </c>
      <c r="E346" s="285">
        <v>-8.8197411551100178</v>
      </c>
      <c r="H346" s="685">
        <f t="shared" si="282"/>
        <v>2.2180152973498455</v>
      </c>
      <c r="I346" s="276">
        <f t="shared" si="283"/>
        <v>0.34228631972716461</v>
      </c>
      <c r="J346" s="276">
        <f t="shared" si="284"/>
        <v>-1.4213500145485034</v>
      </c>
      <c r="K346" s="276">
        <f t="shared" si="285"/>
        <v>-0.46912653745809618</v>
      </c>
      <c r="L346" s="276">
        <f t="shared" si="286"/>
        <v>-0.72391242298506508</v>
      </c>
      <c r="M346" s="276">
        <f t="shared" si="287"/>
        <v>-1.5633603465271182</v>
      </c>
      <c r="N346" s="685">
        <f t="shared" si="288"/>
        <v>1.731322322171805</v>
      </c>
      <c r="O346" s="276">
        <f t="shared" si="289"/>
        <v>1.2740857125889862</v>
      </c>
      <c r="P346" s="276">
        <f t="shared" si="290"/>
        <v>0.63118524627089045</v>
      </c>
      <c r="Q346" s="276">
        <f t="shared" si="291"/>
        <v>1.0155712456526602</v>
      </c>
      <c r="R346" s="276">
        <f t="shared" si="292"/>
        <v>1.9380356964524681</v>
      </c>
      <c r="S346" s="686">
        <f t="shared" si="293"/>
        <v>0.99203089528232957</v>
      </c>
      <c r="T346" s="685">
        <f t="shared" si="294"/>
        <v>3.9985429076026051</v>
      </c>
      <c r="U346" s="276">
        <f t="shared" si="295"/>
        <v>4.4010737598208731</v>
      </c>
      <c r="V346" s="276">
        <f t="shared" si="296"/>
        <v>6.8702840033388659</v>
      </c>
      <c r="W346" s="276">
        <f t="shared" si="297"/>
        <v>5.4263877636825377</v>
      </c>
      <c r="X346" s="276">
        <f t="shared" si="298"/>
        <v>4.4157589153115513</v>
      </c>
      <c r="Y346" s="686">
        <f t="shared" si="299"/>
        <v>3.3040826097400888</v>
      </c>
      <c r="Z346" s="685" t="e">
        <f t="shared" si="300"/>
        <v>#DIV/0!</v>
      </c>
      <c r="AA346" s="276" t="e">
        <f t="shared" si="301"/>
        <v>#DIV/0!</v>
      </c>
      <c r="AB346" s="276" t="e">
        <f t="shared" si="302"/>
        <v>#DIV/0!</v>
      </c>
      <c r="AC346" s="276" t="e">
        <f t="shared" si="303"/>
        <v>#DIV/0!</v>
      </c>
      <c r="AD346" s="276" t="e">
        <f t="shared" si="304"/>
        <v>#DIV/0!</v>
      </c>
      <c r="AE346" s="686" t="e">
        <f t="shared" si="305"/>
        <v>#DIV/0!</v>
      </c>
      <c r="AF346" s="239"/>
      <c r="AG346" s="965" t="e">
        <f t="shared" si="276"/>
        <v>#VALUE!</v>
      </c>
      <c r="AH346" s="878" t="e">
        <f t="shared" si="277"/>
        <v>#VALUE!</v>
      </c>
      <c r="AI346" s="878" t="e">
        <f t="shared" si="278"/>
        <v>#VALUE!</v>
      </c>
      <c r="AJ346" s="878" t="e">
        <f t="shared" si="279"/>
        <v>#VALUE!</v>
      </c>
      <c r="AK346" s="878" t="e">
        <f t="shared" si="280"/>
        <v>#VALUE!</v>
      </c>
      <c r="AL346" s="966" t="e">
        <f t="shared" si="281"/>
        <v>#VALUE!</v>
      </c>
      <c r="AM346" s="239"/>
      <c r="AO346" s="685">
        <f t="shared" si="306"/>
        <v>2.2180152973498455</v>
      </c>
      <c r="AP346" s="276">
        <f t="shared" si="307"/>
        <v>0.34228631972716461</v>
      </c>
      <c r="AQ346" s="276">
        <f t="shared" si="308"/>
        <v>-1.4213500145485034</v>
      </c>
      <c r="AR346" s="276">
        <f t="shared" si="309"/>
        <v>-0.46912653745809618</v>
      </c>
      <c r="AS346" s="276">
        <f t="shared" si="310"/>
        <v>-0.72391242298506508</v>
      </c>
      <c r="AT346" s="276">
        <f t="shared" si="311"/>
        <v>-1.5633603465271182</v>
      </c>
      <c r="AU346" s="685">
        <f t="shared" si="312"/>
        <v>1.731322322171805</v>
      </c>
      <c r="AV346" s="276">
        <f t="shared" si="313"/>
        <v>1.2740857125889862</v>
      </c>
      <c r="AW346" s="276">
        <f t="shared" si="314"/>
        <v>0.63118524627089045</v>
      </c>
      <c r="AX346" s="276">
        <f t="shared" si="315"/>
        <v>1.0155712456526602</v>
      </c>
      <c r="AY346" s="276">
        <f t="shared" si="316"/>
        <v>1.9380356964524681</v>
      </c>
      <c r="AZ346" s="686">
        <f t="shared" si="317"/>
        <v>0.99203089528232957</v>
      </c>
      <c r="BA346" s="685">
        <f t="shared" si="318"/>
        <v>0</v>
      </c>
      <c r="BB346" s="276">
        <f t="shared" si="319"/>
        <v>0</v>
      </c>
      <c r="BC346" s="276">
        <f t="shared" si="320"/>
        <v>0</v>
      </c>
      <c r="BD346" s="276">
        <f t="shared" si="321"/>
        <v>0</v>
      </c>
      <c r="BE346" s="276">
        <f t="shared" si="322"/>
        <v>0</v>
      </c>
      <c r="BF346" s="686">
        <f t="shared" si="323"/>
        <v>0</v>
      </c>
      <c r="BG346" s="685" t="e">
        <f t="shared" si="324"/>
        <v>#DIV/0!</v>
      </c>
      <c r="BH346" s="276" t="e">
        <f t="shared" si="325"/>
        <v>#DIV/0!</v>
      </c>
      <c r="BI346" s="276" t="e">
        <f t="shared" si="326"/>
        <v>#DIV/0!</v>
      </c>
      <c r="BJ346" s="276" t="e">
        <f t="shared" si="327"/>
        <v>#DIV/0!</v>
      </c>
      <c r="BK346" s="276" t="e">
        <f t="shared" si="328"/>
        <v>#DIV/0!</v>
      </c>
      <c r="BL346" s="686" t="e">
        <f t="shared" si="329"/>
        <v>#DIV/0!</v>
      </c>
      <c r="BM346" s="239"/>
      <c r="BN346" s="965" t="e">
        <f t="shared" si="330"/>
        <v>#VALUE!</v>
      </c>
      <c r="BO346" s="878" t="e">
        <f t="shared" si="331"/>
        <v>#VALUE!</v>
      </c>
      <c r="BP346" s="878" t="e">
        <f t="shared" si="332"/>
        <v>#VALUE!</v>
      </c>
      <c r="BQ346" s="878" t="e">
        <f t="shared" si="333"/>
        <v>#VALUE!</v>
      </c>
      <c r="BR346" s="878" t="e">
        <f t="shared" si="334"/>
        <v>#VALUE!</v>
      </c>
      <c r="BS346" s="966" t="e">
        <f t="shared" si="335"/>
        <v>#VALUE!</v>
      </c>
    </row>
    <row r="347" spans="1:71">
      <c r="A347" s="284">
        <f t="shared" si="336"/>
        <v>279</v>
      </c>
      <c r="B347" s="285">
        <v>1.7628231339367886</v>
      </c>
      <c r="C347" s="285">
        <v>2.3290691410856454</v>
      </c>
      <c r="D347" s="285">
        <v>3.4739934486891828</v>
      </c>
      <c r="E347" s="285">
        <v>-4.7532788802353636</v>
      </c>
      <c r="H347" s="685">
        <f t="shared" si="282"/>
        <v>0.62958929216773374</v>
      </c>
      <c r="I347" s="276">
        <f t="shared" si="283"/>
        <v>1.1434600761892966</v>
      </c>
      <c r="J347" s="276">
        <f t="shared" si="284"/>
        <v>0.37563827424538765</v>
      </c>
      <c r="K347" s="276">
        <f t="shared" si="285"/>
        <v>0.61178405821070458</v>
      </c>
      <c r="L347" s="276">
        <f t="shared" si="286"/>
        <v>-5.9219670622501273</v>
      </c>
      <c r="M347" s="276">
        <f t="shared" si="287"/>
        <v>-0.96597332134321368</v>
      </c>
      <c r="N347" s="685">
        <f t="shared" si="288"/>
        <v>1.121897930113777</v>
      </c>
      <c r="O347" s="276">
        <f t="shared" si="289"/>
        <v>1.3175297583234873</v>
      </c>
      <c r="P347" s="276">
        <f t="shared" si="290"/>
        <v>0.2454163973252379</v>
      </c>
      <c r="Q347" s="276">
        <f t="shared" si="291"/>
        <v>1.9792121699586838</v>
      </c>
      <c r="R347" s="276">
        <f t="shared" si="292"/>
        <v>1.1420951805307473</v>
      </c>
      <c r="S347" s="686">
        <f t="shared" si="293"/>
        <v>1.1320205980767499</v>
      </c>
      <c r="T347" s="685">
        <f t="shared" si="294"/>
        <v>6.7523571389601091</v>
      </c>
      <c r="U347" s="276">
        <f t="shared" si="295"/>
        <v>4.8710895802948784</v>
      </c>
      <c r="V347" s="276">
        <f t="shared" si="296"/>
        <v>5.0787637907035954</v>
      </c>
      <c r="W347" s="276">
        <f t="shared" si="297"/>
        <v>5.2220483148204719</v>
      </c>
      <c r="X347" s="276">
        <f t="shared" si="298"/>
        <v>3.6378695025047438</v>
      </c>
      <c r="Y347" s="686">
        <f t="shared" si="299"/>
        <v>4.7518417798518815</v>
      </c>
      <c r="Z347" s="685" t="e">
        <f t="shared" si="300"/>
        <v>#DIV/0!</v>
      </c>
      <c r="AA347" s="276" t="e">
        <f t="shared" si="301"/>
        <v>#DIV/0!</v>
      </c>
      <c r="AB347" s="276" t="e">
        <f t="shared" si="302"/>
        <v>#DIV/0!</v>
      </c>
      <c r="AC347" s="276" t="e">
        <f t="shared" si="303"/>
        <v>#DIV/0!</v>
      </c>
      <c r="AD347" s="276" t="e">
        <f t="shared" si="304"/>
        <v>#DIV/0!</v>
      </c>
      <c r="AE347" s="686" t="e">
        <f t="shared" si="305"/>
        <v>#DIV/0!</v>
      </c>
      <c r="AF347" s="239"/>
      <c r="AG347" s="965" t="e">
        <f t="shared" si="276"/>
        <v>#VALUE!</v>
      </c>
      <c r="AH347" s="878" t="e">
        <f t="shared" si="277"/>
        <v>#VALUE!</v>
      </c>
      <c r="AI347" s="878" t="e">
        <f t="shared" si="278"/>
        <v>#VALUE!</v>
      </c>
      <c r="AJ347" s="878" t="e">
        <f t="shared" si="279"/>
        <v>#VALUE!</v>
      </c>
      <c r="AK347" s="878" t="e">
        <f t="shared" si="280"/>
        <v>#VALUE!</v>
      </c>
      <c r="AL347" s="966" t="e">
        <f t="shared" si="281"/>
        <v>#VALUE!</v>
      </c>
      <c r="AM347" s="239"/>
      <c r="AO347" s="685">
        <f t="shared" si="306"/>
        <v>0.62958929216773374</v>
      </c>
      <c r="AP347" s="276">
        <f t="shared" si="307"/>
        <v>1.1434600761892966</v>
      </c>
      <c r="AQ347" s="276">
        <f t="shared" si="308"/>
        <v>0.37563827424538765</v>
      </c>
      <c r="AR347" s="276">
        <f t="shared" si="309"/>
        <v>0.61178405821070458</v>
      </c>
      <c r="AS347" s="276">
        <f t="shared" si="310"/>
        <v>-5.9219670622501273</v>
      </c>
      <c r="AT347" s="276">
        <f t="shared" si="311"/>
        <v>-0.96597332134321368</v>
      </c>
      <c r="AU347" s="685">
        <f t="shared" si="312"/>
        <v>1.121897930113777</v>
      </c>
      <c r="AV347" s="276">
        <f t="shared" si="313"/>
        <v>1.3175297583234873</v>
      </c>
      <c r="AW347" s="276">
        <f t="shared" si="314"/>
        <v>0.2454163973252379</v>
      </c>
      <c r="AX347" s="276">
        <f t="shared" si="315"/>
        <v>1.9792121699586838</v>
      </c>
      <c r="AY347" s="276">
        <f t="shared" si="316"/>
        <v>1.1420951805307473</v>
      </c>
      <c r="AZ347" s="686">
        <f t="shared" si="317"/>
        <v>1.1320205980767499</v>
      </c>
      <c r="BA347" s="685">
        <f t="shared" si="318"/>
        <v>0</v>
      </c>
      <c r="BB347" s="276">
        <f t="shared" si="319"/>
        <v>0</v>
      </c>
      <c r="BC347" s="276">
        <f t="shared" si="320"/>
        <v>0</v>
      </c>
      <c r="BD347" s="276">
        <f t="shared" si="321"/>
        <v>0</v>
      </c>
      <c r="BE347" s="276">
        <f t="shared" si="322"/>
        <v>0</v>
      </c>
      <c r="BF347" s="686">
        <f t="shared" si="323"/>
        <v>0</v>
      </c>
      <c r="BG347" s="685" t="e">
        <f t="shared" si="324"/>
        <v>#DIV/0!</v>
      </c>
      <c r="BH347" s="276" t="e">
        <f t="shared" si="325"/>
        <v>#DIV/0!</v>
      </c>
      <c r="BI347" s="276" t="e">
        <f t="shared" si="326"/>
        <v>#DIV/0!</v>
      </c>
      <c r="BJ347" s="276" t="e">
        <f t="shared" si="327"/>
        <v>#DIV/0!</v>
      </c>
      <c r="BK347" s="276" t="e">
        <f t="shared" si="328"/>
        <v>#DIV/0!</v>
      </c>
      <c r="BL347" s="686" t="e">
        <f t="shared" si="329"/>
        <v>#DIV/0!</v>
      </c>
      <c r="BM347" s="239"/>
      <c r="BN347" s="965" t="e">
        <f t="shared" si="330"/>
        <v>#VALUE!</v>
      </c>
      <c r="BO347" s="878" t="e">
        <f t="shared" si="331"/>
        <v>#VALUE!</v>
      </c>
      <c r="BP347" s="878" t="e">
        <f t="shared" si="332"/>
        <v>#VALUE!</v>
      </c>
      <c r="BQ347" s="878" t="e">
        <f t="shared" si="333"/>
        <v>#VALUE!</v>
      </c>
      <c r="BR347" s="878" t="e">
        <f t="shared" si="334"/>
        <v>#VALUE!</v>
      </c>
      <c r="BS347" s="966" t="e">
        <f t="shared" si="335"/>
        <v>#VALUE!</v>
      </c>
    </row>
    <row r="348" spans="1:71">
      <c r="A348" s="284">
        <f t="shared" si="336"/>
        <v>280</v>
      </c>
      <c r="B348" s="285">
        <v>2.3839300164242081</v>
      </c>
      <c r="C348" s="285">
        <v>2.9392968154590107</v>
      </c>
      <c r="D348" s="285">
        <v>0.53164250635363697</v>
      </c>
      <c r="E348" s="285">
        <v>1.3608735374552361</v>
      </c>
      <c r="H348" s="685">
        <f t="shared" si="282"/>
        <v>1.2506961746551533</v>
      </c>
      <c r="I348" s="276">
        <f t="shared" si="283"/>
        <v>-3.1513471088766964</v>
      </c>
      <c r="J348" s="276">
        <f t="shared" si="284"/>
        <v>-1.1504321691110169</v>
      </c>
      <c r="K348" s="276">
        <f t="shared" si="285"/>
        <v>-0.99168012259155947</v>
      </c>
      <c r="L348" s="276">
        <f t="shared" si="286"/>
        <v>-0.47875759675420726</v>
      </c>
      <c r="M348" s="276">
        <f t="shared" si="287"/>
        <v>0.80795005050193747</v>
      </c>
      <c r="N348" s="685">
        <f t="shared" si="288"/>
        <v>1.7321256044871423</v>
      </c>
      <c r="O348" s="276">
        <f t="shared" si="289"/>
        <v>0.46225576565848159</v>
      </c>
      <c r="P348" s="276">
        <f t="shared" si="290"/>
        <v>0.77319290973799637</v>
      </c>
      <c r="Q348" s="276">
        <f t="shared" si="291"/>
        <v>1.2365423428236217</v>
      </c>
      <c r="R348" s="276">
        <f t="shared" si="292"/>
        <v>1.4598066408792973</v>
      </c>
      <c r="S348" s="686">
        <f t="shared" si="293"/>
        <v>0.92820005894059077</v>
      </c>
      <c r="T348" s="685">
        <f t="shared" si="294"/>
        <v>3.8100061966245629</v>
      </c>
      <c r="U348" s="276">
        <f t="shared" si="295"/>
        <v>4.7891415346274409</v>
      </c>
      <c r="V348" s="276">
        <f t="shared" si="296"/>
        <v>3.3931687580352232</v>
      </c>
      <c r="W348" s="276">
        <f t="shared" si="297"/>
        <v>5.5197053706153891</v>
      </c>
      <c r="X348" s="276">
        <f t="shared" si="298"/>
        <v>2.6439130147322034</v>
      </c>
      <c r="Y348" s="686">
        <f t="shared" si="299"/>
        <v>5.6174598679998251</v>
      </c>
      <c r="Z348" s="685" t="e">
        <f t="shared" si="300"/>
        <v>#DIV/0!</v>
      </c>
      <c r="AA348" s="276" t="e">
        <f t="shared" si="301"/>
        <v>#DIV/0!</v>
      </c>
      <c r="AB348" s="276" t="e">
        <f t="shared" si="302"/>
        <v>#DIV/0!</v>
      </c>
      <c r="AC348" s="276" t="e">
        <f t="shared" si="303"/>
        <v>#DIV/0!</v>
      </c>
      <c r="AD348" s="276" t="e">
        <f t="shared" si="304"/>
        <v>#DIV/0!</v>
      </c>
      <c r="AE348" s="686" t="e">
        <f t="shared" si="305"/>
        <v>#DIV/0!</v>
      </c>
      <c r="AF348" s="239"/>
      <c r="AG348" s="965" t="e">
        <f t="shared" si="276"/>
        <v>#VALUE!</v>
      </c>
      <c r="AH348" s="878" t="e">
        <f t="shared" si="277"/>
        <v>#VALUE!</v>
      </c>
      <c r="AI348" s="878" t="e">
        <f t="shared" si="278"/>
        <v>#VALUE!</v>
      </c>
      <c r="AJ348" s="878" t="e">
        <f t="shared" si="279"/>
        <v>#VALUE!</v>
      </c>
      <c r="AK348" s="878" t="e">
        <f t="shared" si="280"/>
        <v>#VALUE!</v>
      </c>
      <c r="AL348" s="966" t="e">
        <f t="shared" si="281"/>
        <v>#VALUE!</v>
      </c>
      <c r="AM348" s="239"/>
      <c r="AO348" s="685">
        <f t="shared" si="306"/>
        <v>1.2506961746551533</v>
      </c>
      <c r="AP348" s="276">
        <f t="shared" si="307"/>
        <v>-3.1513471088766964</v>
      </c>
      <c r="AQ348" s="276">
        <f t="shared" si="308"/>
        <v>-1.1504321691110169</v>
      </c>
      <c r="AR348" s="276">
        <f t="shared" si="309"/>
        <v>-0.99168012259155947</v>
      </c>
      <c r="AS348" s="276">
        <f t="shared" si="310"/>
        <v>-0.47875759675420726</v>
      </c>
      <c r="AT348" s="276">
        <f t="shared" si="311"/>
        <v>0.80795005050193747</v>
      </c>
      <c r="AU348" s="685">
        <f t="shared" si="312"/>
        <v>1.7321256044871423</v>
      </c>
      <c r="AV348" s="276">
        <f t="shared" si="313"/>
        <v>0.46225576565848159</v>
      </c>
      <c r="AW348" s="276">
        <f t="shared" si="314"/>
        <v>0.77319290973799637</v>
      </c>
      <c r="AX348" s="276">
        <f t="shared" si="315"/>
        <v>1.2365423428236217</v>
      </c>
      <c r="AY348" s="276">
        <f t="shared" si="316"/>
        <v>1.4598066408792973</v>
      </c>
      <c r="AZ348" s="686">
        <f t="shared" si="317"/>
        <v>0.92820005894059077</v>
      </c>
      <c r="BA348" s="685">
        <f t="shared" si="318"/>
        <v>0</v>
      </c>
      <c r="BB348" s="276">
        <f t="shared" si="319"/>
        <v>0</v>
      </c>
      <c r="BC348" s="276">
        <f t="shared" si="320"/>
        <v>0</v>
      </c>
      <c r="BD348" s="276">
        <f t="shared" si="321"/>
        <v>0</v>
      </c>
      <c r="BE348" s="276">
        <f t="shared" si="322"/>
        <v>0</v>
      </c>
      <c r="BF348" s="686">
        <f t="shared" si="323"/>
        <v>0</v>
      </c>
      <c r="BG348" s="685" t="e">
        <f t="shared" si="324"/>
        <v>#DIV/0!</v>
      </c>
      <c r="BH348" s="276" t="e">
        <f t="shared" si="325"/>
        <v>#DIV/0!</v>
      </c>
      <c r="BI348" s="276" t="e">
        <f t="shared" si="326"/>
        <v>#DIV/0!</v>
      </c>
      <c r="BJ348" s="276" t="e">
        <f t="shared" si="327"/>
        <v>#DIV/0!</v>
      </c>
      <c r="BK348" s="276" t="e">
        <f t="shared" si="328"/>
        <v>#DIV/0!</v>
      </c>
      <c r="BL348" s="686" t="e">
        <f t="shared" si="329"/>
        <v>#DIV/0!</v>
      </c>
      <c r="BM348" s="239"/>
      <c r="BN348" s="965" t="e">
        <f t="shared" si="330"/>
        <v>#VALUE!</v>
      </c>
      <c r="BO348" s="878" t="e">
        <f t="shared" si="331"/>
        <v>#VALUE!</v>
      </c>
      <c r="BP348" s="878" t="e">
        <f t="shared" si="332"/>
        <v>#VALUE!</v>
      </c>
      <c r="BQ348" s="878" t="e">
        <f t="shared" si="333"/>
        <v>#VALUE!</v>
      </c>
      <c r="BR348" s="878" t="e">
        <f t="shared" si="334"/>
        <v>#VALUE!</v>
      </c>
      <c r="BS348" s="966" t="e">
        <f t="shared" si="335"/>
        <v>#VALUE!</v>
      </c>
    </row>
    <row r="349" spans="1:71">
      <c r="A349" s="284">
        <f t="shared" si="336"/>
        <v>281</v>
      </c>
      <c r="B349" s="285">
        <v>-1.6216858006680888</v>
      </c>
      <c r="C349" s="285">
        <v>2.5410498284902512</v>
      </c>
      <c r="D349" s="285">
        <v>2.5345652711153019</v>
      </c>
      <c r="E349" s="285">
        <v>-3.8980890251359916</v>
      </c>
      <c r="H349" s="685">
        <f t="shared" si="282"/>
        <v>-2.7549196424371436</v>
      </c>
      <c r="I349" s="276">
        <f t="shared" si="283"/>
        <v>6.9890194200668887E-2</v>
      </c>
      <c r="J349" s="276">
        <f t="shared" si="284"/>
        <v>-4.8223706764248924</v>
      </c>
      <c r="K349" s="276">
        <f t="shared" si="285"/>
        <v>-1.6521766210354369</v>
      </c>
      <c r="L349" s="276">
        <f t="shared" si="286"/>
        <v>-3.6225150061807678</v>
      </c>
      <c r="M349" s="276">
        <f t="shared" si="287"/>
        <v>-0.87055595481357628</v>
      </c>
      <c r="N349" s="685">
        <f t="shared" si="288"/>
        <v>1.3338786175183828</v>
      </c>
      <c r="O349" s="276">
        <f t="shared" si="289"/>
        <v>1.1291932331282657</v>
      </c>
      <c r="P349" s="276">
        <f t="shared" si="290"/>
        <v>1.437382798982292</v>
      </c>
      <c r="Q349" s="276">
        <f t="shared" si="291"/>
        <v>-0.37819731156648495</v>
      </c>
      <c r="R349" s="276">
        <f t="shared" si="292"/>
        <v>1.2766021285135578</v>
      </c>
      <c r="S349" s="686">
        <f t="shared" si="293"/>
        <v>1.6191588534111843</v>
      </c>
      <c r="T349" s="685">
        <f t="shared" si="294"/>
        <v>5.8129289613862278</v>
      </c>
      <c r="U349" s="276">
        <f t="shared" si="295"/>
        <v>2.4175885653824261</v>
      </c>
      <c r="V349" s="276">
        <f t="shared" si="296"/>
        <v>4.6726885798757811</v>
      </c>
      <c r="W349" s="276">
        <f t="shared" si="297"/>
        <v>5.7693514128983097</v>
      </c>
      <c r="X349" s="276">
        <f t="shared" si="298"/>
        <v>6.0282238520746212</v>
      </c>
      <c r="Y349" s="686">
        <f t="shared" si="299"/>
        <v>3.1472966843413888</v>
      </c>
      <c r="Z349" s="685" t="e">
        <f t="shared" si="300"/>
        <v>#DIV/0!</v>
      </c>
      <c r="AA349" s="276" t="e">
        <f t="shared" si="301"/>
        <v>#DIV/0!</v>
      </c>
      <c r="AB349" s="276" t="e">
        <f t="shared" si="302"/>
        <v>#DIV/0!</v>
      </c>
      <c r="AC349" s="276" t="e">
        <f t="shared" si="303"/>
        <v>#DIV/0!</v>
      </c>
      <c r="AD349" s="276" t="e">
        <f t="shared" si="304"/>
        <v>#DIV/0!</v>
      </c>
      <c r="AE349" s="686" t="e">
        <f t="shared" si="305"/>
        <v>#DIV/0!</v>
      </c>
      <c r="AF349" s="239"/>
      <c r="AG349" s="965" t="e">
        <f t="shared" si="276"/>
        <v>#VALUE!</v>
      </c>
      <c r="AH349" s="878" t="e">
        <f t="shared" si="277"/>
        <v>#VALUE!</v>
      </c>
      <c r="AI349" s="878" t="e">
        <f t="shared" si="278"/>
        <v>#VALUE!</v>
      </c>
      <c r="AJ349" s="878" t="e">
        <f t="shared" si="279"/>
        <v>#VALUE!</v>
      </c>
      <c r="AK349" s="878" t="e">
        <f t="shared" si="280"/>
        <v>#VALUE!</v>
      </c>
      <c r="AL349" s="966" t="e">
        <f t="shared" si="281"/>
        <v>#VALUE!</v>
      </c>
      <c r="AM349" s="239"/>
      <c r="AO349" s="685">
        <f t="shared" si="306"/>
        <v>-2.7549196424371436</v>
      </c>
      <c r="AP349" s="276">
        <f t="shared" si="307"/>
        <v>6.9890194200668887E-2</v>
      </c>
      <c r="AQ349" s="276">
        <f t="shared" si="308"/>
        <v>-4.8223706764248924</v>
      </c>
      <c r="AR349" s="276">
        <f t="shared" si="309"/>
        <v>-1.6521766210354369</v>
      </c>
      <c r="AS349" s="276">
        <f t="shared" si="310"/>
        <v>-3.6225150061807678</v>
      </c>
      <c r="AT349" s="276">
        <f t="shared" si="311"/>
        <v>-0.87055595481357628</v>
      </c>
      <c r="AU349" s="685">
        <f t="shared" si="312"/>
        <v>1.3338786175183828</v>
      </c>
      <c r="AV349" s="276">
        <f t="shared" si="313"/>
        <v>1.1291932331282657</v>
      </c>
      <c r="AW349" s="276">
        <f t="shared" si="314"/>
        <v>1.437382798982292</v>
      </c>
      <c r="AX349" s="276">
        <f t="shared" si="315"/>
        <v>-0.37819731156648495</v>
      </c>
      <c r="AY349" s="276">
        <f t="shared" si="316"/>
        <v>1.2766021285135578</v>
      </c>
      <c r="AZ349" s="686">
        <f t="shared" si="317"/>
        <v>1.6191588534111843</v>
      </c>
      <c r="BA349" s="685">
        <f t="shared" si="318"/>
        <v>0</v>
      </c>
      <c r="BB349" s="276">
        <f t="shared" si="319"/>
        <v>0</v>
      </c>
      <c r="BC349" s="276">
        <f t="shared" si="320"/>
        <v>0</v>
      </c>
      <c r="BD349" s="276">
        <f t="shared" si="321"/>
        <v>0</v>
      </c>
      <c r="BE349" s="276">
        <f t="shared" si="322"/>
        <v>0</v>
      </c>
      <c r="BF349" s="686">
        <f t="shared" si="323"/>
        <v>0</v>
      </c>
      <c r="BG349" s="685" t="e">
        <f t="shared" si="324"/>
        <v>#DIV/0!</v>
      </c>
      <c r="BH349" s="276" t="e">
        <f t="shared" si="325"/>
        <v>#DIV/0!</v>
      </c>
      <c r="BI349" s="276" t="e">
        <f t="shared" si="326"/>
        <v>#DIV/0!</v>
      </c>
      <c r="BJ349" s="276" t="e">
        <f t="shared" si="327"/>
        <v>#DIV/0!</v>
      </c>
      <c r="BK349" s="276" t="e">
        <f t="shared" si="328"/>
        <v>#DIV/0!</v>
      </c>
      <c r="BL349" s="686" t="e">
        <f t="shared" si="329"/>
        <v>#DIV/0!</v>
      </c>
      <c r="BM349" s="239"/>
      <c r="BN349" s="965" t="e">
        <f t="shared" si="330"/>
        <v>#VALUE!</v>
      </c>
      <c r="BO349" s="878" t="e">
        <f t="shared" si="331"/>
        <v>#VALUE!</v>
      </c>
      <c r="BP349" s="878" t="e">
        <f t="shared" si="332"/>
        <v>#VALUE!</v>
      </c>
      <c r="BQ349" s="878" t="e">
        <f t="shared" si="333"/>
        <v>#VALUE!</v>
      </c>
      <c r="BR349" s="878" t="e">
        <f t="shared" si="334"/>
        <v>#VALUE!</v>
      </c>
      <c r="BS349" s="966" t="e">
        <f t="shared" si="335"/>
        <v>#VALUE!</v>
      </c>
    </row>
    <row r="350" spans="1:71">
      <c r="A350" s="284">
        <f t="shared" si="336"/>
        <v>282</v>
      </c>
      <c r="B350" s="285">
        <v>-0.57256140342063078</v>
      </c>
      <c r="C350" s="285">
        <v>2.5003354399116566</v>
      </c>
      <c r="D350" s="285">
        <v>1.4506536728071739</v>
      </c>
      <c r="E350" s="285">
        <v>3.1420282970011129</v>
      </c>
      <c r="H350" s="685">
        <f t="shared" si="282"/>
        <v>-1.7057952451896856</v>
      </c>
      <c r="I350" s="276">
        <f t="shared" si="283"/>
        <v>-3.3838803440738339</v>
      </c>
      <c r="J350" s="276">
        <f t="shared" si="284"/>
        <v>1.0981553990369408</v>
      </c>
      <c r="K350" s="276">
        <f t="shared" si="285"/>
        <v>0.90842620818069375</v>
      </c>
      <c r="L350" s="276">
        <f t="shared" si="286"/>
        <v>0.28310676222085229</v>
      </c>
      <c r="M350" s="276">
        <f t="shared" si="287"/>
        <v>4.7181921976607146</v>
      </c>
      <c r="N350" s="685">
        <f t="shared" si="288"/>
        <v>1.2931642289397882</v>
      </c>
      <c r="O350" s="276">
        <f t="shared" si="289"/>
        <v>1.183927388690434</v>
      </c>
      <c r="P350" s="276">
        <f t="shared" si="290"/>
        <v>1.1698166248637445</v>
      </c>
      <c r="Q350" s="276">
        <f t="shared" si="291"/>
        <v>0.96863798122989508</v>
      </c>
      <c r="R350" s="276">
        <f t="shared" si="292"/>
        <v>1.9818697720124374</v>
      </c>
      <c r="S350" s="686">
        <f t="shared" si="293"/>
        <v>2.0050841538439244</v>
      </c>
      <c r="T350" s="685">
        <f t="shared" si="294"/>
        <v>4.7290173630780998</v>
      </c>
      <c r="U350" s="276">
        <f t="shared" si="295"/>
        <v>3.4253939601991874</v>
      </c>
      <c r="V350" s="276">
        <f t="shared" si="296"/>
        <v>5.7565319452772945</v>
      </c>
      <c r="W350" s="276">
        <f t="shared" si="297"/>
        <v>8.1002443474465071</v>
      </c>
      <c r="X350" s="276">
        <f t="shared" si="298"/>
        <v>4.3989349160966986</v>
      </c>
      <c r="Y350" s="686">
        <f t="shared" si="299"/>
        <v>4.344864989237653</v>
      </c>
      <c r="Z350" s="685" t="e">
        <f t="shared" si="300"/>
        <v>#DIV/0!</v>
      </c>
      <c r="AA350" s="276" t="e">
        <f t="shared" si="301"/>
        <v>#DIV/0!</v>
      </c>
      <c r="AB350" s="276" t="e">
        <f t="shared" si="302"/>
        <v>#DIV/0!</v>
      </c>
      <c r="AC350" s="276" t="e">
        <f t="shared" si="303"/>
        <v>#DIV/0!</v>
      </c>
      <c r="AD350" s="276" t="e">
        <f t="shared" si="304"/>
        <v>#DIV/0!</v>
      </c>
      <c r="AE350" s="686" t="e">
        <f t="shared" si="305"/>
        <v>#DIV/0!</v>
      </c>
      <c r="AF350" s="239"/>
      <c r="AG350" s="965" t="e">
        <f t="shared" si="276"/>
        <v>#VALUE!</v>
      </c>
      <c r="AH350" s="878" t="e">
        <f t="shared" si="277"/>
        <v>#VALUE!</v>
      </c>
      <c r="AI350" s="878" t="e">
        <f t="shared" si="278"/>
        <v>#VALUE!</v>
      </c>
      <c r="AJ350" s="878" t="e">
        <f t="shared" si="279"/>
        <v>#VALUE!</v>
      </c>
      <c r="AK350" s="878" t="e">
        <f t="shared" si="280"/>
        <v>#VALUE!</v>
      </c>
      <c r="AL350" s="966" t="e">
        <f t="shared" si="281"/>
        <v>#VALUE!</v>
      </c>
      <c r="AM350" s="239"/>
      <c r="AO350" s="685">
        <f t="shared" si="306"/>
        <v>-1.7057952451896856</v>
      </c>
      <c r="AP350" s="276">
        <f t="shared" si="307"/>
        <v>-3.3838803440738339</v>
      </c>
      <c r="AQ350" s="276">
        <f t="shared" si="308"/>
        <v>1.0981553990369408</v>
      </c>
      <c r="AR350" s="276">
        <f t="shared" si="309"/>
        <v>0.90842620818069375</v>
      </c>
      <c r="AS350" s="276">
        <f t="shared" si="310"/>
        <v>0.28310676222085229</v>
      </c>
      <c r="AT350" s="276">
        <f t="shared" si="311"/>
        <v>4.7181921976607146</v>
      </c>
      <c r="AU350" s="685">
        <f t="shared" si="312"/>
        <v>1.2931642289397882</v>
      </c>
      <c r="AV350" s="276">
        <f t="shared" si="313"/>
        <v>1.183927388690434</v>
      </c>
      <c r="AW350" s="276">
        <f t="shared" si="314"/>
        <v>1.1698166248637445</v>
      </c>
      <c r="AX350" s="276">
        <f t="shared" si="315"/>
        <v>0.96863798122989508</v>
      </c>
      <c r="AY350" s="276">
        <f t="shared" si="316"/>
        <v>1.9818697720124374</v>
      </c>
      <c r="AZ350" s="686">
        <f t="shared" si="317"/>
        <v>2.0050841538439244</v>
      </c>
      <c r="BA350" s="685">
        <f t="shared" si="318"/>
        <v>0</v>
      </c>
      <c r="BB350" s="276">
        <f t="shared" si="319"/>
        <v>0</v>
      </c>
      <c r="BC350" s="276">
        <f t="shared" si="320"/>
        <v>0</v>
      </c>
      <c r="BD350" s="276">
        <f t="shared" si="321"/>
        <v>0</v>
      </c>
      <c r="BE350" s="276">
        <f t="shared" si="322"/>
        <v>0</v>
      </c>
      <c r="BF350" s="686">
        <f t="shared" si="323"/>
        <v>0</v>
      </c>
      <c r="BG350" s="685" t="e">
        <f t="shared" si="324"/>
        <v>#DIV/0!</v>
      </c>
      <c r="BH350" s="276" t="e">
        <f t="shared" si="325"/>
        <v>#DIV/0!</v>
      </c>
      <c r="BI350" s="276" t="e">
        <f t="shared" si="326"/>
        <v>#DIV/0!</v>
      </c>
      <c r="BJ350" s="276" t="e">
        <f t="shared" si="327"/>
        <v>#DIV/0!</v>
      </c>
      <c r="BK350" s="276" t="e">
        <f t="shared" si="328"/>
        <v>#DIV/0!</v>
      </c>
      <c r="BL350" s="686" t="e">
        <f t="shared" si="329"/>
        <v>#DIV/0!</v>
      </c>
      <c r="BM350" s="239"/>
      <c r="BN350" s="965" t="e">
        <f t="shared" si="330"/>
        <v>#VALUE!</v>
      </c>
      <c r="BO350" s="878" t="e">
        <f t="shared" si="331"/>
        <v>#VALUE!</v>
      </c>
      <c r="BP350" s="878" t="e">
        <f t="shared" si="332"/>
        <v>#VALUE!</v>
      </c>
      <c r="BQ350" s="878" t="e">
        <f t="shared" si="333"/>
        <v>#VALUE!</v>
      </c>
      <c r="BR350" s="878" t="e">
        <f t="shared" si="334"/>
        <v>#VALUE!</v>
      </c>
      <c r="BS350" s="966" t="e">
        <f t="shared" si="335"/>
        <v>#VALUE!</v>
      </c>
    </row>
    <row r="351" spans="1:71">
      <c r="A351" s="284">
        <f t="shared" si="336"/>
        <v>283</v>
      </c>
      <c r="B351" s="285">
        <v>-2.1847556517462983</v>
      </c>
      <c r="C351" s="285">
        <v>1.8787844075446936</v>
      </c>
      <c r="D351" s="285">
        <v>2.727402286866945</v>
      </c>
      <c r="E351" s="285">
        <v>-22.938367507518446</v>
      </c>
      <c r="H351" s="685">
        <f t="shared" si="282"/>
        <v>-3.3179894935153529</v>
      </c>
      <c r="I351" s="276">
        <f t="shared" si="283"/>
        <v>-3.7583478847991314</v>
      </c>
      <c r="J351" s="276">
        <f t="shared" si="284"/>
        <v>-0.98296042408853279</v>
      </c>
      <c r="K351" s="276">
        <f t="shared" si="285"/>
        <v>-1.2594100192690771</v>
      </c>
      <c r="L351" s="276">
        <f t="shared" si="286"/>
        <v>-3.5042505186798767</v>
      </c>
      <c r="M351" s="276">
        <f t="shared" si="287"/>
        <v>-2.2220596998114654</v>
      </c>
      <c r="N351" s="685">
        <f t="shared" si="288"/>
        <v>0.67161319657282514</v>
      </c>
      <c r="O351" s="276">
        <f t="shared" si="289"/>
        <v>0.9022858175506514</v>
      </c>
      <c r="P351" s="276">
        <f t="shared" si="290"/>
        <v>0.98201892785954725</v>
      </c>
      <c r="Q351" s="276">
        <f t="shared" si="291"/>
        <v>1.3975211446756595</v>
      </c>
      <c r="R351" s="276">
        <f t="shared" si="292"/>
        <v>1.1765180421630068</v>
      </c>
      <c r="S351" s="686">
        <f t="shared" si="293"/>
        <v>1.6496627412486407</v>
      </c>
      <c r="T351" s="685">
        <f t="shared" si="294"/>
        <v>6.0057659771378713</v>
      </c>
      <c r="U351" s="276">
        <f t="shared" si="295"/>
        <v>5.7347865559919988</v>
      </c>
      <c r="V351" s="276">
        <f t="shared" si="296"/>
        <v>4.7308106405983485</v>
      </c>
      <c r="W351" s="276">
        <f t="shared" si="297"/>
        <v>4.346220109929483</v>
      </c>
      <c r="X351" s="276">
        <f t="shared" si="298"/>
        <v>2.859786146313446</v>
      </c>
      <c r="Y351" s="686">
        <f t="shared" si="299"/>
        <v>3.6262776396964194</v>
      </c>
      <c r="Z351" s="685" t="e">
        <f t="shared" si="300"/>
        <v>#DIV/0!</v>
      </c>
      <c r="AA351" s="276" t="e">
        <f t="shared" si="301"/>
        <v>#DIV/0!</v>
      </c>
      <c r="AB351" s="276" t="e">
        <f t="shared" si="302"/>
        <v>#DIV/0!</v>
      </c>
      <c r="AC351" s="276" t="e">
        <f t="shared" si="303"/>
        <v>#DIV/0!</v>
      </c>
      <c r="AD351" s="276" t="e">
        <f t="shared" si="304"/>
        <v>#DIV/0!</v>
      </c>
      <c r="AE351" s="686" t="e">
        <f t="shared" si="305"/>
        <v>#DIV/0!</v>
      </c>
      <c r="AF351" s="239"/>
      <c r="AG351" s="965" t="e">
        <f t="shared" si="276"/>
        <v>#VALUE!</v>
      </c>
      <c r="AH351" s="878" t="e">
        <f t="shared" si="277"/>
        <v>#VALUE!</v>
      </c>
      <c r="AI351" s="878" t="e">
        <f t="shared" si="278"/>
        <v>#VALUE!</v>
      </c>
      <c r="AJ351" s="878" t="e">
        <f t="shared" si="279"/>
        <v>#VALUE!</v>
      </c>
      <c r="AK351" s="878" t="e">
        <f t="shared" si="280"/>
        <v>#VALUE!</v>
      </c>
      <c r="AL351" s="966" t="e">
        <f t="shared" si="281"/>
        <v>#VALUE!</v>
      </c>
      <c r="AM351" s="239"/>
      <c r="AO351" s="685">
        <f t="shared" si="306"/>
        <v>-3.3179894935153529</v>
      </c>
      <c r="AP351" s="276">
        <f t="shared" si="307"/>
        <v>-3.7583478847991314</v>
      </c>
      <c r="AQ351" s="276">
        <f t="shared" si="308"/>
        <v>-0.98296042408853279</v>
      </c>
      <c r="AR351" s="276">
        <f t="shared" si="309"/>
        <v>-1.2594100192690771</v>
      </c>
      <c r="AS351" s="276">
        <f t="shared" si="310"/>
        <v>-3.5042505186798767</v>
      </c>
      <c r="AT351" s="276">
        <f t="shared" si="311"/>
        <v>-2.2220596998114654</v>
      </c>
      <c r="AU351" s="685">
        <f t="shared" si="312"/>
        <v>0.67161319657282514</v>
      </c>
      <c r="AV351" s="276">
        <f t="shared" si="313"/>
        <v>0.9022858175506514</v>
      </c>
      <c r="AW351" s="276">
        <f t="shared" si="314"/>
        <v>0.98201892785954725</v>
      </c>
      <c r="AX351" s="276">
        <f t="shared" si="315"/>
        <v>1.3975211446756595</v>
      </c>
      <c r="AY351" s="276">
        <f t="shared" si="316"/>
        <v>1.1765180421630068</v>
      </c>
      <c r="AZ351" s="686">
        <f t="shared" si="317"/>
        <v>1.6496627412486407</v>
      </c>
      <c r="BA351" s="685">
        <f t="shared" si="318"/>
        <v>0</v>
      </c>
      <c r="BB351" s="276">
        <f t="shared" si="319"/>
        <v>0</v>
      </c>
      <c r="BC351" s="276">
        <f t="shared" si="320"/>
        <v>0</v>
      </c>
      <c r="BD351" s="276">
        <f t="shared" si="321"/>
        <v>0</v>
      </c>
      <c r="BE351" s="276">
        <f t="shared" si="322"/>
        <v>0</v>
      </c>
      <c r="BF351" s="686">
        <f t="shared" si="323"/>
        <v>0</v>
      </c>
      <c r="BG351" s="685" t="e">
        <f t="shared" si="324"/>
        <v>#DIV/0!</v>
      </c>
      <c r="BH351" s="276" t="e">
        <f t="shared" si="325"/>
        <v>#DIV/0!</v>
      </c>
      <c r="BI351" s="276" t="e">
        <f t="shared" si="326"/>
        <v>#DIV/0!</v>
      </c>
      <c r="BJ351" s="276" t="e">
        <f t="shared" si="327"/>
        <v>#DIV/0!</v>
      </c>
      <c r="BK351" s="276" t="e">
        <f t="shared" si="328"/>
        <v>#DIV/0!</v>
      </c>
      <c r="BL351" s="686" t="e">
        <f t="shared" si="329"/>
        <v>#DIV/0!</v>
      </c>
      <c r="BM351" s="239"/>
      <c r="BN351" s="965" t="e">
        <f t="shared" si="330"/>
        <v>#VALUE!</v>
      </c>
      <c r="BO351" s="878" t="e">
        <f t="shared" si="331"/>
        <v>#VALUE!</v>
      </c>
      <c r="BP351" s="878" t="e">
        <f t="shared" si="332"/>
        <v>#VALUE!</v>
      </c>
      <c r="BQ351" s="878" t="e">
        <f t="shared" si="333"/>
        <v>#VALUE!</v>
      </c>
      <c r="BR351" s="878" t="e">
        <f t="shared" si="334"/>
        <v>#VALUE!</v>
      </c>
      <c r="BS351" s="966" t="e">
        <f t="shared" si="335"/>
        <v>#VALUE!</v>
      </c>
    </row>
    <row r="352" spans="1:71">
      <c r="A352" s="284">
        <f t="shared" si="336"/>
        <v>284</v>
      </c>
      <c r="B352" s="285">
        <v>1.5934763297487979</v>
      </c>
      <c r="C352" s="285">
        <v>3.5768160041967363</v>
      </c>
      <c r="D352" s="285">
        <v>1.199077326065382</v>
      </c>
      <c r="E352" s="285">
        <v>6.4852492360916383</v>
      </c>
      <c r="H352" s="685">
        <f t="shared" si="282"/>
        <v>0.4602424879797431</v>
      </c>
      <c r="I352" s="276">
        <f t="shared" si="283"/>
        <v>-5.8234661535492069</v>
      </c>
      <c r="J352" s="276">
        <f t="shared" si="284"/>
        <v>-0.54253043282983759</v>
      </c>
      <c r="K352" s="276">
        <f t="shared" si="285"/>
        <v>0.66860317305483941</v>
      </c>
      <c r="L352" s="276">
        <f t="shared" si="286"/>
        <v>5.0738664260531259</v>
      </c>
      <c r="M352" s="276">
        <f t="shared" si="287"/>
        <v>-0.1791580432026364</v>
      </c>
      <c r="N352" s="685">
        <f t="shared" si="288"/>
        <v>2.3696447932248681</v>
      </c>
      <c r="O352" s="276">
        <f t="shared" si="289"/>
        <v>1.2577939321021023</v>
      </c>
      <c r="P352" s="276">
        <f t="shared" si="290"/>
        <v>1.3846798566956833</v>
      </c>
      <c r="Q352" s="276">
        <f t="shared" si="291"/>
        <v>1.3104002160129971</v>
      </c>
      <c r="R352" s="276">
        <f t="shared" si="292"/>
        <v>2.0674481684884611</v>
      </c>
      <c r="S352" s="686">
        <f t="shared" si="293"/>
        <v>0.86049224132895064</v>
      </c>
      <c r="T352" s="685">
        <f t="shared" si="294"/>
        <v>4.4774410163363081</v>
      </c>
      <c r="U352" s="276">
        <f t="shared" si="295"/>
        <v>6.5080996643837796</v>
      </c>
      <c r="V352" s="276">
        <f t="shared" si="296"/>
        <v>6.1275736122363877</v>
      </c>
      <c r="W352" s="276">
        <f t="shared" si="297"/>
        <v>5.3335803272984776</v>
      </c>
      <c r="X352" s="276">
        <f t="shared" si="298"/>
        <v>5.0361395325221832</v>
      </c>
      <c r="Y352" s="686">
        <f t="shared" si="299"/>
        <v>6.3086971045453435</v>
      </c>
      <c r="Z352" s="685" t="e">
        <f t="shared" si="300"/>
        <v>#DIV/0!</v>
      </c>
      <c r="AA352" s="276" t="e">
        <f t="shared" si="301"/>
        <v>#DIV/0!</v>
      </c>
      <c r="AB352" s="276" t="e">
        <f t="shared" si="302"/>
        <v>#DIV/0!</v>
      </c>
      <c r="AC352" s="276" t="e">
        <f t="shared" si="303"/>
        <v>#DIV/0!</v>
      </c>
      <c r="AD352" s="276" t="e">
        <f t="shared" si="304"/>
        <v>#DIV/0!</v>
      </c>
      <c r="AE352" s="686" t="e">
        <f t="shared" si="305"/>
        <v>#DIV/0!</v>
      </c>
      <c r="AF352" s="239"/>
      <c r="AG352" s="965" t="e">
        <f t="shared" si="276"/>
        <v>#VALUE!</v>
      </c>
      <c r="AH352" s="878" t="e">
        <f t="shared" si="277"/>
        <v>#VALUE!</v>
      </c>
      <c r="AI352" s="878" t="e">
        <f t="shared" si="278"/>
        <v>#VALUE!</v>
      </c>
      <c r="AJ352" s="878" t="e">
        <f t="shared" si="279"/>
        <v>#VALUE!</v>
      </c>
      <c r="AK352" s="878" t="e">
        <f t="shared" si="280"/>
        <v>#VALUE!</v>
      </c>
      <c r="AL352" s="966" t="e">
        <f t="shared" si="281"/>
        <v>#VALUE!</v>
      </c>
      <c r="AM352" s="239"/>
      <c r="AO352" s="685">
        <f t="shared" si="306"/>
        <v>0.4602424879797431</v>
      </c>
      <c r="AP352" s="276">
        <f t="shared" si="307"/>
        <v>-5.8234661535492069</v>
      </c>
      <c r="AQ352" s="276">
        <f t="shared" si="308"/>
        <v>-0.54253043282983759</v>
      </c>
      <c r="AR352" s="276">
        <f t="shared" si="309"/>
        <v>0.66860317305483941</v>
      </c>
      <c r="AS352" s="276">
        <f t="shared" si="310"/>
        <v>5.0738664260531259</v>
      </c>
      <c r="AT352" s="276">
        <f t="shared" si="311"/>
        <v>-0.1791580432026364</v>
      </c>
      <c r="AU352" s="685">
        <f t="shared" si="312"/>
        <v>2.3696447932248681</v>
      </c>
      <c r="AV352" s="276">
        <f t="shared" si="313"/>
        <v>1.2577939321021023</v>
      </c>
      <c r="AW352" s="276">
        <f t="shared" si="314"/>
        <v>1.3846798566956833</v>
      </c>
      <c r="AX352" s="276">
        <f t="shared" si="315"/>
        <v>1.3104002160129971</v>
      </c>
      <c r="AY352" s="276">
        <f t="shared" si="316"/>
        <v>2.0674481684884611</v>
      </c>
      <c r="AZ352" s="686">
        <f t="shared" si="317"/>
        <v>0.86049224132895064</v>
      </c>
      <c r="BA352" s="685">
        <f t="shared" si="318"/>
        <v>0</v>
      </c>
      <c r="BB352" s="276">
        <f t="shared" si="319"/>
        <v>0</v>
      </c>
      <c r="BC352" s="276">
        <f t="shared" si="320"/>
        <v>0</v>
      </c>
      <c r="BD352" s="276">
        <f t="shared" si="321"/>
        <v>0</v>
      </c>
      <c r="BE352" s="276">
        <f t="shared" si="322"/>
        <v>0</v>
      </c>
      <c r="BF352" s="686">
        <f t="shared" si="323"/>
        <v>0</v>
      </c>
      <c r="BG352" s="685" t="e">
        <f t="shared" si="324"/>
        <v>#DIV/0!</v>
      </c>
      <c r="BH352" s="276" t="e">
        <f t="shared" si="325"/>
        <v>#DIV/0!</v>
      </c>
      <c r="BI352" s="276" t="e">
        <f t="shared" si="326"/>
        <v>#DIV/0!</v>
      </c>
      <c r="BJ352" s="276" t="e">
        <f t="shared" si="327"/>
        <v>#DIV/0!</v>
      </c>
      <c r="BK352" s="276" t="e">
        <f t="shared" si="328"/>
        <v>#DIV/0!</v>
      </c>
      <c r="BL352" s="686" t="e">
        <f t="shared" si="329"/>
        <v>#DIV/0!</v>
      </c>
      <c r="BM352" s="239"/>
      <c r="BN352" s="965" t="e">
        <f t="shared" si="330"/>
        <v>#VALUE!</v>
      </c>
      <c r="BO352" s="878" t="e">
        <f t="shared" si="331"/>
        <v>#VALUE!</v>
      </c>
      <c r="BP352" s="878" t="e">
        <f t="shared" si="332"/>
        <v>#VALUE!</v>
      </c>
      <c r="BQ352" s="878" t="e">
        <f t="shared" si="333"/>
        <v>#VALUE!</v>
      </c>
      <c r="BR352" s="878" t="e">
        <f t="shared" si="334"/>
        <v>#VALUE!</v>
      </c>
      <c r="BS352" s="966" t="e">
        <f t="shared" si="335"/>
        <v>#VALUE!</v>
      </c>
    </row>
    <row r="353" spans="1:71">
      <c r="A353" s="284">
        <f t="shared" si="336"/>
        <v>285</v>
      </c>
      <c r="B353" s="285">
        <v>0.34159131179630298</v>
      </c>
      <c r="C353" s="285">
        <v>2.7128996954981948</v>
      </c>
      <c r="D353" s="285">
        <v>0.222024161394347</v>
      </c>
      <c r="E353" s="285">
        <v>-2.5433804948957941</v>
      </c>
      <c r="H353" s="685">
        <f t="shared" si="282"/>
        <v>-0.79164252997275186</v>
      </c>
      <c r="I353" s="276">
        <f t="shared" si="283"/>
        <v>-1.830519354498612</v>
      </c>
      <c r="J353" s="276">
        <f t="shared" si="284"/>
        <v>1.4019601757662195</v>
      </c>
      <c r="K353" s="276">
        <f t="shared" si="285"/>
        <v>-0.44425480447255594</v>
      </c>
      <c r="L353" s="276">
        <f t="shared" si="286"/>
        <v>-2.6449014792634049</v>
      </c>
      <c r="M353" s="276">
        <f t="shared" si="287"/>
        <v>-4.0439531668021154</v>
      </c>
      <c r="N353" s="685">
        <f t="shared" si="288"/>
        <v>1.5057284845263263</v>
      </c>
      <c r="O353" s="276">
        <f t="shared" si="289"/>
        <v>1.1357802442444493</v>
      </c>
      <c r="P353" s="276">
        <f t="shared" si="290"/>
        <v>1.6634069196828551</v>
      </c>
      <c r="Q353" s="276">
        <f t="shared" si="291"/>
        <v>0.94347879874707652</v>
      </c>
      <c r="R353" s="276">
        <f t="shared" si="292"/>
        <v>2.0600675884941273</v>
      </c>
      <c r="S353" s="686">
        <f t="shared" si="293"/>
        <v>1.5110907313782584</v>
      </c>
      <c r="T353" s="685">
        <f t="shared" si="294"/>
        <v>3.5003878516652729</v>
      </c>
      <c r="U353" s="276">
        <f t="shared" si="295"/>
        <v>3.5078160825758995</v>
      </c>
      <c r="V353" s="276">
        <f t="shared" si="296"/>
        <v>3.8258401297497988</v>
      </c>
      <c r="W353" s="276">
        <f t="shared" si="297"/>
        <v>7.0428756534728532</v>
      </c>
      <c r="X353" s="276">
        <f t="shared" si="298"/>
        <v>2.4217322575035314</v>
      </c>
      <c r="Y353" s="686">
        <f t="shared" si="299"/>
        <v>3.7826053684821375</v>
      </c>
      <c r="Z353" s="685" t="e">
        <f t="shared" si="300"/>
        <v>#DIV/0!</v>
      </c>
      <c r="AA353" s="276" t="e">
        <f t="shared" si="301"/>
        <v>#DIV/0!</v>
      </c>
      <c r="AB353" s="276" t="e">
        <f t="shared" si="302"/>
        <v>#DIV/0!</v>
      </c>
      <c r="AC353" s="276" t="e">
        <f t="shared" si="303"/>
        <v>#DIV/0!</v>
      </c>
      <c r="AD353" s="276" t="e">
        <f t="shared" si="304"/>
        <v>#DIV/0!</v>
      </c>
      <c r="AE353" s="686" t="e">
        <f t="shared" si="305"/>
        <v>#DIV/0!</v>
      </c>
      <c r="AF353" s="239"/>
      <c r="AG353" s="965" t="e">
        <f t="shared" si="276"/>
        <v>#VALUE!</v>
      </c>
      <c r="AH353" s="878" t="e">
        <f t="shared" si="277"/>
        <v>#VALUE!</v>
      </c>
      <c r="AI353" s="878" t="e">
        <f t="shared" si="278"/>
        <v>#VALUE!</v>
      </c>
      <c r="AJ353" s="878" t="e">
        <f t="shared" si="279"/>
        <v>#VALUE!</v>
      </c>
      <c r="AK353" s="878" t="e">
        <f t="shared" si="280"/>
        <v>#VALUE!</v>
      </c>
      <c r="AL353" s="966" t="e">
        <f t="shared" si="281"/>
        <v>#VALUE!</v>
      </c>
      <c r="AM353" s="239"/>
      <c r="AO353" s="685">
        <f t="shared" si="306"/>
        <v>-0.79164252997275186</v>
      </c>
      <c r="AP353" s="276">
        <f t="shared" si="307"/>
        <v>-1.830519354498612</v>
      </c>
      <c r="AQ353" s="276">
        <f t="shared" si="308"/>
        <v>1.4019601757662195</v>
      </c>
      <c r="AR353" s="276">
        <f t="shared" si="309"/>
        <v>-0.44425480447255594</v>
      </c>
      <c r="AS353" s="276">
        <f t="shared" si="310"/>
        <v>-2.6449014792634049</v>
      </c>
      <c r="AT353" s="276">
        <f t="shared" si="311"/>
        <v>-4.0439531668021154</v>
      </c>
      <c r="AU353" s="685">
        <f t="shared" si="312"/>
        <v>1.5057284845263263</v>
      </c>
      <c r="AV353" s="276">
        <f t="shared" si="313"/>
        <v>1.1357802442444493</v>
      </c>
      <c r="AW353" s="276">
        <f t="shared" si="314"/>
        <v>1.6634069196828551</v>
      </c>
      <c r="AX353" s="276">
        <f t="shared" si="315"/>
        <v>0.94347879874707652</v>
      </c>
      <c r="AY353" s="276">
        <f t="shared" si="316"/>
        <v>2.0600675884941273</v>
      </c>
      <c r="AZ353" s="686">
        <f t="shared" si="317"/>
        <v>1.5110907313782584</v>
      </c>
      <c r="BA353" s="685">
        <f t="shared" si="318"/>
        <v>0</v>
      </c>
      <c r="BB353" s="276">
        <f t="shared" si="319"/>
        <v>0</v>
      </c>
      <c r="BC353" s="276">
        <f t="shared" si="320"/>
        <v>0</v>
      </c>
      <c r="BD353" s="276">
        <f t="shared" si="321"/>
        <v>0</v>
      </c>
      <c r="BE353" s="276">
        <f t="shared" si="322"/>
        <v>0</v>
      </c>
      <c r="BF353" s="686">
        <f t="shared" si="323"/>
        <v>0</v>
      </c>
      <c r="BG353" s="685" t="e">
        <f t="shared" si="324"/>
        <v>#DIV/0!</v>
      </c>
      <c r="BH353" s="276" t="e">
        <f t="shared" si="325"/>
        <v>#DIV/0!</v>
      </c>
      <c r="BI353" s="276" t="e">
        <f t="shared" si="326"/>
        <v>#DIV/0!</v>
      </c>
      <c r="BJ353" s="276" t="e">
        <f t="shared" si="327"/>
        <v>#DIV/0!</v>
      </c>
      <c r="BK353" s="276" t="e">
        <f t="shared" si="328"/>
        <v>#DIV/0!</v>
      </c>
      <c r="BL353" s="686" t="e">
        <f t="shared" si="329"/>
        <v>#DIV/0!</v>
      </c>
      <c r="BM353" s="239"/>
      <c r="BN353" s="965" t="e">
        <f t="shared" si="330"/>
        <v>#VALUE!</v>
      </c>
      <c r="BO353" s="878" t="e">
        <f t="shared" si="331"/>
        <v>#VALUE!</v>
      </c>
      <c r="BP353" s="878" t="e">
        <f t="shared" si="332"/>
        <v>#VALUE!</v>
      </c>
      <c r="BQ353" s="878" t="e">
        <f t="shared" si="333"/>
        <v>#VALUE!</v>
      </c>
      <c r="BR353" s="878" t="e">
        <f t="shared" si="334"/>
        <v>#VALUE!</v>
      </c>
      <c r="BS353" s="966" t="e">
        <f t="shared" si="335"/>
        <v>#VALUE!</v>
      </c>
    </row>
    <row r="354" spans="1:71">
      <c r="A354" s="284">
        <f t="shared" si="336"/>
        <v>286</v>
      </c>
      <c r="B354" s="285">
        <v>1.9527178868753914</v>
      </c>
      <c r="C354" s="285">
        <v>2.2690899863113674</v>
      </c>
      <c r="D354" s="285">
        <v>1.4920701468569122</v>
      </c>
      <c r="E354" s="285">
        <v>-8.3593051847690276</v>
      </c>
      <c r="H354" s="685">
        <f t="shared" si="282"/>
        <v>0.81948404510633654</v>
      </c>
      <c r="I354" s="276">
        <f t="shared" si="283"/>
        <v>-1.7193682575097418</v>
      </c>
      <c r="J354" s="276">
        <f t="shared" si="284"/>
        <v>-3.8891445846204871</v>
      </c>
      <c r="K354" s="276">
        <f t="shared" si="285"/>
        <v>1.1939111282074826</v>
      </c>
      <c r="L354" s="276">
        <f t="shared" si="286"/>
        <v>-4.1258035516275795</v>
      </c>
      <c r="M354" s="276">
        <f t="shared" si="287"/>
        <v>-2.1532659539097505</v>
      </c>
      <c r="N354" s="685">
        <f t="shared" si="288"/>
        <v>1.061918775339499</v>
      </c>
      <c r="O354" s="276">
        <f t="shared" si="289"/>
        <v>0.99017867782443658</v>
      </c>
      <c r="P354" s="276">
        <f t="shared" si="290"/>
        <v>1.3975199712144744</v>
      </c>
      <c r="Q354" s="276">
        <f t="shared" si="291"/>
        <v>1.9707026328437693</v>
      </c>
      <c r="R354" s="276">
        <f t="shared" si="292"/>
        <v>1.4561898218148686</v>
      </c>
      <c r="S354" s="686">
        <f t="shared" si="293"/>
        <v>1.2378960559005445</v>
      </c>
      <c r="T354" s="685">
        <f t="shared" si="294"/>
        <v>4.7704338371278379</v>
      </c>
      <c r="U354" s="276">
        <f t="shared" si="295"/>
        <v>5.272054849641056</v>
      </c>
      <c r="V354" s="276">
        <f t="shared" si="296"/>
        <v>5.4829244405743989</v>
      </c>
      <c r="W354" s="276">
        <f t="shared" si="297"/>
        <v>6.3424897966943234</v>
      </c>
      <c r="X354" s="276">
        <f t="shared" si="298"/>
        <v>4.2280037121845169</v>
      </c>
      <c r="Y354" s="686">
        <f t="shared" si="299"/>
        <v>3.4214957090096103</v>
      </c>
      <c r="Z354" s="685" t="e">
        <f t="shared" si="300"/>
        <v>#DIV/0!</v>
      </c>
      <c r="AA354" s="276" t="e">
        <f t="shared" si="301"/>
        <v>#DIV/0!</v>
      </c>
      <c r="AB354" s="276" t="e">
        <f t="shared" si="302"/>
        <v>#DIV/0!</v>
      </c>
      <c r="AC354" s="276" t="e">
        <f t="shared" si="303"/>
        <v>#DIV/0!</v>
      </c>
      <c r="AD354" s="276" t="e">
        <f t="shared" si="304"/>
        <v>#DIV/0!</v>
      </c>
      <c r="AE354" s="686" t="e">
        <f t="shared" si="305"/>
        <v>#DIV/0!</v>
      </c>
      <c r="AF354" s="239"/>
      <c r="AG354" s="965" t="e">
        <f t="shared" si="276"/>
        <v>#VALUE!</v>
      </c>
      <c r="AH354" s="878" t="e">
        <f t="shared" si="277"/>
        <v>#VALUE!</v>
      </c>
      <c r="AI354" s="878" t="e">
        <f t="shared" si="278"/>
        <v>#VALUE!</v>
      </c>
      <c r="AJ354" s="878" t="e">
        <f t="shared" si="279"/>
        <v>#VALUE!</v>
      </c>
      <c r="AK354" s="878" t="e">
        <f t="shared" si="280"/>
        <v>#VALUE!</v>
      </c>
      <c r="AL354" s="966" t="e">
        <f t="shared" si="281"/>
        <v>#VALUE!</v>
      </c>
      <c r="AM354" s="239"/>
      <c r="AO354" s="685">
        <f t="shared" si="306"/>
        <v>0.81948404510633654</v>
      </c>
      <c r="AP354" s="276">
        <f t="shared" si="307"/>
        <v>-1.7193682575097418</v>
      </c>
      <c r="AQ354" s="276">
        <f t="shared" si="308"/>
        <v>-3.8891445846204871</v>
      </c>
      <c r="AR354" s="276">
        <f t="shared" si="309"/>
        <v>1.1939111282074826</v>
      </c>
      <c r="AS354" s="276">
        <f t="shared" si="310"/>
        <v>-4.1258035516275795</v>
      </c>
      <c r="AT354" s="276">
        <f t="shared" si="311"/>
        <v>-2.1532659539097505</v>
      </c>
      <c r="AU354" s="685">
        <f t="shared" si="312"/>
        <v>1.061918775339499</v>
      </c>
      <c r="AV354" s="276">
        <f t="shared" si="313"/>
        <v>0.99017867782443658</v>
      </c>
      <c r="AW354" s="276">
        <f t="shared" si="314"/>
        <v>1.3975199712144744</v>
      </c>
      <c r="AX354" s="276">
        <f t="shared" si="315"/>
        <v>1.9707026328437693</v>
      </c>
      <c r="AY354" s="276">
        <f t="shared" si="316"/>
        <v>1.4561898218148686</v>
      </c>
      <c r="AZ354" s="686">
        <f t="shared" si="317"/>
        <v>1.2378960559005445</v>
      </c>
      <c r="BA354" s="685">
        <f t="shared" si="318"/>
        <v>0</v>
      </c>
      <c r="BB354" s="276">
        <f t="shared" si="319"/>
        <v>0</v>
      </c>
      <c r="BC354" s="276">
        <f t="shared" si="320"/>
        <v>0</v>
      </c>
      <c r="BD354" s="276">
        <f t="shared" si="321"/>
        <v>0</v>
      </c>
      <c r="BE354" s="276">
        <f t="shared" si="322"/>
        <v>0</v>
      </c>
      <c r="BF354" s="686">
        <f t="shared" si="323"/>
        <v>0</v>
      </c>
      <c r="BG354" s="685" t="e">
        <f t="shared" si="324"/>
        <v>#DIV/0!</v>
      </c>
      <c r="BH354" s="276" t="e">
        <f t="shared" si="325"/>
        <v>#DIV/0!</v>
      </c>
      <c r="BI354" s="276" t="e">
        <f t="shared" si="326"/>
        <v>#DIV/0!</v>
      </c>
      <c r="BJ354" s="276" t="e">
        <f t="shared" si="327"/>
        <v>#DIV/0!</v>
      </c>
      <c r="BK354" s="276" t="e">
        <f t="shared" si="328"/>
        <v>#DIV/0!</v>
      </c>
      <c r="BL354" s="686" t="e">
        <f t="shared" si="329"/>
        <v>#DIV/0!</v>
      </c>
      <c r="BM354" s="239"/>
      <c r="BN354" s="965" t="e">
        <f t="shared" si="330"/>
        <v>#VALUE!</v>
      </c>
      <c r="BO354" s="878" t="e">
        <f t="shared" si="331"/>
        <v>#VALUE!</v>
      </c>
      <c r="BP354" s="878" t="e">
        <f t="shared" si="332"/>
        <v>#VALUE!</v>
      </c>
      <c r="BQ354" s="878" t="e">
        <f t="shared" si="333"/>
        <v>#VALUE!</v>
      </c>
      <c r="BR354" s="878" t="e">
        <f t="shared" si="334"/>
        <v>#VALUE!</v>
      </c>
      <c r="BS354" s="966" t="e">
        <f t="shared" si="335"/>
        <v>#VALUE!</v>
      </c>
    </row>
    <row r="355" spans="1:71">
      <c r="A355" s="284">
        <f t="shared" si="336"/>
        <v>287</v>
      </c>
      <c r="B355" s="285">
        <v>0.29272294970095314</v>
      </c>
      <c r="C355" s="285">
        <v>2.6611860280936126</v>
      </c>
      <c r="D355" s="285">
        <v>1.0612611244254935</v>
      </c>
      <c r="E355" s="285">
        <v>4.4980978959276694</v>
      </c>
      <c r="H355" s="685">
        <f t="shared" si="282"/>
        <v>-0.8405108920681017</v>
      </c>
      <c r="I355" s="276">
        <f t="shared" si="283"/>
        <v>-2.1921724035486099</v>
      </c>
      <c r="J355" s="276">
        <f t="shared" si="284"/>
        <v>-0.96802332262108259</v>
      </c>
      <c r="K355" s="276">
        <f t="shared" si="285"/>
        <v>-3.0544369442212229</v>
      </c>
      <c r="L355" s="276">
        <f t="shared" si="286"/>
        <v>-0.18592658476962731</v>
      </c>
      <c r="M355" s="276">
        <f t="shared" si="287"/>
        <v>0.22801283936696892</v>
      </c>
      <c r="N355" s="685">
        <f t="shared" si="288"/>
        <v>1.4540148171217442</v>
      </c>
      <c r="O355" s="276">
        <f t="shared" si="289"/>
        <v>0.77124630192487942</v>
      </c>
      <c r="P355" s="276">
        <f t="shared" si="290"/>
        <v>1.762891740179503</v>
      </c>
      <c r="Q355" s="276">
        <f t="shared" si="291"/>
        <v>1.4528354805517434</v>
      </c>
      <c r="R355" s="276">
        <f t="shared" si="292"/>
        <v>1.4067691245994498</v>
      </c>
      <c r="S355" s="686">
        <f t="shared" si="293"/>
        <v>2.4008446791029519</v>
      </c>
      <c r="T355" s="685">
        <f t="shared" si="294"/>
        <v>4.3396248146964194</v>
      </c>
      <c r="U355" s="276">
        <f t="shared" si="295"/>
        <v>5.3444031510202654</v>
      </c>
      <c r="V355" s="276">
        <f t="shared" si="296"/>
        <v>5.1589748837848495</v>
      </c>
      <c r="W355" s="276">
        <f t="shared" si="297"/>
        <v>3.7663052416969842</v>
      </c>
      <c r="X355" s="276">
        <f t="shared" si="298"/>
        <v>5.9426625440619478</v>
      </c>
      <c r="Y355" s="686">
        <f t="shared" si="299"/>
        <v>5.0209174311213323</v>
      </c>
      <c r="Z355" s="685" t="e">
        <f t="shared" si="300"/>
        <v>#DIV/0!</v>
      </c>
      <c r="AA355" s="276" t="e">
        <f t="shared" si="301"/>
        <v>#DIV/0!</v>
      </c>
      <c r="AB355" s="276" t="e">
        <f t="shared" si="302"/>
        <v>#DIV/0!</v>
      </c>
      <c r="AC355" s="276" t="e">
        <f t="shared" si="303"/>
        <v>#DIV/0!</v>
      </c>
      <c r="AD355" s="276" t="e">
        <f t="shared" si="304"/>
        <v>#DIV/0!</v>
      </c>
      <c r="AE355" s="686" t="e">
        <f t="shared" si="305"/>
        <v>#DIV/0!</v>
      </c>
      <c r="AF355" s="239"/>
      <c r="AG355" s="965" t="e">
        <f t="shared" si="276"/>
        <v>#VALUE!</v>
      </c>
      <c r="AH355" s="878" t="e">
        <f t="shared" si="277"/>
        <v>#VALUE!</v>
      </c>
      <c r="AI355" s="878" t="e">
        <f t="shared" si="278"/>
        <v>#VALUE!</v>
      </c>
      <c r="AJ355" s="878" t="e">
        <f t="shared" si="279"/>
        <v>#VALUE!</v>
      </c>
      <c r="AK355" s="878" t="e">
        <f t="shared" si="280"/>
        <v>#VALUE!</v>
      </c>
      <c r="AL355" s="966" t="e">
        <f t="shared" si="281"/>
        <v>#VALUE!</v>
      </c>
      <c r="AM355" s="239"/>
      <c r="AO355" s="685">
        <f t="shared" si="306"/>
        <v>-0.8405108920681017</v>
      </c>
      <c r="AP355" s="276">
        <f t="shared" si="307"/>
        <v>-2.1921724035486099</v>
      </c>
      <c r="AQ355" s="276">
        <f t="shared" si="308"/>
        <v>-0.96802332262108259</v>
      </c>
      <c r="AR355" s="276">
        <f t="shared" si="309"/>
        <v>-3.0544369442212229</v>
      </c>
      <c r="AS355" s="276">
        <f t="shared" si="310"/>
        <v>-0.18592658476962731</v>
      </c>
      <c r="AT355" s="276">
        <f t="shared" si="311"/>
        <v>0.22801283936696892</v>
      </c>
      <c r="AU355" s="685">
        <f t="shared" si="312"/>
        <v>1.4540148171217442</v>
      </c>
      <c r="AV355" s="276">
        <f t="shared" si="313"/>
        <v>0.77124630192487942</v>
      </c>
      <c r="AW355" s="276">
        <f t="shared" si="314"/>
        <v>1.762891740179503</v>
      </c>
      <c r="AX355" s="276">
        <f t="shared" si="315"/>
        <v>1.4528354805517434</v>
      </c>
      <c r="AY355" s="276">
        <f t="shared" si="316"/>
        <v>1.4067691245994498</v>
      </c>
      <c r="AZ355" s="686">
        <f t="shared" si="317"/>
        <v>2.4008446791029519</v>
      </c>
      <c r="BA355" s="685">
        <f t="shared" si="318"/>
        <v>0</v>
      </c>
      <c r="BB355" s="276">
        <f t="shared" si="319"/>
        <v>0</v>
      </c>
      <c r="BC355" s="276">
        <f t="shared" si="320"/>
        <v>0</v>
      </c>
      <c r="BD355" s="276">
        <f t="shared" si="321"/>
        <v>0</v>
      </c>
      <c r="BE355" s="276">
        <f t="shared" si="322"/>
        <v>0</v>
      </c>
      <c r="BF355" s="686">
        <f t="shared" si="323"/>
        <v>0</v>
      </c>
      <c r="BG355" s="685" t="e">
        <f t="shared" si="324"/>
        <v>#DIV/0!</v>
      </c>
      <c r="BH355" s="276" t="e">
        <f t="shared" si="325"/>
        <v>#DIV/0!</v>
      </c>
      <c r="BI355" s="276" t="e">
        <f t="shared" si="326"/>
        <v>#DIV/0!</v>
      </c>
      <c r="BJ355" s="276" t="e">
        <f t="shared" si="327"/>
        <v>#DIV/0!</v>
      </c>
      <c r="BK355" s="276" t="e">
        <f t="shared" si="328"/>
        <v>#DIV/0!</v>
      </c>
      <c r="BL355" s="686" t="e">
        <f t="shared" si="329"/>
        <v>#DIV/0!</v>
      </c>
      <c r="BM355" s="239"/>
      <c r="BN355" s="965" t="e">
        <f t="shared" si="330"/>
        <v>#VALUE!</v>
      </c>
      <c r="BO355" s="878" t="e">
        <f t="shared" si="331"/>
        <v>#VALUE!</v>
      </c>
      <c r="BP355" s="878" t="e">
        <f t="shared" si="332"/>
        <v>#VALUE!</v>
      </c>
      <c r="BQ355" s="878" t="e">
        <f t="shared" si="333"/>
        <v>#VALUE!</v>
      </c>
      <c r="BR355" s="878" t="e">
        <f t="shared" si="334"/>
        <v>#VALUE!</v>
      </c>
      <c r="BS355" s="966" t="e">
        <f t="shared" si="335"/>
        <v>#VALUE!</v>
      </c>
    </row>
    <row r="356" spans="1:71">
      <c r="A356" s="284">
        <f t="shared" si="336"/>
        <v>288</v>
      </c>
      <c r="B356" s="285">
        <v>-2.9335208654799936</v>
      </c>
      <c r="C356" s="285">
        <v>2.3149784917272416</v>
      </c>
      <c r="D356" s="285">
        <v>-1.1359739839423688</v>
      </c>
      <c r="E356" s="285">
        <v>6.8580268265733189</v>
      </c>
      <c r="H356" s="685">
        <f t="shared" si="282"/>
        <v>-4.0667547072490482</v>
      </c>
      <c r="I356" s="276">
        <f t="shared" si="283"/>
        <v>-6.2439784961688103</v>
      </c>
      <c r="J356" s="276">
        <f t="shared" si="284"/>
        <v>1.6174674433519403</v>
      </c>
      <c r="K356" s="276">
        <f t="shared" si="285"/>
        <v>-2.2243567639468473</v>
      </c>
      <c r="L356" s="276">
        <f t="shared" si="286"/>
        <v>0.97089769344374033</v>
      </c>
      <c r="M356" s="276">
        <f t="shared" si="287"/>
        <v>-5.0938877574003714</v>
      </c>
      <c r="N356" s="685">
        <f t="shared" si="288"/>
        <v>1.1078072807553732</v>
      </c>
      <c r="O356" s="276">
        <f t="shared" si="289"/>
        <v>0.94150113915456113</v>
      </c>
      <c r="P356" s="276">
        <f t="shared" si="290"/>
        <v>1.8099825748541372</v>
      </c>
      <c r="Q356" s="276">
        <f t="shared" si="291"/>
        <v>0.77006127941764912</v>
      </c>
      <c r="R356" s="276">
        <f t="shared" si="292"/>
        <v>1.8026775515383353</v>
      </c>
      <c r="S356" s="686">
        <f t="shared" si="293"/>
        <v>1.4671833372922871</v>
      </c>
      <c r="T356" s="685">
        <f t="shared" si="294"/>
        <v>2.1423897063285571</v>
      </c>
      <c r="U356" s="276">
        <f t="shared" si="295"/>
        <v>3.5872741166093416</v>
      </c>
      <c r="V356" s="276">
        <f t="shared" si="296"/>
        <v>3.9902590723084632</v>
      </c>
      <c r="W356" s="276">
        <f t="shared" si="297"/>
        <v>2.4792855671859222</v>
      </c>
      <c r="X356" s="276">
        <f t="shared" si="298"/>
        <v>5.4818368827255171</v>
      </c>
      <c r="Y356" s="686">
        <f t="shared" si="299"/>
        <v>2.9547661079318219</v>
      </c>
      <c r="Z356" s="685" t="e">
        <f t="shared" si="300"/>
        <v>#DIV/0!</v>
      </c>
      <c r="AA356" s="276" t="e">
        <f t="shared" si="301"/>
        <v>#DIV/0!</v>
      </c>
      <c r="AB356" s="276" t="e">
        <f t="shared" si="302"/>
        <v>#DIV/0!</v>
      </c>
      <c r="AC356" s="276" t="e">
        <f t="shared" si="303"/>
        <v>#DIV/0!</v>
      </c>
      <c r="AD356" s="276" t="e">
        <f t="shared" si="304"/>
        <v>#DIV/0!</v>
      </c>
      <c r="AE356" s="686" t="e">
        <f t="shared" si="305"/>
        <v>#DIV/0!</v>
      </c>
      <c r="AF356" s="239"/>
      <c r="AG356" s="965" t="e">
        <f t="shared" si="276"/>
        <v>#VALUE!</v>
      </c>
      <c r="AH356" s="878" t="e">
        <f t="shared" si="277"/>
        <v>#VALUE!</v>
      </c>
      <c r="AI356" s="878" t="e">
        <f t="shared" si="278"/>
        <v>#VALUE!</v>
      </c>
      <c r="AJ356" s="878" t="e">
        <f t="shared" si="279"/>
        <v>#VALUE!</v>
      </c>
      <c r="AK356" s="878" t="e">
        <f t="shared" si="280"/>
        <v>#VALUE!</v>
      </c>
      <c r="AL356" s="966" t="e">
        <f t="shared" si="281"/>
        <v>#VALUE!</v>
      </c>
      <c r="AM356" s="239"/>
      <c r="AO356" s="685">
        <f t="shared" si="306"/>
        <v>-4.0667547072490482</v>
      </c>
      <c r="AP356" s="276">
        <f t="shared" si="307"/>
        <v>-6.2439784961688103</v>
      </c>
      <c r="AQ356" s="276">
        <f t="shared" si="308"/>
        <v>1.6174674433519403</v>
      </c>
      <c r="AR356" s="276">
        <f t="shared" si="309"/>
        <v>-2.2243567639468473</v>
      </c>
      <c r="AS356" s="276">
        <f t="shared" si="310"/>
        <v>0.97089769344374033</v>
      </c>
      <c r="AT356" s="276">
        <f t="shared" si="311"/>
        <v>-5.0938877574003714</v>
      </c>
      <c r="AU356" s="685">
        <f t="shared" si="312"/>
        <v>1.1078072807553732</v>
      </c>
      <c r="AV356" s="276">
        <f t="shared" si="313"/>
        <v>0.94150113915456113</v>
      </c>
      <c r="AW356" s="276">
        <f t="shared" si="314"/>
        <v>1.8099825748541372</v>
      </c>
      <c r="AX356" s="276">
        <f t="shared" si="315"/>
        <v>0.77006127941764912</v>
      </c>
      <c r="AY356" s="276">
        <f t="shared" si="316"/>
        <v>1.8026775515383353</v>
      </c>
      <c r="AZ356" s="686">
        <f t="shared" si="317"/>
        <v>1.4671833372922871</v>
      </c>
      <c r="BA356" s="685">
        <f t="shared" si="318"/>
        <v>0</v>
      </c>
      <c r="BB356" s="276">
        <f t="shared" si="319"/>
        <v>0</v>
      </c>
      <c r="BC356" s="276">
        <f t="shared" si="320"/>
        <v>0</v>
      </c>
      <c r="BD356" s="276">
        <f t="shared" si="321"/>
        <v>0</v>
      </c>
      <c r="BE356" s="276">
        <f t="shared" si="322"/>
        <v>0</v>
      </c>
      <c r="BF356" s="686">
        <f t="shared" si="323"/>
        <v>0</v>
      </c>
      <c r="BG356" s="685" t="e">
        <f t="shared" si="324"/>
        <v>#DIV/0!</v>
      </c>
      <c r="BH356" s="276" t="e">
        <f t="shared" si="325"/>
        <v>#DIV/0!</v>
      </c>
      <c r="BI356" s="276" t="e">
        <f t="shared" si="326"/>
        <v>#DIV/0!</v>
      </c>
      <c r="BJ356" s="276" t="e">
        <f t="shared" si="327"/>
        <v>#DIV/0!</v>
      </c>
      <c r="BK356" s="276" t="e">
        <f t="shared" si="328"/>
        <v>#DIV/0!</v>
      </c>
      <c r="BL356" s="686" t="e">
        <f t="shared" si="329"/>
        <v>#DIV/0!</v>
      </c>
      <c r="BM356" s="239"/>
      <c r="BN356" s="965" t="e">
        <f t="shared" si="330"/>
        <v>#VALUE!</v>
      </c>
      <c r="BO356" s="878" t="e">
        <f t="shared" si="331"/>
        <v>#VALUE!</v>
      </c>
      <c r="BP356" s="878" t="e">
        <f t="shared" si="332"/>
        <v>#VALUE!</v>
      </c>
      <c r="BQ356" s="878" t="e">
        <f t="shared" si="333"/>
        <v>#VALUE!</v>
      </c>
      <c r="BR356" s="878" t="e">
        <f t="shared" si="334"/>
        <v>#VALUE!</v>
      </c>
      <c r="BS356" s="966" t="e">
        <f t="shared" si="335"/>
        <v>#VALUE!</v>
      </c>
    </row>
    <row r="357" spans="1:71">
      <c r="A357" s="284">
        <f t="shared" si="336"/>
        <v>289</v>
      </c>
      <c r="B357" s="285">
        <v>-0.64469045013317228</v>
      </c>
      <c r="C357" s="285">
        <v>2.4472201260287711</v>
      </c>
      <c r="D357" s="285">
        <v>1.3458190627063393</v>
      </c>
      <c r="E357" s="285">
        <v>-6.2129672674867447</v>
      </c>
      <c r="H357" s="685">
        <f t="shared" si="282"/>
        <v>-1.7779242919022271</v>
      </c>
      <c r="I357" s="276">
        <f t="shared" si="283"/>
        <v>3.2292378714689463</v>
      </c>
      <c r="J357" s="276">
        <f t="shared" si="284"/>
        <v>0.80370735274459237</v>
      </c>
      <c r="K357" s="276">
        <f t="shared" si="285"/>
        <v>-3.6537914366253839</v>
      </c>
      <c r="L357" s="276">
        <f t="shared" si="286"/>
        <v>-5.0020016413774622</v>
      </c>
      <c r="M357" s="276">
        <f t="shared" si="287"/>
        <v>-3.6549072126433462</v>
      </c>
      <c r="N357" s="685">
        <f t="shared" si="288"/>
        <v>1.2400489150569027</v>
      </c>
      <c r="O357" s="276">
        <f t="shared" si="289"/>
        <v>1.1672654079117957</v>
      </c>
      <c r="P357" s="276">
        <f t="shared" si="290"/>
        <v>1.767617860920798</v>
      </c>
      <c r="Q357" s="276">
        <f t="shared" si="291"/>
        <v>1.5508353140183353</v>
      </c>
      <c r="R357" s="276">
        <f t="shared" si="292"/>
        <v>0.67454784535451262</v>
      </c>
      <c r="S357" s="686">
        <f t="shared" si="293"/>
        <v>1.3871306747087722</v>
      </c>
      <c r="T357" s="685">
        <f t="shared" si="294"/>
        <v>4.6241827529772657</v>
      </c>
      <c r="U357" s="276">
        <f t="shared" si="295"/>
        <v>7.8882685843243454</v>
      </c>
      <c r="V357" s="276">
        <f t="shared" si="296"/>
        <v>5.3767648630473932</v>
      </c>
      <c r="W357" s="276">
        <f t="shared" si="297"/>
        <v>2.7907319494332183</v>
      </c>
      <c r="X357" s="276">
        <f t="shared" si="298"/>
        <v>4.1182959250511875</v>
      </c>
      <c r="Y357" s="686">
        <f t="shared" si="299"/>
        <v>3.1357910639173054</v>
      </c>
      <c r="Z357" s="685" t="e">
        <f t="shared" si="300"/>
        <v>#DIV/0!</v>
      </c>
      <c r="AA357" s="276" t="e">
        <f t="shared" si="301"/>
        <v>#DIV/0!</v>
      </c>
      <c r="AB357" s="276" t="e">
        <f t="shared" si="302"/>
        <v>#DIV/0!</v>
      </c>
      <c r="AC357" s="276" t="e">
        <f t="shared" si="303"/>
        <v>#DIV/0!</v>
      </c>
      <c r="AD357" s="276" t="e">
        <f t="shared" si="304"/>
        <v>#DIV/0!</v>
      </c>
      <c r="AE357" s="686" t="e">
        <f t="shared" si="305"/>
        <v>#DIV/0!</v>
      </c>
      <c r="AF357" s="239"/>
      <c r="AG357" s="965" t="e">
        <f t="shared" si="276"/>
        <v>#VALUE!</v>
      </c>
      <c r="AH357" s="878" t="e">
        <f t="shared" si="277"/>
        <v>#VALUE!</v>
      </c>
      <c r="AI357" s="878" t="e">
        <f t="shared" si="278"/>
        <v>#VALUE!</v>
      </c>
      <c r="AJ357" s="878" t="e">
        <f t="shared" si="279"/>
        <v>#VALUE!</v>
      </c>
      <c r="AK357" s="878" t="e">
        <f t="shared" si="280"/>
        <v>#VALUE!</v>
      </c>
      <c r="AL357" s="966" t="e">
        <f t="shared" si="281"/>
        <v>#VALUE!</v>
      </c>
      <c r="AM357" s="239"/>
      <c r="AO357" s="685">
        <f t="shared" si="306"/>
        <v>-1.7779242919022271</v>
      </c>
      <c r="AP357" s="276">
        <f t="shared" si="307"/>
        <v>3.2292378714689463</v>
      </c>
      <c r="AQ357" s="276">
        <f t="shared" si="308"/>
        <v>0.80370735274459237</v>
      </c>
      <c r="AR357" s="276">
        <f t="shared" si="309"/>
        <v>-3.6537914366253839</v>
      </c>
      <c r="AS357" s="276">
        <f t="shared" si="310"/>
        <v>-5.0020016413774622</v>
      </c>
      <c r="AT357" s="276">
        <f t="shared" si="311"/>
        <v>-3.6549072126433462</v>
      </c>
      <c r="AU357" s="685">
        <f t="shared" si="312"/>
        <v>1.2400489150569027</v>
      </c>
      <c r="AV357" s="276">
        <f t="shared" si="313"/>
        <v>1.1672654079117957</v>
      </c>
      <c r="AW357" s="276">
        <f t="shared" si="314"/>
        <v>1.767617860920798</v>
      </c>
      <c r="AX357" s="276">
        <f t="shared" si="315"/>
        <v>1.5508353140183353</v>
      </c>
      <c r="AY357" s="276">
        <f t="shared" si="316"/>
        <v>0.67454784535451262</v>
      </c>
      <c r="AZ357" s="686">
        <f t="shared" si="317"/>
        <v>1.3871306747087722</v>
      </c>
      <c r="BA357" s="685">
        <f t="shared" si="318"/>
        <v>0</v>
      </c>
      <c r="BB357" s="276">
        <f t="shared" si="319"/>
        <v>0</v>
      </c>
      <c r="BC357" s="276">
        <f t="shared" si="320"/>
        <v>0</v>
      </c>
      <c r="BD357" s="276">
        <f t="shared" si="321"/>
        <v>0</v>
      </c>
      <c r="BE357" s="276">
        <f t="shared" si="322"/>
        <v>0</v>
      </c>
      <c r="BF357" s="686">
        <f t="shared" si="323"/>
        <v>0</v>
      </c>
      <c r="BG357" s="685" t="e">
        <f t="shared" si="324"/>
        <v>#DIV/0!</v>
      </c>
      <c r="BH357" s="276" t="e">
        <f t="shared" si="325"/>
        <v>#DIV/0!</v>
      </c>
      <c r="BI357" s="276" t="e">
        <f t="shared" si="326"/>
        <v>#DIV/0!</v>
      </c>
      <c r="BJ357" s="276" t="e">
        <f t="shared" si="327"/>
        <v>#DIV/0!</v>
      </c>
      <c r="BK357" s="276" t="e">
        <f t="shared" si="328"/>
        <v>#DIV/0!</v>
      </c>
      <c r="BL357" s="686" t="e">
        <f t="shared" si="329"/>
        <v>#DIV/0!</v>
      </c>
      <c r="BM357" s="239"/>
      <c r="BN357" s="965" t="e">
        <f t="shared" si="330"/>
        <v>#VALUE!</v>
      </c>
      <c r="BO357" s="878" t="e">
        <f t="shared" si="331"/>
        <v>#VALUE!</v>
      </c>
      <c r="BP357" s="878" t="e">
        <f t="shared" si="332"/>
        <v>#VALUE!</v>
      </c>
      <c r="BQ357" s="878" t="e">
        <f t="shared" si="333"/>
        <v>#VALUE!</v>
      </c>
      <c r="BR357" s="878" t="e">
        <f t="shared" si="334"/>
        <v>#VALUE!</v>
      </c>
      <c r="BS357" s="966" t="e">
        <f t="shared" si="335"/>
        <v>#VALUE!</v>
      </c>
    </row>
    <row r="358" spans="1:71">
      <c r="A358" s="284">
        <f t="shared" si="336"/>
        <v>290</v>
      </c>
      <c r="B358" s="285">
        <v>1.1268110742741884</v>
      </c>
      <c r="C358" s="285">
        <v>2.4257011756785025</v>
      </c>
      <c r="D358" s="285">
        <v>3.121628428138453</v>
      </c>
      <c r="E358" s="285">
        <v>-8.2746109668870691</v>
      </c>
      <c r="H358" s="685">
        <f t="shared" si="282"/>
        <v>-6.422767494866477E-3</v>
      </c>
      <c r="I358" s="276">
        <f t="shared" si="283"/>
        <v>-0.23444583927670382</v>
      </c>
      <c r="J358" s="276">
        <f t="shared" si="284"/>
        <v>-1.3727169884756441</v>
      </c>
      <c r="K358" s="276">
        <f t="shared" si="285"/>
        <v>1.0329380725693655</v>
      </c>
      <c r="L358" s="276">
        <f t="shared" si="286"/>
        <v>-6.9851568819083782</v>
      </c>
      <c r="M358" s="276">
        <f t="shared" si="287"/>
        <v>1.4184697320519282</v>
      </c>
      <c r="N358" s="685">
        <f t="shared" si="288"/>
        <v>1.2185299647066341</v>
      </c>
      <c r="O358" s="276">
        <f t="shared" si="289"/>
        <v>1.4398227365433585</v>
      </c>
      <c r="P358" s="276">
        <f t="shared" si="290"/>
        <v>1.3085585219725344</v>
      </c>
      <c r="Q358" s="276">
        <f t="shared" si="291"/>
        <v>1.7488278417658771</v>
      </c>
      <c r="R358" s="276">
        <f t="shared" si="292"/>
        <v>0.46744390124069679</v>
      </c>
      <c r="S358" s="686">
        <f t="shared" si="293"/>
        <v>1.552744315686519</v>
      </c>
      <c r="T358" s="685">
        <f t="shared" si="294"/>
        <v>6.3999921184093793</v>
      </c>
      <c r="U358" s="276">
        <f t="shared" si="295"/>
        <v>5.9595910442994722</v>
      </c>
      <c r="V358" s="276">
        <f t="shared" si="296"/>
        <v>4.7692529933922083</v>
      </c>
      <c r="W358" s="276">
        <f t="shared" si="297"/>
        <v>3.2533246247834651</v>
      </c>
      <c r="X358" s="276">
        <f t="shared" si="298"/>
        <v>4.3339857052996269</v>
      </c>
      <c r="Y358" s="686">
        <f t="shared" si="299"/>
        <v>3.0317824408703196</v>
      </c>
      <c r="Z358" s="685" t="e">
        <f t="shared" si="300"/>
        <v>#DIV/0!</v>
      </c>
      <c r="AA358" s="276" t="e">
        <f t="shared" si="301"/>
        <v>#DIV/0!</v>
      </c>
      <c r="AB358" s="276" t="e">
        <f t="shared" si="302"/>
        <v>#DIV/0!</v>
      </c>
      <c r="AC358" s="276" t="e">
        <f t="shared" si="303"/>
        <v>#DIV/0!</v>
      </c>
      <c r="AD358" s="276" t="e">
        <f t="shared" si="304"/>
        <v>#DIV/0!</v>
      </c>
      <c r="AE358" s="686" t="e">
        <f t="shared" si="305"/>
        <v>#DIV/0!</v>
      </c>
      <c r="AF358" s="239"/>
      <c r="AG358" s="965" t="e">
        <f t="shared" si="276"/>
        <v>#VALUE!</v>
      </c>
      <c r="AH358" s="878" t="e">
        <f t="shared" si="277"/>
        <v>#VALUE!</v>
      </c>
      <c r="AI358" s="878" t="e">
        <f t="shared" si="278"/>
        <v>#VALUE!</v>
      </c>
      <c r="AJ358" s="878" t="e">
        <f t="shared" si="279"/>
        <v>#VALUE!</v>
      </c>
      <c r="AK358" s="878" t="e">
        <f t="shared" si="280"/>
        <v>#VALUE!</v>
      </c>
      <c r="AL358" s="966" t="e">
        <f t="shared" si="281"/>
        <v>#VALUE!</v>
      </c>
      <c r="AM358" s="239"/>
      <c r="AO358" s="685">
        <f t="shared" si="306"/>
        <v>-6.422767494866477E-3</v>
      </c>
      <c r="AP358" s="276">
        <f t="shared" si="307"/>
        <v>-0.23444583927670382</v>
      </c>
      <c r="AQ358" s="276">
        <f t="shared" si="308"/>
        <v>-1.3727169884756441</v>
      </c>
      <c r="AR358" s="276">
        <f t="shared" si="309"/>
        <v>1.0329380725693655</v>
      </c>
      <c r="AS358" s="276">
        <f t="shared" si="310"/>
        <v>-6.9851568819083782</v>
      </c>
      <c r="AT358" s="276">
        <f t="shared" si="311"/>
        <v>1.4184697320519282</v>
      </c>
      <c r="AU358" s="685">
        <f t="shared" si="312"/>
        <v>1.2185299647066341</v>
      </c>
      <c r="AV358" s="276">
        <f t="shared" si="313"/>
        <v>1.4398227365433585</v>
      </c>
      <c r="AW358" s="276">
        <f t="shared" si="314"/>
        <v>1.3085585219725344</v>
      </c>
      <c r="AX358" s="276">
        <f t="shared" si="315"/>
        <v>1.7488278417658771</v>
      </c>
      <c r="AY358" s="276">
        <f t="shared" si="316"/>
        <v>0.46744390124069679</v>
      </c>
      <c r="AZ358" s="686">
        <f t="shared" si="317"/>
        <v>1.552744315686519</v>
      </c>
      <c r="BA358" s="685">
        <f t="shared" si="318"/>
        <v>0</v>
      </c>
      <c r="BB358" s="276">
        <f t="shared" si="319"/>
        <v>0</v>
      </c>
      <c r="BC358" s="276">
        <f t="shared" si="320"/>
        <v>0</v>
      </c>
      <c r="BD358" s="276">
        <f t="shared" si="321"/>
        <v>0</v>
      </c>
      <c r="BE358" s="276">
        <f t="shared" si="322"/>
        <v>0</v>
      </c>
      <c r="BF358" s="686">
        <f t="shared" si="323"/>
        <v>0</v>
      </c>
      <c r="BG358" s="685" t="e">
        <f t="shared" si="324"/>
        <v>#DIV/0!</v>
      </c>
      <c r="BH358" s="276" t="e">
        <f t="shared" si="325"/>
        <v>#DIV/0!</v>
      </c>
      <c r="BI358" s="276" t="e">
        <f t="shared" si="326"/>
        <v>#DIV/0!</v>
      </c>
      <c r="BJ358" s="276" t="e">
        <f t="shared" si="327"/>
        <v>#DIV/0!</v>
      </c>
      <c r="BK358" s="276" t="e">
        <f t="shared" si="328"/>
        <v>#DIV/0!</v>
      </c>
      <c r="BL358" s="686" t="e">
        <f t="shared" si="329"/>
        <v>#DIV/0!</v>
      </c>
      <c r="BM358" s="239"/>
      <c r="BN358" s="965" t="e">
        <f t="shared" si="330"/>
        <v>#VALUE!</v>
      </c>
      <c r="BO358" s="878" t="e">
        <f t="shared" si="331"/>
        <v>#VALUE!</v>
      </c>
      <c r="BP358" s="878" t="e">
        <f t="shared" si="332"/>
        <v>#VALUE!</v>
      </c>
      <c r="BQ358" s="878" t="e">
        <f t="shared" si="333"/>
        <v>#VALUE!</v>
      </c>
      <c r="BR358" s="878" t="e">
        <f t="shared" si="334"/>
        <v>#VALUE!</v>
      </c>
      <c r="BS358" s="966" t="e">
        <f t="shared" si="335"/>
        <v>#VALUE!</v>
      </c>
    </row>
    <row r="359" spans="1:71">
      <c r="A359" s="284">
        <f t="shared" si="336"/>
        <v>291</v>
      </c>
      <c r="B359" s="285">
        <v>2.1456446787324905</v>
      </c>
      <c r="C359" s="285">
        <v>2.1880634224848832</v>
      </c>
      <c r="D359" s="285">
        <v>1.2247610879261033</v>
      </c>
      <c r="E359" s="285">
        <v>-12.534882152602162</v>
      </c>
      <c r="H359" s="685">
        <f t="shared" si="282"/>
        <v>1.0124108369634357</v>
      </c>
      <c r="I359" s="276">
        <f t="shared" si="283"/>
        <v>2.4785821143152607</v>
      </c>
      <c r="J359" s="276">
        <f t="shared" si="284"/>
        <v>-7.3139031736338067E-2</v>
      </c>
      <c r="K359" s="276">
        <f t="shared" si="285"/>
        <v>-1.2486008568270639</v>
      </c>
      <c r="L359" s="276">
        <f t="shared" si="286"/>
        <v>1.8694184637288827</v>
      </c>
      <c r="M359" s="276">
        <f t="shared" si="287"/>
        <v>0.51711834214006203</v>
      </c>
      <c r="N359" s="685">
        <f t="shared" si="288"/>
        <v>0.98089221151301476</v>
      </c>
      <c r="O359" s="276">
        <f t="shared" si="289"/>
        <v>2.566482562870112</v>
      </c>
      <c r="P359" s="276">
        <f t="shared" si="290"/>
        <v>1.1679213617289872</v>
      </c>
      <c r="Q359" s="276">
        <f t="shared" si="291"/>
        <v>1.5471428594123571</v>
      </c>
      <c r="R359" s="276">
        <f t="shared" si="292"/>
        <v>1.3819603243154652</v>
      </c>
      <c r="S359" s="686">
        <f t="shared" si="293"/>
        <v>1.2302761952042245</v>
      </c>
      <c r="T359" s="685">
        <f t="shared" si="294"/>
        <v>4.5031247781970292</v>
      </c>
      <c r="U359" s="276">
        <f t="shared" si="295"/>
        <v>6.6611120632063248</v>
      </c>
      <c r="V359" s="276">
        <f t="shared" si="296"/>
        <v>3.3475113830965597</v>
      </c>
      <c r="W359" s="276">
        <f t="shared" si="297"/>
        <v>2.5361511709230014</v>
      </c>
      <c r="X359" s="276">
        <f t="shared" si="298"/>
        <v>3.5363760824564996</v>
      </c>
      <c r="Y359" s="686">
        <f t="shared" si="299"/>
        <v>4.7835144269113812</v>
      </c>
      <c r="Z359" s="685" t="e">
        <f t="shared" si="300"/>
        <v>#DIV/0!</v>
      </c>
      <c r="AA359" s="276" t="e">
        <f t="shared" si="301"/>
        <v>#DIV/0!</v>
      </c>
      <c r="AB359" s="276" t="e">
        <f t="shared" si="302"/>
        <v>#DIV/0!</v>
      </c>
      <c r="AC359" s="276" t="e">
        <f t="shared" si="303"/>
        <v>#DIV/0!</v>
      </c>
      <c r="AD359" s="276" t="e">
        <f t="shared" si="304"/>
        <v>#DIV/0!</v>
      </c>
      <c r="AE359" s="686" t="e">
        <f t="shared" si="305"/>
        <v>#DIV/0!</v>
      </c>
      <c r="AF359" s="239"/>
      <c r="AG359" s="965" t="e">
        <f t="shared" si="276"/>
        <v>#VALUE!</v>
      </c>
      <c r="AH359" s="878" t="e">
        <f t="shared" si="277"/>
        <v>#VALUE!</v>
      </c>
      <c r="AI359" s="878" t="e">
        <f t="shared" si="278"/>
        <v>#VALUE!</v>
      </c>
      <c r="AJ359" s="878" t="e">
        <f t="shared" si="279"/>
        <v>#VALUE!</v>
      </c>
      <c r="AK359" s="878" t="e">
        <f t="shared" si="280"/>
        <v>#VALUE!</v>
      </c>
      <c r="AL359" s="966" t="e">
        <f t="shared" si="281"/>
        <v>#VALUE!</v>
      </c>
      <c r="AM359" s="239"/>
      <c r="AO359" s="685">
        <f t="shared" si="306"/>
        <v>1.0124108369634357</v>
      </c>
      <c r="AP359" s="276">
        <f t="shared" si="307"/>
        <v>2.4785821143152607</v>
      </c>
      <c r="AQ359" s="276">
        <f t="shared" si="308"/>
        <v>-7.3139031736338067E-2</v>
      </c>
      <c r="AR359" s="276">
        <f t="shared" si="309"/>
        <v>-1.2486008568270639</v>
      </c>
      <c r="AS359" s="276">
        <f t="shared" si="310"/>
        <v>1.8694184637288827</v>
      </c>
      <c r="AT359" s="276">
        <f t="shared" si="311"/>
        <v>0.51711834214006203</v>
      </c>
      <c r="AU359" s="685">
        <f t="shared" si="312"/>
        <v>0.98089221151301476</v>
      </c>
      <c r="AV359" s="276">
        <f t="shared" si="313"/>
        <v>2.566482562870112</v>
      </c>
      <c r="AW359" s="276">
        <f t="shared" si="314"/>
        <v>1.1679213617289872</v>
      </c>
      <c r="AX359" s="276">
        <f t="shared" si="315"/>
        <v>1.5471428594123571</v>
      </c>
      <c r="AY359" s="276">
        <f t="shared" si="316"/>
        <v>1.3819603243154652</v>
      </c>
      <c r="AZ359" s="686">
        <f t="shared" si="317"/>
        <v>1.2302761952042245</v>
      </c>
      <c r="BA359" s="685">
        <f t="shared" si="318"/>
        <v>0</v>
      </c>
      <c r="BB359" s="276">
        <f t="shared" si="319"/>
        <v>0</v>
      </c>
      <c r="BC359" s="276">
        <f t="shared" si="320"/>
        <v>0</v>
      </c>
      <c r="BD359" s="276">
        <f t="shared" si="321"/>
        <v>0</v>
      </c>
      <c r="BE359" s="276">
        <f t="shared" si="322"/>
        <v>0</v>
      </c>
      <c r="BF359" s="686">
        <f t="shared" si="323"/>
        <v>0</v>
      </c>
      <c r="BG359" s="685" t="e">
        <f t="shared" si="324"/>
        <v>#DIV/0!</v>
      </c>
      <c r="BH359" s="276" t="e">
        <f t="shared" si="325"/>
        <v>#DIV/0!</v>
      </c>
      <c r="BI359" s="276" t="e">
        <f t="shared" si="326"/>
        <v>#DIV/0!</v>
      </c>
      <c r="BJ359" s="276" t="e">
        <f t="shared" si="327"/>
        <v>#DIV/0!</v>
      </c>
      <c r="BK359" s="276" t="e">
        <f t="shared" si="328"/>
        <v>#DIV/0!</v>
      </c>
      <c r="BL359" s="686" t="e">
        <f t="shared" si="329"/>
        <v>#DIV/0!</v>
      </c>
      <c r="BM359" s="239"/>
      <c r="BN359" s="965" t="e">
        <f t="shared" si="330"/>
        <v>#VALUE!</v>
      </c>
      <c r="BO359" s="878" t="e">
        <f t="shared" si="331"/>
        <v>#VALUE!</v>
      </c>
      <c r="BP359" s="878" t="e">
        <f t="shared" si="332"/>
        <v>#VALUE!</v>
      </c>
      <c r="BQ359" s="878" t="e">
        <f t="shared" si="333"/>
        <v>#VALUE!</v>
      </c>
      <c r="BR359" s="878" t="e">
        <f t="shared" si="334"/>
        <v>#VALUE!</v>
      </c>
      <c r="BS359" s="966" t="e">
        <f t="shared" si="335"/>
        <v>#VALUE!</v>
      </c>
    </row>
    <row r="360" spans="1:71">
      <c r="A360" s="284">
        <f t="shared" si="336"/>
        <v>292</v>
      </c>
      <c r="B360" s="285">
        <v>-3.5197307778499858</v>
      </c>
      <c r="C360" s="285">
        <v>2.1172845240786899</v>
      </c>
      <c r="D360" s="285">
        <v>-0.77065255975667579</v>
      </c>
      <c r="E360" s="285">
        <v>2.8076262663065807</v>
      </c>
      <c r="H360" s="685">
        <f t="shared" si="282"/>
        <v>-4.6529646196190404</v>
      </c>
      <c r="I360" s="276">
        <f t="shared" si="283"/>
        <v>-2.420261750230595</v>
      </c>
      <c r="J360" s="276">
        <f t="shared" si="284"/>
        <v>-1.9334432577723337</v>
      </c>
      <c r="K360" s="276">
        <f t="shared" si="285"/>
        <v>-0.85155886837360639</v>
      </c>
      <c r="L360" s="276">
        <f t="shared" si="286"/>
        <v>-0.20053580871287202</v>
      </c>
      <c r="M360" s="276">
        <f t="shared" si="287"/>
        <v>2.4783200394799847</v>
      </c>
      <c r="N360" s="685">
        <f t="shared" si="288"/>
        <v>0.91011331310682153</v>
      </c>
      <c r="O360" s="276">
        <f t="shared" si="289"/>
        <v>1.2005697430532718</v>
      </c>
      <c r="P360" s="276">
        <f t="shared" si="290"/>
        <v>1.0241370709365831</v>
      </c>
      <c r="Q360" s="276">
        <f t="shared" si="291"/>
        <v>1.8365284113325664</v>
      </c>
      <c r="R360" s="276">
        <f t="shared" si="292"/>
        <v>2.4097907261160092</v>
      </c>
      <c r="S360" s="686">
        <f t="shared" si="293"/>
        <v>2.1158279591063618</v>
      </c>
      <c r="T360" s="685">
        <f t="shared" si="294"/>
        <v>2.5077111305142501</v>
      </c>
      <c r="U360" s="276">
        <f t="shared" si="295"/>
        <v>4.720872028064079</v>
      </c>
      <c r="V360" s="276">
        <f t="shared" si="296"/>
        <v>4.2155294209159413</v>
      </c>
      <c r="W360" s="276">
        <f t="shared" si="297"/>
        <v>4.0648184144922261</v>
      </c>
      <c r="X360" s="276">
        <f t="shared" si="298"/>
        <v>4.7204538253994661</v>
      </c>
      <c r="Y360" s="686">
        <f t="shared" si="299"/>
        <v>2.5093475460684411</v>
      </c>
      <c r="Z360" s="685" t="e">
        <f t="shared" si="300"/>
        <v>#DIV/0!</v>
      </c>
      <c r="AA360" s="276" t="e">
        <f t="shared" si="301"/>
        <v>#DIV/0!</v>
      </c>
      <c r="AB360" s="276" t="e">
        <f t="shared" si="302"/>
        <v>#DIV/0!</v>
      </c>
      <c r="AC360" s="276" t="e">
        <f t="shared" si="303"/>
        <v>#DIV/0!</v>
      </c>
      <c r="AD360" s="276" t="e">
        <f t="shared" si="304"/>
        <v>#DIV/0!</v>
      </c>
      <c r="AE360" s="686" t="e">
        <f t="shared" si="305"/>
        <v>#DIV/0!</v>
      </c>
      <c r="AF360" s="239"/>
      <c r="AG360" s="965" t="e">
        <f t="shared" si="276"/>
        <v>#VALUE!</v>
      </c>
      <c r="AH360" s="878" t="e">
        <f t="shared" si="277"/>
        <v>#VALUE!</v>
      </c>
      <c r="AI360" s="878" t="e">
        <f t="shared" si="278"/>
        <v>#VALUE!</v>
      </c>
      <c r="AJ360" s="878" t="e">
        <f t="shared" si="279"/>
        <v>#VALUE!</v>
      </c>
      <c r="AK360" s="878" t="e">
        <f t="shared" si="280"/>
        <v>#VALUE!</v>
      </c>
      <c r="AL360" s="966" t="e">
        <f t="shared" si="281"/>
        <v>#VALUE!</v>
      </c>
      <c r="AM360" s="239"/>
      <c r="AO360" s="685">
        <f t="shared" si="306"/>
        <v>-4.6529646196190404</v>
      </c>
      <c r="AP360" s="276">
        <f t="shared" si="307"/>
        <v>-2.420261750230595</v>
      </c>
      <c r="AQ360" s="276">
        <f t="shared" si="308"/>
        <v>-1.9334432577723337</v>
      </c>
      <c r="AR360" s="276">
        <f t="shared" si="309"/>
        <v>-0.85155886837360639</v>
      </c>
      <c r="AS360" s="276">
        <f t="shared" si="310"/>
        <v>-0.20053580871287202</v>
      </c>
      <c r="AT360" s="276">
        <f t="shared" si="311"/>
        <v>2.4783200394799847</v>
      </c>
      <c r="AU360" s="685">
        <f t="shared" si="312"/>
        <v>0.91011331310682153</v>
      </c>
      <c r="AV360" s="276">
        <f t="shared" si="313"/>
        <v>1.2005697430532718</v>
      </c>
      <c r="AW360" s="276">
        <f t="shared" si="314"/>
        <v>1.0241370709365831</v>
      </c>
      <c r="AX360" s="276">
        <f t="shared" si="315"/>
        <v>1.8365284113325664</v>
      </c>
      <c r="AY360" s="276">
        <f t="shared" si="316"/>
        <v>2.4097907261160092</v>
      </c>
      <c r="AZ360" s="686">
        <f t="shared" si="317"/>
        <v>2.1158279591063618</v>
      </c>
      <c r="BA360" s="685">
        <f t="shared" si="318"/>
        <v>0</v>
      </c>
      <c r="BB360" s="276">
        <f t="shared" si="319"/>
        <v>0</v>
      </c>
      <c r="BC360" s="276">
        <f t="shared" si="320"/>
        <v>0</v>
      </c>
      <c r="BD360" s="276">
        <f t="shared" si="321"/>
        <v>0</v>
      </c>
      <c r="BE360" s="276">
        <f t="shared" si="322"/>
        <v>0</v>
      </c>
      <c r="BF360" s="686">
        <f t="shared" si="323"/>
        <v>0</v>
      </c>
      <c r="BG360" s="685" t="e">
        <f t="shared" si="324"/>
        <v>#DIV/0!</v>
      </c>
      <c r="BH360" s="276" t="e">
        <f t="shared" si="325"/>
        <v>#DIV/0!</v>
      </c>
      <c r="BI360" s="276" t="e">
        <f t="shared" si="326"/>
        <v>#DIV/0!</v>
      </c>
      <c r="BJ360" s="276" t="e">
        <f t="shared" si="327"/>
        <v>#DIV/0!</v>
      </c>
      <c r="BK360" s="276" t="e">
        <f t="shared" si="328"/>
        <v>#DIV/0!</v>
      </c>
      <c r="BL360" s="686" t="e">
        <f t="shared" si="329"/>
        <v>#DIV/0!</v>
      </c>
      <c r="BM360" s="239"/>
      <c r="BN360" s="965" t="e">
        <f t="shared" si="330"/>
        <v>#VALUE!</v>
      </c>
      <c r="BO360" s="878" t="e">
        <f t="shared" si="331"/>
        <v>#VALUE!</v>
      </c>
      <c r="BP360" s="878" t="e">
        <f t="shared" si="332"/>
        <v>#VALUE!</v>
      </c>
      <c r="BQ360" s="878" t="e">
        <f t="shared" si="333"/>
        <v>#VALUE!</v>
      </c>
      <c r="BR360" s="878" t="e">
        <f t="shared" si="334"/>
        <v>#VALUE!</v>
      </c>
      <c r="BS360" s="966" t="e">
        <f t="shared" si="335"/>
        <v>#VALUE!</v>
      </c>
    </row>
    <row r="361" spans="1:71">
      <c r="A361" s="284">
        <f t="shared" si="336"/>
        <v>293</v>
      </c>
      <c r="B361" s="285">
        <v>-0.5514159886497394</v>
      </c>
      <c r="C361" s="285">
        <v>3.0079401676842963</v>
      </c>
      <c r="D361" s="285">
        <v>-1.079841400870063</v>
      </c>
      <c r="E361" s="285">
        <v>-8.0538325382657376</v>
      </c>
      <c r="H361" s="685">
        <f t="shared" si="282"/>
        <v>-1.6846498304187942</v>
      </c>
      <c r="I361" s="276">
        <f t="shared" si="283"/>
        <v>-1.2560833177210884</v>
      </c>
      <c r="J361" s="276">
        <f t="shared" si="284"/>
        <v>1.1236711325588018</v>
      </c>
      <c r="K361" s="276">
        <f t="shared" si="285"/>
        <v>6.2689823856665772E-2</v>
      </c>
      <c r="L361" s="276">
        <f t="shared" si="286"/>
        <v>-1.2534709936289574</v>
      </c>
      <c r="M361" s="276">
        <f t="shared" si="287"/>
        <v>-4.2853278024221861</v>
      </c>
      <c r="N361" s="685">
        <f t="shared" si="288"/>
        <v>1.8007689567124279</v>
      </c>
      <c r="O361" s="276">
        <f t="shared" si="289"/>
        <v>1.5620632289331213</v>
      </c>
      <c r="P361" s="276">
        <f t="shared" si="290"/>
        <v>1.375531942399195</v>
      </c>
      <c r="Q361" s="276">
        <f t="shared" si="291"/>
        <v>1.1465750248434043</v>
      </c>
      <c r="R361" s="276">
        <f t="shared" si="292"/>
        <v>1.2175788723761618</v>
      </c>
      <c r="S361" s="686">
        <f t="shared" si="293"/>
        <v>1.1998419038253239</v>
      </c>
      <c r="T361" s="685">
        <f t="shared" si="294"/>
        <v>2.1985222894008629</v>
      </c>
      <c r="U361" s="276">
        <f t="shared" si="295"/>
        <v>3.959865686069076</v>
      </c>
      <c r="V361" s="276">
        <f t="shared" si="296"/>
        <v>4.9184516924993149</v>
      </c>
      <c r="W361" s="276">
        <f t="shared" si="297"/>
        <v>5.5450192259445377</v>
      </c>
      <c r="X361" s="276">
        <f t="shared" si="298"/>
        <v>2.8455628150202399</v>
      </c>
      <c r="Y361" s="686">
        <f t="shared" si="299"/>
        <v>3.4505785625798788</v>
      </c>
      <c r="Z361" s="685" t="e">
        <f t="shared" si="300"/>
        <v>#DIV/0!</v>
      </c>
      <c r="AA361" s="276" t="e">
        <f t="shared" si="301"/>
        <v>#DIV/0!</v>
      </c>
      <c r="AB361" s="276" t="e">
        <f t="shared" si="302"/>
        <v>#DIV/0!</v>
      </c>
      <c r="AC361" s="276" t="e">
        <f t="shared" si="303"/>
        <v>#DIV/0!</v>
      </c>
      <c r="AD361" s="276" t="e">
        <f t="shared" si="304"/>
        <v>#DIV/0!</v>
      </c>
      <c r="AE361" s="686" t="e">
        <f t="shared" si="305"/>
        <v>#DIV/0!</v>
      </c>
      <c r="AF361" s="239"/>
      <c r="AG361" s="965" t="e">
        <f t="shared" si="276"/>
        <v>#VALUE!</v>
      </c>
      <c r="AH361" s="878" t="e">
        <f t="shared" si="277"/>
        <v>#VALUE!</v>
      </c>
      <c r="AI361" s="878" t="e">
        <f t="shared" si="278"/>
        <v>#VALUE!</v>
      </c>
      <c r="AJ361" s="878" t="e">
        <f t="shared" si="279"/>
        <v>#VALUE!</v>
      </c>
      <c r="AK361" s="878" t="e">
        <f t="shared" si="280"/>
        <v>#VALUE!</v>
      </c>
      <c r="AL361" s="966" t="e">
        <f t="shared" si="281"/>
        <v>#VALUE!</v>
      </c>
      <c r="AM361" s="239"/>
      <c r="AO361" s="685">
        <f t="shared" si="306"/>
        <v>-1.6846498304187942</v>
      </c>
      <c r="AP361" s="276">
        <f t="shared" si="307"/>
        <v>-1.2560833177210884</v>
      </c>
      <c r="AQ361" s="276">
        <f t="shared" si="308"/>
        <v>1.1236711325588018</v>
      </c>
      <c r="AR361" s="276">
        <f t="shared" si="309"/>
        <v>6.2689823856665772E-2</v>
      </c>
      <c r="AS361" s="276">
        <f t="shared" si="310"/>
        <v>-1.2534709936289574</v>
      </c>
      <c r="AT361" s="276">
        <f t="shared" si="311"/>
        <v>-4.2853278024221861</v>
      </c>
      <c r="AU361" s="685">
        <f t="shared" si="312"/>
        <v>1.8007689567124279</v>
      </c>
      <c r="AV361" s="276">
        <f t="shared" si="313"/>
        <v>1.5620632289331213</v>
      </c>
      <c r="AW361" s="276">
        <f t="shared" si="314"/>
        <v>1.375531942399195</v>
      </c>
      <c r="AX361" s="276">
        <f t="shared" si="315"/>
        <v>1.1465750248434043</v>
      </c>
      <c r="AY361" s="276">
        <f t="shared" si="316"/>
        <v>1.2175788723761618</v>
      </c>
      <c r="AZ361" s="686">
        <f t="shared" si="317"/>
        <v>1.1998419038253239</v>
      </c>
      <c r="BA361" s="685">
        <f t="shared" si="318"/>
        <v>0</v>
      </c>
      <c r="BB361" s="276">
        <f t="shared" si="319"/>
        <v>0</v>
      </c>
      <c r="BC361" s="276">
        <f t="shared" si="320"/>
        <v>0</v>
      </c>
      <c r="BD361" s="276">
        <f t="shared" si="321"/>
        <v>0</v>
      </c>
      <c r="BE361" s="276">
        <f t="shared" si="322"/>
        <v>0</v>
      </c>
      <c r="BF361" s="686">
        <f t="shared" si="323"/>
        <v>0</v>
      </c>
      <c r="BG361" s="685" t="e">
        <f t="shared" si="324"/>
        <v>#DIV/0!</v>
      </c>
      <c r="BH361" s="276" t="e">
        <f t="shared" si="325"/>
        <v>#DIV/0!</v>
      </c>
      <c r="BI361" s="276" t="e">
        <f t="shared" si="326"/>
        <v>#DIV/0!</v>
      </c>
      <c r="BJ361" s="276" t="e">
        <f t="shared" si="327"/>
        <v>#DIV/0!</v>
      </c>
      <c r="BK361" s="276" t="e">
        <f t="shared" si="328"/>
        <v>#DIV/0!</v>
      </c>
      <c r="BL361" s="686" t="e">
        <f t="shared" si="329"/>
        <v>#DIV/0!</v>
      </c>
      <c r="BM361" s="239"/>
      <c r="BN361" s="965" t="e">
        <f t="shared" si="330"/>
        <v>#VALUE!</v>
      </c>
      <c r="BO361" s="878" t="e">
        <f t="shared" si="331"/>
        <v>#VALUE!</v>
      </c>
      <c r="BP361" s="878" t="e">
        <f t="shared" si="332"/>
        <v>#VALUE!</v>
      </c>
      <c r="BQ361" s="878" t="e">
        <f t="shared" si="333"/>
        <v>#VALUE!</v>
      </c>
      <c r="BR361" s="878" t="e">
        <f t="shared" si="334"/>
        <v>#VALUE!</v>
      </c>
      <c r="BS361" s="966" t="e">
        <f t="shared" si="335"/>
        <v>#VALUE!</v>
      </c>
    </row>
    <row r="362" spans="1:71">
      <c r="A362" s="284">
        <f t="shared" si="336"/>
        <v>294</v>
      </c>
      <c r="B362" s="285">
        <v>2.4648989759511233</v>
      </c>
      <c r="C362" s="285">
        <v>3.3745367242724447</v>
      </c>
      <c r="D362" s="285">
        <v>1.1405973739029982</v>
      </c>
      <c r="E362" s="285">
        <v>4.171223802803846</v>
      </c>
      <c r="H362" s="685">
        <f t="shared" si="282"/>
        <v>1.3316651341820684</v>
      </c>
      <c r="I362" s="276">
        <f t="shared" si="283"/>
        <v>-2.4665046607434014</v>
      </c>
      <c r="J362" s="276">
        <f t="shared" si="284"/>
        <v>1.9021935263914818</v>
      </c>
      <c r="K362" s="276">
        <f t="shared" si="285"/>
        <v>4.0751077127645523</v>
      </c>
      <c r="L362" s="276">
        <f t="shared" si="286"/>
        <v>0.65674643535556609</v>
      </c>
      <c r="M362" s="276">
        <f t="shared" si="287"/>
        <v>-0.48165091054675735</v>
      </c>
      <c r="N362" s="685">
        <f t="shared" si="288"/>
        <v>2.1673655133005765</v>
      </c>
      <c r="O362" s="276">
        <f t="shared" si="289"/>
        <v>1.7505987223382189</v>
      </c>
      <c r="P362" s="276">
        <f t="shared" si="290"/>
        <v>1.912569558251519</v>
      </c>
      <c r="Q362" s="276">
        <f t="shared" si="291"/>
        <v>2.2529358123968404</v>
      </c>
      <c r="R362" s="276">
        <f t="shared" si="292"/>
        <v>1.5935818352413633</v>
      </c>
      <c r="S362" s="686">
        <f t="shared" si="293"/>
        <v>1.6954847926594223</v>
      </c>
      <c r="T362" s="685">
        <f t="shared" si="294"/>
        <v>4.4189610641739243</v>
      </c>
      <c r="U362" s="276">
        <f t="shared" si="295"/>
        <v>4.1622385186580511</v>
      </c>
      <c r="V362" s="276">
        <f t="shared" si="296"/>
        <v>6.7367138619326088</v>
      </c>
      <c r="W362" s="276">
        <f t="shared" si="297"/>
        <v>4.8670844087685756</v>
      </c>
      <c r="X362" s="276">
        <f t="shared" si="298"/>
        <v>5.0255097744972863</v>
      </c>
      <c r="Y362" s="686">
        <f t="shared" si="299"/>
        <v>5.0024107450041555</v>
      </c>
      <c r="Z362" s="685" t="e">
        <f t="shared" si="300"/>
        <v>#DIV/0!</v>
      </c>
      <c r="AA362" s="276" t="e">
        <f t="shared" si="301"/>
        <v>#DIV/0!</v>
      </c>
      <c r="AB362" s="276" t="e">
        <f t="shared" si="302"/>
        <v>#DIV/0!</v>
      </c>
      <c r="AC362" s="276" t="e">
        <f t="shared" si="303"/>
        <v>#DIV/0!</v>
      </c>
      <c r="AD362" s="276" t="e">
        <f t="shared" si="304"/>
        <v>#DIV/0!</v>
      </c>
      <c r="AE362" s="686" t="e">
        <f t="shared" si="305"/>
        <v>#DIV/0!</v>
      </c>
      <c r="AF362" s="239"/>
      <c r="AG362" s="965" t="e">
        <f t="shared" si="276"/>
        <v>#VALUE!</v>
      </c>
      <c r="AH362" s="878" t="e">
        <f t="shared" si="277"/>
        <v>#VALUE!</v>
      </c>
      <c r="AI362" s="878" t="e">
        <f t="shared" si="278"/>
        <v>#VALUE!</v>
      </c>
      <c r="AJ362" s="878" t="e">
        <f t="shared" si="279"/>
        <v>#VALUE!</v>
      </c>
      <c r="AK362" s="878" t="e">
        <f t="shared" si="280"/>
        <v>#VALUE!</v>
      </c>
      <c r="AL362" s="966" t="e">
        <f t="shared" si="281"/>
        <v>#VALUE!</v>
      </c>
      <c r="AM362" s="239"/>
      <c r="AO362" s="685">
        <f t="shared" si="306"/>
        <v>1.3316651341820684</v>
      </c>
      <c r="AP362" s="276">
        <f t="shared" si="307"/>
        <v>-2.4665046607434014</v>
      </c>
      <c r="AQ362" s="276">
        <f t="shared" si="308"/>
        <v>1.9021935263914818</v>
      </c>
      <c r="AR362" s="276">
        <f t="shared" si="309"/>
        <v>4.0751077127645523</v>
      </c>
      <c r="AS362" s="276">
        <f t="shared" si="310"/>
        <v>0.65674643535556609</v>
      </c>
      <c r="AT362" s="276">
        <f t="shared" si="311"/>
        <v>-0.48165091054675735</v>
      </c>
      <c r="AU362" s="685">
        <f t="shared" si="312"/>
        <v>2.1673655133005765</v>
      </c>
      <c r="AV362" s="276">
        <f t="shared" si="313"/>
        <v>1.7505987223382189</v>
      </c>
      <c r="AW362" s="276">
        <f t="shared" si="314"/>
        <v>1.912569558251519</v>
      </c>
      <c r="AX362" s="276">
        <f t="shared" si="315"/>
        <v>2.2529358123968404</v>
      </c>
      <c r="AY362" s="276">
        <f t="shared" si="316"/>
        <v>1.5935818352413633</v>
      </c>
      <c r="AZ362" s="686">
        <f t="shared" si="317"/>
        <v>1.6954847926594223</v>
      </c>
      <c r="BA362" s="685">
        <f t="shared" si="318"/>
        <v>0</v>
      </c>
      <c r="BB362" s="276">
        <f t="shared" si="319"/>
        <v>0</v>
      </c>
      <c r="BC362" s="276">
        <f t="shared" si="320"/>
        <v>0</v>
      </c>
      <c r="BD362" s="276">
        <f t="shared" si="321"/>
        <v>0</v>
      </c>
      <c r="BE362" s="276">
        <f t="shared" si="322"/>
        <v>0</v>
      </c>
      <c r="BF362" s="686">
        <f t="shared" si="323"/>
        <v>0</v>
      </c>
      <c r="BG362" s="685" t="e">
        <f t="shared" si="324"/>
        <v>#DIV/0!</v>
      </c>
      <c r="BH362" s="276" t="e">
        <f t="shared" si="325"/>
        <v>#DIV/0!</v>
      </c>
      <c r="BI362" s="276" t="e">
        <f t="shared" si="326"/>
        <v>#DIV/0!</v>
      </c>
      <c r="BJ362" s="276" t="e">
        <f t="shared" si="327"/>
        <v>#DIV/0!</v>
      </c>
      <c r="BK362" s="276" t="e">
        <f t="shared" si="328"/>
        <v>#DIV/0!</v>
      </c>
      <c r="BL362" s="686" t="e">
        <f t="shared" si="329"/>
        <v>#DIV/0!</v>
      </c>
      <c r="BM362" s="239"/>
      <c r="BN362" s="965" t="e">
        <f t="shared" si="330"/>
        <v>#VALUE!</v>
      </c>
      <c r="BO362" s="878" t="e">
        <f t="shared" si="331"/>
        <v>#VALUE!</v>
      </c>
      <c r="BP362" s="878" t="e">
        <f t="shared" si="332"/>
        <v>#VALUE!</v>
      </c>
      <c r="BQ362" s="878" t="e">
        <f t="shared" si="333"/>
        <v>#VALUE!</v>
      </c>
      <c r="BR362" s="878" t="e">
        <f t="shared" si="334"/>
        <v>#VALUE!</v>
      </c>
      <c r="BS362" s="966" t="e">
        <f t="shared" si="335"/>
        <v>#VALUE!</v>
      </c>
    </row>
    <row r="363" spans="1:71">
      <c r="A363" s="284">
        <f t="shared" si="336"/>
        <v>295</v>
      </c>
      <c r="B363" s="285">
        <v>0.87029905479795955</v>
      </c>
      <c r="C363" s="285">
        <v>2.1005072167111454</v>
      </c>
      <c r="D363" s="285">
        <v>1.3813123955825068</v>
      </c>
      <c r="E363" s="285">
        <v>-30.379918979459724</v>
      </c>
      <c r="H363" s="685">
        <f t="shared" si="282"/>
        <v>-0.26293478697109529</v>
      </c>
      <c r="I363" s="276">
        <f t="shared" si="283"/>
        <v>-3.1748354589947763</v>
      </c>
      <c r="J363" s="276">
        <f t="shared" si="284"/>
        <v>-0.70499838675920989</v>
      </c>
      <c r="K363" s="276">
        <f t="shared" si="285"/>
        <v>1.4344067896121511</v>
      </c>
      <c r="L363" s="276">
        <f t="shared" si="286"/>
        <v>-4.0373398772701936</v>
      </c>
      <c r="M363" s="276">
        <f t="shared" si="287"/>
        <v>0.60552938860479122</v>
      </c>
      <c r="N363" s="685">
        <f t="shared" si="288"/>
        <v>0.89333600573927696</v>
      </c>
      <c r="O363" s="276">
        <f t="shared" si="289"/>
        <v>0.89909793784322933</v>
      </c>
      <c r="P363" s="276">
        <f t="shared" si="290"/>
        <v>1.4757731327400039</v>
      </c>
      <c r="Q363" s="276">
        <f t="shared" si="291"/>
        <v>1.2179362846877713</v>
      </c>
      <c r="R363" s="276">
        <f t="shared" si="292"/>
        <v>0.38105369035955183</v>
      </c>
      <c r="S363" s="686">
        <f t="shared" si="293"/>
        <v>1.0466340697964338</v>
      </c>
      <c r="T363" s="685">
        <f t="shared" si="294"/>
        <v>4.659676085853433</v>
      </c>
      <c r="U363" s="276">
        <f t="shared" si="295"/>
        <v>1.9223246753689884</v>
      </c>
      <c r="V363" s="276">
        <f t="shared" si="296"/>
        <v>8.0072803885888515</v>
      </c>
      <c r="W363" s="276">
        <f t="shared" si="297"/>
        <v>3.5893099797205776</v>
      </c>
      <c r="X363" s="276">
        <f t="shared" si="298"/>
        <v>3.1455847992068615</v>
      </c>
      <c r="Y363" s="686">
        <f t="shared" si="299"/>
        <v>5.5826400152716094</v>
      </c>
      <c r="Z363" s="685" t="e">
        <f t="shared" si="300"/>
        <v>#DIV/0!</v>
      </c>
      <c r="AA363" s="276" t="e">
        <f t="shared" si="301"/>
        <v>#DIV/0!</v>
      </c>
      <c r="AB363" s="276" t="e">
        <f t="shared" si="302"/>
        <v>#DIV/0!</v>
      </c>
      <c r="AC363" s="276" t="e">
        <f t="shared" si="303"/>
        <v>#DIV/0!</v>
      </c>
      <c r="AD363" s="276" t="e">
        <f t="shared" si="304"/>
        <v>#DIV/0!</v>
      </c>
      <c r="AE363" s="686" t="e">
        <f t="shared" si="305"/>
        <v>#DIV/0!</v>
      </c>
      <c r="AF363" s="239"/>
      <c r="AG363" s="965" t="e">
        <f t="shared" si="276"/>
        <v>#VALUE!</v>
      </c>
      <c r="AH363" s="878" t="e">
        <f t="shared" si="277"/>
        <v>#VALUE!</v>
      </c>
      <c r="AI363" s="878" t="e">
        <f t="shared" si="278"/>
        <v>#VALUE!</v>
      </c>
      <c r="AJ363" s="878" t="e">
        <f t="shared" si="279"/>
        <v>#VALUE!</v>
      </c>
      <c r="AK363" s="878" t="e">
        <f t="shared" si="280"/>
        <v>#VALUE!</v>
      </c>
      <c r="AL363" s="966" t="e">
        <f t="shared" si="281"/>
        <v>#VALUE!</v>
      </c>
      <c r="AM363" s="239"/>
      <c r="AO363" s="685">
        <f t="shared" si="306"/>
        <v>-0.26293478697109529</v>
      </c>
      <c r="AP363" s="276">
        <f t="shared" si="307"/>
        <v>-3.1748354589947763</v>
      </c>
      <c r="AQ363" s="276">
        <f t="shared" si="308"/>
        <v>-0.70499838675920989</v>
      </c>
      <c r="AR363" s="276">
        <f t="shared" si="309"/>
        <v>1.4344067896121511</v>
      </c>
      <c r="AS363" s="276">
        <f t="shared" si="310"/>
        <v>-4.0373398772701936</v>
      </c>
      <c r="AT363" s="276">
        <f t="shared" si="311"/>
        <v>0.60552938860479122</v>
      </c>
      <c r="AU363" s="685">
        <f t="shared" si="312"/>
        <v>0.89333600573927696</v>
      </c>
      <c r="AV363" s="276">
        <f t="shared" si="313"/>
        <v>0.89909793784322933</v>
      </c>
      <c r="AW363" s="276">
        <f t="shared" si="314"/>
        <v>1.4757731327400039</v>
      </c>
      <c r="AX363" s="276">
        <f t="shared" si="315"/>
        <v>1.2179362846877713</v>
      </c>
      <c r="AY363" s="276">
        <f t="shared" si="316"/>
        <v>0.38105369035955183</v>
      </c>
      <c r="AZ363" s="686">
        <f t="shared" si="317"/>
        <v>1.0466340697964338</v>
      </c>
      <c r="BA363" s="685">
        <f t="shared" si="318"/>
        <v>0</v>
      </c>
      <c r="BB363" s="276">
        <f t="shared" si="319"/>
        <v>0</v>
      </c>
      <c r="BC363" s="276">
        <f t="shared" si="320"/>
        <v>0</v>
      </c>
      <c r="BD363" s="276">
        <f t="shared" si="321"/>
        <v>0</v>
      </c>
      <c r="BE363" s="276">
        <f t="shared" si="322"/>
        <v>0</v>
      </c>
      <c r="BF363" s="686">
        <f t="shared" si="323"/>
        <v>0</v>
      </c>
      <c r="BG363" s="685" t="e">
        <f t="shared" si="324"/>
        <v>#DIV/0!</v>
      </c>
      <c r="BH363" s="276" t="e">
        <f t="shared" si="325"/>
        <v>#DIV/0!</v>
      </c>
      <c r="BI363" s="276" t="e">
        <f t="shared" si="326"/>
        <v>#DIV/0!</v>
      </c>
      <c r="BJ363" s="276" t="e">
        <f t="shared" si="327"/>
        <v>#DIV/0!</v>
      </c>
      <c r="BK363" s="276" t="e">
        <f t="shared" si="328"/>
        <v>#DIV/0!</v>
      </c>
      <c r="BL363" s="686" t="e">
        <f t="shared" si="329"/>
        <v>#DIV/0!</v>
      </c>
      <c r="BM363" s="239"/>
      <c r="BN363" s="965" t="e">
        <f t="shared" si="330"/>
        <v>#VALUE!</v>
      </c>
      <c r="BO363" s="878" t="e">
        <f t="shared" si="331"/>
        <v>#VALUE!</v>
      </c>
      <c r="BP363" s="878" t="e">
        <f t="shared" si="332"/>
        <v>#VALUE!</v>
      </c>
      <c r="BQ363" s="878" t="e">
        <f t="shared" si="333"/>
        <v>#VALUE!</v>
      </c>
      <c r="BR363" s="878" t="e">
        <f t="shared" si="334"/>
        <v>#VALUE!</v>
      </c>
      <c r="BS363" s="966" t="e">
        <f t="shared" si="335"/>
        <v>#VALUE!</v>
      </c>
    </row>
    <row r="364" spans="1:71">
      <c r="A364" s="284">
        <f t="shared" si="336"/>
        <v>296</v>
      </c>
      <c r="B364" s="285">
        <v>0.13680357056749684</v>
      </c>
      <c r="C364" s="285">
        <v>2.5501665531020037</v>
      </c>
      <c r="D364" s="285">
        <v>2.3152790759413842</v>
      </c>
      <c r="E364" s="285">
        <v>-9.2184994973605647</v>
      </c>
      <c r="H364" s="685">
        <f t="shared" si="282"/>
        <v>-0.99643027120155803</v>
      </c>
      <c r="I364" s="276">
        <f t="shared" si="283"/>
        <v>-2.3638817120329549</v>
      </c>
      <c r="J364" s="276">
        <f t="shared" si="284"/>
        <v>1.0828504150615157</v>
      </c>
      <c r="K364" s="276">
        <f t="shared" si="285"/>
        <v>-2.2547168352276428</v>
      </c>
      <c r="L364" s="276">
        <f t="shared" si="286"/>
        <v>-2.566256419391602</v>
      </c>
      <c r="M364" s="276">
        <f t="shared" si="287"/>
        <v>-2.6044751928353183</v>
      </c>
      <c r="N364" s="685">
        <f t="shared" si="288"/>
        <v>1.3429953421301353</v>
      </c>
      <c r="O364" s="276">
        <f t="shared" si="289"/>
        <v>0.33578920403056212</v>
      </c>
      <c r="P364" s="276">
        <f t="shared" si="290"/>
        <v>1.3189611345172392</v>
      </c>
      <c r="Q364" s="276">
        <f t="shared" si="291"/>
        <v>1.4879248917026138</v>
      </c>
      <c r="R364" s="276">
        <f t="shared" si="292"/>
        <v>0.90571209346707815</v>
      </c>
      <c r="S364" s="686">
        <f t="shared" si="293"/>
        <v>0.79822654529892056</v>
      </c>
      <c r="T364" s="685">
        <f t="shared" si="294"/>
        <v>5.5936427662123105</v>
      </c>
      <c r="U364" s="276">
        <f t="shared" si="295"/>
        <v>3.1183693858605599</v>
      </c>
      <c r="V364" s="276">
        <f t="shared" si="296"/>
        <v>3.7596773570065198</v>
      </c>
      <c r="W364" s="276">
        <f t="shared" si="297"/>
        <v>4.2855651296284902</v>
      </c>
      <c r="X364" s="276">
        <f t="shared" si="298"/>
        <v>5.1953097620944479</v>
      </c>
      <c r="Y364" s="686">
        <f t="shared" si="299"/>
        <v>4.2906547492648937</v>
      </c>
      <c r="Z364" s="685" t="e">
        <f t="shared" si="300"/>
        <v>#DIV/0!</v>
      </c>
      <c r="AA364" s="276" t="e">
        <f t="shared" si="301"/>
        <v>#DIV/0!</v>
      </c>
      <c r="AB364" s="276" t="e">
        <f t="shared" si="302"/>
        <v>#DIV/0!</v>
      </c>
      <c r="AC364" s="276" t="e">
        <f t="shared" si="303"/>
        <v>#DIV/0!</v>
      </c>
      <c r="AD364" s="276" t="e">
        <f t="shared" si="304"/>
        <v>#DIV/0!</v>
      </c>
      <c r="AE364" s="686" t="e">
        <f t="shared" si="305"/>
        <v>#DIV/0!</v>
      </c>
      <c r="AF364" s="239"/>
      <c r="AG364" s="965" t="e">
        <f t="shared" si="276"/>
        <v>#VALUE!</v>
      </c>
      <c r="AH364" s="878" t="e">
        <f t="shared" si="277"/>
        <v>#VALUE!</v>
      </c>
      <c r="AI364" s="878" t="e">
        <f t="shared" si="278"/>
        <v>#VALUE!</v>
      </c>
      <c r="AJ364" s="878" t="e">
        <f t="shared" si="279"/>
        <v>#VALUE!</v>
      </c>
      <c r="AK364" s="878" t="e">
        <f t="shared" si="280"/>
        <v>#VALUE!</v>
      </c>
      <c r="AL364" s="966" t="e">
        <f t="shared" si="281"/>
        <v>#VALUE!</v>
      </c>
      <c r="AM364" s="239"/>
      <c r="AO364" s="685">
        <f t="shared" si="306"/>
        <v>-0.99643027120155803</v>
      </c>
      <c r="AP364" s="276">
        <f t="shared" si="307"/>
        <v>-2.3638817120329549</v>
      </c>
      <c r="AQ364" s="276">
        <f t="shared" si="308"/>
        <v>1.0828504150615157</v>
      </c>
      <c r="AR364" s="276">
        <f t="shared" si="309"/>
        <v>-2.2547168352276428</v>
      </c>
      <c r="AS364" s="276">
        <f t="shared" si="310"/>
        <v>-2.566256419391602</v>
      </c>
      <c r="AT364" s="276">
        <f t="shared" si="311"/>
        <v>-2.6044751928353183</v>
      </c>
      <c r="AU364" s="685">
        <f t="shared" si="312"/>
        <v>1.3429953421301353</v>
      </c>
      <c r="AV364" s="276">
        <f t="shared" si="313"/>
        <v>0.33578920403056212</v>
      </c>
      <c r="AW364" s="276">
        <f t="shared" si="314"/>
        <v>1.3189611345172392</v>
      </c>
      <c r="AX364" s="276">
        <f t="shared" si="315"/>
        <v>1.4879248917026138</v>
      </c>
      <c r="AY364" s="276">
        <f t="shared" si="316"/>
        <v>0.90571209346707815</v>
      </c>
      <c r="AZ364" s="686">
        <f t="shared" si="317"/>
        <v>0.79822654529892056</v>
      </c>
      <c r="BA364" s="685">
        <f t="shared" si="318"/>
        <v>0</v>
      </c>
      <c r="BB364" s="276">
        <f t="shared" si="319"/>
        <v>0</v>
      </c>
      <c r="BC364" s="276">
        <f t="shared" si="320"/>
        <v>0</v>
      </c>
      <c r="BD364" s="276">
        <f t="shared" si="321"/>
        <v>0</v>
      </c>
      <c r="BE364" s="276">
        <f t="shared" si="322"/>
        <v>0</v>
      </c>
      <c r="BF364" s="686">
        <f t="shared" si="323"/>
        <v>0</v>
      </c>
      <c r="BG364" s="685" t="e">
        <f t="shared" si="324"/>
        <v>#DIV/0!</v>
      </c>
      <c r="BH364" s="276" t="e">
        <f t="shared" si="325"/>
        <v>#DIV/0!</v>
      </c>
      <c r="BI364" s="276" t="e">
        <f t="shared" si="326"/>
        <v>#DIV/0!</v>
      </c>
      <c r="BJ364" s="276" t="e">
        <f t="shared" si="327"/>
        <v>#DIV/0!</v>
      </c>
      <c r="BK364" s="276" t="e">
        <f t="shared" si="328"/>
        <v>#DIV/0!</v>
      </c>
      <c r="BL364" s="686" t="e">
        <f t="shared" si="329"/>
        <v>#DIV/0!</v>
      </c>
      <c r="BM364" s="239"/>
      <c r="BN364" s="965" t="e">
        <f t="shared" si="330"/>
        <v>#VALUE!</v>
      </c>
      <c r="BO364" s="878" t="e">
        <f t="shared" si="331"/>
        <v>#VALUE!</v>
      </c>
      <c r="BP364" s="878" t="e">
        <f t="shared" si="332"/>
        <v>#VALUE!</v>
      </c>
      <c r="BQ364" s="878" t="e">
        <f t="shared" si="333"/>
        <v>#VALUE!</v>
      </c>
      <c r="BR364" s="878" t="e">
        <f t="shared" si="334"/>
        <v>#VALUE!</v>
      </c>
      <c r="BS364" s="966" t="e">
        <f t="shared" si="335"/>
        <v>#VALUE!</v>
      </c>
    </row>
    <row r="365" spans="1:71">
      <c r="A365" s="284">
        <f t="shared" si="336"/>
        <v>297</v>
      </c>
      <c r="B365" s="285">
        <v>-0.90331494473190377</v>
      </c>
      <c r="C365" s="285">
        <v>2.8316361702014947</v>
      </c>
      <c r="D365" s="285">
        <v>0.84797084322116989</v>
      </c>
      <c r="E365" s="285">
        <v>-6.2946346248196097</v>
      </c>
      <c r="H365" s="685">
        <f t="shared" si="282"/>
        <v>-2.0365487865009584</v>
      </c>
      <c r="I365" s="276">
        <f t="shared" si="283"/>
        <v>-1.2667891992304037</v>
      </c>
      <c r="J365" s="276">
        <f t="shared" si="284"/>
        <v>-4.7566273131782717</v>
      </c>
      <c r="K365" s="276">
        <f t="shared" si="285"/>
        <v>-3.7300387074953294</v>
      </c>
      <c r="L365" s="276">
        <f t="shared" si="286"/>
        <v>-2.1514383713919285</v>
      </c>
      <c r="M365" s="276">
        <f t="shared" si="287"/>
        <v>-2.4808863409600441</v>
      </c>
      <c r="N365" s="685">
        <f t="shared" si="288"/>
        <v>1.6244649592296263</v>
      </c>
      <c r="O365" s="276">
        <f t="shared" si="289"/>
        <v>0.15987345404763498</v>
      </c>
      <c r="P365" s="276">
        <f t="shared" si="290"/>
        <v>1.2718402407685419</v>
      </c>
      <c r="Q365" s="276">
        <f t="shared" si="291"/>
        <v>0.47846292863522866</v>
      </c>
      <c r="R365" s="276">
        <f t="shared" si="292"/>
        <v>6.8038127169201212E-2</v>
      </c>
      <c r="S365" s="686">
        <f t="shared" si="293"/>
        <v>1.4961242413016798</v>
      </c>
      <c r="T365" s="685">
        <f t="shared" si="294"/>
        <v>4.1263345334920958</v>
      </c>
      <c r="U365" s="276">
        <f t="shared" si="295"/>
        <v>8.7399084701187313</v>
      </c>
      <c r="V365" s="276">
        <f t="shared" si="296"/>
        <v>3.0025783205317773</v>
      </c>
      <c r="W365" s="276">
        <f t="shared" si="297"/>
        <v>3.0244408752925875</v>
      </c>
      <c r="X365" s="276">
        <f t="shared" si="298"/>
        <v>4.7884531226793898</v>
      </c>
      <c r="Y365" s="686">
        <f t="shared" si="299"/>
        <v>6.4382665201809788</v>
      </c>
      <c r="Z365" s="685" t="e">
        <f t="shared" si="300"/>
        <v>#DIV/0!</v>
      </c>
      <c r="AA365" s="276" t="e">
        <f t="shared" si="301"/>
        <v>#DIV/0!</v>
      </c>
      <c r="AB365" s="276" t="e">
        <f t="shared" si="302"/>
        <v>#DIV/0!</v>
      </c>
      <c r="AC365" s="276" t="e">
        <f t="shared" si="303"/>
        <v>#DIV/0!</v>
      </c>
      <c r="AD365" s="276" t="e">
        <f t="shared" si="304"/>
        <v>#DIV/0!</v>
      </c>
      <c r="AE365" s="686" t="e">
        <f t="shared" si="305"/>
        <v>#DIV/0!</v>
      </c>
      <c r="AF365" s="239"/>
      <c r="AG365" s="965" t="e">
        <f t="shared" si="276"/>
        <v>#VALUE!</v>
      </c>
      <c r="AH365" s="878" t="e">
        <f t="shared" si="277"/>
        <v>#VALUE!</v>
      </c>
      <c r="AI365" s="878" t="e">
        <f t="shared" si="278"/>
        <v>#VALUE!</v>
      </c>
      <c r="AJ365" s="878" t="e">
        <f t="shared" si="279"/>
        <v>#VALUE!</v>
      </c>
      <c r="AK365" s="878" t="e">
        <f t="shared" si="280"/>
        <v>#VALUE!</v>
      </c>
      <c r="AL365" s="966" t="e">
        <f t="shared" si="281"/>
        <v>#VALUE!</v>
      </c>
      <c r="AM365" s="239"/>
      <c r="AO365" s="685">
        <f t="shared" si="306"/>
        <v>-2.0365487865009584</v>
      </c>
      <c r="AP365" s="276">
        <f t="shared" si="307"/>
        <v>-1.2667891992304037</v>
      </c>
      <c r="AQ365" s="276">
        <f t="shared" si="308"/>
        <v>-4.7566273131782717</v>
      </c>
      <c r="AR365" s="276">
        <f t="shared" si="309"/>
        <v>-3.7300387074953294</v>
      </c>
      <c r="AS365" s="276">
        <f t="shared" si="310"/>
        <v>-2.1514383713919285</v>
      </c>
      <c r="AT365" s="276">
        <f t="shared" si="311"/>
        <v>-2.4808863409600441</v>
      </c>
      <c r="AU365" s="685">
        <f t="shared" si="312"/>
        <v>1.6244649592296263</v>
      </c>
      <c r="AV365" s="276">
        <f t="shared" si="313"/>
        <v>0.15987345404763498</v>
      </c>
      <c r="AW365" s="276">
        <f t="shared" si="314"/>
        <v>1.2718402407685419</v>
      </c>
      <c r="AX365" s="276">
        <f t="shared" si="315"/>
        <v>0.47846292863522866</v>
      </c>
      <c r="AY365" s="276">
        <f t="shared" si="316"/>
        <v>6.8038127169201212E-2</v>
      </c>
      <c r="AZ365" s="686">
        <f t="shared" si="317"/>
        <v>1.4961242413016798</v>
      </c>
      <c r="BA365" s="685">
        <f t="shared" si="318"/>
        <v>0</v>
      </c>
      <c r="BB365" s="276">
        <f t="shared" si="319"/>
        <v>0</v>
      </c>
      <c r="BC365" s="276">
        <f t="shared" si="320"/>
        <v>0</v>
      </c>
      <c r="BD365" s="276">
        <f t="shared" si="321"/>
        <v>0</v>
      </c>
      <c r="BE365" s="276">
        <f t="shared" si="322"/>
        <v>0</v>
      </c>
      <c r="BF365" s="686">
        <f t="shared" si="323"/>
        <v>0</v>
      </c>
      <c r="BG365" s="685" t="e">
        <f t="shared" si="324"/>
        <v>#DIV/0!</v>
      </c>
      <c r="BH365" s="276" t="e">
        <f t="shared" si="325"/>
        <v>#DIV/0!</v>
      </c>
      <c r="BI365" s="276" t="e">
        <f t="shared" si="326"/>
        <v>#DIV/0!</v>
      </c>
      <c r="BJ365" s="276" t="e">
        <f t="shared" si="327"/>
        <v>#DIV/0!</v>
      </c>
      <c r="BK365" s="276" t="e">
        <f t="shared" si="328"/>
        <v>#DIV/0!</v>
      </c>
      <c r="BL365" s="686" t="e">
        <f t="shared" si="329"/>
        <v>#DIV/0!</v>
      </c>
      <c r="BM365" s="239"/>
      <c r="BN365" s="965" t="e">
        <f t="shared" si="330"/>
        <v>#VALUE!</v>
      </c>
      <c r="BO365" s="878" t="e">
        <f t="shared" si="331"/>
        <v>#VALUE!</v>
      </c>
      <c r="BP365" s="878" t="e">
        <f t="shared" si="332"/>
        <v>#VALUE!</v>
      </c>
      <c r="BQ365" s="878" t="e">
        <f t="shared" si="333"/>
        <v>#VALUE!</v>
      </c>
      <c r="BR365" s="878" t="e">
        <f t="shared" si="334"/>
        <v>#VALUE!</v>
      </c>
      <c r="BS365" s="966" t="e">
        <f t="shared" si="335"/>
        <v>#VALUE!</v>
      </c>
    </row>
    <row r="366" spans="1:71">
      <c r="A366" s="284">
        <f t="shared" si="336"/>
        <v>298</v>
      </c>
      <c r="B366" s="285">
        <v>2.3181175085727714</v>
      </c>
      <c r="C366" s="285">
        <v>2.6886267198733775</v>
      </c>
      <c r="D366" s="285">
        <v>0.81749523389165191</v>
      </c>
      <c r="E366" s="285">
        <v>-8.4121044104149796</v>
      </c>
      <c r="H366" s="685">
        <f t="shared" si="282"/>
        <v>1.1848836668037166</v>
      </c>
      <c r="I366" s="276">
        <f t="shared" si="283"/>
        <v>1.4507016308666063</v>
      </c>
      <c r="J366" s="276">
        <f t="shared" si="284"/>
        <v>-0.48825735653606506</v>
      </c>
      <c r="K366" s="276">
        <f t="shared" si="285"/>
        <v>-1.8881239109402557</v>
      </c>
      <c r="L366" s="276">
        <f t="shared" si="286"/>
        <v>-2.3185883915789862</v>
      </c>
      <c r="M366" s="276">
        <f t="shared" si="287"/>
        <v>1.0858563197166606</v>
      </c>
      <c r="N366" s="685">
        <f t="shared" si="288"/>
        <v>1.4814555089015091</v>
      </c>
      <c r="O366" s="276">
        <f t="shared" si="289"/>
        <v>1.521976844403343</v>
      </c>
      <c r="P366" s="276">
        <f t="shared" si="290"/>
        <v>2.0650300087129452</v>
      </c>
      <c r="Q366" s="276">
        <f t="shared" si="291"/>
        <v>1.2651695875906805</v>
      </c>
      <c r="R366" s="276">
        <f t="shared" si="292"/>
        <v>1.4497254207759795</v>
      </c>
      <c r="S366" s="686">
        <f t="shared" si="293"/>
        <v>1.4618935704016331</v>
      </c>
      <c r="T366" s="685">
        <f t="shared" si="294"/>
        <v>4.0958589241625774</v>
      </c>
      <c r="U366" s="276">
        <f t="shared" si="295"/>
        <v>5.3254565228644672</v>
      </c>
      <c r="V366" s="276">
        <f t="shared" si="296"/>
        <v>5.0017534044031287</v>
      </c>
      <c r="W366" s="276">
        <f t="shared" si="297"/>
        <v>3.7986281364645071</v>
      </c>
      <c r="X366" s="276">
        <f t="shared" si="298"/>
        <v>3.6535746185476539</v>
      </c>
      <c r="Y366" s="686">
        <f t="shared" si="299"/>
        <v>7.5031215119801224</v>
      </c>
      <c r="Z366" s="685" t="e">
        <f t="shared" si="300"/>
        <v>#DIV/0!</v>
      </c>
      <c r="AA366" s="276" t="e">
        <f t="shared" si="301"/>
        <v>#DIV/0!</v>
      </c>
      <c r="AB366" s="276" t="e">
        <f t="shared" si="302"/>
        <v>#DIV/0!</v>
      </c>
      <c r="AC366" s="276" t="e">
        <f t="shared" si="303"/>
        <v>#DIV/0!</v>
      </c>
      <c r="AD366" s="276" t="e">
        <f t="shared" si="304"/>
        <v>#DIV/0!</v>
      </c>
      <c r="AE366" s="686" t="e">
        <f t="shared" si="305"/>
        <v>#DIV/0!</v>
      </c>
      <c r="AF366" s="239"/>
      <c r="AG366" s="965" t="e">
        <f t="shared" si="276"/>
        <v>#VALUE!</v>
      </c>
      <c r="AH366" s="878" t="e">
        <f t="shared" si="277"/>
        <v>#VALUE!</v>
      </c>
      <c r="AI366" s="878" t="e">
        <f t="shared" si="278"/>
        <v>#VALUE!</v>
      </c>
      <c r="AJ366" s="878" t="e">
        <f t="shared" si="279"/>
        <v>#VALUE!</v>
      </c>
      <c r="AK366" s="878" t="e">
        <f t="shared" si="280"/>
        <v>#VALUE!</v>
      </c>
      <c r="AL366" s="966" t="e">
        <f t="shared" si="281"/>
        <v>#VALUE!</v>
      </c>
      <c r="AM366" s="239"/>
      <c r="AO366" s="685">
        <f t="shared" si="306"/>
        <v>1.1848836668037166</v>
      </c>
      <c r="AP366" s="276">
        <f t="shared" si="307"/>
        <v>1.4507016308666063</v>
      </c>
      <c r="AQ366" s="276">
        <f t="shared" si="308"/>
        <v>-0.48825735653606506</v>
      </c>
      <c r="AR366" s="276">
        <f t="shared" si="309"/>
        <v>-1.8881239109402557</v>
      </c>
      <c r="AS366" s="276">
        <f t="shared" si="310"/>
        <v>-2.3185883915789862</v>
      </c>
      <c r="AT366" s="276">
        <f t="shared" si="311"/>
        <v>1.0858563197166606</v>
      </c>
      <c r="AU366" s="685">
        <f t="shared" si="312"/>
        <v>1.4814555089015091</v>
      </c>
      <c r="AV366" s="276">
        <f t="shared" si="313"/>
        <v>1.521976844403343</v>
      </c>
      <c r="AW366" s="276">
        <f t="shared" si="314"/>
        <v>2.0650300087129452</v>
      </c>
      <c r="AX366" s="276">
        <f t="shared" si="315"/>
        <v>1.2651695875906805</v>
      </c>
      <c r="AY366" s="276">
        <f t="shared" si="316"/>
        <v>1.4497254207759795</v>
      </c>
      <c r="AZ366" s="686">
        <f t="shared" si="317"/>
        <v>1.4618935704016331</v>
      </c>
      <c r="BA366" s="685">
        <f t="shared" si="318"/>
        <v>0</v>
      </c>
      <c r="BB366" s="276">
        <f t="shared" si="319"/>
        <v>0</v>
      </c>
      <c r="BC366" s="276">
        <f t="shared" si="320"/>
        <v>0</v>
      </c>
      <c r="BD366" s="276">
        <f t="shared" si="321"/>
        <v>0</v>
      </c>
      <c r="BE366" s="276">
        <f t="shared" si="322"/>
        <v>0</v>
      </c>
      <c r="BF366" s="686">
        <f t="shared" si="323"/>
        <v>0</v>
      </c>
      <c r="BG366" s="685" t="e">
        <f t="shared" si="324"/>
        <v>#DIV/0!</v>
      </c>
      <c r="BH366" s="276" t="e">
        <f t="shared" si="325"/>
        <v>#DIV/0!</v>
      </c>
      <c r="BI366" s="276" t="e">
        <f t="shared" si="326"/>
        <v>#DIV/0!</v>
      </c>
      <c r="BJ366" s="276" t="e">
        <f t="shared" si="327"/>
        <v>#DIV/0!</v>
      </c>
      <c r="BK366" s="276" t="e">
        <f t="shared" si="328"/>
        <v>#DIV/0!</v>
      </c>
      <c r="BL366" s="686" t="e">
        <f t="shared" si="329"/>
        <v>#DIV/0!</v>
      </c>
      <c r="BM366" s="239"/>
      <c r="BN366" s="965" t="e">
        <f t="shared" si="330"/>
        <v>#VALUE!</v>
      </c>
      <c r="BO366" s="878" t="e">
        <f t="shared" si="331"/>
        <v>#VALUE!</v>
      </c>
      <c r="BP366" s="878" t="e">
        <f t="shared" si="332"/>
        <v>#VALUE!</v>
      </c>
      <c r="BQ366" s="878" t="e">
        <f t="shared" si="333"/>
        <v>#VALUE!</v>
      </c>
      <c r="BR366" s="878" t="e">
        <f t="shared" si="334"/>
        <v>#VALUE!</v>
      </c>
      <c r="BS366" s="966" t="e">
        <f t="shared" si="335"/>
        <v>#VALUE!</v>
      </c>
    </row>
    <row r="367" spans="1:71">
      <c r="A367" s="284">
        <f t="shared" si="336"/>
        <v>299</v>
      </c>
      <c r="B367" s="285">
        <v>-1.3016176711057434</v>
      </c>
      <c r="C367" s="285">
        <v>3.2533639373559895</v>
      </c>
      <c r="D367" s="285">
        <v>-0.82567821384707818</v>
      </c>
      <c r="E367" s="285">
        <v>15.269101259132395</v>
      </c>
      <c r="H367" s="685">
        <f t="shared" si="282"/>
        <v>-2.4348515128747983</v>
      </c>
      <c r="I367" s="276">
        <f t="shared" si="283"/>
        <v>3.0832208714169216</v>
      </c>
      <c r="J367" s="276">
        <f t="shared" si="284"/>
        <v>-3.5815334851986291</v>
      </c>
      <c r="K367" s="276">
        <f t="shared" si="285"/>
        <v>0.30376384955456515</v>
      </c>
      <c r="L367" s="276">
        <f t="shared" si="286"/>
        <v>-2.2332071399829587</v>
      </c>
      <c r="M367" s="276">
        <f t="shared" si="287"/>
        <v>-4.4875540102976181</v>
      </c>
      <c r="N367" s="685">
        <f t="shared" si="288"/>
        <v>2.0461927263841213</v>
      </c>
      <c r="O367" s="276">
        <f t="shared" si="289"/>
        <v>1.8546114723142375</v>
      </c>
      <c r="P367" s="276">
        <f t="shared" si="290"/>
        <v>0.73220293172569106</v>
      </c>
      <c r="Q367" s="276">
        <f t="shared" si="291"/>
        <v>1.5324482964525401</v>
      </c>
      <c r="R367" s="276">
        <f t="shared" si="292"/>
        <v>0.89296162906395993</v>
      </c>
      <c r="S367" s="686">
        <f t="shared" si="293"/>
        <v>1.0029545771778843</v>
      </c>
      <c r="T367" s="685">
        <f t="shared" si="294"/>
        <v>2.4526854764238477</v>
      </c>
      <c r="U367" s="276">
        <f t="shared" si="295"/>
        <v>4.2860154988547645</v>
      </c>
      <c r="V367" s="276">
        <f t="shared" si="296"/>
        <v>2.4650007146913127</v>
      </c>
      <c r="W367" s="276">
        <f t="shared" si="297"/>
        <v>5.7849559963229584</v>
      </c>
      <c r="X367" s="276">
        <f t="shared" si="298"/>
        <v>4.0204015480990209</v>
      </c>
      <c r="Y367" s="686">
        <f t="shared" si="299"/>
        <v>4.1049595387268845</v>
      </c>
      <c r="Z367" s="685" t="e">
        <f t="shared" si="300"/>
        <v>#DIV/0!</v>
      </c>
      <c r="AA367" s="276" t="e">
        <f t="shared" si="301"/>
        <v>#DIV/0!</v>
      </c>
      <c r="AB367" s="276" t="e">
        <f t="shared" si="302"/>
        <v>#DIV/0!</v>
      </c>
      <c r="AC367" s="276" t="e">
        <f t="shared" si="303"/>
        <v>#DIV/0!</v>
      </c>
      <c r="AD367" s="276" t="e">
        <f t="shared" si="304"/>
        <v>#DIV/0!</v>
      </c>
      <c r="AE367" s="686" t="e">
        <f t="shared" si="305"/>
        <v>#DIV/0!</v>
      </c>
      <c r="AF367" s="239"/>
      <c r="AG367" s="965" t="e">
        <f t="shared" si="276"/>
        <v>#VALUE!</v>
      </c>
      <c r="AH367" s="878" t="e">
        <f t="shared" si="277"/>
        <v>#VALUE!</v>
      </c>
      <c r="AI367" s="878" t="e">
        <f t="shared" si="278"/>
        <v>#VALUE!</v>
      </c>
      <c r="AJ367" s="878" t="e">
        <f t="shared" si="279"/>
        <v>#VALUE!</v>
      </c>
      <c r="AK367" s="878" t="e">
        <f t="shared" si="280"/>
        <v>#VALUE!</v>
      </c>
      <c r="AL367" s="966" t="e">
        <f t="shared" si="281"/>
        <v>#VALUE!</v>
      </c>
      <c r="AM367" s="239"/>
      <c r="AO367" s="685">
        <f t="shared" si="306"/>
        <v>-2.4348515128747983</v>
      </c>
      <c r="AP367" s="276">
        <f t="shared" si="307"/>
        <v>3.0832208714169216</v>
      </c>
      <c r="AQ367" s="276">
        <f t="shared" si="308"/>
        <v>-3.5815334851986291</v>
      </c>
      <c r="AR367" s="276">
        <f t="shared" si="309"/>
        <v>0.30376384955456515</v>
      </c>
      <c r="AS367" s="276">
        <f t="shared" si="310"/>
        <v>-2.2332071399829587</v>
      </c>
      <c r="AT367" s="276">
        <f t="shared" si="311"/>
        <v>-4.4875540102976181</v>
      </c>
      <c r="AU367" s="685">
        <f t="shared" si="312"/>
        <v>2.0461927263841213</v>
      </c>
      <c r="AV367" s="276">
        <f t="shared" si="313"/>
        <v>1.8546114723142375</v>
      </c>
      <c r="AW367" s="276">
        <f t="shared" si="314"/>
        <v>0.73220293172569106</v>
      </c>
      <c r="AX367" s="276">
        <f t="shared" si="315"/>
        <v>1.5324482964525401</v>
      </c>
      <c r="AY367" s="276">
        <f t="shared" si="316"/>
        <v>0.89296162906395993</v>
      </c>
      <c r="AZ367" s="686">
        <f t="shared" si="317"/>
        <v>1.0029545771778843</v>
      </c>
      <c r="BA367" s="685">
        <f t="shared" si="318"/>
        <v>0</v>
      </c>
      <c r="BB367" s="276">
        <f t="shared" si="319"/>
        <v>0</v>
      </c>
      <c r="BC367" s="276">
        <f t="shared" si="320"/>
        <v>0</v>
      </c>
      <c r="BD367" s="276">
        <f t="shared" si="321"/>
        <v>0</v>
      </c>
      <c r="BE367" s="276">
        <f t="shared" si="322"/>
        <v>0</v>
      </c>
      <c r="BF367" s="686">
        <f t="shared" si="323"/>
        <v>0</v>
      </c>
      <c r="BG367" s="685" t="e">
        <f t="shared" si="324"/>
        <v>#DIV/0!</v>
      </c>
      <c r="BH367" s="276" t="e">
        <f t="shared" si="325"/>
        <v>#DIV/0!</v>
      </c>
      <c r="BI367" s="276" t="e">
        <f t="shared" si="326"/>
        <v>#DIV/0!</v>
      </c>
      <c r="BJ367" s="276" t="e">
        <f t="shared" si="327"/>
        <v>#DIV/0!</v>
      </c>
      <c r="BK367" s="276" t="e">
        <f t="shared" si="328"/>
        <v>#DIV/0!</v>
      </c>
      <c r="BL367" s="686" t="e">
        <f t="shared" si="329"/>
        <v>#DIV/0!</v>
      </c>
      <c r="BM367" s="239"/>
      <c r="BN367" s="965" t="e">
        <f t="shared" si="330"/>
        <v>#VALUE!</v>
      </c>
      <c r="BO367" s="878" t="e">
        <f t="shared" si="331"/>
        <v>#VALUE!</v>
      </c>
      <c r="BP367" s="878" t="e">
        <f t="shared" si="332"/>
        <v>#VALUE!</v>
      </c>
      <c r="BQ367" s="878" t="e">
        <f t="shared" si="333"/>
        <v>#VALUE!</v>
      </c>
      <c r="BR367" s="878" t="e">
        <f t="shared" si="334"/>
        <v>#VALUE!</v>
      </c>
      <c r="BS367" s="966" t="e">
        <f t="shared" si="335"/>
        <v>#VALUE!</v>
      </c>
    </row>
    <row r="368" spans="1:71">
      <c r="A368" s="284">
        <f t="shared" si="336"/>
        <v>300</v>
      </c>
      <c r="B368" s="285">
        <v>-1.5437126095792535</v>
      </c>
      <c r="C368" s="285">
        <v>2.4134497047848966</v>
      </c>
      <c r="D368" s="285">
        <v>0.89074978229003388</v>
      </c>
      <c r="E368" s="285">
        <v>-9.4812473238982431</v>
      </c>
      <c r="H368" s="685">
        <f t="shared" si="282"/>
        <v>-2.6769464513483081</v>
      </c>
      <c r="I368" s="276">
        <f t="shared" si="283"/>
        <v>-0.88501397065437226</v>
      </c>
      <c r="J368" s="276">
        <f t="shared" si="284"/>
        <v>-2.3683863073585067</v>
      </c>
      <c r="K368" s="276">
        <f t="shared" si="285"/>
        <v>2.1110801595558266</v>
      </c>
      <c r="L368" s="276">
        <f t="shared" si="286"/>
        <v>2.9304804133366797</v>
      </c>
      <c r="M368" s="276">
        <f t="shared" si="287"/>
        <v>-2.1802136743195057</v>
      </c>
      <c r="N368" s="685">
        <f t="shared" si="288"/>
        <v>1.2062784938130282</v>
      </c>
      <c r="O368" s="276">
        <f t="shared" si="289"/>
        <v>1.5336992617456489</v>
      </c>
      <c r="P368" s="276">
        <f t="shared" si="290"/>
        <v>1.7409770803929419</v>
      </c>
      <c r="Q368" s="276">
        <f t="shared" si="291"/>
        <v>1.093890206154555</v>
      </c>
      <c r="R368" s="276">
        <f t="shared" si="292"/>
        <v>2.0977161253186134</v>
      </c>
      <c r="S368" s="686">
        <f t="shared" si="293"/>
        <v>1.6027027004616075</v>
      </c>
      <c r="T368" s="685">
        <f t="shared" si="294"/>
        <v>4.1691134725609595</v>
      </c>
      <c r="U368" s="276">
        <f t="shared" si="295"/>
        <v>3.2818756452766489</v>
      </c>
      <c r="V368" s="276">
        <f t="shared" si="296"/>
        <v>2.022947069528156</v>
      </c>
      <c r="W368" s="276">
        <f t="shared" si="297"/>
        <v>7.277539923525115</v>
      </c>
      <c r="X368" s="276">
        <f t="shared" si="298"/>
        <v>5.4928623108939121</v>
      </c>
      <c r="Y368" s="686">
        <f t="shared" si="299"/>
        <v>5.0159234152007715</v>
      </c>
      <c r="Z368" s="685" t="e">
        <f t="shared" si="300"/>
        <v>#DIV/0!</v>
      </c>
      <c r="AA368" s="276" t="e">
        <f t="shared" si="301"/>
        <v>#DIV/0!</v>
      </c>
      <c r="AB368" s="276" t="e">
        <f t="shared" si="302"/>
        <v>#DIV/0!</v>
      </c>
      <c r="AC368" s="276" t="e">
        <f t="shared" si="303"/>
        <v>#DIV/0!</v>
      </c>
      <c r="AD368" s="276" t="e">
        <f t="shared" si="304"/>
        <v>#DIV/0!</v>
      </c>
      <c r="AE368" s="686" t="e">
        <f t="shared" si="305"/>
        <v>#DIV/0!</v>
      </c>
      <c r="AF368" s="239"/>
      <c r="AG368" s="965" t="e">
        <f t="shared" si="276"/>
        <v>#VALUE!</v>
      </c>
      <c r="AH368" s="878" t="e">
        <f t="shared" si="277"/>
        <v>#VALUE!</v>
      </c>
      <c r="AI368" s="878" t="e">
        <f t="shared" si="278"/>
        <v>#VALUE!</v>
      </c>
      <c r="AJ368" s="878" t="e">
        <f t="shared" si="279"/>
        <v>#VALUE!</v>
      </c>
      <c r="AK368" s="878" t="e">
        <f t="shared" si="280"/>
        <v>#VALUE!</v>
      </c>
      <c r="AL368" s="966" t="e">
        <f t="shared" si="281"/>
        <v>#VALUE!</v>
      </c>
      <c r="AM368" s="239"/>
      <c r="AO368" s="685">
        <f t="shared" si="306"/>
        <v>-2.6769464513483081</v>
      </c>
      <c r="AP368" s="276">
        <f t="shared" si="307"/>
        <v>-0.88501397065437226</v>
      </c>
      <c r="AQ368" s="276">
        <f t="shared" si="308"/>
        <v>-2.3683863073585067</v>
      </c>
      <c r="AR368" s="276">
        <f t="shared" si="309"/>
        <v>2.1110801595558266</v>
      </c>
      <c r="AS368" s="276">
        <f t="shared" si="310"/>
        <v>2.9304804133366797</v>
      </c>
      <c r="AT368" s="276">
        <f t="shared" si="311"/>
        <v>-2.1802136743195057</v>
      </c>
      <c r="AU368" s="685">
        <f t="shared" si="312"/>
        <v>1.2062784938130282</v>
      </c>
      <c r="AV368" s="276">
        <f t="shared" si="313"/>
        <v>1.5336992617456489</v>
      </c>
      <c r="AW368" s="276">
        <f t="shared" si="314"/>
        <v>1.7409770803929419</v>
      </c>
      <c r="AX368" s="276">
        <f t="shared" si="315"/>
        <v>1.093890206154555</v>
      </c>
      <c r="AY368" s="276">
        <f t="shared" si="316"/>
        <v>2.0977161253186134</v>
      </c>
      <c r="AZ368" s="686">
        <f t="shared" si="317"/>
        <v>1.6027027004616075</v>
      </c>
      <c r="BA368" s="685">
        <f t="shared" si="318"/>
        <v>0</v>
      </c>
      <c r="BB368" s="276">
        <f t="shared" si="319"/>
        <v>0</v>
      </c>
      <c r="BC368" s="276">
        <f t="shared" si="320"/>
        <v>0</v>
      </c>
      <c r="BD368" s="276">
        <f t="shared" si="321"/>
        <v>0</v>
      </c>
      <c r="BE368" s="276">
        <f t="shared" si="322"/>
        <v>0</v>
      </c>
      <c r="BF368" s="686">
        <f t="shared" si="323"/>
        <v>0</v>
      </c>
      <c r="BG368" s="685" t="e">
        <f t="shared" si="324"/>
        <v>#DIV/0!</v>
      </c>
      <c r="BH368" s="276" t="e">
        <f t="shared" si="325"/>
        <v>#DIV/0!</v>
      </c>
      <c r="BI368" s="276" t="e">
        <f t="shared" si="326"/>
        <v>#DIV/0!</v>
      </c>
      <c r="BJ368" s="276" t="e">
        <f t="shared" si="327"/>
        <v>#DIV/0!</v>
      </c>
      <c r="BK368" s="276" t="e">
        <f t="shared" si="328"/>
        <v>#DIV/0!</v>
      </c>
      <c r="BL368" s="686" t="e">
        <f t="shared" si="329"/>
        <v>#DIV/0!</v>
      </c>
      <c r="BM368" s="239"/>
      <c r="BN368" s="965" t="e">
        <f t="shared" si="330"/>
        <v>#VALUE!</v>
      </c>
      <c r="BO368" s="878" t="e">
        <f t="shared" si="331"/>
        <v>#VALUE!</v>
      </c>
      <c r="BP368" s="878" t="e">
        <f t="shared" si="332"/>
        <v>#VALUE!</v>
      </c>
      <c r="BQ368" s="878" t="e">
        <f t="shared" si="333"/>
        <v>#VALUE!</v>
      </c>
      <c r="BR368" s="878" t="e">
        <f t="shared" si="334"/>
        <v>#VALUE!</v>
      </c>
      <c r="BS368" s="966" t="e">
        <f t="shared" si="335"/>
        <v>#VALUE!</v>
      </c>
    </row>
    <row r="369" spans="1:71">
      <c r="A369" s="284">
        <f t="shared" si="336"/>
        <v>301</v>
      </c>
      <c r="B369" s="285">
        <v>-1.758232788361618</v>
      </c>
      <c r="C369" s="285">
        <v>2.2932358849851502</v>
      </c>
      <c r="D369" s="285">
        <v>1.1687642421555573</v>
      </c>
      <c r="E369" s="285">
        <v>-5.0598273565739973</v>
      </c>
      <c r="H369" s="685">
        <f t="shared" si="282"/>
        <v>-2.8914666301306728</v>
      </c>
      <c r="I369" s="276">
        <f t="shared" si="283"/>
        <v>-0.16788477450987882</v>
      </c>
      <c r="J369" s="276">
        <f t="shared" si="284"/>
        <v>2.6189687548362546</v>
      </c>
      <c r="K369" s="276">
        <f t="shared" si="285"/>
        <v>-3.2746873463450612</v>
      </c>
      <c r="L369" s="276">
        <f t="shared" si="286"/>
        <v>-4.670915475872035</v>
      </c>
      <c r="M369" s="276">
        <f t="shared" si="287"/>
        <v>2.3360721954244621</v>
      </c>
      <c r="N369" s="685">
        <f t="shared" si="288"/>
        <v>1.0860646740132818</v>
      </c>
      <c r="O369" s="276">
        <f t="shared" si="289"/>
        <v>0.91097086123761462</v>
      </c>
      <c r="P369" s="276">
        <f t="shared" si="290"/>
        <v>1.3868291206683188</v>
      </c>
      <c r="Q369" s="276">
        <f t="shared" si="291"/>
        <v>1.717365154045684</v>
      </c>
      <c r="R369" s="276">
        <f t="shared" si="292"/>
        <v>1.6686869324172295</v>
      </c>
      <c r="S369" s="686">
        <f t="shared" si="293"/>
        <v>1.1016979990303251</v>
      </c>
      <c r="T369" s="685">
        <f t="shared" si="294"/>
        <v>4.4471279324264827</v>
      </c>
      <c r="U369" s="276">
        <f t="shared" si="295"/>
        <v>4.0917995189118939</v>
      </c>
      <c r="V369" s="276">
        <f t="shared" si="296"/>
        <v>3.6094343246720784</v>
      </c>
      <c r="W369" s="276">
        <f t="shared" si="297"/>
        <v>4.9197179976366545</v>
      </c>
      <c r="X369" s="276">
        <f t="shared" si="298"/>
        <v>2.3741858014261621</v>
      </c>
      <c r="Y369" s="686">
        <f t="shared" si="299"/>
        <v>2.1651621297034462</v>
      </c>
      <c r="Z369" s="685" t="e">
        <f t="shared" si="300"/>
        <v>#DIV/0!</v>
      </c>
      <c r="AA369" s="276" t="e">
        <f t="shared" si="301"/>
        <v>#DIV/0!</v>
      </c>
      <c r="AB369" s="276" t="e">
        <f t="shared" si="302"/>
        <v>#DIV/0!</v>
      </c>
      <c r="AC369" s="276" t="e">
        <f t="shared" si="303"/>
        <v>#DIV/0!</v>
      </c>
      <c r="AD369" s="276" t="e">
        <f t="shared" si="304"/>
        <v>#DIV/0!</v>
      </c>
      <c r="AE369" s="686" t="e">
        <f t="shared" si="305"/>
        <v>#DIV/0!</v>
      </c>
      <c r="AF369" s="239"/>
      <c r="AG369" s="965" t="e">
        <f t="shared" si="276"/>
        <v>#VALUE!</v>
      </c>
      <c r="AH369" s="878" t="e">
        <f t="shared" si="277"/>
        <v>#VALUE!</v>
      </c>
      <c r="AI369" s="878" t="e">
        <f t="shared" si="278"/>
        <v>#VALUE!</v>
      </c>
      <c r="AJ369" s="878" t="e">
        <f t="shared" si="279"/>
        <v>#VALUE!</v>
      </c>
      <c r="AK369" s="878" t="e">
        <f t="shared" si="280"/>
        <v>#VALUE!</v>
      </c>
      <c r="AL369" s="966" t="e">
        <f t="shared" si="281"/>
        <v>#VALUE!</v>
      </c>
      <c r="AM369" s="239"/>
      <c r="AO369" s="685">
        <f t="shared" si="306"/>
        <v>-2.8914666301306728</v>
      </c>
      <c r="AP369" s="276">
        <f t="shared" si="307"/>
        <v>-0.16788477450987882</v>
      </c>
      <c r="AQ369" s="276">
        <f t="shared" si="308"/>
        <v>2.6189687548362546</v>
      </c>
      <c r="AR369" s="276">
        <f t="shared" si="309"/>
        <v>-3.2746873463450612</v>
      </c>
      <c r="AS369" s="276">
        <f t="shared" si="310"/>
        <v>-4.670915475872035</v>
      </c>
      <c r="AT369" s="276">
        <f t="shared" si="311"/>
        <v>2.3360721954244621</v>
      </c>
      <c r="AU369" s="685">
        <f t="shared" si="312"/>
        <v>1.0860646740132818</v>
      </c>
      <c r="AV369" s="276">
        <f t="shared" si="313"/>
        <v>0.91097086123761462</v>
      </c>
      <c r="AW369" s="276">
        <f t="shared" si="314"/>
        <v>1.3868291206683188</v>
      </c>
      <c r="AX369" s="276">
        <f t="shared" si="315"/>
        <v>1.717365154045684</v>
      </c>
      <c r="AY369" s="276">
        <f t="shared" si="316"/>
        <v>1.6686869324172295</v>
      </c>
      <c r="AZ369" s="686">
        <f t="shared" si="317"/>
        <v>1.1016979990303251</v>
      </c>
      <c r="BA369" s="685">
        <f t="shared" si="318"/>
        <v>0</v>
      </c>
      <c r="BB369" s="276">
        <f t="shared" si="319"/>
        <v>0</v>
      </c>
      <c r="BC369" s="276">
        <f t="shared" si="320"/>
        <v>0</v>
      </c>
      <c r="BD369" s="276">
        <f t="shared" si="321"/>
        <v>0</v>
      </c>
      <c r="BE369" s="276">
        <f t="shared" si="322"/>
        <v>0</v>
      </c>
      <c r="BF369" s="686">
        <f t="shared" si="323"/>
        <v>0</v>
      </c>
      <c r="BG369" s="685" t="e">
        <f t="shared" si="324"/>
        <v>#DIV/0!</v>
      </c>
      <c r="BH369" s="276" t="e">
        <f t="shared" si="325"/>
        <v>#DIV/0!</v>
      </c>
      <c r="BI369" s="276" t="e">
        <f t="shared" si="326"/>
        <v>#DIV/0!</v>
      </c>
      <c r="BJ369" s="276" t="e">
        <f t="shared" si="327"/>
        <v>#DIV/0!</v>
      </c>
      <c r="BK369" s="276" t="e">
        <f t="shared" si="328"/>
        <v>#DIV/0!</v>
      </c>
      <c r="BL369" s="686" t="e">
        <f t="shared" si="329"/>
        <v>#DIV/0!</v>
      </c>
      <c r="BM369" s="239"/>
      <c r="BN369" s="965" t="e">
        <f t="shared" si="330"/>
        <v>#VALUE!</v>
      </c>
      <c r="BO369" s="878" t="e">
        <f t="shared" si="331"/>
        <v>#VALUE!</v>
      </c>
      <c r="BP369" s="878" t="e">
        <f t="shared" si="332"/>
        <v>#VALUE!</v>
      </c>
      <c r="BQ369" s="878" t="e">
        <f t="shared" si="333"/>
        <v>#VALUE!</v>
      </c>
      <c r="BR369" s="878" t="e">
        <f t="shared" si="334"/>
        <v>#VALUE!</v>
      </c>
      <c r="BS369" s="966" t="e">
        <f t="shared" si="335"/>
        <v>#VALUE!</v>
      </c>
    </row>
    <row r="370" spans="1:71">
      <c r="A370" s="284">
        <f t="shared" si="336"/>
        <v>302</v>
      </c>
      <c r="B370" s="285">
        <v>3.2534102449009779</v>
      </c>
      <c r="C370" s="285">
        <v>2.4923646189805098</v>
      </c>
      <c r="D370" s="285">
        <v>2.1784526608411845</v>
      </c>
      <c r="E370" s="285">
        <v>-15.649560567155115</v>
      </c>
      <c r="H370" s="685">
        <f t="shared" si="282"/>
        <v>2.1201764031319232</v>
      </c>
      <c r="I370" s="276">
        <f t="shared" si="283"/>
        <v>-1.5777127427980693</v>
      </c>
      <c r="J370" s="276">
        <f t="shared" si="284"/>
        <v>-0.45876677578285674</v>
      </c>
      <c r="K370" s="276">
        <f t="shared" si="285"/>
        <v>-2.9783370774490372</v>
      </c>
      <c r="L370" s="276">
        <f t="shared" si="286"/>
        <v>-0.6630136549282295</v>
      </c>
      <c r="M370" s="276">
        <f t="shared" si="287"/>
        <v>1.1222636709631961</v>
      </c>
      <c r="N370" s="685">
        <f t="shared" si="288"/>
        <v>1.2851934080086413</v>
      </c>
      <c r="O370" s="276">
        <f t="shared" si="289"/>
        <v>1.0441529622355195</v>
      </c>
      <c r="P370" s="276">
        <f t="shared" si="290"/>
        <v>1.3639880516173426</v>
      </c>
      <c r="Q370" s="276">
        <f t="shared" si="291"/>
        <v>1.3044337203337866</v>
      </c>
      <c r="R370" s="276">
        <f t="shared" si="292"/>
        <v>1.8821550153767859</v>
      </c>
      <c r="S370" s="686">
        <f t="shared" si="293"/>
        <v>1.1795072688667469</v>
      </c>
      <c r="T370" s="685">
        <f t="shared" si="294"/>
        <v>5.4568163511121099</v>
      </c>
      <c r="U370" s="276">
        <f t="shared" si="295"/>
        <v>6.6391395972290912</v>
      </c>
      <c r="V370" s="276">
        <f t="shared" si="296"/>
        <v>3.3744318646912417</v>
      </c>
      <c r="W370" s="276">
        <f t="shared" si="297"/>
        <v>4.4612829564765004</v>
      </c>
      <c r="X370" s="276">
        <f t="shared" si="298"/>
        <v>3.2621137790004395</v>
      </c>
      <c r="Y370" s="686">
        <f t="shared" si="299"/>
        <v>4.2153687388221837</v>
      </c>
      <c r="Z370" s="685" t="e">
        <f t="shared" si="300"/>
        <v>#DIV/0!</v>
      </c>
      <c r="AA370" s="276" t="e">
        <f t="shared" si="301"/>
        <v>#DIV/0!</v>
      </c>
      <c r="AB370" s="276" t="e">
        <f t="shared" si="302"/>
        <v>#DIV/0!</v>
      </c>
      <c r="AC370" s="276" t="e">
        <f t="shared" si="303"/>
        <v>#DIV/0!</v>
      </c>
      <c r="AD370" s="276" t="e">
        <f t="shared" si="304"/>
        <v>#DIV/0!</v>
      </c>
      <c r="AE370" s="686" t="e">
        <f t="shared" si="305"/>
        <v>#DIV/0!</v>
      </c>
      <c r="AF370" s="239"/>
      <c r="AG370" s="965" t="e">
        <f t="shared" si="276"/>
        <v>#VALUE!</v>
      </c>
      <c r="AH370" s="878" t="e">
        <f t="shared" si="277"/>
        <v>#VALUE!</v>
      </c>
      <c r="AI370" s="878" t="e">
        <f t="shared" si="278"/>
        <v>#VALUE!</v>
      </c>
      <c r="AJ370" s="878" t="e">
        <f t="shared" si="279"/>
        <v>#VALUE!</v>
      </c>
      <c r="AK370" s="878" t="e">
        <f t="shared" si="280"/>
        <v>#VALUE!</v>
      </c>
      <c r="AL370" s="966" t="e">
        <f t="shared" si="281"/>
        <v>#VALUE!</v>
      </c>
      <c r="AM370" s="239"/>
      <c r="AO370" s="685">
        <f t="shared" si="306"/>
        <v>2.1201764031319232</v>
      </c>
      <c r="AP370" s="276">
        <f t="shared" si="307"/>
        <v>-1.5777127427980693</v>
      </c>
      <c r="AQ370" s="276">
        <f t="shared" si="308"/>
        <v>-0.45876677578285674</v>
      </c>
      <c r="AR370" s="276">
        <f t="shared" si="309"/>
        <v>-2.9783370774490372</v>
      </c>
      <c r="AS370" s="276">
        <f t="shared" si="310"/>
        <v>-0.6630136549282295</v>
      </c>
      <c r="AT370" s="276">
        <f t="shared" si="311"/>
        <v>1.1222636709631961</v>
      </c>
      <c r="AU370" s="685">
        <f t="shared" si="312"/>
        <v>1.2851934080086413</v>
      </c>
      <c r="AV370" s="276">
        <f t="shared" si="313"/>
        <v>1.0441529622355195</v>
      </c>
      <c r="AW370" s="276">
        <f t="shared" si="314"/>
        <v>1.3639880516173426</v>
      </c>
      <c r="AX370" s="276">
        <f t="shared" si="315"/>
        <v>1.3044337203337866</v>
      </c>
      <c r="AY370" s="276">
        <f t="shared" si="316"/>
        <v>1.8821550153767859</v>
      </c>
      <c r="AZ370" s="686">
        <f t="shared" si="317"/>
        <v>1.1795072688667469</v>
      </c>
      <c r="BA370" s="685">
        <f t="shared" si="318"/>
        <v>0</v>
      </c>
      <c r="BB370" s="276">
        <f t="shared" si="319"/>
        <v>0</v>
      </c>
      <c r="BC370" s="276">
        <f t="shared" si="320"/>
        <v>0</v>
      </c>
      <c r="BD370" s="276">
        <f t="shared" si="321"/>
        <v>0</v>
      </c>
      <c r="BE370" s="276">
        <f t="shared" si="322"/>
        <v>0</v>
      </c>
      <c r="BF370" s="686">
        <f t="shared" si="323"/>
        <v>0</v>
      </c>
      <c r="BG370" s="685" t="e">
        <f t="shared" si="324"/>
        <v>#DIV/0!</v>
      </c>
      <c r="BH370" s="276" t="e">
        <f t="shared" si="325"/>
        <v>#DIV/0!</v>
      </c>
      <c r="BI370" s="276" t="e">
        <f t="shared" si="326"/>
        <v>#DIV/0!</v>
      </c>
      <c r="BJ370" s="276" t="e">
        <f t="shared" si="327"/>
        <v>#DIV/0!</v>
      </c>
      <c r="BK370" s="276" t="e">
        <f t="shared" si="328"/>
        <v>#DIV/0!</v>
      </c>
      <c r="BL370" s="686" t="e">
        <f t="shared" si="329"/>
        <v>#DIV/0!</v>
      </c>
      <c r="BM370" s="239"/>
      <c r="BN370" s="965" t="e">
        <f t="shared" si="330"/>
        <v>#VALUE!</v>
      </c>
      <c r="BO370" s="878" t="e">
        <f t="shared" si="331"/>
        <v>#VALUE!</v>
      </c>
      <c r="BP370" s="878" t="e">
        <f t="shared" si="332"/>
        <v>#VALUE!</v>
      </c>
      <c r="BQ370" s="878" t="e">
        <f t="shared" si="333"/>
        <v>#VALUE!</v>
      </c>
      <c r="BR370" s="878" t="e">
        <f t="shared" si="334"/>
        <v>#VALUE!</v>
      </c>
      <c r="BS370" s="966" t="e">
        <f t="shared" si="335"/>
        <v>#VALUE!</v>
      </c>
    </row>
    <row r="371" spans="1:71">
      <c r="A371" s="284">
        <f t="shared" si="336"/>
        <v>303</v>
      </c>
      <c r="B371" s="285">
        <v>1.4641449196574774</v>
      </c>
      <c r="C371" s="285">
        <v>2.1625736573854444</v>
      </c>
      <c r="D371" s="285">
        <v>2.114613434374172</v>
      </c>
      <c r="E371" s="285">
        <v>-4.5800828119062746</v>
      </c>
      <c r="H371" s="685">
        <f t="shared" si="282"/>
        <v>0.33091107788842256</v>
      </c>
      <c r="I371" s="276">
        <f t="shared" si="283"/>
        <v>-0.95918253043899582</v>
      </c>
      <c r="J371" s="276">
        <f t="shared" si="284"/>
        <v>-0.85328188819655426</v>
      </c>
      <c r="K371" s="276">
        <f t="shared" si="285"/>
        <v>0.77205420459115381</v>
      </c>
      <c r="L371" s="276">
        <f t="shared" si="286"/>
        <v>-1.2362656897977677</v>
      </c>
      <c r="M371" s="276">
        <f t="shared" si="287"/>
        <v>-3.8352788316564252</v>
      </c>
      <c r="N371" s="685">
        <f t="shared" si="288"/>
        <v>0.95540244641357597</v>
      </c>
      <c r="O371" s="276">
        <f t="shared" si="289"/>
        <v>0.65984506293196143</v>
      </c>
      <c r="P371" s="276">
        <f t="shared" si="290"/>
        <v>1.1094149320758382</v>
      </c>
      <c r="Q371" s="276">
        <f t="shared" si="291"/>
        <v>0.99198892714132003</v>
      </c>
      <c r="R371" s="276">
        <f t="shared" si="292"/>
        <v>1.4278251320098325</v>
      </c>
      <c r="S371" s="686">
        <f t="shared" si="293"/>
        <v>0.62508432135131953</v>
      </c>
      <c r="T371" s="685">
        <f t="shared" si="294"/>
        <v>5.3929771246450979</v>
      </c>
      <c r="U371" s="276">
        <f t="shared" si="295"/>
        <v>5.5153829530469034</v>
      </c>
      <c r="V371" s="276">
        <f t="shared" si="296"/>
        <v>3.228410431476592</v>
      </c>
      <c r="W371" s="276">
        <f t="shared" si="297"/>
        <v>6.0178358823577414</v>
      </c>
      <c r="X371" s="276">
        <f t="shared" si="298"/>
        <v>3.1514476455854288</v>
      </c>
      <c r="Y371" s="686">
        <f t="shared" si="299"/>
        <v>5.8988161776852541</v>
      </c>
      <c r="Z371" s="685" t="e">
        <f t="shared" si="300"/>
        <v>#DIV/0!</v>
      </c>
      <c r="AA371" s="276" t="e">
        <f t="shared" si="301"/>
        <v>#DIV/0!</v>
      </c>
      <c r="AB371" s="276" t="e">
        <f t="shared" si="302"/>
        <v>#DIV/0!</v>
      </c>
      <c r="AC371" s="276" t="e">
        <f t="shared" si="303"/>
        <v>#DIV/0!</v>
      </c>
      <c r="AD371" s="276" t="e">
        <f t="shared" si="304"/>
        <v>#DIV/0!</v>
      </c>
      <c r="AE371" s="686" t="e">
        <f t="shared" si="305"/>
        <v>#DIV/0!</v>
      </c>
      <c r="AF371" s="239"/>
      <c r="AG371" s="965" t="e">
        <f t="shared" si="276"/>
        <v>#VALUE!</v>
      </c>
      <c r="AH371" s="878" t="e">
        <f t="shared" si="277"/>
        <v>#VALUE!</v>
      </c>
      <c r="AI371" s="878" t="e">
        <f t="shared" si="278"/>
        <v>#VALUE!</v>
      </c>
      <c r="AJ371" s="878" t="e">
        <f t="shared" si="279"/>
        <v>#VALUE!</v>
      </c>
      <c r="AK371" s="878" t="e">
        <f t="shared" si="280"/>
        <v>#VALUE!</v>
      </c>
      <c r="AL371" s="966" t="e">
        <f t="shared" si="281"/>
        <v>#VALUE!</v>
      </c>
      <c r="AM371" s="239"/>
      <c r="AO371" s="685">
        <f t="shared" si="306"/>
        <v>0.33091107788842256</v>
      </c>
      <c r="AP371" s="276">
        <f t="shared" si="307"/>
        <v>-0.95918253043899582</v>
      </c>
      <c r="AQ371" s="276">
        <f t="shared" si="308"/>
        <v>-0.85328188819655426</v>
      </c>
      <c r="AR371" s="276">
        <f t="shared" si="309"/>
        <v>0.77205420459115381</v>
      </c>
      <c r="AS371" s="276">
        <f t="shared" si="310"/>
        <v>-1.2362656897977677</v>
      </c>
      <c r="AT371" s="276">
        <f t="shared" si="311"/>
        <v>-3.8352788316564252</v>
      </c>
      <c r="AU371" s="685">
        <f t="shared" si="312"/>
        <v>0.95540244641357597</v>
      </c>
      <c r="AV371" s="276">
        <f t="shared" si="313"/>
        <v>0.65984506293196143</v>
      </c>
      <c r="AW371" s="276">
        <f t="shared" si="314"/>
        <v>1.1094149320758382</v>
      </c>
      <c r="AX371" s="276">
        <f t="shared" si="315"/>
        <v>0.99198892714132003</v>
      </c>
      <c r="AY371" s="276">
        <f t="shared" si="316"/>
        <v>1.4278251320098325</v>
      </c>
      <c r="AZ371" s="686">
        <f t="shared" si="317"/>
        <v>0.62508432135131953</v>
      </c>
      <c r="BA371" s="685">
        <f t="shared" si="318"/>
        <v>0</v>
      </c>
      <c r="BB371" s="276">
        <f t="shared" si="319"/>
        <v>0</v>
      </c>
      <c r="BC371" s="276">
        <f t="shared" si="320"/>
        <v>0</v>
      </c>
      <c r="BD371" s="276">
        <f t="shared" si="321"/>
        <v>0</v>
      </c>
      <c r="BE371" s="276">
        <f t="shared" si="322"/>
        <v>0</v>
      </c>
      <c r="BF371" s="686">
        <f t="shared" si="323"/>
        <v>0</v>
      </c>
      <c r="BG371" s="685" t="e">
        <f t="shared" si="324"/>
        <v>#DIV/0!</v>
      </c>
      <c r="BH371" s="276" t="e">
        <f t="shared" si="325"/>
        <v>#DIV/0!</v>
      </c>
      <c r="BI371" s="276" t="e">
        <f t="shared" si="326"/>
        <v>#DIV/0!</v>
      </c>
      <c r="BJ371" s="276" t="e">
        <f t="shared" si="327"/>
        <v>#DIV/0!</v>
      </c>
      <c r="BK371" s="276" t="e">
        <f t="shared" si="328"/>
        <v>#DIV/0!</v>
      </c>
      <c r="BL371" s="686" t="e">
        <f t="shared" si="329"/>
        <v>#DIV/0!</v>
      </c>
      <c r="BM371" s="239"/>
      <c r="BN371" s="965" t="e">
        <f t="shared" si="330"/>
        <v>#VALUE!</v>
      </c>
      <c r="BO371" s="878" t="e">
        <f t="shared" si="331"/>
        <v>#VALUE!</v>
      </c>
      <c r="BP371" s="878" t="e">
        <f t="shared" si="332"/>
        <v>#VALUE!</v>
      </c>
      <c r="BQ371" s="878" t="e">
        <f t="shared" si="333"/>
        <v>#VALUE!</v>
      </c>
      <c r="BR371" s="878" t="e">
        <f t="shared" si="334"/>
        <v>#VALUE!</v>
      </c>
      <c r="BS371" s="966" t="e">
        <f t="shared" si="335"/>
        <v>#VALUE!</v>
      </c>
    </row>
    <row r="372" spans="1:71">
      <c r="A372" s="284">
        <f t="shared" si="336"/>
        <v>304</v>
      </c>
      <c r="B372" s="285">
        <v>0.1262816449609987</v>
      </c>
      <c r="C372" s="285">
        <v>2.7624068948793581</v>
      </c>
      <c r="D372" s="285">
        <v>-0.5696475919605748</v>
      </c>
      <c r="E372" s="285">
        <v>11.266761797645673</v>
      </c>
      <c r="H372" s="685">
        <f t="shared" si="282"/>
        <v>-1.0069521968080561</v>
      </c>
      <c r="I372" s="276">
        <f t="shared" si="283"/>
        <v>2.6722721132171374</v>
      </c>
      <c r="J372" s="276">
        <f t="shared" si="284"/>
        <v>-1.4625868719106718</v>
      </c>
      <c r="K372" s="276">
        <f t="shared" si="285"/>
        <v>-1.9855169193012276</v>
      </c>
      <c r="L372" s="276">
        <f t="shared" si="286"/>
        <v>-3.8366531018730763</v>
      </c>
      <c r="M372" s="276">
        <f t="shared" si="287"/>
        <v>-0.27554086189557914</v>
      </c>
      <c r="N372" s="685">
        <f t="shared" si="288"/>
        <v>1.5552356839074897</v>
      </c>
      <c r="O372" s="276">
        <f t="shared" si="289"/>
        <v>2.0547396066602559</v>
      </c>
      <c r="P372" s="276">
        <f t="shared" si="290"/>
        <v>0.92749232376101776</v>
      </c>
      <c r="Q372" s="276">
        <f t="shared" si="291"/>
        <v>0.84879991474297145</v>
      </c>
      <c r="R372" s="276">
        <f t="shared" si="292"/>
        <v>1.30354774224656</v>
      </c>
      <c r="S372" s="686">
        <f t="shared" si="293"/>
        <v>1.1712538110059871</v>
      </c>
      <c r="T372" s="685">
        <f t="shared" si="294"/>
        <v>2.7087160983103509</v>
      </c>
      <c r="U372" s="276">
        <f t="shared" si="295"/>
        <v>4.5576235987084566</v>
      </c>
      <c r="V372" s="276">
        <f t="shared" si="296"/>
        <v>6.2007470259044464</v>
      </c>
      <c r="W372" s="276">
        <f t="shared" si="297"/>
        <v>5.7562978803188845</v>
      </c>
      <c r="X372" s="276">
        <f t="shared" si="298"/>
        <v>3.2877482404429013</v>
      </c>
      <c r="Y372" s="686">
        <f t="shared" si="299"/>
        <v>3.7416470497053531</v>
      </c>
      <c r="Z372" s="685" t="e">
        <f t="shared" si="300"/>
        <v>#DIV/0!</v>
      </c>
      <c r="AA372" s="276" t="e">
        <f t="shared" si="301"/>
        <v>#DIV/0!</v>
      </c>
      <c r="AB372" s="276" t="e">
        <f t="shared" si="302"/>
        <v>#DIV/0!</v>
      </c>
      <c r="AC372" s="276" t="e">
        <f t="shared" si="303"/>
        <v>#DIV/0!</v>
      </c>
      <c r="AD372" s="276" t="e">
        <f t="shared" si="304"/>
        <v>#DIV/0!</v>
      </c>
      <c r="AE372" s="686" t="e">
        <f t="shared" si="305"/>
        <v>#DIV/0!</v>
      </c>
      <c r="AF372" s="239"/>
      <c r="AG372" s="965" t="e">
        <f t="shared" si="276"/>
        <v>#VALUE!</v>
      </c>
      <c r="AH372" s="878" t="e">
        <f t="shared" si="277"/>
        <v>#VALUE!</v>
      </c>
      <c r="AI372" s="878" t="e">
        <f t="shared" si="278"/>
        <v>#VALUE!</v>
      </c>
      <c r="AJ372" s="878" t="e">
        <f t="shared" si="279"/>
        <v>#VALUE!</v>
      </c>
      <c r="AK372" s="878" t="e">
        <f t="shared" si="280"/>
        <v>#VALUE!</v>
      </c>
      <c r="AL372" s="966" t="e">
        <f t="shared" si="281"/>
        <v>#VALUE!</v>
      </c>
      <c r="AM372" s="239"/>
      <c r="AO372" s="685">
        <f t="shared" si="306"/>
        <v>-1.0069521968080561</v>
      </c>
      <c r="AP372" s="276">
        <f t="shared" si="307"/>
        <v>2.6722721132171374</v>
      </c>
      <c r="AQ372" s="276">
        <f t="shared" si="308"/>
        <v>-1.4625868719106718</v>
      </c>
      <c r="AR372" s="276">
        <f t="shared" si="309"/>
        <v>-1.9855169193012276</v>
      </c>
      <c r="AS372" s="276">
        <f t="shared" si="310"/>
        <v>-3.8366531018730763</v>
      </c>
      <c r="AT372" s="276">
        <f t="shared" si="311"/>
        <v>-0.27554086189557914</v>
      </c>
      <c r="AU372" s="685">
        <f t="shared" si="312"/>
        <v>1.5552356839074897</v>
      </c>
      <c r="AV372" s="276">
        <f t="shared" si="313"/>
        <v>2.0547396066602559</v>
      </c>
      <c r="AW372" s="276">
        <f t="shared" si="314"/>
        <v>0.92749232376101776</v>
      </c>
      <c r="AX372" s="276">
        <f t="shared" si="315"/>
        <v>0.84879991474297145</v>
      </c>
      <c r="AY372" s="276">
        <f t="shared" si="316"/>
        <v>1.30354774224656</v>
      </c>
      <c r="AZ372" s="686">
        <f t="shared" si="317"/>
        <v>1.1712538110059871</v>
      </c>
      <c r="BA372" s="685">
        <f t="shared" si="318"/>
        <v>0</v>
      </c>
      <c r="BB372" s="276">
        <f t="shared" si="319"/>
        <v>0</v>
      </c>
      <c r="BC372" s="276">
        <f t="shared" si="320"/>
        <v>0</v>
      </c>
      <c r="BD372" s="276">
        <f t="shared" si="321"/>
        <v>0</v>
      </c>
      <c r="BE372" s="276">
        <f t="shared" si="322"/>
        <v>0</v>
      </c>
      <c r="BF372" s="686">
        <f t="shared" si="323"/>
        <v>0</v>
      </c>
      <c r="BG372" s="685" t="e">
        <f t="shared" si="324"/>
        <v>#DIV/0!</v>
      </c>
      <c r="BH372" s="276" t="e">
        <f t="shared" si="325"/>
        <v>#DIV/0!</v>
      </c>
      <c r="BI372" s="276" t="e">
        <f t="shared" si="326"/>
        <v>#DIV/0!</v>
      </c>
      <c r="BJ372" s="276" t="e">
        <f t="shared" si="327"/>
        <v>#DIV/0!</v>
      </c>
      <c r="BK372" s="276" t="e">
        <f t="shared" si="328"/>
        <v>#DIV/0!</v>
      </c>
      <c r="BL372" s="686" t="e">
        <f t="shared" si="329"/>
        <v>#DIV/0!</v>
      </c>
      <c r="BM372" s="239"/>
      <c r="BN372" s="965" t="e">
        <f t="shared" si="330"/>
        <v>#VALUE!</v>
      </c>
      <c r="BO372" s="878" t="e">
        <f t="shared" si="331"/>
        <v>#VALUE!</v>
      </c>
      <c r="BP372" s="878" t="e">
        <f t="shared" si="332"/>
        <v>#VALUE!</v>
      </c>
      <c r="BQ372" s="878" t="e">
        <f t="shared" si="333"/>
        <v>#VALUE!</v>
      </c>
      <c r="BR372" s="878" t="e">
        <f t="shared" si="334"/>
        <v>#VALUE!</v>
      </c>
      <c r="BS372" s="966" t="e">
        <f t="shared" si="335"/>
        <v>#VALUE!</v>
      </c>
    </row>
    <row r="373" spans="1:71">
      <c r="A373" s="284">
        <f t="shared" si="336"/>
        <v>305</v>
      </c>
      <c r="B373" s="285">
        <v>-1.4248468977875846</v>
      </c>
      <c r="C373" s="285">
        <v>2.610962937351434</v>
      </c>
      <c r="D373" s="285">
        <v>1.2719077201610696</v>
      </c>
      <c r="E373" s="285">
        <v>3.8731269082615314</v>
      </c>
      <c r="H373" s="685">
        <f t="shared" si="282"/>
        <v>-2.5580807395566394</v>
      </c>
      <c r="I373" s="276">
        <f t="shared" si="283"/>
        <v>-0.57794373686378986</v>
      </c>
      <c r="J373" s="276">
        <f t="shared" si="284"/>
        <v>-1.4924866281062601</v>
      </c>
      <c r="K373" s="276">
        <f t="shared" si="285"/>
        <v>-3.1240038434290209</v>
      </c>
      <c r="L373" s="276">
        <f t="shared" si="286"/>
        <v>1.6923653889611663</v>
      </c>
      <c r="M373" s="276">
        <f t="shared" si="287"/>
        <v>-0.55843229941958716</v>
      </c>
      <c r="N373" s="685">
        <f t="shared" si="288"/>
        <v>1.4037917263795656</v>
      </c>
      <c r="O373" s="276">
        <f t="shared" si="289"/>
        <v>1.5523646897343182</v>
      </c>
      <c r="P373" s="276">
        <f t="shared" si="290"/>
        <v>1.4520842077731599</v>
      </c>
      <c r="Q373" s="276">
        <f t="shared" si="291"/>
        <v>1.2903279827237915</v>
      </c>
      <c r="R373" s="276">
        <f t="shared" si="292"/>
        <v>1.7164816384584867</v>
      </c>
      <c r="S373" s="686">
        <f t="shared" si="293"/>
        <v>1.8450216070498262</v>
      </c>
      <c r="T373" s="685">
        <f t="shared" si="294"/>
        <v>4.5502714104319955</v>
      </c>
      <c r="U373" s="276">
        <f t="shared" si="295"/>
        <v>3.5061859352797802</v>
      </c>
      <c r="V373" s="276">
        <f t="shared" si="296"/>
        <v>3.9171729901698873</v>
      </c>
      <c r="W373" s="276">
        <f t="shared" si="297"/>
        <v>4.0716728596498637</v>
      </c>
      <c r="X373" s="276">
        <f t="shared" si="298"/>
        <v>6.7647864124287409</v>
      </c>
      <c r="Y373" s="686">
        <f t="shared" si="299"/>
        <v>5.6264839179408881</v>
      </c>
      <c r="Z373" s="685" t="e">
        <f t="shared" si="300"/>
        <v>#DIV/0!</v>
      </c>
      <c r="AA373" s="276" t="e">
        <f t="shared" si="301"/>
        <v>#DIV/0!</v>
      </c>
      <c r="AB373" s="276" t="e">
        <f t="shared" si="302"/>
        <v>#DIV/0!</v>
      </c>
      <c r="AC373" s="276" t="e">
        <f t="shared" si="303"/>
        <v>#DIV/0!</v>
      </c>
      <c r="AD373" s="276" t="e">
        <f t="shared" si="304"/>
        <v>#DIV/0!</v>
      </c>
      <c r="AE373" s="686" t="e">
        <f t="shared" si="305"/>
        <v>#DIV/0!</v>
      </c>
      <c r="AF373" s="239"/>
      <c r="AG373" s="965" t="e">
        <f t="shared" si="276"/>
        <v>#VALUE!</v>
      </c>
      <c r="AH373" s="878" t="e">
        <f t="shared" si="277"/>
        <v>#VALUE!</v>
      </c>
      <c r="AI373" s="878" t="e">
        <f t="shared" si="278"/>
        <v>#VALUE!</v>
      </c>
      <c r="AJ373" s="878" t="e">
        <f t="shared" si="279"/>
        <v>#VALUE!</v>
      </c>
      <c r="AK373" s="878" t="e">
        <f t="shared" si="280"/>
        <v>#VALUE!</v>
      </c>
      <c r="AL373" s="966" t="e">
        <f t="shared" si="281"/>
        <v>#VALUE!</v>
      </c>
      <c r="AM373" s="239"/>
      <c r="AO373" s="685">
        <f t="shared" si="306"/>
        <v>-2.5580807395566394</v>
      </c>
      <c r="AP373" s="276">
        <f t="shared" si="307"/>
        <v>-0.57794373686378986</v>
      </c>
      <c r="AQ373" s="276">
        <f t="shared" si="308"/>
        <v>-1.4924866281062601</v>
      </c>
      <c r="AR373" s="276">
        <f t="shared" si="309"/>
        <v>-3.1240038434290209</v>
      </c>
      <c r="AS373" s="276">
        <f t="shared" si="310"/>
        <v>1.6923653889611663</v>
      </c>
      <c r="AT373" s="276">
        <f t="shared" si="311"/>
        <v>-0.55843229941958716</v>
      </c>
      <c r="AU373" s="685">
        <f t="shared" si="312"/>
        <v>1.4037917263795656</v>
      </c>
      <c r="AV373" s="276">
        <f t="shared" si="313"/>
        <v>1.5523646897343182</v>
      </c>
      <c r="AW373" s="276">
        <f t="shared" si="314"/>
        <v>1.4520842077731599</v>
      </c>
      <c r="AX373" s="276">
        <f t="shared" si="315"/>
        <v>1.2903279827237915</v>
      </c>
      <c r="AY373" s="276">
        <f t="shared" si="316"/>
        <v>1.7164816384584867</v>
      </c>
      <c r="AZ373" s="686">
        <f t="shared" si="317"/>
        <v>1.8450216070498262</v>
      </c>
      <c r="BA373" s="685">
        <f t="shared" si="318"/>
        <v>0</v>
      </c>
      <c r="BB373" s="276">
        <f t="shared" si="319"/>
        <v>0</v>
      </c>
      <c r="BC373" s="276">
        <f t="shared" si="320"/>
        <v>0</v>
      </c>
      <c r="BD373" s="276">
        <f t="shared" si="321"/>
        <v>0</v>
      </c>
      <c r="BE373" s="276">
        <f t="shared" si="322"/>
        <v>0</v>
      </c>
      <c r="BF373" s="686">
        <f t="shared" si="323"/>
        <v>0</v>
      </c>
      <c r="BG373" s="685" t="e">
        <f t="shared" si="324"/>
        <v>#DIV/0!</v>
      </c>
      <c r="BH373" s="276" t="e">
        <f t="shared" si="325"/>
        <v>#DIV/0!</v>
      </c>
      <c r="BI373" s="276" t="e">
        <f t="shared" si="326"/>
        <v>#DIV/0!</v>
      </c>
      <c r="BJ373" s="276" t="e">
        <f t="shared" si="327"/>
        <v>#DIV/0!</v>
      </c>
      <c r="BK373" s="276" t="e">
        <f t="shared" si="328"/>
        <v>#DIV/0!</v>
      </c>
      <c r="BL373" s="686" t="e">
        <f t="shared" si="329"/>
        <v>#DIV/0!</v>
      </c>
      <c r="BM373" s="239"/>
      <c r="BN373" s="965" t="e">
        <f t="shared" si="330"/>
        <v>#VALUE!</v>
      </c>
      <c r="BO373" s="878" t="e">
        <f t="shared" si="331"/>
        <v>#VALUE!</v>
      </c>
      <c r="BP373" s="878" t="e">
        <f t="shared" si="332"/>
        <v>#VALUE!</v>
      </c>
      <c r="BQ373" s="878" t="e">
        <f t="shared" si="333"/>
        <v>#VALUE!</v>
      </c>
      <c r="BR373" s="878" t="e">
        <f t="shared" si="334"/>
        <v>#VALUE!</v>
      </c>
      <c r="BS373" s="966" t="e">
        <f t="shared" si="335"/>
        <v>#VALUE!</v>
      </c>
    </row>
    <row r="374" spans="1:71">
      <c r="A374" s="284">
        <f t="shared" si="336"/>
        <v>306</v>
      </c>
      <c r="B374" s="285">
        <v>2.335436062937053</v>
      </c>
      <c r="C374" s="285">
        <v>2.9356318949188278</v>
      </c>
      <c r="D374" s="285">
        <v>-0.55060264414365312</v>
      </c>
      <c r="E374" s="285">
        <v>0.38963780414569316</v>
      </c>
      <c r="H374" s="685">
        <f t="shared" si="282"/>
        <v>1.2022022211679981</v>
      </c>
      <c r="I374" s="276">
        <f t="shared" si="283"/>
        <v>-2.9134259137055833</v>
      </c>
      <c r="J374" s="276">
        <f t="shared" si="284"/>
        <v>1.8105670453232692</v>
      </c>
      <c r="K374" s="276">
        <f t="shared" si="285"/>
        <v>-3.3342314251101817</v>
      </c>
      <c r="L374" s="276">
        <f t="shared" si="286"/>
        <v>0.23979830111009903</v>
      </c>
      <c r="M374" s="276">
        <f t="shared" si="287"/>
        <v>-2.591789180167396</v>
      </c>
      <c r="N374" s="685">
        <f t="shared" si="288"/>
        <v>1.7284606839469594</v>
      </c>
      <c r="O374" s="276">
        <f t="shared" si="289"/>
        <v>1.4150698016001237</v>
      </c>
      <c r="P374" s="276">
        <f t="shared" si="290"/>
        <v>1.7155880978937683</v>
      </c>
      <c r="Q374" s="276">
        <f t="shared" si="291"/>
        <v>1.0315122762126758</v>
      </c>
      <c r="R374" s="276">
        <f t="shared" si="292"/>
        <v>1.7522533816306842</v>
      </c>
      <c r="S374" s="686">
        <f t="shared" si="293"/>
        <v>1.8023862412724625</v>
      </c>
      <c r="T374" s="685">
        <f t="shared" si="294"/>
        <v>2.7277610461272728</v>
      </c>
      <c r="U374" s="276">
        <f t="shared" si="295"/>
        <v>4.4377342900901589</v>
      </c>
      <c r="V374" s="276">
        <f t="shared" si="296"/>
        <v>5.3433423337685388</v>
      </c>
      <c r="W374" s="276">
        <f t="shared" si="297"/>
        <v>7.4024880705980109</v>
      </c>
      <c r="X374" s="276">
        <f t="shared" si="298"/>
        <v>3.1120068117796187</v>
      </c>
      <c r="Y374" s="686">
        <f t="shared" si="299"/>
        <v>3.2657854984257586</v>
      </c>
      <c r="Z374" s="685" t="e">
        <f t="shared" si="300"/>
        <v>#DIV/0!</v>
      </c>
      <c r="AA374" s="276" t="e">
        <f t="shared" si="301"/>
        <v>#DIV/0!</v>
      </c>
      <c r="AB374" s="276" t="e">
        <f t="shared" si="302"/>
        <v>#DIV/0!</v>
      </c>
      <c r="AC374" s="276" t="e">
        <f t="shared" si="303"/>
        <v>#DIV/0!</v>
      </c>
      <c r="AD374" s="276" t="e">
        <f t="shared" si="304"/>
        <v>#DIV/0!</v>
      </c>
      <c r="AE374" s="686" t="e">
        <f t="shared" si="305"/>
        <v>#DIV/0!</v>
      </c>
      <c r="AF374" s="239"/>
      <c r="AG374" s="965" t="e">
        <f t="shared" si="276"/>
        <v>#VALUE!</v>
      </c>
      <c r="AH374" s="878" t="e">
        <f t="shared" si="277"/>
        <v>#VALUE!</v>
      </c>
      <c r="AI374" s="878" t="e">
        <f t="shared" si="278"/>
        <v>#VALUE!</v>
      </c>
      <c r="AJ374" s="878" t="e">
        <f t="shared" si="279"/>
        <v>#VALUE!</v>
      </c>
      <c r="AK374" s="878" t="e">
        <f t="shared" si="280"/>
        <v>#VALUE!</v>
      </c>
      <c r="AL374" s="966" t="e">
        <f t="shared" si="281"/>
        <v>#VALUE!</v>
      </c>
      <c r="AM374" s="239"/>
      <c r="AO374" s="685">
        <f t="shared" si="306"/>
        <v>1.2022022211679981</v>
      </c>
      <c r="AP374" s="276">
        <f t="shared" si="307"/>
        <v>-2.9134259137055833</v>
      </c>
      <c r="AQ374" s="276">
        <f t="shared" si="308"/>
        <v>1.8105670453232692</v>
      </c>
      <c r="AR374" s="276">
        <f t="shared" si="309"/>
        <v>-3.3342314251101817</v>
      </c>
      <c r="AS374" s="276">
        <f t="shared" si="310"/>
        <v>0.23979830111009903</v>
      </c>
      <c r="AT374" s="276">
        <f t="shared" si="311"/>
        <v>-2.591789180167396</v>
      </c>
      <c r="AU374" s="685">
        <f t="shared" si="312"/>
        <v>1.7284606839469594</v>
      </c>
      <c r="AV374" s="276">
        <f t="shared" si="313"/>
        <v>1.4150698016001237</v>
      </c>
      <c r="AW374" s="276">
        <f t="shared" si="314"/>
        <v>1.7155880978937683</v>
      </c>
      <c r="AX374" s="276">
        <f t="shared" si="315"/>
        <v>1.0315122762126758</v>
      </c>
      <c r="AY374" s="276">
        <f t="shared" si="316"/>
        <v>1.7522533816306842</v>
      </c>
      <c r="AZ374" s="686">
        <f t="shared" si="317"/>
        <v>1.8023862412724625</v>
      </c>
      <c r="BA374" s="685">
        <f t="shared" si="318"/>
        <v>0</v>
      </c>
      <c r="BB374" s="276">
        <f t="shared" si="319"/>
        <v>0</v>
      </c>
      <c r="BC374" s="276">
        <f t="shared" si="320"/>
        <v>0</v>
      </c>
      <c r="BD374" s="276">
        <f t="shared" si="321"/>
        <v>0</v>
      </c>
      <c r="BE374" s="276">
        <f t="shared" si="322"/>
        <v>0</v>
      </c>
      <c r="BF374" s="686">
        <f t="shared" si="323"/>
        <v>0</v>
      </c>
      <c r="BG374" s="685" t="e">
        <f t="shared" si="324"/>
        <v>#DIV/0!</v>
      </c>
      <c r="BH374" s="276" t="e">
        <f t="shared" si="325"/>
        <v>#DIV/0!</v>
      </c>
      <c r="BI374" s="276" t="e">
        <f t="shared" si="326"/>
        <v>#DIV/0!</v>
      </c>
      <c r="BJ374" s="276" t="e">
        <f t="shared" si="327"/>
        <v>#DIV/0!</v>
      </c>
      <c r="BK374" s="276" t="e">
        <f t="shared" si="328"/>
        <v>#DIV/0!</v>
      </c>
      <c r="BL374" s="686" t="e">
        <f t="shared" si="329"/>
        <v>#DIV/0!</v>
      </c>
      <c r="BM374" s="239"/>
      <c r="BN374" s="965" t="e">
        <f t="shared" si="330"/>
        <v>#VALUE!</v>
      </c>
      <c r="BO374" s="878" t="e">
        <f t="shared" si="331"/>
        <v>#VALUE!</v>
      </c>
      <c r="BP374" s="878" t="e">
        <f t="shared" si="332"/>
        <v>#VALUE!</v>
      </c>
      <c r="BQ374" s="878" t="e">
        <f t="shared" si="333"/>
        <v>#VALUE!</v>
      </c>
      <c r="BR374" s="878" t="e">
        <f t="shared" si="334"/>
        <v>#VALUE!</v>
      </c>
      <c r="BS374" s="966" t="e">
        <f t="shared" si="335"/>
        <v>#VALUE!</v>
      </c>
    </row>
    <row r="375" spans="1:71">
      <c r="A375" s="284">
        <f t="shared" si="336"/>
        <v>307</v>
      </c>
      <c r="B375" s="285">
        <v>0.35554315071719667</v>
      </c>
      <c r="C375" s="285">
        <v>2.2444520036924915</v>
      </c>
      <c r="D375" s="285">
        <v>1.1038300736827598</v>
      </c>
      <c r="E375" s="285">
        <v>-4.7113193529982906</v>
      </c>
      <c r="H375" s="685">
        <f t="shared" si="282"/>
        <v>-0.77769069105185817</v>
      </c>
      <c r="I375" s="276">
        <f t="shared" si="283"/>
        <v>-0.84945554009173385</v>
      </c>
      <c r="J375" s="276">
        <f t="shared" si="284"/>
        <v>0.66819428693780258</v>
      </c>
      <c r="K375" s="276">
        <f t="shared" si="285"/>
        <v>-4.2578091499027186</v>
      </c>
      <c r="L375" s="276">
        <f t="shared" si="286"/>
        <v>-1.7745457767355119</v>
      </c>
      <c r="M375" s="276">
        <f t="shared" si="287"/>
        <v>2.5919428972452208</v>
      </c>
      <c r="N375" s="685">
        <f t="shared" si="288"/>
        <v>1.0372807927206231</v>
      </c>
      <c r="O375" s="276">
        <f t="shared" si="289"/>
        <v>1.6293924749310011</v>
      </c>
      <c r="P375" s="276">
        <f t="shared" si="290"/>
        <v>1.4613182509901883</v>
      </c>
      <c r="Q375" s="276">
        <f t="shared" si="291"/>
        <v>0.83824474628656875</v>
      </c>
      <c r="R375" s="276">
        <f t="shared" si="292"/>
        <v>0.80523444420003965</v>
      </c>
      <c r="S375" s="686">
        <f t="shared" si="293"/>
        <v>1.3638310680773451</v>
      </c>
      <c r="T375" s="685">
        <f t="shared" si="294"/>
        <v>4.3821937639536852</v>
      </c>
      <c r="U375" s="276">
        <f t="shared" si="295"/>
        <v>5.0804457331802784</v>
      </c>
      <c r="V375" s="276">
        <f t="shared" si="296"/>
        <v>6.5495622725663099</v>
      </c>
      <c r="W375" s="276">
        <f t="shared" si="297"/>
        <v>3.2987069245805456</v>
      </c>
      <c r="X375" s="276">
        <f t="shared" si="298"/>
        <v>4.6754222846048012</v>
      </c>
      <c r="Y375" s="686">
        <f t="shared" si="299"/>
        <v>5.253516860381124</v>
      </c>
      <c r="Z375" s="685" t="e">
        <f t="shared" si="300"/>
        <v>#DIV/0!</v>
      </c>
      <c r="AA375" s="276" t="e">
        <f t="shared" si="301"/>
        <v>#DIV/0!</v>
      </c>
      <c r="AB375" s="276" t="e">
        <f t="shared" si="302"/>
        <v>#DIV/0!</v>
      </c>
      <c r="AC375" s="276" t="e">
        <f t="shared" si="303"/>
        <v>#DIV/0!</v>
      </c>
      <c r="AD375" s="276" t="e">
        <f t="shared" si="304"/>
        <v>#DIV/0!</v>
      </c>
      <c r="AE375" s="686" t="e">
        <f t="shared" si="305"/>
        <v>#DIV/0!</v>
      </c>
      <c r="AF375" s="239"/>
      <c r="AG375" s="965" t="e">
        <f t="shared" si="276"/>
        <v>#VALUE!</v>
      </c>
      <c r="AH375" s="878" t="e">
        <f t="shared" si="277"/>
        <v>#VALUE!</v>
      </c>
      <c r="AI375" s="878" t="e">
        <f t="shared" si="278"/>
        <v>#VALUE!</v>
      </c>
      <c r="AJ375" s="878" t="e">
        <f t="shared" si="279"/>
        <v>#VALUE!</v>
      </c>
      <c r="AK375" s="878" t="e">
        <f t="shared" si="280"/>
        <v>#VALUE!</v>
      </c>
      <c r="AL375" s="966" t="e">
        <f t="shared" si="281"/>
        <v>#VALUE!</v>
      </c>
      <c r="AM375" s="239"/>
      <c r="AO375" s="685">
        <f t="shared" si="306"/>
        <v>-0.77769069105185817</v>
      </c>
      <c r="AP375" s="276">
        <f t="shared" si="307"/>
        <v>-0.84945554009173385</v>
      </c>
      <c r="AQ375" s="276">
        <f t="shared" si="308"/>
        <v>0.66819428693780258</v>
      </c>
      <c r="AR375" s="276">
        <f t="shared" si="309"/>
        <v>-4.2578091499027186</v>
      </c>
      <c r="AS375" s="276">
        <f t="shared" si="310"/>
        <v>-1.7745457767355119</v>
      </c>
      <c r="AT375" s="276">
        <f t="shared" si="311"/>
        <v>2.5919428972452208</v>
      </c>
      <c r="AU375" s="685">
        <f t="shared" si="312"/>
        <v>1.0372807927206231</v>
      </c>
      <c r="AV375" s="276">
        <f t="shared" si="313"/>
        <v>1.6293924749310011</v>
      </c>
      <c r="AW375" s="276">
        <f t="shared" si="314"/>
        <v>1.4613182509901883</v>
      </c>
      <c r="AX375" s="276">
        <f t="shared" si="315"/>
        <v>0.83824474628656875</v>
      </c>
      <c r="AY375" s="276">
        <f t="shared" si="316"/>
        <v>0.80523444420003965</v>
      </c>
      <c r="AZ375" s="686">
        <f t="shared" si="317"/>
        <v>1.3638310680773451</v>
      </c>
      <c r="BA375" s="685">
        <f t="shared" si="318"/>
        <v>0</v>
      </c>
      <c r="BB375" s="276">
        <f t="shared" si="319"/>
        <v>0</v>
      </c>
      <c r="BC375" s="276">
        <f t="shared" si="320"/>
        <v>0</v>
      </c>
      <c r="BD375" s="276">
        <f t="shared" si="321"/>
        <v>0</v>
      </c>
      <c r="BE375" s="276">
        <f t="shared" si="322"/>
        <v>0</v>
      </c>
      <c r="BF375" s="686">
        <f t="shared" si="323"/>
        <v>0</v>
      </c>
      <c r="BG375" s="685" t="e">
        <f t="shared" si="324"/>
        <v>#DIV/0!</v>
      </c>
      <c r="BH375" s="276" t="e">
        <f t="shared" si="325"/>
        <v>#DIV/0!</v>
      </c>
      <c r="BI375" s="276" t="e">
        <f t="shared" si="326"/>
        <v>#DIV/0!</v>
      </c>
      <c r="BJ375" s="276" t="e">
        <f t="shared" si="327"/>
        <v>#DIV/0!</v>
      </c>
      <c r="BK375" s="276" t="e">
        <f t="shared" si="328"/>
        <v>#DIV/0!</v>
      </c>
      <c r="BL375" s="686" t="e">
        <f t="shared" si="329"/>
        <v>#DIV/0!</v>
      </c>
      <c r="BM375" s="239"/>
      <c r="BN375" s="965" t="e">
        <f t="shared" si="330"/>
        <v>#VALUE!</v>
      </c>
      <c r="BO375" s="878" t="e">
        <f t="shared" si="331"/>
        <v>#VALUE!</v>
      </c>
      <c r="BP375" s="878" t="e">
        <f t="shared" si="332"/>
        <v>#VALUE!</v>
      </c>
      <c r="BQ375" s="878" t="e">
        <f t="shared" si="333"/>
        <v>#VALUE!</v>
      </c>
      <c r="BR375" s="878" t="e">
        <f t="shared" si="334"/>
        <v>#VALUE!</v>
      </c>
      <c r="BS375" s="966" t="e">
        <f t="shared" si="335"/>
        <v>#VALUE!</v>
      </c>
    </row>
    <row r="376" spans="1:71">
      <c r="A376" s="284">
        <f t="shared" si="336"/>
        <v>308</v>
      </c>
      <c r="B376" s="285">
        <v>0.78475553306601953</v>
      </c>
      <c r="C376" s="285">
        <v>2.0104314097983229</v>
      </c>
      <c r="D376" s="285">
        <v>2.2475344872606189</v>
      </c>
      <c r="E376" s="285">
        <v>-15.581181567008475</v>
      </c>
      <c r="H376" s="685">
        <f t="shared" si="282"/>
        <v>-0.34847830870303531</v>
      </c>
      <c r="I376" s="276">
        <f t="shared" si="283"/>
        <v>-1.1278456298092812</v>
      </c>
      <c r="J376" s="276">
        <f t="shared" si="284"/>
        <v>0.99800119619580641</v>
      </c>
      <c r="K376" s="276">
        <f t="shared" si="285"/>
        <v>-4.526839217476649</v>
      </c>
      <c r="L376" s="276">
        <f t="shared" si="286"/>
        <v>-3.5492627278705839</v>
      </c>
      <c r="M376" s="276">
        <f t="shared" si="287"/>
        <v>1.5140403453092317</v>
      </c>
      <c r="N376" s="685">
        <f t="shared" si="288"/>
        <v>0.8032601988264545</v>
      </c>
      <c r="O376" s="276">
        <f t="shared" si="289"/>
        <v>1.3327865458284436</v>
      </c>
      <c r="P376" s="276">
        <f t="shared" si="290"/>
        <v>2.4380507521315522</v>
      </c>
      <c r="Q376" s="276">
        <f t="shared" si="291"/>
        <v>0.77073300357629848</v>
      </c>
      <c r="R376" s="276">
        <f t="shared" si="292"/>
        <v>1.7851513290277923</v>
      </c>
      <c r="S376" s="686">
        <f t="shared" si="293"/>
        <v>1.7017542976213071</v>
      </c>
      <c r="T376" s="685">
        <f t="shared" si="294"/>
        <v>5.5258981775315448</v>
      </c>
      <c r="U376" s="276">
        <f t="shared" si="295"/>
        <v>6.7920278632504179</v>
      </c>
      <c r="V376" s="276">
        <f t="shared" si="296"/>
        <v>5.4731421401171048</v>
      </c>
      <c r="W376" s="276">
        <f t="shared" si="297"/>
        <v>3.4345632494479688</v>
      </c>
      <c r="X376" s="276">
        <f t="shared" si="298"/>
        <v>2.3360498537017089</v>
      </c>
      <c r="Y376" s="686">
        <f t="shared" si="299"/>
        <v>5.9746882509813108</v>
      </c>
      <c r="Z376" s="685" t="e">
        <f t="shared" si="300"/>
        <v>#DIV/0!</v>
      </c>
      <c r="AA376" s="276" t="e">
        <f t="shared" si="301"/>
        <v>#DIV/0!</v>
      </c>
      <c r="AB376" s="276" t="e">
        <f t="shared" si="302"/>
        <v>#DIV/0!</v>
      </c>
      <c r="AC376" s="276" t="e">
        <f t="shared" si="303"/>
        <v>#DIV/0!</v>
      </c>
      <c r="AD376" s="276" t="e">
        <f t="shared" si="304"/>
        <v>#DIV/0!</v>
      </c>
      <c r="AE376" s="686" t="e">
        <f t="shared" si="305"/>
        <v>#DIV/0!</v>
      </c>
      <c r="AF376" s="239"/>
      <c r="AG376" s="965" t="e">
        <f t="shared" si="276"/>
        <v>#VALUE!</v>
      </c>
      <c r="AH376" s="878" t="e">
        <f t="shared" si="277"/>
        <v>#VALUE!</v>
      </c>
      <c r="AI376" s="878" t="e">
        <f t="shared" si="278"/>
        <v>#VALUE!</v>
      </c>
      <c r="AJ376" s="878" t="e">
        <f t="shared" si="279"/>
        <v>#VALUE!</v>
      </c>
      <c r="AK376" s="878" t="e">
        <f t="shared" si="280"/>
        <v>#VALUE!</v>
      </c>
      <c r="AL376" s="966" t="e">
        <f t="shared" si="281"/>
        <v>#VALUE!</v>
      </c>
      <c r="AM376" s="239"/>
      <c r="AO376" s="685">
        <f t="shared" si="306"/>
        <v>-0.34847830870303531</v>
      </c>
      <c r="AP376" s="276">
        <f t="shared" si="307"/>
        <v>-1.1278456298092812</v>
      </c>
      <c r="AQ376" s="276">
        <f t="shared" si="308"/>
        <v>0.99800119619580641</v>
      </c>
      <c r="AR376" s="276">
        <f t="shared" si="309"/>
        <v>-4.526839217476649</v>
      </c>
      <c r="AS376" s="276">
        <f t="shared" si="310"/>
        <v>-3.5492627278705839</v>
      </c>
      <c r="AT376" s="276">
        <f t="shared" si="311"/>
        <v>1.5140403453092317</v>
      </c>
      <c r="AU376" s="685">
        <f t="shared" si="312"/>
        <v>0.8032601988264545</v>
      </c>
      <c r="AV376" s="276">
        <f t="shared" si="313"/>
        <v>1.3327865458284436</v>
      </c>
      <c r="AW376" s="276">
        <f t="shared" si="314"/>
        <v>2.4380507521315522</v>
      </c>
      <c r="AX376" s="276">
        <f t="shared" si="315"/>
        <v>0.77073300357629848</v>
      </c>
      <c r="AY376" s="276">
        <f t="shared" si="316"/>
        <v>1.7851513290277923</v>
      </c>
      <c r="AZ376" s="686">
        <f t="shared" si="317"/>
        <v>1.7017542976213071</v>
      </c>
      <c r="BA376" s="685">
        <f t="shared" si="318"/>
        <v>0</v>
      </c>
      <c r="BB376" s="276">
        <f t="shared" si="319"/>
        <v>0</v>
      </c>
      <c r="BC376" s="276">
        <f t="shared" si="320"/>
        <v>0</v>
      </c>
      <c r="BD376" s="276">
        <f t="shared" si="321"/>
        <v>0</v>
      </c>
      <c r="BE376" s="276">
        <f t="shared" si="322"/>
        <v>0</v>
      </c>
      <c r="BF376" s="686">
        <f t="shared" si="323"/>
        <v>0</v>
      </c>
      <c r="BG376" s="685" t="e">
        <f t="shared" si="324"/>
        <v>#DIV/0!</v>
      </c>
      <c r="BH376" s="276" t="e">
        <f t="shared" si="325"/>
        <v>#DIV/0!</v>
      </c>
      <c r="BI376" s="276" t="e">
        <f t="shared" si="326"/>
        <v>#DIV/0!</v>
      </c>
      <c r="BJ376" s="276" t="e">
        <f t="shared" si="327"/>
        <v>#DIV/0!</v>
      </c>
      <c r="BK376" s="276" t="e">
        <f t="shared" si="328"/>
        <v>#DIV/0!</v>
      </c>
      <c r="BL376" s="686" t="e">
        <f t="shared" si="329"/>
        <v>#DIV/0!</v>
      </c>
      <c r="BM376" s="239"/>
      <c r="BN376" s="965" t="e">
        <f t="shared" si="330"/>
        <v>#VALUE!</v>
      </c>
      <c r="BO376" s="878" t="e">
        <f t="shared" si="331"/>
        <v>#VALUE!</v>
      </c>
      <c r="BP376" s="878" t="e">
        <f t="shared" si="332"/>
        <v>#VALUE!</v>
      </c>
      <c r="BQ376" s="878" t="e">
        <f t="shared" si="333"/>
        <v>#VALUE!</v>
      </c>
      <c r="BR376" s="878" t="e">
        <f t="shared" si="334"/>
        <v>#VALUE!</v>
      </c>
      <c r="BS376" s="966" t="e">
        <f t="shared" si="335"/>
        <v>#VALUE!</v>
      </c>
    </row>
    <row r="377" spans="1:71">
      <c r="A377" s="284">
        <f t="shared" si="336"/>
        <v>309</v>
      </c>
      <c r="B377" s="285">
        <v>-0.22914159747780563</v>
      </c>
      <c r="C377" s="285">
        <v>2.4137433782542832</v>
      </c>
      <c r="D377" s="285">
        <v>0.57146700452952937</v>
      </c>
      <c r="E377" s="285">
        <v>-16.675944843898826</v>
      </c>
      <c r="H377" s="685">
        <f t="shared" si="282"/>
        <v>-1.3623754392468606</v>
      </c>
      <c r="I377" s="276">
        <f t="shared" si="283"/>
        <v>-4.7517243262431563</v>
      </c>
      <c r="J377" s="276">
        <f t="shared" si="284"/>
        <v>2.9732545044842675</v>
      </c>
      <c r="K377" s="276">
        <f t="shared" si="285"/>
        <v>-2.7028674198289968</v>
      </c>
      <c r="L377" s="276">
        <f t="shared" si="286"/>
        <v>-2.4580464456328599</v>
      </c>
      <c r="M377" s="276">
        <f t="shared" si="287"/>
        <v>-2.0007154670510028</v>
      </c>
      <c r="N377" s="685">
        <f t="shared" si="288"/>
        <v>1.2065721672824148</v>
      </c>
      <c r="O377" s="276">
        <f t="shared" si="289"/>
        <v>0.86513658662627102</v>
      </c>
      <c r="P377" s="276">
        <f t="shared" si="290"/>
        <v>1.8312278236394162</v>
      </c>
      <c r="Q377" s="276">
        <f t="shared" si="291"/>
        <v>2.3554377724616549E-2</v>
      </c>
      <c r="R377" s="276">
        <f t="shared" si="292"/>
        <v>1.7745374200823398</v>
      </c>
      <c r="S377" s="686">
        <f t="shared" si="293"/>
        <v>1.0564539329614344</v>
      </c>
      <c r="T377" s="685">
        <f t="shared" si="294"/>
        <v>3.8498306948004553</v>
      </c>
      <c r="U377" s="276">
        <f t="shared" si="295"/>
        <v>2.9720596359455618</v>
      </c>
      <c r="V377" s="276">
        <f t="shared" si="296"/>
        <v>5.0890065989381021</v>
      </c>
      <c r="W377" s="276">
        <f t="shared" si="297"/>
        <v>5.4389703191998624</v>
      </c>
      <c r="X377" s="276">
        <f t="shared" si="298"/>
        <v>4.7513895598978362</v>
      </c>
      <c r="Y377" s="686">
        <f t="shared" si="299"/>
        <v>4.2498752871080843</v>
      </c>
      <c r="Z377" s="685" t="e">
        <f t="shared" si="300"/>
        <v>#DIV/0!</v>
      </c>
      <c r="AA377" s="276" t="e">
        <f t="shared" si="301"/>
        <v>#DIV/0!</v>
      </c>
      <c r="AB377" s="276" t="e">
        <f t="shared" si="302"/>
        <v>#DIV/0!</v>
      </c>
      <c r="AC377" s="276" t="e">
        <f t="shared" si="303"/>
        <v>#DIV/0!</v>
      </c>
      <c r="AD377" s="276" t="e">
        <f t="shared" si="304"/>
        <v>#DIV/0!</v>
      </c>
      <c r="AE377" s="686" t="e">
        <f t="shared" si="305"/>
        <v>#DIV/0!</v>
      </c>
      <c r="AF377" s="239"/>
      <c r="AG377" s="965" t="e">
        <f t="shared" si="276"/>
        <v>#VALUE!</v>
      </c>
      <c r="AH377" s="878" t="e">
        <f t="shared" si="277"/>
        <v>#VALUE!</v>
      </c>
      <c r="AI377" s="878" t="e">
        <f t="shared" si="278"/>
        <v>#VALUE!</v>
      </c>
      <c r="AJ377" s="878" t="e">
        <f t="shared" si="279"/>
        <v>#VALUE!</v>
      </c>
      <c r="AK377" s="878" t="e">
        <f t="shared" si="280"/>
        <v>#VALUE!</v>
      </c>
      <c r="AL377" s="966" t="e">
        <f t="shared" si="281"/>
        <v>#VALUE!</v>
      </c>
      <c r="AM377" s="239"/>
      <c r="AO377" s="685">
        <f t="shared" si="306"/>
        <v>-1.3623754392468606</v>
      </c>
      <c r="AP377" s="276">
        <f t="shared" si="307"/>
        <v>-4.7517243262431563</v>
      </c>
      <c r="AQ377" s="276">
        <f t="shared" si="308"/>
        <v>2.9732545044842675</v>
      </c>
      <c r="AR377" s="276">
        <f t="shared" si="309"/>
        <v>-2.7028674198289968</v>
      </c>
      <c r="AS377" s="276">
        <f t="shared" si="310"/>
        <v>-2.4580464456328599</v>
      </c>
      <c r="AT377" s="276">
        <f t="shared" si="311"/>
        <v>-2.0007154670510028</v>
      </c>
      <c r="AU377" s="685">
        <f t="shared" si="312"/>
        <v>1.2065721672824148</v>
      </c>
      <c r="AV377" s="276">
        <f t="shared" si="313"/>
        <v>0.86513658662627102</v>
      </c>
      <c r="AW377" s="276">
        <f t="shared" si="314"/>
        <v>1.8312278236394162</v>
      </c>
      <c r="AX377" s="276">
        <f t="shared" si="315"/>
        <v>2.3554377724616549E-2</v>
      </c>
      <c r="AY377" s="276">
        <f t="shared" si="316"/>
        <v>1.7745374200823398</v>
      </c>
      <c r="AZ377" s="686">
        <f t="shared" si="317"/>
        <v>1.0564539329614344</v>
      </c>
      <c r="BA377" s="685">
        <f t="shared" si="318"/>
        <v>0</v>
      </c>
      <c r="BB377" s="276">
        <f t="shared" si="319"/>
        <v>0</v>
      </c>
      <c r="BC377" s="276">
        <f t="shared" si="320"/>
        <v>0</v>
      </c>
      <c r="BD377" s="276">
        <f t="shared" si="321"/>
        <v>0</v>
      </c>
      <c r="BE377" s="276">
        <f t="shared" si="322"/>
        <v>0</v>
      </c>
      <c r="BF377" s="686">
        <f t="shared" si="323"/>
        <v>0</v>
      </c>
      <c r="BG377" s="685" t="e">
        <f t="shared" si="324"/>
        <v>#DIV/0!</v>
      </c>
      <c r="BH377" s="276" t="e">
        <f t="shared" si="325"/>
        <v>#DIV/0!</v>
      </c>
      <c r="BI377" s="276" t="e">
        <f t="shared" si="326"/>
        <v>#DIV/0!</v>
      </c>
      <c r="BJ377" s="276" t="e">
        <f t="shared" si="327"/>
        <v>#DIV/0!</v>
      </c>
      <c r="BK377" s="276" t="e">
        <f t="shared" si="328"/>
        <v>#DIV/0!</v>
      </c>
      <c r="BL377" s="686" t="e">
        <f t="shared" si="329"/>
        <v>#DIV/0!</v>
      </c>
      <c r="BM377" s="239"/>
      <c r="BN377" s="965" t="e">
        <f t="shared" si="330"/>
        <v>#VALUE!</v>
      </c>
      <c r="BO377" s="878" t="e">
        <f t="shared" si="331"/>
        <v>#VALUE!</v>
      </c>
      <c r="BP377" s="878" t="e">
        <f t="shared" si="332"/>
        <v>#VALUE!</v>
      </c>
      <c r="BQ377" s="878" t="e">
        <f t="shared" si="333"/>
        <v>#VALUE!</v>
      </c>
      <c r="BR377" s="878" t="e">
        <f t="shared" si="334"/>
        <v>#VALUE!</v>
      </c>
      <c r="BS377" s="966" t="e">
        <f t="shared" si="335"/>
        <v>#VALUE!</v>
      </c>
    </row>
    <row r="378" spans="1:71">
      <c r="A378" s="284">
        <f t="shared" si="336"/>
        <v>310</v>
      </c>
      <c r="B378" s="285">
        <v>3.1975245434433051</v>
      </c>
      <c r="C378" s="285">
        <v>2.1190927464515963</v>
      </c>
      <c r="D378" s="285">
        <v>2.4071018853833595</v>
      </c>
      <c r="E378" s="285">
        <v>-13.622842141944192</v>
      </c>
      <c r="H378" s="685">
        <f t="shared" si="282"/>
        <v>2.06429070167425</v>
      </c>
      <c r="I378" s="276">
        <f t="shared" si="283"/>
        <v>-2.0114223479954179</v>
      </c>
      <c r="J378" s="276">
        <f t="shared" si="284"/>
        <v>5.8440450037044185</v>
      </c>
      <c r="K378" s="276">
        <f t="shared" si="285"/>
        <v>-5.2797907865780376</v>
      </c>
      <c r="L378" s="276">
        <f t="shared" si="286"/>
        <v>-2.2449782683880199</v>
      </c>
      <c r="M378" s="276">
        <f t="shared" si="287"/>
        <v>-1.613209130086529</v>
      </c>
      <c r="N378" s="685">
        <f t="shared" si="288"/>
        <v>0.91192153547972787</v>
      </c>
      <c r="O378" s="276">
        <f t="shared" si="289"/>
        <v>0.73871842041832814</v>
      </c>
      <c r="P378" s="276">
        <f t="shared" si="290"/>
        <v>2.2187137345931021</v>
      </c>
      <c r="Q378" s="276">
        <f t="shared" si="291"/>
        <v>-0.35259252027263699</v>
      </c>
      <c r="R378" s="276">
        <f t="shared" si="292"/>
        <v>0.26775732804092889</v>
      </c>
      <c r="S378" s="686">
        <f t="shared" si="293"/>
        <v>1.7995081634378802</v>
      </c>
      <c r="T378" s="685">
        <f t="shared" si="294"/>
        <v>5.6854655756542858</v>
      </c>
      <c r="U378" s="276">
        <f t="shared" si="295"/>
        <v>5.1700888982114366</v>
      </c>
      <c r="V378" s="276">
        <f t="shared" si="296"/>
        <v>4.9314593052796587</v>
      </c>
      <c r="W378" s="276">
        <f t="shared" si="297"/>
        <v>4.4361513827294541</v>
      </c>
      <c r="X378" s="276">
        <f t="shared" si="298"/>
        <v>2.3455110156469634</v>
      </c>
      <c r="Y378" s="686">
        <f t="shared" si="299"/>
        <v>4.7515634606417185</v>
      </c>
      <c r="Z378" s="685" t="e">
        <f t="shared" si="300"/>
        <v>#DIV/0!</v>
      </c>
      <c r="AA378" s="276" t="e">
        <f t="shared" si="301"/>
        <v>#DIV/0!</v>
      </c>
      <c r="AB378" s="276" t="e">
        <f t="shared" si="302"/>
        <v>#DIV/0!</v>
      </c>
      <c r="AC378" s="276" t="e">
        <f t="shared" si="303"/>
        <v>#DIV/0!</v>
      </c>
      <c r="AD378" s="276" t="e">
        <f t="shared" si="304"/>
        <v>#DIV/0!</v>
      </c>
      <c r="AE378" s="686" t="e">
        <f t="shared" si="305"/>
        <v>#DIV/0!</v>
      </c>
      <c r="AF378" s="239"/>
      <c r="AG378" s="965" t="e">
        <f t="shared" si="276"/>
        <v>#VALUE!</v>
      </c>
      <c r="AH378" s="878" t="e">
        <f t="shared" si="277"/>
        <v>#VALUE!</v>
      </c>
      <c r="AI378" s="878" t="e">
        <f t="shared" si="278"/>
        <v>#VALUE!</v>
      </c>
      <c r="AJ378" s="878" t="e">
        <f t="shared" si="279"/>
        <v>#VALUE!</v>
      </c>
      <c r="AK378" s="878" t="e">
        <f t="shared" si="280"/>
        <v>#VALUE!</v>
      </c>
      <c r="AL378" s="966" t="e">
        <f t="shared" si="281"/>
        <v>#VALUE!</v>
      </c>
      <c r="AM378" s="239"/>
      <c r="AO378" s="685">
        <f t="shared" si="306"/>
        <v>2.06429070167425</v>
      </c>
      <c r="AP378" s="276">
        <f t="shared" si="307"/>
        <v>-2.0114223479954179</v>
      </c>
      <c r="AQ378" s="276">
        <f t="shared" si="308"/>
        <v>5.8440450037044185</v>
      </c>
      <c r="AR378" s="276">
        <f t="shared" si="309"/>
        <v>-5.2797907865780376</v>
      </c>
      <c r="AS378" s="276">
        <f t="shared" si="310"/>
        <v>-2.2449782683880199</v>
      </c>
      <c r="AT378" s="276">
        <f t="shared" si="311"/>
        <v>-1.613209130086529</v>
      </c>
      <c r="AU378" s="685">
        <f t="shared" si="312"/>
        <v>0.91192153547972787</v>
      </c>
      <c r="AV378" s="276">
        <f t="shared" si="313"/>
        <v>0.73871842041832814</v>
      </c>
      <c r="AW378" s="276">
        <f t="shared" si="314"/>
        <v>2.2187137345931021</v>
      </c>
      <c r="AX378" s="276">
        <f t="shared" si="315"/>
        <v>-0.35259252027263699</v>
      </c>
      <c r="AY378" s="276">
        <f t="shared" si="316"/>
        <v>0.26775732804092889</v>
      </c>
      <c r="AZ378" s="686">
        <f t="shared" si="317"/>
        <v>1.7995081634378802</v>
      </c>
      <c r="BA378" s="685">
        <f t="shared" si="318"/>
        <v>0</v>
      </c>
      <c r="BB378" s="276">
        <f t="shared" si="319"/>
        <v>0</v>
      </c>
      <c r="BC378" s="276">
        <f t="shared" si="320"/>
        <v>0</v>
      </c>
      <c r="BD378" s="276">
        <f t="shared" si="321"/>
        <v>0</v>
      </c>
      <c r="BE378" s="276">
        <f t="shared" si="322"/>
        <v>0</v>
      </c>
      <c r="BF378" s="686">
        <f t="shared" si="323"/>
        <v>0</v>
      </c>
      <c r="BG378" s="685" t="e">
        <f t="shared" si="324"/>
        <v>#DIV/0!</v>
      </c>
      <c r="BH378" s="276" t="e">
        <f t="shared" si="325"/>
        <v>#DIV/0!</v>
      </c>
      <c r="BI378" s="276" t="e">
        <f t="shared" si="326"/>
        <v>#DIV/0!</v>
      </c>
      <c r="BJ378" s="276" t="e">
        <f t="shared" si="327"/>
        <v>#DIV/0!</v>
      </c>
      <c r="BK378" s="276" t="e">
        <f t="shared" si="328"/>
        <v>#DIV/0!</v>
      </c>
      <c r="BL378" s="686" t="e">
        <f t="shared" si="329"/>
        <v>#DIV/0!</v>
      </c>
      <c r="BM378" s="239"/>
      <c r="BN378" s="965" t="e">
        <f t="shared" si="330"/>
        <v>#VALUE!</v>
      </c>
      <c r="BO378" s="878" t="e">
        <f t="shared" si="331"/>
        <v>#VALUE!</v>
      </c>
      <c r="BP378" s="878" t="e">
        <f t="shared" si="332"/>
        <v>#VALUE!</v>
      </c>
      <c r="BQ378" s="878" t="e">
        <f t="shared" si="333"/>
        <v>#VALUE!</v>
      </c>
      <c r="BR378" s="878" t="e">
        <f t="shared" si="334"/>
        <v>#VALUE!</v>
      </c>
      <c r="BS378" s="966" t="e">
        <f t="shared" si="335"/>
        <v>#VALUE!</v>
      </c>
    </row>
    <row r="379" spans="1:71">
      <c r="A379" s="284">
        <f t="shared" si="336"/>
        <v>311</v>
      </c>
      <c r="B379" s="285">
        <v>-1.1660119082379399</v>
      </c>
      <c r="C379" s="285">
        <v>2.3686056411126128</v>
      </c>
      <c r="D379" s="285">
        <v>-1.0961111894800419</v>
      </c>
      <c r="E379" s="285">
        <v>5.013540126296963</v>
      </c>
      <c r="H379" s="685">
        <f t="shared" si="282"/>
        <v>-2.2992457500069947</v>
      </c>
      <c r="I379" s="276">
        <f t="shared" si="283"/>
        <v>-0.94267129867162036</v>
      </c>
      <c r="J379" s="276">
        <f t="shared" si="284"/>
        <v>0.51569336758696416</v>
      </c>
      <c r="K379" s="276">
        <f t="shared" si="285"/>
        <v>-1.7414518744265828</v>
      </c>
      <c r="L379" s="276">
        <f t="shared" si="286"/>
        <v>-2.1489997704779258</v>
      </c>
      <c r="M379" s="276">
        <f t="shared" si="287"/>
        <v>2.5235131315076069</v>
      </c>
      <c r="N379" s="685">
        <f t="shared" si="288"/>
        <v>1.1614344301407444</v>
      </c>
      <c r="O379" s="276">
        <f t="shared" si="289"/>
        <v>1.3963994655742844</v>
      </c>
      <c r="P379" s="276">
        <f t="shared" si="290"/>
        <v>1.9999297314404261</v>
      </c>
      <c r="Q379" s="276">
        <f t="shared" si="291"/>
        <v>2.3842472069417617</v>
      </c>
      <c r="R379" s="276">
        <f t="shared" si="292"/>
        <v>0.6082114896504176</v>
      </c>
      <c r="S379" s="686">
        <f t="shared" si="293"/>
        <v>1.828539570746605</v>
      </c>
      <c r="T379" s="685">
        <f t="shared" si="294"/>
        <v>2.182252500790884</v>
      </c>
      <c r="U379" s="276">
        <f t="shared" si="295"/>
        <v>3.7203772134041913</v>
      </c>
      <c r="V379" s="276">
        <f t="shared" si="296"/>
        <v>4.362214300015621</v>
      </c>
      <c r="W379" s="276">
        <f t="shared" si="297"/>
        <v>3.419324325695456</v>
      </c>
      <c r="X379" s="276">
        <f t="shared" si="298"/>
        <v>6.3875666775254789</v>
      </c>
      <c r="Y379" s="686">
        <f t="shared" si="299"/>
        <v>5.2703447687844793</v>
      </c>
      <c r="Z379" s="685" t="e">
        <f t="shared" si="300"/>
        <v>#DIV/0!</v>
      </c>
      <c r="AA379" s="276" t="e">
        <f t="shared" si="301"/>
        <v>#DIV/0!</v>
      </c>
      <c r="AB379" s="276" t="e">
        <f t="shared" si="302"/>
        <v>#DIV/0!</v>
      </c>
      <c r="AC379" s="276" t="e">
        <f t="shared" si="303"/>
        <v>#DIV/0!</v>
      </c>
      <c r="AD379" s="276" t="e">
        <f t="shared" si="304"/>
        <v>#DIV/0!</v>
      </c>
      <c r="AE379" s="686" t="e">
        <f t="shared" si="305"/>
        <v>#DIV/0!</v>
      </c>
      <c r="AF379" s="239"/>
      <c r="AG379" s="965" t="e">
        <f t="shared" si="276"/>
        <v>#VALUE!</v>
      </c>
      <c r="AH379" s="878" t="e">
        <f t="shared" si="277"/>
        <v>#VALUE!</v>
      </c>
      <c r="AI379" s="878" t="e">
        <f t="shared" si="278"/>
        <v>#VALUE!</v>
      </c>
      <c r="AJ379" s="878" t="e">
        <f t="shared" si="279"/>
        <v>#VALUE!</v>
      </c>
      <c r="AK379" s="878" t="e">
        <f t="shared" si="280"/>
        <v>#VALUE!</v>
      </c>
      <c r="AL379" s="966" t="e">
        <f t="shared" si="281"/>
        <v>#VALUE!</v>
      </c>
      <c r="AM379" s="239"/>
      <c r="AO379" s="685">
        <f t="shared" si="306"/>
        <v>-2.2992457500069947</v>
      </c>
      <c r="AP379" s="276">
        <f t="shared" si="307"/>
        <v>-0.94267129867162036</v>
      </c>
      <c r="AQ379" s="276">
        <f t="shared" si="308"/>
        <v>0.51569336758696416</v>
      </c>
      <c r="AR379" s="276">
        <f t="shared" si="309"/>
        <v>-1.7414518744265828</v>
      </c>
      <c r="AS379" s="276">
        <f t="shared" si="310"/>
        <v>-2.1489997704779258</v>
      </c>
      <c r="AT379" s="276">
        <f t="shared" si="311"/>
        <v>2.5235131315076069</v>
      </c>
      <c r="AU379" s="685">
        <f t="shared" si="312"/>
        <v>1.1614344301407444</v>
      </c>
      <c r="AV379" s="276">
        <f t="shared" si="313"/>
        <v>1.3963994655742844</v>
      </c>
      <c r="AW379" s="276">
        <f t="shared" si="314"/>
        <v>1.9999297314404261</v>
      </c>
      <c r="AX379" s="276">
        <f t="shared" si="315"/>
        <v>2.3842472069417617</v>
      </c>
      <c r="AY379" s="276">
        <f t="shared" si="316"/>
        <v>0.6082114896504176</v>
      </c>
      <c r="AZ379" s="686">
        <f t="shared" si="317"/>
        <v>1.828539570746605</v>
      </c>
      <c r="BA379" s="685">
        <f t="shared" si="318"/>
        <v>0</v>
      </c>
      <c r="BB379" s="276">
        <f t="shared" si="319"/>
        <v>0</v>
      </c>
      <c r="BC379" s="276">
        <f t="shared" si="320"/>
        <v>0</v>
      </c>
      <c r="BD379" s="276">
        <f t="shared" si="321"/>
        <v>0</v>
      </c>
      <c r="BE379" s="276">
        <f t="shared" si="322"/>
        <v>0</v>
      </c>
      <c r="BF379" s="686">
        <f t="shared" si="323"/>
        <v>0</v>
      </c>
      <c r="BG379" s="685" t="e">
        <f t="shared" si="324"/>
        <v>#DIV/0!</v>
      </c>
      <c r="BH379" s="276" t="e">
        <f t="shared" si="325"/>
        <v>#DIV/0!</v>
      </c>
      <c r="BI379" s="276" t="e">
        <f t="shared" si="326"/>
        <v>#DIV/0!</v>
      </c>
      <c r="BJ379" s="276" t="e">
        <f t="shared" si="327"/>
        <v>#DIV/0!</v>
      </c>
      <c r="BK379" s="276" t="e">
        <f t="shared" si="328"/>
        <v>#DIV/0!</v>
      </c>
      <c r="BL379" s="686" t="e">
        <f t="shared" si="329"/>
        <v>#DIV/0!</v>
      </c>
      <c r="BM379" s="239"/>
      <c r="BN379" s="965" t="e">
        <f t="shared" si="330"/>
        <v>#VALUE!</v>
      </c>
      <c r="BO379" s="878" t="e">
        <f t="shared" si="331"/>
        <v>#VALUE!</v>
      </c>
      <c r="BP379" s="878" t="e">
        <f t="shared" si="332"/>
        <v>#VALUE!</v>
      </c>
      <c r="BQ379" s="878" t="e">
        <f t="shared" si="333"/>
        <v>#VALUE!</v>
      </c>
      <c r="BR379" s="878" t="e">
        <f t="shared" si="334"/>
        <v>#VALUE!</v>
      </c>
      <c r="BS379" s="966" t="e">
        <f t="shared" si="335"/>
        <v>#VALUE!</v>
      </c>
    </row>
    <row r="380" spans="1:71">
      <c r="A380" s="284">
        <f t="shared" si="336"/>
        <v>312</v>
      </c>
      <c r="B380" s="285">
        <v>-1.4346426140579898</v>
      </c>
      <c r="C380" s="285">
        <v>1.7159051691792127</v>
      </c>
      <c r="D380" s="285">
        <v>2.0084256960943709</v>
      </c>
      <c r="E380" s="285">
        <v>-14.506468700868473</v>
      </c>
      <c r="H380" s="685">
        <f t="shared" si="282"/>
        <v>-2.5678764558270446</v>
      </c>
      <c r="I380" s="276">
        <f t="shared" si="283"/>
        <v>1.7082544870049639</v>
      </c>
      <c r="J380" s="276">
        <f t="shared" si="284"/>
        <v>-0.10007506654248832</v>
      </c>
      <c r="K380" s="276">
        <f t="shared" si="285"/>
        <v>-0.22389363687428521</v>
      </c>
      <c r="L380" s="276">
        <f t="shared" si="286"/>
        <v>-1.6837123758465173</v>
      </c>
      <c r="M380" s="276">
        <f t="shared" si="287"/>
        <v>-0.98885415436341828</v>
      </c>
      <c r="N380" s="685">
        <f t="shared" si="288"/>
        <v>0.50873395820734424</v>
      </c>
      <c r="O380" s="276">
        <f t="shared" si="289"/>
        <v>0.68490571800729838</v>
      </c>
      <c r="P380" s="276">
        <f t="shared" si="290"/>
        <v>0.71570474897665237</v>
      </c>
      <c r="Q380" s="276">
        <f t="shared" si="291"/>
        <v>1.2997482310845363</v>
      </c>
      <c r="R380" s="276">
        <f t="shared" si="292"/>
        <v>1.4837194891984147</v>
      </c>
      <c r="S380" s="686">
        <f t="shared" si="293"/>
        <v>1.5058097265137114</v>
      </c>
      <c r="T380" s="685">
        <f t="shared" si="294"/>
        <v>5.2867893863652968</v>
      </c>
      <c r="U380" s="276">
        <f t="shared" si="295"/>
        <v>4.1156198883535877</v>
      </c>
      <c r="V380" s="276">
        <f t="shared" si="296"/>
        <v>3.3021127302989703</v>
      </c>
      <c r="W380" s="276">
        <f t="shared" si="297"/>
        <v>2.7508538797542301</v>
      </c>
      <c r="X380" s="276">
        <f t="shared" si="298"/>
        <v>4.270116754128459</v>
      </c>
      <c r="Y380" s="686">
        <f t="shared" si="299"/>
        <v>3.8532933171804484</v>
      </c>
      <c r="Z380" s="685" t="e">
        <f t="shared" si="300"/>
        <v>#DIV/0!</v>
      </c>
      <c r="AA380" s="276" t="e">
        <f t="shared" si="301"/>
        <v>#DIV/0!</v>
      </c>
      <c r="AB380" s="276" t="e">
        <f t="shared" si="302"/>
        <v>#DIV/0!</v>
      </c>
      <c r="AC380" s="276" t="e">
        <f t="shared" si="303"/>
        <v>#DIV/0!</v>
      </c>
      <c r="AD380" s="276" t="e">
        <f t="shared" si="304"/>
        <v>#DIV/0!</v>
      </c>
      <c r="AE380" s="686" t="e">
        <f t="shared" si="305"/>
        <v>#DIV/0!</v>
      </c>
      <c r="AF380" s="239"/>
      <c r="AG380" s="965" t="e">
        <f t="shared" si="276"/>
        <v>#VALUE!</v>
      </c>
      <c r="AH380" s="878" t="e">
        <f t="shared" si="277"/>
        <v>#VALUE!</v>
      </c>
      <c r="AI380" s="878" t="e">
        <f t="shared" si="278"/>
        <v>#VALUE!</v>
      </c>
      <c r="AJ380" s="878" t="e">
        <f t="shared" si="279"/>
        <v>#VALUE!</v>
      </c>
      <c r="AK380" s="878" t="e">
        <f t="shared" si="280"/>
        <v>#VALUE!</v>
      </c>
      <c r="AL380" s="966" t="e">
        <f t="shared" si="281"/>
        <v>#VALUE!</v>
      </c>
      <c r="AM380" s="239"/>
      <c r="AO380" s="685">
        <f t="shared" si="306"/>
        <v>-2.5678764558270446</v>
      </c>
      <c r="AP380" s="276">
        <f t="shared" si="307"/>
        <v>1.7082544870049639</v>
      </c>
      <c r="AQ380" s="276">
        <f t="shared" si="308"/>
        <v>-0.10007506654248832</v>
      </c>
      <c r="AR380" s="276">
        <f t="shared" si="309"/>
        <v>-0.22389363687428521</v>
      </c>
      <c r="AS380" s="276">
        <f t="shared" si="310"/>
        <v>-1.6837123758465173</v>
      </c>
      <c r="AT380" s="276">
        <f t="shared" si="311"/>
        <v>-0.98885415436341828</v>
      </c>
      <c r="AU380" s="685">
        <f t="shared" si="312"/>
        <v>0.50873395820734424</v>
      </c>
      <c r="AV380" s="276">
        <f t="shared" si="313"/>
        <v>0.68490571800729838</v>
      </c>
      <c r="AW380" s="276">
        <f t="shared" si="314"/>
        <v>0.71570474897665237</v>
      </c>
      <c r="AX380" s="276">
        <f t="shared" si="315"/>
        <v>1.2997482310845363</v>
      </c>
      <c r="AY380" s="276">
        <f t="shared" si="316"/>
        <v>1.4837194891984147</v>
      </c>
      <c r="AZ380" s="686">
        <f t="shared" si="317"/>
        <v>1.5058097265137114</v>
      </c>
      <c r="BA380" s="685">
        <f t="shared" si="318"/>
        <v>0</v>
      </c>
      <c r="BB380" s="276">
        <f t="shared" si="319"/>
        <v>0</v>
      </c>
      <c r="BC380" s="276">
        <f t="shared" si="320"/>
        <v>0</v>
      </c>
      <c r="BD380" s="276">
        <f t="shared" si="321"/>
        <v>0</v>
      </c>
      <c r="BE380" s="276">
        <f t="shared" si="322"/>
        <v>0</v>
      </c>
      <c r="BF380" s="686">
        <f t="shared" si="323"/>
        <v>0</v>
      </c>
      <c r="BG380" s="685" t="e">
        <f t="shared" si="324"/>
        <v>#DIV/0!</v>
      </c>
      <c r="BH380" s="276" t="e">
        <f t="shared" si="325"/>
        <v>#DIV/0!</v>
      </c>
      <c r="BI380" s="276" t="e">
        <f t="shared" si="326"/>
        <v>#DIV/0!</v>
      </c>
      <c r="BJ380" s="276" t="e">
        <f t="shared" si="327"/>
        <v>#DIV/0!</v>
      </c>
      <c r="BK380" s="276" t="e">
        <f t="shared" si="328"/>
        <v>#DIV/0!</v>
      </c>
      <c r="BL380" s="686" t="e">
        <f t="shared" si="329"/>
        <v>#DIV/0!</v>
      </c>
      <c r="BM380" s="239"/>
      <c r="BN380" s="965" t="e">
        <f t="shared" si="330"/>
        <v>#VALUE!</v>
      </c>
      <c r="BO380" s="878" t="e">
        <f t="shared" si="331"/>
        <v>#VALUE!</v>
      </c>
      <c r="BP380" s="878" t="e">
        <f t="shared" si="332"/>
        <v>#VALUE!</v>
      </c>
      <c r="BQ380" s="878" t="e">
        <f t="shared" si="333"/>
        <v>#VALUE!</v>
      </c>
      <c r="BR380" s="878" t="e">
        <f t="shared" si="334"/>
        <v>#VALUE!</v>
      </c>
      <c r="BS380" s="966" t="e">
        <f t="shared" si="335"/>
        <v>#VALUE!</v>
      </c>
    </row>
    <row r="381" spans="1:71">
      <c r="A381" s="284">
        <f t="shared" si="336"/>
        <v>313</v>
      </c>
      <c r="B381" s="285">
        <v>1.6983102702715624</v>
      </c>
      <c r="C381" s="285">
        <v>2.6453996987224855</v>
      </c>
      <c r="D381" s="285">
        <v>0.77660890389556747</v>
      </c>
      <c r="E381" s="285">
        <v>3.9445560380827813</v>
      </c>
      <c r="H381" s="685">
        <f t="shared" si="282"/>
        <v>0.56507642850250761</v>
      </c>
      <c r="I381" s="276">
        <f t="shared" si="283"/>
        <v>-1.3281031196561779</v>
      </c>
      <c r="J381" s="276">
        <f t="shared" si="284"/>
        <v>0.19093944784997685</v>
      </c>
      <c r="K381" s="276">
        <f t="shared" si="285"/>
        <v>-0.26083876211466217</v>
      </c>
      <c r="L381" s="276">
        <f t="shared" si="286"/>
        <v>1.3111795099570271</v>
      </c>
      <c r="M381" s="276">
        <f t="shared" si="287"/>
        <v>1.5297706970196334</v>
      </c>
      <c r="N381" s="685">
        <f t="shared" si="288"/>
        <v>1.4382284877506171</v>
      </c>
      <c r="O381" s="276">
        <f t="shared" si="289"/>
        <v>1.3848248734423632</v>
      </c>
      <c r="P381" s="276">
        <f t="shared" si="290"/>
        <v>2.6350568799965775</v>
      </c>
      <c r="Q381" s="276">
        <f t="shared" si="291"/>
        <v>1.9016642318496471</v>
      </c>
      <c r="R381" s="276">
        <f t="shared" si="292"/>
        <v>1.9681754224182473</v>
      </c>
      <c r="S381" s="686">
        <f t="shared" si="293"/>
        <v>1.6647405564059203</v>
      </c>
      <c r="T381" s="685">
        <f t="shared" si="294"/>
        <v>4.0549725941664931</v>
      </c>
      <c r="U381" s="276">
        <f t="shared" si="295"/>
        <v>2.7542502842353302</v>
      </c>
      <c r="V381" s="276">
        <f t="shared" si="296"/>
        <v>4.340114716520981</v>
      </c>
      <c r="W381" s="276">
        <f t="shared" si="297"/>
        <v>3.2155373681453527</v>
      </c>
      <c r="X381" s="276">
        <f t="shared" si="298"/>
        <v>4.4335203701543797</v>
      </c>
      <c r="Y381" s="686">
        <f t="shared" si="299"/>
        <v>2.5884609590316909</v>
      </c>
      <c r="Z381" s="685" t="e">
        <f t="shared" si="300"/>
        <v>#DIV/0!</v>
      </c>
      <c r="AA381" s="276" t="e">
        <f t="shared" si="301"/>
        <v>#DIV/0!</v>
      </c>
      <c r="AB381" s="276" t="e">
        <f t="shared" si="302"/>
        <v>#DIV/0!</v>
      </c>
      <c r="AC381" s="276" t="e">
        <f t="shared" si="303"/>
        <v>#DIV/0!</v>
      </c>
      <c r="AD381" s="276" t="e">
        <f t="shared" si="304"/>
        <v>#DIV/0!</v>
      </c>
      <c r="AE381" s="686" t="e">
        <f t="shared" si="305"/>
        <v>#DIV/0!</v>
      </c>
      <c r="AF381" s="239"/>
      <c r="AG381" s="965" t="e">
        <f t="shared" si="276"/>
        <v>#VALUE!</v>
      </c>
      <c r="AH381" s="878" t="e">
        <f t="shared" si="277"/>
        <v>#VALUE!</v>
      </c>
      <c r="AI381" s="878" t="e">
        <f t="shared" si="278"/>
        <v>#VALUE!</v>
      </c>
      <c r="AJ381" s="878" t="e">
        <f t="shared" si="279"/>
        <v>#VALUE!</v>
      </c>
      <c r="AK381" s="878" t="e">
        <f t="shared" si="280"/>
        <v>#VALUE!</v>
      </c>
      <c r="AL381" s="966" t="e">
        <f t="shared" si="281"/>
        <v>#VALUE!</v>
      </c>
      <c r="AM381" s="239"/>
      <c r="AO381" s="685">
        <f t="shared" si="306"/>
        <v>0.56507642850250761</v>
      </c>
      <c r="AP381" s="276">
        <f t="shared" si="307"/>
        <v>-1.3281031196561779</v>
      </c>
      <c r="AQ381" s="276">
        <f t="shared" si="308"/>
        <v>0.19093944784997685</v>
      </c>
      <c r="AR381" s="276">
        <f t="shared" si="309"/>
        <v>-0.26083876211466217</v>
      </c>
      <c r="AS381" s="276">
        <f t="shared" si="310"/>
        <v>1.3111795099570271</v>
      </c>
      <c r="AT381" s="276">
        <f t="shared" si="311"/>
        <v>1.5297706970196334</v>
      </c>
      <c r="AU381" s="685">
        <f t="shared" si="312"/>
        <v>1.4382284877506171</v>
      </c>
      <c r="AV381" s="276">
        <f t="shared" si="313"/>
        <v>1.3848248734423632</v>
      </c>
      <c r="AW381" s="276">
        <f t="shared" si="314"/>
        <v>2.6350568799965775</v>
      </c>
      <c r="AX381" s="276">
        <f t="shared" si="315"/>
        <v>1.9016642318496471</v>
      </c>
      <c r="AY381" s="276">
        <f t="shared" si="316"/>
        <v>1.9681754224182473</v>
      </c>
      <c r="AZ381" s="686">
        <f t="shared" si="317"/>
        <v>1.6647405564059203</v>
      </c>
      <c r="BA381" s="685">
        <f t="shared" si="318"/>
        <v>0</v>
      </c>
      <c r="BB381" s="276">
        <f t="shared" si="319"/>
        <v>0</v>
      </c>
      <c r="BC381" s="276">
        <f t="shared" si="320"/>
        <v>0</v>
      </c>
      <c r="BD381" s="276">
        <f t="shared" si="321"/>
        <v>0</v>
      </c>
      <c r="BE381" s="276">
        <f t="shared" si="322"/>
        <v>0</v>
      </c>
      <c r="BF381" s="686">
        <f t="shared" si="323"/>
        <v>0</v>
      </c>
      <c r="BG381" s="685" t="e">
        <f t="shared" si="324"/>
        <v>#DIV/0!</v>
      </c>
      <c r="BH381" s="276" t="e">
        <f t="shared" si="325"/>
        <v>#DIV/0!</v>
      </c>
      <c r="BI381" s="276" t="e">
        <f t="shared" si="326"/>
        <v>#DIV/0!</v>
      </c>
      <c r="BJ381" s="276" t="e">
        <f t="shared" si="327"/>
        <v>#DIV/0!</v>
      </c>
      <c r="BK381" s="276" t="e">
        <f t="shared" si="328"/>
        <v>#DIV/0!</v>
      </c>
      <c r="BL381" s="686" t="e">
        <f t="shared" si="329"/>
        <v>#DIV/0!</v>
      </c>
      <c r="BM381" s="239"/>
      <c r="BN381" s="965" t="e">
        <f t="shared" si="330"/>
        <v>#VALUE!</v>
      </c>
      <c r="BO381" s="878" t="e">
        <f t="shared" si="331"/>
        <v>#VALUE!</v>
      </c>
      <c r="BP381" s="878" t="e">
        <f t="shared" si="332"/>
        <v>#VALUE!</v>
      </c>
      <c r="BQ381" s="878" t="e">
        <f t="shared" si="333"/>
        <v>#VALUE!</v>
      </c>
      <c r="BR381" s="878" t="e">
        <f t="shared" si="334"/>
        <v>#VALUE!</v>
      </c>
      <c r="BS381" s="966" t="e">
        <f t="shared" si="335"/>
        <v>#VALUE!</v>
      </c>
    </row>
    <row r="382" spans="1:71">
      <c r="A382" s="284">
        <f t="shared" si="336"/>
        <v>314</v>
      </c>
      <c r="B382" s="285">
        <v>1.6230845665852653</v>
      </c>
      <c r="C382" s="285">
        <v>2.2230751102573478</v>
      </c>
      <c r="D382" s="285">
        <v>1.0661296234955948</v>
      </c>
      <c r="E382" s="285">
        <v>-1.6398601013105245</v>
      </c>
      <c r="H382" s="685">
        <f t="shared" si="282"/>
        <v>0.4898507248162105</v>
      </c>
      <c r="I382" s="276">
        <f t="shared" si="283"/>
        <v>0.80523352117419122</v>
      </c>
      <c r="J382" s="276">
        <f t="shared" si="284"/>
        <v>-2.7245282989072086</v>
      </c>
      <c r="K382" s="276">
        <f t="shared" si="285"/>
        <v>-3.2096745977147938</v>
      </c>
      <c r="L382" s="276">
        <f t="shared" si="286"/>
        <v>-2.7959459557346471</v>
      </c>
      <c r="M382" s="276">
        <f t="shared" si="287"/>
        <v>-1.1569708553480391</v>
      </c>
      <c r="N382" s="685">
        <f t="shared" si="288"/>
        <v>1.0159038992854794</v>
      </c>
      <c r="O382" s="276">
        <f t="shared" si="289"/>
        <v>1.1268551064911725</v>
      </c>
      <c r="P382" s="276">
        <f t="shared" si="290"/>
        <v>1.3989968793141869</v>
      </c>
      <c r="Q382" s="276">
        <f t="shared" si="291"/>
        <v>1.0927763826345009</v>
      </c>
      <c r="R382" s="276">
        <f t="shared" si="292"/>
        <v>1.0775638359944286</v>
      </c>
      <c r="S382" s="686">
        <f t="shared" si="293"/>
        <v>1.5551217147832024</v>
      </c>
      <c r="T382" s="685">
        <f t="shared" si="294"/>
        <v>4.3444933137665203</v>
      </c>
      <c r="U382" s="276">
        <f t="shared" si="295"/>
        <v>4.0708823401497245</v>
      </c>
      <c r="V382" s="276">
        <f t="shared" si="296"/>
        <v>5.676557958287221</v>
      </c>
      <c r="W382" s="276">
        <f t="shared" si="297"/>
        <v>3.6824662559398207</v>
      </c>
      <c r="X382" s="276">
        <f t="shared" si="298"/>
        <v>3.9138030467189333</v>
      </c>
      <c r="Y382" s="686">
        <f t="shared" si="299"/>
        <v>5.8901438048370842</v>
      </c>
      <c r="Z382" s="685" t="e">
        <f t="shared" si="300"/>
        <v>#DIV/0!</v>
      </c>
      <c r="AA382" s="276" t="e">
        <f t="shared" si="301"/>
        <v>#DIV/0!</v>
      </c>
      <c r="AB382" s="276" t="e">
        <f t="shared" si="302"/>
        <v>#DIV/0!</v>
      </c>
      <c r="AC382" s="276" t="e">
        <f t="shared" si="303"/>
        <v>#DIV/0!</v>
      </c>
      <c r="AD382" s="276" t="e">
        <f t="shared" si="304"/>
        <v>#DIV/0!</v>
      </c>
      <c r="AE382" s="686" t="e">
        <f t="shared" si="305"/>
        <v>#DIV/0!</v>
      </c>
      <c r="AF382" s="239"/>
      <c r="AG382" s="965" t="e">
        <f t="shared" si="276"/>
        <v>#VALUE!</v>
      </c>
      <c r="AH382" s="878" t="e">
        <f t="shared" si="277"/>
        <v>#VALUE!</v>
      </c>
      <c r="AI382" s="878" t="e">
        <f t="shared" si="278"/>
        <v>#VALUE!</v>
      </c>
      <c r="AJ382" s="878" t="e">
        <f t="shared" si="279"/>
        <v>#VALUE!</v>
      </c>
      <c r="AK382" s="878" t="e">
        <f t="shared" si="280"/>
        <v>#VALUE!</v>
      </c>
      <c r="AL382" s="966" t="e">
        <f t="shared" si="281"/>
        <v>#VALUE!</v>
      </c>
      <c r="AM382" s="239"/>
      <c r="AO382" s="685">
        <f t="shared" si="306"/>
        <v>0.4898507248162105</v>
      </c>
      <c r="AP382" s="276">
        <f t="shared" si="307"/>
        <v>0.80523352117419122</v>
      </c>
      <c r="AQ382" s="276">
        <f t="shared" si="308"/>
        <v>-2.7245282989072086</v>
      </c>
      <c r="AR382" s="276">
        <f t="shared" si="309"/>
        <v>-3.2096745977147938</v>
      </c>
      <c r="AS382" s="276">
        <f t="shared" si="310"/>
        <v>-2.7959459557346471</v>
      </c>
      <c r="AT382" s="276">
        <f t="shared" si="311"/>
        <v>-1.1569708553480391</v>
      </c>
      <c r="AU382" s="685">
        <f t="shared" si="312"/>
        <v>1.0159038992854794</v>
      </c>
      <c r="AV382" s="276">
        <f t="shared" si="313"/>
        <v>1.1268551064911725</v>
      </c>
      <c r="AW382" s="276">
        <f t="shared" si="314"/>
        <v>1.3989968793141869</v>
      </c>
      <c r="AX382" s="276">
        <f t="shared" si="315"/>
        <v>1.0927763826345009</v>
      </c>
      <c r="AY382" s="276">
        <f t="shared" si="316"/>
        <v>1.0775638359944286</v>
      </c>
      <c r="AZ382" s="686">
        <f t="shared" si="317"/>
        <v>1.5551217147832024</v>
      </c>
      <c r="BA382" s="685">
        <f t="shared" si="318"/>
        <v>0</v>
      </c>
      <c r="BB382" s="276">
        <f t="shared" si="319"/>
        <v>0</v>
      </c>
      <c r="BC382" s="276">
        <f t="shared" si="320"/>
        <v>0</v>
      </c>
      <c r="BD382" s="276">
        <f t="shared" si="321"/>
        <v>0</v>
      </c>
      <c r="BE382" s="276">
        <f t="shared" si="322"/>
        <v>0</v>
      </c>
      <c r="BF382" s="686">
        <f t="shared" si="323"/>
        <v>0</v>
      </c>
      <c r="BG382" s="685" t="e">
        <f t="shared" si="324"/>
        <v>#DIV/0!</v>
      </c>
      <c r="BH382" s="276" t="e">
        <f t="shared" si="325"/>
        <v>#DIV/0!</v>
      </c>
      <c r="BI382" s="276" t="e">
        <f t="shared" si="326"/>
        <v>#DIV/0!</v>
      </c>
      <c r="BJ382" s="276" t="e">
        <f t="shared" si="327"/>
        <v>#DIV/0!</v>
      </c>
      <c r="BK382" s="276" t="e">
        <f t="shared" si="328"/>
        <v>#DIV/0!</v>
      </c>
      <c r="BL382" s="686" t="e">
        <f t="shared" si="329"/>
        <v>#DIV/0!</v>
      </c>
      <c r="BM382" s="239"/>
      <c r="BN382" s="965" t="e">
        <f t="shared" si="330"/>
        <v>#VALUE!</v>
      </c>
      <c r="BO382" s="878" t="e">
        <f t="shared" si="331"/>
        <v>#VALUE!</v>
      </c>
      <c r="BP382" s="878" t="e">
        <f t="shared" si="332"/>
        <v>#VALUE!</v>
      </c>
      <c r="BQ382" s="878" t="e">
        <f t="shared" si="333"/>
        <v>#VALUE!</v>
      </c>
      <c r="BR382" s="878" t="e">
        <f t="shared" si="334"/>
        <v>#VALUE!</v>
      </c>
      <c r="BS382" s="966" t="e">
        <f t="shared" si="335"/>
        <v>#VALUE!</v>
      </c>
    </row>
    <row r="383" spans="1:71">
      <c r="A383" s="284">
        <f t="shared" si="336"/>
        <v>315</v>
      </c>
      <c r="B383" s="285">
        <v>-2.5793459028554766</v>
      </c>
      <c r="C383" s="285">
        <v>2.0634524987159835</v>
      </c>
      <c r="D383" s="285">
        <v>-0.99407066569867331</v>
      </c>
      <c r="E383" s="285">
        <v>-7.0633478970688</v>
      </c>
      <c r="H383" s="685">
        <f t="shared" si="282"/>
        <v>-3.7125797446245317</v>
      </c>
      <c r="I383" s="276">
        <f t="shared" si="283"/>
        <v>-2.9779491027579628</v>
      </c>
      <c r="J383" s="276">
        <f t="shared" si="284"/>
        <v>-1.4917123207153946</v>
      </c>
      <c r="K383" s="276">
        <f t="shared" si="285"/>
        <v>-3.6952891971325021</v>
      </c>
      <c r="L383" s="276">
        <f t="shared" si="286"/>
        <v>1.0770256701440226</v>
      </c>
      <c r="M383" s="276">
        <f t="shared" si="287"/>
        <v>-3.082350735400202</v>
      </c>
      <c r="N383" s="685">
        <f t="shared" si="288"/>
        <v>0.85628128774411505</v>
      </c>
      <c r="O383" s="276">
        <f t="shared" si="289"/>
        <v>1.7943527359325564</v>
      </c>
      <c r="P383" s="276">
        <f t="shared" si="290"/>
        <v>2.1347103860868888</v>
      </c>
      <c r="Q383" s="276">
        <f t="shared" si="291"/>
        <v>0.75233766465013918</v>
      </c>
      <c r="R383" s="276">
        <f t="shared" si="292"/>
        <v>1.4139118369856762</v>
      </c>
      <c r="S383" s="686">
        <f t="shared" si="293"/>
        <v>0.92367816408465564</v>
      </c>
      <c r="T383" s="685">
        <f t="shared" si="294"/>
        <v>2.2842930245722526</v>
      </c>
      <c r="U383" s="276">
        <f t="shared" si="295"/>
        <v>2.7490269929475848</v>
      </c>
      <c r="V383" s="276">
        <f t="shared" si="296"/>
        <v>3.3328436024557302</v>
      </c>
      <c r="W383" s="276">
        <f t="shared" si="297"/>
        <v>5.3069608429629866</v>
      </c>
      <c r="X383" s="276">
        <f t="shared" si="298"/>
        <v>5.5525859939250664</v>
      </c>
      <c r="Y383" s="686">
        <f t="shared" si="299"/>
        <v>5.5952622756487731</v>
      </c>
      <c r="Z383" s="685" t="e">
        <f t="shared" si="300"/>
        <v>#DIV/0!</v>
      </c>
      <c r="AA383" s="276" t="e">
        <f t="shared" si="301"/>
        <v>#DIV/0!</v>
      </c>
      <c r="AB383" s="276" t="e">
        <f t="shared" si="302"/>
        <v>#DIV/0!</v>
      </c>
      <c r="AC383" s="276" t="e">
        <f t="shared" si="303"/>
        <v>#DIV/0!</v>
      </c>
      <c r="AD383" s="276" t="e">
        <f t="shared" si="304"/>
        <v>#DIV/0!</v>
      </c>
      <c r="AE383" s="686" t="e">
        <f t="shared" si="305"/>
        <v>#DIV/0!</v>
      </c>
      <c r="AF383" s="239"/>
      <c r="AG383" s="965" t="e">
        <f t="shared" si="276"/>
        <v>#VALUE!</v>
      </c>
      <c r="AH383" s="878" t="e">
        <f t="shared" si="277"/>
        <v>#VALUE!</v>
      </c>
      <c r="AI383" s="878" t="e">
        <f t="shared" si="278"/>
        <v>#VALUE!</v>
      </c>
      <c r="AJ383" s="878" t="e">
        <f t="shared" si="279"/>
        <v>#VALUE!</v>
      </c>
      <c r="AK383" s="878" t="e">
        <f t="shared" si="280"/>
        <v>#VALUE!</v>
      </c>
      <c r="AL383" s="966" t="e">
        <f t="shared" si="281"/>
        <v>#VALUE!</v>
      </c>
      <c r="AM383" s="239"/>
      <c r="AO383" s="685">
        <f t="shared" si="306"/>
        <v>-3.7125797446245317</v>
      </c>
      <c r="AP383" s="276">
        <f t="shared" si="307"/>
        <v>-2.9779491027579628</v>
      </c>
      <c r="AQ383" s="276">
        <f t="shared" si="308"/>
        <v>-1.4917123207153946</v>
      </c>
      <c r="AR383" s="276">
        <f t="shared" si="309"/>
        <v>-3.6952891971325021</v>
      </c>
      <c r="AS383" s="276">
        <f t="shared" si="310"/>
        <v>1.0770256701440226</v>
      </c>
      <c r="AT383" s="276">
        <f t="shared" si="311"/>
        <v>-3.082350735400202</v>
      </c>
      <c r="AU383" s="685">
        <f t="shared" si="312"/>
        <v>0.85628128774411505</v>
      </c>
      <c r="AV383" s="276">
        <f t="shared" si="313"/>
        <v>1.7943527359325564</v>
      </c>
      <c r="AW383" s="276">
        <f t="shared" si="314"/>
        <v>2.1347103860868888</v>
      </c>
      <c r="AX383" s="276">
        <f t="shared" si="315"/>
        <v>0.75233766465013918</v>
      </c>
      <c r="AY383" s="276">
        <f t="shared" si="316"/>
        <v>1.4139118369856762</v>
      </c>
      <c r="AZ383" s="686">
        <f t="shared" si="317"/>
        <v>0.92367816408465564</v>
      </c>
      <c r="BA383" s="685">
        <f t="shared" si="318"/>
        <v>0</v>
      </c>
      <c r="BB383" s="276">
        <f t="shared" si="319"/>
        <v>0</v>
      </c>
      <c r="BC383" s="276">
        <f t="shared" si="320"/>
        <v>0</v>
      </c>
      <c r="BD383" s="276">
        <f t="shared" si="321"/>
        <v>0</v>
      </c>
      <c r="BE383" s="276">
        <f t="shared" si="322"/>
        <v>0</v>
      </c>
      <c r="BF383" s="686">
        <f t="shared" si="323"/>
        <v>0</v>
      </c>
      <c r="BG383" s="685" t="e">
        <f t="shared" si="324"/>
        <v>#DIV/0!</v>
      </c>
      <c r="BH383" s="276" t="e">
        <f t="shared" si="325"/>
        <v>#DIV/0!</v>
      </c>
      <c r="BI383" s="276" t="e">
        <f t="shared" si="326"/>
        <v>#DIV/0!</v>
      </c>
      <c r="BJ383" s="276" t="e">
        <f t="shared" si="327"/>
        <v>#DIV/0!</v>
      </c>
      <c r="BK383" s="276" t="e">
        <f t="shared" si="328"/>
        <v>#DIV/0!</v>
      </c>
      <c r="BL383" s="686" t="e">
        <f t="shared" si="329"/>
        <v>#DIV/0!</v>
      </c>
      <c r="BM383" s="239"/>
      <c r="BN383" s="965" t="e">
        <f t="shared" si="330"/>
        <v>#VALUE!</v>
      </c>
      <c r="BO383" s="878" t="e">
        <f t="shared" si="331"/>
        <v>#VALUE!</v>
      </c>
      <c r="BP383" s="878" t="e">
        <f t="shared" si="332"/>
        <v>#VALUE!</v>
      </c>
      <c r="BQ383" s="878" t="e">
        <f t="shared" si="333"/>
        <v>#VALUE!</v>
      </c>
      <c r="BR383" s="878" t="e">
        <f t="shared" si="334"/>
        <v>#VALUE!</v>
      </c>
      <c r="BS383" s="966" t="e">
        <f t="shared" si="335"/>
        <v>#VALUE!</v>
      </c>
    </row>
    <row r="384" spans="1:71">
      <c r="A384" s="284">
        <f t="shared" si="336"/>
        <v>316</v>
      </c>
      <c r="B384" s="285">
        <v>0.50217673658868234</v>
      </c>
      <c r="C384" s="285">
        <v>2.6054539936238719</v>
      </c>
      <c r="D384" s="285">
        <v>2.6744116198831334</v>
      </c>
      <c r="E384" s="285">
        <v>-4.4114313423717473</v>
      </c>
      <c r="H384" s="685">
        <f t="shared" si="282"/>
        <v>-0.6310571051803725</v>
      </c>
      <c r="I384" s="276">
        <f t="shared" si="283"/>
        <v>2.412457938559915</v>
      </c>
      <c r="J384" s="276">
        <f t="shared" si="284"/>
        <v>-2.8090296624054361</v>
      </c>
      <c r="K384" s="276">
        <f t="shared" si="285"/>
        <v>-2.576568368611702</v>
      </c>
      <c r="L384" s="276">
        <f t="shared" si="286"/>
        <v>-2.3420607179744382</v>
      </c>
      <c r="M384" s="276">
        <f t="shared" si="287"/>
        <v>1.2933736063494636</v>
      </c>
      <c r="N384" s="685">
        <f t="shared" si="288"/>
        <v>1.3982827826520035</v>
      </c>
      <c r="O384" s="276">
        <f t="shared" si="289"/>
        <v>2.3017772078007139</v>
      </c>
      <c r="P384" s="276">
        <f t="shared" si="290"/>
        <v>1.0775930262322493</v>
      </c>
      <c r="Q384" s="276">
        <f t="shared" si="291"/>
        <v>1.1646091418406959</v>
      </c>
      <c r="R384" s="276">
        <f t="shared" si="292"/>
        <v>2.0101345028198665</v>
      </c>
      <c r="S384" s="686">
        <f t="shared" si="293"/>
        <v>1.5898804306601642</v>
      </c>
      <c r="T384" s="685">
        <f t="shared" si="294"/>
        <v>5.9527753101540597</v>
      </c>
      <c r="U384" s="276">
        <f t="shared" si="295"/>
        <v>4.283082972893121</v>
      </c>
      <c r="V384" s="276">
        <f t="shared" si="296"/>
        <v>5.2496584989527548</v>
      </c>
      <c r="W384" s="276">
        <f t="shared" si="297"/>
        <v>3.8674670152851811</v>
      </c>
      <c r="X384" s="276">
        <f t="shared" si="298"/>
        <v>3.959662101767615</v>
      </c>
      <c r="Y384" s="686">
        <f t="shared" si="299"/>
        <v>2.8018535693377506</v>
      </c>
      <c r="Z384" s="685" t="e">
        <f t="shared" si="300"/>
        <v>#DIV/0!</v>
      </c>
      <c r="AA384" s="276" t="e">
        <f t="shared" si="301"/>
        <v>#DIV/0!</v>
      </c>
      <c r="AB384" s="276" t="e">
        <f t="shared" si="302"/>
        <v>#DIV/0!</v>
      </c>
      <c r="AC384" s="276" t="e">
        <f t="shared" si="303"/>
        <v>#DIV/0!</v>
      </c>
      <c r="AD384" s="276" t="e">
        <f t="shared" si="304"/>
        <v>#DIV/0!</v>
      </c>
      <c r="AE384" s="686" t="e">
        <f t="shared" si="305"/>
        <v>#DIV/0!</v>
      </c>
      <c r="AF384" s="239"/>
      <c r="AG384" s="965" t="e">
        <f t="shared" si="276"/>
        <v>#VALUE!</v>
      </c>
      <c r="AH384" s="878" t="e">
        <f t="shared" si="277"/>
        <v>#VALUE!</v>
      </c>
      <c r="AI384" s="878" t="e">
        <f t="shared" si="278"/>
        <v>#VALUE!</v>
      </c>
      <c r="AJ384" s="878" t="e">
        <f t="shared" si="279"/>
        <v>#VALUE!</v>
      </c>
      <c r="AK384" s="878" t="e">
        <f t="shared" si="280"/>
        <v>#VALUE!</v>
      </c>
      <c r="AL384" s="966" t="e">
        <f t="shared" si="281"/>
        <v>#VALUE!</v>
      </c>
      <c r="AM384" s="239"/>
      <c r="AO384" s="685">
        <f t="shared" si="306"/>
        <v>-0.6310571051803725</v>
      </c>
      <c r="AP384" s="276">
        <f t="shared" si="307"/>
        <v>2.412457938559915</v>
      </c>
      <c r="AQ384" s="276">
        <f t="shared" si="308"/>
        <v>-2.8090296624054361</v>
      </c>
      <c r="AR384" s="276">
        <f t="shared" si="309"/>
        <v>-2.576568368611702</v>
      </c>
      <c r="AS384" s="276">
        <f t="shared" si="310"/>
        <v>-2.3420607179744382</v>
      </c>
      <c r="AT384" s="276">
        <f t="shared" si="311"/>
        <v>1.2933736063494636</v>
      </c>
      <c r="AU384" s="685">
        <f t="shared" si="312"/>
        <v>1.3982827826520035</v>
      </c>
      <c r="AV384" s="276">
        <f t="shared" si="313"/>
        <v>2.3017772078007139</v>
      </c>
      <c r="AW384" s="276">
        <f t="shared" si="314"/>
        <v>1.0775930262322493</v>
      </c>
      <c r="AX384" s="276">
        <f t="shared" si="315"/>
        <v>1.1646091418406959</v>
      </c>
      <c r="AY384" s="276">
        <f t="shared" si="316"/>
        <v>2.0101345028198665</v>
      </c>
      <c r="AZ384" s="686">
        <f t="shared" si="317"/>
        <v>1.5898804306601642</v>
      </c>
      <c r="BA384" s="685">
        <f t="shared" si="318"/>
        <v>0</v>
      </c>
      <c r="BB384" s="276">
        <f t="shared" si="319"/>
        <v>0</v>
      </c>
      <c r="BC384" s="276">
        <f t="shared" si="320"/>
        <v>0</v>
      </c>
      <c r="BD384" s="276">
        <f t="shared" si="321"/>
        <v>0</v>
      </c>
      <c r="BE384" s="276">
        <f t="shared" si="322"/>
        <v>0</v>
      </c>
      <c r="BF384" s="686">
        <f t="shared" si="323"/>
        <v>0</v>
      </c>
      <c r="BG384" s="685" t="e">
        <f t="shared" si="324"/>
        <v>#DIV/0!</v>
      </c>
      <c r="BH384" s="276" t="e">
        <f t="shared" si="325"/>
        <v>#DIV/0!</v>
      </c>
      <c r="BI384" s="276" t="e">
        <f t="shared" si="326"/>
        <v>#DIV/0!</v>
      </c>
      <c r="BJ384" s="276" t="e">
        <f t="shared" si="327"/>
        <v>#DIV/0!</v>
      </c>
      <c r="BK384" s="276" t="e">
        <f t="shared" si="328"/>
        <v>#DIV/0!</v>
      </c>
      <c r="BL384" s="686" t="e">
        <f t="shared" si="329"/>
        <v>#DIV/0!</v>
      </c>
      <c r="BM384" s="239"/>
      <c r="BN384" s="965" t="e">
        <f t="shared" si="330"/>
        <v>#VALUE!</v>
      </c>
      <c r="BO384" s="878" t="e">
        <f t="shared" si="331"/>
        <v>#VALUE!</v>
      </c>
      <c r="BP384" s="878" t="e">
        <f t="shared" si="332"/>
        <v>#VALUE!</v>
      </c>
      <c r="BQ384" s="878" t="e">
        <f t="shared" si="333"/>
        <v>#VALUE!</v>
      </c>
      <c r="BR384" s="878" t="e">
        <f t="shared" si="334"/>
        <v>#VALUE!</v>
      </c>
      <c r="BS384" s="966" t="e">
        <f t="shared" si="335"/>
        <v>#VALUE!</v>
      </c>
    </row>
    <row r="385" spans="1:71">
      <c r="A385" s="284">
        <f t="shared" si="336"/>
        <v>317</v>
      </c>
      <c r="B385" s="285">
        <v>-0.88452669629061909</v>
      </c>
      <c r="C385" s="285">
        <v>2.8348623185135753</v>
      </c>
      <c r="D385" s="285">
        <v>1.8407354534535294</v>
      </c>
      <c r="E385" s="285">
        <v>-8.5984034018245303</v>
      </c>
      <c r="H385" s="685">
        <f t="shared" si="282"/>
        <v>-2.0177605380596741</v>
      </c>
      <c r="I385" s="276">
        <f t="shared" si="283"/>
        <v>1.5949967706312689</v>
      </c>
      <c r="J385" s="276">
        <f t="shared" si="284"/>
        <v>2.910942362540812</v>
      </c>
      <c r="K385" s="276">
        <f t="shared" si="285"/>
        <v>2.3060848258168898</v>
      </c>
      <c r="L385" s="276">
        <f t="shared" si="286"/>
        <v>-1.6652426271350447</v>
      </c>
      <c r="M385" s="276">
        <f t="shared" si="287"/>
        <v>3.2035668534051842</v>
      </c>
      <c r="N385" s="685">
        <f t="shared" si="288"/>
        <v>1.6276911075417069</v>
      </c>
      <c r="O385" s="276">
        <f t="shared" si="289"/>
        <v>1.5282295057914956</v>
      </c>
      <c r="P385" s="276">
        <f t="shared" si="290"/>
        <v>1.5977018846141975</v>
      </c>
      <c r="Q385" s="276">
        <f t="shared" si="291"/>
        <v>2.0332110413123408</v>
      </c>
      <c r="R385" s="276">
        <f t="shared" si="292"/>
        <v>2.0879674425156747</v>
      </c>
      <c r="S385" s="686">
        <f t="shared" si="293"/>
        <v>1.0105286623720413</v>
      </c>
      <c r="T385" s="685">
        <f t="shared" si="294"/>
        <v>5.1190991437244548</v>
      </c>
      <c r="U385" s="276">
        <f t="shared" si="295"/>
        <v>5.0960268992709317</v>
      </c>
      <c r="V385" s="276">
        <f t="shared" si="296"/>
        <v>6.0914305812578373</v>
      </c>
      <c r="W385" s="276">
        <f t="shared" si="297"/>
        <v>5.7653456190649051</v>
      </c>
      <c r="X385" s="276">
        <f t="shared" si="298"/>
        <v>3.4711889683580845</v>
      </c>
      <c r="Y385" s="686">
        <f t="shared" si="299"/>
        <v>5.9364875451964618</v>
      </c>
      <c r="Z385" s="685" t="e">
        <f t="shared" si="300"/>
        <v>#DIV/0!</v>
      </c>
      <c r="AA385" s="276" t="e">
        <f t="shared" si="301"/>
        <v>#DIV/0!</v>
      </c>
      <c r="AB385" s="276" t="e">
        <f t="shared" si="302"/>
        <v>#DIV/0!</v>
      </c>
      <c r="AC385" s="276" t="e">
        <f t="shared" si="303"/>
        <v>#DIV/0!</v>
      </c>
      <c r="AD385" s="276" t="e">
        <f t="shared" si="304"/>
        <v>#DIV/0!</v>
      </c>
      <c r="AE385" s="686" t="e">
        <f t="shared" si="305"/>
        <v>#DIV/0!</v>
      </c>
      <c r="AF385" s="239"/>
      <c r="AG385" s="965" t="e">
        <f t="shared" si="276"/>
        <v>#VALUE!</v>
      </c>
      <c r="AH385" s="878" t="e">
        <f t="shared" si="277"/>
        <v>#VALUE!</v>
      </c>
      <c r="AI385" s="878" t="e">
        <f t="shared" si="278"/>
        <v>#VALUE!</v>
      </c>
      <c r="AJ385" s="878" t="e">
        <f t="shared" si="279"/>
        <v>#VALUE!</v>
      </c>
      <c r="AK385" s="878" t="e">
        <f t="shared" si="280"/>
        <v>#VALUE!</v>
      </c>
      <c r="AL385" s="966" t="e">
        <f t="shared" si="281"/>
        <v>#VALUE!</v>
      </c>
      <c r="AM385" s="239"/>
      <c r="AO385" s="685">
        <f t="shared" si="306"/>
        <v>-2.0177605380596741</v>
      </c>
      <c r="AP385" s="276">
        <f t="shared" si="307"/>
        <v>1.5949967706312689</v>
      </c>
      <c r="AQ385" s="276">
        <f t="shared" si="308"/>
        <v>2.910942362540812</v>
      </c>
      <c r="AR385" s="276">
        <f t="shared" si="309"/>
        <v>2.3060848258168898</v>
      </c>
      <c r="AS385" s="276">
        <f t="shared" si="310"/>
        <v>-1.6652426271350447</v>
      </c>
      <c r="AT385" s="276">
        <f t="shared" si="311"/>
        <v>3.2035668534051842</v>
      </c>
      <c r="AU385" s="685">
        <f t="shared" si="312"/>
        <v>1.6276911075417069</v>
      </c>
      <c r="AV385" s="276">
        <f t="shared" si="313"/>
        <v>1.5282295057914956</v>
      </c>
      <c r="AW385" s="276">
        <f t="shared" si="314"/>
        <v>1.5977018846141975</v>
      </c>
      <c r="AX385" s="276">
        <f t="shared" si="315"/>
        <v>2.0332110413123408</v>
      </c>
      <c r="AY385" s="276">
        <f t="shared" si="316"/>
        <v>2.0879674425156747</v>
      </c>
      <c r="AZ385" s="686">
        <f t="shared" si="317"/>
        <v>1.0105286623720413</v>
      </c>
      <c r="BA385" s="685">
        <f t="shared" si="318"/>
        <v>0</v>
      </c>
      <c r="BB385" s="276">
        <f t="shared" si="319"/>
        <v>0</v>
      </c>
      <c r="BC385" s="276">
        <f t="shared" si="320"/>
        <v>0</v>
      </c>
      <c r="BD385" s="276">
        <f t="shared" si="321"/>
        <v>0</v>
      </c>
      <c r="BE385" s="276">
        <f t="shared" si="322"/>
        <v>0</v>
      </c>
      <c r="BF385" s="686">
        <f t="shared" si="323"/>
        <v>0</v>
      </c>
      <c r="BG385" s="685" t="e">
        <f t="shared" si="324"/>
        <v>#DIV/0!</v>
      </c>
      <c r="BH385" s="276" t="e">
        <f t="shared" si="325"/>
        <v>#DIV/0!</v>
      </c>
      <c r="BI385" s="276" t="e">
        <f t="shared" si="326"/>
        <v>#DIV/0!</v>
      </c>
      <c r="BJ385" s="276" t="e">
        <f t="shared" si="327"/>
        <v>#DIV/0!</v>
      </c>
      <c r="BK385" s="276" t="e">
        <f t="shared" si="328"/>
        <v>#DIV/0!</v>
      </c>
      <c r="BL385" s="686" t="e">
        <f t="shared" si="329"/>
        <v>#DIV/0!</v>
      </c>
      <c r="BM385" s="239"/>
      <c r="BN385" s="965" t="e">
        <f t="shared" si="330"/>
        <v>#VALUE!</v>
      </c>
      <c r="BO385" s="878" t="e">
        <f t="shared" si="331"/>
        <v>#VALUE!</v>
      </c>
      <c r="BP385" s="878" t="e">
        <f t="shared" si="332"/>
        <v>#VALUE!</v>
      </c>
      <c r="BQ385" s="878" t="e">
        <f t="shared" si="333"/>
        <v>#VALUE!</v>
      </c>
      <c r="BR385" s="878" t="e">
        <f t="shared" si="334"/>
        <v>#VALUE!</v>
      </c>
      <c r="BS385" s="966" t="e">
        <f t="shared" si="335"/>
        <v>#VALUE!</v>
      </c>
    </row>
    <row r="386" spans="1:71">
      <c r="A386" s="284">
        <f t="shared" si="336"/>
        <v>318</v>
      </c>
      <c r="B386" s="285">
        <v>0.11183654890016242</v>
      </c>
      <c r="C386" s="285">
        <v>2.3532303384397482</v>
      </c>
      <c r="D386" s="285">
        <v>2.5224358955925323</v>
      </c>
      <c r="E386" s="285">
        <v>-8.2618753257788971</v>
      </c>
      <c r="H386" s="685">
        <f t="shared" si="282"/>
        <v>-1.0213972928688924</v>
      </c>
      <c r="I386" s="276">
        <f t="shared" si="283"/>
        <v>-1.3555410066723335</v>
      </c>
      <c r="J386" s="276">
        <f t="shared" si="284"/>
        <v>-3.5188644552321433</v>
      </c>
      <c r="K386" s="276">
        <f t="shared" si="285"/>
        <v>-1.7932494017808231</v>
      </c>
      <c r="L386" s="276">
        <f t="shared" si="286"/>
        <v>1.5209704633459344</v>
      </c>
      <c r="M386" s="276">
        <f t="shared" si="287"/>
        <v>-1.9460922927092776</v>
      </c>
      <c r="N386" s="685">
        <f t="shared" si="288"/>
        <v>1.1460591274678797</v>
      </c>
      <c r="O386" s="276">
        <f t="shared" si="289"/>
        <v>0.71290115783979191</v>
      </c>
      <c r="P386" s="276">
        <f t="shared" si="290"/>
        <v>2.3318017028839053</v>
      </c>
      <c r="Q386" s="276">
        <f t="shared" si="291"/>
        <v>1.9769903694064659</v>
      </c>
      <c r="R386" s="276">
        <f t="shared" si="292"/>
        <v>1.684076990156371</v>
      </c>
      <c r="S386" s="686">
        <f t="shared" si="293"/>
        <v>1.5720432902745769</v>
      </c>
      <c r="T386" s="685">
        <f t="shared" si="294"/>
        <v>5.8007995858634587</v>
      </c>
      <c r="U386" s="276">
        <f t="shared" si="295"/>
        <v>4.3756215562674763</v>
      </c>
      <c r="V386" s="276">
        <f t="shared" si="296"/>
        <v>4.1112089176882201</v>
      </c>
      <c r="W386" s="276">
        <f t="shared" si="297"/>
        <v>3.5637883502266909</v>
      </c>
      <c r="X386" s="276">
        <f t="shared" si="298"/>
        <v>3.7891965529350893</v>
      </c>
      <c r="Y386" s="686">
        <f t="shared" si="299"/>
        <v>4.4072348437597029</v>
      </c>
      <c r="Z386" s="685" t="e">
        <f t="shared" si="300"/>
        <v>#DIV/0!</v>
      </c>
      <c r="AA386" s="276" t="e">
        <f t="shared" si="301"/>
        <v>#DIV/0!</v>
      </c>
      <c r="AB386" s="276" t="e">
        <f t="shared" si="302"/>
        <v>#DIV/0!</v>
      </c>
      <c r="AC386" s="276" t="e">
        <f t="shared" si="303"/>
        <v>#DIV/0!</v>
      </c>
      <c r="AD386" s="276" t="e">
        <f t="shared" si="304"/>
        <v>#DIV/0!</v>
      </c>
      <c r="AE386" s="686" t="e">
        <f t="shared" si="305"/>
        <v>#DIV/0!</v>
      </c>
      <c r="AF386" s="239"/>
      <c r="AG386" s="965" t="e">
        <f t="shared" si="276"/>
        <v>#VALUE!</v>
      </c>
      <c r="AH386" s="878" t="e">
        <f t="shared" si="277"/>
        <v>#VALUE!</v>
      </c>
      <c r="AI386" s="878" t="e">
        <f t="shared" si="278"/>
        <v>#VALUE!</v>
      </c>
      <c r="AJ386" s="878" t="e">
        <f t="shared" si="279"/>
        <v>#VALUE!</v>
      </c>
      <c r="AK386" s="878" t="e">
        <f t="shared" si="280"/>
        <v>#VALUE!</v>
      </c>
      <c r="AL386" s="966" t="e">
        <f t="shared" si="281"/>
        <v>#VALUE!</v>
      </c>
      <c r="AM386" s="239"/>
      <c r="AO386" s="685">
        <f t="shared" si="306"/>
        <v>-1.0213972928688924</v>
      </c>
      <c r="AP386" s="276">
        <f t="shared" si="307"/>
        <v>-1.3555410066723335</v>
      </c>
      <c r="AQ386" s="276">
        <f t="shared" si="308"/>
        <v>-3.5188644552321433</v>
      </c>
      <c r="AR386" s="276">
        <f t="shared" si="309"/>
        <v>-1.7932494017808231</v>
      </c>
      <c r="AS386" s="276">
        <f t="shared" si="310"/>
        <v>1.5209704633459344</v>
      </c>
      <c r="AT386" s="276">
        <f t="shared" si="311"/>
        <v>-1.9460922927092776</v>
      </c>
      <c r="AU386" s="685">
        <f t="shared" si="312"/>
        <v>1.1460591274678797</v>
      </c>
      <c r="AV386" s="276">
        <f t="shared" si="313"/>
        <v>0.71290115783979191</v>
      </c>
      <c r="AW386" s="276">
        <f t="shared" si="314"/>
        <v>2.3318017028839053</v>
      </c>
      <c r="AX386" s="276">
        <f t="shared" si="315"/>
        <v>1.9769903694064659</v>
      </c>
      <c r="AY386" s="276">
        <f t="shared" si="316"/>
        <v>1.684076990156371</v>
      </c>
      <c r="AZ386" s="686">
        <f t="shared" si="317"/>
        <v>1.5720432902745769</v>
      </c>
      <c r="BA386" s="685">
        <f t="shared" si="318"/>
        <v>0</v>
      </c>
      <c r="BB386" s="276">
        <f t="shared" si="319"/>
        <v>0</v>
      </c>
      <c r="BC386" s="276">
        <f t="shared" si="320"/>
        <v>0</v>
      </c>
      <c r="BD386" s="276">
        <f t="shared" si="321"/>
        <v>0</v>
      </c>
      <c r="BE386" s="276">
        <f t="shared" si="322"/>
        <v>0</v>
      </c>
      <c r="BF386" s="686">
        <f t="shared" si="323"/>
        <v>0</v>
      </c>
      <c r="BG386" s="685" t="e">
        <f t="shared" si="324"/>
        <v>#DIV/0!</v>
      </c>
      <c r="BH386" s="276" t="e">
        <f t="shared" si="325"/>
        <v>#DIV/0!</v>
      </c>
      <c r="BI386" s="276" t="e">
        <f t="shared" si="326"/>
        <v>#DIV/0!</v>
      </c>
      <c r="BJ386" s="276" t="e">
        <f t="shared" si="327"/>
        <v>#DIV/0!</v>
      </c>
      <c r="BK386" s="276" t="e">
        <f t="shared" si="328"/>
        <v>#DIV/0!</v>
      </c>
      <c r="BL386" s="686" t="e">
        <f t="shared" si="329"/>
        <v>#DIV/0!</v>
      </c>
      <c r="BM386" s="239"/>
      <c r="BN386" s="965" t="e">
        <f t="shared" si="330"/>
        <v>#VALUE!</v>
      </c>
      <c r="BO386" s="878" t="e">
        <f t="shared" si="331"/>
        <v>#VALUE!</v>
      </c>
      <c r="BP386" s="878" t="e">
        <f t="shared" si="332"/>
        <v>#VALUE!</v>
      </c>
      <c r="BQ386" s="878" t="e">
        <f t="shared" si="333"/>
        <v>#VALUE!</v>
      </c>
      <c r="BR386" s="878" t="e">
        <f t="shared" si="334"/>
        <v>#VALUE!</v>
      </c>
      <c r="BS386" s="966" t="e">
        <f t="shared" si="335"/>
        <v>#VALUE!</v>
      </c>
    </row>
    <row r="387" spans="1:71">
      <c r="A387" s="284">
        <f t="shared" si="336"/>
        <v>319</v>
      </c>
      <c r="B387" s="285">
        <v>0.53614639859944879</v>
      </c>
      <c r="C387" s="285">
        <v>2.0511348795383775</v>
      </c>
      <c r="D387" s="285">
        <v>0.29304376939916144</v>
      </c>
      <c r="E387" s="285">
        <v>-8.244882354540465</v>
      </c>
      <c r="H387" s="685">
        <f t="shared" si="282"/>
        <v>-0.59708744316960605</v>
      </c>
      <c r="I387" s="276">
        <f t="shared" si="283"/>
        <v>-3.2913495138489433</v>
      </c>
      <c r="J387" s="276">
        <f t="shared" si="284"/>
        <v>0.85599165187780479</v>
      </c>
      <c r="K387" s="276">
        <f t="shared" si="285"/>
        <v>-0.50489090423043292</v>
      </c>
      <c r="L387" s="276">
        <f t="shared" si="286"/>
        <v>-0.90188603101965581</v>
      </c>
      <c r="M387" s="276">
        <f t="shared" si="287"/>
        <v>-4.3513068507154831</v>
      </c>
      <c r="N387" s="685">
        <f t="shared" si="288"/>
        <v>0.84396366856650906</v>
      </c>
      <c r="O387" s="276">
        <f t="shared" si="289"/>
        <v>1.2554820868550338</v>
      </c>
      <c r="P387" s="276">
        <f t="shared" si="290"/>
        <v>1.9126836227634632</v>
      </c>
      <c r="Q387" s="276">
        <f t="shared" si="291"/>
        <v>1.2581443206925782</v>
      </c>
      <c r="R387" s="276">
        <f t="shared" si="292"/>
        <v>1.582609096957398</v>
      </c>
      <c r="S387" s="686">
        <f t="shared" si="293"/>
        <v>1.9798700612325273</v>
      </c>
      <c r="T387" s="685">
        <f t="shared" si="294"/>
        <v>3.5714074596700875</v>
      </c>
      <c r="U387" s="276">
        <f t="shared" si="295"/>
        <v>3.6436438642572915</v>
      </c>
      <c r="V387" s="276">
        <f t="shared" si="296"/>
        <v>4.3273238733923138</v>
      </c>
      <c r="W387" s="276">
        <f t="shared" si="297"/>
        <v>4.9723344398147269</v>
      </c>
      <c r="X387" s="276">
        <f t="shared" si="298"/>
        <v>4.4687106576244933</v>
      </c>
      <c r="Y387" s="686">
        <f t="shared" si="299"/>
        <v>3.9438165705081119</v>
      </c>
      <c r="Z387" s="685" t="e">
        <f t="shared" si="300"/>
        <v>#DIV/0!</v>
      </c>
      <c r="AA387" s="276" t="e">
        <f t="shared" si="301"/>
        <v>#DIV/0!</v>
      </c>
      <c r="AB387" s="276" t="e">
        <f t="shared" si="302"/>
        <v>#DIV/0!</v>
      </c>
      <c r="AC387" s="276" t="e">
        <f t="shared" si="303"/>
        <v>#DIV/0!</v>
      </c>
      <c r="AD387" s="276" t="e">
        <f t="shared" si="304"/>
        <v>#DIV/0!</v>
      </c>
      <c r="AE387" s="686" t="e">
        <f t="shared" si="305"/>
        <v>#DIV/0!</v>
      </c>
      <c r="AF387" s="239"/>
      <c r="AG387" s="965" t="e">
        <f t="shared" si="276"/>
        <v>#VALUE!</v>
      </c>
      <c r="AH387" s="878" t="e">
        <f t="shared" si="277"/>
        <v>#VALUE!</v>
      </c>
      <c r="AI387" s="878" t="e">
        <f t="shared" si="278"/>
        <v>#VALUE!</v>
      </c>
      <c r="AJ387" s="878" t="e">
        <f t="shared" si="279"/>
        <v>#VALUE!</v>
      </c>
      <c r="AK387" s="878" t="e">
        <f t="shared" si="280"/>
        <v>#VALUE!</v>
      </c>
      <c r="AL387" s="966" t="e">
        <f t="shared" si="281"/>
        <v>#VALUE!</v>
      </c>
      <c r="AM387" s="239"/>
      <c r="AO387" s="685">
        <f t="shared" si="306"/>
        <v>-0.59708744316960605</v>
      </c>
      <c r="AP387" s="276">
        <f t="shared" si="307"/>
        <v>-3.2913495138489433</v>
      </c>
      <c r="AQ387" s="276">
        <f t="shared" si="308"/>
        <v>0.85599165187780479</v>
      </c>
      <c r="AR387" s="276">
        <f t="shared" si="309"/>
        <v>-0.50489090423043292</v>
      </c>
      <c r="AS387" s="276">
        <f t="shared" si="310"/>
        <v>-0.90188603101965581</v>
      </c>
      <c r="AT387" s="276">
        <f t="shared" si="311"/>
        <v>-4.3513068507154831</v>
      </c>
      <c r="AU387" s="685">
        <f t="shared" si="312"/>
        <v>0.84396366856650906</v>
      </c>
      <c r="AV387" s="276">
        <f t="shared" si="313"/>
        <v>1.2554820868550338</v>
      </c>
      <c r="AW387" s="276">
        <f t="shared" si="314"/>
        <v>1.9126836227634632</v>
      </c>
      <c r="AX387" s="276">
        <f t="shared" si="315"/>
        <v>1.2581443206925782</v>
      </c>
      <c r="AY387" s="276">
        <f t="shared" si="316"/>
        <v>1.582609096957398</v>
      </c>
      <c r="AZ387" s="686">
        <f t="shared" si="317"/>
        <v>1.9798700612325273</v>
      </c>
      <c r="BA387" s="685">
        <f t="shared" si="318"/>
        <v>0</v>
      </c>
      <c r="BB387" s="276">
        <f t="shared" si="319"/>
        <v>0</v>
      </c>
      <c r="BC387" s="276">
        <f t="shared" si="320"/>
        <v>0</v>
      </c>
      <c r="BD387" s="276">
        <f t="shared" si="321"/>
        <v>0</v>
      </c>
      <c r="BE387" s="276">
        <f t="shared" si="322"/>
        <v>0</v>
      </c>
      <c r="BF387" s="686">
        <f t="shared" si="323"/>
        <v>0</v>
      </c>
      <c r="BG387" s="685" t="e">
        <f t="shared" si="324"/>
        <v>#DIV/0!</v>
      </c>
      <c r="BH387" s="276" t="e">
        <f t="shared" si="325"/>
        <v>#DIV/0!</v>
      </c>
      <c r="BI387" s="276" t="e">
        <f t="shared" si="326"/>
        <v>#DIV/0!</v>
      </c>
      <c r="BJ387" s="276" t="e">
        <f t="shared" si="327"/>
        <v>#DIV/0!</v>
      </c>
      <c r="BK387" s="276" t="e">
        <f t="shared" si="328"/>
        <v>#DIV/0!</v>
      </c>
      <c r="BL387" s="686" t="e">
        <f t="shared" si="329"/>
        <v>#DIV/0!</v>
      </c>
      <c r="BM387" s="239"/>
      <c r="BN387" s="965" t="e">
        <f t="shared" si="330"/>
        <v>#VALUE!</v>
      </c>
      <c r="BO387" s="878" t="e">
        <f t="shared" si="331"/>
        <v>#VALUE!</v>
      </c>
      <c r="BP387" s="878" t="e">
        <f t="shared" si="332"/>
        <v>#VALUE!</v>
      </c>
      <c r="BQ387" s="878" t="e">
        <f t="shared" si="333"/>
        <v>#VALUE!</v>
      </c>
      <c r="BR387" s="878" t="e">
        <f t="shared" si="334"/>
        <v>#VALUE!</v>
      </c>
      <c r="BS387" s="966" t="e">
        <f t="shared" si="335"/>
        <v>#VALUE!</v>
      </c>
    </row>
    <row r="388" spans="1:71">
      <c r="A388" s="284">
        <f t="shared" si="336"/>
        <v>320</v>
      </c>
      <c r="B388" s="285">
        <v>-0.84254100704746981</v>
      </c>
      <c r="C388" s="285">
        <v>2.947379151828136</v>
      </c>
      <c r="D388" s="285">
        <v>-1.7399813790123289</v>
      </c>
      <c r="E388" s="285">
        <v>1.5275655303806404</v>
      </c>
      <c r="H388" s="685">
        <f t="shared" si="282"/>
        <v>-1.9757748488165245</v>
      </c>
      <c r="I388" s="276">
        <f t="shared" si="283"/>
        <v>2.054466758745531</v>
      </c>
      <c r="J388" s="276">
        <f t="shared" si="284"/>
        <v>-1.6498816822733064</v>
      </c>
      <c r="K388" s="276">
        <f t="shared" si="285"/>
        <v>-1.4899172620878129</v>
      </c>
      <c r="L388" s="276">
        <f t="shared" si="286"/>
        <v>-0.75830726149580019</v>
      </c>
      <c r="M388" s="276">
        <f t="shared" si="287"/>
        <v>-0.38199055633185908</v>
      </c>
      <c r="N388" s="685">
        <f t="shared" si="288"/>
        <v>1.7402079408562676</v>
      </c>
      <c r="O388" s="276">
        <f t="shared" si="289"/>
        <v>1.2787983435758024</v>
      </c>
      <c r="P388" s="276">
        <f t="shared" si="290"/>
        <v>1.8184719420236053</v>
      </c>
      <c r="Q388" s="276">
        <f t="shared" si="291"/>
        <v>1.4576754608186364</v>
      </c>
      <c r="R388" s="276">
        <f t="shared" si="292"/>
        <v>0.79689114683213336</v>
      </c>
      <c r="S388" s="686">
        <f t="shared" si="293"/>
        <v>1.725990535786752</v>
      </c>
      <c r="T388" s="685">
        <f t="shared" si="294"/>
        <v>1.538382311258597</v>
      </c>
      <c r="U388" s="276">
        <f t="shared" si="295"/>
        <v>5.0303036316591943</v>
      </c>
      <c r="V388" s="276">
        <f t="shared" si="296"/>
        <v>5.68596989276333</v>
      </c>
      <c r="W388" s="276">
        <f t="shared" si="297"/>
        <v>3.5306955291749156</v>
      </c>
      <c r="X388" s="276">
        <f t="shared" si="298"/>
        <v>5.7205127496857777</v>
      </c>
      <c r="Y388" s="686">
        <f t="shared" si="299"/>
        <v>4.3350430597189025</v>
      </c>
      <c r="Z388" s="685" t="e">
        <f t="shared" si="300"/>
        <v>#DIV/0!</v>
      </c>
      <c r="AA388" s="276" t="e">
        <f t="shared" si="301"/>
        <v>#DIV/0!</v>
      </c>
      <c r="AB388" s="276" t="e">
        <f t="shared" si="302"/>
        <v>#DIV/0!</v>
      </c>
      <c r="AC388" s="276" t="e">
        <f t="shared" si="303"/>
        <v>#DIV/0!</v>
      </c>
      <c r="AD388" s="276" t="e">
        <f t="shared" si="304"/>
        <v>#DIV/0!</v>
      </c>
      <c r="AE388" s="686" t="e">
        <f t="shared" si="305"/>
        <v>#DIV/0!</v>
      </c>
      <c r="AF388" s="239"/>
      <c r="AG388" s="965" t="e">
        <f t="shared" si="276"/>
        <v>#VALUE!</v>
      </c>
      <c r="AH388" s="878" t="e">
        <f t="shared" si="277"/>
        <v>#VALUE!</v>
      </c>
      <c r="AI388" s="878" t="e">
        <f t="shared" si="278"/>
        <v>#VALUE!</v>
      </c>
      <c r="AJ388" s="878" t="e">
        <f t="shared" si="279"/>
        <v>#VALUE!</v>
      </c>
      <c r="AK388" s="878" t="e">
        <f t="shared" si="280"/>
        <v>#VALUE!</v>
      </c>
      <c r="AL388" s="966" t="e">
        <f t="shared" si="281"/>
        <v>#VALUE!</v>
      </c>
      <c r="AM388" s="239"/>
      <c r="AO388" s="685">
        <f t="shared" si="306"/>
        <v>-1.9757748488165245</v>
      </c>
      <c r="AP388" s="276">
        <f t="shared" si="307"/>
        <v>2.054466758745531</v>
      </c>
      <c r="AQ388" s="276">
        <f t="shared" si="308"/>
        <v>-1.6498816822733064</v>
      </c>
      <c r="AR388" s="276">
        <f t="shared" si="309"/>
        <v>-1.4899172620878129</v>
      </c>
      <c r="AS388" s="276">
        <f t="shared" si="310"/>
        <v>-0.75830726149580019</v>
      </c>
      <c r="AT388" s="276">
        <f t="shared" si="311"/>
        <v>-0.38199055633185908</v>
      </c>
      <c r="AU388" s="685">
        <f t="shared" si="312"/>
        <v>1.7402079408562676</v>
      </c>
      <c r="AV388" s="276">
        <f t="shared" si="313"/>
        <v>1.2787983435758024</v>
      </c>
      <c r="AW388" s="276">
        <f t="shared" si="314"/>
        <v>1.8184719420236053</v>
      </c>
      <c r="AX388" s="276">
        <f t="shared" si="315"/>
        <v>1.4576754608186364</v>
      </c>
      <c r="AY388" s="276">
        <f t="shared" si="316"/>
        <v>0.79689114683213336</v>
      </c>
      <c r="AZ388" s="686">
        <f t="shared" si="317"/>
        <v>1.725990535786752</v>
      </c>
      <c r="BA388" s="685">
        <f t="shared" si="318"/>
        <v>0</v>
      </c>
      <c r="BB388" s="276">
        <f t="shared" si="319"/>
        <v>0</v>
      </c>
      <c r="BC388" s="276">
        <f t="shared" si="320"/>
        <v>0</v>
      </c>
      <c r="BD388" s="276">
        <f t="shared" si="321"/>
        <v>0</v>
      </c>
      <c r="BE388" s="276">
        <f t="shared" si="322"/>
        <v>0</v>
      </c>
      <c r="BF388" s="686">
        <f t="shared" si="323"/>
        <v>0</v>
      </c>
      <c r="BG388" s="685" t="e">
        <f t="shared" si="324"/>
        <v>#DIV/0!</v>
      </c>
      <c r="BH388" s="276" t="e">
        <f t="shared" si="325"/>
        <v>#DIV/0!</v>
      </c>
      <c r="BI388" s="276" t="e">
        <f t="shared" si="326"/>
        <v>#DIV/0!</v>
      </c>
      <c r="BJ388" s="276" t="e">
        <f t="shared" si="327"/>
        <v>#DIV/0!</v>
      </c>
      <c r="BK388" s="276" t="e">
        <f t="shared" si="328"/>
        <v>#DIV/0!</v>
      </c>
      <c r="BL388" s="686" t="e">
        <f t="shared" si="329"/>
        <v>#DIV/0!</v>
      </c>
      <c r="BM388" s="239"/>
      <c r="BN388" s="965" t="e">
        <f t="shared" si="330"/>
        <v>#VALUE!</v>
      </c>
      <c r="BO388" s="878" t="e">
        <f t="shared" si="331"/>
        <v>#VALUE!</v>
      </c>
      <c r="BP388" s="878" t="e">
        <f t="shared" si="332"/>
        <v>#VALUE!</v>
      </c>
      <c r="BQ388" s="878" t="e">
        <f t="shared" si="333"/>
        <v>#VALUE!</v>
      </c>
      <c r="BR388" s="878" t="e">
        <f t="shared" si="334"/>
        <v>#VALUE!</v>
      </c>
      <c r="BS388" s="966" t="e">
        <f t="shared" si="335"/>
        <v>#VALUE!</v>
      </c>
    </row>
    <row r="389" spans="1:71">
      <c r="A389" s="284">
        <f t="shared" si="336"/>
        <v>321</v>
      </c>
      <c r="B389" s="285">
        <v>0.84447734477639413</v>
      </c>
      <c r="C389" s="285">
        <v>2.7478808032070874</v>
      </c>
      <c r="D389" s="285">
        <v>3.2027517281464495</v>
      </c>
      <c r="E389" s="285">
        <v>-9.9867564271785394</v>
      </c>
      <c r="H389" s="685">
        <f t="shared" si="282"/>
        <v>-0.28875649699266071</v>
      </c>
      <c r="I389" s="276">
        <f t="shared" si="283"/>
        <v>-1.8507326631362431</v>
      </c>
      <c r="J389" s="276">
        <f t="shared" si="284"/>
        <v>1.8863354167129061</v>
      </c>
      <c r="K389" s="276">
        <f t="shared" si="285"/>
        <v>1.3442872806902624</v>
      </c>
      <c r="L389" s="276">
        <f t="shared" si="286"/>
        <v>-0.7125424057316283</v>
      </c>
      <c r="M389" s="276">
        <f t="shared" si="287"/>
        <v>-2.1290102491008898</v>
      </c>
      <c r="N389" s="685">
        <f t="shared" si="288"/>
        <v>1.540709592235219</v>
      </c>
      <c r="O389" s="276">
        <f t="shared" si="289"/>
        <v>1.5212167217296784</v>
      </c>
      <c r="P389" s="276">
        <f t="shared" si="290"/>
        <v>1.5547704186893931</v>
      </c>
      <c r="Q389" s="276">
        <f t="shared" si="291"/>
        <v>1.8376406854662901</v>
      </c>
      <c r="R389" s="276">
        <f t="shared" si="292"/>
        <v>1.7441055030324379</v>
      </c>
      <c r="S389" s="686">
        <f t="shared" si="293"/>
        <v>1.2980331751345455</v>
      </c>
      <c r="T389" s="685">
        <f t="shared" si="294"/>
        <v>6.4811154184173754</v>
      </c>
      <c r="U389" s="276">
        <f t="shared" si="295"/>
        <v>4.2331927453027971</v>
      </c>
      <c r="V389" s="276">
        <f t="shared" si="296"/>
        <v>4.8309834615042799</v>
      </c>
      <c r="W389" s="276">
        <f t="shared" si="297"/>
        <v>4.3785855196664478</v>
      </c>
      <c r="X389" s="276">
        <f t="shared" si="298"/>
        <v>6.3819093352615202</v>
      </c>
      <c r="Y389" s="686">
        <f t="shared" si="299"/>
        <v>4.6374022429772861</v>
      </c>
      <c r="Z389" s="685" t="e">
        <f t="shared" si="300"/>
        <v>#DIV/0!</v>
      </c>
      <c r="AA389" s="276" t="e">
        <f t="shared" si="301"/>
        <v>#DIV/0!</v>
      </c>
      <c r="AB389" s="276" t="e">
        <f t="shared" si="302"/>
        <v>#DIV/0!</v>
      </c>
      <c r="AC389" s="276" t="e">
        <f t="shared" si="303"/>
        <v>#DIV/0!</v>
      </c>
      <c r="AD389" s="276" t="e">
        <f t="shared" si="304"/>
        <v>#DIV/0!</v>
      </c>
      <c r="AE389" s="686" t="e">
        <f t="shared" si="305"/>
        <v>#DIV/0!</v>
      </c>
      <c r="AF389" s="239"/>
      <c r="AG389" s="965" t="e">
        <f t="shared" ref="AG389:AG452" si="337">S$53*(1+(T$55+N389)/100)*((1-S$62)+S$62*((1+(T$57+Z389)/100)))/(1+(T$54+H389)/100)-(T$56+T389)+T$58</f>
        <v>#VALUE!</v>
      </c>
      <c r="AH389" s="878" t="e">
        <f t="shared" ref="AH389:AH452" si="338">AG389*(1+(U$55+O389)/100)*((1-T$62)+T$62*((1+(U$57+AA389)/100)))/(1+(U$54+I389)/100)-(U$56+U389)+U$58</f>
        <v>#VALUE!</v>
      </c>
      <c r="AI389" s="878" t="e">
        <f t="shared" ref="AI389:AI452" si="339">AH389*(1+(V$55+P389)/100)*((1-U$62)+U$62*((1+(V$57+AB389)/100)))/(1+(V$54+J389)/100)-(V$56+V389)+V$58</f>
        <v>#VALUE!</v>
      </c>
      <c r="AJ389" s="878" t="e">
        <f t="shared" ref="AJ389:AJ452" si="340">AI389*(1+(W$55+Q389)/100)*((1-V$62)+V$62*((1+(W$57+AC389)/100)))/(1+(W$54+K389)/100)-(W$56+W389)+W$58</f>
        <v>#VALUE!</v>
      </c>
      <c r="AK389" s="878" t="e">
        <f t="shared" ref="AK389:AK452" si="341">AJ389*(1+(X$55+R389)/100)*((1-W$62)+W$62*((1+(X$57+AD389)/100)))/(1+(X$54+L389)/100)-(X$56+X389)+X$58</f>
        <v>#VALUE!</v>
      </c>
      <c r="AL389" s="966" t="e">
        <f t="shared" ref="AL389:AL452" si="342">AK389*(1+(Y$55+S389)/100)*((1-X$62)+X$62*((1+(Y$57+AE389)/100)))/(1+(Y$54+M389)/100)-(Y$56+Y389)+Y$58</f>
        <v>#VALUE!</v>
      </c>
      <c r="AM389" s="239"/>
      <c r="AO389" s="685">
        <f t="shared" si="306"/>
        <v>-0.28875649699266071</v>
      </c>
      <c r="AP389" s="276">
        <f t="shared" si="307"/>
        <v>-1.8507326631362431</v>
      </c>
      <c r="AQ389" s="276">
        <f t="shared" si="308"/>
        <v>1.8863354167129061</v>
      </c>
      <c r="AR389" s="276">
        <f t="shared" si="309"/>
        <v>1.3442872806902624</v>
      </c>
      <c r="AS389" s="276">
        <f t="shared" si="310"/>
        <v>-0.7125424057316283</v>
      </c>
      <c r="AT389" s="276">
        <f t="shared" si="311"/>
        <v>-2.1290102491008898</v>
      </c>
      <c r="AU389" s="685">
        <f t="shared" si="312"/>
        <v>1.540709592235219</v>
      </c>
      <c r="AV389" s="276">
        <f t="shared" si="313"/>
        <v>1.5212167217296784</v>
      </c>
      <c r="AW389" s="276">
        <f t="shared" si="314"/>
        <v>1.5547704186893931</v>
      </c>
      <c r="AX389" s="276">
        <f t="shared" si="315"/>
        <v>1.8376406854662901</v>
      </c>
      <c r="AY389" s="276">
        <f t="shared" si="316"/>
        <v>1.7441055030324379</v>
      </c>
      <c r="AZ389" s="686">
        <f t="shared" si="317"/>
        <v>1.2980331751345455</v>
      </c>
      <c r="BA389" s="685">
        <f t="shared" si="318"/>
        <v>0</v>
      </c>
      <c r="BB389" s="276">
        <f t="shared" si="319"/>
        <v>0</v>
      </c>
      <c r="BC389" s="276">
        <f t="shared" si="320"/>
        <v>0</v>
      </c>
      <c r="BD389" s="276">
        <f t="shared" si="321"/>
        <v>0</v>
      </c>
      <c r="BE389" s="276">
        <f t="shared" si="322"/>
        <v>0</v>
      </c>
      <c r="BF389" s="686">
        <f t="shared" si="323"/>
        <v>0</v>
      </c>
      <c r="BG389" s="685" t="e">
        <f t="shared" si="324"/>
        <v>#DIV/0!</v>
      </c>
      <c r="BH389" s="276" t="e">
        <f t="shared" si="325"/>
        <v>#DIV/0!</v>
      </c>
      <c r="BI389" s="276" t="e">
        <f t="shared" si="326"/>
        <v>#DIV/0!</v>
      </c>
      <c r="BJ389" s="276" t="e">
        <f t="shared" si="327"/>
        <v>#DIV/0!</v>
      </c>
      <c r="BK389" s="276" t="e">
        <f t="shared" si="328"/>
        <v>#DIV/0!</v>
      </c>
      <c r="BL389" s="686" t="e">
        <f t="shared" si="329"/>
        <v>#DIV/0!</v>
      </c>
      <c r="BM389" s="239"/>
      <c r="BN389" s="965" t="e">
        <f t="shared" si="330"/>
        <v>#VALUE!</v>
      </c>
      <c r="BO389" s="878" t="e">
        <f t="shared" si="331"/>
        <v>#VALUE!</v>
      </c>
      <c r="BP389" s="878" t="e">
        <f t="shared" si="332"/>
        <v>#VALUE!</v>
      </c>
      <c r="BQ389" s="878" t="e">
        <f t="shared" si="333"/>
        <v>#VALUE!</v>
      </c>
      <c r="BR389" s="878" t="e">
        <f t="shared" si="334"/>
        <v>#VALUE!</v>
      </c>
      <c r="BS389" s="966" t="e">
        <f t="shared" si="335"/>
        <v>#VALUE!</v>
      </c>
    </row>
    <row r="390" spans="1:71">
      <c r="A390" s="284">
        <f t="shared" si="336"/>
        <v>322</v>
      </c>
      <c r="B390" s="285">
        <v>-1.9417216049079455</v>
      </c>
      <c r="C390" s="285">
        <v>2.56739642216266</v>
      </c>
      <c r="D390" s="285">
        <v>-1.1151895569022399</v>
      </c>
      <c r="E390" s="285">
        <v>6.3985911574417802</v>
      </c>
      <c r="H390" s="685">
        <f t="shared" ref="H390:H453" si="343">IF($B$42="On",$B390-$D$15,0)</f>
        <v>-3.0749554466770004</v>
      </c>
      <c r="I390" s="276">
        <f t="shared" ref="I390:I453" si="344">IF($B$42="On",$B1390-$D$15,0)</f>
        <v>-0.96643752693446472</v>
      </c>
      <c r="J390" s="276">
        <f t="shared" ref="J390:J453" si="345">IF($B$42="On",$B2390-$D$15,0)</f>
        <v>-0.98711568238110547</v>
      </c>
      <c r="K390" s="276">
        <f t="shared" ref="K390:K453" si="346">IF($B$42="On",$B3390-$D$15,0)</f>
        <v>-3.178643313115769</v>
      </c>
      <c r="L390" s="276">
        <f t="shared" ref="L390:L453" si="347">IF($B$42="On",$B4390-$D$15,0)</f>
        <v>-1.6341513899475397</v>
      </c>
      <c r="M390" s="276">
        <f t="shared" ref="M390:M453" si="348">IF($B$42="On",$B5390-$D$15,0)</f>
        <v>-1.80970094471761</v>
      </c>
      <c r="N390" s="685">
        <f t="shared" ref="N390:N453" si="349">IF($B$43="On",$C390-$D$16,0)</f>
        <v>1.3602252111907915</v>
      </c>
      <c r="O390" s="276">
        <f t="shared" ref="O390:O453" si="350">IF($B$43="On",$C1390-$D$16,0)</f>
        <v>2.0949000698169415</v>
      </c>
      <c r="P390" s="276">
        <f t="shared" ref="P390:P453" si="351">IF($B$43="On",$C2390-$D$16,0)</f>
        <v>0.64943100657122277</v>
      </c>
      <c r="Q390" s="276">
        <f t="shared" ref="Q390:Q453" si="352">IF($B$43="On",$C3390-$D$16,0)</f>
        <v>1.2714718332746793</v>
      </c>
      <c r="R390" s="276">
        <f t="shared" ref="R390:R453" si="353">IF($B$43="On",$C4390-$D$16,0)</f>
        <v>1.0650339865275857</v>
      </c>
      <c r="S390" s="686">
        <f t="shared" ref="S390:S453" si="354">IF($B$43="On",$C5390-$D$16,0)</f>
        <v>0.28626554741047694</v>
      </c>
      <c r="T390" s="685">
        <f t="shared" ref="T390:T453" si="355">IF($B$44="On",$D390-$D$17,0)</f>
        <v>2.163174133368686</v>
      </c>
      <c r="U390" s="276">
        <f t="shared" ref="U390:U453" si="356">IF($B$44="On",$D1390-$D$17,0)</f>
        <v>4.9558072345895283</v>
      </c>
      <c r="V390" s="276">
        <f t="shared" ref="V390:V453" si="357">IF($B$44="On",$D2390-$D$17,0)</f>
        <v>3.9539180050539131</v>
      </c>
      <c r="W390" s="276">
        <f t="shared" ref="W390:W453" si="358">IF($B$44="On",$D3390-$D$17,0)</f>
        <v>6.4986251113426654</v>
      </c>
      <c r="X390" s="276">
        <f t="shared" ref="X390:X453" si="359">IF($B$44="On",$D4390-$D$17,0)</f>
        <v>3.4350178232185677</v>
      </c>
      <c r="Y390" s="686">
        <f t="shared" ref="Y390:Y453" si="360">IF($B$44="On",$D5390-$D$17,0)</f>
        <v>6.5560968989598756</v>
      </c>
      <c r="Z390" s="685" t="e">
        <f t="shared" ref="Z390:Z453" si="361">IF($B$45="On",$E390-$D$18,0)</f>
        <v>#DIV/0!</v>
      </c>
      <c r="AA390" s="276" t="e">
        <f t="shared" ref="AA390:AA453" si="362">IF($B$45="On",$E1390-$D$18,0)</f>
        <v>#DIV/0!</v>
      </c>
      <c r="AB390" s="276" t="e">
        <f t="shared" ref="AB390:AB453" si="363">IF($B$45="On",$E2390-$D$18,0)</f>
        <v>#DIV/0!</v>
      </c>
      <c r="AC390" s="276" t="e">
        <f t="shared" ref="AC390:AC453" si="364">IF($B$45="On",$E3390-$D$18,0)</f>
        <v>#DIV/0!</v>
      </c>
      <c r="AD390" s="276" t="e">
        <f t="shared" ref="AD390:AD453" si="365">IF($B$45="On",$E4390-$D$18,0)</f>
        <v>#DIV/0!</v>
      </c>
      <c r="AE390" s="686" t="e">
        <f t="shared" ref="AE390:AE453" si="366">IF($B$45="On",$E5390-$D$18,0)</f>
        <v>#DIV/0!</v>
      </c>
      <c r="AF390" s="239"/>
      <c r="AG390" s="965" t="e">
        <f t="shared" si="337"/>
        <v>#VALUE!</v>
      </c>
      <c r="AH390" s="878" t="e">
        <f t="shared" si="338"/>
        <v>#VALUE!</v>
      </c>
      <c r="AI390" s="878" t="e">
        <f t="shared" si="339"/>
        <v>#VALUE!</v>
      </c>
      <c r="AJ390" s="878" t="e">
        <f t="shared" si="340"/>
        <v>#VALUE!</v>
      </c>
      <c r="AK390" s="878" t="e">
        <f t="shared" si="341"/>
        <v>#VALUE!</v>
      </c>
      <c r="AL390" s="966" t="e">
        <f t="shared" si="342"/>
        <v>#VALUE!</v>
      </c>
      <c r="AM390" s="239"/>
      <c r="AO390" s="685">
        <f t="shared" ref="AO390:AO453" si="367">IF($B$42="On",MIN($B390-$D$15,$D$42),0)</f>
        <v>-3.0749554466770004</v>
      </c>
      <c r="AP390" s="276">
        <f t="shared" ref="AP390:AP453" si="368">IF($B$42="On",MIN($B1390-$D$15,$D$42),0)</f>
        <v>-0.96643752693446472</v>
      </c>
      <c r="AQ390" s="276">
        <f t="shared" ref="AQ390:AQ453" si="369">IF($B$42="On",MIN($B2390-$D$15,$D$42),0)</f>
        <v>-0.98711568238110547</v>
      </c>
      <c r="AR390" s="276">
        <f t="shared" ref="AR390:AR453" si="370">IF($B$42="On",MIN($B3390-$D$15,$D$42),0)</f>
        <v>-3.178643313115769</v>
      </c>
      <c r="AS390" s="276">
        <f t="shared" ref="AS390:AS453" si="371">IF($B$42="On",MIN($B4390-$D$15,$D$42),0)</f>
        <v>-1.6341513899475397</v>
      </c>
      <c r="AT390" s="276">
        <f t="shared" ref="AT390:AT453" si="372">IF($B$42="On",MIN($B5390-$D$15,$D$42),0)</f>
        <v>-1.80970094471761</v>
      </c>
      <c r="AU390" s="685">
        <f t="shared" ref="AU390:AU453" si="373">IF($B$43="On",MAX($C390-$D$16,$D$43),0)</f>
        <v>1.3602252111907915</v>
      </c>
      <c r="AV390" s="276">
        <f t="shared" ref="AV390:AV453" si="374">IF($B$43="On",MAX($C1390-$D$16,$D$43),0)</f>
        <v>2.0949000698169415</v>
      </c>
      <c r="AW390" s="276">
        <f t="shared" ref="AW390:AW453" si="375">IF($B$43="On",MAX($C2390-$D$16,$D$43),0)</f>
        <v>0.64943100657122277</v>
      </c>
      <c r="AX390" s="276">
        <f t="shared" ref="AX390:AX453" si="376">IF($B$43="On",MAX($C3390-$D$16,$D$43),0)</f>
        <v>1.2714718332746793</v>
      </c>
      <c r="AY390" s="276">
        <f t="shared" ref="AY390:AY453" si="377">IF($B$43="On",MAX($C4390-$D$16,$D$43),0)</f>
        <v>1.0650339865275857</v>
      </c>
      <c r="AZ390" s="686">
        <f t="shared" ref="AZ390:AZ453" si="378">IF($B$43="On",MAX($C5390-$D$16,$D$43),0)</f>
        <v>0.28626554741047694</v>
      </c>
      <c r="BA390" s="685">
        <f t="shared" ref="BA390:BA453" si="379">IF($B$44="On",MIN($D390-$D$17,$D$44),0)</f>
        <v>0</v>
      </c>
      <c r="BB390" s="276">
        <f t="shared" ref="BB390:BB453" si="380">IF($B$44="On",MIN($D1390-$D$17,$D$44),0)</f>
        <v>0</v>
      </c>
      <c r="BC390" s="276">
        <f t="shared" ref="BC390:BC453" si="381">IF($B$44="On",MIN($D2390-$D$17,$D$44),0)</f>
        <v>0</v>
      </c>
      <c r="BD390" s="276">
        <f t="shared" ref="BD390:BD453" si="382">IF($B$44="On",MIN($D3390-$D$17,$D$44),0)</f>
        <v>0</v>
      </c>
      <c r="BE390" s="276">
        <f t="shared" ref="BE390:BE453" si="383">IF($B$44="On",MIN($D4390-$D$17,$D$44),0)</f>
        <v>0</v>
      </c>
      <c r="BF390" s="686">
        <f t="shared" ref="BF390:BF453" si="384">IF($B$44="On",MIN($D5390-$D$17,$D$44),0)</f>
        <v>0</v>
      </c>
      <c r="BG390" s="685" t="e">
        <f t="shared" ref="BG390:BG453" si="385">IF($B$45="On",MAX($E390-$D$18,$D$45),0)</f>
        <v>#DIV/0!</v>
      </c>
      <c r="BH390" s="276" t="e">
        <f t="shared" ref="BH390:BH453" si="386">IF($B$45="On",MAX($E1390-$D$18,$D$45),0)</f>
        <v>#DIV/0!</v>
      </c>
      <c r="BI390" s="276" t="e">
        <f t="shared" ref="BI390:BI453" si="387">IF($B$45="On",MAX($E2390-$D$18,$D$45),0)</f>
        <v>#DIV/0!</v>
      </c>
      <c r="BJ390" s="276" t="e">
        <f t="shared" ref="BJ390:BJ453" si="388">IF($B$45="On",MAX($E3390-$D$18,$D$45),0)</f>
        <v>#DIV/0!</v>
      </c>
      <c r="BK390" s="276" t="e">
        <f t="shared" ref="BK390:BK453" si="389">IF($B$45="On",MAX($E4390-$D$18,$D$45),0)</f>
        <v>#DIV/0!</v>
      </c>
      <c r="BL390" s="686" t="e">
        <f t="shared" ref="BL390:BL453" si="390">IF($B$45="On",MAX($E5390-$D$18,$D$45),0)</f>
        <v>#DIV/0!</v>
      </c>
      <c r="BM390" s="239"/>
      <c r="BN390" s="965" t="e">
        <f t="shared" ref="BN390:BN453" si="391">S$53*(1+(T$55+AU390)/100)*((1-S$62)+S$62*((1+(T$57+BG390)/100)))/(1+(T$54+AO390)/100)-(T$56+BA390)+T$58</f>
        <v>#VALUE!</v>
      </c>
      <c r="BO390" s="878" t="e">
        <f t="shared" ref="BO390:BO453" si="392">BN390*(1+(U$55+AV390)/100)*((1-T$62)+T$62*((1+(U$57+BH390)/100)))/(1+(U$54+AP390)/100)-(U$56+BB390)+U$58</f>
        <v>#VALUE!</v>
      </c>
      <c r="BP390" s="878" t="e">
        <f t="shared" ref="BP390:BP453" si="393">BO390*(1+(V$55+AW390)/100)*((1-U$62)+U$62*((1+(V$57+BI390)/100)))/(1+(V$54+AQ390)/100)-(V$56+BC390)+V$58</f>
        <v>#VALUE!</v>
      </c>
      <c r="BQ390" s="878" t="e">
        <f t="shared" ref="BQ390:BQ453" si="394">BP390*(1+(W$55+AX390)/100)*((1-V$62)+V$62*((1+(W$57+BJ390)/100)))/(1+(W$54+AR390)/100)-(W$56+BD390)+W$58</f>
        <v>#VALUE!</v>
      </c>
      <c r="BR390" s="878" t="e">
        <f t="shared" ref="BR390:BR453" si="395">BQ390*(1+(X$55+AY390)/100)*((1-W$62)+W$62*((1+(X$57+BK390)/100)))/(1+(X$54+AS390)/100)-(X$56+BE390)+X$58</f>
        <v>#VALUE!</v>
      </c>
      <c r="BS390" s="966" t="e">
        <f t="shared" ref="BS390:BS453" si="396">BR390*(1+(Y$55+AZ390)/100)*((1-X$62)+X$62*((1+(Y$57+BL390)/100)))/(1+(Y$54+AT390)/100)-(Y$56+BF390)+Y$58</f>
        <v>#VALUE!</v>
      </c>
    </row>
    <row r="391" spans="1:71">
      <c r="A391" s="284">
        <f t="shared" ref="A391:A454" si="397">A390+1</f>
        <v>323</v>
      </c>
      <c r="B391" s="285">
        <v>-2.5619523007680645</v>
      </c>
      <c r="C391" s="285">
        <v>2.9270293064984751</v>
      </c>
      <c r="D391" s="285">
        <v>0.81763070945748439</v>
      </c>
      <c r="E391" s="285">
        <v>-4.9022696717136025</v>
      </c>
      <c r="H391" s="685">
        <f t="shared" si="343"/>
        <v>-3.6951861425371195</v>
      </c>
      <c r="I391" s="276">
        <f t="shared" si="344"/>
        <v>-0.64688190123547051</v>
      </c>
      <c r="J391" s="276">
        <f t="shared" si="345"/>
        <v>-3.8630149057452234</v>
      </c>
      <c r="K391" s="276">
        <f t="shared" si="346"/>
        <v>-2.724144608094802</v>
      </c>
      <c r="L391" s="276">
        <f t="shared" si="347"/>
        <v>0.58344072723121787</v>
      </c>
      <c r="M391" s="276">
        <f t="shared" si="348"/>
        <v>-8.8477484838207943E-2</v>
      </c>
      <c r="N391" s="685">
        <f t="shared" si="349"/>
        <v>1.7198580955266067</v>
      </c>
      <c r="O391" s="276">
        <f t="shared" si="350"/>
        <v>1.4034037636968655</v>
      </c>
      <c r="P391" s="276">
        <f t="shared" si="351"/>
        <v>0.96234741419403469</v>
      </c>
      <c r="Q391" s="276">
        <f t="shared" si="352"/>
        <v>1.9674207861813537</v>
      </c>
      <c r="R391" s="276">
        <f t="shared" si="353"/>
        <v>2.0171401856285494</v>
      </c>
      <c r="S391" s="686">
        <f t="shared" si="354"/>
        <v>0.92614584029673197</v>
      </c>
      <c r="T391" s="685">
        <f t="shared" si="355"/>
        <v>4.0959943997284105</v>
      </c>
      <c r="U391" s="276">
        <f t="shared" si="356"/>
        <v>3.7805361155014174</v>
      </c>
      <c r="V391" s="276">
        <f t="shared" si="357"/>
        <v>4.0500614949192544</v>
      </c>
      <c r="W391" s="276">
        <f t="shared" si="358"/>
        <v>3.5389814234274461</v>
      </c>
      <c r="X391" s="276">
        <f t="shared" si="359"/>
        <v>4.398727078131456</v>
      </c>
      <c r="Y391" s="686">
        <f t="shared" si="360"/>
        <v>5.2338643015741839</v>
      </c>
      <c r="Z391" s="685" t="e">
        <f t="shared" si="361"/>
        <v>#DIV/0!</v>
      </c>
      <c r="AA391" s="276" t="e">
        <f t="shared" si="362"/>
        <v>#DIV/0!</v>
      </c>
      <c r="AB391" s="276" t="e">
        <f t="shared" si="363"/>
        <v>#DIV/0!</v>
      </c>
      <c r="AC391" s="276" t="e">
        <f t="shared" si="364"/>
        <v>#DIV/0!</v>
      </c>
      <c r="AD391" s="276" t="e">
        <f t="shared" si="365"/>
        <v>#DIV/0!</v>
      </c>
      <c r="AE391" s="686" t="e">
        <f t="shared" si="366"/>
        <v>#DIV/0!</v>
      </c>
      <c r="AF391" s="239"/>
      <c r="AG391" s="965" t="e">
        <f t="shared" si="337"/>
        <v>#VALUE!</v>
      </c>
      <c r="AH391" s="878" t="e">
        <f t="shared" si="338"/>
        <v>#VALUE!</v>
      </c>
      <c r="AI391" s="878" t="e">
        <f t="shared" si="339"/>
        <v>#VALUE!</v>
      </c>
      <c r="AJ391" s="878" t="e">
        <f t="shared" si="340"/>
        <v>#VALUE!</v>
      </c>
      <c r="AK391" s="878" t="e">
        <f t="shared" si="341"/>
        <v>#VALUE!</v>
      </c>
      <c r="AL391" s="966" t="e">
        <f t="shared" si="342"/>
        <v>#VALUE!</v>
      </c>
      <c r="AM391" s="239"/>
      <c r="AO391" s="685">
        <f t="shared" si="367"/>
        <v>-3.6951861425371195</v>
      </c>
      <c r="AP391" s="276">
        <f t="shared" si="368"/>
        <v>-0.64688190123547051</v>
      </c>
      <c r="AQ391" s="276">
        <f t="shared" si="369"/>
        <v>-3.8630149057452234</v>
      </c>
      <c r="AR391" s="276">
        <f t="shared" si="370"/>
        <v>-2.724144608094802</v>
      </c>
      <c r="AS391" s="276">
        <f t="shared" si="371"/>
        <v>0.58344072723121787</v>
      </c>
      <c r="AT391" s="276">
        <f t="shared" si="372"/>
        <v>-8.8477484838207943E-2</v>
      </c>
      <c r="AU391" s="685">
        <f t="shared" si="373"/>
        <v>1.7198580955266067</v>
      </c>
      <c r="AV391" s="276">
        <f t="shared" si="374"/>
        <v>1.4034037636968655</v>
      </c>
      <c r="AW391" s="276">
        <f t="shared" si="375"/>
        <v>0.96234741419403469</v>
      </c>
      <c r="AX391" s="276">
        <f t="shared" si="376"/>
        <v>1.9674207861813537</v>
      </c>
      <c r="AY391" s="276">
        <f t="shared" si="377"/>
        <v>2.0171401856285494</v>
      </c>
      <c r="AZ391" s="686">
        <f t="shared" si="378"/>
        <v>0.92614584029673197</v>
      </c>
      <c r="BA391" s="685">
        <f t="shared" si="379"/>
        <v>0</v>
      </c>
      <c r="BB391" s="276">
        <f t="shared" si="380"/>
        <v>0</v>
      </c>
      <c r="BC391" s="276">
        <f t="shared" si="381"/>
        <v>0</v>
      </c>
      <c r="BD391" s="276">
        <f t="shared" si="382"/>
        <v>0</v>
      </c>
      <c r="BE391" s="276">
        <f t="shared" si="383"/>
        <v>0</v>
      </c>
      <c r="BF391" s="686">
        <f t="shared" si="384"/>
        <v>0</v>
      </c>
      <c r="BG391" s="685" t="e">
        <f t="shared" si="385"/>
        <v>#DIV/0!</v>
      </c>
      <c r="BH391" s="276" t="e">
        <f t="shared" si="386"/>
        <v>#DIV/0!</v>
      </c>
      <c r="BI391" s="276" t="e">
        <f t="shared" si="387"/>
        <v>#DIV/0!</v>
      </c>
      <c r="BJ391" s="276" t="e">
        <f t="shared" si="388"/>
        <v>#DIV/0!</v>
      </c>
      <c r="BK391" s="276" t="e">
        <f t="shared" si="389"/>
        <v>#DIV/0!</v>
      </c>
      <c r="BL391" s="686" t="e">
        <f t="shared" si="390"/>
        <v>#DIV/0!</v>
      </c>
      <c r="BM391" s="239"/>
      <c r="BN391" s="965" t="e">
        <f t="shared" si="391"/>
        <v>#VALUE!</v>
      </c>
      <c r="BO391" s="878" t="e">
        <f t="shared" si="392"/>
        <v>#VALUE!</v>
      </c>
      <c r="BP391" s="878" t="e">
        <f t="shared" si="393"/>
        <v>#VALUE!</v>
      </c>
      <c r="BQ391" s="878" t="e">
        <f t="shared" si="394"/>
        <v>#VALUE!</v>
      </c>
      <c r="BR391" s="878" t="e">
        <f t="shared" si="395"/>
        <v>#VALUE!</v>
      </c>
      <c r="BS391" s="966" t="e">
        <f t="shared" si="396"/>
        <v>#VALUE!</v>
      </c>
    </row>
    <row r="392" spans="1:71">
      <c r="A392" s="284">
        <f t="shared" si="397"/>
        <v>324</v>
      </c>
      <c r="B392" s="285">
        <v>-3.2722181970265671</v>
      </c>
      <c r="C392" s="285">
        <v>2.1633303281853986</v>
      </c>
      <c r="D392" s="285">
        <v>-0.2854865709035983</v>
      </c>
      <c r="E392" s="285">
        <v>-17.288968943801866</v>
      </c>
      <c r="H392" s="685">
        <f t="shared" si="343"/>
        <v>-4.4054520387956222</v>
      </c>
      <c r="I392" s="276">
        <f t="shared" si="344"/>
        <v>-3.7595587872570553</v>
      </c>
      <c r="J392" s="276">
        <f t="shared" si="345"/>
        <v>-2.8534381598370464</v>
      </c>
      <c r="K392" s="276">
        <f t="shared" si="346"/>
        <v>-2.8458414126594267</v>
      </c>
      <c r="L392" s="276">
        <f t="shared" si="347"/>
        <v>1.4369964415335479</v>
      </c>
      <c r="M392" s="276">
        <f t="shared" si="348"/>
        <v>1.2520341142324154</v>
      </c>
      <c r="N392" s="685">
        <f t="shared" si="349"/>
        <v>0.9561591172135302</v>
      </c>
      <c r="O392" s="276">
        <f t="shared" si="350"/>
        <v>0.96526522125745839</v>
      </c>
      <c r="P392" s="276">
        <f t="shared" si="351"/>
        <v>1.7504970991343451</v>
      </c>
      <c r="Q392" s="276">
        <f t="shared" si="352"/>
        <v>0.31319814170713745</v>
      </c>
      <c r="R392" s="276">
        <f t="shared" si="353"/>
        <v>1.8509204278069815</v>
      </c>
      <c r="S392" s="686">
        <f t="shared" si="354"/>
        <v>1.2597455343833392</v>
      </c>
      <c r="T392" s="685">
        <f t="shared" si="355"/>
        <v>2.9928771193673276</v>
      </c>
      <c r="U392" s="276">
        <f t="shared" si="356"/>
        <v>2.8064096699206695</v>
      </c>
      <c r="V392" s="276">
        <f t="shared" si="357"/>
        <v>4.0455229372970543</v>
      </c>
      <c r="W392" s="276">
        <f t="shared" si="358"/>
        <v>4.8762570598532839</v>
      </c>
      <c r="X392" s="276">
        <f t="shared" si="359"/>
        <v>5.0707628521695955</v>
      </c>
      <c r="Y392" s="686">
        <f t="shared" si="360"/>
        <v>4.0609745394494139</v>
      </c>
      <c r="Z392" s="685" t="e">
        <f t="shared" si="361"/>
        <v>#DIV/0!</v>
      </c>
      <c r="AA392" s="276" t="e">
        <f t="shared" si="362"/>
        <v>#DIV/0!</v>
      </c>
      <c r="AB392" s="276" t="e">
        <f t="shared" si="363"/>
        <v>#DIV/0!</v>
      </c>
      <c r="AC392" s="276" t="e">
        <f t="shared" si="364"/>
        <v>#DIV/0!</v>
      </c>
      <c r="AD392" s="276" t="e">
        <f t="shared" si="365"/>
        <v>#DIV/0!</v>
      </c>
      <c r="AE392" s="686" t="e">
        <f t="shared" si="366"/>
        <v>#DIV/0!</v>
      </c>
      <c r="AF392" s="239"/>
      <c r="AG392" s="965" t="e">
        <f t="shared" si="337"/>
        <v>#VALUE!</v>
      </c>
      <c r="AH392" s="878" t="e">
        <f t="shared" si="338"/>
        <v>#VALUE!</v>
      </c>
      <c r="AI392" s="878" t="e">
        <f t="shared" si="339"/>
        <v>#VALUE!</v>
      </c>
      <c r="AJ392" s="878" t="e">
        <f t="shared" si="340"/>
        <v>#VALUE!</v>
      </c>
      <c r="AK392" s="878" t="e">
        <f t="shared" si="341"/>
        <v>#VALUE!</v>
      </c>
      <c r="AL392" s="966" t="e">
        <f t="shared" si="342"/>
        <v>#VALUE!</v>
      </c>
      <c r="AM392" s="239"/>
      <c r="AO392" s="685">
        <f t="shared" si="367"/>
        <v>-4.4054520387956222</v>
      </c>
      <c r="AP392" s="276">
        <f t="shared" si="368"/>
        <v>-3.7595587872570553</v>
      </c>
      <c r="AQ392" s="276">
        <f t="shared" si="369"/>
        <v>-2.8534381598370464</v>
      </c>
      <c r="AR392" s="276">
        <f t="shared" si="370"/>
        <v>-2.8458414126594267</v>
      </c>
      <c r="AS392" s="276">
        <f t="shared" si="371"/>
        <v>1.4369964415335479</v>
      </c>
      <c r="AT392" s="276">
        <f t="shared" si="372"/>
        <v>1.2520341142324154</v>
      </c>
      <c r="AU392" s="685">
        <f t="shared" si="373"/>
        <v>0.9561591172135302</v>
      </c>
      <c r="AV392" s="276">
        <f t="shared" si="374"/>
        <v>0.96526522125745839</v>
      </c>
      <c r="AW392" s="276">
        <f t="shared" si="375"/>
        <v>1.7504970991343451</v>
      </c>
      <c r="AX392" s="276">
        <f t="shared" si="376"/>
        <v>0.31319814170713745</v>
      </c>
      <c r="AY392" s="276">
        <f t="shared" si="377"/>
        <v>1.8509204278069815</v>
      </c>
      <c r="AZ392" s="686">
        <f t="shared" si="378"/>
        <v>1.2597455343833392</v>
      </c>
      <c r="BA392" s="685">
        <f t="shared" si="379"/>
        <v>0</v>
      </c>
      <c r="BB392" s="276">
        <f t="shared" si="380"/>
        <v>0</v>
      </c>
      <c r="BC392" s="276">
        <f t="shared" si="381"/>
        <v>0</v>
      </c>
      <c r="BD392" s="276">
        <f t="shared" si="382"/>
        <v>0</v>
      </c>
      <c r="BE392" s="276">
        <f t="shared" si="383"/>
        <v>0</v>
      </c>
      <c r="BF392" s="686">
        <f t="shared" si="384"/>
        <v>0</v>
      </c>
      <c r="BG392" s="685" t="e">
        <f t="shared" si="385"/>
        <v>#DIV/0!</v>
      </c>
      <c r="BH392" s="276" t="e">
        <f t="shared" si="386"/>
        <v>#DIV/0!</v>
      </c>
      <c r="BI392" s="276" t="e">
        <f t="shared" si="387"/>
        <v>#DIV/0!</v>
      </c>
      <c r="BJ392" s="276" t="e">
        <f t="shared" si="388"/>
        <v>#DIV/0!</v>
      </c>
      <c r="BK392" s="276" t="e">
        <f t="shared" si="389"/>
        <v>#DIV/0!</v>
      </c>
      <c r="BL392" s="686" t="e">
        <f t="shared" si="390"/>
        <v>#DIV/0!</v>
      </c>
      <c r="BM392" s="239"/>
      <c r="BN392" s="965" t="e">
        <f t="shared" si="391"/>
        <v>#VALUE!</v>
      </c>
      <c r="BO392" s="878" t="e">
        <f t="shared" si="392"/>
        <v>#VALUE!</v>
      </c>
      <c r="BP392" s="878" t="e">
        <f t="shared" si="393"/>
        <v>#VALUE!</v>
      </c>
      <c r="BQ392" s="878" t="e">
        <f t="shared" si="394"/>
        <v>#VALUE!</v>
      </c>
      <c r="BR392" s="878" t="e">
        <f t="shared" si="395"/>
        <v>#VALUE!</v>
      </c>
      <c r="BS392" s="966" t="e">
        <f t="shared" si="396"/>
        <v>#VALUE!</v>
      </c>
    </row>
    <row r="393" spans="1:71">
      <c r="A393" s="284">
        <f t="shared" si="397"/>
        <v>325</v>
      </c>
      <c r="B393" s="285">
        <v>-0.14399386439759265</v>
      </c>
      <c r="C393" s="285">
        <v>2.6193175033014455</v>
      </c>
      <c r="D393" s="285">
        <v>9.7434603685732091E-2</v>
      </c>
      <c r="E393" s="285">
        <v>-7.2622725057806115</v>
      </c>
      <c r="H393" s="685">
        <f t="shared" si="343"/>
        <v>-1.2772277061666475</v>
      </c>
      <c r="I393" s="276">
        <f t="shared" si="344"/>
        <v>-1.6784653246187533</v>
      </c>
      <c r="J393" s="276">
        <f t="shared" si="345"/>
        <v>-2.0222782776917612</v>
      </c>
      <c r="K393" s="276">
        <f t="shared" si="346"/>
        <v>-5.3509993810753613</v>
      </c>
      <c r="L393" s="276">
        <f t="shared" si="347"/>
        <v>0.12311418703166765</v>
      </c>
      <c r="M393" s="276">
        <f t="shared" si="348"/>
        <v>-2.3477927294485426</v>
      </c>
      <c r="N393" s="685">
        <f t="shared" si="349"/>
        <v>1.4121462923295771</v>
      </c>
      <c r="O393" s="276">
        <f t="shared" si="350"/>
        <v>1.4546666084712208</v>
      </c>
      <c r="P393" s="276">
        <f t="shared" si="351"/>
        <v>0.46562127270301068</v>
      </c>
      <c r="Q393" s="276">
        <f t="shared" si="352"/>
        <v>0.6581364640026226</v>
      </c>
      <c r="R393" s="276">
        <f t="shared" si="353"/>
        <v>1.272826869863543</v>
      </c>
      <c r="S393" s="686">
        <f t="shared" si="354"/>
        <v>0.96439711841492826</v>
      </c>
      <c r="T393" s="685">
        <f t="shared" si="355"/>
        <v>3.3757982939566578</v>
      </c>
      <c r="U393" s="276">
        <f t="shared" si="356"/>
        <v>5.0757119262699746</v>
      </c>
      <c r="V393" s="276">
        <f t="shared" si="357"/>
        <v>4.5589591328568222</v>
      </c>
      <c r="W393" s="276">
        <f t="shared" si="358"/>
        <v>3.2248077628049669</v>
      </c>
      <c r="X393" s="276">
        <f t="shared" si="359"/>
        <v>5.3122210954195239</v>
      </c>
      <c r="Y393" s="686">
        <f t="shared" si="360"/>
        <v>5.3596579326731568</v>
      </c>
      <c r="Z393" s="685" t="e">
        <f t="shared" si="361"/>
        <v>#DIV/0!</v>
      </c>
      <c r="AA393" s="276" t="e">
        <f t="shared" si="362"/>
        <v>#DIV/0!</v>
      </c>
      <c r="AB393" s="276" t="e">
        <f t="shared" si="363"/>
        <v>#DIV/0!</v>
      </c>
      <c r="AC393" s="276" t="e">
        <f t="shared" si="364"/>
        <v>#DIV/0!</v>
      </c>
      <c r="AD393" s="276" t="e">
        <f t="shared" si="365"/>
        <v>#DIV/0!</v>
      </c>
      <c r="AE393" s="686" t="e">
        <f t="shared" si="366"/>
        <v>#DIV/0!</v>
      </c>
      <c r="AF393" s="239"/>
      <c r="AG393" s="965" t="e">
        <f t="shared" si="337"/>
        <v>#VALUE!</v>
      </c>
      <c r="AH393" s="878" t="e">
        <f t="shared" si="338"/>
        <v>#VALUE!</v>
      </c>
      <c r="AI393" s="878" t="e">
        <f t="shared" si="339"/>
        <v>#VALUE!</v>
      </c>
      <c r="AJ393" s="878" t="e">
        <f t="shared" si="340"/>
        <v>#VALUE!</v>
      </c>
      <c r="AK393" s="878" t="e">
        <f t="shared" si="341"/>
        <v>#VALUE!</v>
      </c>
      <c r="AL393" s="966" t="e">
        <f t="shared" si="342"/>
        <v>#VALUE!</v>
      </c>
      <c r="AM393" s="239"/>
      <c r="AO393" s="685">
        <f t="shared" si="367"/>
        <v>-1.2772277061666475</v>
      </c>
      <c r="AP393" s="276">
        <f t="shared" si="368"/>
        <v>-1.6784653246187533</v>
      </c>
      <c r="AQ393" s="276">
        <f t="shared" si="369"/>
        <v>-2.0222782776917612</v>
      </c>
      <c r="AR393" s="276">
        <f t="shared" si="370"/>
        <v>-5.3509993810753613</v>
      </c>
      <c r="AS393" s="276">
        <f t="shared" si="371"/>
        <v>0.12311418703166765</v>
      </c>
      <c r="AT393" s="276">
        <f t="shared" si="372"/>
        <v>-2.3477927294485426</v>
      </c>
      <c r="AU393" s="685">
        <f t="shared" si="373"/>
        <v>1.4121462923295771</v>
      </c>
      <c r="AV393" s="276">
        <f t="shared" si="374"/>
        <v>1.4546666084712208</v>
      </c>
      <c r="AW393" s="276">
        <f t="shared" si="375"/>
        <v>0.46562127270301068</v>
      </c>
      <c r="AX393" s="276">
        <f t="shared" si="376"/>
        <v>0.6581364640026226</v>
      </c>
      <c r="AY393" s="276">
        <f t="shared" si="377"/>
        <v>1.272826869863543</v>
      </c>
      <c r="AZ393" s="686">
        <f t="shared" si="378"/>
        <v>0.96439711841492826</v>
      </c>
      <c r="BA393" s="685">
        <f t="shared" si="379"/>
        <v>0</v>
      </c>
      <c r="BB393" s="276">
        <f t="shared" si="380"/>
        <v>0</v>
      </c>
      <c r="BC393" s="276">
        <f t="shared" si="381"/>
        <v>0</v>
      </c>
      <c r="BD393" s="276">
        <f t="shared" si="382"/>
        <v>0</v>
      </c>
      <c r="BE393" s="276">
        <f t="shared" si="383"/>
        <v>0</v>
      </c>
      <c r="BF393" s="686">
        <f t="shared" si="384"/>
        <v>0</v>
      </c>
      <c r="BG393" s="685" t="e">
        <f t="shared" si="385"/>
        <v>#DIV/0!</v>
      </c>
      <c r="BH393" s="276" t="e">
        <f t="shared" si="386"/>
        <v>#DIV/0!</v>
      </c>
      <c r="BI393" s="276" t="e">
        <f t="shared" si="387"/>
        <v>#DIV/0!</v>
      </c>
      <c r="BJ393" s="276" t="e">
        <f t="shared" si="388"/>
        <v>#DIV/0!</v>
      </c>
      <c r="BK393" s="276" t="e">
        <f t="shared" si="389"/>
        <v>#DIV/0!</v>
      </c>
      <c r="BL393" s="686" t="e">
        <f t="shared" si="390"/>
        <v>#DIV/0!</v>
      </c>
      <c r="BM393" s="239"/>
      <c r="BN393" s="965" t="e">
        <f t="shared" si="391"/>
        <v>#VALUE!</v>
      </c>
      <c r="BO393" s="878" t="e">
        <f t="shared" si="392"/>
        <v>#VALUE!</v>
      </c>
      <c r="BP393" s="878" t="e">
        <f t="shared" si="393"/>
        <v>#VALUE!</v>
      </c>
      <c r="BQ393" s="878" t="e">
        <f t="shared" si="394"/>
        <v>#VALUE!</v>
      </c>
      <c r="BR393" s="878" t="e">
        <f t="shared" si="395"/>
        <v>#VALUE!</v>
      </c>
      <c r="BS393" s="966" t="e">
        <f t="shared" si="396"/>
        <v>#VALUE!</v>
      </c>
    </row>
    <row r="394" spans="1:71">
      <c r="A394" s="284">
        <f t="shared" si="397"/>
        <v>326</v>
      </c>
      <c r="B394" s="285">
        <v>-2.637563880695152</v>
      </c>
      <c r="C394" s="285">
        <v>2.6597356116014668</v>
      </c>
      <c r="D394" s="285">
        <v>0.59526795048196246</v>
      </c>
      <c r="E394" s="285">
        <v>7.1006478281228347</v>
      </c>
      <c r="H394" s="685">
        <f t="shared" si="343"/>
        <v>-3.7707977224642066</v>
      </c>
      <c r="I394" s="276">
        <f t="shared" si="344"/>
        <v>-2.0619312307724158</v>
      </c>
      <c r="J394" s="276">
        <f t="shared" si="345"/>
        <v>-0.7531772831442507</v>
      </c>
      <c r="K394" s="276">
        <f t="shared" si="346"/>
        <v>1.2385207845983073</v>
      </c>
      <c r="L394" s="276">
        <f t="shared" si="347"/>
        <v>-0.56297752426727843</v>
      </c>
      <c r="M394" s="276">
        <f t="shared" si="348"/>
        <v>4.8167633891026203</v>
      </c>
      <c r="N394" s="685">
        <f t="shared" si="349"/>
        <v>1.4525644006295984</v>
      </c>
      <c r="O394" s="276">
        <f t="shared" si="350"/>
        <v>2.090448440250845</v>
      </c>
      <c r="P394" s="276">
        <f t="shared" si="351"/>
        <v>0.75727245298601908</v>
      </c>
      <c r="Q394" s="276">
        <f t="shared" si="352"/>
        <v>1.5716759335903598</v>
      </c>
      <c r="R394" s="276">
        <f t="shared" si="353"/>
        <v>1.3083089113139408</v>
      </c>
      <c r="S394" s="686">
        <f t="shared" si="354"/>
        <v>1.544383332352391</v>
      </c>
      <c r="T394" s="685">
        <f t="shared" si="355"/>
        <v>3.8736316407528886</v>
      </c>
      <c r="U394" s="276">
        <f t="shared" si="356"/>
        <v>2.6645266948754589</v>
      </c>
      <c r="V394" s="276">
        <f t="shared" si="357"/>
        <v>4.4815093565457325</v>
      </c>
      <c r="W394" s="276">
        <f t="shared" si="358"/>
        <v>4.5969096326868826</v>
      </c>
      <c r="X394" s="276">
        <f t="shared" si="359"/>
        <v>5.3985109795687478</v>
      </c>
      <c r="Y394" s="686">
        <f t="shared" si="360"/>
        <v>6.9156878640840933</v>
      </c>
      <c r="Z394" s="685" t="e">
        <f t="shared" si="361"/>
        <v>#DIV/0!</v>
      </c>
      <c r="AA394" s="276" t="e">
        <f t="shared" si="362"/>
        <v>#DIV/0!</v>
      </c>
      <c r="AB394" s="276" t="e">
        <f t="shared" si="363"/>
        <v>#DIV/0!</v>
      </c>
      <c r="AC394" s="276" t="e">
        <f t="shared" si="364"/>
        <v>#DIV/0!</v>
      </c>
      <c r="AD394" s="276" t="e">
        <f t="shared" si="365"/>
        <v>#DIV/0!</v>
      </c>
      <c r="AE394" s="686" t="e">
        <f t="shared" si="366"/>
        <v>#DIV/0!</v>
      </c>
      <c r="AF394" s="239"/>
      <c r="AG394" s="965" t="e">
        <f t="shared" si="337"/>
        <v>#VALUE!</v>
      </c>
      <c r="AH394" s="878" t="e">
        <f t="shared" si="338"/>
        <v>#VALUE!</v>
      </c>
      <c r="AI394" s="878" t="e">
        <f t="shared" si="339"/>
        <v>#VALUE!</v>
      </c>
      <c r="AJ394" s="878" t="e">
        <f t="shared" si="340"/>
        <v>#VALUE!</v>
      </c>
      <c r="AK394" s="878" t="e">
        <f t="shared" si="341"/>
        <v>#VALUE!</v>
      </c>
      <c r="AL394" s="966" t="e">
        <f t="shared" si="342"/>
        <v>#VALUE!</v>
      </c>
      <c r="AM394" s="239"/>
      <c r="AO394" s="685">
        <f t="shared" si="367"/>
        <v>-3.7707977224642066</v>
      </c>
      <c r="AP394" s="276">
        <f t="shared" si="368"/>
        <v>-2.0619312307724158</v>
      </c>
      <c r="AQ394" s="276">
        <f t="shared" si="369"/>
        <v>-0.7531772831442507</v>
      </c>
      <c r="AR394" s="276">
        <f t="shared" si="370"/>
        <v>1.2385207845983073</v>
      </c>
      <c r="AS394" s="276">
        <f t="shared" si="371"/>
        <v>-0.56297752426727843</v>
      </c>
      <c r="AT394" s="276">
        <f t="shared" si="372"/>
        <v>4.8167633891026203</v>
      </c>
      <c r="AU394" s="685">
        <f t="shared" si="373"/>
        <v>1.4525644006295984</v>
      </c>
      <c r="AV394" s="276">
        <f t="shared" si="374"/>
        <v>2.090448440250845</v>
      </c>
      <c r="AW394" s="276">
        <f t="shared" si="375"/>
        <v>0.75727245298601908</v>
      </c>
      <c r="AX394" s="276">
        <f t="shared" si="376"/>
        <v>1.5716759335903598</v>
      </c>
      <c r="AY394" s="276">
        <f t="shared" si="377"/>
        <v>1.3083089113139408</v>
      </c>
      <c r="AZ394" s="686">
        <f t="shared" si="378"/>
        <v>1.544383332352391</v>
      </c>
      <c r="BA394" s="685">
        <f t="shared" si="379"/>
        <v>0</v>
      </c>
      <c r="BB394" s="276">
        <f t="shared" si="380"/>
        <v>0</v>
      </c>
      <c r="BC394" s="276">
        <f t="shared" si="381"/>
        <v>0</v>
      </c>
      <c r="BD394" s="276">
        <f t="shared" si="382"/>
        <v>0</v>
      </c>
      <c r="BE394" s="276">
        <f t="shared" si="383"/>
        <v>0</v>
      </c>
      <c r="BF394" s="686">
        <f t="shared" si="384"/>
        <v>0</v>
      </c>
      <c r="BG394" s="685" t="e">
        <f t="shared" si="385"/>
        <v>#DIV/0!</v>
      </c>
      <c r="BH394" s="276" t="e">
        <f t="shared" si="386"/>
        <v>#DIV/0!</v>
      </c>
      <c r="BI394" s="276" t="e">
        <f t="shared" si="387"/>
        <v>#DIV/0!</v>
      </c>
      <c r="BJ394" s="276" t="e">
        <f t="shared" si="388"/>
        <v>#DIV/0!</v>
      </c>
      <c r="BK394" s="276" t="e">
        <f t="shared" si="389"/>
        <v>#DIV/0!</v>
      </c>
      <c r="BL394" s="686" t="e">
        <f t="shared" si="390"/>
        <v>#DIV/0!</v>
      </c>
      <c r="BM394" s="239"/>
      <c r="BN394" s="965" t="e">
        <f t="shared" si="391"/>
        <v>#VALUE!</v>
      </c>
      <c r="BO394" s="878" t="e">
        <f t="shared" si="392"/>
        <v>#VALUE!</v>
      </c>
      <c r="BP394" s="878" t="e">
        <f t="shared" si="393"/>
        <v>#VALUE!</v>
      </c>
      <c r="BQ394" s="878" t="e">
        <f t="shared" si="394"/>
        <v>#VALUE!</v>
      </c>
      <c r="BR394" s="878" t="e">
        <f t="shared" si="395"/>
        <v>#VALUE!</v>
      </c>
      <c r="BS394" s="966" t="e">
        <f t="shared" si="396"/>
        <v>#VALUE!</v>
      </c>
    </row>
    <row r="395" spans="1:71">
      <c r="A395" s="284">
        <f t="shared" si="397"/>
        <v>327</v>
      </c>
      <c r="B395" s="285">
        <v>-2.9469846071016859</v>
      </c>
      <c r="C395" s="285">
        <v>3.2929663188027987</v>
      </c>
      <c r="D395" s="285">
        <v>-0.61571946870534022</v>
      </c>
      <c r="E395" s="285">
        <v>8.0610119458151743</v>
      </c>
      <c r="H395" s="685">
        <f t="shared" si="343"/>
        <v>-4.0802184488707409</v>
      </c>
      <c r="I395" s="276">
        <f t="shared" si="344"/>
        <v>-3.4369788294423254</v>
      </c>
      <c r="J395" s="276">
        <f t="shared" si="345"/>
        <v>-1.128387360777112</v>
      </c>
      <c r="K395" s="276">
        <f t="shared" si="346"/>
        <v>2.7225064981833835</v>
      </c>
      <c r="L395" s="276">
        <f t="shared" si="347"/>
        <v>-1.86065846152735</v>
      </c>
      <c r="M395" s="276">
        <f t="shared" si="348"/>
        <v>-4.2278762789941711</v>
      </c>
      <c r="N395" s="685">
        <f t="shared" si="349"/>
        <v>2.08579510783093</v>
      </c>
      <c r="O395" s="276">
        <f t="shared" si="350"/>
        <v>1.5500025440443246</v>
      </c>
      <c r="P395" s="276">
        <f t="shared" si="351"/>
        <v>1.7152994911589732</v>
      </c>
      <c r="Q395" s="276">
        <f t="shared" si="352"/>
        <v>2.182220568908301</v>
      </c>
      <c r="R395" s="276">
        <f t="shared" si="353"/>
        <v>1.4464667549373293</v>
      </c>
      <c r="S395" s="686">
        <f t="shared" si="354"/>
        <v>1.686785400412613</v>
      </c>
      <c r="T395" s="685">
        <f t="shared" si="355"/>
        <v>2.6626442215655857</v>
      </c>
      <c r="U395" s="276">
        <f t="shared" si="356"/>
        <v>2.3143195733237598</v>
      </c>
      <c r="V395" s="276">
        <f t="shared" si="357"/>
        <v>4.4823335526792629</v>
      </c>
      <c r="W395" s="276">
        <f t="shared" si="358"/>
        <v>4.6973426452691882</v>
      </c>
      <c r="X395" s="276">
        <f t="shared" si="359"/>
        <v>4.3747310801229062</v>
      </c>
      <c r="Y395" s="686">
        <f t="shared" si="360"/>
        <v>2.7891855839348798</v>
      </c>
      <c r="Z395" s="685" t="e">
        <f t="shared" si="361"/>
        <v>#DIV/0!</v>
      </c>
      <c r="AA395" s="276" t="e">
        <f t="shared" si="362"/>
        <v>#DIV/0!</v>
      </c>
      <c r="AB395" s="276" t="e">
        <f t="shared" si="363"/>
        <v>#DIV/0!</v>
      </c>
      <c r="AC395" s="276" t="e">
        <f t="shared" si="364"/>
        <v>#DIV/0!</v>
      </c>
      <c r="AD395" s="276" t="e">
        <f t="shared" si="365"/>
        <v>#DIV/0!</v>
      </c>
      <c r="AE395" s="686" t="e">
        <f t="shared" si="366"/>
        <v>#DIV/0!</v>
      </c>
      <c r="AF395" s="239"/>
      <c r="AG395" s="965" t="e">
        <f t="shared" si="337"/>
        <v>#VALUE!</v>
      </c>
      <c r="AH395" s="878" t="e">
        <f t="shared" si="338"/>
        <v>#VALUE!</v>
      </c>
      <c r="AI395" s="878" t="e">
        <f t="shared" si="339"/>
        <v>#VALUE!</v>
      </c>
      <c r="AJ395" s="878" t="e">
        <f t="shared" si="340"/>
        <v>#VALUE!</v>
      </c>
      <c r="AK395" s="878" t="e">
        <f t="shared" si="341"/>
        <v>#VALUE!</v>
      </c>
      <c r="AL395" s="966" t="e">
        <f t="shared" si="342"/>
        <v>#VALUE!</v>
      </c>
      <c r="AM395" s="239"/>
      <c r="AO395" s="685">
        <f t="shared" si="367"/>
        <v>-4.0802184488707409</v>
      </c>
      <c r="AP395" s="276">
        <f t="shared" si="368"/>
        <v>-3.4369788294423254</v>
      </c>
      <c r="AQ395" s="276">
        <f t="shared" si="369"/>
        <v>-1.128387360777112</v>
      </c>
      <c r="AR395" s="276">
        <f t="shared" si="370"/>
        <v>2.7225064981833835</v>
      </c>
      <c r="AS395" s="276">
        <f t="shared" si="371"/>
        <v>-1.86065846152735</v>
      </c>
      <c r="AT395" s="276">
        <f t="shared" si="372"/>
        <v>-4.2278762789941711</v>
      </c>
      <c r="AU395" s="685">
        <f t="shared" si="373"/>
        <v>2.08579510783093</v>
      </c>
      <c r="AV395" s="276">
        <f t="shared" si="374"/>
        <v>1.5500025440443246</v>
      </c>
      <c r="AW395" s="276">
        <f t="shared" si="375"/>
        <v>1.7152994911589732</v>
      </c>
      <c r="AX395" s="276">
        <f t="shared" si="376"/>
        <v>2.182220568908301</v>
      </c>
      <c r="AY395" s="276">
        <f t="shared" si="377"/>
        <v>1.4464667549373293</v>
      </c>
      <c r="AZ395" s="686">
        <f t="shared" si="378"/>
        <v>1.686785400412613</v>
      </c>
      <c r="BA395" s="685">
        <f t="shared" si="379"/>
        <v>0</v>
      </c>
      <c r="BB395" s="276">
        <f t="shared" si="380"/>
        <v>0</v>
      </c>
      <c r="BC395" s="276">
        <f t="shared" si="381"/>
        <v>0</v>
      </c>
      <c r="BD395" s="276">
        <f t="shared" si="382"/>
        <v>0</v>
      </c>
      <c r="BE395" s="276">
        <f t="shared" si="383"/>
        <v>0</v>
      </c>
      <c r="BF395" s="686">
        <f t="shared" si="384"/>
        <v>0</v>
      </c>
      <c r="BG395" s="685" t="e">
        <f t="shared" si="385"/>
        <v>#DIV/0!</v>
      </c>
      <c r="BH395" s="276" t="e">
        <f t="shared" si="386"/>
        <v>#DIV/0!</v>
      </c>
      <c r="BI395" s="276" t="e">
        <f t="shared" si="387"/>
        <v>#DIV/0!</v>
      </c>
      <c r="BJ395" s="276" t="e">
        <f t="shared" si="388"/>
        <v>#DIV/0!</v>
      </c>
      <c r="BK395" s="276" t="e">
        <f t="shared" si="389"/>
        <v>#DIV/0!</v>
      </c>
      <c r="BL395" s="686" t="e">
        <f t="shared" si="390"/>
        <v>#DIV/0!</v>
      </c>
      <c r="BM395" s="239"/>
      <c r="BN395" s="965" t="e">
        <f t="shared" si="391"/>
        <v>#VALUE!</v>
      </c>
      <c r="BO395" s="878" t="e">
        <f t="shared" si="392"/>
        <v>#VALUE!</v>
      </c>
      <c r="BP395" s="878" t="e">
        <f t="shared" si="393"/>
        <v>#VALUE!</v>
      </c>
      <c r="BQ395" s="878" t="e">
        <f t="shared" si="394"/>
        <v>#VALUE!</v>
      </c>
      <c r="BR395" s="878" t="e">
        <f t="shared" si="395"/>
        <v>#VALUE!</v>
      </c>
      <c r="BS395" s="966" t="e">
        <f t="shared" si="396"/>
        <v>#VALUE!</v>
      </c>
    </row>
    <row r="396" spans="1:71">
      <c r="A396" s="284">
        <f t="shared" si="397"/>
        <v>328</v>
      </c>
      <c r="B396" s="285">
        <v>-3.7602211918083936</v>
      </c>
      <c r="C396" s="285">
        <v>1.2078375031336754</v>
      </c>
      <c r="D396" s="285">
        <v>1.2857838784817694</v>
      </c>
      <c r="E396" s="285">
        <v>-23.825977385470729</v>
      </c>
      <c r="H396" s="685">
        <f t="shared" si="343"/>
        <v>-4.8934550335774487</v>
      </c>
      <c r="I396" s="276">
        <f t="shared" si="344"/>
        <v>-1.3707303293506969</v>
      </c>
      <c r="J396" s="276">
        <f t="shared" si="345"/>
        <v>-3.1525956299035967</v>
      </c>
      <c r="K396" s="276">
        <f t="shared" si="346"/>
        <v>-0.50061636381697971</v>
      </c>
      <c r="L396" s="276">
        <f t="shared" si="347"/>
        <v>-1.886392922123266</v>
      </c>
      <c r="M396" s="276">
        <f t="shared" si="348"/>
        <v>-4.4189926735161498</v>
      </c>
      <c r="N396" s="685">
        <f t="shared" si="349"/>
        <v>6.66292161807025E-4</v>
      </c>
      <c r="O396" s="276">
        <f t="shared" si="350"/>
        <v>1.8984369421441329</v>
      </c>
      <c r="P396" s="276">
        <f t="shared" si="351"/>
        <v>0.54285733597226637</v>
      </c>
      <c r="Q396" s="276">
        <f t="shared" si="352"/>
        <v>0.89172696752363545</v>
      </c>
      <c r="R396" s="276">
        <f t="shared" si="353"/>
        <v>1.4259534751276413</v>
      </c>
      <c r="S396" s="686">
        <f t="shared" si="354"/>
        <v>0.924131170790363</v>
      </c>
      <c r="T396" s="685">
        <f t="shared" si="355"/>
        <v>4.5641475687526949</v>
      </c>
      <c r="U396" s="276">
        <f t="shared" si="356"/>
        <v>4.6567662490265143</v>
      </c>
      <c r="V396" s="276">
        <f t="shared" si="357"/>
        <v>5.5284738228408274</v>
      </c>
      <c r="W396" s="276">
        <f t="shared" si="358"/>
        <v>6.0252763417879276</v>
      </c>
      <c r="X396" s="276">
        <f t="shared" si="359"/>
        <v>5.2166559337870577</v>
      </c>
      <c r="Y396" s="686">
        <f t="shared" si="360"/>
        <v>4.0327680867854259</v>
      </c>
      <c r="Z396" s="685" t="e">
        <f t="shared" si="361"/>
        <v>#DIV/0!</v>
      </c>
      <c r="AA396" s="276" t="e">
        <f t="shared" si="362"/>
        <v>#DIV/0!</v>
      </c>
      <c r="AB396" s="276" t="e">
        <f t="shared" si="363"/>
        <v>#DIV/0!</v>
      </c>
      <c r="AC396" s="276" t="e">
        <f t="shared" si="364"/>
        <v>#DIV/0!</v>
      </c>
      <c r="AD396" s="276" t="e">
        <f t="shared" si="365"/>
        <v>#DIV/0!</v>
      </c>
      <c r="AE396" s="686" t="e">
        <f t="shared" si="366"/>
        <v>#DIV/0!</v>
      </c>
      <c r="AF396" s="239"/>
      <c r="AG396" s="965" t="e">
        <f t="shared" si="337"/>
        <v>#VALUE!</v>
      </c>
      <c r="AH396" s="878" t="e">
        <f t="shared" si="338"/>
        <v>#VALUE!</v>
      </c>
      <c r="AI396" s="878" t="e">
        <f t="shared" si="339"/>
        <v>#VALUE!</v>
      </c>
      <c r="AJ396" s="878" t="e">
        <f t="shared" si="340"/>
        <v>#VALUE!</v>
      </c>
      <c r="AK396" s="878" t="e">
        <f t="shared" si="341"/>
        <v>#VALUE!</v>
      </c>
      <c r="AL396" s="966" t="e">
        <f t="shared" si="342"/>
        <v>#VALUE!</v>
      </c>
      <c r="AM396" s="239"/>
      <c r="AO396" s="685">
        <f t="shared" si="367"/>
        <v>-4.8934550335774487</v>
      </c>
      <c r="AP396" s="276">
        <f t="shared" si="368"/>
        <v>-1.3707303293506969</v>
      </c>
      <c r="AQ396" s="276">
        <f t="shared" si="369"/>
        <v>-3.1525956299035967</v>
      </c>
      <c r="AR396" s="276">
        <f t="shared" si="370"/>
        <v>-0.50061636381697971</v>
      </c>
      <c r="AS396" s="276">
        <f t="shared" si="371"/>
        <v>-1.886392922123266</v>
      </c>
      <c r="AT396" s="276">
        <f t="shared" si="372"/>
        <v>-4.4189926735161498</v>
      </c>
      <c r="AU396" s="685">
        <f t="shared" si="373"/>
        <v>6.66292161807025E-4</v>
      </c>
      <c r="AV396" s="276">
        <f t="shared" si="374"/>
        <v>1.8984369421441329</v>
      </c>
      <c r="AW396" s="276">
        <f t="shared" si="375"/>
        <v>0.54285733597226637</v>
      </c>
      <c r="AX396" s="276">
        <f t="shared" si="376"/>
        <v>0.89172696752363545</v>
      </c>
      <c r="AY396" s="276">
        <f t="shared" si="377"/>
        <v>1.4259534751276413</v>
      </c>
      <c r="AZ396" s="686">
        <f t="shared" si="378"/>
        <v>0.924131170790363</v>
      </c>
      <c r="BA396" s="685">
        <f t="shared" si="379"/>
        <v>0</v>
      </c>
      <c r="BB396" s="276">
        <f t="shared" si="380"/>
        <v>0</v>
      </c>
      <c r="BC396" s="276">
        <f t="shared" si="381"/>
        <v>0</v>
      </c>
      <c r="BD396" s="276">
        <f t="shared" si="382"/>
        <v>0</v>
      </c>
      <c r="BE396" s="276">
        <f t="shared" si="383"/>
        <v>0</v>
      </c>
      <c r="BF396" s="686">
        <f t="shared" si="384"/>
        <v>0</v>
      </c>
      <c r="BG396" s="685" t="e">
        <f t="shared" si="385"/>
        <v>#DIV/0!</v>
      </c>
      <c r="BH396" s="276" t="e">
        <f t="shared" si="386"/>
        <v>#DIV/0!</v>
      </c>
      <c r="BI396" s="276" t="e">
        <f t="shared" si="387"/>
        <v>#DIV/0!</v>
      </c>
      <c r="BJ396" s="276" t="e">
        <f t="shared" si="388"/>
        <v>#DIV/0!</v>
      </c>
      <c r="BK396" s="276" t="e">
        <f t="shared" si="389"/>
        <v>#DIV/0!</v>
      </c>
      <c r="BL396" s="686" t="e">
        <f t="shared" si="390"/>
        <v>#DIV/0!</v>
      </c>
      <c r="BM396" s="239"/>
      <c r="BN396" s="965" t="e">
        <f t="shared" si="391"/>
        <v>#VALUE!</v>
      </c>
      <c r="BO396" s="878" t="e">
        <f t="shared" si="392"/>
        <v>#VALUE!</v>
      </c>
      <c r="BP396" s="878" t="e">
        <f t="shared" si="393"/>
        <v>#VALUE!</v>
      </c>
      <c r="BQ396" s="878" t="e">
        <f t="shared" si="394"/>
        <v>#VALUE!</v>
      </c>
      <c r="BR396" s="878" t="e">
        <f t="shared" si="395"/>
        <v>#VALUE!</v>
      </c>
      <c r="BS396" s="966" t="e">
        <f t="shared" si="396"/>
        <v>#VALUE!</v>
      </c>
    </row>
    <row r="397" spans="1:71">
      <c r="A397" s="284">
        <f t="shared" si="397"/>
        <v>329</v>
      </c>
      <c r="B397" s="285">
        <v>1.0443240602821617</v>
      </c>
      <c r="C397" s="285">
        <v>2.6500471145210036</v>
      </c>
      <c r="D397" s="285">
        <v>-0.65572432842362649</v>
      </c>
      <c r="E397" s="285">
        <v>-2.1639065718268116</v>
      </c>
      <c r="H397" s="685">
        <f t="shared" si="343"/>
        <v>-8.8909781486893102E-2</v>
      </c>
      <c r="I397" s="276">
        <f t="shared" si="344"/>
        <v>2.2539130361698243</v>
      </c>
      <c r="J397" s="276">
        <f t="shared" si="345"/>
        <v>-0.63561869992311193</v>
      </c>
      <c r="K397" s="276">
        <f t="shared" si="346"/>
        <v>3.6809956208674013</v>
      </c>
      <c r="L397" s="276">
        <f t="shared" si="347"/>
        <v>0.21979013916794399</v>
      </c>
      <c r="M397" s="276">
        <f t="shared" si="348"/>
        <v>-3.0342083016961716</v>
      </c>
      <c r="N397" s="685">
        <f t="shared" si="349"/>
        <v>1.4428759035491352</v>
      </c>
      <c r="O397" s="276">
        <f t="shared" si="350"/>
        <v>1.2969308209038626</v>
      </c>
      <c r="P397" s="276">
        <f t="shared" si="351"/>
        <v>1.5332541503463479</v>
      </c>
      <c r="Q397" s="276">
        <f t="shared" si="352"/>
        <v>1.5342263025352774</v>
      </c>
      <c r="R397" s="276">
        <f t="shared" si="353"/>
        <v>0.65195358508398438</v>
      </c>
      <c r="S397" s="686">
        <f t="shared" si="354"/>
        <v>0.92580140822602019</v>
      </c>
      <c r="T397" s="685">
        <f t="shared" si="355"/>
        <v>2.6226393618472992</v>
      </c>
      <c r="U397" s="276">
        <f t="shared" si="356"/>
        <v>4.5244736246116268</v>
      </c>
      <c r="V397" s="276">
        <f t="shared" si="357"/>
        <v>5.9135126629335772</v>
      </c>
      <c r="W397" s="276">
        <f t="shared" si="358"/>
        <v>5.2999156495492796</v>
      </c>
      <c r="X397" s="276">
        <f t="shared" si="359"/>
        <v>5.4417869610456435</v>
      </c>
      <c r="Y397" s="686">
        <f t="shared" si="360"/>
        <v>6.5413022268243779</v>
      </c>
      <c r="Z397" s="685" t="e">
        <f t="shared" si="361"/>
        <v>#DIV/0!</v>
      </c>
      <c r="AA397" s="276" t="e">
        <f t="shared" si="362"/>
        <v>#DIV/0!</v>
      </c>
      <c r="AB397" s="276" t="e">
        <f t="shared" si="363"/>
        <v>#DIV/0!</v>
      </c>
      <c r="AC397" s="276" t="e">
        <f t="shared" si="364"/>
        <v>#DIV/0!</v>
      </c>
      <c r="AD397" s="276" t="e">
        <f t="shared" si="365"/>
        <v>#DIV/0!</v>
      </c>
      <c r="AE397" s="686" t="e">
        <f t="shared" si="366"/>
        <v>#DIV/0!</v>
      </c>
      <c r="AF397" s="239"/>
      <c r="AG397" s="965" t="e">
        <f t="shared" si="337"/>
        <v>#VALUE!</v>
      </c>
      <c r="AH397" s="878" t="e">
        <f t="shared" si="338"/>
        <v>#VALUE!</v>
      </c>
      <c r="AI397" s="878" t="e">
        <f t="shared" si="339"/>
        <v>#VALUE!</v>
      </c>
      <c r="AJ397" s="878" t="e">
        <f t="shared" si="340"/>
        <v>#VALUE!</v>
      </c>
      <c r="AK397" s="878" t="e">
        <f t="shared" si="341"/>
        <v>#VALUE!</v>
      </c>
      <c r="AL397" s="966" t="e">
        <f t="shared" si="342"/>
        <v>#VALUE!</v>
      </c>
      <c r="AM397" s="239"/>
      <c r="AO397" s="685">
        <f t="shared" si="367"/>
        <v>-8.8909781486893102E-2</v>
      </c>
      <c r="AP397" s="276">
        <f t="shared" si="368"/>
        <v>2.2539130361698243</v>
      </c>
      <c r="AQ397" s="276">
        <f t="shared" si="369"/>
        <v>-0.63561869992311193</v>
      </c>
      <c r="AR397" s="276">
        <f t="shared" si="370"/>
        <v>3.6809956208674013</v>
      </c>
      <c r="AS397" s="276">
        <f t="shared" si="371"/>
        <v>0.21979013916794399</v>
      </c>
      <c r="AT397" s="276">
        <f t="shared" si="372"/>
        <v>-3.0342083016961716</v>
      </c>
      <c r="AU397" s="685">
        <f t="shared" si="373"/>
        <v>1.4428759035491352</v>
      </c>
      <c r="AV397" s="276">
        <f t="shared" si="374"/>
        <v>1.2969308209038626</v>
      </c>
      <c r="AW397" s="276">
        <f t="shared" si="375"/>
        <v>1.5332541503463479</v>
      </c>
      <c r="AX397" s="276">
        <f t="shared" si="376"/>
        <v>1.5342263025352774</v>
      </c>
      <c r="AY397" s="276">
        <f t="shared" si="377"/>
        <v>0.65195358508398438</v>
      </c>
      <c r="AZ397" s="686">
        <f t="shared" si="378"/>
        <v>0.92580140822602019</v>
      </c>
      <c r="BA397" s="685">
        <f t="shared" si="379"/>
        <v>0</v>
      </c>
      <c r="BB397" s="276">
        <f t="shared" si="380"/>
        <v>0</v>
      </c>
      <c r="BC397" s="276">
        <f t="shared" si="381"/>
        <v>0</v>
      </c>
      <c r="BD397" s="276">
        <f t="shared" si="382"/>
        <v>0</v>
      </c>
      <c r="BE397" s="276">
        <f t="shared" si="383"/>
        <v>0</v>
      </c>
      <c r="BF397" s="686">
        <f t="shared" si="384"/>
        <v>0</v>
      </c>
      <c r="BG397" s="685" t="e">
        <f t="shared" si="385"/>
        <v>#DIV/0!</v>
      </c>
      <c r="BH397" s="276" t="e">
        <f t="shared" si="386"/>
        <v>#DIV/0!</v>
      </c>
      <c r="BI397" s="276" t="e">
        <f t="shared" si="387"/>
        <v>#DIV/0!</v>
      </c>
      <c r="BJ397" s="276" t="e">
        <f t="shared" si="388"/>
        <v>#DIV/0!</v>
      </c>
      <c r="BK397" s="276" t="e">
        <f t="shared" si="389"/>
        <v>#DIV/0!</v>
      </c>
      <c r="BL397" s="686" t="e">
        <f t="shared" si="390"/>
        <v>#DIV/0!</v>
      </c>
      <c r="BM397" s="239"/>
      <c r="BN397" s="965" t="e">
        <f t="shared" si="391"/>
        <v>#VALUE!</v>
      </c>
      <c r="BO397" s="878" t="e">
        <f t="shared" si="392"/>
        <v>#VALUE!</v>
      </c>
      <c r="BP397" s="878" t="e">
        <f t="shared" si="393"/>
        <v>#VALUE!</v>
      </c>
      <c r="BQ397" s="878" t="e">
        <f t="shared" si="394"/>
        <v>#VALUE!</v>
      </c>
      <c r="BR397" s="878" t="e">
        <f t="shared" si="395"/>
        <v>#VALUE!</v>
      </c>
      <c r="BS397" s="966" t="e">
        <f t="shared" si="396"/>
        <v>#VALUE!</v>
      </c>
    </row>
    <row r="398" spans="1:71">
      <c r="A398" s="284">
        <f t="shared" si="397"/>
        <v>330</v>
      </c>
      <c r="B398" s="285">
        <v>-1.0508159958372483</v>
      </c>
      <c r="C398" s="285">
        <v>2.871839625984995</v>
      </c>
      <c r="D398" s="285">
        <v>1.1085114336258601</v>
      </c>
      <c r="E398" s="285">
        <v>7.8374004485685589</v>
      </c>
      <c r="H398" s="685">
        <f t="shared" si="343"/>
        <v>-2.1840498376063033</v>
      </c>
      <c r="I398" s="276">
        <f t="shared" si="344"/>
        <v>-3.1420609501337724</v>
      </c>
      <c r="J398" s="276">
        <f t="shared" si="345"/>
        <v>-3.7600240863569123</v>
      </c>
      <c r="K398" s="276">
        <f t="shared" si="346"/>
        <v>-2.2880244778378529</v>
      </c>
      <c r="L398" s="276">
        <f t="shared" si="347"/>
        <v>0.96518299072009328</v>
      </c>
      <c r="M398" s="276">
        <f t="shared" si="348"/>
        <v>-0.14757900288810444</v>
      </c>
      <c r="N398" s="685">
        <f t="shared" si="349"/>
        <v>1.6646684150131266</v>
      </c>
      <c r="O398" s="276">
        <f t="shared" si="350"/>
        <v>0.86681495361586669</v>
      </c>
      <c r="P398" s="276">
        <f t="shared" si="351"/>
        <v>1.1964555837318434</v>
      </c>
      <c r="Q398" s="276">
        <f t="shared" si="352"/>
        <v>0.91150523063618905</v>
      </c>
      <c r="R398" s="276">
        <f t="shared" si="353"/>
        <v>1.2064314130751199</v>
      </c>
      <c r="S398" s="686">
        <f t="shared" si="354"/>
        <v>1.2573650486185317</v>
      </c>
      <c r="T398" s="685">
        <f t="shared" si="355"/>
        <v>4.386875123896786</v>
      </c>
      <c r="U398" s="276">
        <f t="shared" si="356"/>
        <v>3.9509034942296122</v>
      </c>
      <c r="V398" s="276">
        <f t="shared" si="357"/>
        <v>2.8223629337409335</v>
      </c>
      <c r="W398" s="276">
        <f t="shared" si="358"/>
        <v>3.0666023507636755</v>
      </c>
      <c r="X398" s="276">
        <f t="shared" si="359"/>
        <v>4.884492521571552</v>
      </c>
      <c r="Y398" s="686">
        <f t="shared" si="360"/>
        <v>3.8717534216784628</v>
      </c>
      <c r="Z398" s="685" t="e">
        <f t="shared" si="361"/>
        <v>#DIV/0!</v>
      </c>
      <c r="AA398" s="276" t="e">
        <f t="shared" si="362"/>
        <v>#DIV/0!</v>
      </c>
      <c r="AB398" s="276" t="e">
        <f t="shared" si="363"/>
        <v>#DIV/0!</v>
      </c>
      <c r="AC398" s="276" t="e">
        <f t="shared" si="364"/>
        <v>#DIV/0!</v>
      </c>
      <c r="AD398" s="276" t="e">
        <f t="shared" si="365"/>
        <v>#DIV/0!</v>
      </c>
      <c r="AE398" s="686" t="e">
        <f t="shared" si="366"/>
        <v>#DIV/0!</v>
      </c>
      <c r="AF398" s="239"/>
      <c r="AG398" s="965" t="e">
        <f t="shared" si="337"/>
        <v>#VALUE!</v>
      </c>
      <c r="AH398" s="878" t="e">
        <f t="shared" si="338"/>
        <v>#VALUE!</v>
      </c>
      <c r="AI398" s="878" t="e">
        <f t="shared" si="339"/>
        <v>#VALUE!</v>
      </c>
      <c r="AJ398" s="878" t="e">
        <f t="shared" si="340"/>
        <v>#VALUE!</v>
      </c>
      <c r="AK398" s="878" t="e">
        <f t="shared" si="341"/>
        <v>#VALUE!</v>
      </c>
      <c r="AL398" s="966" t="e">
        <f t="shared" si="342"/>
        <v>#VALUE!</v>
      </c>
      <c r="AM398" s="239"/>
      <c r="AO398" s="685">
        <f t="shared" si="367"/>
        <v>-2.1840498376063033</v>
      </c>
      <c r="AP398" s="276">
        <f t="shared" si="368"/>
        <v>-3.1420609501337724</v>
      </c>
      <c r="AQ398" s="276">
        <f t="shared" si="369"/>
        <v>-3.7600240863569123</v>
      </c>
      <c r="AR398" s="276">
        <f t="shared" si="370"/>
        <v>-2.2880244778378529</v>
      </c>
      <c r="AS398" s="276">
        <f t="shared" si="371"/>
        <v>0.96518299072009328</v>
      </c>
      <c r="AT398" s="276">
        <f t="shared" si="372"/>
        <v>-0.14757900288810444</v>
      </c>
      <c r="AU398" s="685">
        <f t="shared" si="373"/>
        <v>1.6646684150131266</v>
      </c>
      <c r="AV398" s="276">
        <f t="shared" si="374"/>
        <v>0.86681495361586669</v>
      </c>
      <c r="AW398" s="276">
        <f t="shared" si="375"/>
        <v>1.1964555837318434</v>
      </c>
      <c r="AX398" s="276">
        <f t="shared" si="376"/>
        <v>0.91150523063618905</v>
      </c>
      <c r="AY398" s="276">
        <f t="shared" si="377"/>
        <v>1.2064314130751199</v>
      </c>
      <c r="AZ398" s="686">
        <f t="shared" si="378"/>
        <v>1.2573650486185317</v>
      </c>
      <c r="BA398" s="685">
        <f t="shared" si="379"/>
        <v>0</v>
      </c>
      <c r="BB398" s="276">
        <f t="shared" si="380"/>
        <v>0</v>
      </c>
      <c r="BC398" s="276">
        <f t="shared" si="381"/>
        <v>0</v>
      </c>
      <c r="BD398" s="276">
        <f t="shared" si="382"/>
        <v>0</v>
      </c>
      <c r="BE398" s="276">
        <f t="shared" si="383"/>
        <v>0</v>
      </c>
      <c r="BF398" s="686">
        <f t="shared" si="384"/>
        <v>0</v>
      </c>
      <c r="BG398" s="685" t="e">
        <f t="shared" si="385"/>
        <v>#DIV/0!</v>
      </c>
      <c r="BH398" s="276" t="e">
        <f t="shared" si="386"/>
        <v>#DIV/0!</v>
      </c>
      <c r="BI398" s="276" t="e">
        <f t="shared" si="387"/>
        <v>#DIV/0!</v>
      </c>
      <c r="BJ398" s="276" t="e">
        <f t="shared" si="388"/>
        <v>#DIV/0!</v>
      </c>
      <c r="BK398" s="276" t="e">
        <f t="shared" si="389"/>
        <v>#DIV/0!</v>
      </c>
      <c r="BL398" s="686" t="e">
        <f t="shared" si="390"/>
        <v>#DIV/0!</v>
      </c>
      <c r="BM398" s="239"/>
      <c r="BN398" s="965" t="e">
        <f t="shared" si="391"/>
        <v>#VALUE!</v>
      </c>
      <c r="BO398" s="878" t="e">
        <f t="shared" si="392"/>
        <v>#VALUE!</v>
      </c>
      <c r="BP398" s="878" t="e">
        <f t="shared" si="393"/>
        <v>#VALUE!</v>
      </c>
      <c r="BQ398" s="878" t="e">
        <f t="shared" si="394"/>
        <v>#VALUE!</v>
      </c>
      <c r="BR398" s="878" t="e">
        <f t="shared" si="395"/>
        <v>#VALUE!</v>
      </c>
      <c r="BS398" s="966" t="e">
        <f t="shared" si="396"/>
        <v>#VALUE!</v>
      </c>
    </row>
    <row r="399" spans="1:71">
      <c r="A399" s="284">
        <f t="shared" si="397"/>
        <v>331</v>
      </c>
      <c r="B399" s="285">
        <v>-0.45168193241449645</v>
      </c>
      <c r="C399" s="285">
        <v>2.3865388752832071</v>
      </c>
      <c r="D399" s="285">
        <v>1.1213828458742059</v>
      </c>
      <c r="E399" s="285">
        <v>-11.732004895366511</v>
      </c>
      <c r="H399" s="685">
        <f t="shared" si="343"/>
        <v>-1.5849157741835513</v>
      </c>
      <c r="I399" s="276">
        <f t="shared" si="344"/>
        <v>-0.58239695652188317</v>
      </c>
      <c r="J399" s="276">
        <f t="shared" si="345"/>
        <v>-2.6997578633867008</v>
      </c>
      <c r="K399" s="276">
        <f t="shared" si="346"/>
        <v>1.4894020043589447</v>
      </c>
      <c r="L399" s="276">
        <f t="shared" si="347"/>
        <v>-4.5201983958680039</v>
      </c>
      <c r="M399" s="276">
        <f t="shared" si="348"/>
        <v>2.1936429673972135E-3</v>
      </c>
      <c r="N399" s="685">
        <f t="shared" si="349"/>
        <v>1.1793676643113387</v>
      </c>
      <c r="O399" s="276">
        <f t="shared" si="350"/>
        <v>1.9281220198068538</v>
      </c>
      <c r="P399" s="276">
        <f t="shared" si="351"/>
        <v>0.95599568788879163</v>
      </c>
      <c r="Q399" s="276">
        <f t="shared" si="352"/>
        <v>1.9914040216047553</v>
      </c>
      <c r="R399" s="276">
        <f t="shared" si="353"/>
        <v>0.57940062888366062</v>
      </c>
      <c r="S399" s="686">
        <f t="shared" si="354"/>
        <v>1.7554789696123601</v>
      </c>
      <c r="T399" s="685">
        <f t="shared" si="355"/>
        <v>4.3997465361451322</v>
      </c>
      <c r="U399" s="276">
        <f t="shared" si="356"/>
        <v>5.080987778654233</v>
      </c>
      <c r="V399" s="276">
        <f t="shared" si="357"/>
        <v>5.5767639682907202</v>
      </c>
      <c r="W399" s="276">
        <f t="shared" si="358"/>
        <v>4.7862176229621491</v>
      </c>
      <c r="X399" s="276">
        <f t="shared" si="359"/>
        <v>3.0410579805486284</v>
      </c>
      <c r="Y399" s="686">
        <f t="shared" si="360"/>
        <v>4.0873155030854136</v>
      </c>
      <c r="Z399" s="685" t="e">
        <f t="shared" si="361"/>
        <v>#DIV/0!</v>
      </c>
      <c r="AA399" s="276" t="e">
        <f t="shared" si="362"/>
        <v>#DIV/0!</v>
      </c>
      <c r="AB399" s="276" t="e">
        <f t="shared" si="363"/>
        <v>#DIV/0!</v>
      </c>
      <c r="AC399" s="276" t="e">
        <f t="shared" si="364"/>
        <v>#DIV/0!</v>
      </c>
      <c r="AD399" s="276" t="e">
        <f t="shared" si="365"/>
        <v>#DIV/0!</v>
      </c>
      <c r="AE399" s="686" t="e">
        <f t="shared" si="366"/>
        <v>#DIV/0!</v>
      </c>
      <c r="AF399" s="239"/>
      <c r="AG399" s="965" t="e">
        <f t="shared" si="337"/>
        <v>#VALUE!</v>
      </c>
      <c r="AH399" s="878" t="e">
        <f t="shared" si="338"/>
        <v>#VALUE!</v>
      </c>
      <c r="AI399" s="878" t="e">
        <f t="shared" si="339"/>
        <v>#VALUE!</v>
      </c>
      <c r="AJ399" s="878" t="e">
        <f t="shared" si="340"/>
        <v>#VALUE!</v>
      </c>
      <c r="AK399" s="878" t="e">
        <f t="shared" si="341"/>
        <v>#VALUE!</v>
      </c>
      <c r="AL399" s="966" t="e">
        <f t="shared" si="342"/>
        <v>#VALUE!</v>
      </c>
      <c r="AM399" s="239"/>
      <c r="AO399" s="685">
        <f t="shared" si="367"/>
        <v>-1.5849157741835513</v>
      </c>
      <c r="AP399" s="276">
        <f t="shared" si="368"/>
        <v>-0.58239695652188317</v>
      </c>
      <c r="AQ399" s="276">
        <f t="shared" si="369"/>
        <v>-2.6997578633867008</v>
      </c>
      <c r="AR399" s="276">
        <f t="shared" si="370"/>
        <v>1.4894020043589447</v>
      </c>
      <c r="AS399" s="276">
        <f t="shared" si="371"/>
        <v>-4.5201983958680039</v>
      </c>
      <c r="AT399" s="276">
        <f t="shared" si="372"/>
        <v>2.1936429673972135E-3</v>
      </c>
      <c r="AU399" s="685">
        <f t="shared" si="373"/>
        <v>1.1793676643113387</v>
      </c>
      <c r="AV399" s="276">
        <f t="shared" si="374"/>
        <v>1.9281220198068538</v>
      </c>
      <c r="AW399" s="276">
        <f t="shared" si="375"/>
        <v>0.95599568788879163</v>
      </c>
      <c r="AX399" s="276">
        <f t="shared" si="376"/>
        <v>1.9914040216047553</v>
      </c>
      <c r="AY399" s="276">
        <f t="shared" si="377"/>
        <v>0.57940062888366062</v>
      </c>
      <c r="AZ399" s="686">
        <f t="shared" si="378"/>
        <v>1.7554789696123601</v>
      </c>
      <c r="BA399" s="685">
        <f t="shared" si="379"/>
        <v>0</v>
      </c>
      <c r="BB399" s="276">
        <f t="shared" si="380"/>
        <v>0</v>
      </c>
      <c r="BC399" s="276">
        <f t="shared" si="381"/>
        <v>0</v>
      </c>
      <c r="BD399" s="276">
        <f t="shared" si="382"/>
        <v>0</v>
      </c>
      <c r="BE399" s="276">
        <f t="shared" si="383"/>
        <v>0</v>
      </c>
      <c r="BF399" s="686">
        <f t="shared" si="384"/>
        <v>0</v>
      </c>
      <c r="BG399" s="685" t="e">
        <f t="shared" si="385"/>
        <v>#DIV/0!</v>
      </c>
      <c r="BH399" s="276" t="e">
        <f t="shared" si="386"/>
        <v>#DIV/0!</v>
      </c>
      <c r="BI399" s="276" t="e">
        <f t="shared" si="387"/>
        <v>#DIV/0!</v>
      </c>
      <c r="BJ399" s="276" t="e">
        <f t="shared" si="388"/>
        <v>#DIV/0!</v>
      </c>
      <c r="BK399" s="276" t="e">
        <f t="shared" si="389"/>
        <v>#DIV/0!</v>
      </c>
      <c r="BL399" s="686" t="e">
        <f t="shared" si="390"/>
        <v>#DIV/0!</v>
      </c>
      <c r="BM399" s="239"/>
      <c r="BN399" s="965" t="e">
        <f t="shared" si="391"/>
        <v>#VALUE!</v>
      </c>
      <c r="BO399" s="878" t="e">
        <f t="shared" si="392"/>
        <v>#VALUE!</v>
      </c>
      <c r="BP399" s="878" t="e">
        <f t="shared" si="393"/>
        <v>#VALUE!</v>
      </c>
      <c r="BQ399" s="878" t="e">
        <f t="shared" si="394"/>
        <v>#VALUE!</v>
      </c>
      <c r="BR399" s="878" t="e">
        <f t="shared" si="395"/>
        <v>#VALUE!</v>
      </c>
      <c r="BS399" s="966" t="e">
        <f t="shared" si="396"/>
        <v>#VALUE!</v>
      </c>
    </row>
    <row r="400" spans="1:71">
      <c r="A400" s="284">
        <f t="shared" si="397"/>
        <v>332</v>
      </c>
      <c r="B400" s="285">
        <v>-2.80732125416539</v>
      </c>
      <c r="C400" s="285">
        <v>2.3300531662110009</v>
      </c>
      <c r="D400" s="285">
        <v>1.8017179922591133</v>
      </c>
      <c r="E400" s="285">
        <v>-0.89048882177535305</v>
      </c>
      <c r="H400" s="685">
        <f t="shared" si="343"/>
        <v>-3.9405550959344451</v>
      </c>
      <c r="I400" s="276">
        <f t="shared" si="344"/>
        <v>-2.8192282547016632</v>
      </c>
      <c r="J400" s="276">
        <f t="shared" si="345"/>
        <v>1.9203679637507036</v>
      </c>
      <c r="K400" s="276">
        <f t="shared" si="346"/>
        <v>0.47011380130635483</v>
      </c>
      <c r="L400" s="276">
        <f t="shared" si="347"/>
        <v>-1.1165854083501003</v>
      </c>
      <c r="M400" s="276">
        <f t="shared" si="348"/>
        <v>-1.7010717559635897</v>
      </c>
      <c r="N400" s="685">
        <f t="shared" si="349"/>
        <v>1.1228819552391325</v>
      </c>
      <c r="O400" s="276">
        <f t="shared" si="350"/>
        <v>1.1186258246263667</v>
      </c>
      <c r="P400" s="276">
        <f t="shared" si="351"/>
        <v>1.6634095061002772</v>
      </c>
      <c r="Q400" s="276">
        <f t="shared" si="352"/>
        <v>1.2431801148311787</v>
      </c>
      <c r="R400" s="276">
        <f t="shared" si="353"/>
        <v>1.4242691707149502</v>
      </c>
      <c r="S400" s="686">
        <f t="shared" si="354"/>
        <v>1.0051514627731002</v>
      </c>
      <c r="T400" s="685">
        <f t="shared" si="355"/>
        <v>5.0800816825300394</v>
      </c>
      <c r="U400" s="276">
        <f t="shared" si="356"/>
        <v>4.0875403356350777</v>
      </c>
      <c r="V400" s="276">
        <f t="shared" si="357"/>
        <v>7.0947809680615457</v>
      </c>
      <c r="W400" s="276">
        <f t="shared" si="358"/>
        <v>4.5559295620099398</v>
      </c>
      <c r="X400" s="276">
        <f t="shared" si="359"/>
        <v>3.6990843112279768</v>
      </c>
      <c r="Y400" s="686">
        <f t="shared" si="360"/>
        <v>4.1283585630878976</v>
      </c>
      <c r="Z400" s="685" t="e">
        <f t="shared" si="361"/>
        <v>#DIV/0!</v>
      </c>
      <c r="AA400" s="276" t="e">
        <f t="shared" si="362"/>
        <v>#DIV/0!</v>
      </c>
      <c r="AB400" s="276" t="e">
        <f t="shared" si="363"/>
        <v>#DIV/0!</v>
      </c>
      <c r="AC400" s="276" t="e">
        <f t="shared" si="364"/>
        <v>#DIV/0!</v>
      </c>
      <c r="AD400" s="276" t="e">
        <f t="shared" si="365"/>
        <v>#DIV/0!</v>
      </c>
      <c r="AE400" s="686" t="e">
        <f t="shared" si="366"/>
        <v>#DIV/0!</v>
      </c>
      <c r="AF400" s="239"/>
      <c r="AG400" s="965" t="e">
        <f t="shared" si="337"/>
        <v>#VALUE!</v>
      </c>
      <c r="AH400" s="878" t="e">
        <f t="shared" si="338"/>
        <v>#VALUE!</v>
      </c>
      <c r="AI400" s="878" t="e">
        <f t="shared" si="339"/>
        <v>#VALUE!</v>
      </c>
      <c r="AJ400" s="878" t="e">
        <f t="shared" si="340"/>
        <v>#VALUE!</v>
      </c>
      <c r="AK400" s="878" t="e">
        <f t="shared" si="341"/>
        <v>#VALUE!</v>
      </c>
      <c r="AL400" s="966" t="e">
        <f t="shared" si="342"/>
        <v>#VALUE!</v>
      </c>
      <c r="AM400" s="239"/>
      <c r="AO400" s="685">
        <f t="shared" si="367"/>
        <v>-3.9405550959344451</v>
      </c>
      <c r="AP400" s="276">
        <f t="shared" si="368"/>
        <v>-2.8192282547016632</v>
      </c>
      <c r="AQ400" s="276">
        <f t="shared" si="369"/>
        <v>1.9203679637507036</v>
      </c>
      <c r="AR400" s="276">
        <f t="shared" si="370"/>
        <v>0.47011380130635483</v>
      </c>
      <c r="AS400" s="276">
        <f t="shared" si="371"/>
        <v>-1.1165854083501003</v>
      </c>
      <c r="AT400" s="276">
        <f t="shared" si="372"/>
        <v>-1.7010717559635897</v>
      </c>
      <c r="AU400" s="685">
        <f t="shared" si="373"/>
        <v>1.1228819552391325</v>
      </c>
      <c r="AV400" s="276">
        <f t="shared" si="374"/>
        <v>1.1186258246263667</v>
      </c>
      <c r="AW400" s="276">
        <f t="shared" si="375"/>
        <v>1.6634095061002772</v>
      </c>
      <c r="AX400" s="276">
        <f t="shared" si="376"/>
        <v>1.2431801148311787</v>
      </c>
      <c r="AY400" s="276">
        <f t="shared" si="377"/>
        <v>1.4242691707149502</v>
      </c>
      <c r="AZ400" s="686">
        <f t="shared" si="378"/>
        <v>1.0051514627731002</v>
      </c>
      <c r="BA400" s="685">
        <f t="shared" si="379"/>
        <v>0</v>
      </c>
      <c r="BB400" s="276">
        <f t="shared" si="380"/>
        <v>0</v>
      </c>
      <c r="BC400" s="276">
        <f t="shared" si="381"/>
        <v>0</v>
      </c>
      <c r="BD400" s="276">
        <f t="shared" si="382"/>
        <v>0</v>
      </c>
      <c r="BE400" s="276">
        <f t="shared" si="383"/>
        <v>0</v>
      </c>
      <c r="BF400" s="686">
        <f t="shared" si="384"/>
        <v>0</v>
      </c>
      <c r="BG400" s="685" t="e">
        <f t="shared" si="385"/>
        <v>#DIV/0!</v>
      </c>
      <c r="BH400" s="276" t="e">
        <f t="shared" si="386"/>
        <v>#DIV/0!</v>
      </c>
      <c r="BI400" s="276" t="e">
        <f t="shared" si="387"/>
        <v>#DIV/0!</v>
      </c>
      <c r="BJ400" s="276" t="e">
        <f t="shared" si="388"/>
        <v>#DIV/0!</v>
      </c>
      <c r="BK400" s="276" t="e">
        <f t="shared" si="389"/>
        <v>#DIV/0!</v>
      </c>
      <c r="BL400" s="686" t="e">
        <f t="shared" si="390"/>
        <v>#DIV/0!</v>
      </c>
      <c r="BM400" s="239"/>
      <c r="BN400" s="965" t="e">
        <f t="shared" si="391"/>
        <v>#VALUE!</v>
      </c>
      <c r="BO400" s="878" t="e">
        <f t="shared" si="392"/>
        <v>#VALUE!</v>
      </c>
      <c r="BP400" s="878" t="e">
        <f t="shared" si="393"/>
        <v>#VALUE!</v>
      </c>
      <c r="BQ400" s="878" t="e">
        <f t="shared" si="394"/>
        <v>#VALUE!</v>
      </c>
      <c r="BR400" s="878" t="e">
        <f t="shared" si="395"/>
        <v>#VALUE!</v>
      </c>
      <c r="BS400" s="966" t="e">
        <f t="shared" si="396"/>
        <v>#VALUE!</v>
      </c>
    </row>
    <row r="401" spans="1:71">
      <c r="A401" s="284">
        <f t="shared" si="397"/>
        <v>333</v>
      </c>
      <c r="B401" s="285">
        <v>-3.2087383777711516</v>
      </c>
      <c r="C401" s="285">
        <v>2.5184615956211656</v>
      </c>
      <c r="D401" s="285">
        <v>-0.78968449111116379</v>
      </c>
      <c r="E401" s="285">
        <v>4.1855981099057935</v>
      </c>
      <c r="H401" s="685">
        <f t="shared" si="343"/>
        <v>-4.3419722195402066</v>
      </c>
      <c r="I401" s="276">
        <f t="shared" si="344"/>
        <v>3.4662481019444007</v>
      </c>
      <c r="J401" s="276">
        <f t="shared" si="345"/>
        <v>-2.976370721479717</v>
      </c>
      <c r="K401" s="276">
        <f t="shared" si="346"/>
        <v>-2.3550892398665511</v>
      </c>
      <c r="L401" s="276">
        <f t="shared" si="347"/>
        <v>1.8600186467785542</v>
      </c>
      <c r="M401" s="276">
        <f t="shared" si="348"/>
        <v>-2.1036704369942925</v>
      </c>
      <c r="N401" s="685">
        <f t="shared" si="349"/>
        <v>1.3112903846492971</v>
      </c>
      <c r="O401" s="276">
        <f t="shared" si="350"/>
        <v>1.6913189774540103</v>
      </c>
      <c r="P401" s="276">
        <f t="shared" si="351"/>
        <v>1.46707706036844</v>
      </c>
      <c r="Q401" s="276">
        <f t="shared" si="352"/>
        <v>0.77144833555643255</v>
      </c>
      <c r="R401" s="276">
        <f t="shared" si="353"/>
        <v>1.5448434732026091</v>
      </c>
      <c r="S401" s="686">
        <f t="shared" si="354"/>
        <v>0.93538588722043392</v>
      </c>
      <c r="T401" s="685">
        <f t="shared" si="355"/>
        <v>2.4886791991597619</v>
      </c>
      <c r="U401" s="276">
        <f t="shared" si="356"/>
        <v>4.6051694875001159</v>
      </c>
      <c r="V401" s="276">
        <f t="shared" si="357"/>
        <v>3.4357495404040104</v>
      </c>
      <c r="W401" s="276">
        <f t="shared" si="358"/>
        <v>4.881751013179068</v>
      </c>
      <c r="X401" s="276">
        <f t="shared" si="359"/>
        <v>5.0297105891874683</v>
      </c>
      <c r="Y401" s="686">
        <f t="shared" si="360"/>
        <v>5.6435377649121197</v>
      </c>
      <c r="Z401" s="685" t="e">
        <f t="shared" si="361"/>
        <v>#DIV/0!</v>
      </c>
      <c r="AA401" s="276" t="e">
        <f t="shared" si="362"/>
        <v>#DIV/0!</v>
      </c>
      <c r="AB401" s="276" t="e">
        <f t="shared" si="363"/>
        <v>#DIV/0!</v>
      </c>
      <c r="AC401" s="276" t="e">
        <f t="shared" si="364"/>
        <v>#DIV/0!</v>
      </c>
      <c r="AD401" s="276" t="e">
        <f t="shared" si="365"/>
        <v>#DIV/0!</v>
      </c>
      <c r="AE401" s="686" t="e">
        <f t="shared" si="366"/>
        <v>#DIV/0!</v>
      </c>
      <c r="AF401" s="239"/>
      <c r="AG401" s="965" t="e">
        <f t="shared" si="337"/>
        <v>#VALUE!</v>
      </c>
      <c r="AH401" s="878" t="e">
        <f t="shared" si="338"/>
        <v>#VALUE!</v>
      </c>
      <c r="AI401" s="878" t="e">
        <f t="shared" si="339"/>
        <v>#VALUE!</v>
      </c>
      <c r="AJ401" s="878" t="e">
        <f t="shared" si="340"/>
        <v>#VALUE!</v>
      </c>
      <c r="AK401" s="878" t="e">
        <f t="shared" si="341"/>
        <v>#VALUE!</v>
      </c>
      <c r="AL401" s="966" t="e">
        <f t="shared" si="342"/>
        <v>#VALUE!</v>
      </c>
      <c r="AM401" s="239"/>
      <c r="AO401" s="685">
        <f t="shared" si="367"/>
        <v>-4.3419722195402066</v>
      </c>
      <c r="AP401" s="276">
        <f t="shared" si="368"/>
        <v>3.4662481019444007</v>
      </c>
      <c r="AQ401" s="276">
        <f t="shared" si="369"/>
        <v>-2.976370721479717</v>
      </c>
      <c r="AR401" s="276">
        <f t="shared" si="370"/>
        <v>-2.3550892398665511</v>
      </c>
      <c r="AS401" s="276">
        <f t="shared" si="371"/>
        <v>1.8600186467785542</v>
      </c>
      <c r="AT401" s="276">
        <f t="shared" si="372"/>
        <v>-2.1036704369942925</v>
      </c>
      <c r="AU401" s="685">
        <f t="shared" si="373"/>
        <v>1.3112903846492971</v>
      </c>
      <c r="AV401" s="276">
        <f t="shared" si="374"/>
        <v>1.6913189774540103</v>
      </c>
      <c r="AW401" s="276">
        <f t="shared" si="375"/>
        <v>1.46707706036844</v>
      </c>
      <c r="AX401" s="276">
        <f t="shared" si="376"/>
        <v>0.77144833555643255</v>
      </c>
      <c r="AY401" s="276">
        <f t="shared" si="377"/>
        <v>1.5448434732026091</v>
      </c>
      <c r="AZ401" s="686">
        <f t="shared" si="378"/>
        <v>0.93538588722043392</v>
      </c>
      <c r="BA401" s="685">
        <f t="shared" si="379"/>
        <v>0</v>
      </c>
      <c r="BB401" s="276">
        <f t="shared" si="380"/>
        <v>0</v>
      </c>
      <c r="BC401" s="276">
        <f t="shared" si="381"/>
        <v>0</v>
      </c>
      <c r="BD401" s="276">
        <f t="shared" si="382"/>
        <v>0</v>
      </c>
      <c r="BE401" s="276">
        <f t="shared" si="383"/>
        <v>0</v>
      </c>
      <c r="BF401" s="686">
        <f t="shared" si="384"/>
        <v>0</v>
      </c>
      <c r="BG401" s="685" t="e">
        <f t="shared" si="385"/>
        <v>#DIV/0!</v>
      </c>
      <c r="BH401" s="276" t="e">
        <f t="shared" si="386"/>
        <v>#DIV/0!</v>
      </c>
      <c r="BI401" s="276" t="e">
        <f t="shared" si="387"/>
        <v>#DIV/0!</v>
      </c>
      <c r="BJ401" s="276" t="e">
        <f t="shared" si="388"/>
        <v>#DIV/0!</v>
      </c>
      <c r="BK401" s="276" t="e">
        <f t="shared" si="389"/>
        <v>#DIV/0!</v>
      </c>
      <c r="BL401" s="686" t="e">
        <f t="shared" si="390"/>
        <v>#DIV/0!</v>
      </c>
      <c r="BM401" s="239"/>
      <c r="BN401" s="965" t="e">
        <f t="shared" si="391"/>
        <v>#VALUE!</v>
      </c>
      <c r="BO401" s="878" t="e">
        <f t="shared" si="392"/>
        <v>#VALUE!</v>
      </c>
      <c r="BP401" s="878" t="e">
        <f t="shared" si="393"/>
        <v>#VALUE!</v>
      </c>
      <c r="BQ401" s="878" t="e">
        <f t="shared" si="394"/>
        <v>#VALUE!</v>
      </c>
      <c r="BR401" s="878" t="e">
        <f t="shared" si="395"/>
        <v>#VALUE!</v>
      </c>
      <c r="BS401" s="966" t="e">
        <f t="shared" si="396"/>
        <v>#VALUE!</v>
      </c>
    </row>
    <row r="402" spans="1:71">
      <c r="A402" s="284">
        <f t="shared" si="397"/>
        <v>334</v>
      </c>
      <c r="B402" s="285">
        <v>0.47291774213278204</v>
      </c>
      <c r="C402" s="285">
        <v>2.8142588275019413</v>
      </c>
      <c r="D402" s="285">
        <v>2.2860656743197136</v>
      </c>
      <c r="E402" s="285">
        <v>20.701122352903912</v>
      </c>
      <c r="H402" s="685">
        <f t="shared" si="343"/>
        <v>-0.6603160996362728</v>
      </c>
      <c r="I402" s="276">
        <f t="shared" si="344"/>
        <v>-0.43561196802572211</v>
      </c>
      <c r="J402" s="276">
        <f t="shared" si="345"/>
        <v>1.1741177394187086</v>
      </c>
      <c r="K402" s="276">
        <f t="shared" si="346"/>
        <v>-1.4823976033716728</v>
      </c>
      <c r="L402" s="276">
        <f t="shared" si="347"/>
        <v>-1.8979858503904328</v>
      </c>
      <c r="M402" s="276">
        <f t="shared" si="348"/>
        <v>5.9411100551158835E-2</v>
      </c>
      <c r="N402" s="685">
        <f t="shared" si="349"/>
        <v>1.6070876165300729</v>
      </c>
      <c r="O402" s="276">
        <f t="shared" si="350"/>
        <v>0.7983468939323124</v>
      </c>
      <c r="P402" s="276">
        <f t="shared" si="351"/>
        <v>2.0894729572128679</v>
      </c>
      <c r="Q402" s="276">
        <f t="shared" si="352"/>
        <v>1.0595615092301081</v>
      </c>
      <c r="R402" s="276">
        <f t="shared" si="353"/>
        <v>1.7570661923160513</v>
      </c>
      <c r="S402" s="686">
        <f t="shared" si="354"/>
        <v>1.3152690677920946</v>
      </c>
      <c r="T402" s="685">
        <f t="shared" si="355"/>
        <v>5.5644293645906391</v>
      </c>
      <c r="U402" s="276">
        <f t="shared" si="356"/>
        <v>4.8340858292687905</v>
      </c>
      <c r="V402" s="276">
        <f t="shared" si="357"/>
        <v>5.0495020523202614</v>
      </c>
      <c r="W402" s="276">
        <f t="shared" si="358"/>
        <v>3.9180323157026997</v>
      </c>
      <c r="X402" s="276">
        <f t="shared" si="359"/>
        <v>5.2584516993671997</v>
      </c>
      <c r="Y402" s="686">
        <f t="shared" si="360"/>
        <v>4.9409745596335402</v>
      </c>
      <c r="Z402" s="685" t="e">
        <f t="shared" si="361"/>
        <v>#DIV/0!</v>
      </c>
      <c r="AA402" s="276" t="e">
        <f t="shared" si="362"/>
        <v>#DIV/0!</v>
      </c>
      <c r="AB402" s="276" t="e">
        <f t="shared" si="363"/>
        <v>#DIV/0!</v>
      </c>
      <c r="AC402" s="276" t="e">
        <f t="shared" si="364"/>
        <v>#DIV/0!</v>
      </c>
      <c r="AD402" s="276" t="e">
        <f t="shared" si="365"/>
        <v>#DIV/0!</v>
      </c>
      <c r="AE402" s="686" t="e">
        <f t="shared" si="366"/>
        <v>#DIV/0!</v>
      </c>
      <c r="AF402" s="239"/>
      <c r="AG402" s="965" t="e">
        <f t="shared" si="337"/>
        <v>#VALUE!</v>
      </c>
      <c r="AH402" s="878" t="e">
        <f t="shared" si="338"/>
        <v>#VALUE!</v>
      </c>
      <c r="AI402" s="878" t="e">
        <f t="shared" si="339"/>
        <v>#VALUE!</v>
      </c>
      <c r="AJ402" s="878" t="e">
        <f t="shared" si="340"/>
        <v>#VALUE!</v>
      </c>
      <c r="AK402" s="878" t="e">
        <f t="shared" si="341"/>
        <v>#VALUE!</v>
      </c>
      <c r="AL402" s="966" t="e">
        <f t="shared" si="342"/>
        <v>#VALUE!</v>
      </c>
      <c r="AM402" s="239"/>
      <c r="AO402" s="685">
        <f t="shared" si="367"/>
        <v>-0.6603160996362728</v>
      </c>
      <c r="AP402" s="276">
        <f t="shared" si="368"/>
        <v>-0.43561196802572211</v>
      </c>
      <c r="AQ402" s="276">
        <f t="shared" si="369"/>
        <v>1.1741177394187086</v>
      </c>
      <c r="AR402" s="276">
        <f t="shared" si="370"/>
        <v>-1.4823976033716728</v>
      </c>
      <c r="AS402" s="276">
        <f t="shared" si="371"/>
        <v>-1.8979858503904328</v>
      </c>
      <c r="AT402" s="276">
        <f t="shared" si="372"/>
        <v>5.9411100551158835E-2</v>
      </c>
      <c r="AU402" s="685">
        <f t="shared" si="373"/>
        <v>1.6070876165300729</v>
      </c>
      <c r="AV402" s="276">
        <f t="shared" si="374"/>
        <v>0.7983468939323124</v>
      </c>
      <c r="AW402" s="276">
        <f t="shared" si="375"/>
        <v>2.0894729572128679</v>
      </c>
      <c r="AX402" s="276">
        <f t="shared" si="376"/>
        <v>1.0595615092301081</v>
      </c>
      <c r="AY402" s="276">
        <f t="shared" si="377"/>
        <v>1.7570661923160513</v>
      </c>
      <c r="AZ402" s="686">
        <f t="shared" si="378"/>
        <v>1.3152690677920946</v>
      </c>
      <c r="BA402" s="685">
        <f t="shared" si="379"/>
        <v>0</v>
      </c>
      <c r="BB402" s="276">
        <f t="shared" si="380"/>
        <v>0</v>
      </c>
      <c r="BC402" s="276">
        <f t="shared" si="381"/>
        <v>0</v>
      </c>
      <c r="BD402" s="276">
        <f t="shared" si="382"/>
        <v>0</v>
      </c>
      <c r="BE402" s="276">
        <f t="shared" si="383"/>
        <v>0</v>
      </c>
      <c r="BF402" s="686">
        <f t="shared" si="384"/>
        <v>0</v>
      </c>
      <c r="BG402" s="685" t="e">
        <f t="shared" si="385"/>
        <v>#DIV/0!</v>
      </c>
      <c r="BH402" s="276" t="e">
        <f t="shared" si="386"/>
        <v>#DIV/0!</v>
      </c>
      <c r="BI402" s="276" t="e">
        <f t="shared" si="387"/>
        <v>#DIV/0!</v>
      </c>
      <c r="BJ402" s="276" t="e">
        <f t="shared" si="388"/>
        <v>#DIV/0!</v>
      </c>
      <c r="BK402" s="276" t="e">
        <f t="shared" si="389"/>
        <v>#DIV/0!</v>
      </c>
      <c r="BL402" s="686" t="e">
        <f t="shared" si="390"/>
        <v>#DIV/0!</v>
      </c>
      <c r="BM402" s="239"/>
      <c r="BN402" s="965" t="e">
        <f t="shared" si="391"/>
        <v>#VALUE!</v>
      </c>
      <c r="BO402" s="878" t="e">
        <f t="shared" si="392"/>
        <v>#VALUE!</v>
      </c>
      <c r="BP402" s="878" t="e">
        <f t="shared" si="393"/>
        <v>#VALUE!</v>
      </c>
      <c r="BQ402" s="878" t="e">
        <f t="shared" si="394"/>
        <v>#VALUE!</v>
      </c>
      <c r="BR402" s="878" t="e">
        <f t="shared" si="395"/>
        <v>#VALUE!</v>
      </c>
      <c r="BS402" s="966" t="e">
        <f t="shared" si="396"/>
        <v>#VALUE!</v>
      </c>
    </row>
    <row r="403" spans="1:71">
      <c r="A403" s="284">
        <f t="shared" si="397"/>
        <v>335</v>
      </c>
      <c r="B403" s="285">
        <v>-5.5655902294686772</v>
      </c>
      <c r="C403" s="285">
        <v>2.0194703500995788</v>
      </c>
      <c r="D403" s="285">
        <v>0.55871348270733501</v>
      </c>
      <c r="E403" s="285">
        <v>-2.593479459498123</v>
      </c>
      <c r="H403" s="685">
        <f t="shared" si="343"/>
        <v>-6.6988240712377323</v>
      </c>
      <c r="I403" s="276">
        <f t="shared" si="344"/>
        <v>-1.0114172685295209</v>
      </c>
      <c r="J403" s="276">
        <f t="shared" si="345"/>
        <v>-3.1102350477718272</v>
      </c>
      <c r="K403" s="276">
        <f t="shared" si="346"/>
        <v>-5.3862211117549075E-2</v>
      </c>
      <c r="L403" s="276">
        <f t="shared" si="347"/>
        <v>0.52591512758107539</v>
      </c>
      <c r="M403" s="276">
        <f t="shared" si="348"/>
        <v>-1.1279636255123344</v>
      </c>
      <c r="N403" s="685">
        <f t="shared" si="349"/>
        <v>0.81229913912771035</v>
      </c>
      <c r="O403" s="276">
        <f t="shared" si="350"/>
        <v>1.4414018764877043</v>
      </c>
      <c r="P403" s="276">
        <f t="shared" si="351"/>
        <v>1.0392172191356053</v>
      </c>
      <c r="Q403" s="276">
        <f t="shared" si="352"/>
        <v>1.234077370171992</v>
      </c>
      <c r="R403" s="276">
        <f t="shared" si="353"/>
        <v>2.1043383154248305</v>
      </c>
      <c r="S403" s="686">
        <f t="shared" si="354"/>
        <v>1.3398845646330824</v>
      </c>
      <c r="T403" s="685">
        <f t="shared" si="355"/>
        <v>3.8370771729782609</v>
      </c>
      <c r="U403" s="276">
        <f t="shared" si="356"/>
        <v>4.673960041214448</v>
      </c>
      <c r="V403" s="276">
        <f t="shared" si="357"/>
        <v>5.0263867200783618</v>
      </c>
      <c r="W403" s="276">
        <f t="shared" si="358"/>
        <v>4.363483886324433</v>
      </c>
      <c r="X403" s="276">
        <f t="shared" si="359"/>
        <v>5.2424949749723453</v>
      </c>
      <c r="Y403" s="686">
        <f t="shared" si="360"/>
        <v>3.8314419100572525</v>
      </c>
      <c r="Z403" s="685" t="e">
        <f t="shared" si="361"/>
        <v>#DIV/0!</v>
      </c>
      <c r="AA403" s="276" t="e">
        <f t="shared" si="362"/>
        <v>#DIV/0!</v>
      </c>
      <c r="AB403" s="276" t="e">
        <f t="shared" si="363"/>
        <v>#DIV/0!</v>
      </c>
      <c r="AC403" s="276" t="e">
        <f t="shared" si="364"/>
        <v>#DIV/0!</v>
      </c>
      <c r="AD403" s="276" t="e">
        <f t="shared" si="365"/>
        <v>#DIV/0!</v>
      </c>
      <c r="AE403" s="686" t="e">
        <f t="shared" si="366"/>
        <v>#DIV/0!</v>
      </c>
      <c r="AF403" s="239"/>
      <c r="AG403" s="965" t="e">
        <f t="shared" si="337"/>
        <v>#VALUE!</v>
      </c>
      <c r="AH403" s="878" t="e">
        <f t="shared" si="338"/>
        <v>#VALUE!</v>
      </c>
      <c r="AI403" s="878" t="e">
        <f t="shared" si="339"/>
        <v>#VALUE!</v>
      </c>
      <c r="AJ403" s="878" t="e">
        <f t="shared" si="340"/>
        <v>#VALUE!</v>
      </c>
      <c r="AK403" s="878" t="e">
        <f t="shared" si="341"/>
        <v>#VALUE!</v>
      </c>
      <c r="AL403" s="966" t="e">
        <f t="shared" si="342"/>
        <v>#VALUE!</v>
      </c>
      <c r="AM403" s="239"/>
      <c r="AO403" s="685">
        <f t="shared" si="367"/>
        <v>-6.6988240712377323</v>
      </c>
      <c r="AP403" s="276">
        <f t="shared" si="368"/>
        <v>-1.0114172685295209</v>
      </c>
      <c r="AQ403" s="276">
        <f t="shared" si="369"/>
        <v>-3.1102350477718272</v>
      </c>
      <c r="AR403" s="276">
        <f t="shared" si="370"/>
        <v>-5.3862211117549075E-2</v>
      </c>
      <c r="AS403" s="276">
        <f t="shared" si="371"/>
        <v>0.52591512758107539</v>
      </c>
      <c r="AT403" s="276">
        <f t="shared" si="372"/>
        <v>-1.1279636255123344</v>
      </c>
      <c r="AU403" s="685">
        <f t="shared" si="373"/>
        <v>0.81229913912771035</v>
      </c>
      <c r="AV403" s="276">
        <f t="shared" si="374"/>
        <v>1.4414018764877043</v>
      </c>
      <c r="AW403" s="276">
        <f t="shared" si="375"/>
        <v>1.0392172191356053</v>
      </c>
      <c r="AX403" s="276">
        <f t="shared" si="376"/>
        <v>1.234077370171992</v>
      </c>
      <c r="AY403" s="276">
        <f t="shared" si="377"/>
        <v>2.1043383154248305</v>
      </c>
      <c r="AZ403" s="686">
        <f t="shared" si="378"/>
        <v>1.3398845646330824</v>
      </c>
      <c r="BA403" s="685">
        <f t="shared" si="379"/>
        <v>0</v>
      </c>
      <c r="BB403" s="276">
        <f t="shared" si="380"/>
        <v>0</v>
      </c>
      <c r="BC403" s="276">
        <f t="shared" si="381"/>
        <v>0</v>
      </c>
      <c r="BD403" s="276">
        <f t="shared" si="382"/>
        <v>0</v>
      </c>
      <c r="BE403" s="276">
        <f t="shared" si="383"/>
        <v>0</v>
      </c>
      <c r="BF403" s="686">
        <f t="shared" si="384"/>
        <v>0</v>
      </c>
      <c r="BG403" s="685" t="e">
        <f t="shared" si="385"/>
        <v>#DIV/0!</v>
      </c>
      <c r="BH403" s="276" t="e">
        <f t="shared" si="386"/>
        <v>#DIV/0!</v>
      </c>
      <c r="BI403" s="276" t="e">
        <f t="shared" si="387"/>
        <v>#DIV/0!</v>
      </c>
      <c r="BJ403" s="276" t="e">
        <f t="shared" si="388"/>
        <v>#DIV/0!</v>
      </c>
      <c r="BK403" s="276" t="e">
        <f t="shared" si="389"/>
        <v>#DIV/0!</v>
      </c>
      <c r="BL403" s="686" t="e">
        <f t="shared" si="390"/>
        <v>#DIV/0!</v>
      </c>
      <c r="BM403" s="239"/>
      <c r="BN403" s="965" t="e">
        <f t="shared" si="391"/>
        <v>#VALUE!</v>
      </c>
      <c r="BO403" s="878" t="e">
        <f t="shared" si="392"/>
        <v>#VALUE!</v>
      </c>
      <c r="BP403" s="878" t="e">
        <f t="shared" si="393"/>
        <v>#VALUE!</v>
      </c>
      <c r="BQ403" s="878" t="e">
        <f t="shared" si="394"/>
        <v>#VALUE!</v>
      </c>
      <c r="BR403" s="878" t="e">
        <f t="shared" si="395"/>
        <v>#VALUE!</v>
      </c>
      <c r="BS403" s="966" t="e">
        <f t="shared" si="396"/>
        <v>#VALUE!</v>
      </c>
    </row>
    <row r="404" spans="1:71">
      <c r="A404" s="284">
        <f t="shared" si="397"/>
        <v>336</v>
      </c>
      <c r="B404" s="285">
        <v>1.2990088289056332</v>
      </c>
      <c r="C404" s="285">
        <v>2.5633505261603036</v>
      </c>
      <c r="D404" s="285">
        <v>1.8267009411348893</v>
      </c>
      <c r="E404" s="285">
        <v>-4.9075247135721893</v>
      </c>
      <c r="H404" s="685">
        <f t="shared" si="343"/>
        <v>0.16577498713657834</v>
      </c>
      <c r="I404" s="276">
        <f t="shared" si="344"/>
        <v>-5.443081619320056E-3</v>
      </c>
      <c r="J404" s="276">
        <f t="shared" si="345"/>
        <v>2.2057199133606469</v>
      </c>
      <c r="K404" s="276">
        <f t="shared" si="346"/>
        <v>-1.6750948479758183</v>
      </c>
      <c r="L404" s="276">
        <f t="shared" si="347"/>
        <v>-2.5055234239740924</v>
      </c>
      <c r="M404" s="276">
        <f t="shared" si="348"/>
        <v>2.8046990298422561</v>
      </c>
      <c r="N404" s="685">
        <f t="shared" si="349"/>
        <v>1.3561793151884352</v>
      </c>
      <c r="O404" s="276">
        <f t="shared" si="350"/>
        <v>0.83555997092993706</v>
      </c>
      <c r="P404" s="276">
        <f t="shared" si="351"/>
        <v>0.88144920628781676</v>
      </c>
      <c r="Q404" s="276">
        <f t="shared" si="352"/>
        <v>1.4782307238687349</v>
      </c>
      <c r="R404" s="276">
        <f t="shared" si="353"/>
        <v>1.5597145106550758</v>
      </c>
      <c r="S404" s="686">
        <f t="shared" si="354"/>
        <v>1.4472405610495207</v>
      </c>
      <c r="T404" s="685">
        <f t="shared" si="355"/>
        <v>5.1050646314058152</v>
      </c>
      <c r="U404" s="276">
        <f t="shared" si="356"/>
        <v>5.1236224409963587</v>
      </c>
      <c r="V404" s="276">
        <f t="shared" si="357"/>
        <v>6.5315232481708652</v>
      </c>
      <c r="W404" s="276">
        <f t="shared" si="358"/>
        <v>4.5432134739987688</v>
      </c>
      <c r="X404" s="276">
        <f t="shared" si="359"/>
        <v>5.554473278425557</v>
      </c>
      <c r="Y404" s="686">
        <f t="shared" si="360"/>
        <v>6.1337284015064313</v>
      </c>
      <c r="Z404" s="685" t="e">
        <f t="shared" si="361"/>
        <v>#DIV/0!</v>
      </c>
      <c r="AA404" s="276" t="e">
        <f t="shared" si="362"/>
        <v>#DIV/0!</v>
      </c>
      <c r="AB404" s="276" t="e">
        <f t="shared" si="363"/>
        <v>#DIV/0!</v>
      </c>
      <c r="AC404" s="276" t="e">
        <f t="shared" si="364"/>
        <v>#DIV/0!</v>
      </c>
      <c r="AD404" s="276" t="e">
        <f t="shared" si="365"/>
        <v>#DIV/0!</v>
      </c>
      <c r="AE404" s="686" t="e">
        <f t="shared" si="366"/>
        <v>#DIV/0!</v>
      </c>
      <c r="AF404" s="239"/>
      <c r="AG404" s="965" t="e">
        <f t="shared" si="337"/>
        <v>#VALUE!</v>
      </c>
      <c r="AH404" s="878" t="e">
        <f t="shared" si="338"/>
        <v>#VALUE!</v>
      </c>
      <c r="AI404" s="878" t="e">
        <f t="shared" si="339"/>
        <v>#VALUE!</v>
      </c>
      <c r="AJ404" s="878" t="e">
        <f t="shared" si="340"/>
        <v>#VALUE!</v>
      </c>
      <c r="AK404" s="878" t="e">
        <f t="shared" si="341"/>
        <v>#VALUE!</v>
      </c>
      <c r="AL404" s="966" t="e">
        <f t="shared" si="342"/>
        <v>#VALUE!</v>
      </c>
      <c r="AM404" s="239"/>
      <c r="AO404" s="685">
        <f t="shared" si="367"/>
        <v>0.16577498713657834</v>
      </c>
      <c r="AP404" s="276">
        <f t="shared" si="368"/>
        <v>-5.443081619320056E-3</v>
      </c>
      <c r="AQ404" s="276">
        <f t="shared" si="369"/>
        <v>2.2057199133606469</v>
      </c>
      <c r="AR404" s="276">
        <f t="shared" si="370"/>
        <v>-1.6750948479758183</v>
      </c>
      <c r="AS404" s="276">
        <f t="shared" si="371"/>
        <v>-2.5055234239740924</v>
      </c>
      <c r="AT404" s="276">
        <f t="shared" si="372"/>
        <v>2.8046990298422561</v>
      </c>
      <c r="AU404" s="685">
        <f t="shared" si="373"/>
        <v>1.3561793151884352</v>
      </c>
      <c r="AV404" s="276">
        <f t="shared" si="374"/>
        <v>0.83555997092993706</v>
      </c>
      <c r="AW404" s="276">
        <f t="shared" si="375"/>
        <v>0.88144920628781676</v>
      </c>
      <c r="AX404" s="276">
        <f t="shared" si="376"/>
        <v>1.4782307238687349</v>
      </c>
      <c r="AY404" s="276">
        <f t="shared" si="377"/>
        <v>1.5597145106550758</v>
      </c>
      <c r="AZ404" s="686">
        <f t="shared" si="378"/>
        <v>1.4472405610495207</v>
      </c>
      <c r="BA404" s="685">
        <f t="shared" si="379"/>
        <v>0</v>
      </c>
      <c r="BB404" s="276">
        <f t="shared" si="380"/>
        <v>0</v>
      </c>
      <c r="BC404" s="276">
        <f t="shared" si="381"/>
        <v>0</v>
      </c>
      <c r="BD404" s="276">
        <f t="shared" si="382"/>
        <v>0</v>
      </c>
      <c r="BE404" s="276">
        <f t="shared" si="383"/>
        <v>0</v>
      </c>
      <c r="BF404" s="686">
        <f t="shared" si="384"/>
        <v>0</v>
      </c>
      <c r="BG404" s="685" t="e">
        <f t="shared" si="385"/>
        <v>#DIV/0!</v>
      </c>
      <c r="BH404" s="276" t="e">
        <f t="shared" si="386"/>
        <v>#DIV/0!</v>
      </c>
      <c r="BI404" s="276" t="e">
        <f t="shared" si="387"/>
        <v>#DIV/0!</v>
      </c>
      <c r="BJ404" s="276" t="e">
        <f t="shared" si="388"/>
        <v>#DIV/0!</v>
      </c>
      <c r="BK404" s="276" t="e">
        <f t="shared" si="389"/>
        <v>#DIV/0!</v>
      </c>
      <c r="BL404" s="686" t="e">
        <f t="shared" si="390"/>
        <v>#DIV/0!</v>
      </c>
      <c r="BM404" s="239"/>
      <c r="BN404" s="965" t="e">
        <f t="shared" si="391"/>
        <v>#VALUE!</v>
      </c>
      <c r="BO404" s="878" t="e">
        <f t="shared" si="392"/>
        <v>#VALUE!</v>
      </c>
      <c r="BP404" s="878" t="e">
        <f t="shared" si="393"/>
        <v>#VALUE!</v>
      </c>
      <c r="BQ404" s="878" t="e">
        <f t="shared" si="394"/>
        <v>#VALUE!</v>
      </c>
      <c r="BR404" s="878" t="e">
        <f t="shared" si="395"/>
        <v>#VALUE!</v>
      </c>
      <c r="BS404" s="966" t="e">
        <f t="shared" si="396"/>
        <v>#VALUE!</v>
      </c>
    </row>
    <row r="405" spans="1:71">
      <c r="A405" s="284">
        <f t="shared" si="397"/>
        <v>337</v>
      </c>
      <c r="B405" s="285">
        <v>4.0545367313337044</v>
      </c>
      <c r="C405" s="285">
        <v>3.1352108554583378</v>
      </c>
      <c r="D405" s="285">
        <v>-1.1115697598884489</v>
      </c>
      <c r="E405" s="285">
        <v>3.6616060949719604</v>
      </c>
      <c r="H405" s="685">
        <f t="shared" si="343"/>
        <v>2.9213028895646493</v>
      </c>
      <c r="I405" s="276">
        <f t="shared" si="344"/>
        <v>-1.9261734694429804</v>
      </c>
      <c r="J405" s="276">
        <f t="shared" si="345"/>
        <v>-4.1385925168250886</v>
      </c>
      <c r="K405" s="276">
        <f t="shared" si="346"/>
        <v>-0.30678016269882025</v>
      </c>
      <c r="L405" s="276">
        <f t="shared" si="347"/>
        <v>3.3757953110686829</v>
      </c>
      <c r="M405" s="276">
        <f t="shared" si="348"/>
        <v>-0.19906191397187079</v>
      </c>
      <c r="N405" s="685">
        <f t="shared" si="349"/>
        <v>1.9280396444864694</v>
      </c>
      <c r="O405" s="276">
        <f t="shared" si="350"/>
        <v>0.7110845674588735</v>
      </c>
      <c r="P405" s="276">
        <f t="shared" si="351"/>
        <v>0.8616753412021152</v>
      </c>
      <c r="Q405" s="276">
        <f t="shared" si="352"/>
        <v>0.77135857081436465</v>
      </c>
      <c r="R405" s="276">
        <f t="shared" si="353"/>
        <v>2.1689744994780842</v>
      </c>
      <c r="S405" s="686">
        <f t="shared" si="354"/>
        <v>1.157904950599651</v>
      </c>
      <c r="T405" s="685">
        <f t="shared" si="355"/>
        <v>2.166793930382477</v>
      </c>
      <c r="U405" s="276">
        <f t="shared" si="356"/>
        <v>4.9252238355827886</v>
      </c>
      <c r="V405" s="276">
        <f t="shared" si="357"/>
        <v>6.8324184944786879</v>
      </c>
      <c r="W405" s="276">
        <f t="shared" si="358"/>
        <v>4.7783803602571862</v>
      </c>
      <c r="X405" s="276">
        <f t="shared" si="359"/>
        <v>3.6688895989030481</v>
      </c>
      <c r="Y405" s="686">
        <f t="shared" si="360"/>
        <v>5.8726516419480674</v>
      </c>
      <c r="Z405" s="685" t="e">
        <f t="shared" si="361"/>
        <v>#DIV/0!</v>
      </c>
      <c r="AA405" s="276" t="e">
        <f t="shared" si="362"/>
        <v>#DIV/0!</v>
      </c>
      <c r="AB405" s="276" t="e">
        <f t="shared" si="363"/>
        <v>#DIV/0!</v>
      </c>
      <c r="AC405" s="276" t="e">
        <f t="shared" si="364"/>
        <v>#DIV/0!</v>
      </c>
      <c r="AD405" s="276" t="e">
        <f t="shared" si="365"/>
        <v>#DIV/0!</v>
      </c>
      <c r="AE405" s="686" t="e">
        <f t="shared" si="366"/>
        <v>#DIV/0!</v>
      </c>
      <c r="AF405" s="239"/>
      <c r="AG405" s="965" t="e">
        <f t="shared" si="337"/>
        <v>#VALUE!</v>
      </c>
      <c r="AH405" s="878" t="e">
        <f t="shared" si="338"/>
        <v>#VALUE!</v>
      </c>
      <c r="AI405" s="878" t="e">
        <f t="shared" si="339"/>
        <v>#VALUE!</v>
      </c>
      <c r="AJ405" s="878" t="e">
        <f t="shared" si="340"/>
        <v>#VALUE!</v>
      </c>
      <c r="AK405" s="878" t="e">
        <f t="shared" si="341"/>
        <v>#VALUE!</v>
      </c>
      <c r="AL405" s="966" t="e">
        <f t="shared" si="342"/>
        <v>#VALUE!</v>
      </c>
      <c r="AM405" s="239"/>
      <c r="AO405" s="685">
        <f t="shared" si="367"/>
        <v>2.9213028895646493</v>
      </c>
      <c r="AP405" s="276">
        <f t="shared" si="368"/>
        <v>-1.9261734694429804</v>
      </c>
      <c r="AQ405" s="276">
        <f t="shared" si="369"/>
        <v>-4.1385925168250886</v>
      </c>
      <c r="AR405" s="276">
        <f t="shared" si="370"/>
        <v>-0.30678016269882025</v>
      </c>
      <c r="AS405" s="276">
        <f t="shared" si="371"/>
        <v>3.3757953110686829</v>
      </c>
      <c r="AT405" s="276">
        <f t="shared" si="372"/>
        <v>-0.19906191397187079</v>
      </c>
      <c r="AU405" s="685">
        <f t="shared" si="373"/>
        <v>1.9280396444864694</v>
      </c>
      <c r="AV405" s="276">
        <f t="shared" si="374"/>
        <v>0.7110845674588735</v>
      </c>
      <c r="AW405" s="276">
        <f t="shared" si="375"/>
        <v>0.8616753412021152</v>
      </c>
      <c r="AX405" s="276">
        <f t="shared" si="376"/>
        <v>0.77135857081436465</v>
      </c>
      <c r="AY405" s="276">
        <f t="shared" si="377"/>
        <v>2.1689744994780842</v>
      </c>
      <c r="AZ405" s="686">
        <f t="shared" si="378"/>
        <v>1.157904950599651</v>
      </c>
      <c r="BA405" s="685">
        <f t="shared" si="379"/>
        <v>0</v>
      </c>
      <c r="BB405" s="276">
        <f t="shared" si="380"/>
        <v>0</v>
      </c>
      <c r="BC405" s="276">
        <f t="shared" si="381"/>
        <v>0</v>
      </c>
      <c r="BD405" s="276">
        <f t="shared" si="382"/>
        <v>0</v>
      </c>
      <c r="BE405" s="276">
        <f t="shared" si="383"/>
        <v>0</v>
      </c>
      <c r="BF405" s="686">
        <f t="shared" si="384"/>
        <v>0</v>
      </c>
      <c r="BG405" s="685" t="e">
        <f t="shared" si="385"/>
        <v>#DIV/0!</v>
      </c>
      <c r="BH405" s="276" t="e">
        <f t="shared" si="386"/>
        <v>#DIV/0!</v>
      </c>
      <c r="BI405" s="276" t="e">
        <f t="shared" si="387"/>
        <v>#DIV/0!</v>
      </c>
      <c r="BJ405" s="276" t="e">
        <f t="shared" si="388"/>
        <v>#DIV/0!</v>
      </c>
      <c r="BK405" s="276" t="e">
        <f t="shared" si="389"/>
        <v>#DIV/0!</v>
      </c>
      <c r="BL405" s="686" t="e">
        <f t="shared" si="390"/>
        <v>#DIV/0!</v>
      </c>
      <c r="BM405" s="239"/>
      <c r="BN405" s="965" t="e">
        <f t="shared" si="391"/>
        <v>#VALUE!</v>
      </c>
      <c r="BO405" s="878" t="e">
        <f t="shared" si="392"/>
        <v>#VALUE!</v>
      </c>
      <c r="BP405" s="878" t="e">
        <f t="shared" si="393"/>
        <v>#VALUE!</v>
      </c>
      <c r="BQ405" s="878" t="e">
        <f t="shared" si="394"/>
        <v>#VALUE!</v>
      </c>
      <c r="BR405" s="878" t="e">
        <f t="shared" si="395"/>
        <v>#VALUE!</v>
      </c>
      <c r="BS405" s="966" t="e">
        <f t="shared" si="396"/>
        <v>#VALUE!</v>
      </c>
    </row>
    <row r="406" spans="1:71">
      <c r="A406" s="284">
        <f t="shared" si="397"/>
        <v>338</v>
      </c>
      <c r="B406" s="285">
        <v>2.6757066657821551</v>
      </c>
      <c r="C406" s="285">
        <v>3.0905125184673103</v>
      </c>
      <c r="D406" s="285">
        <v>1.3318632210761285</v>
      </c>
      <c r="E406" s="285">
        <v>2.2291941452422095</v>
      </c>
      <c r="H406" s="685">
        <f t="shared" si="343"/>
        <v>1.5424728240131003</v>
      </c>
      <c r="I406" s="276">
        <f t="shared" si="344"/>
        <v>-2.2168392542807966</v>
      </c>
      <c r="J406" s="276">
        <f t="shared" si="345"/>
        <v>2.5064346995600211</v>
      </c>
      <c r="K406" s="276">
        <f t="shared" si="346"/>
        <v>0.24623864598090495</v>
      </c>
      <c r="L406" s="276">
        <f t="shared" si="347"/>
        <v>2.3895210898622352</v>
      </c>
      <c r="M406" s="276">
        <f t="shared" si="348"/>
        <v>2.0218504977466312</v>
      </c>
      <c r="N406" s="685">
        <f t="shared" si="349"/>
        <v>1.8833413074954419</v>
      </c>
      <c r="O406" s="276">
        <f t="shared" si="350"/>
        <v>1.0091898975354232</v>
      </c>
      <c r="P406" s="276">
        <f t="shared" si="351"/>
        <v>1.6255595127480416</v>
      </c>
      <c r="Q406" s="276">
        <f t="shared" si="352"/>
        <v>0.92831332680576728</v>
      </c>
      <c r="R406" s="276">
        <f t="shared" si="353"/>
        <v>1.1043608062119843</v>
      </c>
      <c r="S406" s="686">
        <f t="shared" si="354"/>
        <v>2.1107449000599123</v>
      </c>
      <c r="T406" s="685">
        <f t="shared" si="355"/>
        <v>4.6102269113470546</v>
      </c>
      <c r="U406" s="276">
        <f t="shared" si="356"/>
        <v>5.1911585375770528</v>
      </c>
      <c r="V406" s="276">
        <f t="shared" si="357"/>
        <v>4.8734220340427417</v>
      </c>
      <c r="W406" s="276">
        <f t="shared" si="358"/>
        <v>3.3219665079751222</v>
      </c>
      <c r="X406" s="276">
        <f t="shared" si="359"/>
        <v>6.9873262648176553</v>
      </c>
      <c r="Y406" s="686">
        <f t="shared" si="360"/>
        <v>4.1895758231366802</v>
      </c>
      <c r="Z406" s="685" t="e">
        <f t="shared" si="361"/>
        <v>#DIV/0!</v>
      </c>
      <c r="AA406" s="276" t="e">
        <f t="shared" si="362"/>
        <v>#DIV/0!</v>
      </c>
      <c r="AB406" s="276" t="e">
        <f t="shared" si="363"/>
        <v>#DIV/0!</v>
      </c>
      <c r="AC406" s="276" t="e">
        <f t="shared" si="364"/>
        <v>#DIV/0!</v>
      </c>
      <c r="AD406" s="276" t="e">
        <f t="shared" si="365"/>
        <v>#DIV/0!</v>
      </c>
      <c r="AE406" s="686" t="e">
        <f t="shared" si="366"/>
        <v>#DIV/0!</v>
      </c>
      <c r="AF406" s="239"/>
      <c r="AG406" s="965" t="e">
        <f t="shared" si="337"/>
        <v>#VALUE!</v>
      </c>
      <c r="AH406" s="878" t="e">
        <f t="shared" si="338"/>
        <v>#VALUE!</v>
      </c>
      <c r="AI406" s="878" t="e">
        <f t="shared" si="339"/>
        <v>#VALUE!</v>
      </c>
      <c r="AJ406" s="878" t="e">
        <f t="shared" si="340"/>
        <v>#VALUE!</v>
      </c>
      <c r="AK406" s="878" t="e">
        <f t="shared" si="341"/>
        <v>#VALUE!</v>
      </c>
      <c r="AL406" s="966" t="e">
        <f t="shared" si="342"/>
        <v>#VALUE!</v>
      </c>
      <c r="AM406" s="239"/>
      <c r="AO406" s="685">
        <f t="shared" si="367"/>
        <v>1.5424728240131003</v>
      </c>
      <c r="AP406" s="276">
        <f t="shared" si="368"/>
        <v>-2.2168392542807966</v>
      </c>
      <c r="AQ406" s="276">
        <f t="shared" si="369"/>
        <v>2.5064346995600211</v>
      </c>
      <c r="AR406" s="276">
        <f t="shared" si="370"/>
        <v>0.24623864598090495</v>
      </c>
      <c r="AS406" s="276">
        <f t="shared" si="371"/>
        <v>2.3895210898622352</v>
      </c>
      <c r="AT406" s="276">
        <f t="shared" si="372"/>
        <v>2.0218504977466312</v>
      </c>
      <c r="AU406" s="685">
        <f t="shared" si="373"/>
        <v>1.8833413074954419</v>
      </c>
      <c r="AV406" s="276">
        <f t="shared" si="374"/>
        <v>1.0091898975354232</v>
      </c>
      <c r="AW406" s="276">
        <f t="shared" si="375"/>
        <v>1.6255595127480416</v>
      </c>
      <c r="AX406" s="276">
        <f t="shared" si="376"/>
        <v>0.92831332680576728</v>
      </c>
      <c r="AY406" s="276">
        <f t="shared" si="377"/>
        <v>1.1043608062119843</v>
      </c>
      <c r="AZ406" s="686">
        <f t="shared" si="378"/>
        <v>2.1107449000599123</v>
      </c>
      <c r="BA406" s="685">
        <f t="shared" si="379"/>
        <v>0</v>
      </c>
      <c r="BB406" s="276">
        <f t="shared" si="380"/>
        <v>0</v>
      </c>
      <c r="BC406" s="276">
        <f t="shared" si="381"/>
        <v>0</v>
      </c>
      <c r="BD406" s="276">
        <f t="shared" si="382"/>
        <v>0</v>
      </c>
      <c r="BE406" s="276">
        <f t="shared" si="383"/>
        <v>0</v>
      </c>
      <c r="BF406" s="686">
        <f t="shared" si="384"/>
        <v>0</v>
      </c>
      <c r="BG406" s="685" t="e">
        <f t="shared" si="385"/>
        <v>#DIV/0!</v>
      </c>
      <c r="BH406" s="276" t="e">
        <f t="shared" si="386"/>
        <v>#DIV/0!</v>
      </c>
      <c r="BI406" s="276" t="e">
        <f t="shared" si="387"/>
        <v>#DIV/0!</v>
      </c>
      <c r="BJ406" s="276" t="e">
        <f t="shared" si="388"/>
        <v>#DIV/0!</v>
      </c>
      <c r="BK406" s="276" t="e">
        <f t="shared" si="389"/>
        <v>#DIV/0!</v>
      </c>
      <c r="BL406" s="686" t="e">
        <f t="shared" si="390"/>
        <v>#DIV/0!</v>
      </c>
      <c r="BM406" s="239"/>
      <c r="BN406" s="965" t="e">
        <f t="shared" si="391"/>
        <v>#VALUE!</v>
      </c>
      <c r="BO406" s="878" t="e">
        <f t="shared" si="392"/>
        <v>#VALUE!</v>
      </c>
      <c r="BP406" s="878" t="e">
        <f t="shared" si="393"/>
        <v>#VALUE!</v>
      </c>
      <c r="BQ406" s="878" t="e">
        <f t="shared" si="394"/>
        <v>#VALUE!</v>
      </c>
      <c r="BR406" s="878" t="e">
        <f t="shared" si="395"/>
        <v>#VALUE!</v>
      </c>
      <c r="BS406" s="966" t="e">
        <f t="shared" si="396"/>
        <v>#VALUE!</v>
      </c>
    </row>
    <row r="407" spans="1:71">
      <c r="A407" s="284">
        <f t="shared" si="397"/>
        <v>339</v>
      </c>
      <c r="B407" s="285">
        <v>0.70243813211817974</v>
      </c>
      <c r="C407" s="285">
        <v>2.9352701109352832</v>
      </c>
      <c r="D407" s="285">
        <v>-1.204224881181915</v>
      </c>
      <c r="E407" s="285">
        <v>1.6755240712425707</v>
      </c>
      <c r="H407" s="685">
        <f t="shared" si="343"/>
        <v>-0.4307957096508751</v>
      </c>
      <c r="I407" s="276">
        <f t="shared" si="344"/>
        <v>-2.9120619978374442</v>
      </c>
      <c r="J407" s="276">
        <f t="shared" si="345"/>
        <v>-1.5731050822884991</v>
      </c>
      <c r="K407" s="276">
        <f t="shared" si="346"/>
        <v>5.0132607549893526</v>
      </c>
      <c r="L407" s="276">
        <f t="shared" si="347"/>
        <v>6.2902721107027659E-3</v>
      </c>
      <c r="M407" s="276">
        <f t="shared" si="348"/>
        <v>4.7554212807659635</v>
      </c>
      <c r="N407" s="685">
        <f t="shared" si="349"/>
        <v>1.7280988999634148</v>
      </c>
      <c r="O407" s="276">
        <f t="shared" si="350"/>
        <v>1.3254920790312379</v>
      </c>
      <c r="P407" s="276">
        <f t="shared" si="351"/>
        <v>1.0189273460220922</v>
      </c>
      <c r="Q407" s="276">
        <f t="shared" si="352"/>
        <v>1.559741576946944</v>
      </c>
      <c r="R407" s="276">
        <f t="shared" si="353"/>
        <v>1.3653190470752674</v>
      </c>
      <c r="S407" s="686">
        <f t="shared" si="354"/>
        <v>1.6339092557371211</v>
      </c>
      <c r="T407" s="685">
        <f t="shared" si="355"/>
        <v>2.0741388090890109</v>
      </c>
      <c r="U407" s="276">
        <f t="shared" si="356"/>
        <v>4.2041375005301518</v>
      </c>
      <c r="V407" s="276">
        <f t="shared" si="357"/>
        <v>6.4801658269019313</v>
      </c>
      <c r="W407" s="276">
        <f t="shared" si="358"/>
        <v>7.125374856108083</v>
      </c>
      <c r="X407" s="276">
        <f t="shared" si="359"/>
        <v>5.1935467864512344</v>
      </c>
      <c r="Y407" s="686">
        <f t="shared" si="360"/>
        <v>5.6077138931929884</v>
      </c>
      <c r="Z407" s="685" t="e">
        <f t="shared" si="361"/>
        <v>#DIV/0!</v>
      </c>
      <c r="AA407" s="276" t="e">
        <f t="shared" si="362"/>
        <v>#DIV/0!</v>
      </c>
      <c r="AB407" s="276" t="e">
        <f t="shared" si="363"/>
        <v>#DIV/0!</v>
      </c>
      <c r="AC407" s="276" t="e">
        <f t="shared" si="364"/>
        <v>#DIV/0!</v>
      </c>
      <c r="AD407" s="276" t="e">
        <f t="shared" si="365"/>
        <v>#DIV/0!</v>
      </c>
      <c r="AE407" s="686" t="e">
        <f t="shared" si="366"/>
        <v>#DIV/0!</v>
      </c>
      <c r="AF407" s="239"/>
      <c r="AG407" s="965" t="e">
        <f t="shared" si="337"/>
        <v>#VALUE!</v>
      </c>
      <c r="AH407" s="878" t="e">
        <f t="shared" si="338"/>
        <v>#VALUE!</v>
      </c>
      <c r="AI407" s="878" t="e">
        <f t="shared" si="339"/>
        <v>#VALUE!</v>
      </c>
      <c r="AJ407" s="878" t="e">
        <f t="shared" si="340"/>
        <v>#VALUE!</v>
      </c>
      <c r="AK407" s="878" t="e">
        <f t="shared" si="341"/>
        <v>#VALUE!</v>
      </c>
      <c r="AL407" s="966" t="e">
        <f t="shared" si="342"/>
        <v>#VALUE!</v>
      </c>
      <c r="AM407" s="239"/>
      <c r="AO407" s="685">
        <f t="shared" si="367"/>
        <v>-0.4307957096508751</v>
      </c>
      <c r="AP407" s="276">
        <f t="shared" si="368"/>
        <v>-2.9120619978374442</v>
      </c>
      <c r="AQ407" s="276">
        <f t="shared" si="369"/>
        <v>-1.5731050822884991</v>
      </c>
      <c r="AR407" s="276">
        <f t="shared" si="370"/>
        <v>5.0132607549893526</v>
      </c>
      <c r="AS407" s="276">
        <f t="shared" si="371"/>
        <v>6.2902721107027659E-3</v>
      </c>
      <c r="AT407" s="276">
        <f t="shared" si="372"/>
        <v>4.7554212807659635</v>
      </c>
      <c r="AU407" s="685">
        <f t="shared" si="373"/>
        <v>1.7280988999634148</v>
      </c>
      <c r="AV407" s="276">
        <f t="shared" si="374"/>
        <v>1.3254920790312379</v>
      </c>
      <c r="AW407" s="276">
        <f t="shared" si="375"/>
        <v>1.0189273460220922</v>
      </c>
      <c r="AX407" s="276">
        <f t="shared" si="376"/>
        <v>1.559741576946944</v>
      </c>
      <c r="AY407" s="276">
        <f t="shared" si="377"/>
        <v>1.3653190470752674</v>
      </c>
      <c r="AZ407" s="686">
        <f t="shared" si="378"/>
        <v>1.6339092557371211</v>
      </c>
      <c r="BA407" s="685">
        <f t="shared" si="379"/>
        <v>0</v>
      </c>
      <c r="BB407" s="276">
        <f t="shared" si="380"/>
        <v>0</v>
      </c>
      <c r="BC407" s="276">
        <f t="shared" si="381"/>
        <v>0</v>
      </c>
      <c r="BD407" s="276">
        <f t="shared" si="382"/>
        <v>0</v>
      </c>
      <c r="BE407" s="276">
        <f t="shared" si="383"/>
        <v>0</v>
      </c>
      <c r="BF407" s="686">
        <f t="shared" si="384"/>
        <v>0</v>
      </c>
      <c r="BG407" s="685" t="e">
        <f t="shared" si="385"/>
        <v>#DIV/0!</v>
      </c>
      <c r="BH407" s="276" t="e">
        <f t="shared" si="386"/>
        <v>#DIV/0!</v>
      </c>
      <c r="BI407" s="276" t="e">
        <f t="shared" si="387"/>
        <v>#DIV/0!</v>
      </c>
      <c r="BJ407" s="276" t="e">
        <f t="shared" si="388"/>
        <v>#DIV/0!</v>
      </c>
      <c r="BK407" s="276" t="e">
        <f t="shared" si="389"/>
        <v>#DIV/0!</v>
      </c>
      <c r="BL407" s="686" t="e">
        <f t="shared" si="390"/>
        <v>#DIV/0!</v>
      </c>
      <c r="BM407" s="239"/>
      <c r="BN407" s="965" t="e">
        <f t="shared" si="391"/>
        <v>#VALUE!</v>
      </c>
      <c r="BO407" s="878" t="e">
        <f t="shared" si="392"/>
        <v>#VALUE!</v>
      </c>
      <c r="BP407" s="878" t="e">
        <f t="shared" si="393"/>
        <v>#VALUE!</v>
      </c>
      <c r="BQ407" s="878" t="e">
        <f t="shared" si="394"/>
        <v>#VALUE!</v>
      </c>
      <c r="BR407" s="878" t="e">
        <f t="shared" si="395"/>
        <v>#VALUE!</v>
      </c>
      <c r="BS407" s="966" t="e">
        <f t="shared" si="396"/>
        <v>#VALUE!</v>
      </c>
    </row>
    <row r="408" spans="1:71">
      <c r="A408" s="284">
        <f t="shared" si="397"/>
        <v>340</v>
      </c>
      <c r="B408" s="285">
        <v>2.0803500474515366</v>
      </c>
      <c r="C408" s="285">
        <v>2.7096884561657477</v>
      </c>
      <c r="D408" s="285">
        <v>1.323301008394435</v>
      </c>
      <c r="E408" s="285">
        <v>-11.09092705334157</v>
      </c>
      <c r="H408" s="685">
        <f t="shared" si="343"/>
        <v>0.94711620568248178</v>
      </c>
      <c r="I408" s="276">
        <f t="shared" si="344"/>
        <v>-4.9544095952819207</v>
      </c>
      <c r="J408" s="276">
        <f t="shared" si="345"/>
        <v>-1.4140559125483647</v>
      </c>
      <c r="K408" s="276">
        <f t="shared" si="346"/>
        <v>1.3478370490811888</v>
      </c>
      <c r="L408" s="276">
        <f t="shared" si="347"/>
        <v>-1.3878339683497816</v>
      </c>
      <c r="M408" s="276">
        <f t="shared" si="348"/>
        <v>1.2322699499766989</v>
      </c>
      <c r="N408" s="685">
        <f t="shared" si="349"/>
        <v>1.5025172451938793</v>
      </c>
      <c r="O408" s="276">
        <f t="shared" si="350"/>
        <v>1.902057438896344</v>
      </c>
      <c r="P408" s="276">
        <f t="shared" si="351"/>
        <v>0.84556314187645376</v>
      </c>
      <c r="Q408" s="276">
        <f t="shared" si="352"/>
        <v>1.2376569323466502</v>
      </c>
      <c r="R408" s="276">
        <f t="shared" si="353"/>
        <v>1.8199535475781639</v>
      </c>
      <c r="S408" s="686">
        <f t="shared" si="354"/>
        <v>1.3978901245369697</v>
      </c>
      <c r="T408" s="685">
        <f t="shared" si="355"/>
        <v>4.6016646986653607</v>
      </c>
      <c r="U408" s="276">
        <f t="shared" si="356"/>
        <v>1.9992943253238016</v>
      </c>
      <c r="V408" s="276">
        <f t="shared" si="357"/>
        <v>6.020000449926977</v>
      </c>
      <c r="W408" s="276">
        <f t="shared" si="358"/>
        <v>5.7135083241105971</v>
      </c>
      <c r="X408" s="276">
        <f t="shared" si="359"/>
        <v>4.3533116421996692</v>
      </c>
      <c r="Y408" s="686">
        <f t="shared" si="360"/>
        <v>3.3711032203375884</v>
      </c>
      <c r="Z408" s="685" t="e">
        <f t="shared" si="361"/>
        <v>#DIV/0!</v>
      </c>
      <c r="AA408" s="276" t="e">
        <f t="shared" si="362"/>
        <v>#DIV/0!</v>
      </c>
      <c r="AB408" s="276" t="e">
        <f t="shared" si="363"/>
        <v>#DIV/0!</v>
      </c>
      <c r="AC408" s="276" t="e">
        <f t="shared" si="364"/>
        <v>#DIV/0!</v>
      </c>
      <c r="AD408" s="276" t="e">
        <f t="shared" si="365"/>
        <v>#DIV/0!</v>
      </c>
      <c r="AE408" s="686" t="e">
        <f t="shared" si="366"/>
        <v>#DIV/0!</v>
      </c>
      <c r="AF408" s="239"/>
      <c r="AG408" s="965" t="e">
        <f t="shared" si="337"/>
        <v>#VALUE!</v>
      </c>
      <c r="AH408" s="878" t="e">
        <f t="shared" si="338"/>
        <v>#VALUE!</v>
      </c>
      <c r="AI408" s="878" t="e">
        <f t="shared" si="339"/>
        <v>#VALUE!</v>
      </c>
      <c r="AJ408" s="878" t="e">
        <f t="shared" si="340"/>
        <v>#VALUE!</v>
      </c>
      <c r="AK408" s="878" t="e">
        <f t="shared" si="341"/>
        <v>#VALUE!</v>
      </c>
      <c r="AL408" s="966" t="e">
        <f t="shared" si="342"/>
        <v>#VALUE!</v>
      </c>
      <c r="AM408" s="239"/>
      <c r="AO408" s="685">
        <f t="shared" si="367"/>
        <v>0.94711620568248178</v>
      </c>
      <c r="AP408" s="276">
        <f t="shared" si="368"/>
        <v>-4.9544095952819207</v>
      </c>
      <c r="AQ408" s="276">
        <f t="shared" si="369"/>
        <v>-1.4140559125483647</v>
      </c>
      <c r="AR408" s="276">
        <f t="shared" si="370"/>
        <v>1.3478370490811888</v>
      </c>
      <c r="AS408" s="276">
        <f t="shared" si="371"/>
        <v>-1.3878339683497816</v>
      </c>
      <c r="AT408" s="276">
        <f t="shared" si="372"/>
        <v>1.2322699499766989</v>
      </c>
      <c r="AU408" s="685">
        <f t="shared" si="373"/>
        <v>1.5025172451938793</v>
      </c>
      <c r="AV408" s="276">
        <f t="shared" si="374"/>
        <v>1.902057438896344</v>
      </c>
      <c r="AW408" s="276">
        <f t="shared" si="375"/>
        <v>0.84556314187645376</v>
      </c>
      <c r="AX408" s="276">
        <f t="shared" si="376"/>
        <v>1.2376569323466502</v>
      </c>
      <c r="AY408" s="276">
        <f t="shared" si="377"/>
        <v>1.8199535475781639</v>
      </c>
      <c r="AZ408" s="686">
        <f t="shared" si="378"/>
        <v>1.3978901245369697</v>
      </c>
      <c r="BA408" s="685">
        <f t="shared" si="379"/>
        <v>0</v>
      </c>
      <c r="BB408" s="276">
        <f t="shared" si="380"/>
        <v>0</v>
      </c>
      <c r="BC408" s="276">
        <f t="shared" si="381"/>
        <v>0</v>
      </c>
      <c r="BD408" s="276">
        <f t="shared" si="382"/>
        <v>0</v>
      </c>
      <c r="BE408" s="276">
        <f t="shared" si="383"/>
        <v>0</v>
      </c>
      <c r="BF408" s="686">
        <f t="shared" si="384"/>
        <v>0</v>
      </c>
      <c r="BG408" s="685" t="e">
        <f t="shared" si="385"/>
        <v>#DIV/0!</v>
      </c>
      <c r="BH408" s="276" t="e">
        <f t="shared" si="386"/>
        <v>#DIV/0!</v>
      </c>
      <c r="BI408" s="276" t="e">
        <f t="shared" si="387"/>
        <v>#DIV/0!</v>
      </c>
      <c r="BJ408" s="276" t="e">
        <f t="shared" si="388"/>
        <v>#DIV/0!</v>
      </c>
      <c r="BK408" s="276" t="e">
        <f t="shared" si="389"/>
        <v>#DIV/0!</v>
      </c>
      <c r="BL408" s="686" t="e">
        <f t="shared" si="390"/>
        <v>#DIV/0!</v>
      </c>
      <c r="BM408" s="239"/>
      <c r="BN408" s="965" t="e">
        <f t="shared" si="391"/>
        <v>#VALUE!</v>
      </c>
      <c r="BO408" s="878" t="e">
        <f t="shared" si="392"/>
        <v>#VALUE!</v>
      </c>
      <c r="BP408" s="878" t="e">
        <f t="shared" si="393"/>
        <v>#VALUE!</v>
      </c>
      <c r="BQ408" s="878" t="e">
        <f t="shared" si="394"/>
        <v>#VALUE!</v>
      </c>
      <c r="BR408" s="878" t="e">
        <f t="shared" si="395"/>
        <v>#VALUE!</v>
      </c>
      <c r="BS408" s="966" t="e">
        <f t="shared" si="396"/>
        <v>#VALUE!</v>
      </c>
    </row>
    <row r="409" spans="1:71">
      <c r="A409" s="284">
        <f t="shared" si="397"/>
        <v>341</v>
      </c>
      <c r="B409" s="285">
        <v>0.84225292386607131</v>
      </c>
      <c r="C409" s="285">
        <v>1.9339416568077672</v>
      </c>
      <c r="D409" s="285">
        <v>1.9386769223118152</v>
      </c>
      <c r="E409" s="285">
        <v>-3.7034633164974387</v>
      </c>
      <c r="H409" s="685">
        <f t="shared" si="343"/>
        <v>-0.29098091790298353</v>
      </c>
      <c r="I409" s="276">
        <f t="shared" si="344"/>
        <v>-1.423312125917827</v>
      </c>
      <c r="J409" s="276">
        <f t="shared" si="345"/>
        <v>7.542716428891505E-2</v>
      </c>
      <c r="K409" s="276">
        <f t="shared" si="346"/>
        <v>7.5562235082934137E-2</v>
      </c>
      <c r="L409" s="276">
        <f t="shared" si="347"/>
        <v>-1.7273219952794154</v>
      </c>
      <c r="M409" s="276">
        <f t="shared" si="348"/>
        <v>-0.19011989269804142</v>
      </c>
      <c r="N409" s="685">
        <f t="shared" si="349"/>
        <v>0.72677044583589878</v>
      </c>
      <c r="O409" s="276">
        <f t="shared" si="350"/>
        <v>1.0419013798558658</v>
      </c>
      <c r="P409" s="276">
        <f t="shared" si="351"/>
        <v>1.3104970967518146</v>
      </c>
      <c r="Q409" s="276">
        <f t="shared" si="352"/>
        <v>1.6059297301894151</v>
      </c>
      <c r="R409" s="276">
        <f t="shared" si="353"/>
        <v>1.5221868806326821</v>
      </c>
      <c r="S409" s="686">
        <f t="shared" si="354"/>
        <v>1.0417685810379742</v>
      </c>
      <c r="T409" s="685">
        <f t="shared" si="355"/>
        <v>5.2170406125827409</v>
      </c>
      <c r="U409" s="276">
        <f t="shared" si="356"/>
        <v>6.2489396850343084</v>
      </c>
      <c r="V409" s="276">
        <f t="shared" si="357"/>
        <v>4.0060165194659083</v>
      </c>
      <c r="W409" s="276">
        <f t="shared" si="358"/>
        <v>5.339508535933156</v>
      </c>
      <c r="X409" s="276">
        <f t="shared" si="359"/>
        <v>3.4376199912132859</v>
      </c>
      <c r="Y409" s="686">
        <f t="shared" si="360"/>
        <v>5.510892499853064</v>
      </c>
      <c r="Z409" s="685" t="e">
        <f t="shared" si="361"/>
        <v>#DIV/0!</v>
      </c>
      <c r="AA409" s="276" t="e">
        <f t="shared" si="362"/>
        <v>#DIV/0!</v>
      </c>
      <c r="AB409" s="276" t="e">
        <f t="shared" si="363"/>
        <v>#DIV/0!</v>
      </c>
      <c r="AC409" s="276" t="e">
        <f t="shared" si="364"/>
        <v>#DIV/0!</v>
      </c>
      <c r="AD409" s="276" t="e">
        <f t="shared" si="365"/>
        <v>#DIV/0!</v>
      </c>
      <c r="AE409" s="686" t="e">
        <f t="shared" si="366"/>
        <v>#DIV/0!</v>
      </c>
      <c r="AF409" s="239"/>
      <c r="AG409" s="965" t="e">
        <f t="shared" si="337"/>
        <v>#VALUE!</v>
      </c>
      <c r="AH409" s="878" t="e">
        <f t="shared" si="338"/>
        <v>#VALUE!</v>
      </c>
      <c r="AI409" s="878" t="e">
        <f t="shared" si="339"/>
        <v>#VALUE!</v>
      </c>
      <c r="AJ409" s="878" t="e">
        <f t="shared" si="340"/>
        <v>#VALUE!</v>
      </c>
      <c r="AK409" s="878" t="e">
        <f t="shared" si="341"/>
        <v>#VALUE!</v>
      </c>
      <c r="AL409" s="966" t="e">
        <f t="shared" si="342"/>
        <v>#VALUE!</v>
      </c>
      <c r="AM409" s="239"/>
      <c r="AO409" s="685">
        <f t="shared" si="367"/>
        <v>-0.29098091790298353</v>
      </c>
      <c r="AP409" s="276">
        <f t="shared" si="368"/>
        <v>-1.423312125917827</v>
      </c>
      <c r="AQ409" s="276">
        <f t="shared" si="369"/>
        <v>7.542716428891505E-2</v>
      </c>
      <c r="AR409" s="276">
        <f t="shared" si="370"/>
        <v>7.5562235082934137E-2</v>
      </c>
      <c r="AS409" s="276">
        <f t="shared" si="371"/>
        <v>-1.7273219952794154</v>
      </c>
      <c r="AT409" s="276">
        <f t="shared" si="372"/>
        <v>-0.19011989269804142</v>
      </c>
      <c r="AU409" s="685">
        <f t="shared" si="373"/>
        <v>0.72677044583589878</v>
      </c>
      <c r="AV409" s="276">
        <f t="shared" si="374"/>
        <v>1.0419013798558658</v>
      </c>
      <c r="AW409" s="276">
        <f t="shared" si="375"/>
        <v>1.3104970967518146</v>
      </c>
      <c r="AX409" s="276">
        <f t="shared" si="376"/>
        <v>1.6059297301894151</v>
      </c>
      <c r="AY409" s="276">
        <f t="shared" si="377"/>
        <v>1.5221868806326821</v>
      </c>
      <c r="AZ409" s="686">
        <f t="shared" si="378"/>
        <v>1.0417685810379742</v>
      </c>
      <c r="BA409" s="685">
        <f t="shared" si="379"/>
        <v>0</v>
      </c>
      <c r="BB409" s="276">
        <f t="shared" si="380"/>
        <v>0</v>
      </c>
      <c r="BC409" s="276">
        <f t="shared" si="381"/>
        <v>0</v>
      </c>
      <c r="BD409" s="276">
        <f t="shared" si="382"/>
        <v>0</v>
      </c>
      <c r="BE409" s="276">
        <f t="shared" si="383"/>
        <v>0</v>
      </c>
      <c r="BF409" s="686">
        <f t="shared" si="384"/>
        <v>0</v>
      </c>
      <c r="BG409" s="685" t="e">
        <f t="shared" si="385"/>
        <v>#DIV/0!</v>
      </c>
      <c r="BH409" s="276" t="e">
        <f t="shared" si="386"/>
        <v>#DIV/0!</v>
      </c>
      <c r="BI409" s="276" t="e">
        <f t="shared" si="387"/>
        <v>#DIV/0!</v>
      </c>
      <c r="BJ409" s="276" t="e">
        <f t="shared" si="388"/>
        <v>#DIV/0!</v>
      </c>
      <c r="BK409" s="276" t="e">
        <f t="shared" si="389"/>
        <v>#DIV/0!</v>
      </c>
      <c r="BL409" s="686" t="e">
        <f t="shared" si="390"/>
        <v>#DIV/0!</v>
      </c>
      <c r="BM409" s="239"/>
      <c r="BN409" s="965" t="e">
        <f t="shared" si="391"/>
        <v>#VALUE!</v>
      </c>
      <c r="BO409" s="878" t="e">
        <f t="shared" si="392"/>
        <v>#VALUE!</v>
      </c>
      <c r="BP409" s="878" t="e">
        <f t="shared" si="393"/>
        <v>#VALUE!</v>
      </c>
      <c r="BQ409" s="878" t="e">
        <f t="shared" si="394"/>
        <v>#VALUE!</v>
      </c>
      <c r="BR409" s="878" t="e">
        <f t="shared" si="395"/>
        <v>#VALUE!</v>
      </c>
      <c r="BS409" s="966" t="e">
        <f t="shared" si="396"/>
        <v>#VALUE!</v>
      </c>
    </row>
    <row r="410" spans="1:71">
      <c r="A410" s="284">
        <f t="shared" si="397"/>
        <v>342</v>
      </c>
      <c r="B410" s="285">
        <v>-1.4685436960658</v>
      </c>
      <c r="C410" s="285">
        <v>2.4624553470098824</v>
      </c>
      <c r="D410" s="285">
        <v>-2.2539497810418658</v>
      </c>
      <c r="E410" s="285">
        <v>5.7725986269160234</v>
      </c>
      <c r="H410" s="685">
        <f t="shared" si="343"/>
        <v>-2.6017775378348551</v>
      </c>
      <c r="I410" s="276">
        <f t="shared" si="344"/>
        <v>-3.7831055150590025</v>
      </c>
      <c r="J410" s="276">
        <f t="shared" si="345"/>
        <v>0.42957744847558654</v>
      </c>
      <c r="K410" s="276">
        <f t="shared" si="346"/>
        <v>-0.31258581325607349</v>
      </c>
      <c r="L410" s="276">
        <f t="shared" si="347"/>
        <v>-1.6283289117917525</v>
      </c>
      <c r="M410" s="276">
        <f t="shared" si="348"/>
        <v>1.7603097612542691</v>
      </c>
      <c r="N410" s="685">
        <f t="shared" si="349"/>
        <v>1.255284136038014</v>
      </c>
      <c r="O410" s="276">
        <f t="shared" si="350"/>
        <v>0.25238906166173658</v>
      </c>
      <c r="P410" s="276">
        <f t="shared" si="351"/>
        <v>1.2956688016619153</v>
      </c>
      <c r="Q410" s="276">
        <f t="shared" si="352"/>
        <v>1.1325249336677043</v>
      </c>
      <c r="R410" s="276">
        <f t="shared" si="353"/>
        <v>1.1498650213017305</v>
      </c>
      <c r="S410" s="686">
        <f t="shared" si="354"/>
        <v>1.497814456792715</v>
      </c>
      <c r="T410" s="685">
        <f t="shared" si="355"/>
        <v>1.0244139092290601</v>
      </c>
      <c r="U410" s="276">
        <f t="shared" si="356"/>
        <v>4.8811825110986105</v>
      </c>
      <c r="V410" s="276">
        <f t="shared" si="357"/>
        <v>4.7319191472888793</v>
      </c>
      <c r="W410" s="276">
        <f t="shared" si="358"/>
        <v>4.3581348019328843</v>
      </c>
      <c r="X410" s="276">
        <f t="shared" si="359"/>
        <v>5.7473267588156727</v>
      </c>
      <c r="Y410" s="686">
        <f t="shared" si="360"/>
        <v>6.4522834219376897</v>
      </c>
      <c r="Z410" s="685" t="e">
        <f t="shared" si="361"/>
        <v>#DIV/0!</v>
      </c>
      <c r="AA410" s="276" t="e">
        <f t="shared" si="362"/>
        <v>#DIV/0!</v>
      </c>
      <c r="AB410" s="276" t="e">
        <f t="shared" si="363"/>
        <v>#DIV/0!</v>
      </c>
      <c r="AC410" s="276" t="e">
        <f t="shared" si="364"/>
        <v>#DIV/0!</v>
      </c>
      <c r="AD410" s="276" t="e">
        <f t="shared" si="365"/>
        <v>#DIV/0!</v>
      </c>
      <c r="AE410" s="686" t="e">
        <f t="shared" si="366"/>
        <v>#DIV/0!</v>
      </c>
      <c r="AF410" s="239"/>
      <c r="AG410" s="965" t="e">
        <f t="shared" si="337"/>
        <v>#VALUE!</v>
      </c>
      <c r="AH410" s="878" t="e">
        <f t="shared" si="338"/>
        <v>#VALUE!</v>
      </c>
      <c r="AI410" s="878" t="e">
        <f t="shared" si="339"/>
        <v>#VALUE!</v>
      </c>
      <c r="AJ410" s="878" t="e">
        <f t="shared" si="340"/>
        <v>#VALUE!</v>
      </c>
      <c r="AK410" s="878" t="e">
        <f t="shared" si="341"/>
        <v>#VALUE!</v>
      </c>
      <c r="AL410" s="966" t="e">
        <f t="shared" si="342"/>
        <v>#VALUE!</v>
      </c>
      <c r="AM410" s="239"/>
      <c r="AO410" s="685">
        <f t="shared" si="367"/>
        <v>-2.6017775378348551</v>
      </c>
      <c r="AP410" s="276">
        <f t="shared" si="368"/>
        <v>-3.7831055150590025</v>
      </c>
      <c r="AQ410" s="276">
        <f t="shared" si="369"/>
        <v>0.42957744847558654</v>
      </c>
      <c r="AR410" s="276">
        <f t="shared" si="370"/>
        <v>-0.31258581325607349</v>
      </c>
      <c r="AS410" s="276">
        <f t="shared" si="371"/>
        <v>-1.6283289117917525</v>
      </c>
      <c r="AT410" s="276">
        <f t="shared" si="372"/>
        <v>1.7603097612542691</v>
      </c>
      <c r="AU410" s="685">
        <f t="shared" si="373"/>
        <v>1.255284136038014</v>
      </c>
      <c r="AV410" s="276">
        <f t="shared" si="374"/>
        <v>0.25238906166173658</v>
      </c>
      <c r="AW410" s="276">
        <f t="shared" si="375"/>
        <v>1.2956688016619153</v>
      </c>
      <c r="AX410" s="276">
        <f t="shared" si="376"/>
        <v>1.1325249336677043</v>
      </c>
      <c r="AY410" s="276">
        <f t="shared" si="377"/>
        <v>1.1498650213017305</v>
      </c>
      <c r="AZ410" s="686">
        <f t="shared" si="378"/>
        <v>1.497814456792715</v>
      </c>
      <c r="BA410" s="685">
        <f t="shared" si="379"/>
        <v>0</v>
      </c>
      <c r="BB410" s="276">
        <f t="shared" si="380"/>
        <v>0</v>
      </c>
      <c r="BC410" s="276">
        <f t="shared" si="381"/>
        <v>0</v>
      </c>
      <c r="BD410" s="276">
        <f t="shared" si="382"/>
        <v>0</v>
      </c>
      <c r="BE410" s="276">
        <f t="shared" si="383"/>
        <v>0</v>
      </c>
      <c r="BF410" s="686">
        <f t="shared" si="384"/>
        <v>0</v>
      </c>
      <c r="BG410" s="685" t="e">
        <f t="shared" si="385"/>
        <v>#DIV/0!</v>
      </c>
      <c r="BH410" s="276" t="e">
        <f t="shared" si="386"/>
        <v>#DIV/0!</v>
      </c>
      <c r="BI410" s="276" t="e">
        <f t="shared" si="387"/>
        <v>#DIV/0!</v>
      </c>
      <c r="BJ410" s="276" t="e">
        <f t="shared" si="388"/>
        <v>#DIV/0!</v>
      </c>
      <c r="BK410" s="276" t="e">
        <f t="shared" si="389"/>
        <v>#DIV/0!</v>
      </c>
      <c r="BL410" s="686" t="e">
        <f t="shared" si="390"/>
        <v>#DIV/0!</v>
      </c>
      <c r="BM410" s="239"/>
      <c r="BN410" s="965" t="e">
        <f t="shared" si="391"/>
        <v>#VALUE!</v>
      </c>
      <c r="BO410" s="878" t="e">
        <f t="shared" si="392"/>
        <v>#VALUE!</v>
      </c>
      <c r="BP410" s="878" t="e">
        <f t="shared" si="393"/>
        <v>#VALUE!</v>
      </c>
      <c r="BQ410" s="878" t="e">
        <f t="shared" si="394"/>
        <v>#VALUE!</v>
      </c>
      <c r="BR410" s="878" t="e">
        <f t="shared" si="395"/>
        <v>#VALUE!</v>
      </c>
      <c r="BS410" s="966" t="e">
        <f t="shared" si="396"/>
        <v>#VALUE!</v>
      </c>
    </row>
    <row r="411" spans="1:71">
      <c r="A411" s="284">
        <f t="shared" si="397"/>
        <v>343</v>
      </c>
      <c r="B411" s="285">
        <v>-2.9197449711019661</v>
      </c>
      <c r="C411" s="285">
        <v>2.6581622941215337</v>
      </c>
      <c r="D411" s="285">
        <v>-1.09240954933491</v>
      </c>
      <c r="E411" s="285">
        <v>11.32264458776775</v>
      </c>
      <c r="H411" s="685">
        <f t="shared" si="343"/>
        <v>-4.0529788128710207</v>
      </c>
      <c r="I411" s="276">
        <f t="shared" si="344"/>
        <v>-1.570375128471881</v>
      </c>
      <c r="J411" s="276">
        <f t="shared" si="345"/>
        <v>1.5221720260509175</v>
      </c>
      <c r="K411" s="276">
        <f t="shared" si="346"/>
        <v>-3.1905283408728389</v>
      </c>
      <c r="L411" s="276">
        <f t="shared" si="347"/>
        <v>-2.4236216943674727</v>
      </c>
      <c r="M411" s="276">
        <f t="shared" si="348"/>
        <v>-0.46245499904087217</v>
      </c>
      <c r="N411" s="685">
        <f t="shared" si="349"/>
        <v>1.4509910831496653</v>
      </c>
      <c r="O411" s="276">
        <f t="shared" si="350"/>
        <v>2.1402333347968545</v>
      </c>
      <c r="P411" s="276">
        <f t="shared" si="351"/>
        <v>2.1130723191167418</v>
      </c>
      <c r="Q411" s="276">
        <f t="shared" si="352"/>
        <v>0.88566212546272305</v>
      </c>
      <c r="R411" s="276">
        <f t="shared" si="353"/>
        <v>1.9643627127553775</v>
      </c>
      <c r="S411" s="686">
        <f t="shared" si="354"/>
        <v>0.9188751356624516</v>
      </c>
      <c r="T411" s="685">
        <f t="shared" si="355"/>
        <v>2.1859541409360159</v>
      </c>
      <c r="U411" s="276">
        <f t="shared" si="356"/>
        <v>4.1119737827254639</v>
      </c>
      <c r="V411" s="276">
        <f t="shared" si="357"/>
        <v>6.5721582244664578</v>
      </c>
      <c r="W411" s="276">
        <f t="shared" si="358"/>
        <v>3.9486387509689611</v>
      </c>
      <c r="X411" s="276">
        <f t="shared" si="359"/>
        <v>6.1297440987067393</v>
      </c>
      <c r="Y411" s="686">
        <f t="shared" si="360"/>
        <v>4.4406681177352283</v>
      </c>
      <c r="Z411" s="685" t="e">
        <f t="shared" si="361"/>
        <v>#DIV/0!</v>
      </c>
      <c r="AA411" s="276" t="e">
        <f t="shared" si="362"/>
        <v>#DIV/0!</v>
      </c>
      <c r="AB411" s="276" t="e">
        <f t="shared" si="363"/>
        <v>#DIV/0!</v>
      </c>
      <c r="AC411" s="276" t="e">
        <f t="shared" si="364"/>
        <v>#DIV/0!</v>
      </c>
      <c r="AD411" s="276" t="e">
        <f t="shared" si="365"/>
        <v>#DIV/0!</v>
      </c>
      <c r="AE411" s="686" t="e">
        <f t="shared" si="366"/>
        <v>#DIV/0!</v>
      </c>
      <c r="AF411" s="239"/>
      <c r="AG411" s="965" t="e">
        <f t="shared" si="337"/>
        <v>#VALUE!</v>
      </c>
      <c r="AH411" s="878" t="e">
        <f t="shared" si="338"/>
        <v>#VALUE!</v>
      </c>
      <c r="AI411" s="878" t="e">
        <f t="shared" si="339"/>
        <v>#VALUE!</v>
      </c>
      <c r="AJ411" s="878" t="e">
        <f t="shared" si="340"/>
        <v>#VALUE!</v>
      </c>
      <c r="AK411" s="878" t="e">
        <f t="shared" si="341"/>
        <v>#VALUE!</v>
      </c>
      <c r="AL411" s="966" t="e">
        <f t="shared" si="342"/>
        <v>#VALUE!</v>
      </c>
      <c r="AM411" s="239"/>
      <c r="AO411" s="685">
        <f t="shared" si="367"/>
        <v>-4.0529788128710207</v>
      </c>
      <c r="AP411" s="276">
        <f t="shared" si="368"/>
        <v>-1.570375128471881</v>
      </c>
      <c r="AQ411" s="276">
        <f t="shared" si="369"/>
        <v>1.5221720260509175</v>
      </c>
      <c r="AR411" s="276">
        <f t="shared" si="370"/>
        <v>-3.1905283408728389</v>
      </c>
      <c r="AS411" s="276">
        <f t="shared" si="371"/>
        <v>-2.4236216943674727</v>
      </c>
      <c r="AT411" s="276">
        <f t="shared" si="372"/>
        <v>-0.46245499904087217</v>
      </c>
      <c r="AU411" s="685">
        <f t="shared" si="373"/>
        <v>1.4509910831496653</v>
      </c>
      <c r="AV411" s="276">
        <f t="shared" si="374"/>
        <v>2.1402333347968545</v>
      </c>
      <c r="AW411" s="276">
        <f t="shared" si="375"/>
        <v>2.1130723191167418</v>
      </c>
      <c r="AX411" s="276">
        <f t="shared" si="376"/>
        <v>0.88566212546272305</v>
      </c>
      <c r="AY411" s="276">
        <f t="shared" si="377"/>
        <v>1.9643627127553775</v>
      </c>
      <c r="AZ411" s="686">
        <f t="shared" si="378"/>
        <v>0.9188751356624516</v>
      </c>
      <c r="BA411" s="685">
        <f t="shared" si="379"/>
        <v>0</v>
      </c>
      <c r="BB411" s="276">
        <f t="shared" si="380"/>
        <v>0</v>
      </c>
      <c r="BC411" s="276">
        <f t="shared" si="381"/>
        <v>0</v>
      </c>
      <c r="BD411" s="276">
        <f t="shared" si="382"/>
        <v>0</v>
      </c>
      <c r="BE411" s="276">
        <f t="shared" si="383"/>
        <v>0</v>
      </c>
      <c r="BF411" s="686">
        <f t="shared" si="384"/>
        <v>0</v>
      </c>
      <c r="BG411" s="685" t="e">
        <f t="shared" si="385"/>
        <v>#DIV/0!</v>
      </c>
      <c r="BH411" s="276" t="e">
        <f t="shared" si="386"/>
        <v>#DIV/0!</v>
      </c>
      <c r="BI411" s="276" t="e">
        <f t="shared" si="387"/>
        <v>#DIV/0!</v>
      </c>
      <c r="BJ411" s="276" t="e">
        <f t="shared" si="388"/>
        <v>#DIV/0!</v>
      </c>
      <c r="BK411" s="276" t="e">
        <f t="shared" si="389"/>
        <v>#DIV/0!</v>
      </c>
      <c r="BL411" s="686" t="e">
        <f t="shared" si="390"/>
        <v>#DIV/0!</v>
      </c>
      <c r="BM411" s="239"/>
      <c r="BN411" s="965" t="e">
        <f t="shared" si="391"/>
        <v>#VALUE!</v>
      </c>
      <c r="BO411" s="878" t="e">
        <f t="shared" si="392"/>
        <v>#VALUE!</v>
      </c>
      <c r="BP411" s="878" t="e">
        <f t="shared" si="393"/>
        <v>#VALUE!</v>
      </c>
      <c r="BQ411" s="878" t="e">
        <f t="shared" si="394"/>
        <v>#VALUE!</v>
      </c>
      <c r="BR411" s="878" t="e">
        <f t="shared" si="395"/>
        <v>#VALUE!</v>
      </c>
      <c r="BS411" s="966" t="e">
        <f t="shared" si="396"/>
        <v>#VALUE!</v>
      </c>
    </row>
    <row r="412" spans="1:71">
      <c r="A412" s="284">
        <f t="shared" si="397"/>
        <v>344</v>
      </c>
      <c r="B412" s="285">
        <v>2.235840077467063</v>
      </c>
      <c r="C412" s="285">
        <v>2.484797464545617</v>
      </c>
      <c r="D412" s="285">
        <v>1.2990008290844171</v>
      </c>
      <c r="E412" s="285">
        <v>-9.8716981880793497</v>
      </c>
      <c r="H412" s="685">
        <f t="shared" si="343"/>
        <v>1.1026062356980082</v>
      </c>
      <c r="I412" s="276">
        <f t="shared" si="344"/>
        <v>-3.6536531847524589</v>
      </c>
      <c r="J412" s="276">
        <f t="shared" si="345"/>
        <v>-1.7144474036034802</v>
      </c>
      <c r="K412" s="276">
        <f t="shared" si="346"/>
        <v>0.49438004538059532</v>
      </c>
      <c r="L412" s="276">
        <f t="shared" si="347"/>
        <v>0.35367310797537121</v>
      </c>
      <c r="M412" s="276">
        <f t="shared" si="348"/>
        <v>0.77443618475564846</v>
      </c>
      <c r="N412" s="685">
        <f t="shared" si="349"/>
        <v>1.2776262535737486</v>
      </c>
      <c r="O412" s="276">
        <f t="shared" si="350"/>
        <v>1.2498245047293539</v>
      </c>
      <c r="P412" s="276">
        <f t="shared" si="351"/>
        <v>2.0092925305826483</v>
      </c>
      <c r="Q412" s="276">
        <f t="shared" si="352"/>
        <v>1.4363778526236348</v>
      </c>
      <c r="R412" s="276">
        <f t="shared" si="353"/>
        <v>1.653052241852045</v>
      </c>
      <c r="S412" s="686">
        <f t="shared" si="354"/>
        <v>1.0121364933807049</v>
      </c>
      <c r="T412" s="685">
        <f t="shared" si="355"/>
        <v>4.5773645193553429</v>
      </c>
      <c r="U412" s="276">
        <f t="shared" si="356"/>
        <v>4.76595243779472</v>
      </c>
      <c r="V412" s="276">
        <f t="shared" si="357"/>
        <v>3.5277034566606473</v>
      </c>
      <c r="W412" s="276">
        <f t="shared" si="358"/>
        <v>6.0135838082987636</v>
      </c>
      <c r="X412" s="276">
        <f t="shared" si="359"/>
        <v>4.1676078798592098</v>
      </c>
      <c r="Y412" s="686">
        <f t="shared" si="360"/>
        <v>5.2987793422316365</v>
      </c>
      <c r="Z412" s="685" t="e">
        <f t="shared" si="361"/>
        <v>#DIV/0!</v>
      </c>
      <c r="AA412" s="276" t="e">
        <f t="shared" si="362"/>
        <v>#DIV/0!</v>
      </c>
      <c r="AB412" s="276" t="e">
        <f t="shared" si="363"/>
        <v>#DIV/0!</v>
      </c>
      <c r="AC412" s="276" t="e">
        <f t="shared" si="364"/>
        <v>#DIV/0!</v>
      </c>
      <c r="AD412" s="276" t="e">
        <f t="shared" si="365"/>
        <v>#DIV/0!</v>
      </c>
      <c r="AE412" s="686" t="e">
        <f t="shared" si="366"/>
        <v>#DIV/0!</v>
      </c>
      <c r="AF412" s="239"/>
      <c r="AG412" s="965" t="e">
        <f t="shared" si="337"/>
        <v>#VALUE!</v>
      </c>
      <c r="AH412" s="878" t="e">
        <f t="shared" si="338"/>
        <v>#VALUE!</v>
      </c>
      <c r="AI412" s="878" t="e">
        <f t="shared" si="339"/>
        <v>#VALUE!</v>
      </c>
      <c r="AJ412" s="878" t="e">
        <f t="shared" si="340"/>
        <v>#VALUE!</v>
      </c>
      <c r="AK412" s="878" t="e">
        <f t="shared" si="341"/>
        <v>#VALUE!</v>
      </c>
      <c r="AL412" s="966" t="e">
        <f t="shared" si="342"/>
        <v>#VALUE!</v>
      </c>
      <c r="AM412" s="239"/>
      <c r="AO412" s="685">
        <f t="shared" si="367"/>
        <v>1.1026062356980082</v>
      </c>
      <c r="AP412" s="276">
        <f t="shared" si="368"/>
        <v>-3.6536531847524589</v>
      </c>
      <c r="AQ412" s="276">
        <f t="shared" si="369"/>
        <v>-1.7144474036034802</v>
      </c>
      <c r="AR412" s="276">
        <f t="shared" si="370"/>
        <v>0.49438004538059532</v>
      </c>
      <c r="AS412" s="276">
        <f t="shared" si="371"/>
        <v>0.35367310797537121</v>
      </c>
      <c r="AT412" s="276">
        <f t="shared" si="372"/>
        <v>0.77443618475564846</v>
      </c>
      <c r="AU412" s="685">
        <f t="shared" si="373"/>
        <v>1.2776262535737486</v>
      </c>
      <c r="AV412" s="276">
        <f t="shared" si="374"/>
        <v>1.2498245047293539</v>
      </c>
      <c r="AW412" s="276">
        <f t="shared" si="375"/>
        <v>2.0092925305826483</v>
      </c>
      <c r="AX412" s="276">
        <f t="shared" si="376"/>
        <v>1.4363778526236348</v>
      </c>
      <c r="AY412" s="276">
        <f t="shared" si="377"/>
        <v>1.653052241852045</v>
      </c>
      <c r="AZ412" s="686">
        <f t="shared" si="378"/>
        <v>1.0121364933807049</v>
      </c>
      <c r="BA412" s="685">
        <f t="shared" si="379"/>
        <v>0</v>
      </c>
      <c r="BB412" s="276">
        <f t="shared" si="380"/>
        <v>0</v>
      </c>
      <c r="BC412" s="276">
        <f t="shared" si="381"/>
        <v>0</v>
      </c>
      <c r="BD412" s="276">
        <f t="shared" si="382"/>
        <v>0</v>
      </c>
      <c r="BE412" s="276">
        <f t="shared" si="383"/>
        <v>0</v>
      </c>
      <c r="BF412" s="686">
        <f t="shared" si="384"/>
        <v>0</v>
      </c>
      <c r="BG412" s="685" t="e">
        <f t="shared" si="385"/>
        <v>#DIV/0!</v>
      </c>
      <c r="BH412" s="276" t="e">
        <f t="shared" si="386"/>
        <v>#DIV/0!</v>
      </c>
      <c r="BI412" s="276" t="e">
        <f t="shared" si="387"/>
        <v>#DIV/0!</v>
      </c>
      <c r="BJ412" s="276" t="e">
        <f t="shared" si="388"/>
        <v>#DIV/0!</v>
      </c>
      <c r="BK412" s="276" t="e">
        <f t="shared" si="389"/>
        <v>#DIV/0!</v>
      </c>
      <c r="BL412" s="686" t="e">
        <f t="shared" si="390"/>
        <v>#DIV/0!</v>
      </c>
      <c r="BM412" s="239"/>
      <c r="BN412" s="965" t="e">
        <f t="shared" si="391"/>
        <v>#VALUE!</v>
      </c>
      <c r="BO412" s="878" t="e">
        <f t="shared" si="392"/>
        <v>#VALUE!</v>
      </c>
      <c r="BP412" s="878" t="e">
        <f t="shared" si="393"/>
        <v>#VALUE!</v>
      </c>
      <c r="BQ412" s="878" t="e">
        <f t="shared" si="394"/>
        <v>#VALUE!</v>
      </c>
      <c r="BR412" s="878" t="e">
        <f t="shared" si="395"/>
        <v>#VALUE!</v>
      </c>
      <c r="BS412" s="966" t="e">
        <f t="shared" si="396"/>
        <v>#VALUE!</v>
      </c>
    </row>
    <row r="413" spans="1:71">
      <c r="A413" s="284">
        <f t="shared" si="397"/>
        <v>345</v>
      </c>
      <c r="B413" s="285">
        <v>2.5694030178949578</v>
      </c>
      <c r="C413" s="285">
        <v>2.4950975797448094</v>
      </c>
      <c r="D413" s="285">
        <v>2.3190038438645564</v>
      </c>
      <c r="E413" s="285">
        <v>-17.214530168109892</v>
      </c>
      <c r="H413" s="685">
        <f t="shared" si="343"/>
        <v>1.436169176125903</v>
      </c>
      <c r="I413" s="276">
        <f t="shared" si="344"/>
        <v>0.10713532762056022</v>
      </c>
      <c r="J413" s="276">
        <f t="shared" si="345"/>
        <v>-2.6256606909752431</v>
      </c>
      <c r="K413" s="276">
        <f t="shared" si="346"/>
        <v>-5.5022167104137871</v>
      </c>
      <c r="L413" s="276">
        <f t="shared" si="347"/>
        <v>0.7983057751269087</v>
      </c>
      <c r="M413" s="276">
        <f t="shared" si="348"/>
        <v>-4.3449263719398141</v>
      </c>
      <c r="N413" s="685">
        <f t="shared" si="349"/>
        <v>1.287926368772941</v>
      </c>
      <c r="O413" s="276">
        <f t="shared" si="350"/>
        <v>0.93586066050939887</v>
      </c>
      <c r="P413" s="276">
        <f t="shared" si="351"/>
        <v>1.0538726898924244</v>
      </c>
      <c r="Q413" s="276">
        <f t="shared" si="352"/>
        <v>1.7314922267212676</v>
      </c>
      <c r="R413" s="276">
        <f t="shared" si="353"/>
        <v>1.4888196095977742</v>
      </c>
      <c r="S413" s="686">
        <f t="shared" si="354"/>
        <v>1.7174209448308295</v>
      </c>
      <c r="T413" s="685">
        <f t="shared" si="355"/>
        <v>5.5973675341354827</v>
      </c>
      <c r="U413" s="276">
        <f t="shared" si="356"/>
        <v>6.1839141914336375</v>
      </c>
      <c r="V413" s="276">
        <f t="shared" si="357"/>
        <v>3.754875431983935</v>
      </c>
      <c r="W413" s="276">
        <f t="shared" si="358"/>
        <v>2.2382825113221148</v>
      </c>
      <c r="X413" s="276">
        <f t="shared" si="359"/>
        <v>4.2015895565264829</v>
      </c>
      <c r="Y413" s="686">
        <f t="shared" si="360"/>
        <v>0.87008094343603615</v>
      </c>
      <c r="Z413" s="685" t="e">
        <f t="shared" si="361"/>
        <v>#DIV/0!</v>
      </c>
      <c r="AA413" s="276" t="e">
        <f t="shared" si="362"/>
        <v>#DIV/0!</v>
      </c>
      <c r="AB413" s="276" t="e">
        <f t="shared" si="363"/>
        <v>#DIV/0!</v>
      </c>
      <c r="AC413" s="276" t="e">
        <f t="shared" si="364"/>
        <v>#DIV/0!</v>
      </c>
      <c r="AD413" s="276" t="e">
        <f t="shared" si="365"/>
        <v>#DIV/0!</v>
      </c>
      <c r="AE413" s="686" t="e">
        <f t="shared" si="366"/>
        <v>#DIV/0!</v>
      </c>
      <c r="AF413" s="239"/>
      <c r="AG413" s="965" t="e">
        <f t="shared" si="337"/>
        <v>#VALUE!</v>
      </c>
      <c r="AH413" s="878" t="e">
        <f t="shared" si="338"/>
        <v>#VALUE!</v>
      </c>
      <c r="AI413" s="878" t="e">
        <f t="shared" si="339"/>
        <v>#VALUE!</v>
      </c>
      <c r="AJ413" s="878" t="e">
        <f t="shared" si="340"/>
        <v>#VALUE!</v>
      </c>
      <c r="AK413" s="878" t="e">
        <f t="shared" si="341"/>
        <v>#VALUE!</v>
      </c>
      <c r="AL413" s="966" t="e">
        <f t="shared" si="342"/>
        <v>#VALUE!</v>
      </c>
      <c r="AM413" s="239"/>
      <c r="AO413" s="685">
        <f t="shared" si="367"/>
        <v>1.436169176125903</v>
      </c>
      <c r="AP413" s="276">
        <f t="shared" si="368"/>
        <v>0.10713532762056022</v>
      </c>
      <c r="AQ413" s="276">
        <f t="shared" si="369"/>
        <v>-2.6256606909752431</v>
      </c>
      <c r="AR413" s="276">
        <f t="shared" si="370"/>
        <v>-5.5022167104137871</v>
      </c>
      <c r="AS413" s="276">
        <f t="shared" si="371"/>
        <v>0.7983057751269087</v>
      </c>
      <c r="AT413" s="276">
        <f t="shared" si="372"/>
        <v>-4.3449263719398141</v>
      </c>
      <c r="AU413" s="685">
        <f t="shared" si="373"/>
        <v>1.287926368772941</v>
      </c>
      <c r="AV413" s="276">
        <f t="shared" si="374"/>
        <v>0.93586066050939887</v>
      </c>
      <c r="AW413" s="276">
        <f t="shared" si="375"/>
        <v>1.0538726898924244</v>
      </c>
      <c r="AX413" s="276">
        <f t="shared" si="376"/>
        <v>1.7314922267212676</v>
      </c>
      <c r="AY413" s="276">
        <f t="shared" si="377"/>
        <v>1.4888196095977742</v>
      </c>
      <c r="AZ413" s="686">
        <f t="shared" si="378"/>
        <v>1.7174209448308295</v>
      </c>
      <c r="BA413" s="685">
        <f t="shared" si="379"/>
        <v>0</v>
      </c>
      <c r="BB413" s="276">
        <f t="shared" si="380"/>
        <v>0</v>
      </c>
      <c r="BC413" s="276">
        <f t="shared" si="381"/>
        <v>0</v>
      </c>
      <c r="BD413" s="276">
        <f t="shared" si="382"/>
        <v>0</v>
      </c>
      <c r="BE413" s="276">
        <f t="shared" si="383"/>
        <v>0</v>
      </c>
      <c r="BF413" s="686">
        <f t="shared" si="384"/>
        <v>0</v>
      </c>
      <c r="BG413" s="685" t="e">
        <f t="shared" si="385"/>
        <v>#DIV/0!</v>
      </c>
      <c r="BH413" s="276" t="e">
        <f t="shared" si="386"/>
        <v>#DIV/0!</v>
      </c>
      <c r="BI413" s="276" t="e">
        <f t="shared" si="387"/>
        <v>#DIV/0!</v>
      </c>
      <c r="BJ413" s="276" t="e">
        <f t="shared" si="388"/>
        <v>#DIV/0!</v>
      </c>
      <c r="BK413" s="276" t="e">
        <f t="shared" si="389"/>
        <v>#DIV/0!</v>
      </c>
      <c r="BL413" s="686" t="e">
        <f t="shared" si="390"/>
        <v>#DIV/0!</v>
      </c>
      <c r="BM413" s="239"/>
      <c r="BN413" s="965" t="e">
        <f t="shared" si="391"/>
        <v>#VALUE!</v>
      </c>
      <c r="BO413" s="878" t="e">
        <f t="shared" si="392"/>
        <v>#VALUE!</v>
      </c>
      <c r="BP413" s="878" t="e">
        <f t="shared" si="393"/>
        <v>#VALUE!</v>
      </c>
      <c r="BQ413" s="878" t="e">
        <f t="shared" si="394"/>
        <v>#VALUE!</v>
      </c>
      <c r="BR413" s="878" t="e">
        <f t="shared" si="395"/>
        <v>#VALUE!</v>
      </c>
      <c r="BS413" s="966" t="e">
        <f t="shared" si="396"/>
        <v>#VALUE!</v>
      </c>
    </row>
    <row r="414" spans="1:71">
      <c r="A414" s="284">
        <f t="shared" si="397"/>
        <v>346</v>
      </c>
      <c r="B414" s="285">
        <v>-0.53201023156252658</v>
      </c>
      <c r="C414" s="285">
        <v>2.8912790919464193</v>
      </c>
      <c r="D414" s="285">
        <v>2.5652885278690363E-2</v>
      </c>
      <c r="E414" s="285">
        <v>-2.6903263056325604</v>
      </c>
      <c r="H414" s="685">
        <f t="shared" si="343"/>
        <v>-1.6652440733315814</v>
      </c>
      <c r="I414" s="276">
        <f t="shared" si="344"/>
        <v>1.0652023515628108</v>
      </c>
      <c r="J414" s="276">
        <f t="shared" si="345"/>
        <v>-1.3437136375622269</v>
      </c>
      <c r="K414" s="276">
        <f t="shared" si="346"/>
        <v>1.8492578494653971</v>
      </c>
      <c r="L414" s="276">
        <f t="shared" si="347"/>
        <v>2.5388936326550784</v>
      </c>
      <c r="M414" s="276">
        <f t="shared" si="348"/>
        <v>-3.3945024621034143</v>
      </c>
      <c r="N414" s="685">
        <f t="shared" si="349"/>
        <v>1.6841078809745509</v>
      </c>
      <c r="O414" s="276">
        <f t="shared" si="350"/>
        <v>1.2812667172172956</v>
      </c>
      <c r="P414" s="276">
        <f t="shared" si="351"/>
        <v>1.0711089353563821</v>
      </c>
      <c r="Q414" s="276">
        <f t="shared" si="352"/>
        <v>1.3712561615866956</v>
      </c>
      <c r="R414" s="276">
        <f t="shared" si="353"/>
        <v>1.8158689449157104</v>
      </c>
      <c r="S414" s="686">
        <f t="shared" si="354"/>
        <v>1.6585623909660201</v>
      </c>
      <c r="T414" s="685">
        <f t="shared" si="355"/>
        <v>3.3040165755496163</v>
      </c>
      <c r="U414" s="276">
        <f t="shared" si="356"/>
        <v>5.6615919885661423</v>
      </c>
      <c r="V414" s="276">
        <f t="shared" si="357"/>
        <v>2.6745539160768992</v>
      </c>
      <c r="W414" s="276">
        <f t="shared" si="358"/>
        <v>5.539202374745134</v>
      </c>
      <c r="X414" s="276">
        <f t="shared" si="359"/>
        <v>2.9592102922572256</v>
      </c>
      <c r="Y414" s="686">
        <f t="shared" si="360"/>
        <v>6.1848346561411081</v>
      </c>
      <c r="Z414" s="685" t="e">
        <f t="shared" si="361"/>
        <v>#DIV/0!</v>
      </c>
      <c r="AA414" s="276" t="e">
        <f t="shared" si="362"/>
        <v>#DIV/0!</v>
      </c>
      <c r="AB414" s="276" t="e">
        <f t="shared" si="363"/>
        <v>#DIV/0!</v>
      </c>
      <c r="AC414" s="276" t="e">
        <f t="shared" si="364"/>
        <v>#DIV/0!</v>
      </c>
      <c r="AD414" s="276" t="e">
        <f t="shared" si="365"/>
        <v>#DIV/0!</v>
      </c>
      <c r="AE414" s="686" t="e">
        <f t="shared" si="366"/>
        <v>#DIV/0!</v>
      </c>
      <c r="AF414" s="239"/>
      <c r="AG414" s="965" t="e">
        <f t="shared" si="337"/>
        <v>#VALUE!</v>
      </c>
      <c r="AH414" s="878" t="e">
        <f t="shared" si="338"/>
        <v>#VALUE!</v>
      </c>
      <c r="AI414" s="878" t="e">
        <f t="shared" si="339"/>
        <v>#VALUE!</v>
      </c>
      <c r="AJ414" s="878" t="e">
        <f t="shared" si="340"/>
        <v>#VALUE!</v>
      </c>
      <c r="AK414" s="878" t="e">
        <f t="shared" si="341"/>
        <v>#VALUE!</v>
      </c>
      <c r="AL414" s="966" t="e">
        <f t="shared" si="342"/>
        <v>#VALUE!</v>
      </c>
      <c r="AM414" s="239"/>
      <c r="AO414" s="685">
        <f t="shared" si="367"/>
        <v>-1.6652440733315814</v>
      </c>
      <c r="AP414" s="276">
        <f t="shared" si="368"/>
        <v>1.0652023515628108</v>
      </c>
      <c r="AQ414" s="276">
        <f t="shared" si="369"/>
        <v>-1.3437136375622269</v>
      </c>
      <c r="AR414" s="276">
        <f t="shared" si="370"/>
        <v>1.8492578494653971</v>
      </c>
      <c r="AS414" s="276">
        <f t="shared" si="371"/>
        <v>2.5388936326550784</v>
      </c>
      <c r="AT414" s="276">
        <f t="shared" si="372"/>
        <v>-3.3945024621034143</v>
      </c>
      <c r="AU414" s="685">
        <f t="shared" si="373"/>
        <v>1.6841078809745509</v>
      </c>
      <c r="AV414" s="276">
        <f t="shared" si="374"/>
        <v>1.2812667172172956</v>
      </c>
      <c r="AW414" s="276">
        <f t="shared" si="375"/>
        <v>1.0711089353563821</v>
      </c>
      <c r="AX414" s="276">
        <f t="shared" si="376"/>
        <v>1.3712561615866956</v>
      </c>
      <c r="AY414" s="276">
        <f t="shared" si="377"/>
        <v>1.8158689449157104</v>
      </c>
      <c r="AZ414" s="686">
        <f t="shared" si="378"/>
        <v>1.6585623909660201</v>
      </c>
      <c r="BA414" s="685">
        <f t="shared" si="379"/>
        <v>0</v>
      </c>
      <c r="BB414" s="276">
        <f t="shared" si="380"/>
        <v>0</v>
      </c>
      <c r="BC414" s="276">
        <f t="shared" si="381"/>
        <v>0</v>
      </c>
      <c r="BD414" s="276">
        <f t="shared" si="382"/>
        <v>0</v>
      </c>
      <c r="BE414" s="276">
        <f t="shared" si="383"/>
        <v>0</v>
      </c>
      <c r="BF414" s="686">
        <f t="shared" si="384"/>
        <v>0</v>
      </c>
      <c r="BG414" s="685" t="e">
        <f t="shared" si="385"/>
        <v>#DIV/0!</v>
      </c>
      <c r="BH414" s="276" t="e">
        <f t="shared" si="386"/>
        <v>#DIV/0!</v>
      </c>
      <c r="BI414" s="276" t="e">
        <f t="shared" si="387"/>
        <v>#DIV/0!</v>
      </c>
      <c r="BJ414" s="276" t="e">
        <f t="shared" si="388"/>
        <v>#DIV/0!</v>
      </c>
      <c r="BK414" s="276" t="e">
        <f t="shared" si="389"/>
        <v>#DIV/0!</v>
      </c>
      <c r="BL414" s="686" t="e">
        <f t="shared" si="390"/>
        <v>#DIV/0!</v>
      </c>
      <c r="BM414" s="239"/>
      <c r="BN414" s="965" t="e">
        <f t="shared" si="391"/>
        <v>#VALUE!</v>
      </c>
      <c r="BO414" s="878" t="e">
        <f t="shared" si="392"/>
        <v>#VALUE!</v>
      </c>
      <c r="BP414" s="878" t="e">
        <f t="shared" si="393"/>
        <v>#VALUE!</v>
      </c>
      <c r="BQ414" s="878" t="e">
        <f t="shared" si="394"/>
        <v>#VALUE!</v>
      </c>
      <c r="BR414" s="878" t="e">
        <f t="shared" si="395"/>
        <v>#VALUE!</v>
      </c>
      <c r="BS414" s="966" t="e">
        <f t="shared" si="396"/>
        <v>#VALUE!</v>
      </c>
    </row>
    <row r="415" spans="1:71">
      <c r="A415" s="284">
        <f t="shared" si="397"/>
        <v>347</v>
      </c>
      <c r="B415" s="285">
        <v>-1.1599408735804542</v>
      </c>
      <c r="C415" s="285">
        <v>2.3466308940379004</v>
      </c>
      <c r="D415" s="285">
        <v>-0.37526752920291018</v>
      </c>
      <c r="E415" s="285">
        <v>-0.11261103018734397</v>
      </c>
      <c r="H415" s="685">
        <f t="shared" si="343"/>
        <v>-2.293174715349509</v>
      </c>
      <c r="I415" s="276">
        <f t="shared" si="344"/>
        <v>-4.6619017449202307</v>
      </c>
      <c r="J415" s="276">
        <f t="shared" si="345"/>
        <v>-4.9463755198284929</v>
      </c>
      <c r="K415" s="276">
        <f t="shared" si="346"/>
        <v>-0.61455222229985262</v>
      </c>
      <c r="L415" s="276">
        <f t="shared" si="347"/>
        <v>-3.3843525999364754</v>
      </c>
      <c r="M415" s="276">
        <f t="shared" si="348"/>
        <v>-3.9907882781071651</v>
      </c>
      <c r="N415" s="685">
        <f t="shared" si="349"/>
        <v>1.139459683066032</v>
      </c>
      <c r="O415" s="276">
        <f t="shared" si="350"/>
        <v>1.101422920366421</v>
      </c>
      <c r="P415" s="276">
        <f t="shared" si="351"/>
        <v>1.2843557718964271</v>
      </c>
      <c r="Q415" s="276">
        <f t="shared" si="352"/>
        <v>1.3671664687252478</v>
      </c>
      <c r="R415" s="276">
        <f t="shared" si="353"/>
        <v>0.12852687767092963</v>
      </c>
      <c r="S415" s="686">
        <f t="shared" si="354"/>
        <v>1.0224296721763657</v>
      </c>
      <c r="T415" s="685">
        <f t="shared" si="355"/>
        <v>2.9030961610680155</v>
      </c>
      <c r="U415" s="276">
        <f t="shared" si="356"/>
        <v>4.2028837449806637</v>
      </c>
      <c r="V415" s="276">
        <f t="shared" si="357"/>
        <v>4.384941750869408</v>
      </c>
      <c r="W415" s="276">
        <f t="shared" si="358"/>
        <v>3.7114768278717083</v>
      </c>
      <c r="X415" s="276">
        <f t="shared" si="359"/>
        <v>6.3520363219472724</v>
      </c>
      <c r="Y415" s="686">
        <f t="shared" si="360"/>
        <v>5.0151119601094347</v>
      </c>
      <c r="Z415" s="685" t="e">
        <f t="shared" si="361"/>
        <v>#DIV/0!</v>
      </c>
      <c r="AA415" s="276" t="e">
        <f t="shared" si="362"/>
        <v>#DIV/0!</v>
      </c>
      <c r="AB415" s="276" t="e">
        <f t="shared" si="363"/>
        <v>#DIV/0!</v>
      </c>
      <c r="AC415" s="276" t="e">
        <f t="shared" si="364"/>
        <v>#DIV/0!</v>
      </c>
      <c r="AD415" s="276" t="e">
        <f t="shared" si="365"/>
        <v>#DIV/0!</v>
      </c>
      <c r="AE415" s="686" t="e">
        <f t="shared" si="366"/>
        <v>#DIV/0!</v>
      </c>
      <c r="AF415" s="239"/>
      <c r="AG415" s="965" t="e">
        <f t="shared" si="337"/>
        <v>#VALUE!</v>
      </c>
      <c r="AH415" s="878" t="e">
        <f t="shared" si="338"/>
        <v>#VALUE!</v>
      </c>
      <c r="AI415" s="878" t="e">
        <f t="shared" si="339"/>
        <v>#VALUE!</v>
      </c>
      <c r="AJ415" s="878" t="e">
        <f t="shared" si="340"/>
        <v>#VALUE!</v>
      </c>
      <c r="AK415" s="878" t="e">
        <f t="shared" si="341"/>
        <v>#VALUE!</v>
      </c>
      <c r="AL415" s="966" t="e">
        <f t="shared" si="342"/>
        <v>#VALUE!</v>
      </c>
      <c r="AM415" s="239"/>
      <c r="AO415" s="685">
        <f t="shared" si="367"/>
        <v>-2.293174715349509</v>
      </c>
      <c r="AP415" s="276">
        <f t="shared" si="368"/>
        <v>-4.6619017449202307</v>
      </c>
      <c r="AQ415" s="276">
        <f t="shared" si="369"/>
        <v>-4.9463755198284929</v>
      </c>
      <c r="AR415" s="276">
        <f t="shared" si="370"/>
        <v>-0.61455222229985262</v>
      </c>
      <c r="AS415" s="276">
        <f t="shared" si="371"/>
        <v>-3.3843525999364754</v>
      </c>
      <c r="AT415" s="276">
        <f t="shared" si="372"/>
        <v>-3.9907882781071651</v>
      </c>
      <c r="AU415" s="685">
        <f t="shared" si="373"/>
        <v>1.139459683066032</v>
      </c>
      <c r="AV415" s="276">
        <f t="shared" si="374"/>
        <v>1.101422920366421</v>
      </c>
      <c r="AW415" s="276">
        <f t="shared" si="375"/>
        <v>1.2843557718964271</v>
      </c>
      <c r="AX415" s="276">
        <f t="shared" si="376"/>
        <v>1.3671664687252478</v>
      </c>
      <c r="AY415" s="276">
        <f t="shared" si="377"/>
        <v>0.12852687767092963</v>
      </c>
      <c r="AZ415" s="686">
        <f t="shared" si="378"/>
        <v>1.0224296721763657</v>
      </c>
      <c r="BA415" s="685">
        <f t="shared" si="379"/>
        <v>0</v>
      </c>
      <c r="BB415" s="276">
        <f t="shared" si="380"/>
        <v>0</v>
      </c>
      <c r="BC415" s="276">
        <f t="shared" si="381"/>
        <v>0</v>
      </c>
      <c r="BD415" s="276">
        <f t="shared" si="382"/>
        <v>0</v>
      </c>
      <c r="BE415" s="276">
        <f t="shared" si="383"/>
        <v>0</v>
      </c>
      <c r="BF415" s="686">
        <f t="shared" si="384"/>
        <v>0</v>
      </c>
      <c r="BG415" s="685" t="e">
        <f t="shared" si="385"/>
        <v>#DIV/0!</v>
      </c>
      <c r="BH415" s="276" t="e">
        <f t="shared" si="386"/>
        <v>#DIV/0!</v>
      </c>
      <c r="BI415" s="276" t="e">
        <f t="shared" si="387"/>
        <v>#DIV/0!</v>
      </c>
      <c r="BJ415" s="276" t="e">
        <f t="shared" si="388"/>
        <v>#DIV/0!</v>
      </c>
      <c r="BK415" s="276" t="e">
        <f t="shared" si="389"/>
        <v>#DIV/0!</v>
      </c>
      <c r="BL415" s="686" t="e">
        <f t="shared" si="390"/>
        <v>#DIV/0!</v>
      </c>
      <c r="BM415" s="239"/>
      <c r="BN415" s="965" t="e">
        <f t="shared" si="391"/>
        <v>#VALUE!</v>
      </c>
      <c r="BO415" s="878" t="e">
        <f t="shared" si="392"/>
        <v>#VALUE!</v>
      </c>
      <c r="BP415" s="878" t="e">
        <f t="shared" si="393"/>
        <v>#VALUE!</v>
      </c>
      <c r="BQ415" s="878" t="e">
        <f t="shared" si="394"/>
        <v>#VALUE!</v>
      </c>
      <c r="BR415" s="878" t="e">
        <f t="shared" si="395"/>
        <v>#VALUE!</v>
      </c>
      <c r="BS415" s="966" t="e">
        <f t="shared" si="396"/>
        <v>#VALUE!</v>
      </c>
    </row>
    <row r="416" spans="1:71">
      <c r="A416" s="284">
        <f t="shared" si="397"/>
        <v>348</v>
      </c>
      <c r="B416" s="285">
        <v>-2.6604337370607913</v>
      </c>
      <c r="C416" s="285">
        <v>2.5555646342439902</v>
      </c>
      <c r="D416" s="285">
        <v>0.66400053084007016</v>
      </c>
      <c r="E416" s="285">
        <v>-9.9463227551394926</v>
      </c>
      <c r="H416" s="685">
        <f t="shared" si="343"/>
        <v>-3.7936675788298464</v>
      </c>
      <c r="I416" s="276">
        <f t="shared" si="344"/>
        <v>-1.9148701990650139</v>
      </c>
      <c r="J416" s="276">
        <f t="shared" si="345"/>
        <v>-0.49220653893253141</v>
      </c>
      <c r="K416" s="276">
        <f t="shared" si="346"/>
        <v>-1.8894126110789928</v>
      </c>
      <c r="L416" s="276">
        <f t="shared" si="347"/>
        <v>-0.82142091375531634</v>
      </c>
      <c r="M416" s="276">
        <f t="shared" si="348"/>
        <v>-5.4947765067079297</v>
      </c>
      <c r="N416" s="685">
        <f t="shared" si="349"/>
        <v>1.3483934232721217</v>
      </c>
      <c r="O416" s="276">
        <f t="shared" si="350"/>
        <v>1.1647076507567411</v>
      </c>
      <c r="P416" s="276">
        <f t="shared" si="351"/>
        <v>1.1518960105797549</v>
      </c>
      <c r="Q416" s="276">
        <f t="shared" si="352"/>
        <v>1.4561709582799403</v>
      </c>
      <c r="R416" s="276">
        <f t="shared" si="353"/>
        <v>1.3052234775968807</v>
      </c>
      <c r="S416" s="686">
        <f t="shared" si="354"/>
        <v>0.47668077314584978</v>
      </c>
      <c r="T416" s="685">
        <f t="shared" si="355"/>
        <v>3.9423642211109962</v>
      </c>
      <c r="U416" s="276">
        <f t="shared" si="356"/>
        <v>5.3177204270296867</v>
      </c>
      <c r="V416" s="276">
        <f t="shared" si="357"/>
        <v>6.1249779903910682</v>
      </c>
      <c r="W416" s="276">
        <f t="shared" si="358"/>
        <v>3.103006966213218</v>
      </c>
      <c r="X416" s="276">
        <f t="shared" si="359"/>
        <v>4.4129443671458368</v>
      </c>
      <c r="Y416" s="686">
        <f t="shared" si="360"/>
        <v>3.6579327028329729</v>
      </c>
      <c r="Z416" s="685" t="e">
        <f t="shared" si="361"/>
        <v>#DIV/0!</v>
      </c>
      <c r="AA416" s="276" t="e">
        <f t="shared" si="362"/>
        <v>#DIV/0!</v>
      </c>
      <c r="AB416" s="276" t="e">
        <f t="shared" si="363"/>
        <v>#DIV/0!</v>
      </c>
      <c r="AC416" s="276" t="e">
        <f t="shared" si="364"/>
        <v>#DIV/0!</v>
      </c>
      <c r="AD416" s="276" t="e">
        <f t="shared" si="365"/>
        <v>#DIV/0!</v>
      </c>
      <c r="AE416" s="686" t="e">
        <f t="shared" si="366"/>
        <v>#DIV/0!</v>
      </c>
      <c r="AF416" s="239"/>
      <c r="AG416" s="965" t="e">
        <f t="shared" si="337"/>
        <v>#VALUE!</v>
      </c>
      <c r="AH416" s="878" t="e">
        <f t="shared" si="338"/>
        <v>#VALUE!</v>
      </c>
      <c r="AI416" s="878" t="e">
        <f t="shared" si="339"/>
        <v>#VALUE!</v>
      </c>
      <c r="AJ416" s="878" t="e">
        <f t="shared" si="340"/>
        <v>#VALUE!</v>
      </c>
      <c r="AK416" s="878" t="e">
        <f t="shared" si="341"/>
        <v>#VALUE!</v>
      </c>
      <c r="AL416" s="966" t="e">
        <f t="shared" si="342"/>
        <v>#VALUE!</v>
      </c>
      <c r="AM416" s="239"/>
      <c r="AO416" s="685">
        <f t="shared" si="367"/>
        <v>-3.7936675788298464</v>
      </c>
      <c r="AP416" s="276">
        <f t="shared" si="368"/>
        <v>-1.9148701990650139</v>
      </c>
      <c r="AQ416" s="276">
        <f t="shared" si="369"/>
        <v>-0.49220653893253141</v>
      </c>
      <c r="AR416" s="276">
        <f t="shared" si="370"/>
        <v>-1.8894126110789928</v>
      </c>
      <c r="AS416" s="276">
        <f t="shared" si="371"/>
        <v>-0.82142091375531634</v>
      </c>
      <c r="AT416" s="276">
        <f t="shared" si="372"/>
        <v>-5.4947765067079297</v>
      </c>
      <c r="AU416" s="685">
        <f t="shared" si="373"/>
        <v>1.3483934232721217</v>
      </c>
      <c r="AV416" s="276">
        <f t="shared" si="374"/>
        <v>1.1647076507567411</v>
      </c>
      <c r="AW416" s="276">
        <f t="shared" si="375"/>
        <v>1.1518960105797549</v>
      </c>
      <c r="AX416" s="276">
        <f t="shared" si="376"/>
        <v>1.4561709582799403</v>
      </c>
      <c r="AY416" s="276">
        <f t="shared" si="377"/>
        <v>1.3052234775968807</v>
      </c>
      <c r="AZ416" s="686">
        <f t="shared" si="378"/>
        <v>0.47668077314584978</v>
      </c>
      <c r="BA416" s="685">
        <f t="shared" si="379"/>
        <v>0</v>
      </c>
      <c r="BB416" s="276">
        <f t="shared" si="380"/>
        <v>0</v>
      </c>
      <c r="BC416" s="276">
        <f t="shared" si="381"/>
        <v>0</v>
      </c>
      <c r="BD416" s="276">
        <f t="shared" si="382"/>
        <v>0</v>
      </c>
      <c r="BE416" s="276">
        <f t="shared" si="383"/>
        <v>0</v>
      </c>
      <c r="BF416" s="686">
        <f t="shared" si="384"/>
        <v>0</v>
      </c>
      <c r="BG416" s="685" t="e">
        <f t="shared" si="385"/>
        <v>#DIV/0!</v>
      </c>
      <c r="BH416" s="276" t="e">
        <f t="shared" si="386"/>
        <v>#DIV/0!</v>
      </c>
      <c r="BI416" s="276" t="e">
        <f t="shared" si="387"/>
        <v>#DIV/0!</v>
      </c>
      <c r="BJ416" s="276" t="e">
        <f t="shared" si="388"/>
        <v>#DIV/0!</v>
      </c>
      <c r="BK416" s="276" t="e">
        <f t="shared" si="389"/>
        <v>#DIV/0!</v>
      </c>
      <c r="BL416" s="686" t="e">
        <f t="shared" si="390"/>
        <v>#DIV/0!</v>
      </c>
      <c r="BM416" s="239"/>
      <c r="BN416" s="965" t="e">
        <f t="shared" si="391"/>
        <v>#VALUE!</v>
      </c>
      <c r="BO416" s="878" t="e">
        <f t="shared" si="392"/>
        <v>#VALUE!</v>
      </c>
      <c r="BP416" s="878" t="e">
        <f t="shared" si="393"/>
        <v>#VALUE!</v>
      </c>
      <c r="BQ416" s="878" t="e">
        <f t="shared" si="394"/>
        <v>#VALUE!</v>
      </c>
      <c r="BR416" s="878" t="e">
        <f t="shared" si="395"/>
        <v>#VALUE!</v>
      </c>
      <c r="BS416" s="966" t="e">
        <f t="shared" si="396"/>
        <v>#VALUE!</v>
      </c>
    </row>
    <row r="417" spans="1:71">
      <c r="A417" s="284">
        <f t="shared" si="397"/>
        <v>349</v>
      </c>
      <c r="B417" s="285">
        <v>-1.649547045671431</v>
      </c>
      <c r="C417" s="285">
        <v>2.562431056569515</v>
      </c>
      <c r="D417" s="285">
        <v>0.52949696349972397</v>
      </c>
      <c r="E417" s="285">
        <v>-1.9385143836173673</v>
      </c>
      <c r="H417" s="685">
        <f t="shared" si="343"/>
        <v>-2.7827808874404858</v>
      </c>
      <c r="I417" s="276">
        <f t="shared" si="344"/>
        <v>-0.91355577272038957</v>
      </c>
      <c r="J417" s="276">
        <f t="shared" si="345"/>
        <v>2.4967208668688148</v>
      </c>
      <c r="K417" s="276">
        <f t="shared" si="346"/>
        <v>-1.9547146860188898</v>
      </c>
      <c r="L417" s="276">
        <f t="shared" si="347"/>
        <v>-0.59120323459179014</v>
      </c>
      <c r="M417" s="276">
        <f t="shared" si="348"/>
        <v>-1.0390296160017298</v>
      </c>
      <c r="N417" s="685">
        <f t="shared" si="349"/>
        <v>1.3552598455976466</v>
      </c>
      <c r="O417" s="276">
        <f t="shared" si="350"/>
        <v>1.0904031777918537</v>
      </c>
      <c r="P417" s="276">
        <f t="shared" si="351"/>
        <v>1.5609522631797546</v>
      </c>
      <c r="Q417" s="276">
        <f t="shared" si="352"/>
        <v>1.4309861590840558</v>
      </c>
      <c r="R417" s="276">
        <f t="shared" si="353"/>
        <v>1.9593536375375573</v>
      </c>
      <c r="S417" s="686">
        <f t="shared" si="354"/>
        <v>1.9376751625527835</v>
      </c>
      <c r="T417" s="685">
        <f t="shared" si="355"/>
        <v>3.8078606537706499</v>
      </c>
      <c r="U417" s="276">
        <f t="shared" si="356"/>
        <v>5.2933757029350845</v>
      </c>
      <c r="V417" s="276">
        <f t="shared" si="357"/>
        <v>4.8329154775726986</v>
      </c>
      <c r="W417" s="276">
        <f t="shared" si="358"/>
        <v>6.7261332264547802</v>
      </c>
      <c r="X417" s="276">
        <f t="shared" si="359"/>
        <v>3.777792723233393</v>
      </c>
      <c r="Y417" s="686">
        <f t="shared" si="360"/>
        <v>1.8170315424606107</v>
      </c>
      <c r="Z417" s="685" t="e">
        <f t="shared" si="361"/>
        <v>#DIV/0!</v>
      </c>
      <c r="AA417" s="276" t="e">
        <f t="shared" si="362"/>
        <v>#DIV/0!</v>
      </c>
      <c r="AB417" s="276" t="e">
        <f t="shared" si="363"/>
        <v>#DIV/0!</v>
      </c>
      <c r="AC417" s="276" t="e">
        <f t="shared" si="364"/>
        <v>#DIV/0!</v>
      </c>
      <c r="AD417" s="276" t="e">
        <f t="shared" si="365"/>
        <v>#DIV/0!</v>
      </c>
      <c r="AE417" s="686" t="e">
        <f t="shared" si="366"/>
        <v>#DIV/0!</v>
      </c>
      <c r="AF417" s="239"/>
      <c r="AG417" s="965" t="e">
        <f t="shared" si="337"/>
        <v>#VALUE!</v>
      </c>
      <c r="AH417" s="878" t="e">
        <f t="shared" si="338"/>
        <v>#VALUE!</v>
      </c>
      <c r="AI417" s="878" t="e">
        <f t="shared" si="339"/>
        <v>#VALUE!</v>
      </c>
      <c r="AJ417" s="878" t="e">
        <f t="shared" si="340"/>
        <v>#VALUE!</v>
      </c>
      <c r="AK417" s="878" t="e">
        <f t="shared" si="341"/>
        <v>#VALUE!</v>
      </c>
      <c r="AL417" s="966" t="e">
        <f t="shared" si="342"/>
        <v>#VALUE!</v>
      </c>
      <c r="AM417" s="239"/>
      <c r="AO417" s="685">
        <f t="shared" si="367"/>
        <v>-2.7827808874404858</v>
      </c>
      <c r="AP417" s="276">
        <f t="shared" si="368"/>
        <v>-0.91355577272038957</v>
      </c>
      <c r="AQ417" s="276">
        <f t="shared" si="369"/>
        <v>2.4967208668688148</v>
      </c>
      <c r="AR417" s="276">
        <f t="shared" si="370"/>
        <v>-1.9547146860188898</v>
      </c>
      <c r="AS417" s="276">
        <f t="shared" si="371"/>
        <v>-0.59120323459179014</v>
      </c>
      <c r="AT417" s="276">
        <f t="shared" si="372"/>
        <v>-1.0390296160017298</v>
      </c>
      <c r="AU417" s="685">
        <f t="shared" si="373"/>
        <v>1.3552598455976466</v>
      </c>
      <c r="AV417" s="276">
        <f t="shared" si="374"/>
        <v>1.0904031777918537</v>
      </c>
      <c r="AW417" s="276">
        <f t="shared" si="375"/>
        <v>1.5609522631797546</v>
      </c>
      <c r="AX417" s="276">
        <f t="shared" si="376"/>
        <v>1.4309861590840558</v>
      </c>
      <c r="AY417" s="276">
        <f t="shared" si="377"/>
        <v>1.9593536375375573</v>
      </c>
      <c r="AZ417" s="686">
        <f t="shared" si="378"/>
        <v>1.9376751625527835</v>
      </c>
      <c r="BA417" s="685">
        <f t="shared" si="379"/>
        <v>0</v>
      </c>
      <c r="BB417" s="276">
        <f t="shared" si="380"/>
        <v>0</v>
      </c>
      <c r="BC417" s="276">
        <f t="shared" si="381"/>
        <v>0</v>
      </c>
      <c r="BD417" s="276">
        <f t="shared" si="382"/>
        <v>0</v>
      </c>
      <c r="BE417" s="276">
        <f t="shared" si="383"/>
        <v>0</v>
      </c>
      <c r="BF417" s="686">
        <f t="shared" si="384"/>
        <v>0</v>
      </c>
      <c r="BG417" s="685" t="e">
        <f t="shared" si="385"/>
        <v>#DIV/0!</v>
      </c>
      <c r="BH417" s="276" t="e">
        <f t="shared" si="386"/>
        <v>#DIV/0!</v>
      </c>
      <c r="BI417" s="276" t="e">
        <f t="shared" si="387"/>
        <v>#DIV/0!</v>
      </c>
      <c r="BJ417" s="276" t="e">
        <f t="shared" si="388"/>
        <v>#DIV/0!</v>
      </c>
      <c r="BK417" s="276" t="e">
        <f t="shared" si="389"/>
        <v>#DIV/0!</v>
      </c>
      <c r="BL417" s="686" t="e">
        <f t="shared" si="390"/>
        <v>#DIV/0!</v>
      </c>
      <c r="BM417" s="239"/>
      <c r="BN417" s="965" t="e">
        <f t="shared" si="391"/>
        <v>#VALUE!</v>
      </c>
      <c r="BO417" s="878" t="e">
        <f t="shared" si="392"/>
        <v>#VALUE!</v>
      </c>
      <c r="BP417" s="878" t="e">
        <f t="shared" si="393"/>
        <v>#VALUE!</v>
      </c>
      <c r="BQ417" s="878" t="e">
        <f t="shared" si="394"/>
        <v>#VALUE!</v>
      </c>
      <c r="BR417" s="878" t="e">
        <f t="shared" si="395"/>
        <v>#VALUE!</v>
      </c>
      <c r="BS417" s="966" t="e">
        <f t="shared" si="396"/>
        <v>#VALUE!</v>
      </c>
    </row>
    <row r="418" spans="1:71">
      <c r="A418" s="284">
        <f t="shared" si="397"/>
        <v>350</v>
      </c>
      <c r="B418" s="285">
        <v>-3.5370063929178319</v>
      </c>
      <c r="C418" s="285">
        <v>2.2497747007166837</v>
      </c>
      <c r="D418" s="285">
        <v>1.6473037541025586</v>
      </c>
      <c r="E418" s="285">
        <v>3.6128386431219135</v>
      </c>
      <c r="H418" s="685">
        <f t="shared" si="343"/>
        <v>-4.6702402346868865</v>
      </c>
      <c r="I418" s="276">
        <f t="shared" si="344"/>
        <v>-2.7760105417298879</v>
      </c>
      <c r="J418" s="276">
        <f t="shared" si="345"/>
        <v>-0.63168224933790529</v>
      </c>
      <c r="K418" s="276">
        <f t="shared" si="346"/>
        <v>-0.14858109390626639</v>
      </c>
      <c r="L418" s="276">
        <f t="shared" si="347"/>
        <v>-2.2079582540224241</v>
      </c>
      <c r="M418" s="276">
        <f t="shared" si="348"/>
        <v>-4.9247603324358469</v>
      </c>
      <c r="N418" s="685">
        <f t="shared" si="349"/>
        <v>1.0426034897448153</v>
      </c>
      <c r="O418" s="276">
        <f t="shared" si="350"/>
        <v>0.68305140491038308</v>
      </c>
      <c r="P418" s="276">
        <f t="shared" si="351"/>
        <v>0.13296643036741451</v>
      </c>
      <c r="Q418" s="276">
        <f t="shared" si="352"/>
        <v>1.2308188745404933</v>
      </c>
      <c r="R418" s="276">
        <f t="shared" si="353"/>
        <v>0.98288598487774625</v>
      </c>
      <c r="S418" s="686">
        <f t="shared" si="354"/>
        <v>1.3571935870529048</v>
      </c>
      <c r="T418" s="685">
        <f t="shared" si="355"/>
        <v>4.9256674443734845</v>
      </c>
      <c r="U418" s="276">
        <f t="shared" si="356"/>
        <v>4.6056753011741627</v>
      </c>
      <c r="V418" s="276">
        <f t="shared" si="357"/>
        <v>3.8536346996424564</v>
      </c>
      <c r="W418" s="276">
        <f t="shared" si="358"/>
        <v>3.1290815930234812</v>
      </c>
      <c r="X418" s="276">
        <f t="shared" si="359"/>
        <v>5.96628960090053</v>
      </c>
      <c r="Y418" s="686">
        <f t="shared" si="360"/>
        <v>4.3052893703530337</v>
      </c>
      <c r="Z418" s="685" t="e">
        <f t="shared" si="361"/>
        <v>#DIV/0!</v>
      </c>
      <c r="AA418" s="276" t="e">
        <f t="shared" si="362"/>
        <v>#DIV/0!</v>
      </c>
      <c r="AB418" s="276" t="e">
        <f t="shared" si="363"/>
        <v>#DIV/0!</v>
      </c>
      <c r="AC418" s="276" t="e">
        <f t="shared" si="364"/>
        <v>#DIV/0!</v>
      </c>
      <c r="AD418" s="276" t="e">
        <f t="shared" si="365"/>
        <v>#DIV/0!</v>
      </c>
      <c r="AE418" s="686" t="e">
        <f t="shared" si="366"/>
        <v>#DIV/0!</v>
      </c>
      <c r="AF418" s="239"/>
      <c r="AG418" s="965" t="e">
        <f t="shared" si="337"/>
        <v>#VALUE!</v>
      </c>
      <c r="AH418" s="878" t="e">
        <f t="shared" si="338"/>
        <v>#VALUE!</v>
      </c>
      <c r="AI418" s="878" t="e">
        <f t="shared" si="339"/>
        <v>#VALUE!</v>
      </c>
      <c r="AJ418" s="878" t="e">
        <f t="shared" si="340"/>
        <v>#VALUE!</v>
      </c>
      <c r="AK418" s="878" t="e">
        <f t="shared" si="341"/>
        <v>#VALUE!</v>
      </c>
      <c r="AL418" s="966" t="e">
        <f t="shared" si="342"/>
        <v>#VALUE!</v>
      </c>
      <c r="AM418" s="239"/>
      <c r="AO418" s="685">
        <f t="shared" si="367"/>
        <v>-4.6702402346868865</v>
      </c>
      <c r="AP418" s="276">
        <f t="shared" si="368"/>
        <v>-2.7760105417298879</v>
      </c>
      <c r="AQ418" s="276">
        <f t="shared" si="369"/>
        <v>-0.63168224933790529</v>
      </c>
      <c r="AR418" s="276">
        <f t="shared" si="370"/>
        <v>-0.14858109390626639</v>
      </c>
      <c r="AS418" s="276">
        <f t="shared" si="371"/>
        <v>-2.2079582540224241</v>
      </c>
      <c r="AT418" s="276">
        <f t="shared" si="372"/>
        <v>-4.9247603324358469</v>
      </c>
      <c r="AU418" s="685">
        <f t="shared" si="373"/>
        <v>1.0426034897448153</v>
      </c>
      <c r="AV418" s="276">
        <f t="shared" si="374"/>
        <v>0.68305140491038308</v>
      </c>
      <c r="AW418" s="276">
        <f t="shared" si="375"/>
        <v>0.13296643036741451</v>
      </c>
      <c r="AX418" s="276">
        <f t="shared" si="376"/>
        <v>1.2308188745404933</v>
      </c>
      <c r="AY418" s="276">
        <f t="shared" si="377"/>
        <v>0.98288598487774625</v>
      </c>
      <c r="AZ418" s="686">
        <f t="shared" si="378"/>
        <v>1.3571935870529048</v>
      </c>
      <c r="BA418" s="685">
        <f t="shared" si="379"/>
        <v>0</v>
      </c>
      <c r="BB418" s="276">
        <f t="shared" si="380"/>
        <v>0</v>
      </c>
      <c r="BC418" s="276">
        <f t="shared" si="381"/>
        <v>0</v>
      </c>
      <c r="BD418" s="276">
        <f t="shared" si="382"/>
        <v>0</v>
      </c>
      <c r="BE418" s="276">
        <f t="shared" si="383"/>
        <v>0</v>
      </c>
      <c r="BF418" s="686">
        <f t="shared" si="384"/>
        <v>0</v>
      </c>
      <c r="BG418" s="685" t="e">
        <f t="shared" si="385"/>
        <v>#DIV/0!</v>
      </c>
      <c r="BH418" s="276" t="e">
        <f t="shared" si="386"/>
        <v>#DIV/0!</v>
      </c>
      <c r="BI418" s="276" t="e">
        <f t="shared" si="387"/>
        <v>#DIV/0!</v>
      </c>
      <c r="BJ418" s="276" t="e">
        <f t="shared" si="388"/>
        <v>#DIV/0!</v>
      </c>
      <c r="BK418" s="276" t="e">
        <f t="shared" si="389"/>
        <v>#DIV/0!</v>
      </c>
      <c r="BL418" s="686" t="e">
        <f t="shared" si="390"/>
        <v>#DIV/0!</v>
      </c>
      <c r="BM418" s="239"/>
      <c r="BN418" s="965" t="e">
        <f t="shared" si="391"/>
        <v>#VALUE!</v>
      </c>
      <c r="BO418" s="878" t="e">
        <f t="shared" si="392"/>
        <v>#VALUE!</v>
      </c>
      <c r="BP418" s="878" t="e">
        <f t="shared" si="393"/>
        <v>#VALUE!</v>
      </c>
      <c r="BQ418" s="878" t="e">
        <f t="shared" si="394"/>
        <v>#VALUE!</v>
      </c>
      <c r="BR418" s="878" t="e">
        <f t="shared" si="395"/>
        <v>#VALUE!</v>
      </c>
      <c r="BS418" s="966" t="e">
        <f t="shared" si="396"/>
        <v>#VALUE!</v>
      </c>
    </row>
    <row r="419" spans="1:71">
      <c r="A419" s="284">
        <f t="shared" si="397"/>
        <v>351</v>
      </c>
      <c r="B419" s="285">
        <v>-0.90846002812934168</v>
      </c>
      <c r="C419" s="285">
        <v>1.5954119548296168</v>
      </c>
      <c r="D419" s="285">
        <v>1.57691725722561</v>
      </c>
      <c r="E419" s="285">
        <v>-26.715216936215018</v>
      </c>
      <c r="H419" s="685">
        <f t="shared" si="343"/>
        <v>-2.0416938698983964</v>
      </c>
      <c r="I419" s="276">
        <f t="shared" si="344"/>
        <v>1.5370199086276015E-2</v>
      </c>
      <c r="J419" s="276">
        <f t="shared" si="345"/>
        <v>-6.1764643031088893</v>
      </c>
      <c r="K419" s="276">
        <f t="shared" si="346"/>
        <v>-1.8760814300138673</v>
      </c>
      <c r="L419" s="276">
        <f t="shared" si="347"/>
        <v>-2.1913515931325809</v>
      </c>
      <c r="M419" s="276">
        <f t="shared" si="348"/>
        <v>-2.9351682679483302</v>
      </c>
      <c r="N419" s="685">
        <f t="shared" si="349"/>
        <v>0.38824074385774843</v>
      </c>
      <c r="O419" s="276">
        <f t="shared" si="350"/>
        <v>0.89499583345476785</v>
      </c>
      <c r="P419" s="276">
        <f t="shared" si="351"/>
        <v>0.27669642558453433</v>
      </c>
      <c r="Q419" s="276">
        <f t="shared" si="352"/>
        <v>1.3366848046259745</v>
      </c>
      <c r="R419" s="276">
        <f t="shared" si="353"/>
        <v>1.4280623105335437</v>
      </c>
      <c r="S419" s="686">
        <f t="shared" si="354"/>
        <v>1.4852966941109622</v>
      </c>
      <c r="T419" s="685">
        <f t="shared" si="355"/>
        <v>4.8552809474965359</v>
      </c>
      <c r="U419" s="276">
        <f t="shared" si="356"/>
        <v>4.8962622721631046</v>
      </c>
      <c r="V419" s="276">
        <f t="shared" si="357"/>
        <v>2.9387256547699199</v>
      </c>
      <c r="W419" s="276">
        <f t="shared" si="358"/>
        <v>7.4221562812596886</v>
      </c>
      <c r="X419" s="276">
        <f t="shared" si="359"/>
        <v>2.0667067141421192</v>
      </c>
      <c r="Y419" s="686">
        <f t="shared" si="360"/>
        <v>1.8205868036773505</v>
      </c>
      <c r="Z419" s="685" t="e">
        <f t="shared" si="361"/>
        <v>#DIV/0!</v>
      </c>
      <c r="AA419" s="276" t="e">
        <f t="shared" si="362"/>
        <v>#DIV/0!</v>
      </c>
      <c r="AB419" s="276" t="e">
        <f t="shared" si="363"/>
        <v>#DIV/0!</v>
      </c>
      <c r="AC419" s="276" t="e">
        <f t="shared" si="364"/>
        <v>#DIV/0!</v>
      </c>
      <c r="AD419" s="276" t="e">
        <f t="shared" si="365"/>
        <v>#DIV/0!</v>
      </c>
      <c r="AE419" s="686" t="e">
        <f t="shared" si="366"/>
        <v>#DIV/0!</v>
      </c>
      <c r="AF419" s="239"/>
      <c r="AG419" s="965" t="e">
        <f t="shared" si="337"/>
        <v>#VALUE!</v>
      </c>
      <c r="AH419" s="878" t="e">
        <f t="shared" si="338"/>
        <v>#VALUE!</v>
      </c>
      <c r="AI419" s="878" t="e">
        <f t="shared" si="339"/>
        <v>#VALUE!</v>
      </c>
      <c r="AJ419" s="878" t="e">
        <f t="shared" si="340"/>
        <v>#VALUE!</v>
      </c>
      <c r="AK419" s="878" t="e">
        <f t="shared" si="341"/>
        <v>#VALUE!</v>
      </c>
      <c r="AL419" s="966" t="e">
        <f t="shared" si="342"/>
        <v>#VALUE!</v>
      </c>
      <c r="AM419" s="239"/>
      <c r="AO419" s="685">
        <f t="shared" si="367"/>
        <v>-2.0416938698983964</v>
      </c>
      <c r="AP419" s="276">
        <f t="shared" si="368"/>
        <v>1.5370199086276015E-2</v>
      </c>
      <c r="AQ419" s="276">
        <f t="shared" si="369"/>
        <v>-6.1764643031088893</v>
      </c>
      <c r="AR419" s="276">
        <f t="shared" si="370"/>
        <v>-1.8760814300138673</v>
      </c>
      <c r="AS419" s="276">
        <f t="shared" si="371"/>
        <v>-2.1913515931325809</v>
      </c>
      <c r="AT419" s="276">
        <f t="shared" si="372"/>
        <v>-2.9351682679483302</v>
      </c>
      <c r="AU419" s="685">
        <f t="shared" si="373"/>
        <v>0.38824074385774843</v>
      </c>
      <c r="AV419" s="276">
        <f t="shared" si="374"/>
        <v>0.89499583345476785</v>
      </c>
      <c r="AW419" s="276">
        <f t="shared" si="375"/>
        <v>0.27669642558453433</v>
      </c>
      <c r="AX419" s="276">
        <f t="shared" si="376"/>
        <v>1.3366848046259745</v>
      </c>
      <c r="AY419" s="276">
        <f t="shared" si="377"/>
        <v>1.4280623105335437</v>
      </c>
      <c r="AZ419" s="686">
        <f t="shared" si="378"/>
        <v>1.4852966941109622</v>
      </c>
      <c r="BA419" s="685">
        <f t="shared" si="379"/>
        <v>0</v>
      </c>
      <c r="BB419" s="276">
        <f t="shared" si="380"/>
        <v>0</v>
      </c>
      <c r="BC419" s="276">
        <f t="shared" si="381"/>
        <v>0</v>
      </c>
      <c r="BD419" s="276">
        <f t="shared" si="382"/>
        <v>0</v>
      </c>
      <c r="BE419" s="276">
        <f t="shared" si="383"/>
        <v>0</v>
      </c>
      <c r="BF419" s="686">
        <f t="shared" si="384"/>
        <v>0</v>
      </c>
      <c r="BG419" s="685" t="e">
        <f t="shared" si="385"/>
        <v>#DIV/0!</v>
      </c>
      <c r="BH419" s="276" t="e">
        <f t="shared" si="386"/>
        <v>#DIV/0!</v>
      </c>
      <c r="BI419" s="276" t="e">
        <f t="shared" si="387"/>
        <v>#DIV/0!</v>
      </c>
      <c r="BJ419" s="276" t="e">
        <f t="shared" si="388"/>
        <v>#DIV/0!</v>
      </c>
      <c r="BK419" s="276" t="e">
        <f t="shared" si="389"/>
        <v>#DIV/0!</v>
      </c>
      <c r="BL419" s="686" t="e">
        <f t="shared" si="390"/>
        <v>#DIV/0!</v>
      </c>
      <c r="BM419" s="239"/>
      <c r="BN419" s="965" t="e">
        <f t="shared" si="391"/>
        <v>#VALUE!</v>
      </c>
      <c r="BO419" s="878" t="e">
        <f t="shared" si="392"/>
        <v>#VALUE!</v>
      </c>
      <c r="BP419" s="878" t="e">
        <f t="shared" si="393"/>
        <v>#VALUE!</v>
      </c>
      <c r="BQ419" s="878" t="e">
        <f t="shared" si="394"/>
        <v>#VALUE!</v>
      </c>
      <c r="BR419" s="878" t="e">
        <f t="shared" si="395"/>
        <v>#VALUE!</v>
      </c>
      <c r="BS419" s="966" t="e">
        <f t="shared" si="396"/>
        <v>#VALUE!</v>
      </c>
    </row>
    <row r="420" spans="1:71">
      <c r="A420" s="284">
        <f t="shared" si="397"/>
        <v>352</v>
      </c>
      <c r="B420" s="285">
        <v>1.2260931816492129</v>
      </c>
      <c r="C420" s="285">
        <v>2.3565497353235592</v>
      </c>
      <c r="D420" s="285">
        <v>0.41195564650881522</v>
      </c>
      <c r="E420" s="285">
        <v>-4.1585414714158517</v>
      </c>
      <c r="H420" s="685">
        <f t="shared" si="343"/>
        <v>9.2859339880158043E-2</v>
      </c>
      <c r="I420" s="276">
        <f t="shared" si="344"/>
        <v>-2.0532288412077504</v>
      </c>
      <c r="J420" s="276">
        <f t="shared" si="345"/>
        <v>1.6345984959984079</v>
      </c>
      <c r="K420" s="276">
        <f t="shared" si="346"/>
        <v>-1.2013720520136451</v>
      </c>
      <c r="L420" s="276">
        <f t="shared" si="347"/>
        <v>-2.2393034668088365</v>
      </c>
      <c r="M420" s="276">
        <f t="shared" si="348"/>
        <v>-3.685249342118019</v>
      </c>
      <c r="N420" s="685">
        <f t="shared" si="349"/>
        <v>1.1493785243516907</v>
      </c>
      <c r="O420" s="276">
        <f t="shared" si="350"/>
        <v>1.3069836372197743</v>
      </c>
      <c r="P420" s="276">
        <f t="shared" si="351"/>
        <v>1.5171693425199748</v>
      </c>
      <c r="Q420" s="276">
        <f t="shared" si="352"/>
        <v>1.3060294030545994</v>
      </c>
      <c r="R420" s="276">
        <f t="shared" si="353"/>
        <v>1.1919197664077876</v>
      </c>
      <c r="S420" s="686">
        <f t="shared" si="354"/>
        <v>1.2544232070385724</v>
      </c>
      <c r="T420" s="685">
        <f t="shared" si="355"/>
        <v>3.6903193367797411</v>
      </c>
      <c r="U420" s="276">
        <f t="shared" si="356"/>
        <v>4.4004598599861016</v>
      </c>
      <c r="V420" s="276">
        <f t="shared" si="357"/>
        <v>6.518157939044456</v>
      </c>
      <c r="W420" s="276">
        <f t="shared" si="358"/>
        <v>3.0918919285783737</v>
      </c>
      <c r="X420" s="276">
        <f t="shared" si="359"/>
        <v>4.9989187647139399</v>
      </c>
      <c r="Y420" s="686">
        <f t="shared" si="360"/>
        <v>4.7914172430886781</v>
      </c>
      <c r="Z420" s="685" t="e">
        <f t="shared" si="361"/>
        <v>#DIV/0!</v>
      </c>
      <c r="AA420" s="276" t="e">
        <f t="shared" si="362"/>
        <v>#DIV/0!</v>
      </c>
      <c r="AB420" s="276" t="e">
        <f t="shared" si="363"/>
        <v>#DIV/0!</v>
      </c>
      <c r="AC420" s="276" t="e">
        <f t="shared" si="364"/>
        <v>#DIV/0!</v>
      </c>
      <c r="AD420" s="276" t="e">
        <f t="shared" si="365"/>
        <v>#DIV/0!</v>
      </c>
      <c r="AE420" s="686" t="e">
        <f t="shared" si="366"/>
        <v>#DIV/0!</v>
      </c>
      <c r="AF420" s="239"/>
      <c r="AG420" s="965" t="e">
        <f t="shared" si="337"/>
        <v>#VALUE!</v>
      </c>
      <c r="AH420" s="878" t="e">
        <f t="shared" si="338"/>
        <v>#VALUE!</v>
      </c>
      <c r="AI420" s="878" t="e">
        <f t="shared" si="339"/>
        <v>#VALUE!</v>
      </c>
      <c r="AJ420" s="878" t="e">
        <f t="shared" si="340"/>
        <v>#VALUE!</v>
      </c>
      <c r="AK420" s="878" t="e">
        <f t="shared" si="341"/>
        <v>#VALUE!</v>
      </c>
      <c r="AL420" s="966" t="e">
        <f t="shared" si="342"/>
        <v>#VALUE!</v>
      </c>
      <c r="AM420" s="239"/>
      <c r="AO420" s="685">
        <f t="shared" si="367"/>
        <v>9.2859339880158043E-2</v>
      </c>
      <c r="AP420" s="276">
        <f t="shared" si="368"/>
        <v>-2.0532288412077504</v>
      </c>
      <c r="AQ420" s="276">
        <f t="shared" si="369"/>
        <v>1.6345984959984079</v>
      </c>
      <c r="AR420" s="276">
        <f t="shared" si="370"/>
        <v>-1.2013720520136451</v>
      </c>
      <c r="AS420" s="276">
        <f t="shared" si="371"/>
        <v>-2.2393034668088365</v>
      </c>
      <c r="AT420" s="276">
        <f t="shared" si="372"/>
        <v>-3.685249342118019</v>
      </c>
      <c r="AU420" s="685">
        <f t="shared" si="373"/>
        <v>1.1493785243516907</v>
      </c>
      <c r="AV420" s="276">
        <f t="shared" si="374"/>
        <v>1.3069836372197743</v>
      </c>
      <c r="AW420" s="276">
        <f t="shared" si="375"/>
        <v>1.5171693425199748</v>
      </c>
      <c r="AX420" s="276">
        <f t="shared" si="376"/>
        <v>1.3060294030545994</v>
      </c>
      <c r="AY420" s="276">
        <f t="shared" si="377"/>
        <v>1.1919197664077876</v>
      </c>
      <c r="AZ420" s="686">
        <f t="shared" si="378"/>
        <v>1.2544232070385724</v>
      </c>
      <c r="BA420" s="685">
        <f t="shared" si="379"/>
        <v>0</v>
      </c>
      <c r="BB420" s="276">
        <f t="shared" si="380"/>
        <v>0</v>
      </c>
      <c r="BC420" s="276">
        <f t="shared" si="381"/>
        <v>0</v>
      </c>
      <c r="BD420" s="276">
        <f t="shared" si="382"/>
        <v>0</v>
      </c>
      <c r="BE420" s="276">
        <f t="shared" si="383"/>
        <v>0</v>
      </c>
      <c r="BF420" s="686">
        <f t="shared" si="384"/>
        <v>0</v>
      </c>
      <c r="BG420" s="685" t="e">
        <f t="shared" si="385"/>
        <v>#DIV/0!</v>
      </c>
      <c r="BH420" s="276" t="e">
        <f t="shared" si="386"/>
        <v>#DIV/0!</v>
      </c>
      <c r="BI420" s="276" t="e">
        <f t="shared" si="387"/>
        <v>#DIV/0!</v>
      </c>
      <c r="BJ420" s="276" t="e">
        <f t="shared" si="388"/>
        <v>#DIV/0!</v>
      </c>
      <c r="BK420" s="276" t="e">
        <f t="shared" si="389"/>
        <v>#DIV/0!</v>
      </c>
      <c r="BL420" s="686" t="e">
        <f t="shared" si="390"/>
        <v>#DIV/0!</v>
      </c>
      <c r="BM420" s="239"/>
      <c r="BN420" s="965" t="e">
        <f t="shared" si="391"/>
        <v>#VALUE!</v>
      </c>
      <c r="BO420" s="878" t="e">
        <f t="shared" si="392"/>
        <v>#VALUE!</v>
      </c>
      <c r="BP420" s="878" t="e">
        <f t="shared" si="393"/>
        <v>#VALUE!</v>
      </c>
      <c r="BQ420" s="878" t="e">
        <f t="shared" si="394"/>
        <v>#VALUE!</v>
      </c>
      <c r="BR420" s="878" t="e">
        <f t="shared" si="395"/>
        <v>#VALUE!</v>
      </c>
      <c r="BS420" s="966" t="e">
        <f t="shared" si="396"/>
        <v>#VALUE!</v>
      </c>
    </row>
    <row r="421" spans="1:71">
      <c r="A421" s="284">
        <f t="shared" si="397"/>
        <v>353</v>
      </c>
      <c r="B421" s="285">
        <v>-1.1317088622559255</v>
      </c>
      <c r="C421" s="285">
        <v>2.7158879929685211</v>
      </c>
      <c r="D421" s="285">
        <v>0.75700730833413754</v>
      </c>
      <c r="E421" s="285">
        <v>-4.6145145525383615</v>
      </c>
      <c r="H421" s="685">
        <f t="shared" si="343"/>
        <v>-2.2649427040249801</v>
      </c>
      <c r="I421" s="276">
        <f t="shared" si="344"/>
        <v>-3.2485206921340168</v>
      </c>
      <c r="J421" s="276">
        <f t="shared" si="345"/>
        <v>-2.1845056972877348</v>
      </c>
      <c r="K421" s="276">
        <f t="shared" si="346"/>
        <v>-3.608937198118916</v>
      </c>
      <c r="L421" s="276">
        <f t="shared" si="347"/>
        <v>2.1609298011628697</v>
      </c>
      <c r="M421" s="276">
        <f t="shared" si="348"/>
        <v>-3.823931234489133</v>
      </c>
      <c r="N421" s="685">
        <f t="shared" si="349"/>
        <v>1.5087167819966527</v>
      </c>
      <c r="O421" s="276">
        <f t="shared" si="350"/>
        <v>0.63349056222439093</v>
      </c>
      <c r="P421" s="276">
        <f t="shared" si="351"/>
        <v>1.7877661631966075</v>
      </c>
      <c r="Q421" s="276">
        <f t="shared" si="352"/>
        <v>0.87807945669664877</v>
      </c>
      <c r="R421" s="276">
        <f t="shared" si="353"/>
        <v>1.7708251741854186</v>
      </c>
      <c r="S421" s="686">
        <f t="shared" si="354"/>
        <v>0.90509405561900125</v>
      </c>
      <c r="T421" s="685">
        <f t="shared" si="355"/>
        <v>4.0353709986050639</v>
      </c>
      <c r="U421" s="276">
        <f t="shared" si="356"/>
        <v>3.55423339002175</v>
      </c>
      <c r="V421" s="276">
        <f t="shared" si="357"/>
        <v>2.9451282367135576</v>
      </c>
      <c r="W421" s="276">
        <f t="shared" si="358"/>
        <v>4.8165971158310175</v>
      </c>
      <c r="X421" s="276">
        <f t="shared" si="359"/>
        <v>5.0445062346823502</v>
      </c>
      <c r="Y421" s="686">
        <f t="shared" si="360"/>
        <v>3.8628876735548476</v>
      </c>
      <c r="Z421" s="685" t="e">
        <f t="shared" si="361"/>
        <v>#DIV/0!</v>
      </c>
      <c r="AA421" s="276" t="e">
        <f t="shared" si="362"/>
        <v>#DIV/0!</v>
      </c>
      <c r="AB421" s="276" t="e">
        <f t="shared" si="363"/>
        <v>#DIV/0!</v>
      </c>
      <c r="AC421" s="276" t="e">
        <f t="shared" si="364"/>
        <v>#DIV/0!</v>
      </c>
      <c r="AD421" s="276" t="e">
        <f t="shared" si="365"/>
        <v>#DIV/0!</v>
      </c>
      <c r="AE421" s="686" t="e">
        <f t="shared" si="366"/>
        <v>#DIV/0!</v>
      </c>
      <c r="AF421" s="239"/>
      <c r="AG421" s="965" t="e">
        <f t="shared" si="337"/>
        <v>#VALUE!</v>
      </c>
      <c r="AH421" s="878" t="e">
        <f t="shared" si="338"/>
        <v>#VALUE!</v>
      </c>
      <c r="AI421" s="878" t="e">
        <f t="shared" si="339"/>
        <v>#VALUE!</v>
      </c>
      <c r="AJ421" s="878" t="e">
        <f t="shared" si="340"/>
        <v>#VALUE!</v>
      </c>
      <c r="AK421" s="878" t="e">
        <f t="shared" si="341"/>
        <v>#VALUE!</v>
      </c>
      <c r="AL421" s="966" t="e">
        <f t="shared" si="342"/>
        <v>#VALUE!</v>
      </c>
      <c r="AM421" s="239"/>
      <c r="AO421" s="685">
        <f t="shared" si="367"/>
        <v>-2.2649427040249801</v>
      </c>
      <c r="AP421" s="276">
        <f t="shared" si="368"/>
        <v>-3.2485206921340168</v>
      </c>
      <c r="AQ421" s="276">
        <f t="shared" si="369"/>
        <v>-2.1845056972877348</v>
      </c>
      <c r="AR421" s="276">
        <f t="shared" si="370"/>
        <v>-3.608937198118916</v>
      </c>
      <c r="AS421" s="276">
        <f t="shared" si="371"/>
        <v>2.1609298011628697</v>
      </c>
      <c r="AT421" s="276">
        <f t="shared" si="372"/>
        <v>-3.823931234489133</v>
      </c>
      <c r="AU421" s="685">
        <f t="shared" si="373"/>
        <v>1.5087167819966527</v>
      </c>
      <c r="AV421" s="276">
        <f t="shared" si="374"/>
        <v>0.63349056222439093</v>
      </c>
      <c r="AW421" s="276">
        <f t="shared" si="375"/>
        <v>1.7877661631966075</v>
      </c>
      <c r="AX421" s="276">
        <f t="shared" si="376"/>
        <v>0.87807945669664877</v>
      </c>
      <c r="AY421" s="276">
        <f t="shared" si="377"/>
        <v>1.7708251741854186</v>
      </c>
      <c r="AZ421" s="686">
        <f t="shared" si="378"/>
        <v>0.90509405561900125</v>
      </c>
      <c r="BA421" s="685">
        <f t="shared" si="379"/>
        <v>0</v>
      </c>
      <c r="BB421" s="276">
        <f t="shared" si="380"/>
        <v>0</v>
      </c>
      <c r="BC421" s="276">
        <f t="shared" si="381"/>
        <v>0</v>
      </c>
      <c r="BD421" s="276">
        <f t="shared" si="382"/>
        <v>0</v>
      </c>
      <c r="BE421" s="276">
        <f t="shared" si="383"/>
        <v>0</v>
      </c>
      <c r="BF421" s="686">
        <f t="shared" si="384"/>
        <v>0</v>
      </c>
      <c r="BG421" s="685" t="e">
        <f t="shared" si="385"/>
        <v>#DIV/0!</v>
      </c>
      <c r="BH421" s="276" t="e">
        <f t="shared" si="386"/>
        <v>#DIV/0!</v>
      </c>
      <c r="BI421" s="276" t="e">
        <f t="shared" si="387"/>
        <v>#DIV/0!</v>
      </c>
      <c r="BJ421" s="276" t="e">
        <f t="shared" si="388"/>
        <v>#DIV/0!</v>
      </c>
      <c r="BK421" s="276" t="e">
        <f t="shared" si="389"/>
        <v>#DIV/0!</v>
      </c>
      <c r="BL421" s="686" t="e">
        <f t="shared" si="390"/>
        <v>#DIV/0!</v>
      </c>
      <c r="BM421" s="239"/>
      <c r="BN421" s="965" t="e">
        <f t="shared" si="391"/>
        <v>#VALUE!</v>
      </c>
      <c r="BO421" s="878" t="e">
        <f t="shared" si="392"/>
        <v>#VALUE!</v>
      </c>
      <c r="BP421" s="878" t="e">
        <f t="shared" si="393"/>
        <v>#VALUE!</v>
      </c>
      <c r="BQ421" s="878" t="e">
        <f t="shared" si="394"/>
        <v>#VALUE!</v>
      </c>
      <c r="BR421" s="878" t="e">
        <f t="shared" si="395"/>
        <v>#VALUE!</v>
      </c>
      <c r="BS421" s="966" t="e">
        <f t="shared" si="396"/>
        <v>#VALUE!</v>
      </c>
    </row>
    <row r="422" spans="1:71">
      <c r="A422" s="284">
        <f t="shared" si="397"/>
        <v>354</v>
      </c>
      <c r="B422" s="285">
        <v>1.2793773936069182</v>
      </c>
      <c r="C422" s="285">
        <v>2.9892265047332214</v>
      </c>
      <c r="D422" s="285">
        <v>0.60191433767622049</v>
      </c>
      <c r="E422" s="285">
        <v>-2.9275469564997549</v>
      </c>
      <c r="H422" s="685">
        <f t="shared" si="343"/>
        <v>0.14614355183786332</v>
      </c>
      <c r="I422" s="276">
        <f t="shared" si="344"/>
        <v>-3.300330284074013</v>
      </c>
      <c r="J422" s="276">
        <f t="shared" si="345"/>
        <v>-1.9329224852654265</v>
      </c>
      <c r="K422" s="276">
        <f t="shared" si="346"/>
        <v>-1.7441875682508299</v>
      </c>
      <c r="L422" s="276">
        <f t="shared" si="347"/>
        <v>-1.66331021757788</v>
      </c>
      <c r="M422" s="276">
        <f t="shared" si="348"/>
        <v>-6.3122167708262849</v>
      </c>
      <c r="N422" s="685">
        <f t="shared" si="349"/>
        <v>1.782055293761353</v>
      </c>
      <c r="O422" s="276">
        <f t="shared" si="350"/>
        <v>1.3771016043368236</v>
      </c>
      <c r="P422" s="276">
        <f t="shared" si="351"/>
        <v>1.8253543000536723</v>
      </c>
      <c r="Q422" s="276">
        <f t="shared" si="352"/>
        <v>1.1908207279734035</v>
      </c>
      <c r="R422" s="276">
        <f t="shared" si="353"/>
        <v>2.4579707028823536</v>
      </c>
      <c r="S422" s="686">
        <f t="shared" si="354"/>
        <v>0.86807921097046337</v>
      </c>
      <c r="T422" s="685">
        <f t="shared" si="355"/>
        <v>3.8802780279471465</v>
      </c>
      <c r="U422" s="276">
        <f t="shared" si="356"/>
        <v>5.8122666165903123</v>
      </c>
      <c r="V422" s="276">
        <f t="shared" si="357"/>
        <v>3.5454147829976899</v>
      </c>
      <c r="W422" s="276">
        <f t="shared" si="358"/>
        <v>5.6381960378716434</v>
      </c>
      <c r="X422" s="276">
        <f t="shared" si="359"/>
        <v>3.326410722596858</v>
      </c>
      <c r="Y422" s="686">
        <f t="shared" si="360"/>
        <v>3.7986233628320507</v>
      </c>
      <c r="Z422" s="685" t="e">
        <f t="shared" si="361"/>
        <v>#DIV/0!</v>
      </c>
      <c r="AA422" s="276" t="e">
        <f t="shared" si="362"/>
        <v>#DIV/0!</v>
      </c>
      <c r="AB422" s="276" t="e">
        <f t="shared" si="363"/>
        <v>#DIV/0!</v>
      </c>
      <c r="AC422" s="276" t="e">
        <f t="shared" si="364"/>
        <v>#DIV/0!</v>
      </c>
      <c r="AD422" s="276" t="e">
        <f t="shared" si="365"/>
        <v>#DIV/0!</v>
      </c>
      <c r="AE422" s="686" t="e">
        <f t="shared" si="366"/>
        <v>#DIV/0!</v>
      </c>
      <c r="AF422" s="239"/>
      <c r="AG422" s="965" t="e">
        <f t="shared" si="337"/>
        <v>#VALUE!</v>
      </c>
      <c r="AH422" s="878" t="e">
        <f t="shared" si="338"/>
        <v>#VALUE!</v>
      </c>
      <c r="AI422" s="878" t="e">
        <f t="shared" si="339"/>
        <v>#VALUE!</v>
      </c>
      <c r="AJ422" s="878" t="e">
        <f t="shared" si="340"/>
        <v>#VALUE!</v>
      </c>
      <c r="AK422" s="878" t="e">
        <f t="shared" si="341"/>
        <v>#VALUE!</v>
      </c>
      <c r="AL422" s="966" t="e">
        <f t="shared" si="342"/>
        <v>#VALUE!</v>
      </c>
      <c r="AM422" s="239"/>
      <c r="AO422" s="685">
        <f t="shared" si="367"/>
        <v>0.14614355183786332</v>
      </c>
      <c r="AP422" s="276">
        <f t="shared" si="368"/>
        <v>-3.300330284074013</v>
      </c>
      <c r="AQ422" s="276">
        <f t="shared" si="369"/>
        <v>-1.9329224852654265</v>
      </c>
      <c r="AR422" s="276">
        <f t="shared" si="370"/>
        <v>-1.7441875682508299</v>
      </c>
      <c r="AS422" s="276">
        <f t="shared" si="371"/>
        <v>-1.66331021757788</v>
      </c>
      <c r="AT422" s="276">
        <f t="shared" si="372"/>
        <v>-6.3122167708262849</v>
      </c>
      <c r="AU422" s="685">
        <f t="shared" si="373"/>
        <v>1.782055293761353</v>
      </c>
      <c r="AV422" s="276">
        <f t="shared" si="374"/>
        <v>1.3771016043368236</v>
      </c>
      <c r="AW422" s="276">
        <f t="shared" si="375"/>
        <v>1.8253543000536723</v>
      </c>
      <c r="AX422" s="276">
        <f t="shared" si="376"/>
        <v>1.1908207279734035</v>
      </c>
      <c r="AY422" s="276">
        <f t="shared" si="377"/>
        <v>2.4579707028823536</v>
      </c>
      <c r="AZ422" s="686">
        <f t="shared" si="378"/>
        <v>0.86807921097046337</v>
      </c>
      <c r="BA422" s="685">
        <f t="shared" si="379"/>
        <v>0</v>
      </c>
      <c r="BB422" s="276">
        <f t="shared" si="380"/>
        <v>0</v>
      </c>
      <c r="BC422" s="276">
        <f t="shared" si="381"/>
        <v>0</v>
      </c>
      <c r="BD422" s="276">
        <f t="shared" si="382"/>
        <v>0</v>
      </c>
      <c r="BE422" s="276">
        <f t="shared" si="383"/>
        <v>0</v>
      </c>
      <c r="BF422" s="686">
        <f t="shared" si="384"/>
        <v>0</v>
      </c>
      <c r="BG422" s="685" t="e">
        <f t="shared" si="385"/>
        <v>#DIV/0!</v>
      </c>
      <c r="BH422" s="276" t="e">
        <f t="shared" si="386"/>
        <v>#DIV/0!</v>
      </c>
      <c r="BI422" s="276" t="e">
        <f t="shared" si="387"/>
        <v>#DIV/0!</v>
      </c>
      <c r="BJ422" s="276" t="e">
        <f t="shared" si="388"/>
        <v>#DIV/0!</v>
      </c>
      <c r="BK422" s="276" t="e">
        <f t="shared" si="389"/>
        <v>#DIV/0!</v>
      </c>
      <c r="BL422" s="686" t="e">
        <f t="shared" si="390"/>
        <v>#DIV/0!</v>
      </c>
      <c r="BM422" s="239"/>
      <c r="BN422" s="965" t="e">
        <f t="shared" si="391"/>
        <v>#VALUE!</v>
      </c>
      <c r="BO422" s="878" t="e">
        <f t="shared" si="392"/>
        <v>#VALUE!</v>
      </c>
      <c r="BP422" s="878" t="e">
        <f t="shared" si="393"/>
        <v>#VALUE!</v>
      </c>
      <c r="BQ422" s="878" t="e">
        <f t="shared" si="394"/>
        <v>#VALUE!</v>
      </c>
      <c r="BR422" s="878" t="e">
        <f t="shared" si="395"/>
        <v>#VALUE!</v>
      </c>
      <c r="BS422" s="966" t="e">
        <f t="shared" si="396"/>
        <v>#VALUE!</v>
      </c>
    </row>
    <row r="423" spans="1:71">
      <c r="A423" s="284">
        <f t="shared" si="397"/>
        <v>355</v>
      </c>
      <c r="B423" s="285">
        <v>3.150056547720768</v>
      </c>
      <c r="C423" s="285">
        <v>3.2009572840030045</v>
      </c>
      <c r="D423" s="285">
        <v>1.0900060986494311</v>
      </c>
      <c r="E423" s="285">
        <v>6.8383000101173437</v>
      </c>
      <c r="H423" s="685">
        <f t="shared" si="343"/>
        <v>2.0168227059517134</v>
      </c>
      <c r="I423" s="276">
        <f t="shared" si="344"/>
        <v>2.8093810682599463</v>
      </c>
      <c r="J423" s="276">
        <f t="shared" si="345"/>
        <v>-3.2309348036324739</v>
      </c>
      <c r="K423" s="276">
        <f t="shared" si="346"/>
        <v>-3.042638622826221</v>
      </c>
      <c r="L423" s="276">
        <f t="shared" si="347"/>
        <v>-2.3370091788001233</v>
      </c>
      <c r="M423" s="276">
        <f t="shared" si="348"/>
        <v>-0.78811421009715132</v>
      </c>
      <c r="N423" s="685">
        <f t="shared" si="349"/>
        <v>1.9937860730311361</v>
      </c>
      <c r="O423" s="276">
        <f t="shared" si="350"/>
        <v>1.9311767627201066</v>
      </c>
      <c r="P423" s="276">
        <f t="shared" si="351"/>
        <v>1.8366808878810923</v>
      </c>
      <c r="Q423" s="276">
        <f t="shared" si="352"/>
        <v>1.6464231902433799</v>
      </c>
      <c r="R423" s="276">
        <f t="shared" si="353"/>
        <v>0.93555440230239895</v>
      </c>
      <c r="S423" s="686">
        <f t="shared" si="354"/>
        <v>1.2789632300571767</v>
      </c>
      <c r="T423" s="685">
        <f t="shared" si="355"/>
        <v>4.368369788920357</v>
      </c>
      <c r="U423" s="276">
        <f t="shared" si="356"/>
        <v>6.9856134651866242</v>
      </c>
      <c r="V423" s="276">
        <f t="shared" si="357"/>
        <v>3.7070983237847819</v>
      </c>
      <c r="W423" s="276">
        <f t="shared" si="358"/>
        <v>3.3480533634570042</v>
      </c>
      <c r="X423" s="276">
        <f t="shared" si="359"/>
        <v>2.3099371420236032</v>
      </c>
      <c r="Y423" s="686">
        <f t="shared" si="360"/>
        <v>5.0138408115816357</v>
      </c>
      <c r="Z423" s="685" t="e">
        <f t="shared" si="361"/>
        <v>#DIV/0!</v>
      </c>
      <c r="AA423" s="276" t="e">
        <f t="shared" si="362"/>
        <v>#DIV/0!</v>
      </c>
      <c r="AB423" s="276" t="e">
        <f t="shared" si="363"/>
        <v>#DIV/0!</v>
      </c>
      <c r="AC423" s="276" t="e">
        <f t="shared" si="364"/>
        <v>#DIV/0!</v>
      </c>
      <c r="AD423" s="276" t="e">
        <f t="shared" si="365"/>
        <v>#DIV/0!</v>
      </c>
      <c r="AE423" s="686" t="e">
        <f t="shared" si="366"/>
        <v>#DIV/0!</v>
      </c>
      <c r="AF423" s="239"/>
      <c r="AG423" s="965" t="e">
        <f t="shared" si="337"/>
        <v>#VALUE!</v>
      </c>
      <c r="AH423" s="878" t="e">
        <f t="shared" si="338"/>
        <v>#VALUE!</v>
      </c>
      <c r="AI423" s="878" t="e">
        <f t="shared" si="339"/>
        <v>#VALUE!</v>
      </c>
      <c r="AJ423" s="878" t="e">
        <f t="shared" si="340"/>
        <v>#VALUE!</v>
      </c>
      <c r="AK423" s="878" t="e">
        <f t="shared" si="341"/>
        <v>#VALUE!</v>
      </c>
      <c r="AL423" s="966" t="e">
        <f t="shared" si="342"/>
        <v>#VALUE!</v>
      </c>
      <c r="AM423" s="239"/>
      <c r="AO423" s="685">
        <f t="shared" si="367"/>
        <v>2.0168227059517134</v>
      </c>
      <c r="AP423" s="276">
        <f t="shared" si="368"/>
        <v>2.8093810682599463</v>
      </c>
      <c r="AQ423" s="276">
        <f t="shared" si="369"/>
        <v>-3.2309348036324739</v>
      </c>
      <c r="AR423" s="276">
        <f t="shared" si="370"/>
        <v>-3.042638622826221</v>
      </c>
      <c r="AS423" s="276">
        <f t="shared" si="371"/>
        <v>-2.3370091788001233</v>
      </c>
      <c r="AT423" s="276">
        <f t="shared" si="372"/>
        <v>-0.78811421009715132</v>
      </c>
      <c r="AU423" s="685">
        <f t="shared" si="373"/>
        <v>1.9937860730311361</v>
      </c>
      <c r="AV423" s="276">
        <f t="shared" si="374"/>
        <v>1.9311767627201066</v>
      </c>
      <c r="AW423" s="276">
        <f t="shared" si="375"/>
        <v>1.8366808878810923</v>
      </c>
      <c r="AX423" s="276">
        <f t="shared" si="376"/>
        <v>1.6464231902433799</v>
      </c>
      <c r="AY423" s="276">
        <f t="shared" si="377"/>
        <v>0.93555440230239895</v>
      </c>
      <c r="AZ423" s="686">
        <f t="shared" si="378"/>
        <v>1.2789632300571767</v>
      </c>
      <c r="BA423" s="685">
        <f t="shared" si="379"/>
        <v>0</v>
      </c>
      <c r="BB423" s="276">
        <f t="shared" si="380"/>
        <v>0</v>
      </c>
      <c r="BC423" s="276">
        <f t="shared" si="381"/>
        <v>0</v>
      </c>
      <c r="BD423" s="276">
        <f t="shared" si="382"/>
        <v>0</v>
      </c>
      <c r="BE423" s="276">
        <f t="shared" si="383"/>
        <v>0</v>
      </c>
      <c r="BF423" s="686">
        <f t="shared" si="384"/>
        <v>0</v>
      </c>
      <c r="BG423" s="685" t="e">
        <f t="shared" si="385"/>
        <v>#DIV/0!</v>
      </c>
      <c r="BH423" s="276" t="e">
        <f t="shared" si="386"/>
        <v>#DIV/0!</v>
      </c>
      <c r="BI423" s="276" t="e">
        <f t="shared" si="387"/>
        <v>#DIV/0!</v>
      </c>
      <c r="BJ423" s="276" t="e">
        <f t="shared" si="388"/>
        <v>#DIV/0!</v>
      </c>
      <c r="BK423" s="276" t="e">
        <f t="shared" si="389"/>
        <v>#DIV/0!</v>
      </c>
      <c r="BL423" s="686" t="e">
        <f t="shared" si="390"/>
        <v>#DIV/0!</v>
      </c>
      <c r="BM423" s="239"/>
      <c r="BN423" s="965" t="e">
        <f t="shared" si="391"/>
        <v>#VALUE!</v>
      </c>
      <c r="BO423" s="878" t="e">
        <f t="shared" si="392"/>
        <v>#VALUE!</v>
      </c>
      <c r="BP423" s="878" t="e">
        <f t="shared" si="393"/>
        <v>#VALUE!</v>
      </c>
      <c r="BQ423" s="878" t="e">
        <f t="shared" si="394"/>
        <v>#VALUE!</v>
      </c>
      <c r="BR423" s="878" t="e">
        <f t="shared" si="395"/>
        <v>#VALUE!</v>
      </c>
      <c r="BS423" s="966" t="e">
        <f t="shared" si="396"/>
        <v>#VALUE!</v>
      </c>
    </row>
    <row r="424" spans="1:71">
      <c r="A424" s="284">
        <f t="shared" si="397"/>
        <v>356</v>
      </c>
      <c r="B424" s="285">
        <v>0.40011092479458449</v>
      </c>
      <c r="C424" s="285">
        <v>2.4803579783872789</v>
      </c>
      <c r="D424" s="285">
        <v>0.50124587180743219</v>
      </c>
      <c r="E424" s="285">
        <v>-8.7828580154990217</v>
      </c>
      <c r="H424" s="685">
        <f t="shared" si="343"/>
        <v>-0.73312291697447041</v>
      </c>
      <c r="I424" s="276">
        <f t="shared" si="344"/>
        <v>-2.3770131667116203</v>
      </c>
      <c r="J424" s="276">
        <f t="shared" si="345"/>
        <v>-6.0251028347198661</v>
      </c>
      <c r="K424" s="276">
        <f t="shared" si="346"/>
        <v>-3.3082933501726899</v>
      </c>
      <c r="L424" s="276">
        <f t="shared" si="347"/>
        <v>0.37529313250370544</v>
      </c>
      <c r="M424" s="276">
        <f t="shared" si="348"/>
        <v>-2.1363853517225011</v>
      </c>
      <c r="N424" s="685">
        <f t="shared" si="349"/>
        <v>1.2731867674154105</v>
      </c>
      <c r="O424" s="276">
        <f t="shared" si="350"/>
        <v>1.3874166353008717</v>
      </c>
      <c r="P424" s="276">
        <f t="shared" si="351"/>
        <v>1.0201873181249483</v>
      </c>
      <c r="Q424" s="276">
        <f t="shared" si="352"/>
        <v>1.7921069402303209</v>
      </c>
      <c r="R424" s="276">
        <f t="shared" si="353"/>
        <v>1.8153143086496522</v>
      </c>
      <c r="S424" s="686">
        <f t="shared" si="354"/>
        <v>0.79815135901274981</v>
      </c>
      <c r="T424" s="685">
        <f t="shared" si="355"/>
        <v>3.7796095620783579</v>
      </c>
      <c r="U424" s="276">
        <f t="shared" si="356"/>
        <v>3.2853057949673583</v>
      </c>
      <c r="V424" s="276">
        <f t="shared" si="357"/>
        <v>2.1728271188527737</v>
      </c>
      <c r="W424" s="276">
        <f t="shared" si="358"/>
        <v>2.761640336610641</v>
      </c>
      <c r="X424" s="276">
        <f t="shared" si="359"/>
        <v>5.8405044473543253</v>
      </c>
      <c r="Y424" s="686">
        <f t="shared" si="360"/>
        <v>4.2019488167514645</v>
      </c>
      <c r="Z424" s="685" t="e">
        <f t="shared" si="361"/>
        <v>#DIV/0!</v>
      </c>
      <c r="AA424" s="276" t="e">
        <f t="shared" si="362"/>
        <v>#DIV/0!</v>
      </c>
      <c r="AB424" s="276" t="e">
        <f t="shared" si="363"/>
        <v>#DIV/0!</v>
      </c>
      <c r="AC424" s="276" t="e">
        <f t="shared" si="364"/>
        <v>#DIV/0!</v>
      </c>
      <c r="AD424" s="276" t="e">
        <f t="shared" si="365"/>
        <v>#DIV/0!</v>
      </c>
      <c r="AE424" s="686" t="e">
        <f t="shared" si="366"/>
        <v>#DIV/0!</v>
      </c>
      <c r="AF424" s="239"/>
      <c r="AG424" s="965" t="e">
        <f t="shared" si="337"/>
        <v>#VALUE!</v>
      </c>
      <c r="AH424" s="878" t="e">
        <f t="shared" si="338"/>
        <v>#VALUE!</v>
      </c>
      <c r="AI424" s="878" t="e">
        <f t="shared" si="339"/>
        <v>#VALUE!</v>
      </c>
      <c r="AJ424" s="878" t="e">
        <f t="shared" si="340"/>
        <v>#VALUE!</v>
      </c>
      <c r="AK424" s="878" t="e">
        <f t="shared" si="341"/>
        <v>#VALUE!</v>
      </c>
      <c r="AL424" s="966" t="e">
        <f t="shared" si="342"/>
        <v>#VALUE!</v>
      </c>
      <c r="AM424" s="239"/>
      <c r="AO424" s="685">
        <f t="shared" si="367"/>
        <v>-0.73312291697447041</v>
      </c>
      <c r="AP424" s="276">
        <f t="shared" si="368"/>
        <v>-2.3770131667116203</v>
      </c>
      <c r="AQ424" s="276">
        <f t="shared" si="369"/>
        <v>-6.0251028347198661</v>
      </c>
      <c r="AR424" s="276">
        <f t="shared" si="370"/>
        <v>-3.3082933501726899</v>
      </c>
      <c r="AS424" s="276">
        <f t="shared" si="371"/>
        <v>0.37529313250370544</v>
      </c>
      <c r="AT424" s="276">
        <f t="shared" si="372"/>
        <v>-2.1363853517225011</v>
      </c>
      <c r="AU424" s="685">
        <f t="shared" si="373"/>
        <v>1.2731867674154105</v>
      </c>
      <c r="AV424" s="276">
        <f t="shared" si="374"/>
        <v>1.3874166353008717</v>
      </c>
      <c r="AW424" s="276">
        <f t="shared" si="375"/>
        <v>1.0201873181249483</v>
      </c>
      <c r="AX424" s="276">
        <f t="shared" si="376"/>
        <v>1.7921069402303209</v>
      </c>
      <c r="AY424" s="276">
        <f t="shared" si="377"/>
        <v>1.8153143086496522</v>
      </c>
      <c r="AZ424" s="686">
        <f t="shared" si="378"/>
        <v>0.79815135901274981</v>
      </c>
      <c r="BA424" s="685">
        <f t="shared" si="379"/>
        <v>0</v>
      </c>
      <c r="BB424" s="276">
        <f t="shared" si="380"/>
        <v>0</v>
      </c>
      <c r="BC424" s="276">
        <f t="shared" si="381"/>
        <v>0</v>
      </c>
      <c r="BD424" s="276">
        <f t="shared" si="382"/>
        <v>0</v>
      </c>
      <c r="BE424" s="276">
        <f t="shared" si="383"/>
        <v>0</v>
      </c>
      <c r="BF424" s="686">
        <f t="shared" si="384"/>
        <v>0</v>
      </c>
      <c r="BG424" s="685" t="e">
        <f t="shared" si="385"/>
        <v>#DIV/0!</v>
      </c>
      <c r="BH424" s="276" t="e">
        <f t="shared" si="386"/>
        <v>#DIV/0!</v>
      </c>
      <c r="BI424" s="276" t="e">
        <f t="shared" si="387"/>
        <v>#DIV/0!</v>
      </c>
      <c r="BJ424" s="276" t="e">
        <f t="shared" si="388"/>
        <v>#DIV/0!</v>
      </c>
      <c r="BK424" s="276" t="e">
        <f t="shared" si="389"/>
        <v>#DIV/0!</v>
      </c>
      <c r="BL424" s="686" t="e">
        <f t="shared" si="390"/>
        <v>#DIV/0!</v>
      </c>
      <c r="BM424" s="239"/>
      <c r="BN424" s="965" t="e">
        <f t="shared" si="391"/>
        <v>#VALUE!</v>
      </c>
      <c r="BO424" s="878" t="e">
        <f t="shared" si="392"/>
        <v>#VALUE!</v>
      </c>
      <c r="BP424" s="878" t="e">
        <f t="shared" si="393"/>
        <v>#VALUE!</v>
      </c>
      <c r="BQ424" s="878" t="e">
        <f t="shared" si="394"/>
        <v>#VALUE!</v>
      </c>
      <c r="BR424" s="878" t="e">
        <f t="shared" si="395"/>
        <v>#VALUE!</v>
      </c>
      <c r="BS424" s="966" t="e">
        <f t="shared" si="396"/>
        <v>#VALUE!</v>
      </c>
    </row>
    <row r="425" spans="1:71">
      <c r="A425" s="284">
        <f t="shared" si="397"/>
        <v>357</v>
      </c>
      <c r="B425" s="285">
        <v>-1.6061032124103323</v>
      </c>
      <c r="C425" s="285">
        <v>2.4900573070073904</v>
      </c>
      <c r="D425" s="285">
        <v>0.8961433627076536</v>
      </c>
      <c r="E425" s="285">
        <v>-13.932764849820414</v>
      </c>
      <c r="H425" s="685">
        <f t="shared" si="343"/>
        <v>-2.7393370541793871</v>
      </c>
      <c r="I425" s="276">
        <f t="shared" si="344"/>
        <v>-0.7543328906746547</v>
      </c>
      <c r="J425" s="276">
        <f t="shared" si="345"/>
        <v>-4.0286702452263263</v>
      </c>
      <c r="K425" s="276">
        <f t="shared" si="346"/>
        <v>1.5331293268190518</v>
      </c>
      <c r="L425" s="276">
        <f t="shared" si="347"/>
        <v>-3.3891031326755616</v>
      </c>
      <c r="M425" s="276">
        <f t="shared" si="348"/>
        <v>0.64831300231601752</v>
      </c>
      <c r="N425" s="685">
        <f t="shared" si="349"/>
        <v>1.282886096035522</v>
      </c>
      <c r="O425" s="276">
        <f t="shared" si="350"/>
        <v>1.6223119981319674</v>
      </c>
      <c r="P425" s="276">
        <f t="shared" si="351"/>
        <v>2.1489433884604727</v>
      </c>
      <c r="Q425" s="276">
        <f t="shared" si="352"/>
        <v>1.7460862558539667</v>
      </c>
      <c r="R425" s="276">
        <f t="shared" si="353"/>
        <v>1.0696803457349116</v>
      </c>
      <c r="S425" s="686">
        <f t="shared" si="354"/>
        <v>1.637049686685154</v>
      </c>
      <c r="T425" s="685">
        <f t="shared" si="355"/>
        <v>4.1745070529785799</v>
      </c>
      <c r="U425" s="276">
        <f t="shared" si="356"/>
        <v>5.5509106992460566</v>
      </c>
      <c r="V425" s="276">
        <f t="shared" si="357"/>
        <v>1.786264511135109</v>
      </c>
      <c r="W425" s="276">
        <f t="shared" si="358"/>
        <v>3.9316812336788987</v>
      </c>
      <c r="X425" s="276">
        <f t="shared" si="359"/>
        <v>5.7948560190932312</v>
      </c>
      <c r="Y425" s="686">
        <f t="shared" si="360"/>
        <v>5.1143059480651107</v>
      </c>
      <c r="Z425" s="685" t="e">
        <f t="shared" si="361"/>
        <v>#DIV/0!</v>
      </c>
      <c r="AA425" s="276" t="e">
        <f t="shared" si="362"/>
        <v>#DIV/0!</v>
      </c>
      <c r="AB425" s="276" t="e">
        <f t="shared" si="363"/>
        <v>#DIV/0!</v>
      </c>
      <c r="AC425" s="276" t="e">
        <f t="shared" si="364"/>
        <v>#DIV/0!</v>
      </c>
      <c r="AD425" s="276" t="e">
        <f t="shared" si="365"/>
        <v>#DIV/0!</v>
      </c>
      <c r="AE425" s="686" t="e">
        <f t="shared" si="366"/>
        <v>#DIV/0!</v>
      </c>
      <c r="AF425" s="239"/>
      <c r="AG425" s="965" t="e">
        <f t="shared" si="337"/>
        <v>#VALUE!</v>
      </c>
      <c r="AH425" s="878" t="e">
        <f t="shared" si="338"/>
        <v>#VALUE!</v>
      </c>
      <c r="AI425" s="878" t="e">
        <f t="shared" si="339"/>
        <v>#VALUE!</v>
      </c>
      <c r="AJ425" s="878" t="e">
        <f t="shared" si="340"/>
        <v>#VALUE!</v>
      </c>
      <c r="AK425" s="878" t="e">
        <f t="shared" si="341"/>
        <v>#VALUE!</v>
      </c>
      <c r="AL425" s="966" t="e">
        <f t="shared" si="342"/>
        <v>#VALUE!</v>
      </c>
      <c r="AM425" s="239"/>
      <c r="AO425" s="685">
        <f t="shared" si="367"/>
        <v>-2.7393370541793871</v>
      </c>
      <c r="AP425" s="276">
        <f t="shared" si="368"/>
        <v>-0.7543328906746547</v>
      </c>
      <c r="AQ425" s="276">
        <f t="shared" si="369"/>
        <v>-4.0286702452263263</v>
      </c>
      <c r="AR425" s="276">
        <f t="shared" si="370"/>
        <v>1.5331293268190518</v>
      </c>
      <c r="AS425" s="276">
        <f t="shared" si="371"/>
        <v>-3.3891031326755616</v>
      </c>
      <c r="AT425" s="276">
        <f t="shared" si="372"/>
        <v>0.64831300231601752</v>
      </c>
      <c r="AU425" s="685">
        <f t="shared" si="373"/>
        <v>1.282886096035522</v>
      </c>
      <c r="AV425" s="276">
        <f t="shared" si="374"/>
        <v>1.6223119981319674</v>
      </c>
      <c r="AW425" s="276">
        <f t="shared" si="375"/>
        <v>2.1489433884604727</v>
      </c>
      <c r="AX425" s="276">
        <f t="shared" si="376"/>
        <v>1.7460862558539667</v>
      </c>
      <c r="AY425" s="276">
        <f t="shared" si="377"/>
        <v>1.0696803457349116</v>
      </c>
      <c r="AZ425" s="686">
        <f t="shared" si="378"/>
        <v>1.637049686685154</v>
      </c>
      <c r="BA425" s="685">
        <f t="shared" si="379"/>
        <v>0</v>
      </c>
      <c r="BB425" s="276">
        <f t="shared" si="380"/>
        <v>0</v>
      </c>
      <c r="BC425" s="276">
        <f t="shared" si="381"/>
        <v>0</v>
      </c>
      <c r="BD425" s="276">
        <f t="shared" si="382"/>
        <v>0</v>
      </c>
      <c r="BE425" s="276">
        <f t="shared" si="383"/>
        <v>0</v>
      </c>
      <c r="BF425" s="686">
        <f t="shared" si="384"/>
        <v>0</v>
      </c>
      <c r="BG425" s="685" t="e">
        <f t="shared" si="385"/>
        <v>#DIV/0!</v>
      </c>
      <c r="BH425" s="276" t="e">
        <f t="shared" si="386"/>
        <v>#DIV/0!</v>
      </c>
      <c r="BI425" s="276" t="e">
        <f t="shared" si="387"/>
        <v>#DIV/0!</v>
      </c>
      <c r="BJ425" s="276" t="e">
        <f t="shared" si="388"/>
        <v>#DIV/0!</v>
      </c>
      <c r="BK425" s="276" t="e">
        <f t="shared" si="389"/>
        <v>#DIV/0!</v>
      </c>
      <c r="BL425" s="686" t="e">
        <f t="shared" si="390"/>
        <v>#DIV/0!</v>
      </c>
      <c r="BM425" s="239"/>
      <c r="BN425" s="965" t="e">
        <f t="shared" si="391"/>
        <v>#VALUE!</v>
      </c>
      <c r="BO425" s="878" t="e">
        <f t="shared" si="392"/>
        <v>#VALUE!</v>
      </c>
      <c r="BP425" s="878" t="e">
        <f t="shared" si="393"/>
        <v>#VALUE!</v>
      </c>
      <c r="BQ425" s="878" t="e">
        <f t="shared" si="394"/>
        <v>#VALUE!</v>
      </c>
      <c r="BR425" s="878" t="e">
        <f t="shared" si="395"/>
        <v>#VALUE!</v>
      </c>
      <c r="BS425" s="966" t="e">
        <f t="shared" si="396"/>
        <v>#VALUE!</v>
      </c>
    </row>
    <row r="426" spans="1:71">
      <c r="A426" s="284">
        <f t="shared" si="397"/>
        <v>358</v>
      </c>
      <c r="B426" s="285">
        <v>7.8347829079266476E-2</v>
      </c>
      <c r="C426" s="285">
        <v>2.4746482922184549</v>
      </c>
      <c r="D426" s="285">
        <v>1.1583060722437042</v>
      </c>
      <c r="E426" s="285">
        <v>-9.409557403930549</v>
      </c>
      <c r="H426" s="685">
        <f t="shared" si="343"/>
        <v>-1.0548860126897883</v>
      </c>
      <c r="I426" s="276">
        <f t="shared" si="344"/>
        <v>1.7019684744684278</v>
      </c>
      <c r="J426" s="276">
        <f t="shared" si="345"/>
        <v>-1.9981248329684793</v>
      </c>
      <c r="K426" s="276">
        <f t="shared" si="346"/>
        <v>-1.9672781335645833</v>
      </c>
      <c r="L426" s="276">
        <f t="shared" si="347"/>
        <v>-2.3194875332348683</v>
      </c>
      <c r="M426" s="276">
        <f t="shared" si="348"/>
        <v>4.3746198989671301</v>
      </c>
      <c r="N426" s="685">
        <f t="shared" si="349"/>
        <v>1.2674770812465865</v>
      </c>
      <c r="O426" s="276">
        <f t="shared" si="350"/>
        <v>0.53779987697255982</v>
      </c>
      <c r="P426" s="276">
        <f t="shared" si="351"/>
        <v>1.0073875503849614</v>
      </c>
      <c r="Q426" s="276">
        <f t="shared" si="352"/>
        <v>0.73621314136958893</v>
      </c>
      <c r="R426" s="276">
        <f t="shared" si="353"/>
        <v>1.1571170359004916</v>
      </c>
      <c r="S426" s="686">
        <f t="shared" si="354"/>
        <v>1.8725649759869059</v>
      </c>
      <c r="T426" s="685">
        <f t="shared" si="355"/>
        <v>4.4366697625146303</v>
      </c>
      <c r="U426" s="276">
        <f t="shared" si="356"/>
        <v>7.7090710493413965</v>
      </c>
      <c r="V426" s="276">
        <f t="shared" si="357"/>
        <v>5.6271716177511113</v>
      </c>
      <c r="W426" s="276">
        <f t="shared" si="358"/>
        <v>5.0595280136227148</v>
      </c>
      <c r="X426" s="276">
        <f t="shared" si="359"/>
        <v>6.5979208869972457</v>
      </c>
      <c r="Y426" s="686">
        <f t="shared" si="360"/>
        <v>4.8121268171962583</v>
      </c>
      <c r="Z426" s="685" t="e">
        <f t="shared" si="361"/>
        <v>#DIV/0!</v>
      </c>
      <c r="AA426" s="276" t="e">
        <f t="shared" si="362"/>
        <v>#DIV/0!</v>
      </c>
      <c r="AB426" s="276" t="e">
        <f t="shared" si="363"/>
        <v>#DIV/0!</v>
      </c>
      <c r="AC426" s="276" t="e">
        <f t="shared" si="364"/>
        <v>#DIV/0!</v>
      </c>
      <c r="AD426" s="276" t="e">
        <f t="shared" si="365"/>
        <v>#DIV/0!</v>
      </c>
      <c r="AE426" s="686" t="e">
        <f t="shared" si="366"/>
        <v>#DIV/0!</v>
      </c>
      <c r="AF426" s="239"/>
      <c r="AG426" s="965" t="e">
        <f t="shared" si="337"/>
        <v>#VALUE!</v>
      </c>
      <c r="AH426" s="878" t="e">
        <f t="shared" si="338"/>
        <v>#VALUE!</v>
      </c>
      <c r="AI426" s="878" t="e">
        <f t="shared" si="339"/>
        <v>#VALUE!</v>
      </c>
      <c r="AJ426" s="878" t="e">
        <f t="shared" si="340"/>
        <v>#VALUE!</v>
      </c>
      <c r="AK426" s="878" t="e">
        <f t="shared" si="341"/>
        <v>#VALUE!</v>
      </c>
      <c r="AL426" s="966" t="e">
        <f t="shared" si="342"/>
        <v>#VALUE!</v>
      </c>
      <c r="AM426" s="239"/>
      <c r="AO426" s="685">
        <f t="shared" si="367"/>
        <v>-1.0548860126897883</v>
      </c>
      <c r="AP426" s="276">
        <f t="shared" si="368"/>
        <v>1.7019684744684278</v>
      </c>
      <c r="AQ426" s="276">
        <f t="shared" si="369"/>
        <v>-1.9981248329684793</v>
      </c>
      <c r="AR426" s="276">
        <f t="shared" si="370"/>
        <v>-1.9672781335645833</v>
      </c>
      <c r="AS426" s="276">
        <f t="shared" si="371"/>
        <v>-2.3194875332348683</v>
      </c>
      <c r="AT426" s="276">
        <f t="shared" si="372"/>
        <v>4.3746198989671301</v>
      </c>
      <c r="AU426" s="685">
        <f t="shared" si="373"/>
        <v>1.2674770812465865</v>
      </c>
      <c r="AV426" s="276">
        <f t="shared" si="374"/>
        <v>0.53779987697255982</v>
      </c>
      <c r="AW426" s="276">
        <f t="shared" si="375"/>
        <v>1.0073875503849614</v>
      </c>
      <c r="AX426" s="276">
        <f t="shared" si="376"/>
        <v>0.73621314136958893</v>
      </c>
      <c r="AY426" s="276">
        <f t="shared" si="377"/>
        <v>1.1571170359004916</v>
      </c>
      <c r="AZ426" s="686">
        <f t="shared" si="378"/>
        <v>1.8725649759869059</v>
      </c>
      <c r="BA426" s="685">
        <f t="shared" si="379"/>
        <v>0</v>
      </c>
      <c r="BB426" s="276">
        <f t="shared" si="380"/>
        <v>0</v>
      </c>
      <c r="BC426" s="276">
        <f t="shared" si="381"/>
        <v>0</v>
      </c>
      <c r="BD426" s="276">
        <f t="shared" si="382"/>
        <v>0</v>
      </c>
      <c r="BE426" s="276">
        <f t="shared" si="383"/>
        <v>0</v>
      </c>
      <c r="BF426" s="686">
        <f t="shared" si="384"/>
        <v>0</v>
      </c>
      <c r="BG426" s="685" t="e">
        <f t="shared" si="385"/>
        <v>#DIV/0!</v>
      </c>
      <c r="BH426" s="276" t="e">
        <f t="shared" si="386"/>
        <v>#DIV/0!</v>
      </c>
      <c r="BI426" s="276" t="e">
        <f t="shared" si="387"/>
        <v>#DIV/0!</v>
      </c>
      <c r="BJ426" s="276" t="e">
        <f t="shared" si="388"/>
        <v>#DIV/0!</v>
      </c>
      <c r="BK426" s="276" t="e">
        <f t="shared" si="389"/>
        <v>#DIV/0!</v>
      </c>
      <c r="BL426" s="686" t="e">
        <f t="shared" si="390"/>
        <v>#DIV/0!</v>
      </c>
      <c r="BM426" s="239"/>
      <c r="BN426" s="965" t="e">
        <f t="shared" si="391"/>
        <v>#VALUE!</v>
      </c>
      <c r="BO426" s="878" t="e">
        <f t="shared" si="392"/>
        <v>#VALUE!</v>
      </c>
      <c r="BP426" s="878" t="e">
        <f t="shared" si="393"/>
        <v>#VALUE!</v>
      </c>
      <c r="BQ426" s="878" t="e">
        <f t="shared" si="394"/>
        <v>#VALUE!</v>
      </c>
      <c r="BR426" s="878" t="e">
        <f t="shared" si="395"/>
        <v>#VALUE!</v>
      </c>
      <c r="BS426" s="966" t="e">
        <f t="shared" si="396"/>
        <v>#VALUE!</v>
      </c>
    </row>
    <row r="427" spans="1:71">
      <c r="A427" s="284">
        <f t="shared" si="397"/>
        <v>359</v>
      </c>
      <c r="B427" s="285">
        <v>2.6612553702043051</v>
      </c>
      <c r="C427" s="285">
        <v>3.7536786503986947</v>
      </c>
      <c r="D427" s="285">
        <v>1.7793206519521945</v>
      </c>
      <c r="E427" s="285">
        <v>13.670711116510393</v>
      </c>
      <c r="H427" s="685">
        <f t="shared" si="343"/>
        <v>1.5280215284352503</v>
      </c>
      <c r="I427" s="276">
        <f t="shared" si="344"/>
        <v>1.1629296378653156</v>
      </c>
      <c r="J427" s="276">
        <f t="shared" si="345"/>
        <v>-1.4821362325076124</v>
      </c>
      <c r="K427" s="276">
        <f t="shared" si="346"/>
        <v>-3.5010454862168068</v>
      </c>
      <c r="L427" s="276">
        <f t="shared" si="347"/>
        <v>0.66757279454729024</v>
      </c>
      <c r="M427" s="276">
        <f t="shared" si="348"/>
        <v>1.5755672791303399</v>
      </c>
      <c r="N427" s="685">
        <f t="shared" si="349"/>
        <v>2.5465074394268266</v>
      </c>
      <c r="O427" s="276">
        <f t="shared" si="350"/>
        <v>1.5324904392850447</v>
      </c>
      <c r="P427" s="276">
        <f t="shared" si="351"/>
        <v>1.813950954426047</v>
      </c>
      <c r="Q427" s="276">
        <f t="shared" si="352"/>
        <v>1.7892767681715191</v>
      </c>
      <c r="R427" s="276">
        <f t="shared" si="353"/>
        <v>1.1431331848484703</v>
      </c>
      <c r="S427" s="686">
        <f t="shared" si="354"/>
        <v>1.4542583940230245</v>
      </c>
      <c r="T427" s="685">
        <f t="shared" si="355"/>
        <v>5.0576843422231201</v>
      </c>
      <c r="U427" s="276">
        <f t="shared" si="356"/>
        <v>4.0475181987235436</v>
      </c>
      <c r="V427" s="276">
        <f t="shared" si="357"/>
        <v>3.7406643761628624</v>
      </c>
      <c r="W427" s="276">
        <f t="shared" si="358"/>
        <v>4.3092305768507622</v>
      </c>
      <c r="X427" s="276">
        <f t="shared" si="359"/>
        <v>8.4977173830242752</v>
      </c>
      <c r="Y427" s="686">
        <f t="shared" si="360"/>
        <v>5.7989139103599889</v>
      </c>
      <c r="Z427" s="685" t="e">
        <f t="shared" si="361"/>
        <v>#DIV/0!</v>
      </c>
      <c r="AA427" s="276" t="e">
        <f t="shared" si="362"/>
        <v>#DIV/0!</v>
      </c>
      <c r="AB427" s="276" t="e">
        <f t="shared" si="363"/>
        <v>#DIV/0!</v>
      </c>
      <c r="AC427" s="276" t="e">
        <f t="shared" si="364"/>
        <v>#DIV/0!</v>
      </c>
      <c r="AD427" s="276" t="e">
        <f t="shared" si="365"/>
        <v>#DIV/0!</v>
      </c>
      <c r="AE427" s="686" t="e">
        <f t="shared" si="366"/>
        <v>#DIV/0!</v>
      </c>
      <c r="AF427" s="239"/>
      <c r="AG427" s="965" t="e">
        <f t="shared" si="337"/>
        <v>#VALUE!</v>
      </c>
      <c r="AH427" s="878" t="e">
        <f t="shared" si="338"/>
        <v>#VALUE!</v>
      </c>
      <c r="AI427" s="878" t="e">
        <f t="shared" si="339"/>
        <v>#VALUE!</v>
      </c>
      <c r="AJ427" s="878" t="e">
        <f t="shared" si="340"/>
        <v>#VALUE!</v>
      </c>
      <c r="AK427" s="878" t="e">
        <f t="shared" si="341"/>
        <v>#VALUE!</v>
      </c>
      <c r="AL427" s="966" t="e">
        <f t="shared" si="342"/>
        <v>#VALUE!</v>
      </c>
      <c r="AM427" s="239"/>
      <c r="AO427" s="685">
        <f t="shared" si="367"/>
        <v>1.5280215284352503</v>
      </c>
      <c r="AP427" s="276">
        <f t="shared" si="368"/>
        <v>1.1629296378653156</v>
      </c>
      <c r="AQ427" s="276">
        <f t="shared" si="369"/>
        <v>-1.4821362325076124</v>
      </c>
      <c r="AR427" s="276">
        <f t="shared" si="370"/>
        <v>-3.5010454862168068</v>
      </c>
      <c r="AS427" s="276">
        <f t="shared" si="371"/>
        <v>0.66757279454729024</v>
      </c>
      <c r="AT427" s="276">
        <f t="shared" si="372"/>
        <v>1.5755672791303399</v>
      </c>
      <c r="AU427" s="685">
        <f t="shared" si="373"/>
        <v>2.5465074394268266</v>
      </c>
      <c r="AV427" s="276">
        <f t="shared" si="374"/>
        <v>1.5324904392850447</v>
      </c>
      <c r="AW427" s="276">
        <f t="shared" si="375"/>
        <v>1.813950954426047</v>
      </c>
      <c r="AX427" s="276">
        <f t="shared" si="376"/>
        <v>1.7892767681715191</v>
      </c>
      <c r="AY427" s="276">
        <f t="shared" si="377"/>
        <v>1.1431331848484703</v>
      </c>
      <c r="AZ427" s="686">
        <f t="shared" si="378"/>
        <v>1.4542583940230245</v>
      </c>
      <c r="BA427" s="685">
        <f t="shared" si="379"/>
        <v>0</v>
      </c>
      <c r="BB427" s="276">
        <f t="shared" si="380"/>
        <v>0</v>
      </c>
      <c r="BC427" s="276">
        <f t="shared" si="381"/>
        <v>0</v>
      </c>
      <c r="BD427" s="276">
        <f t="shared" si="382"/>
        <v>0</v>
      </c>
      <c r="BE427" s="276">
        <f t="shared" si="383"/>
        <v>0</v>
      </c>
      <c r="BF427" s="686">
        <f t="shared" si="384"/>
        <v>0</v>
      </c>
      <c r="BG427" s="685" t="e">
        <f t="shared" si="385"/>
        <v>#DIV/0!</v>
      </c>
      <c r="BH427" s="276" t="e">
        <f t="shared" si="386"/>
        <v>#DIV/0!</v>
      </c>
      <c r="BI427" s="276" t="e">
        <f t="shared" si="387"/>
        <v>#DIV/0!</v>
      </c>
      <c r="BJ427" s="276" t="e">
        <f t="shared" si="388"/>
        <v>#DIV/0!</v>
      </c>
      <c r="BK427" s="276" t="e">
        <f t="shared" si="389"/>
        <v>#DIV/0!</v>
      </c>
      <c r="BL427" s="686" t="e">
        <f t="shared" si="390"/>
        <v>#DIV/0!</v>
      </c>
      <c r="BM427" s="239"/>
      <c r="BN427" s="965" t="e">
        <f t="shared" si="391"/>
        <v>#VALUE!</v>
      </c>
      <c r="BO427" s="878" t="e">
        <f t="shared" si="392"/>
        <v>#VALUE!</v>
      </c>
      <c r="BP427" s="878" t="e">
        <f t="shared" si="393"/>
        <v>#VALUE!</v>
      </c>
      <c r="BQ427" s="878" t="e">
        <f t="shared" si="394"/>
        <v>#VALUE!</v>
      </c>
      <c r="BR427" s="878" t="e">
        <f t="shared" si="395"/>
        <v>#VALUE!</v>
      </c>
      <c r="BS427" s="966" t="e">
        <f t="shared" si="396"/>
        <v>#VALUE!</v>
      </c>
    </row>
    <row r="428" spans="1:71">
      <c r="A428" s="284">
        <f t="shared" si="397"/>
        <v>360</v>
      </c>
      <c r="B428" s="285">
        <v>-4.4947781931517916</v>
      </c>
      <c r="C428" s="285">
        <v>1.9588806367826395</v>
      </c>
      <c r="D428" s="285">
        <v>1.5640007846306636</v>
      </c>
      <c r="E428" s="285">
        <v>-8.8947366650305923</v>
      </c>
      <c r="H428" s="685">
        <f t="shared" si="343"/>
        <v>-5.6280120349208467</v>
      </c>
      <c r="I428" s="276">
        <f t="shared" si="344"/>
        <v>-0.30869364395867271</v>
      </c>
      <c r="J428" s="276">
        <f t="shared" si="345"/>
        <v>-0.88272509121985632</v>
      </c>
      <c r="K428" s="276">
        <f t="shared" si="346"/>
        <v>-1.8705640108247712</v>
      </c>
      <c r="L428" s="276">
        <f t="shared" si="347"/>
        <v>-4.9069290055171688</v>
      </c>
      <c r="M428" s="276">
        <f t="shared" si="348"/>
        <v>-0.89811168947238196</v>
      </c>
      <c r="N428" s="685">
        <f t="shared" si="349"/>
        <v>0.75170942581077105</v>
      </c>
      <c r="O428" s="276">
        <f t="shared" si="350"/>
        <v>1.4265572562338693</v>
      </c>
      <c r="P428" s="276">
        <f t="shared" si="351"/>
        <v>1.2010779719162505</v>
      </c>
      <c r="Q428" s="276">
        <f t="shared" si="352"/>
        <v>1.4495410726670948</v>
      </c>
      <c r="R428" s="276">
        <f t="shared" si="353"/>
        <v>1.0329864649550287</v>
      </c>
      <c r="S428" s="686">
        <f t="shared" si="354"/>
        <v>1.530752435826334</v>
      </c>
      <c r="T428" s="685">
        <f t="shared" si="355"/>
        <v>4.8423644749015899</v>
      </c>
      <c r="U428" s="276">
        <f t="shared" si="356"/>
        <v>3.7487715980745189</v>
      </c>
      <c r="V428" s="276">
        <f t="shared" si="357"/>
        <v>8.2722416697578112</v>
      </c>
      <c r="W428" s="276">
        <f t="shared" si="358"/>
        <v>3.9302924829346857</v>
      </c>
      <c r="X428" s="276">
        <f t="shared" si="359"/>
        <v>3.2358413391741987</v>
      </c>
      <c r="Y428" s="686">
        <f t="shared" si="360"/>
        <v>2.7380011210146993</v>
      </c>
      <c r="Z428" s="685" t="e">
        <f t="shared" si="361"/>
        <v>#DIV/0!</v>
      </c>
      <c r="AA428" s="276" t="e">
        <f t="shared" si="362"/>
        <v>#DIV/0!</v>
      </c>
      <c r="AB428" s="276" t="e">
        <f t="shared" si="363"/>
        <v>#DIV/0!</v>
      </c>
      <c r="AC428" s="276" t="e">
        <f t="shared" si="364"/>
        <v>#DIV/0!</v>
      </c>
      <c r="AD428" s="276" t="e">
        <f t="shared" si="365"/>
        <v>#DIV/0!</v>
      </c>
      <c r="AE428" s="686" t="e">
        <f t="shared" si="366"/>
        <v>#DIV/0!</v>
      </c>
      <c r="AF428" s="239"/>
      <c r="AG428" s="965" t="e">
        <f t="shared" si="337"/>
        <v>#VALUE!</v>
      </c>
      <c r="AH428" s="878" t="e">
        <f t="shared" si="338"/>
        <v>#VALUE!</v>
      </c>
      <c r="AI428" s="878" t="e">
        <f t="shared" si="339"/>
        <v>#VALUE!</v>
      </c>
      <c r="AJ428" s="878" t="e">
        <f t="shared" si="340"/>
        <v>#VALUE!</v>
      </c>
      <c r="AK428" s="878" t="e">
        <f t="shared" si="341"/>
        <v>#VALUE!</v>
      </c>
      <c r="AL428" s="966" t="e">
        <f t="shared" si="342"/>
        <v>#VALUE!</v>
      </c>
      <c r="AM428" s="239"/>
      <c r="AO428" s="685">
        <f t="shared" si="367"/>
        <v>-5.6280120349208467</v>
      </c>
      <c r="AP428" s="276">
        <f t="shared" si="368"/>
        <v>-0.30869364395867271</v>
      </c>
      <c r="AQ428" s="276">
        <f t="shared" si="369"/>
        <v>-0.88272509121985632</v>
      </c>
      <c r="AR428" s="276">
        <f t="shared" si="370"/>
        <v>-1.8705640108247712</v>
      </c>
      <c r="AS428" s="276">
        <f t="shared" si="371"/>
        <v>-4.9069290055171688</v>
      </c>
      <c r="AT428" s="276">
        <f t="shared" si="372"/>
        <v>-0.89811168947238196</v>
      </c>
      <c r="AU428" s="685">
        <f t="shared" si="373"/>
        <v>0.75170942581077105</v>
      </c>
      <c r="AV428" s="276">
        <f t="shared" si="374"/>
        <v>1.4265572562338693</v>
      </c>
      <c r="AW428" s="276">
        <f t="shared" si="375"/>
        <v>1.2010779719162505</v>
      </c>
      <c r="AX428" s="276">
        <f t="shared" si="376"/>
        <v>1.4495410726670948</v>
      </c>
      <c r="AY428" s="276">
        <f t="shared" si="377"/>
        <v>1.0329864649550287</v>
      </c>
      <c r="AZ428" s="686">
        <f t="shared" si="378"/>
        <v>1.530752435826334</v>
      </c>
      <c r="BA428" s="685">
        <f t="shared" si="379"/>
        <v>0</v>
      </c>
      <c r="BB428" s="276">
        <f t="shared" si="380"/>
        <v>0</v>
      </c>
      <c r="BC428" s="276">
        <f t="shared" si="381"/>
        <v>0</v>
      </c>
      <c r="BD428" s="276">
        <f t="shared" si="382"/>
        <v>0</v>
      </c>
      <c r="BE428" s="276">
        <f t="shared" si="383"/>
        <v>0</v>
      </c>
      <c r="BF428" s="686">
        <f t="shared" si="384"/>
        <v>0</v>
      </c>
      <c r="BG428" s="685" t="e">
        <f t="shared" si="385"/>
        <v>#DIV/0!</v>
      </c>
      <c r="BH428" s="276" t="e">
        <f t="shared" si="386"/>
        <v>#DIV/0!</v>
      </c>
      <c r="BI428" s="276" t="e">
        <f t="shared" si="387"/>
        <v>#DIV/0!</v>
      </c>
      <c r="BJ428" s="276" t="e">
        <f t="shared" si="388"/>
        <v>#DIV/0!</v>
      </c>
      <c r="BK428" s="276" t="e">
        <f t="shared" si="389"/>
        <v>#DIV/0!</v>
      </c>
      <c r="BL428" s="686" t="e">
        <f t="shared" si="390"/>
        <v>#DIV/0!</v>
      </c>
      <c r="BM428" s="239"/>
      <c r="BN428" s="965" t="e">
        <f t="shared" si="391"/>
        <v>#VALUE!</v>
      </c>
      <c r="BO428" s="878" t="e">
        <f t="shared" si="392"/>
        <v>#VALUE!</v>
      </c>
      <c r="BP428" s="878" t="e">
        <f t="shared" si="393"/>
        <v>#VALUE!</v>
      </c>
      <c r="BQ428" s="878" t="e">
        <f t="shared" si="394"/>
        <v>#VALUE!</v>
      </c>
      <c r="BR428" s="878" t="e">
        <f t="shared" si="395"/>
        <v>#VALUE!</v>
      </c>
      <c r="BS428" s="966" t="e">
        <f t="shared" si="396"/>
        <v>#VALUE!</v>
      </c>
    </row>
    <row r="429" spans="1:71">
      <c r="A429" s="284">
        <f t="shared" si="397"/>
        <v>361</v>
      </c>
      <c r="B429" s="285">
        <v>0.74845950208925294</v>
      </c>
      <c r="C429" s="285">
        <v>2.3881782013099793</v>
      </c>
      <c r="D429" s="285">
        <v>0.78294872647145763</v>
      </c>
      <c r="E429" s="285">
        <v>-1.4604397521254442</v>
      </c>
      <c r="H429" s="685">
        <f t="shared" si="343"/>
        <v>-0.3847743396798019</v>
      </c>
      <c r="I429" s="276">
        <f t="shared" si="344"/>
        <v>-1.7084387371833434</v>
      </c>
      <c r="J429" s="276">
        <f t="shared" si="345"/>
        <v>0.35388628902061847</v>
      </c>
      <c r="K429" s="276">
        <f t="shared" si="346"/>
        <v>2.4841158445845455</v>
      </c>
      <c r="L429" s="276">
        <f t="shared" si="347"/>
        <v>-0.86919596783721609</v>
      </c>
      <c r="M429" s="276">
        <f t="shared" si="348"/>
        <v>2.2374706638232151</v>
      </c>
      <c r="N429" s="685">
        <f t="shared" si="349"/>
        <v>1.1810069903381109</v>
      </c>
      <c r="O429" s="276">
        <f t="shared" si="350"/>
        <v>0.84041534449597832</v>
      </c>
      <c r="P429" s="276">
        <f t="shared" si="351"/>
        <v>1.5300226472715492</v>
      </c>
      <c r="Q429" s="276">
        <f t="shared" si="352"/>
        <v>1.3167686996962693</v>
      </c>
      <c r="R429" s="276">
        <f t="shared" si="353"/>
        <v>0.59791951398712118</v>
      </c>
      <c r="S429" s="686">
        <f t="shared" si="354"/>
        <v>2.0570116500625151</v>
      </c>
      <c r="T429" s="685">
        <f t="shared" si="355"/>
        <v>4.0613124167423837</v>
      </c>
      <c r="U429" s="276">
        <f t="shared" si="356"/>
        <v>3.6813333816435936</v>
      </c>
      <c r="V429" s="276">
        <f t="shared" si="357"/>
        <v>4.9073593058761222</v>
      </c>
      <c r="W429" s="276">
        <f t="shared" si="358"/>
        <v>5.537039882454037</v>
      </c>
      <c r="X429" s="276">
        <f t="shared" si="359"/>
        <v>3.6567171823428093</v>
      </c>
      <c r="Y429" s="686">
        <f t="shared" si="360"/>
        <v>5.5247209814965661</v>
      </c>
      <c r="Z429" s="685" t="e">
        <f t="shared" si="361"/>
        <v>#DIV/0!</v>
      </c>
      <c r="AA429" s="276" t="e">
        <f t="shared" si="362"/>
        <v>#DIV/0!</v>
      </c>
      <c r="AB429" s="276" t="e">
        <f t="shared" si="363"/>
        <v>#DIV/0!</v>
      </c>
      <c r="AC429" s="276" t="e">
        <f t="shared" si="364"/>
        <v>#DIV/0!</v>
      </c>
      <c r="AD429" s="276" t="e">
        <f t="shared" si="365"/>
        <v>#DIV/0!</v>
      </c>
      <c r="AE429" s="686" t="e">
        <f t="shared" si="366"/>
        <v>#DIV/0!</v>
      </c>
      <c r="AF429" s="239"/>
      <c r="AG429" s="965" t="e">
        <f t="shared" si="337"/>
        <v>#VALUE!</v>
      </c>
      <c r="AH429" s="878" t="e">
        <f t="shared" si="338"/>
        <v>#VALUE!</v>
      </c>
      <c r="AI429" s="878" t="e">
        <f t="shared" si="339"/>
        <v>#VALUE!</v>
      </c>
      <c r="AJ429" s="878" t="e">
        <f t="shared" si="340"/>
        <v>#VALUE!</v>
      </c>
      <c r="AK429" s="878" t="e">
        <f t="shared" si="341"/>
        <v>#VALUE!</v>
      </c>
      <c r="AL429" s="966" t="e">
        <f t="shared" si="342"/>
        <v>#VALUE!</v>
      </c>
      <c r="AM429" s="239"/>
      <c r="AO429" s="685">
        <f t="shared" si="367"/>
        <v>-0.3847743396798019</v>
      </c>
      <c r="AP429" s="276">
        <f t="shared" si="368"/>
        <v>-1.7084387371833434</v>
      </c>
      <c r="AQ429" s="276">
        <f t="shared" si="369"/>
        <v>0.35388628902061847</v>
      </c>
      <c r="AR429" s="276">
        <f t="shared" si="370"/>
        <v>2.4841158445845455</v>
      </c>
      <c r="AS429" s="276">
        <f t="shared" si="371"/>
        <v>-0.86919596783721609</v>
      </c>
      <c r="AT429" s="276">
        <f t="shared" si="372"/>
        <v>2.2374706638232151</v>
      </c>
      <c r="AU429" s="685">
        <f t="shared" si="373"/>
        <v>1.1810069903381109</v>
      </c>
      <c r="AV429" s="276">
        <f t="shared" si="374"/>
        <v>0.84041534449597832</v>
      </c>
      <c r="AW429" s="276">
        <f t="shared" si="375"/>
        <v>1.5300226472715492</v>
      </c>
      <c r="AX429" s="276">
        <f t="shared" si="376"/>
        <v>1.3167686996962693</v>
      </c>
      <c r="AY429" s="276">
        <f t="shared" si="377"/>
        <v>0.59791951398712118</v>
      </c>
      <c r="AZ429" s="686">
        <f t="shared" si="378"/>
        <v>2.0570116500625151</v>
      </c>
      <c r="BA429" s="685">
        <f t="shared" si="379"/>
        <v>0</v>
      </c>
      <c r="BB429" s="276">
        <f t="shared" si="380"/>
        <v>0</v>
      </c>
      <c r="BC429" s="276">
        <f t="shared" si="381"/>
        <v>0</v>
      </c>
      <c r="BD429" s="276">
        <f t="shared" si="382"/>
        <v>0</v>
      </c>
      <c r="BE429" s="276">
        <f t="shared" si="383"/>
        <v>0</v>
      </c>
      <c r="BF429" s="686">
        <f t="shared" si="384"/>
        <v>0</v>
      </c>
      <c r="BG429" s="685" t="e">
        <f t="shared" si="385"/>
        <v>#DIV/0!</v>
      </c>
      <c r="BH429" s="276" t="e">
        <f t="shared" si="386"/>
        <v>#DIV/0!</v>
      </c>
      <c r="BI429" s="276" t="e">
        <f t="shared" si="387"/>
        <v>#DIV/0!</v>
      </c>
      <c r="BJ429" s="276" t="e">
        <f t="shared" si="388"/>
        <v>#DIV/0!</v>
      </c>
      <c r="BK429" s="276" t="e">
        <f t="shared" si="389"/>
        <v>#DIV/0!</v>
      </c>
      <c r="BL429" s="686" t="e">
        <f t="shared" si="390"/>
        <v>#DIV/0!</v>
      </c>
      <c r="BM429" s="239"/>
      <c r="BN429" s="965" t="e">
        <f t="shared" si="391"/>
        <v>#VALUE!</v>
      </c>
      <c r="BO429" s="878" t="e">
        <f t="shared" si="392"/>
        <v>#VALUE!</v>
      </c>
      <c r="BP429" s="878" t="e">
        <f t="shared" si="393"/>
        <v>#VALUE!</v>
      </c>
      <c r="BQ429" s="878" t="e">
        <f t="shared" si="394"/>
        <v>#VALUE!</v>
      </c>
      <c r="BR429" s="878" t="e">
        <f t="shared" si="395"/>
        <v>#VALUE!</v>
      </c>
      <c r="BS429" s="966" t="e">
        <f t="shared" si="396"/>
        <v>#VALUE!</v>
      </c>
    </row>
    <row r="430" spans="1:71">
      <c r="A430" s="284">
        <f t="shared" si="397"/>
        <v>362</v>
      </c>
      <c r="B430" s="285">
        <v>-1.8162941640529437</v>
      </c>
      <c r="C430" s="285">
        <v>3.0822071988220108</v>
      </c>
      <c r="D430" s="285">
        <v>0.62556274891046826</v>
      </c>
      <c r="E430" s="285">
        <v>14.030502839903207</v>
      </c>
      <c r="H430" s="685">
        <f t="shared" si="343"/>
        <v>-2.9495280058219988</v>
      </c>
      <c r="I430" s="276">
        <f t="shared" si="344"/>
        <v>-1.5823116418407266</v>
      </c>
      <c r="J430" s="276">
        <f t="shared" si="345"/>
        <v>1.3634516185252903</v>
      </c>
      <c r="K430" s="276">
        <f t="shared" si="346"/>
        <v>-3.5848847589026285</v>
      </c>
      <c r="L430" s="276">
        <f t="shared" si="347"/>
        <v>1.7166017506635358</v>
      </c>
      <c r="M430" s="276">
        <f t="shared" si="348"/>
        <v>-1.19255880037013</v>
      </c>
      <c r="N430" s="685">
        <f t="shared" si="349"/>
        <v>1.8750359878501424</v>
      </c>
      <c r="O430" s="276">
        <f t="shared" si="350"/>
        <v>1.0951786449140066</v>
      </c>
      <c r="P430" s="276">
        <f t="shared" si="351"/>
        <v>1.908493465427856</v>
      </c>
      <c r="Q430" s="276">
        <f t="shared" si="352"/>
        <v>1.185007326212421</v>
      </c>
      <c r="R430" s="276">
        <f t="shared" si="353"/>
        <v>1.4417225188288627</v>
      </c>
      <c r="S430" s="686">
        <f t="shared" si="354"/>
        <v>1.3723027404166046</v>
      </c>
      <c r="T430" s="685">
        <f t="shared" si="355"/>
        <v>3.9039264391813941</v>
      </c>
      <c r="U430" s="276">
        <f t="shared" si="356"/>
        <v>5.5889226559773402</v>
      </c>
      <c r="V430" s="276">
        <f t="shared" si="357"/>
        <v>4.4269070897609346</v>
      </c>
      <c r="W430" s="276">
        <f t="shared" si="358"/>
        <v>3.4448677926371496</v>
      </c>
      <c r="X430" s="276">
        <f t="shared" si="359"/>
        <v>5.7776437454067846</v>
      </c>
      <c r="Y430" s="686">
        <f t="shared" si="360"/>
        <v>4.5750980948937165</v>
      </c>
      <c r="Z430" s="685" t="e">
        <f t="shared" si="361"/>
        <v>#DIV/0!</v>
      </c>
      <c r="AA430" s="276" t="e">
        <f t="shared" si="362"/>
        <v>#DIV/0!</v>
      </c>
      <c r="AB430" s="276" t="e">
        <f t="shared" si="363"/>
        <v>#DIV/0!</v>
      </c>
      <c r="AC430" s="276" t="e">
        <f t="shared" si="364"/>
        <v>#DIV/0!</v>
      </c>
      <c r="AD430" s="276" t="e">
        <f t="shared" si="365"/>
        <v>#DIV/0!</v>
      </c>
      <c r="AE430" s="686" t="e">
        <f t="shared" si="366"/>
        <v>#DIV/0!</v>
      </c>
      <c r="AF430" s="239"/>
      <c r="AG430" s="965" t="e">
        <f t="shared" si="337"/>
        <v>#VALUE!</v>
      </c>
      <c r="AH430" s="878" t="e">
        <f t="shared" si="338"/>
        <v>#VALUE!</v>
      </c>
      <c r="AI430" s="878" t="e">
        <f t="shared" si="339"/>
        <v>#VALUE!</v>
      </c>
      <c r="AJ430" s="878" t="e">
        <f t="shared" si="340"/>
        <v>#VALUE!</v>
      </c>
      <c r="AK430" s="878" t="e">
        <f t="shared" si="341"/>
        <v>#VALUE!</v>
      </c>
      <c r="AL430" s="966" t="e">
        <f t="shared" si="342"/>
        <v>#VALUE!</v>
      </c>
      <c r="AM430" s="239"/>
      <c r="AO430" s="685">
        <f t="shared" si="367"/>
        <v>-2.9495280058219988</v>
      </c>
      <c r="AP430" s="276">
        <f t="shared" si="368"/>
        <v>-1.5823116418407266</v>
      </c>
      <c r="AQ430" s="276">
        <f t="shared" si="369"/>
        <v>1.3634516185252903</v>
      </c>
      <c r="AR430" s="276">
        <f t="shared" si="370"/>
        <v>-3.5848847589026285</v>
      </c>
      <c r="AS430" s="276">
        <f t="shared" si="371"/>
        <v>1.7166017506635358</v>
      </c>
      <c r="AT430" s="276">
        <f t="shared" si="372"/>
        <v>-1.19255880037013</v>
      </c>
      <c r="AU430" s="685">
        <f t="shared" si="373"/>
        <v>1.8750359878501424</v>
      </c>
      <c r="AV430" s="276">
        <f t="shared" si="374"/>
        <v>1.0951786449140066</v>
      </c>
      <c r="AW430" s="276">
        <f t="shared" si="375"/>
        <v>1.908493465427856</v>
      </c>
      <c r="AX430" s="276">
        <f t="shared" si="376"/>
        <v>1.185007326212421</v>
      </c>
      <c r="AY430" s="276">
        <f t="shared" si="377"/>
        <v>1.4417225188288627</v>
      </c>
      <c r="AZ430" s="686">
        <f t="shared" si="378"/>
        <v>1.3723027404166046</v>
      </c>
      <c r="BA430" s="685">
        <f t="shared" si="379"/>
        <v>0</v>
      </c>
      <c r="BB430" s="276">
        <f t="shared" si="380"/>
        <v>0</v>
      </c>
      <c r="BC430" s="276">
        <f t="shared" si="381"/>
        <v>0</v>
      </c>
      <c r="BD430" s="276">
        <f t="shared" si="382"/>
        <v>0</v>
      </c>
      <c r="BE430" s="276">
        <f t="shared" si="383"/>
        <v>0</v>
      </c>
      <c r="BF430" s="686">
        <f t="shared" si="384"/>
        <v>0</v>
      </c>
      <c r="BG430" s="685" t="e">
        <f t="shared" si="385"/>
        <v>#DIV/0!</v>
      </c>
      <c r="BH430" s="276" t="e">
        <f t="shared" si="386"/>
        <v>#DIV/0!</v>
      </c>
      <c r="BI430" s="276" t="e">
        <f t="shared" si="387"/>
        <v>#DIV/0!</v>
      </c>
      <c r="BJ430" s="276" t="e">
        <f t="shared" si="388"/>
        <v>#DIV/0!</v>
      </c>
      <c r="BK430" s="276" t="e">
        <f t="shared" si="389"/>
        <v>#DIV/0!</v>
      </c>
      <c r="BL430" s="686" t="e">
        <f t="shared" si="390"/>
        <v>#DIV/0!</v>
      </c>
      <c r="BM430" s="239"/>
      <c r="BN430" s="965" t="e">
        <f t="shared" si="391"/>
        <v>#VALUE!</v>
      </c>
      <c r="BO430" s="878" t="e">
        <f t="shared" si="392"/>
        <v>#VALUE!</v>
      </c>
      <c r="BP430" s="878" t="e">
        <f t="shared" si="393"/>
        <v>#VALUE!</v>
      </c>
      <c r="BQ430" s="878" t="e">
        <f t="shared" si="394"/>
        <v>#VALUE!</v>
      </c>
      <c r="BR430" s="878" t="e">
        <f t="shared" si="395"/>
        <v>#VALUE!</v>
      </c>
      <c r="BS430" s="966" t="e">
        <f t="shared" si="396"/>
        <v>#VALUE!</v>
      </c>
    </row>
    <row r="431" spans="1:71">
      <c r="A431" s="284">
        <f t="shared" si="397"/>
        <v>363</v>
      </c>
      <c r="B431" s="285">
        <v>2.8028712227244004</v>
      </c>
      <c r="C431" s="285">
        <v>2.9780469614832494</v>
      </c>
      <c r="D431" s="285">
        <v>0.18959793863530394</v>
      </c>
      <c r="E431" s="285">
        <v>-3.560408688111401</v>
      </c>
      <c r="H431" s="685">
        <f t="shared" si="343"/>
        <v>1.6696373809553455</v>
      </c>
      <c r="I431" s="276">
        <f t="shared" si="344"/>
        <v>2.4988998513474687</v>
      </c>
      <c r="J431" s="276">
        <f t="shared" si="345"/>
        <v>-5.2229961209877693</v>
      </c>
      <c r="K431" s="276">
        <f t="shared" si="346"/>
        <v>-5.3862683811716066</v>
      </c>
      <c r="L431" s="276">
        <f t="shared" si="347"/>
        <v>-5.7270335318603296</v>
      </c>
      <c r="M431" s="276">
        <f t="shared" si="348"/>
        <v>-0.91003573583148989</v>
      </c>
      <c r="N431" s="685">
        <f t="shared" si="349"/>
        <v>1.770875750511381</v>
      </c>
      <c r="O431" s="276">
        <f t="shared" si="350"/>
        <v>1.8059235713460915</v>
      </c>
      <c r="P431" s="276">
        <f t="shared" si="351"/>
        <v>0.72755809447563791</v>
      </c>
      <c r="Q431" s="276">
        <f t="shared" si="352"/>
        <v>0.84952918435619895</v>
      </c>
      <c r="R431" s="276">
        <f t="shared" si="353"/>
        <v>0.89052789064551363</v>
      </c>
      <c r="S431" s="686">
        <f t="shared" si="354"/>
        <v>1.418177685766959</v>
      </c>
      <c r="T431" s="685">
        <f t="shared" si="355"/>
        <v>3.4679616289062301</v>
      </c>
      <c r="U431" s="276">
        <f t="shared" si="356"/>
        <v>4.6021653020545106</v>
      </c>
      <c r="V431" s="276">
        <f t="shared" si="357"/>
        <v>5.7315354599035171</v>
      </c>
      <c r="W431" s="276">
        <f t="shared" si="358"/>
        <v>6.3729951187692713</v>
      </c>
      <c r="X431" s="276">
        <f t="shared" si="359"/>
        <v>4.6797071299616944</v>
      </c>
      <c r="Y431" s="686">
        <f t="shared" si="360"/>
        <v>1.7222366529762869</v>
      </c>
      <c r="Z431" s="685" t="e">
        <f t="shared" si="361"/>
        <v>#DIV/0!</v>
      </c>
      <c r="AA431" s="276" t="e">
        <f t="shared" si="362"/>
        <v>#DIV/0!</v>
      </c>
      <c r="AB431" s="276" t="e">
        <f t="shared" si="363"/>
        <v>#DIV/0!</v>
      </c>
      <c r="AC431" s="276" t="e">
        <f t="shared" si="364"/>
        <v>#DIV/0!</v>
      </c>
      <c r="AD431" s="276" t="e">
        <f t="shared" si="365"/>
        <v>#DIV/0!</v>
      </c>
      <c r="AE431" s="686" t="e">
        <f t="shared" si="366"/>
        <v>#DIV/0!</v>
      </c>
      <c r="AF431" s="239"/>
      <c r="AG431" s="965" t="e">
        <f t="shared" si="337"/>
        <v>#VALUE!</v>
      </c>
      <c r="AH431" s="878" t="e">
        <f t="shared" si="338"/>
        <v>#VALUE!</v>
      </c>
      <c r="AI431" s="878" t="e">
        <f t="shared" si="339"/>
        <v>#VALUE!</v>
      </c>
      <c r="AJ431" s="878" t="e">
        <f t="shared" si="340"/>
        <v>#VALUE!</v>
      </c>
      <c r="AK431" s="878" t="e">
        <f t="shared" si="341"/>
        <v>#VALUE!</v>
      </c>
      <c r="AL431" s="966" t="e">
        <f t="shared" si="342"/>
        <v>#VALUE!</v>
      </c>
      <c r="AM431" s="239"/>
      <c r="AO431" s="685">
        <f t="shared" si="367"/>
        <v>1.6696373809553455</v>
      </c>
      <c r="AP431" s="276">
        <f t="shared" si="368"/>
        <v>2.4988998513474687</v>
      </c>
      <c r="AQ431" s="276">
        <f t="shared" si="369"/>
        <v>-5.2229961209877693</v>
      </c>
      <c r="AR431" s="276">
        <f t="shared" si="370"/>
        <v>-5.3862683811716066</v>
      </c>
      <c r="AS431" s="276">
        <f t="shared" si="371"/>
        <v>-5.7270335318603296</v>
      </c>
      <c r="AT431" s="276">
        <f t="shared" si="372"/>
        <v>-0.91003573583148989</v>
      </c>
      <c r="AU431" s="685">
        <f t="shared" si="373"/>
        <v>1.770875750511381</v>
      </c>
      <c r="AV431" s="276">
        <f t="shared" si="374"/>
        <v>1.8059235713460915</v>
      </c>
      <c r="AW431" s="276">
        <f t="shared" si="375"/>
        <v>0.72755809447563791</v>
      </c>
      <c r="AX431" s="276">
        <f t="shared" si="376"/>
        <v>0.84952918435619895</v>
      </c>
      <c r="AY431" s="276">
        <f t="shared" si="377"/>
        <v>0.89052789064551363</v>
      </c>
      <c r="AZ431" s="686">
        <f t="shared" si="378"/>
        <v>1.418177685766959</v>
      </c>
      <c r="BA431" s="685">
        <f t="shared" si="379"/>
        <v>0</v>
      </c>
      <c r="BB431" s="276">
        <f t="shared" si="380"/>
        <v>0</v>
      </c>
      <c r="BC431" s="276">
        <f t="shared" si="381"/>
        <v>0</v>
      </c>
      <c r="BD431" s="276">
        <f t="shared" si="382"/>
        <v>0</v>
      </c>
      <c r="BE431" s="276">
        <f t="shared" si="383"/>
        <v>0</v>
      </c>
      <c r="BF431" s="686">
        <f t="shared" si="384"/>
        <v>0</v>
      </c>
      <c r="BG431" s="685" t="e">
        <f t="shared" si="385"/>
        <v>#DIV/0!</v>
      </c>
      <c r="BH431" s="276" t="e">
        <f t="shared" si="386"/>
        <v>#DIV/0!</v>
      </c>
      <c r="BI431" s="276" t="e">
        <f t="shared" si="387"/>
        <v>#DIV/0!</v>
      </c>
      <c r="BJ431" s="276" t="e">
        <f t="shared" si="388"/>
        <v>#DIV/0!</v>
      </c>
      <c r="BK431" s="276" t="e">
        <f t="shared" si="389"/>
        <v>#DIV/0!</v>
      </c>
      <c r="BL431" s="686" t="e">
        <f t="shared" si="390"/>
        <v>#DIV/0!</v>
      </c>
      <c r="BM431" s="239"/>
      <c r="BN431" s="965" t="e">
        <f t="shared" si="391"/>
        <v>#VALUE!</v>
      </c>
      <c r="BO431" s="878" t="e">
        <f t="shared" si="392"/>
        <v>#VALUE!</v>
      </c>
      <c r="BP431" s="878" t="e">
        <f t="shared" si="393"/>
        <v>#VALUE!</v>
      </c>
      <c r="BQ431" s="878" t="e">
        <f t="shared" si="394"/>
        <v>#VALUE!</v>
      </c>
      <c r="BR431" s="878" t="e">
        <f t="shared" si="395"/>
        <v>#VALUE!</v>
      </c>
      <c r="BS431" s="966" t="e">
        <f t="shared" si="396"/>
        <v>#VALUE!</v>
      </c>
    </row>
    <row r="432" spans="1:71">
      <c r="A432" s="284">
        <f t="shared" si="397"/>
        <v>364</v>
      </c>
      <c r="B432" s="285">
        <v>0.27255990411927222</v>
      </c>
      <c r="C432" s="285">
        <v>2.7999100436353559</v>
      </c>
      <c r="D432" s="285">
        <v>1.268065913232143</v>
      </c>
      <c r="E432" s="285">
        <v>1.6001083843529762</v>
      </c>
      <c r="H432" s="685">
        <f t="shared" si="343"/>
        <v>-0.86067393764978262</v>
      </c>
      <c r="I432" s="276">
        <f t="shared" si="344"/>
        <v>-1.9218176998246961</v>
      </c>
      <c r="J432" s="276">
        <f t="shared" si="345"/>
        <v>-7.6941144085998543</v>
      </c>
      <c r="K432" s="276">
        <f t="shared" si="346"/>
        <v>-1.8610260184322276</v>
      </c>
      <c r="L432" s="276">
        <f t="shared" si="347"/>
        <v>-5.5265299554555476</v>
      </c>
      <c r="M432" s="276">
        <f t="shared" si="348"/>
        <v>0.71541483649824467</v>
      </c>
      <c r="N432" s="685">
        <f t="shared" si="349"/>
        <v>1.5927388326634875</v>
      </c>
      <c r="O432" s="276">
        <f t="shared" si="350"/>
        <v>1.74097936080935</v>
      </c>
      <c r="P432" s="276">
        <f t="shared" si="351"/>
        <v>0.39643615714913438</v>
      </c>
      <c r="Q432" s="276">
        <f t="shared" si="352"/>
        <v>1.4185634078449512</v>
      </c>
      <c r="R432" s="276">
        <f t="shared" si="353"/>
        <v>0.20596901241480992</v>
      </c>
      <c r="S432" s="686">
        <f t="shared" si="354"/>
        <v>0.33834079069089928</v>
      </c>
      <c r="T432" s="685">
        <f t="shared" si="355"/>
        <v>4.5464296035030687</v>
      </c>
      <c r="U432" s="276">
        <f t="shared" si="356"/>
        <v>4.5778432144635204</v>
      </c>
      <c r="V432" s="276">
        <f t="shared" si="357"/>
        <v>4.7299293827780762</v>
      </c>
      <c r="W432" s="276">
        <f t="shared" si="358"/>
        <v>5.7828994998366472</v>
      </c>
      <c r="X432" s="276">
        <f t="shared" si="359"/>
        <v>3.7452931565349719</v>
      </c>
      <c r="Y432" s="686">
        <f t="shared" si="360"/>
        <v>7.095499498042825</v>
      </c>
      <c r="Z432" s="685" t="e">
        <f t="shared" si="361"/>
        <v>#DIV/0!</v>
      </c>
      <c r="AA432" s="276" t="e">
        <f t="shared" si="362"/>
        <v>#DIV/0!</v>
      </c>
      <c r="AB432" s="276" t="e">
        <f t="shared" si="363"/>
        <v>#DIV/0!</v>
      </c>
      <c r="AC432" s="276" t="e">
        <f t="shared" si="364"/>
        <v>#DIV/0!</v>
      </c>
      <c r="AD432" s="276" t="e">
        <f t="shared" si="365"/>
        <v>#DIV/0!</v>
      </c>
      <c r="AE432" s="686" t="e">
        <f t="shared" si="366"/>
        <v>#DIV/0!</v>
      </c>
      <c r="AF432" s="239"/>
      <c r="AG432" s="965" t="e">
        <f t="shared" si="337"/>
        <v>#VALUE!</v>
      </c>
      <c r="AH432" s="878" t="e">
        <f t="shared" si="338"/>
        <v>#VALUE!</v>
      </c>
      <c r="AI432" s="878" t="e">
        <f t="shared" si="339"/>
        <v>#VALUE!</v>
      </c>
      <c r="AJ432" s="878" t="e">
        <f t="shared" si="340"/>
        <v>#VALUE!</v>
      </c>
      <c r="AK432" s="878" t="e">
        <f t="shared" si="341"/>
        <v>#VALUE!</v>
      </c>
      <c r="AL432" s="966" t="e">
        <f t="shared" si="342"/>
        <v>#VALUE!</v>
      </c>
      <c r="AM432" s="239"/>
      <c r="AO432" s="685">
        <f t="shared" si="367"/>
        <v>-0.86067393764978262</v>
      </c>
      <c r="AP432" s="276">
        <f t="shared" si="368"/>
        <v>-1.9218176998246961</v>
      </c>
      <c r="AQ432" s="276">
        <f t="shared" si="369"/>
        <v>-7.6941144085998543</v>
      </c>
      <c r="AR432" s="276">
        <f t="shared" si="370"/>
        <v>-1.8610260184322276</v>
      </c>
      <c r="AS432" s="276">
        <f t="shared" si="371"/>
        <v>-5.5265299554555476</v>
      </c>
      <c r="AT432" s="276">
        <f t="shared" si="372"/>
        <v>0.71541483649824467</v>
      </c>
      <c r="AU432" s="685">
        <f t="shared" si="373"/>
        <v>1.5927388326634875</v>
      </c>
      <c r="AV432" s="276">
        <f t="shared" si="374"/>
        <v>1.74097936080935</v>
      </c>
      <c r="AW432" s="276">
        <f t="shared" si="375"/>
        <v>0.39643615714913438</v>
      </c>
      <c r="AX432" s="276">
        <f t="shared" si="376"/>
        <v>1.4185634078449512</v>
      </c>
      <c r="AY432" s="276">
        <f t="shared" si="377"/>
        <v>0.20596901241480992</v>
      </c>
      <c r="AZ432" s="686">
        <f t="shared" si="378"/>
        <v>0.33834079069089928</v>
      </c>
      <c r="BA432" s="685">
        <f t="shared" si="379"/>
        <v>0</v>
      </c>
      <c r="BB432" s="276">
        <f t="shared" si="380"/>
        <v>0</v>
      </c>
      <c r="BC432" s="276">
        <f t="shared" si="381"/>
        <v>0</v>
      </c>
      <c r="BD432" s="276">
        <f t="shared" si="382"/>
        <v>0</v>
      </c>
      <c r="BE432" s="276">
        <f t="shared" si="383"/>
        <v>0</v>
      </c>
      <c r="BF432" s="686">
        <f t="shared" si="384"/>
        <v>0</v>
      </c>
      <c r="BG432" s="685" t="e">
        <f t="shared" si="385"/>
        <v>#DIV/0!</v>
      </c>
      <c r="BH432" s="276" t="e">
        <f t="shared" si="386"/>
        <v>#DIV/0!</v>
      </c>
      <c r="BI432" s="276" t="e">
        <f t="shared" si="387"/>
        <v>#DIV/0!</v>
      </c>
      <c r="BJ432" s="276" t="e">
        <f t="shared" si="388"/>
        <v>#DIV/0!</v>
      </c>
      <c r="BK432" s="276" t="e">
        <f t="shared" si="389"/>
        <v>#DIV/0!</v>
      </c>
      <c r="BL432" s="686" t="e">
        <f t="shared" si="390"/>
        <v>#DIV/0!</v>
      </c>
      <c r="BM432" s="239"/>
      <c r="BN432" s="965" t="e">
        <f t="shared" si="391"/>
        <v>#VALUE!</v>
      </c>
      <c r="BO432" s="878" t="e">
        <f t="shared" si="392"/>
        <v>#VALUE!</v>
      </c>
      <c r="BP432" s="878" t="e">
        <f t="shared" si="393"/>
        <v>#VALUE!</v>
      </c>
      <c r="BQ432" s="878" t="e">
        <f t="shared" si="394"/>
        <v>#VALUE!</v>
      </c>
      <c r="BR432" s="878" t="e">
        <f t="shared" si="395"/>
        <v>#VALUE!</v>
      </c>
      <c r="BS432" s="966" t="e">
        <f t="shared" si="396"/>
        <v>#VALUE!</v>
      </c>
    </row>
    <row r="433" spans="1:71">
      <c r="A433" s="284">
        <f t="shared" si="397"/>
        <v>365</v>
      </c>
      <c r="B433" s="285">
        <v>-0.7613617940788967</v>
      </c>
      <c r="C433" s="285">
        <v>2.1337690742560098</v>
      </c>
      <c r="D433" s="285">
        <v>1.3698665643011168</v>
      </c>
      <c r="E433" s="285">
        <v>-14.618963551893644</v>
      </c>
      <c r="H433" s="685">
        <f t="shared" si="343"/>
        <v>-1.8945956358479514</v>
      </c>
      <c r="I433" s="276">
        <f t="shared" si="344"/>
        <v>-2.3676677217236124</v>
      </c>
      <c r="J433" s="276">
        <f t="shared" si="345"/>
        <v>-3.1415134726712148</v>
      </c>
      <c r="K433" s="276">
        <f t="shared" si="346"/>
        <v>-1.0479573921487872</v>
      </c>
      <c r="L433" s="276">
        <f t="shared" si="347"/>
        <v>0.27970120242356455</v>
      </c>
      <c r="M433" s="276">
        <f t="shared" si="348"/>
        <v>4.4246114370850425</v>
      </c>
      <c r="N433" s="685">
        <f t="shared" si="349"/>
        <v>0.9265978632841414</v>
      </c>
      <c r="O433" s="276">
        <f t="shared" si="350"/>
        <v>1.1244828058926679</v>
      </c>
      <c r="P433" s="276">
        <f t="shared" si="351"/>
        <v>1.0796150760011198</v>
      </c>
      <c r="Q433" s="276">
        <f t="shared" si="352"/>
        <v>1.0591183248972815</v>
      </c>
      <c r="R433" s="276">
        <f t="shared" si="353"/>
        <v>1.2526247642071937</v>
      </c>
      <c r="S433" s="686">
        <f t="shared" si="354"/>
        <v>2.4581577698985901</v>
      </c>
      <c r="T433" s="685">
        <f t="shared" si="355"/>
        <v>4.6482302545720424</v>
      </c>
      <c r="U433" s="276">
        <f t="shared" si="356"/>
        <v>3.9951361860045926</v>
      </c>
      <c r="V433" s="276">
        <f t="shared" si="357"/>
        <v>5.2760241933354086</v>
      </c>
      <c r="W433" s="276">
        <f t="shared" si="358"/>
        <v>5.4053517449969117</v>
      </c>
      <c r="X433" s="276">
        <f t="shared" si="359"/>
        <v>6.7599558974279592</v>
      </c>
      <c r="Y433" s="686">
        <f t="shared" si="360"/>
        <v>3.5044593452153907</v>
      </c>
      <c r="Z433" s="685" t="e">
        <f t="shared" si="361"/>
        <v>#DIV/0!</v>
      </c>
      <c r="AA433" s="276" t="e">
        <f t="shared" si="362"/>
        <v>#DIV/0!</v>
      </c>
      <c r="AB433" s="276" t="e">
        <f t="shared" si="363"/>
        <v>#DIV/0!</v>
      </c>
      <c r="AC433" s="276" t="e">
        <f t="shared" si="364"/>
        <v>#DIV/0!</v>
      </c>
      <c r="AD433" s="276" t="e">
        <f t="shared" si="365"/>
        <v>#DIV/0!</v>
      </c>
      <c r="AE433" s="686" t="e">
        <f t="shared" si="366"/>
        <v>#DIV/0!</v>
      </c>
      <c r="AF433" s="239"/>
      <c r="AG433" s="965" t="e">
        <f t="shared" si="337"/>
        <v>#VALUE!</v>
      </c>
      <c r="AH433" s="878" t="e">
        <f t="shared" si="338"/>
        <v>#VALUE!</v>
      </c>
      <c r="AI433" s="878" t="e">
        <f t="shared" si="339"/>
        <v>#VALUE!</v>
      </c>
      <c r="AJ433" s="878" t="e">
        <f t="shared" si="340"/>
        <v>#VALUE!</v>
      </c>
      <c r="AK433" s="878" t="e">
        <f t="shared" si="341"/>
        <v>#VALUE!</v>
      </c>
      <c r="AL433" s="966" t="e">
        <f t="shared" si="342"/>
        <v>#VALUE!</v>
      </c>
      <c r="AM433" s="239"/>
      <c r="AO433" s="685">
        <f t="shared" si="367"/>
        <v>-1.8945956358479514</v>
      </c>
      <c r="AP433" s="276">
        <f t="shared" si="368"/>
        <v>-2.3676677217236124</v>
      </c>
      <c r="AQ433" s="276">
        <f t="shared" si="369"/>
        <v>-3.1415134726712148</v>
      </c>
      <c r="AR433" s="276">
        <f t="shared" si="370"/>
        <v>-1.0479573921487872</v>
      </c>
      <c r="AS433" s="276">
        <f t="shared" si="371"/>
        <v>0.27970120242356455</v>
      </c>
      <c r="AT433" s="276">
        <f t="shared" si="372"/>
        <v>4.4246114370850425</v>
      </c>
      <c r="AU433" s="685">
        <f t="shared" si="373"/>
        <v>0.9265978632841414</v>
      </c>
      <c r="AV433" s="276">
        <f t="shared" si="374"/>
        <v>1.1244828058926679</v>
      </c>
      <c r="AW433" s="276">
        <f t="shared" si="375"/>
        <v>1.0796150760011198</v>
      </c>
      <c r="AX433" s="276">
        <f t="shared" si="376"/>
        <v>1.0591183248972815</v>
      </c>
      <c r="AY433" s="276">
        <f t="shared" si="377"/>
        <v>1.2526247642071937</v>
      </c>
      <c r="AZ433" s="686">
        <f t="shared" si="378"/>
        <v>2.4581577698985901</v>
      </c>
      <c r="BA433" s="685">
        <f t="shared" si="379"/>
        <v>0</v>
      </c>
      <c r="BB433" s="276">
        <f t="shared" si="380"/>
        <v>0</v>
      </c>
      <c r="BC433" s="276">
        <f t="shared" si="381"/>
        <v>0</v>
      </c>
      <c r="BD433" s="276">
        <f t="shared" si="382"/>
        <v>0</v>
      </c>
      <c r="BE433" s="276">
        <f t="shared" si="383"/>
        <v>0</v>
      </c>
      <c r="BF433" s="686">
        <f t="shared" si="384"/>
        <v>0</v>
      </c>
      <c r="BG433" s="685" t="e">
        <f t="shared" si="385"/>
        <v>#DIV/0!</v>
      </c>
      <c r="BH433" s="276" t="e">
        <f t="shared" si="386"/>
        <v>#DIV/0!</v>
      </c>
      <c r="BI433" s="276" t="e">
        <f t="shared" si="387"/>
        <v>#DIV/0!</v>
      </c>
      <c r="BJ433" s="276" t="e">
        <f t="shared" si="388"/>
        <v>#DIV/0!</v>
      </c>
      <c r="BK433" s="276" t="e">
        <f t="shared" si="389"/>
        <v>#DIV/0!</v>
      </c>
      <c r="BL433" s="686" t="e">
        <f t="shared" si="390"/>
        <v>#DIV/0!</v>
      </c>
      <c r="BM433" s="239"/>
      <c r="BN433" s="965" t="e">
        <f t="shared" si="391"/>
        <v>#VALUE!</v>
      </c>
      <c r="BO433" s="878" t="e">
        <f t="shared" si="392"/>
        <v>#VALUE!</v>
      </c>
      <c r="BP433" s="878" t="e">
        <f t="shared" si="393"/>
        <v>#VALUE!</v>
      </c>
      <c r="BQ433" s="878" t="e">
        <f t="shared" si="394"/>
        <v>#VALUE!</v>
      </c>
      <c r="BR433" s="878" t="e">
        <f t="shared" si="395"/>
        <v>#VALUE!</v>
      </c>
      <c r="BS433" s="966" t="e">
        <f t="shared" si="396"/>
        <v>#VALUE!</v>
      </c>
    </row>
    <row r="434" spans="1:71">
      <c r="A434" s="284">
        <f t="shared" si="397"/>
        <v>366</v>
      </c>
      <c r="B434" s="285">
        <v>-2.8913856860938392</v>
      </c>
      <c r="C434" s="285">
        <v>1.9201114779423714</v>
      </c>
      <c r="D434" s="285">
        <v>0.35731348027455712</v>
      </c>
      <c r="E434" s="285">
        <v>-1.2421775890741258</v>
      </c>
      <c r="H434" s="685">
        <f t="shared" si="343"/>
        <v>-4.0246195278628942</v>
      </c>
      <c r="I434" s="276">
        <f t="shared" si="344"/>
        <v>-1.025616873239767</v>
      </c>
      <c r="J434" s="276">
        <f t="shared" si="345"/>
        <v>-1.400082572696427</v>
      </c>
      <c r="K434" s="276">
        <f t="shared" si="346"/>
        <v>0.80768959186264344</v>
      </c>
      <c r="L434" s="276">
        <f t="shared" si="347"/>
        <v>-0.6354729503758848</v>
      </c>
      <c r="M434" s="276">
        <f t="shared" si="348"/>
        <v>0.52982160829203173</v>
      </c>
      <c r="N434" s="685">
        <f t="shared" si="349"/>
        <v>0.71294026697050294</v>
      </c>
      <c r="O434" s="276">
        <f t="shared" si="350"/>
        <v>1.7651421765486044</v>
      </c>
      <c r="P434" s="276">
        <f t="shared" si="351"/>
        <v>1.9575702970154476</v>
      </c>
      <c r="Q434" s="276">
        <f t="shared" si="352"/>
        <v>1.2279653631520404</v>
      </c>
      <c r="R434" s="276">
        <f t="shared" si="353"/>
        <v>1.8678099022705419</v>
      </c>
      <c r="S434" s="686">
        <f t="shared" si="354"/>
        <v>1.1154000449840791</v>
      </c>
      <c r="T434" s="685">
        <f t="shared" si="355"/>
        <v>3.6356771705454829</v>
      </c>
      <c r="U434" s="276">
        <f t="shared" si="356"/>
        <v>3.1751488707628868</v>
      </c>
      <c r="V434" s="276">
        <f t="shared" si="357"/>
        <v>1.405354006784751</v>
      </c>
      <c r="W434" s="276">
        <f t="shared" si="358"/>
        <v>6.410525535697273</v>
      </c>
      <c r="X434" s="276">
        <f t="shared" si="359"/>
        <v>3.3093527622998051</v>
      </c>
      <c r="Y434" s="686">
        <f t="shared" si="360"/>
        <v>3.3347580626965128</v>
      </c>
      <c r="Z434" s="685" t="e">
        <f t="shared" si="361"/>
        <v>#DIV/0!</v>
      </c>
      <c r="AA434" s="276" t="e">
        <f t="shared" si="362"/>
        <v>#DIV/0!</v>
      </c>
      <c r="AB434" s="276" t="e">
        <f t="shared" si="363"/>
        <v>#DIV/0!</v>
      </c>
      <c r="AC434" s="276" t="e">
        <f t="shared" si="364"/>
        <v>#DIV/0!</v>
      </c>
      <c r="AD434" s="276" t="e">
        <f t="shared" si="365"/>
        <v>#DIV/0!</v>
      </c>
      <c r="AE434" s="686" t="e">
        <f t="shared" si="366"/>
        <v>#DIV/0!</v>
      </c>
      <c r="AF434" s="239"/>
      <c r="AG434" s="965" t="e">
        <f t="shared" si="337"/>
        <v>#VALUE!</v>
      </c>
      <c r="AH434" s="878" t="e">
        <f t="shared" si="338"/>
        <v>#VALUE!</v>
      </c>
      <c r="AI434" s="878" t="e">
        <f t="shared" si="339"/>
        <v>#VALUE!</v>
      </c>
      <c r="AJ434" s="878" t="e">
        <f t="shared" si="340"/>
        <v>#VALUE!</v>
      </c>
      <c r="AK434" s="878" t="e">
        <f t="shared" si="341"/>
        <v>#VALUE!</v>
      </c>
      <c r="AL434" s="966" t="e">
        <f t="shared" si="342"/>
        <v>#VALUE!</v>
      </c>
      <c r="AM434" s="239"/>
      <c r="AO434" s="685">
        <f t="shared" si="367"/>
        <v>-4.0246195278628942</v>
      </c>
      <c r="AP434" s="276">
        <f t="shared" si="368"/>
        <v>-1.025616873239767</v>
      </c>
      <c r="AQ434" s="276">
        <f t="shared" si="369"/>
        <v>-1.400082572696427</v>
      </c>
      <c r="AR434" s="276">
        <f t="shared" si="370"/>
        <v>0.80768959186264344</v>
      </c>
      <c r="AS434" s="276">
        <f t="shared" si="371"/>
        <v>-0.6354729503758848</v>
      </c>
      <c r="AT434" s="276">
        <f t="shared" si="372"/>
        <v>0.52982160829203173</v>
      </c>
      <c r="AU434" s="685">
        <f t="shared" si="373"/>
        <v>0.71294026697050294</v>
      </c>
      <c r="AV434" s="276">
        <f t="shared" si="374"/>
        <v>1.7651421765486044</v>
      </c>
      <c r="AW434" s="276">
        <f t="shared" si="375"/>
        <v>1.9575702970154476</v>
      </c>
      <c r="AX434" s="276">
        <f t="shared" si="376"/>
        <v>1.2279653631520404</v>
      </c>
      <c r="AY434" s="276">
        <f t="shared" si="377"/>
        <v>1.8678099022705419</v>
      </c>
      <c r="AZ434" s="686">
        <f t="shared" si="378"/>
        <v>1.1154000449840791</v>
      </c>
      <c r="BA434" s="685">
        <f t="shared" si="379"/>
        <v>0</v>
      </c>
      <c r="BB434" s="276">
        <f t="shared" si="380"/>
        <v>0</v>
      </c>
      <c r="BC434" s="276">
        <f t="shared" si="381"/>
        <v>0</v>
      </c>
      <c r="BD434" s="276">
        <f t="shared" si="382"/>
        <v>0</v>
      </c>
      <c r="BE434" s="276">
        <f t="shared" si="383"/>
        <v>0</v>
      </c>
      <c r="BF434" s="686">
        <f t="shared" si="384"/>
        <v>0</v>
      </c>
      <c r="BG434" s="685" t="e">
        <f t="shared" si="385"/>
        <v>#DIV/0!</v>
      </c>
      <c r="BH434" s="276" t="e">
        <f t="shared" si="386"/>
        <v>#DIV/0!</v>
      </c>
      <c r="BI434" s="276" t="e">
        <f t="shared" si="387"/>
        <v>#DIV/0!</v>
      </c>
      <c r="BJ434" s="276" t="e">
        <f t="shared" si="388"/>
        <v>#DIV/0!</v>
      </c>
      <c r="BK434" s="276" t="e">
        <f t="shared" si="389"/>
        <v>#DIV/0!</v>
      </c>
      <c r="BL434" s="686" t="e">
        <f t="shared" si="390"/>
        <v>#DIV/0!</v>
      </c>
      <c r="BM434" s="239"/>
      <c r="BN434" s="965" t="e">
        <f t="shared" si="391"/>
        <v>#VALUE!</v>
      </c>
      <c r="BO434" s="878" t="e">
        <f t="shared" si="392"/>
        <v>#VALUE!</v>
      </c>
      <c r="BP434" s="878" t="e">
        <f t="shared" si="393"/>
        <v>#VALUE!</v>
      </c>
      <c r="BQ434" s="878" t="e">
        <f t="shared" si="394"/>
        <v>#VALUE!</v>
      </c>
      <c r="BR434" s="878" t="e">
        <f t="shared" si="395"/>
        <v>#VALUE!</v>
      </c>
      <c r="BS434" s="966" t="e">
        <f t="shared" si="396"/>
        <v>#VALUE!</v>
      </c>
    </row>
    <row r="435" spans="1:71">
      <c r="A435" s="284">
        <f t="shared" si="397"/>
        <v>367</v>
      </c>
      <c r="B435" s="285">
        <v>0.79051344640396926</v>
      </c>
      <c r="C435" s="285">
        <v>2.6404428877560377</v>
      </c>
      <c r="D435" s="285">
        <v>1.0772618351741263</v>
      </c>
      <c r="E435" s="285">
        <v>-13.108038647809655</v>
      </c>
      <c r="H435" s="685">
        <f t="shared" si="343"/>
        <v>-0.34272039536508558</v>
      </c>
      <c r="I435" s="276">
        <f t="shared" si="344"/>
        <v>0.84577761015548569</v>
      </c>
      <c r="J435" s="276">
        <f t="shared" si="345"/>
        <v>0.5102147864026485</v>
      </c>
      <c r="K435" s="276">
        <f t="shared" si="346"/>
        <v>-3.3963325511579967</v>
      </c>
      <c r="L435" s="276">
        <f t="shared" si="347"/>
        <v>-7.286689184325164</v>
      </c>
      <c r="M435" s="276">
        <f t="shared" si="348"/>
        <v>-2.385533300739958</v>
      </c>
      <c r="N435" s="685">
        <f t="shared" si="349"/>
        <v>1.4332716767841693</v>
      </c>
      <c r="O435" s="276">
        <f t="shared" si="350"/>
        <v>1.2182690261525708</v>
      </c>
      <c r="P435" s="276">
        <f t="shared" si="351"/>
        <v>1.7551728229256252</v>
      </c>
      <c r="Q435" s="276">
        <f t="shared" si="352"/>
        <v>0.83523625615848096</v>
      </c>
      <c r="R435" s="276">
        <f t="shared" si="353"/>
        <v>0.76899721655567399</v>
      </c>
      <c r="S435" s="686">
        <f t="shared" si="354"/>
        <v>0.97921551979993082</v>
      </c>
      <c r="T435" s="685">
        <f t="shared" si="355"/>
        <v>4.3556255254450527</v>
      </c>
      <c r="U435" s="276">
        <f t="shared" si="356"/>
        <v>4.3758608957945846</v>
      </c>
      <c r="V435" s="276">
        <f t="shared" si="357"/>
        <v>4.0251215067626358</v>
      </c>
      <c r="W435" s="276">
        <f t="shared" si="358"/>
        <v>5.6775068523261023</v>
      </c>
      <c r="X435" s="276">
        <f t="shared" si="359"/>
        <v>4.406674289171236</v>
      </c>
      <c r="Y435" s="686">
        <f t="shared" si="360"/>
        <v>6.1062931535337821</v>
      </c>
      <c r="Z435" s="685" t="e">
        <f t="shared" si="361"/>
        <v>#DIV/0!</v>
      </c>
      <c r="AA435" s="276" t="e">
        <f t="shared" si="362"/>
        <v>#DIV/0!</v>
      </c>
      <c r="AB435" s="276" t="e">
        <f t="shared" si="363"/>
        <v>#DIV/0!</v>
      </c>
      <c r="AC435" s="276" t="e">
        <f t="shared" si="364"/>
        <v>#DIV/0!</v>
      </c>
      <c r="AD435" s="276" t="e">
        <f t="shared" si="365"/>
        <v>#DIV/0!</v>
      </c>
      <c r="AE435" s="686" t="e">
        <f t="shared" si="366"/>
        <v>#DIV/0!</v>
      </c>
      <c r="AF435" s="239"/>
      <c r="AG435" s="965" t="e">
        <f t="shared" si="337"/>
        <v>#VALUE!</v>
      </c>
      <c r="AH435" s="878" t="e">
        <f t="shared" si="338"/>
        <v>#VALUE!</v>
      </c>
      <c r="AI435" s="878" t="e">
        <f t="shared" si="339"/>
        <v>#VALUE!</v>
      </c>
      <c r="AJ435" s="878" t="e">
        <f t="shared" si="340"/>
        <v>#VALUE!</v>
      </c>
      <c r="AK435" s="878" t="e">
        <f t="shared" si="341"/>
        <v>#VALUE!</v>
      </c>
      <c r="AL435" s="966" t="e">
        <f t="shared" si="342"/>
        <v>#VALUE!</v>
      </c>
      <c r="AM435" s="239"/>
      <c r="AO435" s="685">
        <f t="shared" si="367"/>
        <v>-0.34272039536508558</v>
      </c>
      <c r="AP435" s="276">
        <f t="shared" si="368"/>
        <v>0.84577761015548569</v>
      </c>
      <c r="AQ435" s="276">
        <f t="shared" si="369"/>
        <v>0.5102147864026485</v>
      </c>
      <c r="AR435" s="276">
        <f t="shared" si="370"/>
        <v>-3.3963325511579967</v>
      </c>
      <c r="AS435" s="276">
        <f t="shared" si="371"/>
        <v>-7.286689184325164</v>
      </c>
      <c r="AT435" s="276">
        <f t="shared" si="372"/>
        <v>-2.385533300739958</v>
      </c>
      <c r="AU435" s="685">
        <f t="shared" si="373"/>
        <v>1.4332716767841693</v>
      </c>
      <c r="AV435" s="276">
        <f t="shared" si="374"/>
        <v>1.2182690261525708</v>
      </c>
      <c r="AW435" s="276">
        <f t="shared" si="375"/>
        <v>1.7551728229256252</v>
      </c>
      <c r="AX435" s="276">
        <f t="shared" si="376"/>
        <v>0.83523625615848096</v>
      </c>
      <c r="AY435" s="276">
        <f t="shared" si="377"/>
        <v>0.76899721655567399</v>
      </c>
      <c r="AZ435" s="686">
        <f t="shared" si="378"/>
        <v>0.97921551979993082</v>
      </c>
      <c r="BA435" s="685">
        <f t="shared" si="379"/>
        <v>0</v>
      </c>
      <c r="BB435" s="276">
        <f t="shared" si="380"/>
        <v>0</v>
      </c>
      <c r="BC435" s="276">
        <f t="shared" si="381"/>
        <v>0</v>
      </c>
      <c r="BD435" s="276">
        <f t="shared" si="382"/>
        <v>0</v>
      </c>
      <c r="BE435" s="276">
        <f t="shared" si="383"/>
        <v>0</v>
      </c>
      <c r="BF435" s="686">
        <f t="shared" si="384"/>
        <v>0</v>
      </c>
      <c r="BG435" s="685" t="e">
        <f t="shared" si="385"/>
        <v>#DIV/0!</v>
      </c>
      <c r="BH435" s="276" t="e">
        <f t="shared" si="386"/>
        <v>#DIV/0!</v>
      </c>
      <c r="BI435" s="276" t="e">
        <f t="shared" si="387"/>
        <v>#DIV/0!</v>
      </c>
      <c r="BJ435" s="276" t="e">
        <f t="shared" si="388"/>
        <v>#DIV/0!</v>
      </c>
      <c r="BK435" s="276" t="e">
        <f t="shared" si="389"/>
        <v>#DIV/0!</v>
      </c>
      <c r="BL435" s="686" t="e">
        <f t="shared" si="390"/>
        <v>#DIV/0!</v>
      </c>
      <c r="BM435" s="239"/>
      <c r="BN435" s="965" t="e">
        <f t="shared" si="391"/>
        <v>#VALUE!</v>
      </c>
      <c r="BO435" s="878" t="e">
        <f t="shared" si="392"/>
        <v>#VALUE!</v>
      </c>
      <c r="BP435" s="878" t="e">
        <f t="shared" si="393"/>
        <v>#VALUE!</v>
      </c>
      <c r="BQ435" s="878" t="e">
        <f t="shared" si="394"/>
        <v>#VALUE!</v>
      </c>
      <c r="BR435" s="878" t="e">
        <f t="shared" si="395"/>
        <v>#VALUE!</v>
      </c>
      <c r="BS435" s="966" t="e">
        <f t="shared" si="396"/>
        <v>#VALUE!</v>
      </c>
    </row>
    <row r="436" spans="1:71">
      <c r="A436" s="284">
        <f t="shared" si="397"/>
        <v>368</v>
      </c>
      <c r="B436" s="285">
        <v>-2.0688685109608587</v>
      </c>
      <c r="C436" s="285">
        <v>2.7297154459792439</v>
      </c>
      <c r="D436" s="285">
        <v>1.1665695870718591</v>
      </c>
      <c r="E436" s="285">
        <v>-1.9670825853468608</v>
      </c>
      <c r="H436" s="685">
        <f t="shared" si="343"/>
        <v>-3.2021023527299137</v>
      </c>
      <c r="I436" s="276">
        <f t="shared" si="344"/>
        <v>2.5484022503655677</v>
      </c>
      <c r="J436" s="276">
        <f t="shared" si="345"/>
        <v>-2.0705567923375598</v>
      </c>
      <c r="K436" s="276">
        <f t="shared" si="346"/>
        <v>2.8908264421895478</v>
      </c>
      <c r="L436" s="276">
        <f t="shared" si="347"/>
        <v>0.98069740458754073</v>
      </c>
      <c r="M436" s="276">
        <f t="shared" si="348"/>
        <v>-0.66800663587701326</v>
      </c>
      <c r="N436" s="685">
        <f t="shared" si="349"/>
        <v>1.5225442350073755</v>
      </c>
      <c r="O436" s="276">
        <f t="shared" si="350"/>
        <v>1.7280285794917225</v>
      </c>
      <c r="P436" s="276">
        <f t="shared" si="351"/>
        <v>0.40953378495414827</v>
      </c>
      <c r="Q436" s="276">
        <f t="shared" si="352"/>
        <v>1.7981319371894731</v>
      </c>
      <c r="R436" s="276">
        <f t="shared" si="353"/>
        <v>1.4579461664633298</v>
      </c>
      <c r="S436" s="686">
        <f t="shared" si="354"/>
        <v>1.026410109770999</v>
      </c>
      <c r="T436" s="685">
        <f t="shared" si="355"/>
        <v>4.444933277342785</v>
      </c>
      <c r="U436" s="276">
        <f t="shared" si="356"/>
        <v>3.8902735033006817</v>
      </c>
      <c r="V436" s="276">
        <f t="shared" si="357"/>
        <v>4.4589898109338524</v>
      </c>
      <c r="W436" s="276">
        <f t="shared" si="358"/>
        <v>3.6171517319777235</v>
      </c>
      <c r="X436" s="276">
        <f t="shared" si="359"/>
        <v>5.6912605560347345</v>
      </c>
      <c r="Y436" s="686">
        <f t="shared" si="360"/>
        <v>3.6465348398523449</v>
      </c>
      <c r="Z436" s="685" t="e">
        <f t="shared" si="361"/>
        <v>#DIV/0!</v>
      </c>
      <c r="AA436" s="276" t="e">
        <f t="shared" si="362"/>
        <v>#DIV/0!</v>
      </c>
      <c r="AB436" s="276" t="e">
        <f t="shared" si="363"/>
        <v>#DIV/0!</v>
      </c>
      <c r="AC436" s="276" t="e">
        <f t="shared" si="364"/>
        <v>#DIV/0!</v>
      </c>
      <c r="AD436" s="276" t="e">
        <f t="shared" si="365"/>
        <v>#DIV/0!</v>
      </c>
      <c r="AE436" s="686" t="e">
        <f t="shared" si="366"/>
        <v>#DIV/0!</v>
      </c>
      <c r="AF436" s="239"/>
      <c r="AG436" s="965" t="e">
        <f t="shared" si="337"/>
        <v>#VALUE!</v>
      </c>
      <c r="AH436" s="878" t="e">
        <f t="shared" si="338"/>
        <v>#VALUE!</v>
      </c>
      <c r="AI436" s="878" t="e">
        <f t="shared" si="339"/>
        <v>#VALUE!</v>
      </c>
      <c r="AJ436" s="878" t="e">
        <f t="shared" si="340"/>
        <v>#VALUE!</v>
      </c>
      <c r="AK436" s="878" t="e">
        <f t="shared" si="341"/>
        <v>#VALUE!</v>
      </c>
      <c r="AL436" s="966" t="e">
        <f t="shared" si="342"/>
        <v>#VALUE!</v>
      </c>
      <c r="AM436" s="239"/>
      <c r="AO436" s="685">
        <f t="shared" si="367"/>
        <v>-3.2021023527299137</v>
      </c>
      <c r="AP436" s="276">
        <f t="shared" si="368"/>
        <v>2.5484022503655677</v>
      </c>
      <c r="AQ436" s="276">
        <f t="shared" si="369"/>
        <v>-2.0705567923375598</v>
      </c>
      <c r="AR436" s="276">
        <f t="shared" si="370"/>
        <v>2.8908264421895478</v>
      </c>
      <c r="AS436" s="276">
        <f t="shared" si="371"/>
        <v>0.98069740458754073</v>
      </c>
      <c r="AT436" s="276">
        <f t="shared" si="372"/>
        <v>-0.66800663587701326</v>
      </c>
      <c r="AU436" s="685">
        <f t="shared" si="373"/>
        <v>1.5225442350073755</v>
      </c>
      <c r="AV436" s="276">
        <f t="shared" si="374"/>
        <v>1.7280285794917225</v>
      </c>
      <c r="AW436" s="276">
        <f t="shared" si="375"/>
        <v>0.40953378495414827</v>
      </c>
      <c r="AX436" s="276">
        <f t="shared" si="376"/>
        <v>1.7981319371894731</v>
      </c>
      <c r="AY436" s="276">
        <f t="shared" si="377"/>
        <v>1.4579461664633298</v>
      </c>
      <c r="AZ436" s="686">
        <f t="shared" si="378"/>
        <v>1.026410109770999</v>
      </c>
      <c r="BA436" s="685">
        <f t="shared" si="379"/>
        <v>0</v>
      </c>
      <c r="BB436" s="276">
        <f t="shared" si="380"/>
        <v>0</v>
      </c>
      <c r="BC436" s="276">
        <f t="shared" si="381"/>
        <v>0</v>
      </c>
      <c r="BD436" s="276">
        <f t="shared" si="382"/>
        <v>0</v>
      </c>
      <c r="BE436" s="276">
        <f t="shared" si="383"/>
        <v>0</v>
      </c>
      <c r="BF436" s="686">
        <f t="shared" si="384"/>
        <v>0</v>
      </c>
      <c r="BG436" s="685" t="e">
        <f t="shared" si="385"/>
        <v>#DIV/0!</v>
      </c>
      <c r="BH436" s="276" t="e">
        <f t="shared" si="386"/>
        <v>#DIV/0!</v>
      </c>
      <c r="BI436" s="276" t="e">
        <f t="shared" si="387"/>
        <v>#DIV/0!</v>
      </c>
      <c r="BJ436" s="276" t="e">
        <f t="shared" si="388"/>
        <v>#DIV/0!</v>
      </c>
      <c r="BK436" s="276" t="e">
        <f t="shared" si="389"/>
        <v>#DIV/0!</v>
      </c>
      <c r="BL436" s="686" t="e">
        <f t="shared" si="390"/>
        <v>#DIV/0!</v>
      </c>
      <c r="BM436" s="239"/>
      <c r="BN436" s="965" t="e">
        <f t="shared" si="391"/>
        <v>#VALUE!</v>
      </c>
      <c r="BO436" s="878" t="e">
        <f t="shared" si="392"/>
        <v>#VALUE!</v>
      </c>
      <c r="BP436" s="878" t="e">
        <f t="shared" si="393"/>
        <v>#VALUE!</v>
      </c>
      <c r="BQ436" s="878" t="e">
        <f t="shared" si="394"/>
        <v>#VALUE!</v>
      </c>
      <c r="BR436" s="878" t="e">
        <f t="shared" si="395"/>
        <v>#VALUE!</v>
      </c>
      <c r="BS436" s="966" t="e">
        <f t="shared" si="396"/>
        <v>#VALUE!</v>
      </c>
    </row>
    <row r="437" spans="1:71">
      <c r="A437" s="284">
        <f t="shared" si="397"/>
        <v>369</v>
      </c>
      <c r="B437" s="285">
        <v>1.0479553985924794</v>
      </c>
      <c r="C437" s="285">
        <v>2.2676729795028847</v>
      </c>
      <c r="D437" s="285">
        <v>-0.34749337659823532</v>
      </c>
      <c r="E437" s="285">
        <v>-8.0967759694945869</v>
      </c>
      <c r="H437" s="685">
        <f t="shared" si="343"/>
        <v>-8.5278443176575403E-2</v>
      </c>
      <c r="I437" s="276">
        <f t="shared" si="344"/>
        <v>1.0421470111845179</v>
      </c>
      <c r="J437" s="276">
        <f t="shared" si="345"/>
        <v>0.16484304763359803</v>
      </c>
      <c r="K437" s="276">
        <f t="shared" si="346"/>
        <v>0.56614968204051874</v>
      </c>
      <c r="L437" s="276">
        <f t="shared" si="347"/>
        <v>-2.6891533908712333</v>
      </c>
      <c r="M437" s="276">
        <f t="shared" si="348"/>
        <v>2.5084750634067987</v>
      </c>
      <c r="N437" s="685">
        <f t="shared" si="349"/>
        <v>1.0605017685310163</v>
      </c>
      <c r="O437" s="276">
        <f t="shared" si="350"/>
        <v>0.83260590418386538</v>
      </c>
      <c r="P437" s="276">
        <f t="shared" si="351"/>
        <v>2.1308363534649626</v>
      </c>
      <c r="Q437" s="276">
        <f t="shared" si="352"/>
        <v>1.6872228080211034</v>
      </c>
      <c r="R437" s="276">
        <f t="shared" si="353"/>
        <v>1.3282520130473301</v>
      </c>
      <c r="S437" s="686">
        <f t="shared" si="354"/>
        <v>1.935825186339222</v>
      </c>
      <c r="T437" s="685">
        <f t="shared" si="355"/>
        <v>2.9308703136726906</v>
      </c>
      <c r="U437" s="276">
        <f t="shared" si="356"/>
        <v>6.1540522407616844</v>
      </c>
      <c r="V437" s="276">
        <f t="shared" si="357"/>
        <v>4.4188477116997795</v>
      </c>
      <c r="W437" s="276">
        <f t="shared" si="358"/>
        <v>2.9161403449862062</v>
      </c>
      <c r="X437" s="276">
        <f t="shared" si="359"/>
        <v>2.0946089562119039</v>
      </c>
      <c r="Y437" s="686">
        <f t="shared" si="360"/>
        <v>6.4406108149445735</v>
      </c>
      <c r="Z437" s="685" t="e">
        <f t="shared" si="361"/>
        <v>#DIV/0!</v>
      </c>
      <c r="AA437" s="276" t="e">
        <f t="shared" si="362"/>
        <v>#DIV/0!</v>
      </c>
      <c r="AB437" s="276" t="e">
        <f t="shared" si="363"/>
        <v>#DIV/0!</v>
      </c>
      <c r="AC437" s="276" t="e">
        <f t="shared" si="364"/>
        <v>#DIV/0!</v>
      </c>
      <c r="AD437" s="276" t="e">
        <f t="shared" si="365"/>
        <v>#DIV/0!</v>
      </c>
      <c r="AE437" s="686" t="e">
        <f t="shared" si="366"/>
        <v>#DIV/0!</v>
      </c>
      <c r="AF437" s="239"/>
      <c r="AG437" s="965" t="e">
        <f t="shared" si="337"/>
        <v>#VALUE!</v>
      </c>
      <c r="AH437" s="878" t="e">
        <f t="shared" si="338"/>
        <v>#VALUE!</v>
      </c>
      <c r="AI437" s="878" t="e">
        <f t="shared" si="339"/>
        <v>#VALUE!</v>
      </c>
      <c r="AJ437" s="878" t="e">
        <f t="shared" si="340"/>
        <v>#VALUE!</v>
      </c>
      <c r="AK437" s="878" t="e">
        <f t="shared" si="341"/>
        <v>#VALUE!</v>
      </c>
      <c r="AL437" s="966" t="e">
        <f t="shared" si="342"/>
        <v>#VALUE!</v>
      </c>
      <c r="AM437" s="239"/>
      <c r="AO437" s="685">
        <f t="shared" si="367"/>
        <v>-8.5278443176575403E-2</v>
      </c>
      <c r="AP437" s="276">
        <f t="shared" si="368"/>
        <v>1.0421470111845179</v>
      </c>
      <c r="AQ437" s="276">
        <f t="shared" si="369"/>
        <v>0.16484304763359803</v>
      </c>
      <c r="AR437" s="276">
        <f t="shared" si="370"/>
        <v>0.56614968204051874</v>
      </c>
      <c r="AS437" s="276">
        <f t="shared" si="371"/>
        <v>-2.6891533908712333</v>
      </c>
      <c r="AT437" s="276">
        <f t="shared" si="372"/>
        <v>2.5084750634067987</v>
      </c>
      <c r="AU437" s="685">
        <f t="shared" si="373"/>
        <v>1.0605017685310163</v>
      </c>
      <c r="AV437" s="276">
        <f t="shared" si="374"/>
        <v>0.83260590418386538</v>
      </c>
      <c r="AW437" s="276">
        <f t="shared" si="375"/>
        <v>2.1308363534649626</v>
      </c>
      <c r="AX437" s="276">
        <f t="shared" si="376"/>
        <v>1.6872228080211034</v>
      </c>
      <c r="AY437" s="276">
        <f t="shared" si="377"/>
        <v>1.3282520130473301</v>
      </c>
      <c r="AZ437" s="686">
        <f t="shared" si="378"/>
        <v>1.935825186339222</v>
      </c>
      <c r="BA437" s="685">
        <f t="shared" si="379"/>
        <v>0</v>
      </c>
      <c r="BB437" s="276">
        <f t="shared" si="380"/>
        <v>0</v>
      </c>
      <c r="BC437" s="276">
        <f t="shared" si="381"/>
        <v>0</v>
      </c>
      <c r="BD437" s="276">
        <f t="shared" si="382"/>
        <v>0</v>
      </c>
      <c r="BE437" s="276">
        <f t="shared" si="383"/>
        <v>0</v>
      </c>
      <c r="BF437" s="686">
        <f t="shared" si="384"/>
        <v>0</v>
      </c>
      <c r="BG437" s="685" t="e">
        <f t="shared" si="385"/>
        <v>#DIV/0!</v>
      </c>
      <c r="BH437" s="276" t="e">
        <f t="shared" si="386"/>
        <v>#DIV/0!</v>
      </c>
      <c r="BI437" s="276" t="e">
        <f t="shared" si="387"/>
        <v>#DIV/0!</v>
      </c>
      <c r="BJ437" s="276" t="e">
        <f t="shared" si="388"/>
        <v>#DIV/0!</v>
      </c>
      <c r="BK437" s="276" t="e">
        <f t="shared" si="389"/>
        <v>#DIV/0!</v>
      </c>
      <c r="BL437" s="686" t="e">
        <f t="shared" si="390"/>
        <v>#DIV/0!</v>
      </c>
      <c r="BM437" s="239"/>
      <c r="BN437" s="965" t="e">
        <f t="shared" si="391"/>
        <v>#VALUE!</v>
      </c>
      <c r="BO437" s="878" t="e">
        <f t="shared" si="392"/>
        <v>#VALUE!</v>
      </c>
      <c r="BP437" s="878" t="e">
        <f t="shared" si="393"/>
        <v>#VALUE!</v>
      </c>
      <c r="BQ437" s="878" t="e">
        <f t="shared" si="394"/>
        <v>#VALUE!</v>
      </c>
      <c r="BR437" s="878" t="e">
        <f t="shared" si="395"/>
        <v>#VALUE!</v>
      </c>
      <c r="BS437" s="966" t="e">
        <f t="shared" si="396"/>
        <v>#VALUE!</v>
      </c>
    </row>
    <row r="438" spans="1:71">
      <c r="A438" s="284">
        <f t="shared" si="397"/>
        <v>370</v>
      </c>
      <c r="B438" s="285">
        <v>-0.78631563691922934</v>
      </c>
      <c r="C438" s="285">
        <v>2.7795337215956821</v>
      </c>
      <c r="D438" s="285">
        <v>2.3249411096507333</v>
      </c>
      <c r="E438" s="285">
        <v>8.0590802862880135</v>
      </c>
      <c r="H438" s="685">
        <f t="shared" si="343"/>
        <v>-1.9195494786882841</v>
      </c>
      <c r="I438" s="276">
        <f t="shared" si="344"/>
        <v>-2.7988908834156803</v>
      </c>
      <c r="J438" s="276">
        <f t="shared" si="345"/>
        <v>-0.34767780526694569</v>
      </c>
      <c r="K438" s="276">
        <f t="shared" si="346"/>
        <v>-0.67401460492838439</v>
      </c>
      <c r="L438" s="276">
        <f t="shared" si="347"/>
        <v>-2.0682860845247037</v>
      </c>
      <c r="M438" s="276">
        <f t="shared" si="348"/>
        <v>0.5614310232438211</v>
      </c>
      <c r="N438" s="685">
        <f t="shared" si="349"/>
        <v>1.5723625106238137</v>
      </c>
      <c r="O438" s="276">
        <f t="shared" si="350"/>
        <v>1.2581878090712879</v>
      </c>
      <c r="P438" s="276">
        <f t="shared" si="351"/>
        <v>0.75775166310986486</v>
      </c>
      <c r="Q438" s="276">
        <f t="shared" si="352"/>
        <v>0.98021145927831266</v>
      </c>
      <c r="R438" s="276">
        <f t="shared" si="353"/>
        <v>0.77450993614996277</v>
      </c>
      <c r="S438" s="686">
        <f t="shared" si="354"/>
        <v>1.3239737131572704</v>
      </c>
      <c r="T438" s="685">
        <f t="shared" si="355"/>
        <v>5.6033047999216592</v>
      </c>
      <c r="U438" s="276">
        <f t="shared" si="356"/>
        <v>5.3977265745742251</v>
      </c>
      <c r="V438" s="276">
        <f t="shared" si="357"/>
        <v>3.6366740747868169</v>
      </c>
      <c r="W438" s="276">
        <f t="shared" si="358"/>
        <v>4.547945540039728</v>
      </c>
      <c r="X438" s="276">
        <f t="shared" si="359"/>
        <v>5.3534395251428286</v>
      </c>
      <c r="Y438" s="686">
        <f t="shared" si="360"/>
        <v>5.1021800684455956</v>
      </c>
      <c r="Z438" s="685" t="e">
        <f t="shared" si="361"/>
        <v>#DIV/0!</v>
      </c>
      <c r="AA438" s="276" t="e">
        <f t="shared" si="362"/>
        <v>#DIV/0!</v>
      </c>
      <c r="AB438" s="276" t="e">
        <f t="shared" si="363"/>
        <v>#DIV/0!</v>
      </c>
      <c r="AC438" s="276" t="e">
        <f t="shared" si="364"/>
        <v>#DIV/0!</v>
      </c>
      <c r="AD438" s="276" t="e">
        <f t="shared" si="365"/>
        <v>#DIV/0!</v>
      </c>
      <c r="AE438" s="686" t="e">
        <f t="shared" si="366"/>
        <v>#DIV/0!</v>
      </c>
      <c r="AF438" s="239"/>
      <c r="AG438" s="965" t="e">
        <f t="shared" si="337"/>
        <v>#VALUE!</v>
      </c>
      <c r="AH438" s="878" t="e">
        <f t="shared" si="338"/>
        <v>#VALUE!</v>
      </c>
      <c r="AI438" s="878" t="e">
        <f t="shared" si="339"/>
        <v>#VALUE!</v>
      </c>
      <c r="AJ438" s="878" t="e">
        <f t="shared" si="340"/>
        <v>#VALUE!</v>
      </c>
      <c r="AK438" s="878" t="e">
        <f t="shared" si="341"/>
        <v>#VALUE!</v>
      </c>
      <c r="AL438" s="966" t="e">
        <f t="shared" si="342"/>
        <v>#VALUE!</v>
      </c>
      <c r="AM438" s="239"/>
      <c r="AO438" s="685">
        <f t="shared" si="367"/>
        <v>-1.9195494786882841</v>
      </c>
      <c r="AP438" s="276">
        <f t="shared" si="368"/>
        <v>-2.7988908834156803</v>
      </c>
      <c r="AQ438" s="276">
        <f t="shared" si="369"/>
        <v>-0.34767780526694569</v>
      </c>
      <c r="AR438" s="276">
        <f t="shared" si="370"/>
        <v>-0.67401460492838439</v>
      </c>
      <c r="AS438" s="276">
        <f t="shared" si="371"/>
        <v>-2.0682860845247037</v>
      </c>
      <c r="AT438" s="276">
        <f t="shared" si="372"/>
        <v>0.5614310232438211</v>
      </c>
      <c r="AU438" s="685">
        <f t="shared" si="373"/>
        <v>1.5723625106238137</v>
      </c>
      <c r="AV438" s="276">
        <f t="shared" si="374"/>
        <v>1.2581878090712879</v>
      </c>
      <c r="AW438" s="276">
        <f t="shared" si="375"/>
        <v>0.75775166310986486</v>
      </c>
      <c r="AX438" s="276">
        <f t="shared" si="376"/>
        <v>0.98021145927831266</v>
      </c>
      <c r="AY438" s="276">
        <f t="shared" si="377"/>
        <v>0.77450993614996277</v>
      </c>
      <c r="AZ438" s="686">
        <f t="shared" si="378"/>
        <v>1.3239737131572704</v>
      </c>
      <c r="BA438" s="685">
        <f t="shared" si="379"/>
        <v>0</v>
      </c>
      <c r="BB438" s="276">
        <f t="shared" si="380"/>
        <v>0</v>
      </c>
      <c r="BC438" s="276">
        <f t="shared" si="381"/>
        <v>0</v>
      </c>
      <c r="BD438" s="276">
        <f t="shared" si="382"/>
        <v>0</v>
      </c>
      <c r="BE438" s="276">
        <f t="shared" si="383"/>
        <v>0</v>
      </c>
      <c r="BF438" s="686">
        <f t="shared" si="384"/>
        <v>0</v>
      </c>
      <c r="BG438" s="685" t="e">
        <f t="shared" si="385"/>
        <v>#DIV/0!</v>
      </c>
      <c r="BH438" s="276" t="e">
        <f t="shared" si="386"/>
        <v>#DIV/0!</v>
      </c>
      <c r="BI438" s="276" t="e">
        <f t="shared" si="387"/>
        <v>#DIV/0!</v>
      </c>
      <c r="BJ438" s="276" t="e">
        <f t="shared" si="388"/>
        <v>#DIV/0!</v>
      </c>
      <c r="BK438" s="276" t="e">
        <f t="shared" si="389"/>
        <v>#DIV/0!</v>
      </c>
      <c r="BL438" s="686" t="e">
        <f t="shared" si="390"/>
        <v>#DIV/0!</v>
      </c>
      <c r="BM438" s="239"/>
      <c r="BN438" s="965" t="e">
        <f t="shared" si="391"/>
        <v>#VALUE!</v>
      </c>
      <c r="BO438" s="878" t="e">
        <f t="shared" si="392"/>
        <v>#VALUE!</v>
      </c>
      <c r="BP438" s="878" t="e">
        <f t="shared" si="393"/>
        <v>#VALUE!</v>
      </c>
      <c r="BQ438" s="878" t="e">
        <f t="shared" si="394"/>
        <v>#VALUE!</v>
      </c>
      <c r="BR438" s="878" t="e">
        <f t="shared" si="395"/>
        <v>#VALUE!</v>
      </c>
      <c r="BS438" s="966" t="e">
        <f t="shared" si="396"/>
        <v>#VALUE!</v>
      </c>
    </row>
    <row r="439" spans="1:71">
      <c r="A439" s="284">
        <f t="shared" si="397"/>
        <v>371</v>
      </c>
      <c r="B439" s="285">
        <v>2.068027093984441</v>
      </c>
      <c r="C439" s="285">
        <v>2.4973089397081853</v>
      </c>
      <c r="D439" s="285">
        <v>1.230268599925139</v>
      </c>
      <c r="E439" s="285">
        <v>-8.7944788606979518E-2</v>
      </c>
      <c r="H439" s="685">
        <f t="shared" si="343"/>
        <v>0.93479325221538612</v>
      </c>
      <c r="I439" s="276">
        <f t="shared" si="344"/>
        <v>2.8097163603629163</v>
      </c>
      <c r="J439" s="276">
        <f t="shared" si="345"/>
        <v>-2.6934771253299896</v>
      </c>
      <c r="K439" s="276">
        <f t="shared" si="346"/>
        <v>-4.039365298510349</v>
      </c>
      <c r="L439" s="276">
        <f t="shared" si="347"/>
        <v>2.8297511979501646</v>
      </c>
      <c r="M439" s="276">
        <f t="shared" si="348"/>
        <v>0.35158282693710663</v>
      </c>
      <c r="N439" s="685">
        <f t="shared" si="349"/>
        <v>1.2901377287363169</v>
      </c>
      <c r="O439" s="276">
        <f t="shared" si="350"/>
        <v>2.0238336175373801</v>
      </c>
      <c r="P439" s="276">
        <f t="shared" si="351"/>
        <v>0.45902470921323002</v>
      </c>
      <c r="Q439" s="276">
        <f t="shared" si="352"/>
        <v>0.99993846621124471</v>
      </c>
      <c r="R439" s="276">
        <f t="shared" si="353"/>
        <v>1.9811729783072891</v>
      </c>
      <c r="S439" s="686">
        <f t="shared" si="354"/>
        <v>1.4756288810743745</v>
      </c>
      <c r="T439" s="685">
        <f t="shared" si="355"/>
        <v>4.5086322901960649</v>
      </c>
      <c r="U439" s="276">
        <f t="shared" si="356"/>
        <v>4.6332585653048035</v>
      </c>
      <c r="V439" s="276">
        <f t="shared" si="357"/>
        <v>4.8291393881285334</v>
      </c>
      <c r="W439" s="276">
        <f t="shared" si="358"/>
        <v>3.2807003009489728</v>
      </c>
      <c r="X439" s="276">
        <f t="shared" si="359"/>
        <v>4.6773176583688167</v>
      </c>
      <c r="Y439" s="686">
        <f t="shared" si="360"/>
        <v>2.4728173624784624</v>
      </c>
      <c r="Z439" s="685" t="e">
        <f t="shared" si="361"/>
        <v>#DIV/0!</v>
      </c>
      <c r="AA439" s="276" t="e">
        <f t="shared" si="362"/>
        <v>#DIV/0!</v>
      </c>
      <c r="AB439" s="276" t="e">
        <f t="shared" si="363"/>
        <v>#DIV/0!</v>
      </c>
      <c r="AC439" s="276" t="e">
        <f t="shared" si="364"/>
        <v>#DIV/0!</v>
      </c>
      <c r="AD439" s="276" t="e">
        <f t="shared" si="365"/>
        <v>#DIV/0!</v>
      </c>
      <c r="AE439" s="686" t="e">
        <f t="shared" si="366"/>
        <v>#DIV/0!</v>
      </c>
      <c r="AF439" s="239"/>
      <c r="AG439" s="965" t="e">
        <f t="shared" si="337"/>
        <v>#VALUE!</v>
      </c>
      <c r="AH439" s="878" t="e">
        <f t="shared" si="338"/>
        <v>#VALUE!</v>
      </c>
      <c r="AI439" s="878" t="e">
        <f t="shared" si="339"/>
        <v>#VALUE!</v>
      </c>
      <c r="AJ439" s="878" t="e">
        <f t="shared" si="340"/>
        <v>#VALUE!</v>
      </c>
      <c r="AK439" s="878" t="e">
        <f t="shared" si="341"/>
        <v>#VALUE!</v>
      </c>
      <c r="AL439" s="966" t="e">
        <f t="shared" si="342"/>
        <v>#VALUE!</v>
      </c>
      <c r="AM439" s="239"/>
      <c r="AO439" s="685">
        <f t="shared" si="367"/>
        <v>0.93479325221538612</v>
      </c>
      <c r="AP439" s="276">
        <f t="shared" si="368"/>
        <v>2.8097163603629163</v>
      </c>
      <c r="AQ439" s="276">
        <f t="shared" si="369"/>
        <v>-2.6934771253299896</v>
      </c>
      <c r="AR439" s="276">
        <f t="shared" si="370"/>
        <v>-4.039365298510349</v>
      </c>
      <c r="AS439" s="276">
        <f t="shared" si="371"/>
        <v>2.8297511979501646</v>
      </c>
      <c r="AT439" s="276">
        <f t="shared" si="372"/>
        <v>0.35158282693710663</v>
      </c>
      <c r="AU439" s="685">
        <f t="shared" si="373"/>
        <v>1.2901377287363169</v>
      </c>
      <c r="AV439" s="276">
        <f t="shared" si="374"/>
        <v>2.0238336175373801</v>
      </c>
      <c r="AW439" s="276">
        <f t="shared" si="375"/>
        <v>0.45902470921323002</v>
      </c>
      <c r="AX439" s="276">
        <f t="shared" si="376"/>
        <v>0.99993846621124471</v>
      </c>
      <c r="AY439" s="276">
        <f t="shared" si="377"/>
        <v>1.9811729783072891</v>
      </c>
      <c r="AZ439" s="686">
        <f t="shared" si="378"/>
        <v>1.4756288810743745</v>
      </c>
      <c r="BA439" s="685">
        <f t="shared" si="379"/>
        <v>0</v>
      </c>
      <c r="BB439" s="276">
        <f t="shared" si="380"/>
        <v>0</v>
      </c>
      <c r="BC439" s="276">
        <f t="shared" si="381"/>
        <v>0</v>
      </c>
      <c r="BD439" s="276">
        <f t="shared" si="382"/>
        <v>0</v>
      </c>
      <c r="BE439" s="276">
        <f t="shared" si="383"/>
        <v>0</v>
      </c>
      <c r="BF439" s="686">
        <f t="shared" si="384"/>
        <v>0</v>
      </c>
      <c r="BG439" s="685" t="e">
        <f t="shared" si="385"/>
        <v>#DIV/0!</v>
      </c>
      <c r="BH439" s="276" t="e">
        <f t="shared" si="386"/>
        <v>#DIV/0!</v>
      </c>
      <c r="BI439" s="276" t="e">
        <f t="shared" si="387"/>
        <v>#DIV/0!</v>
      </c>
      <c r="BJ439" s="276" t="e">
        <f t="shared" si="388"/>
        <v>#DIV/0!</v>
      </c>
      <c r="BK439" s="276" t="e">
        <f t="shared" si="389"/>
        <v>#DIV/0!</v>
      </c>
      <c r="BL439" s="686" t="e">
        <f t="shared" si="390"/>
        <v>#DIV/0!</v>
      </c>
      <c r="BM439" s="239"/>
      <c r="BN439" s="965" t="e">
        <f t="shared" si="391"/>
        <v>#VALUE!</v>
      </c>
      <c r="BO439" s="878" t="e">
        <f t="shared" si="392"/>
        <v>#VALUE!</v>
      </c>
      <c r="BP439" s="878" t="e">
        <f t="shared" si="393"/>
        <v>#VALUE!</v>
      </c>
      <c r="BQ439" s="878" t="e">
        <f t="shared" si="394"/>
        <v>#VALUE!</v>
      </c>
      <c r="BR439" s="878" t="e">
        <f t="shared" si="395"/>
        <v>#VALUE!</v>
      </c>
      <c r="BS439" s="966" t="e">
        <f t="shared" si="396"/>
        <v>#VALUE!</v>
      </c>
    </row>
    <row r="440" spans="1:71">
      <c r="A440" s="284">
        <f t="shared" si="397"/>
        <v>372</v>
      </c>
      <c r="B440" s="285">
        <v>0.91821542089409358</v>
      </c>
      <c r="C440" s="285">
        <v>2.7736129695176293</v>
      </c>
      <c r="D440" s="285">
        <v>2.0837303737066457</v>
      </c>
      <c r="E440" s="285">
        <v>2.2579647306659614</v>
      </c>
      <c r="H440" s="685">
        <f t="shared" si="343"/>
        <v>-0.21501842087496126</v>
      </c>
      <c r="I440" s="276">
        <f t="shared" si="344"/>
        <v>3.2419093402441819</v>
      </c>
      <c r="J440" s="276">
        <f t="shared" si="345"/>
        <v>-0.741912462027839</v>
      </c>
      <c r="K440" s="276">
        <f t="shared" si="346"/>
        <v>-0.13190243847961192</v>
      </c>
      <c r="L440" s="276">
        <f t="shared" si="347"/>
        <v>-2.7352502465363524</v>
      </c>
      <c r="M440" s="276">
        <f t="shared" si="348"/>
        <v>2.1906482715550037</v>
      </c>
      <c r="N440" s="685">
        <f t="shared" si="349"/>
        <v>1.5664417585457608</v>
      </c>
      <c r="O440" s="276">
        <f t="shared" si="350"/>
        <v>1.4392934500424321</v>
      </c>
      <c r="P440" s="276">
        <f t="shared" si="351"/>
        <v>1.0049375035459318</v>
      </c>
      <c r="Q440" s="276">
        <f t="shared" si="352"/>
        <v>1.2545749649078315</v>
      </c>
      <c r="R440" s="276">
        <f t="shared" si="353"/>
        <v>1.4882713781999743</v>
      </c>
      <c r="S440" s="686">
        <f t="shared" si="354"/>
        <v>1.8020453973097232</v>
      </c>
      <c r="T440" s="685">
        <f t="shared" si="355"/>
        <v>5.3620940639775716</v>
      </c>
      <c r="U440" s="276">
        <f t="shared" si="356"/>
        <v>4.8199775118843693</v>
      </c>
      <c r="V440" s="276">
        <f t="shared" si="357"/>
        <v>6.9829123133962892</v>
      </c>
      <c r="W440" s="276">
        <f t="shared" si="358"/>
        <v>5.3201269768740396</v>
      </c>
      <c r="X440" s="276">
        <f t="shared" si="359"/>
        <v>5.3565717601297065</v>
      </c>
      <c r="Y440" s="686">
        <f t="shared" si="360"/>
        <v>5.4269559744629055</v>
      </c>
      <c r="Z440" s="685" t="e">
        <f t="shared" si="361"/>
        <v>#DIV/0!</v>
      </c>
      <c r="AA440" s="276" t="e">
        <f t="shared" si="362"/>
        <v>#DIV/0!</v>
      </c>
      <c r="AB440" s="276" t="e">
        <f t="shared" si="363"/>
        <v>#DIV/0!</v>
      </c>
      <c r="AC440" s="276" t="e">
        <f t="shared" si="364"/>
        <v>#DIV/0!</v>
      </c>
      <c r="AD440" s="276" t="e">
        <f t="shared" si="365"/>
        <v>#DIV/0!</v>
      </c>
      <c r="AE440" s="686" t="e">
        <f t="shared" si="366"/>
        <v>#DIV/0!</v>
      </c>
      <c r="AF440" s="239"/>
      <c r="AG440" s="965" t="e">
        <f t="shared" si="337"/>
        <v>#VALUE!</v>
      </c>
      <c r="AH440" s="878" t="e">
        <f t="shared" si="338"/>
        <v>#VALUE!</v>
      </c>
      <c r="AI440" s="878" t="e">
        <f t="shared" si="339"/>
        <v>#VALUE!</v>
      </c>
      <c r="AJ440" s="878" t="e">
        <f t="shared" si="340"/>
        <v>#VALUE!</v>
      </c>
      <c r="AK440" s="878" t="e">
        <f t="shared" si="341"/>
        <v>#VALUE!</v>
      </c>
      <c r="AL440" s="966" t="e">
        <f t="shared" si="342"/>
        <v>#VALUE!</v>
      </c>
      <c r="AM440" s="239"/>
      <c r="AO440" s="685">
        <f t="shared" si="367"/>
        <v>-0.21501842087496126</v>
      </c>
      <c r="AP440" s="276">
        <f t="shared" si="368"/>
        <v>3.2419093402441819</v>
      </c>
      <c r="AQ440" s="276">
        <f t="shared" si="369"/>
        <v>-0.741912462027839</v>
      </c>
      <c r="AR440" s="276">
        <f t="shared" si="370"/>
        <v>-0.13190243847961192</v>
      </c>
      <c r="AS440" s="276">
        <f t="shared" si="371"/>
        <v>-2.7352502465363524</v>
      </c>
      <c r="AT440" s="276">
        <f t="shared" si="372"/>
        <v>2.1906482715550037</v>
      </c>
      <c r="AU440" s="685">
        <f t="shared" si="373"/>
        <v>1.5664417585457608</v>
      </c>
      <c r="AV440" s="276">
        <f t="shared" si="374"/>
        <v>1.4392934500424321</v>
      </c>
      <c r="AW440" s="276">
        <f t="shared" si="375"/>
        <v>1.0049375035459318</v>
      </c>
      <c r="AX440" s="276">
        <f t="shared" si="376"/>
        <v>1.2545749649078315</v>
      </c>
      <c r="AY440" s="276">
        <f t="shared" si="377"/>
        <v>1.4882713781999743</v>
      </c>
      <c r="AZ440" s="686">
        <f t="shared" si="378"/>
        <v>1.8020453973097232</v>
      </c>
      <c r="BA440" s="685">
        <f t="shared" si="379"/>
        <v>0</v>
      </c>
      <c r="BB440" s="276">
        <f t="shared" si="380"/>
        <v>0</v>
      </c>
      <c r="BC440" s="276">
        <f t="shared" si="381"/>
        <v>0</v>
      </c>
      <c r="BD440" s="276">
        <f t="shared" si="382"/>
        <v>0</v>
      </c>
      <c r="BE440" s="276">
        <f t="shared" si="383"/>
        <v>0</v>
      </c>
      <c r="BF440" s="686">
        <f t="shared" si="384"/>
        <v>0</v>
      </c>
      <c r="BG440" s="685" t="e">
        <f t="shared" si="385"/>
        <v>#DIV/0!</v>
      </c>
      <c r="BH440" s="276" t="e">
        <f t="shared" si="386"/>
        <v>#DIV/0!</v>
      </c>
      <c r="BI440" s="276" t="e">
        <f t="shared" si="387"/>
        <v>#DIV/0!</v>
      </c>
      <c r="BJ440" s="276" t="e">
        <f t="shared" si="388"/>
        <v>#DIV/0!</v>
      </c>
      <c r="BK440" s="276" t="e">
        <f t="shared" si="389"/>
        <v>#DIV/0!</v>
      </c>
      <c r="BL440" s="686" t="e">
        <f t="shared" si="390"/>
        <v>#DIV/0!</v>
      </c>
      <c r="BM440" s="239"/>
      <c r="BN440" s="965" t="e">
        <f t="shared" si="391"/>
        <v>#VALUE!</v>
      </c>
      <c r="BO440" s="878" t="e">
        <f t="shared" si="392"/>
        <v>#VALUE!</v>
      </c>
      <c r="BP440" s="878" t="e">
        <f t="shared" si="393"/>
        <v>#VALUE!</v>
      </c>
      <c r="BQ440" s="878" t="e">
        <f t="shared" si="394"/>
        <v>#VALUE!</v>
      </c>
      <c r="BR440" s="878" t="e">
        <f t="shared" si="395"/>
        <v>#VALUE!</v>
      </c>
      <c r="BS440" s="966" t="e">
        <f t="shared" si="396"/>
        <v>#VALUE!</v>
      </c>
    </row>
    <row r="441" spans="1:71">
      <c r="A441" s="284">
        <f t="shared" si="397"/>
        <v>373</v>
      </c>
      <c r="B441" s="285">
        <v>0.22466014460789305</v>
      </c>
      <c r="C441" s="285">
        <v>1.4881524062875098</v>
      </c>
      <c r="D441" s="285">
        <v>2.367319214133432</v>
      </c>
      <c r="E441" s="285">
        <v>-26.524187410497646</v>
      </c>
      <c r="H441" s="685">
        <f t="shared" si="343"/>
        <v>-0.90857369716116176</v>
      </c>
      <c r="I441" s="276">
        <f t="shared" si="344"/>
        <v>1.5294087488069372</v>
      </c>
      <c r="J441" s="276">
        <f t="shared" si="345"/>
        <v>-1.2670462965614442</v>
      </c>
      <c r="K441" s="276">
        <f t="shared" si="346"/>
        <v>1.3311566714056255</v>
      </c>
      <c r="L441" s="276">
        <f t="shared" si="347"/>
        <v>-2.3117069196740578</v>
      </c>
      <c r="M441" s="276">
        <f t="shared" si="348"/>
        <v>-0.89274964134546286</v>
      </c>
      <c r="N441" s="685">
        <f t="shared" si="349"/>
        <v>0.28098119531564136</v>
      </c>
      <c r="O441" s="276">
        <f t="shared" si="350"/>
        <v>1.3439764067806725</v>
      </c>
      <c r="P441" s="276">
        <f t="shared" si="351"/>
        <v>1.1173593583240959</v>
      </c>
      <c r="Q441" s="276">
        <f t="shared" si="352"/>
        <v>1.3099026990373146</v>
      </c>
      <c r="R441" s="276">
        <f t="shared" si="353"/>
        <v>0.84710652232305672</v>
      </c>
      <c r="S441" s="686">
        <f t="shared" si="354"/>
        <v>0.56966886553326757</v>
      </c>
      <c r="T441" s="685">
        <f t="shared" si="355"/>
        <v>5.6456829044043584</v>
      </c>
      <c r="U441" s="276">
        <f t="shared" si="356"/>
        <v>5.9299353231392988</v>
      </c>
      <c r="V441" s="276">
        <f t="shared" si="357"/>
        <v>5.7773197051008012</v>
      </c>
      <c r="W441" s="276">
        <f t="shared" si="358"/>
        <v>5.4208160607813252</v>
      </c>
      <c r="X441" s="276">
        <f t="shared" si="359"/>
        <v>4.5711091936474748</v>
      </c>
      <c r="Y441" s="686">
        <f t="shared" si="360"/>
        <v>5.042967536900024</v>
      </c>
      <c r="Z441" s="685" t="e">
        <f t="shared" si="361"/>
        <v>#DIV/0!</v>
      </c>
      <c r="AA441" s="276" t="e">
        <f t="shared" si="362"/>
        <v>#DIV/0!</v>
      </c>
      <c r="AB441" s="276" t="e">
        <f t="shared" si="363"/>
        <v>#DIV/0!</v>
      </c>
      <c r="AC441" s="276" t="e">
        <f t="shared" si="364"/>
        <v>#DIV/0!</v>
      </c>
      <c r="AD441" s="276" t="e">
        <f t="shared" si="365"/>
        <v>#DIV/0!</v>
      </c>
      <c r="AE441" s="686" t="e">
        <f t="shared" si="366"/>
        <v>#DIV/0!</v>
      </c>
      <c r="AF441" s="239"/>
      <c r="AG441" s="965" t="e">
        <f t="shared" si="337"/>
        <v>#VALUE!</v>
      </c>
      <c r="AH441" s="878" t="e">
        <f t="shared" si="338"/>
        <v>#VALUE!</v>
      </c>
      <c r="AI441" s="878" t="e">
        <f t="shared" si="339"/>
        <v>#VALUE!</v>
      </c>
      <c r="AJ441" s="878" t="e">
        <f t="shared" si="340"/>
        <v>#VALUE!</v>
      </c>
      <c r="AK441" s="878" t="e">
        <f t="shared" si="341"/>
        <v>#VALUE!</v>
      </c>
      <c r="AL441" s="966" t="e">
        <f t="shared" si="342"/>
        <v>#VALUE!</v>
      </c>
      <c r="AM441" s="239"/>
      <c r="AO441" s="685">
        <f t="shared" si="367"/>
        <v>-0.90857369716116176</v>
      </c>
      <c r="AP441" s="276">
        <f t="shared" si="368"/>
        <v>1.5294087488069372</v>
      </c>
      <c r="AQ441" s="276">
        <f t="shared" si="369"/>
        <v>-1.2670462965614442</v>
      </c>
      <c r="AR441" s="276">
        <f t="shared" si="370"/>
        <v>1.3311566714056255</v>
      </c>
      <c r="AS441" s="276">
        <f t="shared" si="371"/>
        <v>-2.3117069196740578</v>
      </c>
      <c r="AT441" s="276">
        <f t="shared" si="372"/>
        <v>-0.89274964134546286</v>
      </c>
      <c r="AU441" s="685">
        <f t="shared" si="373"/>
        <v>0.28098119531564136</v>
      </c>
      <c r="AV441" s="276">
        <f t="shared" si="374"/>
        <v>1.3439764067806725</v>
      </c>
      <c r="AW441" s="276">
        <f t="shared" si="375"/>
        <v>1.1173593583240959</v>
      </c>
      <c r="AX441" s="276">
        <f t="shared" si="376"/>
        <v>1.3099026990373146</v>
      </c>
      <c r="AY441" s="276">
        <f t="shared" si="377"/>
        <v>0.84710652232305672</v>
      </c>
      <c r="AZ441" s="686">
        <f t="shared" si="378"/>
        <v>0.56966886553326757</v>
      </c>
      <c r="BA441" s="685">
        <f t="shared" si="379"/>
        <v>0</v>
      </c>
      <c r="BB441" s="276">
        <f t="shared" si="380"/>
        <v>0</v>
      </c>
      <c r="BC441" s="276">
        <f t="shared" si="381"/>
        <v>0</v>
      </c>
      <c r="BD441" s="276">
        <f t="shared" si="382"/>
        <v>0</v>
      </c>
      <c r="BE441" s="276">
        <f t="shared" si="383"/>
        <v>0</v>
      </c>
      <c r="BF441" s="686">
        <f t="shared" si="384"/>
        <v>0</v>
      </c>
      <c r="BG441" s="685" t="e">
        <f t="shared" si="385"/>
        <v>#DIV/0!</v>
      </c>
      <c r="BH441" s="276" t="e">
        <f t="shared" si="386"/>
        <v>#DIV/0!</v>
      </c>
      <c r="BI441" s="276" t="e">
        <f t="shared" si="387"/>
        <v>#DIV/0!</v>
      </c>
      <c r="BJ441" s="276" t="e">
        <f t="shared" si="388"/>
        <v>#DIV/0!</v>
      </c>
      <c r="BK441" s="276" t="e">
        <f t="shared" si="389"/>
        <v>#DIV/0!</v>
      </c>
      <c r="BL441" s="686" t="e">
        <f t="shared" si="390"/>
        <v>#DIV/0!</v>
      </c>
      <c r="BM441" s="239"/>
      <c r="BN441" s="965" t="e">
        <f t="shared" si="391"/>
        <v>#VALUE!</v>
      </c>
      <c r="BO441" s="878" t="e">
        <f t="shared" si="392"/>
        <v>#VALUE!</v>
      </c>
      <c r="BP441" s="878" t="e">
        <f t="shared" si="393"/>
        <v>#VALUE!</v>
      </c>
      <c r="BQ441" s="878" t="e">
        <f t="shared" si="394"/>
        <v>#VALUE!</v>
      </c>
      <c r="BR441" s="878" t="e">
        <f t="shared" si="395"/>
        <v>#VALUE!</v>
      </c>
      <c r="BS441" s="966" t="e">
        <f t="shared" si="396"/>
        <v>#VALUE!</v>
      </c>
    </row>
    <row r="442" spans="1:71">
      <c r="A442" s="284">
        <f t="shared" si="397"/>
        <v>374</v>
      </c>
      <c r="B442" s="285">
        <v>-1.6701982389857792</v>
      </c>
      <c r="C442" s="285">
        <v>2.7339841862205865</v>
      </c>
      <c r="D442" s="285">
        <v>1.345089320299131E-2</v>
      </c>
      <c r="E442" s="285">
        <v>1.9360006729659767</v>
      </c>
      <c r="H442" s="685">
        <f t="shared" si="343"/>
        <v>-2.8034320807548339</v>
      </c>
      <c r="I442" s="276">
        <f t="shared" si="344"/>
        <v>-1.8904631023211775</v>
      </c>
      <c r="J442" s="276">
        <f t="shared" si="345"/>
        <v>-2.5771508751376033</v>
      </c>
      <c r="K442" s="276">
        <f t="shared" si="346"/>
        <v>1.8307830962730736</v>
      </c>
      <c r="L442" s="276">
        <f t="shared" si="347"/>
        <v>-2.9512345696180979</v>
      </c>
      <c r="M442" s="276">
        <f t="shared" si="348"/>
        <v>-0.49113868638665326</v>
      </c>
      <c r="N442" s="685">
        <f t="shared" si="349"/>
        <v>1.5268129752487181</v>
      </c>
      <c r="O442" s="276">
        <f t="shared" si="350"/>
        <v>1.6565984685274191</v>
      </c>
      <c r="P442" s="276">
        <f t="shared" si="351"/>
        <v>1.5367516926681108</v>
      </c>
      <c r="Q442" s="276">
        <f t="shared" si="352"/>
        <v>1.6185748652688614</v>
      </c>
      <c r="R442" s="276">
        <f t="shared" si="353"/>
        <v>1.7040769506096629</v>
      </c>
      <c r="S442" s="686">
        <f t="shared" si="354"/>
        <v>0.79689597541134982</v>
      </c>
      <c r="T442" s="685">
        <f t="shared" si="355"/>
        <v>3.2918145834739172</v>
      </c>
      <c r="U442" s="276">
        <f t="shared" si="356"/>
        <v>4.1800346290758092</v>
      </c>
      <c r="V442" s="276">
        <f t="shared" si="357"/>
        <v>3.8032804445134736</v>
      </c>
      <c r="W442" s="276">
        <f t="shared" si="358"/>
        <v>6.2384847644044958</v>
      </c>
      <c r="X442" s="276">
        <f t="shared" si="359"/>
        <v>3.1928142252082576</v>
      </c>
      <c r="Y442" s="686">
        <f t="shared" si="360"/>
        <v>6.0950175687575889</v>
      </c>
      <c r="Z442" s="685" t="e">
        <f t="shared" si="361"/>
        <v>#DIV/0!</v>
      </c>
      <c r="AA442" s="276" t="e">
        <f t="shared" si="362"/>
        <v>#DIV/0!</v>
      </c>
      <c r="AB442" s="276" t="e">
        <f t="shared" si="363"/>
        <v>#DIV/0!</v>
      </c>
      <c r="AC442" s="276" t="e">
        <f t="shared" si="364"/>
        <v>#DIV/0!</v>
      </c>
      <c r="AD442" s="276" t="e">
        <f t="shared" si="365"/>
        <v>#DIV/0!</v>
      </c>
      <c r="AE442" s="686" t="e">
        <f t="shared" si="366"/>
        <v>#DIV/0!</v>
      </c>
      <c r="AF442" s="239"/>
      <c r="AG442" s="965" t="e">
        <f t="shared" si="337"/>
        <v>#VALUE!</v>
      </c>
      <c r="AH442" s="878" t="e">
        <f t="shared" si="338"/>
        <v>#VALUE!</v>
      </c>
      <c r="AI442" s="878" t="e">
        <f t="shared" si="339"/>
        <v>#VALUE!</v>
      </c>
      <c r="AJ442" s="878" t="e">
        <f t="shared" si="340"/>
        <v>#VALUE!</v>
      </c>
      <c r="AK442" s="878" t="e">
        <f t="shared" si="341"/>
        <v>#VALUE!</v>
      </c>
      <c r="AL442" s="966" t="e">
        <f t="shared" si="342"/>
        <v>#VALUE!</v>
      </c>
      <c r="AM442" s="239"/>
      <c r="AO442" s="685">
        <f t="shared" si="367"/>
        <v>-2.8034320807548339</v>
      </c>
      <c r="AP442" s="276">
        <f t="shared" si="368"/>
        <v>-1.8904631023211775</v>
      </c>
      <c r="AQ442" s="276">
        <f t="shared" si="369"/>
        <v>-2.5771508751376033</v>
      </c>
      <c r="AR442" s="276">
        <f t="shared" si="370"/>
        <v>1.8307830962730736</v>
      </c>
      <c r="AS442" s="276">
        <f t="shared" si="371"/>
        <v>-2.9512345696180979</v>
      </c>
      <c r="AT442" s="276">
        <f t="shared" si="372"/>
        <v>-0.49113868638665326</v>
      </c>
      <c r="AU442" s="685">
        <f t="shared" si="373"/>
        <v>1.5268129752487181</v>
      </c>
      <c r="AV442" s="276">
        <f t="shared" si="374"/>
        <v>1.6565984685274191</v>
      </c>
      <c r="AW442" s="276">
        <f t="shared" si="375"/>
        <v>1.5367516926681108</v>
      </c>
      <c r="AX442" s="276">
        <f t="shared" si="376"/>
        <v>1.6185748652688614</v>
      </c>
      <c r="AY442" s="276">
        <f t="shared" si="377"/>
        <v>1.7040769506096629</v>
      </c>
      <c r="AZ442" s="686">
        <f t="shared" si="378"/>
        <v>0.79689597541134982</v>
      </c>
      <c r="BA442" s="685">
        <f t="shared" si="379"/>
        <v>0</v>
      </c>
      <c r="BB442" s="276">
        <f t="shared" si="380"/>
        <v>0</v>
      </c>
      <c r="BC442" s="276">
        <f t="shared" si="381"/>
        <v>0</v>
      </c>
      <c r="BD442" s="276">
        <f t="shared" si="382"/>
        <v>0</v>
      </c>
      <c r="BE442" s="276">
        <f t="shared" si="383"/>
        <v>0</v>
      </c>
      <c r="BF442" s="686">
        <f t="shared" si="384"/>
        <v>0</v>
      </c>
      <c r="BG442" s="685" t="e">
        <f t="shared" si="385"/>
        <v>#DIV/0!</v>
      </c>
      <c r="BH442" s="276" t="e">
        <f t="shared" si="386"/>
        <v>#DIV/0!</v>
      </c>
      <c r="BI442" s="276" t="e">
        <f t="shared" si="387"/>
        <v>#DIV/0!</v>
      </c>
      <c r="BJ442" s="276" t="e">
        <f t="shared" si="388"/>
        <v>#DIV/0!</v>
      </c>
      <c r="BK442" s="276" t="e">
        <f t="shared" si="389"/>
        <v>#DIV/0!</v>
      </c>
      <c r="BL442" s="686" t="e">
        <f t="shared" si="390"/>
        <v>#DIV/0!</v>
      </c>
      <c r="BM442" s="239"/>
      <c r="BN442" s="965" t="e">
        <f t="shared" si="391"/>
        <v>#VALUE!</v>
      </c>
      <c r="BO442" s="878" t="e">
        <f t="shared" si="392"/>
        <v>#VALUE!</v>
      </c>
      <c r="BP442" s="878" t="e">
        <f t="shared" si="393"/>
        <v>#VALUE!</v>
      </c>
      <c r="BQ442" s="878" t="e">
        <f t="shared" si="394"/>
        <v>#VALUE!</v>
      </c>
      <c r="BR442" s="878" t="e">
        <f t="shared" si="395"/>
        <v>#VALUE!</v>
      </c>
      <c r="BS442" s="966" t="e">
        <f t="shared" si="396"/>
        <v>#VALUE!</v>
      </c>
    </row>
    <row r="443" spans="1:71">
      <c r="A443" s="284">
        <f t="shared" si="397"/>
        <v>375</v>
      </c>
      <c r="B443" s="285">
        <v>-0.28042313785397249</v>
      </c>
      <c r="C443" s="285">
        <v>3.3032926606490225</v>
      </c>
      <c r="D443" s="285">
        <v>-0.81613011248183298</v>
      </c>
      <c r="E443" s="285">
        <v>-2.0935238745150939</v>
      </c>
      <c r="H443" s="685">
        <f t="shared" si="343"/>
        <v>-1.4136569796230274</v>
      </c>
      <c r="I443" s="276">
        <f t="shared" si="344"/>
        <v>1.2665790691619103</v>
      </c>
      <c r="J443" s="276">
        <f t="shared" si="345"/>
        <v>-2.3428343618947345</v>
      </c>
      <c r="K443" s="276">
        <f t="shared" si="346"/>
        <v>-2.3701490839537769</v>
      </c>
      <c r="L443" s="276">
        <f t="shared" si="347"/>
        <v>0.65843845059901418</v>
      </c>
      <c r="M443" s="276">
        <f t="shared" si="348"/>
        <v>-1.9261199695131006</v>
      </c>
      <c r="N443" s="685">
        <f t="shared" si="349"/>
        <v>2.0961214496771543</v>
      </c>
      <c r="O443" s="276">
        <f t="shared" si="350"/>
        <v>1.8548700721421902</v>
      </c>
      <c r="P443" s="276">
        <f t="shared" si="351"/>
        <v>0.82776310487755755</v>
      </c>
      <c r="Q443" s="276">
        <f t="shared" si="352"/>
        <v>1.3659175261964311</v>
      </c>
      <c r="R443" s="276">
        <f t="shared" si="353"/>
        <v>1.7693934569778647</v>
      </c>
      <c r="S443" s="686">
        <f t="shared" si="354"/>
        <v>1.6327705810970883</v>
      </c>
      <c r="T443" s="685">
        <f t="shared" si="355"/>
        <v>2.4622335777890929</v>
      </c>
      <c r="U443" s="276">
        <f t="shared" si="356"/>
        <v>4.5849080956027661</v>
      </c>
      <c r="V443" s="276">
        <f t="shared" si="357"/>
        <v>5.0694895828151196</v>
      </c>
      <c r="W443" s="276">
        <f t="shared" si="358"/>
        <v>5.0171201692709992</v>
      </c>
      <c r="X443" s="276">
        <f t="shared" si="359"/>
        <v>3.0067356394865126</v>
      </c>
      <c r="Y443" s="686">
        <f t="shared" si="360"/>
        <v>3.70351195950462</v>
      </c>
      <c r="Z443" s="685" t="e">
        <f t="shared" si="361"/>
        <v>#DIV/0!</v>
      </c>
      <c r="AA443" s="276" t="e">
        <f t="shared" si="362"/>
        <v>#DIV/0!</v>
      </c>
      <c r="AB443" s="276" t="e">
        <f t="shared" si="363"/>
        <v>#DIV/0!</v>
      </c>
      <c r="AC443" s="276" t="e">
        <f t="shared" si="364"/>
        <v>#DIV/0!</v>
      </c>
      <c r="AD443" s="276" t="e">
        <f t="shared" si="365"/>
        <v>#DIV/0!</v>
      </c>
      <c r="AE443" s="686" t="e">
        <f t="shared" si="366"/>
        <v>#DIV/0!</v>
      </c>
      <c r="AF443" s="239"/>
      <c r="AG443" s="965" t="e">
        <f t="shared" si="337"/>
        <v>#VALUE!</v>
      </c>
      <c r="AH443" s="878" t="e">
        <f t="shared" si="338"/>
        <v>#VALUE!</v>
      </c>
      <c r="AI443" s="878" t="e">
        <f t="shared" si="339"/>
        <v>#VALUE!</v>
      </c>
      <c r="AJ443" s="878" t="e">
        <f t="shared" si="340"/>
        <v>#VALUE!</v>
      </c>
      <c r="AK443" s="878" t="e">
        <f t="shared" si="341"/>
        <v>#VALUE!</v>
      </c>
      <c r="AL443" s="966" t="e">
        <f t="shared" si="342"/>
        <v>#VALUE!</v>
      </c>
      <c r="AM443" s="239"/>
      <c r="AO443" s="685">
        <f t="shared" si="367"/>
        <v>-1.4136569796230274</v>
      </c>
      <c r="AP443" s="276">
        <f t="shared" si="368"/>
        <v>1.2665790691619103</v>
      </c>
      <c r="AQ443" s="276">
        <f t="shared" si="369"/>
        <v>-2.3428343618947345</v>
      </c>
      <c r="AR443" s="276">
        <f t="shared" si="370"/>
        <v>-2.3701490839537769</v>
      </c>
      <c r="AS443" s="276">
        <f t="shared" si="371"/>
        <v>0.65843845059901418</v>
      </c>
      <c r="AT443" s="276">
        <f t="shared" si="372"/>
        <v>-1.9261199695131006</v>
      </c>
      <c r="AU443" s="685">
        <f t="shared" si="373"/>
        <v>2.0961214496771543</v>
      </c>
      <c r="AV443" s="276">
        <f t="shared" si="374"/>
        <v>1.8548700721421902</v>
      </c>
      <c r="AW443" s="276">
        <f t="shared" si="375"/>
        <v>0.82776310487755755</v>
      </c>
      <c r="AX443" s="276">
        <f t="shared" si="376"/>
        <v>1.3659175261964311</v>
      </c>
      <c r="AY443" s="276">
        <f t="shared" si="377"/>
        <v>1.7693934569778647</v>
      </c>
      <c r="AZ443" s="686">
        <f t="shared" si="378"/>
        <v>1.6327705810970883</v>
      </c>
      <c r="BA443" s="685">
        <f t="shared" si="379"/>
        <v>0</v>
      </c>
      <c r="BB443" s="276">
        <f t="shared" si="380"/>
        <v>0</v>
      </c>
      <c r="BC443" s="276">
        <f t="shared" si="381"/>
        <v>0</v>
      </c>
      <c r="BD443" s="276">
        <f t="shared" si="382"/>
        <v>0</v>
      </c>
      <c r="BE443" s="276">
        <f t="shared" si="383"/>
        <v>0</v>
      </c>
      <c r="BF443" s="686">
        <f t="shared" si="384"/>
        <v>0</v>
      </c>
      <c r="BG443" s="685" t="e">
        <f t="shared" si="385"/>
        <v>#DIV/0!</v>
      </c>
      <c r="BH443" s="276" t="e">
        <f t="shared" si="386"/>
        <v>#DIV/0!</v>
      </c>
      <c r="BI443" s="276" t="e">
        <f t="shared" si="387"/>
        <v>#DIV/0!</v>
      </c>
      <c r="BJ443" s="276" t="e">
        <f t="shared" si="388"/>
        <v>#DIV/0!</v>
      </c>
      <c r="BK443" s="276" t="e">
        <f t="shared" si="389"/>
        <v>#DIV/0!</v>
      </c>
      <c r="BL443" s="686" t="e">
        <f t="shared" si="390"/>
        <v>#DIV/0!</v>
      </c>
      <c r="BM443" s="239"/>
      <c r="BN443" s="965" t="e">
        <f t="shared" si="391"/>
        <v>#VALUE!</v>
      </c>
      <c r="BO443" s="878" t="e">
        <f t="shared" si="392"/>
        <v>#VALUE!</v>
      </c>
      <c r="BP443" s="878" t="e">
        <f t="shared" si="393"/>
        <v>#VALUE!</v>
      </c>
      <c r="BQ443" s="878" t="e">
        <f t="shared" si="394"/>
        <v>#VALUE!</v>
      </c>
      <c r="BR443" s="878" t="e">
        <f t="shared" si="395"/>
        <v>#VALUE!</v>
      </c>
      <c r="BS443" s="966" t="e">
        <f t="shared" si="396"/>
        <v>#VALUE!</v>
      </c>
    </row>
    <row r="444" spans="1:71">
      <c r="A444" s="284">
        <f t="shared" si="397"/>
        <v>376</v>
      </c>
      <c r="B444" s="285">
        <v>1.5410969382985409</v>
      </c>
      <c r="C444" s="285">
        <v>2.9241496516676158</v>
      </c>
      <c r="D444" s="285">
        <v>2.475429259077953</v>
      </c>
      <c r="E444" s="285">
        <v>-11.353797932746076</v>
      </c>
      <c r="H444" s="685">
        <f t="shared" si="343"/>
        <v>0.40786309652948605</v>
      </c>
      <c r="I444" s="276">
        <f t="shared" si="344"/>
        <v>-0.51751338545291015</v>
      </c>
      <c r="J444" s="276">
        <f t="shared" si="345"/>
        <v>-3.6244988504201689</v>
      </c>
      <c r="K444" s="276">
        <f t="shared" si="346"/>
        <v>-4.0914386848762616</v>
      </c>
      <c r="L444" s="276">
        <f t="shared" si="347"/>
        <v>-1.7420879606737909</v>
      </c>
      <c r="M444" s="276">
        <f t="shared" si="348"/>
        <v>-2.1306811070245235</v>
      </c>
      <c r="N444" s="685">
        <f t="shared" si="349"/>
        <v>1.7169784406957473</v>
      </c>
      <c r="O444" s="276">
        <f t="shared" si="350"/>
        <v>1.3190311317298489</v>
      </c>
      <c r="P444" s="276">
        <f t="shared" si="351"/>
        <v>0.99891356906767315</v>
      </c>
      <c r="Q444" s="276">
        <f t="shared" si="352"/>
        <v>1.3847929691317871</v>
      </c>
      <c r="R444" s="276">
        <f t="shared" si="353"/>
        <v>1.0469375902843716</v>
      </c>
      <c r="S444" s="686">
        <f t="shared" si="354"/>
        <v>1.3860193870736131</v>
      </c>
      <c r="T444" s="685">
        <f t="shared" si="355"/>
        <v>5.7537929493488793</v>
      </c>
      <c r="U444" s="276">
        <f t="shared" si="356"/>
        <v>4.8179579878186942</v>
      </c>
      <c r="V444" s="276">
        <f t="shared" si="357"/>
        <v>2.3283819349076058</v>
      </c>
      <c r="W444" s="276">
        <f t="shared" si="358"/>
        <v>2.7371022252103394</v>
      </c>
      <c r="X444" s="276">
        <f t="shared" si="359"/>
        <v>6.2104338702132607</v>
      </c>
      <c r="Y444" s="686">
        <f t="shared" si="360"/>
        <v>4.465405054533683</v>
      </c>
      <c r="Z444" s="685" t="e">
        <f t="shared" si="361"/>
        <v>#DIV/0!</v>
      </c>
      <c r="AA444" s="276" t="e">
        <f t="shared" si="362"/>
        <v>#DIV/0!</v>
      </c>
      <c r="AB444" s="276" t="e">
        <f t="shared" si="363"/>
        <v>#DIV/0!</v>
      </c>
      <c r="AC444" s="276" t="e">
        <f t="shared" si="364"/>
        <v>#DIV/0!</v>
      </c>
      <c r="AD444" s="276" t="e">
        <f t="shared" si="365"/>
        <v>#DIV/0!</v>
      </c>
      <c r="AE444" s="686" t="e">
        <f t="shared" si="366"/>
        <v>#DIV/0!</v>
      </c>
      <c r="AF444" s="239"/>
      <c r="AG444" s="965" t="e">
        <f t="shared" si="337"/>
        <v>#VALUE!</v>
      </c>
      <c r="AH444" s="878" t="e">
        <f t="shared" si="338"/>
        <v>#VALUE!</v>
      </c>
      <c r="AI444" s="878" t="e">
        <f t="shared" si="339"/>
        <v>#VALUE!</v>
      </c>
      <c r="AJ444" s="878" t="e">
        <f t="shared" si="340"/>
        <v>#VALUE!</v>
      </c>
      <c r="AK444" s="878" t="e">
        <f t="shared" si="341"/>
        <v>#VALUE!</v>
      </c>
      <c r="AL444" s="966" t="e">
        <f t="shared" si="342"/>
        <v>#VALUE!</v>
      </c>
      <c r="AM444" s="239"/>
      <c r="AO444" s="685">
        <f t="shared" si="367"/>
        <v>0.40786309652948605</v>
      </c>
      <c r="AP444" s="276">
        <f t="shared" si="368"/>
        <v>-0.51751338545291015</v>
      </c>
      <c r="AQ444" s="276">
        <f t="shared" si="369"/>
        <v>-3.6244988504201689</v>
      </c>
      <c r="AR444" s="276">
        <f t="shared" si="370"/>
        <v>-4.0914386848762616</v>
      </c>
      <c r="AS444" s="276">
        <f t="shared" si="371"/>
        <v>-1.7420879606737909</v>
      </c>
      <c r="AT444" s="276">
        <f t="shared" si="372"/>
        <v>-2.1306811070245235</v>
      </c>
      <c r="AU444" s="685">
        <f t="shared" si="373"/>
        <v>1.7169784406957473</v>
      </c>
      <c r="AV444" s="276">
        <f t="shared" si="374"/>
        <v>1.3190311317298489</v>
      </c>
      <c r="AW444" s="276">
        <f t="shared" si="375"/>
        <v>0.99891356906767315</v>
      </c>
      <c r="AX444" s="276">
        <f t="shared" si="376"/>
        <v>1.3847929691317871</v>
      </c>
      <c r="AY444" s="276">
        <f t="shared" si="377"/>
        <v>1.0469375902843716</v>
      </c>
      <c r="AZ444" s="686">
        <f t="shared" si="378"/>
        <v>1.3860193870736131</v>
      </c>
      <c r="BA444" s="685">
        <f t="shared" si="379"/>
        <v>0</v>
      </c>
      <c r="BB444" s="276">
        <f t="shared" si="380"/>
        <v>0</v>
      </c>
      <c r="BC444" s="276">
        <f t="shared" si="381"/>
        <v>0</v>
      </c>
      <c r="BD444" s="276">
        <f t="shared" si="382"/>
        <v>0</v>
      </c>
      <c r="BE444" s="276">
        <f t="shared" si="383"/>
        <v>0</v>
      </c>
      <c r="BF444" s="686">
        <f t="shared" si="384"/>
        <v>0</v>
      </c>
      <c r="BG444" s="685" t="e">
        <f t="shared" si="385"/>
        <v>#DIV/0!</v>
      </c>
      <c r="BH444" s="276" t="e">
        <f t="shared" si="386"/>
        <v>#DIV/0!</v>
      </c>
      <c r="BI444" s="276" t="e">
        <f t="shared" si="387"/>
        <v>#DIV/0!</v>
      </c>
      <c r="BJ444" s="276" t="e">
        <f t="shared" si="388"/>
        <v>#DIV/0!</v>
      </c>
      <c r="BK444" s="276" t="e">
        <f t="shared" si="389"/>
        <v>#DIV/0!</v>
      </c>
      <c r="BL444" s="686" t="e">
        <f t="shared" si="390"/>
        <v>#DIV/0!</v>
      </c>
      <c r="BM444" s="239"/>
      <c r="BN444" s="965" t="e">
        <f t="shared" si="391"/>
        <v>#VALUE!</v>
      </c>
      <c r="BO444" s="878" t="e">
        <f t="shared" si="392"/>
        <v>#VALUE!</v>
      </c>
      <c r="BP444" s="878" t="e">
        <f t="shared" si="393"/>
        <v>#VALUE!</v>
      </c>
      <c r="BQ444" s="878" t="e">
        <f t="shared" si="394"/>
        <v>#VALUE!</v>
      </c>
      <c r="BR444" s="878" t="e">
        <f t="shared" si="395"/>
        <v>#VALUE!</v>
      </c>
      <c r="BS444" s="966" t="e">
        <f t="shared" si="396"/>
        <v>#VALUE!</v>
      </c>
    </row>
    <row r="445" spans="1:71">
      <c r="A445" s="284">
        <f t="shared" si="397"/>
        <v>377</v>
      </c>
      <c r="B445" s="285">
        <v>-1.9372227223975516</v>
      </c>
      <c r="C445" s="285">
        <v>2.4522593346520245</v>
      </c>
      <c r="D445" s="285">
        <v>-0.16938926571648483</v>
      </c>
      <c r="E445" s="285">
        <v>-13.952085312878532</v>
      </c>
      <c r="H445" s="685">
        <f t="shared" si="343"/>
        <v>-3.0704565641666064</v>
      </c>
      <c r="I445" s="276">
        <f t="shared" si="344"/>
        <v>-3.1255897553241581</v>
      </c>
      <c r="J445" s="276">
        <f t="shared" si="345"/>
        <v>-0.18143158180378405</v>
      </c>
      <c r="K445" s="276">
        <f t="shared" si="346"/>
        <v>-1.8227045139924227</v>
      </c>
      <c r="L445" s="276">
        <f t="shared" si="347"/>
        <v>-1.4547077132044062</v>
      </c>
      <c r="M445" s="276">
        <f t="shared" si="348"/>
        <v>0.85758908997187655</v>
      </c>
      <c r="N445" s="685">
        <f t="shared" si="349"/>
        <v>1.2450881236801561</v>
      </c>
      <c r="O445" s="276">
        <f t="shared" si="350"/>
        <v>1.0283487187464539</v>
      </c>
      <c r="P445" s="276">
        <f t="shared" si="351"/>
        <v>1.5722608287761159</v>
      </c>
      <c r="Q445" s="276">
        <f t="shared" si="352"/>
        <v>1.3984957161361897</v>
      </c>
      <c r="R445" s="276">
        <f t="shared" si="353"/>
        <v>1.7988474643506052</v>
      </c>
      <c r="S445" s="686">
        <f t="shared" si="354"/>
        <v>1.5412490158276142</v>
      </c>
      <c r="T445" s="685">
        <f t="shared" si="355"/>
        <v>3.1089744245544413</v>
      </c>
      <c r="U445" s="276">
        <f t="shared" si="356"/>
        <v>4.6957944161648513</v>
      </c>
      <c r="V445" s="276">
        <f t="shared" si="357"/>
        <v>3.4504691406008776</v>
      </c>
      <c r="W445" s="276">
        <f t="shared" si="358"/>
        <v>3.2570616315654997</v>
      </c>
      <c r="X445" s="276">
        <f t="shared" si="359"/>
        <v>3.919922947248935</v>
      </c>
      <c r="Y445" s="686">
        <f t="shared" si="360"/>
        <v>4.7729781090946819</v>
      </c>
      <c r="Z445" s="685" t="e">
        <f t="shared" si="361"/>
        <v>#DIV/0!</v>
      </c>
      <c r="AA445" s="276" t="e">
        <f t="shared" si="362"/>
        <v>#DIV/0!</v>
      </c>
      <c r="AB445" s="276" t="e">
        <f t="shared" si="363"/>
        <v>#DIV/0!</v>
      </c>
      <c r="AC445" s="276" t="e">
        <f t="shared" si="364"/>
        <v>#DIV/0!</v>
      </c>
      <c r="AD445" s="276" t="e">
        <f t="shared" si="365"/>
        <v>#DIV/0!</v>
      </c>
      <c r="AE445" s="686" t="e">
        <f t="shared" si="366"/>
        <v>#DIV/0!</v>
      </c>
      <c r="AF445" s="239"/>
      <c r="AG445" s="965" t="e">
        <f t="shared" si="337"/>
        <v>#VALUE!</v>
      </c>
      <c r="AH445" s="878" t="e">
        <f t="shared" si="338"/>
        <v>#VALUE!</v>
      </c>
      <c r="AI445" s="878" t="e">
        <f t="shared" si="339"/>
        <v>#VALUE!</v>
      </c>
      <c r="AJ445" s="878" t="e">
        <f t="shared" si="340"/>
        <v>#VALUE!</v>
      </c>
      <c r="AK445" s="878" t="e">
        <f t="shared" si="341"/>
        <v>#VALUE!</v>
      </c>
      <c r="AL445" s="966" t="e">
        <f t="shared" si="342"/>
        <v>#VALUE!</v>
      </c>
      <c r="AM445" s="239"/>
      <c r="AO445" s="685">
        <f t="shared" si="367"/>
        <v>-3.0704565641666064</v>
      </c>
      <c r="AP445" s="276">
        <f t="shared" si="368"/>
        <v>-3.1255897553241581</v>
      </c>
      <c r="AQ445" s="276">
        <f t="shared" si="369"/>
        <v>-0.18143158180378405</v>
      </c>
      <c r="AR445" s="276">
        <f t="shared" si="370"/>
        <v>-1.8227045139924227</v>
      </c>
      <c r="AS445" s="276">
        <f t="shared" si="371"/>
        <v>-1.4547077132044062</v>
      </c>
      <c r="AT445" s="276">
        <f t="shared" si="372"/>
        <v>0.85758908997187655</v>
      </c>
      <c r="AU445" s="685">
        <f t="shared" si="373"/>
        <v>1.2450881236801561</v>
      </c>
      <c r="AV445" s="276">
        <f t="shared" si="374"/>
        <v>1.0283487187464539</v>
      </c>
      <c r="AW445" s="276">
        <f t="shared" si="375"/>
        <v>1.5722608287761159</v>
      </c>
      <c r="AX445" s="276">
        <f t="shared" si="376"/>
        <v>1.3984957161361897</v>
      </c>
      <c r="AY445" s="276">
        <f t="shared" si="377"/>
        <v>1.7988474643506052</v>
      </c>
      <c r="AZ445" s="686">
        <f t="shared" si="378"/>
        <v>1.5412490158276142</v>
      </c>
      <c r="BA445" s="685">
        <f t="shared" si="379"/>
        <v>0</v>
      </c>
      <c r="BB445" s="276">
        <f t="shared" si="380"/>
        <v>0</v>
      </c>
      <c r="BC445" s="276">
        <f t="shared" si="381"/>
        <v>0</v>
      </c>
      <c r="BD445" s="276">
        <f t="shared" si="382"/>
        <v>0</v>
      </c>
      <c r="BE445" s="276">
        <f t="shared" si="383"/>
        <v>0</v>
      </c>
      <c r="BF445" s="686">
        <f t="shared" si="384"/>
        <v>0</v>
      </c>
      <c r="BG445" s="685" t="e">
        <f t="shared" si="385"/>
        <v>#DIV/0!</v>
      </c>
      <c r="BH445" s="276" t="e">
        <f t="shared" si="386"/>
        <v>#DIV/0!</v>
      </c>
      <c r="BI445" s="276" t="e">
        <f t="shared" si="387"/>
        <v>#DIV/0!</v>
      </c>
      <c r="BJ445" s="276" t="e">
        <f t="shared" si="388"/>
        <v>#DIV/0!</v>
      </c>
      <c r="BK445" s="276" t="e">
        <f t="shared" si="389"/>
        <v>#DIV/0!</v>
      </c>
      <c r="BL445" s="686" t="e">
        <f t="shared" si="390"/>
        <v>#DIV/0!</v>
      </c>
      <c r="BM445" s="239"/>
      <c r="BN445" s="965" t="e">
        <f t="shared" si="391"/>
        <v>#VALUE!</v>
      </c>
      <c r="BO445" s="878" t="e">
        <f t="shared" si="392"/>
        <v>#VALUE!</v>
      </c>
      <c r="BP445" s="878" t="e">
        <f t="shared" si="393"/>
        <v>#VALUE!</v>
      </c>
      <c r="BQ445" s="878" t="e">
        <f t="shared" si="394"/>
        <v>#VALUE!</v>
      </c>
      <c r="BR445" s="878" t="e">
        <f t="shared" si="395"/>
        <v>#VALUE!</v>
      </c>
      <c r="BS445" s="966" t="e">
        <f t="shared" si="396"/>
        <v>#VALUE!</v>
      </c>
    </row>
    <row r="446" spans="1:71">
      <c r="A446" s="284">
        <f t="shared" si="397"/>
        <v>378</v>
      </c>
      <c r="B446" s="285">
        <v>3.7490838056336511</v>
      </c>
      <c r="C446" s="285">
        <v>3.3572313881328784</v>
      </c>
      <c r="D446" s="285">
        <v>1.6860509329609492</v>
      </c>
      <c r="E446" s="285">
        <v>18.459710919570366</v>
      </c>
      <c r="H446" s="685">
        <f t="shared" si="343"/>
        <v>2.615849963864596</v>
      </c>
      <c r="I446" s="276">
        <f t="shared" si="344"/>
        <v>-0.18360946265761957</v>
      </c>
      <c r="J446" s="276">
        <f t="shared" si="345"/>
        <v>-3.2390177055046259</v>
      </c>
      <c r="K446" s="276">
        <f t="shared" si="346"/>
        <v>0.94085755126491954</v>
      </c>
      <c r="L446" s="276">
        <f t="shared" si="347"/>
        <v>-5.6290287381932274</v>
      </c>
      <c r="M446" s="276">
        <f t="shared" si="348"/>
        <v>-1.3835511446344109</v>
      </c>
      <c r="N446" s="685">
        <f t="shared" si="349"/>
        <v>2.1500601771610102</v>
      </c>
      <c r="O446" s="276">
        <f t="shared" si="350"/>
        <v>2.1346785521618923</v>
      </c>
      <c r="P446" s="276">
        <f t="shared" si="351"/>
        <v>0.93639767303845534</v>
      </c>
      <c r="Q446" s="276">
        <f t="shared" si="352"/>
        <v>2.6270288109411428</v>
      </c>
      <c r="R446" s="276">
        <f t="shared" si="353"/>
        <v>1.2320357102677677</v>
      </c>
      <c r="S446" s="686">
        <f t="shared" si="354"/>
        <v>0.607590894121673</v>
      </c>
      <c r="T446" s="685">
        <f t="shared" si="355"/>
        <v>4.9644146232318747</v>
      </c>
      <c r="U446" s="276">
        <f t="shared" si="356"/>
        <v>4.3364795610383675</v>
      </c>
      <c r="V446" s="276">
        <f t="shared" si="357"/>
        <v>4.0484112798103755</v>
      </c>
      <c r="W446" s="276">
        <f t="shared" si="358"/>
        <v>3.9228947385476354</v>
      </c>
      <c r="X446" s="276">
        <f t="shared" si="359"/>
        <v>3.1887931275794998</v>
      </c>
      <c r="Y446" s="686">
        <f t="shared" si="360"/>
        <v>5.2633404214748465</v>
      </c>
      <c r="Z446" s="685" t="e">
        <f t="shared" si="361"/>
        <v>#DIV/0!</v>
      </c>
      <c r="AA446" s="276" t="e">
        <f t="shared" si="362"/>
        <v>#DIV/0!</v>
      </c>
      <c r="AB446" s="276" t="e">
        <f t="shared" si="363"/>
        <v>#DIV/0!</v>
      </c>
      <c r="AC446" s="276" t="e">
        <f t="shared" si="364"/>
        <v>#DIV/0!</v>
      </c>
      <c r="AD446" s="276" t="e">
        <f t="shared" si="365"/>
        <v>#DIV/0!</v>
      </c>
      <c r="AE446" s="686" t="e">
        <f t="shared" si="366"/>
        <v>#DIV/0!</v>
      </c>
      <c r="AF446" s="239"/>
      <c r="AG446" s="965" t="e">
        <f t="shared" si="337"/>
        <v>#VALUE!</v>
      </c>
      <c r="AH446" s="878" t="e">
        <f t="shared" si="338"/>
        <v>#VALUE!</v>
      </c>
      <c r="AI446" s="878" t="e">
        <f t="shared" si="339"/>
        <v>#VALUE!</v>
      </c>
      <c r="AJ446" s="878" t="e">
        <f t="shared" si="340"/>
        <v>#VALUE!</v>
      </c>
      <c r="AK446" s="878" t="e">
        <f t="shared" si="341"/>
        <v>#VALUE!</v>
      </c>
      <c r="AL446" s="966" t="e">
        <f t="shared" si="342"/>
        <v>#VALUE!</v>
      </c>
      <c r="AM446" s="239"/>
      <c r="AO446" s="685">
        <f t="shared" si="367"/>
        <v>2.615849963864596</v>
      </c>
      <c r="AP446" s="276">
        <f t="shared" si="368"/>
        <v>-0.18360946265761957</v>
      </c>
      <c r="AQ446" s="276">
        <f t="shared" si="369"/>
        <v>-3.2390177055046259</v>
      </c>
      <c r="AR446" s="276">
        <f t="shared" si="370"/>
        <v>0.94085755126491954</v>
      </c>
      <c r="AS446" s="276">
        <f t="shared" si="371"/>
        <v>-5.6290287381932274</v>
      </c>
      <c r="AT446" s="276">
        <f t="shared" si="372"/>
        <v>-1.3835511446344109</v>
      </c>
      <c r="AU446" s="685">
        <f t="shared" si="373"/>
        <v>2.1500601771610102</v>
      </c>
      <c r="AV446" s="276">
        <f t="shared" si="374"/>
        <v>2.1346785521618923</v>
      </c>
      <c r="AW446" s="276">
        <f t="shared" si="375"/>
        <v>0.93639767303845534</v>
      </c>
      <c r="AX446" s="276">
        <f t="shared" si="376"/>
        <v>2.6270288109411428</v>
      </c>
      <c r="AY446" s="276">
        <f t="shared" si="377"/>
        <v>1.2320357102677677</v>
      </c>
      <c r="AZ446" s="686">
        <f t="shared" si="378"/>
        <v>0.607590894121673</v>
      </c>
      <c r="BA446" s="685">
        <f t="shared" si="379"/>
        <v>0</v>
      </c>
      <c r="BB446" s="276">
        <f t="shared" si="380"/>
        <v>0</v>
      </c>
      <c r="BC446" s="276">
        <f t="shared" si="381"/>
        <v>0</v>
      </c>
      <c r="BD446" s="276">
        <f t="shared" si="382"/>
        <v>0</v>
      </c>
      <c r="BE446" s="276">
        <f t="shared" si="383"/>
        <v>0</v>
      </c>
      <c r="BF446" s="686">
        <f t="shared" si="384"/>
        <v>0</v>
      </c>
      <c r="BG446" s="685" t="e">
        <f t="shared" si="385"/>
        <v>#DIV/0!</v>
      </c>
      <c r="BH446" s="276" t="e">
        <f t="shared" si="386"/>
        <v>#DIV/0!</v>
      </c>
      <c r="BI446" s="276" t="e">
        <f t="shared" si="387"/>
        <v>#DIV/0!</v>
      </c>
      <c r="BJ446" s="276" t="e">
        <f t="shared" si="388"/>
        <v>#DIV/0!</v>
      </c>
      <c r="BK446" s="276" t="e">
        <f t="shared" si="389"/>
        <v>#DIV/0!</v>
      </c>
      <c r="BL446" s="686" t="e">
        <f t="shared" si="390"/>
        <v>#DIV/0!</v>
      </c>
      <c r="BM446" s="239"/>
      <c r="BN446" s="965" t="e">
        <f t="shared" si="391"/>
        <v>#VALUE!</v>
      </c>
      <c r="BO446" s="878" t="e">
        <f t="shared" si="392"/>
        <v>#VALUE!</v>
      </c>
      <c r="BP446" s="878" t="e">
        <f t="shared" si="393"/>
        <v>#VALUE!</v>
      </c>
      <c r="BQ446" s="878" t="e">
        <f t="shared" si="394"/>
        <v>#VALUE!</v>
      </c>
      <c r="BR446" s="878" t="e">
        <f t="shared" si="395"/>
        <v>#VALUE!</v>
      </c>
      <c r="BS446" s="966" t="e">
        <f t="shared" si="396"/>
        <v>#VALUE!</v>
      </c>
    </row>
    <row r="447" spans="1:71">
      <c r="A447" s="284">
        <f t="shared" si="397"/>
        <v>379</v>
      </c>
      <c r="B447" s="285">
        <v>-0.96970193147359718</v>
      </c>
      <c r="C447" s="285">
        <v>2.3839305646995372</v>
      </c>
      <c r="D447" s="285">
        <v>2.1144286703851796</v>
      </c>
      <c r="E447" s="285">
        <v>2.3024113427929049</v>
      </c>
      <c r="H447" s="685">
        <f t="shared" si="343"/>
        <v>-2.1029357732426521</v>
      </c>
      <c r="I447" s="276">
        <f t="shared" si="344"/>
        <v>-2.0620718451830995</v>
      </c>
      <c r="J447" s="276">
        <f t="shared" si="345"/>
        <v>0.12023490219400701</v>
      </c>
      <c r="K447" s="276">
        <f t="shared" si="346"/>
        <v>-4.5108507939475784</v>
      </c>
      <c r="L447" s="276">
        <f t="shared" si="347"/>
        <v>-4.6606739503583121</v>
      </c>
      <c r="M447" s="276">
        <f t="shared" si="348"/>
        <v>9.2583951059824754E-2</v>
      </c>
      <c r="N447" s="685">
        <f t="shared" si="349"/>
        <v>1.1767593537276688</v>
      </c>
      <c r="O447" s="276">
        <f t="shared" si="350"/>
        <v>0.74408241879036718</v>
      </c>
      <c r="P447" s="276">
        <f t="shared" si="351"/>
        <v>1.9722593469651206</v>
      </c>
      <c r="Q447" s="276">
        <f t="shared" si="352"/>
        <v>1.0244746250973014</v>
      </c>
      <c r="R447" s="276">
        <f t="shared" si="353"/>
        <v>1.3308103543753342</v>
      </c>
      <c r="S447" s="686">
        <f t="shared" si="354"/>
        <v>0.83567633959503307</v>
      </c>
      <c r="T447" s="685">
        <f t="shared" si="355"/>
        <v>5.3927923606561059</v>
      </c>
      <c r="U447" s="276">
        <f t="shared" si="356"/>
        <v>4.3720422090544071</v>
      </c>
      <c r="V447" s="276">
        <f t="shared" si="357"/>
        <v>5.0971736416716382</v>
      </c>
      <c r="W447" s="276">
        <f t="shared" si="358"/>
        <v>3.0121801766484158</v>
      </c>
      <c r="X447" s="276">
        <f t="shared" si="359"/>
        <v>3.9701376326816193</v>
      </c>
      <c r="Y447" s="686">
        <f t="shared" si="360"/>
        <v>5.0594788230027703</v>
      </c>
      <c r="Z447" s="685" t="e">
        <f t="shared" si="361"/>
        <v>#DIV/0!</v>
      </c>
      <c r="AA447" s="276" t="e">
        <f t="shared" si="362"/>
        <v>#DIV/0!</v>
      </c>
      <c r="AB447" s="276" t="e">
        <f t="shared" si="363"/>
        <v>#DIV/0!</v>
      </c>
      <c r="AC447" s="276" t="e">
        <f t="shared" si="364"/>
        <v>#DIV/0!</v>
      </c>
      <c r="AD447" s="276" t="e">
        <f t="shared" si="365"/>
        <v>#DIV/0!</v>
      </c>
      <c r="AE447" s="686" t="e">
        <f t="shared" si="366"/>
        <v>#DIV/0!</v>
      </c>
      <c r="AF447" s="239"/>
      <c r="AG447" s="965" t="e">
        <f t="shared" si="337"/>
        <v>#VALUE!</v>
      </c>
      <c r="AH447" s="878" t="e">
        <f t="shared" si="338"/>
        <v>#VALUE!</v>
      </c>
      <c r="AI447" s="878" t="e">
        <f t="shared" si="339"/>
        <v>#VALUE!</v>
      </c>
      <c r="AJ447" s="878" t="e">
        <f t="shared" si="340"/>
        <v>#VALUE!</v>
      </c>
      <c r="AK447" s="878" t="e">
        <f t="shared" si="341"/>
        <v>#VALUE!</v>
      </c>
      <c r="AL447" s="966" t="e">
        <f t="shared" si="342"/>
        <v>#VALUE!</v>
      </c>
      <c r="AM447" s="239"/>
      <c r="AO447" s="685">
        <f t="shared" si="367"/>
        <v>-2.1029357732426521</v>
      </c>
      <c r="AP447" s="276">
        <f t="shared" si="368"/>
        <v>-2.0620718451830995</v>
      </c>
      <c r="AQ447" s="276">
        <f t="shared" si="369"/>
        <v>0.12023490219400701</v>
      </c>
      <c r="AR447" s="276">
        <f t="shared" si="370"/>
        <v>-4.5108507939475784</v>
      </c>
      <c r="AS447" s="276">
        <f t="shared" si="371"/>
        <v>-4.6606739503583121</v>
      </c>
      <c r="AT447" s="276">
        <f t="shared" si="372"/>
        <v>9.2583951059824754E-2</v>
      </c>
      <c r="AU447" s="685">
        <f t="shared" si="373"/>
        <v>1.1767593537276688</v>
      </c>
      <c r="AV447" s="276">
        <f t="shared" si="374"/>
        <v>0.74408241879036718</v>
      </c>
      <c r="AW447" s="276">
        <f t="shared" si="375"/>
        <v>1.9722593469651206</v>
      </c>
      <c r="AX447" s="276">
        <f t="shared" si="376"/>
        <v>1.0244746250973014</v>
      </c>
      <c r="AY447" s="276">
        <f t="shared" si="377"/>
        <v>1.3308103543753342</v>
      </c>
      <c r="AZ447" s="686">
        <f t="shared" si="378"/>
        <v>0.83567633959503307</v>
      </c>
      <c r="BA447" s="685">
        <f t="shared" si="379"/>
        <v>0</v>
      </c>
      <c r="BB447" s="276">
        <f t="shared" si="380"/>
        <v>0</v>
      </c>
      <c r="BC447" s="276">
        <f t="shared" si="381"/>
        <v>0</v>
      </c>
      <c r="BD447" s="276">
        <f t="shared" si="382"/>
        <v>0</v>
      </c>
      <c r="BE447" s="276">
        <f t="shared" si="383"/>
        <v>0</v>
      </c>
      <c r="BF447" s="686">
        <f t="shared" si="384"/>
        <v>0</v>
      </c>
      <c r="BG447" s="685" t="e">
        <f t="shared" si="385"/>
        <v>#DIV/0!</v>
      </c>
      <c r="BH447" s="276" t="e">
        <f t="shared" si="386"/>
        <v>#DIV/0!</v>
      </c>
      <c r="BI447" s="276" t="e">
        <f t="shared" si="387"/>
        <v>#DIV/0!</v>
      </c>
      <c r="BJ447" s="276" t="e">
        <f t="shared" si="388"/>
        <v>#DIV/0!</v>
      </c>
      <c r="BK447" s="276" t="e">
        <f t="shared" si="389"/>
        <v>#DIV/0!</v>
      </c>
      <c r="BL447" s="686" t="e">
        <f t="shared" si="390"/>
        <v>#DIV/0!</v>
      </c>
      <c r="BM447" s="239"/>
      <c r="BN447" s="965" t="e">
        <f t="shared" si="391"/>
        <v>#VALUE!</v>
      </c>
      <c r="BO447" s="878" t="e">
        <f t="shared" si="392"/>
        <v>#VALUE!</v>
      </c>
      <c r="BP447" s="878" t="e">
        <f t="shared" si="393"/>
        <v>#VALUE!</v>
      </c>
      <c r="BQ447" s="878" t="e">
        <f t="shared" si="394"/>
        <v>#VALUE!</v>
      </c>
      <c r="BR447" s="878" t="e">
        <f t="shared" si="395"/>
        <v>#VALUE!</v>
      </c>
      <c r="BS447" s="966" t="e">
        <f t="shared" si="396"/>
        <v>#VALUE!</v>
      </c>
    </row>
    <row r="448" spans="1:71">
      <c r="A448" s="284">
        <f t="shared" si="397"/>
        <v>380</v>
      </c>
      <c r="B448" s="285">
        <v>2.4194295448617043</v>
      </c>
      <c r="C448" s="285">
        <v>2.9068383020386919</v>
      </c>
      <c r="D448" s="285">
        <v>0.85993005104242204</v>
      </c>
      <c r="E448" s="285">
        <v>2.1057233936714694</v>
      </c>
      <c r="H448" s="685">
        <f t="shared" si="343"/>
        <v>1.2861957030926494</v>
      </c>
      <c r="I448" s="276">
        <f t="shared" si="344"/>
        <v>-4.6474851131197097</v>
      </c>
      <c r="J448" s="276">
        <f t="shared" si="345"/>
        <v>-5.6118409918975845</v>
      </c>
      <c r="K448" s="276">
        <f t="shared" si="346"/>
        <v>-3.5260539168612803</v>
      </c>
      <c r="L448" s="276">
        <f t="shared" si="347"/>
        <v>2.0060621440455755</v>
      </c>
      <c r="M448" s="276">
        <f t="shared" si="348"/>
        <v>-1.4664544291775898</v>
      </c>
      <c r="N448" s="685">
        <f t="shared" si="349"/>
        <v>1.6996670910668235</v>
      </c>
      <c r="O448" s="276">
        <f t="shared" si="350"/>
        <v>8.3621100419811523E-2</v>
      </c>
      <c r="P448" s="276">
        <f t="shared" si="351"/>
        <v>0.51669776713868165</v>
      </c>
      <c r="Q448" s="276">
        <f t="shared" si="352"/>
        <v>1.9630895968722328</v>
      </c>
      <c r="R448" s="276">
        <f t="shared" si="353"/>
        <v>0.98699619984361786</v>
      </c>
      <c r="S448" s="686">
        <f t="shared" si="354"/>
        <v>1.451558572605012</v>
      </c>
      <c r="T448" s="685">
        <f t="shared" si="355"/>
        <v>4.1382937413133476</v>
      </c>
      <c r="U448" s="276">
        <f t="shared" si="356"/>
        <v>4.7820039936026886</v>
      </c>
      <c r="V448" s="276">
        <f t="shared" si="357"/>
        <v>3.1572769360766313</v>
      </c>
      <c r="W448" s="276">
        <f t="shared" si="358"/>
        <v>4.8198436280740085</v>
      </c>
      <c r="X448" s="276">
        <f t="shared" si="359"/>
        <v>4.1077330826307117</v>
      </c>
      <c r="Y448" s="686">
        <f t="shared" si="360"/>
        <v>4.7818338580548634</v>
      </c>
      <c r="Z448" s="685" t="e">
        <f t="shared" si="361"/>
        <v>#DIV/0!</v>
      </c>
      <c r="AA448" s="276" t="e">
        <f t="shared" si="362"/>
        <v>#DIV/0!</v>
      </c>
      <c r="AB448" s="276" t="e">
        <f t="shared" si="363"/>
        <v>#DIV/0!</v>
      </c>
      <c r="AC448" s="276" t="e">
        <f t="shared" si="364"/>
        <v>#DIV/0!</v>
      </c>
      <c r="AD448" s="276" t="e">
        <f t="shared" si="365"/>
        <v>#DIV/0!</v>
      </c>
      <c r="AE448" s="686" t="e">
        <f t="shared" si="366"/>
        <v>#DIV/0!</v>
      </c>
      <c r="AF448" s="239"/>
      <c r="AG448" s="965" t="e">
        <f t="shared" si="337"/>
        <v>#VALUE!</v>
      </c>
      <c r="AH448" s="878" t="e">
        <f t="shared" si="338"/>
        <v>#VALUE!</v>
      </c>
      <c r="AI448" s="878" t="e">
        <f t="shared" si="339"/>
        <v>#VALUE!</v>
      </c>
      <c r="AJ448" s="878" t="e">
        <f t="shared" si="340"/>
        <v>#VALUE!</v>
      </c>
      <c r="AK448" s="878" t="e">
        <f t="shared" si="341"/>
        <v>#VALUE!</v>
      </c>
      <c r="AL448" s="966" t="e">
        <f t="shared" si="342"/>
        <v>#VALUE!</v>
      </c>
      <c r="AM448" s="239"/>
      <c r="AO448" s="685">
        <f t="shared" si="367"/>
        <v>1.2861957030926494</v>
      </c>
      <c r="AP448" s="276">
        <f t="shared" si="368"/>
        <v>-4.6474851131197097</v>
      </c>
      <c r="AQ448" s="276">
        <f t="shared" si="369"/>
        <v>-5.6118409918975845</v>
      </c>
      <c r="AR448" s="276">
        <f t="shared" si="370"/>
        <v>-3.5260539168612803</v>
      </c>
      <c r="AS448" s="276">
        <f t="shared" si="371"/>
        <v>2.0060621440455755</v>
      </c>
      <c r="AT448" s="276">
        <f t="shared" si="372"/>
        <v>-1.4664544291775898</v>
      </c>
      <c r="AU448" s="685">
        <f t="shared" si="373"/>
        <v>1.6996670910668235</v>
      </c>
      <c r="AV448" s="276">
        <f t="shared" si="374"/>
        <v>8.3621100419811523E-2</v>
      </c>
      <c r="AW448" s="276">
        <f t="shared" si="375"/>
        <v>0.51669776713868165</v>
      </c>
      <c r="AX448" s="276">
        <f t="shared" si="376"/>
        <v>1.9630895968722328</v>
      </c>
      <c r="AY448" s="276">
        <f t="shared" si="377"/>
        <v>0.98699619984361786</v>
      </c>
      <c r="AZ448" s="686">
        <f t="shared" si="378"/>
        <v>1.451558572605012</v>
      </c>
      <c r="BA448" s="685">
        <f t="shared" si="379"/>
        <v>0</v>
      </c>
      <c r="BB448" s="276">
        <f t="shared" si="380"/>
        <v>0</v>
      </c>
      <c r="BC448" s="276">
        <f t="shared" si="381"/>
        <v>0</v>
      </c>
      <c r="BD448" s="276">
        <f t="shared" si="382"/>
        <v>0</v>
      </c>
      <c r="BE448" s="276">
        <f t="shared" si="383"/>
        <v>0</v>
      </c>
      <c r="BF448" s="686">
        <f t="shared" si="384"/>
        <v>0</v>
      </c>
      <c r="BG448" s="685" t="e">
        <f t="shared" si="385"/>
        <v>#DIV/0!</v>
      </c>
      <c r="BH448" s="276" t="e">
        <f t="shared" si="386"/>
        <v>#DIV/0!</v>
      </c>
      <c r="BI448" s="276" t="e">
        <f t="shared" si="387"/>
        <v>#DIV/0!</v>
      </c>
      <c r="BJ448" s="276" t="e">
        <f t="shared" si="388"/>
        <v>#DIV/0!</v>
      </c>
      <c r="BK448" s="276" t="e">
        <f t="shared" si="389"/>
        <v>#DIV/0!</v>
      </c>
      <c r="BL448" s="686" t="e">
        <f t="shared" si="390"/>
        <v>#DIV/0!</v>
      </c>
      <c r="BM448" s="239"/>
      <c r="BN448" s="965" t="e">
        <f t="shared" si="391"/>
        <v>#VALUE!</v>
      </c>
      <c r="BO448" s="878" t="e">
        <f t="shared" si="392"/>
        <v>#VALUE!</v>
      </c>
      <c r="BP448" s="878" t="e">
        <f t="shared" si="393"/>
        <v>#VALUE!</v>
      </c>
      <c r="BQ448" s="878" t="e">
        <f t="shared" si="394"/>
        <v>#VALUE!</v>
      </c>
      <c r="BR448" s="878" t="e">
        <f t="shared" si="395"/>
        <v>#VALUE!</v>
      </c>
      <c r="BS448" s="966" t="e">
        <f t="shared" si="396"/>
        <v>#VALUE!</v>
      </c>
    </row>
    <row r="449" spans="1:71">
      <c r="A449" s="284">
        <f t="shared" si="397"/>
        <v>381</v>
      </c>
      <c r="B449" s="285">
        <v>4.8470184889218091</v>
      </c>
      <c r="C449" s="285">
        <v>3.1876784118075872</v>
      </c>
      <c r="D449" s="285">
        <v>2.5802481307194074</v>
      </c>
      <c r="E449" s="285">
        <v>-3.491189250312106</v>
      </c>
      <c r="H449" s="685">
        <f t="shared" si="343"/>
        <v>3.713784647152754</v>
      </c>
      <c r="I449" s="276">
        <f t="shared" si="344"/>
        <v>-3.8887824897501879</v>
      </c>
      <c r="J449" s="276">
        <f t="shared" si="345"/>
        <v>3.2578382795845702</v>
      </c>
      <c r="K449" s="276">
        <f t="shared" si="346"/>
        <v>1.338895073942463</v>
      </c>
      <c r="L449" s="276">
        <f t="shared" si="347"/>
        <v>-2.6511222163958985</v>
      </c>
      <c r="M449" s="276">
        <f t="shared" si="348"/>
        <v>-0.52400772423609066</v>
      </c>
      <c r="N449" s="685">
        <f t="shared" si="349"/>
        <v>1.9805072008357187</v>
      </c>
      <c r="O449" s="276">
        <f t="shared" si="350"/>
        <v>1.3706625422967897</v>
      </c>
      <c r="P449" s="276">
        <f t="shared" si="351"/>
        <v>2.225882564084591</v>
      </c>
      <c r="Q449" s="276">
        <f t="shared" si="352"/>
        <v>1.170776046453357</v>
      </c>
      <c r="R449" s="276">
        <f t="shared" si="353"/>
        <v>1.1481185743100235</v>
      </c>
      <c r="S449" s="686">
        <f t="shared" si="354"/>
        <v>1.5519575694410215</v>
      </c>
      <c r="T449" s="685">
        <f t="shared" si="355"/>
        <v>5.8586118209903333</v>
      </c>
      <c r="U449" s="276">
        <f t="shared" si="356"/>
        <v>4.2876364841792522</v>
      </c>
      <c r="V449" s="276">
        <f t="shared" si="357"/>
        <v>7.143788851156307</v>
      </c>
      <c r="W449" s="276">
        <f t="shared" si="358"/>
        <v>5.3289842324105052</v>
      </c>
      <c r="X449" s="276">
        <f t="shared" si="359"/>
        <v>4.047885541353784</v>
      </c>
      <c r="Y449" s="686">
        <f t="shared" si="360"/>
        <v>2.7859436474550368</v>
      </c>
      <c r="Z449" s="685" t="e">
        <f t="shared" si="361"/>
        <v>#DIV/0!</v>
      </c>
      <c r="AA449" s="276" t="e">
        <f t="shared" si="362"/>
        <v>#DIV/0!</v>
      </c>
      <c r="AB449" s="276" t="e">
        <f t="shared" si="363"/>
        <v>#DIV/0!</v>
      </c>
      <c r="AC449" s="276" t="e">
        <f t="shared" si="364"/>
        <v>#DIV/0!</v>
      </c>
      <c r="AD449" s="276" t="e">
        <f t="shared" si="365"/>
        <v>#DIV/0!</v>
      </c>
      <c r="AE449" s="686" t="e">
        <f t="shared" si="366"/>
        <v>#DIV/0!</v>
      </c>
      <c r="AF449" s="239"/>
      <c r="AG449" s="965" t="e">
        <f t="shared" si="337"/>
        <v>#VALUE!</v>
      </c>
      <c r="AH449" s="878" t="e">
        <f t="shared" si="338"/>
        <v>#VALUE!</v>
      </c>
      <c r="AI449" s="878" t="e">
        <f t="shared" si="339"/>
        <v>#VALUE!</v>
      </c>
      <c r="AJ449" s="878" t="e">
        <f t="shared" si="340"/>
        <v>#VALUE!</v>
      </c>
      <c r="AK449" s="878" t="e">
        <f t="shared" si="341"/>
        <v>#VALUE!</v>
      </c>
      <c r="AL449" s="966" t="e">
        <f t="shared" si="342"/>
        <v>#VALUE!</v>
      </c>
      <c r="AM449" s="239"/>
      <c r="AO449" s="685">
        <f t="shared" si="367"/>
        <v>3.713784647152754</v>
      </c>
      <c r="AP449" s="276">
        <f t="shared" si="368"/>
        <v>-3.8887824897501879</v>
      </c>
      <c r="AQ449" s="276">
        <f t="shared" si="369"/>
        <v>3.2578382795845702</v>
      </c>
      <c r="AR449" s="276">
        <f t="shared" si="370"/>
        <v>1.338895073942463</v>
      </c>
      <c r="AS449" s="276">
        <f t="shared" si="371"/>
        <v>-2.6511222163958985</v>
      </c>
      <c r="AT449" s="276">
        <f t="shared" si="372"/>
        <v>-0.52400772423609066</v>
      </c>
      <c r="AU449" s="685">
        <f t="shared" si="373"/>
        <v>1.9805072008357187</v>
      </c>
      <c r="AV449" s="276">
        <f t="shared" si="374"/>
        <v>1.3706625422967897</v>
      </c>
      <c r="AW449" s="276">
        <f t="shared" si="375"/>
        <v>2.225882564084591</v>
      </c>
      <c r="AX449" s="276">
        <f t="shared" si="376"/>
        <v>1.170776046453357</v>
      </c>
      <c r="AY449" s="276">
        <f t="shared" si="377"/>
        <v>1.1481185743100235</v>
      </c>
      <c r="AZ449" s="686">
        <f t="shared" si="378"/>
        <v>1.5519575694410215</v>
      </c>
      <c r="BA449" s="685">
        <f t="shared" si="379"/>
        <v>0</v>
      </c>
      <c r="BB449" s="276">
        <f t="shared" si="380"/>
        <v>0</v>
      </c>
      <c r="BC449" s="276">
        <f t="shared" si="381"/>
        <v>0</v>
      </c>
      <c r="BD449" s="276">
        <f t="shared" si="382"/>
        <v>0</v>
      </c>
      <c r="BE449" s="276">
        <f t="shared" si="383"/>
        <v>0</v>
      </c>
      <c r="BF449" s="686">
        <f t="shared" si="384"/>
        <v>0</v>
      </c>
      <c r="BG449" s="685" t="e">
        <f t="shared" si="385"/>
        <v>#DIV/0!</v>
      </c>
      <c r="BH449" s="276" t="e">
        <f t="shared" si="386"/>
        <v>#DIV/0!</v>
      </c>
      <c r="BI449" s="276" t="e">
        <f t="shared" si="387"/>
        <v>#DIV/0!</v>
      </c>
      <c r="BJ449" s="276" t="e">
        <f t="shared" si="388"/>
        <v>#DIV/0!</v>
      </c>
      <c r="BK449" s="276" t="e">
        <f t="shared" si="389"/>
        <v>#DIV/0!</v>
      </c>
      <c r="BL449" s="686" t="e">
        <f t="shared" si="390"/>
        <v>#DIV/0!</v>
      </c>
      <c r="BM449" s="239"/>
      <c r="BN449" s="965" t="e">
        <f t="shared" si="391"/>
        <v>#VALUE!</v>
      </c>
      <c r="BO449" s="878" t="e">
        <f t="shared" si="392"/>
        <v>#VALUE!</v>
      </c>
      <c r="BP449" s="878" t="e">
        <f t="shared" si="393"/>
        <v>#VALUE!</v>
      </c>
      <c r="BQ449" s="878" t="e">
        <f t="shared" si="394"/>
        <v>#VALUE!</v>
      </c>
      <c r="BR449" s="878" t="e">
        <f t="shared" si="395"/>
        <v>#VALUE!</v>
      </c>
      <c r="BS449" s="966" t="e">
        <f t="shared" si="396"/>
        <v>#VALUE!</v>
      </c>
    </row>
    <row r="450" spans="1:71">
      <c r="A450" s="284">
        <f t="shared" si="397"/>
        <v>382</v>
      </c>
      <c r="B450" s="285">
        <v>5.6089494803248119</v>
      </c>
      <c r="C450" s="285">
        <v>2.9413839229415171</v>
      </c>
      <c r="D450" s="285">
        <v>2.3011346608896255</v>
      </c>
      <c r="E450" s="285">
        <v>-17.485209696087832</v>
      </c>
      <c r="H450" s="685">
        <f t="shared" si="343"/>
        <v>4.4757156385557568</v>
      </c>
      <c r="I450" s="276">
        <f t="shared" si="344"/>
        <v>-4.1216340244182055</v>
      </c>
      <c r="J450" s="276">
        <f t="shared" si="345"/>
        <v>1.3936140855969728</v>
      </c>
      <c r="K450" s="276">
        <f t="shared" si="346"/>
        <v>-1.125163814913164</v>
      </c>
      <c r="L450" s="276">
        <f t="shared" si="347"/>
        <v>-0.59945218116778076</v>
      </c>
      <c r="M450" s="276">
        <f t="shared" si="348"/>
        <v>4.8659203318312372</v>
      </c>
      <c r="N450" s="685">
        <f t="shared" si="349"/>
        <v>1.7342127119696487</v>
      </c>
      <c r="O450" s="276">
        <f t="shared" si="350"/>
        <v>1.1830659649038757</v>
      </c>
      <c r="P450" s="276">
        <f t="shared" si="351"/>
        <v>1.8720578588956733</v>
      </c>
      <c r="Q450" s="276">
        <f t="shared" si="352"/>
        <v>0.95227914703904593</v>
      </c>
      <c r="R450" s="276">
        <f t="shared" si="353"/>
        <v>1.8435626269506626</v>
      </c>
      <c r="S450" s="686">
        <f t="shared" si="354"/>
        <v>1.2620546374445214</v>
      </c>
      <c r="T450" s="685">
        <f t="shared" si="355"/>
        <v>5.5794983511605514</v>
      </c>
      <c r="U450" s="276">
        <f t="shared" si="356"/>
        <v>4.5487544749724336</v>
      </c>
      <c r="V450" s="276">
        <f t="shared" si="357"/>
        <v>3.7162493878678751</v>
      </c>
      <c r="W450" s="276">
        <f t="shared" si="358"/>
        <v>5.9061715276541946</v>
      </c>
      <c r="X450" s="276">
        <f t="shared" si="359"/>
        <v>2.2733492418771903</v>
      </c>
      <c r="Y450" s="686">
        <f t="shared" si="360"/>
        <v>6.7054256796503129</v>
      </c>
      <c r="Z450" s="685" t="e">
        <f t="shared" si="361"/>
        <v>#DIV/0!</v>
      </c>
      <c r="AA450" s="276" t="e">
        <f t="shared" si="362"/>
        <v>#DIV/0!</v>
      </c>
      <c r="AB450" s="276" t="e">
        <f t="shared" si="363"/>
        <v>#DIV/0!</v>
      </c>
      <c r="AC450" s="276" t="e">
        <f t="shared" si="364"/>
        <v>#DIV/0!</v>
      </c>
      <c r="AD450" s="276" t="e">
        <f t="shared" si="365"/>
        <v>#DIV/0!</v>
      </c>
      <c r="AE450" s="686" t="e">
        <f t="shared" si="366"/>
        <v>#DIV/0!</v>
      </c>
      <c r="AF450" s="239"/>
      <c r="AG450" s="965" t="e">
        <f t="shared" si="337"/>
        <v>#VALUE!</v>
      </c>
      <c r="AH450" s="878" t="e">
        <f t="shared" si="338"/>
        <v>#VALUE!</v>
      </c>
      <c r="AI450" s="878" t="e">
        <f t="shared" si="339"/>
        <v>#VALUE!</v>
      </c>
      <c r="AJ450" s="878" t="e">
        <f t="shared" si="340"/>
        <v>#VALUE!</v>
      </c>
      <c r="AK450" s="878" t="e">
        <f t="shared" si="341"/>
        <v>#VALUE!</v>
      </c>
      <c r="AL450" s="966" t="e">
        <f t="shared" si="342"/>
        <v>#VALUE!</v>
      </c>
      <c r="AM450" s="239"/>
      <c r="AO450" s="685">
        <f t="shared" si="367"/>
        <v>4.4757156385557568</v>
      </c>
      <c r="AP450" s="276">
        <f t="shared" si="368"/>
        <v>-4.1216340244182055</v>
      </c>
      <c r="AQ450" s="276">
        <f t="shared" si="369"/>
        <v>1.3936140855969728</v>
      </c>
      <c r="AR450" s="276">
        <f t="shared" si="370"/>
        <v>-1.125163814913164</v>
      </c>
      <c r="AS450" s="276">
        <f t="shared" si="371"/>
        <v>-0.59945218116778076</v>
      </c>
      <c r="AT450" s="276">
        <f t="shared" si="372"/>
        <v>4.8659203318312372</v>
      </c>
      <c r="AU450" s="685">
        <f t="shared" si="373"/>
        <v>1.7342127119696487</v>
      </c>
      <c r="AV450" s="276">
        <f t="shared" si="374"/>
        <v>1.1830659649038757</v>
      </c>
      <c r="AW450" s="276">
        <f t="shared" si="375"/>
        <v>1.8720578588956733</v>
      </c>
      <c r="AX450" s="276">
        <f t="shared" si="376"/>
        <v>0.95227914703904593</v>
      </c>
      <c r="AY450" s="276">
        <f t="shared" si="377"/>
        <v>1.8435626269506626</v>
      </c>
      <c r="AZ450" s="686">
        <f t="shared" si="378"/>
        <v>1.2620546374445214</v>
      </c>
      <c r="BA450" s="685">
        <f t="shared" si="379"/>
        <v>0</v>
      </c>
      <c r="BB450" s="276">
        <f t="shared" si="380"/>
        <v>0</v>
      </c>
      <c r="BC450" s="276">
        <f t="shared" si="381"/>
        <v>0</v>
      </c>
      <c r="BD450" s="276">
        <f t="shared" si="382"/>
        <v>0</v>
      </c>
      <c r="BE450" s="276">
        <f t="shared" si="383"/>
        <v>0</v>
      </c>
      <c r="BF450" s="686">
        <f t="shared" si="384"/>
        <v>0</v>
      </c>
      <c r="BG450" s="685" t="e">
        <f t="shared" si="385"/>
        <v>#DIV/0!</v>
      </c>
      <c r="BH450" s="276" t="e">
        <f t="shared" si="386"/>
        <v>#DIV/0!</v>
      </c>
      <c r="BI450" s="276" t="e">
        <f t="shared" si="387"/>
        <v>#DIV/0!</v>
      </c>
      <c r="BJ450" s="276" t="e">
        <f t="shared" si="388"/>
        <v>#DIV/0!</v>
      </c>
      <c r="BK450" s="276" t="e">
        <f t="shared" si="389"/>
        <v>#DIV/0!</v>
      </c>
      <c r="BL450" s="686" t="e">
        <f t="shared" si="390"/>
        <v>#DIV/0!</v>
      </c>
      <c r="BM450" s="239"/>
      <c r="BN450" s="965" t="e">
        <f t="shared" si="391"/>
        <v>#VALUE!</v>
      </c>
      <c r="BO450" s="878" t="e">
        <f t="shared" si="392"/>
        <v>#VALUE!</v>
      </c>
      <c r="BP450" s="878" t="e">
        <f t="shared" si="393"/>
        <v>#VALUE!</v>
      </c>
      <c r="BQ450" s="878" t="e">
        <f t="shared" si="394"/>
        <v>#VALUE!</v>
      </c>
      <c r="BR450" s="878" t="e">
        <f t="shared" si="395"/>
        <v>#VALUE!</v>
      </c>
      <c r="BS450" s="966" t="e">
        <f t="shared" si="396"/>
        <v>#VALUE!</v>
      </c>
    </row>
    <row r="451" spans="1:71">
      <c r="A451" s="284">
        <f t="shared" si="397"/>
        <v>383</v>
      </c>
      <c r="B451" s="285">
        <v>-2.3407210385349884</v>
      </c>
      <c r="C451" s="285">
        <v>1.818854462162375</v>
      </c>
      <c r="D451" s="285">
        <v>1.0365909266959756</v>
      </c>
      <c r="E451" s="285">
        <v>-4.5594279184944373</v>
      </c>
      <c r="H451" s="685">
        <f t="shared" si="343"/>
        <v>-3.473954880304043</v>
      </c>
      <c r="I451" s="276">
        <f t="shared" si="344"/>
        <v>0.47470463536446772</v>
      </c>
      <c r="J451" s="276">
        <f t="shared" si="345"/>
        <v>1.8644665758632162</v>
      </c>
      <c r="K451" s="276">
        <f t="shared" si="346"/>
        <v>-2.4254884599458055</v>
      </c>
      <c r="L451" s="276">
        <f t="shared" si="347"/>
        <v>1.7547398481304175</v>
      </c>
      <c r="M451" s="276">
        <f t="shared" si="348"/>
        <v>-1.658040726283406</v>
      </c>
      <c r="N451" s="685">
        <f t="shared" si="349"/>
        <v>0.61168325119050659</v>
      </c>
      <c r="O451" s="276">
        <f t="shared" si="350"/>
        <v>1.9708078226601444</v>
      </c>
      <c r="P451" s="276">
        <f t="shared" si="351"/>
        <v>1.0993627439114622</v>
      </c>
      <c r="Q451" s="276">
        <f t="shared" si="352"/>
        <v>0.72428226264900819</v>
      </c>
      <c r="R451" s="276">
        <f t="shared" si="353"/>
        <v>2.1376632997159133</v>
      </c>
      <c r="S451" s="686">
        <f t="shared" si="354"/>
        <v>1.8054917770221126</v>
      </c>
      <c r="T451" s="685">
        <f t="shared" si="355"/>
        <v>4.3149546169669017</v>
      </c>
      <c r="U451" s="276">
        <f t="shared" si="356"/>
        <v>5.358162405684368</v>
      </c>
      <c r="V451" s="276">
        <f t="shared" si="357"/>
        <v>6.0489414974978573</v>
      </c>
      <c r="W451" s="276">
        <f t="shared" si="358"/>
        <v>6.1377495908567425</v>
      </c>
      <c r="X451" s="276">
        <f t="shared" si="359"/>
        <v>3.2943532845653314</v>
      </c>
      <c r="Y451" s="686">
        <f t="shared" si="360"/>
        <v>5.213356573897256</v>
      </c>
      <c r="Z451" s="685" t="e">
        <f t="shared" si="361"/>
        <v>#DIV/0!</v>
      </c>
      <c r="AA451" s="276" t="e">
        <f t="shared" si="362"/>
        <v>#DIV/0!</v>
      </c>
      <c r="AB451" s="276" t="e">
        <f t="shared" si="363"/>
        <v>#DIV/0!</v>
      </c>
      <c r="AC451" s="276" t="e">
        <f t="shared" si="364"/>
        <v>#DIV/0!</v>
      </c>
      <c r="AD451" s="276" t="e">
        <f t="shared" si="365"/>
        <v>#DIV/0!</v>
      </c>
      <c r="AE451" s="686" t="e">
        <f t="shared" si="366"/>
        <v>#DIV/0!</v>
      </c>
      <c r="AF451" s="239"/>
      <c r="AG451" s="965" t="e">
        <f t="shared" si="337"/>
        <v>#VALUE!</v>
      </c>
      <c r="AH451" s="878" t="e">
        <f t="shared" si="338"/>
        <v>#VALUE!</v>
      </c>
      <c r="AI451" s="878" t="e">
        <f t="shared" si="339"/>
        <v>#VALUE!</v>
      </c>
      <c r="AJ451" s="878" t="e">
        <f t="shared" si="340"/>
        <v>#VALUE!</v>
      </c>
      <c r="AK451" s="878" t="e">
        <f t="shared" si="341"/>
        <v>#VALUE!</v>
      </c>
      <c r="AL451" s="966" t="e">
        <f t="shared" si="342"/>
        <v>#VALUE!</v>
      </c>
      <c r="AM451" s="239"/>
      <c r="AO451" s="685">
        <f t="shared" si="367"/>
        <v>-3.473954880304043</v>
      </c>
      <c r="AP451" s="276">
        <f t="shared" si="368"/>
        <v>0.47470463536446772</v>
      </c>
      <c r="AQ451" s="276">
        <f t="shared" si="369"/>
        <v>1.8644665758632162</v>
      </c>
      <c r="AR451" s="276">
        <f t="shared" si="370"/>
        <v>-2.4254884599458055</v>
      </c>
      <c r="AS451" s="276">
        <f t="shared" si="371"/>
        <v>1.7547398481304175</v>
      </c>
      <c r="AT451" s="276">
        <f t="shared" si="372"/>
        <v>-1.658040726283406</v>
      </c>
      <c r="AU451" s="685">
        <f t="shared" si="373"/>
        <v>0.61168325119050659</v>
      </c>
      <c r="AV451" s="276">
        <f t="shared" si="374"/>
        <v>1.9708078226601444</v>
      </c>
      <c r="AW451" s="276">
        <f t="shared" si="375"/>
        <v>1.0993627439114622</v>
      </c>
      <c r="AX451" s="276">
        <f t="shared" si="376"/>
        <v>0.72428226264900819</v>
      </c>
      <c r="AY451" s="276">
        <f t="shared" si="377"/>
        <v>2.1376632997159133</v>
      </c>
      <c r="AZ451" s="686">
        <f t="shared" si="378"/>
        <v>1.8054917770221126</v>
      </c>
      <c r="BA451" s="685">
        <f t="shared" si="379"/>
        <v>0</v>
      </c>
      <c r="BB451" s="276">
        <f t="shared" si="380"/>
        <v>0</v>
      </c>
      <c r="BC451" s="276">
        <f t="shared" si="381"/>
        <v>0</v>
      </c>
      <c r="BD451" s="276">
        <f t="shared" si="382"/>
        <v>0</v>
      </c>
      <c r="BE451" s="276">
        <f t="shared" si="383"/>
        <v>0</v>
      </c>
      <c r="BF451" s="686">
        <f t="shared" si="384"/>
        <v>0</v>
      </c>
      <c r="BG451" s="685" t="e">
        <f t="shared" si="385"/>
        <v>#DIV/0!</v>
      </c>
      <c r="BH451" s="276" t="e">
        <f t="shared" si="386"/>
        <v>#DIV/0!</v>
      </c>
      <c r="BI451" s="276" t="e">
        <f t="shared" si="387"/>
        <v>#DIV/0!</v>
      </c>
      <c r="BJ451" s="276" t="e">
        <f t="shared" si="388"/>
        <v>#DIV/0!</v>
      </c>
      <c r="BK451" s="276" t="e">
        <f t="shared" si="389"/>
        <v>#DIV/0!</v>
      </c>
      <c r="BL451" s="686" t="e">
        <f t="shared" si="390"/>
        <v>#DIV/0!</v>
      </c>
      <c r="BM451" s="239"/>
      <c r="BN451" s="965" t="e">
        <f t="shared" si="391"/>
        <v>#VALUE!</v>
      </c>
      <c r="BO451" s="878" t="e">
        <f t="shared" si="392"/>
        <v>#VALUE!</v>
      </c>
      <c r="BP451" s="878" t="e">
        <f t="shared" si="393"/>
        <v>#VALUE!</v>
      </c>
      <c r="BQ451" s="878" t="e">
        <f t="shared" si="394"/>
        <v>#VALUE!</v>
      </c>
      <c r="BR451" s="878" t="e">
        <f t="shared" si="395"/>
        <v>#VALUE!</v>
      </c>
      <c r="BS451" s="966" t="e">
        <f t="shared" si="396"/>
        <v>#VALUE!</v>
      </c>
    </row>
    <row r="452" spans="1:71">
      <c r="A452" s="284">
        <f t="shared" si="397"/>
        <v>384</v>
      </c>
      <c r="B452" s="285">
        <v>-0.56983280508208034</v>
      </c>
      <c r="C452" s="285">
        <v>2.1654245816856452</v>
      </c>
      <c r="D452" s="285">
        <v>2.7900648762881675</v>
      </c>
      <c r="E452" s="285">
        <v>-1.7361438748207934</v>
      </c>
      <c r="H452" s="685">
        <f t="shared" si="343"/>
        <v>-1.7030666468511351</v>
      </c>
      <c r="I452" s="276">
        <f t="shared" si="344"/>
        <v>1.2396491485896781</v>
      </c>
      <c r="J452" s="276">
        <f t="shared" si="345"/>
        <v>-3.091655563969915</v>
      </c>
      <c r="K452" s="276">
        <f t="shared" si="346"/>
        <v>-4.2206849636151453</v>
      </c>
      <c r="L452" s="276">
        <f t="shared" si="347"/>
        <v>-2.1322770612791775</v>
      </c>
      <c r="M452" s="276">
        <f t="shared" si="348"/>
        <v>1.1151715363236738</v>
      </c>
      <c r="N452" s="685">
        <f t="shared" si="349"/>
        <v>0.95825337071377681</v>
      </c>
      <c r="O452" s="276">
        <f t="shared" si="350"/>
        <v>1.3056215467733077</v>
      </c>
      <c r="P452" s="276">
        <f t="shared" si="351"/>
        <v>0.8083463422694519</v>
      </c>
      <c r="Q452" s="276">
        <f t="shared" si="352"/>
        <v>1.715690102699911</v>
      </c>
      <c r="R452" s="276">
        <f t="shared" si="353"/>
        <v>1.6866398308949309</v>
      </c>
      <c r="S452" s="686">
        <f t="shared" si="354"/>
        <v>1.6031655426762492</v>
      </c>
      <c r="T452" s="685">
        <f t="shared" si="355"/>
        <v>6.0684285665590938</v>
      </c>
      <c r="U452" s="276">
        <f t="shared" si="356"/>
        <v>4.8977704175047414</v>
      </c>
      <c r="V452" s="276">
        <f t="shared" si="357"/>
        <v>5.022646460732525</v>
      </c>
      <c r="W452" s="276">
        <f t="shared" si="358"/>
        <v>1.4751358299415536</v>
      </c>
      <c r="X452" s="276">
        <f t="shared" si="359"/>
        <v>4.3444359861876922</v>
      </c>
      <c r="Y452" s="686">
        <f t="shared" si="360"/>
        <v>4.5614286501324415</v>
      </c>
      <c r="Z452" s="685" t="e">
        <f t="shared" si="361"/>
        <v>#DIV/0!</v>
      </c>
      <c r="AA452" s="276" t="e">
        <f t="shared" si="362"/>
        <v>#DIV/0!</v>
      </c>
      <c r="AB452" s="276" t="e">
        <f t="shared" si="363"/>
        <v>#DIV/0!</v>
      </c>
      <c r="AC452" s="276" t="e">
        <f t="shared" si="364"/>
        <v>#DIV/0!</v>
      </c>
      <c r="AD452" s="276" t="e">
        <f t="shared" si="365"/>
        <v>#DIV/0!</v>
      </c>
      <c r="AE452" s="686" t="e">
        <f t="shared" si="366"/>
        <v>#DIV/0!</v>
      </c>
      <c r="AF452" s="239"/>
      <c r="AG452" s="965" t="e">
        <f t="shared" si="337"/>
        <v>#VALUE!</v>
      </c>
      <c r="AH452" s="878" t="e">
        <f t="shared" si="338"/>
        <v>#VALUE!</v>
      </c>
      <c r="AI452" s="878" t="e">
        <f t="shared" si="339"/>
        <v>#VALUE!</v>
      </c>
      <c r="AJ452" s="878" t="e">
        <f t="shared" si="340"/>
        <v>#VALUE!</v>
      </c>
      <c r="AK452" s="878" t="e">
        <f t="shared" si="341"/>
        <v>#VALUE!</v>
      </c>
      <c r="AL452" s="966" t="e">
        <f t="shared" si="342"/>
        <v>#VALUE!</v>
      </c>
      <c r="AM452" s="239"/>
      <c r="AO452" s="685">
        <f t="shared" si="367"/>
        <v>-1.7030666468511351</v>
      </c>
      <c r="AP452" s="276">
        <f t="shared" si="368"/>
        <v>1.2396491485896781</v>
      </c>
      <c r="AQ452" s="276">
        <f t="shared" si="369"/>
        <v>-3.091655563969915</v>
      </c>
      <c r="AR452" s="276">
        <f t="shared" si="370"/>
        <v>-4.2206849636151453</v>
      </c>
      <c r="AS452" s="276">
        <f t="shared" si="371"/>
        <v>-2.1322770612791775</v>
      </c>
      <c r="AT452" s="276">
        <f t="shared" si="372"/>
        <v>1.1151715363236738</v>
      </c>
      <c r="AU452" s="685">
        <f t="shared" si="373"/>
        <v>0.95825337071377681</v>
      </c>
      <c r="AV452" s="276">
        <f t="shared" si="374"/>
        <v>1.3056215467733077</v>
      </c>
      <c r="AW452" s="276">
        <f t="shared" si="375"/>
        <v>0.8083463422694519</v>
      </c>
      <c r="AX452" s="276">
        <f t="shared" si="376"/>
        <v>1.715690102699911</v>
      </c>
      <c r="AY452" s="276">
        <f t="shared" si="377"/>
        <v>1.6866398308949309</v>
      </c>
      <c r="AZ452" s="686">
        <f t="shared" si="378"/>
        <v>1.6031655426762492</v>
      </c>
      <c r="BA452" s="685">
        <f t="shared" si="379"/>
        <v>0</v>
      </c>
      <c r="BB452" s="276">
        <f t="shared" si="380"/>
        <v>0</v>
      </c>
      <c r="BC452" s="276">
        <f t="shared" si="381"/>
        <v>0</v>
      </c>
      <c r="BD452" s="276">
        <f t="shared" si="382"/>
        <v>0</v>
      </c>
      <c r="BE452" s="276">
        <f t="shared" si="383"/>
        <v>0</v>
      </c>
      <c r="BF452" s="686">
        <f t="shared" si="384"/>
        <v>0</v>
      </c>
      <c r="BG452" s="685" t="e">
        <f t="shared" si="385"/>
        <v>#DIV/0!</v>
      </c>
      <c r="BH452" s="276" t="e">
        <f t="shared" si="386"/>
        <v>#DIV/0!</v>
      </c>
      <c r="BI452" s="276" t="e">
        <f t="shared" si="387"/>
        <v>#DIV/0!</v>
      </c>
      <c r="BJ452" s="276" t="e">
        <f t="shared" si="388"/>
        <v>#DIV/0!</v>
      </c>
      <c r="BK452" s="276" t="e">
        <f t="shared" si="389"/>
        <v>#DIV/0!</v>
      </c>
      <c r="BL452" s="686" t="e">
        <f t="shared" si="390"/>
        <v>#DIV/0!</v>
      </c>
      <c r="BM452" s="239"/>
      <c r="BN452" s="965" t="e">
        <f t="shared" si="391"/>
        <v>#VALUE!</v>
      </c>
      <c r="BO452" s="878" t="e">
        <f t="shared" si="392"/>
        <v>#VALUE!</v>
      </c>
      <c r="BP452" s="878" t="e">
        <f t="shared" si="393"/>
        <v>#VALUE!</v>
      </c>
      <c r="BQ452" s="878" t="e">
        <f t="shared" si="394"/>
        <v>#VALUE!</v>
      </c>
      <c r="BR452" s="878" t="e">
        <f t="shared" si="395"/>
        <v>#VALUE!</v>
      </c>
      <c r="BS452" s="966" t="e">
        <f t="shared" si="396"/>
        <v>#VALUE!</v>
      </c>
    </row>
    <row r="453" spans="1:71">
      <c r="A453" s="284">
        <f t="shared" si="397"/>
        <v>385</v>
      </c>
      <c r="B453" s="285">
        <v>3.2894820579177506</v>
      </c>
      <c r="C453" s="285">
        <v>2.6438195793801631</v>
      </c>
      <c r="D453" s="285">
        <v>1.1280828587940559</v>
      </c>
      <c r="E453" s="285">
        <v>-5.0604084036045496</v>
      </c>
      <c r="H453" s="685">
        <f t="shared" si="343"/>
        <v>2.156248216148696</v>
      </c>
      <c r="I453" s="276">
        <f t="shared" si="344"/>
        <v>-0.23784666645223107</v>
      </c>
      <c r="J453" s="276">
        <f t="shared" si="345"/>
        <v>1.9932693778882336</v>
      </c>
      <c r="K453" s="276">
        <f t="shared" si="346"/>
        <v>-3.8049037000932877</v>
      </c>
      <c r="L453" s="276">
        <f t="shared" si="347"/>
        <v>0.38832131381749813</v>
      </c>
      <c r="M453" s="276">
        <f t="shared" si="348"/>
        <v>0.92891750083417146</v>
      </c>
      <c r="N453" s="685">
        <f t="shared" si="349"/>
        <v>1.4366483684082947</v>
      </c>
      <c r="O453" s="276">
        <f t="shared" si="350"/>
        <v>1.177279249873237</v>
      </c>
      <c r="P453" s="276">
        <f t="shared" si="351"/>
        <v>2.124435064156299</v>
      </c>
      <c r="Q453" s="276">
        <f t="shared" si="352"/>
        <v>1.1720534660759425</v>
      </c>
      <c r="R453" s="276">
        <f t="shared" si="353"/>
        <v>1.2432898122284544</v>
      </c>
      <c r="S453" s="686">
        <f t="shared" si="354"/>
        <v>1.5357923373888538</v>
      </c>
      <c r="T453" s="685">
        <f t="shared" si="355"/>
        <v>4.4064465490649818</v>
      </c>
      <c r="U453" s="276">
        <f t="shared" si="356"/>
        <v>4.0396655142019604</v>
      </c>
      <c r="V453" s="276">
        <f t="shared" si="357"/>
        <v>3.6052840791907825</v>
      </c>
      <c r="W453" s="276">
        <f t="shared" si="358"/>
        <v>3.5289591628200201</v>
      </c>
      <c r="X453" s="276">
        <f t="shared" si="359"/>
        <v>4.146657383200437</v>
      </c>
      <c r="Y453" s="686">
        <f t="shared" si="360"/>
        <v>5.4046465790747344</v>
      </c>
      <c r="Z453" s="685" t="e">
        <f t="shared" si="361"/>
        <v>#DIV/0!</v>
      </c>
      <c r="AA453" s="276" t="e">
        <f t="shared" si="362"/>
        <v>#DIV/0!</v>
      </c>
      <c r="AB453" s="276" t="e">
        <f t="shared" si="363"/>
        <v>#DIV/0!</v>
      </c>
      <c r="AC453" s="276" t="e">
        <f t="shared" si="364"/>
        <v>#DIV/0!</v>
      </c>
      <c r="AD453" s="276" t="e">
        <f t="shared" si="365"/>
        <v>#DIV/0!</v>
      </c>
      <c r="AE453" s="686" t="e">
        <f t="shared" si="366"/>
        <v>#DIV/0!</v>
      </c>
      <c r="AF453" s="239"/>
      <c r="AG453" s="965" t="e">
        <f t="shared" ref="AG453:AG516" si="398">S$53*(1+(T$55+N453)/100)*((1-S$62)+S$62*((1+(T$57+Z453)/100)))/(1+(T$54+H453)/100)-(T$56+T453)+T$58</f>
        <v>#VALUE!</v>
      </c>
      <c r="AH453" s="878" t="e">
        <f t="shared" ref="AH453:AH516" si="399">AG453*(1+(U$55+O453)/100)*((1-T$62)+T$62*((1+(U$57+AA453)/100)))/(1+(U$54+I453)/100)-(U$56+U453)+U$58</f>
        <v>#VALUE!</v>
      </c>
      <c r="AI453" s="878" t="e">
        <f t="shared" ref="AI453:AI516" si="400">AH453*(1+(V$55+P453)/100)*((1-U$62)+U$62*((1+(V$57+AB453)/100)))/(1+(V$54+J453)/100)-(V$56+V453)+V$58</f>
        <v>#VALUE!</v>
      </c>
      <c r="AJ453" s="878" t="e">
        <f t="shared" ref="AJ453:AJ516" si="401">AI453*(1+(W$55+Q453)/100)*((1-V$62)+V$62*((1+(W$57+AC453)/100)))/(1+(W$54+K453)/100)-(W$56+W453)+W$58</f>
        <v>#VALUE!</v>
      </c>
      <c r="AK453" s="878" t="e">
        <f t="shared" ref="AK453:AK516" si="402">AJ453*(1+(X$55+R453)/100)*((1-W$62)+W$62*((1+(X$57+AD453)/100)))/(1+(X$54+L453)/100)-(X$56+X453)+X$58</f>
        <v>#VALUE!</v>
      </c>
      <c r="AL453" s="966" t="e">
        <f t="shared" ref="AL453:AL516" si="403">AK453*(1+(Y$55+S453)/100)*((1-X$62)+X$62*((1+(Y$57+AE453)/100)))/(1+(Y$54+M453)/100)-(Y$56+Y453)+Y$58</f>
        <v>#VALUE!</v>
      </c>
      <c r="AM453" s="239"/>
      <c r="AO453" s="685">
        <f t="shared" si="367"/>
        <v>2.156248216148696</v>
      </c>
      <c r="AP453" s="276">
        <f t="shared" si="368"/>
        <v>-0.23784666645223107</v>
      </c>
      <c r="AQ453" s="276">
        <f t="shared" si="369"/>
        <v>1.9932693778882336</v>
      </c>
      <c r="AR453" s="276">
        <f t="shared" si="370"/>
        <v>-3.8049037000932877</v>
      </c>
      <c r="AS453" s="276">
        <f t="shared" si="371"/>
        <v>0.38832131381749813</v>
      </c>
      <c r="AT453" s="276">
        <f t="shared" si="372"/>
        <v>0.92891750083417146</v>
      </c>
      <c r="AU453" s="685">
        <f t="shared" si="373"/>
        <v>1.4366483684082947</v>
      </c>
      <c r="AV453" s="276">
        <f t="shared" si="374"/>
        <v>1.177279249873237</v>
      </c>
      <c r="AW453" s="276">
        <f t="shared" si="375"/>
        <v>2.124435064156299</v>
      </c>
      <c r="AX453" s="276">
        <f t="shared" si="376"/>
        <v>1.1720534660759425</v>
      </c>
      <c r="AY453" s="276">
        <f t="shared" si="377"/>
        <v>1.2432898122284544</v>
      </c>
      <c r="AZ453" s="686">
        <f t="shared" si="378"/>
        <v>1.5357923373888538</v>
      </c>
      <c r="BA453" s="685">
        <f t="shared" si="379"/>
        <v>0</v>
      </c>
      <c r="BB453" s="276">
        <f t="shared" si="380"/>
        <v>0</v>
      </c>
      <c r="BC453" s="276">
        <f t="shared" si="381"/>
        <v>0</v>
      </c>
      <c r="BD453" s="276">
        <f t="shared" si="382"/>
        <v>0</v>
      </c>
      <c r="BE453" s="276">
        <f t="shared" si="383"/>
        <v>0</v>
      </c>
      <c r="BF453" s="686">
        <f t="shared" si="384"/>
        <v>0</v>
      </c>
      <c r="BG453" s="685" t="e">
        <f t="shared" si="385"/>
        <v>#DIV/0!</v>
      </c>
      <c r="BH453" s="276" t="e">
        <f t="shared" si="386"/>
        <v>#DIV/0!</v>
      </c>
      <c r="BI453" s="276" t="e">
        <f t="shared" si="387"/>
        <v>#DIV/0!</v>
      </c>
      <c r="BJ453" s="276" t="e">
        <f t="shared" si="388"/>
        <v>#DIV/0!</v>
      </c>
      <c r="BK453" s="276" t="e">
        <f t="shared" si="389"/>
        <v>#DIV/0!</v>
      </c>
      <c r="BL453" s="686" t="e">
        <f t="shared" si="390"/>
        <v>#DIV/0!</v>
      </c>
      <c r="BM453" s="239"/>
      <c r="BN453" s="965" t="e">
        <f t="shared" si="391"/>
        <v>#VALUE!</v>
      </c>
      <c r="BO453" s="878" t="e">
        <f t="shared" si="392"/>
        <v>#VALUE!</v>
      </c>
      <c r="BP453" s="878" t="e">
        <f t="shared" si="393"/>
        <v>#VALUE!</v>
      </c>
      <c r="BQ453" s="878" t="e">
        <f t="shared" si="394"/>
        <v>#VALUE!</v>
      </c>
      <c r="BR453" s="878" t="e">
        <f t="shared" si="395"/>
        <v>#VALUE!</v>
      </c>
      <c r="BS453" s="966" t="e">
        <f t="shared" si="396"/>
        <v>#VALUE!</v>
      </c>
    </row>
    <row r="454" spans="1:71">
      <c r="A454" s="284">
        <f t="shared" si="397"/>
        <v>386</v>
      </c>
      <c r="B454" s="285">
        <v>3.208255644936254</v>
      </c>
      <c r="C454" s="285">
        <v>2.9001081232680401</v>
      </c>
      <c r="D454" s="285">
        <v>1.6070480561442944</v>
      </c>
      <c r="E454" s="285">
        <v>7.1661331553677545</v>
      </c>
      <c r="H454" s="685">
        <f t="shared" ref="H454:H517" si="404">IF($B$42="On",$B454-$D$15,0)</f>
        <v>2.075021803167199</v>
      </c>
      <c r="I454" s="276">
        <f t="shared" ref="I454:I517" si="405">IF($B$42="On",$B1454-$D$15,0)</f>
        <v>2.5772163717413674</v>
      </c>
      <c r="J454" s="276">
        <f t="shared" ref="J454:J517" si="406">IF($B$42="On",$B2454-$D$15,0)</f>
        <v>-2.6379240614498594</v>
      </c>
      <c r="K454" s="276">
        <f t="shared" ref="K454:K517" si="407">IF($B$42="On",$B3454-$D$15,0)</f>
        <v>-2.580859035254508</v>
      </c>
      <c r="L454" s="276">
        <f t="shared" ref="L454:L517" si="408">IF($B$42="On",$B4454-$D$15,0)</f>
        <v>-3.0528750023154121</v>
      </c>
      <c r="M454" s="276">
        <f t="shared" ref="M454:M517" si="409">IF($B$42="On",$B5454-$D$15,0)</f>
        <v>3.6897195005720471</v>
      </c>
      <c r="N454" s="685">
        <f t="shared" ref="N454:N517" si="410">IF($B$43="On",$C454-$D$16,0)</f>
        <v>1.6929369122961717</v>
      </c>
      <c r="O454" s="276">
        <f t="shared" ref="O454:O517" si="411">IF($B$43="On",$C1454-$D$16,0)</f>
        <v>0.79792390559627679</v>
      </c>
      <c r="P454" s="276">
        <f t="shared" ref="P454:P517" si="412">IF($B$43="On",$C2454-$D$16,0)</f>
        <v>1.8828130465259505</v>
      </c>
      <c r="Q454" s="276">
        <f t="shared" ref="Q454:Q517" si="413">IF($B$43="On",$C3454-$D$16,0)</f>
        <v>1.510515445537618</v>
      </c>
      <c r="R454" s="276">
        <f t="shared" ref="R454:R517" si="414">IF($B$43="On",$C4454-$D$16,0)</f>
        <v>1.1333599035965516</v>
      </c>
      <c r="S454" s="686">
        <f t="shared" ref="S454:S517" si="415">IF($B$43="On",$C5454-$D$16,0)</f>
        <v>2.410471707985363</v>
      </c>
      <c r="T454" s="685">
        <f t="shared" ref="T454:T517" si="416">IF($B$44="On",$D454-$D$17,0)</f>
        <v>4.8854117464152207</v>
      </c>
      <c r="U454" s="276">
        <f t="shared" ref="U454:U517" si="417">IF($B$44="On",$D1454-$D$17,0)</f>
        <v>6.7543584508413845</v>
      </c>
      <c r="V454" s="276">
        <f t="shared" ref="V454:V517" si="418">IF($B$44="On",$D2454-$D$17,0)</f>
        <v>4.0309335672515951</v>
      </c>
      <c r="W454" s="276">
        <f t="shared" ref="W454:W517" si="419">IF($B$44="On",$D3454-$D$17,0)</f>
        <v>3.9591001587655872</v>
      </c>
      <c r="X454" s="276">
        <f t="shared" ref="X454:X517" si="420">IF($B$44="On",$D4454-$D$17,0)</f>
        <v>3.8263148364740833</v>
      </c>
      <c r="Y454" s="686">
        <f t="shared" ref="Y454:Y517" si="421">IF($B$44="On",$D5454-$D$17,0)</f>
        <v>5.2246523437876897</v>
      </c>
      <c r="Z454" s="685" t="e">
        <f t="shared" ref="Z454:Z517" si="422">IF($B$45="On",$E454-$D$18,0)</f>
        <v>#DIV/0!</v>
      </c>
      <c r="AA454" s="276" t="e">
        <f t="shared" ref="AA454:AA517" si="423">IF($B$45="On",$E1454-$D$18,0)</f>
        <v>#DIV/0!</v>
      </c>
      <c r="AB454" s="276" t="e">
        <f t="shared" ref="AB454:AB517" si="424">IF($B$45="On",$E2454-$D$18,0)</f>
        <v>#DIV/0!</v>
      </c>
      <c r="AC454" s="276" t="e">
        <f t="shared" ref="AC454:AC517" si="425">IF($B$45="On",$E3454-$D$18,0)</f>
        <v>#DIV/0!</v>
      </c>
      <c r="AD454" s="276" t="e">
        <f t="shared" ref="AD454:AD517" si="426">IF($B$45="On",$E4454-$D$18,0)</f>
        <v>#DIV/0!</v>
      </c>
      <c r="AE454" s="686" t="e">
        <f t="shared" ref="AE454:AE517" si="427">IF($B$45="On",$E5454-$D$18,0)</f>
        <v>#DIV/0!</v>
      </c>
      <c r="AF454" s="239"/>
      <c r="AG454" s="965" t="e">
        <f t="shared" si="398"/>
        <v>#VALUE!</v>
      </c>
      <c r="AH454" s="878" t="e">
        <f t="shared" si="399"/>
        <v>#VALUE!</v>
      </c>
      <c r="AI454" s="878" t="e">
        <f t="shared" si="400"/>
        <v>#VALUE!</v>
      </c>
      <c r="AJ454" s="878" t="e">
        <f t="shared" si="401"/>
        <v>#VALUE!</v>
      </c>
      <c r="AK454" s="878" t="e">
        <f t="shared" si="402"/>
        <v>#VALUE!</v>
      </c>
      <c r="AL454" s="966" t="e">
        <f t="shared" si="403"/>
        <v>#VALUE!</v>
      </c>
      <c r="AM454" s="239"/>
      <c r="AO454" s="685">
        <f t="shared" ref="AO454:AO517" si="428">IF($B$42="On",MIN($B454-$D$15,$D$42),0)</f>
        <v>2.075021803167199</v>
      </c>
      <c r="AP454" s="276">
        <f t="shared" ref="AP454:AP517" si="429">IF($B$42="On",MIN($B1454-$D$15,$D$42),0)</f>
        <v>2.5772163717413674</v>
      </c>
      <c r="AQ454" s="276">
        <f t="shared" ref="AQ454:AQ517" si="430">IF($B$42="On",MIN($B2454-$D$15,$D$42),0)</f>
        <v>-2.6379240614498594</v>
      </c>
      <c r="AR454" s="276">
        <f t="shared" ref="AR454:AR517" si="431">IF($B$42="On",MIN($B3454-$D$15,$D$42),0)</f>
        <v>-2.580859035254508</v>
      </c>
      <c r="AS454" s="276">
        <f t="shared" ref="AS454:AS517" si="432">IF($B$42="On",MIN($B4454-$D$15,$D$42),0)</f>
        <v>-3.0528750023154121</v>
      </c>
      <c r="AT454" s="276">
        <f t="shared" ref="AT454:AT517" si="433">IF($B$42="On",MIN($B5454-$D$15,$D$42),0)</f>
        <v>3.6897195005720471</v>
      </c>
      <c r="AU454" s="685">
        <f t="shared" ref="AU454:AU517" si="434">IF($B$43="On",MAX($C454-$D$16,$D$43),0)</f>
        <v>1.6929369122961717</v>
      </c>
      <c r="AV454" s="276">
        <f t="shared" ref="AV454:AV517" si="435">IF($B$43="On",MAX($C1454-$D$16,$D$43),0)</f>
        <v>0.79792390559627679</v>
      </c>
      <c r="AW454" s="276">
        <f t="shared" ref="AW454:AW517" si="436">IF($B$43="On",MAX($C2454-$D$16,$D$43),0)</f>
        <v>1.8828130465259505</v>
      </c>
      <c r="AX454" s="276">
        <f t="shared" ref="AX454:AX517" si="437">IF($B$43="On",MAX($C3454-$D$16,$D$43),0)</f>
        <v>1.510515445537618</v>
      </c>
      <c r="AY454" s="276">
        <f t="shared" ref="AY454:AY517" si="438">IF($B$43="On",MAX($C4454-$D$16,$D$43),0)</f>
        <v>1.1333599035965516</v>
      </c>
      <c r="AZ454" s="686">
        <f t="shared" ref="AZ454:AZ517" si="439">IF($B$43="On",MAX($C5454-$D$16,$D$43),0)</f>
        <v>2.410471707985363</v>
      </c>
      <c r="BA454" s="685">
        <f t="shared" ref="BA454:BA517" si="440">IF($B$44="On",MIN($D454-$D$17,$D$44),0)</f>
        <v>0</v>
      </c>
      <c r="BB454" s="276">
        <f t="shared" ref="BB454:BB517" si="441">IF($B$44="On",MIN($D1454-$D$17,$D$44),0)</f>
        <v>0</v>
      </c>
      <c r="BC454" s="276">
        <f t="shared" ref="BC454:BC517" si="442">IF($B$44="On",MIN($D2454-$D$17,$D$44),0)</f>
        <v>0</v>
      </c>
      <c r="BD454" s="276">
        <f t="shared" ref="BD454:BD517" si="443">IF($B$44="On",MIN($D3454-$D$17,$D$44),0)</f>
        <v>0</v>
      </c>
      <c r="BE454" s="276">
        <f t="shared" ref="BE454:BE517" si="444">IF($B$44="On",MIN($D4454-$D$17,$D$44),0)</f>
        <v>0</v>
      </c>
      <c r="BF454" s="686">
        <f t="shared" ref="BF454:BF517" si="445">IF($B$44="On",MIN($D5454-$D$17,$D$44),0)</f>
        <v>0</v>
      </c>
      <c r="BG454" s="685" t="e">
        <f t="shared" ref="BG454:BG517" si="446">IF($B$45="On",MAX($E454-$D$18,$D$45),0)</f>
        <v>#DIV/0!</v>
      </c>
      <c r="BH454" s="276" t="e">
        <f t="shared" ref="BH454:BH517" si="447">IF($B$45="On",MAX($E1454-$D$18,$D$45),0)</f>
        <v>#DIV/0!</v>
      </c>
      <c r="BI454" s="276" t="e">
        <f t="shared" ref="BI454:BI517" si="448">IF($B$45="On",MAX($E2454-$D$18,$D$45),0)</f>
        <v>#DIV/0!</v>
      </c>
      <c r="BJ454" s="276" t="e">
        <f t="shared" ref="BJ454:BJ517" si="449">IF($B$45="On",MAX($E3454-$D$18,$D$45),0)</f>
        <v>#DIV/0!</v>
      </c>
      <c r="BK454" s="276" t="e">
        <f t="shared" ref="BK454:BK517" si="450">IF($B$45="On",MAX($E4454-$D$18,$D$45),0)</f>
        <v>#DIV/0!</v>
      </c>
      <c r="BL454" s="686" t="e">
        <f t="shared" ref="BL454:BL517" si="451">IF($B$45="On",MAX($E5454-$D$18,$D$45),0)</f>
        <v>#DIV/0!</v>
      </c>
      <c r="BM454" s="239"/>
      <c r="BN454" s="965" t="e">
        <f t="shared" ref="BN454:BN517" si="452">S$53*(1+(T$55+AU454)/100)*((1-S$62)+S$62*((1+(T$57+BG454)/100)))/(1+(T$54+AO454)/100)-(T$56+BA454)+T$58</f>
        <v>#VALUE!</v>
      </c>
      <c r="BO454" s="878" t="e">
        <f t="shared" ref="BO454:BO517" si="453">BN454*(1+(U$55+AV454)/100)*((1-T$62)+T$62*((1+(U$57+BH454)/100)))/(1+(U$54+AP454)/100)-(U$56+BB454)+U$58</f>
        <v>#VALUE!</v>
      </c>
      <c r="BP454" s="878" t="e">
        <f t="shared" ref="BP454:BP517" si="454">BO454*(1+(V$55+AW454)/100)*((1-U$62)+U$62*((1+(V$57+BI454)/100)))/(1+(V$54+AQ454)/100)-(V$56+BC454)+V$58</f>
        <v>#VALUE!</v>
      </c>
      <c r="BQ454" s="878" t="e">
        <f t="shared" ref="BQ454:BQ517" si="455">BP454*(1+(W$55+AX454)/100)*((1-V$62)+V$62*((1+(W$57+BJ454)/100)))/(1+(W$54+AR454)/100)-(W$56+BD454)+W$58</f>
        <v>#VALUE!</v>
      </c>
      <c r="BR454" s="878" t="e">
        <f t="shared" ref="BR454:BR517" si="456">BQ454*(1+(X$55+AY454)/100)*((1-W$62)+W$62*((1+(X$57+BK454)/100)))/(1+(X$54+AS454)/100)-(X$56+BE454)+X$58</f>
        <v>#VALUE!</v>
      </c>
      <c r="BS454" s="966" t="e">
        <f t="shared" ref="BS454:BS517" si="457">BR454*(1+(Y$55+AZ454)/100)*((1-X$62)+X$62*((1+(Y$57+BL454)/100)))/(1+(Y$54+AT454)/100)-(Y$56+BF454)+Y$58</f>
        <v>#VALUE!</v>
      </c>
    </row>
    <row r="455" spans="1:71">
      <c r="A455" s="284">
        <f t="shared" ref="A455:A518" si="458">A454+1</f>
        <v>387</v>
      </c>
      <c r="B455" s="285">
        <v>0.13542876535054649</v>
      </c>
      <c r="C455" s="285">
        <v>3.0262317679153807</v>
      </c>
      <c r="D455" s="285">
        <v>0.41328606923812672</v>
      </c>
      <c r="E455" s="285">
        <v>-0.94672841135207397</v>
      </c>
      <c r="H455" s="685">
        <f t="shared" si="404"/>
        <v>-0.99780507641850835</v>
      </c>
      <c r="I455" s="276">
        <f t="shared" si="405"/>
        <v>-3.2803751568196278</v>
      </c>
      <c r="J455" s="276">
        <f t="shared" si="406"/>
        <v>0.86270628265335803</v>
      </c>
      <c r="K455" s="276">
        <f t="shared" si="407"/>
        <v>0.38452918076043408</v>
      </c>
      <c r="L455" s="276">
        <f t="shared" si="408"/>
        <v>1.2467185860431507</v>
      </c>
      <c r="M455" s="276">
        <f t="shared" si="409"/>
        <v>-3.3115322171318979</v>
      </c>
      <c r="N455" s="685">
        <f t="shared" si="410"/>
        <v>1.8190605569435123</v>
      </c>
      <c r="O455" s="276">
        <f t="shared" si="411"/>
        <v>1.0437492493362488</v>
      </c>
      <c r="P455" s="276">
        <f t="shared" si="412"/>
        <v>1.5877285188289549</v>
      </c>
      <c r="Q455" s="276">
        <f t="shared" si="413"/>
        <v>1.0136967788645308</v>
      </c>
      <c r="R455" s="276">
        <f t="shared" si="414"/>
        <v>1.9475770149300058</v>
      </c>
      <c r="S455" s="686">
        <f t="shared" si="415"/>
        <v>0.80340402081284812</v>
      </c>
      <c r="T455" s="685">
        <f t="shared" si="416"/>
        <v>3.6916497595090525</v>
      </c>
      <c r="U455" s="276">
        <f t="shared" si="417"/>
        <v>2.9761967360424477</v>
      </c>
      <c r="V455" s="276">
        <f t="shared" si="418"/>
        <v>5.3221341667309741</v>
      </c>
      <c r="W455" s="276">
        <f t="shared" si="419"/>
        <v>3.6922407456697681</v>
      </c>
      <c r="X455" s="276">
        <f t="shared" si="420"/>
        <v>2.8585393898151805</v>
      </c>
      <c r="Y455" s="686">
        <f t="shared" si="421"/>
        <v>3.0847218140080255</v>
      </c>
      <c r="Z455" s="685" t="e">
        <f t="shared" si="422"/>
        <v>#DIV/0!</v>
      </c>
      <c r="AA455" s="276" t="e">
        <f t="shared" si="423"/>
        <v>#DIV/0!</v>
      </c>
      <c r="AB455" s="276" t="e">
        <f t="shared" si="424"/>
        <v>#DIV/0!</v>
      </c>
      <c r="AC455" s="276" t="e">
        <f t="shared" si="425"/>
        <v>#DIV/0!</v>
      </c>
      <c r="AD455" s="276" t="e">
        <f t="shared" si="426"/>
        <v>#DIV/0!</v>
      </c>
      <c r="AE455" s="686" t="e">
        <f t="shared" si="427"/>
        <v>#DIV/0!</v>
      </c>
      <c r="AF455" s="239"/>
      <c r="AG455" s="965" t="e">
        <f t="shared" si="398"/>
        <v>#VALUE!</v>
      </c>
      <c r="AH455" s="878" t="e">
        <f t="shared" si="399"/>
        <v>#VALUE!</v>
      </c>
      <c r="AI455" s="878" t="e">
        <f t="shared" si="400"/>
        <v>#VALUE!</v>
      </c>
      <c r="AJ455" s="878" t="e">
        <f t="shared" si="401"/>
        <v>#VALUE!</v>
      </c>
      <c r="AK455" s="878" t="e">
        <f t="shared" si="402"/>
        <v>#VALUE!</v>
      </c>
      <c r="AL455" s="966" t="e">
        <f t="shared" si="403"/>
        <v>#VALUE!</v>
      </c>
      <c r="AM455" s="239"/>
      <c r="AO455" s="685">
        <f t="shared" si="428"/>
        <v>-0.99780507641850835</v>
      </c>
      <c r="AP455" s="276">
        <f t="shared" si="429"/>
        <v>-3.2803751568196278</v>
      </c>
      <c r="AQ455" s="276">
        <f t="shared" si="430"/>
        <v>0.86270628265335803</v>
      </c>
      <c r="AR455" s="276">
        <f t="shared" si="431"/>
        <v>0.38452918076043408</v>
      </c>
      <c r="AS455" s="276">
        <f t="shared" si="432"/>
        <v>1.2467185860431507</v>
      </c>
      <c r="AT455" s="276">
        <f t="shared" si="433"/>
        <v>-3.3115322171318979</v>
      </c>
      <c r="AU455" s="685">
        <f t="shared" si="434"/>
        <v>1.8190605569435123</v>
      </c>
      <c r="AV455" s="276">
        <f t="shared" si="435"/>
        <v>1.0437492493362488</v>
      </c>
      <c r="AW455" s="276">
        <f t="shared" si="436"/>
        <v>1.5877285188289549</v>
      </c>
      <c r="AX455" s="276">
        <f t="shared" si="437"/>
        <v>1.0136967788645308</v>
      </c>
      <c r="AY455" s="276">
        <f t="shared" si="438"/>
        <v>1.9475770149300058</v>
      </c>
      <c r="AZ455" s="686">
        <f t="shared" si="439"/>
        <v>0.80340402081284812</v>
      </c>
      <c r="BA455" s="685">
        <f t="shared" si="440"/>
        <v>0</v>
      </c>
      <c r="BB455" s="276">
        <f t="shared" si="441"/>
        <v>0</v>
      </c>
      <c r="BC455" s="276">
        <f t="shared" si="442"/>
        <v>0</v>
      </c>
      <c r="BD455" s="276">
        <f t="shared" si="443"/>
        <v>0</v>
      </c>
      <c r="BE455" s="276">
        <f t="shared" si="444"/>
        <v>0</v>
      </c>
      <c r="BF455" s="686">
        <f t="shared" si="445"/>
        <v>0</v>
      </c>
      <c r="BG455" s="685" t="e">
        <f t="shared" si="446"/>
        <v>#DIV/0!</v>
      </c>
      <c r="BH455" s="276" t="e">
        <f t="shared" si="447"/>
        <v>#DIV/0!</v>
      </c>
      <c r="BI455" s="276" t="e">
        <f t="shared" si="448"/>
        <v>#DIV/0!</v>
      </c>
      <c r="BJ455" s="276" t="e">
        <f t="shared" si="449"/>
        <v>#DIV/0!</v>
      </c>
      <c r="BK455" s="276" t="e">
        <f t="shared" si="450"/>
        <v>#DIV/0!</v>
      </c>
      <c r="BL455" s="686" t="e">
        <f t="shared" si="451"/>
        <v>#DIV/0!</v>
      </c>
      <c r="BM455" s="239"/>
      <c r="BN455" s="965" t="e">
        <f t="shared" si="452"/>
        <v>#VALUE!</v>
      </c>
      <c r="BO455" s="878" t="e">
        <f t="shared" si="453"/>
        <v>#VALUE!</v>
      </c>
      <c r="BP455" s="878" t="e">
        <f t="shared" si="454"/>
        <v>#VALUE!</v>
      </c>
      <c r="BQ455" s="878" t="e">
        <f t="shared" si="455"/>
        <v>#VALUE!</v>
      </c>
      <c r="BR455" s="878" t="e">
        <f t="shared" si="456"/>
        <v>#VALUE!</v>
      </c>
      <c r="BS455" s="966" t="e">
        <f t="shared" si="457"/>
        <v>#VALUE!</v>
      </c>
    </row>
    <row r="456" spans="1:71">
      <c r="A456" s="284">
        <f t="shared" si="458"/>
        <v>388</v>
      </c>
      <c r="B456" s="285">
        <v>-1.445415948341283</v>
      </c>
      <c r="C456" s="285">
        <v>2.5877785415867711</v>
      </c>
      <c r="D456" s="285">
        <v>0.31749228931994156</v>
      </c>
      <c r="E456" s="285">
        <v>-2.0825976470346981</v>
      </c>
      <c r="H456" s="685">
        <f t="shared" si="404"/>
        <v>-2.5786497901103376</v>
      </c>
      <c r="I456" s="276">
        <f t="shared" si="405"/>
        <v>0.18299570895219919</v>
      </c>
      <c r="J456" s="276">
        <f t="shared" si="406"/>
        <v>-2.1155186954351826</v>
      </c>
      <c r="K456" s="276">
        <f t="shared" si="407"/>
        <v>-3.7482910808806444</v>
      </c>
      <c r="L456" s="276">
        <f t="shared" si="408"/>
        <v>-4.727063994265329</v>
      </c>
      <c r="M456" s="276">
        <f t="shared" si="409"/>
        <v>-3.7502902310532162</v>
      </c>
      <c r="N456" s="685">
        <f t="shared" si="410"/>
        <v>1.3806073306149027</v>
      </c>
      <c r="O456" s="276">
        <f t="shared" si="411"/>
        <v>1.4931885993303007</v>
      </c>
      <c r="P456" s="276">
        <f t="shared" si="412"/>
        <v>0.95910102485107163</v>
      </c>
      <c r="Q456" s="276">
        <f t="shared" si="413"/>
        <v>1.0260594301908397</v>
      </c>
      <c r="R456" s="276">
        <f t="shared" si="414"/>
        <v>1.4539968779145604</v>
      </c>
      <c r="S456" s="686">
        <f t="shared" si="415"/>
        <v>1.7199332078748955</v>
      </c>
      <c r="T456" s="685">
        <f t="shared" si="416"/>
        <v>3.5958559795908673</v>
      </c>
      <c r="U456" s="276">
        <f t="shared" si="417"/>
        <v>5.3296266081896153</v>
      </c>
      <c r="V456" s="276">
        <f t="shared" si="418"/>
        <v>3.9037357325728088</v>
      </c>
      <c r="W456" s="276">
        <f t="shared" si="419"/>
        <v>4.329019821102424</v>
      </c>
      <c r="X456" s="276">
        <f t="shared" si="420"/>
        <v>4.2072915265719235</v>
      </c>
      <c r="Y456" s="686">
        <f t="shared" si="421"/>
        <v>1.417824921321897</v>
      </c>
      <c r="Z456" s="685" t="e">
        <f t="shared" si="422"/>
        <v>#DIV/0!</v>
      </c>
      <c r="AA456" s="276" t="e">
        <f t="shared" si="423"/>
        <v>#DIV/0!</v>
      </c>
      <c r="AB456" s="276" t="e">
        <f t="shared" si="424"/>
        <v>#DIV/0!</v>
      </c>
      <c r="AC456" s="276" t="e">
        <f t="shared" si="425"/>
        <v>#DIV/0!</v>
      </c>
      <c r="AD456" s="276" t="e">
        <f t="shared" si="426"/>
        <v>#DIV/0!</v>
      </c>
      <c r="AE456" s="686" t="e">
        <f t="shared" si="427"/>
        <v>#DIV/0!</v>
      </c>
      <c r="AF456" s="239"/>
      <c r="AG456" s="965" t="e">
        <f t="shared" si="398"/>
        <v>#VALUE!</v>
      </c>
      <c r="AH456" s="878" t="e">
        <f t="shared" si="399"/>
        <v>#VALUE!</v>
      </c>
      <c r="AI456" s="878" t="e">
        <f t="shared" si="400"/>
        <v>#VALUE!</v>
      </c>
      <c r="AJ456" s="878" t="e">
        <f t="shared" si="401"/>
        <v>#VALUE!</v>
      </c>
      <c r="AK456" s="878" t="e">
        <f t="shared" si="402"/>
        <v>#VALUE!</v>
      </c>
      <c r="AL456" s="966" t="e">
        <f t="shared" si="403"/>
        <v>#VALUE!</v>
      </c>
      <c r="AM456" s="239"/>
      <c r="AO456" s="685">
        <f t="shared" si="428"/>
        <v>-2.5786497901103376</v>
      </c>
      <c r="AP456" s="276">
        <f t="shared" si="429"/>
        <v>0.18299570895219919</v>
      </c>
      <c r="AQ456" s="276">
        <f t="shared" si="430"/>
        <v>-2.1155186954351826</v>
      </c>
      <c r="AR456" s="276">
        <f t="shared" si="431"/>
        <v>-3.7482910808806444</v>
      </c>
      <c r="AS456" s="276">
        <f t="shared" si="432"/>
        <v>-4.727063994265329</v>
      </c>
      <c r="AT456" s="276">
        <f t="shared" si="433"/>
        <v>-3.7502902310532162</v>
      </c>
      <c r="AU456" s="685">
        <f t="shared" si="434"/>
        <v>1.3806073306149027</v>
      </c>
      <c r="AV456" s="276">
        <f t="shared" si="435"/>
        <v>1.4931885993303007</v>
      </c>
      <c r="AW456" s="276">
        <f t="shared" si="436"/>
        <v>0.95910102485107163</v>
      </c>
      <c r="AX456" s="276">
        <f t="shared" si="437"/>
        <v>1.0260594301908397</v>
      </c>
      <c r="AY456" s="276">
        <f t="shared" si="438"/>
        <v>1.4539968779145604</v>
      </c>
      <c r="AZ456" s="686">
        <f t="shared" si="439"/>
        <v>1.7199332078748955</v>
      </c>
      <c r="BA456" s="685">
        <f t="shared" si="440"/>
        <v>0</v>
      </c>
      <c r="BB456" s="276">
        <f t="shared" si="441"/>
        <v>0</v>
      </c>
      <c r="BC456" s="276">
        <f t="shared" si="442"/>
        <v>0</v>
      </c>
      <c r="BD456" s="276">
        <f t="shared" si="443"/>
        <v>0</v>
      </c>
      <c r="BE456" s="276">
        <f t="shared" si="444"/>
        <v>0</v>
      </c>
      <c r="BF456" s="686">
        <f t="shared" si="445"/>
        <v>0</v>
      </c>
      <c r="BG456" s="685" t="e">
        <f t="shared" si="446"/>
        <v>#DIV/0!</v>
      </c>
      <c r="BH456" s="276" t="e">
        <f t="shared" si="447"/>
        <v>#DIV/0!</v>
      </c>
      <c r="BI456" s="276" t="e">
        <f t="shared" si="448"/>
        <v>#DIV/0!</v>
      </c>
      <c r="BJ456" s="276" t="e">
        <f t="shared" si="449"/>
        <v>#DIV/0!</v>
      </c>
      <c r="BK456" s="276" t="e">
        <f t="shared" si="450"/>
        <v>#DIV/0!</v>
      </c>
      <c r="BL456" s="686" t="e">
        <f t="shared" si="451"/>
        <v>#DIV/0!</v>
      </c>
      <c r="BM456" s="239"/>
      <c r="BN456" s="965" t="e">
        <f t="shared" si="452"/>
        <v>#VALUE!</v>
      </c>
      <c r="BO456" s="878" t="e">
        <f t="shared" si="453"/>
        <v>#VALUE!</v>
      </c>
      <c r="BP456" s="878" t="e">
        <f t="shared" si="454"/>
        <v>#VALUE!</v>
      </c>
      <c r="BQ456" s="878" t="e">
        <f t="shared" si="455"/>
        <v>#VALUE!</v>
      </c>
      <c r="BR456" s="878" t="e">
        <f t="shared" si="456"/>
        <v>#VALUE!</v>
      </c>
      <c r="BS456" s="966" t="e">
        <f t="shared" si="457"/>
        <v>#VALUE!</v>
      </c>
    </row>
    <row r="457" spans="1:71">
      <c r="A457" s="284">
        <f t="shared" si="458"/>
        <v>389</v>
      </c>
      <c r="B457" s="285">
        <v>-1.9166137631925197</v>
      </c>
      <c r="C457" s="285">
        <v>2.3354893532760519</v>
      </c>
      <c r="D457" s="285">
        <v>-0.65191297529142456</v>
      </c>
      <c r="E457" s="285">
        <v>5.8393111728142628</v>
      </c>
      <c r="H457" s="685">
        <f t="shared" si="404"/>
        <v>-3.0498476049615748</v>
      </c>
      <c r="I457" s="276">
        <f t="shared" si="405"/>
        <v>-0.23177392566769184</v>
      </c>
      <c r="J457" s="276">
        <f t="shared" si="406"/>
        <v>-1.1399166954447146</v>
      </c>
      <c r="K457" s="276">
        <f t="shared" si="407"/>
        <v>-4.4747691320456493</v>
      </c>
      <c r="L457" s="276">
        <f t="shared" si="408"/>
        <v>1.4816725442994267</v>
      </c>
      <c r="M457" s="276">
        <f t="shared" si="409"/>
        <v>0.21351528639382455</v>
      </c>
      <c r="N457" s="685">
        <f t="shared" si="410"/>
        <v>1.1283181423041835</v>
      </c>
      <c r="O457" s="276">
        <f t="shared" si="411"/>
        <v>0.8602525592521244</v>
      </c>
      <c r="P457" s="276">
        <f t="shared" si="412"/>
        <v>1.6980366751393341</v>
      </c>
      <c r="Q457" s="276">
        <f t="shared" si="413"/>
        <v>0.67570350598005624</v>
      </c>
      <c r="R457" s="276">
        <f t="shared" si="414"/>
        <v>1.5748601242055009</v>
      </c>
      <c r="S457" s="686">
        <f t="shared" si="415"/>
        <v>1.7064597618207709</v>
      </c>
      <c r="T457" s="685">
        <f t="shared" si="416"/>
        <v>2.6264507149795016</v>
      </c>
      <c r="U457" s="276">
        <f t="shared" si="417"/>
        <v>5.7907640660900199</v>
      </c>
      <c r="V457" s="276">
        <f t="shared" si="418"/>
        <v>3.8585332801064243</v>
      </c>
      <c r="W457" s="276">
        <f t="shared" si="419"/>
        <v>3.7001108300235765</v>
      </c>
      <c r="X457" s="276">
        <f t="shared" si="420"/>
        <v>3.669268507996351</v>
      </c>
      <c r="Y457" s="686">
        <f t="shared" si="421"/>
        <v>5.6514590216467635</v>
      </c>
      <c r="Z457" s="685" t="e">
        <f t="shared" si="422"/>
        <v>#DIV/0!</v>
      </c>
      <c r="AA457" s="276" t="e">
        <f t="shared" si="423"/>
        <v>#DIV/0!</v>
      </c>
      <c r="AB457" s="276" t="e">
        <f t="shared" si="424"/>
        <v>#DIV/0!</v>
      </c>
      <c r="AC457" s="276" t="e">
        <f t="shared" si="425"/>
        <v>#DIV/0!</v>
      </c>
      <c r="AD457" s="276" t="e">
        <f t="shared" si="426"/>
        <v>#DIV/0!</v>
      </c>
      <c r="AE457" s="686" t="e">
        <f t="shared" si="427"/>
        <v>#DIV/0!</v>
      </c>
      <c r="AF457" s="239"/>
      <c r="AG457" s="965" t="e">
        <f t="shared" si="398"/>
        <v>#VALUE!</v>
      </c>
      <c r="AH457" s="878" t="e">
        <f t="shared" si="399"/>
        <v>#VALUE!</v>
      </c>
      <c r="AI457" s="878" t="e">
        <f t="shared" si="400"/>
        <v>#VALUE!</v>
      </c>
      <c r="AJ457" s="878" t="e">
        <f t="shared" si="401"/>
        <v>#VALUE!</v>
      </c>
      <c r="AK457" s="878" t="e">
        <f t="shared" si="402"/>
        <v>#VALUE!</v>
      </c>
      <c r="AL457" s="966" t="e">
        <f t="shared" si="403"/>
        <v>#VALUE!</v>
      </c>
      <c r="AM457" s="239"/>
      <c r="AO457" s="685">
        <f t="shared" si="428"/>
        <v>-3.0498476049615748</v>
      </c>
      <c r="AP457" s="276">
        <f t="shared" si="429"/>
        <v>-0.23177392566769184</v>
      </c>
      <c r="AQ457" s="276">
        <f t="shared" si="430"/>
        <v>-1.1399166954447146</v>
      </c>
      <c r="AR457" s="276">
        <f t="shared" si="431"/>
        <v>-4.4747691320456493</v>
      </c>
      <c r="AS457" s="276">
        <f t="shared" si="432"/>
        <v>1.4816725442994267</v>
      </c>
      <c r="AT457" s="276">
        <f t="shared" si="433"/>
        <v>0.21351528639382455</v>
      </c>
      <c r="AU457" s="685">
        <f t="shared" si="434"/>
        <v>1.1283181423041835</v>
      </c>
      <c r="AV457" s="276">
        <f t="shared" si="435"/>
        <v>0.8602525592521244</v>
      </c>
      <c r="AW457" s="276">
        <f t="shared" si="436"/>
        <v>1.6980366751393341</v>
      </c>
      <c r="AX457" s="276">
        <f t="shared" si="437"/>
        <v>0.67570350598005624</v>
      </c>
      <c r="AY457" s="276">
        <f t="shared" si="438"/>
        <v>1.5748601242055009</v>
      </c>
      <c r="AZ457" s="686">
        <f t="shared" si="439"/>
        <v>1.7064597618207709</v>
      </c>
      <c r="BA457" s="685">
        <f t="shared" si="440"/>
        <v>0</v>
      </c>
      <c r="BB457" s="276">
        <f t="shared" si="441"/>
        <v>0</v>
      </c>
      <c r="BC457" s="276">
        <f t="shared" si="442"/>
        <v>0</v>
      </c>
      <c r="BD457" s="276">
        <f t="shared" si="443"/>
        <v>0</v>
      </c>
      <c r="BE457" s="276">
        <f t="shared" si="444"/>
        <v>0</v>
      </c>
      <c r="BF457" s="686">
        <f t="shared" si="445"/>
        <v>0</v>
      </c>
      <c r="BG457" s="685" t="e">
        <f t="shared" si="446"/>
        <v>#DIV/0!</v>
      </c>
      <c r="BH457" s="276" t="e">
        <f t="shared" si="447"/>
        <v>#DIV/0!</v>
      </c>
      <c r="BI457" s="276" t="e">
        <f t="shared" si="448"/>
        <v>#DIV/0!</v>
      </c>
      <c r="BJ457" s="276" t="e">
        <f t="shared" si="449"/>
        <v>#DIV/0!</v>
      </c>
      <c r="BK457" s="276" t="e">
        <f t="shared" si="450"/>
        <v>#DIV/0!</v>
      </c>
      <c r="BL457" s="686" t="e">
        <f t="shared" si="451"/>
        <v>#DIV/0!</v>
      </c>
      <c r="BM457" s="239"/>
      <c r="BN457" s="965" t="e">
        <f t="shared" si="452"/>
        <v>#VALUE!</v>
      </c>
      <c r="BO457" s="878" t="e">
        <f t="shared" si="453"/>
        <v>#VALUE!</v>
      </c>
      <c r="BP457" s="878" t="e">
        <f t="shared" si="454"/>
        <v>#VALUE!</v>
      </c>
      <c r="BQ457" s="878" t="e">
        <f t="shared" si="455"/>
        <v>#VALUE!</v>
      </c>
      <c r="BR457" s="878" t="e">
        <f t="shared" si="456"/>
        <v>#VALUE!</v>
      </c>
      <c r="BS457" s="966" t="e">
        <f t="shared" si="457"/>
        <v>#VALUE!</v>
      </c>
    </row>
    <row r="458" spans="1:71">
      <c r="A458" s="284">
        <f t="shared" si="458"/>
        <v>390</v>
      </c>
      <c r="B458" s="285">
        <v>2.6452736018576126</v>
      </c>
      <c r="C458" s="285">
        <v>2.834466952706431</v>
      </c>
      <c r="D458" s="285">
        <v>3.5943189800012871</v>
      </c>
      <c r="E458" s="285">
        <v>-15.304847499811192</v>
      </c>
      <c r="H458" s="685">
        <f t="shared" si="404"/>
        <v>1.5120397600885578</v>
      </c>
      <c r="I458" s="276">
        <f t="shared" si="405"/>
        <v>-4.5122693330269996</v>
      </c>
      <c r="J458" s="276">
        <f t="shared" si="406"/>
        <v>-1.5495932927044687</v>
      </c>
      <c r="K458" s="276">
        <f t="shared" si="407"/>
        <v>-0.9452715554210418</v>
      </c>
      <c r="L458" s="276">
        <f t="shared" si="408"/>
        <v>-3.7353052901566768</v>
      </c>
      <c r="M458" s="276">
        <f t="shared" si="409"/>
        <v>2.2868752985814131</v>
      </c>
      <c r="N458" s="685">
        <f t="shared" si="410"/>
        <v>1.6272957417345626</v>
      </c>
      <c r="O458" s="276">
        <f t="shared" si="411"/>
        <v>0.74129057507382257</v>
      </c>
      <c r="P458" s="276">
        <f t="shared" si="412"/>
        <v>0.21539462245264018</v>
      </c>
      <c r="Q458" s="276">
        <f t="shared" si="413"/>
        <v>0.63458346224499373</v>
      </c>
      <c r="R458" s="276">
        <f t="shared" si="414"/>
        <v>1.9254360879822838</v>
      </c>
      <c r="S458" s="686">
        <f t="shared" si="415"/>
        <v>1.8684556195222137</v>
      </c>
      <c r="T458" s="685">
        <f t="shared" si="416"/>
        <v>6.872682670272213</v>
      </c>
      <c r="U458" s="276">
        <f t="shared" si="417"/>
        <v>4.7368924490579793</v>
      </c>
      <c r="V458" s="276">
        <f t="shared" si="418"/>
        <v>5.1295726173096297</v>
      </c>
      <c r="W458" s="276">
        <f t="shared" si="419"/>
        <v>4.13989398037178</v>
      </c>
      <c r="X458" s="276">
        <f t="shared" si="420"/>
        <v>3.8028638575250135</v>
      </c>
      <c r="Y458" s="686">
        <f t="shared" si="421"/>
        <v>5.4917198325110181</v>
      </c>
      <c r="Z458" s="685" t="e">
        <f t="shared" si="422"/>
        <v>#DIV/0!</v>
      </c>
      <c r="AA458" s="276" t="e">
        <f t="shared" si="423"/>
        <v>#DIV/0!</v>
      </c>
      <c r="AB458" s="276" t="e">
        <f t="shared" si="424"/>
        <v>#DIV/0!</v>
      </c>
      <c r="AC458" s="276" t="e">
        <f t="shared" si="425"/>
        <v>#DIV/0!</v>
      </c>
      <c r="AD458" s="276" t="e">
        <f t="shared" si="426"/>
        <v>#DIV/0!</v>
      </c>
      <c r="AE458" s="686" t="e">
        <f t="shared" si="427"/>
        <v>#DIV/0!</v>
      </c>
      <c r="AF458" s="239"/>
      <c r="AG458" s="965" t="e">
        <f t="shared" si="398"/>
        <v>#VALUE!</v>
      </c>
      <c r="AH458" s="878" t="e">
        <f t="shared" si="399"/>
        <v>#VALUE!</v>
      </c>
      <c r="AI458" s="878" t="e">
        <f t="shared" si="400"/>
        <v>#VALUE!</v>
      </c>
      <c r="AJ458" s="878" t="e">
        <f t="shared" si="401"/>
        <v>#VALUE!</v>
      </c>
      <c r="AK458" s="878" t="e">
        <f t="shared" si="402"/>
        <v>#VALUE!</v>
      </c>
      <c r="AL458" s="966" t="e">
        <f t="shared" si="403"/>
        <v>#VALUE!</v>
      </c>
      <c r="AM458" s="239"/>
      <c r="AO458" s="685">
        <f t="shared" si="428"/>
        <v>1.5120397600885578</v>
      </c>
      <c r="AP458" s="276">
        <f t="shared" si="429"/>
        <v>-4.5122693330269996</v>
      </c>
      <c r="AQ458" s="276">
        <f t="shared" si="430"/>
        <v>-1.5495932927044687</v>
      </c>
      <c r="AR458" s="276">
        <f t="shared" si="431"/>
        <v>-0.9452715554210418</v>
      </c>
      <c r="AS458" s="276">
        <f t="shared" si="432"/>
        <v>-3.7353052901566768</v>
      </c>
      <c r="AT458" s="276">
        <f t="shared" si="433"/>
        <v>2.2868752985814131</v>
      </c>
      <c r="AU458" s="685">
        <f t="shared" si="434"/>
        <v>1.6272957417345626</v>
      </c>
      <c r="AV458" s="276">
        <f t="shared" si="435"/>
        <v>0.74129057507382257</v>
      </c>
      <c r="AW458" s="276">
        <f t="shared" si="436"/>
        <v>0.21539462245264018</v>
      </c>
      <c r="AX458" s="276">
        <f t="shared" si="437"/>
        <v>0.63458346224499373</v>
      </c>
      <c r="AY458" s="276">
        <f t="shared" si="438"/>
        <v>1.9254360879822838</v>
      </c>
      <c r="AZ458" s="686">
        <f t="shared" si="439"/>
        <v>1.8684556195222137</v>
      </c>
      <c r="BA458" s="685">
        <f t="shared" si="440"/>
        <v>0</v>
      </c>
      <c r="BB458" s="276">
        <f t="shared" si="441"/>
        <v>0</v>
      </c>
      <c r="BC458" s="276">
        <f t="shared" si="442"/>
        <v>0</v>
      </c>
      <c r="BD458" s="276">
        <f t="shared" si="443"/>
        <v>0</v>
      </c>
      <c r="BE458" s="276">
        <f t="shared" si="444"/>
        <v>0</v>
      </c>
      <c r="BF458" s="686">
        <f t="shared" si="445"/>
        <v>0</v>
      </c>
      <c r="BG458" s="685" t="e">
        <f t="shared" si="446"/>
        <v>#DIV/0!</v>
      </c>
      <c r="BH458" s="276" t="e">
        <f t="shared" si="447"/>
        <v>#DIV/0!</v>
      </c>
      <c r="BI458" s="276" t="e">
        <f t="shared" si="448"/>
        <v>#DIV/0!</v>
      </c>
      <c r="BJ458" s="276" t="e">
        <f t="shared" si="449"/>
        <v>#DIV/0!</v>
      </c>
      <c r="BK458" s="276" t="e">
        <f t="shared" si="450"/>
        <v>#DIV/0!</v>
      </c>
      <c r="BL458" s="686" t="e">
        <f t="shared" si="451"/>
        <v>#DIV/0!</v>
      </c>
      <c r="BM458" s="239"/>
      <c r="BN458" s="965" t="e">
        <f t="shared" si="452"/>
        <v>#VALUE!</v>
      </c>
      <c r="BO458" s="878" t="e">
        <f t="shared" si="453"/>
        <v>#VALUE!</v>
      </c>
      <c r="BP458" s="878" t="e">
        <f t="shared" si="454"/>
        <v>#VALUE!</v>
      </c>
      <c r="BQ458" s="878" t="e">
        <f t="shared" si="455"/>
        <v>#VALUE!</v>
      </c>
      <c r="BR458" s="878" t="e">
        <f t="shared" si="456"/>
        <v>#VALUE!</v>
      </c>
      <c r="BS458" s="966" t="e">
        <f t="shared" si="457"/>
        <v>#VALUE!</v>
      </c>
    </row>
    <row r="459" spans="1:71">
      <c r="A459" s="284">
        <f t="shared" si="458"/>
        <v>391</v>
      </c>
      <c r="B459" s="285">
        <v>3.0819172068774594</v>
      </c>
      <c r="C459" s="285">
        <v>3.4808954745377081</v>
      </c>
      <c r="D459" s="285">
        <v>0.6336711065828351</v>
      </c>
      <c r="E459" s="285">
        <v>13.318605243560381</v>
      </c>
      <c r="H459" s="685">
        <f t="shared" si="404"/>
        <v>1.9486833651084046</v>
      </c>
      <c r="I459" s="276">
        <f t="shared" si="405"/>
        <v>-2.0690795047034838</v>
      </c>
      <c r="J459" s="276">
        <f t="shared" si="406"/>
        <v>2.4623441954426672</v>
      </c>
      <c r="K459" s="276">
        <f t="shared" si="407"/>
        <v>-2.491130939258499</v>
      </c>
      <c r="L459" s="276">
        <f t="shared" si="408"/>
        <v>-3.8451460219106801</v>
      </c>
      <c r="M459" s="276">
        <f t="shared" si="409"/>
        <v>1.9693680796063029</v>
      </c>
      <c r="N459" s="685">
        <f t="shared" si="410"/>
        <v>2.2737242635658399</v>
      </c>
      <c r="O459" s="276">
        <f t="shared" si="411"/>
        <v>1.6788181847522627</v>
      </c>
      <c r="P459" s="276">
        <f t="shared" si="412"/>
        <v>1.7275226895795714</v>
      </c>
      <c r="Q459" s="276">
        <f t="shared" si="413"/>
        <v>1.4256377804696079</v>
      </c>
      <c r="R459" s="276">
        <f t="shared" si="414"/>
        <v>1.3639107895263283</v>
      </c>
      <c r="S459" s="686">
        <f t="shared" si="415"/>
        <v>1.4469642792957276</v>
      </c>
      <c r="T459" s="685">
        <f t="shared" si="416"/>
        <v>3.912034796853761</v>
      </c>
      <c r="U459" s="276">
        <f t="shared" si="417"/>
        <v>4.8919551272869928</v>
      </c>
      <c r="V459" s="276">
        <f t="shared" si="418"/>
        <v>4.9281448597302058</v>
      </c>
      <c r="W459" s="276">
        <f t="shared" si="419"/>
        <v>4.5208786537264167</v>
      </c>
      <c r="X459" s="276">
        <f t="shared" si="420"/>
        <v>3.926631776614208</v>
      </c>
      <c r="Y459" s="686">
        <f t="shared" si="421"/>
        <v>5.1984950437753135</v>
      </c>
      <c r="Z459" s="685" t="e">
        <f t="shared" si="422"/>
        <v>#DIV/0!</v>
      </c>
      <c r="AA459" s="276" t="e">
        <f t="shared" si="423"/>
        <v>#DIV/0!</v>
      </c>
      <c r="AB459" s="276" t="e">
        <f t="shared" si="424"/>
        <v>#DIV/0!</v>
      </c>
      <c r="AC459" s="276" t="e">
        <f t="shared" si="425"/>
        <v>#DIV/0!</v>
      </c>
      <c r="AD459" s="276" t="e">
        <f t="shared" si="426"/>
        <v>#DIV/0!</v>
      </c>
      <c r="AE459" s="686" t="e">
        <f t="shared" si="427"/>
        <v>#DIV/0!</v>
      </c>
      <c r="AF459" s="239"/>
      <c r="AG459" s="965" t="e">
        <f t="shared" si="398"/>
        <v>#VALUE!</v>
      </c>
      <c r="AH459" s="878" t="e">
        <f t="shared" si="399"/>
        <v>#VALUE!</v>
      </c>
      <c r="AI459" s="878" t="e">
        <f t="shared" si="400"/>
        <v>#VALUE!</v>
      </c>
      <c r="AJ459" s="878" t="e">
        <f t="shared" si="401"/>
        <v>#VALUE!</v>
      </c>
      <c r="AK459" s="878" t="e">
        <f t="shared" si="402"/>
        <v>#VALUE!</v>
      </c>
      <c r="AL459" s="966" t="e">
        <f t="shared" si="403"/>
        <v>#VALUE!</v>
      </c>
      <c r="AM459" s="239"/>
      <c r="AO459" s="685">
        <f t="shared" si="428"/>
        <v>1.9486833651084046</v>
      </c>
      <c r="AP459" s="276">
        <f t="shared" si="429"/>
        <v>-2.0690795047034838</v>
      </c>
      <c r="AQ459" s="276">
        <f t="shared" si="430"/>
        <v>2.4623441954426672</v>
      </c>
      <c r="AR459" s="276">
        <f t="shared" si="431"/>
        <v>-2.491130939258499</v>
      </c>
      <c r="AS459" s="276">
        <f t="shared" si="432"/>
        <v>-3.8451460219106801</v>
      </c>
      <c r="AT459" s="276">
        <f t="shared" si="433"/>
        <v>1.9693680796063029</v>
      </c>
      <c r="AU459" s="685">
        <f t="shared" si="434"/>
        <v>2.2737242635658399</v>
      </c>
      <c r="AV459" s="276">
        <f t="shared" si="435"/>
        <v>1.6788181847522627</v>
      </c>
      <c r="AW459" s="276">
        <f t="shared" si="436"/>
        <v>1.7275226895795714</v>
      </c>
      <c r="AX459" s="276">
        <f t="shared" si="437"/>
        <v>1.4256377804696079</v>
      </c>
      <c r="AY459" s="276">
        <f t="shared" si="438"/>
        <v>1.3639107895263283</v>
      </c>
      <c r="AZ459" s="686">
        <f t="shared" si="439"/>
        <v>1.4469642792957276</v>
      </c>
      <c r="BA459" s="685">
        <f t="shared" si="440"/>
        <v>0</v>
      </c>
      <c r="BB459" s="276">
        <f t="shared" si="441"/>
        <v>0</v>
      </c>
      <c r="BC459" s="276">
        <f t="shared" si="442"/>
        <v>0</v>
      </c>
      <c r="BD459" s="276">
        <f t="shared" si="443"/>
        <v>0</v>
      </c>
      <c r="BE459" s="276">
        <f t="shared" si="444"/>
        <v>0</v>
      </c>
      <c r="BF459" s="686">
        <f t="shared" si="445"/>
        <v>0</v>
      </c>
      <c r="BG459" s="685" t="e">
        <f t="shared" si="446"/>
        <v>#DIV/0!</v>
      </c>
      <c r="BH459" s="276" t="e">
        <f t="shared" si="447"/>
        <v>#DIV/0!</v>
      </c>
      <c r="BI459" s="276" t="e">
        <f t="shared" si="448"/>
        <v>#DIV/0!</v>
      </c>
      <c r="BJ459" s="276" t="e">
        <f t="shared" si="449"/>
        <v>#DIV/0!</v>
      </c>
      <c r="BK459" s="276" t="e">
        <f t="shared" si="450"/>
        <v>#DIV/0!</v>
      </c>
      <c r="BL459" s="686" t="e">
        <f t="shared" si="451"/>
        <v>#DIV/0!</v>
      </c>
      <c r="BM459" s="239"/>
      <c r="BN459" s="965" t="e">
        <f t="shared" si="452"/>
        <v>#VALUE!</v>
      </c>
      <c r="BO459" s="878" t="e">
        <f t="shared" si="453"/>
        <v>#VALUE!</v>
      </c>
      <c r="BP459" s="878" t="e">
        <f t="shared" si="454"/>
        <v>#VALUE!</v>
      </c>
      <c r="BQ459" s="878" t="e">
        <f t="shared" si="455"/>
        <v>#VALUE!</v>
      </c>
      <c r="BR459" s="878" t="e">
        <f t="shared" si="456"/>
        <v>#VALUE!</v>
      </c>
      <c r="BS459" s="966" t="e">
        <f t="shared" si="457"/>
        <v>#VALUE!</v>
      </c>
    </row>
    <row r="460" spans="1:71">
      <c r="A460" s="284">
        <f t="shared" si="458"/>
        <v>392</v>
      </c>
      <c r="B460" s="285">
        <v>-4.9618909376164728</v>
      </c>
      <c r="C460" s="285">
        <v>2.4987782486062851</v>
      </c>
      <c r="D460" s="285">
        <v>1.6822916776232084</v>
      </c>
      <c r="E460" s="285">
        <v>-4.2016568067506199E-2</v>
      </c>
      <c r="H460" s="685">
        <f t="shared" si="404"/>
        <v>-6.0951247793855279</v>
      </c>
      <c r="I460" s="276">
        <f t="shared" si="405"/>
        <v>-0.45504400741324291</v>
      </c>
      <c r="J460" s="276">
        <f t="shared" si="406"/>
        <v>2.8908258766217463</v>
      </c>
      <c r="K460" s="276">
        <f t="shared" si="407"/>
        <v>-0.40596111065569318</v>
      </c>
      <c r="L460" s="276">
        <f t="shared" si="408"/>
        <v>-1.4322492008782532</v>
      </c>
      <c r="M460" s="276">
        <f t="shared" si="409"/>
        <v>-0.30082130655654948</v>
      </c>
      <c r="N460" s="685">
        <f t="shared" si="410"/>
        <v>1.2916070376344166</v>
      </c>
      <c r="O460" s="276">
        <f t="shared" si="411"/>
        <v>1.1920719195823273</v>
      </c>
      <c r="P460" s="276">
        <f t="shared" si="412"/>
        <v>1.273243025621549</v>
      </c>
      <c r="Q460" s="276">
        <f t="shared" si="413"/>
        <v>1.2848722674874755</v>
      </c>
      <c r="R460" s="276">
        <f t="shared" si="414"/>
        <v>1.1223751798518766</v>
      </c>
      <c r="S460" s="686">
        <f t="shared" si="415"/>
        <v>1.5576678323983908</v>
      </c>
      <c r="T460" s="685">
        <f t="shared" si="416"/>
        <v>4.9606553678941339</v>
      </c>
      <c r="U460" s="276">
        <f t="shared" si="417"/>
        <v>5.7374519631606908</v>
      </c>
      <c r="V460" s="276">
        <f t="shared" si="418"/>
        <v>5.0534725825127422</v>
      </c>
      <c r="W460" s="276">
        <f t="shared" si="419"/>
        <v>2.5953125367425454</v>
      </c>
      <c r="X460" s="276">
        <f t="shared" si="420"/>
        <v>4.1848346970124766</v>
      </c>
      <c r="Y460" s="686">
        <f t="shared" si="421"/>
        <v>4.3053512635362292</v>
      </c>
      <c r="Z460" s="685" t="e">
        <f t="shared" si="422"/>
        <v>#DIV/0!</v>
      </c>
      <c r="AA460" s="276" t="e">
        <f t="shared" si="423"/>
        <v>#DIV/0!</v>
      </c>
      <c r="AB460" s="276" t="e">
        <f t="shared" si="424"/>
        <v>#DIV/0!</v>
      </c>
      <c r="AC460" s="276" t="e">
        <f t="shared" si="425"/>
        <v>#DIV/0!</v>
      </c>
      <c r="AD460" s="276" t="e">
        <f t="shared" si="426"/>
        <v>#DIV/0!</v>
      </c>
      <c r="AE460" s="686" t="e">
        <f t="shared" si="427"/>
        <v>#DIV/0!</v>
      </c>
      <c r="AF460" s="239"/>
      <c r="AG460" s="965" t="e">
        <f t="shared" si="398"/>
        <v>#VALUE!</v>
      </c>
      <c r="AH460" s="878" t="e">
        <f t="shared" si="399"/>
        <v>#VALUE!</v>
      </c>
      <c r="AI460" s="878" t="e">
        <f t="shared" si="400"/>
        <v>#VALUE!</v>
      </c>
      <c r="AJ460" s="878" t="e">
        <f t="shared" si="401"/>
        <v>#VALUE!</v>
      </c>
      <c r="AK460" s="878" t="e">
        <f t="shared" si="402"/>
        <v>#VALUE!</v>
      </c>
      <c r="AL460" s="966" t="e">
        <f t="shared" si="403"/>
        <v>#VALUE!</v>
      </c>
      <c r="AM460" s="239"/>
      <c r="AO460" s="685">
        <f t="shared" si="428"/>
        <v>-6.0951247793855279</v>
      </c>
      <c r="AP460" s="276">
        <f t="shared" si="429"/>
        <v>-0.45504400741324291</v>
      </c>
      <c r="AQ460" s="276">
        <f t="shared" si="430"/>
        <v>2.8908258766217463</v>
      </c>
      <c r="AR460" s="276">
        <f t="shared" si="431"/>
        <v>-0.40596111065569318</v>
      </c>
      <c r="AS460" s="276">
        <f t="shared" si="432"/>
        <v>-1.4322492008782532</v>
      </c>
      <c r="AT460" s="276">
        <f t="shared" si="433"/>
        <v>-0.30082130655654948</v>
      </c>
      <c r="AU460" s="685">
        <f t="shared" si="434"/>
        <v>1.2916070376344166</v>
      </c>
      <c r="AV460" s="276">
        <f t="shared" si="435"/>
        <v>1.1920719195823273</v>
      </c>
      <c r="AW460" s="276">
        <f t="shared" si="436"/>
        <v>1.273243025621549</v>
      </c>
      <c r="AX460" s="276">
        <f t="shared" si="437"/>
        <v>1.2848722674874755</v>
      </c>
      <c r="AY460" s="276">
        <f t="shared" si="438"/>
        <v>1.1223751798518766</v>
      </c>
      <c r="AZ460" s="686">
        <f t="shared" si="439"/>
        <v>1.5576678323983908</v>
      </c>
      <c r="BA460" s="685">
        <f t="shared" si="440"/>
        <v>0</v>
      </c>
      <c r="BB460" s="276">
        <f t="shared" si="441"/>
        <v>0</v>
      </c>
      <c r="BC460" s="276">
        <f t="shared" si="442"/>
        <v>0</v>
      </c>
      <c r="BD460" s="276">
        <f t="shared" si="443"/>
        <v>0</v>
      </c>
      <c r="BE460" s="276">
        <f t="shared" si="444"/>
        <v>0</v>
      </c>
      <c r="BF460" s="686">
        <f t="shared" si="445"/>
        <v>0</v>
      </c>
      <c r="BG460" s="685" t="e">
        <f t="shared" si="446"/>
        <v>#DIV/0!</v>
      </c>
      <c r="BH460" s="276" t="e">
        <f t="shared" si="447"/>
        <v>#DIV/0!</v>
      </c>
      <c r="BI460" s="276" t="e">
        <f t="shared" si="448"/>
        <v>#DIV/0!</v>
      </c>
      <c r="BJ460" s="276" t="e">
        <f t="shared" si="449"/>
        <v>#DIV/0!</v>
      </c>
      <c r="BK460" s="276" t="e">
        <f t="shared" si="450"/>
        <v>#DIV/0!</v>
      </c>
      <c r="BL460" s="686" t="e">
        <f t="shared" si="451"/>
        <v>#DIV/0!</v>
      </c>
      <c r="BM460" s="239"/>
      <c r="BN460" s="965" t="e">
        <f t="shared" si="452"/>
        <v>#VALUE!</v>
      </c>
      <c r="BO460" s="878" t="e">
        <f t="shared" si="453"/>
        <v>#VALUE!</v>
      </c>
      <c r="BP460" s="878" t="e">
        <f t="shared" si="454"/>
        <v>#VALUE!</v>
      </c>
      <c r="BQ460" s="878" t="e">
        <f t="shared" si="455"/>
        <v>#VALUE!</v>
      </c>
      <c r="BR460" s="878" t="e">
        <f t="shared" si="456"/>
        <v>#VALUE!</v>
      </c>
      <c r="BS460" s="966" t="e">
        <f t="shared" si="457"/>
        <v>#VALUE!</v>
      </c>
    </row>
    <row r="461" spans="1:71">
      <c r="A461" s="284">
        <f t="shared" si="458"/>
        <v>393</v>
      </c>
      <c r="B461" s="285">
        <v>3.3544692680942187</v>
      </c>
      <c r="C461" s="285">
        <v>2.7169648752305369</v>
      </c>
      <c r="D461" s="285">
        <v>1.6900478986254757</v>
      </c>
      <c r="E461" s="285">
        <v>-4.1699743714648729</v>
      </c>
      <c r="H461" s="685">
        <f t="shared" si="404"/>
        <v>2.2212354263251637</v>
      </c>
      <c r="I461" s="276">
        <f t="shared" si="405"/>
        <v>-0.69548317871137844</v>
      </c>
      <c r="J461" s="276">
        <f t="shared" si="406"/>
        <v>-2.9634089119375622</v>
      </c>
      <c r="K461" s="276">
        <f t="shared" si="407"/>
        <v>2.0433958596562665</v>
      </c>
      <c r="L461" s="276">
        <f t="shared" si="408"/>
        <v>1.45235045299973</v>
      </c>
      <c r="M461" s="276">
        <f t="shared" si="409"/>
        <v>-1.5797126687508283</v>
      </c>
      <c r="N461" s="685">
        <f t="shared" si="410"/>
        <v>1.5097936642586685</v>
      </c>
      <c r="O461" s="276">
        <f t="shared" si="411"/>
        <v>1.4535033454705399</v>
      </c>
      <c r="P461" s="276">
        <f t="shared" si="412"/>
        <v>0.55008886857566153</v>
      </c>
      <c r="Q461" s="276">
        <f t="shared" si="413"/>
        <v>0.82923827919322002</v>
      </c>
      <c r="R461" s="276">
        <f t="shared" si="414"/>
        <v>2.1774308729276646</v>
      </c>
      <c r="S461" s="686">
        <f t="shared" si="415"/>
        <v>0.7459560874669755</v>
      </c>
      <c r="T461" s="685">
        <f t="shared" si="416"/>
        <v>4.9684115888964016</v>
      </c>
      <c r="U461" s="276">
        <f t="shared" si="417"/>
        <v>4.1504031229027962</v>
      </c>
      <c r="V461" s="276">
        <f t="shared" si="418"/>
        <v>5.8645097324792603</v>
      </c>
      <c r="W461" s="276">
        <f t="shared" si="419"/>
        <v>4.3117123778580746</v>
      </c>
      <c r="X461" s="276">
        <f t="shared" si="420"/>
        <v>2.3673670978304271</v>
      </c>
      <c r="Y461" s="686">
        <f t="shared" si="421"/>
        <v>4.0250615898415312</v>
      </c>
      <c r="Z461" s="685" t="e">
        <f t="shared" si="422"/>
        <v>#DIV/0!</v>
      </c>
      <c r="AA461" s="276" t="e">
        <f t="shared" si="423"/>
        <v>#DIV/0!</v>
      </c>
      <c r="AB461" s="276" t="e">
        <f t="shared" si="424"/>
        <v>#DIV/0!</v>
      </c>
      <c r="AC461" s="276" t="e">
        <f t="shared" si="425"/>
        <v>#DIV/0!</v>
      </c>
      <c r="AD461" s="276" t="e">
        <f t="shared" si="426"/>
        <v>#DIV/0!</v>
      </c>
      <c r="AE461" s="686" t="e">
        <f t="shared" si="427"/>
        <v>#DIV/0!</v>
      </c>
      <c r="AF461" s="239"/>
      <c r="AG461" s="965" t="e">
        <f t="shared" si="398"/>
        <v>#VALUE!</v>
      </c>
      <c r="AH461" s="878" t="e">
        <f t="shared" si="399"/>
        <v>#VALUE!</v>
      </c>
      <c r="AI461" s="878" t="e">
        <f t="shared" si="400"/>
        <v>#VALUE!</v>
      </c>
      <c r="AJ461" s="878" t="e">
        <f t="shared" si="401"/>
        <v>#VALUE!</v>
      </c>
      <c r="AK461" s="878" t="e">
        <f t="shared" si="402"/>
        <v>#VALUE!</v>
      </c>
      <c r="AL461" s="966" t="e">
        <f t="shared" si="403"/>
        <v>#VALUE!</v>
      </c>
      <c r="AM461" s="239"/>
      <c r="AO461" s="685">
        <f t="shared" si="428"/>
        <v>2.2212354263251637</v>
      </c>
      <c r="AP461" s="276">
        <f t="shared" si="429"/>
        <v>-0.69548317871137844</v>
      </c>
      <c r="AQ461" s="276">
        <f t="shared" si="430"/>
        <v>-2.9634089119375622</v>
      </c>
      <c r="AR461" s="276">
        <f t="shared" si="431"/>
        <v>2.0433958596562665</v>
      </c>
      <c r="AS461" s="276">
        <f t="shared" si="432"/>
        <v>1.45235045299973</v>
      </c>
      <c r="AT461" s="276">
        <f t="shared" si="433"/>
        <v>-1.5797126687508283</v>
      </c>
      <c r="AU461" s="685">
        <f t="shared" si="434"/>
        <v>1.5097936642586685</v>
      </c>
      <c r="AV461" s="276">
        <f t="shared" si="435"/>
        <v>1.4535033454705399</v>
      </c>
      <c r="AW461" s="276">
        <f t="shared" si="436"/>
        <v>0.55008886857566153</v>
      </c>
      <c r="AX461" s="276">
        <f t="shared" si="437"/>
        <v>0.82923827919322002</v>
      </c>
      <c r="AY461" s="276">
        <f t="shared" si="438"/>
        <v>2.1774308729276646</v>
      </c>
      <c r="AZ461" s="686">
        <f t="shared" si="439"/>
        <v>0.7459560874669755</v>
      </c>
      <c r="BA461" s="685">
        <f t="shared" si="440"/>
        <v>0</v>
      </c>
      <c r="BB461" s="276">
        <f t="shared" si="441"/>
        <v>0</v>
      </c>
      <c r="BC461" s="276">
        <f t="shared" si="442"/>
        <v>0</v>
      </c>
      <c r="BD461" s="276">
        <f t="shared" si="443"/>
        <v>0</v>
      </c>
      <c r="BE461" s="276">
        <f t="shared" si="444"/>
        <v>0</v>
      </c>
      <c r="BF461" s="686">
        <f t="shared" si="445"/>
        <v>0</v>
      </c>
      <c r="BG461" s="685" t="e">
        <f t="shared" si="446"/>
        <v>#DIV/0!</v>
      </c>
      <c r="BH461" s="276" t="e">
        <f t="shared" si="447"/>
        <v>#DIV/0!</v>
      </c>
      <c r="BI461" s="276" t="e">
        <f t="shared" si="448"/>
        <v>#DIV/0!</v>
      </c>
      <c r="BJ461" s="276" t="e">
        <f t="shared" si="449"/>
        <v>#DIV/0!</v>
      </c>
      <c r="BK461" s="276" t="e">
        <f t="shared" si="450"/>
        <v>#DIV/0!</v>
      </c>
      <c r="BL461" s="686" t="e">
        <f t="shared" si="451"/>
        <v>#DIV/0!</v>
      </c>
      <c r="BM461" s="239"/>
      <c r="BN461" s="965" t="e">
        <f t="shared" si="452"/>
        <v>#VALUE!</v>
      </c>
      <c r="BO461" s="878" t="e">
        <f t="shared" si="453"/>
        <v>#VALUE!</v>
      </c>
      <c r="BP461" s="878" t="e">
        <f t="shared" si="454"/>
        <v>#VALUE!</v>
      </c>
      <c r="BQ461" s="878" t="e">
        <f t="shared" si="455"/>
        <v>#VALUE!</v>
      </c>
      <c r="BR461" s="878" t="e">
        <f t="shared" si="456"/>
        <v>#VALUE!</v>
      </c>
      <c r="BS461" s="966" t="e">
        <f t="shared" si="457"/>
        <v>#VALUE!</v>
      </c>
    </row>
    <row r="462" spans="1:71">
      <c r="A462" s="284">
        <f t="shared" si="458"/>
        <v>394</v>
      </c>
      <c r="B462" s="285">
        <v>-5.0893209080290749</v>
      </c>
      <c r="C462" s="285">
        <v>2.4216770905857028</v>
      </c>
      <c r="D462" s="285">
        <v>1.5202284885649884</v>
      </c>
      <c r="E462" s="285">
        <v>6.887218212310632</v>
      </c>
      <c r="H462" s="685">
        <f t="shared" si="404"/>
        <v>-6.2225547497981299</v>
      </c>
      <c r="I462" s="276">
        <f t="shared" si="405"/>
        <v>-0.148900470212604</v>
      </c>
      <c r="J462" s="276">
        <f t="shared" si="406"/>
        <v>0.67340903034600652</v>
      </c>
      <c r="K462" s="276">
        <f t="shared" si="407"/>
        <v>-0.80303091461810205</v>
      </c>
      <c r="L462" s="276">
        <f t="shared" si="408"/>
        <v>0.63202321033701803</v>
      </c>
      <c r="M462" s="276">
        <f t="shared" si="409"/>
        <v>-0.25819100401802975</v>
      </c>
      <c r="N462" s="685">
        <f t="shared" si="410"/>
        <v>1.2145058796138344</v>
      </c>
      <c r="O462" s="276">
        <f t="shared" si="411"/>
        <v>1.4446468634896419</v>
      </c>
      <c r="P462" s="276">
        <f t="shared" si="412"/>
        <v>1.9782143518944808</v>
      </c>
      <c r="Q462" s="276">
        <f t="shared" si="413"/>
        <v>1.2440413113825912</v>
      </c>
      <c r="R462" s="276">
        <f t="shared" si="414"/>
        <v>0.96243115145221725</v>
      </c>
      <c r="S462" s="686">
        <f t="shared" si="415"/>
        <v>1.3866596980332926</v>
      </c>
      <c r="T462" s="685">
        <f t="shared" si="416"/>
        <v>4.7985921788359143</v>
      </c>
      <c r="U462" s="276">
        <f t="shared" si="417"/>
        <v>4.4350453161990107</v>
      </c>
      <c r="V462" s="276">
        <f t="shared" si="418"/>
        <v>3.1063185651398255</v>
      </c>
      <c r="W462" s="276">
        <f t="shared" si="419"/>
        <v>4.3517795575944813</v>
      </c>
      <c r="X462" s="276">
        <f t="shared" si="420"/>
        <v>6.2103589158287829</v>
      </c>
      <c r="Y462" s="686">
        <f t="shared" si="421"/>
        <v>5.7775927216313185</v>
      </c>
      <c r="Z462" s="685" t="e">
        <f t="shared" si="422"/>
        <v>#DIV/0!</v>
      </c>
      <c r="AA462" s="276" t="e">
        <f t="shared" si="423"/>
        <v>#DIV/0!</v>
      </c>
      <c r="AB462" s="276" t="e">
        <f t="shared" si="424"/>
        <v>#DIV/0!</v>
      </c>
      <c r="AC462" s="276" t="e">
        <f t="shared" si="425"/>
        <v>#DIV/0!</v>
      </c>
      <c r="AD462" s="276" t="e">
        <f t="shared" si="426"/>
        <v>#DIV/0!</v>
      </c>
      <c r="AE462" s="686" t="e">
        <f t="shared" si="427"/>
        <v>#DIV/0!</v>
      </c>
      <c r="AF462" s="239"/>
      <c r="AG462" s="965" t="e">
        <f t="shared" si="398"/>
        <v>#VALUE!</v>
      </c>
      <c r="AH462" s="878" t="e">
        <f t="shared" si="399"/>
        <v>#VALUE!</v>
      </c>
      <c r="AI462" s="878" t="e">
        <f t="shared" si="400"/>
        <v>#VALUE!</v>
      </c>
      <c r="AJ462" s="878" t="e">
        <f t="shared" si="401"/>
        <v>#VALUE!</v>
      </c>
      <c r="AK462" s="878" t="e">
        <f t="shared" si="402"/>
        <v>#VALUE!</v>
      </c>
      <c r="AL462" s="966" t="e">
        <f t="shared" si="403"/>
        <v>#VALUE!</v>
      </c>
      <c r="AM462" s="239"/>
      <c r="AO462" s="685">
        <f t="shared" si="428"/>
        <v>-6.2225547497981299</v>
      </c>
      <c r="AP462" s="276">
        <f t="shared" si="429"/>
        <v>-0.148900470212604</v>
      </c>
      <c r="AQ462" s="276">
        <f t="shared" si="430"/>
        <v>0.67340903034600652</v>
      </c>
      <c r="AR462" s="276">
        <f t="shared" si="431"/>
        <v>-0.80303091461810205</v>
      </c>
      <c r="AS462" s="276">
        <f t="shared" si="432"/>
        <v>0.63202321033701803</v>
      </c>
      <c r="AT462" s="276">
        <f t="shared" si="433"/>
        <v>-0.25819100401802975</v>
      </c>
      <c r="AU462" s="685">
        <f t="shared" si="434"/>
        <v>1.2145058796138344</v>
      </c>
      <c r="AV462" s="276">
        <f t="shared" si="435"/>
        <v>1.4446468634896419</v>
      </c>
      <c r="AW462" s="276">
        <f t="shared" si="436"/>
        <v>1.9782143518944808</v>
      </c>
      <c r="AX462" s="276">
        <f t="shared" si="437"/>
        <v>1.2440413113825912</v>
      </c>
      <c r="AY462" s="276">
        <f t="shared" si="438"/>
        <v>0.96243115145221725</v>
      </c>
      <c r="AZ462" s="686">
        <f t="shared" si="439"/>
        <v>1.3866596980332926</v>
      </c>
      <c r="BA462" s="685">
        <f t="shared" si="440"/>
        <v>0</v>
      </c>
      <c r="BB462" s="276">
        <f t="shared" si="441"/>
        <v>0</v>
      </c>
      <c r="BC462" s="276">
        <f t="shared" si="442"/>
        <v>0</v>
      </c>
      <c r="BD462" s="276">
        <f t="shared" si="443"/>
        <v>0</v>
      </c>
      <c r="BE462" s="276">
        <f t="shared" si="444"/>
        <v>0</v>
      </c>
      <c r="BF462" s="686">
        <f t="shared" si="445"/>
        <v>0</v>
      </c>
      <c r="BG462" s="685" t="e">
        <f t="shared" si="446"/>
        <v>#DIV/0!</v>
      </c>
      <c r="BH462" s="276" t="e">
        <f t="shared" si="447"/>
        <v>#DIV/0!</v>
      </c>
      <c r="BI462" s="276" t="e">
        <f t="shared" si="448"/>
        <v>#DIV/0!</v>
      </c>
      <c r="BJ462" s="276" t="e">
        <f t="shared" si="449"/>
        <v>#DIV/0!</v>
      </c>
      <c r="BK462" s="276" t="e">
        <f t="shared" si="450"/>
        <v>#DIV/0!</v>
      </c>
      <c r="BL462" s="686" t="e">
        <f t="shared" si="451"/>
        <v>#DIV/0!</v>
      </c>
      <c r="BM462" s="239"/>
      <c r="BN462" s="965" t="e">
        <f t="shared" si="452"/>
        <v>#VALUE!</v>
      </c>
      <c r="BO462" s="878" t="e">
        <f t="shared" si="453"/>
        <v>#VALUE!</v>
      </c>
      <c r="BP462" s="878" t="e">
        <f t="shared" si="454"/>
        <v>#VALUE!</v>
      </c>
      <c r="BQ462" s="878" t="e">
        <f t="shared" si="455"/>
        <v>#VALUE!</v>
      </c>
      <c r="BR462" s="878" t="e">
        <f t="shared" si="456"/>
        <v>#VALUE!</v>
      </c>
      <c r="BS462" s="966" t="e">
        <f t="shared" si="457"/>
        <v>#VALUE!</v>
      </c>
    </row>
    <row r="463" spans="1:71">
      <c r="A463" s="284">
        <f t="shared" si="458"/>
        <v>395</v>
      </c>
      <c r="B463" s="285">
        <v>-3.6529697251865922</v>
      </c>
      <c r="C463" s="285">
        <v>2.1798788731233527</v>
      </c>
      <c r="D463" s="285">
        <v>1.253399822125026</v>
      </c>
      <c r="E463" s="285">
        <v>-1.439433891103036</v>
      </c>
      <c r="H463" s="685">
        <f t="shared" si="404"/>
        <v>-4.7862035669556473</v>
      </c>
      <c r="I463" s="276">
        <f t="shared" si="405"/>
        <v>0.338963905288723</v>
      </c>
      <c r="J463" s="276">
        <f t="shared" si="406"/>
        <v>-5.3049623172746703</v>
      </c>
      <c r="K463" s="276">
        <f t="shared" si="407"/>
        <v>-3.0628425287865939</v>
      </c>
      <c r="L463" s="276">
        <f t="shared" si="408"/>
        <v>1.0319223787137852</v>
      </c>
      <c r="M463" s="276">
        <f t="shared" si="409"/>
        <v>1.5969057004985678</v>
      </c>
      <c r="N463" s="685">
        <f t="shared" si="410"/>
        <v>0.9727076621514843</v>
      </c>
      <c r="O463" s="276">
        <f t="shared" si="411"/>
        <v>0.74564017002061456</v>
      </c>
      <c r="P463" s="276">
        <f t="shared" si="412"/>
        <v>0.26475552893767418</v>
      </c>
      <c r="Q463" s="276">
        <f t="shared" si="413"/>
        <v>0.82131767020566815</v>
      </c>
      <c r="R463" s="276">
        <f t="shared" si="414"/>
        <v>2.1873010861098745</v>
      </c>
      <c r="S463" s="686">
        <f t="shared" si="415"/>
        <v>1.8078703762429293</v>
      </c>
      <c r="T463" s="685">
        <f t="shared" si="416"/>
        <v>4.5317635123959521</v>
      </c>
      <c r="U463" s="276">
        <f t="shared" si="417"/>
        <v>4.4775892073222732</v>
      </c>
      <c r="V463" s="276">
        <f t="shared" si="418"/>
        <v>3.9523158028181911</v>
      </c>
      <c r="W463" s="276">
        <f t="shared" si="419"/>
        <v>4.9263394468916797</v>
      </c>
      <c r="X463" s="276">
        <f t="shared" si="420"/>
        <v>4.8408618176971485</v>
      </c>
      <c r="Y463" s="686">
        <f t="shared" si="421"/>
        <v>5.3861498071613827</v>
      </c>
      <c r="Z463" s="685" t="e">
        <f t="shared" si="422"/>
        <v>#DIV/0!</v>
      </c>
      <c r="AA463" s="276" t="e">
        <f t="shared" si="423"/>
        <v>#DIV/0!</v>
      </c>
      <c r="AB463" s="276" t="e">
        <f t="shared" si="424"/>
        <v>#DIV/0!</v>
      </c>
      <c r="AC463" s="276" t="e">
        <f t="shared" si="425"/>
        <v>#DIV/0!</v>
      </c>
      <c r="AD463" s="276" t="e">
        <f t="shared" si="426"/>
        <v>#DIV/0!</v>
      </c>
      <c r="AE463" s="686" t="e">
        <f t="shared" si="427"/>
        <v>#DIV/0!</v>
      </c>
      <c r="AF463" s="239"/>
      <c r="AG463" s="965" t="e">
        <f t="shared" si="398"/>
        <v>#VALUE!</v>
      </c>
      <c r="AH463" s="878" t="e">
        <f t="shared" si="399"/>
        <v>#VALUE!</v>
      </c>
      <c r="AI463" s="878" t="e">
        <f t="shared" si="400"/>
        <v>#VALUE!</v>
      </c>
      <c r="AJ463" s="878" t="e">
        <f t="shared" si="401"/>
        <v>#VALUE!</v>
      </c>
      <c r="AK463" s="878" t="e">
        <f t="shared" si="402"/>
        <v>#VALUE!</v>
      </c>
      <c r="AL463" s="966" t="e">
        <f t="shared" si="403"/>
        <v>#VALUE!</v>
      </c>
      <c r="AM463" s="239"/>
      <c r="AO463" s="685">
        <f t="shared" si="428"/>
        <v>-4.7862035669556473</v>
      </c>
      <c r="AP463" s="276">
        <f t="shared" si="429"/>
        <v>0.338963905288723</v>
      </c>
      <c r="AQ463" s="276">
        <f t="shared" si="430"/>
        <v>-5.3049623172746703</v>
      </c>
      <c r="AR463" s="276">
        <f t="shared" si="431"/>
        <v>-3.0628425287865939</v>
      </c>
      <c r="AS463" s="276">
        <f t="shared" si="432"/>
        <v>1.0319223787137852</v>
      </c>
      <c r="AT463" s="276">
        <f t="shared" si="433"/>
        <v>1.5969057004985678</v>
      </c>
      <c r="AU463" s="685">
        <f t="shared" si="434"/>
        <v>0.9727076621514843</v>
      </c>
      <c r="AV463" s="276">
        <f t="shared" si="435"/>
        <v>0.74564017002061456</v>
      </c>
      <c r="AW463" s="276">
        <f t="shared" si="436"/>
        <v>0.26475552893767418</v>
      </c>
      <c r="AX463" s="276">
        <f t="shared" si="437"/>
        <v>0.82131767020566815</v>
      </c>
      <c r="AY463" s="276">
        <f t="shared" si="438"/>
        <v>2.1873010861098745</v>
      </c>
      <c r="AZ463" s="686">
        <f t="shared" si="439"/>
        <v>1.8078703762429293</v>
      </c>
      <c r="BA463" s="685">
        <f t="shared" si="440"/>
        <v>0</v>
      </c>
      <c r="BB463" s="276">
        <f t="shared" si="441"/>
        <v>0</v>
      </c>
      <c r="BC463" s="276">
        <f t="shared" si="442"/>
        <v>0</v>
      </c>
      <c r="BD463" s="276">
        <f t="shared" si="443"/>
        <v>0</v>
      </c>
      <c r="BE463" s="276">
        <f t="shared" si="444"/>
        <v>0</v>
      </c>
      <c r="BF463" s="686">
        <f t="shared" si="445"/>
        <v>0</v>
      </c>
      <c r="BG463" s="685" t="e">
        <f t="shared" si="446"/>
        <v>#DIV/0!</v>
      </c>
      <c r="BH463" s="276" t="e">
        <f t="shared" si="447"/>
        <v>#DIV/0!</v>
      </c>
      <c r="BI463" s="276" t="e">
        <f t="shared" si="448"/>
        <v>#DIV/0!</v>
      </c>
      <c r="BJ463" s="276" t="e">
        <f t="shared" si="449"/>
        <v>#DIV/0!</v>
      </c>
      <c r="BK463" s="276" t="e">
        <f t="shared" si="450"/>
        <v>#DIV/0!</v>
      </c>
      <c r="BL463" s="686" t="e">
        <f t="shared" si="451"/>
        <v>#DIV/0!</v>
      </c>
      <c r="BM463" s="239"/>
      <c r="BN463" s="965" t="e">
        <f t="shared" si="452"/>
        <v>#VALUE!</v>
      </c>
      <c r="BO463" s="878" t="e">
        <f t="shared" si="453"/>
        <v>#VALUE!</v>
      </c>
      <c r="BP463" s="878" t="e">
        <f t="shared" si="454"/>
        <v>#VALUE!</v>
      </c>
      <c r="BQ463" s="878" t="e">
        <f t="shared" si="455"/>
        <v>#VALUE!</v>
      </c>
      <c r="BR463" s="878" t="e">
        <f t="shared" si="456"/>
        <v>#VALUE!</v>
      </c>
      <c r="BS463" s="966" t="e">
        <f t="shared" si="457"/>
        <v>#VALUE!</v>
      </c>
    </row>
    <row r="464" spans="1:71">
      <c r="A464" s="284">
        <f t="shared" si="458"/>
        <v>396</v>
      </c>
      <c r="B464" s="285">
        <v>2.1861512949615993</v>
      </c>
      <c r="C464" s="285">
        <v>2.642728069538153</v>
      </c>
      <c r="D464" s="285">
        <v>0.17348288963535063</v>
      </c>
      <c r="E464" s="285">
        <v>-7.7238695249297447</v>
      </c>
      <c r="H464" s="685">
        <f t="shared" si="404"/>
        <v>1.0529174531925445</v>
      </c>
      <c r="I464" s="276">
        <f t="shared" si="405"/>
        <v>-1.4094817503794108</v>
      </c>
      <c r="J464" s="276">
        <f t="shared" si="406"/>
        <v>-0.45158540710108996</v>
      </c>
      <c r="K464" s="276">
        <f t="shared" si="407"/>
        <v>1.0173821702434218</v>
      </c>
      <c r="L464" s="276">
        <f t="shared" si="408"/>
        <v>1.903035854797164</v>
      </c>
      <c r="M464" s="276">
        <f t="shared" si="409"/>
        <v>-4.9378716059877119</v>
      </c>
      <c r="N464" s="685">
        <f t="shared" si="410"/>
        <v>1.4355568585662846</v>
      </c>
      <c r="O464" s="276">
        <f t="shared" si="411"/>
        <v>1.4272139703500166</v>
      </c>
      <c r="P464" s="276">
        <f t="shared" si="412"/>
        <v>1.2077784351126557</v>
      </c>
      <c r="Q464" s="276">
        <f t="shared" si="413"/>
        <v>1.818818456700009</v>
      </c>
      <c r="R464" s="276">
        <f t="shared" si="414"/>
        <v>1.5259267459590606</v>
      </c>
      <c r="S464" s="686">
        <f t="shared" si="415"/>
        <v>1.4190024139374613</v>
      </c>
      <c r="T464" s="685">
        <f t="shared" si="416"/>
        <v>3.4518465799062765</v>
      </c>
      <c r="U464" s="276">
        <f t="shared" si="417"/>
        <v>4.4312202686392501</v>
      </c>
      <c r="V464" s="276">
        <f t="shared" si="418"/>
        <v>3.3529560101759968</v>
      </c>
      <c r="W464" s="276">
        <f t="shared" si="419"/>
        <v>5.2642635276665466</v>
      </c>
      <c r="X464" s="276">
        <f t="shared" si="420"/>
        <v>4.0471480457579956</v>
      </c>
      <c r="Y464" s="686">
        <f t="shared" si="421"/>
        <v>3.6031856885763851</v>
      </c>
      <c r="Z464" s="685" t="e">
        <f t="shared" si="422"/>
        <v>#DIV/0!</v>
      </c>
      <c r="AA464" s="276" t="e">
        <f t="shared" si="423"/>
        <v>#DIV/0!</v>
      </c>
      <c r="AB464" s="276" t="e">
        <f t="shared" si="424"/>
        <v>#DIV/0!</v>
      </c>
      <c r="AC464" s="276" t="e">
        <f t="shared" si="425"/>
        <v>#DIV/0!</v>
      </c>
      <c r="AD464" s="276" t="e">
        <f t="shared" si="426"/>
        <v>#DIV/0!</v>
      </c>
      <c r="AE464" s="686" t="e">
        <f t="shared" si="427"/>
        <v>#DIV/0!</v>
      </c>
      <c r="AF464" s="239"/>
      <c r="AG464" s="965" t="e">
        <f t="shared" si="398"/>
        <v>#VALUE!</v>
      </c>
      <c r="AH464" s="878" t="e">
        <f t="shared" si="399"/>
        <v>#VALUE!</v>
      </c>
      <c r="AI464" s="878" t="e">
        <f t="shared" si="400"/>
        <v>#VALUE!</v>
      </c>
      <c r="AJ464" s="878" t="e">
        <f t="shared" si="401"/>
        <v>#VALUE!</v>
      </c>
      <c r="AK464" s="878" t="e">
        <f t="shared" si="402"/>
        <v>#VALUE!</v>
      </c>
      <c r="AL464" s="966" t="e">
        <f t="shared" si="403"/>
        <v>#VALUE!</v>
      </c>
      <c r="AM464" s="239"/>
      <c r="AO464" s="685">
        <f t="shared" si="428"/>
        <v>1.0529174531925445</v>
      </c>
      <c r="AP464" s="276">
        <f t="shared" si="429"/>
        <v>-1.4094817503794108</v>
      </c>
      <c r="AQ464" s="276">
        <f t="shared" si="430"/>
        <v>-0.45158540710108996</v>
      </c>
      <c r="AR464" s="276">
        <f t="shared" si="431"/>
        <v>1.0173821702434218</v>
      </c>
      <c r="AS464" s="276">
        <f t="shared" si="432"/>
        <v>1.903035854797164</v>
      </c>
      <c r="AT464" s="276">
        <f t="shared" si="433"/>
        <v>-4.9378716059877119</v>
      </c>
      <c r="AU464" s="685">
        <f t="shared" si="434"/>
        <v>1.4355568585662846</v>
      </c>
      <c r="AV464" s="276">
        <f t="shared" si="435"/>
        <v>1.4272139703500166</v>
      </c>
      <c r="AW464" s="276">
        <f t="shared" si="436"/>
        <v>1.2077784351126557</v>
      </c>
      <c r="AX464" s="276">
        <f t="shared" si="437"/>
        <v>1.818818456700009</v>
      </c>
      <c r="AY464" s="276">
        <f t="shared" si="438"/>
        <v>1.5259267459590606</v>
      </c>
      <c r="AZ464" s="686">
        <f t="shared" si="439"/>
        <v>1.4190024139374613</v>
      </c>
      <c r="BA464" s="685">
        <f t="shared" si="440"/>
        <v>0</v>
      </c>
      <c r="BB464" s="276">
        <f t="shared" si="441"/>
        <v>0</v>
      </c>
      <c r="BC464" s="276">
        <f t="shared" si="442"/>
        <v>0</v>
      </c>
      <c r="BD464" s="276">
        <f t="shared" si="443"/>
        <v>0</v>
      </c>
      <c r="BE464" s="276">
        <f t="shared" si="444"/>
        <v>0</v>
      </c>
      <c r="BF464" s="686">
        <f t="shared" si="445"/>
        <v>0</v>
      </c>
      <c r="BG464" s="685" t="e">
        <f t="shared" si="446"/>
        <v>#DIV/0!</v>
      </c>
      <c r="BH464" s="276" t="e">
        <f t="shared" si="447"/>
        <v>#DIV/0!</v>
      </c>
      <c r="BI464" s="276" t="e">
        <f t="shared" si="448"/>
        <v>#DIV/0!</v>
      </c>
      <c r="BJ464" s="276" t="e">
        <f t="shared" si="449"/>
        <v>#DIV/0!</v>
      </c>
      <c r="BK464" s="276" t="e">
        <f t="shared" si="450"/>
        <v>#DIV/0!</v>
      </c>
      <c r="BL464" s="686" t="e">
        <f t="shared" si="451"/>
        <v>#DIV/0!</v>
      </c>
      <c r="BM464" s="239"/>
      <c r="BN464" s="965" t="e">
        <f t="shared" si="452"/>
        <v>#VALUE!</v>
      </c>
      <c r="BO464" s="878" t="e">
        <f t="shared" si="453"/>
        <v>#VALUE!</v>
      </c>
      <c r="BP464" s="878" t="e">
        <f t="shared" si="454"/>
        <v>#VALUE!</v>
      </c>
      <c r="BQ464" s="878" t="e">
        <f t="shared" si="455"/>
        <v>#VALUE!</v>
      </c>
      <c r="BR464" s="878" t="e">
        <f t="shared" si="456"/>
        <v>#VALUE!</v>
      </c>
      <c r="BS464" s="966" t="e">
        <f t="shared" si="457"/>
        <v>#VALUE!</v>
      </c>
    </row>
    <row r="465" spans="1:71">
      <c r="A465" s="284">
        <f t="shared" si="458"/>
        <v>397</v>
      </c>
      <c r="B465" s="285">
        <v>0.89712065029608701</v>
      </c>
      <c r="C465" s="285">
        <v>2.8288356830335437</v>
      </c>
      <c r="D465" s="285">
        <v>-0.21287192881403394</v>
      </c>
      <c r="E465" s="285">
        <v>0.14737042019574886</v>
      </c>
      <c r="H465" s="685">
        <f t="shared" si="404"/>
        <v>-0.23611319147296783</v>
      </c>
      <c r="I465" s="276">
        <f t="shared" si="405"/>
        <v>-3.2014475794393853</v>
      </c>
      <c r="J465" s="276">
        <f t="shared" si="406"/>
        <v>1.2886091013854963</v>
      </c>
      <c r="K465" s="276">
        <f t="shared" si="407"/>
        <v>-3.6072983764405224</v>
      </c>
      <c r="L465" s="276">
        <f t="shared" si="408"/>
        <v>-1.5282961830564548</v>
      </c>
      <c r="M465" s="276">
        <f t="shared" si="409"/>
        <v>-1.3822594309679563</v>
      </c>
      <c r="N465" s="685">
        <f t="shared" si="410"/>
        <v>1.6216644720616753</v>
      </c>
      <c r="O465" s="276">
        <f t="shared" si="411"/>
        <v>0.82228430454293266</v>
      </c>
      <c r="P465" s="276">
        <f t="shared" si="412"/>
        <v>2.2985223311402994</v>
      </c>
      <c r="Q465" s="276">
        <f t="shared" si="413"/>
        <v>0.54664901335148053</v>
      </c>
      <c r="R465" s="276">
        <f t="shared" si="414"/>
        <v>1.2689190368424128</v>
      </c>
      <c r="S465" s="686">
        <f t="shared" si="415"/>
        <v>0.95971993995429528</v>
      </c>
      <c r="T465" s="685">
        <f t="shared" si="416"/>
        <v>3.065491761456892</v>
      </c>
      <c r="U465" s="276">
        <f t="shared" si="417"/>
        <v>5.122269200222564</v>
      </c>
      <c r="V465" s="276">
        <f t="shared" si="418"/>
        <v>2.6640313247838572</v>
      </c>
      <c r="W465" s="276">
        <f t="shared" si="419"/>
        <v>3.2873723874012937</v>
      </c>
      <c r="X465" s="276">
        <f t="shared" si="420"/>
        <v>6.0834705918582062</v>
      </c>
      <c r="Y465" s="686">
        <f t="shared" si="421"/>
        <v>5.3539976109372009</v>
      </c>
      <c r="Z465" s="685" t="e">
        <f t="shared" si="422"/>
        <v>#DIV/0!</v>
      </c>
      <c r="AA465" s="276" t="e">
        <f t="shared" si="423"/>
        <v>#DIV/0!</v>
      </c>
      <c r="AB465" s="276" t="e">
        <f t="shared" si="424"/>
        <v>#DIV/0!</v>
      </c>
      <c r="AC465" s="276" t="e">
        <f t="shared" si="425"/>
        <v>#DIV/0!</v>
      </c>
      <c r="AD465" s="276" t="e">
        <f t="shared" si="426"/>
        <v>#DIV/0!</v>
      </c>
      <c r="AE465" s="686" t="e">
        <f t="shared" si="427"/>
        <v>#DIV/0!</v>
      </c>
      <c r="AF465" s="239"/>
      <c r="AG465" s="965" t="e">
        <f t="shared" si="398"/>
        <v>#VALUE!</v>
      </c>
      <c r="AH465" s="878" t="e">
        <f t="shared" si="399"/>
        <v>#VALUE!</v>
      </c>
      <c r="AI465" s="878" t="e">
        <f t="shared" si="400"/>
        <v>#VALUE!</v>
      </c>
      <c r="AJ465" s="878" t="e">
        <f t="shared" si="401"/>
        <v>#VALUE!</v>
      </c>
      <c r="AK465" s="878" t="e">
        <f t="shared" si="402"/>
        <v>#VALUE!</v>
      </c>
      <c r="AL465" s="966" t="e">
        <f t="shared" si="403"/>
        <v>#VALUE!</v>
      </c>
      <c r="AM465" s="239"/>
      <c r="AO465" s="685">
        <f t="shared" si="428"/>
        <v>-0.23611319147296783</v>
      </c>
      <c r="AP465" s="276">
        <f t="shared" si="429"/>
        <v>-3.2014475794393853</v>
      </c>
      <c r="AQ465" s="276">
        <f t="shared" si="430"/>
        <v>1.2886091013854963</v>
      </c>
      <c r="AR465" s="276">
        <f t="shared" si="431"/>
        <v>-3.6072983764405224</v>
      </c>
      <c r="AS465" s="276">
        <f t="shared" si="432"/>
        <v>-1.5282961830564548</v>
      </c>
      <c r="AT465" s="276">
        <f t="shared" si="433"/>
        <v>-1.3822594309679563</v>
      </c>
      <c r="AU465" s="685">
        <f t="shared" si="434"/>
        <v>1.6216644720616753</v>
      </c>
      <c r="AV465" s="276">
        <f t="shared" si="435"/>
        <v>0.82228430454293266</v>
      </c>
      <c r="AW465" s="276">
        <f t="shared" si="436"/>
        <v>2.2985223311402994</v>
      </c>
      <c r="AX465" s="276">
        <f t="shared" si="437"/>
        <v>0.54664901335148053</v>
      </c>
      <c r="AY465" s="276">
        <f t="shared" si="438"/>
        <v>1.2689190368424128</v>
      </c>
      <c r="AZ465" s="686">
        <f t="shared" si="439"/>
        <v>0.95971993995429528</v>
      </c>
      <c r="BA465" s="685">
        <f t="shared" si="440"/>
        <v>0</v>
      </c>
      <c r="BB465" s="276">
        <f t="shared" si="441"/>
        <v>0</v>
      </c>
      <c r="BC465" s="276">
        <f t="shared" si="442"/>
        <v>0</v>
      </c>
      <c r="BD465" s="276">
        <f t="shared" si="443"/>
        <v>0</v>
      </c>
      <c r="BE465" s="276">
        <f t="shared" si="444"/>
        <v>0</v>
      </c>
      <c r="BF465" s="686">
        <f t="shared" si="445"/>
        <v>0</v>
      </c>
      <c r="BG465" s="685" t="e">
        <f t="shared" si="446"/>
        <v>#DIV/0!</v>
      </c>
      <c r="BH465" s="276" t="e">
        <f t="shared" si="447"/>
        <v>#DIV/0!</v>
      </c>
      <c r="BI465" s="276" t="e">
        <f t="shared" si="448"/>
        <v>#DIV/0!</v>
      </c>
      <c r="BJ465" s="276" t="e">
        <f t="shared" si="449"/>
        <v>#DIV/0!</v>
      </c>
      <c r="BK465" s="276" t="e">
        <f t="shared" si="450"/>
        <v>#DIV/0!</v>
      </c>
      <c r="BL465" s="686" t="e">
        <f t="shared" si="451"/>
        <v>#DIV/0!</v>
      </c>
      <c r="BM465" s="239"/>
      <c r="BN465" s="965" t="e">
        <f t="shared" si="452"/>
        <v>#VALUE!</v>
      </c>
      <c r="BO465" s="878" t="e">
        <f t="shared" si="453"/>
        <v>#VALUE!</v>
      </c>
      <c r="BP465" s="878" t="e">
        <f t="shared" si="454"/>
        <v>#VALUE!</v>
      </c>
      <c r="BQ465" s="878" t="e">
        <f t="shared" si="455"/>
        <v>#VALUE!</v>
      </c>
      <c r="BR465" s="878" t="e">
        <f t="shared" si="456"/>
        <v>#VALUE!</v>
      </c>
      <c r="BS465" s="966" t="e">
        <f t="shared" si="457"/>
        <v>#VALUE!</v>
      </c>
    </row>
    <row r="466" spans="1:71">
      <c r="A466" s="284">
        <f t="shared" si="458"/>
        <v>398</v>
      </c>
      <c r="B466" s="285">
        <v>-1.1775336794349003</v>
      </c>
      <c r="C466" s="285">
        <v>2.0472485871377528</v>
      </c>
      <c r="D466" s="285">
        <v>3.1648295036008474</v>
      </c>
      <c r="E466" s="285">
        <v>-10.875913879954568</v>
      </c>
      <c r="H466" s="685">
        <f t="shared" si="404"/>
        <v>-2.3107675212039549</v>
      </c>
      <c r="I466" s="276">
        <f t="shared" si="405"/>
        <v>-0.41427767132491333</v>
      </c>
      <c r="J466" s="276">
        <f t="shared" si="406"/>
        <v>1.3093655101727648</v>
      </c>
      <c r="K466" s="276">
        <f t="shared" si="407"/>
        <v>-3.6932509714169974</v>
      </c>
      <c r="L466" s="276">
        <f t="shared" si="408"/>
        <v>1.7331455106527727</v>
      </c>
      <c r="M466" s="276">
        <f t="shared" si="409"/>
        <v>-1.7806974769743775</v>
      </c>
      <c r="N466" s="685">
        <f t="shared" si="410"/>
        <v>0.8400773761658844</v>
      </c>
      <c r="O466" s="276">
        <f t="shared" si="411"/>
        <v>1.4301545851733326</v>
      </c>
      <c r="P466" s="276">
        <f t="shared" si="412"/>
        <v>1.2481072539371192</v>
      </c>
      <c r="Q466" s="276">
        <f t="shared" si="413"/>
        <v>1.1493217295089255</v>
      </c>
      <c r="R466" s="276">
        <f t="shared" si="414"/>
        <v>1.3201073661362737</v>
      </c>
      <c r="S466" s="686">
        <f t="shared" si="415"/>
        <v>1.5827458011966489</v>
      </c>
      <c r="T466" s="685">
        <f t="shared" si="416"/>
        <v>6.4431931938717728</v>
      </c>
      <c r="U466" s="276">
        <f t="shared" si="417"/>
        <v>5.8262074052414476</v>
      </c>
      <c r="V466" s="276">
        <f t="shared" si="418"/>
        <v>3.1309415945504457</v>
      </c>
      <c r="W466" s="276">
        <f t="shared" si="419"/>
        <v>2.507258550989345</v>
      </c>
      <c r="X466" s="276">
        <f t="shared" si="420"/>
        <v>5.1561695506521676</v>
      </c>
      <c r="Y466" s="686">
        <f t="shared" si="421"/>
        <v>3.460035540377504</v>
      </c>
      <c r="Z466" s="685" t="e">
        <f t="shared" si="422"/>
        <v>#DIV/0!</v>
      </c>
      <c r="AA466" s="276" t="e">
        <f t="shared" si="423"/>
        <v>#DIV/0!</v>
      </c>
      <c r="AB466" s="276" t="e">
        <f t="shared" si="424"/>
        <v>#DIV/0!</v>
      </c>
      <c r="AC466" s="276" t="e">
        <f t="shared" si="425"/>
        <v>#DIV/0!</v>
      </c>
      <c r="AD466" s="276" t="e">
        <f t="shared" si="426"/>
        <v>#DIV/0!</v>
      </c>
      <c r="AE466" s="686" t="e">
        <f t="shared" si="427"/>
        <v>#DIV/0!</v>
      </c>
      <c r="AF466" s="239"/>
      <c r="AG466" s="965" t="e">
        <f t="shared" si="398"/>
        <v>#VALUE!</v>
      </c>
      <c r="AH466" s="878" t="e">
        <f t="shared" si="399"/>
        <v>#VALUE!</v>
      </c>
      <c r="AI466" s="878" t="e">
        <f t="shared" si="400"/>
        <v>#VALUE!</v>
      </c>
      <c r="AJ466" s="878" t="e">
        <f t="shared" si="401"/>
        <v>#VALUE!</v>
      </c>
      <c r="AK466" s="878" t="e">
        <f t="shared" si="402"/>
        <v>#VALUE!</v>
      </c>
      <c r="AL466" s="966" t="e">
        <f t="shared" si="403"/>
        <v>#VALUE!</v>
      </c>
      <c r="AM466" s="239"/>
      <c r="AO466" s="685">
        <f t="shared" si="428"/>
        <v>-2.3107675212039549</v>
      </c>
      <c r="AP466" s="276">
        <f t="shared" si="429"/>
        <v>-0.41427767132491333</v>
      </c>
      <c r="AQ466" s="276">
        <f t="shared" si="430"/>
        <v>1.3093655101727648</v>
      </c>
      <c r="AR466" s="276">
        <f t="shared" si="431"/>
        <v>-3.6932509714169974</v>
      </c>
      <c r="AS466" s="276">
        <f t="shared" si="432"/>
        <v>1.7331455106527727</v>
      </c>
      <c r="AT466" s="276">
        <f t="shared" si="433"/>
        <v>-1.7806974769743775</v>
      </c>
      <c r="AU466" s="685">
        <f t="shared" si="434"/>
        <v>0.8400773761658844</v>
      </c>
      <c r="AV466" s="276">
        <f t="shared" si="435"/>
        <v>1.4301545851733326</v>
      </c>
      <c r="AW466" s="276">
        <f t="shared" si="436"/>
        <v>1.2481072539371192</v>
      </c>
      <c r="AX466" s="276">
        <f t="shared" si="437"/>
        <v>1.1493217295089255</v>
      </c>
      <c r="AY466" s="276">
        <f t="shared" si="438"/>
        <v>1.3201073661362737</v>
      </c>
      <c r="AZ466" s="686">
        <f t="shared" si="439"/>
        <v>1.5827458011966489</v>
      </c>
      <c r="BA466" s="685">
        <f t="shared" si="440"/>
        <v>0</v>
      </c>
      <c r="BB466" s="276">
        <f t="shared" si="441"/>
        <v>0</v>
      </c>
      <c r="BC466" s="276">
        <f t="shared" si="442"/>
        <v>0</v>
      </c>
      <c r="BD466" s="276">
        <f t="shared" si="443"/>
        <v>0</v>
      </c>
      <c r="BE466" s="276">
        <f t="shared" si="444"/>
        <v>0</v>
      </c>
      <c r="BF466" s="686">
        <f t="shared" si="445"/>
        <v>0</v>
      </c>
      <c r="BG466" s="685" t="e">
        <f t="shared" si="446"/>
        <v>#DIV/0!</v>
      </c>
      <c r="BH466" s="276" t="e">
        <f t="shared" si="447"/>
        <v>#DIV/0!</v>
      </c>
      <c r="BI466" s="276" t="e">
        <f t="shared" si="448"/>
        <v>#DIV/0!</v>
      </c>
      <c r="BJ466" s="276" t="e">
        <f t="shared" si="449"/>
        <v>#DIV/0!</v>
      </c>
      <c r="BK466" s="276" t="e">
        <f t="shared" si="450"/>
        <v>#DIV/0!</v>
      </c>
      <c r="BL466" s="686" t="e">
        <f t="shared" si="451"/>
        <v>#DIV/0!</v>
      </c>
      <c r="BM466" s="239"/>
      <c r="BN466" s="965" t="e">
        <f t="shared" si="452"/>
        <v>#VALUE!</v>
      </c>
      <c r="BO466" s="878" t="e">
        <f t="shared" si="453"/>
        <v>#VALUE!</v>
      </c>
      <c r="BP466" s="878" t="e">
        <f t="shared" si="454"/>
        <v>#VALUE!</v>
      </c>
      <c r="BQ466" s="878" t="e">
        <f t="shared" si="455"/>
        <v>#VALUE!</v>
      </c>
      <c r="BR466" s="878" t="e">
        <f t="shared" si="456"/>
        <v>#VALUE!</v>
      </c>
      <c r="BS466" s="966" t="e">
        <f t="shared" si="457"/>
        <v>#VALUE!</v>
      </c>
    </row>
    <row r="467" spans="1:71">
      <c r="A467" s="284">
        <f t="shared" si="458"/>
        <v>399</v>
      </c>
      <c r="B467" s="285">
        <v>0.27329854169017281</v>
      </c>
      <c r="C467" s="285">
        <v>2.6867956119348282</v>
      </c>
      <c r="D467" s="285">
        <v>0.23044277183857897</v>
      </c>
      <c r="E467" s="285">
        <v>-3.6582277863807819</v>
      </c>
      <c r="H467" s="685">
        <f t="shared" si="404"/>
        <v>-0.85993530007888208</v>
      </c>
      <c r="I467" s="276">
        <f t="shared" si="405"/>
        <v>-0.31915797565352089</v>
      </c>
      <c r="J467" s="276">
        <f t="shared" si="406"/>
        <v>-0.68211640514380945</v>
      </c>
      <c r="K467" s="276">
        <f t="shared" si="407"/>
        <v>0.10857914869358298</v>
      </c>
      <c r="L467" s="276">
        <f t="shared" si="408"/>
        <v>-0.79139822531499326</v>
      </c>
      <c r="M467" s="276">
        <f t="shared" si="409"/>
        <v>-4.5983424044592285</v>
      </c>
      <c r="N467" s="685">
        <f t="shared" si="410"/>
        <v>1.4796244009629598</v>
      </c>
      <c r="O467" s="276">
        <f t="shared" si="411"/>
        <v>0.93943218183208566</v>
      </c>
      <c r="P467" s="276">
        <f t="shared" si="412"/>
        <v>0.64528274834337318</v>
      </c>
      <c r="Q467" s="276">
        <f t="shared" si="413"/>
        <v>1.3245276185321091</v>
      </c>
      <c r="R467" s="276">
        <f t="shared" si="414"/>
        <v>0.84555085339223601</v>
      </c>
      <c r="S467" s="686">
        <f t="shared" si="415"/>
        <v>1.2539257421718608</v>
      </c>
      <c r="T467" s="685">
        <f t="shared" si="416"/>
        <v>3.5088064621095048</v>
      </c>
      <c r="U467" s="276">
        <f t="shared" si="417"/>
        <v>2.3851936304800203</v>
      </c>
      <c r="V467" s="276">
        <f t="shared" si="418"/>
        <v>6.7664096082304672</v>
      </c>
      <c r="W467" s="276">
        <f t="shared" si="419"/>
        <v>4.8111437894532445</v>
      </c>
      <c r="X467" s="276">
        <f t="shared" si="420"/>
        <v>5.8003501798872517</v>
      </c>
      <c r="Y467" s="686">
        <f t="shared" si="421"/>
        <v>2.340836989786284</v>
      </c>
      <c r="Z467" s="685" t="e">
        <f t="shared" si="422"/>
        <v>#DIV/0!</v>
      </c>
      <c r="AA467" s="276" t="e">
        <f t="shared" si="423"/>
        <v>#DIV/0!</v>
      </c>
      <c r="AB467" s="276" t="e">
        <f t="shared" si="424"/>
        <v>#DIV/0!</v>
      </c>
      <c r="AC467" s="276" t="e">
        <f t="shared" si="425"/>
        <v>#DIV/0!</v>
      </c>
      <c r="AD467" s="276" t="e">
        <f t="shared" si="426"/>
        <v>#DIV/0!</v>
      </c>
      <c r="AE467" s="686" t="e">
        <f t="shared" si="427"/>
        <v>#DIV/0!</v>
      </c>
      <c r="AF467" s="239"/>
      <c r="AG467" s="965" t="e">
        <f t="shared" si="398"/>
        <v>#VALUE!</v>
      </c>
      <c r="AH467" s="878" t="e">
        <f t="shared" si="399"/>
        <v>#VALUE!</v>
      </c>
      <c r="AI467" s="878" t="e">
        <f t="shared" si="400"/>
        <v>#VALUE!</v>
      </c>
      <c r="AJ467" s="878" t="e">
        <f t="shared" si="401"/>
        <v>#VALUE!</v>
      </c>
      <c r="AK467" s="878" t="e">
        <f t="shared" si="402"/>
        <v>#VALUE!</v>
      </c>
      <c r="AL467" s="966" t="e">
        <f t="shared" si="403"/>
        <v>#VALUE!</v>
      </c>
      <c r="AM467" s="239"/>
      <c r="AO467" s="685">
        <f t="shared" si="428"/>
        <v>-0.85993530007888208</v>
      </c>
      <c r="AP467" s="276">
        <f t="shared" si="429"/>
        <v>-0.31915797565352089</v>
      </c>
      <c r="AQ467" s="276">
        <f t="shared" si="430"/>
        <v>-0.68211640514380945</v>
      </c>
      <c r="AR467" s="276">
        <f t="shared" si="431"/>
        <v>0.10857914869358298</v>
      </c>
      <c r="AS467" s="276">
        <f t="shared" si="432"/>
        <v>-0.79139822531499326</v>
      </c>
      <c r="AT467" s="276">
        <f t="shared" si="433"/>
        <v>-4.5983424044592285</v>
      </c>
      <c r="AU467" s="685">
        <f t="shared" si="434"/>
        <v>1.4796244009629598</v>
      </c>
      <c r="AV467" s="276">
        <f t="shared" si="435"/>
        <v>0.93943218183208566</v>
      </c>
      <c r="AW467" s="276">
        <f t="shared" si="436"/>
        <v>0.64528274834337318</v>
      </c>
      <c r="AX467" s="276">
        <f t="shared" si="437"/>
        <v>1.3245276185321091</v>
      </c>
      <c r="AY467" s="276">
        <f t="shared" si="438"/>
        <v>0.84555085339223601</v>
      </c>
      <c r="AZ467" s="686">
        <f t="shared" si="439"/>
        <v>1.2539257421718608</v>
      </c>
      <c r="BA467" s="685">
        <f t="shared" si="440"/>
        <v>0</v>
      </c>
      <c r="BB467" s="276">
        <f t="shared" si="441"/>
        <v>0</v>
      </c>
      <c r="BC467" s="276">
        <f t="shared" si="442"/>
        <v>0</v>
      </c>
      <c r="BD467" s="276">
        <f t="shared" si="443"/>
        <v>0</v>
      </c>
      <c r="BE467" s="276">
        <f t="shared" si="444"/>
        <v>0</v>
      </c>
      <c r="BF467" s="686">
        <f t="shared" si="445"/>
        <v>0</v>
      </c>
      <c r="BG467" s="685" t="e">
        <f t="shared" si="446"/>
        <v>#DIV/0!</v>
      </c>
      <c r="BH467" s="276" t="e">
        <f t="shared" si="447"/>
        <v>#DIV/0!</v>
      </c>
      <c r="BI467" s="276" t="e">
        <f t="shared" si="448"/>
        <v>#DIV/0!</v>
      </c>
      <c r="BJ467" s="276" t="e">
        <f t="shared" si="449"/>
        <v>#DIV/0!</v>
      </c>
      <c r="BK467" s="276" t="e">
        <f t="shared" si="450"/>
        <v>#DIV/0!</v>
      </c>
      <c r="BL467" s="686" t="e">
        <f t="shared" si="451"/>
        <v>#DIV/0!</v>
      </c>
      <c r="BM467" s="239"/>
      <c r="BN467" s="965" t="e">
        <f t="shared" si="452"/>
        <v>#VALUE!</v>
      </c>
      <c r="BO467" s="878" t="e">
        <f t="shared" si="453"/>
        <v>#VALUE!</v>
      </c>
      <c r="BP467" s="878" t="e">
        <f t="shared" si="454"/>
        <v>#VALUE!</v>
      </c>
      <c r="BQ467" s="878" t="e">
        <f t="shared" si="455"/>
        <v>#VALUE!</v>
      </c>
      <c r="BR467" s="878" t="e">
        <f t="shared" si="456"/>
        <v>#VALUE!</v>
      </c>
      <c r="BS467" s="966" t="e">
        <f t="shared" si="457"/>
        <v>#VALUE!</v>
      </c>
    </row>
    <row r="468" spans="1:71">
      <c r="A468" s="284">
        <f t="shared" si="458"/>
        <v>400</v>
      </c>
      <c r="B468" s="285">
        <v>-1.6744508491882695</v>
      </c>
      <c r="C468" s="285">
        <v>1.8960689894217317</v>
      </c>
      <c r="D468" s="285">
        <v>2.616301904020141</v>
      </c>
      <c r="E468" s="285">
        <v>-7.99917189649479</v>
      </c>
      <c r="H468" s="685">
        <f t="shared" si="404"/>
        <v>-2.8076846909573243</v>
      </c>
      <c r="I468" s="276">
        <f t="shared" si="405"/>
        <v>-2.0202538301746187</v>
      </c>
      <c r="J468" s="276">
        <f t="shared" si="406"/>
        <v>-3.9850345931504654</v>
      </c>
      <c r="K468" s="276">
        <f t="shared" si="407"/>
        <v>8.5561429248496523E-2</v>
      </c>
      <c r="L468" s="276">
        <f t="shared" si="408"/>
        <v>-0.3154299150451928</v>
      </c>
      <c r="M468" s="276">
        <f t="shared" si="409"/>
        <v>-4.2093913782204142</v>
      </c>
      <c r="N468" s="685">
        <f t="shared" si="410"/>
        <v>0.68889777844986333</v>
      </c>
      <c r="O468" s="276">
        <f t="shared" si="411"/>
        <v>1.0222078194955626</v>
      </c>
      <c r="P468" s="276">
        <f t="shared" si="412"/>
        <v>1.1491577237621617</v>
      </c>
      <c r="Q468" s="276">
        <f t="shared" si="413"/>
        <v>1.6839468644867945</v>
      </c>
      <c r="R468" s="276">
        <f t="shared" si="414"/>
        <v>1.4809060667748704</v>
      </c>
      <c r="S468" s="686">
        <f t="shared" si="415"/>
        <v>0.91960194907102966</v>
      </c>
      <c r="T468" s="685">
        <f t="shared" si="416"/>
        <v>5.8946655942910668</v>
      </c>
      <c r="U468" s="276">
        <f t="shared" si="417"/>
        <v>4.7905095836057257</v>
      </c>
      <c r="V468" s="276">
        <f t="shared" si="418"/>
        <v>5.9899208675639422</v>
      </c>
      <c r="W468" s="276">
        <f t="shared" si="419"/>
        <v>6.6356957228634261</v>
      </c>
      <c r="X468" s="276">
        <f t="shared" si="420"/>
        <v>3.2082002835053238</v>
      </c>
      <c r="Y468" s="686">
        <f t="shared" si="421"/>
        <v>5.5942825174199875</v>
      </c>
      <c r="Z468" s="685" t="e">
        <f t="shared" si="422"/>
        <v>#DIV/0!</v>
      </c>
      <c r="AA468" s="276" t="e">
        <f t="shared" si="423"/>
        <v>#DIV/0!</v>
      </c>
      <c r="AB468" s="276" t="e">
        <f t="shared" si="424"/>
        <v>#DIV/0!</v>
      </c>
      <c r="AC468" s="276" t="e">
        <f t="shared" si="425"/>
        <v>#DIV/0!</v>
      </c>
      <c r="AD468" s="276" t="e">
        <f t="shared" si="426"/>
        <v>#DIV/0!</v>
      </c>
      <c r="AE468" s="686" t="e">
        <f t="shared" si="427"/>
        <v>#DIV/0!</v>
      </c>
      <c r="AF468" s="239"/>
      <c r="AG468" s="965" t="e">
        <f t="shared" si="398"/>
        <v>#VALUE!</v>
      </c>
      <c r="AH468" s="878" t="e">
        <f t="shared" si="399"/>
        <v>#VALUE!</v>
      </c>
      <c r="AI468" s="878" t="e">
        <f t="shared" si="400"/>
        <v>#VALUE!</v>
      </c>
      <c r="AJ468" s="878" t="e">
        <f t="shared" si="401"/>
        <v>#VALUE!</v>
      </c>
      <c r="AK468" s="878" t="e">
        <f t="shared" si="402"/>
        <v>#VALUE!</v>
      </c>
      <c r="AL468" s="966" t="e">
        <f t="shared" si="403"/>
        <v>#VALUE!</v>
      </c>
      <c r="AM468" s="239"/>
      <c r="AO468" s="685">
        <f t="shared" si="428"/>
        <v>-2.8076846909573243</v>
      </c>
      <c r="AP468" s="276">
        <f t="shared" si="429"/>
        <v>-2.0202538301746187</v>
      </c>
      <c r="AQ468" s="276">
        <f t="shared" si="430"/>
        <v>-3.9850345931504654</v>
      </c>
      <c r="AR468" s="276">
        <f t="shared" si="431"/>
        <v>8.5561429248496523E-2</v>
      </c>
      <c r="AS468" s="276">
        <f t="shared" si="432"/>
        <v>-0.3154299150451928</v>
      </c>
      <c r="AT468" s="276">
        <f t="shared" si="433"/>
        <v>-4.2093913782204142</v>
      </c>
      <c r="AU468" s="685">
        <f t="shared" si="434"/>
        <v>0.68889777844986333</v>
      </c>
      <c r="AV468" s="276">
        <f t="shared" si="435"/>
        <v>1.0222078194955626</v>
      </c>
      <c r="AW468" s="276">
        <f t="shared" si="436"/>
        <v>1.1491577237621617</v>
      </c>
      <c r="AX468" s="276">
        <f t="shared" si="437"/>
        <v>1.6839468644867945</v>
      </c>
      <c r="AY468" s="276">
        <f t="shared" si="438"/>
        <v>1.4809060667748704</v>
      </c>
      <c r="AZ468" s="686">
        <f t="shared" si="439"/>
        <v>0.91960194907102966</v>
      </c>
      <c r="BA468" s="685">
        <f t="shared" si="440"/>
        <v>0</v>
      </c>
      <c r="BB468" s="276">
        <f t="shared" si="441"/>
        <v>0</v>
      </c>
      <c r="BC468" s="276">
        <f t="shared" si="442"/>
        <v>0</v>
      </c>
      <c r="BD468" s="276">
        <f t="shared" si="443"/>
        <v>0</v>
      </c>
      <c r="BE468" s="276">
        <f t="shared" si="444"/>
        <v>0</v>
      </c>
      <c r="BF468" s="686">
        <f t="shared" si="445"/>
        <v>0</v>
      </c>
      <c r="BG468" s="685" t="e">
        <f t="shared" si="446"/>
        <v>#DIV/0!</v>
      </c>
      <c r="BH468" s="276" t="e">
        <f t="shared" si="447"/>
        <v>#DIV/0!</v>
      </c>
      <c r="BI468" s="276" t="e">
        <f t="shared" si="448"/>
        <v>#DIV/0!</v>
      </c>
      <c r="BJ468" s="276" t="e">
        <f t="shared" si="449"/>
        <v>#DIV/0!</v>
      </c>
      <c r="BK468" s="276" t="e">
        <f t="shared" si="450"/>
        <v>#DIV/0!</v>
      </c>
      <c r="BL468" s="686" t="e">
        <f t="shared" si="451"/>
        <v>#DIV/0!</v>
      </c>
      <c r="BM468" s="239"/>
      <c r="BN468" s="965" t="e">
        <f t="shared" si="452"/>
        <v>#VALUE!</v>
      </c>
      <c r="BO468" s="878" t="e">
        <f t="shared" si="453"/>
        <v>#VALUE!</v>
      </c>
      <c r="BP468" s="878" t="e">
        <f t="shared" si="454"/>
        <v>#VALUE!</v>
      </c>
      <c r="BQ468" s="878" t="e">
        <f t="shared" si="455"/>
        <v>#VALUE!</v>
      </c>
      <c r="BR468" s="878" t="e">
        <f t="shared" si="456"/>
        <v>#VALUE!</v>
      </c>
      <c r="BS468" s="966" t="e">
        <f t="shared" si="457"/>
        <v>#VALUE!</v>
      </c>
    </row>
    <row r="469" spans="1:71">
      <c r="A469" s="284">
        <f t="shared" si="458"/>
        <v>401</v>
      </c>
      <c r="B469" s="285">
        <v>1.4334851129133712</v>
      </c>
      <c r="C469" s="285">
        <v>2.7506412638730304</v>
      </c>
      <c r="D469" s="285">
        <v>2.2033798231276465</v>
      </c>
      <c r="E469" s="285">
        <v>-6.3329025604966773</v>
      </c>
      <c r="H469" s="685">
        <f t="shared" si="404"/>
        <v>0.30025127114431638</v>
      </c>
      <c r="I469" s="276">
        <f t="shared" si="405"/>
        <v>-3.2286728013374777</v>
      </c>
      <c r="J469" s="276">
        <f t="shared" si="406"/>
        <v>2.6621286478799666</v>
      </c>
      <c r="K469" s="276">
        <f t="shared" si="407"/>
        <v>-2.2514033101288895</v>
      </c>
      <c r="L469" s="276">
        <f t="shared" si="408"/>
        <v>0.86625395986961418</v>
      </c>
      <c r="M469" s="276">
        <f t="shared" si="409"/>
        <v>-3.4384961631455413</v>
      </c>
      <c r="N469" s="685">
        <f t="shared" si="410"/>
        <v>1.543470052901162</v>
      </c>
      <c r="O469" s="276">
        <f t="shared" si="411"/>
        <v>0.83213544851365984</v>
      </c>
      <c r="P469" s="276">
        <f t="shared" si="412"/>
        <v>1.436851594498173</v>
      </c>
      <c r="Q469" s="276">
        <f t="shared" si="413"/>
        <v>0.39703639373762889</v>
      </c>
      <c r="R469" s="276">
        <f t="shared" si="414"/>
        <v>1.9410689479012297</v>
      </c>
      <c r="S469" s="686">
        <f t="shared" si="415"/>
        <v>0.91282587104931312</v>
      </c>
      <c r="T469" s="685">
        <f t="shared" si="416"/>
        <v>5.4817435133985724</v>
      </c>
      <c r="U469" s="276">
        <f t="shared" si="417"/>
        <v>4.3618008232354217</v>
      </c>
      <c r="V469" s="276">
        <f t="shared" si="418"/>
        <v>4.7270647939642414</v>
      </c>
      <c r="W469" s="276">
        <f t="shared" si="419"/>
        <v>6.8710043611378548</v>
      </c>
      <c r="X469" s="276">
        <f t="shared" si="420"/>
        <v>4.7297402164777589</v>
      </c>
      <c r="Y469" s="686">
        <f t="shared" si="421"/>
        <v>5.907774923577735</v>
      </c>
      <c r="Z469" s="685" t="e">
        <f t="shared" si="422"/>
        <v>#DIV/0!</v>
      </c>
      <c r="AA469" s="276" t="e">
        <f t="shared" si="423"/>
        <v>#DIV/0!</v>
      </c>
      <c r="AB469" s="276" t="e">
        <f t="shared" si="424"/>
        <v>#DIV/0!</v>
      </c>
      <c r="AC469" s="276" t="e">
        <f t="shared" si="425"/>
        <v>#DIV/0!</v>
      </c>
      <c r="AD469" s="276" t="e">
        <f t="shared" si="426"/>
        <v>#DIV/0!</v>
      </c>
      <c r="AE469" s="686" t="e">
        <f t="shared" si="427"/>
        <v>#DIV/0!</v>
      </c>
      <c r="AF469" s="239"/>
      <c r="AG469" s="965" t="e">
        <f t="shared" si="398"/>
        <v>#VALUE!</v>
      </c>
      <c r="AH469" s="878" t="e">
        <f t="shared" si="399"/>
        <v>#VALUE!</v>
      </c>
      <c r="AI469" s="878" t="e">
        <f t="shared" si="400"/>
        <v>#VALUE!</v>
      </c>
      <c r="AJ469" s="878" t="e">
        <f t="shared" si="401"/>
        <v>#VALUE!</v>
      </c>
      <c r="AK469" s="878" t="e">
        <f t="shared" si="402"/>
        <v>#VALUE!</v>
      </c>
      <c r="AL469" s="966" t="e">
        <f t="shared" si="403"/>
        <v>#VALUE!</v>
      </c>
      <c r="AM469" s="239"/>
      <c r="AO469" s="685">
        <f t="shared" si="428"/>
        <v>0.30025127114431638</v>
      </c>
      <c r="AP469" s="276">
        <f t="shared" si="429"/>
        <v>-3.2286728013374777</v>
      </c>
      <c r="AQ469" s="276">
        <f t="shared" si="430"/>
        <v>2.6621286478799666</v>
      </c>
      <c r="AR469" s="276">
        <f t="shared" si="431"/>
        <v>-2.2514033101288895</v>
      </c>
      <c r="AS469" s="276">
        <f t="shared" si="432"/>
        <v>0.86625395986961418</v>
      </c>
      <c r="AT469" s="276">
        <f t="shared" si="433"/>
        <v>-3.4384961631455413</v>
      </c>
      <c r="AU469" s="685">
        <f t="shared" si="434"/>
        <v>1.543470052901162</v>
      </c>
      <c r="AV469" s="276">
        <f t="shared" si="435"/>
        <v>0.83213544851365984</v>
      </c>
      <c r="AW469" s="276">
        <f t="shared" si="436"/>
        <v>1.436851594498173</v>
      </c>
      <c r="AX469" s="276">
        <f t="shared" si="437"/>
        <v>0.39703639373762889</v>
      </c>
      <c r="AY469" s="276">
        <f t="shared" si="438"/>
        <v>1.9410689479012297</v>
      </c>
      <c r="AZ469" s="686">
        <f t="shared" si="439"/>
        <v>0.91282587104931312</v>
      </c>
      <c r="BA469" s="685">
        <f t="shared" si="440"/>
        <v>0</v>
      </c>
      <c r="BB469" s="276">
        <f t="shared" si="441"/>
        <v>0</v>
      </c>
      <c r="BC469" s="276">
        <f t="shared" si="442"/>
        <v>0</v>
      </c>
      <c r="BD469" s="276">
        <f t="shared" si="443"/>
        <v>0</v>
      </c>
      <c r="BE469" s="276">
        <f t="shared" si="444"/>
        <v>0</v>
      </c>
      <c r="BF469" s="686">
        <f t="shared" si="445"/>
        <v>0</v>
      </c>
      <c r="BG469" s="685" t="e">
        <f t="shared" si="446"/>
        <v>#DIV/0!</v>
      </c>
      <c r="BH469" s="276" t="e">
        <f t="shared" si="447"/>
        <v>#DIV/0!</v>
      </c>
      <c r="BI469" s="276" t="e">
        <f t="shared" si="448"/>
        <v>#DIV/0!</v>
      </c>
      <c r="BJ469" s="276" t="e">
        <f t="shared" si="449"/>
        <v>#DIV/0!</v>
      </c>
      <c r="BK469" s="276" t="e">
        <f t="shared" si="450"/>
        <v>#DIV/0!</v>
      </c>
      <c r="BL469" s="686" t="e">
        <f t="shared" si="451"/>
        <v>#DIV/0!</v>
      </c>
      <c r="BM469" s="239"/>
      <c r="BN469" s="965" t="e">
        <f t="shared" si="452"/>
        <v>#VALUE!</v>
      </c>
      <c r="BO469" s="878" t="e">
        <f t="shared" si="453"/>
        <v>#VALUE!</v>
      </c>
      <c r="BP469" s="878" t="e">
        <f t="shared" si="454"/>
        <v>#VALUE!</v>
      </c>
      <c r="BQ469" s="878" t="e">
        <f t="shared" si="455"/>
        <v>#VALUE!</v>
      </c>
      <c r="BR469" s="878" t="e">
        <f t="shared" si="456"/>
        <v>#VALUE!</v>
      </c>
      <c r="BS469" s="966" t="e">
        <f t="shared" si="457"/>
        <v>#VALUE!</v>
      </c>
    </row>
    <row r="470" spans="1:71">
      <c r="A470" s="284">
        <f t="shared" si="458"/>
        <v>402</v>
      </c>
      <c r="B470" s="285">
        <v>4.0518694567943667</v>
      </c>
      <c r="C470" s="285">
        <v>3.3643691111870115</v>
      </c>
      <c r="D470" s="285">
        <v>0.55347805949486051</v>
      </c>
      <c r="E470" s="285">
        <v>7.0290995356570072</v>
      </c>
      <c r="H470" s="685">
        <f t="shared" si="404"/>
        <v>2.9186356150253117</v>
      </c>
      <c r="I470" s="276">
        <f t="shared" si="405"/>
        <v>-1.1623274491808615</v>
      </c>
      <c r="J470" s="276">
        <f t="shared" si="406"/>
        <v>-0.55724331720931086</v>
      </c>
      <c r="K470" s="276">
        <f t="shared" si="407"/>
        <v>-8.2222905785216405E-2</v>
      </c>
      <c r="L470" s="276">
        <f t="shared" si="408"/>
        <v>-2.5895040068770543</v>
      </c>
      <c r="M470" s="276">
        <f t="shared" si="409"/>
        <v>-3.6370202946614079</v>
      </c>
      <c r="N470" s="685">
        <f t="shared" si="410"/>
        <v>2.1571979002151433</v>
      </c>
      <c r="O470" s="276">
        <f t="shared" si="411"/>
        <v>1.5950017725899774</v>
      </c>
      <c r="P470" s="276">
        <f t="shared" si="412"/>
        <v>1.5027149724341766</v>
      </c>
      <c r="Q470" s="276">
        <f t="shared" si="413"/>
        <v>1.2479457331980373</v>
      </c>
      <c r="R470" s="276">
        <f t="shared" si="414"/>
        <v>1.1351691463887612</v>
      </c>
      <c r="S470" s="686">
        <f t="shared" si="415"/>
        <v>1.7724196458342389</v>
      </c>
      <c r="T470" s="685">
        <f t="shared" si="416"/>
        <v>3.8318417497657862</v>
      </c>
      <c r="U470" s="276">
        <f t="shared" si="417"/>
        <v>2.134782385475289</v>
      </c>
      <c r="V470" s="276">
        <f t="shared" si="418"/>
        <v>3.7033574609534243</v>
      </c>
      <c r="W470" s="276">
        <f t="shared" si="419"/>
        <v>6.3026397514891315</v>
      </c>
      <c r="X470" s="276">
        <f t="shared" si="420"/>
        <v>5.330626002985726</v>
      </c>
      <c r="Y470" s="686">
        <f t="shared" si="421"/>
        <v>2.5519635387331001</v>
      </c>
      <c r="Z470" s="685" t="e">
        <f t="shared" si="422"/>
        <v>#DIV/0!</v>
      </c>
      <c r="AA470" s="276" t="e">
        <f t="shared" si="423"/>
        <v>#DIV/0!</v>
      </c>
      <c r="AB470" s="276" t="e">
        <f t="shared" si="424"/>
        <v>#DIV/0!</v>
      </c>
      <c r="AC470" s="276" t="e">
        <f t="shared" si="425"/>
        <v>#DIV/0!</v>
      </c>
      <c r="AD470" s="276" t="e">
        <f t="shared" si="426"/>
        <v>#DIV/0!</v>
      </c>
      <c r="AE470" s="686" t="e">
        <f t="shared" si="427"/>
        <v>#DIV/0!</v>
      </c>
      <c r="AF470" s="239"/>
      <c r="AG470" s="965" t="e">
        <f t="shared" si="398"/>
        <v>#VALUE!</v>
      </c>
      <c r="AH470" s="878" t="e">
        <f t="shared" si="399"/>
        <v>#VALUE!</v>
      </c>
      <c r="AI470" s="878" t="e">
        <f t="shared" si="400"/>
        <v>#VALUE!</v>
      </c>
      <c r="AJ470" s="878" t="e">
        <f t="shared" si="401"/>
        <v>#VALUE!</v>
      </c>
      <c r="AK470" s="878" t="e">
        <f t="shared" si="402"/>
        <v>#VALUE!</v>
      </c>
      <c r="AL470" s="966" t="e">
        <f t="shared" si="403"/>
        <v>#VALUE!</v>
      </c>
      <c r="AM470" s="239"/>
      <c r="AO470" s="685">
        <f t="shared" si="428"/>
        <v>2.9186356150253117</v>
      </c>
      <c r="AP470" s="276">
        <f t="shared" si="429"/>
        <v>-1.1623274491808615</v>
      </c>
      <c r="AQ470" s="276">
        <f t="shared" si="430"/>
        <v>-0.55724331720931086</v>
      </c>
      <c r="AR470" s="276">
        <f t="shared" si="431"/>
        <v>-8.2222905785216405E-2</v>
      </c>
      <c r="AS470" s="276">
        <f t="shared" si="432"/>
        <v>-2.5895040068770543</v>
      </c>
      <c r="AT470" s="276">
        <f t="shared" si="433"/>
        <v>-3.6370202946614079</v>
      </c>
      <c r="AU470" s="685">
        <f t="shared" si="434"/>
        <v>2.1571979002151433</v>
      </c>
      <c r="AV470" s="276">
        <f t="shared" si="435"/>
        <v>1.5950017725899774</v>
      </c>
      <c r="AW470" s="276">
        <f t="shared" si="436"/>
        <v>1.5027149724341766</v>
      </c>
      <c r="AX470" s="276">
        <f t="shared" si="437"/>
        <v>1.2479457331980373</v>
      </c>
      <c r="AY470" s="276">
        <f t="shared" si="438"/>
        <v>1.1351691463887612</v>
      </c>
      <c r="AZ470" s="686">
        <f t="shared" si="439"/>
        <v>1.7724196458342389</v>
      </c>
      <c r="BA470" s="685">
        <f t="shared" si="440"/>
        <v>0</v>
      </c>
      <c r="BB470" s="276">
        <f t="shared" si="441"/>
        <v>0</v>
      </c>
      <c r="BC470" s="276">
        <f t="shared" si="442"/>
        <v>0</v>
      </c>
      <c r="BD470" s="276">
        <f t="shared" si="443"/>
        <v>0</v>
      </c>
      <c r="BE470" s="276">
        <f t="shared" si="444"/>
        <v>0</v>
      </c>
      <c r="BF470" s="686">
        <f t="shared" si="445"/>
        <v>0</v>
      </c>
      <c r="BG470" s="685" t="e">
        <f t="shared" si="446"/>
        <v>#DIV/0!</v>
      </c>
      <c r="BH470" s="276" t="e">
        <f t="shared" si="447"/>
        <v>#DIV/0!</v>
      </c>
      <c r="BI470" s="276" t="e">
        <f t="shared" si="448"/>
        <v>#DIV/0!</v>
      </c>
      <c r="BJ470" s="276" t="e">
        <f t="shared" si="449"/>
        <v>#DIV/0!</v>
      </c>
      <c r="BK470" s="276" t="e">
        <f t="shared" si="450"/>
        <v>#DIV/0!</v>
      </c>
      <c r="BL470" s="686" t="e">
        <f t="shared" si="451"/>
        <v>#DIV/0!</v>
      </c>
      <c r="BM470" s="239"/>
      <c r="BN470" s="965" t="e">
        <f t="shared" si="452"/>
        <v>#VALUE!</v>
      </c>
      <c r="BO470" s="878" t="e">
        <f t="shared" si="453"/>
        <v>#VALUE!</v>
      </c>
      <c r="BP470" s="878" t="e">
        <f t="shared" si="454"/>
        <v>#VALUE!</v>
      </c>
      <c r="BQ470" s="878" t="e">
        <f t="shared" si="455"/>
        <v>#VALUE!</v>
      </c>
      <c r="BR470" s="878" t="e">
        <f t="shared" si="456"/>
        <v>#VALUE!</v>
      </c>
      <c r="BS470" s="966" t="e">
        <f t="shared" si="457"/>
        <v>#VALUE!</v>
      </c>
    </row>
    <row r="471" spans="1:71">
      <c r="A471" s="284">
        <f t="shared" si="458"/>
        <v>403</v>
      </c>
      <c r="B471" s="285">
        <v>3.1161727437507469</v>
      </c>
      <c r="C471" s="285">
        <v>2.9366764031621226</v>
      </c>
      <c r="D471" s="285">
        <v>3.4860387314859667</v>
      </c>
      <c r="E471" s="285">
        <v>2.9709860105651349</v>
      </c>
      <c r="H471" s="685">
        <f t="shared" si="404"/>
        <v>1.9829389019816921</v>
      </c>
      <c r="I471" s="276">
        <f t="shared" si="405"/>
        <v>-4.1392351059804371</v>
      </c>
      <c r="J471" s="276">
        <f t="shared" si="406"/>
        <v>-3.9658565117405642</v>
      </c>
      <c r="K471" s="276">
        <f t="shared" si="407"/>
        <v>3.3308360267401405</v>
      </c>
      <c r="L471" s="276">
        <f t="shared" si="408"/>
        <v>-3.3341462060581559</v>
      </c>
      <c r="M471" s="276">
        <f t="shared" si="409"/>
        <v>-1.0445526246086663</v>
      </c>
      <c r="N471" s="685">
        <f t="shared" si="410"/>
        <v>1.7295051921902542</v>
      </c>
      <c r="O471" s="276">
        <f t="shared" si="411"/>
        <v>1.4096912656185479</v>
      </c>
      <c r="P471" s="276">
        <f t="shared" si="412"/>
        <v>1.0858118366328176</v>
      </c>
      <c r="Q471" s="276">
        <f t="shared" si="413"/>
        <v>2.3195612542342943</v>
      </c>
      <c r="R471" s="276">
        <f t="shared" si="414"/>
        <v>1.3310770791734765</v>
      </c>
      <c r="S471" s="686">
        <f t="shared" si="415"/>
        <v>1.514853894141355</v>
      </c>
      <c r="T471" s="685">
        <f t="shared" si="416"/>
        <v>6.764402421756893</v>
      </c>
      <c r="U471" s="276">
        <f t="shared" si="417"/>
        <v>4.7993996184287839</v>
      </c>
      <c r="V471" s="276">
        <f t="shared" si="418"/>
        <v>6.2559537026838683</v>
      </c>
      <c r="W471" s="276">
        <f t="shared" si="419"/>
        <v>7.4875311303606988</v>
      </c>
      <c r="X471" s="276">
        <f t="shared" si="420"/>
        <v>4.420463317755333</v>
      </c>
      <c r="Y471" s="686">
        <f t="shared" si="421"/>
        <v>3.8351068639709416</v>
      </c>
      <c r="Z471" s="685" t="e">
        <f t="shared" si="422"/>
        <v>#DIV/0!</v>
      </c>
      <c r="AA471" s="276" t="e">
        <f t="shared" si="423"/>
        <v>#DIV/0!</v>
      </c>
      <c r="AB471" s="276" t="e">
        <f t="shared" si="424"/>
        <v>#DIV/0!</v>
      </c>
      <c r="AC471" s="276" t="e">
        <f t="shared" si="425"/>
        <v>#DIV/0!</v>
      </c>
      <c r="AD471" s="276" t="e">
        <f t="shared" si="426"/>
        <v>#DIV/0!</v>
      </c>
      <c r="AE471" s="686" t="e">
        <f t="shared" si="427"/>
        <v>#DIV/0!</v>
      </c>
      <c r="AF471" s="239"/>
      <c r="AG471" s="965" t="e">
        <f t="shared" si="398"/>
        <v>#VALUE!</v>
      </c>
      <c r="AH471" s="878" t="e">
        <f t="shared" si="399"/>
        <v>#VALUE!</v>
      </c>
      <c r="AI471" s="878" t="e">
        <f t="shared" si="400"/>
        <v>#VALUE!</v>
      </c>
      <c r="AJ471" s="878" t="e">
        <f t="shared" si="401"/>
        <v>#VALUE!</v>
      </c>
      <c r="AK471" s="878" t="e">
        <f t="shared" si="402"/>
        <v>#VALUE!</v>
      </c>
      <c r="AL471" s="966" t="e">
        <f t="shared" si="403"/>
        <v>#VALUE!</v>
      </c>
      <c r="AM471" s="239"/>
      <c r="AO471" s="685">
        <f t="shared" si="428"/>
        <v>1.9829389019816921</v>
      </c>
      <c r="AP471" s="276">
        <f t="shared" si="429"/>
        <v>-4.1392351059804371</v>
      </c>
      <c r="AQ471" s="276">
        <f t="shared" si="430"/>
        <v>-3.9658565117405642</v>
      </c>
      <c r="AR471" s="276">
        <f t="shared" si="431"/>
        <v>3.3308360267401405</v>
      </c>
      <c r="AS471" s="276">
        <f t="shared" si="432"/>
        <v>-3.3341462060581559</v>
      </c>
      <c r="AT471" s="276">
        <f t="shared" si="433"/>
        <v>-1.0445526246086663</v>
      </c>
      <c r="AU471" s="685">
        <f t="shared" si="434"/>
        <v>1.7295051921902542</v>
      </c>
      <c r="AV471" s="276">
        <f t="shared" si="435"/>
        <v>1.4096912656185479</v>
      </c>
      <c r="AW471" s="276">
        <f t="shared" si="436"/>
        <v>1.0858118366328176</v>
      </c>
      <c r="AX471" s="276">
        <f t="shared" si="437"/>
        <v>2.3195612542342943</v>
      </c>
      <c r="AY471" s="276">
        <f t="shared" si="438"/>
        <v>1.3310770791734765</v>
      </c>
      <c r="AZ471" s="686">
        <f t="shared" si="439"/>
        <v>1.514853894141355</v>
      </c>
      <c r="BA471" s="685">
        <f t="shared" si="440"/>
        <v>0</v>
      </c>
      <c r="BB471" s="276">
        <f t="shared" si="441"/>
        <v>0</v>
      </c>
      <c r="BC471" s="276">
        <f t="shared" si="442"/>
        <v>0</v>
      </c>
      <c r="BD471" s="276">
        <f t="shared" si="443"/>
        <v>0</v>
      </c>
      <c r="BE471" s="276">
        <f t="shared" si="444"/>
        <v>0</v>
      </c>
      <c r="BF471" s="686">
        <f t="shared" si="445"/>
        <v>0</v>
      </c>
      <c r="BG471" s="685" t="e">
        <f t="shared" si="446"/>
        <v>#DIV/0!</v>
      </c>
      <c r="BH471" s="276" t="e">
        <f t="shared" si="447"/>
        <v>#DIV/0!</v>
      </c>
      <c r="BI471" s="276" t="e">
        <f t="shared" si="448"/>
        <v>#DIV/0!</v>
      </c>
      <c r="BJ471" s="276" t="e">
        <f t="shared" si="449"/>
        <v>#DIV/0!</v>
      </c>
      <c r="BK471" s="276" t="e">
        <f t="shared" si="450"/>
        <v>#DIV/0!</v>
      </c>
      <c r="BL471" s="686" t="e">
        <f t="shared" si="451"/>
        <v>#DIV/0!</v>
      </c>
      <c r="BM471" s="239"/>
      <c r="BN471" s="965" t="e">
        <f t="shared" si="452"/>
        <v>#VALUE!</v>
      </c>
      <c r="BO471" s="878" t="e">
        <f t="shared" si="453"/>
        <v>#VALUE!</v>
      </c>
      <c r="BP471" s="878" t="e">
        <f t="shared" si="454"/>
        <v>#VALUE!</v>
      </c>
      <c r="BQ471" s="878" t="e">
        <f t="shared" si="455"/>
        <v>#VALUE!</v>
      </c>
      <c r="BR471" s="878" t="e">
        <f t="shared" si="456"/>
        <v>#VALUE!</v>
      </c>
      <c r="BS471" s="966" t="e">
        <f t="shared" si="457"/>
        <v>#VALUE!</v>
      </c>
    </row>
    <row r="472" spans="1:71">
      <c r="A472" s="284">
        <f t="shared" si="458"/>
        <v>404</v>
      </c>
      <c r="B472" s="285">
        <v>5.1533381149422226</v>
      </c>
      <c r="C472" s="285">
        <v>3.2224531735196402</v>
      </c>
      <c r="D472" s="285">
        <v>0.75630297658249424</v>
      </c>
      <c r="E472" s="285">
        <v>8.1843498268163977</v>
      </c>
      <c r="H472" s="685">
        <f t="shared" si="404"/>
        <v>4.0201042731731675</v>
      </c>
      <c r="I472" s="276">
        <f t="shared" si="405"/>
        <v>1.1988069136174213</v>
      </c>
      <c r="J472" s="276">
        <f t="shared" si="406"/>
        <v>0.4342745905699279</v>
      </c>
      <c r="K472" s="276">
        <f t="shared" si="407"/>
        <v>-0.34875598389025564</v>
      </c>
      <c r="L472" s="276">
        <f t="shared" si="408"/>
        <v>-1.9363067991058884</v>
      </c>
      <c r="M472" s="276">
        <f t="shared" si="409"/>
        <v>-4.913461917463203</v>
      </c>
      <c r="N472" s="685">
        <f t="shared" si="410"/>
        <v>2.015281962547772</v>
      </c>
      <c r="O472" s="276">
        <f t="shared" si="411"/>
        <v>2.4312015786816774</v>
      </c>
      <c r="P472" s="276">
        <f t="shared" si="412"/>
        <v>1.1077084641688255</v>
      </c>
      <c r="Q472" s="276">
        <f t="shared" si="413"/>
        <v>1.364063554300756</v>
      </c>
      <c r="R472" s="276">
        <f t="shared" si="414"/>
        <v>0.9395107379992973</v>
      </c>
      <c r="S472" s="686">
        <f t="shared" si="415"/>
        <v>1.0856635884588013</v>
      </c>
      <c r="T472" s="685">
        <f t="shared" si="416"/>
        <v>4.0346666668534201</v>
      </c>
      <c r="U472" s="276">
        <f t="shared" si="417"/>
        <v>4.4791437688562876</v>
      </c>
      <c r="V472" s="276">
        <f t="shared" si="418"/>
        <v>4.0656436774483913</v>
      </c>
      <c r="W472" s="276">
        <f t="shared" si="419"/>
        <v>4.9741196079735417</v>
      </c>
      <c r="X472" s="276">
        <f t="shared" si="420"/>
        <v>1.9382798501019503</v>
      </c>
      <c r="Y472" s="686">
        <f t="shared" si="421"/>
        <v>5.2528869998249803</v>
      </c>
      <c r="Z472" s="685" t="e">
        <f t="shared" si="422"/>
        <v>#DIV/0!</v>
      </c>
      <c r="AA472" s="276" t="e">
        <f t="shared" si="423"/>
        <v>#DIV/0!</v>
      </c>
      <c r="AB472" s="276" t="e">
        <f t="shared" si="424"/>
        <v>#DIV/0!</v>
      </c>
      <c r="AC472" s="276" t="e">
        <f t="shared" si="425"/>
        <v>#DIV/0!</v>
      </c>
      <c r="AD472" s="276" t="e">
        <f t="shared" si="426"/>
        <v>#DIV/0!</v>
      </c>
      <c r="AE472" s="686" t="e">
        <f t="shared" si="427"/>
        <v>#DIV/0!</v>
      </c>
      <c r="AF472" s="239"/>
      <c r="AG472" s="965" t="e">
        <f t="shared" si="398"/>
        <v>#VALUE!</v>
      </c>
      <c r="AH472" s="878" t="e">
        <f t="shared" si="399"/>
        <v>#VALUE!</v>
      </c>
      <c r="AI472" s="878" t="e">
        <f t="shared" si="400"/>
        <v>#VALUE!</v>
      </c>
      <c r="AJ472" s="878" t="e">
        <f t="shared" si="401"/>
        <v>#VALUE!</v>
      </c>
      <c r="AK472" s="878" t="e">
        <f t="shared" si="402"/>
        <v>#VALUE!</v>
      </c>
      <c r="AL472" s="966" t="e">
        <f t="shared" si="403"/>
        <v>#VALUE!</v>
      </c>
      <c r="AM472" s="239"/>
      <c r="AO472" s="685">
        <f t="shared" si="428"/>
        <v>4.0201042731731675</v>
      </c>
      <c r="AP472" s="276">
        <f t="shared" si="429"/>
        <v>1.1988069136174213</v>
      </c>
      <c r="AQ472" s="276">
        <f t="shared" si="430"/>
        <v>0.4342745905699279</v>
      </c>
      <c r="AR472" s="276">
        <f t="shared" si="431"/>
        <v>-0.34875598389025564</v>
      </c>
      <c r="AS472" s="276">
        <f t="shared" si="432"/>
        <v>-1.9363067991058884</v>
      </c>
      <c r="AT472" s="276">
        <f t="shared" si="433"/>
        <v>-4.913461917463203</v>
      </c>
      <c r="AU472" s="685">
        <f t="shared" si="434"/>
        <v>2.015281962547772</v>
      </c>
      <c r="AV472" s="276">
        <f t="shared" si="435"/>
        <v>2.4312015786816774</v>
      </c>
      <c r="AW472" s="276">
        <f t="shared" si="436"/>
        <v>1.1077084641688255</v>
      </c>
      <c r="AX472" s="276">
        <f t="shared" si="437"/>
        <v>1.364063554300756</v>
      </c>
      <c r="AY472" s="276">
        <f t="shared" si="438"/>
        <v>0.9395107379992973</v>
      </c>
      <c r="AZ472" s="686">
        <f t="shared" si="439"/>
        <v>1.0856635884588013</v>
      </c>
      <c r="BA472" s="685">
        <f t="shared" si="440"/>
        <v>0</v>
      </c>
      <c r="BB472" s="276">
        <f t="shared" si="441"/>
        <v>0</v>
      </c>
      <c r="BC472" s="276">
        <f t="shared" si="442"/>
        <v>0</v>
      </c>
      <c r="BD472" s="276">
        <f t="shared" si="443"/>
        <v>0</v>
      </c>
      <c r="BE472" s="276">
        <f t="shared" si="444"/>
        <v>0</v>
      </c>
      <c r="BF472" s="686">
        <f t="shared" si="445"/>
        <v>0</v>
      </c>
      <c r="BG472" s="685" t="e">
        <f t="shared" si="446"/>
        <v>#DIV/0!</v>
      </c>
      <c r="BH472" s="276" t="e">
        <f t="shared" si="447"/>
        <v>#DIV/0!</v>
      </c>
      <c r="BI472" s="276" t="e">
        <f t="shared" si="448"/>
        <v>#DIV/0!</v>
      </c>
      <c r="BJ472" s="276" t="e">
        <f t="shared" si="449"/>
        <v>#DIV/0!</v>
      </c>
      <c r="BK472" s="276" t="e">
        <f t="shared" si="450"/>
        <v>#DIV/0!</v>
      </c>
      <c r="BL472" s="686" t="e">
        <f t="shared" si="451"/>
        <v>#DIV/0!</v>
      </c>
      <c r="BM472" s="239"/>
      <c r="BN472" s="965" t="e">
        <f t="shared" si="452"/>
        <v>#VALUE!</v>
      </c>
      <c r="BO472" s="878" t="e">
        <f t="shared" si="453"/>
        <v>#VALUE!</v>
      </c>
      <c r="BP472" s="878" t="e">
        <f t="shared" si="454"/>
        <v>#VALUE!</v>
      </c>
      <c r="BQ472" s="878" t="e">
        <f t="shared" si="455"/>
        <v>#VALUE!</v>
      </c>
      <c r="BR472" s="878" t="e">
        <f t="shared" si="456"/>
        <v>#VALUE!</v>
      </c>
      <c r="BS472" s="966" t="e">
        <f t="shared" si="457"/>
        <v>#VALUE!</v>
      </c>
    </row>
    <row r="473" spans="1:71">
      <c r="A473" s="284">
        <f t="shared" si="458"/>
        <v>405</v>
      </c>
      <c r="B473" s="285">
        <v>-9.7510594393987252E-2</v>
      </c>
      <c r="C473" s="285">
        <v>2.4482632089430156</v>
      </c>
      <c r="D473" s="285">
        <v>1.964083434713257</v>
      </c>
      <c r="E473" s="285">
        <v>-1.442802357111276</v>
      </c>
      <c r="H473" s="685">
        <f t="shared" si="404"/>
        <v>-1.2307444361630422</v>
      </c>
      <c r="I473" s="276">
        <f t="shared" si="405"/>
        <v>-0.60157923075153852</v>
      </c>
      <c r="J473" s="276">
        <f t="shared" si="406"/>
        <v>-3.3022621407081836</v>
      </c>
      <c r="K473" s="276">
        <f t="shared" si="407"/>
        <v>0.27227850500878281</v>
      </c>
      <c r="L473" s="276">
        <f t="shared" si="408"/>
        <v>-1.2752575537673572</v>
      </c>
      <c r="M473" s="276">
        <f t="shared" si="409"/>
        <v>-2.172358320256456</v>
      </c>
      <c r="N473" s="685">
        <f t="shared" si="410"/>
        <v>1.2410919979711472</v>
      </c>
      <c r="O473" s="276">
        <f t="shared" si="411"/>
        <v>0.72108100965472133</v>
      </c>
      <c r="P473" s="276">
        <f t="shared" si="412"/>
        <v>0.88988505478391899</v>
      </c>
      <c r="Q473" s="276">
        <f t="shared" si="413"/>
        <v>1.2090313262889658</v>
      </c>
      <c r="R473" s="276">
        <f t="shared" si="414"/>
        <v>1.0001325547944175</v>
      </c>
      <c r="S473" s="686">
        <f t="shared" si="415"/>
        <v>1.1517631444875207</v>
      </c>
      <c r="T473" s="685">
        <f t="shared" si="416"/>
        <v>5.2424471249841833</v>
      </c>
      <c r="U473" s="276">
        <f t="shared" si="417"/>
        <v>2.8247001257173245</v>
      </c>
      <c r="V473" s="276">
        <f t="shared" si="418"/>
        <v>3.9286694346001068</v>
      </c>
      <c r="W473" s="276">
        <f t="shared" si="419"/>
        <v>3.410671523957387</v>
      </c>
      <c r="X473" s="276">
        <f t="shared" si="420"/>
        <v>6.1146433458606708</v>
      </c>
      <c r="Y473" s="686">
        <f t="shared" si="421"/>
        <v>2.7099166014612841</v>
      </c>
      <c r="Z473" s="685" t="e">
        <f t="shared" si="422"/>
        <v>#DIV/0!</v>
      </c>
      <c r="AA473" s="276" t="e">
        <f t="shared" si="423"/>
        <v>#DIV/0!</v>
      </c>
      <c r="AB473" s="276" t="e">
        <f t="shared" si="424"/>
        <v>#DIV/0!</v>
      </c>
      <c r="AC473" s="276" t="e">
        <f t="shared" si="425"/>
        <v>#DIV/0!</v>
      </c>
      <c r="AD473" s="276" t="e">
        <f t="shared" si="426"/>
        <v>#DIV/0!</v>
      </c>
      <c r="AE473" s="686" t="e">
        <f t="shared" si="427"/>
        <v>#DIV/0!</v>
      </c>
      <c r="AF473" s="239"/>
      <c r="AG473" s="965" t="e">
        <f t="shared" si="398"/>
        <v>#VALUE!</v>
      </c>
      <c r="AH473" s="878" t="e">
        <f t="shared" si="399"/>
        <v>#VALUE!</v>
      </c>
      <c r="AI473" s="878" t="e">
        <f t="shared" si="400"/>
        <v>#VALUE!</v>
      </c>
      <c r="AJ473" s="878" t="e">
        <f t="shared" si="401"/>
        <v>#VALUE!</v>
      </c>
      <c r="AK473" s="878" t="e">
        <f t="shared" si="402"/>
        <v>#VALUE!</v>
      </c>
      <c r="AL473" s="966" t="e">
        <f t="shared" si="403"/>
        <v>#VALUE!</v>
      </c>
      <c r="AM473" s="239"/>
      <c r="AO473" s="685">
        <f t="shared" si="428"/>
        <v>-1.2307444361630422</v>
      </c>
      <c r="AP473" s="276">
        <f t="shared" si="429"/>
        <v>-0.60157923075153852</v>
      </c>
      <c r="AQ473" s="276">
        <f t="shared" si="430"/>
        <v>-3.3022621407081836</v>
      </c>
      <c r="AR473" s="276">
        <f t="shared" si="431"/>
        <v>0.27227850500878281</v>
      </c>
      <c r="AS473" s="276">
        <f t="shared" si="432"/>
        <v>-1.2752575537673572</v>
      </c>
      <c r="AT473" s="276">
        <f t="shared" si="433"/>
        <v>-2.172358320256456</v>
      </c>
      <c r="AU473" s="685">
        <f t="shared" si="434"/>
        <v>1.2410919979711472</v>
      </c>
      <c r="AV473" s="276">
        <f t="shared" si="435"/>
        <v>0.72108100965472133</v>
      </c>
      <c r="AW473" s="276">
        <f t="shared" si="436"/>
        <v>0.88988505478391899</v>
      </c>
      <c r="AX473" s="276">
        <f t="shared" si="437"/>
        <v>1.2090313262889658</v>
      </c>
      <c r="AY473" s="276">
        <f t="shared" si="438"/>
        <v>1.0001325547944175</v>
      </c>
      <c r="AZ473" s="686">
        <f t="shared" si="439"/>
        <v>1.1517631444875207</v>
      </c>
      <c r="BA473" s="685">
        <f t="shared" si="440"/>
        <v>0</v>
      </c>
      <c r="BB473" s="276">
        <f t="shared" si="441"/>
        <v>0</v>
      </c>
      <c r="BC473" s="276">
        <f t="shared" si="442"/>
        <v>0</v>
      </c>
      <c r="BD473" s="276">
        <f t="shared" si="443"/>
        <v>0</v>
      </c>
      <c r="BE473" s="276">
        <f t="shared" si="444"/>
        <v>0</v>
      </c>
      <c r="BF473" s="686">
        <f t="shared" si="445"/>
        <v>0</v>
      </c>
      <c r="BG473" s="685" t="e">
        <f t="shared" si="446"/>
        <v>#DIV/0!</v>
      </c>
      <c r="BH473" s="276" t="e">
        <f t="shared" si="447"/>
        <v>#DIV/0!</v>
      </c>
      <c r="BI473" s="276" t="e">
        <f t="shared" si="448"/>
        <v>#DIV/0!</v>
      </c>
      <c r="BJ473" s="276" t="e">
        <f t="shared" si="449"/>
        <v>#DIV/0!</v>
      </c>
      <c r="BK473" s="276" t="e">
        <f t="shared" si="450"/>
        <v>#DIV/0!</v>
      </c>
      <c r="BL473" s="686" t="e">
        <f t="shared" si="451"/>
        <v>#DIV/0!</v>
      </c>
      <c r="BM473" s="239"/>
      <c r="BN473" s="965" t="e">
        <f t="shared" si="452"/>
        <v>#VALUE!</v>
      </c>
      <c r="BO473" s="878" t="e">
        <f t="shared" si="453"/>
        <v>#VALUE!</v>
      </c>
      <c r="BP473" s="878" t="e">
        <f t="shared" si="454"/>
        <v>#VALUE!</v>
      </c>
      <c r="BQ473" s="878" t="e">
        <f t="shared" si="455"/>
        <v>#VALUE!</v>
      </c>
      <c r="BR473" s="878" t="e">
        <f t="shared" si="456"/>
        <v>#VALUE!</v>
      </c>
      <c r="BS473" s="966" t="e">
        <f t="shared" si="457"/>
        <v>#VALUE!</v>
      </c>
    </row>
    <row r="474" spans="1:71">
      <c r="A474" s="284">
        <f t="shared" si="458"/>
        <v>406</v>
      </c>
      <c r="B474" s="285">
        <v>0.54940487168863772</v>
      </c>
      <c r="C474" s="285">
        <v>1.8483355027058745</v>
      </c>
      <c r="D474" s="285">
        <v>1.5284764528348005</v>
      </c>
      <c r="E474" s="285">
        <v>-18.513113388176802</v>
      </c>
      <c r="H474" s="685">
        <f t="shared" si="404"/>
        <v>-0.58382897008041712</v>
      </c>
      <c r="I474" s="276">
        <f t="shared" si="405"/>
        <v>-0.26868452201948201</v>
      </c>
      <c r="J474" s="276">
        <f t="shared" si="406"/>
        <v>-0.72198814307244241</v>
      </c>
      <c r="K474" s="276">
        <f t="shared" si="407"/>
        <v>-1.6422517941227786</v>
      </c>
      <c r="L474" s="276">
        <f t="shared" si="408"/>
        <v>-2.7088940452761601</v>
      </c>
      <c r="M474" s="276">
        <f t="shared" si="409"/>
        <v>-2.2138509480723823</v>
      </c>
      <c r="N474" s="685">
        <f t="shared" si="410"/>
        <v>0.64116429173400613</v>
      </c>
      <c r="O474" s="276">
        <f t="shared" si="411"/>
        <v>0.74023986736949543</v>
      </c>
      <c r="P474" s="276">
        <f t="shared" si="412"/>
        <v>1.4705463325981423</v>
      </c>
      <c r="Q474" s="276">
        <f t="shared" si="413"/>
        <v>1.6655066601116351</v>
      </c>
      <c r="R474" s="276">
        <f t="shared" si="414"/>
        <v>1.2316211379333779</v>
      </c>
      <c r="S474" s="686">
        <f t="shared" si="415"/>
        <v>1.4316539642834922</v>
      </c>
      <c r="T474" s="685">
        <f t="shared" si="416"/>
        <v>4.8068401431057266</v>
      </c>
      <c r="U474" s="276">
        <f t="shared" si="417"/>
        <v>5.0106206315073667</v>
      </c>
      <c r="V474" s="276">
        <f t="shared" si="418"/>
        <v>4.8735078682626582</v>
      </c>
      <c r="W474" s="276">
        <f t="shared" si="419"/>
        <v>3.8365490349240527</v>
      </c>
      <c r="X474" s="276">
        <f t="shared" si="420"/>
        <v>4.7948398882778349</v>
      </c>
      <c r="Y474" s="686">
        <f t="shared" si="421"/>
        <v>3.2389889612967036</v>
      </c>
      <c r="Z474" s="685" t="e">
        <f t="shared" si="422"/>
        <v>#DIV/0!</v>
      </c>
      <c r="AA474" s="276" t="e">
        <f t="shared" si="423"/>
        <v>#DIV/0!</v>
      </c>
      <c r="AB474" s="276" t="e">
        <f t="shared" si="424"/>
        <v>#DIV/0!</v>
      </c>
      <c r="AC474" s="276" t="e">
        <f t="shared" si="425"/>
        <v>#DIV/0!</v>
      </c>
      <c r="AD474" s="276" t="e">
        <f t="shared" si="426"/>
        <v>#DIV/0!</v>
      </c>
      <c r="AE474" s="686" t="e">
        <f t="shared" si="427"/>
        <v>#DIV/0!</v>
      </c>
      <c r="AF474" s="239"/>
      <c r="AG474" s="965" t="e">
        <f t="shared" si="398"/>
        <v>#VALUE!</v>
      </c>
      <c r="AH474" s="878" t="e">
        <f t="shared" si="399"/>
        <v>#VALUE!</v>
      </c>
      <c r="AI474" s="878" t="e">
        <f t="shared" si="400"/>
        <v>#VALUE!</v>
      </c>
      <c r="AJ474" s="878" t="e">
        <f t="shared" si="401"/>
        <v>#VALUE!</v>
      </c>
      <c r="AK474" s="878" t="e">
        <f t="shared" si="402"/>
        <v>#VALUE!</v>
      </c>
      <c r="AL474" s="966" t="e">
        <f t="shared" si="403"/>
        <v>#VALUE!</v>
      </c>
      <c r="AM474" s="239"/>
      <c r="AO474" s="685">
        <f t="shared" si="428"/>
        <v>-0.58382897008041712</v>
      </c>
      <c r="AP474" s="276">
        <f t="shared" si="429"/>
        <v>-0.26868452201948201</v>
      </c>
      <c r="AQ474" s="276">
        <f t="shared" si="430"/>
        <v>-0.72198814307244241</v>
      </c>
      <c r="AR474" s="276">
        <f t="shared" si="431"/>
        <v>-1.6422517941227786</v>
      </c>
      <c r="AS474" s="276">
        <f t="shared" si="432"/>
        <v>-2.7088940452761601</v>
      </c>
      <c r="AT474" s="276">
        <f t="shared" si="433"/>
        <v>-2.2138509480723823</v>
      </c>
      <c r="AU474" s="685">
        <f t="shared" si="434"/>
        <v>0.64116429173400613</v>
      </c>
      <c r="AV474" s="276">
        <f t="shared" si="435"/>
        <v>0.74023986736949543</v>
      </c>
      <c r="AW474" s="276">
        <f t="shared" si="436"/>
        <v>1.4705463325981423</v>
      </c>
      <c r="AX474" s="276">
        <f t="shared" si="437"/>
        <v>1.6655066601116351</v>
      </c>
      <c r="AY474" s="276">
        <f t="shared" si="438"/>
        <v>1.2316211379333779</v>
      </c>
      <c r="AZ474" s="686">
        <f t="shared" si="439"/>
        <v>1.4316539642834922</v>
      </c>
      <c r="BA474" s="685">
        <f t="shared" si="440"/>
        <v>0</v>
      </c>
      <c r="BB474" s="276">
        <f t="shared" si="441"/>
        <v>0</v>
      </c>
      <c r="BC474" s="276">
        <f t="shared" si="442"/>
        <v>0</v>
      </c>
      <c r="BD474" s="276">
        <f t="shared" si="443"/>
        <v>0</v>
      </c>
      <c r="BE474" s="276">
        <f t="shared" si="444"/>
        <v>0</v>
      </c>
      <c r="BF474" s="686">
        <f t="shared" si="445"/>
        <v>0</v>
      </c>
      <c r="BG474" s="685" t="e">
        <f t="shared" si="446"/>
        <v>#DIV/0!</v>
      </c>
      <c r="BH474" s="276" t="e">
        <f t="shared" si="447"/>
        <v>#DIV/0!</v>
      </c>
      <c r="BI474" s="276" t="e">
        <f t="shared" si="448"/>
        <v>#DIV/0!</v>
      </c>
      <c r="BJ474" s="276" t="e">
        <f t="shared" si="449"/>
        <v>#DIV/0!</v>
      </c>
      <c r="BK474" s="276" t="e">
        <f t="shared" si="450"/>
        <v>#DIV/0!</v>
      </c>
      <c r="BL474" s="686" t="e">
        <f t="shared" si="451"/>
        <v>#DIV/0!</v>
      </c>
      <c r="BM474" s="239"/>
      <c r="BN474" s="965" t="e">
        <f t="shared" si="452"/>
        <v>#VALUE!</v>
      </c>
      <c r="BO474" s="878" t="e">
        <f t="shared" si="453"/>
        <v>#VALUE!</v>
      </c>
      <c r="BP474" s="878" t="e">
        <f t="shared" si="454"/>
        <v>#VALUE!</v>
      </c>
      <c r="BQ474" s="878" t="e">
        <f t="shared" si="455"/>
        <v>#VALUE!</v>
      </c>
      <c r="BR474" s="878" t="e">
        <f t="shared" si="456"/>
        <v>#VALUE!</v>
      </c>
      <c r="BS474" s="966" t="e">
        <f t="shared" si="457"/>
        <v>#VALUE!</v>
      </c>
    </row>
    <row r="475" spans="1:71">
      <c r="A475" s="284">
        <f t="shared" si="458"/>
        <v>407</v>
      </c>
      <c r="B475" s="285">
        <v>1.3625172790390054</v>
      </c>
      <c r="C475" s="285">
        <v>3.0987765807090106</v>
      </c>
      <c r="D475" s="285">
        <v>1.7470793370253779</v>
      </c>
      <c r="E475" s="285">
        <v>4.0730423235377327</v>
      </c>
      <c r="H475" s="685">
        <f t="shared" si="404"/>
        <v>0.2292834372699506</v>
      </c>
      <c r="I475" s="276">
        <f t="shared" si="405"/>
        <v>2.0878691347949268</v>
      </c>
      <c r="J475" s="276">
        <f t="shared" si="406"/>
        <v>-1.9837822402374701</v>
      </c>
      <c r="K475" s="276">
        <f t="shared" si="407"/>
        <v>-0.81462703639002276</v>
      </c>
      <c r="L475" s="276">
        <f t="shared" si="408"/>
        <v>-1.3976309319667013</v>
      </c>
      <c r="M475" s="276">
        <f t="shared" si="409"/>
        <v>-3.8129837348679674</v>
      </c>
      <c r="N475" s="685">
        <f t="shared" si="410"/>
        <v>1.8916053697371422</v>
      </c>
      <c r="O475" s="276">
        <f t="shared" si="411"/>
        <v>1.4596390380061426</v>
      </c>
      <c r="P475" s="276">
        <f t="shared" si="412"/>
        <v>0.92902675084692254</v>
      </c>
      <c r="Q475" s="276">
        <f t="shared" si="413"/>
        <v>1.5045778671421173</v>
      </c>
      <c r="R475" s="276">
        <f t="shared" si="414"/>
        <v>0.6179177749454059</v>
      </c>
      <c r="S475" s="686">
        <f t="shared" si="415"/>
        <v>0.87274268323477799</v>
      </c>
      <c r="T475" s="685">
        <f t="shared" si="416"/>
        <v>5.025443027296304</v>
      </c>
      <c r="U475" s="276">
        <f t="shared" si="417"/>
        <v>4.8378768149652176</v>
      </c>
      <c r="V475" s="276">
        <f t="shared" si="418"/>
        <v>2.3135867780152344</v>
      </c>
      <c r="W475" s="276">
        <f t="shared" si="419"/>
        <v>5.7550871173083573</v>
      </c>
      <c r="X475" s="276">
        <f t="shared" si="420"/>
        <v>4.062412491959007</v>
      </c>
      <c r="Y475" s="686">
        <f t="shared" si="421"/>
        <v>3.9149595069270404</v>
      </c>
      <c r="Z475" s="685" t="e">
        <f t="shared" si="422"/>
        <v>#DIV/0!</v>
      </c>
      <c r="AA475" s="276" t="e">
        <f t="shared" si="423"/>
        <v>#DIV/0!</v>
      </c>
      <c r="AB475" s="276" t="e">
        <f t="shared" si="424"/>
        <v>#DIV/0!</v>
      </c>
      <c r="AC475" s="276" t="e">
        <f t="shared" si="425"/>
        <v>#DIV/0!</v>
      </c>
      <c r="AD475" s="276" t="e">
        <f t="shared" si="426"/>
        <v>#DIV/0!</v>
      </c>
      <c r="AE475" s="686" t="e">
        <f t="shared" si="427"/>
        <v>#DIV/0!</v>
      </c>
      <c r="AF475" s="239"/>
      <c r="AG475" s="965" t="e">
        <f t="shared" si="398"/>
        <v>#VALUE!</v>
      </c>
      <c r="AH475" s="878" t="e">
        <f t="shared" si="399"/>
        <v>#VALUE!</v>
      </c>
      <c r="AI475" s="878" t="e">
        <f t="shared" si="400"/>
        <v>#VALUE!</v>
      </c>
      <c r="AJ475" s="878" t="e">
        <f t="shared" si="401"/>
        <v>#VALUE!</v>
      </c>
      <c r="AK475" s="878" t="e">
        <f t="shared" si="402"/>
        <v>#VALUE!</v>
      </c>
      <c r="AL475" s="966" t="e">
        <f t="shared" si="403"/>
        <v>#VALUE!</v>
      </c>
      <c r="AM475" s="239"/>
      <c r="AO475" s="685">
        <f t="shared" si="428"/>
        <v>0.2292834372699506</v>
      </c>
      <c r="AP475" s="276">
        <f t="shared" si="429"/>
        <v>2.0878691347949268</v>
      </c>
      <c r="AQ475" s="276">
        <f t="shared" si="430"/>
        <v>-1.9837822402374701</v>
      </c>
      <c r="AR475" s="276">
        <f t="shared" si="431"/>
        <v>-0.81462703639002276</v>
      </c>
      <c r="AS475" s="276">
        <f t="shared" si="432"/>
        <v>-1.3976309319667013</v>
      </c>
      <c r="AT475" s="276">
        <f t="shared" si="433"/>
        <v>-3.8129837348679674</v>
      </c>
      <c r="AU475" s="685">
        <f t="shared" si="434"/>
        <v>1.8916053697371422</v>
      </c>
      <c r="AV475" s="276">
        <f t="shared" si="435"/>
        <v>1.4596390380061426</v>
      </c>
      <c r="AW475" s="276">
        <f t="shared" si="436"/>
        <v>0.92902675084692254</v>
      </c>
      <c r="AX475" s="276">
        <f t="shared" si="437"/>
        <v>1.5045778671421173</v>
      </c>
      <c r="AY475" s="276">
        <f t="shared" si="438"/>
        <v>0.6179177749454059</v>
      </c>
      <c r="AZ475" s="686">
        <f t="shared" si="439"/>
        <v>0.87274268323477799</v>
      </c>
      <c r="BA475" s="685">
        <f t="shared" si="440"/>
        <v>0</v>
      </c>
      <c r="BB475" s="276">
        <f t="shared" si="441"/>
        <v>0</v>
      </c>
      <c r="BC475" s="276">
        <f t="shared" si="442"/>
        <v>0</v>
      </c>
      <c r="BD475" s="276">
        <f t="shared" si="443"/>
        <v>0</v>
      </c>
      <c r="BE475" s="276">
        <f t="shared" si="444"/>
        <v>0</v>
      </c>
      <c r="BF475" s="686">
        <f t="shared" si="445"/>
        <v>0</v>
      </c>
      <c r="BG475" s="685" t="e">
        <f t="shared" si="446"/>
        <v>#DIV/0!</v>
      </c>
      <c r="BH475" s="276" t="e">
        <f t="shared" si="447"/>
        <v>#DIV/0!</v>
      </c>
      <c r="BI475" s="276" t="e">
        <f t="shared" si="448"/>
        <v>#DIV/0!</v>
      </c>
      <c r="BJ475" s="276" t="e">
        <f t="shared" si="449"/>
        <v>#DIV/0!</v>
      </c>
      <c r="BK475" s="276" t="e">
        <f t="shared" si="450"/>
        <v>#DIV/0!</v>
      </c>
      <c r="BL475" s="686" t="e">
        <f t="shared" si="451"/>
        <v>#DIV/0!</v>
      </c>
      <c r="BM475" s="239"/>
      <c r="BN475" s="965" t="e">
        <f t="shared" si="452"/>
        <v>#VALUE!</v>
      </c>
      <c r="BO475" s="878" t="e">
        <f t="shared" si="453"/>
        <v>#VALUE!</v>
      </c>
      <c r="BP475" s="878" t="e">
        <f t="shared" si="454"/>
        <v>#VALUE!</v>
      </c>
      <c r="BQ475" s="878" t="e">
        <f t="shared" si="455"/>
        <v>#VALUE!</v>
      </c>
      <c r="BR475" s="878" t="e">
        <f t="shared" si="456"/>
        <v>#VALUE!</v>
      </c>
      <c r="BS475" s="966" t="e">
        <f t="shared" si="457"/>
        <v>#VALUE!</v>
      </c>
    </row>
    <row r="476" spans="1:71">
      <c r="A476" s="284">
        <f t="shared" si="458"/>
        <v>408</v>
      </c>
      <c r="B476" s="285">
        <v>2.5693081886443769</v>
      </c>
      <c r="C476" s="285">
        <v>2.9905368893662647</v>
      </c>
      <c r="D476" s="285">
        <v>1.0021875142196592</v>
      </c>
      <c r="E476" s="285">
        <v>-0.3715793890796979</v>
      </c>
      <c r="H476" s="685">
        <f t="shared" si="404"/>
        <v>1.4360743468753221</v>
      </c>
      <c r="I476" s="276">
        <f t="shared" si="405"/>
        <v>-2.1839586199961234</v>
      </c>
      <c r="J476" s="276">
        <f t="shared" si="406"/>
        <v>-0.10595364545330144</v>
      </c>
      <c r="K476" s="276">
        <f t="shared" si="407"/>
        <v>-2.2428938572003281</v>
      </c>
      <c r="L476" s="276">
        <f t="shared" si="408"/>
        <v>-0.25553908309297846</v>
      </c>
      <c r="M476" s="276">
        <f t="shared" si="409"/>
        <v>-1.7855459568797687</v>
      </c>
      <c r="N476" s="685">
        <f t="shared" si="410"/>
        <v>1.7833656783943963</v>
      </c>
      <c r="O476" s="276">
        <f t="shared" si="411"/>
        <v>1.6856565934948164</v>
      </c>
      <c r="P476" s="276">
        <f t="shared" si="412"/>
        <v>1.6719179907016117</v>
      </c>
      <c r="Q476" s="276">
        <f t="shared" si="413"/>
        <v>0.68550942888182176</v>
      </c>
      <c r="R476" s="276">
        <f t="shared" si="414"/>
        <v>1.2379978181272759</v>
      </c>
      <c r="S476" s="686">
        <f t="shared" si="415"/>
        <v>1.2046451313541831</v>
      </c>
      <c r="T476" s="685">
        <f t="shared" si="416"/>
        <v>4.2805512044905853</v>
      </c>
      <c r="U476" s="276">
        <f t="shared" si="417"/>
        <v>2.7064469305950132</v>
      </c>
      <c r="V476" s="276">
        <f t="shared" si="418"/>
        <v>3.3387991647872033</v>
      </c>
      <c r="W476" s="276">
        <f t="shared" si="419"/>
        <v>3.989604790529949</v>
      </c>
      <c r="X476" s="276">
        <f t="shared" si="420"/>
        <v>3.5890186104392354</v>
      </c>
      <c r="Y476" s="686">
        <f t="shared" si="421"/>
        <v>4.6823992992318004</v>
      </c>
      <c r="Z476" s="685" t="e">
        <f t="shared" si="422"/>
        <v>#DIV/0!</v>
      </c>
      <c r="AA476" s="276" t="e">
        <f t="shared" si="423"/>
        <v>#DIV/0!</v>
      </c>
      <c r="AB476" s="276" t="e">
        <f t="shared" si="424"/>
        <v>#DIV/0!</v>
      </c>
      <c r="AC476" s="276" t="e">
        <f t="shared" si="425"/>
        <v>#DIV/0!</v>
      </c>
      <c r="AD476" s="276" t="e">
        <f t="shared" si="426"/>
        <v>#DIV/0!</v>
      </c>
      <c r="AE476" s="686" t="e">
        <f t="shared" si="427"/>
        <v>#DIV/0!</v>
      </c>
      <c r="AF476" s="239"/>
      <c r="AG476" s="965" t="e">
        <f t="shared" si="398"/>
        <v>#VALUE!</v>
      </c>
      <c r="AH476" s="878" t="e">
        <f t="shared" si="399"/>
        <v>#VALUE!</v>
      </c>
      <c r="AI476" s="878" t="e">
        <f t="shared" si="400"/>
        <v>#VALUE!</v>
      </c>
      <c r="AJ476" s="878" t="e">
        <f t="shared" si="401"/>
        <v>#VALUE!</v>
      </c>
      <c r="AK476" s="878" t="e">
        <f t="shared" si="402"/>
        <v>#VALUE!</v>
      </c>
      <c r="AL476" s="966" t="e">
        <f t="shared" si="403"/>
        <v>#VALUE!</v>
      </c>
      <c r="AM476" s="239"/>
      <c r="AO476" s="685">
        <f t="shared" si="428"/>
        <v>1.4360743468753221</v>
      </c>
      <c r="AP476" s="276">
        <f t="shared" si="429"/>
        <v>-2.1839586199961234</v>
      </c>
      <c r="AQ476" s="276">
        <f t="shared" si="430"/>
        <v>-0.10595364545330144</v>
      </c>
      <c r="AR476" s="276">
        <f t="shared" si="431"/>
        <v>-2.2428938572003281</v>
      </c>
      <c r="AS476" s="276">
        <f t="shared" si="432"/>
        <v>-0.25553908309297846</v>
      </c>
      <c r="AT476" s="276">
        <f t="shared" si="433"/>
        <v>-1.7855459568797687</v>
      </c>
      <c r="AU476" s="685">
        <f t="shared" si="434"/>
        <v>1.7833656783943963</v>
      </c>
      <c r="AV476" s="276">
        <f t="shared" si="435"/>
        <v>1.6856565934948164</v>
      </c>
      <c r="AW476" s="276">
        <f t="shared" si="436"/>
        <v>1.6719179907016117</v>
      </c>
      <c r="AX476" s="276">
        <f t="shared" si="437"/>
        <v>0.68550942888182176</v>
      </c>
      <c r="AY476" s="276">
        <f t="shared" si="438"/>
        <v>1.2379978181272759</v>
      </c>
      <c r="AZ476" s="686">
        <f t="shared" si="439"/>
        <v>1.2046451313541831</v>
      </c>
      <c r="BA476" s="685">
        <f t="shared" si="440"/>
        <v>0</v>
      </c>
      <c r="BB476" s="276">
        <f t="shared" si="441"/>
        <v>0</v>
      </c>
      <c r="BC476" s="276">
        <f t="shared" si="442"/>
        <v>0</v>
      </c>
      <c r="BD476" s="276">
        <f t="shared" si="443"/>
        <v>0</v>
      </c>
      <c r="BE476" s="276">
        <f t="shared" si="444"/>
        <v>0</v>
      </c>
      <c r="BF476" s="686">
        <f t="shared" si="445"/>
        <v>0</v>
      </c>
      <c r="BG476" s="685" t="e">
        <f t="shared" si="446"/>
        <v>#DIV/0!</v>
      </c>
      <c r="BH476" s="276" t="e">
        <f t="shared" si="447"/>
        <v>#DIV/0!</v>
      </c>
      <c r="BI476" s="276" t="e">
        <f t="shared" si="448"/>
        <v>#DIV/0!</v>
      </c>
      <c r="BJ476" s="276" t="e">
        <f t="shared" si="449"/>
        <v>#DIV/0!</v>
      </c>
      <c r="BK476" s="276" t="e">
        <f t="shared" si="450"/>
        <v>#DIV/0!</v>
      </c>
      <c r="BL476" s="686" t="e">
        <f t="shared" si="451"/>
        <v>#DIV/0!</v>
      </c>
      <c r="BM476" s="239"/>
      <c r="BN476" s="965" t="e">
        <f t="shared" si="452"/>
        <v>#VALUE!</v>
      </c>
      <c r="BO476" s="878" t="e">
        <f t="shared" si="453"/>
        <v>#VALUE!</v>
      </c>
      <c r="BP476" s="878" t="e">
        <f t="shared" si="454"/>
        <v>#VALUE!</v>
      </c>
      <c r="BQ476" s="878" t="e">
        <f t="shared" si="455"/>
        <v>#VALUE!</v>
      </c>
      <c r="BR476" s="878" t="e">
        <f t="shared" si="456"/>
        <v>#VALUE!</v>
      </c>
      <c r="BS476" s="966" t="e">
        <f t="shared" si="457"/>
        <v>#VALUE!</v>
      </c>
    </row>
    <row r="477" spans="1:71">
      <c r="A477" s="284">
        <f t="shared" si="458"/>
        <v>409</v>
      </c>
      <c r="B477" s="285">
        <v>2.7226711655267231</v>
      </c>
      <c r="C477" s="285">
        <v>2.947880953904555</v>
      </c>
      <c r="D477" s="285">
        <v>1.4953089944819353</v>
      </c>
      <c r="E477" s="285">
        <v>10.863041118355479</v>
      </c>
      <c r="H477" s="685">
        <f t="shared" si="404"/>
        <v>1.5894373237576682</v>
      </c>
      <c r="I477" s="276">
        <f t="shared" si="405"/>
        <v>-0.54347107944177053</v>
      </c>
      <c r="J477" s="276">
        <f t="shared" si="406"/>
        <v>-1.0074613141700257</v>
      </c>
      <c r="K477" s="276">
        <f t="shared" si="407"/>
        <v>2.4171528735010712</v>
      </c>
      <c r="L477" s="276">
        <f t="shared" si="408"/>
        <v>-3.8262143228174743</v>
      </c>
      <c r="M477" s="276">
        <f t="shared" si="409"/>
        <v>1.2452909818314393</v>
      </c>
      <c r="N477" s="685">
        <f t="shared" si="410"/>
        <v>1.7407097429326865</v>
      </c>
      <c r="O477" s="276">
        <f t="shared" si="411"/>
        <v>1.3468292605663332</v>
      </c>
      <c r="P477" s="276">
        <f t="shared" si="412"/>
        <v>1.0587829543155964</v>
      </c>
      <c r="Q477" s="276">
        <f t="shared" si="413"/>
        <v>2.0862339760793276</v>
      </c>
      <c r="R477" s="276">
        <f t="shared" si="414"/>
        <v>0.73874889979139091</v>
      </c>
      <c r="S477" s="686">
        <f t="shared" si="415"/>
        <v>1.4189028629351641</v>
      </c>
      <c r="T477" s="685">
        <f t="shared" si="416"/>
        <v>4.773672684752861</v>
      </c>
      <c r="U477" s="276">
        <f t="shared" si="417"/>
        <v>4.5508960719476192</v>
      </c>
      <c r="V477" s="276">
        <f t="shared" si="418"/>
        <v>5.4715844148339343</v>
      </c>
      <c r="W477" s="276">
        <f t="shared" si="419"/>
        <v>4.6316921889688505</v>
      </c>
      <c r="X477" s="276">
        <f t="shared" si="420"/>
        <v>5.2228598082570636</v>
      </c>
      <c r="Y477" s="686">
        <f t="shared" si="421"/>
        <v>5.6023052382574381</v>
      </c>
      <c r="Z477" s="685" t="e">
        <f t="shared" si="422"/>
        <v>#DIV/0!</v>
      </c>
      <c r="AA477" s="276" t="e">
        <f t="shared" si="423"/>
        <v>#DIV/0!</v>
      </c>
      <c r="AB477" s="276" t="e">
        <f t="shared" si="424"/>
        <v>#DIV/0!</v>
      </c>
      <c r="AC477" s="276" t="e">
        <f t="shared" si="425"/>
        <v>#DIV/0!</v>
      </c>
      <c r="AD477" s="276" t="e">
        <f t="shared" si="426"/>
        <v>#DIV/0!</v>
      </c>
      <c r="AE477" s="686" t="e">
        <f t="shared" si="427"/>
        <v>#DIV/0!</v>
      </c>
      <c r="AF477" s="239"/>
      <c r="AG477" s="965" t="e">
        <f t="shared" si="398"/>
        <v>#VALUE!</v>
      </c>
      <c r="AH477" s="878" t="e">
        <f t="shared" si="399"/>
        <v>#VALUE!</v>
      </c>
      <c r="AI477" s="878" t="e">
        <f t="shared" si="400"/>
        <v>#VALUE!</v>
      </c>
      <c r="AJ477" s="878" t="e">
        <f t="shared" si="401"/>
        <v>#VALUE!</v>
      </c>
      <c r="AK477" s="878" t="e">
        <f t="shared" si="402"/>
        <v>#VALUE!</v>
      </c>
      <c r="AL477" s="966" t="e">
        <f t="shared" si="403"/>
        <v>#VALUE!</v>
      </c>
      <c r="AM477" s="239"/>
      <c r="AO477" s="685">
        <f t="shared" si="428"/>
        <v>1.5894373237576682</v>
      </c>
      <c r="AP477" s="276">
        <f t="shared" si="429"/>
        <v>-0.54347107944177053</v>
      </c>
      <c r="AQ477" s="276">
        <f t="shared" si="430"/>
        <v>-1.0074613141700257</v>
      </c>
      <c r="AR477" s="276">
        <f t="shared" si="431"/>
        <v>2.4171528735010712</v>
      </c>
      <c r="AS477" s="276">
        <f t="shared" si="432"/>
        <v>-3.8262143228174743</v>
      </c>
      <c r="AT477" s="276">
        <f t="shared" si="433"/>
        <v>1.2452909818314393</v>
      </c>
      <c r="AU477" s="685">
        <f t="shared" si="434"/>
        <v>1.7407097429326865</v>
      </c>
      <c r="AV477" s="276">
        <f t="shared" si="435"/>
        <v>1.3468292605663332</v>
      </c>
      <c r="AW477" s="276">
        <f t="shared" si="436"/>
        <v>1.0587829543155964</v>
      </c>
      <c r="AX477" s="276">
        <f t="shared" si="437"/>
        <v>2.0862339760793276</v>
      </c>
      <c r="AY477" s="276">
        <f t="shared" si="438"/>
        <v>0.73874889979139091</v>
      </c>
      <c r="AZ477" s="686">
        <f t="shared" si="439"/>
        <v>1.4189028629351641</v>
      </c>
      <c r="BA477" s="685">
        <f t="shared" si="440"/>
        <v>0</v>
      </c>
      <c r="BB477" s="276">
        <f t="shared" si="441"/>
        <v>0</v>
      </c>
      <c r="BC477" s="276">
        <f t="shared" si="442"/>
        <v>0</v>
      </c>
      <c r="BD477" s="276">
        <f t="shared" si="443"/>
        <v>0</v>
      </c>
      <c r="BE477" s="276">
        <f t="shared" si="444"/>
        <v>0</v>
      </c>
      <c r="BF477" s="686">
        <f t="shared" si="445"/>
        <v>0</v>
      </c>
      <c r="BG477" s="685" t="e">
        <f t="shared" si="446"/>
        <v>#DIV/0!</v>
      </c>
      <c r="BH477" s="276" t="e">
        <f t="shared" si="447"/>
        <v>#DIV/0!</v>
      </c>
      <c r="BI477" s="276" t="e">
        <f t="shared" si="448"/>
        <v>#DIV/0!</v>
      </c>
      <c r="BJ477" s="276" t="e">
        <f t="shared" si="449"/>
        <v>#DIV/0!</v>
      </c>
      <c r="BK477" s="276" t="e">
        <f t="shared" si="450"/>
        <v>#DIV/0!</v>
      </c>
      <c r="BL477" s="686" t="e">
        <f t="shared" si="451"/>
        <v>#DIV/0!</v>
      </c>
      <c r="BM477" s="239"/>
      <c r="BN477" s="965" t="e">
        <f t="shared" si="452"/>
        <v>#VALUE!</v>
      </c>
      <c r="BO477" s="878" t="e">
        <f t="shared" si="453"/>
        <v>#VALUE!</v>
      </c>
      <c r="BP477" s="878" t="e">
        <f t="shared" si="454"/>
        <v>#VALUE!</v>
      </c>
      <c r="BQ477" s="878" t="e">
        <f t="shared" si="455"/>
        <v>#VALUE!</v>
      </c>
      <c r="BR477" s="878" t="e">
        <f t="shared" si="456"/>
        <v>#VALUE!</v>
      </c>
      <c r="BS477" s="966" t="e">
        <f t="shared" si="457"/>
        <v>#VALUE!</v>
      </c>
    </row>
    <row r="478" spans="1:71">
      <c r="A478" s="284">
        <f t="shared" si="458"/>
        <v>410</v>
      </c>
      <c r="B478" s="285">
        <v>-1.1397978534843038</v>
      </c>
      <c r="C478" s="285">
        <v>1.4892186260318301</v>
      </c>
      <c r="D478" s="285">
        <v>0.42165407413093481</v>
      </c>
      <c r="E478" s="285">
        <v>-26.873797511436273</v>
      </c>
      <c r="H478" s="685">
        <f t="shared" si="404"/>
        <v>-2.2730316952533585</v>
      </c>
      <c r="I478" s="276">
        <f t="shared" si="405"/>
        <v>-2.4615836451062307</v>
      </c>
      <c r="J478" s="276">
        <f t="shared" si="406"/>
        <v>-2.5718885122468489</v>
      </c>
      <c r="K478" s="276">
        <f t="shared" si="407"/>
        <v>2.0689861310441673</v>
      </c>
      <c r="L478" s="276">
        <f t="shared" si="408"/>
        <v>1.2375017850595242</v>
      </c>
      <c r="M478" s="276">
        <f t="shared" si="409"/>
        <v>0.47152437109889545</v>
      </c>
      <c r="N478" s="685">
        <f t="shared" si="410"/>
        <v>0.28204741505996167</v>
      </c>
      <c r="O478" s="276">
        <f t="shared" si="411"/>
        <v>1.1363147937289331</v>
      </c>
      <c r="P478" s="276">
        <f t="shared" si="412"/>
        <v>0.67193100945007211</v>
      </c>
      <c r="Q478" s="276">
        <f t="shared" si="413"/>
        <v>1.607063570948964</v>
      </c>
      <c r="R478" s="276">
        <f t="shared" si="414"/>
        <v>1.0646551572910619</v>
      </c>
      <c r="S478" s="686">
        <f t="shared" si="415"/>
        <v>2.2045777079046749</v>
      </c>
      <c r="T478" s="685">
        <f t="shared" si="416"/>
        <v>3.7000177644018608</v>
      </c>
      <c r="U478" s="276">
        <f t="shared" si="417"/>
        <v>3.4219432543336636</v>
      </c>
      <c r="V478" s="276">
        <f t="shared" si="418"/>
        <v>3.6329482168032268</v>
      </c>
      <c r="W478" s="276">
        <f t="shared" si="419"/>
        <v>4.2943472812828709</v>
      </c>
      <c r="X478" s="276">
        <f t="shared" si="420"/>
        <v>5.8398675787071106</v>
      </c>
      <c r="Y478" s="686">
        <f t="shared" si="421"/>
        <v>3.6687713473812562</v>
      </c>
      <c r="Z478" s="685" t="e">
        <f t="shared" si="422"/>
        <v>#DIV/0!</v>
      </c>
      <c r="AA478" s="276" t="e">
        <f t="shared" si="423"/>
        <v>#DIV/0!</v>
      </c>
      <c r="AB478" s="276" t="e">
        <f t="shared" si="424"/>
        <v>#DIV/0!</v>
      </c>
      <c r="AC478" s="276" t="e">
        <f t="shared" si="425"/>
        <v>#DIV/0!</v>
      </c>
      <c r="AD478" s="276" t="e">
        <f t="shared" si="426"/>
        <v>#DIV/0!</v>
      </c>
      <c r="AE478" s="686" t="e">
        <f t="shared" si="427"/>
        <v>#DIV/0!</v>
      </c>
      <c r="AF478" s="239"/>
      <c r="AG478" s="965" t="e">
        <f t="shared" si="398"/>
        <v>#VALUE!</v>
      </c>
      <c r="AH478" s="878" t="e">
        <f t="shared" si="399"/>
        <v>#VALUE!</v>
      </c>
      <c r="AI478" s="878" t="e">
        <f t="shared" si="400"/>
        <v>#VALUE!</v>
      </c>
      <c r="AJ478" s="878" t="e">
        <f t="shared" si="401"/>
        <v>#VALUE!</v>
      </c>
      <c r="AK478" s="878" t="e">
        <f t="shared" si="402"/>
        <v>#VALUE!</v>
      </c>
      <c r="AL478" s="966" t="e">
        <f t="shared" si="403"/>
        <v>#VALUE!</v>
      </c>
      <c r="AM478" s="239"/>
      <c r="AO478" s="685">
        <f t="shared" si="428"/>
        <v>-2.2730316952533585</v>
      </c>
      <c r="AP478" s="276">
        <f t="shared" si="429"/>
        <v>-2.4615836451062307</v>
      </c>
      <c r="AQ478" s="276">
        <f t="shared" si="430"/>
        <v>-2.5718885122468489</v>
      </c>
      <c r="AR478" s="276">
        <f t="shared" si="431"/>
        <v>2.0689861310441673</v>
      </c>
      <c r="AS478" s="276">
        <f t="shared" si="432"/>
        <v>1.2375017850595242</v>
      </c>
      <c r="AT478" s="276">
        <f t="shared" si="433"/>
        <v>0.47152437109889545</v>
      </c>
      <c r="AU478" s="685">
        <f t="shared" si="434"/>
        <v>0.28204741505996167</v>
      </c>
      <c r="AV478" s="276">
        <f t="shared" si="435"/>
        <v>1.1363147937289331</v>
      </c>
      <c r="AW478" s="276">
        <f t="shared" si="436"/>
        <v>0.67193100945007211</v>
      </c>
      <c r="AX478" s="276">
        <f t="shared" si="437"/>
        <v>1.607063570948964</v>
      </c>
      <c r="AY478" s="276">
        <f t="shared" si="438"/>
        <v>1.0646551572910619</v>
      </c>
      <c r="AZ478" s="686">
        <f t="shared" si="439"/>
        <v>2.2045777079046749</v>
      </c>
      <c r="BA478" s="685">
        <f t="shared" si="440"/>
        <v>0</v>
      </c>
      <c r="BB478" s="276">
        <f t="shared" si="441"/>
        <v>0</v>
      </c>
      <c r="BC478" s="276">
        <f t="shared" si="442"/>
        <v>0</v>
      </c>
      <c r="BD478" s="276">
        <f t="shared" si="443"/>
        <v>0</v>
      </c>
      <c r="BE478" s="276">
        <f t="shared" si="444"/>
        <v>0</v>
      </c>
      <c r="BF478" s="686">
        <f t="shared" si="445"/>
        <v>0</v>
      </c>
      <c r="BG478" s="685" t="e">
        <f t="shared" si="446"/>
        <v>#DIV/0!</v>
      </c>
      <c r="BH478" s="276" t="e">
        <f t="shared" si="447"/>
        <v>#DIV/0!</v>
      </c>
      <c r="BI478" s="276" t="e">
        <f t="shared" si="448"/>
        <v>#DIV/0!</v>
      </c>
      <c r="BJ478" s="276" t="e">
        <f t="shared" si="449"/>
        <v>#DIV/0!</v>
      </c>
      <c r="BK478" s="276" t="e">
        <f t="shared" si="450"/>
        <v>#DIV/0!</v>
      </c>
      <c r="BL478" s="686" t="e">
        <f t="shared" si="451"/>
        <v>#DIV/0!</v>
      </c>
      <c r="BM478" s="239"/>
      <c r="BN478" s="965" t="e">
        <f t="shared" si="452"/>
        <v>#VALUE!</v>
      </c>
      <c r="BO478" s="878" t="e">
        <f t="shared" si="453"/>
        <v>#VALUE!</v>
      </c>
      <c r="BP478" s="878" t="e">
        <f t="shared" si="454"/>
        <v>#VALUE!</v>
      </c>
      <c r="BQ478" s="878" t="e">
        <f t="shared" si="455"/>
        <v>#VALUE!</v>
      </c>
      <c r="BR478" s="878" t="e">
        <f t="shared" si="456"/>
        <v>#VALUE!</v>
      </c>
      <c r="BS478" s="966" t="e">
        <f t="shared" si="457"/>
        <v>#VALUE!</v>
      </c>
    </row>
    <row r="479" spans="1:71">
      <c r="A479" s="284">
        <f t="shared" si="458"/>
        <v>411</v>
      </c>
      <c r="B479" s="285">
        <v>1.8324514677157135</v>
      </c>
      <c r="C479" s="285">
        <v>3.0103993658714332</v>
      </c>
      <c r="D479" s="285">
        <v>3.1093941211123419</v>
      </c>
      <c r="E479" s="285">
        <v>-7.1840980912456835</v>
      </c>
      <c r="H479" s="685">
        <f t="shared" si="404"/>
        <v>0.69921762594665871</v>
      </c>
      <c r="I479" s="276">
        <f t="shared" si="405"/>
        <v>2.0407249039511557</v>
      </c>
      <c r="J479" s="276">
        <f t="shared" si="406"/>
        <v>-2.0260105289149872</v>
      </c>
      <c r="K479" s="276">
        <f t="shared" si="407"/>
        <v>2.7227393229383496</v>
      </c>
      <c r="L479" s="276">
        <f t="shared" si="408"/>
        <v>3.3345012914760996E-2</v>
      </c>
      <c r="M479" s="276">
        <f t="shared" si="409"/>
        <v>-0.48041713675567466</v>
      </c>
      <c r="N479" s="685">
        <f t="shared" si="410"/>
        <v>1.8032281548995648</v>
      </c>
      <c r="O479" s="276">
        <f t="shared" si="411"/>
        <v>1.4662493752019488</v>
      </c>
      <c r="P479" s="276">
        <f t="shared" si="412"/>
        <v>1.1620161645505405</v>
      </c>
      <c r="Q479" s="276">
        <f t="shared" si="413"/>
        <v>1.4534820569898514</v>
      </c>
      <c r="R479" s="276">
        <f t="shared" si="414"/>
        <v>1.75930222812515</v>
      </c>
      <c r="S479" s="686">
        <f t="shared" si="415"/>
        <v>1.19846426693873</v>
      </c>
      <c r="T479" s="685">
        <f t="shared" si="416"/>
        <v>6.3877578113832678</v>
      </c>
      <c r="U479" s="276">
        <f t="shared" si="417"/>
        <v>3.8977411600576755</v>
      </c>
      <c r="V479" s="276">
        <f t="shared" si="418"/>
        <v>4.943388708013936</v>
      </c>
      <c r="W479" s="276">
        <f t="shared" si="419"/>
        <v>5.0565216831233908</v>
      </c>
      <c r="X479" s="276">
        <f t="shared" si="420"/>
        <v>4.566544159718779</v>
      </c>
      <c r="Y479" s="686">
        <f t="shared" si="421"/>
        <v>4.8391351160527716</v>
      </c>
      <c r="Z479" s="685" t="e">
        <f t="shared" si="422"/>
        <v>#DIV/0!</v>
      </c>
      <c r="AA479" s="276" t="e">
        <f t="shared" si="423"/>
        <v>#DIV/0!</v>
      </c>
      <c r="AB479" s="276" t="e">
        <f t="shared" si="424"/>
        <v>#DIV/0!</v>
      </c>
      <c r="AC479" s="276" t="e">
        <f t="shared" si="425"/>
        <v>#DIV/0!</v>
      </c>
      <c r="AD479" s="276" t="e">
        <f t="shared" si="426"/>
        <v>#DIV/0!</v>
      </c>
      <c r="AE479" s="686" t="e">
        <f t="shared" si="427"/>
        <v>#DIV/0!</v>
      </c>
      <c r="AF479" s="239"/>
      <c r="AG479" s="965" t="e">
        <f t="shared" si="398"/>
        <v>#VALUE!</v>
      </c>
      <c r="AH479" s="878" t="e">
        <f t="shared" si="399"/>
        <v>#VALUE!</v>
      </c>
      <c r="AI479" s="878" t="e">
        <f t="shared" si="400"/>
        <v>#VALUE!</v>
      </c>
      <c r="AJ479" s="878" t="e">
        <f t="shared" si="401"/>
        <v>#VALUE!</v>
      </c>
      <c r="AK479" s="878" t="e">
        <f t="shared" si="402"/>
        <v>#VALUE!</v>
      </c>
      <c r="AL479" s="966" t="e">
        <f t="shared" si="403"/>
        <v>#VALUE!</v>
      </c>
      <c r="AM479" s="239"/>
      <c r="AO479" s="685">
        <f t="shared" si="428"/>
        <v>0.69921762594665871</v>
      </c>
      <c r="AP479" s="276">
        <f t="shared" si="429"/>
        <v>2.0407249039511557</v>
      </c>
      <c r="AQ479" s="276">
        <f t="shared" si="430"/>
        <v>-2.0260105289149872</v>
      </c>
      <c r="AR479" s="276">
        <f t="shared" si="431"/>
        <v>2.7227393229383496</v>
      </c>
      <c r="AS479" s="276">
        <f t="shared" si="432"/>
        <v>3.3345012914760996E-2</v>
      </c>
      <c r="AT479" s="276">
        <f t="shared" si="433"/>
        <v>-0.48041713675567466</v>
      </c>
      <c r="AU479" s="685">
        <f t="shared" si="434"/>
        <v>1.8032281548995648</v>
      </c>
      <c r="AV479" s="276">
        <f t="shared" si="435"/>
        <v>1.4662493752019488</v>
      </c>
      <c r="AW479" s="276">
        <f t="shared" si="436"/>
        <v>1.1620161645505405</v>
      </c>
      <c r="AX479" s="276">
        <f t="shared" si="437"/>
        <v>1.4534820569898514</v>
      </c>
      <c r="AY479" s="276">
        <f t="shared" si="438"/>
        <v>1.75930222812515</v>
      </c>
      <c r="AZ479" s="686">
        <f t="shared" si="439"/>
        <v>1.19846426693873</v>
      </c>
      <c r="BA479" s="685">
        <f t="shared" si="440"/>
        <v>0</v>
      </c>
      <c r="BB479" s="276">
        <f t="shared" si="441"/>
        <v>0</v>
      </c>
      <c r="BC479" s="276">
        <f t="shared" si="442"/>
        <v>0</v>
      </c>
      <c r="BD479" s="276">
        <f t="shared" si="443"/>
        <v>0</v>
      </c>
      <c r="BE479" s="276">
        <f t="shared" si="444"/>
        <v>0</v>
      </c>
      <c r="BF479" s="686">
        <f t="shared" si="445"/>
        <v>0</v>
      </c>
      <c r="BG479" s="685" t="e">
        <f t="shared" si="446"/>
        <v>#DIV/0!</v>
      </c>
      <c r="BH479" s="276" t="e">
        <f t="shared" si="447"/>
        <v>#DIV/0!</v>
      </c>
      <c r="BI479" s="276" t="e">
        <f t="shared" si="448"/>
        <v>#DIV/0!</v>
      </c>
      <c r="BJ479" s="276" t="e">
        <f t="shared" si="449"/>
        <v>#DIV/0!</v>
      </c>
      <c r="BK479" s="276" t="e">
        <f t="shared" si="450"/>
        <v>#DIV/0!</v>
      </c>
      <c r="BL479" s="686" t="e">
        <f t="shared" si="451"/>
        <v>#DIV/0!</v>
      </c>
      <c r="BM479" s="239"/>
      <c r="BN479" s="965" t="e">
        <f t="shared" si="452"/>
        <v>#VALUE!</v>
      </c>
      <c r="BO479" s="878" t="e">
        <f t="shared" si="453"/>
        <v>#VALUE!</v>
      </c>
      <c r="BP479" s="878" t="e">
        <f t="shared" si="454"/>
        <v>#VALUE!</v>
      </c>
      <c r="BQ479" s="878" t="e">
        <f t="shared" si="455"/>
        <v>#VALUE!</v>
      </c>
      <c r="BR479" s="878" t="e">
        <f t="shared" si="456"/>
        <v>#VALUE!</v>
      </c>
      <c r="BS479" s="966" t="e">
        <f t="shared" si="457"/>
        <v>#VALUE!</v>
      </c>
    </row>
    <row r="480" spans="1:71">
      <c r="A480" s="284">
        <f t="shared" si="458"/>
        <v>412</v>
      </c>
      <c r="B480" s="285">
        <v>-1.7263733112963495</v>
      </c>
      <c r="C480" s="285">
        <v>2.2968657073130667</v>
      </c>
      <c r="D480" s="285">
        <v>-0.12781067855558836</v>
      </c>
      <c r="E480" s="285">
        <v>7.9852565447985135E-2</v>
      </c>
      <c r="H480" s="685">
        <f t="shared" si="404"/>
        <v>-2.8596071530654044</v>
      </c>
      <c r="I480" s="276">
        <f t="shared" si="405"/>
        <v>0.17607909728570892</v>
      </c>
      <c r="J480" s="276">
        <f t="shared" si="406"/>
        <v>-1.1012426599348348</v>
      </c>
      <c r="K480" s="276">
        <f t="shared" si="407"/>
        <v>-2.9096226099671183</v>
      </c>
      <c r="L480" s="276">
        <f t="shared" si="408"/>
        <v>-6.6285715279957431</v>
      </c>
      <c r="M480" s="276">
        <f t="shared" si="409"/>
        <v>-1.2973948110726938</v>
      </c>
      <c r="N480" s="685">
        <f t="shared" si="410"/>
        <v>1.0896944963411983</v>
      </c>
      <c r="O480" s="276">
        <f t="shared" si="411"/>
        <v>2.0754419000800199</v>
      </c>
      <c r="P480" s="276">
        <f t="shared" si="412"/>
        <v>1.4103888328047585</v>
      </c>
      <c r="Q480" s="276">
        <f t="shared" si="413"/>
        <v>2.1618519384008614</v>
      </c>
      <c r="R480" s="276">
        <f t="shared" si="414"/>
        <v>8.8867811599947055E-2</v>
      </c>
      <c r="S480" s="686">
        <f t="shared" si="415"/>
        <v>1.488709888666736</v>
      </c>
      <c r="T480" s="685">
        <f t="shared" si="416"/>
        <v>3.1505530117153375</v>
      </c>
      <c r="U480" s="276">
        <f t="shared" si="417"/>
        <v>4.4921471248086142</v>
      </c>
      <c r="V480" s="276">
        <f t="shared" si="418"/>
        <v>3.6617484628234664</v>
      </c>
      <c r="W480" s="276">
        <f t="shared" si="419"/>
        <v>2.2750605773013963</v>
      </c>
      <c r="X480" s="276">
        <f t="shared" si="420"/>
        <v>3.2995493711749848</v>
      </c>
      <c r="Y480" s="686">
        <f t="shared" si="421"/>
        <v>7.8468884434793615</v>
      </c>
      <c r="Z480" s="685" t="e">
        <f t="shared" si="422"/>
        <v>#DIV/0!</v>
      </c>
      <c r="AA480" s="276" t="e">
        <f t="shared" si="423"/>
        <v>#DIV/0!</v>
      </c>
      <c r="AB480" s="276" t="e">
        <f t="shared" si="424"/>
        <v>#DIV/0!</v>
      </c>
      <c r="AC480" s="276" t="e">
        <f t="shared" si="425"/>
        <v>#DIV/0!</v>
      </c>
      <c r="AD480" s="276" t="e">
        <f t="shared" si="426"/>
        <v>#DIV/0!</v>
      </c>
      <c r="AE480" s="686" t="e">
        <f t="shared" si="427"/>
        <v>#DIV/0!</v>
      </c>
      <c r="AF480" s="239"/>
      <c r="AG480" s="965" t="e">
        <f t="shared" si="398"/>
        <v>#VALUE!</v>
      </c>
      <c r="AH480" s="878" t="e">
        <f t="shared" si="399"/>
        <v>#VALUE!</v>
      </c>
      <c r="AI480" s="878" t="e">
        <f t="shared" si="400"/>
        <v>#VALUE!</v>
      </c>
      <c r="AJ480" s="878" t="e">
        <f t="shared" si="401"/>
        <v>#VALUE!</v>
      </c>
      <c r="AK480" s="878" t="e">
        <f t="shared" si="402"/>
        <v>#VALUE!</v>
      </c>
      <c r="AL480" s="966" t="e">
        <f t="shared" si="403"/>
        <v>#VALUE!</v>
      </c>
      <c r="AM480" s="239"/>
      <c r="AO480" s="685">
        <f t="shared" si="428"/>
        <v>-2.8596071530654044</v>
      </c>
      <c r="AP480" s="276">
        <f t="shared" si="429"/>
        <v>0.17607909728570892</v>
      </c>
      <c r="AQ480" s="276">
        <f t="shared" si="430"/>
        <v>-1.1012426599348348</v>
      </c>
      <c r="AR480" s="276">
        <f t="shared" si="431"/>
        <v>-2.9096226099671183</v>
      </c>
      <c r="AS480" s="276">
        <f t="shared" si="432"/>
        <v>-6.6285715279957431</v>
      </c>
      <c r="AT480" s="276">
        <f t="shared" si="433"/>
        <v>-1.2973948110726938</v>
      </c>
      <c r="AU480" s="685">
        <f t="shared" si="434"/>
        <v>1.0896944963411983</v>
      </c>
      <c r="AV480" s="276">
        <f t="shared" si="435"/>
        <v>2.0754419000800199</v>
      </c>
      <c r="AW480" s="276">
        <f t="shared" si="436"/>
        <v>1.4103888328047585</v>
      </c>
      <c r="AX480" s="276">
        <f t="shared" si="437"/>
        <v>2.1618519384008614</v>
      </c>
      <c r="AY480" s="276">
        <f t="shared" si="438"/>
        <v>8.8867811599947055E-2</v>
      </c>
      <c r="AZ480" s="686">
        <f t="shared" si="439"/>
        <v>1.488709888666736</v>
      </c>
      <c r="BA480" s="685">
        <f t="shared" si="440"/>
        <v>0</v>
      </c>
      <c r="BB480" s="276">
        <f t="shared" si="441"/>
        <v>0</v>
      </c>
      <c r="BC480" s="276">
        <f t="shared" si="442"/>
        <v>0</v>
      </c>
      <c r="BD480" s="276">
        <f t="shared" si="443"/>
        <v>0</v>
      </c>
      <c r="BE480" s="276">
        <f t="shared" si="444"/>
        <v>0</v>
      </c>
      <c r="BF480" s="686">
        <f t="shared" si="445"/>
        <v>0</v>
      </c>
      <c r="BG480" s="685" t="e">
        <f t="shared" si="446"/>
        <v>#DIV/0!</v>
      </c>
      <c r="BH480" s="276" t="e">
        <f t="shared" si="447"/>
        <v>#DIV/0!</v>
      </c>
      <c r="BI480" s="276" t="e">
        <f t="shared" si="448"/>
        <v>#DIV/0!</v>
      </c>
      <c r="BJ480" s="276" t="e">
        <f t="shared" si="449"/>
        <v>#DIV/0!</v>
      </c>
      <c r="BK480" s="276" t="e">
        <f t="shared" si="450"/>
        <v>#DIV/0!</v>
      </c>
      <c r="BL480" s="686" t="e">
        <f t="shared" si="451"/>
        <v>#DIV/0!</v>
      </c>
      <c r="BM480" s="239"/>
      <c r="BN480" s="965" t="e">
        <f t="shared" si="452"/>
        <v>#VALUE!</v>
      </c>
      <c r="BO480" s="878" t="e">
        <f t="shared" si="453"/>
        <v>#VALUE!</v>
      </c>
      <c r="BP480" s="878" t="e">
        <f t="shared" si="454"/>
        <v>#VALUE!</v>
      </c>
      <c r="BQ480" s="878" t="e">
        <f t="shared" si="455"/>
        <v>#VALUE!</v>
      </c>
      <c r="BR480" s="878" t="e">
        <f t="shared" si="456"/>
        <v>#VALUE!</v>
      </c>
      <c r="BS480" s="966" t="e">
        <f t="shared" si="457"/>
        <v>#VALUE!</v>
      </c>
    </row>
    <row r="481" spans="1:71">
      <c r="A481" s="284">
        <f t="shared" si="458"/>
        <v>413</v>
      </c>
      <c r="B481" s="285">
        <v>-0.92742309565672654</v>
      </c>
      <c r="C481" s="285">
        <v>1.8920526063346723</v>
      </c>
      <c r="D481" s="285">
        <v>1.6714348290608885</v>
      </c>
      <c r="E481" s="285">
        <v>-9.3516301416934802</v>
      </c>
      <c r="H481" s="685">
        <f t="shared" si="404"/>
        <v>-2.0606569374257813</v>
      </c>
      <c r="I481" s="276">
        <f t="shared" si="405"/>
        <v>1.0100634042742269</v>
      </c>
      <c r="J481" s="276">
        <f t="shared" si="406"/>
        <v>-6.1822867083871325</v>
      </c>
      <c r="K481" s="276">
        <f t="shared" si="407"/>
        <v>-5.3053425813353918</v>
      </c>
      <c r="L481" s="276">
        <f t="shared" si="408"/>
        <v>-3.7282776500887627</v>
      </c>
      <c r="M481" s="276">
        <f t="shared" si="409"/>
        <v>0.57074276290867121</v>
      </c>
      <c r="N481" s="685">
        <f t="shared" si="410"/>
        <v>0.6848813953628039</v>
      </c>
      <c r="O481" s="276">
        <f t="shared" si="411"/>
        <v>1.2991607423261453</v>
      </c>
      <c r="P481" s="276">
        <f t="shared" si="412"/>
        <v>0.5676913013911522</v>
      </c>
      <c r="Q481" s="276">
        <f t="shared" si="413"/>
        <v>2.0201693301433696</v>
      </c>
      <c r="R481" s="276">
        <f t="shared" si="414"/>
        <v>1.194075061845705</v>
      </c>
      <c r="S481" s="686">
        <f t="shared" si="415"/>
        <v>1.7491683154254021</v>
      </c>
      <c r="T481" s="685">
        <f t="shared" si="416"/>
        <v>4.9497985193318144</v>
      </c>
      <c r="U481" s="276">
        <f t="shared" si="417"/>
        <v>5.7752821639956213</v>
      </c>
      <c r="V481" s="276">
        <f t="shared" si="418"/>
        <v>1.9928747913726998</v>
      </c>
      <c r="W481" s="276">
        <f t="shared" si="419"/>
        <v>4.4963306356637718</v>
      </c>
      <c r="X481" s="276">
        <f t="shared" si="420"/>
        <v>2.409814542024586</v>
      </c>
      <c r="Y481" s="686">
        <f t="shared" si="421"/>
        <v>5.6292152465561767</v>
      </c>
      <c r="Z481" s="685" t="e">
        <f t="shared" si="422"/>
        <v>#DIV/0!</v>
      </c>
      <c r="AA481" s="276" t="e">
        <f t="shared" si="423"/>
        <v>#DIV/0!</v>
      </c>
      <c r="AB481" s="276" t="e">
        <f t="shared" si="424"/>
        <v>#DIV/0!</v>
      </c>
      <c r="AC481" s="276" t="e">
        <f t="shared" si="425"/>
        <v>#DIV/0!</v>
      </c>
      <c r="AD481" s="276" t="e">
        <f t="shared" si="426"/>
        <v>#DIV/0!</v>
      </c>
      <c r="AE481" s="686" t="e">
        <f t="shared" si="427"/>
        <v>#DIV/0!</v>
      </c>
      <c r="AF481" s="239"/>
      <c r="AG481" s="965" t="e">
        <f t="shared" si="398"/>
        <v>#VALUE!</v>
      </c>
      <c r="AH481" s="878" t="e">
        <f t="shared" si="399"/>
        <v>#VALUE!</v>
      </c>
      <c r="AI481" s="878" t="e">
        <f t="shared" si="400"/>
        <v>#VALUE!</v>
      </c>
      <c r="AJ481" s="878" t="e">
        <f t="shared" si="401"/>
        <v>#VALUE!</v>
      </c>
      <c r="AK481" s="878" t="e">
        <f t="shared" si="402"/>
        <v>#VALUE!</v>
      </c>
      <c r="AL481" s="966" t="e">
        <f t="shared" si="403"/>
        <v>#VALUE!</v>
      </c>
      <c r="AM481" s="239"/>
      <c r="AO481" s="685">
        <f t="shared" si="428"/>
        <v>-2.0606569374257813</v>
      </c>
      <c r="AP481" s="276">
        <f t="shared" si="429"/>
        <v>1.0100634042742269</v>
      </c>
      <c r="AQ481" s="276">
        <f t="shared" si="430"/>
        <v>-6.1822867083871325</v>
      </c>
      <c r="AR481" s="276">
        <f t="shared" si="431"/>
        <v>-5.3053425813353918</v>
      </c>
      <c r="AS481" s="276">
        <f t="shared" si="432"/>
        <v>-3.7282776500887627</v>
      </c>
      <c r="AT481" s="276">
        <f t="shared" si="433"/>
        <v>0.57074276290867121</v>
      </c>
      <c r="AU481" s="685">
        <f t="shared" si="434"/>
        <v>0.6848813953628039</v>
      </c>
      <c r="AV481" s="276">
        <f t="shared" si="435"/>
        <v>1.2991607423261453</v>
      </c>
      <c r="AW481" s="276">
        <f t="shared" si="436"/>
        <v>0.5676913013911522</v>
      </c>
      <c r="AX481" s="276">
        <f t="shared" si="437"/>
        <v>2.0201693301433696</v>
      </c>
      <c r="AY481" s="276">
        <f t="shared" si="438"/>
        <v>1.194075061845705</v>
      </c>
      <c r="AZ481" s="686">
        <f t="shared" si="439"/>
        <v>1.7491683154254021</v>
      </c>
      <c r="BA481" s="685">
        <f t="shared" si="440"/>
        <v>0</v>
      </c>
      <c r="BB481" s="276">
        <f t="shared" si="441"/>
        <v>0</v>
      </c>
      <c r="BC481" s="276">
        <f t="shared" si="442"/>
        <v>0</v>
      </c>
      <c r="BD481" s="276">
        <f t="shared" si="443"/>
        <v>0</v>
      </c>
      <c r="BE481" s="276">
        <f t="shared" si="444"/>
        <v>0</v>
      </c>
      <c r="BF481" s="686">
        <f t="shared" si="445"/>
        <v>0</v>
      </c>
      <c r="BG481" s="685" t="e">
        <f t="shared" si="446"/>
        <v>#DIV/0!</v>
      </c>
      <c r="BH481" s="276" t="e">
        <f t="shared" si="447"/>
        <v>#DIV/0!</v>
      </c>
      <c r="BI481" s="276" t="e">
        <f t="shared" si="448"/>
        <v>#DIV/0!</v>
      </c>
      <c r="BJ481" s="276" t="e">
        <f t="shared" si="449"/>
        <v>#DIV/0!</v>
      </c>
      <c r="BK481" s="276" t="e">
        <f t="shared" si="450"/>
        <v>#DIV/0!</v>
      </c>
      <c r="BL481" s="686" t="e">
        <f t="shared" si="451"/>
        <v>#DIV/0!</v>
      </c>
      <c r="BM481" s="239"/>
      <c r="BN481" s="965" t="e">
        <f t="shared" si="452"/>
        <v>#VALUE!</v>
      </c>
      <c r="BO481" s="878" t="e">
        <f t="shared" si="453"/>
        <v>#VALUE!</v>
      </c>
      <c r="BP481" s="878" t="e">
        <f t="shared" si="454"/>
        <v>#VALUE!</v>
      </c>
      <c r="BQ481" s="878" t="e">
        <f t="shared" si="455"/>
        <v>#VALUE!</v>
      </c>
      <c r="BR481" s="878" t="e">
        <f t="shared" si="456"/>
        <v>#VALUE!</v>
      </c>
      <c r="BS481" s="966" t="e">
        <f t="shared" si="457"/>
        <v>#VALUE!</v>
      </c>
    </row>
    <row r="482" spans="1:71">
      <c r="A482" s="284">
        <f t="shared" si="458"/>
        <v>414</v>
      </c>
      <c r="B482" s="285">
        <v>-0.38881748955173689</v>
      </c>
      <c r="C482" s="285">
        <v>3.2121771956174623</v>
      </c>
      <c r="D482" s="285">
        <v>0.52476778331840745</v>
      </c>
      <c r="E482" s="285">
        <v>-1.0513375256520212</v>
      </c>
      <c r="H482" s="685">
        <f t="shared" si="404"/>
        <v>-1.5220513313207917</v>
      </c>
      <c r="I482" s="276">
        <f t="shared" si="405"/>
        <v>0.94082514635234937</v>
      </c>
      <c r="J482" s="276">
        <f t="shared" si="406"/>
        <v>2.6671866614631545</v>
      </c>
      <c r="K482" s="276">
        <f t="shared" si="407"/>
        <v>4.2054028328789945</v>
      </c>
      <c r="L482" s="276">
        <f t="shared" si="408"/>
        <v>-1.6037006248367232</v>
      </c>
      <c r="M482" s="276">
        <f t="shared" si="409"/>
        <v>1.7169764641225174</v>
      </c>
      <c r="N482" s="685">
        <f t="shared" si="410"/>
        <v>2.0050059846455941</v>
      </c>
      <c r="O482" s="276">
        <f t="shared" si="411"/>
        <v>1.6082399095014897</v>
      </c>
      <c r="P482" s="276">
        <f t="shared" si="412"/>
        <v>1.195215812284071</v>
      </c>
      <c r="Q482" s="276">
        <f t="shared" si="413"/>
        <v>1.4037039899982349</v>
      </c>
      <c r="R482" s="276">
        <f t="shared" si="414"/>
        <v>1.4722337348384975</v>
      </c>
      <c r="S482" s="686">
        <f t="shared" si="415"/>
        <v>1.2824522685461039</v>
      </c>
      <c r="T482" s="685">
        <f t="shared" si="416"/>
        <v>3.8031314735893336</v>
      </c>
      <c r="U482" s="276">
        <f t="shared" si="417"/>
        <v>3.5556129842119049</v>
      </c>
      <c r="V482" s="276">
        <f t="shared" si="418"/>
        <v>4.2931792056642575</v>
      </c>
      <c r="W482" s="276">
        <f t="shared" si="419"/>
        <v>4.842448346563847</v>
      </c>
      <c r="X482" s="276">
        <f t="shared" si="420"/>
        <v>4.78671585171627</v>
      </c>
      <c r="Y482" s="686">
        <f t="shared" si="421"/>
        <v>3.2970189565305552</v>
      </c>
      <c r="Z482" s="685" t="e">
        <f t="shared" si="422"/>
        <v>#DIV/0!</v>
      </c>
      <c r="AA482" s="276" t="e">
        <f t="shared" si="423"/>
        <v>#DIV/0!</v>
      </c>
      <c r="AB482" s="276" t="e">
        <f t="shared" si="424"/>
        <v>#DIV/0!</v>
      </c>
      <c r="AC482" s="276" t="e">
        <f t="shared" si="425"/>
        <v>#DIV/0!</v>
      </c>
      <c r="AD482" s="276" t="e">
        <f t="shared" si="426"/>
        <v>#DIV/0!</v>
      </c>
      <c r="AE482" s="686" t="e">
        <f t="shared" si="427"/>
        <v>#DIV/0!</v>
      </c>
      <c r="AF482" s="239"/>
      <c r="AG482" s="965" t="e">
        <f t="shared" si="398"/>
        <v>#VALUE!</v>
      </c>
      <c r="AH482" s="878" t="e">
        <f t="shared" si="399"/>
        <v>#VALUE!</v>
      </c>
      <c r="AI482" s="878" t="e">
        <f t="shared" si="400"/>
        <v>#VALUE!</v>
      </c>
      <c r="AJ482" s="878" t="e">
        <f t="shared" si="401"/>
        <v>#VALUE!</v>
      </c>
      <c r="AK482" s="878" t="e">
        <f t="shared" si="402"/>
        <v>#VALUE!</v>
      </c>
      <c r="AL482" s="966" t="e">
        <f t="shared" si="403"/>
        <v>#VALUE!</v>
      </c>
      <c r="AM482" s="239"/>
      <c r="AO482" s="685">
        <f t="shared" si="428"/>
        <v>-1.5220513313207917</v>
      </c>
      <c r="AP482" s="276">
        <f t="shared" si="429"/>
        <v>0.94082514635234937</v>
      </c>
      <c r="AQ482" s="276">
        <f t="shared" si="430"/>
        <v>2.6671866614631545</v>
      </c>
      <c r="AR482" s="276">
        <f t="shared" si="431"/>
        <v>4.2054028328789945</v>
      </c>
      <c r="AS482" s="276">
        <f t="shared" si="432"/>
        <v>-1.6037006248367232</v>
      </c>
      <c r="AT482" s="276">
        <f t="shared" si="433"/>
        <v>1.7169764641225174</v>
      </c>
      <c r="AU482" s="685">
        <f t="shared" si="434"/>
        <v>2.0050059846455941</v>
      </c>
      <c r="AV482" s="276">
        <f t="shared" si="435"/>
        <v>1.6082399095014897</v>
      </c>
      <c r="AW482" s="276">
        <f t="shared" si="436"/>
        <v>1.195215812284071</v>
      </c>
      <c r="AX482" s="276">
        <f t="shared" si="437"/>
        <v>1.4037039899982349</v>
      </c>
      <c r="AY482" s="276">
        <f t="shared" si="438"/>
        <v>1.4722337348384975</v>
      </c>
      <c r="AZ482" s="686">
        <f t="shared" si="439"/>
        <v>1.2824522685461039</v>
      </c>
      <c r="BA482" s="685">
        <f t="shared" si="440"/>
        <v>0</v>
      </c>
      <c r="BB482" s="276">
        <f t="shared" si="441"/>
        <v>0</v>
      </c>
      <c r="BC482" s="276">
        <f t="shared" si="442"/>
        <v>0</v>
      </c>
      <c r="BD482" s="276">
        <f t="shared" si="443"/>
        <v>0</v>
      </c>
      <c r="BE482" s="276">
        <f t="shared" si="444"/>
        <v>0</v>
      </c>
      <c r="BF482" s="686">
        <f t="shared" si="445"/>
        <v>0</v>
      </c>
      <c r="BG482" s="685" t="e">
        <f t="shared" si="446"/>
        <v>#DIV/0!</v>
      </c>
      <c r="BH482" s="276" t="e">
        <f t="shared" si="447"/>
        <v>#DIV/0!</v>
      </c>
      <c r="BI482" s="276" t="e">
        <f t="shared" si="448"/>
        <v>#DIV/0!</v>
      </c>
      <c r="BJ482" s="276" t="e">
        <f t="shared" si="449"/>
        <v>#DIV/0!</v>
      </c>
      <c r="BK482" s="276" t="e">
        <f t="shared" si="450"/>
        <v>#DIV/0!</v>
      </c>
      <c r="BL482" s="686" t="e">
        <f t="shared" si="451"/>
        <v>#DIV/0!</v>
      </c>
      <c r="BM482" s="239"/>
      <c r="BN482" s="965" t="e">
        <f t="shared" si="452"/>
        <v>#VALUE!</v>
      </c>
      <c r="BO482" s="878" t="e">
        <f t="shared" si="453"/>
        <v>#VALUE!</v>
      </c>
      <c r="BP482" s="878" t="e">
        <f t="shared" si="454"/>
        <v>#VALUE!</v>
      </c>
      <c r="BQ482" s="878" t="e">
        <f t="shared" si="455"/>
        <v>#VALUE!</v>
      </c>
      <c r="BR482" s="878" t="e">
        <f t="shared" si="456"/>
        <v>#VALUE!</v>
      </c>
      <c r="BS482" s="966" t="e">
        <f t="shared" si="457"/>
        <v>#VALUE!</v>
      </c>
    </row>
    <row r="483" spans="1:71">
      <c r="A483" s="284">
        <f t="shared" si="458"/>
        <v>415</v>
      </c>
      <c r="B483" s="285">
        <v>-1.3623436412761358</v>
      </c>
      <c r="C483" s="285">
        <v>2.657165245984261</v>
      </c>
      <c r="D483" s="285">
        <v>-6.7734591555803636E-2</v>
      </c>
      <c r="E483" s="285">
        <v>13.911236363875279</v>
      </c>
      <c r="H483" s="685">
        <f t="shared" si="404"/>
        <v>-2.4955774830451904</v>
      </c>
      <c r="I483" s="276">
        <f t="shared" si="405"/>
        <v>-3.1099841244277968</v>
      </c>
      <c r="J483" s="276">
        <f t="shared" si="406"/>
        <v>-1.155117050860172</v>
      </c>
      <c r="K483" s="276">
        <f t="shared" si="407"/>
        <v>-0.48793731927797324</v>
      </c>
      <c r="L483" s="276">
        <f t="shared" si="408"/>
        <v>-0.99857637029427759</v>
      </c>
      <c r="M483" s="276">
        <f t="shared" si="409"/>
        <v>-0.64873951683348474</v>
      </c>
      <c r="N483" s="685">
        <f t="shared" si="410"/>
        <v>1.4499940350123925</v>
      </c>
      <c r="O483" s="276">
        <f t="shared" si="411"/>
        <v>1.2948883521544328</v>
      </c>
      <c r="P483" s="276">
        <f t="shared" si="412"/>
        <v>1.0001780402597082</v>
      </c>
      <c r="Q483" s="276">
        <f t="shared" si="413"/>
        <v>1.6936718015038796</v>
      </c>
      <c r="R483" s="276">
        <f t="shared" si="414"/>
        <v>0.85174325745404222</v>
      </c>
      <c r="S483" s="686">
        <f t="shared" si="415"/>
        <v>0.86392756393423364</v>
      </c>
      <c r="T483" s="685">
        <f t="shared" si="416"/>
        <v>3.2106290987151223</v>
      </c>
      <c r="U483" s="276">
        <f t="shared" si="417"/>
        <v>3.8069229850670396</v>
      </c>
      <c r="V483" s="276">
        <f t="shared" si="418"/>
        <v>3.9595124779640556</v>
      </c>
      <c r="W483" s="276">
        <f t="shared" si="419"/>
        <v>4.1449679331480302</v>
      </c>
      <c r="X483" s="276">
        <f t="shared" si="420"/>
        <v>6.0349441792891767</v>
      </c>
      <c r="Y483" s="686">
        <f t="shared" si="421"/>
        <v>5.4917479381877321</v>
      </c>
      <c r="Z483" s="685" t="e">
        <f t="shared" si="422"/>
        <v>#DIV/0!</v>
      </c>
      <c r="AA483" s="276" t="e">
        <f t="shared" si="423"/>
        <v>#DIV/0!</v>
      </c>
      <c r="AB483" s="276" t="e">
        <f t="shared" si="424"/>
        <v>#DIV/0!</v>
      </c>
      <c r="AC483" s="276" t="e">
        <f t="shared" si="425"/>
        <v>#DIV/0!</v>
      </c>
      <c r="AD483" s="276" t="e">
        <f t="shared" si="426"/>
        <v>#DIV/0!</v>
      </c>
      <c r="AE483" s="686" t="e">
        <f t="shared" si="427"/>
        <v>#DIV/0!</v>
      </c>
      <c r="AF483" s="239"/>
      <c r="AG483" s="965" t="e">
        <f t="shared" si="398"/>
        <v>#VALUE!</v>
      </c>
      <c r="AH483" s="878" t="e">
        <f t="shared" si="399"/>
        <v>#VALUE!</v>
      </c>
      <c r="AI483" s="878" t="e">
        <f t="shared" si="400"/>
        <v>#VALUE!</v>
      </c>
      <c r="AJ483" s="878" t="e">
        <f t="shared" si="401"/>
        <v>#VALUE!</v>
      </c>
      <c r="AK483" s="878" t="e">
        <f t="shared" si="402"/>
        <v>#VALUE!</v>
      </c>
      <c r="AL483" s="966" t="e">
        <f t="shared" si="403"/>
        <v>#VALUE!</v>
      </c>
      <c r="AM483" s="239"/>
      <c r="AO483" s="685">
        <f t="shared" si="428"/>
        <v>-2.4955774830451904</v>
      </c>
      <c r="AP483" s="276">
        <f t="shared" si="429"/>
        <v>-3.1099841244277968</v>
      </c>
      <c r="AQ483" s="276">
        <f t="shared" si="430"/>
        <v>-1.155117050860172</v>
      </c>
      <c r="AR483" s="276">
        <f t="shared" si="431"/>
        <v>-0.48793731927797324</v>
      </c>
      <c r="AS483" s="276">
        <f t="shared" si="432"/>
        <v>-0.99857637029427759</v>
      </c>
      <c r="AT483" s="276">
        <f t="shared" si="433"/>
        <v>-0.64873951683348474</v>
      </c>
      <c r="AU483" s="685">
        <f t="shared" si="434"/>
        <v>1.4499940350123925</v>
      </c>
      <c r="AV483" s="276">
        <f t="shared" si="435"/>
        <v>1.2948883521544328</v>
      </c>
      <c r="AW483" s="276">
        <f t="shared" si="436"/>
        <v>1.0001780402597082</v>
      </c>
      <c r="AX483" s="276">
        <f t="shared" si="437"/>
        <v>1.6936718015038796</v>
      </c>
      <c r="AY483" s="276">
        <f t="shared" si="438"/>
        <v>0.85174325745404222</v>
      </c>
      <c r="AZ483" s="686">
        <f t="shared" si="439"/>
        <v>0.86392756393423364</v>
      </c>
      <c r="BA483" s="685">
        <f t="shared" si="440"/>
        <v>0</v>
      </c>
      <c r="BB483" s="276">
        <f t="shared" si="441"/>
        <v>0</v>
      </c>
      <c r="BC483" s="276">
        <f t="shared" si="442"/>
        <v>0</v>
      </c>
      <c r="BD483" s="276">
        <f t="shared" si="443"/>
        <v>0</v>
      </c>
      <c r="BE483" s="276">
        <f t="shared" si="444"/>
        <v>0</v>
      </c>
      <c r="BF483" s="686">
        <f t="shared" si="445"/>
        <v>0</v>
      </c>
      <c r="BG483" s="685" t="e">
        <f t="shared" si="446"/>
        <v>#DIV/0!</v>
      </c>
      <c r="BH483" s="276" t="e">
        <f t="shared" si="447"/>
        <v>#DIV/0!</v>
      </c>
      <c r="BI483" s="276" t="e">
        <f t="shared" si="448"/>
        <v>#DIV/0!</v>
      </c>
      <c r="BJ483" s="276" t="e">
        <f t="shared" si="449"/>
        <v>#DIV/0!</v>
      </c>
      <c r="BK483" s="276" t="e">
        <f t="shared" si="450"/>
        <v>#DIV/0!</v>
      </c>
      <c r="BL483" s="686" t="e">
        <f t="shared" si="451"/>
        <v>#DIV/0!</v>
      </c>
      <c r="BM483" s="239"/>
      <c r="BN483" s="965" t="e">
        <f t="shared" si="452"/>
        <v>#VALUE!</v>
      </c>
      <c r="BO483" s="878" t="e">
        <f t="shared" si="453"/>
        <v>#VALUE!</v>
      </c>
      <c r="BP483" s="878" t="e">
        <f t="shared" si="454"/>
        <v>#VALUE!</v>
      </c>
      <c r="BQ483" s="878" t="e">
        <f t="shared" si="455"/>
        <v>#VALUE!</v>
      </c>
      <c r="BR483" s="878" t="e">
        <f t="shared" si="456"/>
        <v>#VALUE!</v>
      </c>
      <c r="BS483" s="966" t="e">
        <f t="shared" si="457"/>
        <v>#VALUE!</v>
      </c>
    </row>
    <row r="484" spans="1:71">
      <c r="A484" s="284">
        <f t="shared" si="458"/>
        <v>416</v>
      </c>
      <c r="B484" s="285">
        <v>0.16848189860106064</v>
      </c>
      <c r="C484" s="285">
        <v>3.1204017056562852</v>
      </c>
      <c r="D484" s="285">
        <v>1.6663183438032578</v>
      </c>
      <c r="E484" s="285">
        <v>7.7466029371170144</v>
      </c>
      <c r="H484" s="685">
        <f t="shared" si="404"/>
        <v>-0.96475194316799417</v>
      </c>
      <c r="I484" s="276">
        <f t="shared" si="405"/>
        <v>0.51378901420146517</v>
      </c>
      <c r="J484" s="276">
        <f t="shared" si="406"/>
        <v>-3.5466913956485113</v>
      </c>
      <c r="K484" s="276">
        <f t="shared" si="407"/>
        <v>1.199378136467123</v>
      </c>
      <c r="L484" s="276">
        <f t="shared" si="408"/>
        <v>-1.1261544105492338</v>
      </c>
      <c r="M484" s="276">
        <f t="shared" si="409"/>
        <v>-3.171770953200781E-2</v>
      </c>
      <c r="N484" s="685">
        <f t="shared" si="410"/>
        <v>1.9132304946844167</v>
      </c>
      <c r="O484" s="276">
        <f t="shared" si="411"/>
        <v>2.399745528532792</v>
      </c>
      <c r="P484" s="276">
        <f t="shared" si="412"/>
        <v>0.61642082899794981</v>
      </c>
      <c r="Q484" s="276">
        <f t="shared" si="413"/>
        <v>1.6055233476038919</v>
      </c>
      <c r="R484" s="276">
        <f t="shared" si="414"/>
        <v>1.4078001405466425</v>
      </c>
      <c r="S484" s="686">
        <f t="shared" si="415"/>
        <v>1.3945687926325545</v>
      </c>
      <c r="T484" s="685">
        <f t="shared" si="416"/>
        <v>4.9446820340741837</v>
      </c>
      <c r="U484" s="276">
        <f t="shared" si="417"/>
        <v>5.0175518675377608</v>
      </c>
      <c r="V484" s="276">
        <f t="shared" si="418"/>
        <v>6.2144394326372652</v>
      </c>
      <c r="W484" s="276">
        <f t="shared" si="419"/>
        <v>6.2808875027743536</v>
      </c>
      <c r="X484" s="276">
        <f t="shared" si="420"/>
        <v>4.7191005968448305</v>
      </c>
      <c r="Y484" s="686">
        <f t="shared" si="421"/>
        <v>4.1576178402595731</v>
      </c>
      <c r="Z484" s="685" t="e">
        <f t="shared" si="422"/>
        <v>#DIV/0!</v>
      </c>
      <c r="AA484" s="276" t="e">
        <f t="shared" si="423"/>
        <v>#DIV/0!</v>
      </c>
      <c r="AB484" s="276" t="e">
        <f t="shared" si="424"/>
        <v>#DIV/0!</v>
      </c>
      <c r="AC484" s="276" t="e">
        <f t="shared" si="425"/>
        <v>#DIV/0!</v>
      </c>
      <c r="AD484" s="276" t="e">
        <f t="shared" si="426"/>
        <v>#DIV/0!</v>
      </c>
      <c r="AE484" s="686" t="e">
        <f t="shared" si="427"/>
        <v>#DIV/0!</v>
      </c>
      <c r="AF484" s="239"/>
      <c r="AG484" s="965" t="e">
        <f t="shared" si="398"/>
        <v>#VALUE!</v>
      </c>
      <c r="AH484" s="878" t="e">
        <f t="shared" si="399"/>
        <v>#VALUE!</v>
      </c>
      <c r="AI484" s="878" t="e">
        <f t="shared" si="400"/>
        <v>#VALUE!</v>
      </c>
      <c r="AJ484" s="878" t="e">
        <f t="shared" si="401"/>
        <v>#VALUE!</v>
      </c>
      <c r="AK484" s="878" t="e">
        <f t="shared" si="402"/>
        <v>#VALUE!</v>
      </c>
      <c r="AL484" s="966" t="e">
        <f t="shared" si="403"/>
        <v>#VALUE!</v>
      </c>
      <c r="AM484" s="239"/>
      <c r="AO484" s="685">
        <f t="shared" si="428"/>
        <v>-0.96475194316799417</v>
      </c>
      <c r="AP484" s="276">
        <f t="shared" si="429"/>
        <v>0.51378901420146517</v>
      </c>
      <c r="AQ484" s="276">
        <f t="shared" si="430"/>
        <v>-3.5466913956485113</v>
      </c>
      <c r="AR484" s="276">
        <f t="shared" si="431"/>
        <v>1.199378136467123</v>
      </c>
      <c r="AS484" s="276">
        <f t="shared" si="432"/>
        <v>-1.1261544105492338</v>
      </c>
      <c r="AT484" s="276">
        <f t="shared" si="433"/>
        <v>-3.171770953200781E-2</v>
      </c>
      <c r="AU484" s="685">
        <f t="shared" si="434"/>
        <v>1.9132304946844167</v>
      </c>
      <c r="AV484" s="276">
        <f t="shared" si="435"/>
        <v>2.399745528532792</v>
      </c>
      <c r="AW484" s="276">
        <f t="shared" si="436"/>
        <v>0.61642082899794981</v>
      </c>
      <c r="AX484" s="276">
        <f t="shared" si="437"/>
        <v>1.6055233476038919</v>
      </c>
      <c r="AY484" s="276">
        <f t="shared" si="438"/>
        <v>1.4078001405466425</v>
      </c>
      <c r="AZ484" s="686">
        <f t="shared" si="439"/>
        <v>1.3945687926325545</v>
      </c>
      <c r="BA484" s="685">
        <f t="shared" si="440"/>
        <v>0</v>
      </c>
      <c r="BB484" s="276">
        <f t="shared" si="441"/>
        <v>0</v>
      </c>
      <c r="BC484" s="276">
        <f t="shared" si="442"/>
        <v>0</v>
      </c>
      <c r="BD484" s="276">
        <f t="shared" si="443"/>
        <v>0</v>
      </c>
      <c r="BE484" s="276">
        <f t="shared" si="444"/>
        <v>0</v>
      </c>
      <c r="BF484" s="686">
        <f t="shared" si="445"/>
        <v>0</v>
      </c>
      <c r="BG484" s="685" t="e">
        <f t="shared" si="446"/>
        <v>#DIV/0!</v>
      </c>
      <c r="BH484" s="276" t="e">
        <f t="shared" si="447"/>
        <v>#DIV/0!</v>
      </c>
      <c r="BI484" s="276" t="e">
        <f t="shared" si="448"/>
        <v>#DIV/0!</v>
      </c>
      <c r="BJ484" s="276" t="e">
        <f t="shared" si="449"/>
        <v>#DIV/0!</v>
      </c>
      <c r="BK484" s="276" t="e">
        <f t="shared" si="450"/>
        <v>#DIV/0!</v>
      </c>
      <c r="BL484" s="686" t="e">
        <f t="shared" si="451"/>
        <v>#DIV/0!</v>
      </c>
      <c r="BM484" s="239"/>
      <c r="BN484" s="965" t="e">
        <f t="shared" si="452"/>
        <v>#VALUE!</v>
      </c>
      <c r="BO484" s="878" t="e">
        <f t="shared" si="453"/>
        <v>#VALUE!</v>
      </c>
      <c r="BP484" s="878" t="e">
        <f t="shared" si="454"/>
        <v>#VALUE!</v>
      </c>
      <c r="BQ484" s="878" t="e">
        <f t="shared" si="455"/>
        <v>#VALUE!</v>
      </c>
      <c r="BR484" s="878" t="e">
        <f t="shared" si="456"/>
        <v>#VALUE!</v>
      </c>
      <c r="BS484" s="966" t="e">
        <f t="shared" si="457"/>
        <v>#VALUE!</v>
      </c>
    </row>
    <row r="485" spans="1:71">
      <c r="A485" s="284">
        <f t="shared" si="458"/>
        <v>417</v>
      </c>
      <c r="B485" s="285">
        <v>0.5556257319254565</v>
      </c>
      <c r="C485" s="285">
        <v>2.7501576212017458</v>
      </c>
      <c r="D485" s="285">
        <v>1.5626609030239962</v>
      </c>
      <c r="E485" s="285">
        <v>6.4979907921202393</v>
      </c>
      <c r="H485" s="685">
        <f t="shared" si="404"/>
        <v>-0.57760810984359834</v>
      </c>
      <c r="I485" s="276">
        <f t="shared" si="405"/>
        <v>-1.4923131429662146</v>
      </c>
      <c r="J485" s="276">
        <f t="shared" si="406"/>
        <v>-0.47087807462976672</v>
      </c>
      <c r="K485" s="276">
        <f t="shared" si="407"/>
        <v>-0.17047439495455297</v>
      </c>
      <c r="L485" s="276">
        <f t="shared" si="408"/>
        <v>-4.2804854803906744</v>
      </c>
      <c r="M485" s="276">
        <f t="shared" si="409"/>
        <v>-3.9034906583826654</v>
      </c>
      <c r="N485" s="685">
        <f t="shared" si="410"/>
        <v>1.5429864102298774</v>
      </c>
      <c r="O485" s="276">
        <f t="shared" si="411"/>
        <v>0.79324089427200861</v>
      </c>
      <c r="P485" s="276">
        <f t="shared" si="412"/>
        <v>1.6378838067271027</v>
      </c>
      <c r="Q485" s="276">
        <f t="shared" si="413"/>
        <v>1.8089312592653146</v>
      </c>
      <c r="R485" s="276">
        <f t="shared" si="414"/>
        <v>1.0714342502562813</v>
      </c>
      <c r="S485" s="686">
        <f t="shared" si="415"/>
        <v>0.89318698584322376</v>
      </c>
      <c r="T485" s="685">
        <f t="shared" si="416"/>
        <v>4.8410245932949216</v>
      </c>
      <c r="U485" s="276">
        <f t="shared" si="417"/>
        <v>5.7532948570712348</v>
      </c>
      <c r="V485" s="276">
        <f t="shared" si="418"/>
        <v>3.958570845018583</v>
      </c>
      <c r="W485" s="276">
        <f t="shared" si="419"/>
        <v>4.0983625668346972</v>
      </c>
      <c r="X485" s="276">
        <f t="shared" si="420"/>
        <v>2.8481600529539337</v>
      </c>
      <c r="Y485" s="686">
        <f t="shared" si="421"/>
        <v>3.6194374432715479</v>
      </c>
      <c r="Z485" s="685" t="e">
        <f t="shared" si="422"/>
        <v>#DIV/0!</v>
      </c>
      <c r="AA485" s="276" t="e">
        <f t="shared" si="423"/>
        <v>#DIV/0!</v>
      </c>
      <c r="AB485" s="276" t="e">
        <f t="shared" si="424"/>
        <v>#DIV/0!</v>
      </c>
      <c r="AC485" s="276" t="e">
        <f t="shared" si="425"/>
        <v>#DIV/0!</v>
      </c>
      <c r="AD485" s="276" t="e">
        <f t="shared" si="426"/>
        <v>#DIV/0!</v>
      </c>
      <c r="AE485" s="686" t="e">
        <f t="shared" si="427"/>
        <v>#DIV/0!</v>
      </c>
      <c r="AF485" s="239"/>
      <c r="AG485" s="965" t="e">
        <f t="shared" si="398"/>
        <v>#VALUE!</v>
      </c>
      <c r="AH485" s="878" t="e">
        <f t="shared" si="399"/>
        <v>#VALUE!</v>
      </c>
      <c r="AI485" s="878" t="e">
        <f t="shared" si="400"/>
        <v>#VALUE!</v>
      </c>
      <c r="AJ485" s="878" t="e">
        <f t="shared" si="401"/>
        <v>#VALUE!</v>
      </c>
      <c r="AK485" s="878" t="e">
        <f t="shared" si="402"/>
        <v>#VALUE!</v>
      </c>
      <c r="AL485" s="966" t="e">
        <f t="shared" si="403"/>
        <v>#VALUE!</v>
      </c>
      <c r="AM485" s="239"/>
      <c r="AO485" s="685">
        <f t="shared" si="428"/>
        <v>-0.57760810984359834</v>
      </c>
      <c r="AP485" s="276">
        <f t="shared" si="429"/>
        <v>-1.4923131429662146</v>
      </c>
      <c r="AQ485" s="276">
        <f t="shared" si="430"/>
        <v>-0.47087807462976672</v>
      </c>
      <c r="AR485" s="276">
        <f t="shared" si="431"/>
        <v>-0.17047439495455297</v>
      </c>
      <c r="AS485" s="276">
        <f t="shared" si="432"/>
        <v>-4.2804854803906744</v>
      </c>
      <c r="AT485" s="276">
        <f t="shared" si="433"/>
        <v>-3.9034906583826654</v>
      </c>
      <c r="AU485" s="685">
        <f t="shared" si="434"/>
        <v>1.5429864102298774</v>
      </c>
      <c r="AV485" s="276">
        <f t="shared" si="435"/>
        <v>0.79324089427200861</v>
      </c>
      <c r="AW485" s="276">
        <f t="shared" si="436"/>
        <v>1.6378838067271027</v>
      </c>
      <c r="AX485" s="276">
        <f t="shared" si="437"/>
        <v>1.8089312592653146</v>
      </c>
      <c r="AY485" s="276">
        <f t="shared" si="438"/>
        <v>1.0714342502562813</v>
      </c>
      <c r="AZ485" s="686">
        <f t="shared" si="439"/>
        <v>0.89318698584322376</v>
      </c>
      <c r="BA485" s="685">
        <f t="shared" si="440"/>
        <v>0</v>
      </c>
      <c r="BB485" s="276">
        <f t="shared" si="441"/>
        <v>0</v>
      </c>
      <c r="BC485" s="276">
        <f t="shared" si="442"/>
        <v>0</v>
      </c>
      <c r="BD485" s="276">
        <f t="shared" si="443"/>
        <v>0</v>
      </c>
      <c r="BE485" s="276">
        <f t="shared" si="444"/>
        <v>0</v>
      </c>
      <c r="BF485" s="686">
        <f t="shared" si="445"/>
        <v>0</v>
      </c>
      <c r="BG485" s="685" t="e">
        <f t="shared" si="446"/>
        <v>#DIV/0!</v>
      </c>
      <c r="BH485" s="276" t="e">
        <f t="shared" si="447"/>
        <v>#DIV/0!</v>
      </c>
      <c r="BI485" s="276" t="e">
        <f t="shared" si="448"/>
        <v>#DIV/0!</v>
      </c>
      <c r="BJ485" s="276" t="e">
        <f t="shared" si="449"/>
        <v>#DIV/0!</v>
      </c>
      <c r="BK485" s="276" t="e">
        <f t="shared" si="450"/>
        <v>#DIV/0!</v>
      </c>
      <c r="BL485" s="686" t="e">
        <f t="shared" si="451"/>
        <v>#DIV/0!</v>
      </c>
      <c r="BM485" s="239"/>
      <c r="BN485" s="965" t="e">
        <f t="shared" si="452"/>
        <v>#VALUE!</v>
      </c>
      <c r="BO485" s="878" t="e">
        <f t="shared" si="453"/>
        <v>#VALUE!</v>
      </c>
      <c r="BP485" s="878" t="e">
        <f t="shared" si="454"/>
        <v>#VALUE!</v>
      </c>
      <c r="BQ485" s="878" t="e">
        <f t="shared" si="455"/>
        <v>#VALUE!</v>
      </c>
      <c r="BR485" s="878" t="e">
        <f t="shared" si="456"/>
        <v>#VALUE!</v>
      </c>
      <c r="BS485" s="966" t="e">
        <f t="shared" si="457"/>
        <v>#VALUE!</v>
      </c>
    </row>
    <row r="486" spans="1:71">
      <c r="A486" s="284">
        <f t="shared" si="458"/>
        <v>418</v>
      </c>
      <c r="B486" s="285">
        <v>-0.9539137295240192</v>
      </c>
      <c r="C486" s="285">
        <v>2.1813260392748619</v>
      </c>
      <c r="D486" s="285">
        <v>1.4845036354906471</v>
      </c>
      <c r="E486" s="285">
        <v>-9.5519399087058598</v>
      </c>
      <c r="H486" s="685">
        <f t="shared" si="404"/>
        <v>-2.087147571293074</v>
      </c>
      <c r="I486" s="276">
        <f t="shared" si="405"/>
        <v>-3.2370106119348829</v>
      </c>
      <c r="J486" s="276">
        <f t="shared" si="406"/>
        <v>0.20099994383759578</v>
      </c>
      <c r="K486" s="276">
        <f t="shared" si="407"/>
        <v>-0.13412141361825025</v>
      </c>
      <c r="L486" s="276">
        <f t="shared" si="408"/>
        <v>1.6941502497262448</v>
      </c>
      <c r="M486" s="276">
        <f t="shared" si="409"/>
        <v>-2.6434644834860945</v>
      </c>
      <c r="N486" s="685">
        <f t="shared" si="410"/>
        <v>0.97415482830299349</v>
      </c>
      <c r="O486" s="276">
        <f t="shared" si="411"/>
        <v>1.349767641222239</v>
      </c>
      <c r="P486" s="276">
        <f t="shared" si="412"/>
        <v>0.92471407834321195</v>
      </c>
      <c r="Q486" s="276">
        <f t="shared" si="413"/>
        <v>2.1552832858982631</v>
      </c>
      <c r="R486" s="276">
        <f t="shared" si="414"/>
        <v>0.78389396317484228</v>
      </c>
      <c r="S486" s="686">
        <f t="shared" si="415"/>
        <v>1.4995275790008467</v>
      </c>
      <c r="T486" s="685">
        <f t="shared" si="416"/>
        <v>4.7628673257615732</v>
      </c>
      <c r="U486" s="276">
        <f t="shared" si="417"/>
        <v>4.3524504697053183</v>
      </c>
      <c r="V486" s="276">
        <f t="shared" si="418"/>
        <v>4.0102967904360822</v>
      </c>
      <c r="W486" s="276">
        <f t="shared" si="419"/>
        <v>2.7735082714963641</v>
      </c>
      <c r="X486" s="276">
        <f t="shared" si="420"/>
        <v>5.6942431013451262</v>
      </c>
      <c r="Y486" s="686">
        <f t="shared" si="421"/>
        <v>2.093459423390533</v>
      </c>
      <c r="Z486" s="685" t="e">
        <f t="shared" si="422"/>
        <v>#DIV/0!</v>
      </c>
      <c r="AA486" s="276" t="e">
        <f t="shared" si="423"/>
        <v>#DIV/0!</v>
      </c>
      <c r="AB486" s="276" t="e">
        <f t="shared" si="424"/>
        <v>#DIV/0!</v>
      </c>
      <c r="AC486" s="276" t="e">
        <f t="shared" si="425"/>
        <v>#DIV/0!</v>
      </c>
      <c r="AD486" s="276" t="e">
        <f t="shared" si="426"/>
        <v>#DIV/0!</v>
      </c>
      <c r="AE486" s="686" t="e">
        <f t="shared" si="427"/>
        <v>#DIV/0!</v>
      </c>
      <c r="AF486" s="239"/>
      <c r="AG486" s="965" t="e">
        <f t="shared" si="398"/>
        <v>#VALUE!</v>
      </c>
      <c r="AH486" s="878" t="e">
        <f t="shared" si="399"/>
        <v>#VALUE!</v>
      </c>
      <c r="AI486" s="878" t="e">
        <f t="shared" si="400"/>
        <v>#VALUE!</v>
      </c>
      <c r="AJ486" s="878" t="e">
        <f t="shared" si="401"/>
        <v>#VALUE!</v>
      </c>
      <c r="AK486" s="878" t="e">
        <f t="shared" si="402"/>
        <v>#VALUE!</v>
      </c>
      <c r="AL486" s="966" t="e">
        <f t="shared" si="403"/>
        <v>#VALUE!</v>
      </c>
      <c r="AM486" s="239"/>
      <c r="AO486" s="685">
        <f t="shared" si="428"/>
        <v>-2.087147571293074</v>
      </c>
      <c r="AP486" s="276">
        <f t="shared" si="429"/>
        <v>-3.2370106119348829</v>
      </c>
      <c r="AQ486" s="276">
        <f t="shared" si="430"/>
        <v>0.20099994383759578</v>
      </c>
      <c r="AR486" s="276">
        <f t="shared" si="431"/>
        <v>-0.13412141361825025</v>
      </c>
      <c r="AS486" s="276">
        <f t="shared" si="432"/>
        <v>1.6941502497262448</v>
      </c>
      <c r="AT486" s="276">
        <f t="shared" si="433"/>
        <v>-2.6434644834860945</v>
      </c>
      <c r="AU486" s="685">
        <f t="shared" si="434"/>
        <v>0.97415482830299349</v>
      </c>
      <c r="AV486" s="276">
        <f t="shared" si="435"/>
        <v>1.349767641222239</v>
      </c>
      <c r="AW486" s="276">
        <f t="shared" si="436"/>
        <v>0.92471407834321195</v>
      </c>
      <c r="AX486" s="276">
        <f t="shared" si="437"/>
        <v>2.1552832858982631</v>
      </c>
      <c r="AY486" s="276">
        <f t="shared" si="438"/>
        <v>0.78389396317484228</v>
      </c>
      <c r="AZ486" s="686">
        <f t="shared" si="439"/>
        <v>1.4995275790008467</v>
      </c>
      <c r="BA486" s="685">
        <f t="shared" si="440"/>
        <v>0</v>
      </c>
      <c r="BB486" s="276">
        <f t="shared" si="441"/>
        <v>0</v>
      </c>
      <c r="BC486" s="276">
        <f t="shared" si="442"/>
        <v>0</v>
      </c>
      <c r="BD486" s="276">
        <f t="shared" si="443"/>
        <v>0</v>
      </c>
      <c r="BE486" s="276">
        <f t="shared" si="444"/>
        <v>0</v>
      </c>
      <c r="BF486" s="686">
        <f t="shared" si="445"/>
        <v>0</v>
      </c>
      <c r="BG486" s="685" t="e">
        <f t="shared" si="446"/>
        <v>#DIV/0!</v>
      </c>
      <c r="BH486" s="276" t="e">
        <f t="shared" si="447"/>
        <v>#DIV/0!</v>
      </c>
      <c r="BI486" s="276" t="e">
        <f t="shared" si="448"/>
        <v>#DIV/0!</v>
      </c>
      <c r="BJ486" s="276" t="e">
        <f t="shared" si="449"/>
        <v>#DIV/0!</v>
      </c>
      <c r="BK486" s="276" t="e">
        <f t="shared" si="450"/>
        <v>#DIV/0!</v>
      </c>
      <c r="BL486" s="686" t="e">
        <f t="shared" si="451"/>
        <v>#DIV/0!</v>
      </c>
      <c r="BM486" s="239"/>
      <c r="BN486" s="965" t="e">
        <f t="shared" si="452"/>
        <v>#VALUE!</v>
      </c>
      <c r="BO486" s="878" t="e">
        <f t="shared" si="453"/>
        <v>#VALUE!</v>
      </c>
      <c r="BP486" s="878" t="e">
        <f t="shared" si="454"/>
        <v>#VALUE!</v>
      </c>
      <c r="BQ486" s="878" t="e">
        <f t="shared" si="455"/>
        <v>#VALUE!</v>
      </c>
      <c r="BR486" s="878" t="e">
        <f t="shared" si="456"/>
        <v>#VALUE!</v>
      </c>
      <c r="BS486" s="966" t="e">
        <f t="shared" si="457"/>
        <v>#VALUE!</v>
      </c>
    </row>
    <row r="487" spans="1:71">
      <c r="A487" s="284">
        <f t="shared" si="458"/>
        <v>419</v>
      </c>
      <c r="B487" s="285">
        <v>-1.8201461645958534</v>
      </c>
      <c r="C487" s="285">
        <v>2.2603785619273302</v>
      </c>
      <c r="D487" s="285">
        <v>0.95921390956958996</v>
      </c>
      <c r="E487" s="285">
        <v>-6.3094726014154361</v>
      </c>
      <c r="H487" s="685">
        <f t="shared" si="404"/>
        <v>-2.9533800063649083</v>
      </c>
      <c r="I487" s="276">
        <f t="shared" si="405"/>
        <v>-3.9416099486281428</v>
      </c>
      <c r="J487" s="276">
        <f t="shared" si="406"/>
        <v>0.48654461077745248</v>
      </c>
      <c r="K487" s="276">
        <f t="shared" si="407"/>
        <v>-0.56940887464021694</v>
      </c>
      <c r="L487" s="276">
        <f t="shared" si="408"/>
        <v>-0.11564951700502846</v>
      </c>
      <c r="M487" s="276">
        <f t="shared" si="409"/>
        <v>-4.4809859463616029</v>
      </c>
      <c r="N487" s="685">
        <f t="shared" si="410"/>
        <v>1.0532073509554618</v>
      </c>
      <c r="O487" s="276">
        <f t="shared" si="411"/>
        <v>0.8523605086851298</v>
      </c>
      <c r="P487" s="276">
        <f t="shared" si="412"/>
        <v>1.3674362761415686</v>
      </c>
      <c r="Q487" s="276">
        <f t="shared" si="413"/>
        <v>1.5249155876135487</v>
      </c>
      <c r="R487" s="276">
        <f t="shared" si="414"/>
        <v>1.4557938080659472</v>
      </c>
      <c r="S487" s="686">
        <f t="shared" si="415"/>
        <v>1.5524807436607324</v>
      </c>
      <c r="T487" s="685">
        <f t="shared" si="416"/>
        <v>4.2375775998405159</v>
      </c>
      <c r="U487" s="276">
        <f t="shared" si="417"/>
        <v>3.7267372057412009</v>
      </c>
      <c r="V487" s="276">
        <f t="shared" si="418"/>
        <v>4.2989732330339177</v>
      </c>
      <c r="W487" s="276">
        <f t="shared" si="419"/>
        <v>5.0187706615252576</v>
      </c>
      <c r="X487" s="276">
        <f t="shared" si="420"/>
        <v>5.4540049888956226</v>
      </c>
      <c r="Y487" s="686">
        <f t="shared" si="421"/>
        <v>2.0497617612057271</v>
      </c>
      <c r="Z487" s="685" t="e">
        <f t="shared" si="422"/>
        <v>#DIV/0!</v>
      </c>
      <c r="AA487" s="276" t="e">
        <f t="shared" si="423"/>
        <v>#DIV/0!</v>
      </c>
      <c r="AB487" s="276" t="e">
        <f t="shared" si="424"/>
        <v>#DIV/0!</v>
      </c>
      <c r="AC487" s="276" t="e">
        <f t="shared" si="425"/>
        <v>#DIV/0!</v>
      </c>
      <c r="AD487" s="276" t="e">
        <f t="shared" si="426"/>
        <v>#DIV/0!</v>
      </c>
      <c r="AE487" s="686" t="e">
        <f t="shared" si="427"/>
        <v>#DIV/0!</v>
      </c>
      <c r="AF487" s="239"/>
      <c r="AG487" s="965" t="e">
        <f t="shared" si="398"/>
        <v>#VALUE!</v>
      </c>
      <c r="AH487" s="878" t="e">
        <f t="shared" si="399"/>
        <v>#VALUE!</v>
      </c>
      <c r="AI487" s="878" t="e">
        <f t="shared" si="400"/>
        <v>#VALUE!</v>
      </c>
      <c r="AJ487" s="878" t="e">
        <f t="shared" si="401"/>
        <v>#VALUE!</v>
      </c>
      <c r="AK487" s="878" t="e">
        <f t="shared" si="402"/>
        <v>#VALUE!</v>
      </c>
      <c r="AL487" s="966" t="e">
        <f t="shared" si="403"/>
        <v>#VALUE!</v>
      </c>
      <c r="AM487" s="239"/>
      <c r="AO487" s="685">
        <f t="shared" si="428"/>
        <v>-2.9533800063649083</v>
      </c>
      <c r="AP487" s="276">
        <f t="shared" si="429"/>
        <v>-3.9416099486281428</v>
      </c>
      <c r="AQ487" s="276">
        <f t="shared" si="430"/>
        <v>0.48654461077745248</v>
      </c>
      <c r="AR487" s="276">
        <f t="shared" si="431"/>
        <v>-0.56940887464021694</v>
      </c>
      <c r="AS487" s="276">
        <f t="shared" si="432"/>
        <v>-0.11564951700502846</v>
      </c>
      <c r="AT487" s="276">
        <f t="shared" si="433"/>
        <v>-4.4809859463616029</v>
      </c>
      <c r="AU487" s="685">
        <f t="shared" si="434"/>
        <v>1.0532073509554618</v>
      </c>
      <c r="AV487" s="276">
        <f t="shared" si="435"/>
        <v>0.8523605086851298</v>
      </c>
      <c r="AW487" s="276">
        <f t="shared" si="436"/>
        <v>1.3674362761415686</v>
      </c>
      <c r="AX487" s="276">
        <f t="shared" si="437"/>
        <v>1.5249155876135487</v>
      </c>
      <c r="AY487" s="276">
        <f t="shared" si="438"/>
        <v>1.4557938080659472</v>
      </c>
      <c r="AZ487" s="686">
        <f t="shared" si="439"/>
        <v>1.5524807436607324</v>
      </c>
      <c r="BA487" s="685">
        <f t="shared" si="440"/>
        <v>0</v>
      </c>
      <c r="BB487" s="276">
        <f t="shared" si="441"/>
        <v>0</v>
      </c>
      <c r="BC487" s="276">
        <f t="shared" si="442"/>
        <v>0</v>
      </c>
      <c r="BD487" s="276">
        <f t="shared" si="443"/>
        <v>0</v>
      </c>
      <c r="BE487" s="276">
        <f t="shared" si="444"/>
        <v>0</v>
      </c>
      <c r="BF487" s="686">
        <f t="shared" si="445"/>
        <v>0</v>
      </c>
      <c r="BG487" s="685" t="e">
        <f t="shared" si="446"/>
        <v>#DIV/0!</v>
      </c>
      <c r="BH487" s="276" t="e">
        <f t="shared" si="447"/>
        <v>#DIV/0!</v>
      </c>
      <c r="BI487" s="276" t="e">
        <f t="shared" si="448"/>
        <v>#DIV/0!</v>
      </c>
      <c r="BJ487" s="276" t="e">
        <f t="shared" si="449"/>
        <v>#DIV/0!</v>
      </c>
      <c r="BK487" s="276" t="e">
        <f t="shared" si="450"/>
        <v>#DIV/0!</v>
      </c>
      <c r="BL487" s="686" t="e">
        <f t="shared" si="451"/>
        <v>#DIV/0!</v>
      </c>
      <c r="BM487" s="239"/>
      <c r="BN487" s="965" t="e">
        <f t="shared" si="452"/>
        <v>#VALUE!</v>
      </c>
      <c r="BO487" s="878" t="e">
        <f t="shared" si="453"/>
        <v>#VALUE!</v>
      </c>
      <c r="BP487" s="878" t="e">
        <f t="shared" si="454"/>
        <v>#VALUE!</v>
      </c>
      <c r="BQ487" s="878" t="e">
        <f t="shared" si="455"/>
        <v>#VALUE!</v>
      </c>
      <c r="BR487" s="878" t="e">
        <f t="shared" si="456"/>
        <v>#VALUE!</v>
      </c>
      <c r="BS487" s="966" t="e">
        <f t="shared" si="457"/>
        <v>#VALUE!</v>
      </c>
    </row>
    <row r="488" spans="1:71">
      <c r="A488" s="284">
        <f t="shared" si="458"/>
        <v>420</v>
      </c>
      <c r="B488" s="285">
        <v>0.4353390405546036</v>
      </c>
      <c r="C488" s="285">
        <v>2.7794824723388483</v>
      </c>
      <c r="D488" s="285">
        <v>2.8625457749757874</v>
      </c>
      <c r="E488" s="285">
        <v>-6.8142916368936799</v>
      </c>
      <c r="H488" s="685">
        <f t="shared" si="404"/>
        <v>-0.69789480121445124</v>
      </c>
      <c r="I488" s="276">
        <f t="shared" si="405"/>
        <v>-0.81403359851893442</v>
      </c>
      <c r="J488" s="276">
        <f t="shared" si="406"/>
        <v>-4.6436193422520082</v>
      </c>
      <c r="K488" s="276">
        <f t="shared" si="407"/>
        <v>-4.1192576879910785</v>
      </c>
      <c r="L488" s="276">
        <f t="shared" si="408"/>
        <v>-2.8465219343944641</v>
      </c>
      <c r="M488" s="276">
        <f t="shared" si="409"/>
        <v>-1.8771484536260226</v>
      </c>
      <c r="N488" s="685">
        <f t="shared" si="410"/>
        <v>1.5723112613669799</v>
      </c>
      <c r="O488" s="276">
        <f t="shared" si="411"/>
        <v>1.041455258801345</v>
      </c>
      <c r="P488" s="276">
        <f t="shared" si="412"/>
        <v>0.89491155367263864</v>
      </c>
      <c r="Q488" s="276">
        <f t="shared" si="413"/>
        <v>1.5025854868772244</v>
      </c>
      <c r="R488" s="276">
        <f t="shared" si="414"/>
        <v>1.2119829109235367</v>
      </c>
      <c r="S488" s="686">
        <f t="shared" si="415"/>
        <v>1.3675157837649963</v>
      </c>
      <c r="T488" s="685">
        <f t="shared" si="416"/>
        <v>6.1409094652467129</v>
      </c>
      <c r="U488" s="276">
        <f t="shared" si="417"/>
        <v>3.9182059823804067</v>
      </c>
      <c r="V488" s="276">
        <f t="shared" si="418"/>
        <v>3.1834039904388987</v>
      </c>
      <c r="W488" s="276">
        <f t="shared" si="419"/>
        <v>4.9553164890829109</v>
      </c>
      <c r="X488" s="276">
        <f t="shared" si="420"/>
        <v>3.2395661591685223</v>
      </c>
      <c r="Y488" s="686">
        <f t="shared" si="421"/>
        <v>5.8499614596713077</v>
      </c>
      <c r="Z488" s="685" t="e">
        <f t="shared" si="422"/>
        <v>#DIV/0!</v>
      </c>
      <c r="AA488" s="276" t="e">
        <f t="shared" si="423"/>
        <v>#DIV/0!</v>
      </c>
      <c r="AB488" s="276" t="e">
        <f t="shared" si="424"/>
        <v>#DIV/0!</v>
      </c>
      <c r="AC488" s="276" t="e">
        <f t="shared" si="425"/>
        <v>#DIV/0!</v>
      </c>
      <c r="AD488" s="276" t="e">
        <f t="shared" si="426"/>
        <v>#DIV/0!</v>
      </c>
      <c r="AE488" s="686" t="e">
        <f t="shared" si="427"/>
        <v>#DIV/0!</v>
      </c>
      <c r="AF488" s="239"/>
      <c r="AG488" s="965" t="e">
        <f t="shared" si="398"/>
        <v>#VALUE!</v>
      </c>
      <c r="AH488" s="878" t="e">
        <f t="shared" si="399"/>
        <v>#VALUE!</v>
      </c>
      <c r="AI488" s="878" t="e">
        <f t="shared" si="400"/>
        <v>#VALUE!</v>
      </c>
      <c r="AJ488" s="878" t="e">
        <f t="shared" si="401"/>
        <v>#VALUE!</v>
      </c>
      <c r="AK488" s="878" t="e">
        <f t="shared" si="402"/>
        <v>#VALUE!</v>
      </c>
      <c r="AL488" s="966" t="e">
        <f t="shared" si="403"/>
        <v>#VALUE!</v>
      </c>
      <c r="AM488" s="239"/>
      <c r="AO488" s="685">
        <f t="shared" si="428"/>
        <v>-0.69789480121445124</v>
      </c>
      <c r="AP488" s="276">
        <f t="shared" si="429"/>
        <v>-0.81403359851893442</v>
      </c>
      <c r="AQ488" s="276">
        <f t="shared" si="430"/>
        <v>-4.6436193422520082</v>
      </c>
      <c r="AR488" s="276">
        <f t="shared" si="431"/>
        <v>-4.1192576879910785</v>
      </c>
      <c r="AS488" s="276">
        <f t="shared" si="432"/>
        <v>-2.8465219343944641</v>
      </c>
      <c r="AT488" s="276">
        <f t="shared" si="433"/>
        <v>-1.8771484536260226</v>
      </c>
      <c r="AU488" s="685">
        <f t="shared" si="434"/>
        <v>1.5723112613669799</v>
      </c>
      <c r="AV488" s="276">
        <f t="shared" si="435"/>
        <v>1.041455258801345</v>
      </c>
      <c r="AW488" s="276">
        <f t="shared" si="436"/>
        <v>0.89491155367263864</v>
      </c>
      <c r="AX488" s="276">
        <f t="shared" si="437"/>
        <v>1.5025854868772244</v>
      </c>
      <c r="AY488" s="276">
        <f t="shared" si="438"/>
        <v>1.2119829109235367</v>
      </c>
      <c r="AZ488" s="686">
        <f t="shared" si="439"/>
        <v>1.3675157837649963</v>
      </c>
      <c r="BA488" s="685">
        <f t="shared" si="440"/>
        <v>0</v>
      </c>
      <c r="BB488" s="276">
        <f t="shared" si="441"/>
        <v>0</v>
      </c>
      <c r="BC488" s="276">
        <f t="shared" si="442"/>
        <v>0</v>
      </c>
      <c r="BD488" s="276">
        <f t="shared" si="443"/>
        <v>0</v>
      </c>
      <c r="BE488" s="276">
        <f t="shared" si="444"/>
        <v>0</v>
      </c>
      <c r="BF488" s="686">
        <f t="shared" si="445"/>
        <v>0</v>
      </c>
      <c r="BG488" s="685" t="e">
        <f t="shared" si="446"/>
        <v>#DIV/0!</v>
      </c>
      <c r="BH488" s="276" t="e">
        <f t="shared" si="447"/>
        <v>#DIV/0!</v>
      </c>
      <c r="BI488" s="276" t="e">
        <f t="shared" si="448"/>
        <v>#DIV/0!</v>
      </c>
      <c r="BJ488" s="276" t="e">
        <f t="shared" si="449"/>
        <v>#DIV/0!</v>
      </c>
      <c r="BK488" s="276" t="e">
        <f t="shared" si="450"/>
        <v>#DIV/0!</v>
      </c>
      <c r="BL488" s="686" t="e">
        <f t="shared" si="451"/>
        <v>#DIV/0!</v>
      </c>
      <c r="BM488" s="239"/>
      <c r="BN488" s="965" t="e">
        <f t="shared" si="452"/>
        <v>#VALUE!</v>
      </c>
      <c r="BO488" s="878" t="e">
        <f t="shared" si="453"/>
        <v>#VALUE!</v>
      </c>
      <c r="BP488" s="878" t="e">
        <f t="shared" si="454"/>
        <v>#VALUE!</v>
      </c>
      <c r="BQ488" s="878" t="e">
        <f t="shared" si="455"/>
        <v>#VALUE!</v>
      </c>
      <c r="BR488" s="878" t="e">
        <f t="shared" si="456"/>
        <v>#VALUE!</v>
      </c>
      <c r="BS488" s="966" t="e">
        <f t="shared" si="457"/>
        <v>#VALUE!</v>
      </c>
    </row>
    <row r="489" spans="1:71">
      <c r="A489" s="284">
        <f t="shared" si="458"/>
        <v>421</v>
      </c>
      <c r="B489" s="285">
        <v>-2.9060989955755749</v>
      </c>
      <c r="C489" s="285">
        <v>2.9284297310451777</v>
      </c>
      <c r="D489" s="285">
        <v>0.45754200113973797</v>
      </c>
      <c r="E489" s="285">
        <v>10.059035613149417</v>
      </c>
      <c r="H489" s="685">
        <f t="shared" si="404"/>
        <v>-4.03933283734463</v>
      </c>
      <c r="I489" s="276">
        <f t="shared" si="405"/>
        <v>1.1085417837567901</v>
      </c>
      <c r="J489" s="276">
        <f t="shared" si="406"/>
        <v>0.94065223893769345</v>
      </c>
      <c r="K489" s="276">
        <f t="shared" si="407"/>
        <v>1.0448009540052954</v>
      </c>
      <c r="L489" s="276">
        <f t="shared" si="408"/>
        <v>0.65042090810292019</v>
      </c>
      <c r="M489" s="276">
        <f t="shared" si="409"/>
        <v>0.93160686134594273</v>
      </c>
      <c r="N489" s="685">
        <f t="shared" si="410"/>
        <v>1.7212585200733093</v>
      </c>
      <c r="O489" s="276">
        <f t="shared" si="411"/>
        <v>0.79721975081968943</v>
      </c>
      <c r="P489" s="276">
        <f t="shared" si="412"/>
        <v>1.9772393582042593</v>
      </c>
      <c r="Q489" s="276">
        <f t="shared" si="413"/>
        <v>1.0205900318405992</v>
      </c>
      <c r="R489" s="276">
        <f t="shared" si="414"/>
        <v>1.7909900207622271</v>
      </c>
      <c r="S489" s="686">
        <f t="shared" si="415"/>
        <v>1.7089384280121773</v>
      </c>
      <c r="T489" s="685">
        <f t="shared" si="416"/>
        <v>3.7359056914106636</v>
      </c>
      <c r="U489" s="276">
        <f t="shared" si="417"/>
        <v>7.8734202056620664</v>
      </c>
      <c r="V489" s="276">
        <f t="shared" si="418"/>
        <v>5.2862108105063363</v>
      </c>
      <c r="W489" s="276">
        <f t="shared" si="419"/>
        <v>5.771340997281361</v>
      </c>
      <c r="X489" s="276">
        <f t="shared" si="420"/>
        <v>4.9523244128276973</v>
      </c>
      <c r="Y489" s="686">
        <f t="shared" si="421"/>
        <v>5.8170729488772963</v>
      </c>
      <c r="Z489" s="685" t="e">
        <f t="shared" si="422"/>
        <v>#DIV/0!</v>
      </c>
      <c r="AA489" s="276" t="e">
        <f t="shared" si="423"/>
        <v>#DIV/0!</v>
      </c>
      <c r="AB489" s="276" t="e">
        <f t="shared" si="424"/>
        <v>#DIV/0!</v>
      </c>
      <c r="AC489" s="276" t="e">
        <f t="shared" si="425"/>
        <v>#DIV/0!</v>
      </c>
      <c r="AD489" s="276" t="e">
        <f t="shared" si="426"/>
        <v>#DIV/0!</v>
      </c>
      <c r="AE489" s="686" t="e">
        <f t="shared" si="427"/>
        <v>#DIV/0!</v>
      </c>
      <c r="AF489" s="239"/>
      <c r="AG489" s="965" t="e">
        <f t="shared" si="398"/>
        <v>#VALUE!</v>
      </c>
      <c r="AH489" s="878" t="e">
        <f t="shared" si="399"/>
        <v>#VALUE!</v>
      </c>
      <c r="AI489" s="878" t="e">
        <f t="shared" si="400"/>
        <v>#VALUE!</v>
      </c>
      <c r="AJ489" s="878" t="e">
        <f t="shared" si="401"/>
        <v>#VALUE!</v>
      </c>
      <c r="AK489" s="878" t="e">
        <f t="shared" si="402"/>
        <v>#VALUE!</v>
      </c>
      <c r="AL489" s="966" t="e">
        <f t="shared" si="403"/>
        <v>#VALUE!</v>
      </c>
      <c r="AM489" s="239"/>
      <c r="AO489" s="685">
        <f t="shared" si="428"/>
        <v>-4.03933283734463</v>
      </c>
      <c r="AP489" s="276">
        <f t="shared" si="429"/>
        <v>1.1085417837567901</v>
      </c>
      <c r="AQ489" s="276">
        <f t="shared" si="430"/>
        <v>0.94065223893769345</v>
      </c>
      <c r="AR489" s="276">
        <f t="shared" si="431"/>
        <v>1.0448009540052954</v>
      </c>
      <c r="AS489" s="276">
        <f t="shared" si="432"/>
        <v>0.65042090810292019</v>
      </c>
      <c r="AT489" s="276">
        <f t="shared" si="433"/>
        <v>0.93160686134594273</v>
      </c>
      <c r="AU489" s="685">
        <f t="shared" si="434"/>
        <v>1.7212585200733093</v>
      </c>
      <c r="AV489" s="276">
        <f t="shared" si="435"/>
        <v>0.79721975081968943</v>
      </c>
      <c r="AW489" s="276">
        <f t="shared" si="436"/>
        <v>1.9772393582042593</v>
      </c>
      <c r="AX489" s="276">
        <f t="shared" si="437"/>
        <v>1.0205900318405992</v>
      </c>
      <c r="AY489" s="276">
        <f t="shared" si="438"/>
        <v>1.7909900207622271</v>
      </c>
      <c r="AZ489" s="686">
        <f t="shared" si="439"/>
        <v>1.7089384280121773</v>
      </c>
      <c r="BA489" s="685">
        <f t="shared" si="440"/>
        <v>0</v>
      </c>
      <c r="BB489" s="276">
        <f t="shared" si="441"/>
        <v>0</v>
      </c>
      <c r="BC489" s="276">
        <f t="shared" si="442"/>
        <v>0</v>
      </c>
      <c r="BD489" s="276">
        <f t="shared" si="443"/>
        <v>0</v>
      </c>
      <c r="BE489" s="276">
        <f t="shared" si="444"/>
        <v>0</v>
      </c>
      <c r="BF489" s="686">
        <f t="shared" si="445"/>
        <v>0</v>
      </c>
      <c r="BG489" s="685" t="e">
        <f t="shared" si="446"/>
        <v>#DIV/0!</v>
      </c>
      <c r="BH489" s="276" t="e">
        <f t="shared" si="447"/>
        <v>#DIV/0!</v>
      </c>
      <c r="BI489" s="276" t="e">
        <f t="shared" si="448"/>
        <v>#DIV/0!</v>
      </c>
      <c r="BJ489" s="276" t="e">
        <f t="shared" si="449"/>
        <v>#DIV/0!</v>
      </c>
      <c r="BK489" s="276" t="e">
        <f t="shared" si="450"/>
        <v>#DIV/0!</v>
      </c>
      <c r="BL489" s="686" t="e">
        <f t="shared" si="451"/>
        <v>#DIV/0!</v>
      </c>
      <c r="BM489" s="239"/>
      <c r="BN489" s="965" t="e">
        <f t="shared" si="452"/>
        <v>#VALUE!</v>
      </c>
      <c r="BO489" s="878" t="e">
        <f t="shared" si="453"/>
        <v>#VALUE!</v>
      </c>
      <c r="BP489" s="878" t="e">
        <f t="shared" si="454"/>
        <v>#VALUE!</v>
      </c>
      <c r="BQ489" s="878" t="e">
        <f t="shared" si="455"/>
        <v>#VALUE!</v>
      </c>
      <c r="BR489" s="878" t="e">
        <f t="shared" si="456"/>
        <v>#VALUE!</v>
      </c>
      <c r="BS489" s="966" t="e">
        <f t="shared" si="457"/>
        <v>#VALUE!</v>
      </c>
    </row>
    <row r="490" spans="1:71">
      <c r="A490" s="284">
        <f t="shared" si="458"/>
        <v>422</v>
      </c>
      <c r="B490" s="285">
        <v>2.3049488034624868</v>
      </c>
      <c r="C490" s="285">
        <v>2.2960814680246679</v>
      </c>
      <c r="D490" s="285">
        <v>1.3284341904191237</v>
      </c>
      <c r="E490" s="285">
        <v>-7.9612765310359404</v>
      </c>
      <c r="H490" s="685">
        <f t="shared" si="404"/>
        <v>1.1717149616934319</v>
      </c>
      <c r="I490" s="276">
        <f t="shared" si="405"/>
        <v>-1.0945690365762843</v>
      </c>
      <c r="J490" s="276">
        <f t="shared" si="406"/>
        <v>-5.2662435758927888</v>
      </c>
      <c r="K490" s="276">
        <f t="shared" si="407"/>
        <v>-0.73220101949573602</v>
      </c>
      <c r="L490" s="276">
        <f t="shared" si="408"/>
        <v>-0.570086576212258</v>
      </c>
      <c r="M490" s="276">
        <f t="shared" si="409"/>
        <v>-2.736175223051946</v>
      </c>
      <c r="N490" s="685">
        <f t="shared" si="410"/>
        <v>1.0889102570527995</v>
      </c>
      <c r="O490" s="276">
        <f t="shared" si="411"/>
        <v>1.2985060192531328</v>
      </c>
      <c r="P490" s="276">
        <f t="shared" si="412"/>
        <v>0.47576013411284479</v>
      </c>
      <c r="Q490" s="276">
        <f t="shared" si="413"/>
        <v>1.5414911651502539</v>
      </c>
      <c r="R490" s="276">
        <f t="shared" si="414"/>
        <v>1.0449207730687886</v>
      </c>
      <c r="S490" s="686">
        <f t="shared" si="415"/>
        <v>0.64522616745531836</v>
      </c>
      <c r="T490" s="685">
        <f t="shared" si="416"/>
        <v>4.6067978806900491</v>
      </c>
      <c r="U490" s="276">
        <f t="shared" si="417"/>
        <v>5.744801860290333</v>
      </c>
      <c r="V490" s="276">
        <f t="shared" si="418"/>
        <v>4.5225989279241663</v>
      </c>
      <c r="W490" s="276">
        <f t="shared" si="419"/>
        <v>3.101777113549689</v>
      </c>
      <c r="X490" s="276">
        <f t="shared" si="420"/>
        <v>5.1964427969754947</v>
      </c>
      <c r="Y490" s="686">
        <f t="shared" si="421"/>
        <v>4.2932443516455603</v>
      </c>
      <c r="Z490" s="685" t="e">
        <f t="shared" si="422"/>
        <v>#DIV/0!</v>
      </c>
      <c r="AA490" s="276" t="e">
        <f t="shared" si="423"/>
        <v>#DIV/0!</v>
      </c>
      <c r="AB490" s="276" t="e">
        <f t="shared" si="424"/>
        <v>#DIV/0!</v>
      </c>
      <c r="AC490" s="276" t="e">
        <f t="shared" si="425"/>
        <v>#DIV/0!</v>
      </c>
      <c r="AD490" s="276" t="e">
        <f t="shared" si="426"/>
        <v>#DIV/0!</v>
      </c>
      <c r="AE490" s="686" t="e">
        <f t="shared" si="427"/>
        <v>#DIV/0!</v>
      </c>
      <c r="AF490" s="239"/>
      <c r="AG490" s="965" t="e">
        <f t="shared" si="398"/>
        <v>#VALUE!</v>
      </c>
      <c r="AH490" s="878" t="e">
        <f t="shared" si="399"/>
        <v>#VALUE!</v>
      </c>
      <c r="AI490" s="878" t="e">
        <f t="shared" si="400"/>
        <v>#VALUE!</v>
      </c>
      <c r="AJ490" s="878" t="e">
        <f t="shared" si="401"/>
        <v>#VALUE!</v>
      </c>
      <c r="AK490" s="878" t="e">
        <f t="shared" si="402"/>
        <v>#VALUE!</v>
      </c>
      <c r="AL490" s="966" t="e">
        <f t="shared" si="403"/>
        <v>#VALUE!</v>
      </c>
      <c r="AM490" s="239"/>
      <c r="AO490" s="685">
        <f t="shared" si="428"/>
        <v>1.1717149616934319</v>
      </c>
      <c r="AP490" s="276">
        <f t="shared" si="429"/>
        <v>-1.0945690365762843</v>
      </c>
      <c r="AQ490" s="276">
        <f t="shared" si="430"/>
        <v>-5.2662435758927888</v>
      </c>
      <c r="AR490" s="276">
        <f t="shared" si="431"/>
        <v>-0.73220101949573602</v>
      </c>
      <c r="AS490" s="276">
        <f t="shared" si="432"/>
        <v>-0.570086576212258</v>
      </c>
      <c r="AT490" s="276">
        <f t="shared" si="433"/>
        <v>-2.736175223051946</v>
      </c>
      <c r="AU490" s="685">
        <f t="shared" si="434"/>
        <v>1.0889102570527995</v>
      </c>
      <c r="AV490" s="276">
        <f t="shared" si="435"/>
        <v>1.2985060192531328</v>
      </c>
      <c r="AW490" s="276">
        <f t="shared" si="436"/>
        <v>0.47576013411284479</v>
      </c>
      <c r="AX490" s="276">
        <f t="shared" si="437"/>
        <v>1.5414911651502539</v>
      </c>
      <c r="AY490" s="276">
        <f t="shared" si="438"/>
        <v>1.0449207730687886</v>
      </c>
      <c r="AZ490" s="686">
        <f t="shared" si="439"/>
        <v>0.64522616745531836</v>
      </c>
      <c r="BA490" s="685">
        <f t="shared" si="440"/>
        <v>0</v>
      </c>
      <c r="BB490" s="276">
        <f t="shared" si="441"/>
        <v>0</v>
      </c>
      <c r="BC490" s="276">
        <f t="shared" si="442"/>
        <v>0</v>
      </c>
      <c r="BD490" s="276">
        <f t="shared" si="443"/>
        <v>0</v>
      </c>
      <c r="BE490" s="276">
        <f t="shared" si="444"/>
        <v>0</v>
      </c>
      <c r="BF490" s="686">
        <f t="shared" si="445"/>
        <v>0</v>
      </c>
      <c r="BG490" s="685" t="e">
        <f t="shared" si="446"/>
        <v>#DIV/0!</v>
      </c>
      <c r="BH490" s="276" t="e">
        <f t="shared" si="447"/>
        <v>#DIV/0!</v>
      </c>
      <c r="BI490" s="276" t="e">
        <f t="shared" si="448"/>
        <v>#DIV/0!</v>
      </c>
      <c r="BJ490" s="276" t="e">
        <f t="shared" si="449"/>
        <v>#DIV/0!</v>
      </c>
      <c r="BK490" s="276" t="e">
        <f t="shared" si="450"/>
        <v>#DIV/0!</v>
      </c>
      <c r="BL490" s="686" t="e">
        <f t="shared" si="451"/>
        <v>#DIV/0!</v>
      </c>
      <c r="BM490" s="239"/>
      <c r="BN490" s="965" t="e">
        <f t="shared" si="452"/>
        <v>#VALUE!</v>
      </c>
      <c r="BO490" s="878" t="e">
        <f t="shared" si="453"/>
        <v>#VALUE!</v>
      </c>
      <c r="BP490" s="878" t="e">
        <f t="shared" si="454"/>
        <v>#VALUE!</v>
      </c>
      <c r="BQ490" s="878" t="e">
        <f t="shared" si="455"/>
        <v>#VALUE!</v>
      </c>
      <c r="BR490" s="878" t="e">
        <f t="shared" si="456"/>
        <v>#VALUE!</v>
      </c>
      <c r="BS490" s="966" t="e">
        <f t="shared" si="457"/>
        <v>#VALUE!</v>
      </c>
    </row>
    <row r="491" spans="1:71">
      <c r="A491" s="284">
        <f t="shared" si="458"/>
        <v>423</v>
      </c>
      <c r="B491" s="285">
        <v>-0.2716228403550518</v>
      </c>
      <c r="C491" s="285">
        <v>1.9003726274703103</v>
      </c>
      <c r="D491" s="285">
        <v>0.91348778314843004</v>
      </c>
      <c r="E491" s="285">
        <v>-16.406976609272693</v>
      </c>
      <c r="H491" s="685">
        <f t="shared" si="404"/>
        <v>-1.4048566821241066</v>
      </c>
      <c r="I491" s="276">
        <f t="shared" si="405"/>
        <v>0.74368393784857556</v>
      </c>
      <c r="J491" s="276">
        <f t="shared" si="406"/>
        <v>4.2460689904218167</v>
      </c>
      <c r="K491" s="276">
        <f t="shared" si="407"/>
        <v>1.485558292275414</v>
      </c>
      <c r="L491" s="276">
        <f t="shared" si="408"/>
        <v>-1.959160949997234</v>
      </c>
      <c r="M491" s="276">
        <f t="shared" si="409"/>
        <v>-0.95462053942780356</v>
      </c>
      <c r="N491" s="685">
        <f t="shared" si="410"/>
        <v>0.69320141649844191</v>
      </c>
      <c r="O491" s="276">
        <f t="shared" si="411"/>
        <v>2.0399462940469926</v>
      </c>
      <c r="P491" s="276">
        <f t="shared" si="412"/>
        <v>1.4504397925818131</v>
      </c>
      <c r="Q491" s="276">
        <f t="shared" si="413"/>
        <v>1.7561003381473974</v>
      </c>
      <c r="R491" s="276">
        <f t="shared" si="414"/>
        <v>2.037276288100248</v>
      </c>
      <c r="S491" s="686">
        <f t="shared" si="415"/>
        <v>1.0633895632763626</v>
      </c>
      <c r="T491" s="685">
        <f t="shared" si="416"/>
        <v>4.1918514734193559</v>
      </c>
      <c r="U491" s="276">
        <f t="shared" si="417"/>
        <v>4.5614176087735858</v>
      </c>
      <c r="V491" s="276">
        <f t="shared" si="418"/>
        <v>5.2078733999707705</v>
      </c>
      <c r="W491" s="276">
        <f t="shared" si="419"/>
        <v>3.9489486662895512</v>
      </c>
      <c r="X491" s="276">
        <f t="shared" si="420"/>
        <v>2.8634463323214736</v>
      </c>
      <c r="Y491" s="686">
        <f t="shared" si="421"/>
        <v>4.9210933729310753</v>
      </c>
      <c r="Z491" s="685" t="e">
        <f t="shared" si="422"/>
        <v>#DIV/0!</v>
      </c>
      <c r="AA491" s="276" t="e">
        <f t="shared" si="423"/>
        <v>#DIV/0!</v>
      </c>
      <c r="AB491" s="276" t="e">
        <f t="shared" si="424"/>
        <v>#DIV/0!</v>
      </c>
      <c r="AC491" s="276" t="e">
        <f t="shared" si="425"/>
        <v>#DIV/0!</v>
      </c>
      <c r="AD491" s="276" t="e">
        <f t="shared" si="426"/>
        <v>#DIV/0!</v>
      </c>
      <c r="AE491" s="686" t="e">
        <f t="shared" si="427"/>
        <v>#DIV/0!</v>
      </c>
      <c r="AF491" s="239"/>
      <c r="AG491" s="965" t="e">
        <f t="shared" si="398"/>
        <v>#VALUE!</v>
      </c>
      <c r="AH491" s="878" t="e">
        <f t="shared" si="399"/>
        <v>#VALUE!</v>
      </c>
      <c r="AI491" s="878" t="e">
        <f t="shared" si="400"/>
        <v>#VALUE!</v>
      </c>
      <c r="AJ491" s="878" t="e">
        <f t="shared" si="401"/>
        <v>#VALUE!</v>
      </c>
      <c r="AK491" s="878" t="e">
        <f t="shared" si="402"/>
        <v>#VALUE!</v>
      </c>
      <c r="AL491" s="966" t="e">
        <f t="shared" si="403"/>
        <v>#VALUE!</v>
      </c>
      <c r="AM491" s="239"/>
      <c r="AO491" s="685">
        <f t="shared" si="428"/>
        <v>-1.4048566821241066</v>
      </c>
      <c r="AP491" s="276">
        <f t="shared" si="429"/>
        <v>0.74368393784857556</v>
      </c>
      <c r="AQ491" s="276">
        <f t="shared" si="430"/>
        <v>4.2460689904218167</v>
      </c>
      <c r="AR491" s="276">
        <f t="shared" si="431"/>
        <v>1.485558292275414</v>
      </c>
      <c r="AS491" s="276">
        <f t="shared" si="432"/>
        <v>-1.959160949997234</v>
      </c>
      <c r="AT491" s="276">
        <f t="shared" si="433"/>
        <v>-0.95462053942780356</v>
      </c>
      <c r="AU491" s="685">
        <f t="shared" si="434"/>
        <v>0.69320141649844191</v>
      </c>
      <c r="AV491" s="276">
        <f t="shared" si="435"/>
        <v>2.0399462940469926</v>
      </c>
      <c r="AW491" s="276">
        <f t="shared" si="436"/>
        <v>1.4504397925818131</v>
      </c>
      <c r="AX491" s="276">
        <f t="shared" si="437"/>
        <v>1.7561003381473974</v>
      </c>
      <c r="AY491" s="276">
        <f t="shared" si="438"/>
        <v>2.037276288100248</v>
      </c>
      <c r="AZ491" s="686">
        <f t="shared" si="439"/>
        <v>1.0633895632763626</v>
      </c>
      <c r="BA491" s="685">
        <f t="shared" si="440"/>
        <v>0</v>
      </c>
      <c r="BB491" s="276">
        <f t="shared" si="441"/>
        <v>0</v>
      </c>
      <c r="BC491" s="276">
        <f t="shared" si="442"/>
        <v>0</v>
      </c>
      <c r="BD491" s="276">
        <f t="shared" si="443"/>
        <v>0</v>
      </c>
      <c r="BE491" s="276">
        <f t="shared" si="444"/>
        <v>0</v>
      </c>
      <c r="BF491" s="686">
        <f t="shared" si="445"/>
        <v>0</v>
      </c>
      <c r="BG491" s="685" t="e">
        <f t="shared" si="446"/>
        <v>#DIV/0!</v>
      </c>
      <c r="BH491" s="276" t="e">
        <f t="shared" si="447"/>
        <v>#DIV/0!</v>
      </c>
      <c r="BI491" s="276" t="e">
        <f t="shared" si="448"/>
        <v>#DIV/0!</v>
      </c>
      <c r="BJ491" s="276" t="e">
        <f t="shared" si="449"/>
        <v>#DIV/0!</v>
      </c>
      <c r="BK491" s="276" t="e">
        <f t="shared" si="450"/>
        <v>#DIV/0!</v>
      </c>
      <c r="BL491" s="686" t="e">
        <f t="shared" si="451"/>
        <v>#DIV/0!</v>
      </c>
      <c r="BM491" s="239"/>
      <c r="BN491" s="965" t="e">
        <f t="shared" si="452"/>
        <v>#VALUE!</v>
      </c>
      <c r="BO491" s="878" t="e">
        <f t="shared" si="453"/>
        <v>#VALUE!</v>
      </c>
      <c r="BP491" s="878" t="e">
        <f t="shared" si="454"/>
        <v>#VALUE!</v>
      </c>
      <c r="BQ491" s="878" t="e">
        <f t="shared" si="455"/>
        <v>#VALUE!</v>
      </c>
      <c r="BR491" s="878" t="e">
        <f t="shared" si="456"/>
        <v>#VALUE!</v>
      </c>
      <c r="BS491" s="966" t="e">
        <f t="shared" si="457"/>
        <v>#VALUE!</v>
      </c>
    </row>
    <row r="492" spans="1:71">
      <c r="A492" s="284">
        <f t="shared" si="458"/>
        <v>424</v>
      </c>
      <c r="B492" s="285">
        <v>-1.6125616719769147</v>
      </c>
      <c r="C492" s="285">
        <v>2.0013372117471082</v>
      </c>
      <c r="D492" s="285">
        <v>0.32088695556280111</v>
      </c>
      <c r="E492" s="285">
        <v>-9.6625223510820533</v>
      </c>
      <c r="H492" s="685">
        <f t="shared" si="404"/>
        <v>-2.7457955137459695</v>
      </c>
      <c r="I492" s="276">
        <f t="shared" si="405"/>
        <v>-4.3419173975642238</v>
      </c>
      <c r="J492" s="276">
        <f t="shared" si="406"/>
        <v>-2.7196390711936447</v>
      </c>
      <c r="K492" s="276">
        <f t="shared" si="407"/>
        <v>-4.5437979300373756</v>
      </c>
      <c r="L492" s="276">
        <f t="shared" si="408"/>
        <v>-1.3852861655558031</v>
      </c>
      <c r="M492" s="276">
        <f t="shared" si="409"/>
        <v>-1.1188343319015592</v>
      </c>
      <c r="N492" s="685">
        <f t="shared" si="410"/>
        <v>0.7941660007752398</v>
      </c>
      <c r="O492" s="276">
        <f t="shared" si="411"/>
        <v>1.0552974364392547</v>
      </c>
      <c r="P492" s="276">
        <f t="shared" si="412"/>
        <v>1.2904403728983895</v>
      </c>
      <c r="Q492" s="276">
        <f t="shared" si="413"/>
        <v>1.2423684372156731</v>
      </c>
      <c r="R492" s="276">
        <f t="shared" si="414"/>
        <v>0.8112934156819398</v>
      </c>
      <c r="S492" s="686">
        <f t="shared" si="415"/>
        <v>1.4985843751355119</v>
      </c>
      <c r="T492" s="685">
        <f t="shared" si="416"/>
        <v>3.599250645833727</v>
      </c>
      <c r="U492" s="276">
        <f t="shared" si="417"/>
        <v>1.5666156308675472</v>
      </c>
      <c r="V492" s="276">
        <f t="shared" si="418"/>
        <v>5.8938322476027256</v>
      </c>
      <c r="W492" s="276">
        <f t="shared" si="419"/>
        <v>4.0689363644214289</v>
      </c>
      <c r="X492" s="276">
        <f t="shared" si="420"/>
        <v>4.6504229610634038</v>
      </c>
      <c r="Y492" s="686">
        <f t="shared" si="421"/>
        <v>7.3544678963857013</v>
      </c>
      <c r="Z492" s="685" t="e">
        <f t="shared" si="422"/>
        <v>#DIV/0!</v>
      </c>
      <c r="AA492" s="276" t="e">
        <f t="shared" si="423"/>
        <v>#DIV/0!</v>
      </c>
      <c r="AB492" s="276" t="e">
        <f t="shared" si="424"/>
        <v>#DIV/0!</v>
      </c>
      <c r="AC492" s="276" t="e">
        <f t="shared" si="425"/>
        <v>#DIV/0!</v>
      </c>
      <c r="AD492" s="276" t="e">
        <f t="shared" si="426"/>
        <v>#DIV/0!</v>
      </c>
      <c r="AE492" s="686" t="e">
        <f t="shared" si="427"/>
        <v>#DIV/0!</v>
      </c>
      <c r="AF492" s="239"/>
      <c r="AG492" s="965" t="e">
        <f t="shared" si="398"/>
        <v>#VALUE!</v>
      </c>
      <c r="AH492" s="878" t="e">
        <f t="shared" si="399"/>
        <v>#VALUE!</v>
      </c>
      <c r="AI492" s="878" t="e">
        <f t="shared" si="400"/>
        <v>#VALUE!</v>
      </c>
      <c r="AJ492" s="878" t="e">
        <f t="shared" si="401"/>
        <v>#VALUE!</v>
      </c>
      <c r="AK492" s="878" t="e">
        <f t="shared" si="402"/>
        <v>#VALUE!</v>
      </c>
      <c r="AL492" s="966" t="e">
        <f t="shared" si="403"/>
        <v>#VALUE!</v>
      </c>
      <c r="AM492" s="239"/>
      <c r="AO492" s="685">
        <f t="shared" si="428"/>
        <v>-2.7457955137459695</v>
      </c>
      <c r="AP492" s="276">
        <f t="shared" si="429"/>
        <v>-4.3419173975642238</v>
      </c>
      <c r="AQ492" s="276">
        <f t="shared" si="430"/>
        <v>-2.7196390711936447</v>
      </c>
      <c r="AR492" s="276">
        <f t="shared" si="431"/>
        <v>-4.5437979300373756</v>
      </c>
      <c r="AS492" s="276">
        <f t="shared" si="432"/>
        <v>-1.3852861655558031</v>
      </c>
      <c r="AT492" s="276">
        <f t="shared" si="433"/>
        <v>-1.1188343319015592</v>
      </c>
      <c r="AU492" s="685">
        <f t="shared" si="434"/>
        <v>0.7941660007752398</v>
      </c>
      <c r="AV492" s="276">
        <f t="shared" si="435"/>
        <v>1.0552974364392547</v>
      </c>
      <c r="AW492" s="276">
        <f t="shared" si="436"/>
        <v>1.2904403728983895</v>
      </c>
      <c r="AX492" s="276">
        <f t="shared" si="437"/>
        <v>1.2423684372156731</v>
      </c>
      <c r="AY492" s="276">
        <f t="shared" si="438"/>
        <v>0.8112934156819398</v>
      </c>
      <c r="AZ492" s="686">
        <f t="shared" si="439"/>
        <v>1.4985843751355119</v>
      </c>
      <c r="BA492" s="685">
        <f t="shared" si="440"/>
        <v>0</v>
      </c>
      <c r="BB492" s="276">
        <f t="shared" si="441"/>
        <v>0</v>
      </c>
      <c r="BC492" s="276">
        <f t="shared" si="442"/>
        <v>0</v>
      </c>
      <c r="BD492" s="276">
        <f t="shared" si="443"/>
        <v>0</v>
      </c>
      <c r="BE492" s="276">
        <f t="shared" si="444"/>
        <v>0</v>
      </c>
      <c r="BF492" s="686">
        <f t="shared" si="445"/>
        <v>0</v>
      </c>
      <c r="BG492" s="685" t="e">
        <f t="shared" si="446"/>
        <v>#DIV/0!</v>
      </c>
      <c r="BH492" s="276" t="e">
        <f t="shared" si="447"/>
        <v>#DIV/0!</v>
      </c>
      <c r="BI492" s="276" t="e">
        <f t="shared" si="448"/>
        <v>#DIV/0!</v>
      </c>
      <c r="BJ492" s="276" t="e">
        <f t="shared" si="449"/>
        <v>#DIV/0!</v>
      </c>
      <c r="BK492" s="276" t="e">
        <f t="shared" si="450"/>
        <v>#DIV/0!</v>
      </c>
      <c r="BL492" s="686" t="e">
        <f t="shared" si="451"/>
        <v>#DIV/0!</v>
      </c>
      <c r="BM492" s="239"/>
      <c r="BN492" s="965" t="e">
        <f t="shared" si="452"/>
        <v>#VALUE!</v>
      </c>
      <c r="BO492" s="878" t="e">
        <f t="shared" si="453"/>
        <v>#VALUE!</v>
      </c>
      <c r="BP492" s="878" t="e">
        <f t="shared" si="454"/>
        <v>#VALUE!</v>
      </c>
      <c r="BQ492" s="878" t="e">
        <f t="shared" si="455"/>
        <v>#VALUE!</v>
      </c>
      <c r="BR492" s="878" t="e">
        <f t="shared" si="456"/>
        <v>#VALUE!</v>
      </c>
      <c r="BS492" s="966" t="e">
        <f t="shared" si="457"/>
        <v>#VALUE!</v>
      </c>
    </row>
    <row r="493" spans="1:71">
      <c r="A493" s="284">
        <f t="shared" si="458"/>
        <v>425</v>
      </c>
      <c r="B493" s="285">
        <v>-0.37103690331561057</v>
      </c>
      <c r="C493" s="285">
        <v>1.6466145315598122</v>
      </c>
      <c r="D493" s="285">
        <v>2.0814149737670444</v>
      </c>
      <c r="E493" s="285">
        <v>-11.261960366348088</v>
      </c>
      <c r="H493" s="685">
        <f t="shared" si="404"/>
        <v>-1.5042707450846655</v>
      </c>
      <c r="I493" s="276">
        <f t="shared" si="405"/>
        <v>0.95208305669675775</v>
      </c>
      <c r="J493" s="276">
        <f t="shared" si="406"/>
        <v>0.43563048075625943</v>
      </c>
      <c r="K493" s="276">
        <f t="shared" si="407"/>
        <v>-2.0334544304179247</v>
      </c>
      <c r="L493" s="276">
        <f t="shared" si="408"/>
        <v>-0.47051608471305251</v>
      </c>
      <c r="M493" s="276">
        <f t="shared" si="409"/>
        <v>-0.17818453327297812</v>
      </c>
      <c r="N493" s="685">
        <f t="shared" si="410"/>
        <v>0.43944332058794378</v>
      </c>
      <c r="O493" s="276">
        <f t="shared" si="411"/>
        <v>1.5687456721548683</v>
      </c>
      <c r="P493" s="276">
        <f t="shared" si="412"/>
        <v>1.8271647211292821</v>
      </c>
      <c r="Q493" s="276">
        <f t="shared" si="413"/>
        <v>0.78974672180943095</v>
      </c>
      <c r="R493" s="276">
        <f t="shared" si="414"/>
        <v>0.93260905303306862</v>
      </c>
      <c r="S493" s="686">
        <f t="shared" si="415"/>
        <v>1.5360587082539932</v>
      </c>
      <c r="T493" s="685">
        <f t="shared" si="416"/>
        <v>5.3597786640379699</v>
      </c>
      <c r="U493" s="276">
        <f t="shared" si="417"/>
        <v>5.9556584041231098</v>
      </c>
      <c r="V493" s="276">
        <f t="shared" si="418"/>
        <v>4.1353456609816703</v>
      </c>
      <c r="W493" s="276">
        <f t="shared" si="419"/>
        <v>6.0305050779048992</v>
      </c>
      <c r="X493" s="276">
        <f t="shared" si="420"/>
        <v>2.6908927726540552</v>
      </c>
      <c r="Y493" s="686">
        <f t="shared" si="421"/>
        <v>3.7578725757682938</v>
      </c>
      <c r="Z493" s="685" t="e">
        <f t="shared" si="422"/>
        <v>#DIV/0!</v>
      </c>
      <c r="AA493" s="276" t="e">
        <f t="shared" si="423"/>
        <v>#DIV/0!</v>
      </c>
      <c r="AB493" s="276" t="e">
        <f t="shared" si="424"/>
        <v>#DIV/0!</v>
      </c>
      <c r="AC493" s="276" t="e">
        <f t="shared" si="425"/>
        <v>#DIV/0!</v>
      </c>
      <c r="AD493" s="276" t="e">
        <f t="shared" si="426"/>
        <v>#DIV/0!</v>
      </c>
      <c r="AE493" s="686" t="e">
        <f t="shared" si="427"/>
        <v>#DIV/0!</v>
      </c>
      <c r="AF493" s="239"/>
      <c r="AG493" s="965" t="e">
        <f t="shared" si="398"/>
        <v>#VALUE!</v>
      </c>
      <c r="AH493" s="878" t="e">
        <f t="shared" si="399"/>
        <v>#VALUE!</v>
      </c>
      <c r="AI493" s="878" t="e">
        <f t="shared" si="400"/>
        <v>#VALUE!</v>
      </c>
      <c r="AJ493" s="878" t="e">
        <f t="shared" si="401"/>
        <v>#VALUE!</v>
      </c>
      <c r="AK493" s="878" t="e">
        <f t="shared" si="402"/>
        <v>#VALUE!</v>
      </c>
      <c r="AL493" s="966" t="e">
        <f t="shared" si="403"/>
        <v>#VALUE!</v>
      </c>
      <c r="AM493" s="239"/>
      <c r="AO493" s="685">
        <f t="shared" si="428"/>
        <v>-1.5042707450846655</v>
      </c>
      <c r="AP493" s="276">
        <f t="shared" si="429"/>
        <v>0.95208305669675775</v>
      </c>
      <c r="AQ493" s="276">
        <f t="shared" si="430"/>
        <v>0.43563048075625943</v>
      </c>
      <c r="AR493" s="276">
        <f t="shared" si="431"/>
        <v>-2.0334544304179247</v>
      </c>
      <c r="AS493" s="276">
        <f t="shared" si="432"/>
        <v>-0.47051608471305251</v>
      </c>
      <c r="AT493" s="276">
        <f t="shared" si="433"/>
        <v>-0.17818453327297812</v>
      </c>
      <c r="AU493" s="685">
        <f t="shared" si="434"/>
        <v>0.43944332058794378</v>
      </c>
      <c r="AV493" s="276">
        <f t="shared" si="435"/>
        <v>1.5687456721548683</v>
      </c>
      <c r="AW493" s="276">
        <f t="shared" si="436"/>
        <v>1.8271647211292821</v>
      </c>
      <c r="AX493" s="276">
        <f t="shared" si="437"/>
        <v>0.78974672180943095</v>
      </c>
      <c r="AY493" s="276">
        <f t="shared" si="438"/>
        <v>0.93260905303306862</v>
      </c>
      <c r="AZ493" s="686">
        <f t="shared" si="439"/>
        <v>1.5360587082539932</v>
      </c>
      <c r="BA493" s="685">
        <f t="shared" si="440"/>
        <v>0</v>
      </c>
      <c r="BB493" s="276">
        <f t="shared" si="441"/>
        <v>0</v>
      </c>
      <c r="BC493" s="276">
        <f t="shared" si="442"/>
        <v>0</v>
      </c>
      <c r="BD493" s="276">
        <f t="shared" si="443"/>
        <v>0</v>
      </c>
      <c r="BE493" s="276">
        <f t="shared" si="444"/>
        <v>0</v>
      </c>
      <c r="BF493" s="686">
        <f t="shared" si="445"/>
        <v>0</v>
      </c>
      <c r="BG493" s="685" t="e">
        <f t="shared" si="446"/>
        <v>#DIV/0!</v>
      </c>
      <c r="BH493" s="276" t="e">
        <f t="shared" si="447"/>
        <v>#DIV/0!</v>
      </c>
      <c r="BI493" s="276" t="e">
        <f t="shared" si="448"/>
        <v>#DIV/0!</v>
      </c>
      <c r="BJ493" s="276" t="e">
        <f t="shared" si="449"/>
        <v>#DIV/0!</v>
      </c>
      <c r="BK493" s="276" t="e">
        <f t="shared" si="450"/>
        <v>#DIV/0!</v>
      </c>
      <c r="BL493" s="686" t="e">
        <f t="shared" si="451"/>
        <v>#DIV/0!</v>
      </c>
      <c r="BM493" s="239"/>
      <c r="BN493" s="965" t="e">
        <f t="shared" si="452"/>
        <v>#VALUE!</v>
      </c>
      <c r="BO493" s="878" t="e">
        <f t="shared" si="453"/>
        <v>#VALUE!</v>
      </c>
      <c r="BP493" s="878" t="e">
        <f t="shared" si="454"/>
        <v>#VALUE!</v>
      </c>
      <c r="BQ493" s="878" t="e">
        <f t="shared" si="455"/>
        <v>#VALUE!</v>
      </c>
      <c r="BR493" s="878" t="e">
        <f t="shared" si="456"/>
        <v>#VALUE!</v>
      </c>
      <c r="BS493" s="966" t="e">
        <f t="shared" si="457"/>
        <v>#VALUE!</v>
      </c>
    </row>
    <row r="494" spans="1:71">
      <c r="A494" s="284">
        <f t="shared" si="458"/>
        <v>426</v>
      </c>
      <c r="B494" s="285">
        <v>-5.5238484283684948E-3</v>
      </c>
      <c r="C494" s="285">
        <v>2.9028131528213859</v>
      </c>
      <c r="D494" s="285">
        <v>1.3212051069373671</v>
      </c>
      <c r="E494" s="285">
        <v>6.2786935543808866</v>
      </c>
      <c r="H494" s="685">
        <f t="shared" si="404"/>
        <v>-1.1387576901974232</v>
      </c>
      <c r="I494" s="276">
        <f t="shared" si="405"/>
        <v>-6.7532597015457396</v>
      </c>
      <c r="J494" s="276">
        <f t="shared" si="406"/>
        <v>-2.2987899609142559</v>
      </c>
      <c r="K494" s="276">
        <f t="shared" si="407"/>
        <v>-1.504273230324781</v>
      </c>
      <c r="L494" s="276">
        <f t="shared" si="408"/>
        <v>1.6438882181454353</v>
      </c>
      <c r="M494" s="276">
        <f t="shared" si="409"/>
        <v>3.0658347180456147</v>
      </c>
      <c r="N494" s="685">
        <f t="shared" si="410"/>
        <v>1.6956419418495174</v>
      </c>
      <c r="O494" s="276">
        <f t="shared" si="411"/>
        <v>0.5061868933748972</v>
      </c>
      <c r="P494" s="276">
        <f t="shared" si="412"/>
        <v>0.75140955653203712</v>
      </c>
      <c r="Q494" s="276">
        <f t="shared" si="413"/>
        <v>1.0852359933599722</v>
      </c>
      <c r="R494" s="276">
        <f t="shared" si="414"/>
        <v>1.1837042116666845</v>
      </c>
      <c r="S494" s="686">
        <f t="shared" si="415"/>
        <v>0.9195765292969813</v>
      </c>
      <c r="T494" s="685">
        <f t="shared" si="416"/>
        <v>4.5995687972082928</v>
      </c>
      <c r="U494" s="276">
        <f t="shared" si="417"/>
        <v>3.2059445705326661</v>
      </c>
      <c r="V494" s="276">
        <f t="shared" si="418"/>
        <v>3.3934595607879574</v>
      </c>
      <c r="W494" s="276">
        <f t="shared" si="419"/>
        <v>6.1490071354250784</v>
      </c>
      <c r="X494" s="276">
        <f t="shared" si="420"/>
        <v>3.484684574045831</v>
      </c>
      <c r="Y494" s="686">
        <f t="shared" si="421"/>
        <v>4.7868538653613699</v>
      </c>
      <c r="Z494" s="685" t="e">
        <f t="shared" si="422"/>
        <v>#DIV/0!</v>
      </c>
      <c r="AA494" s="276" t="e">
        <f t="shared" si="423"/>
        <v>#DIV/0!</v>
      </c>
      <c r="AB494" s="276" t="e">
        <f t="shared" si="424"/>
        <v>#DIV/0!</v>
      </c>
      <c r="AC494" s="276" t="e">
        <f t="shared" si="425"/>
        <v>#DIV/0!</v>
      </c>
      <c r="AD494" s="276" t="e">
        <f t="shared" si="426"/>
        <v>#DIV/0!</v>
      </c>
      <c r="AE494" s="686" t="e">
        <f t="shared" si="427"/>
        <v>#DIV/0!</v>
      </c>
      <c r="AF494" s="239"/>
      <c r="AG494" s="965" t="e">
        <f t="shared" si="398"/>
        <v>#VALUE!</v>
      </c>
      <c r="AH494" s="878" t="e">
        <f t="shared" si="399"/>
        <v>#VALUE!</v>
      </c>
      <c r="AI494" s="878" t="e">
        <f t="shared" si="400"/>
        <v>#VALUE!</v>
      </c>
      <c r="AJ494" s="878" t="e">
        <f t="shared" si="401"/>
        <v>#VALUE!</v>
      </c>
      <c r="AK494" s="878" t="e">
        <f t="shared" si="402"/>
        <v>#VALUE!</v>
      </c>
      <c r="AL494" s="966" t="e">
        <f t="shared" si="403"/>
        <v>#VALUE!</v>
      </c>
      <c r="AM494" s="239"/>
      <c r="AO494" s="685">
        <f t="shared" si="428"/>
        <v>-1.1387576901974232</v>
      </c>
      <c r="AP494" s="276">
        <f t="shared" si="429"/>
        <v>-6.7532597015457396</v>
      </c>
      <c r="AQ494" s="276">
        <f t="shared" si="430"/>
        <v>-2.2987899609142559</v>
      </c>
      <c r="AR494" s="276">
        <f t="shared" si="431"/>
        <v>-1.504273230324781</v>
      </c>
      <c r="AS494" s="276">
        <f t="shared" si="432"/>
        <v>1.6438882181454353</v>
      </c>
      <c r="AT494" s="276">
        <f t="shared" si="433"/>
        <v>3.0658347180456147</v>
      </c>
      <c r="AU494" s="685">
        <f t="shared" si="434"/>
        <v>1.6956419418495174</v>
      </c>
      <c r="AV494" s="276">
        <f t="shared" si="435"/>
        <v>0.5061868933748972</v>
      </c>
      <c r="AW494" s="276">
        <f t="shared" si="436"/>
        <v>0.75140955653203712</v>
      </c>
      <c r="AX494" s="276">
        <f t="shared" si="437"/>
        <v>1.0852359933599722</v>
      </c>
      <c r="AY494" s="276">
        <f t="shared" si="438"/>
        <v>1.1837042116666845</v>
      </c>
      <c r="AZ494" s="686">
        <f t="shared" si="439"/>
        <v>0.9195765292969813</v>
      </c>
      <c r="BA494" s="685">
        <f t="shared" si="440"/>
        <v>0</v>
      </c>
      <c r="BB494" s="276">
        <f t="shared" si="441"/>
        <v>0</v>
      </c>
      <c r="BC494" s="276">
        <f t="shared" si="442"/>
        <v>0</v>
      </c>
      <c r="BD494" s="276">
        <f t="shared" si="443"/>
        <v>0</v>
      </c>
      <c r="BE494" s="276">
        <f t="shared" si="444"/>
        <v>0</v>
      </c>
      <c r="BF494" s="686">
        <f t="shared" si="445"/>
        <v>0</v>
      </c>
      <c r="BG494" s="685" t="e">
        <f t="shared" si="446"/>
        <v>#DIV/0!</v>
      </c>
      <c r="BH494" s="276" t="e">
        <f t="shared" si="447"/>
        <v>#DIV/0!</v>
      </c>
      <c r="BI494" s="276" t="e">
        <f t="shared" si="448"/>
        <v>#DIV/0!</v>
      </c>
      <c r="BJ494" s="276" t="e">
        <f t="shared" si="449"/>
        <v>#DIV/0!</v>
      </c>
      <c r="BK494" s="276" t="e">
        <f t="shared" si="450"/>
        <v>#DIV/0!</v>
      </c>
      <c r="BL494" s="686" t="e">
        <f t="shared" si="451"/>
        <v>#DIV/0!</v>
      </c>
      <c r="BM494" s="239"/>
      <c r="BN494" s="965" t="e">
        <f t="shared" si="452"/>
        <v>#VALUE!</v>
      </c>
      <c r="BO494" s="878" t="e">
        <f t="shared" si="453"/>
        <v>#VALUE!</v>
      </c>
      <c r="BP494" s="878" t="e">
        <f t="shared" si="454"/>
        <v>#VALUE!</v>
      </c>
      <c r="BQ494" s="878" t="e">
        <f t="shared" si="455"/>
        <v>#VALUE!</v>
      </c>
      <c r="BR494" s="878" t="e">
        <f t="shared" si="456"/>
        <v>#VALUE!</v>
      </c>
      <c r="BS494" s="966" t="e">
        <f t="shared" si="457"/>
        <v>#VALUE!</v>
      </c>
    </row>
    <row r="495" spans="1:71">
      <c r="A495" s="284">
        <f t="shared" si="458"/>
        <v>427</v>
      </c>
      <c r="B495" s="285">
        <v>2.9539255324485105</v>
      </c>
      <c r="C495" s="285">
        <v>2.7996534347747204</v>
      </c>
      <c r="D495" s="285">
        <v>1.1668793242405036</v>
      </c>
      <c r="E495" s="285">
        <v>5.8623728506546016</v>
      </c>
      <c r="H495" s="685">
        <f t="shared" si="404"/>
        <v>1.8206916906794557</v>
      </c>
      <c r="I495" s="276">
        <f t="shared" si="405"/>
        <v>-2.8708403650597081</v>
      </c>
      <c r="J495" s="276">
        <f t="shared" si="406"/>
        <v>-2.0781942713125083</v>
      </c>
      <c r="K495" s="276">
        <f t="shared" si="407"/>
        <v>-3.9032421803601176</v>
      </c>
      <c r="L495" s="276">
        <f t="shared" si="408"/>
        <v>-2.2600005334366804</v>
      </c>
      <c r="M495" s="276">
        <f t="shared" si="409"/>
        <v>0.69671802883427847</v>
      </c>
      <c r="N495" s="685">
        <f t="shared" si="410"/>
        <v>1.592482223802852</v>
      </c>
      <c r="O495" s="276">
        <f t="shared" si="411"/>
        <v>1.1390375613906494</v>
      </c>
      <c r="P495" s="276">
        <f t="shared" si="412"/>
        <v>2.0482182257957913</v>
      </c>
      <c r="Q495" s="276">
        <f t="shared" si="413"/>
        <v>0.8488853864589585</v>
      </c>
      <c r="R495" s="276">
        <f t="shared" si="414"/>
        <v>0.53688376541040572</v>
      </c>
      <c r="S495" s="686">
        <f t="shared" si="415"/>
        <v>1.7787573026154433</v>
      </c>
      <c r="T495" s="685">
        <f t="shared" si="416"/>
        <v>4.4452430145114299</v>
      </c>
      <c r="U495" s="276">
        <f t="shared" si="417"/>
        <v>6.3370956368460991</v>
      </c>
      <c r="V495" s="276">
        <f t="shared" si="418"/>
        <v>5.6560820068842013</v>
      </c>
      <c r="W495" s="276">
        <f t="shared" si="419"/>
        <v>5.4925208040373406</v>
      </c>
      <c r="X495" s="276">
        <f t="shared" si="420"/>
        <v>5.3293585164319683</v>
      </c>
      <c r="Y495" s="686">
        <f t="shared" si="421"/>
        <v>5.1662799371915709</v>
      </c>
      <c r="Z495" s="685" t="e">
        <f t="shared" si="422"/>
        <v>#DIV/0!</v>
      </c>
      <c r="AA495" s="276" t="e">
        <f t="shared" si="423"/>
        <v>#DIV/0!</v>
      </c>
      <c r="AB495" s="276" t="e">
        <f t="shared" si="424"/>
        <v>#DIV/0!</v>
      </c>
      <c r="AC495" s="276" t="e">
        <f t="shared" si="425"/>
        <v>#DIV/0!</v>
      </c>
      <c r="AD495" s="276" t="e">
        <f t="shared" si="426"/>
        <v>#DIV/0!</v>
      </c>
      <c r="AE495" s="686" t="e">
        <f t="shared" si="427"/>
        <v>#DIV/0!</v>
      </c>
      <c r="AF495" s="239"/>
      <c r="AG495" s="965" t="e">
        <f t="shared" si="398"/>
        <v>#VALUE!</v>
      </c>
      <c r="AH495" s="878" t="e">
        <f t="shared" si="399"/>
        <v>#VALUE!</v>
      </c>
      <c r="AI495" s="878" t="e">
        <f t="shared" si="400"/>
        <v>#VALUE!</v>
      </c>
      <c r="AJ495" s="878" t="e">
        <f t="shared" si="401"/>
        <v>#VALUE!</v>
      </c>
      <c r="AK495" s="878" t="e">
        <f t="shared" si="402"/>
        <v>#VALUE!</v>
      </c>
      <c r="AL495" s="966" t="e">
        <f t="shared" si="403"/>
        <v>#VALUE!</v>
      </c>
      <c r="AM495" s="239"/>
      <c r="AO495" s="685">
        <f t="shared" si="428"/>
        <v>1.8206916906794557</v>
      </c>
      <c r="AP495" s="276">
        <f t="shared" si="429"/>
        <v>-2.8708403650597081</v>
      </c>
      <c r="AQ495" s="276">
        <f t="shared" si="430"/>
        <v>-2.0781942713125083</v>
      </c>
      <c r="AR495" s="276">
        <f t="shared" si="431"/>
        <v>-3.9032421803601176</v>
      </c>
      <c r="AS495" s="276">
        <f t="shared" si="432"/>
        <v>-2.2600005334366804</v>
      </c>
      <c r="AT495" s="276">
        <f t="shared" si="433"/>
        <v>0.69671802883427847</v>
      </c>
      <c r="AU495" s="685">
        <f t="shared" si="434"/>
        <v>1.592482223802852</v>
      </c>
      <c r="AV495" s="276">
        <f t="shared" si="435"/>
        <v>1.1390375613906494</v>
      </c>
      <c r="AW495" s="276">
        <f t="shared" si="436"/>
        <v>2.0482182257957913</v>
      </c>
      <c r="AX495" s="276">
        <f t="shared" si="437"/>
        <v>0.8488853864589585</v>
      </c>
      <c r="AY495" s="276">
        <f t="shared" si="438"/>
        <v>0.53688376541040572</v>
      </c>
      <c r="AZ495" s="686">
        <f t="shared" si="439"/>
        <v>1.7787573026154433</v>
      </c>
      <c r="BA495" s="685">
        <f t="shared" si="440"/>
        <v>0</v>
      </c>
      <c r="BB495" s="276">
        <f t="shared" si="441"/>
        <v>0</v>
      </c>
      <c r="BC495" s="276">
        <f t="shared" si="442"/>
        <v>0</v>
      </c>
      <c r="BD495" s="276">
        <f t="shared" si="443"/>
        <v>0</v>
      </c>
      <c r="BE495" s="276">
        <f t="shared" si="444"/>
        <v>0</v>
      </c>
      <c r="BF495" s="686">
        <f t="shared" si="445"/>
        <v>0</v>
      </c>
      <c r="BG495" s="685" t="e">
        <f t="shared" si="446"/>
        <v>#DIV/0!</v>
      </c>
      <c r="BH495" s="276" t="e">
        <f t="shared" si="447"/>
        <v>#DIV/0!</v>
      </c>
      <c r="BI495" s="276" t="e">
        <f t="shared" si="448"/>
        <v>#DIV/0!</v>
      </c>
      <c r="BJ495" s="276" t="e">
        <f t="shared" si="449"/>
        <v>#DIV/0!</v>
      </c>
      <c r="BK495" s="276" t="e">
        <f t="shared" si="450"/>
        <v>#DIV/0!</v>
      </c>
      <c r="BL495" s="686" t="e">
        <f t="shared" si="451"/>
        <v>#DIV/0!</v>
      </c>
      <c r="BM495" s="239"/>
      <c r="BN495" s="965" t="e">
        <f t="shared" si="452"/>
        <v>#VALUE!</v>
      </c>
      <c r="BO495" s="878" t="e">
        <f t="shared" si="453"/>
        <v>#VALUE!</v>
      </c>
      <c r="BP495" s="878" t="e">
        <f t="shared" si="454"/>
        <v>#VALUE!</v>
      </c>
      <c r="BQ495" s="878" t="e">
        <f t="shared" si="455"/>
        <v>#VALUE!</v>
      </c>
      <c r="BR495" s="878" t="e">
        <f t="shared" si="456"/>
        <v>#VALUE!</v>
      </c>
      <c r="BS495" s="966" t="e">
        <f t="shared" si="457"/>
        <v>#VALUE!</v>
      </c>
    </row>
    <row r="496" spans="1:71">
      <c r="A496" s="284">
        <f t="shared" si="458"/>
        <v>428</v>
      </c>
      <c r="B496" s="285">
        <v>1.5635768524099769</v>
      </c>
      <c r="C496" s="285">
        <v>2.1333653583409711</v>
      </c>
      <c r="D496" s="285">
        <v>2.0590310216085181</v>
      </c>
      <c r="E496" s="285">
        <v>-12.50447516147282</v>
      </c>
      <c r="H496" s="685">
        <f t="shared" si="404"/>
        <v>0.43034301064092206</v>
      </c>
      <c r="I496" s="276">
        <f t="shared" si="405"/>
        <v>-0.94008174860148064</v>
      </c>
      <c r="J496" s="276">
        <f t="shared" si="406"/>
        <v>-4.3158301765274469</v>
      </c>
      <c r="K496" s="276">
        <f t="shared" si="407"/>
        <v>-0.88277565560867655</v>
      </c>
      <c r="L496" s="276">
        <f t="shared" si="408"/>
        <v>-6.1919420584722662E-2</v>
      </c>
      <c r="M496" s="276">
        <f t="shared" si="409"/>
        <v>-1.8038843502163382</v>
      </c>
      <c r="N496" s="685">
        <f t="shared" si="410"/>
        <v>0.92619414736910266</v>
      </c>
      <c r="O496" s="276">
        <f t="shared" si="411"/>
        <v>1.201981691695601</v>
      </c>
      <c r="P496" s="276">
        <f t="shared" si="412"/>
        <v>1.6794541081987517</v>
      </c>
      <c r="Q496" s="276">
        <f t="shared" si="413"/>
        <v>1.3519505278508352</v>
      </c>
      <c r="R496" s="276">
        <f t="shared" si="414"/>
        <v>1.8010658043015388</v>
      </c>
      <c r="S496" s="686">
        <f t="shared" si="415"/>
        <v>1.4278269605237821</v>
      </c>
      <c r="T496" s="685">
        <f t="shared" si="416"/>
        <v>5.337394711879444</v>
      </c>
      <c r="U496" s="276">
        <f t="shared" si="417"/>
        <v>3.9039281395836372</v>
      </c>
      <c r="V496" s="276">
        <f t="shared" si="418"/>
        <v>3.0320368868396455</v>
      </c>
      <c r="W496" s="276">
        <f t="shared" si="419"/>
        <v>5.3460249893184191</v>
      </c>
      <c r="X496" s="276">
        <f t="shared" si="420"/>
        <v>3.8122325440492837</v>
      </c>
      <c r="Y496" s="686">
        <f t="shared" si="421"/>
        <v>5.4428252433041679</v>
      </c>
      <c r="Z496" s="685" t="e">
        <f t="shared" si="422"/>
        <v>#DIV/0!</v>
      </c>
      <c r="AA496" s="276" t="e">
        <f t="shared" si="423"/>
        <v>#DIV/0!</v>
      </c>
      <c r="AB496" s="276" t="e">
        <f t="shared" si="424"/>
        <v>#DIV/0!</v>
      </c>
      <c r="AC496" s="276" t="e">
        <f t="shared" si="425"/>
        <v>#DIV/0!</v>
      </c>
      <c r="AD496" s="276" t="e">
        <f t="shared" si="426"/>
        <v>#DIV/0!</v>
      </c>
      <c r="AE496" s="686" t="e">
        <f t="shared" si="427"/>
        <v>#DIV/0!</v>
      </c>
      <c r="AF496" s="239"/>
      <c r="AG496" s="965" t="e">
        <f t="shared" si="398"/>
        <v>#VALUE!</v>
      </c>
      <c r="AH496" s="878" t="e">
        <f t="shared" si="399"/>
        <v>#VALUE!</v>
      </c>
      <c r="AI496" s="878" t="e">
        <f t="shared" si="400"/>
        <v>#VALUE!</v>
      </c>
      <c r="AJ496" s="878" t="e">
        <f t="shared" si="401"/>
        <v>#VALUE!</v>
      </c>
      <c r="AK496" s="878" t="e">
        <f t="shared" si="402"/>
        <v>#VALUE!</v>
      </c>
      <c r="AL496" s="966" t="e">
        <f t="shared" si="403"/>
        <v>#VALUE!</v>
      </c>
      <c r="AM496" s="239"/>
      <c r="AO496" s="685">
        <f t="shared" si="428"/>
        <v>0.43034301064092206</v>
      </c>
      <c r="AP496" s="276">
        <f t="shared" si="429"/>
        <v>-0.94008174860148064</v>
      </c>
      <c r="AQ496" s="276">
        <f t="shared" si="430"/>
        <v>-4.3158301765274469</v>
      </c>
      <c r="AR496" s="276">
        <f t="shared" si="431"/>
        <v>-0.88277565560867655</v>
      </c>
      <c r="AS496" s="276">
        <f t="shared" si="432"/>
        <v>-6.1919420584722662E-2</v>
      </c>
      <c r="AT496" s="276">
        <f t="shared" si="433"/>
        <v>-1.8038843502163382</v>
      </c>
      <c r="AU496" s="685">
        <f t="shared" si="434"/>
        <v>0.92619414736910266</v>
      </c>
      <c r="AV496" s="276">
        <f t="shared" si="435"/>
        <v>1.201981691695601</v>
      </c>
      <c r="AW496" s="276">
        <f t="shared" si="436"/>
        <v>1.6794541081987517</v>
      </c>
      <c r="AX496" s="276">
        <f t="shared" si="437"/>
        <v>1.3519505278508352</v>
      </c>
      <c r="AY496" s="276">
        <f t="shared" si="438"/>
        <v>1.8010658043015388</v>
      </c>
      <c r="AZ496" s="686">
        <f t="shared" si="439"/>
        <v>1.4278269605237821</v>
      </c>
      <c r="BA496" s="685">
        <f t="shared" si="440"/>
        <v>0</v>
      </c>
      <c r="BB496" s="276">
        <f t="shared" si="441"/>
        <v>0</v>
      </c>
      <c r="BC496" s="276">
        <f t="shared" si="442"/>
        <v>0</v>
      </c>
      <c r="BD496" s="276">
        <f t="shared" si="443"/>
        <v>0</v>
      </c>
      <c r="BE496" s="276">
        <f t="shared" si="444"/>
        <v>0</v>
      </c>
      <c r="BF496" s="686">
        <f t="shared" si="445"/>
        <v>0</v>
      </c>
      <c r="BG496" s="685" t="e">
        <f t="shared" si="446"/>
        <v>#DIV/0!</v>
      </c>
      <c r="BH496" s="276" t="e">
        <f t="shared" si="447"/>
        <v>#DIV/0!</v>
      </c>
      <c r="BI496" s="276" t="e">
        <f t="shared" si="448"/>
        <v>#DIV/0!</v>
      </c>
      <c r="BJ496" s="276" t="e">
        <f t="shared" si="449"/>
        <v>#DIV/0!</v>
      </c>
      <c r="BK496" s="276" t="e">
        <f t="shared" si="450"/>
        <v>#DIV/0!</v>
      </c>
      <c r="BL496" s="686" t="e">
        <f t="shared" si="451"/>
        <v>#DIV/0!</v>
      </c>
      <c r="BM496" s="239"/>
      <c r="BN496" s="965" t="e">
        <f t="shared" si="452"/>
        <v>#VALUE!</v>
      </c>
      <c r="BO496" s="878" t="e">
        <f t="shared" si="453"/>
        <v>#VALUE!</v>
      </c>
      <c r="BP496" s="878" t="e">
        <f t="shared" si="454"/>
        <v>#VALUE!</v>
      </c>
      <c r="BQ496" s="878" t="e">
        <f t="shared" si="455"/>
        <v>#VALUE!</v>
      </c>
      <c r="BR496" s="878" t="e">
        <f t="shared" si="456"/>
        <v>#VALUE!</v>
      </c>
      <c r="BS496" s="966" t="e">
        <f t="shared" si="457"/>
        <v>#VALUE!</v>
      </c>
    </row>
    <row r="497" spans="1:71">
      <c r="A497" s="284">
        <f t="shared" si="458"/>
        <v>429</v>
      </c>
      <c r="B497" s="285">
        <v>1.2033127408649849</v>
      </c>
      <c r="C497" s="285">
        <v>3.0743341533689406</v>
      </c>
      <c r="D497" s="285">
        <v>1.8134460951680504</v>
      </c>
      <c r="E497" s="285">
        <v>-4.1089913434236092</v>
      </c>
      <c r="H497" s="685">
        <f t="shared" si="404"/>
        <v>7.0078899095930014E-2</v>
      </c>
      <c r="I497" s="276">
        <f t="shared" si="405"/>
        <v>0.98123421250299736</v>
      </c>
      <c r="J497" s="276">
        <f t="shared" si="406"/>
        <v>-2.5128737712344527</v>
      </c>
      <c r="K497" s="276">
        <f t="shared" si="407"/>
        <v>2.7473956648746842</v>
      </c>
      <c r="L497" s="276">
        <f t="shared" si="408"/>
        <v>1.8253687032134616</v>
      </c>
      <c r="M497" s="276">
        <f t="shared" si="409"/>
        <v>3.4252828699896796</v>
      </c>
      <c r="N497" s="685">
        <f t="shared" si="410"/>
        <v>1.8671629423970721</v>
      </c>
      <c r="O497" s="276">
        <f t="shared" si="411"/>
        <v>1.2407636518430405</v>
      </c>
      <c r="P497" s="276">
        <f t="shared" si="412"/>
        <v>2.1089237448673419</v>
      </c>
      <c r="Q497" s="276">
        <f t="shared" si="413"/>
        <v>1.6069162340837264</v>
      </c>
      <c r="R497" s="276">
        <f t="shared" si="414"/>
        <v>1.3861658626430298</v>
      </c>
      <c r="S497" s="686">
        <f t="shared" si="415"/>
        <v>1.9364692766130378</v>
      </c>
      <c r="T497" s="685">
        <f t="shared" si="416"/>
        <v>5.0918097854389766</v>
      </c>
      <c r="U497" s="276">
        <f t="shared" si="417"/>
        <v>4.4673308208700675</v>
      </c>
      <c r="V497" s="276">
        <f t="shared" si="418"/>
        <v>3.2247526535789595</v>
      </c>
      <c r="W497" s="276">
        <f t="shared" si="419"/>
        <v>3.0469010601343434</v>
      </c>
      <c r="X497" s="276">
        <f t="shared" si="420"/>
        <v>4.610831732695778</v>
      </c>
      <c r="Y497" s="686">
        <f t="shared" si="421"/>
        <v>7.3742146148455632</v>
      </c>
      <c r="Z497" s="685" t="e">
        <f t="shared" si="422"/>
        <v>#DIV/0!</v>
      </c>
      <c r="AA497" s="276" t="e">
        <f t="shared" si="423"/>
        <v>#DIV/0!</v>
      </c>
      <c r="AB497" s="276" t="e">
        <f t="shared" si="424"/>
        <v>#DIV/0!</v>
      </c>
      <c r="AC497" s="276" t="e">
        <f t="shared" si="425"/>
        <v>#DIV/0!</v>
      </c>
      <c r="AD497" s="276" t="e">
        <f t="shared" si="426"/>
        <v>#DIV/0!</v>
      </c>
      <c r="AE497" s="686" t="e">
        <f t="shared" si="427"/>
        <v>#DIV/0!</v>
      </c>
      <c r="AF497" s="239"/>
      <c r="AG497" s="965" t="e">
        <f t="shared" si="398"/>
        <v>#VALUE!</v>
      </c>
      <c r="AH497" s="878" t="e">
        <f t="shared" si="399"/>
        <v>#VALUE!</v>
      </c>
      <c r="AI497" s="878" t="e">
        <f t="shared" si="400"/>
        <v>#VALUE!</v>
      </c>
      <c r="AJ497" s="878" t="e">
        <f t="shared" si="401"/>
        <v>#VALUE!</v>
      </c>
      <c r="AK497" s="878" t="e">
        <f t="shared" si="402"/>
        <v>#VALUE!</v>
      </c>
      <c r="AL497" s="966" t="e">
        <f t="shared" si="403"/>
        <v>#VALUE!</v>
      </c>
      <c r="AM497" s="239"/>
      <c r="AO497" s="685">
        <f t="shared" si="428"/>
        <v>7.0078899095930014E-2</v>
      </c>
      <c r="AP497" s="276">
        <f t="shared" si="429"/>
        <v>0.98123421250299736</v>
      </c>
      <c r="AQ497" s="276">
        <f t="shared" si="430"/>
        <v>-2.5128737712344527</v>
      </c>
      <c r="AR497" s="276">
        <f t="shared" si="431"/>
        <v>2.7473956648746842</v>
      </c>
      <c r="AS497" s="276">
        <f t="shared" si="432"/>
        <v>1.8253687032134616</v>
      </c>
      <c r="AT497" s="276">
        <f t="shared" si="433"/>
        <v>3.4252828699896796</v>
      </c>
      <c r="AU497" s="685">
        <f t="shared" si="434"/>
        <v>1.8671629423970721</v>
      </c>
      <c r="AV497" s="276">
        <f t="shared" si="435"/>
        <v>1.2407636518430405</v>
      </c>
      <c r="AW497" s="276">
        <f t="shared" si="436"/>
        <v>2.1089237448673419</v>
      </c>
      <c r="AX497" s="276">
        <f t="shared" si="437"/>
        <v>1.6069162340837264</v>
      </c>
      <c r="AY497" s="276">
        <f t="shared" si="438"/>
        <v>1.3861658626430298</v>
      </c>
      <c r="AZ497" s="686">
        <f t="shared" si="439"/>
        <v>1.9364692766130378</v>
      </c>
      <c r="BA497" s="685">
        <f t="shared" si="440"/>
        <v>0</v>
      </c>
      <c r="BB497" s="276">
        <f t="shared" si="441"/>
        <v>0</v>
      </c>
      <c r="BC497" s="276">
        <f t="shared" si="442"/>
        <v>0</v>
      </c>
      <c r="BD497" s="276">
        <f t="shared" si="443"/>
        <v>0</v>
      </c>
      <c r="BE497" s="276">
        <f t="shared" si="444"/>
        <v>0</v>
      </c>
      <c r="BF497" s="686">
        <f t="shared" si="445"/>
        <v>0</v>
      </c>
      <c r="BG497" s="685" t="e">
        <f t="shared" si="446"/>
        <v>#DIV/0!</v>
      </c>
      <c r="BH497" s="276" t="e">
        <f t="shared" si="447"/>
        <v>#DIV/0!</v>
      </c>
      <c r="BI497" s="276" t="e">
        <f t="shared" si="448"/>
        <v>#DIV/0!</v>
      </c>
      <c r="BJ497" s="276" t="e">
        <f t="shared" si="449"/>
        <v>#DIV/0!</v>
      </c>
      <c r="BK497" s="276" t="e">
        <f t="shared" si="450"/>
        <v>#DIV/0!</v>
      </c>
      <c r="BL497" s="686" t="e">
        <f t="shared" si="451"/>
        <v>#DIV/0!</v>
      </c>
      <c r="BM497" s="239"/>
      <c r="BN497" s="965" t="e">
        <f t="shared" si="452"/>
        <v>#VALUE!</v>
      </c>
      <c r="BO497" s="878" t="e">
        <f t="shared" si="453"/>
        <v>#VALUE!</v>
      </c>
      <c r="BP497" s="878" t="e">
        <f t="shared" si="454"/>
        <v>#VALUE!</v>
      </c>
      <c r="BQ497" s="878" t="e">
        <f t="shared" si="455"/>
        <v>#VALUE!</v>
      </c>
      <c r="BR497" s="878" t="e">
        <f t="shared" si="456"/>
        <v>#VALUE!</v>
      </c>
      <c r="BS497" s="966" t="e">
        <f t="shared" si="457"/>
        <v>#VALUE!</v>
      </c>
    </row>
    <row r="498" spans="1:71">
      <c r="A498" s="284">
        <f t="shared" si="458"/>
        <v>430</v>
      </c>
      <c r="B498" s="285">
        <v>-2.7782259318714746</v>
      </c>
      <c r="C498" s="285">
        <v>1.532177176993174</v>
      </c>
      <c r="D498" s="285">
        <v>1.8156189677357342</v>
      </c>
      <c r="E498" s="285">
        <v>-13.559900946411384</v>
      </c>
      <c r="H498" s="685">
        <f t="shared" si="404"/>
        <v>-3.9114597736405292</v>
      </c>
      <c r="I498" s="276">
        <f t="shared" si="405"/>
        <v>9.4126857293806987E-2</v>
      </c>
      <c r="J498" s="276">
        <f t="shared" si="406"/>
        <v>-0.91176389862616769</v>
      </c>
      <c r="K498" s="276">
        <f t="shared" si="407"/>
        <v>-0.71353649933046159</v>
      </c>
      <c r="L498" s="276">
        <f t="shared" si="408"/>
        <v>-2.6947510638804713</v>
      </c>
      <c r="M498" s="276">
        <f t="shared" si="409"/>
        <v>-3.4399304010377909</v>
      </c>
      <c r="N498" s="685">
        <f t="shared" si="410"/>
        <v>0.3250059660213056</v>
      </c>
      <c r="O498" s="276">
        <f t="shared" si="411"/>
        <v>1.130343148912665</v>
      </c>
      <c r="P498" s="276">
        <f t="shared" si="412"/>
        <v>1.1154437217780899</v>
      </c>
      <c r="Q498" s="276">
        <f t="shared" si="413"/>
        <v>1.338035915759985</v>
      </c>
      <c r="R498" s="276">
        <f t="shared" si="414"/>
        <v>1.1520540095539304</v>
      </c>
      <c r="S498" s="686">
        <f t="shared" si="415"/>
        <v>1.692470542384404</v>
      </c>
      <c r="T498" s="685">
        <f t="shared" si="416"/>
        <v>5.0939826580066603</v>
      </c>
      <c r="U498" s="276">
        <f t="shared" si="417"/>
        <v>5.5515961678901782</v>
      </c>
      <c r="V498" s="276">
        <f t="shared" si="418"/>
        <v>4.1210679892534579</v>
      </c>
      <c r="W498" s="276">
        <f t="shared" si="419"/>
        <v>5.7558523486181237</v>
      </c>
      <c r="X498" s="276">
        <f t="shared" si="420"/>
        <v>3.4424682963096309</v>
      </c>
      <c r="Y498" s="686">
        <f t="shared" si="421"/>
        <v>4.4081462351472975</v>
      </c>
      <c r="Z498" s="685" t="e">
        <f t="shared" si="422"/>
        <v>#DIV/0!</v>
      </c>
      <c r="AA498" s="276" t="e">
        <f t="shared" si="423"/>
        <v>#DIV/0!</v>
      </c>
      <c r="AB498" s="276" t="e">
        <f t="shared" si="424"/>
        <v>#DIV/0!</v>
      </c>
      <c r="AC498" s="276" t="e">
        <f t="shared" si="425"/>
        <v>#DIV/0!</v>
      </c>
      <c r="AD498" s="276" t="e">
        <f t="shared" si="426"/>
        <v>#DIV/0!</v>
      </c>
      <c r="AE498" s="686" t="e">
        <f t="shared" si="427"/>
        <v>#DIV/0!</v>
      </c>
      <c r="AF498" s="239"/>
      <c r="AG498" s="965" t="e">
        <f t="shared" si="398"/>
        <v>#VALUE!</v>
      </c>
      <c r="AH498" s="878" t="e">
        <f t="shared" si="399"/>
        <v>#VALUE!</v>
      </c>
      <c r="AI498" s="878" t="e">
        <f t="shared" si="400"/>
        <v>#VALUE!</v>
      </c>
      <c r="AJ498" s="878" t="e">
        <f t="shared" si="401"/>
        <v>#VALUE!</v>
      </c>
      <c r="AK498" s="878" t="e">
        <f t="shared" si="402"/>
        <v>#VALUE!</v>
      </c>
      <c r="AL498" s="966" t="e">
        <f t="shared" si="403"/>
        <v>#VALUE!</v>
      </c>
      <c r="AM498" s="239"/>
      <c r="AO498" s="685">
        <f t="shared" si="428"/>
        <v>-3.9114597736405292</v>
      </c>
      <c r="AP498" s="276">
        <f t="shared" si="429"/>
        <v>9.4126857293806987E-2</v>
      </c>
      <c r="AQ498" s="276">
        <f t="shared" si="430"/>
        <v>-0.91176389862616769</v>
      </c>
      <c r="AR498" s="276">
        <f t="shared" si="431"/>
        <v>-0.71353649933046159</v>
      </c>
      <c r="AS498" s="276">
        <f t="shared" si="432"/>
        <v>-2.6947510638804713</v>
      </c>
      <c r="AT498" s="276">
        <f t="shared" si="433"/>
        <v>-3.4399304010377909</v>
      </c>
      <c r="AU498" s="685">
        <f t="shared" si="434"/>
        <v>0.3250059660213056</v>
      </c>
      <c r="AV498" s="276">
        <f t="shared" si="435"/>
        <v>1.130343148912665</v>
      </c>
      <c r="AW498" s="276">
        <f t="shared" si="436"/>
        <v>1.1154437217780899</v>
      </c>
      <c r="AX498" s="276">
        <f t="shared" si="437"/>
        <v>1.338035915759985</v>
      </c>
      <c r="AY498" s="276">
        <f t="shared" si="438"/>
        <v>1.1520540095539304</v>
      </c>
      <c r="AZ498" s="686">
        <f t="shared" si="439"/>
        <v>1.692470542384404</v>
      </c>
      <c r="BA498" s="685">
        <f t="shared" si="440"/>
        <v>0</v>
      </c>
      <c r="BB498" s="276">
        <f t="shared" si="441"/>
        <v>0</v>
      </c>
      <c r="BC498" s="276">
        <f t="shared" si="442"/>
        <v>0</v>
      </c>
      <c r="BD498" s="276">
        <f t="shared" si="443"/>
        <v>0</v>
      </c>
      <c r="BE498" s="276">
        <f t="shared" si="444"/>
        <v>0</v>
      </c>
      <c r="BF498" s="686">
        <f t="shared" si="445"/>
        <v>0</v>
      </c>
      <c r="BG498" s="685" t="e">
        <f t="shared" si="446"/>
        <v>#DIV/0!</v>
      </c>
      <c r="BH498" s="276" t="e">
        <f t="shared" si="447"/>
        <v>#DIV/0!</v>
      </c>
      <c r="BI498" s="276" t="e">
        <f t="shared" si="448"/>
        <v>#DIV/0!</v>
      </c>
      <c r="BJ498" s="276" t="e">
        <f t="shared" si="449"/>
        <v>#DIV/0!</v>
      </c>
      <c r="BK498" s="276" t="e">
        <f t="shared" si="450"/>
        <v>#DIV/0!</v>
      </c>
      <c r="BL498" s="686" t="e">
        <f t="shared" si="451"/>
        <v>#DIV/0!</v>
      </c>
      <c r="BM498" s="239"/>
      <c r="BN498" s="965" t="e">
        <f t="shared" si="452"/>
        <v>#VALUE!</v>
      </c>
      <c r="BO498" s="878" t="e">
        <f t="shared" si="453"/>
        <v>#VALUE!</v>
      </c>
      <c r="BP498" s="878" t="e">
        <f t="shared" si="454"/>
        <v>#VALUE!</v>
      </c>
      <c r="BQ498" s="878" t="e">
        <f t="shared" si="455"/>
        <v>#VALUE!</v>
      </c>
      <c r="BR498" s="878" t="e">
        <f t="shared" si="456"/>
        <v>#VALUE!</v>
      </c>
      <c r="BS498" s="966" t="e">
        <f t="shared" si="457"/>
        <v>#VALUE!</v>
      </c>
    </row>
    <row r="499" spans="1:71">
      <c r="A499" s="284">
        <f t="shared" si="458"/>
        <v>431</v>
      </c>
      <c r="B499" s="285">
        <v>0.68844762338525889</v>
      </c>
      <c r="C499" s="285">
        <v>2.5919079628910113</v>
      </c>
      <c r="D499" s="285">
        <v>1.9319776408355605</v>
      </c>
      <c r="E499" s="285">
        <v>-3.778835703002525</v>
      </c>
      <c r="H499" s="685">
        <f t="shared" si="404"/>
        <v>-0.44478621838379595</v>
      </c>
      <c r="I499" s="276">
        <f t="shared" si="405"/>
        <v>-2.6257661837092723</v>
      </c>
      <c r="J499" s="276">
        <f t="shared" si="406"/>
        <v>-0.5857922827281703</v>
      </c>
      <c r="K499" s="276">
        <f t="shared" si="407"/>
        <v>-3.0564806437540009</v>
      </c>
      <c r="L499" s="276">
        <f t="shared" si="408"/>
        <v>-0.44987800873513872</v>
      </c>
      <c r="M499" s="276">
        <f t="shared" si="409"/>
        <v>-0.25528968111648587</v>
      </c>
      <c r="N499" s="685">
        <f t="shared" si="410"/>
        <v>1.3847367519191429</v>
      </c>
      <c r="O499" s="276">
        <f t="shared" si="411"/>
        <v>1.5829347421602018</v>
      </c>
      <c r="P499" s="276">
        <f t="shared" si="412"/>
        <v>1.660785662799231</v>
      </c>
      <c r="Q499" s="276">
        <f t="shared" si="413"/>
        <v>1.6288841601051114</v>
      </c>
      <c r="R499" s="276">
        <f t="shared" si="414"/>
        <v>1.2145845580112378</v>
      </c>
      <c r="S499" s="686">
        <f t="shared" si="415"/>
        <v>1.2637679072652357</v>
      </c>
      <c r="T499" s="685">
        <f t="shared" si="416"/>
        <v>5.2103413311064859</v>
      </c>
      <c r="U499" s="276">
        <f t="shared" si="417"/>
        <v>4.4727902296094246</v>
      </c>
      <c r="V499" s="276">
        <f t="shared" si="418"/>
        <v>6.2349938071005964</v>
      </c>
      <c r="W499" s="276">
        <f t="shared" si="419"/>
        <v>1.9364759041044044</v>
      </c>
      <c r="X499" s="276">
        <f t="shared" si="420"/>
        <v>4.6592228468057701</v>
      </c>
      <c r="Y499" s="686">
        <f t="shared" si="421"/>
        <v>2.516682110845422</v>
      </c>
      <c r="Z499" s="685" t="e">
        <f t="shared" si="422"/>
        <v>#DIV/0!</v>
      </c>
      <c r="AA499" s="276" t="e">
        <f t="shared" si="423"/>
        <v>#DIV/0!</v>
      </c>
      <c r="AB499" s="276" t="e">
        <f t="shared" si="424"/>
        <v>#DIV/0!</v>
      </c>
      <c r="AC499" s="276" t="e">
        <f t="shared" si="425"/>
        <v>#DIV/0!</v>
      </c>
      <c r="AD499" s="276" t="e">
        <f t="shared" si="426"/>
        <v>#DIV/0!</v>
      </c>
      <c r="AE499" s="686" t="e">
        <f t="shared" si="427"/>
        <v>#DIV/0!</v>
      </c>
      <c r="AF499" s="239"/>
      <c r="AG499" s="965" t="e">
        <f t="shared" si="398"/>
        <v>#VALUE!</v>
      </c>
      <c r="AH499" s="878" t="e">
        <f t="shared" si="399"/>
        <v>#VALUE!</v>
      </c>
      <c r="AI499" s="878" t="e">
        <f t="shared" si="400"/>
        <v>#VALUE!</v>
      </c>
      <c r="AJ499" s="878" t="e">
        <f t="shared" si="401"/>
        <v>#VALUE!</v>
      </c>
      <c r="AK499" s="878" t="e">
        <f t="shared" si="402"/>
        <v>#VALUE!</v>
      </c>
      <c r="AL499" s="966" t="e">
        <f t="shared" si="403"/>
        <v>#VALUE!</v>
      </c>
      <c r="AM499" s="239"/>
      <c r="AO499" s="685">
        <f t="shared" si="428"/>
        <v>-0.44478621838379595</v>
      </c>
      <c r="AP499" s="276">
        <f t="shared" si="429"/>
        <v>-2.6257661837092723</v>
      </c>
      <c r="AQ499" s="276">
        <f t="shared" si="430"/>
        <v>-0.5857922827281703</v>
      </c>
      <c r="AR499" s="276">
        <f t="shared" si="431"/>
        <v>-3.0564806437540009</v>
      </c>
      <c r="AS499" s="276">
        <f t="shared" si="432"/>
        <v>-0.44987800873513872</v>
      </c>
      <c r="AT499" s="276">
        <f t="shared" si="433"/>
        <v>-0.25528968111648587</v>
      </c>
      <c r="AU499" s="685">
        <f t="shared" si="434"/>
        <v>1.3847367519191429</v>
      </c>
      <c r="AV499" s="276">
        <f t="shared" si="435"/>
        <v>1.5829347421602018</v>
      </c>
      <c r="AW499" s="276">
        <f t="shared" si="436"/>
        <v>1.660785662799231</v>
      </c>
      <c r="AX499" s="276">
        <f t="shared" si="437"/>
        <v>1.6288841601051114</v>
      </c>
      <c r="AY499" s="276">
        <f t="shared" si="438"/>
        <v>1.2145845580112378</v>
      </c>
      <c r="AZ499" s="686">
        <f t="shared" si="439"/>
        <v>1.2637679072652357</v>
      </c>
      <c r="BA499" s="685">
        <f t="shared" si="440"/>
        <v>0</v>
      </c>
      <c r="BB499" s="276">
        <f t="shared" si="441"/>
        <v>0</v>
      </c>
      <c r="BC499" s="276">
        <f t="shared" si="442"/>
        <v>0</v>
      </c>
      <c r="BD499" s="276">
        <f t="shared" si="443"/>
        <v>0</v>
      </c>
      <c r="BE499" s="276">
        <f t="shared" si="444"/>
        <v>0</v>
      </c>
      <c r="BF499" s="686">
        <f t="shared" si="445"/>
        <v>0</v>
      </c>
      <c r="BG499" s="685" t="e">
        <f t="shared" si="446"/>
        <v>#DIV/0!</v>
      </c>
      <c r="BH499" s="276" t="e">
        <f t="shared" si="447"/>
        <v>#DIV/0!</v>
      </c>
      <c r="BI499" s="276" t="e">
        <f t="shared" si="448"/>
        <v>#DIV/0!</v>
      </c>
      <c r="BJ499" s="276" t="e">
        <f t="shared" si="449"/>
        <v>#DIV/0!</v>
      </c>
      <c r="BK499" s="276" t="e">
        <f t="shared" si="450"/>
        <v>#DIV/0!</v>
      </c>
      <c r="BL499" s="686" t="e">
        <f t="shared" si="451"/>
        <v>#DIV/0!</v>
      </c>
      <c r="BM499" s="239"/>
      <c r="BN499" s="965" t="e">
        <f t="shared" si="452"/>
        <v>#VALUE!</v>
      </c>
      <c r="BO499" s="878" t="e">
        <f t="shared" si="453"/>
        <v>#VALUE!</v>
      </c>
      <c r="BP499" s="878" t="e">
        <f t="shared" si="454"/>
        <v>#VALUE!</v>
      </c>
      <c r="BQ499" s="878" t="e">
        <f t="shared" si="455"/>
        <v>#VALUE!</v>
      </c>
      <c r="BR499" s="878" t="e">
        <f t="shared" si="456"/>
        <v>#VALUE!</v>
      </c>
      <c r="BS499" s="966" t="e">
        <f t="shared" si="457"/>
        <v>#VALUE!</v>
      </c>
    </row>
    <row r="500" spans="1:71">
      <c r="A500" s="284">
        <f t="shared" si="458"/>
        <v>432</v>
      </c>
      <c r="B500" s="285">
        <v>1.5781945537353872</v>
      </c>
      <c r="C500" s="285">
        <v>2.8970194746048077</v>
      </c>
      <c r="D500" s="285">
        <v>1.1362972840651078</v>
      </c>
      <c r="E500" s="285">
        <v>-6.2414945659661303</v>
      </c>
      <c r="H500" s="685">
        <f t="shared" si="404"/>
        <v>0.44496071196633236</v>
      </c>
      <c r="I500" s="276">
        <f t="shared" si="405"/>
        <v>1.7827392648412947</v>
      </c>
      <c r="J500" s="276">
        <f t="shared" si="406"/>
        <v>-2.1327244698030525</v>
      </c>
      <c r="K500" s="276">
        <f t="shared" si="407"/>
        <v>-2.1112981633043604</v>
      </c>
      <c r="L500" s="276">
        <f t="shared" si="408"/>
        <v>-3.2845052072246821</v>
      </c>
      <c r="M500" s="276">
        <f t="shared" si="409"/>
        <v>4.314773556224516E-2</v>
      </c>
      <c r="N500" s="685">
        <f t="shared" si="410"/>
        <v>1.6898482636329393</v>
      </c>
      <c r="O500" s="276">
        <f t="shared" si="411"/>
        <v>1.3661800796663062</v>
      </c>
      <c r="P500" s="276">
        <f t="shared" si="412"/>
        <v>1.8740592252990516</v>
      </c>
      <c r="Q500" s="276">
        <f t="shared" si="413"/>
        <v>1.281450015497082</v>
      </c>
      <c r="R500" s="276">
        <f t="shared" si="414"/>
        <v>1.8346317751012808E-2</v>
      </c>
      <c r="S500" s="686">
        <f t="shared" si="415"/>
        <v>1.2189721279161605</v>
      </c>
      <c r="T500" s="685">
        <f t="shared" si="416"/>
        <v>4.4146609743360337</v>
      </c>
      <c r="U500" s="276">
        <f t="shared" si="417"/>
        <v>5.2022626537131913</v>
      </c>
      <c r="V500" s="276">
        <f t="shared" si="418"/>
        <v>4.5913798125514429</v>
      </c>
      <c r="W500" s="276">
        <f t="shared" si="419"/>
        <v>3.2348492029631064</v>
      </c>
      <c r="X500" s="276">
        <f t="shared" si="420"/>
        <v>6.0497286852313987</v>
      </c>
      <c r="Y500" s="686">
        <f t="shared" si="421"/>
        <v>5.0582134621090988</v>
      </c>
      <c r="Z500" s="685" t="e">
        <f t="shared" si="422"/>
        <v>#DIV/0!</v>
      </c>
      <c r="AA500" s="276" t="e">
        <f t="shared" si="423"/>
        <v>#DIV/0!</v>
      </c>
      <c r="AB500" s="276" t="e">
        <f t="shared" si="424"/>
        <v>#DIV/0!</v>
      </c>
      <c r="AC500" s="276" t="e">
        <f t="shared" si="425"/>
        <v>#DIV/0!</v>
      </c>
      <c r="AD500" s="276" t="e">
        <f t="shared" si="426"/>
        <v>#DIV/0!</v>
      </c>
      <c r="AE500" s="686" t="e">
        <f t="shared" si="427"/>
        <v>#DIV/0!</v>
      </c>
      <c r="AF500" s="239"/>
      <c r="AG500" s="965" t="e">
        <f t="shared" si="398"/>
        <v>#VALUE!</v>
      </c>
      <c r="AH500" s="878" t="e">
        <f t="shared" si="399"/>
        <v>#VALUE!</v>
      </c>
      <c r="AI500" s="878" t="e">
        <f t="shared" si="400"/>
        <v>#VALUE!</v>
      </c>
      <c r="AJ500" s="878" t="e">
        <f t="shared" si="401"/>
        <v>#VALUE!</v>
      </c>
      <c r="AK500" s="878" t="e">
        <f t="shared" si="402"/>
        <v>#VALUE!</v>
      </c>
      <c r="AL500" s="966" t="e">
        <f t="shared" si="403"/>
        <v>#VALUE!</v>
      </c>
      <c r="AM500" s="239"/>
      <c r="AO500" s="685">
        <f t="shared" si="428"/>
        <v>0.44496071196633236</v>
      </c>
      <c r="AP500" s="276">
        <f t="shared" si="429"/>
        <v>1.7827392648412947</v>
      </c>
      <c r="AQ500" s="276">
        <f t="shared" si="430"/>
        <v>-2.1327244698030525</v>
      </c>
      <c r="AR500" s="276">
        <f t="shared" si="431"/>
        <v>-2.1112981633043604</v>
      </c>
      <c r="AS500" s="276">
        <f t="shared" si="432"/>
        <v>-3.2845052072246821</v>
      </c>
      <c r="AT500" s="276">
        <f t="shared" si="433"/>
        <v>4.314773556224516E-2</v>
      </c>
      <c r="AU500" s="685">
        <f t="shared" si="434"/>
        <v>1.6898482636329393</v>
      </c>
      <c r="AV500" s="276">
        <f t="shared" si="435"/>
        <v>1.3661800796663062</v>
      </c>
      <c r="AW500" s="276">
        <f t="shared" si="436"/>
        <v>1.8740592252990516</v>
      </c>
      <c r="AX500" s="276">
        <f t="shared" si="437"/>
        <v>1.281450015497082</v>
      </c>
      <c r="AY500" s="276">
        <f t="shared" si="438"/>
        <v>1.8346317751012808E-2</v>
      </c>
      <c r="AZ500" s="686">
        <f t="shared" si="439"/>
        <v>1.2189721279161605</v>
      </c>
      <c r="BA500" s="685">
        <f t="shared" si="440"/>
        <v>0</v>
      </c>
      <c r="BB500" s="276">
        <f t="shared" si="441"/>
        <v>0</v>
      </c>
      <c r="BC500" s="276">
        <f t="shared" si="442"/>
        <v>0</v>
      </c>
      <c r="BD500" s="276">
        <f t="shared" si="443"/>
        <v>0</v>
      </c>
      <c r="BE500" s="276">
        <f t="shared" si="444"/>
        <v>0</v>
      </c>
      <c r="BF500" s="686">
        <f t="shared" si="445"/>
        <v>0</v>
      </c>
      <c r="BG500" s="685" t="e">
        <f t="shared" si="446"/>
        <v>#DIV/0!</v>
      </c>
      <c r="BH500" s="276" t="e">
        <f t="shared" si="447"/>
        <v>#DIV/0!</v>
      </c>
      <c r="BI500" s="276" t="e">
        <f t="shared" si="448"/>
        <v>#DIV/0!</v>
      </c>
      <c r="BJ500" s="276" t="e">
        <f t="shared" si="449"/>
        <v>#DIV/0!</v>
      </c>
      <c r="BK500" s="276" t="e">
        <f t="shared" si="450"/>
        <v>#DIV/0!</v>
      </c>
      <c r="BL500" s="686" t="e">
        <f t="shared" si="451"/>
        <v>#DIV/0!</v>
      </c>
      <c r="BM500" s="239"/>
      <c r="BN500" s="965" t="e">
        <f t="shared" si="452"/>
        <v>#VALUE!</v>
      </c>
      <c r="BO500" s="878" t="e">
        <f t="shared" si="453"/>
        <v>#VALUE!</v>
      </c>
      <c r="BP500" s="878" t="e">
        <f t="shared" si="454"/>
        <v>#VALUE!</v>
      </c>
      <c r="BQ500" s="878" t="e">
        <f t="shared" si="455"/>
        <v>#VALUE!</v>
      </c>
      <c r="BR500" s="878" t="e">
        <f t="shared" si="456"/>
        <v>#VALUE!</v>
      </c>
      <c r="BS500" s="966" t="e">
        <f t="shared" si="457"/>
        <v>#VALUE!</v>
      </c>
    </row>
    <row r="501" spans="1:71">
      <c r="A501" s="284">
        <f t="shared" si="458"/>
        <v>433</v>
      </c>
      <c r="B501" s="285">
        <v>-0.15442067322830658</v>
      </c>
      <c r="C501" s="285">
        <v>2.6189772625867729</v>
      </c>
      <c r="D501" s="285">
        <v>3.6021430864687463</v>
      </c>
      <c r="E501" s="285">
        <v>-5.2133568655153217</v>
      </c>
      <c r="H501" s="685">
        <f t="shared" si="404"/>
        <v>-1.2876545149973615</v>
      </c>
      <c r="I501" s="276">
        <f t="shared" si="405"/>
        <v>1.097400066336834</v>
      </c>
      <c r="J501" s="276">
        <f t="shared" si="406"/>
        <v>-3.1141879439196156</v>
      </c>
      <c r="K501" s="276">
        <f t="shared" si="407"/>
        <v>-1.3676698376763117</v>
      </c>
      <c r="L501" s="276">
        <f t="shared" si="408"/>
        <v>-0.20408470057861006</v>
      </c>
      <c r="M501" s="276">
        <f t="shared" si="409"/>
        <v>-2.5674931227094042</v>
      </c>
      <c r="N501" s="685">
        <f t="shared" si="410"/>
        <v>1.4118060516149045</v>
      </c>
      <c r="O501" s="276">
        <f t="shared" si="411"/>
        <v>1.8650253029677926</v>
      </c>
      <c r="P501" s="276">
        <f t="shared" si="412"/>
        <v>0.22840544556395503</v>
      </c>
      <c r="Q501" s="276">
        <f t="shared" si="413"/>
        <v>0.859621151989997</v>
      </c>
      <c r="R501" s="276">
        <f t="shared" si="414"/>
        <v>1.7218426820073407</v>
      </c>
      <c r="S501" s="686">
        <f t="shared" si="415"/>
        <v>1.5162712550088993</v>
      </c>
      <c r="T501" s="685">
        <f t="shared" si="416"/>
        <v>6.8805067767396721</v>
      </c>
      <c r="U501" s="276">
        <f t="shared" si="417"/>
        <v>4.515853572778461</v>
      </c>
      <c r="V501" s="276">
        <f t="shared" si="418"/>
        <v>4.3872012542665244</v>
      </c>
      <c r="W501" s="276">
        <f t="shared" si="419"/>
        <v>3.363048092129608</v>
      </c>
      <c r="X501" s="276">
        <f t="shared" si="420"/>
        <v>3.8590150204135902</v>
      </c>
      <c r="Y501" s="686">
        <f t="shared" si="421"/>
        <v>4.1492492491478057</v>
      </c>
      <c r="Z501" s="685" t="e">
        <f t="shared" si="422"/>
        <v>#DIV/0!</v>
      </c>
      <c r="AA501" s="276" t="e">
        <f t="shared" si="423"/>
        <v>#DIV/0!</v>
      </c>
      <c r="AB501" s="276" t="e">
        <f t="shared" si="424"/>
        <v>#DIV/0!</v>
      </c>
      <c r="AC501" s="276" t="e">
        <f t="shared" si="425"/>
        <v>#DIV/0!</v>
      </c>
      <c r="AD501" s="276" t="e">
        <f t="shared" si="426"/>
        <v>#DIV/0!</v>
      </c>
      <c r="AE501" s="686" t="e">
        <f t="shared" si="427"/>
        <v>#DIV/0!</v>
      </c>
      <c r="AF501" s="239"/>
      <c r="AG501" s="965" t="e">
        <f t="shared" si="398"/>
        <v>#VALUE!</v>
      </c>
      <c r="AH501" s="878" t="e">
        <f t="shared" si="399"/>
        <v>#VALUE!</v>
      </c>
      <c r="AI501" s="878" t="e">
        <f t="shared" si="400"/>
        <v>#VALUE!</v>
      </c>
      <c r="AJ501" s="878" t="e">
        <f t="shared" si="401"/>
        <v>#VALUE!</v>
      </c>
      <c r="AK501" s="878" t="e">
        <f t="shared" si="402"/>
        <v>#VALUE!</v>
      </c>
      <c r="AL501" s="966" t="e">
        <f t="shared" si="403"/>
        <v>#VALUE!</v>
      </c>
      <c r="AM501" s="239"/>
      <c r="AO501" s="685">
        <f t="shared" si="428"/>
        <v>-1.2876545149973615</v>
      </c>
      <c r="AP501" s="276">
        <f t="shared" si="429"/>
        <v>1.097400066336834</v>
      </c>
      <c r="AQ501" s="276">
        <f t="shared" si="430"/>
        <v>-3.1141879439196156</v>
      </c>
      <c r="AR501" s="276">
        <f t="shared" si="431"/>
        <v>-1.3676698376763117</v>
      </c>
      <c r="AS501" s="276">
        <f t="shared" si="432"/>
        <v>-0.20408470057861006</v>
      </c>
      <c r="AT501" s="276">
        <f t="shared" si="433"/>
        <v>-2.5674931227094042</v>
      </c>
      <c r="AU501" s="685">
        <f t="shared" si="434"/>
        <v>1.4118060516149045</v>
      </c>
      <c r="AV501" s="276">
        <f t="shared" si="435"/>
        <v>1.8650253029677926</v>
      </c>
      <c r="AW501" s="276">
        <f t="shared" si="436"/>
        <v>0.22840544556395503</v>
      </c>
      <c r="AX501" s="276">
        <f t="shared" si="437"/>
        <v>0.859621151989997</v>
      </c>
      <c r="AY501" s="276">
        <f t="shared" si="438"/>
        <v>1.7218426820073407</v>
      </c>
      <c r="AZ501" s="686">
        <f t="shared" si="439"/>
        <v>1.5162712550088993</v>
      </c>
      <c r="BA501" s="685">
        <f t="shared" si="440"/>
        <v>0</v>
      </c>
      <c r="BB501" s="276">
        <f t="shared" si="441"/>
        <v>0</v>
      </c>
      <c r="BC501" s="276">
        <f t="shared" si="442"/>
        <v>0</v>
      </c>
      <c r="BD501" s="276">
        <f t="shared" si="443"/>
        <v>0</v>
      </c>
      <c r="BE501" s="276">
        <f t="shared" si="444"/>
        <v>0</v>
      </c>
      <c r="BF501" s="686">
        <f t="shared" si="445"/>
        <v>0</v>
      </c>
      <c r="BG501" s="685" t="e">
        <f t="shared" si="446"/>
        <v>#DIV/0!</v>
      </c>
      <c r="BH501" s="276" t="e">
        <f t="shared" si="447"/>
        <v>#DIV/0!</v>
      </c>
      <c r="BI501" s="276" t="e">
        <f t="shared" si="448"/>
        <v>#DIV/0!</v>
      </c>
      <c r="BJ501" s="276" t="e">
        <f t="shared" si="449"/>
        <v>#DIV/0!</v>
      </c>
      <c r="BK501" s="276" t="e">
        <f t="shared" si="450"/>
        <v>#DIV/0!</v>
      </c>
      <c r="BL501" s="686" t="e">
        <f t="shared" si="451"/>
        <v>#DIV/0!</v>
      </c>
      <c r="BM501" s="239"/>
      <c r="BN501" s="965" t="e">
        <f t="shared" si="452"/>
        <v>#VALUE!</v>
      </c>
      <c r="BO501" s="878" t="e">
        <f t="shared" si="453"/>
        <v>#VALUE!</v>
      </c>
      <c r="BP501" s="878" t="e">
        <f t="shared" si="454"/>
        <v>#VALUE!</v>
      </c>
      <c r="BQ501" s="878" t="e">
        <f t="shared" si="455"/>
        <v>#VALUE!</v>
      </c>
      <c r="BR501" s="878" t="e">
        <f t="shared" si="456"/>
        <v>#VALUE!</v>
      </c>
      <c r="BS501" s="966" t="e">
        <f t="shared" si="457"/>
        <v>#VALUE!</v>
      </c>
    </row>
    <row r="502" spans="1:71">
      <c r="A502" s="284">
        <f t="shared" si="458"/>
        <v>434</v>
      </c>
      <c r="B502" s="285">
        <v>-1.1755186092582182</v>
      </c>
      <c r="C502" s="285">
        <v>2.3996042583016872</v>
      </c>
      <c r="D502" s="285">
        <v>0.82162457680862722</v>
      </c>
      <c r="E502" s="285">
        <v>-5.4898515010511577</v>
      </c>
      <c r="H502" s="685">
        <f t="shared" si="404"/>
        <v>-2.308752451027273</v>
      </c>
      <c r="I502" s="276">
        <f t="shared" si="405"/>
        <v>1.8950295449390027</v>
      </c>
      <c r="J502" s="276">
        <f t="shared" si="406"/>
        <v>4.1715325747222494</v>
      </c>
      <c r="K502" s="276">
        <f t="shared" si="407"/>
        <v>-3.3094986639736792</v>
      </c>
      <c r="L502" s="276">
        <f t="shared" si="408"/>
        <v>-1.5196764935131453</v>
      </c>
      <c r="M502" s="276">
        <f t="shared" si="409"/>
        <v>-0.58867238921916121</v>
      </c>
      <c r="N502" s="685">
        <f t="shared" si="410"/>
        <v>1.1924330473298188</v>
      </c>
      <c r="O502" s="276">
        <f t="shared" si="411"/>
        <v>1.3169342681108052</v>
      </c>
      <c r="P502" s="276">
        <f t="shared" si="412"/>
        <v>1.7709699907593757</v>
      </c>
      <c r="Q502" s="276">
        <f t="shared" si="413"/>
        <v>1.9091567815851811</v>
      </c>
      <c r="R502" s="276">
        <f t="shared" si="414"/>
        <v>1.0697096207668941</v>
      </c>
      <c r="S502" s="686">
        <f t="shared" si="415"/>
        <v>1.9223215852930167</v>
      </c>
      <c r="T502" s="685">
        <f t="shared" si="416"/>
        <v>4.0999882670795529</v>
      </c>
      <c r="U502" s="276">
        <f t="shared" si="417"/>
        <v>6.289406084766723</v>
      </c>
      <c r="V502" s="276">
        <f t="shared" si="418"/>
        <v>4.1377359902379265</v>
      </c>
      <c r="W502" s="276">
        <f t="shared" si="419"/>
        <v>4.3871507568573227</v>
      </c>
      <c r="X502" s="276">
        <f t="shared" si="420"/>
        <v>5.2213099657474649</v>
      </c>
      <c r="Y502" s="686">
        <f t="shared" si="421"/>
        <v>5.4156517036013181</v>
      </c>
      <c r="Z502" s="685" t="e">
        <f t="shared" si="422"/>
        <v>#DIV/0!</v>
      </c>
      <c r="AA502" s="276" t="e">
        <f t="shared" si="423"/>
        <v>#DIV/0!</v>
      </c>
      <c r="AB502" s="276" t="e">
        <f t="shared" si="424"/>
        <v>#DIV/0!</v>
      </c>
      <c r="AC502" s="276" t="e">
        <f t="shared" si="425"/>
        <v>#DIV/0!</v>
      </c>
      <c r="AD502" s="276" t="e">
        <f t="shared" si="426"/>
        <v>#DIV/0!</v>
      </c>
      <c r="AE502" s="686" t="e">
        <f t="shared" si="427"/>
        <v>#DIV/0!</v>
      </c>
      <c r="AF502" s="239"/>
      <c r="AG502" s="965" t="e">
        <f t="shared" si="398"/>
        <v>#VALUE!</v>
      </c>
      <c r="AH502" s="878" t="e">
        <f t="shared" si="399"/>
        <v>#VALUE!</v>
      </c>
      <c r="AI502" s="878" t="e">
        <f t="shared" si="400"/>
        <v>#VALUE!</v>
      </c>
      <c r="AJ502" s="878" t="e">
        <f t="shared" si="401"/>
        <v>#VALUE!</v>
      </c>
      <c r="AK502" s="878" t="e">
        <f t="shared" si="402"/>
        <v>#VALUE!</v>
      </c>
      <c r="AL502" s="966" t="e">
        <f t="shared" si="403"/>
        <v>#VALUE!</v>
      </c>
      <c r="AM502" s="239"/>
      <c r="AO502" s="685">
        <f t="shared" si="428"/>
        <v>-2.308752451027273</v>
      </c>
      <c r="AP502" s="276">
        <f t="shared" si="429"/>
        <v>1.8950295449390027</v>
      </c>
      <c r="AQ502" s="276">
        <f t="shared" si="430"/>
        <v>4.1715325747222494</v>
      </c>
      <c r="AR502" s="276">
        <f t="shared" si="431"/>
        <v>-3.3094986639736792</v>
      </c>
      <c r="AS502" s="276">
        <f t="shared" si="432"/>
        <v>-1.5196764935131453</v>
      </c>
      <c r="AT502" s="276">
        <f t="shared" si="433"/>
        <v>-0.58867238921916121</v>
      </c>
      <c r="AU502" s="685">
        <f t="shared" si="434"/>
        <v>1.1924330473298188</v>
      </c>
      <c r="AV502" s="276">
        <f t="shared" si="435"/>
        <v>1.3169342681108052</v>
      </c>
      <c r="AW502" s="276">
        <f t="shared" si="436"/>
        <v>1.7709699907593757</v>
      </c>
      <c r="AX502" s="276">
        <f t="shared" si="437"/>
        <v>1.9091567815851811</v>
      </c>
      <c r="AY502" s="276">
        <f t="shared" si="438"/>
        <v>1.0697096207668941</v>
      </c>
      <c r="AZ502" s="686">
        <f t="shared" si="439"/>
        <v>1.9223215852930167</v>
      </c>
      <c r="BA502" s="685">
        <f t="shared" si="440"/>
        <v>0</v>
      </c>
      <c r="BB502" s="276">
        <f t="shared" si="441"/>
        <v>0</v>
      </c>
      <c r="BC502" s="276">
        <f t="shared" si="442"/>
        <v>0</v>
      </c>
      <c r="BD502" s="276">
        <f t="shared" si="443"/>
        <v>0</v>
      </c>
      <c r="BE502" s="276">
        <f t="shared" si="444"/>
        <v>0</v>
      </c>
      <c r="BF502" s="686">
        <f t="shared" si="445"/>
        <v>0</v>
      </c>
      <c r="BG502" s="685" t="e">
        <f t="shared" si="446"/>
        <v>#DIV/0!</v>
      </c>
      <c r="BH502" s="276" t="e">
        <f t="shared" si="447"/>
        <v>#DIV/0!</v>
      </c>
      <c r="BI502" s="276" t="e">
        <f t="shared" si="448"/>
        <v>#DIV/0!</v>
      </c>
      <c r="BJ502" s="276" t="e">
        <f t="shared" si="449"/>
        <v>#DIV/0!</v>
      </c>
      <c r="BK502" s="276" t="e">
        <f t="shared" si="450"/>
        <v>#DIV/0!</v>
      </c>
      <c r="BL502" s="686" t="e">
        <f t="shared" si="451"/>
        <v>#DIV/0!</v>
      </c>
      <c r="BM502" s="239"/>
      <c r="BN502" s="965" t="e">
        <f t="shared" si="452"/>
        <v>#VALUE!</v>
      </c>
      <c r="BO502" s="878" t="e">
        <f t="shared" si="453"/>
        <v>#VALUE!</v>
      </c>
      <c r="BP502" s="878" t="e">
        <f t="shared" si="454"/>
        <v>#VALUE!</v>
      </c>
      <c r="BQ502" s="878" t="e">
        <f t="shared" si="455"/>
        <v>#VALUE!</v>
      </c>
      <c r="BR502" s="878" t="e">
        <f t="shared" si="456"/>
        <v>#VALUE!</v>
      </c>
      <c r="BS502" s="966" t="e">
        <f t="shared" si="457"/>
        <v>#VALUE!</v>
      </c>
    </row>
    <row r="503" spans="1:71">
      <c r="A503" s="284">
        <f t="shared" si="458"/>
        <v>435</v>
      </c>
      <c r="B503" s="285">
        <v>0.15832768152273702</v>
      </c>
      <c r="C503" s="285">
        <v>2.6974942631320742</v>
      </c>
      <c r="D503" s="285">
        <v>8.5224786911244577E-2</v>
      </c>
      <c r="E503" s="285">
        <v>11.200296242180851</v>
      </c>
      <c r="H503" s="685">
        <f t="shared" si="404"/>
        <v>-0.97490616024631782</v>
      </c>
      <c r="I503" s="276">
        <f t="shared" si="405"/>
        <v>-0.20395238814348648</v>
      </c>
      <c r="J503" s="276">
        <f t="shared" si="406"/>
        <v>-2.0510098593665664</v>
      </c>
      <c r="K503" s="276">
        <f t="shared" si="407"/>
        <v>-0.91319427972575595</v>
      </c>
      <c r="L503" s="276">
        <f t="shared" si="408"/>
        <v>-2.9590675284596735</v>
      </c>
      <c r="M503" s="276">
        <f t="shared" si="409"/>
        <v>0.13570241244492198</v>
      </c>
      <c r="N503" s="685">
        <f t="shared" si="410"/>
        <v>1.4903230521602058</v>
      </c>
      <c r="O503" s="276">
        <f t="shared" si="411"/>
        <v>1.8425070580355365</v>
      </c>
      <c r="P503" s="276">
        <f t="shared" si="412"/>
        <v>1.6396017227661248</v>
      </c>
      <c r="Q503" s="276">
        <f t="shared" si="413"/>
        <v>1.6711012118600108</v>
      </c>
      <c r="R503" s="276">
        <f t="shared" si="414"/>
        <v>1.0778525588806576</v>
      </c>
      <c r="S503" s="686">
        <f t="shared" si="415"/>
        <v>1.4621103022509334</v>
      </c>
      <c r="T503" s="685">
        <f t="shared" si="416"/>
        <v>3.3635884771821702</v>
      </c>
      <c r="U503" s="276">
        <f t="shared" si="417"/>
        <v>3.965671788132644</v>
      </c>
      <c r="V503" s="276">
        <f t="shared" si="418"/>
        <v>5.5853773188502149</v>
      </c>
      <c r="W503" s="276">
        <f t="shared" si="419"/>
        <v>4.1987506389988845</v>
      </c>
      <c r="X503" s="276">
        <f t="shared" si="420"/>
        <v>6.1926926601966246</v>
      </c>
      <c r="Y503" s="686">
        <f t="shared" si="421"/>
        <v>4.2323191419771637</v>
      </c>
      <c r="Z503" s="685" t="e">
        <f t="shared" si="422"/>
        <v>#DIV/0!</v>
      </c>
      <c r="AA503" s="276" t="e">
        <f t="shared" si="423"/>
        <v>#DIV/0!</v>
      </c>
      <c r="AB503" s="276" t="e">
        <f t="shared" si="424"/>
        <v>#DIV/0!</v>
      </c>
      <c r="AC503" s="276" t="e">
        <f t="shared" si="425"/>
        <v>#DIV/0!</v>
      </c>
      <c r="AD503" s="276" t="e">
        <f t="shared" si="426"/>
        <v>#DIV/0!</v>
      </c>
      <c r="AE503" s="686" t="e">
        <f t="shared" si="427"/>
        <v>#DIV/0!</v>
      </c>
      <c r="AF503" s="239"/>
      <c r="AG503" s="965" t="e">
        <f t="shared" si="398"/>
        <v>#VALUE!</v>
      </c>
      <c r="AH503" s="878" t="e">
        <f t="shared" si="399"/>
        <v>#VALUE!</v>
      </c>
      <c r="AI503" s="878" t="e">
        <f t="shared" si="400"/>
        <v>#VALUE!</v>
      </c>
      <c r="AJ503" s="878" t="e">
        <f t="shared" si="401"/>
        <v>#VALUE!</v>
      </c>
      <c r="AK503" s="878" t="e">
        <f t="shared" si="402"/>
        <v>#VALUE!</v>
      </c>
      <c r="AL503" s="966" t="e">
        <f t="shared" si="403"/>
        <v>#VALUE!</v>
      </c>
      <c r="AM503" s="239"/>
      <c r="AO503" s="685">
        <f t="shared" si="428"/>
        <v>-0.97490616024631782</v>
      </c>
      <c r="AP503" s="276">
        <f t="shared" si="429"/>
        <v>-0.20395238814348648</v>
      </c>
      <c r="AQ503" s="276">
        <f t="shared" si="430"/>
        <v>-2.0510098593665664</v>
      </c>
      <c r="AR503" s="276">
        <f t="shared" si="431"/>
        <v>-0.91319427972575595</v>
      </c>
      <c r="AS503" s="276">
        <f t="shared" si="432"/>
        <v>-2.9590675284596735</v>
      </c>
      <c r="AT503" s="276">
        <f t="shared" si="433"/>
        <v>0.13570241244492198</v>
      </c>
      <c r="AU503" s="685">
        <f t="shared" si="434"/>
        <v>1.4903230521602058</v>
      </c>
      <c r="AV503" s="276">
        <f t="shared" si="435"/>
        <v>1.8425070580355365</v>
      </c>
      <c r="AW503" s="276">
        <f t="shared" si="436"/>
        <v>1.6396017227661248</v>
      </c>
      <c r="AX503" s="276">
        <f t="shared" si="437"/>
        <v>1.6711012118600108</v>
      </c>
      <c r="AY503" s="276">
        <f t="shared" si="438"/>
        <v>1.0778525588806576</v>
      </c>
      <c r="AZ503" s="686">
        <f t="shared" si="439"/>
        <v>1.4621103022509334</v>
      </c>
      <c r="BA503" s="685">
        <f t="shared" si="440"/>
        <v>0</v>
      </c>
      <c r="BB503" s="276">
        <f t="shared" si="441"/>
        <v>0</v>
      </c>
      <c r="BC503" s="276">
        <f t="shared" si="442"/>
        <v>0</v>
      </c>
      <c r="BD503" s="276">
        <f t="shared" si="443"/>
        <v>0</v>
      </c>
      <c r="BE503" s="276">
        <f t="shared" si="444"/>
        <v>0</v>
      </c>
      <c r="BF503" s="686">
        <f t="shared" si="445"/>
        <v>0</v>
      </c>
      <c r="BG503" s="685" t="e">
        <f t="shared" si="446"/>
        <v>#DIV/0!</v>
      </c>
      <c r="BH503" s="276" t="e">
        <f t="shared" si="447"/>
        <v>#DIV/0!</v>
      </c>
      <c r="BI503" s="276" t="e">
        <f t="shared" si="448"/>
        <v>#DIV/0!</v>
      </c>
      <c r="BJ503" s="276" t="e">
        <f t="shared" si="449"/>
        <v>#DIV/0!</v>
      </c>
      <c r="BK503" s="276" t="e">
        <f t="shared" si="450"/>
        <v>#DIV/0!</v>
      </c>
      <c r="BL503" s="686" t="e">
        <f t="shared" si="451"/>
        <v>#DIV/0!</v>
      </c>
      <c r="BM503" s="239"/>
      <c r="BN503" s="965" t="e">
        <f t="shared" si="452"/>
        <v>#VALUE!</v>
      </c>
      <c r="BO503" s="878" t="e">
        <f t="shared" si="453"/>
        <v>#VALUE!</v>
      </c>
      <c r="BP503" s="878" t="e">
        <f t="shared" si="454"/>
        <v>#VALUE!</v>
      </c>
      <c r="BQ503" s="878" t="e">
        <f t="shared" si="455"/>
        <v>#VALUE!</v>
      </c>
      <c r="BR503" s="878" t="e">
        <f t="shared" si="456"/>
        <v>#VALUE!</v>
      </c>
      <c r="BS503" s="966" t="e">
        <f t="shared" si="457"/>
        <v>#VALUE!</v>
      </c>
    </row>
    <row r="504" spans="1:71">
      <c r="A504" s="284">
        <f t="shared" si="458"/>
        <v>436</v>
      </c>
      <c r="B504" s="285">
        <v>3.1659491634615087</v>
      </c>
      <c r="C504" s="285">
        <v>2.8637387693382506</v>
      </c>
      <c r="D504" s="285">
        <v>0.57622056422991619</v>
      </c>
      <c r="E504" s="285">
        <v>-2.387917900346133</v>
      </c>
      <c r="H504" s="685">
        <f t="shared" si="404"/>
        <v>2.0327153216924536</v>
      </c>
      <c r="I504" s="276">
        <f t="shared" si="405"/>
        <v>0.6753411094857753</v>
      </c>
      <c r="J504" s="276">
        <f t="shared" si="406"/>
        <v>0.40951618208774065</v>
      </c>
      <c r="K504" s="276">
        <f t="shared" si="407"/>
        <v>-5.4934326664598094</v>
      </c>
      <c r="L504" s="276">
        <f t="shared" si="408"/>
        <v>5.4310072651439087</v>
      </c>
      <c r="M504" s="276">
        <f t="shared" si="409"/>
        <v>-0.50190106893710895</v>
      </c>
      <c r="N504" s="685">
        <f t="shared" si="410"/>
        <v>1.6565675583663821</v>
      </c>
      <c r="O504" s="276">
        <f t="shared" si="411"/>
        <v>1.8801744668262488</v>
      </c>
      <c r="P504" s="276">
        <f t="shared" si="412"/>
        <v>1.1099239418831963</v>
      </c>
      <c r="Q504" s="276">
        <f t="shared" si="413"/>
        <v>1.4530063541600426</v>
      </c>
      <c r="R504" s="276">
        <f t="shared" si="414"/>
        <v>1.1949256193308331</v>
      </c>
      <c r="S504" s="686">
        <f t="shared" si="415"/>
        <v>1.7569690226122996</v>
      </c>
      <c r="T504" s="685">
        <f t="shared" si="416"/>
        <v>3.8545842545008422</v>
      </c>
      <c r="U504" s="276">
        <f t="shared" si="417"/>
        <v>3.5107965095742513</v>
      </c>
      <c r="V504" s="276">
        <f t="shared" si="418"/>
        <v>5.0616166321680307</v>
      </c>
      <c r="W504" s="276">
        <f t="shared" si="419"/>
        <v>3.9005060950006367</v>
      </c>
      <c r="X504" s="276">
        <f t="shared" si="420"/>
        <v>5.367217746526876</v>
      </c>
      <c r="Y504" s="686">
        <f t="shared" si="421"/>
        <v>4.2564544352586289</v>
      </c>
      <c r="Z504" s="685" t="e">
        <f t="shared" si="422"/>
        <v>#DIV/0!</v>
      </c>
      <c r="AA504" s="276" t="e">
        <f t="shared" si="423"/>
        <v>#DIV/0!</v>
      </c>
      <c r="AB504" s="276" t="e">
        <f t="shared" si="424"/>
        <v>#DIV/0!</v>
      </c>
      <c r="AC504" s="276" t="e">
        <f t="shared" si="425"/>
        <v>#DIV/0!</v>
      </c>
      <c r="AD504" s="276" t="e">
        <f t="shared" si="426"/>
        <v>#DIV/0!</v>
      </c>
      <c r="AE504" s="686" t="e">
        <f t="shared" si="427"/>
        <v>#DIV/0!</v>
      </c>
      <c r="AF504" s="239"/>
      <c r="AG504" s="965" t="e">
        <f t="shared" si="398"/>
        <v>#VALUE!</v>
      </c>
      <c r="AH504" s="878" t="e">
        <f t="shared" si="399"/>
        <v>#VALUE!</v>
      </c>
      <c r="AI504" s="878" t="e">
        <f t="shared" si="400"/>
        <v>#VALUE!</v>
      </c>
      <c r="AJ504" s="878" t="e">
        <f t="shared" si="401"/>
        <v>#VALUE!</v>
      </c>
      <c r="AK504" s="878" t="e">
        <f t="shared" si="402"/>
        <v>#VALUE!</v>
      </c>
      <c r="AL504" s="966" t="e">
        <f t="shared" si="403"/>
        <v>#VALUE!</v>
      </c>
      <c r="AM504" s="239"/>
      <c r="AO504" s="685">
        <f t="shared" si="428"/>
        <v>2.0327153216924536</v>
      </c>
      <c r="AP504" s="276">
        <f t="shared" si="429"/>
        <v>0.6753411094857753</v>
      </c>
      <c r="AQ504" s="276">
        <f t="shared" si="430"/>
        <v>0.40951618208774065</v>
      </c>
      <c r="AR504" s="276">
        <f t="shared" si="431"/>
        <v>-5.4934326664598094</v>
      </c>
      <c r="AS504" s="276">
        <f t="shared" si="432"/>
        <v>5.4310072651439087</v>
      </c>
      <c r="AT504" s="276">
        <f t="shared" si="433"/>
        <v>-0.50190106893710895</v>
      </c>
      <c r="AU504" s="685">
        <f t="shared" si="434"/>
        <v>1.6565675583663821</v>
      </c>
      <c r="AV504" s="276">
        <f t="shared" si="435"/>
        <v>1.8801744668262488</v>
      </c>
      <c r="AW504" s="276">
        <f t="shared" si="436"/>
        <v>1.1099239418831963</v>
      </c>
      <c r="AX504" s="276">
        <f t="shared" si="437"/>
        <v>1.4530063541600426</v>
      </c>
      <c r="AY504" s="276">
        <f t="shared" si="438"/>
        <v>1.1949256193308331</v>
      </c>
      <c r="AZ504" s="686">
        <f t="shared" si="439"/>
        <v>1.7569690226122996</v>
      </c>
      <c r="BA504" s="685">
        <f t="shared" si="440"/>
        <v>0</v>
      </c>
      <c r="BB504" s="276">
        <f t="shared" si="441"/>
        <v>0</v>
      </c>
      <c r="BC504" s="276">
        <f t="shared" si="442"/>
        <v>0</v>
      </c>
      <c r="BD504" s="276">
        <f t="shared" si="443"/>
        <v>0</v>
      </c>
      <c r="BE504" s="276">
        <f t="shared" si="444"/>
        <v>0</v>
      </c>
      <c r="BF504" s="686">
        <f t="shared" si="445"/>
        <v>0</v>
      </c>
      <c r="BG504" s="685" t="e">
        <f t="shared" si="446"/>
        <v>#DIV/0!</v>
      </c>
      <c r="BH504" s="276" t="e">
        <f t="shared" si="447"/>
        <v>#DIV/0!</v>
      </c>
      <c r="BI504" s="276" t="e">
        <f t="shared" si="448"/>
        <v>#DIV/0!</v>
      </c>
      <c r="BJ504" s="276" t="e">
        <f t="shared" si="449"/>
        <v>#DIV/0!</v>
      </c>
      <c r="BK504" s="276" t="e">
        <f t="shared" si="450"/>
        <v>#DIV/0!</v>
      </c>
      <c r="BL504" s="686" t="e">
        <f t="shared" si="451"/>
        <v>#DIV/0!</v>
      </c>
      <c r="BM504" s="239"/>
      <c r="BN504" s="965" t="e">
        <f t="shared" si="452"/>
        <v>#VALUE!</v>
      </c>
      <c r="BO504" s="878" t="e">
        <f t="shared" si="453"/>
        <v>#VALUE!</v>
      </c>
      <c r="BP504" s="878" t="e">
        <f t="shared" si="454"/>
        <v>#VALUE!</v>
      </c>
      <c r="BQ504" s="878" t="e">
        <f t="shared" si="455"/>
        <v>#VALUE!</v>
      </c>
      <c r="BR504" s="878" t="e">
        <f t="shared" si="456"/>
        <v>#VALUE!</v>
      </c>
      <c r="BS504" s="966" t="e">
        <f t="shared" si="457"/>
        <v>#VALUE!</v>
      </c>
    </row>
    <row r="505" spans="1:71">
      <c r="A505" s="284">
        <f t="shared" si="458"/>
        <v>437</v>
      </c>
      <c r="B505" s="285">
        <v>-0.23918397995846857</v>
      </c>
      <c r="C505" s="285">
        <v>2.7324455791246329</v>
      </c>
      <c r="D505" s="285">
        <v>1.4947497647659085</v>
      </c>
      <c r="E505" s="285">
        <v>16.515100003131796</v>
      </c>
      <c r="H505" s="685">
        <f t="shared" si="404"/>
        <v>-1.3724178217275234</v>
      </c>
      <c r="I505" s="276">
        <f t="shared" si="405"/>
        <v>1.2475745774884313</v>
      </c>
      <c r="J505" s="276">
        <f t="shared" si="406"/>
        <v>-1.5504691485506839</v>
      </c>
      <c r="K505" s="276">
        <f t="shared" si="407"/>
        <v>-0.86375717561561083</v>
      </c>
      <c r="L505" s="276">
        <f t="shared" si="408"/>
        <v>-1.2711921190121567</v>
      </c>
      <c r="M505" s="276">
        <f t="shared" si="409"/>
        <v>-2.2865590967100387</v>
      </c>
      <c r="N505" s="685">
        <f t="shared" si="410"/>
        <v>1.5252743681527645</v>
      </c>
      <c r="O505" s="276">
        <f t="shared" si="411"/>
        <v>1.3050222736988173</v>
      </c>
      <c r="P505" s="276">
        <f t="shared" si="412"/>
        <v>0.97060488670915812</v>
      </c>
      <c r="Q505" s="276">
        <f t="shared" si="413"/>
        <v>1.532367796149529</v>
      </c>
      <c r="R505" s="276">
        <f t="shared" si="414"/>
        <v>0.77879429033014858</v>
      </c>
      <c r="S505" s="686">
        <f t="shared" si="415"/>
        <v>1.016768492192164</v>
      </c>
      <c r="T505" s="685">
        <f t="shared" si="416"/>
        <v>4.7731134550368344</v>
      </c>
      <c r="U505" s="276">
        <f t="shared" si="417"/>
        <v>3.5275610952853582</v>
      </c>
      <c r="V505" s="276">
        <f t="shared" si="418"/>
        <v>5.7542136179475509</v>
      </c>
      <c r="W505" s="276">
        <f t="shared" si="419"/>
        <v>4.1158366931815928</v>
      </c>
      <c r="X505" s="276">
        <f t="shared" si="420"/>
        <v>5.0468179753004918</v>
      </c>
      <c r="Y505" s="686">
        <f t="shared" si="421"/>
        <v>5.1792078805270751</v>
      </c>
      <c r="Z505" s="685" t="e">
        <f t="shared" si="422"/>
        <v>#DIV/0!</v>
      </c>
      <c r="AA505" s="276" t="e">
        <f t="shared" si="423"/>
        <v>#DIV/0!</v>
      </c>
      <c r="AB505" s="276" t="e">
        <f t="shared" si="424"/>
        <v>#DIV/0!</v>
      </c>
      <c r="AC505" s="276" t="e">
        <f t="shared" si="425"/>
        <v>#DIV/0!</v>
      </c>
      <c r="AD505" s="276" t="e">
        <f t="shared" si="426"/>
        <v>#DIV/0!</v>
      </c>
      <c r="AE505" s="686" t="e">
        <f t="shared" si="427"/>
        <v>#DIV/0!</v>
      </c>
      <c r="AF505" s="239"/>
      <c r="AG505" s="965" t="e">
        <f t="shared" si="398"/>
        <v>#VALUE!</v>
      </c>
      <c r="AH505" s="878" t="e">
        <f t="shared" si="399"/>
        <v>#VALUE!</v>
      </c>
      <c r="AI505" s="878" t="e">
        <f t="shared" si="400"/>
        <v>#VALUE!</v>
      </c>
      <c r="AJ505" s="878" t="e">
        <f t="shared" si="401"/>
        <v>#VALUE!</v>
      </c>
      <c r="AK505" s="878" t="e">
        <f t="shared" si="402"/>
        <v>#VALUE!</v>
      </c>
      <c r="AL505" s="966" t="e">
        <f t="shared" si="403"/>
        <v>#VALUE!</v>
      </c>
      <c r="AM505" s="239"/>
      <c r="AO505" s="685">
        <f t="shared" si="428"/>
        <v>-1.3724178217275234</v>
      </c>
      <c r="AP505" s="276">
        <f t="shared" si="429"/>
        <v>1.2475745774884313</v>
      </c>
      <c r="AQ505" s="276">
        <f t="shared" si="430"/>
        <v>-1.5504691485506839</v>
      </c>
      <c r="AR505" s="276">
        <f t="shared" si="431"/>
        <v>-0.86375717561561083</v>
      </c>
      <c r="AS505" s="276">
        <f t="shared" si="432"/>
        <v>-1.2711921190121567</v>
      </c>
      <c r="AT505" s="276">
        <f t="shared" si="433"/>
        <v>-2.2865590967100387</v>
      </c>
      <c r="AU505" s="685">
        <f t="shared" si="434"/>
        <v>1.5252743681527645</v>
      </c>
      <c r="AV505" s="276">
        <f t="shared" si="435"/>
        <v>1.3050222736988173</v>
      </c>
      <c r="AW505" s="276">
        <f t="shared" si="436"/>
        <v>0.97060488670915812</v>
      </c>
      <c r="AX505" s="276">
        <f t="shared" si="437"/>
        <v>1.532367796149529</v>
      </c>
      <c r="AY505" s="276">
        <f t="shared" si="438"/>
        <v>0.77879429033014858</v>
      </c>
      <c r="AZ505" s="686">
        <f t="shared" si="439"/>
        <v>1.016768492192164</v>
      </c>
      <c r="BA505" s="685">
        <f t="shared" si="440"/>
        <v>0</v>
      </c>
      <c r="BB505" s="276">
        <f t="shared" si="441"/>
        <v>0</v>
      </c>
      <c r="BC505" s="276">
        <f t="shared" si="442"/>
        <v>0</v>
      </c>
      <c r="BD505" s="276">
        <f t="shared" si="443"/>
        <v>0</v>
      </c>
      <c r="BE505" s="276">
        <f t="shared" si="444"/>
        <v>0</v>
      </c>
      <c r="BF505" s="686">
        <f t="shared" si="445"/>
        <v>0</v>
      </c>
      <c r="BG505" s="685" t="e">
        <f t="shared" si="446"/>
        <v>#DIV/0!</v>
      </c>
      <c r="BH505" s="276" t="e">
        <f t="shared" si="447"/>
        <v>#DIV/0!</v>
      </c>
      <c r="BI505" s="276" t="e">
        <f t="shared" si="448"/>
        <v>#DIV/0!</v>
      </c>
      <c r="BJ505" s="276" t="e">
        <f t="shared" si="449"/>
        <v>#DIV/0!</v>
      </c>
      <c r="BK505" s="276" t="e">
        <f t="shared" si="450"/>
        <v>#DIV/0!</v>
      </c>
      <c r="BL505" s="686" t="e">
        <f t="shared" si="451"/>
        <v>#DIV/0!</v>
      </c>
      <c r="BM505" s="239"/>
      <c r="BN505" s="965" t="e">
        <f t="shared" si="452"/>
        <v>#VALUE!</v>
      </c>
      <c r="BO505" s="878" t="e">
        <f t="shared" si="453"/>
        <v>#VALUE!</v>
      </c>
      <c r="BP505" s="878" t="e">
        <f t="shared" si="454"/>
        <v>#VALUE!</v>
      </c>
      <c r="BQ505" s="878" t="e">
        <f t="shared" si="455"/>
        <v>#VALUE!</v>
      </c>
      <c r="BR505" s="878" t="e">
        <f t="shared" si="456"/>
        <v>#VALUE!</v>
      </c>
      <c r="BS505" s="966" t="e">
        <f t="shared" si="457"/>
        <v>#VALUE!</v>
      </c>
    </row>
    <row r="506" spans="1:71">
      <c r="A506" s="284">
        <f t="shared" si="458"/>
        <v>438</v>
      </c>
      <c r="B506" s="285">
        <v>1.5860265987275193</v>
      </c>
      <c r="C506" s="285">
        <v>2.9095304410731844</v>
      </c>
      <c r="D506" s="285">
        <v>1.1001237163943776</v>
      </c>
      <c r="E506" s="285">
        <v>0.11442648937317879</v>
      </c>
      <c r="H506" s="685">
        <f t="shared" si="404"/>
        <v>0.45279275695846444</v>
      </c>
      <c r="I506" s="276">
        <f t="shared" si="405"/>
        <v>-3.3432839383276844</v>
      </c>
      <c r="J506" s="276">
        <f t="shared" si="406"/>
        <v>3.9422487570136742</v>
      </c>
      <c r="K506" s="276">
        <f t="shared" si="407"/>
        <v>-1.4269059724452826</v>
      </c>
      <c r="L506" s="276">
        <f t="shared" si="408"/>
        <v>-0.56916257358017619</v>
      </c>
      <c r="M506" s="276">
        <f t="shared" si="409"/>
        <v>-0.9216844437936802</v>
      </c>
      <c r="N506" s="685">
        <f t="shared" si="410"/>
        <v>1.702359230101316</v>
      </c>
      <c r="O506" s="276">
        <f t="shared" si="411"/>
        <v>1.6378116635361633</v>
      </c>
      <c r="P506" s="276">
        <f t="shared" si="412"/>
        <v>0.96172184253202109</v>
      </c>
      <c r="Q506" s="276">
        <f t="shared" si="413"/>
        <v>2.139869613689787</v>
      </c>
      <c r="R506" s="276">
        <f t="shared" si="414"/>
        <v>1.5867108640676701</v>
      </c>
      <c r="S506" s="686">
        <f t="shared" si="415"/>
        <v>1.2723441793032937</v>
      </c>
      <c r="T506" s="685">
        <f t="shared" si="416"/>
        <v>4.3784874066653039</v>
      </c>
      <c r="U506" s="276">
        <f t="shared" si="417"/>
        <v>2.2023550703057793</v>
      </c>
      <c r="V506" s="276">
        <f t="shared" si="418"/>
        <v>5.2648227295374275</v>
      </c>
      <c r="W506" s="276">
        <f t="shared" si="419"/>
        <v>4.3881993355279718</v>
      </c>
      <c r="X506" s="276">
        <f t="shared" si="420"/>
        <v>2.6838748960881356</v>
      </c>
      <c r="Y506" s="686">
        <f t="shared" si="421"/>
        <v>2.2317860352528207</v>
      </c>
      <c r="Z506" s="685" t="e">
        <f t="shared" si="422"/>
        <v>#DIV/0!</v>
      </c>
      <c r="AA506" s="276" t="e">
        <f t="shared" si="423"/>
        <v>#DIV/0!</v>
      </c>
      <c r="AB506" s="276" t="e">
        <f t="shared" si="424"/>
        <v>#DIV/0!</v>
      </c>
      <c r="AC506" s="276" t="e">
        <f t="shared" si="425"/>
        <v>#DIV/0!</v>
      </c>
      <c r="AD506" s="276" t="e">
        <f t="shared" si="426"/>
        <v>#DIV/0!</v>
      </c>
      <c r="AE506" s="686" t="e">
        <f t="shared" si="427"/>
        <v>#DIV/0!</v>
      </c>
      <c r="AF506" s="239"/>
      <c r="AG506" s="965" t="e">
        <f t="shared" si="398"/>
        <v>#VALUE!</v>
      </c>
      <c r="AH506" s="878" t="e">
        <f t="shared" si="399"/>
        <v>#VALUE!</v>
      </c>
      <c r="AI506" s="878" t="e">
        <f t="shared" si="400"/>
        <v>#VALUE!</v>
      </c>
      <c r="AJ506" s="878" t="e">
        <f t="shared" si="401"/>
        <v>#VALUE!</v>
      </c>
      <c r="AK506" s="878" t="e">
        <f t="shared" si="402"/>
        <v>#VALUE!</v>
      </c>
      <c r="AL506" s="966" t="e">
        <f t="shared" si="403"/>
        <v>#VALUE!</v>
      </c>
      <c r="AM506" s="239"/>
      <c r="AO506" s="685">
        <f t="shared" si="428"/>
        <v>0.45279275695846444</v>
      </c>
      <c r="AP506" s="276">
        <f t="shared" si="429"/>
        <v>-3.3432839383276844</v>
      </c>
      <c r="AQ506" s="276">
        <f t="shared" si="430"/>
        <v>3.9422487570136742</v>
      </c>
      <c r="AR506" s="276">
        <f t="shared" si="431"/>
        <v>-1.4269059724452826</v>
      </c>
      <c r="AS506" s="276">
        <f t="shared" si="432"/>
        <v>-0.56916257358017619</v>
      </c>
      <c r="AT506" s="276">
        <f t="shared" si="433"/>
        <v>-0.9216844437936802</v>
      </c>
      <c r="AU506" s="685">
        <f t="shared" si="434"/>
        <v>1.702359230101316</v>
      </c>
      <c r="AV506" s="276">
        <f t="shared" si="435"/>
        <v>1.6378116635361633</v>
      </c>
      <c r="AW506" s="276">
        <f t="shared" si="436"/>
        <v>0.96172184253202109</v>
      </c>
      <c r="AX506" s="276">
        <f t="shared" si="437"/>
        <v>2.139869613689787</v>
      </c>
      <c r="AY506" s="276">
        <f t="shared" si="438"/>
        <v>1.5867108640676701</v>
      </c>
      <c r="AZ506" s="686">
        <f t="shared" si="439"/>
        <v>1.2723441793032937</v>
      </c>
      <c r="BA506" s="685">
        <f t="shared" si="440"/>
        <v>0</v>
      </c>
      <c r="BB506" s="276">
        <f t="shared" si="441"/>
        <v>0</v>
      </c>
      <c r="BC506" s="276">
        <f t="shared" si="442"/>
        <v>0</v>
      </c>
      <c r="BD506" s="276">
        <f t="shared" si="443"/>
        <v>0</v>
      </c>
      <c r="BE506" s="276">
        <f t="shared" si="444"/>
        <v>0</v>
      </c>
      <c r="BF506" s="686">
        <f t="shared" si="445"/>
        <v>0</v>
      </c>
      <c r="BG506" s="685" t="e">
        <f t="shared" si="446"/>
        <v>#DIV/0!</v>
      </c>
      <c r="BH506" s="276" t="e">
        <f t="shared" si="447"/>
        <v>#DIV/0!</v>
      </c>
      <c r="BI506" s="276" t="e">
        <f t="shared" si="448"/>
        <v>#DIV/0!</v>
      </c>
      <c r="BJ506" s="276" t="e">
        <f t="shared" si="449"/>
        <v>#DIV/0!</v>
      </c>
      <c r="BK506" s="276" t="e">
        <f t="shared" si="450"/>
        <v>#DIV/0!</v>
      </c>
      <c r="BL506" s="686" t="e">
        <f t="shared" si="451"/>
        <v>#DIV/0!</v>
      </c>
      <c r="BM506" s="239"/>
      <c r="BN506" s="965" t="e">
        <f t="shared" si="452"/>
        <v>#VALUE!</v>
      </c>
      <c r="BO506" s="878" t="e">
        <f t="shared" si="453"/>
        <v>#VALUE!</v>
      </c>
      <c r="BP506" s="878" t="e">
        <f t="shared" si="454"/>
        <v>#VALUE!</v>
      </c>
      <c r="BQ506" s="878" t="e">
        <f t="shared" si="455"/>
        <v>#VALUE!</v>
      </c>
      <c r="BR506" s="878" t="e">
        <f t="shared" si="456"/>
        <v>#VALUE!</v>
      </c>
      <c r="BS506" s="966" t="e">
        <f t="shared" si="457"/>
        <v>#VALUE!</v>
      </c>
    </row>
    <row r="507" spans="1:71">
      <c r="A507" s="284">
        <f t="shared" si="458"/>
        <v>439</v>
      </c>
      <c r="B507" s="285">
        <v>-0.32872648449800085</v>
      </c>
      <c r="C507" s="285">
        <v>2.1712024512218129</v>
      </c>
      <c r="D507" s="285">
        <v>0.32836455516825058</v>
      </c>
      <c r="E507" s="285">
        <v>-8.6068509493929941</v>
      </c>
      <c r="H507" s="685">
        <f t="shared" si="404"/>
        <v>-1.4619603262670557</v>
      </c>
      <c r="I507" s="276">
        <f t="shared" si="405"/>
        <v>0.80212140056555858</v>
      </c>
      <c r="J507" s="276">
        <f t="shared" si="406"/>
        <v>1.3073642773451428</v>
      </c>
      <c r="K507" s="276">
        <f t="shared" si="407"/>
        <v>-4.6697675890479582</v>
      </c>
      <c r="L507" s="276">
        <f t="shared" si="408"/>
        <v>-0.7338759605550611</v>
      </c>
      <c r="M507" s="276">
        <f t="shared" si="409"/>
        <v>-1.7261124299045929</v>
      </c>
      <c r="N507" s="685">
        <f t="shared" si="410"/>
        <v>0.96403124024994447</v>
      </c>
      <c r="O507" s="276">
        <f t="shared" si="411"/>
        <v>1.5153361889043138</v>
      </c>
      <c r="P507" s="276">
        <f t="shared" si="412"/>
        <v>1.0093153392276288</v>
      </c>
      <c r="Q507" s="276">
        <f t="shared" si="413"/>
        <v>0.57510078784843022</v>
      </c>
      <c r="R507" s="276">
        <f t="shared" si="414"/>
        <v>1.4352512318719055</v>
      </c>
      <c r="S507" s="686">
        <f t="shared" si="415"/>
        <v>1.1912285888607872</v>
      </c>
      <c r="T507" s="685">
        <f t="shared" si="416"/>
        <v>3.6067282454391765</v>
      </c>
      <c r="U507" s="276">
        <f t="shared" si="417"/>
        <v>5.0015065360992832</v>
      </c>
      <c r="V507" s="276">
        <f t="shared" si="418"/>
        <v>4.5599839865817149</v>
      </c>
      <c r="W507" s="276">
        <f t="shared" si="419"/>
        <v>4.6011003872916199</v>
      </c>
      <c r="X507" s="276">
        <f t="shared" si="420"/>
        <v>2.3917346369757952</v>
      </c>
      <c r="Y507" s="686">
        <f t="shared" si="421"/>
        <v>3.3061211690398773</v>
      </c>
      <c r="Z507" s="685" t="e">
        <f t="shared" si="422"/>
        <v>#DIV/0!</v>
      </c>
      <c r="AA507" s="276" t="e">
        <f t="shared" si="423"/>
        <v>#DIV/0!</v>
      </c>
      <c r="AB507" s="276" t="e">
        <f t="shared" si="424"/>
        <v>#DIV/0!</v>
      </c>
      <c r="AC507" s="276" t="e">
        <f t="shared" si="425"/>
        <v>#DIV/0!</v>
      </c>
      <c r="AD507" s="276" t="e">
        <f t="shared" si="426"/>
        <v>#DIV/0!</v>
      </c>
      <c r="AE507" s="686" t="e">
        <f t="shared" si="427"/>
        <v>#DIV/0!</v>
      </c>
      <c r="AF507" s="239"/>
      <c r="AG507" s="965" t="e">
        <f t="shared" si="398"/>
        <v>#VALUE!</v>
      </c>
      <c r="AH507" s="878" t="e">
        <f t="shared" si="399"/>
        <v>#VALUE!</v>
      </c>
      <c r="AI507" s="878" t="e">
        <f t="shared" si="400"/>
        <v>#VALUE!</v>
      </c>
      <c r="AJ507" s="878" t="e">
        <f t="shared" si="401"/>
        <v>#VALUE!</v>
      </c>
      <c r="AK507" s="878" t="e">
        <f t="shared" si="402"/>
        <v>#VALUE!</v>
      </c>
      <c r="AL507" s="966" t="e">
        <f t="shared" si="403"/>
        <v>#VALUE!</v>
      </c>
      <c r="AM507" s="239"/>
      <c r="AO507" s="685">
        <f t="shared" si="428"/>
        <v>-1.4619603262670557</v>
      </c>
      <c r="AP507" s="276">
        <f t="shared" si="429"/>
        <v>0.80212140056555858</v>
      </c>
      <c r="AQ507" s="276">
        <f t="shared" si="430"/>
        <v>1.3073642773451428</v>
      </c>
      <c r="AR507" s="276">
        <f t="shared" si="431"/>
        <v>-4.6697675890479582</v>
      </c>
      <c r="AS507" s="276">
        <f t="shared" si="432"/>
        <v>-0.7338759605550611</v>
      </c>
      <c r="AT507" s="276">
        <f t="shared" si="433"/>
        <v>-1.7261124299045929</v>
      </c>
      <c r="AU507" s="685">
        <f t="shared" si="434"/>
        <v>0.96403124024994447</v>
      </c>
      <c r="AV507" s="276">
        <f t="shared" si="435"/>
        <v>1.5153361889043138</v>
      </c>
      <c r="AW507" s="276">
        <f t="shared" si="436"/>
        <v>1.0093153392276288</v>
      </c>
      <c r="AX507" s="276">
        <f t="shared" si="437"/>
        <v>0.57510078784843022</v>
      </c>
      <c r="AY507" s="276">
        <f t="shared" si="438"/>
        <v>1.4352512318719055</v>
      </c>
      <c r="AZ507" s="686">
        <f t="shared" si="439"/>
        <v>1.1912285888607872</v>
      </c>
      <c r="BA507" s="685">
        <f t="shared" si="440"/>
        <v>0</v>
      </c>
      <c r="BB507" s="276">
        <f t="shared" si="441"/>
        <v>0</v>
      </c>
      <c r="BC507" s="276">
        <f t="shared" si="442"/>
        <v>0</v>
      </c>
      <c r="BD507" s="276">
        <f t="shared" si="443"/>
        <v>0</v>
      </c>
      <c r="BE507" s="276">
        <f t="shared" si="444"/>
        <v>0</v>
      </c>
      <c r="BF507" s="686">
        <f t="shared" si="445"/>
        <v>0</v>
      </c>
      <c r="BG507" s="685" t="e">
        <f t="shared" si="446"/>
        <v>#DIV/0!</v>
      </c>
      <c r="BH507" s="276" t="e">
        <f t="shared" si="447"/>
        <v>#DIV/0!</v>
      </c>
      <c r="BI507" s="276" t="e">
        <f t="shared" si="448"/>
        <v>#DIV/0!</v>
      </c>
      <c r="BJ507" s="276" t="e">
        <f t="shared" si="449"/>
        <v>#DIV/0!</v>
      </c>
      <c r="BK507" s="276" t="e">
        <f t="shared" si="450"/>
        <v>#DIV/0!</v>
      </c>
      <c r="BL507" s="686" t="e">
        <f t="shared" si="451"/>
        <v>#DIV/0!</v>
      </c>
      <c r="BM507" s="239"/>
      <c r="BN507" s="965" t="e">
        <f t="shared" si="452"/>
        <v>#VALUE!</v>
      </c>
      <c r="BO507" s="878" t="e">
        <f t="shared" si="453"/>
        <v>#VALUE!</v>
      </c>
      <c r="BP507" s="878" t="e">
        <f t="shared" si="454"/>
        <v>#VALUE!</v>
      </c>
      <c r="BQ507" s="878" t="e">
        <f t="shared" si="455"/>
        <v>#VALUE!</v>
      </c>
      <c r="BR507" s="878" t="e">
        <f t="shared" si="456"/>
        <v>#VALUE!</v>
      </c>
      <c r="BS507" s="966" t="e">
        <f t="shared" si="457"/>
        <v>#VALUE!</v>
      </c>
    </row>
    <row r="508" spans="1:71">
      <c r="A508" s="284">
        <f t="shared" si="458"/>
        <v>440</v>
      </c>
      <c r="B508" s="285">
        <v>3.172378750884596</v>
      </c>
      <c r="C508" s="285">
        <v>2.9239567825182204</v>
      </c>
      <c r="D508" s="285">
        <v>0.69742251586968029</v>
      </c>
      <c r="E508" s="285">
        <v>-0.47716153643890902</v>
      </c>
      <c r="H508" s="685">
        <f t="shared" si="404"/>
        <v>2.0391449091155414</v>
      </c>
      <c r="I508" s="276">
        <f t="shared" si="405"/>
        <v>-1.4933222774434065</v>
      </c>
      <c r="J508" s="276">
        <f t="shared" si="406"/>
        <v>-1.3094760911560157</v>
      </c>
      <c r="K508" s="276">
        <f t="shared" si="407"/>
        <v>-4.0365504276049622</v>
      </c>
      <c r="L508" s="276">
        <f t="shared" si="408"/>
        <v>2.4951336170071645</v>
      </c>
      <c r="M508" s="276">
        <f t="shared" si="409"/>
        <v>-0.17953601861549495</v>
      </c>
      <c r="N508" s="685">
        <f t="shared" si="410"/>
        <v>1.716785571546352</v>
      </c>
      <c r="O508" s="276">
        <f t="shared" si="411"/>
        <v>1.3486164359931225</v>
      </c>
      <c r="P508" s="276">
        <f t="shared" si="412"/>
        <v>1.603148148779405</v>
      </c>
      <c r="Q508" s="276">
        <f t="shared" si="413"/>
        <v>0.77493411657055367</v>
      </c>
      <c r="R508" s="276">
        <f t="shared" si="414"/>
        <v>1.1576259463033873</v>
      </c>
      <c r="S508" s="686">
        <f t="shared" si="415"/>
        <v>1.072992529090216</v>
      </c>
      <c r="T508" s="685">
        <f t="shared" si="416"/>
        <v>3.9757862061406062</v>
      </c>
      <c r="U508" s="276">
        <f t="shared" si="417"/>
        <v>4.1325102528436721</v>
      </c>
      <c r="V508" s="276">
        <f t="shared" si="418"/>
        <v>4.9670133977218232</v>
      </c>
      <c r="W508" s="276">
        <f t="shared" si="419"/>
        <v>4.8231638675348218</v>
      </c>
      <c r="X508" s="276">
        <f t="shared" si="420"/>
        <v>6.3651075269084227</v>
      </c>
      <c r="Y508" s="686">
        <f t="shared" si="421"/>
        <v>5.1523368218955046</v>
      </c>
      <c r="Z508" s="685" t="e">
        <f t="shared" si="422"/>
        <v>#DIV/0!</v>
      </c>
      <c r="AA508" s="276" t="e">
        <f t="shared" si="423"/>
        <v>#DIV/0!</v>
      </c>
      <c r="AB508" s="276" t="e">
        <f t="shared" si="424"/>
        <v>#DIV/0!</v>
      </c>
      <c r="AC508" s="276" t="e">
        <f t="shared" si="425"/>
        <v>#DIV/0!</v>
      </c>
      <c r="AD508" s="276" t="e">
        <f t="shared" si="426"/>
        <v>#DIV/0!</v>
      </c>
      <c r="AE508" s="686" t="e">
        <f t="shared" si="427"/>
        <v>#DIV/0!</v>
      </c>
      <c r="AF508" s="239"/>
      <c r="AG508" s="965" t="e">
        <f t="shared" si="398"/>
        <v>#VALUE!</v>
      </c>
      <c r="AH508" s="878" t="e">
        <f t="shared" si="399"/>
        <v>#VALUE!</v>
      </c>
      <c r="AI508" s="878" t="e">
        <f t="shared" si="400"/>
        <v>#VALUE!</v>
      </c>
      <c r="AJ508" s="878" t="e">
        <f t="shared" si="401"/>
        <v>#VALUE!</v>
      </c>
      <c r="AK508" s="878" t="e">
        <f t="shared" si="402"/>
        <v>#VALUE!</v>
      </c>
      <c r="AL508" s="966" t="e">
        <f t="shared" si="403"/>
        <v>#VALUE!</v>
      </c>
      <c r="AM508" s="239"/>
      <c r="AO508" s="685">
        <f t="shared" si="428"/>
        <v>2.0391449091155414</v>
      </c>
      <c r="AP508" s="276">
        <f t="shared" si="429"/>
        <v>-1.4933222774434065</v>
      </c>
      <c r="AQ508" s="276">
        <f t="shared" si="430"/>
        <v>-1.3094760911560157</v>
      </c>
      <c r="AR508" s="276">
        <f t="shared" si="431"/>
        <v>-4.0365504276049622</v>
      </c>
      <c r="AS508" s="276">
        <f t="shared" si="432"/>
        <v>2.4951336170071645</v>
      </c>
      <c r="AT508" s="276">
        <f t="shared" si="433"/>
        <v>-0.17953601861549495</v>
      </c>
      <c r="AU508" s="685">
        <f t="shared" si="434"/>
        <v>1.716785571546352</v>
      </c>
      <c r="AV508" s="276">
        <f t="shared" si="435"/>
        <v>1.3486164359931225</v>
      </c>
      <c r="AW508" s="276">
        <f t="shared" si="436"/>
        <v>1.603148148779405</v>
      </c>
      <c r="AX508" s="276">
        <f t="shared" si="437"/>
        <v>0.77493411657055367</v>
      </c>
      <c r="AY508" s="276">
        <f t="shared" si="438"/>
        <v>1.1576259463033873</v>
      </c>
      <c r="AZ508" s="686">
        <f t="shared" si="439"/>
        <v>1.072992529090216</v>
      </c>
      <c r="BA508" s="685">
        <f t="shared" si="440"/>
        <v>0</v>
      </c>
      <c r="BB508" s="276">
        <f t="shared" si="441"/>
        <v>0</v>
      </c>
      <c r="BC508" s="276">
        <f t="shared" si="442"/>
        <v>0</v>
      </c>
      <c r="BD508" s="276">
        <f t="shared" si="443"/>
        <v>0</v>
      </c>
      <c r="BE508" s="276">
        <f t="shared" si="444"/>
        <v>0</v>
      </c>
      <c r="BF508" s="686">
        <f t="shared" si="445"/>
        <v>0</v>
      </c>
      <c r="BG508" s="685" t="e">
        <f t="shared" si="446"/>
        <v>#DIV/0!</v>
      </c>
      <c r="BH508" s="276" t="e">
        <f t="shared" si="447"/>
        <v>#DIV/0!</v>
      </c>
      <c r="BI508" s="276" t="e">
        <f t="shared" si="448"/>
        <v>#DIV/0!</v>
      </c>
      <c r="BJ508" s="276" t="e">
        <f t="shared" si="449"/>
        <v>#DIV/0!</v>
      </c>
      <c r="BK508" s="276" t="e">
        <f t="shared" si="450"/>
        <v>#DIV/0!</v>
      </c>
      <c r="BL508" s="686" t="e">
        <f t="shared" si="451"/>
        <v>#DIV/0!</v>
      </c>
      <c r="BM508" s="239"/>
      <c r="BN508" s="965" t="e">
        <f t="shared" si="452"/>
        <v>#VALUE!</v>
      </c>
      <c r="BO508" s="878" t="e">
        <f t="shared" si="453"/>
        <v>#VALUE!</v>
      </c>
      <c r="BP508" s="878" t="e">
        <f t="shared" si="454"/>
        <v>#VALUE!</v>
      </c>
      <c r="BQ508" s="878" t="e">
        <f t="shared" si="455"/>
        <v>#VALUE!</v>
      </c>
      <c r="BR508" s="878" t="e">
        <f t="shared" si="456"/>
        <v>#VALUE!</v>
      </c>
      <c r="BS508" s="966" t="e">
        <f t="shared" si="457"/>
        <v>#VALUE!</v>
      </c>
    </row>
    <row r="509" spans="1:71">
      <c r="A509" s="284">
        <f t="shared" si="458"/>
        <v>441</v>
      </c>
      <c r="B509" s="285">
        <v>2.5796040723263483</v>
      </c>
      <c r="C509" s="285">
        <v>3.6211363827034306</v>
      </c>
      <c r="D509" s="285">
        <v>0.30042175079651467</v>
      </c>
      <c r="E509" s="285">
        <v>16.044727630655238</v>
      </c>
      <c r="H509" s="685">
        <f t="shared" si="404"/>
        <v>1.4463702305572934</v>
      </c>
      <c r="I509" s="276">
        <f t="shared" si="405"/>
        <v>-1.7794299250454992</v>
      </c>
      <c r="J509" s="276">
        <f t="shared" si="406"/>
        <v>-0.63940503621629952</v>
      </c>
      <c r="K509" s="276">
        <f t="shared" si="407"/>
        <v>-1.4658760137623554</v>
      </c>
      <c r="L509" s="276">
        <f t="shared" si="408"/>
        <v>-0.15223111395725752</v>
      </c>
      <c r="M509" s="276">
        <f t="shared" si="409"/>
        <v>2.4329736181904922</v>
      </c>
      <c r="N509" s="685">
        <f t="shared" si="410"/>
        <v>2.4139651717315624</v>
      </c>
      <c r="O509" s="276">
        <f t="shared" si="411"/>
        <v>1.079083948424169</v>
      </c>
      <c r="P509" s="276">
        <f t="shared" si="412"/>
        <v>1.8042961964697015</v>
      </c>
      <c r="Q509" s="276">
        <f t="shared" si="413"/>
        <v>1.8073411401177293</v>
      </c>
      <c r="R509" s="276">
        <f t="shared" si="414"/>
        <v>1.1205957239925557</v>
      </c>
      <c r="S509" s="686">
        <f t="shared" si="415"/>
        <v>1.532464623351647</v>
      </c>
      <c r="T509" s="685">
        <f t="shared" si="416"/>
        <v>3.5787854410674407</v>
      </c>
      <c r="U509" s="276">
        <f t="shared" si="417"/>
        <v>3.1562257515359757</v>
      </c>
      <c r="V509" s="276">
        <f t="shared" si="418"/>
        <v>4.3460834489599627</v>
      </c>
      <c r="W509" s="276">
        <f t="shared" si="419"/>
        <v>3.5832485207302232</v>
      </c>
      <c r="X509" s="276">
        <f t="shared" si="420"/>
        <v>3.928398358160206</v>
      </c>
      <c r="Y509" s="686">
        <f t="shared" si="421"/>
        <v>4.9237097177713913</v>
      </c>
      <c r="Z509" s="685" t="e">
        <f t="shared" si="422"/>
        <v>#DIV/0!</v>
      </c>
      <c r="AA509" s="276" t="e">
        <f t="shared" si="423"/>
        <v>#DIV/0!</v>
      </c>
      <c r="AB509" s="276" t="e">
        <f t="shared" si="424"/>
        <v>#DIV/0!</v>
      </c>
      <c r="AC509" s="276" t="e">
        <f t="shared" si="425"/>
        <v>#DIV/0!</v>
      </c>
      <c r="AD509" s="276" t="e">
        <f t="shared" si="426"/>
        <v>#DIV/0!</v>
      </c>
      <c r="AE509" s="686" t="e">
        <f t="shared" si="427"/>
        <v>#DIV/0!</v>
      </c>
      <c r="AF509" s="239"/>
      <c r="AG509" s="965" t="e">
        <f t="shared" si="398"/>
        <v>#VALUE!</v>
      </c>
      <c r="AH509" s="878" t="e">
        <f t="shared" si="399"/>
        <v>#VALUE!</v>
      </c>
      <c r="AI509" s="878" t="e">
        <f t="shared" si="400"/>
        <v>#VALUE!</v>
      </c>
      <c r="AJ509" s="878" t="e">
        <f t="shared" si="401"/>
        <v>#VALUE!</v>
      </c>
      <c r="AK509" s="878" t="e">
        <f t="shared" si="402"/>
        <v>#VALUE!</v>
      </c>
      <c r="AL509" s="966" t="e">
        <f t="shared" si="403"/>
        <v>#VALUE!</v>
      </c>
      <c r="AM509" s="239"/>
      <c r="AO509" s="685">
        <f t="shared" si="428"/>
        <v>1.4463702305572934</v>
      </c>
      <c r="AP509" s="276">
        <f t="shared" si="429"/>
        <v>-1.7794299250454992</v>
      </c>
      <c r="AQ509" s="276">
        <f t="shared" si="430"/>
        <v>-0.63940503621629952</v>
      </c>
      <c r="AR509" s="276">
        <f t="shared" si="431"/>
        <v>-1.4658760137623554</v>
      </c>
      <c r="AS509" s="276">
        <f t="shared" si="432"/>
        <v>-0.15223111395725752</v>
      </c>
      <c r="AT509" s="276">
        <f t="shared" si="433"/>
        <v>2.4329736181904922</v>
      </c>
      <c r="AU509" s="685">
        <f t="shared" si="434"/>
        <v>2.4139651717315624</v>
      </c>
      <c r="AV509" s="276">
        <f t="shared" si="435"/>
        <v>1.079083948424169</v>
      </c>
      <c r="AW509" s="276">
        <f t="shared" si="436"/>
        <v>1.8042961964697015</v>
      </c>
      <c r="AX509" s="276">
        <f t="shared" si="437"/>
        <v>1.8073411401177293</v>
      </c>
      <c r="AY509" s="276">
        <f t="shared" si="438"/>
        <v>1.1205957239925557</v>
      </c>
      <c r="AZ509" s="686">
        <f t="shared" si="439"/>
        <v>1.532464623351647</v>
      </c>
      <c r="BA509" s="685">
        <f t="shared" si="440"/>
        <v>0</v>
      </c>
      <c r="BB509" s="276">
        <f t="shared" si="441"/>
        <v>0</v>
      </c>
      <c r="BC509" s="276">
        <f t="shared" si="442"/>
        <v>0</v>
      </c>
      <c r="BD509" s="276">
        <f t="shared" si="443"/>
        <v>0</v>
      </c>
      <c r="BE509" s="276">
        <f t="shared" si="444"/>
        <v>0</v>
      </c>
      <c r="BF509" s="686">
        <f t="shared" si="445"/>
        <v>0</v>
      </c>
      <c r="BG509" s="685" t="e">
        <f t="shared" si="446"/>
        <v>#DIV/0!</v>
      </c>
      <c r="BH509" s="276" t="e">
        <f t="shared" si="447"/>
        <v>#DIV/0!</v>
      </c>
      <c r="BI509" s="276" t="e">
        <f t="shared" si="448"/>
        <v>#DIV/0!</v>
      </c>
      <c r="BJ509" s="276" t="e">
        <f t="shared" si="449"/>
        <v>#DIV/0!</v>
      </c>
      <c r="BK509" s="276" t="e">
        <f t="shared" si="450"/>
        <v>#DIV/0!</v>
      </c>
      <c r="BL509" s="686" t="e">
        <f t="shared" si="451"/>
        <v>#DIV/0!</v>
      </c>
      <c r="BM509" s="239"/>
      <c r="BN509" s="965" t="e">
        <f t="shared" si="452"/>
        <v>#VALUE!</v>
      </c>
      <c r="BO509" s="878" t="e">
        <f t="shared" si="453"/>
        <v>#VALUE!</v>
      </c>
      <c r="BP509" s="878" t="e">
        <f t="shared" si="454"/>
        <v>#VALUE!</v>
      </c>
      <c r="BQ509" s="878" t="e">
        <f t="shared" si="455"/>
        <v>#VALUE!</v>
      </c>
      <c r="BR509" s="878" t="e">
        <f t="shared" si="456"/>
        <v>#VALUE!</v>
      </c>
      <c r="BS509" s="966" t="e">
        <f t="shared" si="457"/>
        <v>#VALUE!</v>
      </c>
    </row>
    <row r="510" spans="1:71">
      <c r="A510" s="284">
        <f t="shared" si="458"/>
        <v>442</v>
      </c>
      <c r="B510" s="285">
        <v>3.3247312684733616</v>
      </c>
      <c r="C510" s="285">
        <v>3.1998795950358208</v>
      </c>
      <c r="D510" s="285">
        <v>0.97347467836186019</v>
      </c>
      <c r="E510" s="285">
        <v>3.0482155990760398</v>
      </c>
      <c r="H510" s="685">
        <f t="shared" si="404"/>
        <v>2.1914974267043066</v>
      </c>
      <c r="I510" s="276">
        <f t="shared" si="405"/>
        <v>-0.99562985224352885</v>
      </c>
      <c r="J510" s="276">
        <f t="shared" si="406"/>
        <v>-2.9646543385047117</v>
      </c>
      <c r="K510" s="276">
        <f t="shared" si="407"/>
        <v>-1.8695237970954015</v>
      </c>
      <c r="L510" s="276">
        <f t="shared" si="408"/>
        <v>0.48121863490804495</v>
      </c>
      <c r="M510" s="276">
        <f t="shared" si="409"/>
        <v>-1.3684198820245952</v>
      </c>
      <c r="N510" s="685">
        <f t="shared" si="410"/>
        <v>1.9927083840639523</v>
      </c>
      <c r="O510" s="276">
        <f t="shared" si="411"/>
        <v>2.0153438287170538</v>
      </c>
      <c r="P510" s="276">
        <f t="shared" si="412"/>
        <v>1.467496780218627</v>
      </c>
      <c r="Q510" s="276">
        <f t="shared" si="413"/>
        <v>1.6726364403130887</v>
      </c>
      <c r="R510" s="276">
        <f t="shared" si="414"/>
        <v>1.6743002143639278</v>
      </c>
      <c r="S510" s="686">
        <f t="shared" si="415"/>
        <v>1.7115123081875867</v>
      </c>
      <c r="T510" s="685">
        <f t="shared" si="416"/>
        <v>4.2518383686327859</v>
      </c>
      <c r="U510" s="276">
        <f t="shared" si="417"/>
        <v>3.4829335667803192</v>
      </c>
      <c r="V510" s="276">
        <f t="shared" si="418"/>
        <v>3.2547452640257455</v>
      </c>
      <c r="W510" s="276">
        <f t="shared" si="419"/>
        <v>3.4996855681890588</v>
      </c>
      <c r="X510" s="276">
        <f t="shared" si="420"/>
        <v>4.1489183986381928</v>
      </c>
      <c r="Y510" s="686">
        <f t="shared" si="421"/>
        <v>5.5355660570646599</v>
      </c>
      <c r="Z510" s="685" t="e">
        <f t="shared" si="422"/>
        <v>#DIV/0!</v>
      </c>
      <c r="AA510" s="276" t="e">
        <f t="shared" si="423"/>
        <v>#DIV/0!</v>
      </c>
      <c r="AB510" s="276" t="e">
        <f t="shared" si="424"/>
        <v>#DIV/0!</v>
      </c>
      <c r="AC510" s="276" t="e">
        <f t="shared" si="425"/>
        <v>#DIV/0!</v>
      </c>
      <c r="AD510" s="276" t="e">
        <f t="shared" si="426"/>
        <v>#DIV/0!</v>
      </c>
      <c r="AE510" s="686" t="e">
        <f t="shared" si="427"/>
        <v>#DIV/0!</v>
      </c>
      <c r="AF510" s="239"/>
      <c r="AG510" s="965" t="e">
        <f t="shared" si="398"/>
        <v>#VALUE!</v>
      </c>
      <c r="AH510" s="878" t="e">
        <f t="shared" si="399"/>
        <v>#VALUE!</v>
      </c>
      <c r="AI510" s="878" t="e">
        <f t="shared" si="400"/>
        <v>#VALUE!</v>
      </c>
      <c r="AJ510" s="878" t="e">
        <f t="shared" si="401"/>
        <v>#VALUE!</v>
      </c>
      <c r="AK510" s="878" t="e">
        <f t="shared" si="402"/>
        <v>#VALUE!</v>
      </c>
      <c r="AL510" s="966" t="e">
        <f t="shared" si="403"/>
        <v>#VALUE!</v>
      </c>
      <c r="AM510" s="239"/>
      <c r="AO510" s="685">
        <f t="shared" si="428"/>
        <v>2.1914974267043066</v>
      </c>
      <c r="AP510" s="276">
        <f t="shared" si="429"/>
        <v>-0.99562985224352885</v>
      </c>
      <c r="AQ510" s="276">
        <f t="shared" si="430"/>
        <v>-2.9646543385047117</v>
      </c>
      <c r="AR510" s="276">
        <f t="shared" si="431"/>
        <v>-1.8695237970954015</v>
      </c>
      <c r="AS510" s="276">
        <f t="shared" si="432"/>
        <v>0.48121863490804495</v>
      </c>
      <c r="AT510" s="276">
        <f t="shared" si="433"/>
        <v>-1.3684198820245952</v>
      </c>
      <c r="AU510" s="685">
        <f t="shared" si="434"/>
        <v>1.9927083840639523</v>
      </c>
      <c r="AV510" s="276">
        <f t="shared" si="435"/>
        <v>2.0153438287170538</v>
      </c>
      <c r="AW510" s="276">
        <f t="shared" si="436"/>
        <v>1.467496780218627</v>
      </c>
      <c r="AX510" s="276">
        <f t="shared" si="437"/>
        <v>1.6726364403130887</v>
      </c>
      <c r="AY510" s="276">
        <f t="shared" si="438"/>
        <v>1.6743002143639278</v>
      </c>
      <c r="AZ510" s="686">
        <f t="shared" si="439"/>
        <v>1.7115123081875867</v>
      </c>
      <c r="BA510" s="685">
        <f t="shared" si="440"/>
        <v>0</v>
      </c>
      <c r="BB510" s="276">
        <f t="shared" si="441"/>
        <v>0</v>
      </c>
      <c r="BC510" s="276">
        <f t="shared" si="442"/>
        <v>0</v>
      </c>
      <c r="BD510" s="276">
        <f t="shared" si="443"/>
        <v>0</v>
      </c>
      <c r="BE510" s="276">
        <f t="shared" si="444"/>
        <v>0</v>
      </c>
      <c r="BF510" s="686">
        <f t="shared" si="445"/>
        <v>0</v>
      </c>
      <c r="BG510" s="685" t="e">
        <f t="shared" si="446"/>
        <v>#DIV/0!</v>
      </c>
      <c r="BH510" s="276" t="e">
        <f t="shared" si="447"/>
        <v>#DIV/0!</v>
      </c>
      <c r="BI510" s="276" t="e">
        <f t="shared" si="448"/>
        <v>#DIV/0!</v>
      </c>
      <c r="BJ510" s="276" t="e">
        <f t="shared" si="449"/>
        <v>#DIV/0!</v>
      </c>
      <c r="BK510" s="276" t="e">
        <f t="shared" si="450"/>
        <v>#DIV/0!</v>
      </c>
      <c r="BL510" s="686" t="e">
        <f t="shared" si="451"/>
        <v>#DIV/0!</v>
      </c>
      <c r="BM510" s="239"/>
      <c r="BN510" s="965" t="e">
        <f t="shared" si="452"/>
        <v>#VALUE!</v>
      </c>
      <c r="BO510" s="878" t="e">
        <f t="shared" si="453"/>
        <v>#VALUE!</v>
      </c>
      <c r="BP510" s="878" t="e">
        <f t="shared" si="454"/>
        <v>#VALUE!</v>
      </c>
      <c r="BQ510" s="878" t="e">
        <f t="shared" si="455"/>
        <v>#VALUE!</v>
      </c>
      <c r="BR510" s="878" t="e">
        <f t="shared" si="456"/>
        <v>#VALUE!</v>
      </c>
      <c r="BS510" s="966" t="e">
        <f t="shared" si="457"/>
        <v>#VALUE!</v>
      </c>
    </row>
    <row r="511" spans="1:71">
      <c r="A511" s="284">
        <f t="shared" si="458"/>
        <v>443</v>
      </c>
      <c r="B511" s="285">
        <v>-0.27826805619951422</v>
      </c>
      <c r="C511" s="285">
        <v>3.0989277642804964</v>
      </c>
      <c r="D511" s="285">
        <v>0.39920767806001001</v>
      </c>
      <c r="E511" s="285">
        <v>12.340631738846962</v>
      </c>
      <c r="H511" s="685">
        <f t="shared" si="404"/>
        <v>-1.4115018979685692</v>
      </c>
      <c r="I511" s="276">
        <f t="shared" si="405"/>
        <v>0.77739272270115567</v>
      </c>
      <c r="J511" s="276">
        <f t="shared" si="406"/>
        <v>1.0520532513123537</v>
      </c>
      <c r="K511" s="276">
        <f t="shared" si="407"/>
        <v>0.48540312437579192</v>
      </c>
      <c r="L511" s="276">
        <f t="shared" si="408"/>
        <v>-1.2495940551465998</v>
      </c>
      <c r="M511" s="276">
        <f t="shared" si="409"/>
        <v>-1.7476246722014244</v>
      </c>
      <c r="N511" s="685">
        <f t="shared" si="410"/>
        <v>1.891756553308628</v>
      </c>
      <c r="O511" s="276">
        <f t="shared" si="411"/>
        <v>1.5215243923229982</v>
      </c>
      <c r="P511" s="276">
        <f t="shared" si="412"/>
        <v>1.7197541185818495</v>
      </c>
      <c r="Q511" s="276">
        <f t="shared" si="413"/>
        <v>1.7768902319054327</v>
      </c>
      <c r="R511" s="276">
        <f t="shared" si="414"/>
        <v>0.90510659095128942</v>
      </c>
      <c r="S511" s="686">
        <f t="shared" si="415"/>
        <v>2.1071119783441459</v>
      </c>
      <c r="T511" s="685">
        <f t="shared" si="416"/>
        <v>3.6775713683309359</v>
      </c>
      <c r="U511" s="276">
        <f t="shared" si="417"/>
        <v>2.6840224518548439</v>
      </c>
      <c r="V511" s="276">
        <f t="shared" si="418"/>
        <v>5.1562806086131818</v>
      </c>
      <c r="W511" s="276">
        <f t="shared" si="419"/>
        <v>4.0325262024432051</v>
      </c>
      <c r="X511" s="276">
        <f t="shared" si="420"/>
        <v>4.6916015525227621</v>
      </c>
      <c r="Y511" s="686">
        <f t="shared" si="421"/>
        <v>2.6092839576052453</v>
      </c>
      <c r="Z511" s="685" t="e">
        <f t="shared" si="422"/>
        <v>#DIV/0!</v>
      </c>
      <c r="AA511" s="276" t="e">
        <f t="shared" si="423"/>
        <v>#DIV/0!</v>
      </c>
      <c r="AB511" s="276" t="e">
        <f t="shared" si="424"/>
        <v>#DIV/0!</v>
      </c>
      <c r="AC511" s="276" t="e">
        <f t="shared" si="425"/>
        <v>#DIV/0!</v>
      </c>
      <c r="AD511" s="276" t="e">
        <f t="shared" si="426"/>
        <v>#DIV/0!</v>
      </c>
      <c r="AE511" s="686" t="e">
        <f t="shared" si="427"/>
        <v>#DIV/0!</v>
      </c>
      <c r="AF511" s="239"/>
      <c r="AG511" s="965" t="e">
        <f t="shared" si="398"/>
        <v>#VALUE!</v>
      </c>
      <c r="AH511" s="878" t="e">
        <f t="shared" si="399"/>
        <v>#VALUE!</v>
      </c>
      <c r="AI511" s="878" t="e">
        <f t="shared" si="400"/>
        <v>#VALUE!</v>
      </c>
      <c r="AJ511" s="878" t="e">
        <f t="shared" si="401"/>
        <v>#VALUE!</v>
      </c>
      <c r="AK511" s="878" t="e">
        <f t="shared" si="402"/>
        <v>#VALUE!</v>
      </c>
      <c r="AL511" s="966" t="e">
        <f t="shared" si="403"/>
        <v>#VALUE!</v>
      </c>
      <c r="AM511" s="239"/>
      <c r="AO511" s="685">
        <f t="shared" si="428"/>
        <v>-1.4115018979685692</v>
      </c>
      <c r="AP511" s="276">
        <f t="shared" si="429"/>
        <v>0.77739272270115567</v>
      </c>
      <c r="AQ511" s="276">
        <f t="shared" si="430"/>
        <v>1.0520532513123537</v>
      </c>
      <c r="AR511" s="276">
        <f t="shared" si="431"/>
        <v>0.48540312437579192</v>
      </c>
      <c r="AS511" s="276">
        <f t="shared" si="432"/>
        <v>-1.2495940551465998</v>
      </c>
      <c r="AT511" s="276">
        <f t="shared" si="433"/>
        <v>-1.7476246722014244</v>
      </c>
      <c r="AU511" s="685">
        <f t="shared" si="434"/>
        <v>1.891756553308628</v>
      </c>
      <c r="AV511" s="276">
        <f t="shared" si="435"/>
        <v>1.5215243923229982</v>
      </c>
      <c r="AW511" s="276">
        <f t="shared" si="436"/>
        <v>1.7197541185818495</v>
      </c>
      <c r="AX511" s="276">
        <f t="shared" si="437"/>
        <v>1.7768902319054327</v>
      </c>
      <c r="AY511" s="276">
        <f t="shared" si="438"/>
        <v>0.90510659095128942</v>
      </c>
      <c r="AZ511" s="686">
        <f t="shared" si="439"/>
        <v>2.1071119783441459</v>
      </c>
      <c r="BA511" s="685">
        <f t="shared" si="440"/>
        <v>0</v>
      </c>
      <c r="BB511" s="276">
        <f t="shared" si="441"/>
        <v>0</v>
      </c>
      <c r="BC511" s="276">
        <f t="shared" si="442"/>
        <v>0</v>
      </c>
      <c r="BD511" s="276">
        <f t="shared" si="443"/>
        <v>0</v>
      </c>
      <c r="BE511" s="276">
        <f t="shared" si="444"/>
        <v>0</v>
      </c>
      <c r="BF511" s="686">
        <f t="shared" si="445"/>
        <v>0</v>
      </c>
      <c r="BG511" s="685" t="e">
        <f t="shared" si="446"/>
        <v>#DIV/0!</v>
      </c>
      <c r="BH511" s="276" t="e">
        <f t="shared" si="447"/>
        <v>#DIV/0!</v>
      </c>
      <c r="BI511" s="276" t="e">
        <f t="shared" si="448"/>
        <v>#DIV/0!</v>
      </c>
      <c r="BJ511" s="276" t="e">
        <f t="shared" si="449"/>
        <v>#DIV/0!</v>
      </c>
      <c r="BK511" s="276" t="e">
        <f t="shared" si="450"/>
        <v>#DIV/0!</v>
      </c>
      <c r="BL511" s="686" t="e">
        <f t="shared" si="451"/>
        <v>#DIV/0!</v>
      </c>
      <c r="BM511" s="239"/>
      <c r="BN511" s="965" t="e">
        <f t="shared" si="452"/>
        <v>#VALUE!</v>
      </c>
      <c r="BO511" s="878" t="e">
        <f t="shared" si="453"/>
        <v>#VALUE!</v>
      </c>
      <c r="BP511" s="878" t="e">
        <f t="shared" si="454"/>
        <v>#VALUE!</v>
      </c>
      <c r="BQ511" s="878" t="e">
        <f t="shared" si="455"/>
        <v>#VALUE!</v>
      </c>
      <c r="BR511" s="878" t="e">
        <f t="shared" si="456"/>
        <v>#VALUE!</v>
      </c>
      <c r="BS511" s="966" t="e">
        <f t="shared" si="457"/>
        <v>#VALUE!</v>
      </c>
    </row>
    <row r="512" spans="1:71">
      <c r="A512" s="284">
        <f t="shared" si="458"/>
        <v>444</v>
      </c>
      <c r="B512" s="285">
        <v>4.5602925989323841</v>
      </c>
      <c r="C512" s="285">
        <v>2.6905208621934147</v>
      </c>
      <c r="D512" s="285">
        <v>3.2581582561763192</v>
      </c>
      <c r="E512" s="285">
        <v>-0.36456313716667621</v>
      </c>
      <c r="H512" s="685">
        <f t="shared" si="404"/>
        <v>3.4270587571633291</v>
      </c>
      <c r="I512" s="276">
        <f t="shared" si="405"/>
        <v>-1.9199800504676152</v>
      </c>
      <c r="J512" s="276">
        <f t="shared" si="406"/>
        <v>2.6204989925259481</v>
      </c>
      <c r="K512" s="276">
        <f t="shared" si="407"/>
        <v>0.33679785938127904</v>
      </c>
      <c r="L512" s="276">
        <f t="shared" si="408"/>
        <v>2.0397629535693067</v>
      </c>
      <c r="M512" s="276">
        <f t="shared" si="409"/>
        <v>3.2347148922996212</v>
      </c>
      <c r="N512" s="685">
        <f t="shared" si="410"/>
        <v>1.4833496512215463</v>
      </c>
      <c r="O512" s="276">
        <f t="shared" si="411"/>
        <v>1.4612654138081067</v>
      </c>
      <c r="P512" s="276">
        <f t="shared" si="412"/>
        <v>1.4318744407973749</v>
      </c>
      <c r="Q512" s="276">
        <f t="shared" si="413"/>
        <v>1.2880060770742185</v>
      </c>
      <c r="R512" s="276">
        <f t="shared" si="414"/>
        <v>1.1227642998367171</v>
      </c>
      <c r="S512" s="686">
        <f t="shared" si="415"/>
        <v>1.1267719672487735</v>
      </c>
      <c r="T512" s="685">
        <f t="shared" si="416"/>
        <v>6.5365219464472446</v>
      </c>
      <c r="U512" s="276">
        <f t="shared" si="417"/>
        <v>3.6000364315693627</v>
      </c>
      <c r="V512" s="276">
        <f t="shared" si="418"/>
        <v>6.0393955571043723</v>
      </c>
      <c r="W512" s="276">
        <f t="shared" si="419"/>
        <v>4.13336647257211</v>
      </c>
      <c r="X512" s="276">
        <f t="shared" si="420"/>
        <v>3.6545676294987097</v>
      </c>
      <c r="Y512" s="686">
        <f t="shared" si="421"/>
        <v>4.4640765391387269</v>
      </c>
      <c r="Z512" s="685" t="e">
        <f t="shared" si="422"/>
        <v>#DIV/0!</v>
      </c>
      <c r="AA512" s="276" t="e">
        <f t="shared" si="423"/>
        <v>#DIV/0!</v>
      </c>
      <c r="AB512" s="276" t="e">
        <f t="shared" si="424"/>
        <v>#DIV/0!</v>
      </c>
      <c r="AC512" s="276" t="e">
        <f t="shared" si="425"/>
        <v>#DIV/0!</v>
      </c>
      <c r="AD512" s="276" t="e">
        <f t="shared" si="426"/>
        <v>#DIV/0!</v>
      </c>
      <c r="AE512" s="686" t="e">
        <f t="shared" si="427"/>
        <v>#DIV/0!</v>
      </c>
      <c r="AF512" s="239"/>
      <c r="AG512" s="965" t="e">
        <f t="shared" si="398"/>
        <v>#VALUE!</v>
      </c>
      <c r="AH512" s="878" t="e">
        <f t="shared" si="399"/>
        <v>#VALUE!</v>
      </c>
      <c r="AI512" s="878" t="e">
        <f t="shared" si="400"/>
        <v>#VALUE!</v>
      </c>
      <c r="AJ512" s="878" t="e">
        <f t="shared" si="401"/>
        <v>#VALUE!</v>
      </c>
      <c r="AK512" s="878" t="e">
        <f t="shared" si="402"/>
        <v>#VALUE!</v>
      </c>
      <c r="AL512" s="966" t="e">
        <f t="shared" si="403"/>
        <v>#VALUE!</v>
      </c>
      <c r="AM512" s="239"/>
      <c r="AO512" s="685">
        <f t="shared" si="428"/>
        <v>3.4270587571633291</v>
      </c>
      <c r="AP512" s="276">
        <f t="shared" si="429"/>
        <v>-1.9199800504676152</v>
      </c>
      <c r="AQ512" s="276">
        <f t="shared" si="430"/>
        <v>2.6204989925259481</v>
      </c>
      <c r="AR512" s="276">
        <f t="shared" si="431"/>
        <v>0.33679785938127904</v>
      </c>
      <c r="AS512" s="276">
        <f t="shared" si="432"/>
        <v>2.0397629535693067</v>
      </c>
      <c r="AT512" s="276">
        <f t="shared" si="433"/>
        <v>3.2347148922996212</v>
      </c>
      <c r="AU512" s="685">
        <f t="shared" si="434"/>
        <v>1.4833496512215463</v>
      </c>
      <c r="AV512" s="276">
        <f t="shared" si="435"/>
        <v>1.4612654138081067</v>
      </c>
      <c r="AW512" s="276">
        <f t="shared" si="436"/>
        <v>1.4318744407973749</v>
      </c>
      <c r="AX512" s="276">
        <f t="shared" si="437"/>
        <v>1.2880060770742185</v>
      </c>
      <c r="AY512" s="276">
        <f t="shared" si="438"/>
        <v>1.1227642998367171</v>
      </c>
      <c r="AZ512" s="686">
        <f t="shared" si="439"/>
        <v>1.1267719672487735</v>
      </c>
      <c r="BA512" s="685">
        <f t="shared" si="440"/>
        <v>0</v>
      </c>
      <c r="BB512" s="276">
        <f t="shared" si="441"/>
        <v>0</v>
      </c>
      <c r="BC512" s="276">
        <f t="shared" si="442"/>
        <v>0</v>
      </c>
      <c r="BD512" s="276">
        <f t="shared" si="443"/>
        <v>0</v>
      </c>
      <c r="BE512" s="276">
        <f t="shared" si="444"/>
        <v>0</v>
      </c>
      <c r="BF512" s="686">
        <f t="shared" si="445"/>
        <v>0</v>
      </c>
      <c r="BG512" s="685" t="e">
        <f t="shared" si="446"/>
        <v>#DIV/0!</v>
      </c>
      <c r="BH512" s="276" t="e">
        <f t="shared" si="447"/>
        <v>#DIV/0!</v>
      </c>
      <c r="BI512" s="276" t="e">
        <f t="shared" si="448"/>
        <v>#DIV/0!</v>
      </c>
      <c r="BJ512" s="276" t="e">
        <f t="shared" si="449"/>
        <v>#DIV/0!</v>
      </c>
      <c r="BK512" s="276" t="e">
        <f t="shared" si="450"/>
        <v>#DIV/0!</v>
      </c>
      <c r="BL512" s="686" t="e">
        <f t="shared" si="451"/>
        <v>#DIV/0!</v>
      </c>
      <c r="BM512" s="239"/>
      <c r="BN512" s="965" t="e">
        <f t="shared" si="452"/>
        <v>#VALUE!</v>
      </c>
      <c r="BO512" s="878" t="e">
        <f t="shared" si="453"/>
        <v>#VALUE!</v>
      </c>
      <c r="BP512" s="878" t="e">
        <f t="shared" si="454"/>
        <v>#VALUE!</v>
      </c>
      <c r="BQ512" s="878" t="e">
        <f t="shared" si="455"/>
        <v>#VALUE!</v>
      </c>
      <c r="BR512" s="878" t="e">
        <f t="shared" si="456"/>
        <v>#VALUE!</v>
      </c>
      <c r="BS512" s="966" t="e">
        <f t="shared" si="457"/>
        <v>#VALUE!</v>
      </c>
    </row>
    <row r="513" spans="1:71">
      <c r="A513" s="284">
        <f t="shared" si="458"/>
        <v>445</v>
      </c>
      <c r="B513" s="285">
        <v>3.9193880132070644</v>
      </c>
      <c r="C513" s="285">
        <v>2.8722215523247741</v>
      </c>
      <c r="D513" s="285">
        <v>2.9513012106397136</v>
      </c>
      <c r="E513" s="285">
        <v>-11.882189136596876</v>
      </c>
      <c r="H513" s="685">
        <f t="shared" si="404"/>
        <v>2.7861541714380094</v>
      </c>
      <c r="I513" s="276">
        <f t="shared" si="405"/>
        <v>-1.0923993395624514</v>
      </c>
      <c r="J513" s="276">
        <f t="shared" si="406"/>
        <v>-1.6180649767407389</v>
      </c>
      <c r="K513" s="276">
        <f t="shared" si="407"/>
        <v>-1.7884165014537499</v>
      </c>
      <c r="L513" s="276">
        <f t="shared" si="408"/>
        <v>2.6631925460411523</v>
      </c>
      <c r="M513" s="276">
        <f t="shared" si="409"/>
        <v>0.73022697996379526</v>
      </c>
      <c r="N513" s="685">
        <f t="shared" si="410"/>
        <v>1.6650503413529056</v>
      </c>
      <c r="O513" s="276">
        <f t="shared" si="411"/>
        <v>1.1191697432308445</v>
      </c>
      <c r="P513" s="276">
        <f t="shared" si="412"/>
        <v>1.1268577155109474</v>
      </c>
      <c r="Q513" s="276">
        <f t="shared" si="413"/>
        <v>1.6512359458139938</v>
      </c>
      <c r="R513" s="276">
        <f t="shared" si="414"/>
        <v>0.73822398495557096</v>
      </c>
      <c r="S513" s="686">
        <f t="shared" si="415"/>
        <v>2.1421012179719758</v>
      </c>
      <c r="T513" s="685">
        <f t="shared" si="416"/>
        <v>6.22966490091064</v>
      </c>
      <c r="U513" s="276">
        <f t="shared" si="417"/>
        <v>4.9554595247980506</v>
      </c>
      <c r="V513" s="276">
        <f t="shared" si="418"/>
        <v>3.3550101087465656</v>
      </c>
      <c r="W513" s="276">
        <f t="shared" si="419"/>
        <v>5.7540896090869555</v>
      </c>
      <c r="X513" s="276">
        <f t="shared" si="420"/>
        <v>5.2079371381458079</v>
      </c>
      <c r="Y513" s="686">
        <f t="shared" si="421"/>
        <v>5.0644078641931429</v>
      </c>
      <c r="Z513" s="685" t="e">
        <f t="shared" si="422"/>
        <v>#DIV/0!</v>
      </c>
      <c r="AA513" s="276" t="e">
        <f t="shared" si="423"/>
        <v>#DIV/0!</v>
      </c>
      <c r="AB513" s="276" t="e">
        <f t="shared" si="424"/>
        <v>#DIV/0!</v>
      </c>
      <c r="AC513" s="276" t="e">
        <f t="shared" si="425"/>
        <v>#DIV/0!</v>
      </c>
      <c r="AD513" s="276" t="e">
        <f t="shared" si="426"/>
        <v>#DIV/0!</v>
      </c>
      <c r="AE513" s="686" t="e">
        <f t="shared" si="427"/>
        <v>#DIV/0!</v>
      </c>
      <c r="AF513" s="239"/>
      <c r="AG513" s="965" t="e">
        <f t="shared" si="398"/>
        <v>#VALUE!</v>
      </c>
      <c r="AH513" s="878" t="e">
        <f t="shared" si="399"/>
        <v>#VALUE!</v>
      </c>
      <c r="AI513" s="878" t="e">
        <f t="shared" si="400"/>
        <v>#VALUE!</v>
      </c>
      <c r="AJ513" s="878" t="e">
        <f t="shared" si="401"/>
        <v>#VALUE!</v>
      </c>
      <c r="AK513" s="878" t="e">
        <f t="shared" si="402"/>
        <v>#VALUE!</v>
      </c>
      <c r="AL513" s="966" t="e">
        <f t="shared" si="403"/>
        <v>#VALUE!</v>
      </c>
      <c r="AM513" s="239"/>
      <c r="AO513" s="685">
        <f t="shared" si="428"/>
        <v>2.7861541714380094</v>
      </c>
      <c r="AP513" s="276">
        <f t="shared" si="429"/>
        <v>-1.0923993395624514</v>
      </c>
      <c r="AQ513" s="276">
        <f t="shared" si="430"/>
        <v>-1.6180649767407389</v>
      </c>
      <c r="AR513" s="276">
        <f t="shared" si="431"/>
        <v>-1.7884165014537499</v>
      </c>
      <c r="AS513" s="276">
        <f t="shared" si="432"/>
        <v>2.6631925460411523</v>
      </c>
      <c r="AT513" s="276">
        <f t="shared" si="433"/>
        <v>0.73022697996379526</v>
      </c>
      <c r="AU513" s="685">
        <f t="shared" si="434"/>
        <v>1.6650503413529056</v>
      </c>
      <c r="AV513" s="276">
        <f t="shared" si="435"/>
        <v>1.1191697432308445</v>
      </c>
      <c r="AW513" s="276">
        <f t="shared" si="436"/>
        <v>1.1268577155109474</v>
      </c>
      <c r="AX513" s="276">
        <f t="shared" si="437"/>
        <v>1.6512359458139938</v>
      </c>
      <c r="AY513" s="276">
        <f t="shared" si="438"/>
        <v>0.73822398495557096</v>
      </c>
      <c r="AZ513" s="686">
        <f t="shared" si="439"/>
        <v>2.1421012179719758</v>
      </c>
      <c r="BA513" s="685">
        <f t="shared" si="440"/>
        <v>0</v>
      </c>
      <c r="BB513" s="276">
        <f t="shared" si="441"/>
        <v>0</v>
      </c>
      <c r="BC513" s="276">
        <f t="shared" si="442"/>
        <v>0</v>
      </c>
      <c r="BD513" s="276">
        <f t="shared" si="443"/>
        <v>0</v>
      </c>
      <c r="BE513" s="276">
        <f t="shared" si="444"/>
        <v>0</v>
      </c>
      <c r="BF513" s="686">
        <f t="shared" si="445"/>
        <v>0</v>
      </c>
      <c r="BG513" s="685" t="e">
        <f t="shared" si="446"/>
        <v>#DIV/0!</v>
      </c>
      <c r="BH513" s="276" t="e">
        <f t="shared" si="447"/>
        <v>#DIV/0!</v>
      </c>
      <c r="BI513" s="276" t="e">
        <f t="shared" si="448"/>
        <v>#DIV/0!</v>
      </c>
      <c r="BJ513" s="276" t="e">
        <f t="shared" si="449"/>
        <v>#DIV/0!</v>
      </c>
      <c r="BK513" s="276" t="e">
        <f t="shared" si="450"/>
        <v>#DIV/0!</v>
      </c>
      <c r="BL513" s="686" t="e">
        <f t="shared" si="451"/>
        <v>#DIV/0!</v>
      </c>
      <c r="BM513" s="239"/>
      <c r="BN513" s="965" t="e">
        <f t="shared" si="452"/>
        <v>#VALUE!</v>
      </c>
      <c r="BO513" s="878" t="e">
        <f t="shared" si="453"/>
        <v>#VALUE!</v>
      </c>
      <c r="BP513" s="878" t="e">
        <f t="shared" si="454"/>
        <v>#VALUE!</v>
      </c>
      <c r="BQ513" s="878" t="e">
        <f t="shared" si="455"/>
        <v>#VALUE!</v>
      </c>
      <c r="BR513" s="878" t="e">
        <f t="shared" si="456"/>
        <v>#VALUE!</v>
      </c>
      <c r="BS513" s="966" t="e">
        <f t="shared" si="457"/>
        <v>#VALUE!</v>
      </c>
    </row>
    <row r="514" spans="1:71">
      <c r="A514" s="284">
        <f t="shared" si="458"/>
        <v>446</v>
      </c>
      <c r="B514" s="285">
        <v>2.5781687973023382</v>
      </c>
      <c r="C514" s="285">
        <v>2.8901585873370794</v>
      </c>
      <c r="D514" s="285">
        <v>1.2116529043959494</v>
      </c>
      <c r="E514" s="285">
        <v>10.982053143130424</v>
      </c>
      <c r="H514" s="685">
        <f t="shared" si="404"/>
        <v>1.4449349555332833</v>
      </c>
      <c r="I514" s="276">
        <f t="shared" si="405"/>
        <v>-1.373911904349417</v>
      </c>
      <c r="J514" s="276">
        <f t="shared" si="406"/>
        <v>-1.9457852747966364</v>
      </c>
      <c r="K514" s="276">
        <f t="shared" si="407"/>
        <v>-1.2483594998978711</v>
      </c>
      <c r="L514" s="276">
        <f t="shared" si="408"/>
        <v>-2.018851852974179</v>
      </c>
      <c r="M514" s="276">
        <f t="shared" si="409"/>
        <v>0.9017099823754029</v>
      </c>
      <c r="N514" s="685">
        <f t="shared" si="410"/>
        <v>1.682987376365211</v>
      </c>
      <c r="O514" s="276">
        <f t="shared" si="411"/>
        <v>1.2268055604994343</v>
      </c>
      <c r="P514" s="276">
        <f t="shared" si="412"/>
        <v>1.9282803940130411</v>
      </c>
      <c r="Q514" s="276">
        <f t="shared" si="413"/>
        <v>1.0094370084690991</v>
      </c>
      <c r="R514" s="276">
        <f t="shared" si="414"/>
        <v>0.20376886259452487</v>
      </c>
      <c r="S514" s="686">
        <f t="shared" si="415"/>
        <v>1.6452089322503121</v>
      </c>
      <c r="T514" s="685">
        <f t="shared" si="416"/>
        <v>4.4900165946668755</v>
      </c>
      <c r="U514" s="276">
        <f t="shared" si="417"/>
        <v>4.4638811547983481</v>
      </c>
      <c r="V514" s="276">
        <f t="shared" si="418"/>
        <v>2.8456296855573591</v>
      </c>
      <c r="W514" s="276">
        <f t="shared" si="419"/>
        <v>3.9270262033158794</v>
      </c>
      <c r="X514" s="276">
        <f t="shared" si="420"/>
        <v>3.7829030397494985</v>
      </c>
      <c r="Y514" s="686">
        <f t="shared" si="421"/>
        <v>3.9224106200389675</v>
      </c>
      <c r="Z514" s="685" t="e">
        <f t="shared" si="422"/>
        <v>#DIV/0!</v>
      </c>
      <c r="AA514" s="276" t="e">
        <f t="shared" si="423"/>
        <v>#DIV/0!</v>
      </c>
      <c r="AB514" s="276" t="e">
        <f t="shared" si="424"/>
        <v>#DIV/0!</v>
      </c>
      <c r="AC514" s="276" t="e">
        <f t="shared" si="425"/>
        <v>#DIV/0!</v>
      </c>
      <c r="AD514" s="276" t="e">
        <f t="shared" si="426"/>
        <v>#DIV/0!</v>
      </c>
      <c r="AE514" s="686" t="e">
        <f t="shared" si="427"/>
        <v>#DIV/0!</v>
      </c>
      <c r="AF514" s="239"/>
      <c r="AG514" s="965" t="e">
        <f t="shared" si="398"/>
        <v>#VALUE!</v>
      </c>
      <c r="AH514" s="878" t="e">
        <f t="shared" si="399"/>
        <v>#VALUE!</v>
      </c>
      <c r="AI514" s="878" t="e">
        <f t="shared" si="400"/>
        <v>#VALUE!</v>
      </c>
      <c r="AJ514" s="878" t="e">
        <f t="shared" si="401"/>
        <v>#VALUE!</v>
      </c>
      <c r="AK514" s="878" t="e">
        <f t="shared" si="402"/>
        <v>#VALUE!</v>
      </c>
      <c r="AL514" s="966" t="e">
        <f t="shared" si="403"/>
        <v>#VALUE!</v>
      </c>
      <c r="AM514" s="239"/>
      <c r="AO514" s="685">
        <f t="shared" si="428"/>
        <v>1.4449349555332833</v>
      </c>
      <c r="AP514" s="276">
        <f t="shared" si="429"/>
        <v>-1.373911904349417</v>
      </c>
      <c r="AQ514" s="276">
        <f t="shared" si="430"/>
        <v>-1.9457852747966364</v>
      </c>
      <c r="AR514" s="276">
        <f t="shared" si="431"/>
        <v>-1.2483594998978711</v>
      </c>
      <c r="AS514" s="276">
        <f t="shared" si="432"/>
        <v>-2.018851852974179</v>
      </c>
      <c r="AT514" s="276">
        <f t="shared" si="433"/>
        <v>0.9017099823754029</v>
      </c>
      <c r="AU514" s="685">
        <f t="shared" si="434"/>
        <v>1.682987376365211</v>
      </c>
      <c r="AV514" s="276">
        <f t="shared" si="435"/>
        <v>1.2268055604994343</v>
      </c>
      <c r="AW514" s="276">
        <f t="shared" si="436"/>
        <v>1.9282803940130411</v>
      </c>
      <c r="AX514" s="276">
        <f t="shared" si="437"/>
        <v>1.0094370084690991</v>
      </c>
      <c r="AY514" s="276">
        <f t="shared" si="438"/>
        <v>0.20376886259452487</v>
      </c>
      <c r="AZ514" s="686">
        <f t="shared" si="439"/>
        <v>1.6452089322503121</v>
      </c>
      <c r="BA514" s="685">
        <f t="shared" si="440"/>
        <v>0</v>
      </c>
      <c r="BB514" s="276">
        <f t="shared" si="441"/>
        <v>0</v>
      </c>
      <c r="BC514" s="276">
        <f t="shared" si="442"/>
        <v>0</v>
      </c>
      <c r="BD514" s="276">
        <f t="shared" si="443"/>
        <v>0</v>
      </c>
      <c r="BE514" s="276">
        <f t="shared" si="444"/>
        <v>0</v>
      </c>
      <c r="BF514" s="686">
        <f t="shared" si="445"/>
        <v>0</v>
      </c>
      <c r="BG514" s="685" t="e">
        <f t="shared" si="446"/>
        <v>#DIV/0!</v>
      </c>
      <c r="BH514" s="276" t="e">
        <f t="shared" si="447"/>
        <v>#DIV/0!</v>
      </c>
      <c r="BI514" s="276" t="e">
        <f t="shared" si="448"/>
        <v>#DIV/0!</v>
      </c>
      <c r="BJ514" s="276" t="e">
        <f t="shared" si="449"/>
        <v>#DIV/0!</v>
      </c>
      <c r="BK514" s="276" t="e">
        <f t="shared" si="450"/>
        <v>#DIV/0!</v>
      </c>
      <c r="BL514" s="686" t="e">
        <f t="shared" si="451"/>
        <v>#DIV/0!</v>
      </c>
      <c r="BM514" s="239"/>
      <c r="BN514" s="965" t="e">
        <f t="shared" si="452"/>
        <v>#VALUE!</v>
      </c>
      <c r="BO514" s="878" t="e">
        <f t="shared" si="453"/>
        <v>#VALUE!</v>
      </c>
      <c r="BP514" s="878" t="e">
        <f t="shared" si="454"/>
        <v>#VALUE!</v>
      </c>
      <c r="BQ514" s="878" t="e">
        <f t="shared" si="455"/>
        <v>#VALUE!</v>
      </c>
      <c r="BR514" s="878" t="e">
        <f t="shared" si="456"/>
        <v>#VALUE!</v>
      </c>
      <c r="BS514" s="966" t="e">
        <f t="shared" si="457"/>
        <v>#VALUE!</v>
      </c>
    </row>
    <row r="515" spans="1:71">
      <c r="A515" s="284">
        <f t="shared" si="458"/>
        <v>447</v>
      </c>
      <c r="B515" s="285">
        <v>-2.0815897651018873</v>
      </c>
      <c r="C515" s="285">
        <v>2.3160108867190705</v>
      </c>
      <c r="D515" s="285">
        <v>0.14288179535898649</v>
      </c>
      <c r="E515" s="285">
        <v>-11.917612751098179</v>
      </c>
      <c r="H515" s="685">
        <f t="shared" si="404"/>
        <v>-3.2148236068709419</v>
      </c>
      <c r="I515" s="276">
        <f t="shared" si="405"/>
        <v>-4.1779157264178401</v>
      </c>
      <c r="J515" s="276">
        <f t="shared" si="406"/>
        <v>-1.4732199957382019</v>
      </c>
      <c r="K515" s="276">
        <f t="shared" si="407"/>
        <v>-2.3158430281299247</v>
      </c>
      <c r="L515" s="276">
        <f t="shared" si="408"/>
        <v>0.47947593924858323</v>
      </c>
      <c r="M515" s="276">
        <f t="shared" si="409"/>
        <v>1.5135813268656488</v>
      </c>
      <c r="N515" s="685">
        <f t="shared" si="410"/>
        <v>1.1088396757472021</v>
      </c>
      <c r="O515" s="276">
        <f t="shared" si="411"/>
        <v>1.2840928377907315</v>
      </c>
      <c r="P515" s="276">
        <f t="shared" si="412"/>
        <v>1.0015495606271532</v>
      </c>
      <c r="Q515" s="276">
        <f t="shared" si="413"/>
        <v>0.95253697963690365</v>
      </c>
      <c r="R515" s="276">
        <f t="shared" si="414"/>
        <v>1.2876570754845125</v>
      </c>
      <c r="S515" s="686">
        <f t="shared" si="415"/>
        <v>0.90298072919965011</v>
      </c>
      <c r="T515" s="685">
        <f t="shared" si="416"/>
        <v>3.4212454856299122</v>
      </c>
      <c r="U515" s="276">
        <f t="shared" si="417"/>
        <v>4.3976586834811791</v>
      </c>
      <c r="V515" s="276">
        <f t="shared" si="418"/>
        <v>5.1305100575757043</v>
      </c>
      <c r="W515" s="276">
        <f t="shared" si="419"/>
        <v>6.0277621511886101</v>
      </c>
      <c r="X515" s="276">
        <f t="shared" si="420"/>
        <v>6.1241662684826714</v>
      </c>
      <c r="Y515" s="686">
        <f t="shared" si="421"/>
        <v>4.1142668677420557</v>
      </c>
      <c r="Z515" s="685" t="e">
        <f t="shared" si="422"/>
        <v>#DIV/0!</v>
      </c>
      <c r="AA515" s="276" t="e">
        <f t="shared" si="423"/>
        <v>#DIV/0!</v>
      </c>
      <c r="AB515" s="276" t="e">
        <f t="shared" si="424"/>
        <v>#DIV/0!</v>
      </c>
      <c r="AC515" s="276" t="e">
        <f t="shared" si="425"/>
        <v>#DIV/0!</v>
      </c>
      <c r="AD515" s="276" t="e">
        <f t="shared" si="426"/>
        <v>#DIV/0!</v>
      </c>
      <c r="AE515" s="686" t="e">
        <f t="shared" si="427"/>
        <v>#DIV/0!</v>
      </c>
      <c r="AF515" s="239"/>
      <c r="AG515" s="965" t="e">
        <f t="shared" si="398"/>
        <v>#VALUE!</v>
      </c>
      <c r="AH515" s="878" t="e">
        <f t="shared" si="399"/>
        <v>#VALUE!</v>
      </c>
      <c r="AI515" s="878" t="e">
        <f t="shared" si="400"/>
        <v>#VALUE!</v>
      </c>
      <c r="AJ515" s="878" t="e">
        <f t="shared" si="401"/>
        <v>#VALUE!</v>
      </c>
      <c r="AK515" s="878" t="e">
        <f t="shared" si="402"/>
        <v>#VALUE!</v>
      </c>
      <c r="AL515" s="966" t="e">
        <f t="shared" si="403"/>
        <v>#VALUE!</v>
      </c>
      <c r="AM515" s="239"/>
      <c r="AO515" s="685">
        <f t="shared" si="428"/>
        <v>-3.2148236068709419</v>
      </c>
      <c r="AP515" s="276">
        <f t="shared" si="429"/>
        <v>-4.1779157264178401</v>
      </c>
      <c r="AQ515" s="276">
        <f t="shared" si="430"/>
        <v>-1.4732199957382019</v>
      </c>
      <c r="AR515" s="276">
        <f t="shared" si="431"/>
        <v>-2.3158430281299247</v>
      </c>
      <c r="AS515" s="276">
        <f t="shared" si="432"/>
        <v>0.47947593924858323</v>
      </c>
      <c r="AT515" s="276">
        <f t="shared" si="433"/>
        <v>1.5135813268656488</v>
      </c>
      <c r="AU515" s="685">
        <f t="shared" si="434"/>
        <v>1.1088396757472021</v>
      </c>
      <c r="AV515" s="276">
        <f t="shared" si="435"/>
        <v>1.2840928377907315</v>
      </c>
      <c r="AW515" s="276">
        <f t="shared" si="436"/>
        <v>1.0015495606271532</v>
      </c>
      <c r="AX515" s="276">
        <f t="shared" si="437"/>
        <v>0.95253697963690365</v>
      </c>
      <c r="AY515" s="276">
        <f t="shared" si="438"/>
        <v>1.2876570754845125</v>
      </c>
      <c r="AZ515" s="686">
        <f t="shared" si="439"/>
        <v>0.90298072919965011</v>
      </c>
      <c r="BA515" s="685">
        <f t="shared" si="440"/>
        <v>0</v>
      </c>
      <c r="BB515" s="276">
        <f t="shared" si="441"/>
        <v>0</v>
      </c>
      <c r="BC515" s="276">
        <f t="shared" si="442"/>
        <v>0</v>
      </c>
      <c r="BD515" s="276">
        <f t="shared" si="443"/>
        <v>0</v>
      </c>
      <c r="BE515" s="276">
        <f t="shared" si="444"/>
        <v>0</v>
      </c>
      <c r="BF515" s="686">
        <f t="shared" si="445"/>
        <v>0</v>
      </c>
      <c r="BG515" s="685" t="e">
        <f t="shared" si="446"/>
        <v>#DIV/0!</v>
      </c>
      <c r="BH515" s="276" t="e">
        <f t="shared" si="447"/>
        <v>#DIV/0!</v>
      </c>
      <c r="BI515" s="276" t="e">
        <f t="shared" si="448"/>
        <v>#DIV/0!</v>
      </c>
      <c r="BJ515" s="276" t="e">
        <f t="shared" si="449"/>
        <v>#DIV/0!</v>
      </c>
      <c r="BK515" s="276" t="e">
        <f t="shared" si="450"/>
        <v>#DIV/0!</v>
      </c>
      <c r="BL515" s="686" t="e">
        <f t="shared" si="451"/>
        <v>#DIV/0!</v>
      </c>
      <c r="BM515" s="239"/>
      <c r="BN515" s="965" t="e">
        <f t="shared" si="452"/>
        <v>#VALUE!</v>
      </c>
      <c r="BO515" s="878" t="e">
        <f t="shared" si="453"/>
        <v>#VALUE!</v>
      </c>
      <c r="BP515" s="878" t="e">
        <f t="shared" si="454"/>
        <v>#VALUE!</v>
      </c>
      <c r="BQ515" s="878" t="e">
        <f t="shared" si="455"/>
        <v>#VALUE!</v>
      </c>
      <c r="BR515" s="878" t="e">
        <f t="shared" si="456"/>
        <v>#VALUE!</v>
      </c>
      <c r="BS515" s="966" t="e">
        <f t="shared" si="457"/>
        <v>#VALUE!</v>
      </c>
    </row>
    <row r="516" spans="1:71">
      <c r="A516" s="284">
        <f t="shared" si="458"/>
        <v>448</v>
      </c>
      <c r="B516" s="285">
        <v>-1.0177972284350145</v>
      </c>
      <c r="C516" s="285">
        <v>2.1684577547658321</v>
      </c>
      <c r="D516" s="285">
        <v>0.76566925899999738</v>
      </c>
      <c r="E516" s="285">
        <v>1.4316476511351008</v>
      </c>
      <c r="H516" s="685">
        <f t="shared" si="404"/>
        <v>-2.1510310702040694</v>
      </c>
      <c r="I516" s="276">
        <f t="shared" si="405"/>
        <v>-0.24014769159976024</v>
      </c>
      <c r="J516" s="276">
        <f t="shared" si="406"/>
        <v>0.10430382831510077</v>
      </c>
      <c r="K516" s="276">
        <f t="shared" si="407"/>
        <v>4.7269720454662876</v>
      </c>
      <c r="L516" s="276">
        <f t="shared" si="408"/>
        <v>-3.1916027894520163</v>
      </c>
      <c r="M516" s="276">
        <f t="shared" si="409"/>
        <v>-1.0509477961178479</v>
      </c>
      <c r="N516" s="685">
        <f t="shared" si="410"/>
        <v>0.96128654379396372</v>
      </c>
      <c r="O516" s="276">
        <f t="shared" si="411"/>
        <v>0.58842430386165412</v>
      </c>
      <c r="P516" s="276">
        <f t="shared" si="412"/>
        <v>1.055655677944648</v>
      </c>
      <c r="Q516" s="276">
        <f t="shared" si="413"/>
        <v>3.0869220600738725</v>
      </c>
      <c r="R516" s="276">
        <f t="shared" si="414"/>
        <v>1.2640491305773882</v>
      </c>
      <c r="S516" s="686">
        <f t="shared" si="415"/>
        <v>1.6211642325513365</v>
      </c>
      <c r="T516" s="685">
        <f t="shared" si="416"/>
        <v>4.0440329492709228</v>
      </c>
      <c r="U516" s="276">
        <f t="shared" si="417"/>
        <v>5.5542395992163449</v>
      </c>
      <c r="V516" s="276">
        <f t="shared" si="418"/>
        <v>3.730695285183379</v>
      </c>
      <c r="W516" s="276">
        <f t="shared" si="419"/>
        <v>5.6010671498244289</v>
      </c>
      <c r="X516" s="276">
        <f t="shared" si="420"/>
        <v>2.8035441124639617</v>
      </c>
      <c r="Y516" s="686">
        <f t="shared" si="421"/>
        <v>4.654065598475646</v>
      </c>
      <c r="Z516" s="685" t="e">
        <f t="shared" si="422"/>
        <v>#DIV/0!</v>
      </c>
      <c r="AA516" s="276" t="e">
        <f t="shared" si="423"/>
        <v>#DIV/0!</v>
      </c>
      <c r="AB516" s="276" t="e">
        <f t="shared" si="424"/>
        <v>#DIV/0!</v>
      </c>
      <c r="AC516" s="276" t="e">
        <f t="shared" si="425"/>
        <v>#DIV/0!</v>
      </c>
      <c r="AD516" s="276" t="e">
        <f t="shared" si="426"/>
        <v>#DIV/0!</v>
      </c>
      <c r="AE516" s="686" t="e">
        <f t="shared" si="427"/>
        <v>#DIV/0!</v>
      </c>
      <c r="AF516" s="239"/>
      <c r="AG516" s="965" t="e">
        <f t="shared" si="398"/>
        <v>#VALUE!</v>
      </c>
      <c r="AH516" s="878" t="e">
        <f t="shared" si="399"/>
        <v>#VALUE!</v>
      </c>
      <c r="AI516" s="878" t="e">
        <f t="shared" si="400"/>
        <v>#VALUE!</v>
      </c>
      <c r="AJ516" s="878" t="e">
        <f t="shared" si="401"/>
        <v>#VALUE!</v>
      </c>
      <c r="AK516" s="878" t="e">
        <f t="shared" si="402"/>
        <v>#VALUE!</v>
      </c>
      <c r="AL516" s="966" t="e">
        <f t="shared" si="403"/>
        <v>#VALUE!</v>
      </c>
      <c r="AM516" s="239"/>
      <c r="AO516" s="685">
        <f t="shared" si="428"/>
        <v>-2.1510310702040694</v>
      </c>
      <c r="AP516" s="276">
        <f t="shared" si="429"/>
        <v>-0.24014769159976024</v>
      </c>
      <c r="AQ516" s="276">
        <f t="shared" si="430"/>
        <v>0.10430382831510077</v>
      </c>
      <c r="AR516" s="276">
        <f t="shared" si="431"/>
        <v>4.7269720454662876</v>
      </c>
      <c r="AS516" s="276">
        <f t="shared" si="432"/>
        <v>-3.1916027894520163</v>
      </c>
      <c r="AT516" s="276">
        <f t="shared" si="433"/>
        <v>-1.0509477961178479</v>
      </c>
      <c r="AU516" s="685">
        <f t="shared" si="434"/>
        <v>0.96128654379396372</v>
      </c>
      <c r="AV516" s="276">
        <f t="shared" si="435"/>
        <v>0.58842430386165412</v>
      </c>
      <c r="AW516" s="276">
        <f t="shared" si="436"/>
        <v>1.055655677944648</v>
      </c>
      <c r="AX516" s="276">
        <f t="shared" si="437"/>
        <v>3.0869220600738725</v>
      </c>
      <c r="AY516" s="276">
        <f t="shared" si="438"/>
        <v>1.2640491305773882</v>
      </c>
      <c r="AZ516" s="686">
        <f t="shared" si="439"/>
        <v>1.6211642325513365</v>
      </c>
      <c r="BA516" s="685">
        <f t="shared" si="440"/>
        <v>0</v>
      </c>
      <c r="BB516" s="276">
        <f t="shared" si="441"/>
        <v>0</v>
      </c>
      <c r="BC516" s="276">
        <f t="shared" si="442"/>
        <v>0</v>
      </c>
      <c r="BD516" s="276">
        <f t="shared" si="443"/>
        <v>0</v>
      </c>
      <c r="BE516" s="276">
        <f t="shared" si="444"/>
        <v>0</v>
      </c>
      <c r="BF516" s="686">
        <f t="shared" si="445"/>
        <v>0</v>
      </c>
      <c r="BG516" s="685" t="e">
        <f t="shared" si="446"/>
        <v>#DIV/0!</v>
      </c>
      <c r="BH516" s="276" t="e">
        <f t="shared" si="447"/>
        <v>#DIV/0!</v>
      </c>
      <c r="BI516" s="276" t="e">
        <f t="shared" si="448"/>
        <v>#DIV/0!</v>
      </c>
      <c r="BJ516" s="276" t="e">
        <f t="shared" si="449"/>
        <v>#DIV/0!</v>
      </c>
      <c r="BK516" s="276" t="e">
        <f t="shared" si="450"/>
        <v>#DIV/0!</v>
      </c>
      <c r="BL516" s="686" t="e">
        <f t="shared" si="451"/>
        <v>#DIV/0!</v>
      </c>
      <c r="BM516" s="239"/>
      <c r="BN516" s="965" t="e">
        <f t="shared" si="452"/>
        <v>#VALUE!</v>
      </c>
      <c r="BO516" s="878" t="e">
        <f t="shared" si="453"/>
        <v>#VALUE!</v>
      </c>
      <c r="BP516" s="878" t="e">
        <f t="shared" si="454"/>
        <v>#VALUE!</v>
      </c>
      <c r="BQ516" s="878" t="e">
        <f t="shared" si="455"/>
        <v>#VALUE!</v>
      </c>
      <c r="BR516" s="878" t="e">
        <f t="shared" si="456"/>
        <v>#VALUE!</v>
      </c>
      <c r="BS516" s="966" t="e">
        <f t="shared" si="457"/>
        <v>#VALUE!</v>
      </c>
    </row>
    <row r="517" spans="1:71">
      <c r="A517" s="284">
        <f t="shared" si="458"/>
        <v>449</v>
      </c>
      <c r="B517" s="285">
        <v>0.27526886931542155</v>
      </c>
      <c r="C517" s="285">
        <v>2.4605594689327339</v>
      </c>
      <c r="D517" s="285">
        <v>1.3831707050858315</v>
      </c>
      <c r="E517" s="285">
        <v>-7.4540355326906163</v>
      </c>
      <c r="H517" s="685">
        <f t="shared" si="404"/>
        <v>-0.85796497245363335</v>
      </c>
      <c r="I517" s="276">
        <f t="shared" si="405"/>
        <v>-0.2301397255513371</v>
      </c>
      <c r="J517" s="276">
        <f t="shared" si="406"/>
        <v>-0.22299482138935778</v>
      </c>
      <c r="K517" s="276">
        <f t="shared" si="407"/>
        <v>-5.7058889243806208</v>
      </c>
      <c r="L517" s="276">
        <f t="shared" si="408"/>
        <v>2.1018724076496742</v>
      </c>
      <c r="M517" s="276">
        <f t="shared" si="409"/>
        <v>-4.2690403985987198</v>
      </c>
      <c r="N517" s="685">
        <f t="shared" si="410"/>
        <v>1.2533882579608655</v>
      </c>
      <c r="O517" s="276">
        <f t="shared" si="411"/>
        <v>1.6581151980515167</v>
      </c>
      <c r="P517" s="276">
        <f t="shared" si="412"/>
        <v>1.2756363212331723</v>
      </c>
      <c r="Q517" s="276">
        <f t="shared" si="413"/>
        <v>0.53937762970104752</v>
      </c>
      <c r="R517" s="276">
        <f t="shared" si="414"/>
        <v>1.313756978537638</v>
      </c>
      <c r="S517" s="686">
        <f t="shared" si="415"/>
        <v>1.1534034818893864</v>
      </c>
      <c r="T517" s="685">
        <f t="shared" si="416"/>
        <v>4.6615343953567576</v>
      </c>
      <c r="U517" s="276">
        <f t="shared" si="417"/>
        <v>5.7952989201780554</v>
      </c>
      <c r="V517" s="276">
        <f t="shared" si="418"/>
        <v>3.219144503938844</v>
      </c>
      <c r="W517" s="276">
        <f t="shared" si="419"/>
        <v>4.5370026010643727</v>
      </c>
      <c r="X517" s="276">
        <f t="shared" si="420"/>
        <v>6.0081122353723462</v>
      </c>
      <c r="Y517" s="686">
        <f t="shared" si="421"/>
        <v>4.4699945394977885</v>
      </c>
      <c r="Z517" s="685" t="e">
        <f t="shared" si="422"/>
        <v>#DIV/0!</v>
      </c>
      <c r="AA517" s="276" t="e">
        <f t="shared" si="423"/>
        <v>#DIV/0!</v>
      </c>
      <c r="AB517" s="276" t="e">
        <f t="shared" si="424"/>
        <v>#DIV/0!</v>
      </c>
      <c r="AC517" s="276" t="e">
        <f t="shared" si="425"/>
        <v>#DIV/0!</v>
      </c>
      <c r="AD517" s="276" t="e">
        <f t="shared" si="426"/>
        <v>#DIV/0!</v>
      </c>
      <c r="AE517" s="686" t="e">
        <f t="shared" si="427"/>
        <v>#DIV/0!</v>
      </c>
      <c r="AF517" s="239"/>
      <c r="AG517" s="965" t="e">
        <f t="shared" ref="AG517:AG580" si="459">S$53*(1+(T$55+N517)/100)*((1-S$62)+S$62*((1+(T$57+Z517)/100)))/(1+(T$54+H517)/100)-(T$56+T517)+T$58</f>
        <v>#VALUE!</v>
      </c>
      <c r="AH517" s="878" t="e">
        <f t="shared" ref="AH517:AH580" si="460">AG517*(1+(U$55+O517)/100)*((1-T$62)+T$62*((1+(U$57+AA517)/100)))/(1+(U$54+I517)/100)-(U$56+U517)+U$58</f>
        <v>#VALUE!</v>
      </c>
      <c r="AI517" s="878" t="e">
        <f t="shared" ref="AI517:AI580" si="461">AH517*(1+(V$55+P517)/100)*((1-U$62)+U$62*((1+(V$57+AB517)/100)))/(1+(V$54+J517)/100)-(V$56+V517)+V$58</f>
        <v>#VALUE!</v>
      </c>
      <c r="AJ517" s="878" t="e">
        <f t="shared" ref="AJ517:AJ580" si="462">AI517*(1+(W$55+Q517)/100)*((1-V$62)+V$62*((1+(W$57+AC517)/100)))/(1+(W$54+K517)/100)-(W$56+W517)+W$58</f>
        <v>#VALUE!</v>
      </c>
      <c r="AK517" s="878" t="e">
        <f t="shared" ref="AK517:AK580" si="463">AJ517*(1+(X$55+R517)/100)*((1-W$62)+W$62*((1+(X$57+AD517)/100)))/(1+(X$54+L517)/100)-(X$56+X517)+X$58</f>
        <v>#VALUE!</v>
      </c>
      <c r="AL517" s="966" t="e">
        <f t="shared" ref="AL517:AL580" si="464">AK517*(1+(Y$55+S517)/100)*((1-X$62)+X$62*((1+(Y$57+AE517)/100)))/(1+(Y$54+M517)/100)-(Y$56+Y517)+Y$58</f>
        <v>#VALUE!</v>
      </c>
      <c r="AM517" s="239"/>
      <c r="AO517" s="685">
        <f t="shared" si="428"/>
        <v>-0.85796497245363335</v>
      </c>
      <c r="AP517" s="276">
        <f t="shared" si="429"/>
        <v>-0.2301397255513371</v>
      </c>
      <c r="AQ517" s="276">
        <f t="shared" si="430"/>
        <v>-0.22299482138935778</v>
      </c>
      <c r="AR517" s="276">
        <f t="shared" si="431"/>
        <v>-5.7058889243806208</v>
      </c>
      <c r="AS517" s="276">
        <f t="shared" si="432"/>
        <v>2.1018724076496742</v>
      </c>
      <c r="AT517" s="276">
        <f t="shared" si="433"/>
        <v>-4.2690403985987198</v>
      </c>
      <c r="AU517" s="685">
        <f t="shared" si="434"/>
        <v>1.2533882579608655</v>
      </c>
      <c r="AV517" s="276">
        <f t="shared" si="435"/>
        <v>1.6581151980515167</v>
      </c>
      <c r="AW517" s="276">
        <f t="shared" si="436"/>
        <v>1.2756363212331723</v>
      </c>
      <c r="AX517" s="276">
        <f t="shared" si="437"/>
        <v>0.53937762970104752</v>
      </c>
      <c r="AY517" s="276">
        <f t="shared" si="438"/>
        <v>1.313756978537638</v>
      </c>
      <c r="AZ517" s="686">
        <f t="shared" si="439"/>
        <v>1.1534034818893864</v>
      </c>
      <c r="BA517" s="685">
        <f t="shared" si="440"/>
        <v>0</v>
      </c>
      <c r="BB517" s="276">
        <f t="shared" si="441"/>
        <v>0</v>
      </c>
      <c r="BC517" s="276">
        <f t="shared" si="442"/>
        <v>0</v>
      </c>
      <c r="BD517" s="276">
        <f t="shared" si="443"/>
        <v>0</v>
      </c>
      <c r="BE517" s="276">
        <f t="shared" si="444"/>
        <v>0</v>
      </c>
      <c r="BF517" s="686">
        <f t="shared" si="445"/>
        <v>0</v>
      </c>
      <c r="BG517" s="685" t="e">
        <f t="shared" si="446"/>
        <v>#DIV/0!</v>
      </c>
      <c r="BH517" s="276" t="e">
        <f t="shared" si="447"/>
        <v>#DIV/0!</v>
      </c>
      <c r="BI517" s="276" t="e">
        <f t="shared" si="448"/>
        <v>#DIV/0!</v>
      </c>
      <c r="BJ517" s="276" t="e">
        <f t="shared" si="449"/>
        <v>#DIV/0!</v>
      </c>
      <c r="BK517" s="276" t="e">
        <f t="shared" si="450"/>
        <v>#DIV/0!</v>
      </c>
      <c r="BL517" s="686" t="e">
        <f t="shared" si="451"/>
        <v>#DIV/0!</v>
      </c>
      <c r="BM517" s="239"/>
      <c r="BN517" s="965" t="e">
        <f t="shared" si="452"/>
        <v>#VALUE!</v>
      </c>
      <c r="BO517" s="878" t="e">
        <f t="shared" si="453"/>
        <v>#VALUE!</v>
      </c>
      <c r="BP517" s="878" t="e">
        <f t="shared" si="454"/>
        <v>#VALUE!</v>
      </c>
      <c r="BQ517" s="878" t="e">
        <f t="shared" si="455"/>
        <v>#VALUE!</v>
      </c>
      <c r="BR517" s="878" t="e">
        <f t="shared" si="456"/>
        <v>#VALUE!</v>
      </c>
      <c r="BS517" s="966" t="e">
        <f t="shared" si="457"/>
        <v>#VALUE!</v>
      </c>
    </row>
    <row r="518" spans="1:71">
      <c r="A518" s="284">
        <f t="shared" si="458"/>
        <v>450</v>
      </c>
      <c r="B518" s="285">
        <v>-1.0099704681717583</v>
      </c>
      <c r="C518" s="285">
        <v>3.3275847292055811</v>
      </c>
      <c r="D518" s="285">
        <v>0.80098534238421593</v>
      </c>
      <c r="E518" s="285">
        <v>6.6326727483035448</v>
      </c>
      <c r="H518" s="685">
        <f t="shared" ref="H518:H581" si="465">IF($B$42="On",$B518-$D$15,0)</f>
        <v>-2.1432043099408133</v>
      </c>
      <c r="I518" s="276">
        <f t="shared" ref="I518:I581" si="466">IF($B$42="On",$B1518-$D$15,0)</f>
        <v>-1.047143543328956</v>
      </c>
      <c r="J518" s="276">
        <f t="shared" ref="J518:J581" si="467">IF($B$42="On",$B2518-$D$15,0)</f>
        <v>-2.0303474757417339E-2</v>
      </c>
      <c r="K518" s="276">
        <f t="shared" ref="K518:K581" si="468">IF($B$42="On",$B3518-$D$15,0)</f>
        <v>0.40049181609340367</v>
      </c>
      <c r="L518" s="276">
        <f t="shared" ref="L518:L581" si="469">IF($B$42="On",$B4518-$D$15,0)</f>
        <v>-4.7527158992809424</v>
      </c>
      <c r="M518" s="276">
        <f t="shared" ref="M518:M581" si="470">IF($B$42="On",$B5518-$D$15,0)</f>
        <v>-0.39312937732096886</v>
      </c>
      <c r="N518" s="685">
        <f t="shared" ref="N518:N581" si="471">IF($B$43="On",$C518-$D$16,0)</f>
        <v>2.1204135182337129</v>
      </c>
      <c r="O518" s="276">
        <f t="shared" ref="O518:O581" si="472">IF($B$43="On",$C1518-$D$16,0)</f>
        <v>1.1843142559390281</v>
      </c>
      <c r="P518" s="276">
        <f t="shared" ref="P518:P581" si="473">IF($B$43="On",$C2518-$D$16,0)</f>
        <v>2.1265666061298267</v>
      </c>
      <c r="Q518" s="276">
        <f t="shared" ref="Q518:Q581" si="474">IF($B$43="On",$C3518-$D$16,0)</f>
        <v>1.3453625426379621</v>
      </c>
      <c r="R518" s="276">
        <f t="shared" ref="R518:R581" si="475">IF($B$43="On",$C4518-$D$16,0)</f>
        <v>1.3432795038722689</v>
      </c>
      <c r="S518" s="686">
        <f t="shared" ref="S518:S581" si="476">IF($B$43="On",$C5518-$D$16,0)</f>
        <v>1.3275664500821172</v>
      </c>
      <c r="T518" s="685">
        <f t="shared" ref="T518:T581" si="477">IF($B$44="On",$D518-$D$17,0)</f>
        <v>4.0793490326551414</v>
      </c>
      <c r="U518" s="276">
        <f t="shared" ref="U518:U581" si="478">IF($B$44="On",$D1518-$D$17,0)</f>
        <v>4.6606379546911718</v>
      </c>
      <c r="V518" s="276">
        <f t="shared" ref="V518:V581" si="479">IF($B$44="On",$D2518-$D$17,0)</f>
        <v>4.222795230071787</v>
      </c>
      <c r="W518" s="276">
        <f t="shared" ref="W518:W581" si="480">IF($B$44="On",$D3518-$D$17,0)</f>
        <v>7.6109140750520101</v>
      </c>
      <c r="X518" s="276">
        <f t="shared" ref="X518:X581" si="481">IF($B$44="On",$D4518-$D$17,0)</f>
        <v>1.6620940993101447</v>
      </c>
      <c r="Y518" s="686">
        <f t="shared" ref="Y518:Y581" si="482">IF($B$44="On",$D5518-$D$17,0)</f>
        <v>3.3362176451267906</v>
      </c>
      <c r="Z518" s="685" t="e">
        <f t="shared" ref="Z518:Z581" si="483">IF($B$45="On",$E518-$D$18,0)</f>
        <v>#DIV/0!</v>
      </c>
      <c r="AA518" s="276" t="e">
        <f t="shared" ref="AA518:AA581" si="484">IF($B$45="On",$E1518-$D$18,0)</f>
        <v>#DIV/0!</v>
      </c>
      <c r="AB518" s="276" t="e">
        <f t="shared" ref="AB518:AB581" si="485">IF($B$45="On",$E2518-$D$18,0)</f>
        <v>#DIV/0!</v>
      </c>
      <c r="AC518" s="276" t="e">
        <f t="shared" ref="AC518:AC581" si="486">IF($B$45="On",$E3518-$D$18,0)</f>
        <v>#DIV/0!</v>
      </c>
      <c r="AD518" s="276" t="e">
        <f t="shared" ref="AD518:AD581" si="487">IF($B$45="On",$E4518-$D$18,0)</f>
        <v>#DIV/0!</v>
      </c>
      <c r="AE518" s="686" t="e">
        <f t="shared" ref="AE518:AE581" si="488">IF($B$45="On",$E5518-$D$18,0)</f>
        <v>#DIV/0!</v>
      </c>
      <c r="AF518" s="239"/>
      <c r="AG518" s="965" t="e">
        <f t="shared" si="459"/>
        <v>#VALUE!</v>
      </c>
      <c r="AH518" s="878" t="e">
        <f t="shared" si="460"/>
        <v>#VALUE!</v>
      </c>
      <c r="AI518" s="878" t="e">
        <f t="shared" si="461"/>
        <v>#VALUE!</v>
      </c>
      <c r="AJ518" s="878" t="e">
        <f t="shared" si="462"/>
        <v>#VALUE!</v>
      </c>
      <c r="AK518" s="878" t="e">
        <f t="shared" si="463"/>
        <v>#VALUE!</v>
      </c>
      <c r="AL518" s="966" t="e">
        <f t="shared" si="464"/>
        <v>#VALUE!</v>
      </c>
      <c r="AM518" s="239"/>
      <c r="AO518" s="685">
        <f t="shared" ref="AO518:AO581" si="489">IF($B$42="On",MIN($B518-$D$15,$D$42),0)</f>
        <v>-2.1432043099408133</v>
      </c>
      <c r="AP518" s="276">
        <f t="shared" ref="AP518:AP581" si="490">IF($B$42="On",MIN($B1518-$D$15,$D$42),0)</f>
        <v>-1.047143543328956</v>
      </c>
      <c r="AQ518" s="276">
        <f t="shared" ref="AQ518:AQ581" si="491">IF($B$42="On",MIN($B2518-$D$15,$D$42),0)</f>
        <v>-2.0303474757417339E-2</v>
      </c>
      <c r="AR518" s="276">
        <f t="shared" ref="AR518:AR581" si="492">IF($B$42="On",MIN($B3518-$D$15,$D$42),0)</f>
        <v>0.40049181609340367</v>
      </c>
      <c r="AS518" s="276">
        <f t="shared" ref="AS518:AS581" si="493">IF($B$42="On",MIN($B4518-$D$15,$D$42),0)</f>
        <v>-4.7527158992809424</v>
      </c>
      <c r="AT518" s="276">
        <f t="shared" ref="AT518:AT581" si="494">IF($B$42="On",MIN($B5518-$D$15,$D$42),0)</f>
        <v>-0.39312937732096886</v>
      </c>
      <c r="AU518" s="685">
        <f t="shared" ref="AU518:AU581" si="495">IF($B$43="On",MAX($C518-$D$16,$D$43),0)</f>
        <v>2.1204135182337129</v>
      </c>
      <c r="AV518" s="276">
        <f t="shared" ref="AV518:AV581" si="496">IF($B$43="On",MAX($C1518-$D$16,$D$43),0)</f>
        <v>1.1843142559390281</v>
      </c>
      <c r="AW518" s="276">
        <f t="shared" ref="AW518:AW581" si="497">IF($B$43="On",MAX($C2518-$D$16,$D$43),0)</f>
        <v>2.1265666061298267</v>
      </c>
      <c r="AX518" s="276">
        <f t="shared" ref="AX518:AX581" si="498">IF($B$43="On",MAX($C3518-$D$16,$D$43),0)</f>
        <v>1.3453625426379621</v>
      </c>
      <c r="AY518" s="276">
        <f t="shared" ref="AY518:AY581" si="499">IF($B$43="On",MAX($C4518-$D$16,$D$43),0)</f>
        <v>1.3432795038722689</v>
      </c>
      <c r="AZ518" s="686">
        <f t="shared" ref="AZ518:AZ581" si="500">IF($B$43="On",MAX($C5518-$D$16,$D$43),0)</f>
        <v>1.3275664500821172</v>
      </c>
      <c r="BA518" s="685">
        <f t="shared" ref="BA518:BA581" si="501">IF($B$44="On",MIN($D518-$D$17,$D$44),0)</f>
        <v>0</v>
      </c>
      <c r="BB518" s="276">
        <f t="shared" ref="BB518:BB581" si="502">IF($B$44="On",MIN($D1518-$D$17,$D$44),0)</f>
        <v>0</v>
      </c>
      <c r="BC518" s="276">
        <f t="shared" ref="BC518:BC581" si="503">IF($B$44="On",MIN($D2518-$D$17,$D$44),0)</f>
        <v>0</v>
      </c>
      <c r="BD518" s="276">
        <f t="shared" ref="BD518:BD581" si="504">IF($B$44="On",MIN($D3518-$D$17,$D$44),0)</f>
        <v>0</v>
      </c>
      <c r="BE518" s="276">
        <f t="shared" ref="BE518:BE581" si="505">IF($B$44="On",MIN($D4518-$D$17,$D$44),0)</f>
        <v>0</v>
      </c>
      <c r="BF518" s="686">
        <f t="shared" ref="BF518:BF581" si="506">IF($B$44="On",MIN($D5518-$D$17,$D$44),0)</f>
        <v>0</v>
      </c>
      <c r="BG518" s="685" t="e">
        <f t="shared" ref="BG518:BG581" si="507">IF($B$45="On",MAX($E518-$D$18,$D$45),0)</f>
        <v>#DIV/0!</v>
      </c>
      <c r="BH518" s="276" t="e">
        <f t="shared" ref="BH518:BH581" si="508">IF($B$45="On",MAX($E1518-$D$18,$D$45),0)</f>
        <v>#DIV/0!</v>
      </c>
      <c r="BI518" s="276" t="e">
        <f t="shared" ref="BI518:BI581" si="509">IF($B$45="On",MAX($E2518-$D$18,$D$45),0)</f>
        <v>#DIV/0!</v>
      </c>
      <c r="BJ518" s="276" t="e">
        <f t="shared" ref="BJ518:BJ581" si="510">IF($B$45="On",MAX($E3518-$D$18,$D$45),0)</f>
        <v>#DIV/0!</v>
      </c>
      <c r="BK518" s="276" t="e">
        <f t="shared" ref="BK518:BK581" si="511">IF($B$45="On",MAX($E4518-$D$18,$D$45),0)</f>
        <v>#DIV/0!</v>
      </c>
      <c r="BL518" s="686" t="e">
        <f t="shared" ref="BL518:BL581" si="512">IF($B$45="On",MAX($E5518-$D$18,$D$45),0)</f>
        <v>#DIV/0!</v>
      </c>
      <c r="BM518" s="239"/>
      <c r="BN518" s="965" t="e">
        <f t="shared" ref="BN518:BN581" si="513">S$53*(1+(T$55+AU518)/100)*((1-S$62)+S$62*((1+(T$57+BG518)/100)))/(1+(T$54+AO518)/100)-(T$56+BA518)+T$58</f>
        <v>#VALUE!</v>
      </c>
      <c r="BO518" s="878" t="e">
        <f t="shared" ref="BO518:BO581" si="514">BN518*(1+(U$55+AV518)/100)*((1-T$62)+T$62*((1+(U$57+BH518)/100)))/(1+(U$54+AP518)/100)-(U$56+BB518)+U$58</f>
        <v>#VALUE!</v>
      </c>
      <c r="BP518" s="878" t="e">
        <f t="shared" ref="BP518:BP581" si="515">BO518*(1+(V$55+AW518)/100)*((1-U$62)+U$62*((1+(V$57+BI518)/100)))/(1+(V$54+AQ518)/100)-(V$56+BC518)+V$58</f>
        <v>#VALUE!</v>
      </c>
      <c r="BQ518" s="878" t="e">
        <f t="shared" ref="BQ518:BQ581" si="516">BP518*(1+(W$55+AX518)/100)*((1-V$62)+V$62*((1+(W$57+BJ518)/100)))/(1+(W$54+AR518)/100)-(W$56+BD518)+W$58</f>
        <v>#VALUE!</v>
      </c>
      <c r="BR518" s="878" t="e">
        <f t="shared" ref="BR518:BR581" si="517">BQ518*(1+(X$55+AY518)/100)*((1-W$62)+W$62*((1+(X$57+BK518)/100)))/(1+(X$54+AS518)/100)-(X$56+BE518)+X$58</f>
        <v>#VALUE!</v>
      </c>
      <c r="BS518" s="966" t="e">
        <f t="shared" ref="BS518:BS581" si="518">BR518*(1+(Y$55+AZ518)/100)*((1-X$62)+X$62*((1+(Y$57+BL518)/100)))/(1+(Y$54+AT518)/100)-(Y$56+BF518)+Y$58</f>
        <v>#VALUE!</v>
      </c>
    </row>
    <row r="519" spans="1:71">
      <c r="A519" s="284">
        <f t="shared" ref="A519:A582" si="519">A518+1</f>
        <v>451</v>
      </c>
      <c r="B519" s="285">
        <v>-1.4860577520671396</v>
      </c>
      <c r="C519" s="285">
        <v>2.4233351588138188</v>
      </c>
      <c r="D519" s="285">
        <v>1.4259921762758558</v>
      </c>
      <c r="E519" s="285">
        <v>1.0025115358481789</v>
      </c>
      <c r="H519" s="685">
        <f t="shared" si="465"/>
        <v>-2.6192915938361945</v>
      </c>
      <c r="I519" s="276">
        <f t="shared" si="466"/>
        <v>-2.0457273477635844</v>
      </c>
      <c r="J519" s="276">
        <f t="shared" si="467"/>
        <v>2.7237390834689252</v>
      </c>
      <c r="K519" s="276">
        <f t="shared" si="468"/>
        <v>-1.0875517899260192</v>
      </c>
      <c r="L519" s="276">
        <f t="shared" si="469"/>
        <v>1.4860538668850938</v>
      </c>
      <c r="M519" s="276">
        <f t="shared" si="470"/>
        <v>-2.9303481299585563</v>
      </c>
      <c r="N519" s="685">
        <f t="shared" si="471"/>
        <v>1.2161639478419504</v>
      </c>
      <c r="O519" s="276">
        <f t="shared" si="472"/>
        <v>0.75606536988184181</v>
      </c>
      <c r="P519" s="276">
        <f t="shared" si="473"/>
        <v>1.5143742013133956</v>
      </c>
      <c r="Q519" s="276">
        <f t="shared" si="474"/>
        <v>0.57353020622165363</v>
      </c>
      <c r="R519" s="276">
        <f t="shared" si="475"/>
        <v>1.5893621178752488</v>
      </c>
      <c r="S519" s="686">
        <f t="shared" si="476"/>
        <v>2.0430829324226885</v>
      </c>
      <c r="T519" s="685">
        <f t="shared" si="477"/>
        <v>4.7043558665467815</v>
      </c>
      <c r="U519" s="276">
        <f t="shared" si="478"/>
        <v>5.2384834538293958</v>
      </c>
      <c r="V519" s="276">
        <f t="shared" si="479"/>
        <v>6.2276821570981884</v>
      </c>
      <c r="W519" s="276">
        <f t="shared" si="480"/>
        <v>4.7317090720023041</v>
      </c>
      <c r="X519" s="276">
        <f t="shared" si="481"/>
        <v>5.6324218223140505</v>
      </c>
      <c r="Y519" s="686">
        <f t="shared" si="482"/>
        <v>3.3756905647439908</v>
      </c>
      <c r="Z519" s="685" t="e">
        <f t="shared" si="483"/>
        <v>#DIV/0!</v>
      </c>
      <c r="AA519" s="276" t="e">
        <f t="shared" si="484"/>
        <v>#DIV/0!</v>
      </c>
      <c r="AB519" s="276" t="e">
        <f t="shared" si="485"/>
        <v>#DIV/0!</v>
      </c>
      <c r="AC519" s="276" t="e">
        <f t="shared" si="486"/>
        <v>#DIV/0!</v>
      </c>
      <c r="AD519" s="276" t="e">
        <f t="shared" si="487"/>
        <v>#DIV/0!</v>
      </c>
      <c r="AE519" s="686" t="e">
        <f t="shared" si="488"/>
        <v>#DIV/0!</v>
      </c>
      <c r="AF519" s="239"/>
      <c r="AG519" s="965" t="e">
        <f t="shared" si="459"/>
        <v>#VALUE!</v>
      </c>
      <c r="AH519" s="878" t="e">
        <f t="shared" si="460"/>
        <v>#VALUE!</v>
      </c>
      <c r="AI519" s="878" t="e">
        <f t="shared" si="461"/>
        <v>#VALUE!</v>
      </c>
      <c r="AJ519" s="878" t="e">
        <f t="shared" si="462"/>
        <v>#VALUE!</v>
      </c>
      <c r="AK519" s="878" t="e">
        <f t="shared" si="463"/>
        <v>#VALUE!</v>
      </c>
      <c r="AL519" s="966" t="e">
        <f t="shared" si="464"/>
        <v>#VALUE!</v>
      </c>
      <c r="AM519" s="239"/>
      <c r="AO519" s="685">
        <f t="shared" si="489"/>
        <v>-2.6192915938361945</v>
      </c>
      <c r="AP519" s="276">
        <f t="shared" si="490"/>
        <v>-2.0457273477635844</v>
      </c>
      <c r="AQ519" s="276">
        <f t="shared" si="491"/>
        <v>2.7237390834689252</v>
      </c>
      <c r="AR519" s="276">
        <f t="shared" si="492"/>
        <v>-1.0875517899260192</v>
      </c>
      <c r="AS519" s="276">
        <f t="shared" si="493"/>
        <v>1.4860538668850938</v>
      </c>
      <c r="AT519" s="276">
        <f t="shared" si="494"/>
        <v>-2.9303481299585563</v>
      </c>
      <c r="AU519" s="685">
        <f t="shared" si="495"/>
        <v>1.2161639478419504</v>
      </c>
      <c r="AV519" s="276">
        <f t="shared" si="496"/>
        <v>0.75606536988184181</v>
      </c>
      <c r="AW519" s="276">
        <f t="shared" si="497"/>
        <v>1.5143742013133956</v>
      </c>
      <c r="AX519" s="276">
        <f t="shared" si="498"/>
        <v>0.57353020622165363</v>
      </c>
      <c r="AY519" s="276">
        <f t="shared" si="499"/>
        <v>1.5893621178752488</v>
      </c>
      <c r="AZ519" s="686">
        <f t="shared" si="500"/>
        <v>2.0430829324226885</v>
      </c>
      <c r="BA519" s="685">
        <f t="shared" si="501"/>
        <v>0</v>
      </c>
      <c r="BB519" s="276">
        <f t="shared" si="502"/>
        <v>0</v>
      </c>
      <c r="BC519" s="276">
        <f t="shared" si="503"/>
        <v>0</v>
      </c>
      <c r="BD519" s="276">
        <f t="shared" si="504"/>
        <v>0</v>
      </c>
      <c r="BE519" s="276">
        <f t="shared" si="505"/>
        <v>0</v>
      </c>
      <c r="BF519" s="686">
        <f t="shared" si="506"/>
        <v>0</v>
      </c>
      <c r="BG519" s="685" t="e">
        <f t="shared" si="507"/>
        <v>#DIV/0!</v>
      </c>
      <c r="BH519" s="276" t="e">
        <f t="shared" si="508"/>
        <v>#DIV/0!</v>
      </c>
      <c r="BI519" s="276" t="e">
        <f t="shared" si="509"/>
        <v>#DIV/0!</v>
      </c>
      <c r="BJ519" s="276" t="e">
        <f t="shared" si="510"/>
        <v>#DIV/0!</v>
      </c>
      <c r="BK519" s="276" t="e">
        <f t="shared" si="511"/>
        <v>#DIV/0!</v>
      </c>
      <c r="BL519" s="686" t="e">
        <f t="shared" si="512"/>
        <v>#DIV/0!</v>
      </c>
      <c r="BM519" s="239"/>
      <c r="BN519" s="965" t="e">
        <f t="shared" si="513"/>
        <v>#VALUE!</v>
      </c>
      <c r="BO519" s="878" t="e">
        <f t="shared" si="514"/>
        <v>#VALUE!</v>
      </c>
      <c r="BP519" s="878" t="e">
        <f t="shared" si="515"/>
        <v>#VALUE!</v>
      </c>
      <c r="BQ519" s="878" t="e">
        <f t="shared" si="516"/>
        <v>#VALUE!</v>
      </c>
      <c r="BR519" s="878" t="e">
        <f t="shared" si="517"/>
        <v>#VALUE!</v>
      </c>
      <c r="BS519" s="966" t="e">
        <f t="shared" si="518"/>
        <v>#VALUE!</v>
      </c>
    </row>
    <row r="520" spans="1:71">
      <c r="A520" s="284">
        <f t="shared" si="519"/>
        <v>452</v>
      </c>
      <c r="B520" s="285">
        <v>3.0580083706511916</v>
      </c>
      <c r="C520" s="285">
        <v>2.2476119568922388</v>
      </c>
      <c r="D520" s="285">
        <v>1.1332917207986779</v>
      </c>
      <c r="E520" s="285">
        <v>-15.849421038841596</v>
      </c>
      <c r="H520" s="685">
        <f t="shared" si="465"/>
        <v>1.9247745288821367</v>
      </c>
      <c r="I520" s="276">
        <f t="shared" si="466"/>
        <v>-0.56958217095612007</v>
      </c>
      <c r="J520" s="276">
        <f t="shared" si="467"/>
        <v>4.1260142943027054</v>
      </c>
      <c r="K520" s="276">
        <f t="shared" si="468"/>
        <v>1.4439651909837521</v>
      </c>
      <c r="L520" s="276">
        <f t="shared" si="469"/>
        <v>-2.1099350779878474</v>
      </c>
      <c r="M520" s="276">
        <f t="shared" si="470"/>
        <v>-1.5850162581726992</v>
      </c>
      <c r="N520" s="685">
        <f t="shared" si="471"/>
        <v>1.0404407459203704</v>
      </c>
      <c r="O520" s="276">
        <f t="shared" si="472"/>
        <v>1.2056905726716598</v>
      </c>
      <c r="P520" s="276">
        <f t="shared" si="473"/>
        <v>2.0660234934058854</v>
      </c>
      <c r="Q520" s="276">
        <f t="shared" si="474"/>
        <v>1.1979081411658099</v>
      </c>
      <c r="R520" s="276">
        <f t="shared" si="475"/>
        <v>2.2460103555026025</v>
      </c>
      <c r="S520" s="686">
        <f t="shared" si="476"/>
        <v>1.1777522883803704</v>
      </c>
      <c r="T520" s="685">
        <f t="shared" si="477"/>
        <v>4.4116554110696038</v>
      </c>
      <c r="U520" s="276">
        <f t="shared" si="478"/>
        <v>4.1941776050187363</v>
      </c>
      <c r="V520" s="276">
        <f t="shared" si="479"/>
        <v>6.2251563477791176</v>
      </c>
      <c r="W520" s="276">
        <f t="shared" si="480"/>
        <v>6.7614545826912158</v>
      </c>
      <c r="X520" s="276">
        <f t="shared" si="481"/>
        <v>4.498788121289877</v>
      </c>
      <c r="Y520" s="686">
        <f t="shared" si="482"/>
        <v>6.436901515283088</v>
      </c>
      <c r="Z520" s="685" t="e">
        <f t="shared" si="483"/>
        <v>#DIV/0!</v>
      </c>
      <c r="AA520" s="276" t="e">
        <f t="shared" si="484"/>
        <v>#DIV/0!</v>
      </c>
      <c r="AB520" s="276" t="e">
        <f t="shared" si="485"/>
        <v>#DIV/0!</v>
      </c>
      <c r="AC520" s="276" t="e">
        <f t="shared" si="486"/>
        <v>#DIV/0!</v>
      </c>
      <c r="AD520" s="276" t="e">
        <f t="shared" si="487"/>
        <v>#DIV/0!</v>
      </c>
      <c r="AE520" s="686" t="e">
        <f t="shared" si="488"/>
        <v>#DIV/0!</v>
      </c>
      <c r="AF520" s="239"/>
      <c r="AG520" s="965" t="e">
        <f t="shared" si="459"/>
        <v>#VALUE!</v>
      </c>
      <c r="AH520" s="878" t="e">
        <f t="shared" si="460"/>
        <v>#VALUE!</v>
      </c>
      <c r="AI520" s="878" t="e">
        <f t="shared" si="461"/>
        <v>#VALUE!</v>
      </c>
      <c r="AJ520" s="878" t="e">
        <f t="shared" si="462"/>
        <v>#VALUE!</v>
      </c>
      <c r="AK520" s="878" t="e">
        <f t="shared" si="463"/>
        <v>#VALUE!</v>
      </c>
      <c r="AL520" s="966" t="e">
        <f t="shared" si="464"/>
        <v>#VALUE!</v>
      </c>
      <c r="AM520" s="239"/>
      <c r="AO520" s="685">
        <f t="shared" si="489"/>
        <v>1.9247745288821367</v>
      </c>
      <c r="AP520" s="276">
        <f t="shared" si="490"/>
        <v>-0.56958217095612007</v>
      </c>
      <c r="AQ520" s="276">
        <f t="shared" si="491"/>
        <v>4.1260142943027054</v>
      </c>
      <c r="AR520" s="276">
        <f t="shared" si="492"/>
        <v>1.4439651909837521</v>
      </c>
      <c r="AS520" s="276">
        <f t="shared" si="493"/>
        <v>-2.1099350779878474</v>
      </c>
      <c r="AT520" s="276">
        <f t="shared" si="494"/>
        <v>-1.5850162581726992</v>
      </c>
      <c r="AU520" s="685">
        <f t="shared" si="495"/>
        <v>1.0404407459203704</v>
      </c>
      <c r="AV520" s="276">
        <f t="shared" si="496"/>
        <v>1.2056905726716598</v>
      </c>
      <c r="AW520" s="276">
        <f t="shared" si="497"/>
        <v>2.0660234934058854</v>
      </c>
      <c r="AX520" s="276">
        <f t="shared" si="498"/>
        <v>1.1979081411658099</v>
      </c>
      <c r="AY520" s="276">
        <f t="shared" si="499"/>
        <v>2.2460103555026025</v>
      </c>
      <c r="AZ520" s="686">
        <f t="shared" si="500"/>
        <v>1.1777522883803704</v>
      </c>
      <c r="BA520" s="685">
        <f t="shared" si="501"/>
        <v>0</v>
      </c>
      <c r="BB520" s="276">
        <f t="shared" si="502"/>
        <v>0</v>
      </c>
      <c r="BC520" s="276">
        <f t="shared" si="503"/>
        <v>0</v>
      </c>
      <c r="BD520" s="276">
        <f t="shared" si="504"/>
        <v>0</v>
      </c>
      <c r="BE520" s="276">
        <f t="shared" si="505"/>
        <v>0</v>
      </c>
      <c r="BF520" s="686">
        <f t="shared" si="506"/>
        <v>0</v>
      </c>
      <c r="BG520" s="685" t="e">
        <f t="shared" si="507"/>
        <v>#DIV/0!</v>
      </c>
      <c r="BH520" s="276" t="e">
        <f t="shared" si="508"/>
        <v>#DIV/0!</v>
      </c>
      <c r="BI520" s="276" t="e">
        <f t="shared" si="509"/>
        <v>#DIV/0!</v>
      </c>
      <c r="BJ520" s="276" t="e">
        <f t="shared" si="510"/>
        <v>#DIV/0!</v>
      </c>
      <c r="BK520" s="276" t="e">
        <f t="shared" si="511"/>
        <v>#DIV/0!</v>
      </c>
      <c r="BL520" s="686" t="e">
        <f t="shared" si="512"/>
        <v>#DIV/0!</v>
      </c>
      <c r="BM520" s="239"/>
      <c r="BN520" s="965" t="e">
        <f t="shared" si="513"/>
        <v>#VALUE!</v>
      </c>
      <c r="BO520" s="878" t="e">
        <f t="shared" si="514"/>
        <v>#VALUE!</v>
      </c>
      <c r="BP520" s="878" t="e">
        <f t="shared" si="515"/>
        <v>#VALUE!</v>
      </c>
      <c r="BQ520" s="878" t="e">
        <f t="shared" si="516"/>
        <v>#VALUE!</v>
      </c>
      <c r="BR520" s="878" t="e">
        <f t="shared" si="517"/>
        <v>#VALUE!</v>
      </c>
      <c r="BS520" s="966" t="e">
        <f t="shared" si="518"/>
        <v>#VALUE!</v>
      </c>
    </row>
    <row r="521" spans="1:71">
      <c r="A521" s="284">
        <f t="shared" si="519"/>
        <v>453</v>
      </c>
      <c r="B521" s="285">
        <v>-7.1716638100563266</v>
      </c>
      <c r="C521" s="285">
        <v>1.6344399786099693</v>
      </c>
      <c r="D521" s="285">
        <v>2.2668620017254084</v>
      </c>
      <c r="E521" s="285">
        <v>-2.220170310069228</v>
      </c>
      <c r="H521" s="685">
        <f t="shared" si="465"/>
        <v>-8.3048976518253816</v>
      </c>
      <c r="I521" s="276">
        <f t="shared" si="466"/>
        <v>2.9751563448264928</v>
      </c>
      <c r="J521" s="276">
        <f t="shared" si="467"/>
        <v>-1.6290925491422417</v>
      </c>
      <c r="K521" s="276">
        <f t="shared" si="468"/>
        <v>-1.4783567087623175</v>
      </c>
      <c r="L521" s="276">
        <f t="shared" si="469"/>
        <v>-4.3143546536836634</v>
      </c>
      <c r="M521" s="276">
        <f t="shared" si="470"/>
        <v>-1.3738622325102265</v>
      </c>
      <c r="N521" s="685">
        <f t="shared" si="471"/>
        <v>0.42726876763810084</v>
      </c>
      <c r="O521" s="276">
        <f t="shared" si="472"/>
        <v>1.5883457912292143</v>
      </c>
      <c r="P521" s="276">
        <f t="shared" si="473"/>
        <v>0.95478596841273222</v>
      </c>
      <c r="Q521" s="276">
        <f t="shared" si="474"/>
        <v>1.5957528392309823</v>
      </c>
      <c r="R521" s="276">
        <f t="shared" si="475"/>
        <v>1.5425139190846908</v>
      </c>
      <c r="S521" s="686">
        <f t="shared" si="476"/>
        <v>1.1884084522010638</v>
      </c>
      <c r="T521" s="685">
        <f t="shared" si="477"/>
        <v>5.5452256919963343</v>
      </c>
      <c r="U521" s="276">
        <f t="shared" si="478"/>
        <v>5.2951959552659469</v>
      </c>
      <c r="V521" s="276">
        <f t="shared" si="479"/>
        <v>6.0173178288583884</v>
      </c>
      <c r="W521" s="276">
        <f t="shared" si="480"/>
        <v>4.4543700445921042</v>
      </c>
      <c r="X521" s="276">
        <f t="shared" si="481"/>
        <v>3.7176986385197637</v>
      </c>
      <c r="Y521" s="686">
        <f t="shared" si="482"/>
        <v>5.7045631831998449</v>
      </c>
      <c r="Z521" s="685" t="e">
        <f t="shared" si="483"/>
        <v>#DIV/0!</v>
      </c>
      <c r="AA521" s="276" t="e">
        <f t="shared" si="484"/>
        <v>#DIV/0!</v>
      </c>
      <c r="AB521" s="276" t="e">
        <f t="shared" si="485"/>
        <v>#DIV/0!</v>
      </c>
      <c r="AC521" s="276" t="e">
        <f t="shared" si="486"/>
        <v>#DIV/0!</v>
      </c>
      <c r="AD521" s="276" t="e">
        <f t="shared" si="487"/>
        <v>#DIV/0!</v>
      </c>
      <c r="AE521" s="686" t="e">
        <f t="shared" si="488"/>
        <v>#DIV/0!</v>
      </c>
      <c r="AF521" s="239"/>
      <c r="AG521" s="965" t="e">
        <f t="shared" si="459"/>
        <v>#VALUE!</v>
      </c>
      <c r="AH521" s="878" t="e">
        <f t="shared" si="460"/>
        <v>#VALUE!</v>
      </c>
      <c r="AI521" s="878" t="e">
        <f t="shared" si="461"/>
        <v>#VALUE!</v>
      </c>
      <c r="AJ521" s="878" t="e">
        <f t="shared" si="462"/>
        <v>#VALUE!</v>
      </c>
      <c r="AK521" s="878" t="e">
        <f t="shared" si="463"/>
        <v>#VALUE!</v>
      </c>
      <c r="AL521" s="966" t="e">
        <f t="shared" si="464"/>
        <v>#VALUE!</v>
      </c>
      <c r="AM521" s="239"/>
      <c r="AO521" s="685">
        <f t="shared" si="489"/>
        <v>-8.3048976518253816</v>
      </c>
      <c r="AP521" s="276">
        <f t="shared" si="490"/>
        <v>2.9751563448264928</v>
      </c>
      <c r="AQ521" s="276">
        <f t="shared" si="491"/>
        <v>-1.6290925491422417</v>
      </c>
      <c r="AR521" s="276">
        <f t="shared" si="492"/>
        <v>-1.4783567087623175</v>
      </c>
      <c r="AS521" s="276">
        <f t="shared" si="493"/>
        <v>-4.3143546536836634</v>
      </c>
      <c r="AT521" s="276">
        <f t="shared" si="494"/>
        <v>-1.3738622325102265</v>
      </c>
      <c r="AU521" s="685">
        <f t="shared" si="495"/>
        <v>0.42726876763810084</v>
      </c>
      <c r="AV521" s="276">
        <f t="shared" si="496"/>
        <v>1.5883457912292143</v>
      </c>
      <c r="AW521" s="276">
        <f t="shared" si="497"/>
        <v>0.95478596841273222</v>
      </c>
      <c r="AX521" s="276">
        <f t="shared" si="498"/>
        <v>1.5957528392309823</v>
      </c>
      <c r="AY521" s="276">
        <f t="shared" si="499"/>
        <v>1.5425139190846908</v>
      </c>
      <c r="AZ521" s="686">
        <f t="shared" si="500"/>
        <v>1.1884084522010638</v>
      </c>
      <c r="BA521" s="685">
        <f t="shared" si="501"/>
        <v>0</v>
      </c>
      <c r="BB521" s="276">
        <f t="shared" si="502"/>
        <v>0</v>
      </c>
      <c r="BC521" s="276">
        <f t="shared" si="503"/>
        <v>0</v>
      </c>
      <c r="BD521" s="276">
        <f t="shared" si="504"/>
        <v>0</v>
      </c>
      <c r="BE521" s="276">
        <f t="shared" si="505"/>
        <v>0</v>
      </c>
      <c r="BF521" s="686">
        <f t="shared" si="506"/>
        <v>0</v>
      </c>
      <c r="BG521" s="685" t="e">
        <f t="shared" si="507"/>
        <v>#DIV/0!</v>
      </c>
      <c r="BH521" s="276" t="e">
        <f t="shared" si="508"/>
        <v>#DIV/0!</v>
      </c>
      <c r="BI521" s="276" t="e">
        <f t="shared" si="509"/>
        <v>#DIV/0!</v>
      </c>
      <c r="BJ521" s="276" t="e">
        <f t="shared" si="510"/>
        <v>#DIV/0!</v>
      </c>
      <c r="BK521" s="276" t="e">
        <f t="shared" si="511"/>
        <v>#DIV/0!</v>
      </c>
      <c r="BL521" s="686" t="e">
        <f t="shared" si="512"/>
        <v>#DIV/0!</v>
      </c>
      <c r="BM521" s="239"/>
      <c r="BN521" s="965" t="e">
        <f t="shared" si="513"/>
        <v>#VALUE!</v>
      </c>
      <c r="BO521" s="878" t="e">
        <f t="shared" si="514"/>
        <v>#VALUE!</v>
      </c>
      <c r="BP521" s="878" t="e">
        <f t="shared" si="515"/>
        <v>#VALUE!</v>
      </c>
      <c r="BQ521" s="878" t="e">
        <f t="shared" si="516"/>
        <v>#VALUE!</v>
      </c>
      <c r="BR521" s="878" t="e">
        <f t="shared" si="517"/>
        <v>#VALUE!</v>
      </c>
      <c r="BS521" s="966" t="e">
        <f t="shared" si="518"/>
        <v>#VALUE!</v>
      </c>
    </row>
    <row r="522" spans="1:71">
      <c r="A522" s="284">
        <f t="shared" si="519"/>
        <v>454</v>
      </c>
      <c r="B522" s="285">
        <v>2.1476071816768494</v>
      </c>
      <c r="C522" s="285">
        <v>2.3691426036069543</v>
      </c>
      <c r="D522" s="285">
        <v>-0.38112576091745964</v>
      </c>
      <c r="E522" s="285">
        <v>-10.204823954267857</v>
      </c>
      <c r="H522" s="685">
        <f t="shared" si="465"/>
        <v>1.0143733399077945</v>
      </c>
      <c r="I522" s="276">
        <f t="shared" si="466"/>
        <v>-1.6433813040571588</v>
      </c>
      <c r="J522" s="276">
        <f t="shared" si="467"/>
        <v>-4.5429280881914078</v>
      </c>
      <c r="K522" s="276">
        <f t="shared" si="468"/>
        <v>-1.3985141833070378</v>
      </c>
      <c r="L522" s="276">
        <f t="shared" si="469"/>
        <v>-3.9170488413692368</v>
      </c>
      <c r="M522" s="276">
        <f t="shared" si="470"/>
        <v>0.97478137891986871</v>
      </c>
      <c r="N522" s="685">
        <f t="shared" si="471"/>
        <v>1.1619713926350859</v>
      </c>
      <c r="O522" s="276">
        <f t="shared" si="472"/>
        <v>0.75152699708353032</v>
      </c>
      <c r="P522" s="276">
        <f t="shared" si="473"/>
        <v>1.3829828777313689</v>
      </c>
      <c r="Q522" s="276">
        <f t="shared" si="474"/>
        <v>1.9816283263808863</v>
      </c>
      <c r="R522" s="276">
        <f t="shared" si="475"/>
        <v>1.1076055308848789</v>
      </c>
      <c r="S522" s="686">
        <f t="shared" si="476"/>
        <v>1.726999975274367</v>
      </c>
      <c r="T522" s="685">
        <f t="shared" si="477"/>
        <v>2.8972379293534662</v>
      </c>
      <c r="U522" s="276">
        <f t="shared" si="478"/>
        <v>4.6959001329772034</v>
      </c>
      <c r="V522" s="276">
        <f t="shared" si="479"/>
        <v>2.501221827400359</v>
      </c>
      <c r="W522" s="276">
        <f t="shared" si="480"/>
        <v>2.5104913480089621</v>
      </c>
      <c r="X522" s="276">
        <f t="shared" si="481"/>
        <v>5.3598693021057491</v>
      </c>
      <c r="Y522" s="686">
        <f t="shared" si="482"/>
        <v>6.269862554905151</v>
      </c>
      <c r="Z522" s="685" t="e">
        <f t="shared" si="483"/>
        <v>#DIV/0!</v>
      </c>
      <c r="AA522" s="276" t="e">
        <f t="shared" si="484"/>
        <v>#DIV/0!</v>
      </c>
      <c r="AB522" s="276" t="e">
        <f t="shared" si="485"/>
        <v>#DIV/0!</v>
      </c>
      <c r="AC522" s="276" t="e">
        <f t="shared" si="486"/>
        <v>#DIV/0!</v>
      </c>
      <c r="AD522" s="276" t="e">
        <f t="shared" si="487"/>
        <v>#DIV/0!</v>
      </c>
      <c r="AE522" s="686" t="e">
        <f t="shared" si="488"/>
        <v>#DIV/0!</v>
      </c>
      <c r="AF522" s="239"/>
      <c r="AG522" s="965" t="e">
        <f t="shared" si="459"/>
        <v>#VALUE!</v>
      </c>
      <c r="AH522" s="878" t="e">
        <f t="shared" si="460"/>
        <v>#VALUE!</v>
      </c>
      <c r="AI522" s="878" t="e">
        <f t="shared" si="461"/>
        <v>#VALUE!</v>
      </c>
      <c r="AJ522" s="878" t="e">
        <f t="shared" si="462"/>
        <v>#VALUE!</v>
      </c>
      <c r="AK522" s="878" t="e">
        <f t="shared" si="463"/>
        <v>#VALUE!</v>
      </c>
      <c r="AL522" s="966" t="e">
        <f t="shared" si="464"/>
        <v>#VALUE!</v>
      </c>
      <c r="AM522" s="239"/>
      <c r="AO522" s="685">
        <f t="shared" si="489"/>
        <v>1.0143733399077945</v>
      </c>
      <c r="AP522" s="276">
        <f t="shared" si="490"/>
        <v>-1.6433813040571588</v>
      </c>
      <c r="AQ522" s="276">
        <f t="shared" si="491"/>
        <v>-4.5429280881914078</v>
      </c>
      <c r="AR522" s="276">
        <f t="shared" si="492"/>
        <v>-1.3985141833070378</v>
      </c>
      <c r="AS522" s="276">
        <f t="shared" si="493"/>
        <v>-3.9170488413692368</v>
      </c>
      <c r="AT522" s="276">
        <f t="shared" si="494"/>
        <v>0.97478137891986871</v>
      </c>
      <c r="AU522" s="685">
        <f t="shared" si="495"/>
        <v>1.1619713926350859</v>
      </c>
      <c r="AV522" s="276">
        <f t="shared" si="496"/>
        <v>0.75152699708353032</v>
      </c>
      <c r="AW522" s="276">
        <f t="shared" si="497"/>
        <v>1.3829828777313689</v>
      </c>
      <c r="AX522" s="276">
        <f t="shared" si="498"/>
        <v>1.9816283263808863</v>
      </c>
      <c r="AY522" s="276">
        <f t="shared" si="499"/>
        <v>1.1076055308848789</v>
      </c>
      <c r="AZ522" s="686">
        <f t="shared" si="500"/>
        <v>1.726999975274367</v>
      </c>
      <c r="BA522" s="685">
        <f t="shared" si="501"/>
        <v>0</v>
      </c>
      <c r="BB522" s="276">
        <f t="shared" si="502"/>
        <v>0</v>
      </c>
      <c r="BC522" s="276">
        <f t="shared" si="503"/>
        <v>0</v>
      </c>
      <c r="BD522" s="276">
        <f t="shared" si="504"/>
        <v>0</v>
      </c>
      <c r="BE522" s="276">
        <f t="shared" si="505"/>
        <v>0</v>
      </c>
      <c r="BF522" s="686">
        <f t="shared" si="506"/>
        <v>0</v>
      </c>
      <c r="BG522" s="685" t="e">
        <f t="shared" si="507"/>
        <v>#DIV/0!</v>
      </c>
      <c r="BH522" s="276" t="e">
        <f t="shared" si="508"/>
        <v>#DIV/0!</v>
      </c>
      <c r="BI522" s="276" t="e">
        <f t="shared" si="509"/>
        <v>#DIV/0!</v>
      </c>
      <c r="BJ522" s="276" t="e">
        <f t="shared" si="510"/>
        <v>#DIV/0!</v>
      </c>
      <c r="BK522" s="276" t="e">
        <f t="shared" si="511"/>
        <v>#DIV/0!</v>
      </c>
      <c r="BL522" s="686" t="e">
        <f t="shared" si="512"/>
        <v>#DIV/0!</v>
      </c>
      <c r="BM522" s="239"/>
      <c r="BN522" s="965" t="e">
        <f t="shared" si="513"/>
        <v>#VALUE!</v>
      </c>
      <c r="BO522" s="878" t="e">
        <f t="shared" si="514"/>
        <v>#VALUE!</v>
      </c>
      <c r="BP522" s="878" t="e">
        <f t="shared" si="515"/>
        <v>#VALUE!</v>
      </c>
      <c r="BQ522" s="878" t="e">
        <f t="shared" si="516"/>
        <v>#VALUE!</v>
      </c>
      <c r="BR522" s="878" t="e">
        <f t="shared" si="517"/>
        <v>#VALUE!</v>
      </c>
      <c r="BS522" s="966" t="e">
        <f t="shared" si="518"/>
        <v>#VALUE!</v>
      </c>
    </row>
    <row r="523" spans="1:71">
      <c r="A523" s="284">
        <f t="shared" si="519"/>
        <v>455</v>
      </c>
      <c r="B523" s="285">
        <v>0.88954717987157828</v>
      </c>
      <c r="C523" s="285">
        <v>1.7285654395393104</v>
      </c>
      <c r="D523" s="285">
        <v>1.9724908673324801</v>
      </c>
      <c r="E523" s="285">
        <v>-29.756695047518626</v>
      </c>
      <c r="H523" s="685">
        <f t="shared" si="465"/>
        <v>-0.24368666189747656</v>
      </c>
      <c r="I523" s="276">
        <f t="shared" si="466"/>
        <v>-2.9767052355622901</v>
      </c>
      <c r="J523" s="276">
        <f t="shared" si="467"/>
        <v>4.1053709668347436</v>
      </c>
      <c r="K523" s="276">
        <f t="shared" si="468"/>
        <v>-2.6538401906850959</v>
      </c>
      <c r="L523" s="276">
        <f t="shared" si="469"/>
        <v>2.568556569235354</v>
      </c>
      <c r="M523" s="276">
        <f t="shared" si="470"/>
        <v>-3.1108388136489253</v>
      </c>
      <c r="N523" s="685">
        <f t="shared" si="471"/>
        <v>0.521394228567442</v>
      </c>
      <c r="O523" s="276">
        <f t="shared" si="472"/>
        <v>1.3262081488003281</v>
      </c>
      <c r="P523" s="276">
        <f t="shared" si="473"/>
        <v>1.5624788316942031</v>
      </c>
      <c r="Q523" s="276">
        <f t="shared" si="474"/>
        <v>0.7605229316665294</v>
      </c>
      <c r="R523" s="276">
        <f t="shared" si="475"/>
        <v>1.3764888693464636</v>
      </c>
      <c r="S523" s="686">
        <f t="shared" si="476"/>
        <v>1.3843747687727948</v>
      </c>
      <c r="T523" s="685">
        <f t="shared" si="477"/>
        <v>5.2508545576034056</v>
      </c>
      <c r="U523" s="276">
        <f t="shared" si="478"/>
        <v>4.4474427874659836</v>
      </c>
      <c r="V523" s="276">
        <f t="shared" si="479"/>
        <v>5.7895766644120066</v>
      </c>
      <c r="W523" s="276">
        <f t="shared" si="480"/>
        <v>2.929736481377974</v>
      </c>
      <c r="X523" s="276">
        <f t="shared" si="481"/>
        <v>5.5705021726670996</v>
      </c>
      <c r="Y523" s="686">
        <f t="shared" si="482"/>
        <v>3.4678148005354341</v>
      </c>
      <c r="Z523" s="685" t="e">
        <f t="shared" si="483"/>
        <v>#DIV/0!</v>
      </c>
      <c r="AA523" s="276" t="e">
        <f t="shared" si="484"/>
        <v>#DIV/0!</v>
      </c>
      <c r="AB523" s="276" t="e">
        <f t="shared" si="485"/>
        <v>#DIV/0!</v>
      </c>
      <c r="AC523" s="276" t="e">
        <f t="shared" si="486"/>
        <v>#DIV/0!</v>
      </c>
      <c r="AD523" s="276" t="e">
        <f t="shared" si="487"/>
        <v>#DIV/0!</v>
      </c>
      <c r="AE523" s="686" t="e">
        <f t="shared" si="488"/>
        <v>#DIV/0!</v>
      </c>
      <c r="AF523" s="239"/>
      <c r="AG523" s="965" t="e">
        <f t="shared" si="459"/>
        <v>#VALUE!</v>
      </c>
      <c r="AH523" s="878" t="e">
        <f t="shared" si="460"/>
        <v>#VALUE!</v>
      </c>
      <c r="AI523" s="878" t="e">
        <f t="shared" si="461"/>
        <v>#VALUE!</v>
      </c>
      <c r="AJ523" s="878" t="e">
        <f t="shared" si="462"/>
        <v>#VALUE!</v>
      </c>
      <c r="AK523" s="878" t="e">
        <f t="shared" si="463"/>
        <v>#VALUE!</v>
      </c>
      <c r="AL523" s="966" t="e">
        <f t="shared" si="464"/>
        <v>#VALUE!</v>
      </c>
      <c r="AM523" s="239"/>
      <c r="AO523" s="685">
        <f t="shared" si="489"/>
        <v>-0.24368666189747656</v>
      </c>
      <c r="AP523" s="276">
        <f t="shared" si="490"/>
        <v>-2.9767052355622901</v>
      </c>
      <c r="AQ523" s="276">
        <f t="shared" si="491"/>
        <v>4.1053709668347436</v>
      </c>
      <c r="AR523" s="276">
        <f t="shared" si="492"/>
        <v>-2.6538401906850959</v>
      </c>
      <c r="AS523" s="276">
        <f t="shared" si="493"/>
        <v>2.568556569235354</v>
      </c>
      <c r="AT523" s="276">
        <f t="shared" si="494"/>
        <v>-3.1108388136489253</v>
      </c>
      <c r="AU523" s="685">
        <f t="shared" si="495"/>
        <v>0.521394228567442</v>
      </c>
      <c r="AV523" s="276">
        <f t="shared" si="496"/>
        <v>1.3262081488003281</v>
      </c>
      <c r="AW523" s="276">
        <f t="shared" si="497"/>
        <v>1.5624788316942031</v>
      </c>
      <c r="AX523" s="276">
        <f t="shared" si="498"/>
        <v>0.7605229316665294</v>
      </c>
      <c r="AY523" s="276">
        <f t="shared" si="499"/>
        <v>1.3764888693464636</v>
      </c>
      <c r="AZ523" s="686">
        <f t="shared" si="500"/>
        <v>1.3843747687727948</v>
      </c>
      <c r="BA523" s="685">
        <f t="shared" si="501"/>
        <v>0</v>
      </c>
      <c r="BB523" s="276">
        <f t="shared" si="502"/>
        <v>0</v>
      </c>
      <c r="BC523" s="276">
        <f t="shared" si="503"/>
        <v>0</v>
      </c>
      <c r="BD523" s="276">
        <f t="shared" si="504"/>
        <v>0</v>
      </c>
      <c r="BE523" s="276">
        <f t="shared" si="505"/>
        <v>0</v>
      </c>
      <c r="BF523" s="686">
        <f t="shared" si="506"/>
        <v>0</v>
      </c>
      <c r="BG523" s="685" t="e">
        <f t="shared" si="507"/>
        <v>#DIV/0!</v>
      </c>
      <c r="BH523" s="276" t="e">
        <f t="shared" si="508"/>
        <v>#DIV/0!</v>
      </c>
      <c r="BI523" s="276" t="e">
        <f t="shared" si="509"/>
        <v>#DIV/0!</v>
      </c>
      <c r="BJ523" s="276" t="e">
        <f t="shared" si="510"/>
        <v>#DIV/0!</v>
      </c>
      <c r="BK523" s="276" t="e">
        <f t="shared" si="511"/>
        <v>#DIV/0!</v>
      </c>
      <c r="BL523" s="686" t="e">
        <f t="shared" si="512"/>
        <v>#DIV/0!</v>
      </c>
      <c r="BM523" s="239"/>
      <c r="BN523" s="965" t="e">
        <f t="shared" si="513"/>
        <v>#VALUE!</v>
      </c>
      <c r="BO523" s="878" t="e">
        <f t="shared" si="514"/>
        <v>#VALUE!</v>
      </c>
      <c r="BP523" s="878" t="e">
        <f t="shared" si="515"/>
        <v>#VALUE!</v>
      </c>
      <c r="BQ523" s="878" t="e">
        <f t="shared" si="516"/>
        <v>#VALUE!</v>
      </c>
      <c r="BR523" s="878" t="e">
        <f t="shared" si="517"/>
        <v>#VALUE!</v>
      </c>
      <c r="BS523" s="966" t="e">
        <f t="shared" si="518"/>
        <v>#VALUE!</v>
      </c>
    </row>
    <row r="524" spans="1:71">
      <c r="A524" s="284">
        <f t="shared" si="519"/>
        <v>456</v>
      </c>
      <c r="B524" s="285">
        <v>-1.033687328300692</v>
      </c>
      <c r="C524" s="285">
        <v>2.8551895811884593</v>
      </c>
      <c r="D524" s="285">
        <v>1.4422018007780486</v>
      </c>
      <c r="E524" s="285">
        <v>11.943712207731245</v>
      </c>
      <c r="H524" s="685">
        <f t="shared" si="465"/>
        <v>-2.166921170069747</v>
      </c>
      <c r="I524" s="276">
        <f t="shared" si="466"/>
        <v>1.4601923727738406</v>
      </c>
      <c r="J524" s="276">
        <f t="shared" si="467"/>
        <v>0.82142608269201345</v>
      </c>
      <c r="K524" s="276">
        <f t="shared" si="468"/>
        <v>-0.43378132703159744</v>
      </c>
      <c r="L524" s="276">
        <f t="shared" si="469"/>
        <v>-1.7419240879693909</v>
      </c>
      <c r="M524" s="276">
        <f t="shared" si="470"/>
        <v>3.4071592502189292</v>
      </c>
      <c r="N524" s="685">
        <f t="shared" si="471"/>
        <v>1.6480183702165909</v>
      </c>
      <c r="O524" s="276">
        <f t="shared" si="472"/>
        <v>1.8557678765577765</v>
      </c>
      <c r="P524" s="276">
        <f t="shared" si="473"/>
        <v>1.6269791522901038</v>
      </c>
      <c r="Q524" s="276">
        <f t="shared" si="474"/>
        <v>1.5261134645445023</v>
      </c>
      <c r="R524" s="276">
        <f t="shared" si="475"/>
        <v>1.0793093892853778</v>
      </c>
      <c r="S524" s="686">
        <f t="shared" si="476"/>
        <v>1.110937676590068</v>
      </c>
      <c r="T524" s="685">
        <f t="shared" si="477"/>
        <v>4.7205654910489745</v>
      </c>
      <c r="U524" s="276">
        <f t="shared" si="478"/>
        <v>5.275389562518872</v>
      </c>
      <c r="V524" s="276">
        <f t="shared" si="479"/>
        <v>4.5746498400119284</v>
      </c>
      <c r="W524" s="276">
        <f t="shared" si="480"/>
        <v>3.1207224406110781</v>
      </c>
      <c r="X524" s="276">
        <f t="shared" si="481"/>
        <v>3.7705661443863976</v>
      </c>
      <c r="Y524" s="686">
        <f t="shared" si="482"/>
        <v>6.0276848641203031</v>
      </c>
      <c r="Z524" s="685" t="e">
        <f t="shared" si="483"/>
        <v>#DIV/0!</v>
      </c>
      <c r="AA524" s="276" t="e">
        <f t="shared" si="484"/>
        <v>#DIV/0!</v>
      </c>
      <c r="AB524" s="276" t="e">
        <f t="shared" si="485"/>
        <v>#DIV/0!</v>
      </c>
      <c r="AC524" s="276" t="e">
        <f t="shared" si="486"/>
        <v>#DIV/0!</v>
      </c>
      <c r="AD524" s="276" t="e">
        <f t="shared" si="487"/>
        <v>#DIV/0!</v>
      </c>
      <c r="AE524" s="686" t="e">
        <f t="shared" si="488"/>
        <v>#DIV/0!</v>
      </c>
      <c r="AF524" s="239"/>
      <c r="AG524" s="965" t="e">
        <f t="shared" si="459"/>
        <v>#VALUE!</v>
      </c>
      <c r="AH524" s="878" t="e">
        <f t="shared" si="460"/>
        <v>#VALUE!</v>
      </c>
      <c r="AI524" s="878" t="e">
        <f t="shared" si="461"/>
        <v>#VALUE!</v>
      </c>
      <c r="AJ524" s="878" t="e">
        <f t="shared" si="462"/>
        <v>#VALUE!</v>
      </c>
      <c r="AK524" s="878" t="e">
        <f t="shared" si="463"/>
        <v>#VALUE!</v>
      </c>
      <c r="AL524" s="966" t="e">
        <f t="shared" si="464"/>
        <v>#VALUE!</v>
      </c>
      <c r="AM524" s="239"/>
      <c r="AO524" s="685">
        <f t="shared" si="489"/>
        <v>-2.166921170069747</v>
      </c>
      <c r="AP524" s="276">
        <f t="shared" si="490"/>
        <v>1.4601923727738406</v>
      </c>
      <c r="AQ524" s="276">
        <f t="shared" si="491"/>
        <v>0.82142608269201345</v>
      </c>
      <c r="AR524" s="276">
        <f t="shared" si="492"/>
        <v>-0.43378132703159744</v>
      </c>
      <c r="AS524" s="276">
        <f t="shared" si="493"/>
        <v>-1.7419240879693909</v>
      </c>
      <c r="AT524" s="276">
        <f t="shared" si="494"/>
        <v>3.4071592502189292</v>
      </c>
      <c r="AU524" s="685">
        <f t="shared" si="495"/>
        <v>1.6480183702165909</v>
      </c>
      <c r="AV524" s="276">
        <f t="shared" si="496"/>
        <v>1.8557678765577765</v>
      </c>
      <c r="AW524" s="276">
        <f t="shared" si="497"/>
        <v>1.6269791522901038</v>
      </c>
      <c r="AX524" s="276">
        <f t="shared" si="498"/>
        <v>1.5261134645445023</v>
      </c>
      <c r="AY524" s="276">
        <f t="shared" si="499"/>
        <v>1.0793093892853778</v>
      </c>
      <c r="AZ524" s="686">
        <f t="shared" si="500"/>
        <v>1.110937676590068</v>
      </c>
      <c r="BA524" s="685">
        <f t="shared" si="501"/>
        <v>0</v>
      </c>
      <c r="BB524" s="276">
        <f t="shared" si="502"/>
        <v>0</v>
      </c>
      <c r="BC524" s="276">
        <f t="shared" si="503"/>
        <v>0</v>
      </c>
      <c r="BD524" s="276">
        <f t="shared" si="504"/>
        <v>0</v>
      </c>
      <c r="BE524" s="276">
        <f t="shared" si="505"/>
        <v>0</v>
      </c>
      <c r="BF524" s="686">
        <f t="shared" si="506"/>
        <v>0</v>
      </c>
      <c r="BG524" s="685" t="e">
        <f t="shared" si="507"/>
        <v>#DIV/0!</v>
      </c>
      <c r="BH524" s="276" t="e">
        <f t="shared" si="508"/>
        <v>#DIV/0!</v>
      </c>
      <c r="BI524" s="276" t="e">
        <f t="shared" si="509"/>
        <v>#DIV/0!</v>
      </c>
      <c r="BJ524" s="276" t="e">
        <f t="shared" si="510"/>
        <v>#DIV/0!</v>
      </c>
      <c r="BK524" s="276" t="e">
        <f t="shared" si="511"/>
        <v>#DIV/0!</v>
      </c>
      <c r="BL524" s="686" t="e">
        <f t="shared" si="512"/>
        <v>#DIV/0!</v>
      </c>
      <c r="BM524" s="239"/>
      <c r="BN524" s="965" t="e">
        <f t="shared" si="513"/>
        <v>#VALUE!</v>
      </c>
      <c r="BO524" s="878" t="e">
        <f t="shared" si="514"/>
        <v>#VALUE!</v>
      </c>
      <c r="BP524" s="878" t="e">
        <f t="shared" si="515"/>
        <v>#VALUE!</v>
      </c>
      <c r="BQ524" s="878" t="e">
        <f t="shared" si="516"/>
        <v>#VALUE!</v>
      </c>
      <c r="BR524" s="878" t="e">
        <f t="shared" si="517"/>
        <v>#VALUE!</v>
      </c>
      <c r="BS524" s="966" t="e">
        <f t="shared" si="518"/>
        <v>#VALUE!</v>
      </c>
    </row>
    <row r="525" spans="1:71">
      <c r="A525" s="284">
        <f t="shared" si="519"/>
        <v>457</v>
      </c>
      <c r="B525" s="285">
        <v>0.89464806474999103</v>
      </c>
      <c r="C525" s="285">
        <v>2.965361227787783</v>
      </c>
      <c r="D525" s="285">
        <v>2.4431642907223279</v>
      </c>
      <c r="E525" s="285">
        <v>10.768036193444754</v>
      </c>
      <c r="H525" s="685">
        <f t="shared" si="465"/>
        <v>-0.2385857770190638</v>
      </c>
      <c r="I525" s="276">
        <f t="shared" si="466"/>
        <v>-3.8738735576155916</v>
      </c>
      <c r="J525" s="276">
        <f t="shared" si="467"/>
        <v>-1.8659652996812011</v>
      </c>
      <c r="K525" s="276">
        <f t="shared" si="468"/>
        <v>-2.8854141657883106</v>
      </c>
      <c r="L525" s="276">
        <f t="shared" si="469"/>
        <v>-4.4724292931565159</v>
      </c>
      <c r="M525" s="276">
        <f t="shared" si="470"/>
        <v>-0.41067338382296614</v>
      </c>
      <c r="N525" s="685">
        <f t="shared" si="471"/>
        <v>1.7581900168159146</v>
      </c>
      <c r="O525" s="276">
        <f t="shared" si="472"/>
        <v>1.3326899728390174</v>
      </c>
      <c r="P525" s="276">
        <f t="shared" si="473"/>
        <v>1.7971824877130735</v>
      </c>
      <c r="Q525" s="276">
        <f t="shared" si="474"/>
        <v>2.0006433674564628</v>
      </c>
      <c r="R525" s="276">
        <f t="shared" si="475"/>
        <v>1.6314570009389102</v>
      </c>
      <c r="S525" s="686">
        <f t="shared" si="476"/>
        <v>0.62739521312029223</v>
      </c>
      <c r="T525" s="685">
        <f t="shared" si="477"/>
        <v>5.7215279809932538</v>
      </c>
      <c r="U525" s="276">
        <f t="shared" si="478"/>
        <v>3.9814268576452045</v>
      </c>
      <c r="V525" s="276">
        <f t="shared" si="479"/>
        <v>2.998585677646509</v>
      </c>
      <c r="W525" s="276">
        <f t="shared" si="480"/>
        <v>1.5413382415855899</v>
      </c>
      <c r="X525" s="276">
        <f t="shared" si="481"/>
        <v>4.1999995787209476</v>
      </c>
      <c r="Y525" s="686">
        <f t="shared" si="482"/>
        <v>6.1578627418291756</v>
      </c>
      <c r="Z525" s="685" t="e">
        <f t="shared" si="483"/>
        <v>#DIV/0!</v>
      </c>
      <c r="AA525" s="276" t="e">
        <f t="shared" si="484"/>
        <v>#DIV/0!</v>
      </c>
      <c r="AB525" s="276" t="e">
        <f t="shared" si="485"/>
        <v>#DIV/0!</v>
      </c>
      <c r="AC525" s="276" t="e">
        <f t="shared" si="486"/>
        <v>#DIV/0!</v>
      </c>
      <c r="AD525" s="276" t="e">
        <f t="shared" si="487"/>
        <v>#DIV/0!</v>
      </c>
      <c r="AE525" s="686" t="e">
        <f t="shared" si="488"/>
        <v>#DIV/0!</v>
      </c>
      <c r="AF525" s="239"/>
      <c r="AG525" s="965" t="e">
        <f t="shared" si="459"/>
        <v>#VALUE!</v>
      </c>
      <c r="AH525" s="878" t="e">
        <f t="shared" si="460"/>
        <v>#VALUE!</v>
      </c>
      <c r="AI525" s="878" t="e">
        <f t="shared" si="461"/>
        <v>#VALUE!</v>
      </c>
      <c r="AJ525" s="878" t="e">
        <f t="shared" si="462"/>
        <v>#VALUE!</v>
      </c>
      <c r="AK525" s="878" t="e">
        <f t="shared" si="463"/>
        <v>#VALUE!</v>
      </c>
      <c r="AL525" s="966" t="e">
        <f t="shared" si="464"/>
        <v>#VALUE!</v>
      </c>
      <c r="AM525" s="239"/>
      <c r="AO525" s="685">
        <f t="shared" si="489"/>
        <v>-0.2385857770190638</v>
      </c>
      <c r="AP525" s="276">
        <f t="shared" si="490"/>
        <v>-3.8738735576155916</v>
      </c>
      <c r="AQ525" s="276">
        <f t="shared" si="491"/>
        <v>-1.8659652996812011</v>
      </c>
      <c r="AR525" s="276">
        <f t="shared" si="492"/>
        <v>-2.8854141657883106</v>
      </c>
      <c r="AS525" s="276">
        <f t="shared" si="493"/>
        <v>-4.4724292931565159</v>
      </c>
      <c r="AT525" s="276">
        <f t="shared" si="494"/>
        <v>-0.41067338382296614</v>
      </c>
      <c r="AU525" s="685">
        <f t="shared" si="495"/>
        <v>1.7581900168159146</v>
      </c>
      <c r="AV525" s="276">
        <f t="shared" si="496"/>
        <v>1.3326899728390174</v>
      </c>
      <c r="AW525" s="276">
        <f t="shared" si="497"/>
        <v>1.7971824877130735</v>
      </c>
      <c r="AX525" s="276">
        <f t="shared" si="498"/>
        <v>2.0006433674564628</v>
      </c>
      <c r="AY525" s="276">
        <f t="shared" si="499"/>
        <v>1.6314570009389102</v>
      </c>
      <c r="AZ525" s="686">
        <f t="shared" si="500"/>
        <v>0.62739521312029223</v>
      </c>
      <c r="BA525" s="685">
        <f t="shared" si="501"/>
        <v>0</v>
      </c>
      <c r="BB525" s="276">
        <f t="shared" si="502"/>
        <v>0</v>
      </c>
      <c r="BC525" s="276">
        <f t="shared" si="503"/>
        <v>0</v>
      </c>
      <c r="BD525" s="276">
        <f t="shared" si="504"/>
        <v>0</v>
      </c>
      <c r="BE525" s="276">
        <f t="shared" si="505"/>
        <v>0</v>
      </c>
      <c r="BF525" s="686">
        <f t="shared" si="506"/>
        <v>0</v>
      </c>
      <c r="BG525" s="685" t="e">
        <f t="shared" si="507"/>
        <v>#DIV/0!</v>
      </c>
      <c r="BH525" s="276" t="e">
        <f t="shared" si="508"/>
        <v>#DIV/0!</v>
      </c>
      <c r="BI525" s="276" t="e">
        <f t="shared" si="509"/>
        <v>#DIV/0!</v>
      </c>
      <c r="BJ525" s="276" t="e">
        <f t="shared" si="510"/>
        <v>#DIV/0!</v>
      </c>
      <c r="BK525" s="276" t="e">
        <f t="shared" si="511"/>
        <v>#DIV/0!</v>
      </c>
      <c r="BL525" s="686" t="e">
        <f t="shared" si="512"/>
        <v>#DIV/0!</v>
      </c>
      <c r="BM525" s="239"/>
      <c r="BN525" s="965" t="e">
        <f t="shared" si="513"/>
        <v>#VALUE!</v>
      </c>
      <c r="BO525" s="878" t="e">
        <f t="shared" si="514"/>
        <v>#VALUE!</v>
      </c>
      <c r="BP525" s="878" t="e">
        <f t="shared" si="515"/>
        <v>#VALUE!</v>
      </c>
      <c r="BQ525" s="878" t="e">
        <f t="shared" si="516"/>
        <v>#VALUE!</v>
      </c>
      <c r="BR525" s="878" t="e">
        <f t="shared" si="517"/>
        <v>#VALUE!</v>
      </c>
      <c r="BS525" s="966" t="e">
        <f t="shared" si="518"/>
        <v>#VALUE!</v>
      </c>
    </row>
    <row r="526" spans="1:71">
      <c r="A526" s="284">
        <f t="shared" si="519"/>
        <v>458</v>
      </c>
      <c r="B526" s="285">
        <v>-3.8413992896478826</v>
      </c>
      <c r="C526" s="285">
        <v>2.200534242835714</v>
      </c>
      <c r="D526" s="285">
        <v>1.3511305206195106</v>
      </c>
      <c r="E526" s="285">
        <v>-3.6476760898715934</v>
      </c>
      <c r="H526" s="685">
        <f t="shared" si="465"/>
        <v>-4.9746331314169376</v>
      </c>
      <c r="I526" s="276">
        <f t="shared" si="466"/>
        <v>-0.15031210925393113</v>
      </c>
      <c r="J526" s="276">
        <f t="shared" si="467"/>
        <v>1.3581490182337832</v>
      </c>
      <c r="K526" s="276">
        <f t="shared" si="468"/>
        <v>-0.38823778542088194</v>
      </c>
      <c r="L526" s="276">
        <f t="shared" si="469"/>
        <v>0.20431575814772041</v>
      </c>
      <c r="M526" s="276">
        <f t="shared" si="470"/>
        <v>-3.0774999088562209</v>
      </c>
      <c r="N526" s="685">
        <f t="shared" si="471"/>
        <v>0.99336303186384556</v>
      </c>
      <c r="O526" s="276">
        <f t="shared" si="472"/>
        <v>1.1133219634629559</v>
      </c>
      <c r="P526" s="276">
        <f t="shared" si="473"/>
        <v>1.55432464308</v>
      </c>
      <c r="Q526" s="276">
        <f t="shared" si="474"/>
        <v>0.88846699491835612</v>
      </c>
      <c r="R526" s="276">
        <f t="shared" si="475"/>
        <v>1.0991879934542184</v>
      </c>
      <c r="S526" s="686">
        <f t="shared" si="476"/>
        <v>1.1916779176929631</v>
      </c>
      <c r="T526" s="685">
        <f t="shared" si="477"/>
        <v>4.6294942108904369</v>
      </c>
      <c r="U526" s="276">
        <f t="shared" si="478"/>
        <v>5.9882676374575112</v>
      </c>
      <c r="V526" s="276">
        <f t="shared" si="479"/>
        <v>4.4593302787781175</v>
      </c>
      <c r="W526" s="276">
        <f t="shared" si="480"/>
        <v>5.4524937631324395</v>
      </c>
      <c r="X526" s="276">
        <f t="shared" si="481"/>
        <v>5.854889705465526</v>
      </c>
      <c r="Y526" s="686">
        <f t="shared" si="482"/>
        <v>5.5156596729180132</v>
      </c>
      <c r="Z526" s="685" t="e">
        <f t="shared" si="483"/>
        <v>#DIV/0!</v>
      </c>
      <c r="AA526" s="276" t="e">
        <f t="shared" si="484"/>
        <v>#DIV/0!</v>
      </c>
      <c r="AB526" s="276" t="e">
        <f t="shared" si="485"/>
        <v>#DIV/0!</v>
      </c>
      <c r="AC526" s="276" t="e">
        <f t="shared" si="486"/>
        <v>#DIV/0!</v>
      </c>
      <c r="AD526" s="276" t="e">
        <f t="shared" si="487"/>
        <v>#DIV/0!</v>
      </c>
      <c r="AE526" s="686" t="e">
        <f t="shared" si="488"/>
        <v>#DIV/0!</v>
      </c>
      <c r="AF526" s="239"/>
      <c r="AG526" s="965" t="e">
        <f t="shared" si="459"/>
        <v>#VALUE!</v>
      </c>
      <c r="AH526" s="878" t="e">
        <f t="shared" si="460"/>
        <v>#VALUE!</v>
      </c>
      <c r="AI526" s="878" t="e">
        <f t="shared" si="461"/>
        <v>#VALUE!</v>
      </c>
      <c r="AJ526" s="878" t="e">
        <f t="shared" si="462"/>
        <v>#VALUE!</v>
      </c>
      <c r="AK526" s="878" t="e">
        <f t="shared" si="463"/>
        <v>#VALUE!</v>
      </c>
      <c r="AL526" s="966" t="e">
        <f t="shared" si="464"/>
        <v>#VALUE!</v>
      </c>
      <c r="AM526" s="239"/>
      <c r="AO526" s="685">
        <f t="shared" si="489"/>
        <v>-4.9746331314169376</v>
      </c>
      <c r="AP526" s="276">
        <f t="shared" si="490"/>
        <v>-0.15031210925393113</v>
      </c>
      <c r="AQ526" s="276">
        <f t="shared" si="491"/>
        <v>1.3581490182337832</v>
      </c>
      <c r="AR526" s="276">
        <f t="shared" si="492"/>
        <v>-0.38823778542088194</v>
      </c>
      <c r="AS526" s="276">
        <f t="shared" si="493"/>
        <v>0.20431575814772041</v>
      </c>
      <c r="AT526" s="276">
        <f t="shared" si="494"/>
        <v>-3.0774999088562209</v>
      </c>
      <c r="AU526" s="685">
        <f t="shared" si="495"/>
        <v>0.99336303186384556</v>
      </c>
      <c r="AV526" s="276">
        <f t="shared" si="496"/>
        <v>1.1133219634629559</v>
      </c>
      <c r="AW526" s="276">
        <f t="shared" si="497"/>
        <v>1.55432464308</v>
      </c>
      <c r="AX526" s="276">
        <f t="shared" si="498"/>
        <v>0.88846699491835612</v>
      </c>
      <c r="AY526" s="276">
        <f t="shared" si="499"/>
        <v>1.0991879934542184</v>
      </c>
      <c r="AZ526" s="686">
        <f t="shared" si="500"/>
        <v>1.1916779176929631</v>
      </c>
      <c r="BA526" s="685">
        <f t="shared" si="501"/>
        <v>0</v>
      </c>
      <c r="BB526" s="276">
        <f t="shared" si="502"/>
        <v>0</v>
      </c>
      <c r="BC526" s="276">
        <f t="shared" si="503"/>
        <v>0</v>
      </c>
      <c r="BD526" s="276">
        <f t="shared" si="504"/>
        <v>0</v>
      </c>
      <c r="BE526" s="276">
        <f t="shared" si="505"/>
        <v>0</v>
      </c>
      <c r="BF526" s="686">
        <f t="shared" si="506"/>
        <v>0</v>
      </c>
      <c r="BG526" s="685" t="e">
        <f t="shared" si="507"/>
        <v>#DIV/0!</v>
      </c>
      <c r="BH526" s="276" t="e">
        <f t="shared" si="508"/>
        <v>#DIV/0!</v>
      </c>
      <c r="BI526" s="276" t="e">
        <f t="shared" si="509"/>
        <v>#DIV/0!</v>
      </c>
      <c r="BJ526" s="276" t="e">
        <f t="shared" si="510"/>
        <v>#DIV/0!</v>
      </c>
      <c r="BK526" s="276" t="e">
        <f t="shared" si="511"/>
        <v>#DIV/0!</v>
      </c>
      <c r="BL526" s="686" t="e">
        <f t="shared" si="512"/>
        <v>#DIV/0!</v>
      </c>
      <c r="BM526" s="239"/>
      <c r="BN526" s="965" t="e">
        <f t="shared" si="513"/>
        <v>#VALUE!</v>
      </c>
      <c r="BO526" s="878" t="e">
        <f t="shared" si="514"/>
        <v>#VALUE!</v>
      </c>
      <c r="BP526" s="878" t="e">
        <f t="shared" si="515"/>
        <v>#VALUE!</v>
      </c>
      <c r="BQ526" s="878" t="e">
        <f t="shared" si="516"/>
        <v>#VALUE!</v>
      </c>
      <c r="BR526" s="878" t="e">
        <f t="shared" si="517"/>
        <v>#VALUE!</v>
      </c>
      <c r="BS526" s="966" t="e">
        <f t="shared" si="518"/>
        <v>#VALUE!</v>
      </c>
    </row>
    <row r="527" spans="1:71">
      <c r="A527" s="284">
        <f t="shared" si="519"/>
        <v>459</v>
      </c>
      <c r="B527" s="285">
        <v>-0.67340891809762904</v>
      </c>
      <c r="C527" s="285">
        <v>2.1279428293183549</v>
      </c>
      <c r="D527" s="285">
        <v>2.5607010114014117</v>
      </c>
      <c r="E527" s="285">
        <v>-4.2825565351889221</v>
      </c>
      <c r="H527" s="685">
        <f t="shared" si="465"/>
        <v>-1.8066427598666839</v>
      </c>
      <c r="I527" s="276">
        <f t="shared" si="466"/>
        <v>-0.84644547950067428</v>
      </c>
      <c r="J527" s="276">
        <f t="shared" si="467"/>
        <v>-7.6337420748088114</v>
      </c>
      <c r="K527" s="276">
        <f t="shared" si="468"/>
        <v>-0.85206250694349039</v>
      </c>
      <c r="L527" s="276">
        <f t="shared" si="469"/>
        <v>4.8128584783933324</v>
      </c>
      <c r="M527" s="276">
        <f t="shared" si="470"/>
        <v>-1.3719962170157709</v>
      </c>
      <c r="N527" s="685">
        <f t="shared" si="471"/>
        <v>0.92077161834648646</v>
      </c>
      <c r="O527" s="276">
        <f t="shared" si="472"/>
        <v>0.69521503407482177</v>
      </c>
      <c r="P527" s="276">
        <f t="shared" si="473"/>
        <v>1.2402631791563723</v>
      </c>
      <c r="Q527" s="276">
        <f t="shared" si="474"/>
        <v>0.67542148866741392</v>
      </c>
      <c r="R527" s="276">
        <f t="shared" si="475"/>
        <v>1.0198260963127137</v>
      </c>
      <c r="S527" s="686">
        <f t="shared" si="476"/>
        <v>1.7632810020270753</v>
      </c>
      <c r="T527" s="685">
        <f t="shared" si="477"/>
        <v>5.8390647016723376</v>
      </c>
      <c r="U527" s="276">
        <f t="shared" si="478"/>
        <v>6.1292790136443394</v>
      </c>
      <c r="V527" s="276">
        <f t="shared" si="479"/>
        <v>4.3059439612444983</v>
      </c>
      <c r="W527" s="276">
        <f t="shared" si="480"/>
        <v>4.5073388990152381</v>
      </c>
      <c r="X527" s="276">
        <f t="shared" si="481"/>
        <v>8.947751740922639</v>
      </c>
      <c r="Y527" s="686">
        <f t="shared" si="482"/>
        <v>3.549745082294653</v>
      </c>
      <c r="Z527" s="685" t="e">
        <f t="shared" si="483"/>
        <v>#DIV/0!</v>
      </c>
      <c r="AA527" s="276" t="e">
        <f t="shared" si="484"/>
        <v>#DIV/0!</v>
      </c>
      <c r="AB527" s="276" t="e">
        <f t="shared" si="485"/>
        <v>#DIV/0!</v>
      </c>
      <c r="AC527" s="276" t="e">
        <f t="shared" si="486"/>
        <v>#DIV/0!</v>
      </c>
      <c r="AD527" s="276" t="e">
        <f t="shared" si="487"/>
        <v>#DIV/0!</v>
      </c>
      <c r="AE527" s="686" t="e">
        <f t="shared" si="488"/>
        <v>#DIV/0!</v>
      </c>
      <c r="AF527" s="239"/>
      <c r="AG527" s="965" t="e">
        <f t="shared" si="459"/>
        <v>#VALUE!</v>
      </c>
      <c r="AH527" s="878" t="e">
        <f t="shared" si="460"/>
        <v>#VALUE!</v>
      </c>
      <c r="AI527" s="878" t="e">
        <f t="shared" si="461"/>
        <v>#VALUE!</v>
      </c>
      <c r="AJ527" s="878" t="e">
        <f t="shared" si="462"/>
        <v>#VALUE!</v>
      </c>
      <c r="AK527" s="878" t="e">
        <f t="shared" si="463"/>
        <v>#VALUE!</v>
      </c>
      <c r="AL527" s="966" t="e">
        <f t="shared" si="464"/>
        <v>#VALUE!</v>
      </c>
      <c r="AM527" s="239"/>
      <c r="AO527" s="685">
        <f t="shared" si="489"/>
        <v>-1.8066427598666839</v>
      </c>
      <c r="AP527" s="276">
        <f t="shared" si="490"/>
        <v>-0.84644547950067428</v>
      </c>
      <c r="AQ527" s="276">
        <f t="shared" si="491"/>
        <v>-7.6337420748088114</v>
      </c>
      <c r="AR527" s="276">
        <f t="shared" si="492"/>
        <v>-0.85206250694349039</v>
      </c>
      <c r="AS527" s="276">
        <f t="shared" si="493"/>
        <v>4.8128584783933324</v>
      </c>
      <c r="AT527" s="276">
        <f t="shared" si="494"/>
        <v>-1.3719962170157709</v>
      </c>
      <c r="AU527" s="685">
        <f t="shared" si="495"/>
        <v>0.92077161834648646</v>
      </c>
      <c r="AV527" s="276">
        <f t="shared" si="496"/>
        <v>0.69521503407482177</v>
      </c>
      <c r="AW527" s="276">
        <f t="shared" si="497"/>
        <v>1.2402631791563723</v>
      </c>
      <c r="AX527" s="276">
        <f t="shared" si="498"/>
        <v>0.67542148866741392</v>
      </c>
      <c r="AY527" s="276">
        <f t="shared" si="499"/>
        <v>1.0198260963127137</v>
      </c>
      <c r="AZ527" s="686">
        <f t="shared" si="500"/>
        <v>1.7632810020270753</v>
      </c>
      <c r="BA527" s="685">
        <f t="shared" si="501"/>
        <v>0</v>
      </c>
      <c r="BB527" s="276">
        <f t="shared" si="502"/>
        <v>0</v>
      </c>
      <c r="BC527" s="276">
        <f t="shared" si="503"/>
        <v>0</v>
      </c>
      <c r="BD527" s="276">
        <f t="shared" si="504"/>
        <v>0</v>
      </c>
      <c r="BE527" s="276">
        <f t="shared" si="505"/>
        <v>0</v>
      </c>
      <c r="BF527" s="686">
        <f t="shared" si="506"/>
        <v>0</v>
      </c>
      <c r="BG527" s="685" t="e">
        <f t="shared" si="507"/>
        <v>#DIV/0!</v>
      </c>
      <c r="BH527" s="276" t="e">
        <f t="shared" si="508"/>
        <v>#DIV/0!</v>
      </c>
      <c r="BI527" s="276" t="e">
        <f t="shared" si="509"/>
        <v>#DIV/0!</v>
      </c>
      <c r="BJ527" s="276" t="e">
        <f t="shared" si="510"/>
        <v>#DIV/0!</v>
      </c>
      <c r="BK527" s="276" t="e">
        <f t="shared" si="511"/>
        <v>#DIV/0!</v>
      </c>
      <c r="BL527" s="686" t="e">
        <f t="shared" si="512"/>
        <v>#DIV/0!</v>
      </c>
      <c r="BM527" s="239"/>
      <c r="BN527" s="965" t="e">
        <f t="shared" si="513"/>
        <v>#VALUE!</v>
      </c>
      <c r="BO527" s="878" t="e">
        <f t="shared" si="514"/>
        <v>#VALUE!</v>
      </c>
      <c r="BP527" s="878" t="e">
        <f t="shared" si="515"/>
        <v>#VALUE!</v>
      </c>
      <c r="BQ527" s="878" t="e">
        <f t="shared" si="516"/>
        <v>#VALUE!</v>
      </c>
      <c r="BR527" s="878" t="e">
        <f t="shared" si="517"/>
        <v>#VALUE!</v>
      </c>
      <c r="BS527" s="966" t="e">
        <f t="shared" si="518"/>
        <v>#VALUE!</v>
      </c>
    </row>
    <row r="528" spans="1:71">
      <c r="A528" s="284">
        <f t="shared" si="519"/>
        <v>460</v>
      </c>
      <c r="B528" s="285">
        <v>4.4493791287889675</v>
      </c>
      <c r="C528" s="285">
        <v>2.0825360080242752</v>
      </c>
      <c r="D528" s="285">
        <v>1.1905688901897677</v>
      </c>
      <c r="E528" s="285">
        <v>-21.140033340419439</v>
      </c>
      <c r="H528" s="685">
        <f t="shared" si="465"/>
        <v>3.3161452870199124</v>
      </c>
      <c r="I528" s="276">
        <f t="shared" si="466"/>
        <v>-1.2487222924799621</v>
      </c>
      <c r="J528" s="276">
        <f t="shared" si="467"/>
        <v>-1.8868391040122972</v>
      </c>
      <c r="K528" s="276">
        <f t="shared" si="468"/>
        <v>-2.2819291831262092</v>
      </c>
      <c r="L528" s="276">
        <f t="shared" si="469"/>
        <v>-1.4871276196187666</v>
      </c>
      <c r="M528" s="276">
        <f t="shared" si="470"/>
        <v>-1.4718689290584521</v>
      </c>
      <c r="N528" s="685">
        <f t="shared" si="471"/>
        <v>0.87536479705240677</v>
      </c>
      <c r="O528" s="276">
        <f t="shared" si="472"/>
        <v>1.8403447691574415</v>
      </c>
      <c r="P528" s="276">
        <f t="shared" si="473"/>
        <v>0.81340788478900783</v>
      </c>
      <c r="Q528" s="276">
        <f t="shared" si="474"/>
        <v>0.48841742925019971</v>
      </c>
      <c r="R528" s="276">
        <f t="shared" si="475"/>
        <v>1.229177416123542</v>
      </c>
      <c r="S528" s="686">
        <f t="shared" si="476"/>
        <v>1.7179009697191716</v>
      </c>
      <c r="T528" s="685">
        <f t="shared" si="477"/>
        <v>4.4689325804606934</v>
      </c>
      <c r="U528" s="276">
        <f t="shared" si="478"/>
        <v>4.1089593187299949</v>
      </c>
      <c r="V528" s="276">
        <f t="shared" si="479"/>
        <v>4.9025199563270023</v>
      </c>
      <c r="W528" s="276">
        <f t="shared" si="480"/>
        <v>3.9206090841265393</v>
      </c>
      <c r="X528" s="276">
        <f t="shared" si="481"/>
        <v>5.0081777701824324</v>
      </c>
      <c r="Y528" s="686">
        <f t="shared" si="482"/>
        <v>4.6810209928101472</v>
      </c>
      <c r="Z528" s="685" t="e">
        <f t="shared" si="483"/>
        <v>#DIV/0!</v>
      </c>
      <c r="AA528" s="276" t="e">
        <f t="shared" si="484"/>
        <v>#DIV/0!</v>
      </c>
      <c r="AB528" s="276" t="e">
        <f t="shared" si="485"/>
        <v>#DIV/0!</v>
      </c>
      <c r="AC528" s="276" t="e">
        <f t="shared" si="486"/>
        <v>#DIV/0!</v>
      </c>
      <c r="AD528" s="276" t="e">
        <f t="shared" si="487"/>
        <v>#DIV/0!</v>
      </c>
      <c r="AE528" s="686" t="e">
        <f t="shared" si="488"/>
        <v>#DIV/0!</v>
      </c>
      <c r="AF528" s="239"/>
      <c r="AG528" s="965" t="e">
        <f t="shared" si="459"/>
        <v>#VALUE!</v>
      </c>
      <c r="AH528" s="878" t="e">
        <f t="shared" si="460"/>
        <v>#VALUE!</v>
      </c>
      <c r="AI528" s="878" t="e">
        <f t="shared" si="461"/>
        <v>#VALUE!</v>
      </c>
      <c r="AJ528" s="878" t="e">
        <f t="shared" si="462"/>
        <v>#VALUE!</v>
      </c>
      <c r="AK528" s="878" t="e">
        <f t="shared" si="463"/>
        <v>#VALUE!</v>
      </c>
      <c r="AL528" s="966" t="e">
        <f t="shared" si="464"/>
        <v>#VALUE!</v>
      </c>
      <c r="AM528" s="239"/>
      <c r="AO528" s="685">
        <f t="shared" si="489"/>
        <v>3.3161452870199124</v>
      </c>
      <c r="AP528" s="276">
        <f t="shared" si="490"/>
        <v>-1.2487222924799621</v>
      </c>
      <c r="AQ528" s="276">
        <f t="shared" si="491"/>
        <v>-1.8868391040122972</v>
      </c>
      <c r="AR528" s="276">
        <f t="shared" si="492"/>
        <v>-2.2819291831262092</v>
      </c>
      <c r="AS528" s="276">
        <f t="shared" si="493"/>
        <v>-1.4871276196187666</v>
      </c>
      <c r="AT528" s="276">
        <f t="shared" si="494"/>
        <v>-1.4718689290584521</v>
      </c>
      <c r="AU528" s="685">
        <f t="shared" si="495"/>
        <v>0.87536479705240677</v>
      </c>
      <c r="AV528" s="276">
        <f t="shared" si="496"/>
        <v>1.8403447691574415</v>
      </c>
      <c r="AW528" s="276">
        <f t="shared" si="497"/>
        <v>0.81340788478900783</v>
      </c>
      <c r="AX528" s="276">
        <f t="shared" si="498"/>
        <v>0.48841742925019971</v>
      </c>
      <c r="AY528" s="276">
        <f t="shared" si="499"/>
        <v>1.229177416123542</v>
      </c>
      <c r="AZ528" s="686">
        <f t="shared" si="500"/>
        <v>1.7179009697191716</v>
      </c>
      <c r="BA528" s="685">
        <f t="shared" si="501"/>
        <v>0</v>
      </c>
      <c r="BB528" s="276">
        <f t="shared" si="502"/>
        <v>0</v>
      </c>
      <c r="BC528" s="276">
        <f t="shared" si="503"/>
        <v>0</v>
      </c>
      <c r="BD528" s="276">
        <f t="shared" si="504"/>
        <v>0</v>
      </c>
      <c r="BE528" s="276">
        <f t="shared" si="505"/>
        <v>0</v>
      </c>
      <c r="BF528" s="686">
        <f t="shared" si="506"/>
        <v>0</v>
      </c>
      <c r="BG528" s="685" t="e">
        <f t="shared" si="507"/>
        <v>#DIV/0!</v>
      </c>
      <c r="BH528" s="276" t="e">
        <f t="shared" si="508"/>
        <v>#DIV/0!</v>
      </c>
      <c r="BI528" s="276" t="e">
        <f t="shared" si="509"/>
        <v>#DIV/0!</v>
      </c>
      <c r="BJ528" s="276" t="e">
        <f t="shared" si="510"/>
        <v>#DIV/0!</v>
      </c>
      <c r="BK528" s="276" t="e">
        <f t="shared" si="511"/>
        <v>#DIV/0!</v>
      </c>
      <c r="BL528" s="686" t="e">
        <f t="shared" si="512"/>
        <v>#DIV/0!</v>
      </c>
      <c r="BM528" s="239"/>
      <c r="BN528" s="965" t="e">
        <f t="shared" si="513"/>
        <v>#VALUE!</v>
      </c>
      <c r="BO528" s="878" t="e">
        <f t="shared" si="514"/>
        <v>#VALUE!</v>
      </c>
      <c r="BP528" s="878" t="e">
        <f t="shared" si="515"/>
        <v>#VALUE!</v>
      </c>
      <c r="BQ528" s="878" t="e">
        <f t="shared" si="516"/>
        <v>#VALUE!</v>
      </c>
      <c r="BR528" s="878" t="e">
        <f t="shared" si="517"/>
        <v>#VALUE!</v>
      </c>
      <c r="BS528" s="966" t="e">
        <f t="shared" si="518"/>
        <v>#VALUE!</v>
      </c>
    </row>
    <row r="529" spans="1:71">
      <c r="A529" s="284">
        <f t="shared" si="519"/>
        <v>461</v>
      </c>
      <c r="B529" s="285">
        <v>1.8999341663269282</v>
      </c>
      <c r="C529" s="285">
        <v>2.3011499955534176</v>
      </c>
      <c r="D529" s="285">
        <v>1.1537354429736064</v>
      </c>
      <c r="E529" s="285">
        <v>-7.9004024674886342</v>
      </c>
      <c r="H529" s="685">
        <f t="shared" si="465"/>
        <v>0.7667003245578734</v>
      </c>
      <c r="I529" s="276">
        <f t="shared" si="466"/>
        <v>-4.8538873677793664</v>
      </c>
      <c r="J529" s="276">
        <f t="shared" si="467"/>
        <v>3.6766577043609887</v>
      </c>
      <c r="K529" s="276">
        <f t="shared" si="468"/>
        <v>-0.20764452304883285</v>
      </c>
      <c r="L529" s="276">
        <f t="shared" si="469"/>
        <v>-3.9256028468775437</v>
      </c>
      <c r="M529" s="276">
        <f t="shared" si="470"/>
        <v>-5.0759076176820361</v>
      </c>
      <c r="N529" s="685">
        <f t="shared" si="471"/>
        <v>1.0939787845815492</v>
      </c>
      <c r="O529" s="276">
        <f t="shared" si="472"/>
        <v>2.0986287421036547</v>
      </c>
      <c r="P529" s="276">
        <f t="shared" si="473"/>
        <v>1.6556869532899776</v>
      </c>
      <c r="Q529" s="276">
        <f t="shared" si="474"/>
        <v>1.0498771675256184</v>
      </c>
      <c r="R529" s="276">
        <f t="shared" si="475"/>
        <v>1.0747046832123599</v>
      </c>
      <c r="S529" s="686">
        <f t="shared" si="476"/>
        <v>0.89816848114456893</v>
      </c>
      <c r="T529" s="685">
        <f t="shared" si="477"/>
        <v>4.4320991332445328</v>
      </c>
      <c r="U529" s="276">
        <f t="shared" si="478"/>
        <v>4.2233093889286817</v>
      </c>
      <c r="V529" s="276">
        <f t="shared" si="479"/>
        <v>4.8595898330432039</v>
      </c>
      <c r="W529" s="276">
        <f t="shared" si="480"/>
        <v>3.7701261568422928</v>
      </c>
      <c r="X529" s="276">
        <f t="shared" si="481"/>
        <v>5.0257410922826331</v>
      </c>
      <c r="Y529" s="686">
        <f t="shared" si="482"/>
        <v>1.9043467334177291</v>
      </c>
      <c r="Z529" s="685" t="e">
        <f t="shared" si="483"/>
        <v>#DIV/0!</v>
      </c>
      <c r="AA529" s="276" t="e">
        <f t="shared" si="484"/>
        <v>#DIV/0!</v>
      </c>
      <c r="AB529" s="276" t="e">
        <f t="shared" si="485"/>
        <v>#DIV/0!</v>
      </c>
      <c r="AC529" s="276" t="e">
        <f t="shared" si="486"/>
        <v>#DIV/0!</v>
      </c>
      <c r="AD529" s="276" t="e">
        <f t="shared" si="487"/>
        <v>#DIV/0!</v>
      </c>
      <c r="AE529" s="686" t="e">
        <f t="shared" si="488"/>
        <v>#DIV/0!</v>
      </c>
      <c r="AF529" s="239"/>
      <c r="AG529" s="965" t="e">
        <f t="shared" si="459"/>
        <v>#VALUE!</v>
      </c>
      <c r="AH529" s="878" t="e">
        <f t="shared" si="460"/>
        <v>#VALUE!</v>
      </c>
      <c r="AI529" s="878" t="e">
        <f t="shared" si="461"/>
        <v>#VALUE!</v>
      </c>
      <c r="AJ529" s="878" t="e">
        <f t="shared" si="462"/>
        <v>#VALUE!</v>
      </c>
      <c r="AK529" s="878" t="e">
        <f t="shared" si="463"/>
        <v>#VALUE!</v>
      </c>
      <c r="AL529" s="966" t="e">
        <f t="shared" si="464"/>
        <v>#VALUE!</v>
      </c>
      <c r="AM529" s="239"/>
      <c r="AO529" s="685">
        <f t="shared" si="489"/>
        <v>0.7667003245578734</v>
      </c>
      <c r="AP529" s="276">
        <f t="shared" si="490"/>
        <v>-4.8538873677793664</v>
      </c>
      <c r="AQ529" s="276">
        <f t="shared" si="491"/>
        <v>3.6766577043609887</v>
      </c>
      <c r="AR529" s="276">
        <f t="shared" si="492"/>
        <v>-0.20764452304883285</v>
      </c>
      <c r="AS529" s="276">
        <f t="shared" si="493"/>
        <v>-3.9256028468775437</v>
      </c>
      <c r="AT529" s="276">
        <f t="shared" si="494"/>
        <v>-5.0759076176820361</v>
      </c>
      <c r="AU529" s="685">
        <f t="shared" si="495"/>
        <v>1.0939787845815492</v>
      </c>
      <c r="AV529" s="276">
        <f t="shared" si="496"/>
        <v>2.0986287421036547</v>
      </c>
      <c r="AW529" s="276">
        <f t="shared" si="497"/>
        <v>1.6556869532899776</v>
      </c>
      <c r="AX529" s="276">
        <f t="shared" si="498"/>
        <v>1.0498771675256184</v>
      </c>
      <c r="AY529" s="276">
        <f t="shared" si="499"/>
        <v>1.0747046832123599</v>
      </c>
      <c r="AZ529" s="686">
        <f t="shared" si="500"/>
        <v>0.89816848114456893</v>
      </c>
      <c r="BA529" s="685">
        <f t="shared" si="501"/>
        <v>0</v>
      </c>
      <c r="BB529" s="276">
        <f t="shared" si="502"/>
        <v>0</v>
      </c>
      <c r="BC529" s="276">
        <f t="shared" si="503"/>
        <v>0</v>
      </c>
      <c r="BD529" s="276">
        <f t="shared" si="504"/>
        <v>0</v>
      </c>
      <c r="BE529" s="276">
        <f t="shared" si="505"/>
        <v>0</v>
      </c>
      <c r="BF529" s="686">
        <f t="shared" si="506"/>
        <v>0</v>
      </c>
      <c r="BG529" s="685" t="e">
        <f t="shared" si="507"/>
        <v>#DIV/0!</v>
      </c>
      <c r="BH529" s="276" t="e">
        <f t="shared" si="508"/>
        <v>#DIV/0!</v>
      </c>
      <c r="BI529" s="276" t="e">
        <f t="shared" si="509"/>
        <v>#DIV/0!</v>
      </c>
      <c r="BJ529" s="276" t="e">
        <f t="shared" si="510"/>
        <v>#DIV/0!</v>
      </c>
      <c r="BK529" s="276" t="e">
        <f t="shared" si="511"/>
        <v>#DIV/0!</v>
      </c>
      <c r="BL529" s="686" t="e">
        <f t="shared" si="512"/>
        <v>#DIV/0!</v>
      </c>
      <c r="BM529" s="239"/>
      <c r="BN529" s="965" t="e">
        <f t="shared" si="513"/>
        <v>#VALUE!</v>
      </c>
      <c r="BO529" s="878" t="e">
        <f t="shared" si="514"/>
        <v>#VALUE!</v>
      </c>
      <c r="BP529" s="878" t="e">
        <f t="shared" si="515"/>
        <v>#VALUE!</v>
      </c>
      <c r="BQ529" s="878" t="e">
        <f t="shared" si="516"/>
        <v>#VALUE!</v>
      </c>
      <c r="BR529" s="878" t="e">
        <f t="shared" si="517"/>
        <v>#VALUE!</v>
      </c>
      <c r="BS529" s="966" t="e">
        <f t="shared" si="518"/>
        <v>#VALUE!</v>
      </c>
    </row>
    <row r="530" spans="1:71">
      <c r="A530" s="284">
        <f t="shared" si="519"/>
        <v>462</v>
      </c>
      <c r="B530" s="285">
        <v>-1.5182935566338738</v>
      </c>
      <c r="C530" s="285">
        <v>2.2037484283150532</v>
      </c>
      <c r="D530" s="285">
        <v>1.1573453099928952</v>
      </c>
      <c r="E530" s="285">
        <v>-8.4192519141621887</v>
      </c>
      <c r="H530" s="685">
        <f t="shared" si="465"/>
        <v>-2.6515273984029286</v>
      </c>
      <c r="I530" s="276">
        <f t="shared" si="466"/>
        <v>-4.1021483050344116</v>
      </c>
      <c r="J530" s="276">
        <f t="shared" si="467"/>
        <v>-1.4240680974644675</v>
      </c>
      <c r="K530" s="276">
        <f t="shared" si="468"/>
        <v>1.6144461402948014</v>
      </c>
      <c r="L530" s="276">
        <f t="shared" si="469"/>
        <v>8.193862213019143E-2</v>
      </c>
      <c r="M530" s="276">
        <f t="shared" si="470"/>
        <v>-0.63838909170673541</v>
      </c>
      <c r="N530" s="685">
        <f t="shared" si="471"/>
        <v>0.99657721734318483</v>
      </c>
      <c r="O530" s="276">
        <f t="shared" si="472"/>
        <v>1.6517871667547401</v>
      </c>
      <c r="P530" s="276">
        <f t="shared" si="473"/>
        <v>1.1643933972335574</v>
      </c>
      <c r="Q530" s="276">
        <f t="shared" si="474"/>
        <v>1.9240627572329332</v>
      </c>
      <c r="R530" s="276">
        <f t="shared" si="475"/>
        <v>1.9843856236878208</v>
      </c>
      <c r="S530" s="686">
        <f t="shared" si="476"/>
        <v>1.5460369131457494</v>
      </c>
      <c r="T530" s="685">
        <f t="shared" si="477"/>
        <v>4.4357090002638211</v>
      </c>
      <c r="U530" s="276">
        <f t="shared" si="478"/>
        <v>4.2562646767264818</v>
      </c>
      <c r="V530" s="276">
        <f t="shared" si="479"/>
        <v>4.7416557101286063</v>
      </c>
      <c r="W530" s="276">
        <f t="shared" si="480"/>
        <v>3.7990560286713762</v>
      </c>
      <c r="X530" s="276">
        <f t="shared" si="481"/>
        <v>5.0426945416233462</v>
      </c>
      <c r="Y530" s="686">
        <f t="shared" si="482"/>
        <v>5.3105685509185392</v>
      </c>
      <c r="Z530" s="685" t="e">
        <f t="shared" si="483"/>
        <v>#DIV/0!</v>
      </c>
      <c r="AA530" s="276" t="e">
        <f t="shared" si="484"/>
        <v>#DIV/0!</v>
      </c>
      <c r="AB530" s="276" t="e">
        <f t="shared" si="485"/>
        <v>#DIV/0!</v>
      </c>
      <c r="AC530" s="276" t="e">
        <f t="shared" si="486"/>
        <v>#DIV/0!</v>
      </c>
      <c r="AD530" s="276" t="e">
        <f t="shared" si="487"/>
        <v>#DIV/0!</v>
      </c>
      <c r="AE530" s="686" t="e">
        <f t="shared" si="488"/>
        <v>#DIV/0!</v>
      </c>
      <c r="AF530" s="239"/>
      <c r="AG530" s="965" t="e">
        <f t="shared" si="459"/>
        <v>#VALUE!</v>
      </c>
      <c r="AH530" s="878" t="e">
        <f t="shared" si="460"/>
        <v>#VALUE!</v>
      </c>
      <c r="AI530" s="878" t="e">
        <f t="shared" si="461"/>
        <v>#VALUE!</v>
      </c>
      <c r="AJ530" s="878" t="e">
        <f t="shared" si="462"/>
        <v>#VALUE!</v>
      </c>
      <c r="AK530" s="878" t="e">
        <f t="shared" si="463"/>
        <v>#VALUE!</v>
      </c>
      <c r="AL530" s="966" t="e">
        <f t="shared" si="464"/>
        <v>#VALUE!</v>
      </c>
      <c r="AM530" s="239"/>
      <c r="AO530" s="685">
        <f t="shared" si="489"/>
        <v>-2.6515273984029286</v>
      </c>
      <c r="AP530" s="276">
        <f t="shared" si="490"/>
        <v>-4.1021483050344116</v>
      </c>
      <c r="AQ530" s="276">
        <f t="shared" si="491"/>
        <v>-1.4240680974644675</v>
      </c>
      <c r="AR530" s="276">
        <f t="shared" si="492"/>
        <v>1.6144461402948014</v>
      </c>
      <c r="AS530" s="276">
        <f t="shared" si="493"/>
        <v>8.193862213019143E-2</v>
      </c>
      <c r="AT530" s="276">
        <f t="shared" si="494"/>
        <v>-0.63838909170673541</v>
      </c>
      <c r="AU530" s="685">
        <f t="shared" si="495"/>
        <v>0.99657721734318483</v>
      </c>
      <c r="AV530" s="276">
        <f t="shared" si="496"/>
        <v>1.6517871667547401</v>
      </c>
      <c r="AW530" s="276">
        <f t="shared" si="497"/>
        <v>1.1643933972335574</v>
      </c>
      <c r="AX530" s="276">
        <f t="shared" si="498"/>
        <v>1.9240627572329332</v>
      </c>
      <c r="AY530" s="276">
        <f t="shared" si="499"/>
        <v>1.9843856236878208</v>
      </c>
      <c r="AZ530" s="686">
        <f t="shared" si="500"/>
        <v>1.5460369131457494</v>
      </c>
      <c r="BA530" s="685">
        <f t="shared" si="501"/>
        <v>0</v>
      </c>
      <c r="BB530" s="276">
        <f t="shared" si="502"/>
        <v>0</v>
      </c>
      <c r="BC530" s="276">
        <f t="shared" si="503"/>
        <v>0</v>
      </c>
      <c r="BD530" s="276">
        <f t="shared" si="504"/>
        <v>0</v>
      </c>
      <c r="BE530" s="276">
        <f t="shared" si="505"/>
        <v>0</v>
      </c>
      <c r="BF530" s="686">
        <f t="shared" si="506"/>
        <v>0</v>
      </c>
      <c r="BG530" s="685" t="e">
        <f t="shared" si="507"/>
        <v>#DIV/0!</v>
      </c>
      <c r="BH530" s="276" t="e">
        <f t="shared" si="508"/>
        <v>#DIV/0!</v>
      </c>
      <c r="BI530" s="276" t="e">
        <f t="shared" si="509"/>
        <v>#DIV/0!</v>
      </c>
      <c r="BJ530" s="276" t="e">
        <f t="shared" si="510"/>
        <v>#DIV/0!</v>
      </c>
      <c r="BK530" s="276" t="e">
        <f t="shared" si="511"/>
        <v>#DIV/0!</v>
      </c>
      <c r="BL530" s="686" t="e">
        <f t="shared" si="512"/>
        <v>#DIV/0!</v>
      </c>
      <c r="BM530" s="239"/>
      <c r="BN530" s="965" t="e">
        <f t="shared" si="513"/>
        <v>#VALUE!</v>
      </c>
      <c r="BO530" s="878" t="e">
        <f t="shared" si="514"/>
        <v>#VALUE!</v>
      </c>
      <c r="BP530" s="878" t="e">
        <f t="shared" si="515"/>
        <v>#VALUE!</v>
      </c>
      <c r="BQ530" s="878" t="e">
        <f t="shared" si="516"/>
        <v>#VALUE!</v>
      </c>
      <c r="BR530" s="878" t="e">
        <f t="shared" si="517"/>
        <v>#VALUE!</v>
      </c>
      <c r="BS530" s="966" t="e">
        <f t="shared" si="518"/>
        <v>#VALUE!</v>
      </c>
    </row>
    <row r="531" spans="1:71">
      <c r="A531" s="284">
        <f t="shared" si="519"/>
        <v>463</v>
      </c>
      <c r="B531" s="285">
        <v>3.6430897716586199</v>
      </c>
      <c r="C531" s="285">
        <v>2.6827230727825455</v>
      </c>
      <c r="D531" s="285">
        <v>0.65033935379648289</v>
      </c>
      <c r="E531" s="285">
        <v>-8.0346144281640832</v>
      </c>
      <c r="H531" s="685">
        <f t="shared" si="465"/>
        <v>2.5098559298895653</v>
      </c>
      <c r="I531" s="276">
        <f t="shared" si="466"/>
        <v>1.5327578153053645</v>
      </c>
      <c r="J531" s="276">
        <f t="shared" si="467"/>
        <v>-0.31052666056039591</v>
      </c>
      <c r="K531" s="276">
        <f t="shared" si="468"/>
        <v>-1.0604830009446116</v>
      </c>
      <c r="L531" s="276">
        <f t="shared" si="469"/>
        <v>-3.4710528666596048</v>
      </c>
      <c r="M531" s="276">
        <f t="shared" si="470"/>
        <v>-2.4915934742133539</v>
      </c>
      <c r="N531" s="685">
        <f t="shared" si="471"/>
        <v>1.4755518618106771</v>
      </c>
      <c r="O531" s="276">
        <f t="shared" si="472"/>
        <v>0.76808405829541426</v>
      </c>
      <c r="P531" s="276">
        <f t="shared" si="473"/>
        <v>1.2015699216184645</v>
      </c>
      <c r="Q531" s="276">
        <f t="shared" si="474"/>
        <v>0.57407919154656573</v>
      </c>
      <c r="R531" s="276">
        <f t="shared" si="475"/>
        <v>0.68982641151995239</v>
      </c>
      <c r="S531" s="686">
        <f t="shared" si="476"/>
        <v>0.6257368020570413</v>
      </c>
      <c r="T531" s="685">
        <f t="shared" si="477"/>
        <v>3.9287030440674089</v>
      </c>
      <c r="U531" s="276">
        <f t="shared" si="478"/>
        <v>5.0966487703623535</v>
      </c>
      <c r="V531" s="276">
        <f t="shared" si="479"/>
        <v>5.0840041724370053</v>
      </c>
      <c r="W531" s="276">
        <f t="shared" si="480"/>
        <v>6.8043529072113031</v>
      </c>
      <c r="X531" s="276">
        <f t="shared" si="481"/>
        <v>3.1622695054952863</v>
      </c>
      <c r="Y531" s="686">
        <f t="shared" si="482"/>
        <v>4.1784335704638949</v>
      </c>
      <c r="Z531" s="685" t="e">
        <f t="shared" si="483"/>
        <v>#DIV/0!</v>
      </c>
      <c r="AA531" s="276" t="e">
        <f t="shared" si="484"/>
        <v>#DIV/0!</v>
      </c>
      <c r="AB531" s="276" t="e">
        <f t="shared" si="485"/>
        <v>#DIV/0!</v>
      </c>
      <c r="AC531" s="276" t="e">
        <f t="shared" si="486"/>
        <v>#DIV/0!</v>
      </c>
      <c r="AD531" s="276" t="e">
        <f t="shared" si="487"/>
        <v>#DIV/0!</v>
      </c>
      <c r="AE531" s="686" t="e">
        <f t="shared" si="488"/>
        <v>#DIV/0!</v>
      </c>
      <c r="AF531" s="239"/>
      <c r="AG531" s="965" t="e">
        <f t="shared" si="459"/>
        <v>#VALUE!</v>
      </c>
      <c r="AH531" s="878" t="e">
        <f t="shared" si="460"/>
        <v>#VALUE!</v>
      </c>
      <c r="AI531" s="878" t="e">
        <f t="shared" si="461"/>
        <v>#VALUE!</v>
      </c>
      <c r="AJ531" s="878" t="e">
        <f t="shared" si="462"/>
        <v>#VALUE!</v>
      </c>
      <c r="AK531" s="878" t="e">
        <f t="shared" si="463"/>
        <v>#VALUE!</v>
      </c>
      <c r="AL531" s="966" t="e">
        <f t="shared" si="464"/>
        <v>#VALUE!</v>
      </c>
      <c r="AM531" s="239"/>
      <c r="AO531" s="685">
        <f t="shared" si="489"/>
        <v>2.5098559298895653</v>
      </c>
      <c r="AP531" s="276">
        <f t="shared" si="490"/>
        <v>1.5327578153053645</v>
      </c>
      <c r="AQ531" s="276">
        <f t="shared" si="491"/>
        <v>-0.31052666056039591</v>
      </c>
      <c r="AR531" s="276">
        <f t="shared" si="492"/>
        <v>-1.0604830009446116</v>
      </c>
      <c r="AS531" s="276">
        <f t="shared" si="493"/>
        <v>-3.4710528666596048</v>
      </c>
      <c r="AT531" s="276">
        <f t="shared" si="494"/>
        <v>-2.4915934742133539</v>
      </c>
      <c r="AU531" s="685">
        <f t="shared" si="495"/>
        <v>1.4755518618106771</v>
      </c>
      <c r="AV531" s="276">
        <f t="shared" si="496"/>
        <v>0.76808405829541426</v>
      </c>
      <c r="AW531" s="276">
        <f t="shared" si="497"/>
        <v>1.2015699216184645</v>
      </c>
      <c r="AX531" s="276">
        <f t="shared" si="498"/>
        <v>0.57407919154656573</v>
      </c>
      <c r="AY531" s="276">
        <f t="shared" si="499"/>
        <v>0.68982641151995239</v>
      </c>
      <c r="AZ531" s="686">
        <f t="shared" si="500"/>
        <v>0.6257368020570413</v>
      </c>
      <c r="BA531" s="685">
        <f t="shared" si="501"/>
        <v>0</v>
      </c>
      <c r="BB531" s="276">
        <f t="shared" si="502"/>
        <v>0</v>
      </c>
      <c r="BC531" s="276">
        <f t="shared" si="503"/>
        <v>0</v>
      </c>
      <c r="BD531" s="276">
        <f t="shared" si="504"/>
        <v>0</v>
      </c>
      <c r="BE531" s="276">
        <f t="shared" si="505"/>
        <v>0</v>
      </c>
      <c r="BF531" s="686">
        <f t="shared" si="506"/>
        <v>0</v>
      </c>
      <c r="BG531" s="685" t="e">
        <f t="shared" si="507"/>
        <v>#DIV/0!</v>
      </c>
      <c r="BH531" s="276" t="e">
        <f t="shared" si="508"/>
        <v>#DIV/0!</v>
      </c>
      <c r="BI531" s="276" t="e">
        <f t="shared" si="509"/>
        <v>#DIV/0!</v>
      </c>
      <c r="BJ531" s="276" t="e">
        <f t="shared" si="510"/>
        <v>#DIV/0!</v>
      </c>
      <c r="BK531" s="276" t="e">
        <f t="shared" si="511"/>
        <v>#DIV/0!</v>
      </c>
      <c r="BL531" s="686" t="e">
        <f t="shared" si="512"/>
        <v>#DIV/0!</v>
      </c>
      <c r="BM531" s="239"/>
      <c r="BN531" s="965" t="e">
        <f t="shared" si="513"/>
        <v>#VALUE!</v>
      </c>
      <c r="BO531" s="878" t="e">
        <f t="shared" si="514"/>
        <v>#VALUE!</v>
      </c>
      <c r="BP531" s="878" t="e">
        <f t="shared" si="515"/>
        <v>#VALUE!</v>
      </c>
      <c r="BQ531" s="878" t="e">
        <f t="shared" si="516"/>
        <v>#VALUE!</v>
      </c>
      <c r="BR531" s="878" t="e">
        <f t="shared" si="517"/>
        <v>#VALUE!</v>
      </c>
      <c r="BS531" s="966" t="e">
        <f t="shared" si="518"/>
        <v>#VALUE!</v>
      </c>
    </row>
    <row r="532" spans="1:71">
      <c r="A532" s="284">
        <f t="shared" si="519"/>
        <v>464</v>
      </c>
      <c r="B532" s="285">
        <v>-3.4104176814490539</v>
      </c>
      <c r="C532" s="285">
        <v>2.2526801955506954</v>
      </c>
      <c r="D532" s="285">
        <v>1.1304091166517676</v>
      </c>
      <c r="E532" s="285">
        <v>-9.7249218693239943</v>
      </c>
      <c r="H532" s="685">
        <f t="shared" si="465"/>
        <v>-4.5436515232181085</v>
      </c>
      <c r="I532" s="276">
        <f t="shared" si="466"/>
        <v>-1.6202025189265601</v>
      </c>
      <c r="J532" s="276">
        <f t="shared" si="467"/>
        <v>2.5316915936828899</v>
      </c>
      <c r="K532" s="276">
        <f t="shared" si="468"/>
        <v>-0.62492255538351549</v>
      </c>
      <c r="L532" s="276">
        <f t="shared" si="469"/>
        <v>0.84404697985629351</v>
      </c>
      <c r="M532" s="276">
        <f t="shared" si="470"/>
        <v>0.66701197297680626</v>
      </c>
      <c r="N532" s="685">
        <f t="shared" si="471"/>
        <v>1.045508984578827</v>
      </c>
      <c r="O532" s="276">
        <f t="shared" si="472"/>
        <v>0.53071791660821011</v>
      </c>
      <c r="P532" s="276">
        <f t="shared" si="473"/>
        <v>1.8096675248866132</v>
      </c>
      <c r="Q532" s="276">
        <f t="shared" si="474"/>
        <v>1.5692323275452444</v>
      </c>
      <c r="R532" s="276">
        <f t="shared" si="475"/>
        <v>1.2015566690434405</v>
      </c>
      <c r="S532" s="686">
        <f t="shared" si="476"/>
        <v>0.72695369297981816</v>
      </c>
      <c r="T532" s="685">
        <f t="shared" si="477"/>
        <v>4.408772806922693</v>
      </c>
      <c r="U532" s="276">
        <f t="shared" si="478"/>
        <v>3.2232369226465396</v>
      </c>
      <c r="V532" s="276">
        <f t="shared" si="479"/>
        <v>3.7035588121426173</v>
      </c>
      <c r="W532" s="276">
        <f t="shared" si="480"/>
        <v>2.284345292986858</v>
      </c>
      <c r="X532" s="276">
        <f t="shared" si="481"/>
        <v>5.1079485304921448</v>
      </c>
      <c r="Y532" s="686">
        <f t="shared" si="482"/>
        <v>4.5152966497233535</v>
      </c>
      <c r="Z532" s="685" t="e">
        <f t="shared" si="483"/>
        <v>#DIV/0!</v>
      </c>
      <c r="AA532" s="276" t="e">
        <f t="shared" si="484"/>
        <v>#DIV/0!</v>
      </c>
      <c r="AB532" s="276" t="e">
        <f t="shared" si="485"/>
        <v>#DIV/0!</v>
      </c>
      <c r="AC532" s="276" t="e">
        <f t="shared" si="486"/>
        <v>#DIV/0!</v>
      </c>
      <c r="AD532" s="276" t="e">
        <f t="shared" si="487"/>
        <v>#DIV/0!</v>
      </c>
      <c r="AE532" s="686" t="e">
        <f t="shared" si="488"/>
        <v>#DIV/0!</v>
      </c>
      <c r="AF532" s="239"/>
      <c r="AG532" s="965" t="e">
        <f t="shared" si="459"/>
        <v>#VALUE!</v>
      </c>
      <c r="AH532" s="878" t="e">
        <f t="shared" si="460"/>
        <v>#VALUE!</v>
      </c>
      <c r="AI532" s="878" t="e">
        <f t="shared" si="461"/>
        <v>#VALUE!</v>
      </c>
      <c r="AJ532" s="878" t="e">
        <f t="shared" si="462"/>
        <v>#VALUE!</v>
      </c>
      <c r="AK532" s="878" t="e">
        <f t="shared" si="463"/>
        <v>#VALUE!</v>
      </c>
      <c r="AL532" s="966" t="e">
        <f t="shared" si="464"/>
        <v>#VALUE!</v>
      </c>
      <c r="AM532" s="239"/>
      <c r="AO532" s="685">
        <f t="shared" si="489"/>
        <v>-4.5436515232181085</v>
      </c>
      <c r="AP532" s="276">
        <f t="shared" si="490"/>
        <v>-1.6202025189265601</v>
      </c>
      <c r="AQ532" s="276">
        <f t="shared" si="491"/>
        <v>2.5316915936828899</v>
      </c>
      <c r="AR532" s="276">
        <f t="shared" si="492"/>
        <v>-0.62492255538351549</v>
      </c>
      <c r="AS532" s="276">
        <f t="shared" si="493"/>
        <v>0.84404697985629351</v>
      </c>
      <c r="AT532" s="276">
        <f t="shared" si="494"/>
        <v>0.66701197297680626</v>
      </c>
      <c r="AU532" s="685">
        <f t="shared" si="495"/>
        <v>1.045508984578827</v>
      </c>
      <c r="AV532" s="276">
        <f t="shared" si="496"/>
        <v>0.53071791660821011</v>
      </c>
      <c r="AW532" s="276">
        <f t="shared" si="497"/>
        <v>1.8096675248866132</v>
      </c>
      <c r="AX532" s="276">
        <f t="shared" si="498"/>
        <v>1.5692323275452444</v>
      </c>
      <c r="AY532" s="276">
        <f t="shared" si="499"/>
        <v>1.2015566690434405</v>
      </c>
      <c r="AZ532" s="686">
        <f t="shared" si="500"/>
        <v>0.72695369297981816</v>
      </c>
      <c r="BA532" s="685">
        <f t="shared" si="501"/>
        <v>0</v>
      </c>
      <c r="BB532" s="276">
        <f t="shared" si="502"/>
        <v>0</v>
      </c>
      <c r="BC532" s="276">
        <f t="shared" si="503"/>
        <v>0</v>
      </c>
      <c r="BD532" s="276">
        <f t="shared" si="504"/>
        <v>0</v>
      </c>
      <c r="BE532" s="276">
        <f t="shared" si="505"/>
        <v>0</v>
      </c>
      <c r="BF532" s="686">
        <f t="shared" si="506"/>
        <v>0</v>
      </c>
      <c r="BG532" s="685" t="e">
        <f t="shared" si="507"/>
        <v>#DIV/0!</v>
      </c>
      <c r="BH532" s="276" t="e">
        <f t="shared" si="508"/>
        <v>#DIV/0!</v>
      </c>
      <c r="BI532" s="276" t="e">
        <f t="shared" si="509"/>
        <v>#DIV/0!</v>
      </c>
      <c r="BJ532" s="276" t="e">
        <f t="shared" si="510"/>
        <v>#DIV/0!</v>
      </c>
      <c r="BK532" s="276" t="e">
        <f t="shared" si="511"/>
        <v>#DIV/0!</v>
      </c>
      <c r="BL532" s="686" t="e">
        <f t="shared" si="512"/>
        <v>#DIV/0!</v>
      </c>
      <c r="BM532" s="239"/>
      <c r="BN532" s="965" t="e">
        <f t="shared" si="513"/>
        <v>#VALUE!</v>
      </c>
      <c r="BO532" s="878" t="e">
        <f t="shared" si="514"/>
        <v>#VALUE!</v>
      </c>
      <c r="BP532" s="878" t="e">
        <f t="shared" si="515"/>
        <v>#VALUE!</v>
      </c>
      <c r="BQ532" s="878" t="e">
        <f t="shared" si="516"/>
        <v>#VALUE!</v>
      </c>
      <c r="BR532" s="878" t="e">
        <f t="shared" si="517"/>
        <v>#VALUE!</v>
      </c>
      <c r="BS532" s="966" t="e">
        <f t="shared" si="518"/>
        <v>#VALUE!</v>
      </c>
    </row>
    <row r="533" spans="1:71">
      <c r="A533" s="284">
        <f t="shared" si="519"/>
        <v>465</v>
      </c>
      <c r="B533" s="285">
        <v>1.844635296521665</v>
      </c>
      <c r="C533" s="285">
        <v>2.5840804905190735</v>
      </c>
      <c r="D533" s="285">
        <v>2.0667999732554549</v>
      </c>
      <c r="E533" s="285">
        <v>-6.832456886017054</v>
      </c>
      <c r="H533" s="685">
        <f t="shared" si="465"/>
        <v>0.71140145475261019</v>
      </c>
      <c r="I533" s="276">
        <f t="shared" si="466"/>
        <v>-1.513205496853455</v>
      </c>
      <c r="J533" s="276">
        <f t="shared" si="467"/>
        <v>-0.12516667065689191</v>
      </c>
      <c r="K533" s="276">
        <f t="shared" si="468"/>
        <v>-0.5170235434428827</v>
      </c>
      <c r="L533" s="276">
        <f t="shared" si="469"/>
        <v>-3.869048637520466</v>
      </c>
      <c r="M533" s="276">
        <f t="shared" si="470"/>
        <v>1.9405492098581558</v>
      </c>
      <c r="N533" s="685">
        <f t="shared" si="471"/>
        <v>1.3769092795472051</v>
      </c>
      <c r="O533" s="276">
        <f t="shared" si="472"/>
        <v>0.66702912962381733</v>
      </c>
      <c r="P533" s="276">
        <f t="shared" si="473"/>
        <v>1.2945439143877551</v>
      </c>
      <c r="Q533" s="276">
        <f t="shared" si="474"/>
        <v>0.869510441127755</v>
      </c>
      <c r="R533" s="276">
        <f t="shared" si="475"/>
        <v>1.2978880228755443</v>
      </c>
      <c r="S533" s="686">
        <f t="shared" si="476"/>
        <v>0.81803899354577925</v>
      </c>
      <c r="T533" s="685">
        <f t="shared" si="477"/>
        <v>5.3451636635263808</v>
      </c>
      <c r="U533" s="276">
        <f t="shared" si="478"/>
        <v>5.5271131034577294</v>
      </c>
      <c r="V533" s="276">
        <f t="shared" si="479"/>
        <v>4.0426196346417571</v>
      </c>
      <c r="W533" s="276">
        <f t="shared" si="480"/>
        <v>4.7528471428813628</v>
      </c>
      <c r="X533" s="276">
        <f t="shared" si="481"/>
        <v>3.5551917613413608</v>
      </c>
      <c r="Y533" s="686">
        <f t="shared" si="482"/>
        <v>4.4938589178119805</v>
      </c>
      <c r="Z533" s="685" t="e">
        <f t="shared" si="483"/>
        <v>#DIV/0!</v>
      </c>
      <c r="AA533" s="276" t="e">
        <f t="shared" si="484"/>
        <v>#DIV/0!</v>
      </c>
      <c r="AB533" s="276" t="e">
        <f t="shared" si="485"/>
        <v>#DIV/0!</v>
      </c>
      <c r="AC533" s="276" t="e">
        <f t="shared" si="486"/>
        <v>#DIV/0!</v>
      </c>
      <c r="AD533" s="276" t="e">
        <f t="shared" si="487"/>
        <v>#DIV/0!</v>
      </c>
      <c r="AE533" s="686" t="e">
        <f t="shared" si="488"/>
        <v>#DIV/0!</v>
      </c>
      <c r="AF533" s="239"/>
      <c r="AG533" s="965" t="e">
        <f t="shared" si="459"/>
        <v>#VALUE!</v>
      </c>
      <c r="AH533" s="878" t="e">
        <f t="shared" si="460"/>
        <v>#VALUE!</v>
      </c>
      <c r="AI533" s="878" t="e">
        <f t="shared" si="461"/>
        <v>#VALUE!</v>
      </c>
      <c r="AJ533" s="878" t="e">
        <f t="shared" si="462"/>
        <v>#VALUE!</v>
      </c>
      <c r="AK533" s="878" t="e">
        <f t="shared" si="463"/>
        <v>#VALUE!</v>
      </c>
      <c r="AL533" s="966" t="e">
        <f t="shared" si="464"/>
        <v>#VALUE!</v>
      </c>
      <c r="AM533" s="239"/>
      <c r="AO533" s="685">
        <f t="shared" si="489"/>
        <v>0.71140145475261019</v>
      </c>
      <c r="AP533" s="276">
        <f t="shared" si="490"/>
        <v>-1.513205496853455</v>
      </c>
      <c r="AQ533" s="276">
        <f t="shared" si="491"/>
        <v>-0.12516667065689191</v>
      </c>
      <c r="AR533" s="276">
        <f t="shared" si="492"/>
        <v>-0.5170235434428827</v>
      </c>
      <c r="AS533" s="276">
        <f t="shared" si="493"/>
        <v>-3.869048637520466</v>
      </c>
      <c r="AT533" s="276">
        <f t="shared" si="494"/>
        <v>1.9405492098581558</v>
      </c>
      <c r="AU533" s="685">
        <f t="shared" si="495"/>
        <v>1.3769092795472051</v>
      </c>
      <c r="AV533" s="276">
        <f t="shared" si="496"/>
        <v>0.66702912962381733</v>
      </c>
      <c r="AW533" s="276">
        <f t="shared" si="497"/>
        <v>1.2945439143877551</v>
      </c>
      <c r="AX533" s="276">
        <f t="shared" si="498"/>
        <v>0.869510441127755</v>
      </c>
      <c r="AY533" s="276">
        <f t="shared" si="499"/>
        <v>1.2978880228755443</v>
      </c>
      <c r="AZ533" s="686">
        <f t="shared" si="500"/>
        <v>0.81803899354577925</v>
      </c>
      <c r="BA533" s="685">
        <f t="shared" si="501"/>
        <v>0</v>
      </c>
      <c r="BB533" s="276">
        <f t="shared" si="502"/>
        <v>0</v>
      </c>
      <c r="BC533" s="276">
        <f t="shared" si="503"/>
        <v>0</v>
      </c>
      <c r="BD533" s="276">
        <f t="shared" si="504"/>
        <v>0</v>
      </c>
      <c r="BE533" s="276">
        <f t="shared" si="505"/>
        <v>0</v>
      </c>
      <c r="BF533" s="686">
        <f t="shared" si="506"/>
        <v>0</v>
      </c>
      <c r="BG533" s="685" t="e">
        <f t="shared" si="507"/>
        <v>#DIV/0!</v>
      </c>
      <c r="BH533" s="276" t="e">
        <f t="shared" si="508"/>
        <v>#DIV/0!</v>
      </c>
      <c r="BI533" s="276" t="e">
        <f t="shared" si="509"/>
        <v>#DIV/0!</v>
      </c>
      <c r="BJ533" s="276" t="e">
        <f t="shared" si="510"/>
        <v>#DIV/0!</v>
      </c>
      <c r="BK533" s="276" t="e">
        <f t="shared" si="511"/>
        <v>#DIV/0!</v>
      </c>
      <c r="BL533" s="686" t="e">
        <f t="shared" si="512"/>
        <v>#DIV/0!</v>
      </c>
      <c r="BM533" s="239"/>
      <c r="BN533" s="965" t="e">
        <f t="shared" si="513"/>
        <v>#VALUE!</v>
      </c>
      <c r="BO533" s="878" t="e">
        <f t="shared" si="514"/>
        <v>#VALUE!</v>
      </c>
      <c r="BP533" s="878" t="e">
        <f t="shared" si="515"/>
        <v>#VALUE!</v>
      </c>
      <c r="BQ533" s="878" t="e">
        <f t="shared" si="516"/>
        <v>#VALUE!</v>
      </c>
      <c r="BR533" s="878" t="e">
        <f t="shared" si="517"/>
        <v>#VALUE!</v>
      </c>
      <c r="BS533" s="966" t="e">
        <f t="shared" si="518"/>
        <v>#VALUE!</v>
      </c>
    </row>
    <row r="534" spans="1:71">
      <c r="A534" s="284">
        <f t="shared" si="519"/>
        <v>466</v>
      </c>
      <c r="B534" s="285">
        <v>4.9990748332585078</v>
      </c>
      <c r="C534" s="285">
        <v>3.8679747177319994</v>
      </c>
      <c r="D534" s="285">
        <v>0.63615218111980332</v>
      </c>
      <c r="E534" s="285">
        <v>17.157969318512439</v>
      </c>
      <c r="H534" s="685">
        <f t="shared" si="465"/>
        <v>3.8658409914894527</v>
      </c>
      <c r="I534" s="276">
        <f t="shared" si="466"/>
        <v>0.45415670874251268</v>
      </c>
      <c r="J534" s="276">
        <f t="shared" si="467"/>
        <v>1.0271068734457989</v>
      </c>
      <c r="K534" s="276">
        <f t="shared" si="468"/>
        <v>1.3384102987918867</v>
      </c>
      <c r="L534" s="276">
        <f t="shared" si="469"/>
        <v>-5.1604672868082684</v>
      </c>
      <c r="M534" s="276">
        <f t="shared" si="470"/>
        <v>-2.4216709584013589</v>
      </c>
      <c r="N534" s="685">
        <f t="shared" si="471"/>
        <v>2.6608035067601312</v>
      </c>
      <c r="O534" s="276">
        <f t="shared" si="472"/>
        <v>0.87772933683535803</v>
      </c>
      <c r="P534" s="276">
        <f t="shared" si="473"/>
        <v>1.0193596643992524</v>
      </c>
      <c r="Q534" s="276">
        <f t="shared" si="474"/>
        <v>1.1685635402028332</v>
      </c>
      <c r="R534" s="276">
        <f t="shared" si="475"/>
        <v>1.8460457189573811</v>
      </c>
      <c r="S534" s="686">
        <f t="shared" si="476"/>
        <v>1.4551890875747306</v>
      </c>
      <c r="T534" s="685">
        <f t="shared" si="477"/>
        <v>3.9145158713907291</v>
      </c>
      <c r="U534" s="276">
        <f t="shared" si="478"/>
        <v>5.3916167388438918</v>
      </c>
      <c r="V534" s="276">
        <f t="shared" si="479"/>
        <v>4.6740523782855972</v>
      </c>
      <c r="W534" s="276">
        <f t="shared" si="480"/>
        <v>4.534174895049822</v>
      </c>
      <c r="X534" s="276">
        <f t="shared" si="481"/>
        <v>2.9610951100297478</v>
      </c>
      <c r="Y534" s="686">
        <f t="shared" si="482"/>
        <v>4.8565663428750856</v>
      </c>
      <c r="Z534" s="685" t="e">
        <f t="shared" si="483"/>
        <v>#DIV/0!</v>
      </c>
      <c r="AA534" s="276" t="e">
        <f t="shared" si="484"/>
        <v>#DIV/0!</v>
      </c>
      <c r="AB534" s="276" t="e">
        <f t="shared" si="485"/>
        <v>#DIV/0!</v>
      </c>
      <c r="AC534" s="276" t="e">
        <f t="shared" si="486"/>
        <v>#DIV/0!</v>
      </c>
      <c r="AD534" s="276" t="e">
        <f t="shared" si="487"/>
        <v>#DIV/0!</v>
      </c>
      <c r="AE534" s="686" t="e">
        <f t="shared" si="488"/>
        <v>#DIV/0!</v>
      </c>
      <c r="AF534" s="239"/>
      <c r="AG534" s="965" t="e">
        <f t="shared" si="459"/>
        <v>#VALUE!</v>
      </c>
      <c r="AH534" s="878" t="e">
        <f t="shared" si="460"/>
        <v>#VALUE!</v>
      </c>
      <c r="AI534" s="878" t="e">
        <f t="shared" si="461"/>
        <v>#VALUE!</v>
      </c>
      <c r="AJ534" s="878" t="e">
        <f t="shared" si="462"/>
        <v>#VALUE!</v>
      </c>
      <c r="AK534" s="878" t="e">
        <f t="shared" si="463"/>
        <v>#VALUE!</v>
      </c>
      <c r="AL534" s="966" t="e">
        <f t="shared" si="464"/>
        <v>#VALUE!</v>
      </c>
      <c r="AM534" s="239"/>
      <c r="AO534" s="685">
        <f t="shared" si="489"/>
        <v>3.8658409914894527</v>
      </c>
      <c r="AP534" s="276">
        <f t="shared" si="490"/>
        <v>0.45415670874251268</v>
      </c>
      <c r="AQ534" s="276">
        <f t="shared" si="491"/>
        <v>1.0271068734457989</v>
      </c>
      <c r="AR534" s="276">
        <f t="shared" si="492"/>
        <v>1.3384102987918867</v>
      </c>
      <c r="AS534" s="276">
        <f t="shared" si="493"/>
        <v>-5.1604672868082684</v>
      </c>
      <c r="AT534" s="276">
        <f t="shared" si="494"/>
        <v>-2.4216709584013589</v>
      </c>
      <c r="AU534" s="685">
        <f t="shared" si="495"/>
        <v>2.6608035067601312</v>
      </c>
      <c r="AV534" s="276">
        <f t="shared" si="496"/>
        <v>0.87772933683535803</v>
      </c>
      <c r="AW534" s="276">
        <f t="shared" si="497"/>
        <v>1.0193596643992524</v>
      </c>
      <c r="AX534" s="276">
        <f t="shared" si="498"/>
        <v>1.1685635402028332</v>
      </c>
      <c r="AY534" s="276">
        <f t="shared" si="499"/>
        <v>1.8460457189573811</v>
      </c>
      <c r="AZ534" s="686">
        <f t="shared" si="500"/>
        <v>1.4551890875747306</v>
      </c>
      <c r="BA534" s="685">
        <f t="shared" si="501"/>
        <v>0</v>
      </c>
      <c r="BB534" s="276">
        <f t="shared" si="502"/>
        <v>0</v>
      </c>
      <c r="BC534" s="276">
        <f t="shared" si="503"/>
        <v>0</v>
      </c>
      <c r="BD534" s="276">
        <f t="shared" si="504"/>
        <v>0</v>
      </c>
      <c r="BE534" s="276">
        <f t="shared" si="505"/>
        <v>0</v>
      </c>
      <c r="BF534" s="686">
        <f t="shared" si="506"/>
        <v>0</v>
      </c>
      <c r="BG534" s="685" t="e">
        <f t="shared" si="507"/>
        <v>#DIV/0!</v>
      </c>
      <c r="BH534" s="276" t="e">
        <f t="shared" si="508"/>
        <v>#DIV/0!</v>
      </c>
      <c r="BI534" s="276" t="e">
        <f t="shared" si="509"/>
        <v>#DIV/0!</v>
      </c>
      <c r="BJ534" s="276" t="e">
        <f t="shared" si="510"/>
        <v>#DIV/0!</v>
      </c>
      <c r="BK534" s="276" t="e">
        <f t="shared" si="511"/>
        <v>#DIV/0!</v>
      </c>
      <c r="BL534" s="686" t="e">
        <f t="shared" si="512"/>
        <v>#DIV/0!</v>
      </c>
      <c r="BM534" s="239"/>
      <c r="BN534" s="965" t="e">
        <f t="shared" si="513"/>
        <v>#VALUE!</v>
      </c>
      <c r="BO534" s="878" t="e">
        <f t="shared" si="514"/>
        <v>#VALUE!</v>
      </c>
      <c r="BP534" s="878" t="e">
        <f t="shared" si="515"/>
        <v>#VALUE!</v>
      </c>
      <c r="BQ534" s="878" t="e">
        <f t="shared" si="516"/>
        <v>#VALUE!</v>
      </c>
      <c r="BR534" s="878" t="e">
        <f t="shared" si="517"/>
        <v>#VALUE!</v>
      </c>
      <c r="BS534" s="966" t="e">
        <f t="shared" si="518"/>
        <v>#VALUE!</v>
      </c>
    </row>
    <row r="535" spans="1:71">
      <c r="A535" s="284">
        <f t="shared" si="519"/>
        <v>467</v>
      </c>
      <c r="B535" s="285">
        <v>2.6458218451860667</v>
      </c>
      <c r="C535" s="285">
        <v>2.4273805730509324</v>
      </c>
      <c r="D535" s="285">
        <v>2.3245470373095358</v>
      </c>
      <c r="E535" s="285">
        <v>-15.108315032185505</v>
      </c>
      <c r="H535" s="685">
        <f t="shared" si="465"/>
        <v>1.5125880034170118</v>
      </c>
      <c r="I535" s="276">
        <f t="shared" si="466"/>
        <v>1.1141206024312404</v>
      </c>
      <c r="J535" s="276">
        <f t="shared" si="467"/>
        <v>-2.0814560152666255</v>
      </c>
      <c r="K535" s="276">
        <f t="shared" si="468"/>
        <v>-2.2612170004775054</v>
      </c>
      <c r="L535" s="276">
        <f t="shared" si="469"/>
        <v>-1.2387209203405596</v>
      </c>
      <c r="M535" s="276">
        <f t="shared" si="470"/>
        <v>-5.7925528170676879</v>
      </c>
      <c r="N535" s="685">
        <f t="shared" si="471"/>
        <v>1.2202093620790639</v>
      </c>
      <c r="O535" s="276">
        <f t="shared" si="472"/>
        <v>1.6412259741348845</v>
      </c>
      <c r="P535" s="276">
        <f t="shared" si="473"/>
        <v>1.2307914869621832</v>
      </c>
      <c r="Q535" s="276">
        <f t="shared" si="474"/>
        <v>1.7774519709325534</v>
      </c>
      <c r="R535" s="276">
        <f t="shared" si="475"/>
        <v>0.94290848343015043</v>
      </c>
      <c r="S535" s="686">
        <f t="shared" si="476"/>
        <v>1.1169903851848357</v>
      </c>
      <c r="T535" s="685">
        <f t="shared" si="477"/>
        <v>5.6029107275804613</v>
      </c>
      <c r="U535" s="276">
        <f t="shared" si="478"/>
        <v>4.7932255577999845</v>
      </c>
      <c r="V535" s="276">
        <f t="shared" si="479"/>
        <v>4.6378512418745723</v>
      </c>
      <c r="W535" s="276">
        <f t="shared" si="480"/>
        <v>2.4339398931557548</v>
      </c>
      <c r="X535" s="276">
        <f t="shared" si="481"/>
        <v>5.2688894628327594</v>
      </c>
      <c r="Y535" s="686">
        <f t="shared" si="482"/>
        <v>2.5565961826227861</v>
      </c>
      <c r="Z535" s="685" t="e">
        <f t="shared" si="483"/>
        <v>#DIV/0!</v>
      </c>
      <c r="AA535" s="276" t="e">
        <f t="shared" si="484"/>
        <v>#DIV/0!</v>
      </c>
      <c r="AB535" s="276" t="e">
        <f t="shared" si="485"/>
        <v>#DIV/0!</v>
      </c>
      <c r="AC535" s="276" t="e">
        <f t="shared" si="486"/>
        <v>#DIV/0!</v>
      </c>
      <c r="AD535" s="276" t="e">
        <f t="shared" si="487"/>
        <v>#DIV/0!</v>
      </c>
      <c r="AE535" s="686" t="e">
        <f t="shared" si="488"/>
        <v>#DIV/0!</v>
      </c>
      <c r="AF535" s="239"/>
      <c r="AG535" s="965" t="e">
        <f t="shared" si="459"/>
        <v>#VALUE!</v>
      </c>
      <c r="AH535" s="878" t="e">
        <f t="shared" si="460"/>
        <v>#VALUE!</v>
      </c>
      <c r="AI535" s="878" t="e">
        <f t="shared" si="461"/>
        <v>#VALUE!</v>
      </c>
      <c r="AJ535" s="878" t="e">
        <f t="shared" si="462"/>
        <v>#VALUE!</v>
      </c>
      <c r="AK535" s="878" t="e">
        <f t="shared" si="463"/>
        <v>#VALUE!</v>
      </c>
      <c r="AL535" s="966" t="e">
        <f t="shared" si="464"/>
        <v>#VALUE!</v>
      </c>
      <c r="AM535" s="239"/>
      <c r="AO535" s="685">
        <f t="shared" si="489"/>
        <v>1.5125880034170118</v>
      </c>
      <c r="AP535" s="276">
        <f t="shared" si="490"/>
        <v>1.1141206024312404</v>
      </c>
      <c r="AQ535" s="276">
        <f t="shared" si="491"/>
        <v>-2.0814560152666255</v>
      </c>
      <c r="AR535" s="276">
        <f t="shared" si="492"/>
        <v>-2.2612170004775054</v>
      </c>
      <c r="AS535" s="276">
        <f t="shared" si="493"/>
        <v>-1.2387209203405596</v>
      </c>
      <c r="AT535" s="276">
        <f t="shared" si="494"/>
        <v>-5.7925528170676879</v>
      </c>
      <c r="AU535" s="685">
        <f t="shared" si="495"/>
        <v>1.2202093620790639</v>
      </c>
      <c r="AV535" s="276">
        <f t="shared" si="496"/>
        <v>1.6412259741348845</v>
      </c>
      <c r="AW535" s="276">
        <f t="shared" si="497"/>
        <v>1.2307914869621832</v>
      </c>
      <c r="AX535" s="276">
        <f t="shared" si="498"/>
        <v>1.7774519709325534</v>
      </c>
      <c r="AY535" s="276">
        <f t="shared" si="499"/>
        <v>0.94290848343015043</v>
      </c>
      <c r="AZ535" s="686">
        <f t="shared" si="500"/>
        <v>1.1169903851848357</v>
      </c>
      <c r="BA535" s="685">
        <f t="shared" si="501"/>
        <v>0</v>
      </c>
      <c r="BB535" s="276">
        <f t="shared" si="502"/>
        <v>0</v>
      </c>
      <c r="BC535" s="276">
        <f t="shared" si="503"/>
        <v>0</v>
      </c>
      <c r="BD535" s="276">
        <f t="shared" si="504"/>
        <v>0</v>
      </c>
      <c r="BE535" s="276">
        <f t="shared" si="505"/>
        <v>0</v>
      </c>
      <c r="BF535" s="686">
        <f t="shared" si="506"/>
        <v>0</v>
      </c>
      <c r="BG535" s="685" t="e">
        <f t="shared" si="507"/>
        <v>#DIV/0!</v>
      </c>
      <c r="BH535" s="276" t="e">
        <f t="shared" si="508"/>
        <v>#DIV/0!</v>
      </c>
      <c r="BI535" s="276" t="e">
        <f t="shared" si="509"/>
        <v>#DIV/0!</v>
      </c>
      <c r="BJ535" s="276" t="e">
        <f t="shared" si="510"/>
        <v>#DIV/0!</v>
      </c>
      <c r="BK535" s="276" t="e">
        <f t="shared" si="511"/>
        <v>#DIV/0!</v>
      </c>
      <c r="BL535" s="686" t="e">
        <f t="shared" si="512"/>
        <v>#DIV/0!</v>
      </c>
      <c r="BM535" s="239"/>
      <c r="BN535" s="965" t="e">
        <f t="shared" si="513"/>
        <v>#VALUE!</v>
      </c>
      <c r="BO535" s="878" t="e">
        <f t="shared" si="514"/>
        <v>#VALUE!</v>
      </c>
      <c r="BP535" s="878" t="e">
        <f t="shared" si="515"/>
        <v>#VALUE!</v>
      </c>
      <c r="BQ535" s="878" t="e">
        <f t="shared" si="516"/>
        <v>#VALUE!</v>
      </c>
      <c r="BR535" s="878" t="e">
        <f t="shared" si="517"/>
        <v>#VALUE!</v>
      </c>
      <c r="BS535" s="966" t="e">
        <f t="shared" si="518"/>
        <v>#VALUE!</v>
      </c>
    </row>
    <row r="536" spans="1:71">
      <c r="A536" s="284">
        <f t="shared" si="519"/>
        <v>468</v>
      </c>
      <c r="B536" s="285">
        <v>2.2754580307638115</v>
      </c>
      <c r="C536" s="285">
        <v>2.8270336590440861</v>
      </c>
      <c r="D536" s="285">
        <v>0.48266458177579374</v>
      </c>
      <c r="E536" s="285">
        <v>3.7961543607189738</v>
      </c>
      <c r="H536" s="685">
        <f t="shared" si="465"/>
        <v>1.1422241889947566</v>
      </c>
      <c r="I536" s="276">
        <f t="shared" si="466"/>
        <v>-3.2363163234125203</v>
      </c>
      <c r="J536" s="276">
        <f t="shared" si="467"/>
        <v>-1.4409715212051175</v>
      </c>
      <c r="K536" s="276">
        <f t="shared" si="468"/>
        <v>0.46125708638127527</v>
      </c>
      <c r="L536" s="276">
        <f t="shared" si="469"/>
        <v>-2.6444528714024997</v>
      </c>
      <c r="M536" s="276">
        <f t="shared" si="470"/>
        <v>-1.3986095227057393</v>
      </c>
      <c r="N536" s="685">
        <f t="shared" si="471"/>
        <v>1.6198624480722177</v>
      </c>
      <c r="O536" s="276">
        <f t="shared" si="472"/>
        <v>1.3562943361958621</v>
      </c>
      <c r="P536" s="276">
        <f t="shared" si="473"/>
        <v>0.49964949642376033</v>
      </c>
      <c r="Q536" s="276">
        <f t="shared" si="474"/>
        <v>2.0305353491818998</v>
      </c>
      <c r="R536" s="276">
        <f t="shared" si="475"/>
        <v>2.241127706594467</v>
      </c>
      <c r="S536" s="686">
        <f t="shared" si="476"/>
        <v>1.1421387632921707</v>
      </c>
      <c r="T536" s="685">
        <f t="shared" si="477"/>
        <v>3.7610282720467199</v>
      </c>
      <c r="U536" s="276">
        <f t="shared" si="478"/>
        <v>4.3586246320103434</v>
      </c>
      <c r="V536" s="276">
        <f t="shared" si="479"/>
        <v>5.3114387327210419</v>
      </c>
      <c r="W536" s="276">
        <f t="shared" si="480"/>
        <v>2.394932855997264</v>
      </c>
      <c r="X536" s="276">
        <f t="shared" si="481"/>
        <v>1.1519772375458559</v>
      </c>
      <c r="Y536" s="686">
        <f t="shared" si="482"/>
        <v>3.8253726573701763</v>
      </c>
      <c r="Z536" s="685" t="e">
        <f t="shared" si="483"/>
        <v>#DIV/0!</v>
      </c>
      <c r="AA536" s="276" t="e">
        <f t="shared" si="484"/>
        <v>#DIV/0!</v>
      </c>
      <c r="AB536" s="276" t="e">
        <f t="shared" si="485"/>
        <v>#DIV/0!</v>
      </c>
      <c r="AC536" s="276" t="e">
        <f t="shared" si="486"/>
        <v>#DIV/0!</v>
      </c>
      <c r="AD536" s="276" t="e">
        <f t="shared" si="487"/>
        <v>#DIV/0!</v>
      </c>
      <c r="AE536" s="686" t="e">
        <f t="shared" si="488"/>
        <v>#DIV/0!</v>
      </c>
      <c r="AF536" s="239"/>
      <c r="AG536" s="965" t="e">
        <f t="shared" si="459"/>
        <v>#VALUE!</v>
      </c>
      <c r="AH536" s="878" t="e">
        <f t="shared" si="460"/>
        <v>#VALUE!</v>
      </c>
      <c r="AI536" s="878" t="e">
        <f t="shared" si="461"/>
        <v>#VALUE!</v>
      </c>
      <c r="AJ536" s="878" t="e">
        <f t="shared" si="462"/>
        <v>#VALUE!</v>
      </c>
      <c r="AK536" s="878" t="e">
        <f t="shared" si="463"/>
        <v>#VALUE!</v>
      </c>
      <c r="AL536" s="966" t="e">
        <f t="shared" si="464"/>
        <v>#VALUE!</v>
      </c>
      <c r="AM536" s="239"/>
      <c r="AO536" s="685">
        <f t="shared" si="489"/>
        <v>1.1422241889947566</v>
      </c>
      <c r="AP536" s="276">
        <f t="shared" si="490"/>
        <v>-3.2363163234125203</v>
      </c>
      <c r="AQ536" s="276">
        <f t="shared" si="491"/>
        <v>-1.4409715212051175</v>
      </c>
      <c r="AR536" s="276">
        <f t="shared" si="492"/>
        <v>0.46125708638127527</v>
      </c>
      <c r="AS536" s="276">
        <f t="shared" si="493"/>
        <v>-2.6444528714024997</v>
      </c>
      <c r="AT536" s="276">
        <f t="shared" si="494"/>
        <v>-1.3986095227057393</v>
      </c>
      <c r="AU536" s="685">
        <f t="shared" si="495"/>
        <v>1.6198624480722177</v>
      </c>
      <c r="AV536" s="276">
        <f t="shared" si="496"/>
        <v>1.3562943361958621</v>
      </c>
      <c r="AW536" s="276">
        <f t="shared" si="497"/>
        <v>0.49964949642376033</v>
      </c>
      <c r="AX536" s="276">
        <f t="shared" si="498"/>
        <v>2.0305353491818998</v>
      </c>
      <c r="AY536" s="276">
        <f t="shared" si="499"/>
        <v>2.241127706594467</v>
      </c>
      <c r="AZ536" s="686">
        <f t="shared" si="500"/>
        <v>1.1421387632921707</v>
      </c>
      <c r="BA536" s="685">
        <f t="shared" si="501"/>
        <v>0</v>
      </c>
      <c r="BB536" s="276">
        <f t="shared" si="502"/>
        <v>0</v>
      </c>
      <c r="BC536" s="276">
        <f t="shared" si="503"/>
        <v>0</v>
      </c>
      <c r="BD536" s="276">
        <f t="shared" si="504"/>
        <v>0</v>
      </c>
      <c r="BE536" s="276">
        <f t="shared" si="505"/>
        <v>0</v>
      </c>
      <c r="BF536" s="686">
        <f t="shared" si="506"/>
        <v>0</v>
      </c>
      <c r="BG536" s="685" t="e">
        <f t="shared" si="507"/>
        <v>#DIV/0!</v>
      </c>
      <c r="BH536" s="276" t="e">
        <f t="shared" si="508"/>
        <v>#DIV/0!</v>
      </c>
      <c r="BI536" s="276" t="e">
        <f t="shared" si="509"/>
        <v>#DIV/0!</v>
      </c>
      <c r="BJ536" s="276" t="e">
        <f t="shared" si="510"/>
        <v>#DIV/0!</v>
      </c>
      <c r="BK536" s="276" t="e">
        <f t="shared" si="511"/>
        <v>#DIV/0!</v>
      </c>
      <c r="BL536" s="686" t="e">
        <f t="shared" si="512"/>
        <v>#DIV/0!</v>
      </c>
      <c r="BM536" s="239"/>
      <c r="BN536" s="965" t="e">
        <f t="shared" si="513"/>
        <v>#VALUE!</v>
      </c>
      <c r="BO536" s="878" t="e">
        <f t="shared" si="514"/>
        <v>#VALUE!</v>
      </c>
      <c r="BP536" s="878" t="e">
        <f t="shared" si="515"/>
        <v>#VALUE!</v>
      </c>
      <c r="BQ536" s="878" t="e">
        <f t="shared" si="516"/>
        <v>#VALUE!</v>
      </c>
      <c r="BR536" s="878" t="e">
        <f t="shared" si="517"/>
        <v>#VALUE!</v>
      </c>
      <c r="BS536" s="966" t="e">
        <f t="shared" si="518"/>
        <v>#VALUE!</v>
      </c>
    </row>
    <row r="537" spans="1:71">
      <c r="A537" s="284">
        <f t="shared" si="519"/>
        <v>469</v>
      </c>
      <c r="B537" s="285">
        <v>3.4594269540763918</v>
      </c>
      <c r="C537" s="285">
        <v>3.2716754149099057</v>
      </c>
      <c r="D537" s="285">
        <v>1.7209510845507539</v>
      </c>
      <c r="E537" s="285">
        <v>3.6962124958281533</v>
      </c>
      <c r="H537" s="685">
        <f t="shared" si="465"/>
        <v>2.3261931123073367</v>
      </c>
      <c r="I537" s="276">
        <f t="shared" si="466"/>
        <v>-2.4552971010419711</v>
      </c>
      <c r="J537" s="276">
        <f t="shared" si="467"/>
        <v>6.5371468987858776</v>
      </c>
      <c r="K537" s="276">
        <f t="shared" si="468"/>
        <v>-3.835742422969874</v>
      </c>
      <c r="L537" s="276">
        <f t="shared" si="469"/>
        <v>-2.1303388109225621</v>
      </c>
      <c r="M537" s="276">
        <f t="shared" si="470"/>
        <v>0.55444307449934849</v>
      </c>
      <c r="N537" s="685">
        <f t="shared" si="471"/>
        <v>2.0645042039380375</v>
      </c>
      <c r="O537" s="276">
        <f t="shared" si="472"/>
        <v>1.0416419117383022</v>
      </c>
      <c r="P537" s="276">
        <f t="shared" si="473"/>
        <v>1.6435056665425771</v>
      </c>
      <c r="Q537" s="276">
        <f t="shared" si="474"/>
        <v>0.59196834408418764</v>
      </c>
      <c r="R537" s="276">
        <f t="shared" si="475"/>
        <v>1.6592466830494483</v>
      </c>
      <c r="S537" s="686">
        <f t="shared" si="476"/>
        <v>1.237476404482386</v>
      </c>
      <c r="T537" s="685">
        <f t="shared" si="477"/>
        <v>4.9993147748216797</v>
      </c>
      <c r="U537" s="276">
        <f t="shared" si="478"/>
        <v>3.2631640462256479</v>
      </c>
      <c r="V537" s="276">
        <f t="shared" si="479"/>
        <v>4.1096665299913253</v>
      </c>
      <c r="W537" s="276">
        <f t="shared" si="480"/>
        <v>3.1586318350078284</v>
      </c>
      <c r="X537" s="276">
        <f t="shared" si="481"/>
        <v>2.1601270709432057</v>
      </c>
      <c r="Y537" s="686">
        <f t="shared" si="482"/>
        <v>5.5154057004084436</v>
      </c>
      <c r="Z537" s="685" t="e">
        <f t="shared" si="483"/>
        <v>#DIV/0!</v>
      </c>
      <c r="AA537" s="276" t="e">
        <f t="shared" si="484"/>
        <v>#DIV/0!</v>
      </c>
      <c r="AB537" s="276" t="e">
        <f t="shared" si="485"/>
        <v>#DIV/0!</v>
      </c>
      <c r="AC537" s="276" t="e">
        <f t="shared" si="486"/>
        <v>#DIV/0!</v>
      </c>
      <c r="AD537" s="276" t="e">
        <f t="shared" si="487"/>
        <v>#DIV/0!</v>
      </c>
      <c r="AE537" s="686" t="e">
        <f t="shared" si="488"/>
        <v>#DIV/0!</v>
      </c>
      <c r="AF537" s="239"/>
      <c r="AG537" s="965" t="e">
        <f t="shared" si="459"/>
        <v>#VALUE!</v>
      </c>
      <c r="AH537" s="878" t="e">
        <f t="shared" si="460"/>
        <v>#VALUE!</v>
      </c>
      <c r="AI537" s="878" t="e">
        <f t="shared" si="461"/>
        <v>#VALUE!</v>
      </c>
      <c r="AJ537" s="878" t="e">
        <f t="shared" si="462"/>
        <v>#VALUE!</v>
      </c>
      <c r="AK537" s="878" t="e">
        <f t="shared" si="463"/>
        <v>#VALUE!</v>
      </c>
      <c r="AL537" s="966" t="e">
        <f t="shared" si="464"/>
        <v>#VALUE!</v>
      </c>
      <c r="AM537" s="239"/>
      <c r="AO537" s="685">
        <f t="shared" si="489"/>
        <v>2.3261931123073367</v>
      </c>
      <c r="AP537" s="276">
        <f t="shared" si="490"/>
        <v>-2.4552971010419711</v>
      </c>
      <c r="AQ537" s="276">
        <f t="shared" si="491"/>
        <v>6.5371468987858776</v>
      </c>
      <c r="AR537" s="276">
        <f t="shared" si="492"/>
        <v>-3.835742422969874</v>
      </c>
      <c r="AS537" s="276">
        <f t="shared" si="493"/>
        <v>-2.1303388109225621</v>
      </c>
      <c r="AT537" s="276">
        <f t="shared" si="494"/>
        <v>0.55444307449934849</v>
      </c>
      <c r="AU537" s="685">
        <f t="shared" si="495"/>
        <v>2.0645042039380375</v>
      </c>
      <c r="AV537" s="276">
        <f t="shared" si="496"/>
        <v>1.0416419117383022</v>
      </c>
      <c r="AW537" s="276">
        <f t="shared" si="497"/>
        <v>1.6435056665425771</v>
      </c>
      <c r="AX537" s="276">
        <f t="shared" si="498"/>
        <v>0.59196834408418764</v>
      </c>
      <c r="AY537" s="276">
        <f t="shared" si="499"/>
        <v>1.6592466830494483</v>
      </c>
      <c r="AZ537" s="686">
        <f t="shared" si="500"/>
        <v>1.237476404482386</v>
      </c>
      <c r="BA537" s="685">
        <f t="shared" si="501"/>
        <v>0</v>
      </c>
      <c r="BB537" s="276">
        <f t="shared" si="502"/>
        <v>0</v>
      </c>
      <c r="BC537" s="276">
        <f t="shared" si="503"/>
        <v>0</v>
      </c>
      <c r="BD537" s="276">
        <f t="shared" si="504"/>
        <v>0</v>
      </c>
      <c r="BE537" s="276">
        <f t="shared" si="505"/>
        <v>0</v>
      </c>
      <c r="BF537" s="686">
        <f t="shared" si="506"/>
        <v>0</v>
      </c>
      <c r="BG537" s="685" t="e">
        <f t="shared" si="507"/>
        <v>#DIV/0!</v>
      </c>
      <c r="BH537" s="276" t="e">
        <f t="shared" si="508"/>
        <v>#DIV/0!</v>
      </c>
      <c r="BI537" s="276" t="e">
        <f t="shared" si="509"/>
        <v>#DIV/0!</v>
      </c>
      <c r="BJ537" s="276" t="e">
        <f t="shared" si="510"/>
        <v>#DIV/0!</v>
      </c>
      <c r="BK537" s="276" t="e">
        <f t="shared" si="511"/>
        <v>#DIV/0!</v>
      </c>
      <c r="BL537" s="686" t="e">
        <f t="shared" si="512"/>
        <v>#DIV/0!</v>
      </c>
      <c r="BM537" s="239"/>
      <c r="BN537" s="965" t="e">
        <f t="shared" si="513"/>
        <v>#VALUE!</v>
      </c>
      <c r="BO537" s="878" t="e">
        <f t="shared" si="514"/>
        <v>#VALUE!</v>
      </c>
      <c r="BP537" s="878" t="e">
        <f t="shared" si="515"/>
        <v>#VALUE!</v>
      </c>
      <c r="BQ537" s="878" t="e">
        <f t="shared" si="516"/>
        <v>#VALUE!</v>
      </c>
      <c r="BR537" s="878" t="e">
        <f t="shared" si="517"/>
        <v>#VALUE!</v>
      </c>
      <c r="BS537" s="966" t="e">
        <f t="shared" si="518"/>
        <v>#VALUE!</v>
      </c>
    </row>
    <row r="538" spans="1:71">
      <c r="A538" s="284">
        <f t="shared" si="519"/>
        <v>470</v>
      </c>
      <c r="B538" s="285">
        <v>-4.5603783739087196E-2</v>
      </c>
      <c r="C538" s="285">
        <v>3.0015619671388927</v>
      </c>
      <c r="D538" s="285">
        <v>0.80899681154191905</v>
      </c>
      <c r="E538" s="285">
        <v>6.0101463472235483</v>
      </c>
      <c r="H538" s="685">
        <f t="shared" si="465"/>
        <v>-1.1788376255081421</v>
      </c>
      <c r="I538" s="276">
        <f t="shared" si="466"/>
        <v>-2.9506688589407597</v>
      </c>
      <c r="J538" s="276">
        <f t="shared" si="467"/>
        <v>-4.9207963261707341</v>
      </c>
      <c r="K538" s="276">
        <f t="shared" si="468"/>
        <v>2.7386725533462553E-2</v>
      </c>
      <c r="L538" s="276">
        <f t="shared" si="469"/>
        <v>-0.74297457400680056</v>
      </c>
      <c r="M538" s="276">
        <f t="shared" si="470"/>
        <v>-2.6077661519258717</v>
      </c>
      <c r="N538" s="685">
        <f t="shared" si="471"/>
        <v>1.7943907561670243</v>
      </c>
      <c r="O538" s="276">
        <f t="shared" si="472"/>
        <v>1.3008595860812304</v>
      </c>
      <c r="P538" s="276">
        <f t="shared" si="473"/>
        <v>0.94990572715556509</v>
      </c>
      <c r="Q538" s="276">
        <f t="shared" si="474"/>
        <v>1.9743764001842521</v>
      </c>
      <c r="R538" s="276">
        <f t="shared" si="475"/>
        <v>1.7167133348779193</v>
      </c>
      <c r="S538" s="686">
        <f t="shared" si="476"/>
        <v>1.5394223081376384</v>
      </c>
      <c r="T538" s="685">
        <f t="shared" si="477"/>
        <v>4.0873605018128449</v>
      </c>
      <c r="U538" s="276">
        <f t="shared" si="478"/>
        <v>4.2010083654421972</v>
      </c>
      <c r="V538" s="276">
        <f t="shared" si="479"/>
        <v>4.4955851706066792</v>
      </c>
      <c r="W538" s="276">
        <f t="shared" si="480"/>
        <v>3.220841767320834</v>
      </c>
      <c r="X538" s="276">
        <f t="shared" si="481"/>
        <v>4.7160555156126653</v>
      </c>
      <c r="Y538" s="686">
        <f t="shared" si="482"/>
        <v>5.7776145914498294</v>
      </c>
      <c r="Z538" s="685" t="e">
        <f t="shared" si="483"/>
        <v>#DIV/0!</v>
      </c>
      <c r="AA538" s="276" t="e">
        <f t="shared" si="484"/>
        <v>#DIV/0!</v>
      </c>
      <c r="AB538" s="276" t="e">
        <f t="shared" si="485"/>
        <v>#DIV/0!</v>
      </c>
      <c r="AC538" s="276" t="e">
        <f t="shared" si="486"/>
        <v>#DIV/0!</v>
      </c>
      <c r="AD538" s="276" t="e">
        <f t="shared" si="487"/>
        <v>#DIV/0!</v>
      </c>
      <c r="AE538" s="686" t="e">
        <f t="shared" si="488"/>
        <v>#DIV/0!</v>
      </c>
      <c r="AF538" s="239"/>
      <c r="AG538" s="965" t="e">
        <f t="shared" si="459"/>
        <v>#VALUE!</v>
      </c>
      <c r="AH538" s="878" t="e">
        <f t="shared" si="460"/>
        <v>#VALUE!</v>
      </c>
      <c r="AI538" s="878" t="e">
        <f t="shared" si="461"/>
        <v>#VALUE!</v>
      </c>
      <c r="AJ538" s="878" t="e">
        <f t="shared" si="462"/>
        <v>#VALUE!</v>
      </c>
      <c r="AK538" s="878" t="e">
        <f t="shared" si="463"/>
        <v>#VALUE!</v>
      </c>
      <c r="AL538" s="966" t="e">
        <f t="shared" si="464"/>
        <v>#VALUE!</v>
      </c>
      <c r="AM538" s="239"/>
      <c r="AO538" s="685">
        <f t="shared" si="489"/>
        <v>-1.1788376255081421</v>
      </c>
      <c r="AP538" s="276">
        <f t="shared" si="490"/>
        <v>-2.9506688589407597</v>
      </c>
      <c r="AQ538" s="276">
        <f t="shared" si="491"/>
        <v>-4.9207963261707341</v>
      </c>
      <c r="AR538" s="276">
        <f t="shared" si="492"/>
        <v>2.7386725533462553E-2</v>
      </c>
      <c r="AS538" s="276">
        <f t="shared" si="493"/>
        <v>-0.74297457400680056</v>
      </c>
      <c r="AT538" s="276">
        <f t="shared" si="494"/>
        <v>-2.6077661519258717</v>
      </c>
      <c r="AU538" s="685">
        <f t="shared" si="495"/>
        <v>1.7943907561670243</v>
      </c>
      <c r="AV538" s="276">
        <f t="shared" si="496"/>
        <v>1.3008595860812304</v>
      </c>
      <c r="AW538" s="276">
        <f t="shared" si="497"/>
        <v>0.94990572715556509</v>
      </c>
      <c r="AX538" s="276">
        <f t="shared" si="498"/>
        <v>1.9743764001842521</v>
      </c>
      <c r="AY538" s="276">
        <f t="shared" si="499"/>
        <v>1.7167133348779193</v>
      </c>
      <c r="AZ538" s="686">
        <f t="shared" si="500"/>
        <v>1.5394223081376384</v>
      </c>
      <c r="BA538" s="685">
        <f t="shared" si="501"/>
        <v>0</v>
      </c>
      <c r="BB538" s="276">
        <f t="shared" si="502"/>
        <v>0</v>
      </c>
      <c r="BC538" s="276">
        <f t="shared" si="503"/>
        <v>0</v>
      </c>
      <c r="BD538" s="276">
        <f t="shared" si="504"/>
        <v>0</v>
      </c>
      <c r="BE538" s="276">
        <f t="shared" si="505"/>
        <v>0</v>
      </c>
      <c r="BF538" s="686">
        <f t="shared" si="506"/>
        <v>0</v>
      </c>
      <c r="BG538" s="685" t="e">
        <f t="shared" si="507"/>
        <v>#DIV/0!</v>
      </c>
      <c r="BH538" s="276" t="e">
        <f t="shared" si="508"/>
        <v>#DIV/0!</v>
      </c>
      <c r="BI538" s="276" t="e">
        <f t="shared" si="509"/>
        <v>#DIV/0!</v>
      </c>
      <c r="BJ538" s="276" t="e">
        <f t="shared" si="510"/>
        <v>#DIV/0!</v>
      </c>
      <c r="BK538" s="276" t="e">
        <f t="shared" si="511"/>
        <v>#DIV/0!</v>
      </c>
      <c r="BL538" s="686" t="e">
        <f t="shared" si="512"/>
        <v>#DIV/0!</v>
      </c>
      <c r="BM538" s="239"/>
      <c r="BN538" s="965" t="e">
        <f t="shared" si="513"/>
        <v>#VALUE!</v>
      </c>
      <c r="BO538" s="878" t="e">
        <f t="shared" si="514"/>
        <v>#VALUE!</v>
      </c>
      <c r="BP538" s="878" t="e">
        <f t="shared" si="515"/>
        <v>#VALUE!</v>
      </c>
      <c r="BQ538" s="878" t="e">
        <f t="shared" si="516"/>
        <v>#VALUE!</v>
      </c>
      <c r="BR538" s="878" t="e">
        <f t="shared" si="517"/>
        <v>#VALUE!</v>
      </c>
      <c r="BS538" s="966" t="e">
        <f t="shared" si="518"/>
        <v>#VALUE!</v>
      </c>
    </row>
    <row r="539" spans="1:71">
      <c r="A539" s="284">
        <f t="shared" si="519"/>
        <v>471</v>
      </c>
      <c r="B539" s="285">
        <v>-0.78521303288940336</v>
      </c>
      <c r="C539" s="285">
        <v>2.6831751422978161</v>
      </c>
      <c r="D539" s="285">
        <v>4.7951507222689482E-2</v>
      </c>
      <c r="E539" s="285">
        <v>-0.64535748067121324</v>
      </c>
      <c r="H539" s="685">
        <f t="shared" si="465"/>
        <v>-1.9184468746584582</v>
      </c>
      <c r="I539" s="276">
        <f t="shared" si="466"/>
        <v>-1.5477167993251317</v>
      </c>
      <c r="J539" s="276">
        <f t="shared" si="467"/>
        <v>-4.7989966917251969</v>
      </c>
      <c r="K539" s="276">
        <f t="shared" si="468"/>
        <v>-3.3684986531960206</v>
      </c>
      <c r="L539" s="276">
        <f t="shared" si="469"/>
        <v>-0.53281424155236812</v>
      </c>
      <c r="M539" s="276">
        <f t="shared" si="470"/>
        <v>-2.3033302395334365</v>
      </c>
      <c r="N539" s="685">
        <f t="shared" si="471"/>
        <v>1.4760039313259476</v>
      </c>
      <c r="O539" s="276">
        <f t="shared" si="472"/>
        <v>2.231185063518959</v>
      </c>
      <c r="P539" s="276">
        <f t="shared" si="473"/>
        <v>0.82485655583485307</v>
      </c>
      <c r="Q539" s="276">
        <f t="shared" si="474"/>
        <v>1.2795602393392305</v>
      </c>
      <c r="R539" s="276">
        <f t="shared" si="475"/>
        <v>1.159365307323392</v>
      </c>
      <c r="S539" s="686">
        <f t="shared" si="476"/>
        <v>0.94843048910681449</v>
      </c>
      <c r="T539" s="685">
        <f t="shared" si="477"/>
        <v>3.3263151974936154</v>
      </c>
      <c r="U539" s="276">
        <f t="shared" si="478"/>
        <v>2.9531274574511679</v>
      </c>
      <c r="V539" s="276">
        <f t="shared" si="479"/>
        <v>4.9558983261174117</v>
      </c>
      <c r="W539" s="276">
        <f t="shared" si="480"/>
        <v>1.9096116520726913</v>
      </c>
      <c r="X539" s="276">
        <f t="shared" si="481"/>
        <v>4.0339853519903102</v>
      </c>
      <c r="Y539" s="686">
        <f t="shared" si="482"/>
        <v>4.8843181857053173</v>
      </c>
      <c r="Z539" s="685" t="e">
        <f t="shared" si="483"/>
        <v>#DIV/0!</v>
      </c>
      <c r="AA539" s="276" t="e">
        <f t="shared" si="484"/>
        <v>#DIV/0!</v>
      </c>
      <c r="AB539" s="276" t="e">
        <f t="shared" si="485"/>
        <v>#DIV/0!</v>
      </c>
      <c r="AC539" s="276" t="e">
        <f t="shared" si="486"/>
        <v>#DIV/0!</v>
      </c>
      <c r="AD539" s="276" t="e">
        <f t="shared" si="487"/>
        <v>#DIV/0!</v>
      </c>
      <c r="AE539" s="686" t="e">
        <f t="shared" si="488"/>
        <v>#DIV/0!</v>
      </c>
      <c r="AF539" s="239"/>
      <c r="AG539" s="965" t="e">
        <f t="shared" si="459"/>
        <v>#VALUE!</v>
      </c>
      <c r="AH539" s="878" t="e">
        <f t="shared" si="460"/>
        <v>#VALUE!</v>
      </c>
      <c r="AI539" s="878" t="e">
        <f t="shared" si="461"/>
        <v>#VALUE!</v>
      </c>
      <c r="AJ539" s="878" t="e">
        <f t="shared" si="462"/>
        <v>#VALUE!</v>
      </c>
      <c r="AK539" s="878" t="e">
        <f t="shared" si="463"/>
        <v>#VALUE!</v>
      </c>
      <c r="AL539" s="966" t="e">
        <f t="shared" si="464"/>
        <v>#VALUE!</v>
      </c>
      <c r="AM539" s="239"/>
      <c r="AO539" s="685">
        <f t="shared" si="489"/>
        <v>-1.9184468746584582</v>
      </c>
      <c r="AP539" s="276">
        <f t="shared" si="490"/>
        <v>-1.5477167993251317</v>
      </c>
      <c r="AQ539" s="276">
        <f t="shared" si="491"/>
        <v>-4.7989966917251969</v>
      </c>
      <c r="AR539" s="276">
        <f t="shared" si="492"/>
        <v>-3.3684986531960206</v>
      </c>
      <c r="AS539" s="276">
        <f t="shared" si="493"/>
        <v>-0.53281424155236812</v>
      </c>
      <c r="AT539" s="276">
        <f t="shared" si="494"/>
        <v>-2.3033302395334365</v>
      </c>
      <c r="AU539" s="685">
        <f t="shared" si="495"/>
        <v>1.4760039313259476</v>
      </c>
      <c r="AV539" s="276">
        <f t="shared" si="496"/>
        <v>2.231185063518959</v>
      </c>
      <c r="AW539" s="276">
        <f t="shared" si="497"/>
        <v>0.82485655583485307</v>
      </c>
      <c r="AX539" s="276">
        <f t="shared" si="498"/>
        <v>1.2795602393392305</v>
      </c>
      <c r="AY539" s="276">
        <f t="shared" si="499"/>
        <v>1.159365307323392</v>
      </c>
      <c r="AZ539" s="686">
        <f t="shared" si="500"/>
        <v>0.94843048910681449</v>
      </c>
      <c r="BA539" s="685">
        <f t="shared" si="501"/>
        <v>0</v>
      </c>
      <c r="BB539" s="276">
        <f t="shared" si="502"/>
        <v>0</v>
      </c>
      <c r="BC539" s="276">
        <f t="shared" si="503"/>
        <v>0</v>
      </c>
      <c r="BD539" s="276">
        <f t="shared" si="504"/>
        <v>0</v>
      </c>
      <c r="BE539" s="276">
        <f t="shared" si="505"/>
        <v>0</v>
      </c>
      <c r="BF539" s="686">
        <f t="shared" si="506"/>
        <v>0</v>
      </c>
      <c r="BG539" s="685" t="e">
        <f t="shared" si="507"/>
        <v>#DIV/0!</v>
      </c>
      <c r="BH539" s="276" t="e">
        <f t="shared" si="508"/>
        <v>#DIV/0!</v>
      </c>
      <c r="BI539" s="276" t="e">
        <f t="shared" si="509"/>
        <v>#DIV/0!</v>
      </c>
      <c r="BJ539" s="276" t="e">
        <f t="shared" si="510"/>
        <v>#DIV/0!</v>
      </c>
      <c r="BK539" s="276" t="e">
        <f t="shared" si="511"/>
        <v>#DIV/0!</v>
      </c>
      <c r="BL539" s="686" t="e">
        <f t="shared" si="512"/>
        <v>#DIV/0!</v>
      </c>
      <c r="BM539" s="239"/>
      <c r="BN539" s="965" t="e">
        <f t="shared" si="513"/>
        <v>#VALUE!</v>
      </c>
      <c r="BO539" s="878" t="e">
        <f t="shared" si="514"/>
        <v>#VALUE!</v>
      </c>
      <c r="BP539" s="878" t="e">
        <f t="shared" si="515"/>
        <v>#VALUE!</v>
      </c>
      <c r="BQ539" s="878" t="e">
        <f t="shared" si="516"/>
        <v>#VALUE!</v>
      </c>
      <c r="BR539" s="878" t="e">
        <f t="shared" si="517"/>
        <v>#VALUE!</v>
      </c>
      <c r="BS539" s="966" t="e">
        <f t="shared" si="518"/>
        <v>#VALUE!</v>
      </c>
    </row>
    <row r="540" spans="1:71">
      <c r="A540" s="284">
        <f t="shared" si="519"/>
        <v>472</v>
      </c>
      <c r="B540" s="285">
        <v>-2.2975815230672185</v>
      </c>
      <c r="C540" s="285">
        <v>3.2832359280715799</v>
      </c>
      <c r="D540" s="285">
        <v>1.024087273172956</v>
      </c>
      <c r="E540" s="285">
        <v>14.347035394331417</v>
      </c>
      <c r="H540" s="685">
        <f t="shared" si="465"/>
        <v>-3.4308153648362731</v>
      </c>
      <c r="I540" s="276">
        <f t="shared" si="466"/>
        <v>1.7200409305592428</v>
      </c>
      <c r="J540" s="276">
        <f t="shared" si="467"/>
        <v>-1.8825646743743558</v>
      </c>
      <c r="K540" s="276">
        <f t="shared" si="468"/>
        <v>-6.838082413638948</v>
      </c>
      <c r="L540" s="276">
        <f t="shared" si="469"/>
        <v>-2.724048607260948</v>
      </c>
      <c r="M540" s="276">
        <f t="shared" si="470"/>
        <v>-0.77498825341890631</v>
      </c>
      <c r="N540" s="685">
        <f t="shared" si="471"/>
        <v>2.0760647170997117</v>
      </c>
      <c r="O540" s="276">
        <f t="shared" si="472"/>
        <v>2.1967256191086095</v>
      </c>
      <c r="P540" s="276">
        <f t="shared" si="473"/>
        <v>1.5190948403427391</v>
      </c>
      <c r="Q540" s="276">
        <f t="shared" si="474"/>
        <v>0.4492790181694768</v>
      </c>
      <c r="R540" s="276">
        <f t="shared" si="475"/>
        <v>1.3692800951691664</v>
      </c>
      <c r="S540" s="686">
        <f t="shared" si="476"/>
        <v>1.2693290288809551</v>
      </c>
      <c r="T540" s="685">
        <f t="shared" si="477"/>
        <v>4.3024509634438814</v>
      </c>
      <c r="U540" s="276">
        <f t="shared" si="478"/>
        <v>3.4414118229023312</v>
      </c>
      <c r="V540" s="276">
        <f t="shared" si="479"/>
        <v>3.707903798183235</v>
      </c>
      <c r="W540" s="276">
        <f t="shared" si="480"/>
        <v>5.9440598339592352</v>
      </c>
      <c r="X540" s="276">
        <f t="shared" si="481"/>
        <v>2.6674342569054659</v>
      </c>
      <c r="Y540" s="686">
        <f t="shared" si="482"/>
        <v>3.4418336013782476</v>
      </c>
      <c r="Z540" s="685" t="e">
        <f t="shared" si="483"/>
        <v>#DIV/0!</v>
      </c>
      <c r="AA540" s="276" t="e">
        <f t="shared" si="484"/>
        <v>#DIV/0!</v>
      </c>
      <c r="AB540" s="276" t="e">
        <f t="shared" si="485"/>
        <v>#DIV/0!</v>
      </c>
      <c r="AC540" s="276" t="e">
        <f t="shared" si="486"/>
        <v>#DIV/0!</v>
      </c>
      <c r="AD540" s="276" t="e">
        <f t="shared" si="487"/>
        <v>#DIV/0!</v>
      </c>
      <c r="AE540" s="686" t="e">
        <f t="shared" si="488"/>
        <v>#DIV/0!</v>
      </c>
      <c r="AF540" s="239"/>
      <c r="AG540" s="965" t="e">
        <f t="shared" si="459"/>
        <v>#VALUE!</v>
      </c>
      <c r="AH540" s="878" t="e">
        <f t="shared" si="460"/>
        <v>#VALUE!</v>
      </c>
      <c r="AI540" s="878" t="e">
        <f t="shared" si="461"/>
        <v>#VALUE!</v>
      </c>
      <c r="AJ540" s="878" t="e">
        <f t="shared" si="462"/>
        <v>#VALUE!</v>
      </c>
      <c r="AK540" s="878" t="e">
        <f t="shared" si="463"/>
        <v>#VALUE!</v>
      </c>
      <c r="AL540" s="966" t="e">
        <f t="shared" si="464"/>
        <v>#VALUE!</v>
      </c>
      <c r="AM540" s="239"/>
      <c r="AO540" s="685">
        <f t="shared" si="489"/>
        <v>-3.4308153648362731</v>
      </c>
      <c r="AP540" s="276">
        <f t="shared" si="490"/>
        <v>1.7200409305592428</v>
      </c>
      <c r="AQ540" s="276">
        <f t="shared" si="491"/>
        <v>-1.8825646743743558</v>
      </c>
      <c r="AR540" s="276">
        <f t="shared" si="492"/>
        <v>-6.838082413638948</v>
      </c>
      <c r="AS540" s="276">
        <f t="shared" si="493"/>
        <v>-2.724048607260948</v>
      </c>
      <c r="AT540" s="276">
        <f t="shared" si="494"/>
        <v>-0.77498825341890631</v>
      </c>
      <c r="AU540" s="685">
        <f t="shared" si="495"/>
        <v>2.0760647170997117</v>
      </c>
      <c r="AV540" s="276">
        <f t="shared" si="496"/>
        <v>2.1967256191086095</v>
      </c>
      <c r="AW540" s="276">
        <f t="shared" si="497"/>
        <v>1.5190948403427391</v>
      </c>
      <c r="AX540" s="276">
        <f t="shared" si="498"/>
        <v>0.4492790181694768</v>
      </c>
      <c r="AY540" s="276">
        <f t="shared" si="499"/>
        <v>1.3692800951691664</v>
      </c>
      <c r="AZ540" s="686">
        <f t="shared" si="500"/>
        <v>1.2693290288809551</v>
      </c>
      <c r="BA540" s="685">
        <f t="shared" si="501"/>
        <v>0</v>
      </c>
      <c r="BB540" s="276">
        <f t="shared" si="502"/>
        <v>0</v>
      </c>
      <c r="BC540" s="276">
        <f t="shared" si="503"/>
        <v>0</v>
      </c>
      <c r="BD540" s="276">
        <f t="shared" si="504"/>
        <v>0</v>
      </c>
      <c r="BE540" s="276">
        <f t="shared" si="505"/>
        <v>0</v>
      </c>
      <c r="BF540" s="686">
        <f t="shared" si="506"/>
        <v>0</v>
      </c>
      <c r="BG540" s="685" t="e">
        <f t="shared" si="507"/>
        <v>#DIV/0!</v>
      </c>
      <c r="BH540" s="276" t="e">
        <f t="shared" si="508"/>
        <v>#DIV/0!</v>
      </c>
      <c r="BI540" s="276" t="e">
        <f t="shared" si="509"/>
        <v>#DIV/0!</v>
      </c>
      <c r="BJ540" s="276" t="e">
        <f t="shared" si="510"/>
        <v>#DIV/0!</v>
      </c>
      <c r="BK540" s="276" t="e">
        <f t="shared" si="511"/>
        <v>#DIV/0!</v>
      </c>
      <c r="BL540" s="686" t="e">
        <f t="shared" si="512"/>
        <v>#DIV/0!</v>
      </c>
      <c r="BM540" s="239"/>
      <c r="BN540" s="965" t="e">
        <f t="shared" si="513"/>
        <v>#VALUE!</v>
      </c>
      <c r="BO540" s="878" t="e">
        <f t="shared" si="514"/>
        <v>#VALUE!</v>
      </c>
      <c r="BP540" s="878" t="e">
        <f t="shared" si="515"/>
        <v>#VALUE!</v>
      </c>
      <c r="BQ540" s="878" t="e">
        <f t="shared" si="516"/>
        <v>#VALUE!</v>
      </c>
      <c r="BR540" s="878" t="e">
        <f t="shared" si="517"/>
        <v>#VALUE!</v>
      </c>
      <c r="BS540" s="966" t="e">
        <f t="shared" si="518"/>
        <v>#VALUE!</v>
      </c>
    </row>
    <row r="541" spans="1:71">
      <c r="A541" s="284">
        <f t="shared" si="519"/>
        <v>473</v>
      </c>
      <c r="B541" s="285">
        <v>-1.2179691688372669</v>
      </c>
      <c r="C541" s="285">
        <v>2.337575835229865</v>
      </c>
      <c r="D541" s="285">
        <v>1.6658168026644133</v>
      </c>
      <c r="E541" s="285">
        <v>8.8437753029363826</v>
      </c>
      <c r="H541" s="685">
        <f t="shared" si="465"/>
        <v>-2.351203010606322</v>
      </c>
      <c r="I541" s="276">
        <f t="shared" si="466"/>
        <v>-1.0806401147824762</v>
      </c>
      <c r="J541" s="276">
        <f t="shared" si="467"/>
        <v>0.76192715382628484</v>
      </c>
      <c r="K541" s="276">
        <f t="shared" si="468"/>
        <v>-0.52041895917717729</v>
      </c>
      <c r="L541" s="276">
        <f t="shared" si="469"/>
        <v>-8.1180643032586435</v>
      </c>
      <c r="M541" s="276">
        <f t="shared" si="470"/>
        <v>-4.0998263516370237</v>
      </c>
      <c r="N541" s="685">
        <f t="shared" si="471"/>
        <v>1.1304046242579966</v>
      </c>
      <c r="O541" s="276">
        <f t="shared" si="472"/>
        <v>1.7801241878430936</v>
      </c>
      <c r="P541" s="276">
        <f t="shared" si="473"/>
        <v>0.93210097821120486</v>
      </c>
      <c r="Q541" s="276">
        <f t="shared" si="474"/>
        <v>2.0336669121803297</v>
      </c>
      <c r="R541" s="276">
        <f t="shared" si="475"/>
        <v>1.0767650113409337</v>
      </c>
      <c r="S541" s="686">
        <f t="shared" si="476"/>
        <v>1.1674434254949568</v>
      </c>
      <c r="T541" s="685">
        <f t="shared" si="477"/>
        <v>4.944180492935339</v>
      </c>
      <c r="U541" s="276">
        <f t="shared" si="478"/>
        <v>5.1686285345564666</v>
      </c>
      <c r="V541" s="276">
        <f t="shared" si="479"/>
        <v>6.8897746541740279</v>
      </c>
      <c r="W541" s="276">
        <f t="shared" si="480"/>
        <v>4.439054584136759</v>
      </c>
      <c r="X541" s="276">
        <f t="shared" si="481"/>
        <v>5.4962594595587309</v>
      </c>
      <c r="Y541" s="686">
        <f t="shared" si="482"/>
        <v>5.5420397736032392</v>
      </c>
      <c r="Z541" s="685" t="e">
        <f t="shared" si="483"/>
        <v>#DIV/0!</v>
      </c>
      <c r="AA541" s="276" t="e">
        <f t="shared" si="484"/>
        <v>#DIV/0!</v>
      </c>
      <c r="AB541" s="276" t="e">
        <f t="shared" si="485"/>
        <v>#DIV/0!</v>
      </c>
      <c r="AC541" s="276" t="e">
        <f t="shared" si="486"/>
        <v>#DIV/0!</v>
      </c>
      <c r="AD541" s="276" t="e">
        <f t="shared" si="487"/>
        <v>#DIV/0!</v>
      </c>
      <c r="AE541" s="686" t="e">
        <f t="shared" si="488"/>
        <v>#DIV/0!</v>
      </c>
      <c r="AF541" s="239"/>
      <c r="AG541" s="965" t="e">
        <f t="shared" si="459"/>
        <v>#VALUE!</v>
      </c>
      <c r="AH541" s="878" t="e">
        <f t="shared" si="460"/>
        <v>#VALUE!</v>
      </c>
      <c r="AI541" s="878" t="e">
        <f t="shared" si="461"/>
        <v>#VALUE!</v>
      </c>
      <c r="AJ541" s="878" t="e">
        <f t="shared" si="462"/>
        <v>#VALUE!</v>
      </c>
      <c r="AK541" s="878" t="e">
        <f t="shared" si="463"/>
        <v>#VALUE!</v>
      </c>
      <c r="AL541" s="966" t="e">
        <f t="shared" si="464"/>
        <v>#VALUE!</v>
      </c>
      <c r="AM541" s="239"/>
      <c r="AO541" s="685">
        <f t="shared" si="489"/>
        <v>-2.351203010606322</v>
      </c>
      <c r="AP541" s="276">
        <f t="shared" si="490"/>
        <v>-1.0806401147824762</v>
      </c>
      <c r="AQ541" s="276">
        <f t="shared" si="491"/>
        <v>0.76192715382628484</v>
      </c>
      <c r="AR541" s="276">
        <f t="shared" si="492"/>
        <v>-0.52041895917717729</v>
      </c>
      <c r="AS541" s="276">
        <f t="shared" si="493"/>
        <v>-8.1180643032586435</v>
      </c>
      <c r="AT541" s="276">
        <f t="shared" si="494"/>
        <v>-4.0998263516370237</v>
      </c>
      <c r="AU541" s="685">
        <f t="shared" si="495"/>
        <v>1.1304046242579966</v>
      </c>
      <c r="AV541" s="276">
        <f t="shared" si="496"/>
        <v>1.7801241878430936</v>
      </c>
      <c r="AW541" s="276">
        <f t="shared" si="497"/>
        <v>0.93210097821120486</v>
      </c>
      <c r="AX541" s="276">
        <f t="shared" si="498"/>
        <v>2.0336669121803297</v>
      </c>
      <c r="AY541" s="276">
        <f t="shared" si="499"/>
        <v>1.0767650113409337</v>
      </c>
      <c r="AZ541" s="686">
        <f t="shared" si="500"/>
        <v>1.1674434254949568</v>
      </c>
      <c r="BA541" s="685">
        <f t="shared" si="501"/>
        <v>0</v>
      </c>
      <c r="BB541" s="276">
        <f t="shared" si="502"/>
        <v>0</v>
      </c>
      <c r="BC541" s="276">
        <f t="shared" si="503"/>
        <v>0</v>
      </c>
      <c r="BD541" s="276">
        <f t="shared" si="504"/>
        <v>0</v>
      </c>
      <c r="BE541" s="276">
        <f t="shared" si="505"/>
        <v>0</v>
      </c>
      <c r="BF541" s="686">
        <f t="shared" si="506"/>
        <v>0</v>
      </c>
      <c r="BG541" s="685" t="e">
        <f t="shared" si="507"/>
        <v>#DIV/0!</v>
      </c>
      <c r="BH541" s="276" t="e">
        <f t="shared" si="508"/>
        <v>#DIV/0!</v>
      </c>
      <c r="BI541" s="276" t="e">
        <f t="shared" si="509"/>
        <v>#DIV/0!</v>
      </c>
      <c r="BJ541" s="276" t="e">
        <f t="shared" si="510"/>
        <v>#DIV/0!</v>
      </c>
      <c r="BK541" s="276" t="e">
        <f t="shared" si="511"/>
        <v>#DIV/0!</v>
      </c>
      <c r="BL541" s="686" t="e">
        <f t="shared" si="512"/>
        <v>#DIV/0!</v>
      </c>
      <c r="BM541" s="239"/>
      <c r="BN541" s="965" t="e">
        <f t="shared" si="513"/>
        <v>#VALUE!</v>
      </c>
      <c r="BO541" s="878" t="e">
        <f t="shared" si="514"/>
        <v>#VALUE!</v>
      </c>
      <c r="BP541" s="878" t="e">
        <f t="shared" si="515"/>
        <v>#VALUE!</v>
      </c>
      <c r="BQ541" s="878" t="e">
        <f t="shared" si="516"/>
        <v>#VALUE!</v>
      </c>
      <c r="BR541" s="878" t="e">
        <f t="shared" si="517"/>
        <v>#VALUE!</v>
      </c>
      <c r="BS541" s="966" t="e">
        <f t="shared" si="518"/>
        <v>#VALUE!</v>
      </c>
    </row>
    <row r="542" spans="1:71">
      <c r="A542" s="284">
        <f t="shared" si="519"/>
        <v>474</v>
      </c>
      <c r="B542" s="285">
        <v>2.3338614279991194</v>
      </c>
      <c r="C542" s="285">
        <v>2.2470265904163575</v>
      </c>
      <c r="D542" s="285">
        <v>4.3356424706873842E-2</v>
      </c>
      <c r="E542" s="285">
        <v>-13.88699944261981</v>
      </c>
      <c r="H542" s="685">
        <f t="shared" si="465"/>
        <v>1.2006275862300646</v>
      </c>
      <c r="I542" s="276">
        <f t="shared" si="466"/>
        <v>-1.3384873222948379</v>
      </c>
      <c r="J542" s="276">
        <f t="shared" si="467"/>
        <v>-3.8551060341910084</v>
      </c>
      <c r="K542" s="276">
        <f t="shared" si="468"/>
        <v>-0.10198220695864268</v>
      </c>
      <c r="L542" s="276">
        <f t="shared" si="469"/>
        <v>-2.4987681930035919</v>
      </c>
      <c r="M542" s="276">
        <f t="shared" si="470"/>
        <v>2.4458063128415546</v>
      </c>
      <c r="N542" s="685">
        <f t="shared" si="471"/>
        <v>1.0398553794444891</v>
      </c>
      <c r="O542" s="276">
        <f t="shared" si="472"/>
        <v>1.7372285698353578</v>
      </c>
      <c r="P542" s="276">
        <f t="shared" si="473"/>
        <v>1.317390839956077</v>
      </c>
      <c r="Q542" s="276">
        <f t="shared" si="474"/>
        <v>1.0080421105077046</v>
      </c>
      <c r="R542" s="276">
        <f t="shared" si="475"/>
        <v>1.0080329475914735</v>
      </c>
      <c r="S542" s="686">
        <f t="shared" si="476"/>
        <v>1.5043120901872149</v>
      </c>
      <c r="T542" s="685">
        <f t="shared" si="477"/>
        <v>3.3217201149777997</v>
      </c>
      <c r="U542" s="276">
        <f t="shared" si="478"/>
        <v>4.9709739798632668</v>
      </c>
      <c r="V542" s="276">
        <f t="shared" si="479"/>
        <v>4.082070274768526</v>
      </c>
      <c r="W542" s="276">
        <f t="shared" si="480"/>
        <v>5.9789923659042046</v>
      </c>
      <c r="X542" s="276">
        <f t="shared" si="481"/>
        <v>3.9217073540617151</v>
      </c>
      <c r="Y542" s="686">
        <f t="shared" si="482"/>
        <v>5.2886151549779061</v>
      </c>
      <c r="Z542" s="685" t="e">
        <f t="shared" si="483"/>
        <v>#DIV/0!</v>
      </c>
      <c r="AA542" s="276" t="e">
        <f t="shared" si="484"/>
        <v>#DIV/0!</v>
      </c>
      <c r="AB542" s="276" t="e">
        <f t="shared" si="485"/>
        <v>#DIV/0!</v>
      </c>
      <c r="AC542" s="276" t="e">
        <f t="shared" si="486"/>
        <v>#DIV/0!</v>
      </c>
      <c r="AD542" s="276" t="e">
        <f t="shared" si="487"/>
        <v>#DIV/0!</v>
      </c>
      <c r="AE542" s="686" t="e">
        <f t="shared" si="488"/>
        <v>#DIV/0!</v>
      </c>
      <c r="AF542" s="239"/>
      <c r="AG542" s="965" t="e">
        <f t="shared" si="459"/>
        <v>#VALUE!</v>
      </c>
      <c r="AH542" s="878" t="e">
        <f t="shared" si="460"/>
        <v>#VALUE!</v>
      </c>
      <c r="AI542" s="878" t="e">
        <f t="shared" si="461"/>
        <v>#VALUE!</v>
      </c>
      <c r="AJ542" s="878" t="e">
        <f t="shared" si="462"/>
        <v>#VALUE!</v>
      </c>
      <c r="AK542" s="878" t="e">
        <f t="shared" si="463"/>
        <v>#VALUE!</v>
      </c>
      <c r="AL542" s="966" t="e">
        <f t="shared" si="464"/>
        <v>#VALUE!</v>
      </c>
      <c r="AM542" s="239"/>
      <c r="AO542" s="685">
        <f t="shared" si="489"/>
        <v>1.2006275862300646</v>
      </c>
      <c r="AP542" s="276">
        <f t="shared" si="490"/>
        <v>-1.3384873222948379</v>
      </c>
      <c r="AQ542" s="276">
        <f t="shared" si="491"/>
        <v>-3.8551060341910084</v>
      </c>
      <c r="AR542" s="276">
        <f t="shared" si="492"/>
        <v>-0.10198220695864268</v>
      </c>
      <c r="AS542" s="276">
        <f t="shared" si="493"/>
        <v>-2.4987681930035919</v>
      </c>
      <c r="AT542" s="276">
        <f t="shared" si="494"/>
        <v>2.4458063128415546</v>
      </c>
      <c r="AU542" s="685">
        <f t="shared" si="495"/>
        <v>1.0398553794444891</v>
      </c>
      <c r="AV542" s="276">
        <f t="shared" si="496"/>
        <v>1.7372285698353578</v>
      </c>
      <c r="AW542" s="276">
        <f t="shared" si="497"/>
        <v>1.317390839956077</v>
      </c>
      <c r="AX542" s="276">
        <f t="shared" si="498"/>
        <v>1.0080421105077046</v>
      </c>
      <c r="AY542" s="276">
        <f t="shared" si="499"/>
        <v>1.0080329475914735</v>
      </c>
      <c r="AZ542" s="686">
        <f t="shared" si="500"/>
        <v>1.5043120901872149</v>
      </c>
      <c r="BA542" s="685">
        <f t="shared" si="501"/>
        <v>0</v>
      </c>
      <c r="BB542" s="276">
        <f t="shared" si="502"/>
        <v>0</v>
      </c>
      <c r="BC542" s="276">
        <f t="shared" si="503"/>
        <v>0</v>
      </c>
      <c r="BD542" s="276">
        <f t="shared" si="504"/>
        <v>0</v>
      </c>
      <c r="BE542" s="276">
        <f t="shared" si="505"/>
        <v>0</v>
      </c>
      <c r="BF542" s="686">
        <f t="shared" si="506"/>
        <v>0</v>
      </c>
      <c r="BG542" s="685" t="e">
        <f t="shared" si="507"/>
        <v>#DIV/0!</v>
      </c>
      <c r="BH542" s="276" t="e">
        <f t="shared" si="508"/>
        <v>#DIV/0!</v>
      </c>
      <c r="BI542" s="276" t="e">
        <f t="shared" si="509"/>
        <v>#DIV/0!</v>
      </c>
      <c r="BJ542" s="276" t="e">
        <f t="shared" si="510"/>
        <v>#DIV/0!</v>
      </c>
      <c r="BK542" s="276" t="e">
        <f t="shared" si="511"/>
        <v>#DIV/0!</v>
      </c>
      <c r="BL542" s="686" t="e">
        <f t="shared" si="512"/>
        <v>#DIV/0!</v>
      </c>
      <c r="BM542" s="239"/>
      <c r="BN542" s="965" t="e">
        <f t="shared" si="513"/>
        <v>#VALUE!</v>
      </c>
      <c r="BO542" s="878" t="e">
        <f t="shared" si="514"/>
        <v>#VALUE!</v>
      </c>
      <c r="BP542" s="878" t="e">
        <f t="shared" si="515"/>
        <v>#VALUE!</v>
      </c>
      <c r="BQ542" s="878" t="e">
        <f t="shared" si="516"/>
        <v>#VALUE!</v>
      </c>
      <c r="BR542" s="878" t="e">
        <f t="shared" si="517"/>
        <v>#VALUE!</v>
      </c>
      <c r="BS542" s="966" t="e">
        <f t="shared" si="518"/>
        <v>#VALUE!</v>
      </c>
    </row>
    <row r="543" spans="1:71">
      <c r="A543" s="284">
        <f t="shared" si="519"/>
        <v>475</v>
      </c>
      <c r="B543" s="285">
        <v>-3.1983149082155755</v>
      </c>
      <c r="C543" s="285">
        <v>2.8617676481704613</v>
      </c>
      <c r="D543" s="285">
        <v>2.1197871003881241</v>
      </c>
      <c r="E543" s="285">
        <v>-2.0942070997918001</v>
      </c>
      <c r="H543" s="685">
        <f t="shared" si="465"/>
        <v>-4.3315487499846306</v>
      </c>
      <c r="I543" s="276">
        <f t="shared" si="466"/>
        <v>-1.838141566604794</v>
      </c>
      <c r="J543" s="276">
        <f t="shared" si="467"/>
        <v>1.1141433787130699</v>
      </c>
      <c r="K543" s="276">
        <f t="shared" si="468"/>
        <v>1.267183226162387</v>
      </c>
      <c r="L543" s="276">
        <f t="shared" si="469"/>
        <v>3.8876717097890996</v>
      </c>
      <c r="M543" s="276">
        <f t="shared" si="470"/>
        <v>1.8339052200577177</v>
      </c>
      <c r="N543" s="685">
        <f t="shared" si="471"/>
        <v>1.6545964371985928</v>
      </c>
      <c r="O543" s="276">
        <f t="shared" si="472"/>
        <v>1.420412914307317</v>
      </c>
      <c r="P543" s="276">
        <f t="shared" si="473"/>
        <v>1.5737498134860706</v>
      </c>
      <c r="Q543" s="276">
        <f t="shared" si="474"/>
        <v>1.8419499463128715</v>
      </c>
      <c r="R543" s="276">
        <f t="shared" si="475"/>
        <v>1.8665011086981196</v>
      </c>
      <c r="S543" s="686">
        <f t="shared" si="476"/>
        <v>1.7574795181228187</v>
      </c>
      <c r="T543" s="685">
        <f t="shared" si="477"/>
        <v>5.3981507906590505</v>
      </c>
      <c r="U543" s="276">
        <f t="shared" si="478"/>
        <v>5.2243582149052337</v>
      </c>
      <c r="V543" s="276">
        <f t="shared" si="479"/>
        <v>3.9305148469317901</v>
      </c>
      <c r="W543" s="276">
        <f t="shared" si="480"/>
        <v>3.7725579915455905</v>
      </c>
      <c r="X543" s="276">
        <f t="shared" si="481"/>
        <v>2.8546613284168725</v>
      </c>
      <c r="Y543" s="686">
        <f t="shared" si="482"/>
        <v>4.0273108298957316</v>
      </c>
      <c r="Z543" s="685" t="e">
        <f t="shared" si="483"/>
        <v>#DIV/0!</v>
      </c>
      <c r="AA543" s="276" t="e">
        <f t="shared" si="484"/>
        <v>#DIV/0!</v>
      </c>
      <c r="AB543" s="276" t="e">
        <f t="shared" si="485"/>
        <v>#DIV/0!</v>
      </c>
      <c r="AC543" s="276" t="e">
        <f t="shared" si="486"/>
        <v>#DIV/0!</v>
      </c>
      <c r="AD543" s="276" t="e">
        <f t="shared" si="487"/>
        <v>#DIV/0!</v>
      </c>
      <c r="AE543" s="686" t="e">
        <f t="shared" si="488"/>
        <v>#DIV/0!</v>
      </c>
      <c r="AF543" s="239"/>
      <c r="AG543" s="965" t="e">
        <f t="shared" si="459"/>
        <v>#VALUE!</v>
      </c>
      <c r="AH543" s="878" t="e">
        <f t="shared" si="460"/>
        <v>#VALUE!</v>
      </c>
      <c r="AI543" s="878" t="e">
        <f t="shared" si="461"/>
        <v>#VALUE!</v>
      </c>
      <c r="AJ543" s="878" t="e">
        <f t="shared" si="462"/>
        <v>#VALUE!</v>
      </c>
      <c r="AK543" s="878" t="e">
        <f t="shared" si="463"/>
        <v>#VALUE!</v>
      </c>
      <c r="AL543" s="966" t="e">
        <f t="shared" si="464"/>
        <v>#VALUE!</v>
      </c>
      <c r="AM543" s="239"/>
      <c r="AO543" s="685">
        <f t="shared" si="489"/>
        <v>-4.3315487499846306</v>
      </c>
      <c r="AP543" s="276">
        <f t="shared" si="490"/>
        <v>-1.838141566604794</v>
      </c>
      <c r="AQ543" s="276">
        <f t="shared" si="491"/>
        <v>1.1141433787130699</v>
      </c>
      <c r="AR543" s="276">
        <f t="shared" si="492"/>
        <v>1.267183226162387</v>
      </c>
      <c r="AS543" s="276">
        <f t="shared" si="493"/>
        <v>3.8876717097890996</v>
      </c>
      <c r="AT543" s="276">
        <f t="shared" si="494"/>
        <v>1.8339052200577177</v>
      </c>
      <c r="AU543" s="685">
        <f t="shared" si="495"/>
        <v>1.6545964371985928</v>
      </c>
      <c r="AV543" s="276">
        <f t="shared" si="496"/>
        <v>1.420412914307317</v>
      </c>
      <c r="AW543" s="276">
        <f t="shared" si="497"/>
        <v>1.5737498134860706</v>
      </c>
      <c r="AX543" s="276">
        <f t="shared" si="498"/>
        <v>1.8419499463128715</v>
      </c>
      <c r="AY543" s="276">
        <f t="shared" si="499"/>
        <v>1.8665011086981196</v>
      </c>
      <c r="AZ543" s="686">
        <f t="shared" si="500"/>
        <v>1.7574795181228187</v>
      </c>
      <c r="BA543" s="685">
        <f t="shared" si="501"/>
        <v>0</v>
      </c>
      <c r="BB543" s="276">
        <f t="shared" si="502"/>
        <v>0</v>
      </c>
      <c r="BC543" s="276">
        <f t="shared" si="503"/>
        <v>0</v>
      </c>
      <c r="BD543" s="276">
        <f t="shared" si="504"/>
        <v>0</v>
      </c>
      <c r="BE543" s="276">
        <f t="shared" si="505"/>
        <v>0</v>
      </c>
      <c r="BF543" s="686">
        <f t="shared" si="506"/>
        <v>0</v>
      </c>
      <c r="BG543" s="685" t="e">
        <f t="shared" si="507"/>
        <v>#DIV/0!</v>
      </c>
      <c r="BH543" s="276" t="e">
        <f t="shared" si="508"/>
        <v>#DIV/0!</v>
      </c>
      <c r="BI543" s="276" t="e">
        <f t="shared" si="509"/>
        <v>#DIV/0!</v>
      </c>
      <c r="BJ543" s="276" t="e">
        <f t="shared" si="510"/>
        <v>#DIV/0!</v>
      </c>
      <c r="BK543" s="276" t="e">
        <f t="shared" si="511"/>
        <v>#DIV/0!</v>
      </c>
      <c r="BL543" s="686" t="e">
        <f t="shared" si="512"/>
        <v>#DIV/0!</v>
      </c>
      <c r="BM543" s="239"/>
      <c r="BN543" s="965" t="e">
        <f t="shared" si="513"/>
        <v>#VALUE!</v>
      </c>
      <c r="BO543" s="878" t="e">
        <f t="shared" si="514"/>
        <v>#VALUE!</v>
      </c>
      <c r="BP543" s="878" t="e">
        <f t="shared" si="515"/>
        <v>#VALUE!</v>
      </c>
      <c r="BQ543" s="878" t="e">
        <f t="shared" si="516"/>
        <v>#VALUE!</v>
      </c>
      <c r="BR543" s="878" t="e">
        <f t="shared" si="517"/>
        <v>#VALUE!</v>
      </c>
      <c r="BS543" s="966" t="e">
        <f t="shared" si="518"/>
        <v>#VALUE!</v>
      </c>
    </row>
    <row r="544" spans="1:71">
      <c r="A544" s="284">
        <f t="shared" si="519"/>
        <v>476</v>
      </c>
      <c r="B544" s="285">
        <v>-0.7036766587798321</v>
      </c>
      <c r="C544" s="285">
        <v>1.6309136848067951</v>
      </c>
      <c r="D544" s="285">
        <v>1.9636632840925377</v>
      </c>
      <c r="E544" s="285">
        <v>-24.527412078626273</v>
      </c>
      <c r="H544" s="685">
        <f t="shared" si="465"/>
        <v>-1.8369105005488868</v>
      </c>
      <c r="I544" s="276">
        <f t="shared" si="466"/>
        <v>-0.73452154952339666</v>
      </c>
      <c r="J544" s="276">
        <f t="shared" si="467"/>
        <v>0.9368829141356565</v>
      </c>
      <c r="K544" s="276">
        <f t="shared" si="468"/>
        <v>-3.3600771893469998</v>
      </c>
      <c r="L544" s="276">
        <f t="shared" si="469"/>
        <v>-0.64366319076269529</v>
      </c>
      <c r="M544" s="276">
        <f t="shared" si="470"/>
        <v>-2.4027150637328205</v>
      </c>
      <c r="N544" s="685">
        <f t="shared" si="471"/>
        <v>0.42374247383492669</v>
      </c>
      <c r="O544" s="276">
        <f t="shared" si="472"/>
        <v>1.4252695508067814</v>
      </c>
      <c r="P544" s="276">
        <f t="shared" si="473"/>
        <v>1.5768233923136459</v>
      </c>
      <c r="Q544" s="276">
        <f t="shared" si="474"/>
        <v>1.5058091309706791</v>
      </c>
      <c r="R544" s="276">
        <f t="shared" si="475"/>
        <v>1.6601214622017071</v>
      </c>
      <c r="S544" s="686">
        <f t="shared" si="476"/>
        <v>1.4149331051690799</v>
      </c>
      <c r="T544" s="685">
        <f t="shared" si="477"/>
        <v>5.2420269743634638</v>
      </c>
      <c r="U544" s="276">
        <f t="shared" si="478"/>
        <v>4.6264733940806275</v>
      </c>
      <c r="V544" s="276">
        <f t="shared" si="479"/>
        <v>4.5108648730558842</v>
      </c>
      <c r="W544" s="276">
        <f t="shared" si="480"/>
        <v>4.6183037147464656</v>
      </c>
      <c r="X544" s="276">
        <f t="shared" si="481"/>
        <v>2.5879143961634403</v>
      </c>
      <c r="Y544" s="686">
        <f t="shared" si="482"/>
        <v>4.3320940028778638</v>
      </c>
      <c r="Z544" s="685" t="e">
        <f t="shared" si="483"/>
        <v>#DIV/0!</v>
      </c>
      <c r="AA544" s="276" t="e">
        <f t="shared" si="484"/>
        <v>#DIV/0!</v>
      </c>
      <c r="AB544" s="276" t="e">
        <f t="shared" si="485"/>
        <v>#DIV/0!</v>
      </c>
      <c r="AC544" s="276" t="e">
        <f t="shared" si="486"/>
        <v>#DIV/0!</v>
      </c>
      <c r="AD544" s="276" t="e">
        <f t="shared" si="487"/>
        <v>#DIV/0!</v>
      </c>
      <c r="AE544" s="686" t="e">
        <f t="shared" si="488"/>
        <v>#DIV/0!</v>
      </c>
      <c r="AF544" s="239"/>
      <c r="AG544" s="965" t="e">
        <f t="shared" si="459"/>
        <v>#VALUE!</v>
      </c>
      <c r="AH544" s="878" t="e">
        <f t="shared" si="460"/>
        <v>#VALUE!</v>
      </c>
      <c r="AI544" s="878" t="e">
        <f t="shared" si="461"/>
        <v>#VALUE!</v>
      </c>
      <c r="AJ544" s="878" t="e">
        <f t="shared" si="462"/>
        <v>#VALUE!</v>
      </c>
      <c r="AK544" s="878" t="e">
        <f t="shared" si="463"/>
        <v>#VALUE!</v>
      </c>
      <c r="AL544" s="966" t="e">
        <f t="shared" si="464"/>
        <v>#VALUE!</v>
      </c>
      <c r="AM544" s="239"/>
      <c r="AO544" s="685">
        <f t="shared" si="489"/>
        <v>-1.8369105005488868</v>
      </c>
      <c r="AP544" s="276">
        <f t="shared" si="490"/>
        <v>-0.73452154952339666</v>
      </c>
      <c r="AQ544" s="276">
        <f t="shared" si="491"/>
        <v>0.9368829141356565</v>
      </c>
      <c r="AR544" s="276">
        <f t="shared" si="492"/>
        <v>-3.3600771893469998</v>
      </c>
      <c r="AS544" s="276">
        <f t="shared" si="493"/>
        <v>-0.64366319076269529</v>
      </c>
      <c r="AT544" s="276">
        <f t="shared" si="494"/>
        <v>-2.4027150637328205</v>
      </c>
      <c r="AU544" s="685">
        <f t="shared" si="495"/>
        <v>0.42374247383492669</v>
      </c>
      <c r="AV544" s="276">
        <f t="shared" si="496"/>
        <v>1.4252695508067814</v>
      </c>
      <c r="AW544" s="276">
        <f t="shared" si="497"/>
        <v>1.5768233923136459</v>
      </c>
      <c r="AX544" s="276">
        <f t="shared" si="498"/>
        <v>1.5058091309706791</v>
      </c>
      <c r="AY544" s="276">
        <f t="shared" si="499"/>
        <v>1.6601214622017071</v>
      </c>
      <c r="AZ544" s="686">
        <f t="shared" si="500"/>
        <v>1.4149331051690799</v>
      </c>
      <c r="BA544" s="685">
        <f t="shared" si="501"/>
        <v>0</v>
      </c>
      <c r="BB544" s="276">
        <f t="shared" si="502"/>
        <v>0</v>
      </c>
      <c r="BC544" s="276">
        <f t="shared" si="503"/>
        <v>0</v>
      </c>
      <c r="BD544" s="276">
        <f t="shared" si="504"/>
        <v>0</v>
      </c>
      <c r="BE544" s="276">
        <f t="shared" si="505"/>
        <v>0</v>
      </c>
      <c r="BF544" s="686">
        <f t="shared" si="506"/>
        <v>0</v>
      </c>
      <c r="BG544" s="685" t="e">
        <f t="shared" si="507"/>
        <v>#DIV/0!</v>
      </c>
      <c r="BH544" s="276" t="e">
        <f t="shared" si="508"/>
        <v>#DIV/0!</v>
      </c>
      <c r="BI544" s="276" t="e">
        <f t="shared" si="509"/>
        <v>#DIV/0!</v>
      </c>
      <c r="BJ544" s="276" t="e">
        <f t="shared" si="510"/>
        <v>#DIV/0!</v>
      </c>
      <c r="BK544" s="276" t="e">
        <f t="shared" si="511"/>
        <v>#DIV/0!</v>
      </c>
      <c r="BL544" s="686" t="e">
        <f t="shared" si="512"/>
        <v>#DIV/0!</v>
      </c>
      <c r="BM544" s="239"/>
      <c r="BN544" s="965" t="e">
        <f t="shared" si="513"/>
        <v>#VALUE!</v>
      </c>
      <c r="BO544" s="878" t="e">
        <f t="shared" si="514"/>
        <v>#VALUE!</v>
      </c>
      <c r="BP544" s="878" t="e">
        <f t="shared" si="515"/>
        <v>#VALUE!</v>
      </c>
      <c r="BQ544" s="878" t="e">
        <f t="shared" si="516"/>
        <v>#VALUE!</v>
      </c>
      <c r="BR544" s="878" t="e">
        <f t="shared" si="517"/>
        <v>#VALUE!</v>
      </c>
      <c r="BS544" s="966" t="e">
        <f t="shared" si="518"/>
        <v>#VALUE!</v>
      </c>
    </row>
    <row r="545" spans="1:71">
      <c r="A545" s="284">
        <f t="shared" si="519"/>
        <v>477</v>
      </c>
      <c r="B545" s="285">
        <v>-0.79525714045921103</v>
      </c>
      <c r="C545" s="285">
        <v>2.7167556417333341</v>
      </c>
      <c r="D545" s="285">
        <v>2.3681161887886337</v>
      </c>
      <c r="E545" s="285">
        <v>-8.3620378250797529</v>
      </c>
      <c r="H545" s="685">
        <f t="shared" si="465"/>
        <v>-1.9284909822282659</v>
      </c>
      <c r="I545" s="276">
        <f t="shared" si="466"/>
        <v>0.41900711985402195</v>
      </c>
      <c r="J545" s="276">
        <f t="shared" si="467"/>
        <v>1.2972367583971962</v>
      </c>
      <c r="K545" s="276">
        <f t="shared" si="468"/>
        <v>-4.9957149782498655</v>
      </c>
      <c r="L545" s="276">
        <f t="shared" si="469"/>
        <v>0.43074437463772797</v>
      </c>
      <c r="M545" s="276">
        <f t="shared" si="470"/>
        <v>-7.0821611745441393</v>
      </c>
      <c r="N545" s="685">
        <f t="shared" si="471"/>
        <v>1.5095844307614656</v>
      </c>
      <c r="O545" s="276">
        <f t="shared" si="472"/>
        <v>1.4062253895257777</v>
      </c>
      <c r="P545" s="276">
        <f t="shared" si="473"/>
        <v>1.6359231379072268</v>
      </c>
      <c r="Q545" s="276">
        <f t="shared" si="474"/>
        <v>1.2895995037370513</v>
      </c>
      <c r="R545" s="276">
        <f t="shared" si="475"/>
        <v>2.0145586558190107</v>
      </c>
      <c r="S545" s="686">
        <f t="shared" si="476"/>
        <v>1.0704911296891793</v>
      </c>
      <c r="T545" s="685">
        <f t="shared" si="477"/>
        <v>5.6464798790595596</v>
      </c>
      <c r="U545" s="276">
        <f t="shared" si="478"/>
        <v>4.0337974316703882</v>
      </c>
      <c r="V545" s="276">
        <f t="shared" si="479"/>
        <v>6.6282101065082237</v>
      </c>
      <c r="W545" s="276">
        <f t="shared" si="480"/>
        <v>2.5570016183901068</v>
      </c>
      <c r="X545" s="276">
        <f t="shared" si="481"/>
        <v>4.3390435987386597</v>
      </c>
      <c r="Y545" s="686">
        <f t="shared" si="482"/>
        <v>4.8899268630553321</v>
      </c>
      <c r="Z545" s="685" t="e">
        <f t="shared" si="483"/>
        <v>#DIV/0!</v>
      </c>
      <c r="AA545" s="276" t="e">
        <f t="shared" si="484"/>
        <v>#DIV/0!</v>
      </c>
      <c r="AB545" s="276" t="e">
        <f t="shared" si="485"/>
        <v>#DIV/0!</v>
      </c>
      <c r="AC545" s="276" t="e">
        <f t="shared" si="486"/>
        <v>#DIV/0!</v>
      </c>
      <c r="AD545" s="276" t="e">
        <f t="shared" si="487"/>
        <v>#DIV/0!</v>
      </c>
      <c r="AE545" s="686" t="e">
        <f t="shared" si="488"/>
        <v>#DIV/0!</v>
      </c>
      <c r="AF545" s="239"/>
      <c r="AG545" s="965" t="e">
        <f t="shared" si="459"/>
        <v>#VALUE!</v>
      </c>
      <c r="AH545" s="878" t="e">
        <f t="shared" si="460"/>
        <v>#VALUE!</v>
      </c>
      <c r="AI545" s="878" t="e">
        <f t="shared" si="461"/>
        <v>#VALUE!</v>
      </c>
      <c r="AJ545" s="878" t="e">
        <f t="shared" si="462"/>
        <v>#VALUE!</v>
      </c>
      <c r="AK545" s="878" t="e">
        <f t="shared" si="463"/>
        <v>#VALUE!</v>
      </c>
      <c r="AL545" s="966" t="e">
        <f t="shared" si="464"/>
        <v>#VALUE!</v>
      </c>
      <c r="AM545" s="239"/>
      <c r="AO545" s="685">
        <f t="shared" si="489"/>
        <v>-1.9284909822282659</v>
      </c>
      <c r="AP545" s="276">
        <f t="shared" si="490"/>
        <v>0.41900711985402195</v>
      </c>
      <c r="AQ545" s="276">
        <f t="shared" si="491"/>
        <v>1.2972367583971962</v>
      </c>
      <c r="AR545" s="276">
        <f t="shared" si="492"/>
        <v>-4.9957149782498655</v>
      </c>
      <c r="AS545" s="276">
        <f t="shared" si="493"/>
        <v>0.43074437463772797</v>
      </c>
      <c r="AT545" s="276">
        <f t="shared" si="494"/>
        <v>-7.0821611745441393</v>
      </c>
      <c r="AU545" s="685">
        <f t="shared" si="495"/>
        <v>1.5095844307614656</v>
      </c>
      <c r="AV545" s="276">
        <f t="shared" si="496"/>
        <v>1.4062253895257777</v>
      </c>
      <c r="AW545" s="276">
        <f t="shared" si="497"/>
        <v>1.6359231379072268</v>
      </c>
      <c r="AX545" s="276">
        <f t="shared" si="498"/>
        <v>1.2895995037370513</v>
      </c>
      <c r="AY545" s="276">
        <f t="shared" si="499"/>
        <v>2.0145586558190107</v>
      </c>
      <c r="AZ545" s="686">
        <f t="shared" si="500"/>
        <v>1.0704911296891793</v>
      </c>
      <c r="BA545" s="685">
        <f t="shared" si="501"/>
        <v>0</v>
      </c>
      <c r="BB545" s="276">
        <f t="shared" si="502"/>
        <v>0</v>
      </c>
      <c r="BC545" s="276">
        <f t="shared" si="503"/>
        <v>0</v>
      </c>
      <c r="BD545" s="276">
        <f t="shared" si="504"/>
        <v>0</v>
      </c>
      <c r="BE545" s="276">
        <f t="shared" si="505"/>
        <v>0</v>
      </c>
      <c r="BF545" s="686">
        <f t="shared" si="506"/>
        <v>0</v>
      </c>
      <c r="BG545" s="685" t="e">
        <f t="shared" si="507"/>
        <v>#DIV/0!</v>
      </c>
      <c r="BH545" s="276" t="e">
        <f t="shared" si="508"/>
        <v>#DIV/0!</v>
      </c>
      <c r="BI545" s="276" t="e">
        <f t="shared" si="509"/>
        <v>#DIV/0!</v>
      </c>
      <c r="BJ545" s="276" t="e">
        <f t="shared" si="510"/>
        <v>#DIV/0!</v>
      </c>
      <c r="BK545" s="276" t="e">
        <f t="shared" si="511"/>
        <v>#DIV/0!</v>
      </c>
      <c r="BL545" s="686" t="e">
        <f t="shared" si="512"/>
        <v>#DIV/0!</v>
      </c>
      <c r="BM545" s="239"/>
      <c r="BN545" s="965" t="e">
        <f t="shared" si="513"/>
        <v>#VALUE!</v>
      </c>
      <c r="BO545" s="878" t="e">
        <f t="shared" si="514"/>
        <v>#VALUE!</v>
      </c>
      <c r="BP545" s="878" t="e">
        <f t="shared" si="515"/>
        <v>#VALUE!</v>
      </c>
      <c r="BQ545" s="878" t="e">
        <f t="shared" si="516"/>
        <v>#VALUE!</v>
      </c>
      <c r="BR545" s="878" t="e">
        <f t="shared" si="517"/>
        <v>#VALUE!</v>
      </c>
      <c r="BS545" s="966" t="e">
        <f t="shared" si="518"/>
        <v>#VALUE!</v>
      </c>
    </row>
    <row r="546" spans="1:71">
      <c r="A546" s="284">
        <f t="shared" si="519"/>
        <v>478</v>
      </c>
      <c r="B546" s="285">
        <v>-2.5852229617361382</v>
      </c>
      <c r="C546" s="285">
        <v>1.653366450275473</v>
      </c>
      <c r="D546" s="285">
        <v>1.8659202285987408</v>
      </c>
      <c r="E546" s="285">
        <v>-14.709824881951128</v>
      </c>
      <c r="H546" s="685">
        <f t="shared" si="465"/>
        <v>-3.7184568035051928</v>
      </c>
      <c r="I546" s="276">
        <f t="shared" si="466"/>
        <v>0.58525110738596253</v>
      </c>
      <c r="J546" s="276">
        <f t="shared" si="467"/>
        <v>4.1409772340817046</v>
      </c>
      <c r="K546" s="276">
        <f t="shared" si="468"/>
        <v>-1.7210110071795801</v>
      </c>
      <c r="L546" s="276">
        <f t="shared" si="469"/>
        <v>-7.4537402065358194</v>
      </c>
      <c r="M546" s="276">
        <f t="shared" si="470"/>
        <v>-1.7407592949225181</v>
      </c>
      <c r="N546" s="685">
        <f t="shared" si="471"/>
        <v>0.44619523930360461</v>
      </c>
      <c r="O546" s="276">
        <f t="shared" si="472"/>
        <v>1.8911310846082638</v>
      </c>
      <c r="P546" s="276">
        <f t="shared" si="473"/>
        <v>1.8676557215766605</v>
      </c>
      <c r="Q546" s="276">
        <f t="shared" si="474"/>
        <v>0.48168983085740913</v>
      </c>
      <c r="R546" s="276">
        <f t="shared" si="475"/>
        <v>0.66388582227859083</v>
      </c>
      <c r="S546" s="686">
        <f t="shared" si="476"/>
        <v>1.7886826444501882</v>
      </c>
      <c r="T546" s="685">
        <f t="shared" si="477"/>
        <v>5.1442839188696663</v>
      </c>
      <c r="U546" s="276">
        <f t="shared" si="478"/>
        <v>3.9664734658512564</v>
      </c>
      <c r="V546" s="276">
        <f t="shared" si="479"/>
        <v>3.5400336585253127</v>
      </c>
      <c r="W546" s="276">
        <f t="shared" si="480"/>
        <v>4.5570507986452622</v>
      </c>
      <c r="X546" s="276">
        <f t="shared" si="481"/>
        <v>2.2382932505659121</v>
      </c>
      <c r="Y546" s="686">
        <f t="shared" si="482"/>
        <v>3.3600452933520657</v>
      </c>
      <c r="Z546" s="685" t="e">
        <f t="shared" si="483"/>
        <v>#DIV/0!</v>
      </c>
      <c r="AA546" s="276" t="e">
        <f t="shared" si="484"/>
        <v>#DIV/0!</v>
      </c>
      <c r="AB546" s="276" t="e">
        <f t="shared" si="485"/>
        <v>#DIV/0!</v>
      </c>
      <c r="AC546" s="276" t="e">
        <f t="shared" si="486"/>
        <v>#DIV/0!</v>
      </c>
      <c r="AD546" s="276" t="e">
        <f t="shared" si="487"/>
        <v>#DIV/0!</v>
      </c>
      <c r="AE546" s="686" t="e">
        <f t="shared" si="488"/>
        <v>#DIV/0!</v>
      </c>
      <c r="AF546" s="239"/>
      <c r="AG546" s="965" t="e">
        <f t="shared" si="459"/>
        <v>#VALUE!</v>
      </c>
      <c r="AH546" s="878" t="e">
        <f t="shared" si="460"/>
        <v>#VALUE!</v>
      </c>
      <c r="AI546" s="878" t="e">
        <f t="shared" si="461"/>
        <v>#VALUE!</v>
      </c>
      <c r="AJ546" s="878" t="e">
        <f t="shared" si="462"/>
        <v>#VALUE!</v>
      </c>
      <c r="AK546" s="878" t="e">
        <f t="shared" si="463"/>
        <v>#VALUE!</v>
      </c>
      <c r="AL546" s="966" t="e">
        <f t="shared" si="464"/>
        <v>#VALUE!</v>
      </c>
      <c r="AM546" s="239"/>
      <c r="AO546" s="685">
        <f t="shared" si="489"/>
        <v>-3.7184568035051928</v>
      </c>
      <c r="AP546" s="276">
        <f t="shared" si="490"/>
        <v>0.58525110738596253</v>
      </c>
      <c r="AQ546" s="276">
        <f t="shared" si="491"/>
        <v>4.1409772340817046</v>
      </c>
      <c r="AR546" s="276">
        <f t="shared" si="492"/>
        <v>-1.7210110071795801</v>
      </c>
      <c r="AS546" s="276">
        <f t="shared" si="493"/>
        <v>-7.4537402065358194</v>
      </c>
      <c r="AT546" s="276">
        <f t="shared" si="494"/>
        <v>-1.7407592949225181</v>
      </c>
      <c r="AU546" s="685">
        <f t="shared" si="495"/>
        <v>0.44619523930360461</v>
      </c>
      <c r="AV546" s="276">
        <f t="shared" si="496"/>
        <v>1.8911310846082638</v>
      </c>
      <c r="AW546" s="276">
        <f t="shared" si="497"/>
        <v>1.8676557215766605</v>
      </c>
      <c r="AX546" s="276">
        <f t="shared" si="498"/>
        <v>0.48168983085740913</v>
      </c>
      <c r="AY546" s="276">
        <f t="shared" si="499"/>
        <v>0.66388582227859083</v>
      </c>
      <c r="AZ546" s="686">
        <f t="shared" si="500"/>
        <v>1.7886826444501882</v>
      </c>
      <c r="BA546" s="685">
        <f t="shared" si="501"/>
        <v>0</v>
      </c>
      <c r="BB546" s="276">
        <f t="shared" si="502"/>
        <v>0</v>
      </c>
      <c r="BC546" s="276">
        <f t="shared" si="503"/>
        <v>0</v>
      </c>
      <c r="BD546" s="276">
        <f t="shared" si="504"/>
        <v>0</v>
      </c>
      <c r="BE546" s="276">
        <f t="shared" si="505"/>
        <v>0</v>
      </c>
      <c r="BF546" s="686">
        <f t="shared" si="506"/>
        <v>0</v>
      </c>
      <c r="BG546" s="685" t="e">
        <f t="shared" si="507"/>
        <v>#DIV/0!</v>
      </c>
      <c r="BH546" s="276" t="e">
        <f t="shared" si="508"/>
        <v>#DIV/0!</v>
      </c>
      <c r="BI546" s="276" t="e">
        <f t="shared" si="509"/>
        <v>#DIV/0!</v>
      </c>
      <c r="BJ546" s="276" t="e">
        <f t="shared" si="510"/>
        <v>#DIV/0!</v>
      </c>
      <c r="BK546" s="276" t="e">
        <f t="shared" si="511"/>
        <v>#DIV/0!</v>
      </c>
      <c r="BL546" s="686" t="e">
        <f t="shared" si="512"/>
        <v>#DIV/0!</v>
      </c>
      <c r="BM546" s="239"/>
      <c r="BN546" s="965" t="e">
        <f t="shared" si="513"/>
        <v>#VALUE!</v>
      </c>
      <c r="BO546" s="878" t="e">
        <f t="shared" si="514"/>
        <v>#VALUE!</v>
      </c>
      <c r="BP546" s="878" t="e">
        <f t="shared" si="515"/>
        <v>#VALUE!</v>
      </c>
      <c r="BQ546" s="878" t="e">
        <f t="shared" si="516"/>
        <v>#VALUE!</v>
      </c>
      <c r="BR546" s="878" t="e">
        <f t="shared" si="517"/>
        <v>#VALUE!</v>
      </c>
      <c r="BS546" s="966" t="e">
        <f t="shared" si="518"/>
        <v>#VALUE!</v>
      </c>
    </row>
    <row r="547" spans="1:71">
      <c r="A547" s="284">
        <f t="shared" si="519"/>
        <v>479</v>
      </c>
      <c r="B547" s="285">
        <v>-2.2510107204026508</v>
      </c>
      <c r="C547" s="285">
        <v>2.8136568385079146</v>
      </c>
      <c r="D547" s="285">
        <v>0.66120244024276498</v>
      </c>
      <c r="E547" s="285">
        <v>8.6913050578725439</v>
      </c>
      <c r="H547" s="685">
        <f t="shared" si="465"/>
        <v>-3.3842445621717054</v>
      </c>
      <c r="I547" s="276">
        <f t="shared" si="466"/>
        <v>2.6026375739171419</v>
      </c>
      <c r="J547" s="276">
        <f t="shared" si="467"/>
        <v>1.5443618576351386</v>
      </c>
      <c r="K547" s="276">
        <f t="shared" si="468"/>
        <v>-2.0551742831924589</v>
      </c>
      <c r="L547" s="276">
        <f t="shared" si="469"/>
        <v>3.6044679834932953</v>
      </c>
      <c r="M547" s="276">
        <f t="shared" si="470"/>
        <v>1.2990069933188646</v>
      </c>
      <c r="N547" s="685">
        <f t="shared" si="471"/>
        <v>1.6064856275360462</v>
      </c>
      <c r="O547" s="276">
        <f t="shared" si="472"/>
        <v>1.4098628135559943</v>
      </c>
      <c r="P547" s="276">
        <f t="shared" si="473"/>
        <v>1.7240942335113563</v>
      </c>
      <c r="Q547" s="276">
        <f t="shared" si="474"/>
        <v>0.98797280038634949</v>
      </c>
      <c r="R547" s="276">
        <f t="shared" si="475"/>
        <v>1.9182614161961611</v>
      </c>
      <c r="S547" s="686">
        <f t="shared" si="476"/>
        <v>2.1804904928900664</v>
      </c>
      <c r="T547" s="685">
        <f t="shared" si="477"/>
        <v>3.9395661305136906</v>
      </c>
      <c r="U547" s="276">
        <f t="shared" si="478"/>
        <v>5.2750049694829757</v>
      </c>
      <c r="V547" s="276">
        <f t="shared" si="479"/>
        <v>5.2836109629182673</v>
      </c>
      <c r="W547" s="276">
        <f t="shared" si="480"/>
        <v>4.580096962607807</v>
      </c>
      <c r="X547" s="276">
        <f t="shared" si="481"/>
        <v>3.6252152206101722</v>
      </c>
      <c r="Y547" s="686">
        <f t="shared" si="482"/>
        <v>4.6294361144481275</v>
      </c>
      <c r="Z547" s="685" t="e">
        <f t="shared" si="483"/>
        <v>#DIV/0!</v>
      </c>
      <c r="AA547" s="276" t="e">
        <f t="shared" si="484"/>
        <v>#DIV/0!</v>
      </c>
      <c r="AB547" s="276" t="e">
        <f t="shared" si="485"/>
        <v>#DIV/0!</v>
      </c>
      <c r="AC547" s="276" t="e">
        <f t="shared" si="486"/>
        <v>#DIV/0!</v>
      </c>
      <c r="AD547" s="276" t="e">
        <f t="shared" si="487"/>
        <v>#DIV/0!</v>
      </c>
      <c r="AE547" s="686" t="e">
        <f t="shared" si="488"/>
        <v>#DIV/0!</v>
      </c>
      <c r="AF547" s="239"/>
      <c r="AG547" s="965" t="e">
        <f t="shared" si="459"/>
        <v>#VALUE!</v>
      </c>
      <c r="AH547" s="878" t="e">
        <f t="shared" si="460"/>
        <v>#VALUE!</v>
      </c>
      <c r="AI547" s="878" t="e">
        <f t="shared" si="461"/>
        <v>#VALUE!</v>
      </c>
      <c r="AJ547" s="878" t="e">
        <f t="shared" si="462"/>
        <v>#VALUE!</v>
      </c>
      <c r="AK547" s="878" t="e">
        <f t="shared" si="463"/>
        <v>#VALUE!</v>
      </c>
      <c r="AL547" s="966" t="e">
        <f t="shared" si="464"/>
        <v>#VALUE!</v>
      </c>
      <c r="AM547" s="239"/>
      <c r="AO547" s="685">
        <f t="shared" si="489"/>
        <v>-3.3842445621717054</v>
      </c>
      <c r="AP547" s="276">
        <f t="shared" si="490"/>
        <v>2.6026375739171419</v>
      </c>
      <c r="AQ547" s="276">
        <f t="shared" si="491"/>
        <v>1.5443618576351386</v>
      </c>
      <c r="AR547" s="276">
        <f t="shared" si="492"/>
        <v>-2.0551742831924589</v>
      </c>
      <c r="AS547" s="276">
        <f t="shared" si="493"/>
        <v>3.6044679834932953</v>
      </c>
      <c r="AT547" s="276">
        <f t="shared" si="494"/>
        <v>1.2990069933188646</v>
      </c>
      <c r="AU547" s="685">
        <f t="shared" si="495"/>
        <v>1.6064856275360462</v>
      </c>
      <c r="AV547" s="276">
        <f t="shared" si="496"/>
        <v>1.4098628135559943</v>
      </c>
      <c r="AW547" s="276">
        <f t="shared" si="497"/>
        <v>1.7240942335113563</v>
      </c>
      <c r="AX547" s="276">
        <f t="shared" si="498"/>
        <v>0.98797280038634949</v>
      </c>
      <c r="AY547" s="276">
        <f t="shared" si="499"/>
        <v>1.9182614161961611</v>
      </c>
      <c r="AZ547" s="686">
        <f t="shared" si="500"/>
        <v>2.1804904928900664</v>
      </c>
      <c r="BA547" s="685">
        <f t="shared" si="501"/>
        <v>0</v>
      </c>
      <c r="BB547" s="276">
        <f t="shared" si="502"/>
        <v>0</v>
      </c>
      <c r="BC547" s="276">
        <f t="shared" si="503"/>
        <v>0</v>
      </c>
      <c r="BD547" s="276">
        <f t="shared" si="504"/>
        <v>0</v>
      </c>
      <c r="BE547" s="276">
        <f t="shared" si="505"/>
        <v>0</v>
      </c>
      <c r="BF547" s="686">
        <f t="shared" si="506"/>
        <v>0</v>
      </c>
      <c r="BG547" s="685" t="e">
        <f t="shared" si="507"/>
        <v>#DIV/0!</v>
      </c>
      <c r="BH547" s="276" t="e">
        <f t="shared" si="508"/>
        <v>#DIV/0!</v>
      </c>
      <c r="BI547" s="276" t="e">
        <f t="shared" si="509"/>
        <v>#DIV/0!</v>
      </c>
      <c r="BJ547" s="276" t="e">
        <f t="shared" si="510"/>
        <v>#DIV/0!</v>
      </c>
      <c r="BK547" s="276" t="e">
        <f t="shared" si="511"/>
        <v>#DIV/0!</v>
      </c>
      <c r="BL547" s="686" t="e">
        <f t="shared" si="512"/>
        <v>#DIV/0!</v>
      </c>
      <c r="BM547" s="239"/>
      <c r="BN547" s="965" t="e">
        <f t="shared" si="513"/>
        <v>#VALUE!</v>
      </c>
      <c r="BO547" s="878" t="e">
        <f t="shared" si="514"/>
        <v>#VALUE!</v>
      </c>
      <c r="BP547" s="878" t="e">
        <f t="shared" si="515"/>
        <v>#VALUE!</v>
      </c>
      <c r="BQ547" s="878" t="e">
        <f t="shared" si="516"/>
        <v>#VALUE!</v>
      </c>
      <c r="BR547" s="878" t="e">
        <f t="shared" si="517"/>
        <v>#VALUE!</v>
      </c>
      <c r="BS547" s="966" t="e">
        <f t="shared" si="518"/>
        <v>#VALUE!</v>
      </c>
    </row>
    <row r="548" spans="1:71">
      <c r="A548" s="284">
        <f t="shared" si="519"/>
        <v>480</v>
      </c>
      <c r="B548" s="285">
        <v>-0.52707895300741703</v>
      </c>
      <c r="C548" s="285">
        <v>2.5782243014489619</v>
      </c>
      <c r="D548" s="285">
        <v>-0.33185185238852277</v>
      </c>
      <c r="E548" s="285">
        <v>-7.7348389462745146</v>
      </c>
      <c r="H548" s="685">
        <f t="shared" si="465"/>
        <v>-1.660312794776472</v>
      </c>
      <c r="I548" s="276">
        <f t="shared" si="466"/>
        <v>-2.8434577755902835</v>
      </c>
      <c r="J548" s="276">
        <f t="shared" si="467"/>
        <v>-0.84914320988107517</v>
      </c>
      <c r="K548" s="276">
        <f t="shared" si="468"/>
        <v>4.0980215297724465</v>
      </c>
      <c r="L548" s="276">
        <f t="shared" si="469"/>
        <v>-1.9042455327694492</v>
      </c>
      <c r="M548" s="276">
        <f t="shared" si="470"/>
        <v>-0.13430373278405694</v>
      </c>
      <c r="N548" s="685">
        <f t="shared" si="471"/>
        <v>1.3710530904770935</v>
      </c>
      <c r="O548" s="276">
        <f t="shared" si="472"/>
        <v>1.239813867455571</v>
      </c>
      <c r="P548" s="276">
        <f t="shared" si="473"/>
        <v>1.5422984532911224</v>
      </c>
      <c r="Q548" s="276">
        <f t="shared" si="474"/>
        <v>2.0034771194894789</v>
      </c>
      <c r="R548" s="276">
        <f t="shared" si="475"/>
        <v>0.73568508947421374</v>
      </c>
      <c r="S548" s="686">
        <f t="shared" si="476"/>
        <v>1.3654295937451548</v>
      </c>
      <c r="T548" s="685">
        <f t="shared" si="477"/>
        <v>2.9465118378824031</v>
      </c>
      <c r="U548" s="276">
        <f t="shared" si="478"/>
        <v>3.1917971219883827</v>
      </c>
      <c r="V548" s="276">
        <f t="shared" si="479"/>
        <v>3.9760689340944877</v>
      </c>
      <c r="W548" s="276">
        <f t="shared" si="480"/>
        <v>3.0976975292029163</v>
      </c>
      <c r="X548" s="276">
        <f t="shared" si="481"/>
        <v>6.8442227577874659</v>
      </c>
      <c r="Y548" s="686">
        <f t="shared" si="482"/>
        <v>5.1917870173884939</v>
      </c>
      <c r="Z548" s="685" t="e">
        <f t="shared" si="483"/>
        <v>#DIV/0!</v>
      </c>
      <c r="AA548" s="276" t="e">
        <f t="shared" si="484"/>
        <v>#DIV/0!</v>
      </c>
      <c r="AB548" s="276" t="e">
        <f t="shared" si="485"/>
        <v>#DIV/0!</v>
      </c>
      <c r="AC548" s="276" t="e">
        <f t="shared" si="486"/>
        <v>#DIV/0!</v>
      </c>
      <c r="AD548" s="276" t="e">
        <f t="shared" si="487"/>
        <v>#DIV/0!</v>
      </c>
      <c r="AE548" s="686" t="e">
        <f t="shared" si="488"/>
        <v>#DIV/0!</v>
      </c>
      <c r="AF548" s="239"/>
      <c r="AG548" s="965" t="e">
        <f t="shared" si="459"/>
        <v>#VALUE!</v>
      </c>
      <c r="AH548" s="878" t="e">
        <f t="shared" si="460"/>
        <v>#VALUE!</v>
      </c>
      <c r="AI548" s="878" t="e">
        <f t="shared" si="461"/>
        <v>#VALUE!</v>
      </c>
      <c r="AJ548" s="878" t="e">
        <f t="shared" si="462"/>
        <v>#VALUE!</v>
      </c>
      <c r="AK548" s="878" t="e">
        <f t="shared" si="463"/>
        <v>#VALUE!</v>
      </c>
      <c r="AL548" s="966" t="e">
        <f t="shared" si="464"/>
        <v>#VALUE!</v>
      </c>
      <c r="AM548" s="239"/>
      <c r="AO548" s="685">
        <f t="shared" si="489"/>
        <v>-1.660312794776472</v>
      </c>
      <c r="AP548" s="276">
        <f t="shared" si="490"/>
        <v>-2.8434577755902835</v>
      </c>
      <c r="AQ548" s="276">
        <f t="shared" si="491"/>
        <v>-0.84914320988107517</v>
      </c>
      <c r="AR548" s="276">
        <f t="shared" si="492"/>
        <v>4.0980215297724465</v>
      </c>
      <c r="AS548" s="276">
        <f t="shared" si="493"/>
        <v>-1.9042455327694492</v>
      </c>
      <c r="AT548" s="276">
        <f t="shared" si="494"/>
        <v>-0.13430373278405694</v>
      </c>
      <c r="AU548" s="685">
        <f t="shared" si="495"/>
        <v>1.3710530904770935</v>
      </c>
      <c r="AV548" s="276">
        <f t="shared" si="496"/>
        <v>1.239813867455571</v>
      </c>
      <c r="AW548" s="276">
        <f t="shared" si="497"/>
        <v>1.5422984532911224</v>
      </c>
      <c r="AX548" s="276">
        <f t="shared" si="498"/>
        <v>2.0034771194894789</v>
      </c>
      <c r="AY548" s="276">
        <f t="shared" si="499"/>
        <v>0.73568508947421374</v>
      </c>
      <c r="AZ548" s="686">
        <f t="shared" si="500"/>
        <v>1.3654295937451548</v>
      </c>
      <c r="BA548" s="685">
        <f t="shared" si="501"/>
        <v>0</v>
      </c>
      <c r="BB548" s="276">
        <f t="shared" si="502"/>
        <v>0</v>
      </c>
      <c r="BC548" s="276">
        <f t="shared" si="503"/>
        <v>0</v>
      </c>
      <c r="BD548" s="276">
        <f t="shared" si="504"/>
        <v>0</v>
      </c>
      <c r="BE548" s="276">
        <f t="shared" si="505"/>
        <v>0</v>
      </c>
      <c r="BF548" s="686">
        <f t="shared" si="506"/>
        <v>0</v>
      </c>
      <c r="BG548" s="685" t="e">
        <f t="shared" si="507"/>
        <v>#DIV/0!</v>
      </c>
      <c r="BH548" s="276" t="e">
        <f t="shared" si="508"/>
        <v>#DIV/0!</v>
      </c>
      <c r="BI548" s="276" t="e">
        <f t="shared" si="509"/>
        <v>#DIV/0!</v>
      </c>
      <c r="BJ548" s="276" t="e">
        <f t="shared" si="510"/>
        <v>#DIV/0!</v>
      </c>
      <c r="BK548" s="276" t="e">
        <f t="shared" si="511"/>
        <v>#DIV/0!</v>
      </c>
      <c r="BL548" s="686" t="e">
        <f t="shared" si="512"/>
        <v>#DIV/0!</v>
      </c>
      <c r="BM548" s="239"/>
      <c r="BN548" s="965" t="e">
        <f t="shared" si="513"/>
        <v>#VALUE!</v>
      </c>
      <c r="BO548" s="878" t="e">
        <f t="shared" si="514"/>
        <v>#VALUE!</v>
      </c>
      <c r="BP548" s="878" t="e">
        <f t="shared" si="515"/>
        <v>#VALUE!</v>
      </c>
      <c r="BQ548" s="878" t="e">
        <f t="shared" si="516"/>
        <v>#VALUE!</v>
      </c>
      <c r="BR548" s="878" t="e">
        <f t="shared" si="517"/>
        <v>#VALUE!</v>
      </c>
      <c r="BS548" s="966" t="e">
        <f t="shared" si="518"/>
        <v>#VALUE!</v>
      </c>
    </row>
    <row r="549" spans="1:71">
      <c r="A549" s="284">
        <f t="shared" si="519"/>
        <v>481</v>
      </c>
      <c r="B549" s="285">
        <v>0.37750052088895447</v>
      </c>
      <c r="C549" s="285">
        <v>3.3649938754079867</v>
      </c>
      <c r="D549" s="285">
        <v>1.3318272162577802</v>
      </c>
      <c r="E549" s="285">
        <v>22.216593091690264</v>
      </c>
      <c r="H549" s="685">
        <f t="shared" si="465"/>
        <v>-0.75573332088010037</v>
      </c>
      <c r="I549" s="276">
        <f t="shared" si="466"/>
        <v>-0.1313740434359989</v>
      </c>
      <c r="J549" s="276">
        <f t="shared" si="467"/>
        <v>-2.7460386251577908</v>
      </c>
      <c r="K549" s="276">
        <f t="shared" si="468"/>
        <v>2.4528504612090298</v>
      </c>
      <c r="L549" s="276">
        <f t="shared" si="469"/>
        <v>-2.4985815865944012</v>
      </c>
      <c r="M549" s="276">
        <f t="shared" si="470"/>
        <v>-4.948110295546253</v>
      </c>
      <c r="N549" s="685">
        <f t="shared" si="471"/>
        <v>2.157822664436118</v>
      </c>
      <c r="O549" s="276">
        <f t="shared" si="472"/>
        <v>1.8839494808664761</v>
      </c>
      <c r="P549" s="276">
        <f t="shared" si="473"/>
        <v>0.58107921413625041</v>
      </c>
      <c r="Q549" s="276">
        <f t="shared" si="474"/>
        <v>2.5936426800486814</v>
      </c>
      <c r="R549" s="276">
        <f t="shared" si="475"/>
        <v>1.1038387466702793</v>
      </c>
      <c r="S549" s="686">
        <f t="shared" si="476"/>
        <v>1.1373068420044306</v>
      </c>
      <c r="T549" s="685">
        <f t="shared" si="477"/>
        <v>4.6101909065287057</v>
      </c>
      <c r="U549" s="276">
        <f t="shared" si="478"/>
        <v>4.4314517045730373</v>
      </c>
      <c r="V549" s="276">
        <f t="shared" si="479"/>
        <v>6.6421125934600527</v>
      </c>
      <c r="W549" s="276">
        <f t="shared" si="480"/>
        <v>4.1203148018300695</v>
      </c>
      <c r="X549" s="276">
        <f t="shared" si="481"/>
        <v>4.2821552985658</v>
      </c>
      <c r="Y549" s="686">
        <f t="shared" si="482"/>
        <v>3.4834340784881186</v>
      </c>
      <c r="Z549" s="685" t="e">
        <f t="shared" si="483"/>
        <v>#DIV/0!</v>
      </c>
      <c r="AA549" s="276" t="e">
        <f t="shared" si="484"/>
        <v>#DIV/0!</v>
      </c>
      <c r="AB549" s="276" t="e">
        <f t="shared" si="485"/>
        <v>#DIV/0!</v>
      </c>
      <c r="AC549" s="276" t="e">
        <f t="shared" si="486"/>
        <v>#DIV/0!</v>
      </c>
      <c r="AD549" s="276" t="e">
        <f t="shared" si="487"/>
        <v>#DIV/0!</v>
      </c>
      <c r="AE549" s="686" t="e">
        <f t="shared" si="488"/>
        <v>#DIV/0!</v>
      </c>
      <c r="AF549" s="239"/>
      <c r="AG549" s="965" t="e">
        <f t="shared" si="459"/>
        <v>#VALUE!</v>
      </c>
      <c r="AH549" s="878" t="e">
        <f t="shared" si="460"/>
        <v>#VALUE!</v>
      </c>
      <c r="AI549" s="878" t="e">
        <f t="shared" si="461"/>
        <v>#VALUE!</v>
      </c>
      <c r="AJ549" s="878" t="e">
        <f t="shared" si="462"/>
        <v>#VALUE!</v>
      </c>
      <c r="AK549" s="878" t="e">
        <f t="shared" si="463"/>
        <v>#VALUE!</v>
      </c>
      <c r="AL549" s="966" t="e">
        <f t="shared" si="464"/>
        <v>#VALUE!</v>
      </c>
      <c r="AM549" s="239"/>
      <c r="AO549" s="685">
        <f t="shared" si="489"/>
        <v>-0.75573332088010037</v>
      </c>
      <c r="AP549" s="276">
        <f t="shared" si="490"/>
        <v>-0.1313740434359989</v>
      </c>
      <c r="AQ549" s="276">
        <f t="shared" si="491"/>
        <v>-2.7460386251577908</v>
      </c>
      <c r="AR549" s="276">
        <f t="shared" si="492"/>
        <v>2.4528504612090298</v>
      </c>
      <c r="AS549" s="276">
        <f t="shared" si="493"/>
        <v>-2.4985815865944012</v>
      </c>
      <c r="AT549" s="276">
        <f t="shared" si="494"/>
        <v>-4.948110295546253</v>
      </c>
      <c r="AU549" s="685">
        <f t="shared" si="495"/>
        <v>2.157822664436118</v>
      </c>
      <c r="AV549" s="276">
        <f t="shared" si="496"/>
        <v>1.8839494808664761</v>
      </c>
      <c r="AW549" s="276">
        <f t="shared" si="497"/>
        <v>0.58107921413625041</v>
      </c>
      <c r="AX549" s="276">
        <f t="shared" si="498"/>
        <v>2.5936426800486814</v>
      </c>
      <c r="AY549" s="276">
        <f t="shared" si="499"/>
        <v>1.1038387466702793</v>
      </c>
      <c r="AZ549" s="686">
        <f t="shared" si="500"/>
        <v>1.1373068420044306</v>
      </c>
      <c r="BA549" s="685">
        <f t="shared" si="501"/>
        <v>0</v>
      </c>
      <c r="BB549" s="276">
        <f t="shared" si="502"/>
        <v>0</v>
      </c>
      <c r="BC549" s="276">
        <f t="shared" si="503"/>
        <v>0</v>
      </c>
      <c r="BD549" s="276">
        <f t="shared" si="504"/>
        <v>0</v>
      </c>
      <c r="BE549" s="276">
        <f t="shared" si="505"/>
        <v>0</v>
      </c>
      <c r="BF549" s="686">
        <f t="shared" si="506"/>
        <v>0</v>
      </c>
      <c r="BG549" s="685" t="e">
        <f t="shared" si="507"/>
        <v>#DIV/0!</v>
      </c>
      <c r="BH549" s="276" t="e">
        <f t="shared" si="508"/>
        <v>#DIV/0!</v>
      </c>
      <c r="BI549" s="276" t="e">
        <f t="shared" si="509"/>
        <v>#DIV/0!</v>
      </c>
      <c r="BJ549" s="276" t="e">
        <f t="shared" si="510"/>
        <v>#DIV/0!</v>
      </c>
      <c r="BK549" s="276" t="e">
        <f t="shared" si="511"/>
        <v>#DIV/0!</v>
      </c>
      <c r="BL549" s="686" t="e">
        <f t="shared" si="512"/>
        <v>#DIV/0!</v>
      </c>
      <c r="BM549" s="239"/>
      <c r="BN549" s="965" t="e">
        <f t="shared" si="513"/>
        <v>#VALUE!</v>
      </c>
      <c r="BO549" s="878" t="e">
        <f t="shared" si="514"/>
        <v>#VALUE!</v>
      </c>
      <c r="BP549" s="878" t="e">
        <f t="shared" si="515"/>
        <v>#VALUE!</v>
      </c>
      <c r="BQ549" s="878" t="e">
        <f t="shared" si="516"/>
        <v>#VALUE!</v>
      </c>
      <c r="BR549" s="878" t="e">
        <f t="shared" si="517"/>
        <v>#VALUE!</v>
      </c>
      <c r="BS549" s="966" t="e">
        <f t="shared" si="518"/>
        <v>#VALUE!</v>
      </c>
    </row>
    <row r="550" spans="1:71">
      <c r="A550" s="284">
        <f t="shared" si="519"/>
        <v>482</v>
      </c>
      <c r="B550" s="285">
        <v>0.54323862136558554</v>
      </c>
      <c r="C550" s="285">
        <v>3.2862169881466778</v>
      </c>
      <c r="D550" s="285">
        <v>-1.1064308236732421</v>
      </c>
      <c r="E550" s="285">
        <v>-0.45077525668449381</v>
      </c>
      <c r="H550" s="685">
        <f t="shared" si="465"/>
        <v>-0.5899952204034693</v>
      </c>
      <c r="I550" s="276">
        <f t="shared" si="466"/>
        <v>-4.911567754072534</v>
      </c>
      <c r="J550" s="276">
        <f t="shared" si="467"/>
        <v>-1.7785696910573545</v>
      </c>
      <c r="K550" s="276">
        <f t="shared" si="468"/>
        <v>-3.8671511240743071</v>
      </c>
      <c r="L550" s="276">
        <f t="shared" si="469"/>
        <v>-0.62551265090347197</v>
      </c>
      <c r="M550" s="276">
        <f t="shared" si="470"/>
        <v>-1.3328487303989986</v>
      </c>
      <c r="N550" s="685">
        <f t="shared" si="471"/>
        <v>2.0790457771748097</v>
      </c>
      <c r="O550" s="276">
        <f t="shared" si="472"/>
        <v>-0.17214384833524998</v>
      </c>
      <c r="P550" s="276">
        <f t="shared" si="473"/>
        <v>1.2804184001402332</v>
      </c>
      <c r="Q550" s="276">
        <f t="shared" si="474"/>
        <v>1.3423675106177575</v>
      </c>
      <c r="R550" s="276">
        <f t="shared" si="475"/>
        <v>1.399105250145414</v>
      </c>
      <c r="S550" s="686">
        <f t="shared" si="476"/>
        <v>2.3607712105158649</v>
      </c>
      <c r="T550" s="685">
        <f t="shared" si="477"/>
        <v>2.1719328665976838</v>
      </c>
      <c r="U550" s="276">
        <f t="shared" si="478"/>
        <v>4.8386516692889012</v>
      </c>
      <c r="V550" s="276">
        <f t="shared" si="479"/>
        <v>2.2618316552891335</v>
      </c>
      <c r="W550" s="276">
        <f t="shared" si="480"/>
        <v>3.107428076286654</v>
      </c>
      <c r="X550" s="276">
        <f t="shared" si="481"/>
        <v>4.4251831568335902</v>
      </c>
      <c r="Y550" s="686">
        <f t="shared" si="482"/>
        <v>3.5864001477964798</v>
      </c>
      <c r="Z550" s="685" t="e">
        <f t="shared" si="483"/>
        <v>#DIV/0!</v>
      </c>
      <c r="AA550" s="276" t="e">
        <f t="shared" si="484"/>
        <v>#DIV/0!</v>
      </c>
      <c r="AB550" s="276" t="e">
        <f t="shared" si="485"/>
        <v>#DIV/0!</v>
      </c>
      <c r="AC550" s="276" t="e">
        <f t="shared" si="486"/>
        <v>#DIV/0!</v>
      </c>
      <c r="AD550" s="276" t="e">
        <f t="shared" si="487"/>
        <v>#DIV/0!</v>
      </c>
      <c r="AE550" s="686" t="e">
        <f t="shared" si="488"/>
        <v>#DIV/0!</v>
      </c>
      <c r="AF550" s="239"/>
      <c r="AG550" s="965" t="e">
        <f t="shared" si="459"/>
        <v>#VALUE!</v>
      </c>
      <c r="AH550" s="878" t="e">
        <f t="shared" si="460"/>
        <v>#VALUE!</v>
      </c>
      <c r="AI550" s="878" t="e">
        <f t="shared" si="461"/>
        <v>#VALUE!</v>
      </c>
      <c r="AJ550" s="878" t="e">
        <f t="shared" si="462"/>
        <v>#VALUE!</v>
      </c>
      <c r="AK550" s="878" t="e">
        <f t="shared" si="463"/>
        <v>#VALUE!</v>
      </c>
      <c r="AL550" s="966" t="e">
        <f t="shared" si="464"/>
        <v>#VALUE!</v>
      </c>
      <c r="AM550" s="239"/>
      <c r="AO550" s="685">
        <f t="shared" si="489"/>
        <v>-0.5899952204034693</v>
      </c>
      <c r="AP550" s="276">
        <f t="shared" si="490"/>
        <v>-4.911567754072534</v>
      </c>
      <c r="AQ550" s="276">
        <f t="shared" si="491"/>
        <v>-1.7785696910573545</v>
      </c>
      <c r="AR550" s="276">
        <f t="shared" si="492"/>
        <v>-3.8671511240743071</v>
      </c>
      <c r="AS550" s="276">
        <f t="shared" si="493"/>
        <v>-0.62551265090347197</v>
      </c>
      <c r="AT550" s="276">
        <f t="shared" si="494"/>
        <v>-1.3328487303989986</v>
      </c>
      <c r="AU550" s="685">
        <f t="shared" si="495"/>
        <v>2.0790457771748097</v>
      </c>
      <c r="AV550" s="276">
        <f t="shared" si="496"/>
        <v>-0.17214384833524998</v>
      </c>
      <c r="AW550" s="276">
        <f t="shared" si="497"/>
        <v>1.2804184001402332</v>
      </c>
      <c r="AX550" s="276">
        <f t="shared" si="498"/>
        <v>1.3423675106177575</v>
      </c>
      <c r="AY550" s="276">
        <f t="shared" si="499"/>
        <v>1.399105250145414</v>
      </c>
      <c r="AZ550" s="686">
        <f t="shared" si="500"/>
        <v>2.3607712105158649</v>
      </c>
      <c r="BA550" s="685">
        <f t="shared" si="501"/>
        <v>0</v>
      </c>
      <c r="BB550" s="276">
        <f t="shared" si="502"/>
        <v>0</v>
      </c>
      <c r="BC550" s="276">
        <f t="shared" si="503"/>
        <v>0</v>
      </c>
      <c r="BD550" s="276">
        <f t="shared" si="504"/>
        <v>0</v>
      </c>
      <c r="BE550" s="276">
        <f t="shared" si="505"/>
        <v>0</v>
      </c>
      <c r="BF550" s="686">
        <f t="shared" si="506"/>
        <v>0</v>
      </c>
      <c r="BG550" s="685" t="e">
        <f t="shared" si="507"/>
        <v>#DIV/0!</v>
      </c>
      <c r="BH550" s="276" t="e">
        <f t="shared" si="508"/>
        <v>#DIV/0!</v>
      </c>
      <c r="BI550" s="276" t="e">
        <f t="shared" si="509"/>
        <v>#DIV/0!</v>
      </c>
      <c r="BJ550" s="276" t="e">
        <f t="shared" si="510"/>
        <v>#DIV/0!</v>
      </c>
      <c r="BK550" s="276" t="e">
        <f t="shared" si="511"/>
        <v>#DIV/0!</v>
      </c>
      <c r="BL550" s="686" t="e">
        <f t="shared" si="512"/>
        <v>#DIV/0!</v>
      </c>
      <c r="BM550" s="239"/>
      <c r="BN550" s="965" t="e">
        <f t="shared" si="513"/>
        <v>#VALUE!</v>
      </c>
      <c r="BO550" s="878" t="e">
        <f t="shared" si="514"/>
        <v>#VALUE!</v>
      </c>
      <c r="BP550" s="878" t="e">
        <f t="shared" si="515"/>
        <v>#VALUE!</v>
      </c>
      <c r="BQ550" s="878" t="e">
        <f t="shared" si="516"/>
        <v>#VALUE!</v>
      </c>
      <c r="BR550" s="878" t="e">
        <f t="shared" si="517"/>
        <v>#VALUE!</v>
      </c>
      <c r="BS550" s="966" t="e">
        <f t="shared" si="518"/>
        <v>#VALUE!</v>
      </c>
    </row>
    <row r="551" spans="1:71">
      <c r="A551" s="284">
        <f t="shared" si="519"/>
        <v>483</v>
      </c>
      <c r="B551" s="285">
        <v>0.67099111941571921</v>
      </c>
      <c r="C551" s="285">
        <v>2.9863051750109042</v>
      </c>
      <c r="D551" s="285">
        <v>-0.8400910497320262</v>
      </c>
      <c r="E551" s="285">
        <v>4.6706870986832083</v>
      </c>
      <c r="H551" s="685">
        <f t="shared" si="465"/>
        <v>-0.46224272235333563</v>
      </c>
      <c r="I551" s="276">
        <f t="shared" si="466"/>
        <v>-1.4164510241333972</v>
      </c>
      <c r="J551" s="276">
        <f t="shared" si="467"/>
        <v>-0.8484649861326905</v>
      </c>
      <c r="K551" s="276">
        <f t="shared" si="468"/>
        <v>-1.6209574902609174</v>
      </c>
      <c r="L551" s="276">
        <f t="shared" si="469"/>
        <v>-3.0801740919589529</v>
      </c>
      <c r="M551" s="276">
        <f t="shared" si="470"/>
        <v>-0.33419855712713387</v>
      </c>
      <c r="N551" s="685">
        <f t="shared" si="471"/>
        <v>1.7791339640390358</v>
      </c>
      <c r="O551" s="276">
        <f t="shared" si="472"/>
        <v>1.8440319852931519</v>
      </c>
      <c r="P551" s="276">
        <f t="shared" si="473"/>
        <v>1.5554928568817592</v>
      </c>
      <c r="Q551" s="276">
        <f t="shared" si="474"/>
        <v>1.7087815024160176</v>
      </c>
      <c r="R551" s="276">
        <f t="shared" si="475"/>
        <v>1.7921322881869453</v>
      </c>
      <c r="S551" s="686">
        <f t="shared" si="476"/>
        <v>0.47268002959265654</v>
      </c>
      <c r="T551" s="685">
        <f t="shared" si="477"/>
        <v>2.4382726405388997</v>
      </c>
      <c r="U551" s="276">
        <f t="shared" si="478"/>
        <v>4.5279551792909256</v>
      </c>
      <c r="V551" s="276">
        <f t="shared" si="479"/>
        <v>2.0677317480782142</v>
      </c>
      <c r="W551" s="276">
        <f t="shared" si="480"/>
        <v>4.7015628424480793</v>
      </c>
      <c r="X551" s="276">
        <f t="shared" si="481"/>
        <v>4.3924975196698606</v>
      </c>
      <c r="Y551" s="686">
        <f t="shared" si="482"/>
        <v>7.3580991129108497</v>
      </c>
      <c r="Z551" s="685" t="e">
        <f t="shared" si="483"/>
        <v>#DIV/0!</v>
      </c>
      <c r="AA551" s="276" t="e">
        <f t="shared" si="484"/>
        <v>#DIV/0!</v>
      </c>
      <c r="AB551" s="276" t="e">
        <f t="shared" si="485"/>
        <v>#DIV/0!</v>
      </c>
      <c r="AC551" s="276" t="e">
        <f t="shared" si="486"/>
        <v>#DIV/0!</v>
      </c>
      <c r="AD551" s="276" t="e">
        <f t="shared" si="487"/>
        <v>#DIV/0!</v>
      </c>
      <c r="AE551" s="686" t="e">
        <f t="shared" si="488"/>
        <v>#DIV/0!</v>
      </c>
      <c r="AF551" s="239"/>
      <c r="AG551" s="965" t="e">
        <f t="shared" si="459"/>
        <v>#VALUE!</v>
      </c>
      <c r="AH551" s="878" t="e">
        <f t="shared" si="460"/>
        <v>#VALUE!</v>
      </c>
      <c r="AI551" s="878" t="e">
        <f t="shared" si="461"/>
        <v>#VALUE!</v>
      </c>
      <c r="AJ551" s="878" t="e">
        <f t="shared" si="462"/>
        <v>#VALUE!</v>
      </c>
      <c r="AK551" s="878" t="e">
        <f t="shared" si="463"/>
        <v>#VALUE!</v>
      </c>
      <c r="AL551" s="966" t="e">
        <f t="shared" si="464"/>
        <v>#VALUE!</v>
      </c>
      <c r="AM551" s="239"/>
      <c r="AO551" s="685">
        <f t="shared" si="489"/>
        <v>-0.46224272235333563</v>
      </c>
      <c r="AP551" s="276">
        <f t="shared" si="490"/>
        <v>-1.4164510241333972</v>
      </c>
      <c r="AQ551" s="276">
        <f t="shared" si="491"/>
        <v>-0.8484649861326905</v>
      </c>
      <c r="AR551" s="276">
        <f t="shared" si="492"/>
        <v>-1.6209574902609174</v>
      </c>
      <c r="AS551" s="276">
        <f t="shared" si="493"/>
        <v>-3.0801740919589529</v>
      </c>
      <c r="AT551" s="276">
        <f t="shared" si="494"/>
        <v>-0.33419855712713387</v>
      </c>
      <c r="AU551" s="685">
        <f t="shared" si="495"/>
        <v>1.7791339640390358</v>
      </c>
      <c r="AV551" s="276">
        <f t="shared" si="496"/>
        <v>1.8440319852931519</v>
      </c>
      <c r="AW551" s="276">
        <f t="shared" si="497"/>
        <v>1.5554928568817592</v>
      </c>
      <c r="AX551" s="276">
        <f t="shared" si="498"/>
        <v>1.7087815024160176</v>
      </c>
      <c r="AY551" s="276">
        <f t="shared" si="499"/>
        <v>1.7921322881869453</v>
      </c>
      <c r="AZ551" s="686">
        <f t="shared" si="500"/>
        <v>0.47268002959265654</v>
      </c>
      <c r="BA551" s="685">
        <f t="shared" si="501"/>
        <v>0</v>
      </c>
      <c r="BB551" s="276">
        <f t="shared" si="502"/>
        <v>0</v>
      </c>
      <c r="BC551" s="276">
        <f t="shared" si="503"/>
        <v>0</v>
      </c>
      <c r="BD551" s="276">
        <f t="shared" si="504"/>
        <v>0</v>
      </c>
      <c r="BE551" s="276">
        <f t="shared" si="505"/>
        <v>0</v>
      </c>
      <c r="BF551" s="686">
        <f t="shared" si="506"/>
        <v>0</v>
      </c>
      <c r="BG551" s="685" t="e">
        <f t="shared" si="507"/>
        <v>#DIV/0!</v>
      </c>
      <c r="BH551" s="276" t="e">
        <f t="shared" si="508"/>
        <v>#DIV/0!</v>
      </c>
      <c r="BI551" s="276" t="e">
        <f t="shared" si="509"/>
        <v>#DIV/0!</v>
      </c>
      <c r="BJ551" s="276" t="e">
        <f t="shared" si="510"/>
        <v>#DIV/0!</v>
      </c>
      <c r="BK551" s="276" t="e">
        <f t="shared" si="511"/>
        <v>#DIV/0!</v>
      </c>
      <c r="BL551" s="686" t="e">
        <f t="shared" si="512"/>
        <v>#DIV/0!</v>
      </c>
      <c r="BM551" s="239"/>
      <c r="BN551" s="965" t="e">
        <f t="shared" si="513"/>
        <v>#VALUE!</v>
      </c>
      <c r="BO551" s="878" t="e">
        <f t="shared" si="514"/>
        <v>#VALUE!</v>
      </c>
      <c r="BP551" s="878" t="e">
        <f t="shared" si="515"/>
        <v>#VALUE!</v>
      </c>
      <c r="BQ551" s="878" t="e">
        <f t="shared" si="516"/>
        <v>#VALUE!</v>
      </c>
      <c r="BR551" s="878" t="e">
        <f t="shared" si="517"/>
        <v>#VALUE!</v>
      </c>
      <c r="BS551" s="966" t="e">
        <f t="shared" si="518"/>
        <v>#VALUE!</v>
      </c>
    </row>
    <row r="552" spans="1:71">
      <c r="A552" s="284">
        <f t="shared" si="519"/>
        <v>484</v>
      </c>
      <c r="B552" s="285">
        <v>-1.4522066751035678</v>
      </c>
      <c r="C552" s="285">
        <v>2.6702254729541846</v>
      </c>
      <c r="D552" s="285">
        <v>7.678300179217068E-2</v>
      </c>
      <c r="E552" s="285">
        <v>7.084342378366193E-2</v>
      </c>
      <c r="H552" s="685">
        <f t="shared" si="465"/>
        <v>-2.5854405168726227</v>
      </c>
      <c r="I552" s="276">
        <f t="shared" si="466"/>
        <v>-5.069245548680553</v>
      </c>
      <c r="J552" s="276">
        <f t="shared" si="467"/>
        <v>1.8041423351889738</v>
      </c>
      <c r="K552" s="276">
        <f t="shared" si="468"/>
        <v>0.54306442433252244</v>
      </c>
      <c r="L552" s="276">
        <f t="shared" si="469"/>
        <v>0.85316032363317618</v>
      </c>
      <c r="M552" s="276">
        <f t="shared" si="470"/>
        <v>-1.2567484907839976</v>
      </c>
      <c r="N552" s="685">
        <f t="shared" si="471"/>
        <v>1.4630542619823161</v>
      </c>
      <c r="O552" s="276">
        <f t="shared" si="472"/>
        <v>0.95006932765064556</v>
      </c>
      <c r="P552" s="276">
        <f t="shared" si="473"/>
        <v>1.9047605936812706</v>
      </c>
      <c r="Q552" s="276">
        <f t="shared" si="474"/>
        <v>1.3487865860686783</v>
      </c>
      <c r="R552" s="276">
        <f t="shared" si="475"/>
        <v>1.0897300294459324</v>
      </c>
      <c r="S552" s="686">
        <f t="shared" si="476"/>
        <v>0.72558900344514554</v>
      </c>
      <c r="T552" s="685">
        <f t="shared" si="477"/>
        <v>3.3551466920630966</v>
      </c>
      <c r="U552" s="276">
        <f t="shared" si="478"/>
        <v>5.204220798045375</v>
      </c>
      <c r="V552" s="276">
        <f t="shared" si="479"/>
        <v>4.0234999816054939</v>
      </c>
      <c r="W552" s="276">
        <f t="shared" si="480"/>
        <v>5.3412388269603355</v>
      </c>
      <c r="X552" s="276">
        <f t="shared" si="481"/>
        <v>3.5034809040157979</v>
      </c>
      <c r="Y552" s="686">
        <f t="shared" si="482"/>
        <v>4.9674211212737598</v>
      </c>
      <c r="Z552" s="685" t="e">
        <f t="shared" si="483"/>
        <v>#DIV/0!</v>
      </c>
      <c r="AA552" s="276" t="e">
        <f t="shared" si="484"/>
        <v>#DIV/0!</v>
      </c>
      <c r="AB552" s="276" t="e">
        <f t="shared" si="485"/>
        <v>#DIV/0!</v>
      </c>
      <c r="AC552" s="276" t="e">
        <f t="shared" si="486"/>
        <v>#DIV/0!</v>
      </c>
      <c r="AD552" s="276" t="e">
        <f t="shared" si="487"/>
        <v>#DIV/0!</v>
      </c>
      <c r="AE552" s="686" t="e">
        <f t="shared" si="488"/>
        <v>#DIV/0!</v>
      </c>
      <c r="AF552" s="239"/>
      <c r="AG552" s="965" t="e">
        <f t="shared" si="459"/>
        <v>#VALUE!</v>
      </c>
      <c r="AH552" s="878" t="e">
        <f t="shared" si="460"/>
        <v>#VALUE!</v>
      </c>
      <c r="AI552" s="878" t="e">
        <f t="shared" si="461"/>
        <v>#VALUE!</v>
      </c>
      <c r="AJ552" s="878" t="e">
        <f t="shared" si="462"/>
        <v>#VALUE!</v>
      </c>
      <c r="AK552" s="878" t="e">
        <f t="shared" si="463"/>
        <v>#VALUE!</v>
      </c>
      <c r="AL552" s="966" t="e">
        <f t="shared" si="464"/>
        <v>#VALUE!</v>
      </c>
      <c r="AM552" s="239"/>
      <c r="AO552" s="685">
        <f t="shared" si="489"/>
        <v>-2.5854405168726227</v>
      </c>
      <c r="AP552" s="276">
        <f t="shared" si="490"/>
        <v>-5.069245548680553</v>
      </c>
      <c r="AQ552" s="276">
        <f t="shared" si="491"/>
        <v>1.8041423351889738</v>
      </c>
      <c r="AR552" s="276">
        <f t="shared" si="492"/>
        <v>0.54306442433252244</v>
      </c>
      <c r="AS552" s="276">
        <f t="shared" si="493"/>
        <v>0.85316032363317618</v>
      </c>
      <c r="AT552" s="276">
        <f t="shared" si="494"/>
        <v>-1.2567484907839976</v>
      </c>
      <c r="AU552" s="685">
        <f t="shared" si="495"/>
        <v>1.4630542619823161</v>
      </c>
      <c r="AV552" s="276">
        <f t="shared" si="496"/>
        <v>0.95006932765064556</v>
      </c>
      <c r="AW552" s="276">
        <f t="shared" si="497"/>
        <v>1.9047605936812706</v>
      </c>
      <c r="AX552" s="276">
        <f t="shared" si="498"/>
        <v>1.3487865860686783</v>
      </c>
      <c r="AY552" s="276">
        <f t="shared" si="499"/>
        <v>1.0897300294459324</v>
      </c>
      <c r="AZ552" s="686">
        <f t="shared" si="500"/>
        <v>0.72558900344514554</v>
      </c>
      <c r="BA552" s="685">
        <f t="shared" si="501"/>
        <v>0</v>
      </c>
      <c r="BB552" s="276">
        <f t="shared" si="502"/>
        <v>0</v>
      </c>
      <c r="BC552" s="276">
        <f t="shared" si="503"/>
        <v>0</v>
      </c>
      <c r="BD552" s="276">
        <f t="shared" si="504"/>
        <v>0</v>
      </c>
      <c r="BE552" s="276">
        <f t="shared" si="505"/>
        <v>0</v>
      </c>
      <c r="BF552" s="686">
        <f t="shared" si="506"/>
        <v>0</v>
      </c>
      <c r="BG552" s="685" t="e">
        <f t="shared" si="507"/>
        <v>#DIV/0!</v>
      </c>
      <c r="BH552" s="276" t="e">
        <f t="shared" si="508"/>
        <v>#DIV/0!</v>
      </c>
      <c r="BI552" s="276" t="e">
        <f t="shared" si="509"/>
        <v>#DIV/0!</v>
      </c>
      <c r="BJ552" s="276" t="e">
        <f t="shared" si="510"/>
        <v>#DIV/0!</v>
      </c>
      <c r="BK552" s="276" t="e">
        <f t="shared" si="511"/>
        <v>#DIV/0!</v>
      </c>
      <c r="BL552" s="686" t="e">
        <f t="shared" si="512"/>
        <v>#DIV/0!</v>
      </c>
      <c r="BM552" s="239"/>
      <c r="BN552" s="965" t="e">
        <f t="shared" si="513"/>
        <v>#VALUE!</v>
      </c>
      <c r="BO552" s="878" t="e">
        <f t="shared" si="514"/>
        <v>#VALUE!</v>
      </c>
      <c r="BP552" s="878" t="e">
        <f t="shared" si="515"/>
        <v>#VALUE!</v>
      </c>
      <c r="BQ552" s="878" t="e">
        <f t="shared" si="516"/>
        <v>#VALUE!</v>
      </c>
      <c r="BR552" s="878" t="e">
        <f t="shared" si="517"/>
        <v>#VALUE!</v>
      </c>
      <c r="BS552" s="966" t="e">
        <f t="shared" si="518"/>
        <v>#VALUE!</v>
      </c>
    </row>
    <row r="553" spans="1:71">
      <c r="A553" s="284">
        <f t="shared" si="519"/>
        <v>485</v>
      </c>
      <c r="B553" s="285">
        <v>1.0094364502457893</v>
      </c>
      <c r="C553" s="285">
        <v>2.2845882407229237</v>
      </c>
      <c r="D553" s="285">
        <v>-4.8815514011540273E-2</v>
      </c>
      <c r="E553" s="285">
        <v>1.2039936335493331</v>
      </c>
      <c r="H553" s="685">
        <f t="shared" si="465"/>
        <v>-0.12379739152326552</v>
      </c>
      <c r="I553" s="276">
        <f t="shared" si="466"/>
        <v>-1.480470514426385</v>
      </c>
      <c r="J553" s="276">
        <f t="shared" si="467"/>
        <v>-1.8263700750211624</v>
      </c>
      <c r="K553" s="276">
        <f t="shared" si="468"/>
        <v>-0.53830605619910321</v>
      </c>
      <c r="L553" s="276">
        <f t="shared" si="469"/>
        <v>9.2250208132971911E-2</v>
      </c>
      <c r="M553" s="276">
        <f t="shared" si="470"/>
        <v>-3.633489918004968</v>
      </c>
      <c r="N553" s="685">
        <f t="shared" si="471"/>
        <v>1.0774170297510552</v>
      </c>
      <c r="O553" s="276">
        <f t="shared" si="472"/>
        <v>1.3264651600241384</v>
      </c>
      <c r="P553" s="276">
        <f t="shared" si="473"/>
        <v>1.6358846917812657</v>
      </c>
      <c r="Q553" s="276">
        <f t="shared" si="474"/>
        <v>1.2813365591982875</v>
      </c>
      <c r="R553" s="276">
        <f t="shared" si="475"/>
        <v>1.2212135813472</v>
      </c>
      <c r="S553" s="686">
        <f t="shared" si="476"/>
        <v>0.89837114601145696</v>
      </c>
      <c r="T553" s="685">
        <f t="shared" si="477"/>
        <v>3.2295481762593856</v>
      </c>
      <c r="U553" s="276">
        <f t="shared" si="478"/>
        <v>4.3184663179450808</v>
      </c>
      <c r="V553" s="276">
        <f t="shared" si="479"/>
        <v>4.1787439881916022</v>
      </c>
      <c r="W553" s="276">
        <f t="shared" si="480"/>
        <v>3.1173010273616284</v>
      </c>
      <c r="X553" s="276">
        <f t="shared" si="481"/>
        <v>4.8182528349809877</v>
      </c>
      <c r="Y553" s="686">
        <f t="shared" si="482"/>
        <v>1.9080167912249082</v>
      </c>
      <c r="Z553" s="685" t="e">
        <f t="shared" si="483"/>
        <v>#DIV/0!</v>
      </c>
      <c r="AA553" s="276" t="e">
        <f t="shared" si="484"/>
        <v>#DIV/0!</v>
      </c>
      <c r="AB553" s="276" t="e">
        <f t="shared" si="485"/>
        <v>#DIV/0!</v>
      </c>
      <c r="AC553" s="276" t="e">
        <f t="shared" si="486"/>
        <v>#DIV/0!</v>
      </c>
      <c r="AD553" s="276" t="e">
        <f t="shared" si="487"/>
        <v>#DIV/0!</v>
      </c>
      <c r="AE553" s="686" t="e">
        <f t="shared" si="488"/>
        <v>#DIV/0!</v>
      </c>
      <c r="AF553" s="239"/>
      <c r="AG553" s="965" t="e">
        <f t="shared" si="459"/>
        <v>#VALUE!</v>
      </c>
      <c r="AH553" s="878" t="e">
        <f t="shared" si="460"/>
        <v>#VALUE!</v>
      </c>
      <c r="AI553" s="878" t="e">
        <f t="shared" si="461"/>
        <v>#VALUE!</v>
      </c>
      <c r="AJ553" s="878" t="e">
        <f t="shared" si="462"/>
        <v>#VALUE!</v>
      </c>
      <c r="AK553" s="878" t="e">
        <f t="shared" si="463"/>
        <v>#VALUE!</v>
      </c>
      <c r="AL553" s="966" t="e">
        <f t="shared" si="464"/>
        <v>#VALUE!</v>
      </c>
      <c r="AM553" s="239"/>
      <c r="AO553" s="685">
        <f t="shared" si="489"/>
        <v>-0.12379739152326552</v>
      </c>
      <c r="AP553" s="276">
        <f t="shared" si="490"/>
        <v>-1.480470514426385</v>
      </c>
      <c r="AQ553" s="276">
        <f t="shared" si="491"/>
        <v>-1.8263700750211624</v>
      </c>
      <c r="AR553" s="276">
        <f t="shared" si="492"/>
        <v>-0.53830605619910321</v>
      </c>
      <c r="AS553" s="276">
        <f t="shared" si="493"/>
        <v>9.2250208132971911E-2</v>
      </c>
      <c r="AT553" s="276">
        <f t="shared" si="494"/>
        <v>-3.633489918004968</v>
      </c>
      <c r="AU553" s="685">
        <f t="shared" si="495"/>
        <v>1.0774170297510552</v>
      </c>
      <c r="AV553" s="276">
        <f t="shared" si="496"/>
        <v>1.3264651600241384</v>
      </c>
      <c r="AW553" s="276">
        <f t="shared" si="497"/>
        <v>1.6358846917812657</v>
      </c>
      <c r="AX553" s="276">
        <f t="shared" si="498"/>
        <v>1.2813365591982875</v>
      </c>
      <c r="AY553" s="276">
        <f t="shared" si="499"/>
        <v>1.2212135813472</v>
      </c>
      <c r="AZ553" s="686">
        <f t="shared" si="500"/>
        <v>0.89837114601145696</v>
      </c>
      <c r="BA553" s="685">
        <f t="shared" si="501"/>
        <v>0</v>
      </c>
      <c r="BB553" s="276">
        <f t="shared" si="502"/>
        <v>0</v>
      </c>
      <c r="BC553" s="276">
        <f t="shared" si="503"/>
        <v>0</v>
      </c>
      <c r="BD553" s="276">
        <f t="shared" si="504"/>
        <v>0</v>
      </c>
      <c r="BE553" s="276">
        <f t="shared" si="505"/>
        <v>0</v>
      </c>
      <c r="BF553" s="686">
        <f t="shared" si="506"/>
        <v>0</v>
      </c>
      <c r="BG553" s="685" t="e">
        <f t="shared" si="507"/>
        <v>#DIV/0!</v>
      </c>
      <c r="BH553" s="276" t="e">
        <f t="shared" si="508"/>
        <v>#DIV/0!</v>
      </c>
      <c r="BI553" s="276" t="e">
        <f t="shared" si="509"/>
        <v>#DIV/0!</v>
      </c>
      <c r="BJ553" s="276" t="e">
        <f t="shared" si="510"/>
        <v>#DIV/0!</v>
      </c>
      <c r="BK553" s="276" t="e">
        <f t="shared" si="511"/>
        <v>#DIV/0!</v>
      </c>
      <c r="BL553" s="686" t="e">
        <f t="shared" si="512"/>
        <v>#DIV/0!</v>
      </c>
      <c r="BM553" s="239"/>
      <c r="BN553" s="965" t="e">
        <f t="shared" si="513"/>
        <v>#VALUE!</v>
      </c>
      <c r="BO553" s="878" t="e">
        <f t="shared" si="514"/>
        <v>#VALUE!</v>
      </c>
      <c r="BP553" s="878" t="e">
        <f t="shared" si="515"/>
        <v>#VALUE!</v>
      </c>
      <c r="BQ553" s="878" t="e">
        <f t="shared" si="516"/>
        <v>#VALUE!</v>
      </c>
      <c r="BR553" s="878" t="e">
        <f t="shared" si="517"/>
        <v>#VALUE!</v>
      </c>
      <c r="BS553" s="966" t="e">
        <f t="shared" si="518"/>
        <v>#VALUE!</v>
      </c>
    </row>
    <row r="554" spans="1:71">
      <c r="A554" s="284">
        <f t="shared" si="519"/>
        <v>486</v>
      </c>
      <c r="B554" s="285">
        <v>3.3339039312580812</v>
      </c>
      <c r="C554" s="285">
        <v>2.6028269634925736</v>
      </c>
      <c r="D554" s="285">
        <v>1.2932507431006068</v>
      </c>
      <c r="E554" s="285">
        <v>-13.314466980588945</v>
      </c>
      <c r="H554" s="685">
        <f t="shared" si="465"/>
        <v>2.2006700894890265</v>
      </c>
      <c r="I554" s="276">
        <f t="shared" si="466"/>
        <v>-2.8774957600611843</v>
      </c>
      <c r="J554" s="276">
        <f t="shared" si="467"/>
        <v>2.3237572882534732</v>
      </c>
      <c r="K554" s="276">
        <f t="shared" si="468"/>
        <v>-0.56117257122797715</v>
      </c>
      <c r="L554" s="276">
        <f t="shared" si="469"/>
        <v>-1.8560644716485728</v>
      </c>
      <c r="M554" s="276">
        <f t="shared" si="470"/>
        <v>-4.5151637086991343</v>
      </c>
      <c r="N554" s="685">
        <f t="shared" si="471"/>
        <v>1.3956557525207052</v>
      </c>
      <c r="O554" s="276">
        <f t="shared" si="472"/>
        <v>1.5038311852422235</v>
      </c>
      <c r="P554" s="276">
        <f t="shared" si="473"/>
        <v>1.3251846281725028</v>
      </c>
      <c r="Q554" s="276">
        <f t="shared" si="474"/>
        <v>1.7166214653893002</v>
      </c>
      <c r="R554" s="276">
        <f t="shared" si="475"/>
        <v>1.7853663199526679</v>
      </c>
      <c r="S554" s="686">
        <f t="shared" si="476"/>
        <v>0.89528005396146626</v>
      </c>
      <c r="T554" s="685">
        <f t="shared" si="477"/>
        <v>4.5716144333715327</v>
      </c>
      <c r="U554" s="276">
        <f t="shared" si="478"/>
        <v>3.9950644136971425</v>
      </c>
      <c r="V554" s="276">
        <f t="shared" si="479"/>
        <v>2.7531473714054626</v>
      </c>
      <c r="W554" s="276">
        <f t="shared" si="480"/>
        <v>3.8663110157136091</v>
      </c>
      <c r="X554" s="276">
        <f t="shared" si="481"/>
        <v>4.5362959546740065</v>
      </c>
      <c r="Y554" s="686">
        <f t="shared" si="482"/>
        <v>5.4250467503996891</v>
      </c>
      <c r="Z554" s="685" t="e">
        <f t="shared" si="483"/>
        <v>#DIV/0!</v>
      </c>
      <c r="AA554" s="276" t="e">
        <f t="shared" si="484"/>
        <v>#DIV/0!</v>
      </c>
      <c r="AB554" s="276" t="e">
        <f t="shared" si="485"/>
        <v>#DIV/0!</v>
      </c>
      <c r="AC554" s="276" t="e">
        <f t="shared" si="486"/>
        <v>#DIV/0!</v>
      </c>
      <c r="AD554" s="276" t="e">
        <f t="shared" si="487"/>
        <v>#DIV/0!</v>
      </c>
      <c r="AE554" s="686" t="e">
        <f t="shared" si="488"/>
        <v>#DIV/0!</v>
      </c>
      <c r="AF554" s="239"/>
      <c r="AG554" s="965" t="e">
        <f t="shared" si="459"/>
        <v>#VALUE!</v>
      </c>
      <c r="AH554" s="878" t="e">
        <f t="shared" si="460"/>
        <v>#VALUE!</v>
      </c>
      <c r="AI554" s="878" t="e">
        <f t="shared" si="461"/>
        <v>#VALUE!</v>
      </c>
      <c r="AJ554" s="878" t="e">
        <f t="shared" si="462"/>
        <v>#VALUE!</v>
      </c>
      <c r="AK554" s="878" t="e">
        <f t="shared" si="463"/>
        <v>#VALUE!</v>
      </c>
      <c r="AL554" s="966" t="e">
        <f t="shared" si="464"/>
        <v>#VALUE!</v>
      </c>
      <c r="AM554" s="239"/>
      <c r="AO554" s="685">
        <f t="shared" si="489"/>
        <v>2.2006700894890265</v>
      </c>
      <c r="AP554" s="276">
        <f t="shared" si="490"/>
        <v>-2.8774957600611843</v>
      </c>
      <c r="AQ554" s="276">
        <f t="shared" si="491"/>
        <v>2.3237572882534732</v>
      </c>
      <c r="AR554" s="276">
        <f t="shared" si="492"/>
        <v>-0.56117257122797715</v>
      </c>
      <c r="AS554" s="276">
        <f t="shared" si="493"/>
        <v>-1.8560644716485728</v>
      </c>
      <c r="AT554" s="276">
        <f t="shared" si="494"/>
        <v>-4.5151637086991343</v>
      </c>
      <c r="AU554" s="685">
        <f t="shared" si="495"/>
        <v>1.3956557525207052</v>
      </c>
      <c r="AV554" s="276">
        <f t="shared" si="496"/>
        <v>1.5038311852422235</v>
      </c>
      <c r="AW554" s="276">
        <f t="shared" si="497"/>
        <v>1.3251846281725028</v>
      </c>
      <c r="AX554" s="276">
        <f t="shared" si="498"/>
        <v>1.7166214653893002</v>
      </c>
      <c r="AY554" s="276">
        <f t="shared" si="499"/>
        <v>1.7853663199526679</v>
      </c>
      <c r="AZ554" s="686">
        <f t="shared" si="500"/>
        <v>0.89528005396146626</v>
      </c>
      <c r="BA554" s="685">
        <f t="shared" si="501"/>
        <v>0</v>
      </c>
      <c r="BB554" s="276">
        <f t="shared" si="502"/>
        <v>0</v>
      </c>
      <c r="BC554" s="276">
        <f t="shared" si="503"/>
        <v>0</v>
      </c>
      <c r="BD554" s="276">
        <f t="shared" si="504"/>
        <v>0</v>
      </c>
      <c r="BE554" s="276">
        <f t="shared" si="505"/>
        <v>0</v>
      </c>
      <c r="BF554" s="686">
        <f t="shared" si="506"/>
        <v>0</v>
      </c>
      <c r="BG554" s="685" t="e">
        <f t="shared" si="507"/>
        <v>#DIV/0!</v>
      </c>
      <c r="BH554" s="276" t="e">
        <f t="shared" si="508"/>
        <v>#DIV/0!</v>
      </c>
      <c r="BI554" s="276" t="e">
        <f t="shared" si="509"/>
        <v>#DIV/0!</v>
      </c>
      <c r="BJ554" s="276" t="e">
        <f t="shared" si="510"/>
        <v>#DIV/0!</v>
      </c>
      <c r="BK554" s="276" t="e">
        <f t="shared" si="511"/>
        <v>#DIV/0!</v>
      </c>
      <c r="BL554" s="686" t="e">
        <f t="shared" si="512"/>
        <v>#DIV/0!</v>
      </c>
      <c r="BM554" s="239"/>
      <c r="BN554" s="965" t="e">
        <f t="shared" si="513"/>
        <v>#VALUE!</v>
      </c>
      <c r="BO554" s="878" t="e">
        <f t="shared" si="514"/>
        <v>#VALUE!</v>
      </c>
      <c r="BP554" s="878" t="e">
        <f t="shared" si="515"/>
        <v>#VALUE!</v>
      </c>
      <c r="BQ554" s="878" t="e">
        <f t="shared" si="516"/>
        <v>#VALUE!</v>
      </c>
      <c r="BR554" s="878" t="e">
        <f t="shared" si="517"/>
        <v>#VALUE!</v>
      </c>
      <c r="BS554" s="966" t="e">
        <f t="shared" si="518"/>
        <v>#VALUE!</v>
      </c>
    </row>
    <row r="555" spans="1:71">
      <c r="A555" s="284">
        <f t="shared" si="519"/>
        <v>487</v>
      </c>
      <c r="B555" s="285">
        <v>-0.62489010836626546</v>
      </c>
      <c r="C555" s="285">
        <v>2.8666111385666881</v>
      </c>
      <c r="D555" s="285">
        <v>0.61701353909714796</v>
      </c>
      <c r="E555" s="285">
        <v>-1.645347798933551</v>
      </c>
      <c r="H555" s="685">
        <f t="shared" si="465"/>
        <v>-1.7581239501353203</v>
      </c>
      <c r="I555" s="276">
        <f t="shared" si="466"/>
        <v>-5.5041173272624206</v>
      </c>
      <c r="J555" s="276">
        <f t="shared" si="467"/>
        <v>-4.3915466157949572</v>
      </c>
      <c r="K555" s="276">
        <f t="shared" si="468"/>
        <v>1.2448621664731052</v>
      </c>
      <c r="L555" s="276">
        <f t="shared" si="469"/>
        <v>1.6620680870538156</v>
      </c>
      <c r="M555" s="276">
        <f t="shared" si="470"/>
        <v>-0.38468780029563598</v>
      </c>
      <c r="N555" s="685">
        <f t="shared" si="471"/>
        <v>1.6594399275948197</v>
      </c>
      <c r="O555" s="276">
        <f t="shared" si="472"/>
        <v>0.97500439677002126</v>
      </c>
      <c r="P555" s="276">
        <f t="shared" si="473"/>
        <v>0.2312774910268347</v>
      </c>
      <c r="Q555" s="276">
        <f t="shared" si="474"/>
        <v>0.63191411738271719</v>
      </c>
      <c r="R555" s="276">
        <f t="shared" si="475"/>
        <v>2.2133707789784109</v>
      </c>
      <c r="S555" s="686">
        <f t="shared" si="476"/>
        <v>1.0030015322778947</v>
      </c>
      <c r="T555" s="685">
        <f t="shared" si="477"/>
        <v>3.8953772293680737</v>
      </c>
      <c r="U555" s="276">
        <f t="shared" si="478"/>
        <v>4.3064629171397009</v>
      </c>
      <c r="V555" s="276">
        <f t="shared" si="479"/>
        <v>2.4221222706085337</v>
      </c>
      <c r="W555" s="276">
        <f t="shared" si="480"/>
        <v>5.1513273968882807</v>
      </c>
      <c r="X555" s="276">
        <f t="shared" si="481"/>
        <v>2.5279130025672973</v>
      </c>
      <c r="Y555" s="686">
        <f t="shared" si="482"/>
        <v>4.381238109724614</v>
      </c>
      <c r="Z555" s="685" t="e">
        <f t="shared" si="483"/>
        <v>#DIV/0!</v>
      </c>
      <c r="AA555" s="276" t="e">
        <f t="shared" si="484"/>
        <v>#DIV/0!</v>
      </c>
      <c r="AB555" s="276" t="e">
        <f t="shared" si="485"/>
        <v>#DIV/0!</v>
      </c>
      <c r="AC555" s="276" t="e">
        <f t="shared" si="486"/>
        <v>#DIV/0!</v>
      </c>
      <c r="AD555" s="276" t="e">
        <f t="shared" si="487"/>
        <v>#DIV/0!</v>
      </c>
      <c r="AE555" s="686" t="e">
        <f t="shared" si="488"/>
        <v>#DIV/0!</v>
      </c>
      <c r="AF555" s="239"/>
      <c r="AG555" s="965" t="e">
        <f t="shared" si="459"/>
        <v>#VALUE!</v>
      </c>
      <c r="AH555" s="878" t="e">
        <f t="shared" si="460"/>
        <v>#VALUE!</v>
      </c>
      <c r="AI555" s="878" t="e">
        <f t="shared" si="461"/>
        <v>#VALUE!</v>
      </c>
      <c r="AJ555" s="878" t="e">
        <f t="shared" si="462"/>
        <v>#VALUE!</v>
      </c>
      <c r="AK555" s="878" t="e">
        <f t="shared" si="463"/>
        <v>#VALUE!</v>
      </c>
      <c r="AL555" s="966" t="e">
        <f t="shared" si="464"/>
        <v>#VALUE!</v>
      </c>
      <c r="AM555" s="239"/>
      <c r="AO555" s="685">
        <f t="shared" si="489"/>
        <v>-1.7581239501353203</v>
      </c>
      <c r="AP555" s="276">
        <f t="shared" si="490"/>
        <v>-5.5041173272624206</v>
      </c>
      <c r="AQ555" s="276">
        <f t="shared" si="491"/>
        <v>-4.3915466157949572</v>
      </c>
      <c r="AR555" s="276">
        <f t="shared" si="492"/>
        <v>1.2448621664731052</v>
      </c>
      <c r="AS555" s="276">
        <f t="shared" si="493"/>
        <v>1.6620680870538156</v>
      </c>
      <c r="AT555" s="276">
        <f t="shared" si="494"/>
        <v>-0.38468780029563598</v>
      </c>
      <c r="AU555" s="685">
        <f t="shared" si="495"/>
        <v>1.6594399275948197</v>
      </c>
      <c r="AV555" s="276">
        <f t="shared" si="496"/>
        <v>0.97500439677002126</v>
      </c>
      <c r="AW555" s="276">
        <f t="shared" si="497"/>
        <v>0.2312774910268347</v>
      </c>
      <c r="AX555" s="276">
        <f t="shared" si="498"/>
        <v>0.63191411738271719</v>
      </c>
      <c r="AY555" s="276">
        <f t="shared" si="499"/>
        <v>2.2133707789784109</v>
      </c>
      <c r="AZ555" s="686">
        <f t="shared" si="500"/>
        <v>1.0030015322778947</v>
      </c>
      <c r="BA555" s="685">
        <f t="shared" si="501"/>
        <v>0</v>
      </c>
      <c r="BB555" s="276">
        <f t="shared" si="502"/>
        <v>0</v>
      </c>
      <c r="BC555" s="276">
        <f t="shared" si="503"/>
        <v>0</v>
      </c>
      <c r="BD555" s="276">
        <f t="shared" si="504"/>
        <v>0</v>
      </c>
      <c r="BE555" s="276">
        <f t="shared" si="505"/>
        <v>0</v>
      </c>
      <c r="BF555" s="686">
        <f t="shared" si="506"/>
        <v>0</v>
      </c>
      <c r="BG555" s="685" t="e">
        <f t="shared" si="507"/>
        <v>#DIV/0!</v>
      </c>
      <c r="BH555" s="276" t="e">
        <f t="shared" si="508"/>
        <v>#DIV/0!</v>
      </c>
      <c r="BI555" s="276" t="e">
        <f t="shared" si="509"/>
        <v>#DIV/0!</v>
      </c>
      <c r="BJ555" s="276" t="e">
        <f t="shared" si="510"/>
        <v>#DIV/0!</v>
      </c>
      <c r="BK555" s="276" t="e">
        <f t="shared" si="511"/>
        <v>#DIV/0!</v>
      </c>
      <c r="BL555" s="686" t="e">
        <f t="shared" si="512"/>
        <v>#DIV/0!</v>
      </c>
      <c r="BM555" s="239"/>
      <c r="BN555" s="965" t="e">
        <f t="shared" si="513"/>
        <v>#VALUE!</v>
      </c>
      <c r="BO555" s="878" t="e">
        <f t="shared" si="514"/>
        <v>#VALUE!</v>
      </c>
      <c r="BP555" s="878" t="e">
        <f t="shared" si="515"/>
        <v>#VALUE!</v>
      </c>
      <c r="BQ555" s="878" t="e">
        <f t="shared" si="516"/>
        <v>#VALUE!</v>
      </c>
      <c r="BR555" s="878" t="e">
        <f t="shared" si="517"/>
        <v>#VALUE!</v>
      </c>
      <c r="BS555" s="966" t="e">
        <f t="shared" si="518"/>
        <v>#VALUE!</v>
      </c>
    </row>
    <row r="556" spans="1:71">
      <c r="A556" s="284">
        <f t="shared" si="519"/>
        <v>488</v>
      </c>
      <c r="B556" s="285">
        <v>0.66258147572309922</v>
      </c>
      <c r="C556" s="285">
        <v>2.5726088543687178</v>
      </c>
      <c r="D556" s="285">
        <v>2.3967875959065279</v>
      </c>
      <c r="E556" s="285">
        <v>-9.9569220212080403</v>
      </c>
      <c r="H556" s="685">
        <f t="shared" si="465"/>
        <v>-0.47065236604595562</v>
      </c>
      <c r="I556" s="276">
        <f t="shared" si="466"/>
        <v>-0.66325457736577853</v>
      </c>
      <c r="J556" s="276">
        <f t="shared" si="467"/>
        <v>1.8323531235248358</v>
      </c>
      <c r="K556" s="276">
        <f t="shared" si="468"/>
        <v>-3.0681468100742189</v>
      </c>
      <c r="L556" s="276">
        <f t="shared" si="469"/>
        <v>1.5601578297196419</v>
      </c>
      <c r="M556" s="276">
        <f t="shared" si="470"/>
        <v>-5.7553116806906948</v>
      </c>
      <c r="N556" s="685">
        <f t="shared" si="471"/>
        <v>1.3654376433968494</v>
      </c>
      <c r="O556" s="276">
        <f t="shared" si="472"/>
        <v>0.81536537067693415</v>
      </c>
      <c r="P556" s="276">
        <f t="shared" si="473"/>
        <v>1.3747779925482855</v>
      </c>
      <c r="Q556" s="276">
        <f t="shared" si="474"/>
        <v>1.4659975740406994</v>
      </c>
      <c r="R556" s="276">
        <f t="shared" si="475"/>
        <v>1.4487648346401587</v>
      </c>
      <c r="S556" s="686">
        <f t="shared" si="476"/>
        <v>0.83345086457131612</v>
      </c>
      <c r="T556" s="685">
        <f t="shared" si="477"/>
        <v>5.6751512861774538</v>
      </c>
      <c r="U556" s="276">
        <f t="shared" si="478"/>
        <v>5.541211658903177</v>
      </c>
      <c r="V556" s="276">
        <f t="shared" si="479"/>
        <v>3.7220659947252539</v>
      </c>
      <c r="W556" s="276">
        <f t="shared" si="480"/>
        <v>4.6953898077732799</v>
      </c>
      <c r="X556" s="276">
        <f t="shared" si="481"/>
        <v>5.1051272228257361</v>
      </c>
      <c r="Y556" s="686">
        <f t="shared" si="482"/>
        <v>2.9340117667854062</v>
      </c>
      <c r="Z556" s="685" t="e">
        <f t="shared" si="483"/>
        <v>#DIV/0!</v>
      </c>
      <c r="AA556" s="276" t="e">
        <f t="shared" si="484"/>
        <v>#DIV/0!</v>
      </c>
      <c r="AB556" s="276" t="e">
        <f t="shared" si="485"/>
        <v>#DIV/0!</v>
      </c>
      <c r="AC556" s="276" t="e">
        <f t="shared" si="486"/>
        <v>#DIV/0!</v>
      </c>
      <c r="AD556" s="276" t="e">
        <f t="shared" si="487"/>
        <v>#DIV/0!</v>
      </c>
      <c r="AE556" s="686" t="e">
        <f t="shared" si="488"/>
        <v>#DIV/0!</v>
      </c>
      <c r="AF556" s="239"/>
      <c r="AG556" s="965" t="e">
        <f t="shared" si="459"/>
        <v>#VALUE!</v>
      </c>
      <c r="AH556" s="878" t="e">
        <f t="shared" si="460"/>
        <v>#VALUE!</v>
      </c>
      <c r="AI556" s="878" t="e">
        <f t="shared" si="461"/>
        <v>#VALUE!</v>
      </c>
      <c r="AJ556" s="878" t="e">
        <f t="shared" si="462"/>
        <v>#VALUE!</v>
      </c>
      <c r="AK556" s="878" t="e">
        <f t="shared" si="463"/>
        <v>#VALUE!</v>
      </c>
      <c r="AL556" s="966" t="e">
        <f t="shared" si="464"/>
        <v>#VALUE!</v>
      </c>
      <c r="AM556" s="239"/>
      <c r="AO556" s="685">
        <f t="shared" si="489"/>
        <v>-0.47065236604595562</v>
      </c>
      <c r="AP556" s="276">
        <f t="shared" si="490"/>
        <v>-0.66325457736577853</v>
      </c>
      <c r="AQ556" s="276">
        <f t="shared" si="491"/>
        <v>1.8323531235248358</v>
      </c>
      <c r="AR556" s="276">
        <f t="shared" si="492"/>
        <v>-3.0681468100742189</v>
      </c>
      <c r="AS556" s="276">
        <f t="shared" si="493"/>
        <v>1.5601578297196419</v>
      </c>
      <c r="AT556" s="276">
        <f t="shared" si="494"/>
        <v>-5.7553116806906948</v>
      </c>
      <c r="AU556" s="685">
        <f t="shared" si="495"/>
        <v>1.3654376433968494</v>
      </c>
      <c r="AV556" s="276">
        <f t="shared" si="496"/>
        <v>0.81536537067693415</v>
      </c>
      <c r="AW556" s="276">
        <f t="shared" si="497"/>
        <v>1.3747779925482855</v>
      </c>
      <c r="AX556" s="276">
        <f t="shared" si="498"/>
        <v>1.4659975740406994</v>
      </c>
      <c r="AY556" s="276">
        <f t="shared" si="499"/>
        <v>1.4487648346401587</v>
      </c>
      <c r="AZ556" s="686">
        <f t="shared" si="500"/>
        <v>0.83345086457131612</v>
      </c>
      <c r="BA556" s="685">
        <f t="shared" si="501"/>
        <v>0</v>
      </c>
      <c r="BB556" s="276">
        <f t="shared" si="502"/>
        <v>0</v>
      </c>
      <c r="BC556" s="276">
        <f t="shared" si="503"/>
        <v>0</v>
      </c>
      <c r="BD556" s="276">
        <f t="shared" si="504"/>
        <v>0</v>
      </c>
      <c r="BE556" s="276">
        <f t="shared" si="505"/>
        <v>0</v>
      </c>
      <c r="BF556" s="686">
        <f t="shared" si="506"/>
        <v>0</v>
      </c>
      <c r="BG556" s="685" t="e">
        <f t="shared" si="507"/>
        <v>#DIV/0!</v>
      </c>
      <c r="BH556" s="276" t="e">
        <f t="shared" si="508"/>
        <v>#DIV/0!</v>
      </c>
      <c r="BI556" s="276" t="e">
        <f t="shared" si="509"/>
        <v>#DIV/0!</v>
      </c>
      <c r="BJ556" s="276" t="e">
        <f t="shared" si="510"/>
        <v>#DIV/0!</v>
      </c>
      <c r="BK556" s="276" t="e">
        <f t="shared" si="511"/>
        <v>#DIV/0!</v>
      </c>
      <c r="BL556" s="686" t="e">
        <f t="shared" si="512"/>
        <v>#DIV/0!</v>
      </c>
      <c r="BM556" s="239"/>
      <c r="BN556" s="965" t="e">
        <f t="shared" si="513"/>
        <v>#VALUE!</v>
      </c>
      <c r="BO556" s="878" t="e">
        <f t="shared" si="514"/>
        <v>#VALUE!</v>
      </c>
      <c r="BP556" s="878" t="e">
        <f t="shared" si="515"/>
        <v>#VALUE!</v>
      </c>
      <c r="BQ556" s="878" t="e">
        <f t="shared" si="516"/>
        <v>#VALUE!</v>
      </c>
      <c r="BR556" s="878" t="e">
        <f t="shared" si="517"/>
        <v>#VALUE!</v>
      </c>
      <c r="BS556" s="966" t="e">
        <f t="shared" si="518"/>
        <v>#VALUE!</v>
      </c>
    </row>
    <row r="557" spans="1:71">
      <c r="A557" s="284">
        <f t="shared" si="519"/>
        <v>489</v>
      </c>
      <c r="B557" s="285">
        <v>-2.923016530876307</v>
      </c>
      <c r="C557" s="285">
        <v>2.5593987665393585</v>
      </c>
      <c r="D557" s="285">
        <v>2.2640937476623444</v>
      </c>
      <c r="E557" s="285">
        <v>0.9894267121082394</v>
      </c>
      <c r="H557" s="685">
        <f t="shared" si="465"/>
        <v>-4.056250372645362</v>
      </c>
      <c r="I557" s="276">
        <f t="shared" si="466"/>
        <v>-4.0974846208213789</v>
      </c>
      <c r="J557" s="276">
        <f t="shared" si="467"/>
        <v>-1.7414208629190289</v>
      </c>
      <c r="K557" s="276">
        <f t="shared" si="468"/>
        <v>-3.8856177980477646</v>
      </c>
      <c r="L557" s="276">
        <f t="shared" si="469"/>
        <v>5.3950603642892245</v>
      </c>
      <c r="M557" s="276">
        <f t="shared" si="470"/>
        <v>0.71971742117717952</v>
      </c>
      <c r="N557" s="685">
        <f t="shared" si="471"/>
        <v>1.3522275555674901</v>
      </c>
      <c r="O557" s="276">
        <f t="shared" si="472"/>
        <v>0.5099798308910044</v>
      </c>
      <c r="P557" s="276">
        <f t="shared" si="473"/>
        <v>1.5100396530545261</v>
      </c>
      <c r="Q557" s="276">
        <f t="shared" si="474"/>
        <v>1.0656975695071111</v>
      </c>
      <c r="R557" s="276">
        <f t="shared" si="475"/>
        <v>2.0352632914401587</v>
      </c>
      <c r="S557" s="686">
        <f t="shared" si="476"/>
        <v>2.5362759547485245</v>
      </c>
      <c r="T557" s="685">
        <f t="shared" si="477"/>
        <v>5.5424574379332707</v>
      </c>
      <c r="U557" s="276">
        <f t="shared" si="478"/>
        <v>3.5211256333694028</v>
      </c>
      <c r="V557" s="276">
        <f t="shared" si="479"/>
        <v>3.5822907349684407</v>
      </c>
      <c r="W557" s="276">
        <f t="shared" si="480"/>
        <v>2.9245975101395638</v>
      </c>
      <c r="X557" s="276">
        <f t="shared" si="481"/>
        <v>4.1226663975604971</v>
      </c>
      <c r="Y557" s="686">
        <f t="shared" si="482"/>
        <v>5.6448377769216389</v>
      </c>
      <c r="Z557" s="685" t="e">
        <f t="shared" si="483"/>
        <v>#DIV/0!</v>
      </c>
      <c r="AA557" s="276" t="e">
        <f t="shared" si="484"/>
        <v>#DIV/0!</v>
      </c>
      <c r="AB557" s="276" t="e">
        <f t="shared" si="485"/>
        <v>#DIV/0!</v>
      </c>
      <c r="AC557" s="276" t="e">
        <f t="shared" si="486"/>
        <v>#DIV/0!</v>
      </c>
      <c r="AD557" s="276" t="e">
        <f t="shared" si="487"/>
        <v>#DIV/0!</v>
      </c>
      <c r="AE557" s="686" t="e">
        <f t="shared" si="488"/>
        <v>#DIV/0!</v>
      </c>
      <c r="AF557" s="239"/>
      <c r="AG557" s="965" t="e">
        <f t="shared" si="459"/>
        <v>#VALUE!</v>
      </c>
      <c r="AH557" s="878" t="e">
        <f t="shared" si="460"/>
        <v>#VALUE!</v>
      </c>
      <c r="AI557" s="878" t="e">
        <f t="shared" si="461"/>
        <v>#VALUE!</v>
      </c>
      <c r="AJ557" s="878" t="e">
        <f t="shared" si="462"/>
        <v>#VALUE!</v>
      </c>
      <c r="AK557" s="878" t="e">
        <f t="shared" si="463"/>
        <v>#VALUE!</v>
      </c>
      <c r="AL557" s="966" t="e">
        <f t="shared" si="464"/>
        <v>#VALUE!</v>
      </c>
      <c r="AM557" s="239"/>
      <c r="AO557" s="685">
        <f t="shared" si="489"/>
        <v>-4.056250372645362</v>
      </c>
      <c r="AP557" s="276">
        <f t="shared" si="490"/>
        <v>-4.0974846208213789</v>
      </c>
      <c r="AQ557" s="276">
        <f t="shared" si="491"/>
        <v>-1.7414208629190289</v>
      </c>
      <c r="AR557" s="276">
        <f t="shared" si="492"/>
        <v>-3.8856177980477646</v>
      </c>
      <c r="AS557" s="276">
        <f t="shared" si="493"/>
        <v>5.3950603642892245</v>
      </c>
      <c r="AT557" s="276">
        <f t="shared" si="494"/>
        <v>0.71971742117717952</v>
      </c>
      <c r="AU557" s="685">
        <f t="shared" si="495"/>
        <v>1.3522275555674901</v>
      </c>
      <c r="AV557" s="276">
        <f t="shared" si="496"/>
        <v>0.5099798308910044</v>
      </c>
      <c r="AW557" s="276">
        <f t="shared" si="497"/>
        <v>1.5100396530545261</v>
      </c>
      <c r="AX557" s="276">
        <f t="shared" si="498"/>
        <v>1.0656975695071111</v>
      </c>
      <c r="AY557" s="276">
        <f t="shared" si="499"/>
        <v>2.0352632914401587</v>
      </c>
      <c r="AZ557" s="686">
        <f t="shared" si="500"/>
        <v>2.5362759547485245</v>
      </c>
      <c r="BA557" s="685">
        <f t="shared" si="501"/>
        <v>0</v>
      </c>
      <c r="BB557" s="276">
        <f t="shared" si="502"/>
        <v>0</v>
      </c>
      <c r="BC557" s="276">
        <f t="shared" si="503"/>
        <v>0</v>
      </c>
      <c r="BD557" s="276">
        <f t="shared" si="504"/>
        <v>0</v>
      </c>
      <c r="BE557" s="276">
        <f t="shared" si="505"/>
        <v>0</v>
      </c>
      <c r="BF557" s="686">
        <f t="shared" si="506"/>
        <v>0</v>
      </c>
      <c r="BG557" s="685" t="e">
        <f t="shared" si="507"/>
        <v>#DIV/0!</v>
      </c>
      <c r="BH557" s="276" t="e">
        <f t="shared" si="508"/>
        <v>#DIV/0!</v>
      </c>
      <c r="BI557" s="276" t="e">
        <f t="shared" si="509"/>
        <v>#DIV/0!</v>
      </c>
      <c r="BJ557" s="276" t="e">
        <f t="shared" si="510"/>
        <v>#DIV/0!</v>
      </c>
      <c r="BK557" s="276" t="e">
        <f t="shared" si="511"/>
        <v>#DIV/0!</v>
      </c>
      <c r="BL557" s="686" t="e">
        <f t="shared" si="512"/>
        <v>#DIV/0!</v>
      </c>
      <c r="BM557" s="239"/>
      <c r="BN557" s="965" t="e">
        <f t="shared" si="513"/>
        <v>#VALUE!</v>
      </c>
      <c r="BO557" s="878" t="e">
        <f t="shared" si="514"/>
        <v>#VALUE!</v>
      </c>
      <c r="BP557" s="878" t="e">
        <f t="shared" si="515"/>
        <v>#VALUE!</v>
      </c>
      <c r="BQ557" s="878" t="e">
        <f t="shared" si="516"/>
        <v>#VALUE!</v>
      </c>
      <c r="BR557" s="878" t="e">
        <f t="shared" si="517"/>
        <v>#VALUE!</v>
      </c>
      <c r="BS557" s="966" t="e">
        <f t="shared" si="518"/>
        <v>#VALUE!</v>
      </c>
    </row>
    <row r="558" spans="1:71">
      <c r="A558" s="284">
        <f t="shared" si="519"/>
        <v>490</v>
      </c>
      <c r="B558" s="285">
        <v>3.9376391291599457</v>
      </c>
      <c r="C558" s="285">
        <v>3.3335159360698197</v>
      </c>
      <c r="D558" s="285">
        <v>3.6299667052672064</v>
      </c>
      <c r="E558" s="285">
        <v>2.9219061015623731</v>
      </c>
      <c r="H558" s="685">
        <f t="shared" si="465"/>
        <v>2.8044052873908907</v>
      </c>
      <c r="I558" s="276">
        <f t="shared" si="466"/>
        <v>-1.8319771866525534</v>
      </c>
      <c r="J558" s="276">
        <f t="shared" si="467"/>
        <v>0.52879746802927929</v>
      </c>
      <c r="K558" s="276">
        <f t="shared" si="468"/>
        <v>2.0265760337170207</v>
      </c>
      <c r="L558" s="276">
        <f t="shared" si="469"/>
        <v>-5.3378592003681566</v>
      </c>
      <c r="M558" s="276">
        <f t="shared" si="470"/>
        <v>-1.4053474503579739</v>
      </c>
      <c r="N558" s="685">
        <f t="shared" si="471"/>
        <v>2.126344725097951</v>
      </c>
      <c r="O558" s="276">
        <f t="shared" si="472"/>
        <v>0.93752207910168361</v>
      </c>
      <c r="P558" s="276">
        <f t="shared" si="473"/>
        <v>1.0545714679409548</v>
      </c>
      <c r="Q558" s="276">
        <f t="shared" si="474"/>
        <v>1.5296525581021199</v>
      </c>
      <c r="R558" s="276">
        <f t="shared" si="475"/>
        <v>1.3237365170760442</v>
      </c>
      <c r="S558" s="686">
        <f t="shared" si="476"/>
        <v>2.0078776596425971</v>
      </c>
      <c r="T558" s="685">
        <f t="shared" si="477"/>
        <v>6.9083303955381323</v>
      </c>
      <c r="U558" s="276">
        <f t="shared" si="478"/>
        <v>5.0371493867593404</v>
      </c>
      <c r="V558" s="276">
        <f t="shared" si="479"/>
        <v>7.4516705792861178</v>
      </c>
      <c r="W558" s="276">
        <f t="shared" si="480"/>
        <v>5.0618277518306138</v>
      </c>
      <c r="X558" s="276">
        <f t="shared" si="481"/>
        <v>2.3471939037066591</v>
      </c>
      <c r="Y558" s="686">
        <f t="shared" si="482"/>
        <v>4.8826293411358286</v>
      </c>
      <c r="Z558" s="685" t="e">
        <f t="shared" si="483"/>
        <v>#DIV/0!</v>
      </c>
      <c r="AA558" s="276" t="e">
        <f t="shared" si="484"/>
        <v>#DIV/0!</v>
      </c>
      <c r="AB558" s="276" t="e">
        <f t="shared" si="485"/>
        <v>#DIV/0!</v>
      </c>
      <c r="AC558" s="276" t="e">
        <f t="shared" si="486"/>
        <v>#DIV/0!</v>
      </c>
      <c r="AD558" s="276" t="e">
        <f t="shared" si="487"/>
        <v>#DIV/0!</v>
      </c>
      <c r="AE558" s="686" t="e">
        <f t="shared" si="488"/>
        <v>#DIV/0!</v>
      </c>
      <c r="AF558" s="239"/>
      <c r="AG558" s="965" t="e">
        <f t="shared" si="459"/>
        <v>#VALUE!</v>
      </c>
      <c r="AH558" s="878" t="e">
        <f t="shared" si="460"/>
        <v>#VALUE!</v>
      </c>
      <c r="AI558" s="878" t="e">
        <f t="shared" si="461"/>
        <v>#VALUE!</v>
      </c>
      <c r="AJ558" s="878" t="e">
        <f t="shared" si="462"/>
        <v>#VALUE!</v>
      </c>
      <c r="AK558" s="878" t="e">
        <f t="shared" si="463"/>
        <v>#VALUE!</v>
      </c>
      <c r="AL558" s="966" t="e">
        <f t="shared" si="464"/>
        <v>#VALUE!</v>
      </c>
      <c r="AM558" s="239"/>
      <c r="AO558" s="685">
        <f t="shared" si="489"/>
        <v>2.8044052873908907</v>
      </c>
      <c r="AP558" s="276">
        <f t="shared" si="490"/>
        <v>-1.8319771866525534</v>
      </c>
      <c r="AQ558" s="276">
        <f t="shared" si="491"/>
        <v>0.52879746802927929</v>
      </c>
      <c r="AR558" s="276">
        <f t="shared" si="492"/>
        <v>2.0265760337170207</v>
      </c>
      <c r="AS558" s="276">
        <f t="shared" si="493"/>
        <v>-5.3378592003681566</v>
      </c>
      <c r="AT558" s="276">
        <f t="shared" si="494"/>
        <v>-1.4053474503579739</v>
      </c>
      <c r="AU558" s="685">
        <f t="shared" si="495"/>
        <v>2.126344725097951</v>
      </c>
      <c r="AV558" s="276">
        <f t="shared" si="496"/>
        <v>0.93752207910168361</v>
      </c>
      <c r="AW558" s="276">
        <f t="shared" si="497"/>
        <v>1.0545714679409548</v>
      </c>
      <c r="AX558" s="276">
        <f t="shared" si="498"/>
        <v>1.5296525581021199</v>
      </c>
      <c r="AY558" s="276">
        <f t="shared" si="499"/>
        <v>1.3237365170760442</v>
      </c>
      <c r="AZ558" s="686">
        <f t="shared" si="500"/>
        <v>2.0078776596425971</v>
      </c>
      <c r="BA558" s="685">
        <f t="shared" si="501"/>
        <v>0</v>
      </c>
      <c r="BB558" s="276">
        <f t="shared" si="502"/>
        <v>0</v>
      </c>
      <c r="BC558" s="276">
        <f t="shared" si="503"/>
        <v>0</v>
      </c>
      <c r="BD558" s="276">
        <f t="shared" si="504"/>
        <v>0</v>
      </c>
      <c r="BE558" s="276">
        <f t="shared" si="505"/>
        <v>0</v>
      </c>
      <c r="BF558" s="686">
        <f t="shared" si="506"/>
        <v>0</v>
      </c>
      <c r="BG558" s="685" t="e">
        <f t="shared" si="507"/>
        <v>#DIV/0!</v>
      </c>
      <c r="BH558" s="276" t="e">
        <f t="shared" si="508"/>
        <v>#DIV/0!</v>
      </c>
      <c r="BI558" s="276" t="e">
        <f t="shared" si="509"/>
        <v>#DIV/0!</v>
      </c>
      <c r="BJ558" s="276" t="e">
        <f t="shared" si="510"/>
        <v>#DIV/0!</v>
      </c>
      <c r="BK558" s="276" t="e">
        <f t="shared" si="511"/>
        <v>#DIV/0!</v>
      </c>
      <c r="BL558" s="686" t="e">
        <f t="shared" si="512"/>
        <v>#DIV/0!</v>
      </c>
      <c r="BM558" s="239"/>
      <c r="BN558" s="965" t="e">
        <f t="shared" si="513"/>
        <v>#VALUE!</v>
      </c>
      <c r="BO558" s="878" t="e">
        <f t="shared" si="514"/>
        <v>#VALUE!</v>
      </c>
      <c r="BP558" s="878" t="e">
        <f t="shared" si="515"/>
        <v>#VALUE!</v>
      </c>
      <c r="BQ558" s="878" t="e">
        <f t="shared" si="516"/>
        <v>#VALUE!</v>
      </c>
      <c r="BR558" s="878" t="e">
        <f t="shared" si="517"/>
        <v>#VALUE!</v>
      </c>
      <c r="BS558" s="966" t="e">
        <f t="shared" si="518"/>
        <v>#VALUE!</v>
      </c>
    </row>
    <row r="559" spans="1:71">
      <c r="A559" s="284">
        <f t="shared" si="519"/>
        <v>491</v>
      </c>
      <c r="B559" s="285">
        <v>3.7684953065650761</v>
      </c>
      <c r="C559" s="285">
        <v>2.5592519382320811</v>
      </c>
      <c r="D559" s="285">
        <v>1.5491007650378754</v>
      </c>
      <c r="E559" s="285">
        <v>-0.90617915448653985</v>
      </c>
      <c r="H559" s="685">
        <f t="shared" si="465"/>
        <v>2.6352614647960211</v>
      </c>
      <c r="I559" s="276">
        <f t="shared" si="466"/>
        <v>-2.5874139648865682</v>
      </c>
      <c r="J559" s="276">
        <f t="shared" si="467"/>
        <v>3.7451887729624822</v>
      </c>
      <c r="K559" s="276">
        <f t="shared" si="468"/>
        <v>-0.63102011135763392</v>
      </c>
      <c r="L559" s="276">
        <f t="shared" si="469"/>
        <v>-3.4141636707032568</v>
      </c>
      <c r="M559" s="276">
        <f t="shared" si="470"/>
        <v>-3.8667055995617403</v>
      </c>
      <c r="N559" s="685">
        <f t="shared" si="471"/>
        <v>1.3520807272602127</v>
      </c>
      <c r="O559" s="276">
        <f t="shared" si="472"/>
        <v>1.5949852952966286</v>
      </c>
      <c r="P559" s="276">
        <f t="shared" si="473"/>
        <v>1.7560835731200777</v>
      </c>
      <c r="Q559" s="276">
        <f t="shared" si="474"/>
        <v>1.1964438879934935</v>
      </c>
      <c r="R559" s="276">
        <f t="shared" si="475"/>
        <v>0.65663121711260763</v>
      </c>
      <c r="S559" s="686">
        <f t="shared" si="476"/>
        <v>1.0529178417606768</v>
      </c>
      <c r="T559" s="685">
        <f t="shared" si="477"/>
        <v>4.8274644553088013</v>
      </c>
      <c r="U559" s="276">
        <f t="shared" si="478"/>
        <v>6.8088089033355734</v>
      </c>
      <c r="V559" s="276">
        <f t="shared" si="479"/>
        <v>6.9661468876621289</v>
      </c>
      <c r="W559" s="276">
        <f t="shared" si="480"/>
        <v>4.0377115981598664</v>
      </c>
      <c r="X559" s="276">
        <f t="shared" si="481"/>
        <v>6.073177688507597</v>
      </c>
      <c r="Y559" s="686">
        <f t="shared" si="482"/>
        <v>5.2055846380292454</v>
      </c>
      <c r="Z559" s="685" t="e">
        <f t="shared" si="483"/>
        <v>#DIV/0!</v>
      </c>
      <c r="AA559" s="276" t="e">
        <f t="shared" si="484"/>
        <v>#DIV/0!</v>
      </c>
      <c r="AB559" s="276" t="e">
        <f t="shared" si="485"/>
        <v>#DIV/0!</v>
      </c>
      <c r="AC559" s="276" t="e">
        <f t="shared" si="486"/>
        <v>#DIV/0!</v>
      </c>
      <c r="AD559" s="276" t="e">
        <f t="shared" si="487"/>
        <v>#DIV/0!</v>
      </c>
      <c r="AE559" s="686" t="e">
        <f t="shared" si="488"/>
        <v>#DIV/0!</v>
      </c>
      <c r="AF559" s="239"/>
      <c r="AG559" s="965" t="e">
        <f t="shared" si="459"/>
        <v>#VALUE!</v>
      </c>
      <c r="AH559" s="878" t="e">
        <f t="shared" si="460"/>
        <v>#VALUE!</v>
      </c>
      <c r="AI559" s="878" t="e">
        <f t="shared" si="461"/>
        <v>#VALUE!</v>
      </c>
      <c r="AJ559" s="878" t="e">
        <f t="shared" si="462"/>
        <v>#VALUE!</v>
      </c>
      <c r="AK559" s="878" t="e">
        <f t="shared" si="463"/>
        <v>#VALUE!</v>
      </c>
      <c r="AL559" s="966" t="e">
        <f t="shared" si="464"/>
        <v>#VALUE!</v>
      </c>
      <c r="AM559" s="239"/>
      <c r="AO559" s="685">
        <f t="shared" si="489"/>
        <v>2.6352614647960211</v>
      </c>
      <c r="AP559" s="276">
        <f t="shared" si="490"/>
        <v>-2.5874139648865682</v>
      </c>
      <c r="AQ559" s="276">
        <f t="shared" si="491"/>
        <v>3.7451887729624822</v>
      </c>
      <c r="AR559" s="276">
        <f t="shared" si="492"/>
        <v>-0.63102011135763392</v>
      </c>
      <c r="AS559" s="276">
        <f t="shared" si="493"/>
        <v>-3.4141636707032568</v>
      </c>
      <c r="AT559" s="276">
        <f t="shared" si="494"/>
        <v>-3.8667055995617403</v>
      </c>
      <c r="AU559" s="685">
        <f t="shared" si="495"/>
        <v>1.3520807272602127</v>
      </c>
      <c r="AV559" s="276">
        <f t="shared" si="496"/>
        <v>1.5949852952966286</v>
      </c>
      <c r="AW559" s="276">
        <f t="shared" si="497"/>
        <v>1.7560835731200777</v>
      </c>
      <c r="AX559" s="276">
        <f t="shared" si="498"/>
        <v>1.1964438879934935</v>
      </c>
      <c r="AY559" s="276">
        <f t="shared" si="499"/>
        <v>0.65663121711260763</v>
      </c>
      <c r="AZ559" s="686">
        <f t="shared" si="500"/>
        <v>1.0529178417606768</v>
      </c>
      <c r="BA559" s="685">
        <f t="shared" si="501"/>
        <v>0</v>
      </c>
      <c r="BB559" s="276">
        <f t="shared" si="502"/>
        <v>0</v>
      </c>
      <c r="BC559" s="276">
        <f t="shared" si="503"/>
        <v>0</v>
      </c>
      <c r="BD559" s="276">
        <f t="shared" si="504"/>
        <v>0</v>
      </c>
      <c r="BE559" s="276">
        <f t="shared" si="505"/>
        <v>0</v>
      </c>
      <c r="BF559" s="686">
        <f t="shared" si="506"/>
        <v>0</v>
      </c>
      <c r="BG559" s="685" t="e">
        <f t="shared" si="507"/>
        <v>#DIV/0!</v>
      </c>
      <c r="BH559" s="276" t="e">
        <f t="shared" si="508"/>
        <v>#DIV/0!</v>
      </c>
      <c r="BI559" s="276" t="e">
        <f t="shared" si="509"/>
        <v>#DIV/0!</v>
      </c>
      <c r="BJ559" s="276" t="e">
        <f t="shared" si="510"/>
        <v>#DIV/0!</v>
      </c>
      <c r="BK559" s="276" t="e">
        <f t="shared" si="511"/>
        <v>#DIV/0!</v>
      </c>
      <c r="BL559" s="686" t="e">
        <f t="shared" si="512"/>
        <v>#DIV/0!</v>
      </c>
      <c r="BM559" s="239"/>
      <c r="BN559" s="965" t="e">
        <f t="shared" si="513"/>
        <v>#VALUE!</v>
      </c>
      <c r="BO559" s="878" t="e">
        <f t="shared" si="514"/>
        <v>#VALUE!</v>
      </c>
      <c r="BP559" s="878" t="e">
        <f t="shared" si="515"/>
        <v>#VALUE!</v>
      </c>
      <c r="BQ559" s="878" t="e">
        <f t="shared" si="516"/>
        <v>#VALUE!</v>
      </c>
      <c r="BR559" s="878" t="e">
        <f t="shared" si="517"/>
        <v>#VALUE!</v>
      </c>
      <c r="BS559" s="966" t="e">
        <f t="shared" si="518"/>
        <v>#VALUE!</v>
      </c>
    </row>
    <row r="560" spans="1:71">
      <c r="A560" s="284">
        <f t="shared" si="519"/>
        <v>492</v>
      </c>
      <c r="B560" s="285">
        <v>2.4440827207858158</v>
      </c>
      <c r="C560" s="285">
        <v>2.9699001154072056</v>
      </c>
      <c r="D560" s="285">
        <v>2.9284992517368353</v>
      </c>
      <c r="E560" s="285">
        <v>-14.246850559027049</v>
      </c>
      <c r="H560" s="685">
        <f t="shared" si="465"/>
        <v>1.3108488790167609</v>
      </c>
      <c r="I560" s="276">
        <f t="shared" si="466"/>
        <v>-1.0254070632865071</v>
      </c>
      <c r="J560" s="276">
        <f t="shared" si="467"/>
        <v>-2.22432240226121</v>
      </c>
      <c r="K560" s="276">
        <f t="shared" si="468"/>
        <v>-5.1497449498452346</v>
      </c>
      <c r="L560" s="276">
        <f t="shared" si="469"/>
        <v>1.8413684855900299</v>
      </c>
      <c r="M560" s="276">
        <f t="shared" si="470"/>
        <v>-1.7526155553035476</v>
      </c>
      <c r="N560" s="685">
        <f t="shared" si="471"/>
        <v>1.7627289044353371</v>
      </c>
      <c r="O560" s="276">
        <f t="shared" si="472"/>
        <v>1.4802606557540707</v>
      </c>
      <c r="P560" s="276">
        <f t="shared" si="473"/>
        <v>1.5766364877176338</v>
      </c>
      <c r="Q560" s="276">
        <f t="shared" si="474"/>
        <v>0.12080723407981031</v>
      </c>
      <c r="R560" s="276">
        <f t="shared" si="475"/>
        <v>0.86232035800830453</v>
      </c>
      <c r="S560" s="686">
        <f t="shared" si="476"/>
        <v>0.61388919155679234</v>
      </c>
      <c r="T560" s="685">
        <f t="shared" si="477"/>
        <v>6.2068629420077617</v>
      </c>
      <c r="U560" s="276">
        <f t="shared" si="478"/>
        <v>4.4384363403898011</v>
      </c>
      <c r="V560" s="276">
        <f t="shared" si="479"/>
        <v>4.4378636979623671</v>
      </c>
      <c r="W560" s="276">
        <f t="shared" si="480"/>
        <v>5.4571860574327005</v>
      </c>
      <c r="X560" s="276">
        <f t="shared" si="481"/>
        <v>6.8301763068835548</v>
      </c>
      <c r="Y560" s="686">
        <f t="shared" si="482"/>
        <v>6.3555759232215827</v>
      </c>
      <c r="Z560" s="685" t="e">
        <f t="shared" si="483"/>
        <v>#DIV/0!</v>
      </c>
      <c r="AA560" s="276" t="e">
        <f t="shared" si="484"/>
        <v>#DIV/0!</v>
      </c>
      <c r="AB560" s="276" t="e">
        <f t="shared" si="485"/>
        <v>#DIV/0!</v>
      </c>
      <c r="AC560" s="276" t="e">
        <f t="shared" si="486"/>
        <v>#DIV/0!</v>
      </c>
      <c r="AD560" s="276" t="e">
        <f t="shared" si="487"/>
        <v>#DIV/0!</v>
      </c>
      <c r="AE560" s="686" t="e">
        <f t="shared" si="488"/>
        <v>#DIV/0!</v>
      </c>
      <c r="AF560" s="239"/>
      <c r="AG560" s="965" t="e">
        <f t="shared" si="459"/>
        <v>#VALUE!</v>
      </c>
      <c r="AH560" s="878" t="e">
        <f t="shared" si="460"/>
        <v>#VALUE!</v>
      </c>
      <c r="AI560" s="878" t="e">
        <f t="shared" si="461"/>
        <v>#VALUE!</v>
      </c>
      <c r="AJ560" s="878" t="e">
        <f t="shared" si="462"/>
        <v>#VALUE!</v>
      </c>
      <c r="AK560" s="878" t="e">
        <f t="shared" si="463"/>
        <v>#VALUE!</v>
      </c>
      <c r="AL560" s="966" t="e">
        <f t="shared" si="464"/>
        <v>#VALUE!</v>
      </c>
      <c r="AM560" s="239"/>
      <c r="AO560" s="685">
        <f t="shared" si="489"/>
        <v>1.3108488790167609</v>
      </c>
      <c r="AP560" s="276">
        <f t="shared" si="490"/>
        <v>-1.0254070632865071</v>
      </c>
      <c r="AQ560" s="276">
        <f t="shared" si="491"/>
        <v>-2.22432240226121</v>
      </c>
      <c r="AR560" s="276">
        <f t="shared" si="492"/>
        <v>-5.1497449498452346</v>
      </c>
      <c r="AS560" s="276">
        <f t="shared" si="493"/>
        <v>1.8413684855900299</v>
      </c>
      <c r="AT560" s="276">
        <f t="shared" si="494"/>
        <v>-1.7526155553035476</v>
      </c>
      <c r="AU560" s="685">
        <f t="shared" si="495"/>
        <v>1.7627289044353371</v>
      </c>
      <c r="AV560" s="276">
        <f t="shared" si="496"/>
        <v>1.4802606557540707</v>
      </c>
      <c r="AW560" s="276">
        <f t="shared" si="497"/>
        <v>1.5766364877176338</v>
      </c>
      <c r="AX560" s="276">
        <f t="shared" si="498"/>
        <v>0.12080723407981031</v>
      </c>
      <c r="AY560" s="276">
        <f t="shared" si="499"/>
        <v>0.86232035800830453</v>
      </c>
      <c r="AZ560" s="686">
        <f t="shared" si="500"/>
        <v>0.61388919155679234</v>
      </c>
      <c r="BA560" s="685">
        <f t="shared" si="501"/>
        <v>0</v>
      </c>
      <c r="BB560" s="276">
        <f t="shared" si="502"/>
        <v>0</v>
      </c>
      <c r="BC560" s="276">
        <f t="shared" si="503"/>
        <v>0</v>
      </c>
      <c r="BD560" s="276">
        <f t="shared" si="504"/>
        <v>0</v>
      </c>
      <c r="BE560" s="276">
        <f t="shared" si="505"/>
        <v>0</v>
      </c>
      <c r="BF560" s="686">
        <f t="shared" si="506"/>
        <v>0</v>
      </c>
      <c r="BG560" s="685" t="e">
        <f t="shared" si="507"/>
        <v>#DIV/0!</v>
      </c>
      <c r="BH560" s="276" t="e">
        <f t="shared" si="508"/>
        <v>#DIV/0!</v>
      </c>
      <c r="BI560" s="276" t="e">
        <f t="shared" si="509"/>
        <v>#DIV/0!</v>
      </c>
      <c r="BJ560" s="276" t="e">
        <f t="shared" si="510"/>
        <v>#DIV/0!</v>
      </c>
      <c r="BK560" s="276" t="e">
        <f t="shared" si="511"/>
        <v>#DIV/0!</v>
      </c>
      <c r="BL560" s="686" t="e">
        <f t="shared" si="512"/>
        <v>#DIV/0!</v>
      </c>
      <c r="BM560" s="239"/>
      <c r="BN560" s="965" t="e">
        <f t="shared" si="513"/>
        <v>#VALUE!</v>
      </c>
      <c r="BO560" s="878" t="e">
        <f t="shared" si="514"/>
        <v>#VALUE!</v>
      </c>
      <c r="BP560" s="878" t="e">
        <f t="shared" si="515"/>
        <v>#VALUE!</v>
      </c>
      <c r="BQ560" s="878" t="e">
        <f t="shared" si="516"/>
        <v>#VALUE!</v>
      </c>
      <c r="BR560" s="878" t="e">
        <f t="shared" si="517"/>
        <v>#VALUE!</v>
      </c>
      <c r="BS560" s="966" t="e">
        <f t="shared" si="518"/>
        <v>#VALUE!</v>
      </c>
    </row>
    <row r="561" spans="1:71">
      <c r="A561" s="284">
        <f t="shared" si="519"/>
        <v>493</v>
      </c>
      <c r="B561" s="285">
        <v>-2.7369190635729814</v>
      </c>
      <c r="C561" s="285">
        <v>1.9636757747678719</v>
      </c>
      <c r="D561" s="285">
        <v>1.2170372534964577</v>
      </c>
      <c r="E561" s="285">
        <v>-6.4798832606790899</v>
      </c>
      <c r="H561" s="685">
        <f t="shared" si="465"/>
        <v>-3.870152905342036</v>
      </c>
      <c r="I561" s="276">
        <f t="shared" si="466"/>
        <v>1.4314322037451161</v>
      </c>
      <c r="J561" s="276">
        <f t="shared" si="467"/>
        <v>0.19392374412065472</v>
      </c>
      <c r="K561" s="276">
        <f t="shared" si="468"/>
        <v>-3.5923201443909338</v>
      </c>
      <c r="L561" s="276">
        <f t="shared" si="469"/>
        <v>-3.8203978424135396</v>
      </c>
      <c r="M561" s="276">
        <f t="shared" si="470"/>
        <v>0.48401743083001381</v>
      </c>
      <c r="N561" s="685">
        <f t="shared" si="471"/>
        <v>0.7565045637960035</v>
      </c>
      <c r="O561" s="276">
        <f t="shared" si="472"/>
        <v>1.8058482674253653</v>
      </c>
      <c r="P561" s="276">
        <f t="shared" si="473"/>
        <v>1.9403404765296013</v>
      </c>
      <c r="Q561" s="276">
        <f t="shared" si="474"/>
        <v>1.4099962560076362</v>
      </c>
      <c r="R561" s="276">
        <f t="shared" si="475"/>
        <v>1.3035267919391085</v>
      </c>
      <c r="S561" s="686">
        <f t="shared" si="476"/>
        <v>1.9973432276587355</v>
      </c>
      <c r="T561" s="685">
        <f t="shared" si="477"/>
        <v>4.4954009437673834</v>
      </c>
      <c r="U561" s="276">
        <f t="shared" si="478"/>
        <v>3.556985760820099</v>
      </c>
      <c r="V561" s="276">
        <f t="shared" si="479"/>
        <v>4.8016113269476657</v>
      </c>
      <c r="W561" s="276">
        <f t="shared" si="480"/>
        <v>2.8156443070675281</v>
      </c>
      <c r="X561" s="276">
        <f t="shared" si="481"/>
        <v>3.9851964179983463</v>
      </c>
      <c r="Y561" s="686">
        <f t="shared" si="482"/>
        <v>4.6469641715087437</v>
      </c>
      <c r="Z561" s="685" t="e">
        <f t="shared" si="483"/>
        <v>#DIV/0!</v>
      </c>
      <c r="AA561" s="276" t="e">
        <f t="shared" si="484"/>
        <v>#DIV/0!</v>
      </c>
      <c r="AB561" s="276" t="e">
        <f t="shared" si="485"/>
        <v>#DIV/0!</v>
      </c>
      <c r="AC561" s="276" t="e">
        <f t="shared" si="486"/>
        <v>#DIV/0!</v>
      </c>
      <c r="AD561" s="276" t="e">
        <f t="shared" si="487"/>
        <v>#DIV/0!</v>
      </c>
      <c r="AE561" s="686" t="e">
        <f t="shared" si="488"/>
        <v>#DIV/0!</v>
      </c>
      <c r="AF561" s="239"/>
      <c r="AG561" s="965" t="e">
        <f t="shared" si="459"/>
        <v>#VALUE!</v>
      </c>
      <c r="AH561" s="878" t="e">
        <f t="shared" si="460"/>
        <v>#VALUE!</v>
      </c>
      <c r="AI561" s="878" t="e">
        <f t="shared" si="461"/>
        <v>#VALUE!</v>
      </c>
      <c r="AJ561" s="878" t="e">
        <f t="shared" si="462"/>
        <v>#VALUE!</v>
      </c>
      <c r="AK561" s="878" t="e">
        <f t="shared" si="463"/>
        <v>#VALUE!</v>
      </c>
      <c r="AL561" s="966" t="e">
        <f t="shared" si="464"/>
        <v>#VALUE!</v>
      </c>
      <c r="AM561" s="239"/>
      <c r="AO561" s="685">
        <f t="shared" si="489"/>
        <v>-3.870152905342036</v>
      </c>
      <c r="AP561" s="276">
        <f t="shared" si="490"/>
        <v>1.4314322037451161</v>
      </c>
      <c r="AQ561" s="276">
        <f t="shared" si="491"/>
        <v>0.19392374412065472</v>
      </c>
      <c r="AR561" s="276">
        <f t="shared" si="492"/>
        <v>-3.5923201443909338</v>
      </c>
      <c r="AS561" s="276">
        <f t="shared" si="493"/>
        <v>-3.8203978424135396</v>
      </c>
      <c r="AT561" s="276">
        <f t="shared" si="494"/>
        <v>0.48401743083001381</v>
      </c>
      <c r="AU561" s="685">
        <f t="shared" si="495"/>
        <v>0.7565045637960035</v>
      </c>
      <c r="AV561" s="276">
        <f t="shared" si="496"/>
        <v>1.8058482674253653</v>
      </c>
      <c r="AW561" s="276">
        <f t="shared" si="497"/>
        <v>1.9403404765296013</v>
      </c>
      <c r="AX561" s="276">
        <f t="shared" si="498"/>
        <v>1.4099962560076362</v>
      </c>
      <c r="AY561" s="276">
        <f t="shared" si="499"/>
        <v>1.3035267919391085</v>
      </c>
      <c r="AZ561" s="686">
        <f t="shared" si="500"/>
        <v>1.9973432276587355</v>
      </c>
      <c r="BA561" s="685">
        <f t="shared" si="501"/>
        <v>0</v>
      </c>
      <c r="BB561" s="276">
        <f t="shared" si="502"/>
        <v>0</v>
      </c>
      <c r="BC561" s="276">
        <f t="shared" si="503"/>
        <v>0</v>
      </c>
      <c r="BD561" s="276">
        <f t="shared" si="504"/>
        <v>0</v>
      </c>
      <c r="BE561" s="276">
        <f t="shared" si="505"/>
        <v>0</v>
      </c>
      <c r="BF561" s="686">
        <f t="shared" si="506"/>
        <v>0</v>
      </c>
      <c r="BG561" s="685" t="e">
        <f t="shared" si="507"/>
        <v>#DIV/0!</v>
      </c>
      <c r="BH561" s="276" t="e">
        <f t="shared" si="508"/>
        <v>#DIV/0!</v>
      </c>
      <c r="BI561" s="276" t="e">
        <f t="shared" si="509"/>
        <v>#DIV/0!</v>
      </c>
      <c r="BJ561" s="276" t="e">
        <f t="shared" si="510"/>
        <v>#DIV/0!</v>
      </c>
      <c r="BK561" s="276" t="e">
        <f t="shared" si="511"/>
        <v>#DIV/0!</v>
      </c>
      <c r="BL561" s="686" t="e">
        <f t="shared" si="512"/>
        <v>#DIV/0!</v>
      </c>
      <c r="BM561" s="239"/>
      <c r="BN561" s="965" t="e">
        <f t="shared" si="513"/>
        <v>#VALUE!</v>
      </c>
      <c r="BO561" s="878" t="e">
        <f t="shared" si="514"/>
        <v>#VALUE!</v>
      </c>
      <c r="BP561" s="878" t="e">
        <f t="shared" si="515"/>
        <v>#VALUE!</v>
      </c>
      <c r="BQ561" s="878" t="e">
        <f t="shared" si="516"/>
        <v>#VALUE!</v>
      </c>
      <c r="BR561" s="878" t="e">
        <f t="shared" si="517"/>
        <v>#VALUE!</v>
      </c>
      <c r="BS561" s="966" t="e">
        <f t="shared" si="518"/>
        <v>#VALUE!</v>
      </c>
    </row>
    <row r="562" spans="1:71">
      <c r="A562" s="284">
        <f t="shared" si="519"/>
        <v>494</v>
      </c>
      <c r="B562" s="285">
        <v>-1.7093878031079577</v>
      </c>
      <c r="C562" s="285">
        <v>2.5303776070445538</v>
      </c>
      <c r="D562" s="285">
        <v>1.7683547482080497</v>
      </c>
      <c r="E562" s="285">
        <v>-7.639886046024106</v>
      </c>
      <c r="H562" s="685">
        <f t="shared" si="465"/>
        <v>-2.8426216448770125</v>
      </c>
      <c r="I562" s="276">
        <f t="shared" si="466"/>
        <v>-0.52844376535358029</v>
      </c>
      <c r="J562" s="276">
        <f t="shared" si="467"/>
        <v>-3.4837475990292459</v>
      </c>
      <c r="K562" s="276">
        <f t="shared" si="468"/>
        <v>-1.4684710785601451</v>
      </c>
      <c r="L562" s="276">
        <f t="shared" si="469"/>
        <v>-2.9693432487377205</v>
      </c>
      <c r="M562" s="276">
        <f t="shared" si="470"/>
        <v>-2.0070068473360858</v>
      </c>
      <c r="N562" s="685">
        <f t="shared" si="471"/>
        <v>1.3232063960726854</v>
      </c>
      <c r="O562" s="276">
        <f t="shared" si="472"/>
        <v>0.822775156972537</v>
      </c>
      <c r="P562" s="276">
        <f t="shared" si="473"/>
        <v>1.8927090586448851</v>
      </c>
      <c r="Q562" s="276">
        <f t="shared" si="474"/>
        <v>1.3861802719274399</v>
      </c>
      <c r="R562" s="276">
        <f t="shared" si="475"/>
        <v>1.8360744425925419</v>
      </c>
      <c r="S562" s="686">
        <f t="shared" si="476"/>
        <v>1.9185544994376122</v>
      </c>
      <c r="T562" s="685">
        <f t="shared" si="477"/>
        <v>5.0467184384789761</v>
      </c>
      <c r="U562" s="276">
        <f t="shared" si="478"/>
        <v>7.0468438238544788</v>
      </c>
      <c r="V562" s="276">
        <f t="shared" si="479"/>
        <v>1.5502870059878453</v>
      </c>
      <c r="W562" s="276">
        <f t="shared" si="480"/>
        <v>3.5610470782129697</v>
      </c>
      <c r="X562" s="276">
        <f t="shared" si="481"/>
        <v>3.1557492637415976</v>
      </c>
      <c r="Y562" s="686">
        <f t="shared" si="482"/>
        <v>4.8971962443098915</v>
      </c>
      <c r="Z562" s="685" t="e">
        <f t="shared" si="483"/>
        <v>#DIV/0!</v>
      </c>
      <c r="AA562" s="276" t="e">
        <f t="shared" si="484"/>
        <v>#DIV/0!</v>
      </c>
      <c r="AB562" s="276" t="e">
        <f t="shared" si="485"/>
        <v>#DIV/0!</v>
      </c>
      <c r="AC562" s="276" t="e">
        <f t="shared" si="486"/>
        <v>#DIV/0!</v>
      </c>
      <c r="AD562" s="276" t="e">
        <f t="shared" si="487"/>
        <v>#DIV/0!</v>
      </c>
      <c r="AE562" s="686" t="e">
        <f t="shared" si="488"/>
        <v>#DIV/0!</v>
      </c>
      <c r="AF562" s="239"/>
      <c r="AG562" s="965" t="e">
        <f t="shared" si="459"/>
        <v>#VALUE!</v>
      </c>
      <c r="AH562" s="878" t="e">
        <f t="shared" si="460"/>
        <v>#VALUE!</v>
      </c>
      <c r="AI562" s="878" t="e">
        <f t="shared" si="461"/>
        <v>#VALUE!</v>
      </c>
      <c r="AJ562" s="878" t="e">
        <f t="shared" si="462"/>
        <v>#VALUE!</v>
      </c>
      <c r="AK562" s="878" t="e">
        <f t="shared" si="463"/>
        <v>#VALUE!</v>
      </c>
      <c r="AL562" s="966" t="e">
        <f t="shared" si="464"/>
        <v>#VALUE!</v>
      </c>
      <c r="AM562" s="239"/>
      <c r="AO562" s="685">
        <f t="shared" si="489"/>
        <v>-2.8426216448770125</v>
      </c>
      <c r="AP562" s="276">
        <f t="shared" si="490"/>
        <v>-0.52844376535358029</v>
      </c>
      <c r="AQ562" s="276">
        <f t="shared" si="491"/>
        <v>-3.4837475990292459</v>
      </c>
      <c r="AR562" s="276">
        <f t="shared" si="492"/>
        <v>-1.4684710785601451</v>
      </c>
      <c r="AS562" s="276">
        <f t="shared" si="493"/>
        <v>-2.9693432487377205</v>
      </c>
      <c r="AT562" s="276">
        <f t="shared" si="494"/>
        <v>-2.0070068473360858</v>
      </c>
      <c r="AU562" s="685">
        <f t="shared" si="495"/>
        <v>1.3232063960726854</v>
      </c>
      <c r="AV562" s="276">
        <f t="shared" si="496"/>
        <v>0.822775156972537</v>
      </c>
      <c r="AW562" s="276">
        <f t="shared" si="497"/>
        <v>1.8927090586448851</v>
      </c>
      <c r="AX562" s="276">
        <f t="shared" si="498"/>
        <v>1.3861802719274399</v>
      </c>
      <c r="AY562" s="276">
        <f t="shared" si="499"/>
        <v>1.8360744425925419</v>
      </c>
      <c r="AZ562" s="686">
        <f t="shared" si="500"/>
        <v>1.9185544994376122</v>
      </c>
      <c r="BA562" s="685">
        <f t="shared" si="501"/>
        <v>0</v>
      </c>
      <c r="BB562" s="276">
        <f t="shared" si="502"/>
        <v>0</v>
      </c>
      <c r="BC562" s="276">
        <f t="shared" si="503"/>
        <v>0</v>
      </c>
      <c r="BD562" s="276">
        <f t="shared" si="504"/>
        <v>0</v>
      </c>
      <c r="BE562" s="276">
        <f t="shared" si="505"/>
        <v>0</v>
      </c>
      <c r="BF562" s="686">
        <f t="shared" si="506"/>
        <v>0</v>
      </c>
      <c r="BG562" s="685" t="e">
        <f t="shared" si="507"/>
        <v>#DIV/0!</v>
      </c>
      <c r="BH562" s="276" t="e">
        <f t="shared" si="508"/>
        <v>#DIV/0!</v>
      </c>
      <c r="BI562" s="276" t="e">
        <f t="shared" si="509"/>
        <v>#DIV/0!</v>
      </c>
      <c r="BJ562" s="276" t="e">
        <f t="shared" si="510"/>
        <v>#DIV/0!</v>
      </c>
      <c r="BK562" s="276" t="e">
        <f t="shared" si="511"/>
        <v>#DIV/0!</v>
      </c>
      <c r="BL562" s="686" t="e">
        <f t="shared" si="512"/>
        <v>#DIV/0!</v>
      </c>
      <c r="BM562" s="239"/>
      <c r="BN562" s="965" t="e">
        <f t="shared" si="513"/>
        <v>#VALUE!</v>
      </c>
      <c r="BO562" s="878" t="e">
        <f t="shared" si="514"/>
        <v>#VALUE!</v>
      </c>
      <c r="BP562" s="878" t="e">
        <f t="shared" si="515"/>
        <v>#VALUE!</v>
      </c>
      <c r="BQ562" s="878" t="e">
        <f t="shared" si="516"/>
        <v>#VALUE!</v>
      </c>
      <c r="BR562" s="878" t="e">
        <f t="shared" si="517"/>
        <v>#VALUE!</v>
      </c>
      <c r="BS562" s="966" t="e">
        <f t="shared" si="518"/>
        <v>#VALUE!</v>
      </c>
    </row>
    <row r="563" spans="1:71">
      <c r="A563" s="284">
        <f t="shared" si="519"/>
        <v>495</v>
      </c>
      <c r="B563" s="285">
        <v>2.158976982597228</v>
      </c>
      <c r="C563" s="285">
        <v>1.9227330499696076</v>
      </c>
      <c r="D563" s="285">
        <v>2.0816691437481931</v>
      </c>
      <c r="E563" s="285">
        <v>-14.177312196163401</v>
      </c>
      <c r="H563" s="685">
        <f t="shared" si="465"/>
        <v>1.0257431408281732</v>
      </c>
      <c r="I563" s="276">
        <f t="shared" si="466"/>
        <v>-1.6882729792518343</v>
      </c>
      <c r="J563" s="276">
        <f t="shared" si="467"/>
        <v>0.81088556159814251</v>
      </c>
      <c r="K563" s="276">
        <f t="shared" si="468"/>
        <v>-1.8298238347477347</v>
      </c>
      <c r="L563" s="276">
        <f t="shared" si="469"/>
        <v>2.1381990516538476</v>
      </c>
      <c r="M563" s="276">
        <f t="shared" si="470"/>
        <v>-4.1095292711221934</v>
      </c>
      <c r="N563" s="685">
        <f t="shared" si="471"/>
        <v>0.71556183899773917</v>
      </c>
      <c r="O563" s="276">
        <f t="shared" si="472"/>
        <v>0.99335585139647731</v>
      </c>
      <c r="P563" s="276">
        <f t="shared" si="473"/>
        <v>1.3977279835060095</v>
      </c>
      <c r="Q563" s="276">
        <f t="shared" si="474"/>
        <v>0.86333348272582167</v>
      </c>
      <c r="R563" s="276">
        <f t="shared" si="475"/>
        <v>0.83592845343249933</v>
      </c>
      <c r="S563" s="686">
        <f t="shared" si="476"/>
        <v>0.95485837542547869</v>
      </c>
      <c r="T563" s="685">
        <f t="shared" si="477"/>
        <v>5.360032834019119</v>
      </c>
      <c r="U563" s="276">
        <f t="shared" si="478"/>
        <v>4.8310146597297869</v>
      </c>
      <c r="V563" s="276">
        <f t="shared" si="479"/>
        <v>4.6066395289244051</v>
      </c>
      <c r="W563" s="276">
        <f t="shared" si="480"/>
        <v>2.8152371506036005</v>
      </c>
      <c r="X563" s="276">
        <f t="shared" si="481"/>
        <v>6.383065669868353</v>
      </c>
      <c r="Y563" s="686">
        <f t="shared" si="482"/>
        <v>3.9275143872032556</v>
      </c>
      <c r="Z563" s="685" t="e">
        <f t="shared" si="483"/>
        <v>#DIV/0!</v>
      </c>
      <c r="AA563" s="276" t="e">
        <f t="shared" si="484"/>
        <v>#DIV/0!</v>
      </c>
      <c r="AB563" s="276" t="e">
        <f t="shared" si="485"/>
        <v>#DIV/0!</v>
      </c>
      <c r="AC563" s="276" t="e">
        <f t="shared" si="486"/>
        <v>#DIV/0!</v>
      </c>
      <c r="AD563" s="276" t="e">
        <f t="shared" si="487"/>
        <v>#DIV/0!</v>
      </c>
      <c r="AE563" s="686" t="e">
        <f t="shared" si="488"/>
        <v>#DIV/0!</v>
      </c>
      <c r="AF563" s="239"/>
      <c r="AG563" s="965" t="e">
        <f t="shared" si="459"/>
        <v>#VALUE!</v>
      </c>
      <c r="AH563" s="878" t="e">
        <f t="shared" si="460"/>
        <v>#VALUE!</v>
      </c>
      <c r="AI563" s="878" t="e">
        <f t="shared" si="461"/>
        <v>#VALUE!</v>
      </c>
      <c r="AJ563" s="878" t="e">
        <f t="shared" si="462"/>
        <v>#VALUE!</v>
      </c>
      <c r="AK563" s="878" t="e">
        <f t="shared" si="463"/>
        <v>#VALUE!</v>
      </c>
      <c r="AL563" s="966" t="e">
        <f t="shared" si="464"/>
        <v>#VALUE!</v>
      </c>
      <c r="AM563" s="239"/>
      <c r="AO563" s="685">
        <f t="shared" si="489"/>
        <v>1.0257431408281732</v>
      </c>
      <c r="AP563" s="276">
        <f t="shared" si="490"/>
        <v>-1.6882729792518343</v>
      </c>
      <c r="AQ563" s="276">
        <f t="shared" si="491"/>
        <v>0.81088556159814251</v>
      </c>
      <c r="AR563" s="276">
        <f t="shared" si="492"/>
        <v>-1.8298238347477347</v>
      </c>
      <c r="AS563" s="276">
        <f t="shared" si="493"/>
        <v>2.1381990516538476</v>
      </c>
      <c r="AT563" s="276">
        <f t="shared" si="494"/>
        <v>-4.1095292711221934</v>
      </c>
      <c r="AU563" s="685">
        <f t="shared" si="495"/>
        <v>0.71556183899773917</v>
      </c>
      <c r="AV563" s="276">
        <f t="shared" si="496"/>
        <v>0.99335585139647731</v>
      </c>
      <c r="AW563" s="276">
        <f t="shared" si="497"/>
        <v>1.3977279835060095</v>
      </c>
      <c r="AX563" s="276">
        <f t="shared" si="498"/>
        <v>0.86333348272582167</v>
      </c>
      <c r="AY563" s="276">
        <f t="shared" si="499"/>
        <v>0.83592845343249933</v>
      </c>
      <c r="AZ563" s="686">
        <f t="shared" si="500"/>
        <v>0.95485837542547869</v>
      </c>
      <c r="BA563" s="685">
        <f t="shared" si="501"/>
        <v>0</v>
      </c>
      <c r="BB563" s="276">
        <f t="shared" si="502"/>
        <v>0</v>
      </c>
      <c r="BC563" s="276">
        <f t="shared" si="503"/>
        <v>0</v>
      </c>
      <c r="BD563" s="276">
        <f t="shared" si="504"/>
        <v>0</v>
      </c>
      <c r="BE563" s="276">
        <f t="shared" si="505"/>
        <v>0</v>
      </c>
      <c r="BF563" s="686">
        <f t="shared" si="506"/>
        <v>0</v>
      </c>
      <c r="BG563" s="685" t="e">
        <f t="shared" si="507"/>
        <v>#DIV/0!</v>
      </c>
      <c r="BH563" s="276" t="e">
        <f t="shared" si="508"/>
        <v>#DIV/0!</v>
      </c>
      <c r="BI563" s="276" t="e">
        <f t="shared" si="509"/>
        <v>#DIV/0!</v>
      </c>
      <c r="BJ563" s="276" t="e">
        <f t="shared" si="510"/>
        <v>#DIV/0!</v>
      </c>
      <c r="BK563" s="276" t="e">
        <f t="shared" si="511"/>
        <v>#DIV/0!</v>
      </c>
      <c r="BL563" s="686" t="e">
        <f t="shared" si="512"/>
        <v>#DIV/0!</v>
      </c>
      <c r="BM563" s="239"/>
      <c r="BN563" s="965" t="e">
        <f t="shared" si="513"/>
        <v>#VALUE!</v>
      </c>
      <c r="BO563" s="878" t="e">
        <f t="shared" si="514"/>
        <v>#VALUE!</v>
      </c>
      <c r="BP563" s="878" t="e">
        <f t="shared" si="515"/>
        <v>#VALUE!</v>
      </c>
      <c r="BQ563" s="878" t="e">
        <f t="shared" si="516"/>
        <v>#VALUE!</v>
      </c>
      <c r="BR563" s="878" t="e">
        <f t="shared" si="517"/>
        <v>#VALUE!</v>
      </c>
      <c r="BS563" s="966" t="e">
        <f t="shared" si="518"/>
        <v>#VALUE!</v>
      </c>
    </row>
    <row r="564" spans="1:71">
      <c r="A564" s="284">
        <f t="shared" si="519"/>
        <v>496</v>
      </c>
      <c r="B564" s="285">
        <v>0.70064837917514822</v>
      </c>
      <c r="C564" s="285">
        <v>2.6193079219519539</v>
      </c>
      <c r="D564" s="285">
        <v>1.4234821601134382</v>
      </c>
      <c r="E564" s="285">
        <v>-10.164601302462993</v>
      </c>
      <c r="H564" s="685">
        <f t="shared" si="465"/>
        <v>-0.43258546259390662</v>
      </c>
      <c r="I564" s="276">
        <f t="shared" si="466"/>
        <v>2.8595894162837476</v>
      </c>
      <c r="J564" s="276">
        <f t="shared" si="467"/>
        <v>-1.6540278342896135</v>
      </c>
      <c r="K564" s="276">
        <f t="shared" si="468"/>
        <v>-1.9787772589554664</v>
      </c>
      <c r="L564" s="276">
        <f t="shared" si="469"/>
        <v>-1.5493681281956182</v>
      </c>
      <c r="M564" s="276">
        <f t="shared" si="470"/>
        <v>2.5020188673176236E-2</v>
      </c>
      <c r="N564" s="685">
        <f t="shared" si="471"/>
        <v>1.4121367109800855</v>
      </c>
      <c r="O564" s="276">
        <f t="shared" si="472"/>
        <v>1.4166085539848468</v>
      </c>
      <c r="P564" s="276">
        <f t="shared" si="473"/>
        <v>0.68639480418157861</v>
      </c>
      <c r="Q564" s="276">
        <f t="shared" si="474"/>
        <v>0.81166243557867257</v>
      </c>
      <c r="R564" s="276">
        <f t="shared" si="475"/>
        <v>1.1443791233781695</v>
      </c>
      <c r="S564" s="686">
        <f t="shared" si="476"/>
        <v>1.3432900046625271</v>
      </c>
      <c r="T564" s="685">
        <f t="shared" si="477"/>
        <v>4.7018458503843643</v>
      </c>
      <c r="U564" s="276">
        <f t="shared" si="478"/>
        <v>5.0515851689747588</v>
      </c>
      <c r="V564" s="276">
        <f t="shared" si="479"/>
        <v>4.523354862940387</v>
      </c>
      <c r="W564" s="276">
        <f t="shared" si="480"/>
        <v>3.5912303490168491</v>
      </c>
      <c r="X564" s="276">
        <f t="shared" si="481"/>
        <v>5.7157175012817891</v>
      </c>
      <c r="Y564" s="686">
        <f t="shared" si="482"/>
        <v>4.1988296012649018</v>
      </c>
      <c r="Z564" s="685" t="e">
        <f t="shared" si="483"/>
        <v>#DIV/0!</v>
      </c>
      <c r="AA564" s="276" t="e">
        <f t="shared" si="484"/>
        <v>#DIV/0!</v>
      </c>
      <c r="AB564" s="276" t="e">
        <f t="shared" si="485"/>
        <v>#DIV/0!</v>
      </c>
      <c r="AC564" s="276" t="e">
        <f t="shared" si="486"/>
        <v>#DIV/0!</v>
      </c>
      <c r="AD564" s="276" t="e">
        <f t="shared" si="487"/>
        <v>#DIV/0!</v>
      </c>
      <c r="AE564" s="686" t="e">
        <f t="shared" si="488"/>
        <v>#DIV/0!</v>
      </c>
      <c r="AF564" s="239"/>
      <c r="AG564" s="965" t="e">
        <f t="shared" si="459"/>
        <v>#VALUE!</v>
      </c>
      <c r="AH564" s="878" t="e">
        <f t="shared" si="460"/>
        <v>#VALUE!</v>
      </c>
      <c r="AI564" s="878" t="e">
        <f t="shared" si="461"/>
        <v>#VALUE!</v>
      </c>
      <c r="AJ564" s="878" t="e">
        <f t="shared" si="462"/>
        <v>#VALUE!</v>
      </c>
      <c r="AK564" s="878" t="e">
        <f t="shared" si="463"/>
        <v>#VALUE!</v>
      </c>
      <c r="AL564" s="966" t="e">
        <f t="shared" si="464"/>
        <v>#VALUE!</v>
      </c>
      <c r="AM564" s="239"/>
      <c r="AO564" s="685">
        <f t="shared" si="489"/>
        <v>-0.43258546259390662</v>
      </c>
      <c r="AP564" s="276">
        <f t="shared" si="490"/>
        <v>2.8595894162837476</v>
      </c>
      <c r="AQ564" s="276">
        <f t="shared" si="491"/>
        <v>-1.6540278342896135</v>
      </c>
      <c r="AR564" s="276">
        <f t="shared" si="492"/>
        <v>-1.9787772589554664</v>
      </c>
      <c r="AS564" s="276">
        <f t="shared" si="493"/>
        <v>-1.5493681281956182</v>
      </c>
      <c r="AT564" s="276">
        <f t="shared" si="494"/>
        <v>2.5020188673176236E-2</v>
      </c>
      <c r="AU564" s="685">
        <f t="shared" si="495"/>
        <v>1.4121367109800855</v>
      </c>
      <c r="AV564" s="276">
        <f t="shared" si="496"/>
        <v>1.4166085539848468</v>
      </c>
      <c r="AW564" s="276">
        <f t="shared" si="497"/>
        <v>0.68639480418157861</v>
      </c>
      <c r="AX564" s="276">
        <f t="shared" si="498"/>
        <v>0.81166243557867257</v>
      </c>
      <c r="AY564" s="276">
        <f t="shared" si="499"/>
        <v>1.1443791233781695</v>
      </c>
      <c r="AZ564" s="686">
        <f t="shared" si="500"/>
        <v>1.3432900046625271</v>
      </c>
      <c r="BA564" s="685">
        <f t="shared" si="501"/>
        <v>0</v>
      </c>
      <c r="BB564" s="276">
        <f t="shared" si="502"/>
        <v>0</v>
      </c>
      <c r="BC564" s="276">
        <f t="shared" si="503"/>
        <v>0</v>
      </c>
      <c r="BD564" s="276">
        <f t="shared" si="504"/>
        <v>0</v>
      </c>
      <c r="BE564" s="276">
        <f t="shared" si="505"/>
        <v>0</v>
      </c>
      <c r="BF564" s="686">
        <f t="shared" si="506"/>
        <v>0</v>
      </c>
      <c r="BG564" s="685" t="e">
        <f t="shared" si="507"/>
        <v>#DIV/0!</v>
      </c>
      <c r="BH564" s="276" t="e">
        <f t="shared" si="508"/>
        <v>#DIV/0!</v>
      </c>
      <c r="BI564" s="276" t="e">
        <f t="shared" si="509"/>
        <v>#DIV/0!</v>
      </c>
      <c r="BJ564" s="276" t="e">
        <f t="shared" si="510"/>
        <v>#DIV/0!</v>
      </c>
      <c r="BK564" s="276" t="e">
        <f t="shared" si="511"/>
        <v>#DIV/0!</v>
      </c>
      <c r="BL564" s="686" t="e">
        <f t="shared" si="512"/>
        <v>#DIV/0!</v>
      </c>
      <c r="BM564" s="239"/>
      <c r="BN564" s="965" t="e">
        <f t="shared" si="513"/>
        <v>#VALUE!</v>
      </c>
      <c r="BO564" s="878" t="e">
        <f t="shared" si="514"/>
        <v>#VALUE!</v>
      </c>
      <c r="BP564" s="878" t="e">
        <f t="shared" si="515"/>
        <v>#VALUE!</v>
      </c>
      <c r="BQ564" s="878" t="e">
        <f t="shared" si="516"/>
        <v>#VALUE!</v>
      </c>
      <c r="BR564" s="878" t="e">
        <f t="shared" si="517"/>
        <v>#VALUE!</v>
      </c>
      <c r="BS564" s="966" t="e">
        <f t="shared" si="518"/>
        <v>#VALUE!</v>
      </c>
    </row>
    <row r="565" spans="1:71">
      <c r="A565" s="284">
        <f t="shared" si="519"/>
        <v>497</v>
      </c>
      <c r="B565" s="285">
        <v>-0.29539413247594082</v>
      </c>
      <c r="C565" s="285">
        <v>2.7178509758948142</v>
      </c>
      <c r="D565" s="285">
        <v>-0.36767776166215693</v>
      </c>
      <c r="E565" s="285">
        <v>3.542677364190371</v>
      </c>
      <c r="H565" s="685">
        <f t="shared" si="465"/>
        <v>-1.4286279742449957</v>
      </c>
      <c r="I565" s="276">
        <f t="shared" si="466"/>
        <v>-6.1747289174740807</v>
      </c>
      <c r="J565" s="276">
        <f t="shared" si="467"/>
        <v>-0.90515883979919709</v>
      </c>
      <c r="K565" s="276">
        <f t="shared" si="468"/>
        <v>-2.0984191168227695</v>
      </c>
      <c r="L565" s="276">
        <f t="shared" si="469"/>
        <v>-3.1165570174646513</v>
      </c>
      <c r="M565" s="276">
        <f t="shared" si="470"/>
        <v>-3.9542153414659973</v>
      </c>
      <c r="N565" s="685">
        <f t="shared" si="471"/>
        <v>1.5106797649229458</v>
      </c>
      <c r="O565" s="276">
        <f t="shared" si="472"/>
        <v>1.4330838764952165</v>
      </c>
      <c r="P565" s="276">
        <f t="shared" si="473"/>
        <v>0.88479433865800661</v>
      </c>
      <c r="Q565" s="276">
        <f t="shared" si="474"/>
        <v>1.4365861937075899</v>
      </c>
      <c r="R565" s="276">
        <f t="shared" si="475"/>
        <v>1.3785935573798282</v>
      </c>
      <c r="S565" s="686">
        <f t="shared" si="476"/>
        <v>1.0830905887061368</v>
      </c>
      <c r="T565" s="685">
        <f t="shared" si="477"/>
        <v>2.910685928608769</v>
      </c>
      <c r="U565" s="276">
        <f t="shared" si="478"/>
        <v>4.4455922519364677</v>
      </c>
      <c r="V565" s="276">
        <f t="shared" si="479"/>
        <v>3.4151900833395392</v>
      </c>
      <c r="W565" s="276">
        <f t="shared" si="480"/>
        <v>4.527494883766555</v>
      </c>
      <c r="X565" s="276">
        <f t="shared" si="481"/>
        <v>0.84770095125966849</v>
      </c>
      <c r="Y565" s="686">
        <f t="shared" si="482"/>
        <v>5.0626180418592082</v>
      </c>
      <c r="Z565" s="685" t="e">
        <f t="shared" si="483"/>
        <v>#DIV/0!</v>
      </c>
      <c r="AA565" s="276" t="e">
        <f t="shared" si="484"/>
        <v>#DIV/0!</v>
      </c>
      <c r="AB565" s="276" t="e">
        <f t="shared" si="485"/>
        <v>#DIV/0!</v>
      </c>
      <c r="AC565" s="276" t="e">
        <f t="shared" si="486"/>
        <v>#DIV/0!</v>
      </c>
      <c r="AD565" s="276" t="e">
        <f t="shared" si="487"/>
        <v>#DIV/0!</v>
      </c>
      <c r="AE565" s="686" t="e">
        <f t="shared" si="488"/>
        <v>#DIV/0!</v>
      </c>
      <c r="AF565" s="239"/>
      <c r="AG565" s="965" t="e">
        <f t="shared" si="459"/>
        <v>#VALUE!</v>
      </c>
      <c r="AH565" s="878" t="e">
        <f t="shared" si="460"/>
        <v>#VALUE!</v>
      </c>
      <c r="AI565" s="878" t="e">
        <f t="shared" si="461"/>
        <v>#VALUE!</v>
      </c>
      <c r="AJ565" s="878" t="e">
        <f t="shared" si="462"/>
        <v>#VALUE!</v>
      </c>
      <c r="AK565" s="878" t="e">
        <f t="shared" si="463"/>
        <v>#VALUE!</v>
      </c>
      <c r="AL565" s="966" t="e">
        <f t="shared" si="464"/>
        <v>#VALUE!</v>
      </c>
      <c r="AM565" s="239"/>
      <c r="AO565" s="685">
        <f t="shared" si="489"/>
        <v>-1.4286279742449957</v>
      </c>
      <c r="AP565" s="276">
        <f t="shared" si="490"/>
        <v>-6.1747289174740807</v>
      </c>
      <c r="AQ565" s="276">
        <f t="shared" si="491"/>
        <v>-0.90515883979919709</v>
      </c>
      <c r="AR565" s="276">
        <f t="shared" si="492"/>
        <v>-2.0984191168227695</v>
      </c>
      <c r="AS565" s="276">
        <f t="shared" si="493"/>
        <v>-3.1165570174646513</v>
      </c>
      <c r="AT565" s="276">
        <f t="shared" si="494"/>
        <v>-3.9542153414659973</v>
      </c>
      <c r="AU565" s="685">
        <f t="shared" si="495"/>
        <v>1.5106797649229458</v>
      </c>
      <c r="AV565" s="276">
        <f t="shared" si="496"/>
        <v>1.4330838764952165</v>
      </c>
      <c r="AW565" s="276">
        <f t="shared" si="497"/>
        <v>0.88479433865800661</v>
      </c>
      <c r="AX565" s="276">
        <f t="shared" si="498"/>
        <v>1.4365861937075899</v>
      </c>
      <c r="AY565" s="276">
        <f t="shared" si="499"/>
        <v>1.3785935573798282</v>
      </c>
      <c r="AZ565" s="686">
        <f t="shared" si="500"/>
        <v>1.0830905887061368</v>
      </c>
      <c r="BA565" s="685">
        <f t="shared" si="501"/>
        <v>0</v>
      </c>
      <c r="BB565" s="276">
        <f t="shared" si="502"/>
        <v>0</v>
      </c>
      <c r="BC565" s="276">
        <f t="shared" si="503"/>
        <v>0</v>
      </c>
      <c r="BD565" s="276">
        <f t="shared" si="504"/>
        <v>0</v>
      </c>
      <c r="BE565" s="276">
        <f t="shared" si="505"/>
        <v>0</v>
      </c>
      <c r="BF565" s="686">
        <f t="shared" si="506"/>
        <v>0</v>
      </c>
      <c r="BG565" s="685" t="e">
        <f t="shared" si="507"/>
        <v>#DIV/0!</v>
      </c>
      <c r="BH565" s="276" t="e">
        <f t="shared" si="508"/>
        <v>#DIV/0!</v>
      </c>
      <c r="BI565" s="276" t="e">
        <f t="shared" si="509"/>
        <v>#DIV/0!</v>
      </c>
      <c r="BJ565" s="276" t="e">
        <f t="shared" si="510"/>
        <v>#DIV/0!</v>
      </c>
      <c r="BK565" s="276" t="e">
        <f t="shared" si="511"/>
        <v>#DIV/0!</v>
      </c>
      <c r="BL565" s="686" t="e">
        <f t="shared" si="512"/>
        <v>#DIV/0!</v>
      </c>
      <c r="BM565" s="239"/>
      <c r="BN565" s="965" t="e">
        <f t="shared" si="513"/>
        <v>#VALUE!</v>
      </c>
      <c r="BO565" s="878" t="e">
        <f t="shared" si="514"/>
        <v>#VALUE!</v>
      </c>
      <c r="BP565" s="878" t="e">
        <f t="shared" si="515"/>
        <v>#VALUE!</v>
      </c>
      <c r="BQ565" s="878" t="e">
        <f t="shared" si="516"/>
        <v>#VALUE!</v>
      </c>
      <c r="BR565" s="878" t="e">
        <f t="shared" si="517"/>
        <v>#VALUE!</v>
      </c>
      <c r="BS565" s="966" t="e">
        <f t="shared" si="518"/>
        <v>#VALUE!</v>
      </c>
    </row>
    <row r="566" spans="1:71">
      <c r="A566" s="284">
        <f t="shared" si="519"/>
        <v>498</v>
      </c>
      <c r="B566" s="285">
        <v>-4.7088133598021935</v>
      </c>
      <c r="C566" s="285">
        <v>1.8827580758690954</v>
      </c>
      <c r="D566" s="285">
        <v>1.0679003136593979</v>
      </c>
      <c r="E566" s="285">
        <v>-1.5048644281680192</v>
      </c>
      <c r="H566" s="685">
        <f t="shared" si="465"/>
        <v>-5.8420472015712486</v>
      </c>
      <c r="I566" s="276">
        <f t="shared" si="466"/>
        <v>-3.5868257675598176</v>
      </c>
      <c r="J566" s="276">
        <f t="shared" si="467"/>
        <v>1.819589210879067</v>
      </c>
      <c r="K566" s="276">
        <f t="shared" si="468"/>
        <v>0.19821853848277748</v>
      </c>
      <c r="L566" s="276">
        <f t="shared" si="469"/>
        <v>-2.1032821866723825</v>
      </c>
      <c r="M566" s="276">
        <f t="shared" si="470"/>
        <v>-1.8202041658613846</v>
      </c>
      <c r="N566" s="685">
        <f t="shared" si="471"/>
        <v>0.67558686489722697</v>
      </c>
      <c r="O566" s="276">
        <f t="shared" si="472"/>
        <v>0.49222215767591071</v>
      </c>
      <c r="P566" s="276">
        <f t="shared" si="473"/>
        <v>2.0863824813419845</v>
      </c>
      <c r="Q566" s="276">
        <f t="shared" si="474"/>
        <v>1.6627384323818328</v>
      </c>
      <c r="R566" s="276">
        <f t="shared" si="475"/>
        <v>1.2143998221149934</v>
      </c>
      <c r="S566" s="686">
        <f t="shared" si="476"/>
        <v>1.7482684871541354</v>
      </c>
      <c r="T566" s="685">
        <f t="shared" si="477"/>
        <v>4.3462640039303242</v>
      </c>
      <c r="U566" s="276">
        <f t="shared" si="478"/>
        <v>4.8616306710604302</v>
      </c>
      <c r="V566" s="276">
        <f t="shared" si="479"/>
        <v>3.7746056179748311</v>
      </c>
      <c r="W566" s="276">
        <f t="shared" si="480"/>
        <v>4.0198367188578983</v>
      </c>
      <c r="X566" s="276">
        <f t="shared" si="481"/>
        <v>3.7807065391270713</v>
      </c>
      <c r="Y566" s="686">
        <f t="shared" si="482"/>
        <v>3.6137530438012408</v>
      </c>
      <c r="Z566" s="685" t="e">
        <f t="shared" si="483"/>
        <v>#DIV/0!</v>
      </c>
      <c r="AA566" s="276" t="e">
        <f t="shared" si="484"/>
        <v>#DIV/0!</v>
      </c>
      <c r="AB566" s="276" t="e">
        <f t="shared" si="485"/>
        <v>#DIV/0!</v>
      </c>
      <c r="AC566" s="276" t="e">
        <f t="shared" si="486"/>
        <v>#DIV/0!</v>
      </c>
      <c r="AD566" s="276" t="e">
        <f t="shared" si="487"/>
        <v>#DIV/0!</v>
      </c>
      <c r="AE566" s="686" t="e">
        <f t="shared" si="488"/>
        <v>#DIV/0!</v>
      </c>
      <c r="AF566" s="239"/>
      <c r="AG566" s="965" t="e">
        <f t="shared" si="459"/>
        <v>#VALUE!</v>
      </c>
      <c r="AH566" s="878" t="e">
        <f t="shared" si="460"/>
        <v>#VALUE!</v>
      </c>
      <c r="AI566" s="878" t="e">
        <f t="shared" si="461"/>
        <v>#VALUE!</v>
      </c>
      <c r="AJ566" s="878" t="e">
        <f t="shared" si="462"/>
        <v>#VALUE!</v>
      </c>
      <c r="AK566" s="878" t="e">
        <f t="shared" si="463"/>
        <v>#VALUE!</v>
      </c>
      <c r="AL566" s="966" t="e">
        <f t="shared" si="464"/>
        <v>#VALUE!</v>
      </c>
      <c r="AM566" s="239"/>
      <c r="AO566" s="685">
        <f t="shared" si="489"/>
        <v>-5.8420472015712486</v>
      </c>
      <c r="AP566" s="276">
        <f t="shared" si="490"/>
        <v>-3.5868257675598176</v>
      </c>
      <c r="AQ566" s="276">
        <f t="shared" si="491"/>
        <v>1.819589210879067</v>
      </c>
      <c r="AR566" s="276">
        <f t="shared" si="492"/>
        <v>0.19821853848277748</v>
      </c>
      <c r="AS566" s="276">
        <f t="shared" si="493"/>
        <v>-2.1032821866723825</v>
      </c>
      <c r="AT566" s="276">
        <f t="shared" si="494"/>
        <v>-1.8202041658613846</v>
      </c>
      <c r="AU566" s="685">
        <f t="shared" si="495"/>
        <v>0.67558686489722697</v>
      </c>
      <c r="AV566" s="276">
        <f t="shared" si="496"/>
        <v>0.49222215767591071</v>
      </c>
      <c r="AW566" s="276">
        <f t="shared" si="497"/>
        <v>2.0863824813419845</v>
      </c>
      <c r="AX566" s="276">
        <f t="shared" si="498"/>
        <v>1.6627384323818328</v>
      </c>
      <c r="AY566" s="276">
        <f t="shared" si="499"/>
        <v>1.2143998221149934</v>
      </c>
      <c r="AZ566" s="686">
        <f t="shared" si="500"/>
        <v>1.7482684871541354</v>
      </c>
      <c r="BA566" s="685">
        <f t="shared" si="501"/>
        <v>0</v>
      </c>
      <c r="BB566" s="276">
        <f t="shared" si="502"/>
        <v>0</v>
      </c>
      <c r="BC566" s="276">
        <f t="shared" si="503"/>
        <v>0</v>
      </c>
      <c r="BD566" s="276">
        <f t="shared" si="504"/>
        <v>0</v>
      </c>
      <c r="BE566" s="276">
        <f t="shared" si="505"/>
        <v>0</v>
      </c>
      <c r="BF566" s="686">
        <f t="shared" si="506"/>
        <v>0</v>
      </c>
      <c r="BG566" s="685" t="e">
        <f t="shared" si="507"/>
        <v>#DIV/0!</v>
      </c>
      <c r="BH566" s="276" t="e">
        <f t="shared" si="508"/>
        <v>#DIV/0!</v>
      </c>
      <c r="BI566" s="276" t="e">
        <f t="shared" si="509"/>
        <v>#DIV/0!</v>
      </c>
      <c r="BJ566" s="276" t="e">
        <f t="shared" si="510"/>
        <v>#DIV/0!</v>
      </c>
      <c r="BK566" s="276" t="e">
        <f t="shared" si="511"/>
        <v>#DIV/0!</v>
      </c>
      <c r="BL566" s="686" t="e">
        <f t="shared" si="512"/>
        <v>#DIV/0!</v>
      </c>
      <c r="BM566" s="239"/>
      <c r="BN566" s="965" t="e">
        <f t="shared" si="513"/>
        <v>#VALUE!</v>
      </c>
      <c r="BO566" s="878" t="e">
        <f t="shared" si="514"/>
        <v>#VALUE!</v>
      </c>
      <c r="BP566" s="878" t="e">
        <f t="shared" si="515"/>
        <v>#VALUE!</v>
      </c>
      <c r="BQ566" s="878" t="e">
        <f t="shared" si="516"/>
        <v>#VALUE!</v>
      </c>
      <c r="BR566" s="878" t="e">
        <f t="shared" si="517"/>
        <v>#VALUE!</v>
      </c>
      <c r="BS566" s="966" t="e">
        <f t="shared" si="518"/>
        <v>#VALUE!</v>
      </c>
    </row>
    <row r="567" spans="1:71">
      <c r="A567" s="284">
        <f t="shared" si="519"/>
        <v>499</v>
      </c>
      <c r="B567" s="285">
        <v>-0.92113425351042544</v>
      </c>
      <c r="C567" s="285">
        <v>2.7553508728474236</v>
      </c>
      <c r="D567" s="285">
        <v>8.8935491136252764E-3</v>
      </c>
      <c r="E567" s="285">
        <v>1.2185744070399083</v>
      </c>
      <c r="H567" s="685">
        <f t="shared" si="465"/>
        <v>-2.0543680952794805</v>
      </c>
      <c r="I567" s="276">
        <f t="shared" si="466"/>
        <v>-0.29322283424660422</v>
      </c>
      <c r="J567" s="276">
        <f t="shared" si="467"/>
        <v>-2.5689122232329282</v>
      </c>
      <c r="K567" s="276">
        <f t="shared" si="468"/>
        <v>-1.3895596584491283</v>
      </c>
      <c r="L567" s="276">
        <f t="shared" si="469"/>
        <v>-3.7036652011748332</v>
      </c>
      <c r="M567" s="276">
        <f t="shared" si="470"/>
        <v>-4.3116003972213974</v>
      </c>
      <c r="N567" s="685">
        <f t="shared" si="471"/>
        <v>1.5481796618755552</v>
      </c>
      <c r="O567" s="276">
        <f t="shared" si="472"/>
        <v>1.1904422343820957</v>
      </c>
      <c r="P567" s="276">
        <f t="shared" si="473"/>
        <v>0.78400806197764639</v>
      </c>
      <c r="Q567" s="276">
        <f t="shared" si="474"/>
        <v>0.44452149806708108</v>
      </c>
      <c r="R567" s="276">
        <f t="shared" si="475"/>
        <v>1.5406375277722122</v>
      </c>
      <c r="S567" s="686">
        <f t="shared" si="476"/>
        <v>1.7433566501668982</v>
      </c>
      <c r="T567" s="685">
        <f t="shared" si="477"/>
        <v>3.2872572393845512</v>
      </c>
      <c r="U567" s="276">
        <f t="shared" si="478"/>
        <v>4.4079152635575358</v>
      </c>
      <c r="V567" s="276">
        <f t="shared" si="479"/>
        <v>3.8630815017602584</v>
      </c>
      <c r="W567" s="276">
        <f t="shared" si="480"/>
        <v>4.0048711512164603</v>
      </c>
      <c r="X567" s="276">
        <f t="shared" si="481"/>
        <v>4.8021867445891511</v>
      </c>
      <c r="Y567" s="686">
        <f t="shared" si="482"/>
        <v>5.5590632976469418</v>
      </c>
      <c r="Z567" s="685" t="e">
        <f t="shared" si="483"/>
        <v>#DIV/0!</v>
      </c>
      <c r="AA567" s="276" t="e">
        <f t="shared" si="484"/>
        <v>#DIV/0!</v>
      </c>
      <c r="AB567" s="276" t="e">
        <f t="shared" si="485"/>
        <v>#DIV/0!</v>
      </c>
      <c r="AC567" s="276" t="e">
        <f t="shared" si="486"/>
        <v>#DIV/0!</v>
      </c>
      <c r="AD567" s="276" t="e">
        <f t="shared" si="487"/>
        <v>#DIV/0!</v>
      </c>
      <c r="AE567" s="686" t="e">
        <f t="shared" si="488"/>
        <v>#DIV/0!</v>
      </c>
      <c r="AF567" s="239"/>
      <c r="AG567" s="965" t="e">
        <f t="shared" si="459"/>
        <v>#VALUE!</v>
      </c>
      <c r="AH567" s="878" t="e">
        <f t="shared" si="460"/>
        <v>#VALUE!</v>
      </c>
      <c r="AI567" s="878" t="e">
        <f t="shared" si="461"/>
        <v>#VALUE!</v>
      </c>
      <c r="AJ567" s="878" t="e">
        <f t="shared" si="462"/>
        <v>#VALUE!</v>
      </c>
      <c r="AK567" s="878" t="e">
        <f t="shared" si="463"/>
        <v>#VALUE!</v>
      </c>
      <c r="AL567" s="966" t="e">
        <f t="shared" si="464"/>
        <v>#VALUE!</v>
      </c>
      <c r="AM567" s="239"/>
      <c r="AO567" s="685">
        <f t="shared" si="489"/>
        <v>-2.0543680952794805</v>
      </c>
      <c r="AP567" s="276">
        <f t="shared" si="490"/>
        <v>-0.29322283424660422</v>
      </c>
      <c r="AQ567" s="276">
        <f t="shared" si="491"/>
        <v>-2.5689122232329282</v>
      </c>
      <c r="AR567" s="276">
        <f t="shared" si="492"/>
        <v>-1.3895596584491283</v>
      </c>
      <c r="AS567" s="276">
        <f t="shared" si="493"/>
        <v>-3.7036652011748332</v>
      </c>
      <c r="AT567" s="276">
        <f t="shared" si="494"/>
        <v>-4.3116003972213974</v>
      </c>
      <c r="AU567" s="685">
        <f t="shared" si="495"/>
        <v>1.5481796618755552</v>
      </c>
      <c r="AV567" s="276">
        <f t="shared" si="496"/>
        <v>1.1904422343820957</v>
      </c>
      <c r="AW567" s="276">
        <f t="shared" si="497"/>
        <v>0.78400806197764639</v>
      </c>
      <c r="AX567" s="276">
        <f t="shared" si="498"/>
        <v>0.44452149806708108</v>
      </c>
      <c r="AY567" s="276">
        <f t="shared" si="499"/>
        <v>1.5406375277722122</v>
      </c>
      <c r="AZ567" s="686">
        <f t="shared" si="500"/>
        <v>1.7433566501668982</v>
      </c>
      <c r="BA567" s="685">
        <f t="shared" si="501"/>
        <v>0</v>
      </c>
      <c r="BB567" s="276">
        <f t="shared" si="502"/>
        <v>0</v>
      </c>
      <c r="BC567" s="276">
        <f t="shared" si="503"/>
        <v>0</v>
      </c>
      <c r="BD567" s="276">
        <f t="shared" si="504"/>
        <v>0</v>
      </c>
      <c r="BE567" s="276">
        <f t="shared" si="505"/>
        <v>0</v>
      </c>
      <c r="BF567" s="686">
        <f t="shared" si="506"/>
        <v>0</v>
      </c>
      <c r="BG567" s="685" t="e">
        <f t="shared" si="507"/>
        <v>#DIV/0!</v>
      </c>
      <c r="BH567" s="276" t="e">
        <f t="shared" si="508"/>
        <v>#DIV/0!</v>
      </c>
      <c r="BI567" s="276" t="e">
        <f t="shared" si="509"/>
        <v>#DIV/0!</v>
      </c>
      <c r="BJ567" s="276" t="e">
        <f t="shared" si="510"/>
        <v>#DIV/0!</v>
      </c>
      <c r="BK567" s="276" t="e">
        <f t="shared" si="511"/>
        <v>#DIV/0!</v>
      </c>
      <c r="BL567" s="686" t="e">
        <f t="shared" si="512"/>
        <v>#DIV/0!</v>
      </c>
      <c r="BM567" s="239"/>
      <c r="BN567" s="965" t="e">
        <f t="shared" si="513"/>
        <v>#VALUE!</v>
      </c>
      <c r="BO567" s="878" t="e">
        <f t="shared" si="514"/>
        <v>#VALUE!</v>
      </c>
      <c r="BP567" s="878" t="e">
        <f t="shared" si="515"/>
        <v>#VALUE!</v>
      </c>
      <c r="BQ567" s="878" t="e">
        <f t="shared" si="516"/>
        <v>#VALUE!</v>
      </c>
      <c r="BR567" s="878" t="e">
        <f t="shared" si="517"/>
        <v>#VALUE!</v>
      </c>
      <c r="BS567" s="966" t="e">
        <f t="shared" si="518"/>
        <v>#VALUE!</v>
      </c>
    </row>
    <row r="568" spans="1:71">
      <c r="A568" s="284">
        <f t="shared" si="519"/>
        <v>500</v>
      </c>
      <c r="B568" s="285">
        <v>1.2926855695522204</v>
      </c>
      <c r="C568" s="285">
        <v>2.6841821398034615</v>
      </c>
      <c r="D568" s="285">
        <v>2.6706881038843422</v>
      </c>
      <c r="E568" s="285">
        <v>-7.5498153635846883</v>
      </c>
      <c r="H568" s="685">
        <f t="shared" si="465"/>
        <v>0.15945172778316552</v>
      </c>
      <c r="I568" s="276">
        <f t="shared" si="466"/>
        <v>-2.6124047462688695</v>
      </c>
      <c r="J568" s="276">
        <f t="shared" si="467"/>
        <v>-2.3721602758183042</v>
      </c>
      <c r="K568" s="276">
        <f t="shared" si="468"/>
        <v>-0.10458358940695334</v>
      </c>
      <c r="L568" s="276">
        <f t="shared" si="469"/>
        <v>0.17922420305852627</v>
      </c>
      <c r="M568" s="276">
        <f t="shared" si="470"/>
        <v>-1.3605162090924638</v>
      </c>
      <c r="N568" s="685">
        <f t="shared" si="471"/>
        <v>1.4770109288315931</v>
      </c>
      <c r="O568" s="276">
        <f t="shared" si="472"/>
        <v>1.2566002329210215</v>
      </c>
      <c r="P568" s="276">
        <f t="shared" si="473"/>
        <v>1.4950808532112221</v>
      </c>
      <c r="Q568" s="276">
        <f t="shared" si="474"/>
        <v>1.2501006909458787</v>
      </c>
      <c r="R568" s="276">
        <f t="shared" si="475"/>
        <v>1.5143345550507676</v>
      </c>
      <c r="S568" s="686">
        <f t="shared" si="476"/>
        <v>0.9623497870926998</v>
      </c>
      <c r="T568" s="685">
        <f t="shared" si="477"/>
        <v>5.9490517941552685</v>
      </c>
      <c r="U568" s="276">
        <f t="shared" si="478"/>
        <v>6.0920609805549031</v>
      </c>
      <c r="V568" s="276">
        <f t="shared" si="479"/>
        <v>5.1909395086435897</v>
      </c>
      <c r="W568" s="276">
        <f t="shared" si="480"/>
        <v>5.9492827680045073</v>
      </c>
      <c r="X568" s="276">
        <f t="shared" si="481"/>
        <v>4.2893565811505674</v>
      </c>
      <c r="Y568" s="686">
        <f t="shared" si="482"/>
        <v>4.9436360542244948</v>
      </c>
      <c r="Z568" s="685" t="e">
        <f t="shared" si="483"/>
        <v>#DIV/0!</v>
      </c>
      <c r="AA568" s="276" t="e">
        <f t="shared" si="484"/>
        <v>#DIV/0!</v>
      </c>
      <c r="AB568" s="276" t="e">
        <f t="shared" si="485"/>
        <v>#DIV/0!</v>
      </c>
      <c r="AC568" s="276" t="e">
        <f t="shared" si="486"/>
        <v>#DIV/0!</v>
      </c>
      <c r="AD568" s="276" t="e">
        <f t="shared" si="487"/>
        <v>#DIV/0!</v>
      </c>
      <c r="AE568" s="686" t="e">
        <f t="shared" si="488"/>
        <v>#DIV/0!</v>
      </c>
      <c r="AF568" s="239"/>
      <c r="AG568" s="965" t="e">
        <f t="shared" si="459"/>
        <v>#VALUE!</v>
      </c>
      <c r="AH568" s="878" t="e">
        <f t="shared" si="460"/>
        <v>#VALUE!</v>
      </c>
      <c r="AI568" s="878" t="e">
        <f t="shared" si="461"/>
        <v>#VALUE!</v>
      </c>
      <c r="AJ568" s="878" t="e">
        <f t="shared" si="462"/>
        <v>#VALUE!</v>
      </c>
      <c r="AK568" s="878" t="e">
        <f t="shared" si="463"/>
        <v>#VALUE!</v>
      </c>
      <c r="AL568" s="966" t="e">
        <f t="shared" si="464"/>
        <v>#VALUE!</v>
      </c>
      <c r="AM568" s="239"/>
      <c r="AO568" s="685">
        <f t="shared" si="489"/>
        <v>0.15945172778316552</v>
      </c>
      <c r="AP568" s="276">
        <f t="shared" si="490"/>
        <v>-2.6124047462688695</v>
      </c>
      <c r="AQ568" s="276">
        <f t="shared" si="491"/>
        <v>-2.3721602758183042</v>
      </c>
      <c r="AR568" s="276">
        <f t="shared" si="492"/>
        <v>-0.10458358940695334</v>
      </c>
      <c r="AS568" s="276">
        <f t="shared" si="493"/>
        <v>0.17922420305852627</v>
      </c>
      <c r="AT568" s="276">
        <f t="shared" si="494"/>
        <v>-1.3605162090924638</v>
      </c>
      <c r="AU568" s="685">
        <f t="shared" si="495"/>
        <v>1.4770109288315931</v>
      </c>
      <c r="AV568" s="276">
        <f t="shared" si="496"/>
        <v>1.2566002329210215</v>
      </c>
      <c r="AW568" s="276">
        <f t="shared" si="497"/>
        <v>1.4950808532112221</v>
      </c>
      <c r="AX568" s="276">
        <f t="shared" si="498"/>
        <v>1.2501006909458787</v>
      </c>
      <c r="AY568" s="276">
        <f t="shared" si="499"/>
        <v>1.5143345550507676</v>
      </c>
      <c r="AZ568" s="686">
        <f t="shared" si="500"/>
        <v>0.9623497870926998</v>
      </c>
      <c r="BA568" s="685">
        <f t="shared" si="501"/>
        <v>0</v>
      </c>
      <c r="BB568" s="276">
        <f t="shared" si="502"/>
        <v>0</v>
      </c>
      <c r="BC568" s="276">
        <f t="shared" si="503"/>
        <v>0</v>
      </c>
      <c r="BD568" s="276">
        <f t="shared" si="504"/>
        <v>0</v>
      </c>
      <c r="BE568" s="276">
        <f t="shared" si="505"/>
        <v>0</v>
      </c>
      <c r="BF568" s="686">
        <f t="shared" si="506"/>
        <v>0</v>
      </c>
      <c r="BG568" s="685" t="e">
        <f t="shared" si="507"/>
        <v>#DIV/0!</v>
      </c>
      <c r="BH568" s="276" t="e">
        <f t="shared" si="508"/>
        <v>#DIV/0!</v>
      </c>
      <c r="BI568" s="276" t="e">
        <f t="shared" si="509"/>
        <v>#DIV/0!</v>
      </c>
      <c r="BJ568" s="276" t="e">
        <f t="shared" si="510"/>
        <v>#DIV/0!</v>
      </c>
      <c r="BK568" s="276" t="e">
        <f t="shared" si="511"/>
        <v>#DIV/0!</v>
      </c>
      <c r="BL568" s="686" t="e">
        <f t="shared" si="512"/>
        <v>#DIV/0!</v>
      </c>
      <c r="BM568" s="239"/>
      <c r="BN568" s="965" t="e">
        <f t="shared" si="513"/>
        <v>#VALUE!</v>
      </c>
      <c r="BO568" s="878" t="e">
        <f t="shared" si="514"/>
        <v>#VALUE!</v>
      </c>
      <c r="BP568" s="878" t="e">
        <f t="shared" si="515"/>
        <v>#VALUE!</v>
      </c>
      <c r="BQ568" s="878" t="e">
        <f t="shared" si="516"/>
        <v>#VALUE!</v>
      </c>
      <c r="BR568" s="878" t="e">
        <f t="shared" si="517"/>
        <v>#VALUE!</v>
      </c>
      <c r="BS568" s="966" t="e">
        <f t="shared" si="518"/>
        <v>#VALUE!</v>
      </c>
    </row>
    <row r="569" spans="1:71">
      <c r="A569" s="284">
        <f t="shared" si="519"/>
        <v>501</v>
      </c>
      <c r="B569" s="285">
        <v>0.16664453402699619</v>
      </c>
      <c r="C569" s="285">
        <v>1.6291889770188415</v>
      </c>
      <c r="D569" s="285">
        <v>1.2301195450886055</v>
      </c>
      <c r="E569" s="285">
        <v>-17.013292175587015</v>
      </c>
      <c r="H569" s="685">
        <f t="shared" si="465"/>
        <v>-0.96658930774205865</v>
      </c>
      <c r="I569" s="276">
        <f t="shared" si="466"/>
        <v>-3.5915557546108827</v>
      </c>
      <c r="J569" s="276">
        <f t="shared" si="467"/>
        <v>-4.6963975149452724</v>
      </c>
      <c r="K569" s="276">
        <f t="shared" si="468"/>
        <v>6.8631727039932366E-2</v>
      </c>
      <c r="L569" s="276">
        <f t="shared" si="469"/>
        <v>-2.6762551171158409</v>
      </c>
      <c r="M569" s="276">
        <f t="shared" si="470"/>
        <v>-0.33983490396596872</v>
      </c>
      <c r="N569" s="685">
        <f t="shared" si="471"/>
        <v>0.42201776604697305</v>
      </c>
      <c r="O569" s="276">
        <f t="shared" si="472"/>
        <v>0.92074981390392874</v>
      </c>
      <c r="P569" s="276">
        <f t="shared" si="473"/>
        <v>0.86500863834182939</v>
      </c>
      <c r="Q569" s="276">
        <f t="shared" si="474"/>
        <v>0.92356096230154505</v>
      </c>
      <c r="R569" s="276">
        <f t="shared" si="475"/>
        <v>1.1934906936268719</v>
      </c>
      <c r="S569" s="686">
        <f t="shared" si="476"/>
        <v>0.73441341170858565</v>
      </c>
      <c r="T569" s="685">
        <f t="shared" si="477"/>
        <v>4.508483235359531</v>
      </c>
      <c r="U569" s="276">
        <f t="shared" si="478"/>
        <v>3.5901416193710283</v>
      </c>
      <c r="V569" s="276">
        <f t="shared" si="479"/>
        <v>4.5699434069852671</v>
      </c>
      <c r="W569" s="276">
        <f t="shared" si="480"/>
        <v>4.2220191999673187</v>
      </c>
      <c r="X569" s="276">
        <f t="shared" si="481"/>
        <v>5.285011322586211</v>
      </c>
      <c r="Y569" s="686">
        <f t="shared" si="482"/>
        <v>4.8729590981190194</v>
      </c>
      <c r="Z569" s="685" t="e">
        <f t="shared" si="483"/>
        <v>#DIV/0!</v>
      </c>
      <c r="AA569" s="276" t="e">
        <f t="shared" si="484"/>
        <v>#DIV/0!</v>
      </c>
      <c r="AB569" s="276" t="e">
        <f t="shared" si="485"/>
        <v>#DIV/0!</v>
      </c>
      <c r="AC569" s="276" t="e">
        <f t="shared" si="486"/>
        <v>#DIV/0!</v>
      </c>
      <c r="AD569" s="276" t="e">
        <f t="shared" si="487"/>
        <v>#DIV/0!</v>
      </c>
      <c r="AE569" s="686" t="e">
        <f t="shared" si="488"/>
        <v>#DIV/0!</v>
      </c>
      <c r="AF569" s="239"/>
      <c r="AG569" s="965" t="e">
        <f t="shared" si="459"/>
        <v>#VALUE!</v>
      </c>
      <c r="AH569" s="878" t="e">
        <f t="shared" si="460"/>
        <v>#VALUE!</v>
      </c>
      <c r="AI569" s="878" t="e">
        <f t="shared" si="461"/>
        <v>#VALUE!</v>
      </c>
      <c r="AJ569" s="878" t="e">
        <f t="shared" si="462"/>
        <v>#VALUE!</v>
      </c>
      <c r="AK569" s="878" t="e">
        <f t="shared" si="463"/>
        <v>#VALUE!</v>
      </c>
      <c r="AL569" s="966" t="e">
        <f t="shared" si="464"/>
        <v>#VALUE!</v>
      </c>
      <c r="AM569" s="239"/>
      <c r="AO569" s="685">
        <f t="shared" si="489"/>
        <v>-0.96658930774205865</v>
      </c>
      <c r="AP569" s="276">
        <f t="shared" si="490"/>
        <v>-3.5915557546108827</v>
      </c>
      <c r="AQ569" s="276">
        <f t="shared" si="491"/>
        <v>-4.6963975149452724</v>
      </c>
      <c r="AR569" s="276">
        <f t="shared" si="492"/>
        <v>6.8631727039932366E-2</v>
      </c>
      <c r="AS569" s="276">
        <f t="shared" si="493"/>
        <v>-2.6762551171158409</v>
      </c>
      <c r="AT569" s="276">
        <f t="shared" si="494"/>
        <v>-0.33983490396596872</v>
      </c>
      <c r="AU569" s="685">
        <f t="shared" si="495"/>
        <v>0.42201776604697305</v>
      </c>
      <c r="AV569" s="276">
        <f t="shared" si="496"/>
        <v>0.92074981390392874</v>
      </c>
      <c r="AW569" s="276">
        <f t="shared" si="497"/>
        <v>0.86500863834182939</v>
      </c>
      <c r="AX569" s="276">
        <f t="shared" si="498"/>
        <v>0.92356096230154505</v>
      </c>
      <c r="AY569" s="276">
        <f t="shared" si="499"/>
        <v>1.1934906936268719</v>
      </c>
      <c r="AZ569" s="686">
        <f t="shared" si="500"/>
        <v>0.73441341170858565</v>
      </c>
      <c r="BA569" s="685">
        <f t="shared" si="501"/>
        <v>0</v>
      </c>
      <c r="BB569" s="276">
        <f t="shared" si="502"/>
        <v>0</v>
      </c>
      <c r="BC569" s="276">
        <f t="shared" si="503"/>
        <v>0</v>
      </c>
      <c r="BD569" s="276">
        <f t="shared" si="504"/>
        <v>0</v>
      </c>
      <c r="BE569" s="276">
        <f t="shared" si="505"/>
        <v>0</v>
      </c>
      <c r="BF569" s="686">
        <f t="shared" si="506"/>
        <v>0</v>
      </c>
      <c r="BG569" s="685" t="e">
        <f t="shared" si="507"/>
        <v>#DIV/0!</v>
      </c>
      <c r="BH569" s="276" t="e">
        <f t="shared" si="508"/>
        <v>#DIV/0!</v>
      </c>
      <c r="BI569" s="276" t="e">
        <f t="shared" si="509"/>
        <v>#DIV/0!</v>
      </c>
      <c r="BJ569" s="276" t="e">
        <f t="shared" si="510"/>
        <v>#DIV/0!</v>
      </c>
      <c r="BK569" s="276" t="e">
        <f t="shared" si="511"/>
        <v>#DIV/0!</v>
      </c>
      <c r="BL569" s="686" t="e">
        <f t="shared" si="512"/>
        <v>#DIV/0!</v>
      </c>
      <c r="BM569" s="239"/>
      <c r="BN569" s="965" t="e">
        <f t="shared" si="513"/>
        <v>#VALUE!</v>
      </c>
      <c r="BO569" s="878" t="e">
        <f t="shared" si="514"/>
        <v>#VALUE!</v>
      </c>
      <c r="BP569" s="878" t="e">
        <f t="shared" si="515"/>
        <v>#VALUE!</v>
      </c>
      <c r="BQ569" s="878" t="e">
        <f t="shared" si="516"/>
        <v>#VALUE!</v>
      </c>
      <c r="BR569" s="878" t="e">
        <f t="shared" si="517"/>
        <v>#VALUE!</v>
      </c>
      <c r="BS569" s="966" t="e">
        <f t="shared" si="518"/>
        <v>#VALUE!</v>
      </c>
    </row>
    <row r="570" spans="1:71">
      <c r="A570" s="284">
        <f t="shared" si="519"/>
        <v>502</v>
      </c>
      <c r="B570" s="285">
        <v>3.4757265686428647</v>
      </c>
      <c r="C570" s="285">
        <v>2.7368343900023833</v>
      </c>
      <c r="D570" s="285">
        <v>-1.1768314361606809</v>
      </c>
      <c r="E570" s="285">
        <v>6.3295261261078259</v>
      </c>
      <c r="H570" s="685">
        <f t="shared" si="465"/>
        <v>2.34249272687381</v>
      </c>
      <c r="I570" s="276">
        <f t="shared" si="466"/>
        <v>-2.2705086782979285</v>
      </c>
      <c r="J570" s="276">
        <f t="shared" si="467"/>
        <v>-0.8595392799031738</v>
      </c>
      <c r="K570" s="276">
        <f t="shared" si="468"/>
        <v>0.91477845712674966</v>
      </c>
      <c r="L570" s="276">
        <f t="shared" si="469"/>
        <v>5.7195637577886149E-2</v>
      </c>
      <c r="M570" s="276">
        <f t="shared" si="470"/>
        <v>-0.37217933381446078</v>
      </c>
      <c r="N570" s="685">
        <f t="shared" si="471"/>
        <v>1.5296631790305149</v>
      </c>
      <c r="O570" s="276">
        <f t="shared" si="472"/>
        <v>1.3145379814555931</v>
      </c>
      <c r="P570" s="276">
        <f t="shared" si="473"/>
        <v>1.4975539039178478</v>
      </c>
      <c r="Q570" s="276">
        <f t="shared" si="474"/>
        <v>1.9251444274463585</v>
      </c>
      <c r="R570" s="276">
        <f t="shared" si="475"/>
        <v>1.5586872710434083</v>
      </c>
      <c r="S570" s="686">
        <f t="shared" si="476"/>
        <v>1.5696740167773175</v>
      </c>
      <c r="T570" s="685">
        <f t="shared" si="477"/>
        <v>2.101532254110245</v>
      </c>
      <c r="U570" s="276">
        <f t="shared" si="478"/>
        <v>4.3668175960751219</v>
      </c>
      <c r="V570" s="276">
        <f t="shared" si="479"/>
        <v>4.5699148588765013</v>
      </c>
      <c r="W570" s="276">
        <f t="shared" si="480"/>
        <v>6.3867591517118676</v>
      </c>
      <c r="X570" s="276">
        <f t="shared" si="481"/>
        <v>6.3478083442734121</v>
      </c>
      <c r="Y570" s="686">
        <f t="shared" si="482"/>
        <v>5.4901920080933628</v>
      </c>
      <c r="Z570" s="685" t="e">
        <f t="shared" si="483"/>
        <v>#DIV/0!</v>
      </c>
      <c r="AA570" s="276" t="e">
        <f t="shared" si="484"/>
        <v>#DIV/0!</v>
      </c>
      <c r="AB570" s="276" t="e">
        <f t="shared" si="485"/>
        <v>#DIV/0!</v>
      </c>
      <c r="AC570" s="276" t="e">
        <f t="shared" si="486"/>
        <v>#DIV/0!</v>
      </c>
      <c r="AD570" s="276" t="e">
        <f t="shared" si="487"/>
        <v>#DIV/0!</v>
      </c>
      <c r="AE570" s="686" t="e">
        <f t="shared" si="488"/>
        <v>#DIV/0!</v>
      </c>
      <c r="AF570" s="239"/>
      <c r="AG570" s="965" t="e">
        <f t="shared" si="459"/>
        <v>#VALUE!</v>
      </c>
      <c r="AH570" s="878" t="e">
        <f t="shared" si="460"/>
        <v>#VALUE!</v>
      </c>
      <c r="AI570" s="878" t="e">
        <f t="shared" si="461"/>
        <v>#VALUE!</v>
      </c>
      <c r="AJ570" s="878" t="e">
        <f t="shared" si="462"/>
        <v>#VALUE!</v>
      </c>
      <c r="AK570" s="878" t="e">
        <f t="shared" si="463"/>
        <v>#VALUE!</v>
      </c>
      <c r="AL570" s="966" t="e">
        <f t="shared" si="464"/>
        <v>#VALUE!</v>
      </c>
      <c r="AM570" s="239"/>
      <c r="AO570" s="685">
        <f t="shared" si="489"/>
        <v>2.34249272687381</v>
      </c>
      <c r="AP570" s="276">
        <f t="shared" si="490"/>
        <v>-2.2705086782979285</v>
      </c>
      <c r="AQ570" s="276">
        <f t="shared" si="491"/>
        <v>-0.8595392799031738</v>
      </c>
      <c r="AR570" s="276">
        <f t="shared" si="492"/>
        <v>0.91477845712674966</v>
      </c>
      <c r="AS570" s="276">
        <f t="shared" si="493"/>
        <v>5.7195637577886149E-2</v>
      </c>
      <c r="AT570" s="276">
        <f t="shared" si="494"/>
        <v>-0.37217933381446078</v>
      </c>
      <c r="AU570" s="685">
        <f t="shared" si="495"/>
        <v>1.5296631790305149</v>
      </c>
      <c r="AV570" s="276">
        <f t="shared" si="496"/>
        <v>1.3145379814555931</v>
      </c>
      <c r="AW570" s="276">
        <f t="shared" si="497"/>
        <v>1.4975539039178478</v>
      </c>
      <c r="AX570" s="276">
        <f t="shared" si="498"/>
        <v>1.9251444274463585</v>
      </c>
      <c r="AY570" s="276">
        <f t="shared" si="499"/>
        <v>1.5586872710434083</v>
      </c>
      <c r="AZ570" s="686">
        <f t="shared" si="500"/>
        <v>1.5696740167773175</v>
      </c>
      <c r="BA570" s="685">
        <f t="shared" si="501"/>
        <v>0</v>
      </c>
      <c r="BB570" s="276">
        <f t="shared" si="502"/>
        <v>0</v>
      </c>
      <c r="BC570" s="276">
        <f t="shared" si="503"/>
        <v>0</v>
      </c>
      <c r="BD570" s="276">
        <f t="shared" si="504"/>
        <v>0</v>
      </c>
      <c r="BE570" s="276">
        <f t="shared" si="505"/>
        <v>0</v>
      </c>
      <c r="BF570" s="686">
        <f t="shared" si="506"/>
        <v>0</v>
      </c>
      <c r="BG570" s="685" t="e">
        <f t="shared" si="507"/>
        <v>#DIV/0!</v>
      </c>
      <c r="BH570" s="276" t="e">
        <f t="shared" si="508"/>
        <v>#DIV/0!</v>
      </c>
      <c r="BI570" s="276" t="e">
        <f t="shared" si="509"/>
        <v>#DIV/0!</v>
      </c>
      <c r="BJ570" s="276" t="e">
        <f t="shared" si="510"/>
        <v>#DIV/0!</v>
      </c>
      <c r="BK570" s="276" t="e">
        <f t="shared" si="511"/>
        <v>#DIV/0!</v>
      </c>
      <c r="BL570" s="686" t="e">
        <f t="shared" si="512"/>
        <v>#DIV/0!</v>
      </c>
      <c r="BM570" s="239"/>
      <c r="BN570" s="965" t="e">
        <f t="shared" si="513"/>
        <v>#VALUE!</v>
      </c>
      <c r="BO570" s="878" t="e">
        <f t="shared" si="514"/>
        <v>#VALUE!</v>
      </c>
      <c r="BP570" s="878" t="e">
        <f t="shared" si="515"/>
        <v>#VALUE!</v>
      </c>
      <c r="BQ570" s="878" t="e">
        <f t="shared" si="516"/>
        <v>#VALUE!</v>
      </c>
      <c r="BR570" s="878" t="e">
        <f t="shared" si="517"/>
        <v>#VALUE!</v>
      </c>
      <c r="BS570" s="966" t="e">
        <f t="shared" si="518"/>
        <v>#VALUE!</v>
      </c>
    </row>
    <row r="571" spans="1:71">
      <c r="A571" s="284">
        <f t="shared" si="519"/>
        <v>503</v>
      </c>
      <c r="B571" s="285">
        <v>-2.964043735759204</v>
      </c>
      <c r="C571" s="285">
        <v>2.6154604578023188</v>
      </c>
      <c r="D571" s="285">
        <v>1.4230869267021615</v>
      </c>
      <c r="E571" s="285">
        <v>17.515834802423409</v>
      </c>
      <c r="H571" s="685">
        <f t="shared" si="465"/>
        <v>-4.0972775775282591</v>
      </c>
      <c r="I571" s="276">
        <f t="shared" si="466"/>
        <v>3.8452840783075501</v>
      </c>
      <c r="J571" s="276">
        <f t="shared" si="467"/>
        <v>-1.2294022622501832</v>
      </c>
      <c r="K571" s="276">
        <f t="shared" si="468"/>
        <v>-2.0307746970940181</v>
      </c>
      <c r="L571" s="276">
        <f t="shared" si="469"/>
        <v>-2.6575958775559214</v>
      </c>
      <c r="M571" s="276">
        <f t="shared" si="470"/>
        <v>-1.9667641367800173</v>
      </c>
      <c r="N571" s="685">
        <f t="shared" si="471"/>
        <v>1.4082892468304504</v>
      </c>
      <c r="O571" s="276">
        <f t="shared" si="472"/>
        <v>1.544215263668588</v>
      </c>
      <c r="P571" s="276">
        <f t="shared" si="473"/>
        <v>0.88426660796479095</v>
      </c>
      <c r="Q571" s="276">
        <f t="shared" si="474"/>
        <v>1.6669350922344159</v>
      </c>
      <c r="R571" s="276">
        <f t="shared" si="475"/>
        <v>0.83425238939212476</v>
      </c>
      <c r="S571" s="686">
        <f t="shared" si="476"/>
        <v>1.1361023047282315</v>
      </c>
      <c r="T571" s="685">
        <f t="shared" si="477"/>
        <v>4.7014506169730872</v>
      </c>
      <c r="U571" s="276">
        <f t="shared" si="478"/>
        <v>6.678703719551379</v>
      </c>
      <c r="V571" s="276">
        <f t="shared" si="479"/>
        <v>6.4345607674876657</v>
      </c>
      <c r="W571" s="276">
        <f t="shared" si="480"/>
        <v>3.9823255384281881</v>
      </c>
      <c r="X571" s="276">
        <f t="shared" si="481"/>
        <v>4.6193573200468325</v>
      </c>
      <c r="Y571" s="686">
        <f t="shared" si="482"/>
        <v>5.4782739365426307</v>
      </c>
      <c r="Z571" s="685" t="e">
        <f t="shared" si="483"/>
        <v>#DIV/0!</v>
      </c>
      <c r="AA571" s="276" t="e">
        <f t="shared" si="484"/>
        <v>#DIV/0!</v>
      </c>
      <c r="AB571" s="276" t="e">
        <f t="shared" si="485"/>
        <v>#DIV/0!</v>
      </c>
      <c r="AC571" s="276" t="e">
        <f t="shared" si="486"/>
        <v>#DIV/0!</v>
      </c>
      <c r="AD571" s="276" t="e">
        <f t="shared" si="487"/>
        <v>#DIV/0!</v>
      </c>
      <c r="AE571" s="686" t="e">
        <f t="shared" si="488"/>
        <v>#DIV/0!</v>
      </c>
      <c r="AF571" s="239"/>
      <c r="AG571" s="965" t="e">
        <f t="shared" si="459"/>
        <v>#VALUE!</v>
      </c>
      <c r="AH571" s="878" t="e">
        <f t="shared" si="460"/>
        <v>#VALUE!</v>
      </c>
      <c r="AI571" s="878" t="e">
        <f t="shared" si="461"/>
        <v>#VALUE!</v>
      </c>
      <c r="AJ571" s="878" t="e">
        <f t="shared" si="462"/>
        <v>#VALUE!</v>
      </c>
      <c r="AK571" s="878" t="e">
        <f t="shared" si="463"/>
        <v>#VALUE!</v>
      </c>
      <c r="AL571" s="966" t="e">
        <f t="shared" si="464"/>
        <v>#VALUE!</v>
      </c>
      <c r="AM571" s="239"/>
      <c r="AO571" s="685">
        <f t="shared" si="489"/>
        <v>-4.0972775775282591</v>
      </c>
      <c r="AP571" s="276">
        <f t="shared" si="490"/>
        <v>3.8452840783075501</v>
      </c>
      <c r="AQ571" s="276">
        <f t="shared" si="491"/>
        <v>-1.2294022622501832</v>
      </c>
      <c r="AR571" s="276">
        <f t="shared" si="492"/>
        <v>-2.0307746970940181</v>
      </c>
      <c r="AS571" s="276">
        <f t="shared" si="493"/>
        <v>-2.6575958775559214</v>
      </c>
      <c r="AT571" s="276">
        <f t="shared" si="494"/>
        <v>-1.9667641367800173</v>
      </c>
      <c r="AU571" s="685">
        <f t="shared" si="495"/>
        <v>1.4082892468304504</v>
      </c>
      <c r="AV571" s="276">
        <f t="shared" si="496"/>
        <v>1.544215263668588</v>
      </c>
      <c r="AW571" s="276">
        <f t="shared" si="497"/>
        <v>0.88426660796479095</v>
      </c>
      <c r="AX571" s="276">
        <f t="shared" si="498"/>
        <v>1.6669350922344159</v>
      </c>
      <c r="AY571" s="276">
        <f t="shared" si="499"/>
        <v>0.83425238939212476</v>
      </c>
      <c r="AZ571" s="686">
        <f t="shared" si="500"/>
        <v>1.1361023047282315</v>
      </c>
      <c r="BA571" s="685">
        <f t="shared" si="501"/>
        <v>0</v>
      </c>
      <c r="BB571" s="276">
        <f t="shared" si="502"/>
        <v>0</v>
      </c>
      <c r="BC571" s="276">
        <f t="shared" si="503"/>
        <v>0</v>
      </c>
      <c r="BD571" s="276">
        <f t="shared" si="504"/>
        <v>0</v>
      </c>
      <c r="BE571" s="276">
        <f t="shared" si="505"/>
        <v>0</v>
      </c>
      <c r="BF571" s="686">
        <f t="shared" si="506"/>
        <v>0</v>
      </c>
      <c r="BG571" s="685" t="e">
        <f t="shared" si="507"/>
        <v>#DIV/0!</v>
      </c>
      <c r="BH571" s="276" t="e">
        <f t="shared" si="508"/>
        <v>#DIV/0!</v>
      </c>
      <c r="BI571" s="276" t="e">
        <f t="shared" si="509"/>
        <v>#DIV/0!</v>
      </c>
      <c r="BJ571" s="276" t="e">
        <f t="shared" si="510"/>
        <v>#DIV/0!</v>
      </c>
      <c r="BK571" s="276" t="e">
        <f t="shared" si="511"/>
        <v>#DIV/0!</v>
      </c>
      <c r="BL571" s="686" t="e">
        <f t="shared" si="512"/>
        <v>#DIV/0!</v>
      </c>
      <c r="BM571" s="239"/>
      <c r="BN571" s="965" t="e">
        <f t="shared" si="513"/>
        <v>#VALUE!</v>
      </c>
      <c r="BO571" s="878" t="e">
        <f t="shared" si="514"/>
        <v>#VALUE!</v>
      </c>
      <c r="BP571" s="878" t="e">
        <f t="shared" si="515"/>
        <v>#VALUE!</v>
      </c>
      <c r="BQ571" s="878" t="e">
        <f t="shared" si="516"/>
        <v>#VALUE!</v>
      </c>
      <c r="BR571" s="878" t="e">
        <f t="shared" si="517"/>
        <v>#VALUE!</v>
      </c>
      <c r="BS571" s="966" t="e">
        <f t="shared" si="518"/>
        <v>#VALUE!</v>
      </c>
    </row>
    <row r="572" spans="1:71">
      <c r="A572" s="284">
        <f t="shared" si="519"/>
        <v>504</v>
      </c>
      <c r="B572" s="285">
        <v>-1.0248237697499438</v>
      </c>
      <c r="C572" s="285">
        <v>1.7582456129304236</v>
      </c>
      <c r="D572" s="285">
        <v>-0.39079335733251019</v>
      </c>
      <c r="E572" s="285">
        <v>-9.8522834720893915</v>
      </c>
      <c r="H572" s="685">
        <f t="shared" si="465"/>
        <v>-2.1580576115189984</v>
      </c>
      <c r="I572" s="276">
        <f t="shared" si="466"/>
        <v>-1.7929416790543717</v>
      </c>
      <c r="J572" s="276">
        <f t="shared" si="467"/>
        <v>0.18869770049503543</v>
      </c>
      <c r="K572" s="276">
        <f t="shared" si="468"/>
        <v>-1.8156278120921467</v>
      </c>
      <c r="L572" s="276">
        <f t="shared" si="469"/>
        <v>-5.250221304286943</v>
      </c>
      <c r="M572" s="276">
        <f t="shared" si="470"/>
        <v>0.53679747337504624</v>
      </c>
      <c r="N572" s="685">
        <f t="shared" si="471"/>
        <v>0.55107440195855517</v>
      </c>
      <c r="O572" s="276">
        <f t="shared" si="472"/>
        <v>1.5018789719275267</v>
      </c>
      <c r="P572" s="276">
        <f t="shared" si="473"/>
        <v>1.4914286669536965</v>
      </c>
      <c r="Q572" s="276">
        <f t="shared" si="474"/>
        <v>1.2595638533331754</v>
      </c>
      <c r="R572" s="276">
        <f t="shared" si="475"/>
        <v>1.8271977325564241</v>
      </c>
      <c r="S572" s="686">
        <f t="shared" si="476"/>
        <v>2.1712076003856531</v>
      </c>
      <c r="T572" s="685">
        <f t="shared" si="477"/>
        <v>2.8875703329384157</v>
      </c>
      <c r="U572" s="276">
        <f t="shared" si="478"/>
        <v>5.141355020252302</v>
      </c>
      <c r="V572" s="276">
        <f t="shared" si="479"/>
        <v>6.602966944318756</v>
      </c>
      <c r="W572" s="276">
        <f t="shared" si="480"/>
        <v>2.5235939682298731</v>
      </c>
      <c r="X572" s="276">
        <f t="shared" si="481"/>
        <v>4.2712956692967445</v>
      </c>
      <c r="Y572" s="686">
        <f t="shared" si="482"/>
        <v>4.0182659500141789</v>
      </c>
      <c r="Z572" s="685" t="e">
        <f t="shared" si="483"/>
        <v>#DIV/0!</v>
      </c>
      <c r="AA572" s="276" t="e">
        <f t="shared" si="484"/>
        <v>#DIV/0!</v>
      </c>
      <c r="AB572" s="276" t="e">
        <f t="shared" si="485"/>
        <v>#DIV/0!</v>
      </c>
      <c r="AC572" s="276" t="e">
        <f t="shared" si="486"/>
        <v>#DIV/0!</v>
      </c>
      <c r="AD572" s="276" t="e">
        <f t="shared" si="487"/>
        <v>#DIV/0!</v>
      </c>
      <c r="AE572" s="686" t="e">
        <f t="shared" si="488"/>
        <v>#DIV/0!</v>
      </c>
      <c r="AF572" s="239"/>
      <c r="AG572" s="965" t="e">
        <f t="shared" si="459"/>
        <v>#VALUE!</v>
      </c>
      <c r="AH572" s="878" t="e">
        <f t="shared" si="460"/>
        <v>#VALUE!</v>
      </c>
      <c r="AI572" s="878" t="e">
        <f t="shared" si="461"/>
        <v>#VALUE!</v>
      </c>
      <c r="AJ572" s="878" t="e">
        <f t="shared" si="462"/>
        <v>#VALUE!</v>
      </c>
      <c r="AK572" s="878" t="e">
        <f t="shared" si="463"/>
        <v>#VALUE!</v>
      </c>
      <c r="AL572" s="966" t="e">
        <f t="shared" si="464"/>
        <v>#VALUE!</v>
      </c>
      <c r="AM572" s="239"/>
      <c r="AO572" s="685">
        <f t="shared" si="489"/>
        <v>-2.1580576115189984</v>
      </c>
      <c r="AP572" s="276">
        <f t="shared" si="490"/>
        <v>-1.7929416790543717</v>
      </c>
      <c r="AQ572" s="276">
        <f t="shared" si="491"/>
        <v>0.18869770049503543</v>
      </c>
      <c r="AR572" s="276">
        <f t="shared" si="492"/>
        <v>-1.8156278120921467</v>
      </c>
      <c r="AS572" s="276">
        <f t="shared" si="493"/>
        <v>-5.250221304286943</v>
      </c>
      <c r="AT572" s="276">
        <f t="shared" si="494"/>
        <v>0.53679747337504624</v>
      </c>
      <c r="AU572" s="685">
        <f t="shared" si="495"/>
        <v>0.55107440195855517</v>
      </c>
      <c r="AV572" s="276">
        <f t="shared" si="496"/>
        <v>1.5018789719275267</v>
      </c>
      <c r="AW572" s="276">
        <f t="shared" si="497"/>
        <v>1.4914286669536965</v>
      </c>
      <c r="AX572" s="276">
        <f t="shared" si="498"/>
        <v>1.2595638533331754</v>
      </c>
      <c r="AY572" s="276">
        <f t="shared" si="499"/>
        <v>1.8271977325564241</v>
      </c>
      <c r="AZ572" s="686">
        <f t="shared" si="500"/>
        <v>2.1712076003856531</v>
      </c>
      <c r="BA572" s="685">
        <f t="shared" si="501"/>
        <v>0</v>
      </c>
      <c r="BB572" s="276">
        <f t="shared" si="502"/>
        <v>0</v>
      </c>
      <c r="BC572" s="276">
        <f t="shared" si="503"/>
        <v>0</v>
      </c>
      <c r="BD572" s="276">
        <f t="shared" si="504"/>
        <v>0</v>
      </c>
      <c r="BE572" s="276">
        <f t="shared" si="505"/>
        <v>0</v>
      </c>
      <c r="BF572" s="686">
        <f t="shared" si="506"/>
        <v>0</v>
      </c>
      <c r="BG572" s="685" t="e">
        <f t="shared" si="507"/>
        <v>#DIV/0!</v>
      </c>
      <c r="BH572" s="276" t="e">
        <f t="shared" si="508"/>
        <v>#DIV/0!</v>
      </c>
      <c r="BI572" s="276" t="e">
        <f t="shared" si="509"/>
        <v>#DIV/0!</v>
      </c>
      <c r="BJ572" s="276" t="e">
        <f t="shared" si="510"/>
        <v>#DIV/0!</v>
      </c>
      <c r="BK572" s="276" t="e">
        <f t="shared" si="511"/>
        <v>#DIV/0!</v>
      </c>
      <c r="BL572" s="686" t="e">
        <f t="shared" si="512"/>
        <v>#DIV/0!</v>
      </c>
      <c r="BM572" s="239"/>
      <c r="BN572" s="965" t="e">
        <f t="shared" si="513"/>
        <v>#VALUE!</v>
      </c>
      <c r="BO572" s="878" t="e">
        <f t="shared" si="514"/>
        <v>#VALUE!</v>
      </c>
      <c r="BP572" s="878" t="e">
        <f t="shared" si="515"/>
        <v>#VALUE!</v>
      </c>
      <c r="BQ572" s="878" t="e">
        <f t="shared" si="516"/>
        <v>#VALUE!</v>
      </c>
      <c r="BR572" s="878" t="e">
        <f t="shared" si="517"/>
        <v>#VALUE!</v>
      </c>
      <c r="BS572" s="966" t="e">
        <f t="shared" si="518"/>
        <v>#VALUE!</v>
      </c>
    </row>
    <row r="573" spans="1:71">
      <c r="A573" s="284">
        <f t="shared" si="519"/>
        <v>505</v>
      </c>
      <c r="B573" s="285">
        <v>2.5479518551852682</v>
      </c>
      <c r="C573" s="285">
        <v>2.4981824190790642</v>
      </c>
      <c r="D573" s="285">
        <v>3.5074469439467135</v>
      </c>
      <c r="E573" s="285">
        <v>-22.185245441599871</v>
      </c>
      <c r="H573" s="685">
        <f t="shared" si="465"/>
        <v>1.4147180134162134</v>
      </c>
      <c r="I573" s="276">
        <f t="shared" si="466"/>
        <v>-2.4998670997931969</v>
      </c>
      <c r="J573" s="276">
        <f t="shared" si="467"/>
        <v>-1.2567749934485557</v>
      </c>
      <c r="K573" s="276">
        <f t="shared" si="468"/>
        <v>4.9444253275841845</v>
      </c>
      <c r="L573" s="276">
        <f t="shared" si="469"/>
        <v>-3.7854814105508119</v>
      </c>
      <c r="M573" s="276">
        <f t="shared" si="470"/>
        <v>-1.1573081695786336</v>
      </c>
      <c r="N573" s="685">
        <f t="shared" si="471"/>
        <v>1.2910112081071958</v>
      </c>
      <c r="O573" s="276">
        <f t="shared" si="472"/>
        <v>1.365005825727412</v>
      </c>
      <c r="P573" s="276">
        <f t="shared" si="473"/>
        <v>1.3773130671900045</v>
      </c>
      <c r="Q573" s="276">
        <f t="shared" si="474"/>
        <v>1.0664611063286615</v>
      </c>
      <c r="R573" s="276">
        <f t="shared" si="475"/>
        <v>1.5307778158167655</v>
      </c>
      <c r="S573" s="686">
        <f t="shared" si="476"/>
        <v>1.1954501058863307</v>
      </c>
      <c r="T573" s="685">
        <f t="shared" si="477"/>
        <v>6.7858106342176399</v>
      </c>
      <c r="U573" s="276">
        <f t="shared" si="478"/>
        <v>5.0955693321996147</v>
      </c>
      <c r="V573" s="276">
        <f t="shared" si="479"/>
        <v>7.2101731084022234</v>
      </c>
      <c r="W573" s="276">
        <f t="shared" si="480"/>
        <v>8.1717876740099769</v>
      </c>
      <c r="X573" s="276">
        <f t="shared" si="481"/>
        <v>3.748640266742568</v>
      </c>
      <c r="Y573" s="686">
        <f t="shared" si="482"/>
        <v>5.0759073709168243</v>
      </c>
      <c r="Z573" s="685" t="e">
        <f t="shared" si="483"/>
        <v>#DIV/0!</v>
      </c>
      <c r="AA573" s="276" t="e">
        <f t="shared" si="484"/>
        <v>#DIV/0!</v>
      </c>
      <c r="AB573" s="276" t="e">
        <f t="shared" si="485"/>
        <v>#DIV/0!</v>
      </c>
      <c r="AC573" s="276" t="e">
        <f t="shared" si="486"/>
        <v>#DIV/0!</v>
      </c>
      <c r="AD573" s="276" t="e">
        <f t="shared" si="487"/>
        <v>#DIV/0!</v>
      </c>
      <c r="AE573" s="686" t="e">
        <f t="shared" si="488"/>
        <v>#DIV/0!</v>
      </c>
      <c r="AF573" s="239"/>
      <c r="AG573" s="965" t="e">
        <f t="shared" si="459"/>
        <v>#VALUE!</v>
      </c>
      <c r="AH573" s="878" t="e">
        <f t="shared" si="460"/>
        <v>#VALUE!</v>
      </c>
      <c r="AI573" s="878" t="e">
        <f t="shared" si="461"/>
        <v>#VALUE!</v>
      </c>
      <c r="AJ573" s="878" t="e">
        <f t="shared" si="462"/>
        <v>#VALUE!</v>
      </c>
      <c r="AK573" s="878" t="e">
        <f t="shared" si="463"/>
        <v>#VALUE!</v>
      </c>
      <c r="AL573" s="966" t="e">
        <f t="shared" si="464"/>
        <v>#VALUE!</v>
      </c>
      <c r="AM573" s="239"/>
      <c r="AO573" s="685">
        <f t="shared" si="489"/>
        <v>1.4147180134162134</v>
      </c>
      <c r="AP573" s="276">
        <f t="shared" si="490"/>
        <v>-2.4998670997931969</v>
      </c>
      <c r="AQ573" s="276">
        <f t="shared" si="491"/>
        <v>-1.2567749934485557</v>
      </c>
      <c r="AR573" s="276">
        <f t="shared" si="492"/>
        <v>4.9444253275841845</v>
      </c>
      <c r="AS573" s="276">
        <f t="shared" si="493"/>
        <v>-3.7854814105508119</v>
      </c>
      <c r="AT573" s="276">
        <f t="shared" si="494"/>
        <v>-1.1573081695786336</v>
      </c>
      <c r="AU573" s="685">
        <f t="shared" si="495"/>
        <v>1.2910112081071958</v>
      </c>
      <c r="AV573" s="276">
        <f t="shared" si="496"/>
        <v>1.365005825727412</v>
      </c>
      <c r="AW573" s="276">
        <f t="shared" si="497"/>
        <v>1.3773130671900045</v>
      </c>
      <c r="AX573" s="276">
        <f t="shared" si="498"/>
        <v>1.0664611063286615</v>
      </c>
      <c r="AY573" s="276">
        <f t="shared" si="499"/>
        <v>1.5307778158167655</v>
      </c>
      <c r="AZ573" s="686">
        <f t="shared" si="500"/>
        <v>1.1954501058863307</v>
      </c>
      <c r="BA573" s="685">
        <f t="shared" si="501"/>
        <v>0</v>
      </c>
      <c r="BB573" s="276">
        <f t="shared" si="502"/>
        <v>0</v>
      </c>
      <c r="BC573" s="276">
        <f t="shared" si="503"/>
        <v>0</v>
      </c>
      <c r="BD573" s="276">
        <f t="shared" si="504"/>
        <v>0</v>
      </c>
      <c r="BE573" s="276">
        <f t="shared" si="505"/>
        <v>0</v>
      </c>
      <c r="BF573" s="686">
        <f t="shared" si="506"/>
        <v>0</v>
      </c>
      <c r="BG573" s="685" t="e">
        <f t="shared" si="507"/>
        <v>#DIV/0!</v>
      </c>
      <c r="BH573" s="276" t="e">
        <f t="shared" si="508"/>
        <v>#DIV/0!</v>
      </c>
      <c r="BI573" s="276" t="e">
        <f t="shared" si="509"/>
        <v>#DIV/0!</v>
      </c>
      <c r="BJ573" s="276" t="e">
        <f t="shared" si="510"/>
        <v>#DIV/0!</v>
      </c>
      <c r="BK573" s="276" t="e">
        <f t="shared" si="511"/>
        <v>#DIV/0!</v>
      </c>
      <c r="BL573" s="686" t="e">
        <f t="shared" si="512"/>
        <v>#DIV/0!</v>
      </c>
      <c r="BM573" s="239"/>
      <c r="BN573" s="965" t="e">
        <f t="shared" si="513"/>
        <v>#VALUE!</v>
      </c>
      <c r="BO573" s="878" t="e">
        <f t="shared" si="514"/>
        <v>#VALUE!</v>
      </c>
      <c r="BP573" s="878" t="e">
        <f t="shared" si="515"/>
        <v>#VALUE!</v>
      </c>
      <c r="BQ573" s="878" t="e">
        <f t="shared" si="516"/>
        <v>#VALUE!</v>
      </c>
      <c r="BR573" s="878" t="e">
        <f t="shared" si="517"/>
        <v>#VALUE!</v>
      </c>
      <c r="BS573" s="966" t="e">
        <f t="shared" si="518"/>
        <v>#VALUE!</v>
      </c>
    </row>
    <row r="574" spans="1:71">
      <c r="A574" s="284">
        <f t="shared" si="519"/>
        <v>506</v>
      </c>
      <c r="B574" s="285">
        <v>0.3986907897715587</v>
      </c>
      <c r="C574" s="285">
        <v>2.2434372328592205</v>
      </c>
      <c r="D574" s="285">
        <v>1.089729496314096</v>
      </c>
      <c r="E574" s="285">
        <v>-15.289123219090541</v>
      </c>
      <c r="H574" s="685">
        <f t="shared" si="465"/>
        <v>-0.73454305199749614</v>
      </c>
      <c r="I574" s="276">
        <f t="shared" si="466"/>
        <v>0.66388504027489126</v>
      </c>
      <c r="J574" s="276">
        <f t="shared" si="467"/>
        <v>-4.8766941837797164</v>
      </c>
      <c r="K574" s="276">
        <f t="shared" si="468"/>
        <v>4.1645973330437114</v>
      </c>
      <c r="L574" s="276">
        <f t="shared" si="469"/>
        <v>-1.2294251289748344</v>
      </c>
      <c r="M574" s="276">
        <f t="shared" si="470"/>
        <v>-1.2371867574223419</v>
      </c>
      <c r="N574" s="685">
        <f t="shared" si="471"/>
        <v>1.0362660218873521</v>
      </c>
      <c r="O574" s="276">
        <f t="shared" si="472"/>
        <v>1.2743548596678835</v>
      </c>
      <c r="P574" s="276">
        <f t="shared" si="473"/>
        <v>0.96395104005092924</v>
      </c>
      <c r="Q574" s="276">
        <f t="shared" si="474"/>
        <v>1.6347274915824384</v>
      </c>
      <c r="R574" s="276">
        <f t="shared" si="475"/>
        <v>1.5769960832880801</v>
      </c>
      <c r="S574" s="686">
        <f t="shared" si="476"/>
        <v>1.6731148050773521</v>
      </c>
      <c r="T574" s="685">
        <f t="shared" si="477"/>
        <v>4.3680931865850221</v>
      </c>
      <c r="U574" s="276">
        <f t="shared" si="478"/>
        <v>6.0171803649102209</v>
      </c>
      <c r="V574" s="276">
        <f t="shared" si="479"/>
        <v>2.714116481657034</v>
      </c>
      <c r="W574" s="276">
        <f t="shared" si="480"/>
        <v>4.7687067347311647</v>
      </c>
      <c r="X574" s="276">
        <f t="shared" si="481"/>
        <v>3.0170415186480106</v>
      </c>
      <c r="Y574" s="686">
        <f t="shared" si="482"/>
        <v>3.5947553356633959</v>
      </c>
      <c r="Z574" s="685" t="e">
        <f t="shared" si="483"/>
        <v>#DIV/0!</v>
      </c>
      <c r="AA574" s="276" t="e">
        <f t="shared" si="484"/>
        <v>#DIV/0!</v>
      </c>
      <c r="AB574" s="276" t="e">
        <f t="shared" si="485"/>
        <v>#DIV/0!</v>
      </c>
      <c r="AC574" s="276" t="e">
        <f t="shared" si="486"/>
        <v>#DIV/0!</v>
      </c>
      <c r="AD574" s="276" t="e">
        <f t="shared" si="487"/>
        <v>#DIV/0!</v>
      </c>
      <c r="AE574" s="686" t="e">
        <f t="shared" si="488"/>
        <v>#DIV/0!</v>
      </c>
      <c r="AF574" s="239"/>
      <c r="AG574" s="965" t="e">
        <f t="shared" si="459"/>
        <v>#VALUE!</v>
      </c>
      <c r="AH574" s="878" t="e">
        <f t="shared" si="460"/>
        <v>#VALUE!</v>
      </c>
      <c r="AI574" s="878" t="e">
        <f t="shared" si="461"/>
        <v>#VALUE!</v>
      </c>
      <c r="AJ574" s="878" t="e">
        <f t="shared" si="462"/>
        <v>#VALUE!</v>
      </c>
      <c r="AK574" s="878" t="e">
        <f t="shared" si="463"/>
        <v>#VALUE!</v>
      </c>
      <c r="AL574" s="966" t="e">
        <f t="shared" si="464"/>
        <v>#VALUE!</v>
      </c>
      <c r="AM574" s="239"/>
      <c r="AO574" s="685">
        <f t="shared" si="489"/>
        <v>-0.73454305199749614</v>
      </c>
      <c r="AP574" s="276">
        <f t="shared" si="490"/>
        <v>0.66388504027489126</v>
      </c>
      <c r="AQ574" s="276">
        <f t="shared" si="491"/>
        <v>-4.8766941837797164</v>
      </c>
      <c r="AR574" s="276">
        <f t="shared" si="492"/>
        <v>4.1645973330437114</v>
      </c>
      <c r="AS574" s="276">
        <f t="shared" si="493"/>
        <v>-1.2294251289748344</v>
      </c>
      <c r="AT574" s="276">
        <f t="shared" si="494"/>
        <v>-1.2371867574223419</v>
      </c>
      <c r="AU574" s="685">
        <f t="shared" si="495"/>
        <v>1.0362660218873521</v>
      </c>
      <c r="AV574" s="276">
        <f t="shared" si="496"/>
        <v>1.2743548596678835</v>
      </c>
      <c r="AW574" s="276">
        <f t="shared" si="497"/>
        <v>0.96395104005092924</v>
      </c>
      <c r="AX574" s="276">
        <f t="shared" si="498"/>
        <v>1.6347274915824384</v>
      </c>
      <c r="AY574" s="276">
        <f t="shared" si="499"/>
        <v>1.5769960832880801</v>
      </c>
      <c r="AZ574" s="686">
        <f t="shared" si="500"/>
        <v>1.6731148050773521</v>
      </c>
      <c r="BA574" s="685">
        <f t="shared" si="501"/>
        <v>0</v>
      </c>
      <c r="BB574" s="276">
        <f t="shared" si="502"/>
        <v>0</v>
      </c>
      <c r="BC574" s="276">
        <f t="shared" si="503"/>
        <v>0</v>
      </c>
      <c r="BD574" s="276">
        <f t="shared" si="504"/>
        <v>0</v>
      </c>
      <c r="BE574" s="276">
        <f t="shared" si="505"/>
        <v>0</v>
      </c>
      <c r="BF574" s="686">
        <f t="shared" si="506"/>
        <v>0</v>
      </c>
      <c r="BG574" s="685" t="e">
        <f t="shared" si="507"/>
        <v>#DIV/0!</v>
      </c>
      <c r="BH574" s="276" t="e">
        <f t="shared" si="508"/>
        <v>#DIV/0!</v>
      </c>
      <c r="BI574" s="276" t="e">
        <f t="shared" si="509"/>
        <v>#DIV/0!</v>
      </c>
      <c r="BJ574" s="276" t="e">
        <f t="shared" si="510"/>
        <v>#DIV/0!</v>
      </c>
      <c r="BK574" s="276" t="e">
        <f t="shared" si="511"/>
        <v>#DIV/0!</v>
      </c>
      <c r="BL574" s="686" t="e">
        <f t="shared" si="512"/>
        <v>#DIV/0!</v>
      </c>
      <c r="BM574" s="239"/>
      <c r="BN574" s="965" t="e">
        <f t="shared" si="513"/>
        <v>#VALUE!</v>
      </c>
      <c r="BO574" s="878" t="e">
        <f t="shared" si="514"/>
        <v>#VALUE!</v>
      </c>
      <c r="BP574" s="878" t="e">
        <f t="shared" si="515"/>
        <v>#VALUE!</v>
      </c>
      <c r="BQ574" s="878" t="e">
        <f t="shared" si="516"/>
        <v>#VALUE!</v>
      </c>
      <c r="BR574" s="878" t="e">
        <f t="shared" si="517"/>
        <v>#VALUE!</v>
      </c>
      <c r="BS574" s="966" t="e">
        <f t="shared" si="518"/>
        <v>#VALUE!</v>
      </c>
    </row>
    <row r="575" spans="1:71">
      <c r="A575" s="284">
        <f t="shared" si="519"/>
        <v>507</v>
      </c>
      <c r="B575" s="285">
        <v>0.85734675907026492</v>
      </c>
      <c r="C575" s="285">
        <v>2.6591127315148868</v>
      </c>
      <c r="D575" s="285">
        <v>0.59588597815562561</v>
      </c>
      <c r="E575" s="285">
        <v>-0.16376390045539502</v>
      </c>
      <c r="H575" s="685">
        <f t="shared" si="465"/>
        <v>-0.27588708269878992</v>
      </c>
      <c r="I575" s="276">
        <f t="shared" si="466"/>
        <v>6.3163695956796362</v>
      </c>
      <c r="J575" s="276">
        <f t="shared" si="467"/>
        <v>-1.0346440166352031</v>
      </c>
      <c r="K575" s="276">
        <f t="shared" si="468"/>
        <v>0.28109344974572448</v>
      </c>
      <c r="L575" s="276">
        <f t="shared" si="469"/>
        <v>-1.8434527788741226</v>
      </c>
      <c r="M575" s="276">
        <f t="shared" si="470"/>
        <v>2.1872275804469954</v>
      </c>
      <c r="N575" s="685">
        <f t="shared" si="471"/>
        <v>1.4519415205430184</v>
      </c>
      <c r="O575" s="276">
        <f t="shared" si="472"/>
        <v>1.530736524568286</v>
      </c>
      <c r="P575" s="276">
        <f t="shared" si="473"/>
        <v>0.68476811781748892</v>
      </c>
      <c r="Q575" s="276">
        <f t="shared" si="474"/>
        <v>1.0858192251280421</v>
      </c>
      <c r="R575" s="276">
        <f t="shared" si="475"/>
        <v>0.77797045978467771</v>
      </c>
      <c r="S575" s="686">
        <f t="shared" si="476"/>
        <v>1.6608786969504712</v>
      </c>
      <c r="T575" s="685">
        <f t="shared" si="477"/>
        <v>3.8742496684265513</v>
      </c>
      <c r="U575" s="276">
        <f t="shared" si="478"/>
        <v>6.006370990309204</v>
      </c>
      <c r="V575" s="276">
        <f t="shared" si="479"/>
        <v>6.7064077325958813</v>
      </c>
      <c r="W575" s="276">
        <f t="shared" si="480"/>
        <v>3.7587052415443303</v>
      </c>
      <c r="X575" s="276">
        <f t="shared" si="481"/>
        <v>5.4838225605444491</v>
      </c>
      <c r="Y575" s="686">
        <f t="shared" si="482"/>
        <v>3.6354652921896049</v>
      </c>
      <c r="Z575" s="685" t="e">
        <f t="shared" si="483"/>
        <v>#DIV/0!</v>
      </c>
      <c r="AA575" s="276" t="e">
        <f t="shared" si="484"/>
        <v>#DIV/0!</v>
      </c>
      <c r="AB575" s="276" t="e">
        <f t="shared" si="485"/>
        <v>#DIV/0!</v>
      </c>
      <c r="AC575" s="276" t="e">
        <f t="shared" si="486"/>
        <v>#DIV/0!</v>
      </c>
      <c r="AD575" s="276" t="e">
        <f t="shared" si="487"/>
        <v>#DIV/0!</v>
      </c>
      <c r="AE575" s="686" t="e">
        <f t="shared" si="488"/>
        <v>#DIV/0!</v>
      </c>
      <c r="AF575" s="239"/>
      <c r="AG575" s="965" t="e">
        <f t="shared" si="459"/>
        <v>#VALUE!</v>
      </c>
      <c r="AH575" s="878" t="e">
        <f t="shared" si="460"/>
        <v>#VALUE!</v>
      </c>
      <c r="AI575" s="878" t="e">
        <f t="shared" si="461"/>
        <v>#VALUE!</v>
      </c>
      <c r="AJ575" s="878" t="e">
        <f t="shared" si="462"/>
        <v>#VALUE!</v>
      </c>
      <c r="AK575" s="878" t="e">
        <f t="shared" si="463"/>
        <v>#VALUE!</v>
      </c>
      <c r="AL575" s="966" t="e">
        <f t="shared" si="464"/>
        <v>#VALUE!</v>
      </c>
      <c r="AM575" s="239"/>
      <c r="AO575" s="685">
        <f t="shared" si="489"/>
        <v>-0.27588708269878992</v>
      </c>
      <c r="AP575" s="276">
        <f t="shared" si="490"/>
        <v>6.3163695956796362</v>
      </c>
      <c r="AQ575" s="276">
        <f t="shared" si="491"/>
        <v>-1.0346440166352031</v>
      </c>
      <c r="AR575" s="276">
        <f t="shared" si="492"/>
        <v>0.28109344974572448</v>
      </c>
      <c r="AS575" s="276">
        <f t="shared" si="493"/>
        <v>-1.8434527788741226</v>
      </c>
      <c r="AT575" s="276">
        <f t="shared" si="494"/>
        <v>2.1872275804469954</v>
      </c>
      <c r="AU575" s="685">
        <f t="shared" si="495"/>
        <v>1.4519415205430184</v>
      </c>
      <c r="AV575" s="276">
        <f t="shared" si="496"/>
        <v>1.530736524568286</v>
      </c>
      <c r="AW575" s="276">
        <f t="shared" si="497"/>
        <v>0.68476811781748892</v>
      </c>
      <c r="AX575" s="276">
        <f t="shared" si="498"/>
        <v>1.0858192251280421</v>
      </c>
      <c r="AY575" s="276">
        <f t="shared" si="499"/>
        <v>0.77797045978467771</v>
      </c>
      <c r="AZ575" s="686">
        <f t="shared" si="500"/>
        <v>1.6608786969504712</v>
      </c>
      <c r="BA575" s="685">
        <f t="shared" si="501"/>
        <v>0</v>
      </c>
      <c r="BB575" s="276">
        <f t="shared" si="502"/>
        <v>0</v>
      </c>
      <c r="BC575" s="276">
        <f t="shared" si="503"/>
        <v>0</v>
      </c>
      <c r="BD575" s="276">
        <f t="shared" si="504"/>
        <v>0</v>
      </c>
      <c r="BE575" s="276">
        <f t="shared" si="505"/>
        <v>0</v>
      </c>
      <c r="BF575" s="686">
        <f t="shared" si="506"/>
        <v>0</v>
      </c>
      <c r="BG575" s="685" t="e">
        <f t="shared" si="507"/>
        <v>#DIV/0!</v>
      </c>
      <c r="BH575" s="276" t="e">
        <f t="shared" si="508"/>
        <v>#DIV/0!</v>
      </c>
      <c r="BI575" s="276" t="e">
        <f t="shared" si="509"/>
        <v>#DIV/0!</v>
      </c>
      <c r="BJ575" s="276" t="e">
        <f t="shared" si="510"/>
        <v>#DIV/0!</v>
      </c>
      <c r="BK575" s="276" t="e">
        <f t="shared" si="511"/>
        <v>#DIV/0!</v>
      </c>
      <c r="BL575" s="686" t="e">
        <f t="shared" si="512"/>
        <v>#DIV/0!</v>
      </c>
      <c r="BM575" s="239"/>
      <c r="BN575" s="965" t="e">
        <f t="shared" si="513"/>
        <v>#VALUE!</v>
      </c>
      <c r="BO575" s="878" t="e">
        <f t="shared" si="514"/>
        <v>#VALUE!</v>
      </c>
      <c r="BP575" s="878" t="e">
        <f t="shared" si="515"/>
        <v>#VALUE!</v>
      </c>
      <c r="BQ575" s="878" t="e">
        <f t="shared" si="516"/>
        <v>#VALUE!</v>
      </c>
      <c r="BR575" s="878" t="e">
        <f t="shared" si="517"/>
        <v>#VALUE!</v>
      </c>
      <c r="BS575" s="966" t="e">
        <f t="shared" si="518"/>
        <v>#VALUE!</v>
      </c>
    </row>
    <row r="576" spans="1:71">
      <c r="A576" s="284">
        <f t="shared" si="519"/>
        <v>508</v>
      </c>
      <c r="B576" s="285">
        <v>-0.47594071026556883</v>
      </c>
      <c r="C576" s="285">
        <v>2.7528618542342231</v>
      </c>
      <c r="D576" s="285">
        <v>-0.13335237437052383</v>
      </c>
      <c r="E576" s="285">
        <v>6.535147893397081</v>
      </c>
      <c r="H576" s="685">
        <f t="shared" si="465"/>
        <v>-1.6091745520346237</v>
      </c>
      <c r="I576" s="276">
        <f t="shared" si="466"/>
        <v>3.4871316217609563</v>
      </c>
      <c r="J576" s="276">
        <f t="shared" si="467"/>
        <v>-6.3951863224557499</v>
      </c>
      <c r="K576" s="276">
        <f t="shared" si="468"/>
        <v>0.48188555110086329</v>
      </c>
      <c r="L576" s="276">
        <f t="shared" si="469"/>
        <v>-1.4220606064473824</v>
      </c>
      <c r="M576" s="276">
        <f t="shared" si="470"/>
        <v>-0.34048461881468317</v>
      </c>
      <c r="N576" s="685">
        <f t="shared" si="471"/>
        <v>1.5456906432623547</v>
      </c>
      <c r="O576" s="276">
        <f t="shared" si="472"/>
        <v>1.3631172150701858</v>
      </c>
      <c r="P576" s="276">
        <f t="shared" si="473"/>
        <v>0.82381917452823283</v>
      </c>
      <c r="Q576" s="276">
        <f t="shared" si="474"/>
        <v>0.53112405313266531</v>
      </c>
      <c r="R576" s="276">
        <f t="shared" si="475"/>
        <v>0.95940761269714758</v>
      </c>
      <c r="S576" s="686">
        <f t="shared" si="476"/>
        <v>0.80687382861416501</v>
      </c>
      <c r="T576" s="685">
        <f t="shared" si="477"/>
        <v>3.1450113159004021</v>
      </c>
      <c r="U576" s="276">
        <f t="shared" si="478"/>
        <v>5.2245604048578134</v>
      </c>
      <c r="V576" s="276">
        <f t="shared" si="479"/>
        <v>5.2899461096956326</v>
      </c>
      <c r="W576" s="276">
        <f t="shared" si="480"/>
        <v>4.7715688698349679</v>
      </c>
      <c r="X576" s="276">
        <f t="shared" si="481"/>
        <v>3.6462382460226155</v>
      </c>
      <c r="Y576" s="686">
        <f t="shared" si="482"/>
        <v>4.2962048753914637</v>
      </c>
      <c r="Z576" s="685" t="e">
        <f t="shared" si="483"/>
        <v>#DIV/0!</v>
      </c>
      <c r="AA576" s="276" t="e">
        <f t="shared" si="484"/>
        <v>#DIV/0!</v>
      </c>
      <c r="AB576" s="276" t="e">
        <f t="shared" si="485"/>
        <v>#DIV/0!</v>
      </c>
      <c r="AC576" s="276" t="e">
        <f t="shared" si="486"/>
        <v>#DIV/0!</v>
      </c>
      <c r="AD576" s="276" t="e">
        <f t="shared" si="487"/>
        <v>#DIV/0!</v>
      </c>
      <c r="AE576" s="686" t="e">
        <f t="shared" si="488"/>
        <v>#DIV/0!</v>
      </c>
      <c r="AF576" s="239"/>
      <c r="AG576" s="965" t="e">
        <f t="shared" si="459"/>
        <v>#VALUE!</v>
      </c>
      <c r="AH576" s="878" t="e">
        <f t="shared" si="460"/>
        <v>#VALUE!</v>
      </c>
      <c r="AI576" s="878" t="e">
        <f t="shared" si="461"/>
        <v>#VALUE!</v>
      </c>
      <c r="AJ576" s="878" t="e">
        <f t="shared" si="462"/>
        <v>#VALUE!</v>
      </c>
      <c r="AK576" s="878" t="e">
        <f t="shared" si="463"/>
        <v>#VALUE!</v>
      </c>
      <c r="AL576" s="966" t="e">
        <f t="shared" si="464"/>
        <v>#VALUE!</v>
      </c>
      <c r="AM576" s="239"/>
      <c r="AO576" s="685">
        <f t="shared" si="489"/>
        <v>-1.6091745520346237</v>
      </c>
      <c r="AP576" s="276">
        <f t="shared" si="490"/>
        <v>3.4871316217609563</v>
      </c>
      <c r="AQ576" s="276">
        <f t="shared" si="491"/>
        <v>-6.3951863224557499</v>
      </c>
      <c r="AR576" s="276">
        <f t="shared" si="492"/>
        <v>0.48188555110086329</v>
      </c>
      <c r="AS576" s="276">
        <f t="shared" si="493"/>
        <v>-1.4220606064473824</v>
      </c>
      <c r="AT576" s="276">
        <f t="shared" si="494"/>
        <v>-0.34048461881468317</v>
      </c>
      <c r="AU576" s="685">
        <f t="shared" si="495"/>
        <v>1.5456906432623547</v>
      </c>
      <c r="AV576" s="276">
        <f t="shared" si="496"/>
        <v>1.3631172150701858</v>
      </c>
      <c r="AW576" s="276">
        <f t="shared" si="497"/>
        <v>0.82381917452823283</v>
      </c>
      <c r="AX576" s="276">
        <f t="shared" si="498"/>
        <v>0.53112405313266531</v>
      </c>
      <c r="AY576" s="276">
        <f t="shared" si="499"/>
        <v>0.95940761269714758</v>
      </c>
      <c r="AZ576" s="686">
        <f t="shared" si="500"/>
        <v>0.80687382861416501</v>
      </c>
      <c r="BA576" s="685">
        <f t="shared" si="501"/>
        <v>0</v>
      </c>
      <c r="BB576" s="276">
        <f t="shared" si="502"/>
        <v>0</v>
      </c>
      <c r="BC576" s="276">
        <f t="shared" si="503"/>
        <v>0</v>
      </c>
      <c r="BD576" s="276">
        <f t="shared" si="504"/>
        <v>0</v>
      </c>
      <c r="BE576" s="276">
        <f t="shared" si="505"/>
        <v>0</v>
      </c>
      <c r="BF576" s="686">
        <f t="shared" si="506"/>
        <v>0</v>
      </c>
      <c r="BG576" s="685" t="e">
        <f t="shared" si="507"/>
        <v>#DIV/0!</v>
      </c>
      <c r="BH576" s="276" t="e">
        <f t="shared" si="508"/>
        <v>#DIV/0!</v>
      </c>
      <c r="BI576" s="276" t="e">
        <f t="shared" si="509"/>
        <v>#DIV/0!</v>
      </c>
      <c r="BJ576" s="276" t="e">
        <f t="shared" si="510"/>
        <v>#DIV/0!</v>
      </c>
      <c r="BK576" s="276" t="e">
        <f t="shared" si="511"/>
        <v>#DIV/0!</v>
      </c>
      <c r="BL576" s="686" t="e">
        <f t="shared" si="512"/>
        <v>#DIV/0!</v>
      </c>
      <c r="BM576" s="239"/>
      <c r="BN576" s="965" t="e">
        <f t="shared" si="513"/>
        <v>#VALUE!</v>
      </c>
      <c r="BO576" s="878" t="e">
        <f t="shared" si="514"/>
        <v>#VALUE!</v>
      </c>
      <c r="BP576" s="878" t="e">
        <f t="shared" si="515"/>
        <v>#VALUE!</v>
      </c>
      <c r="BQ576" s="878" t="e">
        <f t="shared" si="516"/>
        <v>#VALUE!</v>
      </c>
      <c r="BR576" s="878" t="e">
        <f t="shared" si="517"/>
        <v>#VALUE!</v>
      </c>
      <c r="BS576" s="966" t="e">
        <f t="shared" si="518"/>
        <v>#VALUE!</v>
      </c>
    </row>
    <row r="577" spans="1:71">
      <c r="A577" s="284">
        <f t="shared" si="519"/>
        <v>509</v>
      </c>
      <c r="B577" s="285">
        <v>2.1740377911695417</v>
      </c>
      <c r="C577" s="285">
        <v>2.5495218084699465</v>
      </c>
      <c r="D577" s="285">
        <v>0.91463159991052057</v>
      </c>
      <c r="E577" s="285">
        <v>-3.1362044627058454</v>
      </c>
      <c r="H577" s="685">
        <f t="shared" si="465"/>
        <v>1.0408039494004868</v>
      </c>
      <c r="I577" s="276">
        <f t="shared" si="466"/>
        <v>-1.5479506594612402</v>
      </c>
      <c r="J577" s="276">
        <f t="shared" si="467"/>
        <v>-0.98856167553401064</v>
      </c>
      <c r="K577" s="276">
        <f t="shared" si="468"/>
        <v>-4.3095844891652018</v>
      </c>
      <c r="L577" s="276">
        <f t="shared" si="469"/>
        <v>-2.9507278532963532</v>
      </c>
      <c r="M577" s="276">
        <f t="shared" si="470"/>
        <v>-3.0111511379643687</v>
      </c>
      <c r="N577" s="685">
        <f t="shared" si="471"/>
        <v>1.3423505974980781</v>
      </c>
      <c r="O577" s="276">
        <f t="shared" si="472"/>
        <v>0.84826004238186825</v>
      </c>
      <c r="P577" s="276">
        <f t="shared" si="473"/>
        <v>1.1885457219062114</v>
      </c>
      <c r="Q577" s="276">
        <f t="shared" si="474"/>
        <v>1.7507746741981844</v>
      </c>
      <c r="R577" s="276">
        <f t="shared" si="475"/>
        <v>0.73349777892207935</v>
      </c>
      <c r="S577" s="686">
        <f t="shared" si="476"/>
        <v>1.6506339536740551</v>
      </c>
      <c r="T577" s="685">
        <f t="shared" si="477"/>
        <v>4.1929952901814467</v>
      </c>
      <c r="U577" s="276">
        <f t="shared" si="478"/>
        <v>6.1103139690352304</v>
      </c>
      <c r="V577" s="276">
        <f t="shared" si="479"/>
        <v>4.0878929174823799</v>
      </c>
      <c r="W577" s="276">
        <f t="shared" si="480"/>
        <v>4.2113106083539336</v>
      </c>
      <c r="X577" s="276">
        <f t="shared" si="481"/>
        <v>3.9757081710446633</v>
      </c>
      <c r="Y577" s="686">
        <f t="shared" si="482"/>
        <v>3.5558845337267888</v>
      </c>
      <c r="Z577" s="685" t="e">
        <f t="shared" si="483"/>
        <v>#DIV/0!</v>
      </c>
      <c r="AA577" s="276" t="e">
        <f t="shared" si="484"/>
        <v>#DIV/0!</v>
      </c>
      <c r="AB577" s="276" t="e">
        <f t="shared" si="485"/>
        <v>#DIV/0!</v>
      </c>
      <c r="AC577" s="276" t="e">
        <f t="shared" si="486"/>
        <v>#DIV/0!</v>
      </c>
      <c r="AD577" s="276" t="e">
        <f t="shared" si="487"/>
        <v>#DIV/0!</v>
      </c>
      <c r="AE577" s="686" t="e">
        <f t="shared" si="488"/>
        <v>#DIV/0!</v>
      </c>
      <c r="AF577" s="239"/>
      <c r="AG577" s="965" t="e">
        <f t="shared" si="459"/>
        <v>#VALUE!</v>
      </c>
      <c r="AH577" s="878" t="e">
        <f t="shared" si="460"/>
        <v>#VALUE!</v>
      </c>
      <c r="AI577" s="878" t="e">
        <f t="shared" si="461"/>
        <v>#VALUE!</v>
      </c>
      <c r="AJ577" s="878" t="e">
        <f t="shared" si="462"/>
        <v>#VALUE!</v>
      </c>
      <c r="AK577" s="878" t="e">
        <f t="shared" si="463"/>
        <v>#VALUE!</v>
      </c>
      <c r="AL577" s="966" t="e">
        <f t="shared" si="464"/>
        <v>#VALUE!</v>
      </c>
      <c r="AM577" s="239"/>
      <c r="AO577" s="685">
        <f t="shared" si="489"/>
        <v>1.0408039494004868</v>
      </c>
      <c r="AP577" s="276">
        <f t="shared" si="490"/>
        <v>-1.5479506594612402</v>
      </c>
      <c r="AQ577" s="276">
        <f t="shared" si="491"/>
        <v>-0.98856167553401064</v>
      </c>
      <c r="AR577" s="276">
        <f t="shared" si="492"/>
        <v>-4.3095844891652018</v>
      </c>
      <c r="AS577" s="276">
        <f t="shared" si="493"/>
        <v>-2.9507278532963532</v>
      </c>
      <c r="AT577" s="276">
        <f t="shared" si="494"/>
        <v>-3.0111511379643687</v>
      </c>
      <c r="AU577" s="685">
        <f t="shared" si="495"/>
        <v>1.3423505974980781</v>
      </c>
      <c r="AV577" s="276">
        <f t="shared" si="496"/>
        <v>0.84826004238186825</v>
      </c>
      <c r="AW577" s="276">
        <f t="shared" si="497"/>
        <v>1.1885457219062114</v>
      </c>
      <c r="AX577" s="276">
        <f t="shared" si="498"/>
        <v>1.7507746741981844</v>
      </c>
      <c r="AY577" s="276">
        <f t="shared" si="499"/>
        <v>0.73349777892207935</v>
      </c>
      <c r="AZ577" s="686">
        <f t="shared" si="500"/>
        <v>1.6506339536740551</v>
      </c>
      <c r="BA577" s="685">
        <f t="shared" si="501"/>
        <v>0</v>
      </c>
      <c r="BB577" s="276">
        <f t="shared" si="502"/>
        <v>0</v>
      </c>
      <c r="BC577" s="276">
        <f t="shared" si="503"/>
        <v>0</v>
      </c>
      <c r="BD577" s="276">
        <f t="shared" si="504"/>
        <v>0</v>
      </c>
      <c r="BE577" s="276">
        <f t="shared" si="505"/>
        <v>0</v>
      </c>
      <c r="BF577" s="686">
        <f t="shared" si="506"/>
        <v>0</v>
      </c>
      <c r="BG577" s="685" t="e">
        <f t="shared" si="507"/>
        <v>#DIV/0!</v>
      </c>
      <c r="BH577" s="276" t="e">
        <f t="shared" si="508"/>
        <v>#DIV/0!</v>
      </c>
      <c r="BI577" s="276" t="e">
        <f t="shared" si="509"/>
        <v>#DIV/0!</v>
      </c>
      <c r="BJ577" s="276" t="e">
        <f t="shared" si="510"/>
        <v>#DIV/0!</v>
      </c>
      <c r="BK577" s="276" t="e">
        <f t="shared" si="511"/>
        <v>#DIV/0!</v>
      </c>
      <c r="BL577" s="686" t="e">
        <f t="shared" si="512"/>
        <v>#DIV/0!</v>
      </c>
      <c r="BM577" s="239"/>
      <c r="BN577" s="965" t="e">
        <f t="shared" si="513"/>
        <v>#VALUE!</v>
      </c>
      <c r="BO577" s="878" t="e">
        <f t="shared" si="514"/>
        <v>#VALUE!</v>
      </c>
      <c r="BP577" s="878" t="e">
        <f t="shared" si="515"/>
        <v>#VALUE!</v>
      </c>
      <c r="BQ577" s="878" t="e">
        <f t="shared" si="516"/>
        <v>#VALUE!</v>
      </c>
      <c r="BR577" s="878" t="e">
        <f t="shared" si="517"/>
        <v>#VALUE!</v>
      </c>
      <c r="BS577" s="966" t="e">
        <f t="shared" si="518"/>
        <v>#VALUE!</v>
      </c>
    </row>
    <row r="578" spans="1:71">
      <c r="A578" s="284">
        <f t="shared" si="519"/>
        <v>510</v>
      </c>
      <c r="B578" s="285">
        <v>-5.2107758242225968</v>
      </c>
      <c r="C578" s="285">
        <v>2.8481016822261616</v>
      </c>
      <c r="D578" s="285">
        <v>-0.26851224078718672</v>
      </c>
      <c r="E578" s="285">
        <v>10.907012159949778</v>
      </c>
      <c r="H578" s="685">
        <f t="shared" si="465"/>
        <v>-6.3440096659916518</v>
      </c>
      <c r="I578" s="276">
        <f t="shared" si="466"/>
        <v>-0.5812674219514542</v>
      </c>
      <c r="J578" s="276">
        <f t="shared" si="467"/>
        <v>5.4320279600314603E-2</v>
      </c>
      <c r="K578" s="276">
        <f t="shared" si="468"/>
        <v>2.2569371531749844</v>
      </c>
      <c r="L578" s="276">
        <f t="shared" si="469"/>
        <v>-2.102807997553608</v>
      </c>
      <c r="M578" s="276">
        <f t="shared" si="470"/>
        <v>0.60461836068326713</v>
      </c>
      <c r="N578" s="685">
        <f t="shared" si="471"/>
        <v>1.6409304712542931</v>
      </c>
      <c r="O578" s="276">
        <f t="shared" si="472"/>
        <v>1.3747672213592284</v>
      </c>
      <c r="P578" s="276">
        <f t="shared" si="473"/>
        <v>0.59177764821857437</v>
      </c>
      <c r="Q578" s="276">
        <f t="shared" si="474"/>
        <v>1.6245497996298754</v>
      </c>
      <c r="R578" s="276">
        <f t="shared" si="475"/>
        <v>0.77248186808248942</v>
      </c>
      <c r="S578" s="686">
        <f t="shared" si="476"/>
        <v>1.2222779745301022</v>
      </c>
      <c r="T578" s="685">
        <f t="shared" si="477"/>
        <v>3.0098514494837394</v>
      </c>
      <c r="U578" s="276">
        <f t="shared" si="478"/>
        <v>4.6264600598188741</v>
      </c>
      <c r="V578" s="276">
        <f t="shared" si="479"/>
        <v>6.2416832775956959</v>
      </c>
      <c r="W578" s="276">
        <f t="shared" si="480"/>
        <v>6.5409757861339628</v>
      </c>
      <c r="X578" s="276">
        <f t="shared" si="481"/>
        <v>5.0170273858492713</v>
      </c>
      <c r="Y578" s="686">
        <f t="shared" si="482"/>
        <v>6.0340090254731091</v>
      </c>
      <c r="Z578" s="685" t="e">
        <f t="shared" si="483"/>
        <v>#DIV/0!</v>
      </c>
      <c r="AA578" s="276" t="e">
        <f t="shared" si="484"/>
        <v>#DIV/0!</v>
      </c>
      <c r="AB578" s="276" t="e">
        <f t="shared" si="485"/>
        <v>#DIV/0!</v>
      </c>
      <c r="AC578" s="276" t="e">
        <f t="shared" si="486"/>
        <v>#DIV/0!</v>
      </c>
      <c r="AD578" s="276" t="e">
        <f t="shared" si="487"/>
        <v>#DIV/0!</v>
      </c>
      <c r="AE578" s="686" t="e">
        <f t="shared" si="488"/>
        <v>#DIV/0!</v>
      </c>
      <c r="AF578" s="239"/>
      <c r="AG578" s="965" t="e">
        <f t="shared" si="459"/>
        <v>#VALUE!</v>
      </c>
      <c r="AH578" s="878" t="e">
        <f t="shared" si="460"/>
        <v>#VALUE!</v>
      </c>
      <c r="AI578" s="878" t="e">
        <f t="shared" si="461"/>
        <v>#VALUE!</v>
      </c>
      <c r="AJ578" s="878" t="e">
        <f t="shared" si="462"/>
        <v>#VALUE!</v>
      </c>
      <c r="AK578" s="878" t="e">
        <f t="shared" si="463"/>
        <v>#VALUE!</v>
      </c>
      <c r="AL578" s="966" t="e">
        <f t="shared" si="464"/>
        <v>#VALUE!</v>
      </c>
      <c r="AM578" s="239"/>
      <c r="AO578" s="685">
        <f t="shared" si="489"/>
        <v>-6.3440096659916518</v>
      </c>
      <c r="AP578" s="276">
        <f t="shared" si="490"/>
        <v>-0.5812674219514542</v>
      </c>
      <c r="AQ578" s="276">
        <f t="shared" si="491"/>
        <v>5.4320279600314603E-2</v>
      </c>
      <c r="AR578" s="276">
        <f t="shared" si="492"/>
        <v>2.2569371531749844</v>
      </c>
      <c r="AS578" s="276">
        <f t="shared" si="493"/>
        <v>-2.102807997553608</v>
      </c>
      <c r="AT578" s="276">
        <f t="shared" si="494"/>
        <v>0.60461836068326713</v>
      </c>
      <c r="AU578" s="685">
        <f t="shared" si="495"/>
        <v>1.6409304712542931</v>
      </c>
      <c r="AV578" s="276">
        <f t="shared" si="496"/>
        <v>1.3747672213592284</v>
      </c>
      <c r="AW578" s="276">
        <f t="shared" si="497"/>
        <v>0.59177764821857437</v>
      </c>
      <c r="AX578" s="276">
        <f t="shared" si="498"/>
        <v>1.6245497996298754</v>
      </c>
      <c r="AY578" s="276">
        <f t="shared" si="499"/>
        <v>0.77248186808248942</v>
      </c>
      <c r="AZ578" s="686">
        <f t="shared" si="500"/>
        <v>1.2222779745301022</v>
      </c>
      <c r="BA578" s="685">
        <f t="shared" si="501"/>
        <v>0</v>
      </c>
      <c r="BB578" s="276">
        <f t="shared" si="502"/>
        <v>0</v>
      </c>
      <c r="BC578" s="276">
        <f t="shared" si="503"/>
        <v>0</v>
      </c>
      <c r="BD578" s="276">
        <f t="shared" si="504"/>
        <v>0</v>
      </c>
      <c r="BE578" s="276">
        <f t="shared" si="505"/>
        <v>0</v>
      </c>
      <c r="BF578" s="686">
        <f t="shared" si="506"/>
        <v>0</v>
      </c>
      <c r="BG578" s="685" t="e">
        <f t="shared" si="507"/>
        <v>#DIV/0!</v>
      </c>
      <c r="BH578" s="276" t="e">
        <f t="shared" si="508"/>
        <v>#DIV/0!</v>
      </c>
      <c r="BI578" s="276" t="e">
        <f t="shared" si="509"/>
        <v>#DIV/0!</v>
      </c>
      <c r="BJ578" s="276" t="e">
        <f t="shared" si="510"/>
        <v>#DIV/0!</v>
      </c>
      <c r="BK578" s="276" t="e">
        <f t="shared" si="511"/>
        <v>#DIV/0!</v>
      </c>
      <c r="BL578" s="686" t="e">
        <f t="shared" si="512"/>
        <v>#DIV/0!</v>
      </c>
      <c r="BM578" s="239"/>
      <c r="BN578" s="965" t="e">
        <f t="shared" si="513"/>
        <v>#VALUE!</v>
      </c>
      <c r="BO578" s="878" t="e">
        <f t="shared" si="514"/>
        <v>#VALUE!</v>
      </c>
      <c r="BP578" s="878" t="e">
        <f t="shared" si="515"/>
        <v>#VALUE!</v>
      </c>
      <c r="BQ578" s="878" t="e">
        <f t="shared" si="516"/>
        <v>#VALUE!</v>
      </c>
      <c r="BR578" s="878" t="e">
        <f t="shared" si="517"/>
        <v>#VALUE!</v>
      </c>
      <c r="BS578" s="966" t="e">
        <f t="shared" si="518"/>
        <v>#VALUE!</v>
      </c>
    </row>
    <row r="579" spans="1:71">
      <c r="A579" s="284">
        <f t="shared" si="519"/>
        <v>511</v>
      </c>
      <c r="B579" s="285">
        <v>-0.91783551502299521</v>
      </c>
      <c r="C579" s="285">
        <v>2.3683703049470299</v>
      </c>
      <c r="D579" s="285">
        <v>1.1252407357366725</v>
      </c>
      <c r="E579" s="285">
        <v>-1.6166563418477673</v>
      </c>
      <c r="H579" s="685">
        <f t="shared" si="465"/>
        <v>-2.0510693567920502</v>
      </c>
      <c r="I579" s="276">
        <f t="shared" si="466"/>
        <v>-0.34636435661294906</v>
      </c>
      <c r="J579" s="276">
        <f t="shared" si="467"/>
        <v>-3.5030723788572571</v>
      </c>
      <c r="K579" s="276">
        <f t="shared" si="468"/>
        <v>-2.7829360149263582</v>
      </c>
      <c r="L579" s="276">
        <f t="shared" si="469"/>
        <v>-1.6053098313706413</v>
      </c>
      <c r="M579" s="276">
        <f t="shared" si="470"/>
        <v>-2.0043945124914808</v>
      </c>
      <c r="N579" s="685">
        <f t="shared" si="471"/>
        <v>1.1611990939751615</v>
      </c>
      <c r="O579" s="276">
        <f t="shared" si="472"/>
        <v>1.3124248717621738</v>
      </c>
      <c r="P579" s="276">
        <f t="shared" si="473"/>
        <v>0.87747886462661095</v>
      </c>
      <c r="Q579" s="276">
        <f t="shared" si="474"/>
        <v>0.93383532765858202</v>
      </c>
      <c r="R579" s="276">
        <f t="shared" si="475"/>
        <v>1.5176285330330941</v>
      </c>
      <c r="S579" s="686">
        <f t="shared" si="476"/>
        <v>0.47598658817297612</v>
      </c>
      <c r="T579" s="685">
        <f t="shared" si="477"/>
        <v>4.4036044260075986</v>
      </c>
      <c r="U579" s="276">
        <f t="shared" si="478"/>
        <v>5.8873799858776774</v>
      </c>
      <c r="V579" s="276">
        <f t="shared" si="479"/>
        <v>3.0916717224133041</v>
      </c>
      <c r="W579" s="276">
        <f t="shared" si="480"/>
        <v>5.9426318056589125</v>
      </c>
      <c r="X579" s="276">
        <f t="shared" si="481"/>
        <v>4.9314947908317155</v>
      </c>
      <c r="Y579" s="686">
        <f t="shared" si="482"/>
        <v>4.3987189815953602</v>
      </c>
      <c r="Z579" s="685" t="e">
        <f t="shared" si="483"/>
        <v>#DIV/0!</v>
      </c>
      <c r="AA579" s="276" t="e">
        <f t="shared" si="484"/>
        <v>#DIV/0!</v>
      </c>
      <c r="AB579" s="276" t="e">
        <f t="shared" si="485"/>
        <v>#DIV/0!</v>
      </c>
      <c r="AC579" s="276" t="e">
        <f t="shared" si="486"/>
        <v>#DIV/0!</v>
      </c>
      <c r="AD579" s="276" t="e">
        <f t="shared" si="487"/>
        <v>#DIV/0!</v>
      </c>
      <c r="AE579" s="686" t="e">
        <f t="shared" si="488"/>
        <v>#DIV/0!</v>
      </c>
      <c r="AF579" s="239"/>
      <c r="AG579" s="965" t="e">
        <f t="shared" si="459"/>
        <v>#VALUE!</v>
      </c>
      <c r="AH579" s="878" t="e">
        <f t="shared" si="460"/>
        <v>#VALUE!</v>
      </c>
      <c r="AI579" s="878" t="e">
        <f t="shared" si="461"/>
        <v>#VALUE!</v>
      </c>
      <c r="AJ579" s="878" t="e">
        <f t="shared" si="462"/>
        <v>#VALUE!</v>
      </c>
      <c r="AK579" s="878" t="e">
        <f t="shared" si="463"/>
        <v>#VALUE!</v>
      </c>
      <c r="AL579" s="966" t="e">
        <f t="shared" si="464"/>
        <v>#VALUE!</v>
      </c>
      <c r="AM579" s="239"/>
      <c r="AO579" s="685">
        <f t="shared" si="489"/>
        <v>-2.0510693567920502</v>
      </c>
      <c r="AP579" s="276">
        <f t="shared" si="490"/>
        <v>-0.34636435661294906</v>
      </c>
      <c r="AQ579" s="276">
        <f t="shared" si="491"/>
        <v>-3.5030723788572571</v>
      </c>
      <c r="AR579" s="276">
        <f t="shared" si="492"/>
        <v>-2.7829360149263582</v>
      </c>
      <c r="AS579" s="276">
        <f t="shared" si="493"/>
        <v>-1.6053098313706413</v>
      </c>
      <c r="AT579" s="276">
        <f t="shared" si="494"/>
        <v>-2.0043945124914808</v>
      </c>
      <c r="AU579" s="685">
        <f t="shared" si="495"/>
        <v>1.1611990939751615</v>
      </c>
      <c r="AV579" s="276">
        <f t="shared" si="496"/>
        <v>1.3124248717621738</v>
      </c>
      <c r="AW579" s="276">
        <f t="shared" si="497"/>
        <v>0.87747886462661095</v>
      </c>
      <c r="AX579" s="276">
        <f t="shared" si="498"/>
        <v>0.93383532765858202</v>
      </c>
      <c r="AY579" s="276">
        <f t="shared" si="499"/>
        <v>1.5176285330330941</v>
      </c>
      <c r="AZ579" s="686">
        <f t="shared" si="500"/>
        <v>0.47598658817297612</v>
      </c>
      <c r="BA579" s="685">
        <f t="shared" si="501"/>
        <v>0</v>
      </c>
      <c r="BB579" s="276">
        <f t="shared" si="502"/>
        <v>0</v>
      </c>
      <c r="BC579" s="276">
        <f t="shared" si="503"/>
        <v>0</v>
      </c>
      <c r="BD579" s="276">
        <f t="shared" si="504"/>
        <v>0</v>
      </c>
      <c r="BE579" s="276">
        <f t="shared" si="505"/>
        <v>0</v>
      </c>
      <c r="BF579" s="686">
        <f t="shared" si="506"/>
        <v>0</v>
      </c>
      <c r="BG579" s="685" t="e">
        <f t="shared" si="507"/>
        <v>#DIV/0!</v>
      </c>
      <c r="BH579" s="276" t="e">
        <f t="shared" si="508"/>
        <v>#DIV/0!</v>
      </c>
      <c r="BI579" s="276" t="e">
        <f t="shared" si="509"/>
        <v>#DIV/0!</v>
      </c>
      <c r="BJ579" s="276" t="e">
        <f t="shared" si="510"/>
        <v>#DIV/0!</v>
      </c>
      <c r="BK579" s="276" t="e">
        <f t="shared" si="511"/>
        <v>#DIV/0!</v>
      </c>
      <c r="BL579" s="686" t="e">
        <f t="shared" si="512"/>
        <v>#DIV/0!</v>
      </c>
      <c r="BM579" s="239"/>
      <c r="BN579" s="965" t="e">
        <f t="shared" si="513"/>
        <v>#VALUE!</v>
      </c>
      <c r="BO579" s="878" t="e">
        <f t="shared" si="514"/>
        <v>#VALUE!</v>
      </c>
      <c r="BP579" s="878" t="e">
        <f t="shared" si="515"/>
        <v>#VALUE!</v>
      </c>
      <c r="BQ579" s="878" t="e">
        <f t="shared" si="516"/>
        <v>#VALUE!</v>
      </c>
      <c r="BR579" s="878" t="e">
        <f t="shared" si="517"/>
        <v>#VALUE!</v>
      </c>
      <c r="BS579" s="966" t="e">
        <f t="shared" si="518"/>
        <v>#VALUE!</v>
      </c>
    </row>
    <row r="580" spans="1:71">
      <c r="A580" s="284">
        <f t="shared" si="519"/>
        <v>512</v>
      </c>
      <c r="B580" s="285">
        <v>2.8120074125268459</v>
      </c>
      <c r="C580" s="285">
        <v>3.0524979506952263</v>
      </c>
      <c r="D580" s="285">
        <v>-0.61603798984347979</v>
      </c>
      <c r="E580" s="285">
        <v>-4.2691411371920456</v>
      </c>
      <c r="H580" s="685">
        <f t="shared" si="465"/>
        <v>1.6787735707577911</v>
      </c>
      <c r="I580" s="276">
        <f t="shared" si="466"/>
        <v>-0.62549545061438516</v>
      </c>
      <c r="J580" s="276">
        <f t="shared" si="467"/>
        <v>-0.44459164544029406</v>
      </c>
      <c r="K580" s="276">
        <f t="shared" si="468"/>
        <v>-2.1473105889207642</v>
      </c>
      <c r="L580" s="276">
        <f t="shared" si="469"/>
        <v>1.1902993268640334</v>
      </c>
      <c r="M580" s="276">
        <f t="shared" si="470"/>
        <v>3.3732784539184015</v>
      </c>
      <c r="N580" s="685">
        <f t="shared" si="471"/>
        <v>1.8453267397233579</v>
      </c>
      <c r="O580" s="276">
        <f t="shared" si="472"/>
        <v>1.920676048380132</v>
      </c>
      <c r="P580" s="276">
        <f t="shared" si="473"/>
        <v>1.3903502500793634</v>
      </c>
      <c r="Q580" s="276">
        <f t="shared" si="474"/>
        <v>1.1430242235626762</v>
      </c>
      <c r="R580" s="276">
        <f t="shared" si="475"/>
        <v>1.0317357983623052</v>
      </c>
      <c r="S580" s="686">
        <f t="shared" si="476"/>
        <v>1.2865598865024717</v>
      </c>
      <c r="T580" s="685">
        <f t="shared" si="477"/>
        <v>2.6623257004274459</v>
      </c>
      <c r="U580" s="276">
        <f t="shared" si="478"/>
        <v>3.5158916181171604</v>
      </c>
      <c r="V580" s="276">
        <f t="shared" si="479"/>
        <v>3.8272897330586026</v>
      </c>
      <c r="W580" s="276">
        <f t="shared" si="480"/>
        <v>2.3605501507729216</v>
      </c>
      <c r="X580" s="276">
        <f t="shared" si="481"/>
        <v>5.7789750195756486</v>
      </c>
      <c r="Y580" s="686">
        <f t="shared" si="482"/>
        <v>7.4600216110923938</v>
      </c>
      <c r="Z580" s="685" t="e">
        <f t="shared" si="483"/>
        <v>#DIV/0!</v>
      </c>
      <c r="AA580" s="276" t="e">
        <f t="shared" si="484"/>
        <v>#DIV/0!</v>
      </c>
      <c r="AB580" s="276" t="e">
        <f t="shared" si="485"/>
        <v>#DIV/0!</v>
      </c>
      <c r="AC580" s="276" t="e">
        <f t="shared" si="486"/>
        <v>#DIV/0!</v>
      </c>
      <c r="AD580" s="276" t="e">
        <f t="shared" si="487"/>
        <v>#DIV/0!</v>
      </c>
      <c r="AE580" s="686" t="e">
        <f t="shared" si="488"/>
        <v>#DIV/0!</v>
      </c>
      <c r="AF580" s="239"/>
      <c r="AG580" s="965" t="e">
        <f t="shared" si="459"/>
        <v>#VALUE!</v>
      </c>
      <c r="AH580" s="878" t="e">
        <f t="shared" si="460"/>
        <v>#VALUE!</v>
      </c>
      <c r="AI580" s="878" t="e">
        <f t="shared" si="461"/>
        <v>#VALUE!</v>
      </c>
      <c r="AJ580" s="878" t="e">
        <f t="shared" si="462"/>
        <v>#VALUE!</v>
      </c>
      <c r="AK580" s="878" t="e">
        <f t="shared" si="463"/>
        <v>#VALUE!</v>
      </c>
      <c r="AL580" s="966" t="e">
        <f t="shared" si="464"/>
        <v>#VALUE!</v>
      </c>
      <c r="AM580" s="239"/>
      <c r="AO580" s="685">
        <f t="shared" si="489"/>
        <v>1.6787735707577911</v>
      </c>
      <c r="AP580" s="276">
        <f t="shared" si="490"/>
        <v>-0.62549545061438516</v>
      </c>
      <c r="AQ580" s="276">
        <f t="shared" si="491"/>
        <v>-0.44459164544029406</v>
      </c>
      <c r="AR580" s="276">
        <f t="shared" si="492"/>
        <v>-2.1473105889207642</v>
      </c>
      <c r="AS580" s="276">
        <f t="shared" si="493"/>
        <v>1.1902993268640334</v>
      </c>
      <c r="AT580" s="276">
        <f t="shared" si="494"/>
        <v>3.3732784539184015</v>
      </c>
      <c r="AU580" s="685">
        <f t="shared" si="495"/>
        <v>1.8453267397233579</v>
      </c>
      <c r="AV580" s="276">
        <f t="shared" si="496"/>
        <v>1.920676048380132</v>
      </c>
      <c r="AW580" s="276">
        <f t="shared" si="497"/>
        <v>1.3903502500793634</v>
      </c>
      <c r="AX580" s="276">
        <f t="shared" si="498"/>
        <v>1.1430242235626762</v>
      </c>
      <c r="AY580" s="276">
        <f t="shared" si="499"/>
        <v>1.0317357983623052</v>
      </c>
      <c r="AZ580" s="686">
        <f t="shared" si="500"/>
        <v>1.2865598865024717</v>
      </c>
      <c r="BA580" s="685">
        <f t="shared" si="501"/>
        <v>0</v>
      </c>
      <c r="BB580" s="276">
        <f t="shared" si="502"/>
        <v>0</v>
      </c>
      <c r="BC580" s="276">
        <f t="shared" si="503"/>
        <v>0</v>
      </c>
      <c r="BD580" s="276">
        <f t="shared" si="504"/>
        <v>0</v>
      </c>
      <c r="BE580" s="276">
        <f t="shared" si="505"/>
        <v>0</v>
      </c>
      <c r="BF580" s="686">
        <f t="shared" si="506"/>
        <v>0</v>
      </c>
      <c r="BG580" s="685" t="e">
        <f t="shared" si="507"/>
        <v>#DIV/0!</v>
      </c>
      <c r="BH580" s="276" t="e">
        <f t="shared" si="508"/>
        <v>#DIV/0!</v>
      </c>
      <c r="BI580" s="276" t="e">
        <f t="shared" si="509"/>
        <v>#DIV/0!</v>
      </c>
      <c r="BJ580" s="276" t="e">
        <f t="shared" si="510"/>
        <v>#DIV/0!</v>
      </c>
      <c r="BK580" s="276" t="e">
        <f t="shared" si="511"/>
        <v>#DIV/0!</v>
      </c>
      <c r="BL580" s="686" t="e">
        <f t="shared" si="512"/>
        <v>#DIV/0!</v>
      </c>
      <c r="BM580" s="239"/>
      <c r="BN580" s="965" t="e">
        <f t="shared" si="513"/>
        <v>#VALUE!</v>
      </c>
      <c r="BO580" s="878" t="e">
        <f t="shared" si="514"/>
        <v>#VALUE!</v>
      </c>
      <c r="BP580" s="878" t="e">
        <f t="shared" si="515"/>
        <v>#VALUE!</v>
      </c>
      <c r="BQ580" s="878" t="e">
        <f t="shared" si="516"/>
        <v>#VALUE!</v>
      </c>
      <c r="BR580" s="878" t="e">
        <f t="shared" si="517"/>
        <v>#VALUE!</v>
      </c>
      <c r="BS580" s="966" t="e">
        <f t="shared" si="518"/>
        <v>#VALUE!</v>
      </c>
    </row>
    <row r="581" spans="1:71">
      <c r="A581" s="284">
        <f t="shared" si="519"/>
        <v>513</v>
      </c>
      <c r="B581" s="285">
        <v>-4.4660893093026868</v>
      </c>
      <c r="C581" s="285">
        <v>1.9109792569240154</v>
      </c>
      <c r="D581" s="285">
        <v>1.2496404310743261</v>
      </c>
      <c r="E581" s="285">
        <v>-2.7699616450575362</v>
      </c>
      <c r="H581" s="685">
        <f t="shared" si="465"/>
        <v>-5.5993231510717418</v>
      </c>
      <c r="I581" s="276">
        <f t="shared" si="466"/>
        <v>-3.7747057185984492</v>
      </c>
      <c r="J581" s="276">
        <f t="shared" si="467"/>
        <v>-2.4830531596908374</v>
      </c>
      <c r="K581" s="276">
        <f t="shared" si="468"/>
        <v>-8.6654390444698404</v>
      </c>
      <c r="L581" s="276">
        <f t="shared" si="469"/>
        <v>-0.73859151303766257</v>
      </c>
      <c r="M581" s="276">
        <f t="shared" si="470"/>
        <v>-2.3314682511854983</v>
      </c>
      <c r="N581" s="685">
        <f t="shared" si="471"/>
        <v>0.70380804595214697</v>
      </c>
      <c r="O581" s="276">
        <f t="shared" si="472"/>
        <v>1.065615980525102</v>
      </c>
      <c r="P581" s="276">
        <f t="shared" si="473"/>
        <v>0.56346978276443438</v>
      </c>
      <c r="Q581" s="276">
        <f t="shared" si="474"/>
        <v>1.1171105363456333</v>
      </c>
      <c r="R581" s="276">
        <f t="shared" si="475"/>
        <v>1.5258190408265315</v>
      </c>
      <c r="S581" s="686">
        <f t="shared" si="476"/>
        <v>0.7770132949497397</v>
      </c>
      <c r="T581" s="685">
        <f t="shared" si="477"/>
        <v>4.5280041213452522</v>
      </c>
      <c r="U581" s="276">
        <f t="shared" si="478"/>
        <v>3.251384519985467</v>
      </c>
      <c r="V581" s="276">
        <f t="shared" si="479"/>
        <v>2.8375396331963212</v>
      </c>
      <c r="W581" s="276">
        <f t="shared" si="480"/>
        <v>3.4340714894386486</v>
      </c>
      <c r="X581" s="276">
        <f t="shared" si="481"/>
        <v>4.5545314427860406</v>
      </c>
      <c r="Y581" s="686">
        <f t="shared" si="482"/>
        <v>3.6789740998407119</v>
      </c>
      <c r="Z581" s="685" t="e">
        <f t="shared" si="483"/>
        <v>#DIV/0!</v>
      </c>
      <c r="AA581" s="276" t="e">
        <f t="shared" si="484"/>
        <v>#DIV/0!</v>
      </c>
      <c r="AB581" s="276" t="e">
        <f t="shared" si="485"/>
        <v>#DIV/0!</v>
      </c>
      <c r="AC581" s="276" t="e">
        <f t="shared" si="486"/>
        <v>#DIV/0!</v>
      </c>
      <c r="AD581" s="276" t="e">
        <f t="shared" si="487"/>
        <v>#DIV/0!</v>
      </c>
      <c r="AE581" s="686" t="e">
        <f t="shared" si="488"/>
        <v>#DIV/0!</v>
      </c>
      <c r="AF581" s="239"/>
      <c r="AG581" s="965" t="e">
        <f t="shared" ref="AG581:AG644" si="520">S$53*(1+(T$55+N581)/100)*((1-S$62)+S$62*((1+(T$57+Z581)/100)))/(1+(T$54+H581)/100)-(T$56+T581)+T$58</f>
        <v>#VALUE!</v>
      </c>
      <c r="AH581" s="878" t="e">
        <f t="shared" ref="AH581:AH644" si="521">AG581*(1+(U$55+O581)/100)*((1-T$62)+T$62*((1+(U$57+AA581)/100)))/(1+(U$54+I581)/100)-(U$56+U581)+U$58</f>
        <v>#VALUE!</v>
      </c>
      <c r="AI581" s="878" t="e">
        <f t="shared" ref="AI581:AI644" si="522">AH581*(1+(V$55+P581)/100)*((1-U$62)+U$62*((1+(V$57+AB581)/100)))/(1+(V$54+J581)/100)-(V$56+V581)+V$58</f>
        <v>#VALUE!</v>
      </c>
      <c r="AJ581" s="878" t="e">
        <f t="shared" ref="AJ581:AJ644" si="523">AI581*(1+(W$55+Q581)/100)*((1-V$62)+V$62*((1+(W$57+AC581)/100)))/(1+(W$54+K581)/100)-(W$56+W581)+W$58</f>
        <v>#VALUE!</v>
      </c>
      <c r="AK581" s="878" t="e">
        <f t="shared" ref="AK581:AK644" si="524">AJ581*(1+(X$55+R581)/100)*((1-W$62)+W$62*((1+(X$57+AD581)/100)))/(1+(X$54+L581)/100)-(X$56+X581)+X$58</f>
        <v>#VALUE!</v>
      </c>
      <c r="AL581" s="966" t="e">
        <f t="shared" ref="AL581:AL644" si="525">AK581*(1+(Y$55+S581)/100)*((1-X$62)+X$62*((1+(Y$57+AE581)/100)))/(1+(Y$54+M581)/100)-(Y$56+Y581)+Y$58</f>
        <v>#VALUE!</v>
      </c>
      <c r="AM581" s="239"/>
      <c r="AO581" s="685">
        <f t="shared" si="489"/>
        <v>-5.5993231510717418</v>
      </c>
      <c r="AP581" s="276">
        <f t="shared" si="490"/>
        <v>-3.7747057185984492</v>
      </c>
      <c r="AQ581" s="276">
        <f t="shared" si="491"/>
        <v>-2.4830531596908374</v>
      </c>
      <c r="AR581" s="276">
        <f t="shared" si="492"/>
        <v>-8.6654390444698404</v>
      </c>
      <c r="AS581" s="276">
        <f t="shared" si="493"/>
        <v>-0.73859151303766257</v>
      </c>
      <c r="AT581" s="276">
        <f t="shared" si="494"/>
        <v>-2.3314682511854983</v>
      </c>
      <c r="AU581" s="685">
        <f t="shared" si="495"/>
        <v>0.70380804595214697</v>
      </c>
      <c r="AV581" s="276">
        <f t="shared" si="496"/>
        <v>1.065615980525102</v>
      </c>
      <c r="AW581" s="276">
        <f t="shared" si="497"/>
        <v>0.56346978276443438</v>
      </c>
      <c r="AX581" s="276">
        <f t="shared" si="498"/>
        <v>1.1171105363456333</v>
      </c>
      <c r="AY581" s="276">
        <f t="shared" si="499"/>
        <v>1.5258190408265315</v>
      </c>
      <c r="AZ581" s="686">
        <f t="shared" si="500"/>
        <v>0.7770132949497397</v>
      </c>
      <c r="BA581" s="685">
        <f t="shared" si="501"/>
        <v>0</v>
      </c>
      <c r="BB581" s="276">
        <f t="shared" si="502"/>
        <v>0</v>
      </c>
      <c r="BC581" s="276">
        <f t="shared" si="503"/>
        <v>0</v>
      </c>
      <c r="BD581" s="276">
        <f t="shared" si="504"/>
        <v>0</v>
      </c>
      <c r="BE581" s="276">
        <f t="shared" si="505"/>
        <v>0</v>
      </c>
      <c r="BF581" s="686">
        <f t="shared" si="506"/>
        <v>0</v>
      </c>
      <c r="BG581" s="685" t="e">
        <f t="shared" si="507"/>
        <v>#DIV/0!</v>
      </c>
      <c r="BH581" s="276" t="e">
        <f t="shared" si="508"/>
        <v>#DIV/0!</v>
      </c>
      <c r="BI581" s="276" t="e">
        <f t="shared" si="509"/>
        <v>#DIV/0!</v>
      </c>
      <c r="BJ581" s="276" t="e">
        <f t="shared" si="510"/>
        <v>#DIV/0!</v>
      </c>
      <c r="BK581" s="276" t="e">
        <f t="shared" si="511"/>
        <v>#DIV/0!</v>
      </c>
      <c r="BL581" s="686" t="e">
        <f t="shared" si="512"/>
        <v>#DIV/0!</v>
      </c>
      <c r="BM581" s="239"/>
      <c r="BN581" s="965" t="e">
        <f t="shared" si="513"/>
        <v>#VALUE!</v>
      </c>
      <c r="BO581" s="878" t="e">
        <f t="shared" si="514"/>
        <v>#VALUE!</v>
      </c>
      <c r="BP581" s="878" t="e">
        <f t="shared" si="515"/>
        <v>#VALUE!</v>
      </c>
      <c r="BQ581" s="878" t="e">
        <f t="shared" si="516"/>
        <v>#VALUE!</v>
      </c>
      <c r="BR581" s="878" t="e">
        <f t="shared" si="517"/>
        <v>#VALUE!</v>
      </c>
      <c r="BS581" s="966" t="e">
        <f t="shared" si="518"/>
        <v>#VALUE!</v>
      </c>
    </row>
    <row r="582" spans="1:71">
      <c r="A582" s="284">
        <f t="shared" si="519"/>
        <v>514</v>
      </c>
      <c r="B582" s="285">
        <v>-7.5608054636904232E-2</v>
      </c>
      <c r="C582" s="285">
        <v>2.3133601553369889</v>
      </c>
      <c r="D582" s="285">
        <v>-0.13035515871841175</v>
      </c>
      <c r="E582" s="285">
        <v>-9.5106797175728381</v>
      </c>
      <c r="H582" s="685">
        <f t="shared" ref="H582:H645" si="526">IF($B$42="On",$B582-$D$15,0)</f>
        <v>-1.2088418964059591</v>
      </c>
      <c r="I582" s="276">
        <f t="shared" ref="I582:I645" si="527">IF($B$42="On",$B1582-$D$15,0)</f>
        <v>0.7522211287039684</v>
      </c>
      <c r="J582" s="276">
        <f t="shared" ref="J582:J645" si="528">IF($B$42="On",$B2582-$D$15,0)</f>
        <v>-6.6836161914076371</v>
      </c>
      <c r="K582" s="276">
        <f t="shared" ref="K582:K645" si="529">IF($B$42="On",$B3582-$D$15,0)</f>
        <v>-2.4614469342692979</v>
      </c>
      <c r="L582" s="276">
        <f t="shared" ref="L582:L645" si="530">IF($B$42="On",$B4582-$D$15,0)</f>
        <v>-2.20730512510917</v>
      </c>
      <c r="M582" s="276">
        <f t="shared" ref="M582:M645" si="531">IF($B$42="On",$B5582-$D$15,0)</f>
        <v>-1.124496211506139</v>
      </c>
      <c r="N582" s="685">
        <f t="shared" ref="N582:N645" si="532">IF($B$43="On",$C582-$D$16,0)</f>
        <v>1.1061889443651205</v>
      </c>
      <c r="O582" s="276">
        <f t="shared" ref="O582:O645" si="533">IF($B$43="On",$C1582-$D$16,0)</f>
        <v>1.7389203892016754</v>
      </c>
      <c r="P582" s="276">
        <f t="shared" ref="P582:P645" si="534">IF($B$43="On",$C2582-$D$16,0)</f>
        <v>1.0578544814783564</v>
      </c>
      <c r="Q582" s="276">
        <f t="shared" ref="Q582:Q645" si="535">IF($B$43="On",$C3582-$D$16,0)</f>
        <v>2.0474660576916586</v>
      </c>
      <c r="R582" s="276">
        <f t="shared" ref="R582:R645" si="536">IF($B$43="On",$C4582-$D$16,0)</f>
        <v>1.1654505871083007</v>
      </c>
      <c r="S582" s="686">
        <f t="shared" ref="S582:S645" si="537">IF($B$43="On",$C5582-$D$16,0)</f>
        <v>1.1087804156439398</v>
      </c>
      <c r="T582" s="685">
        <f t="shared" ref="T582:T645" si="538">IF($B$44="On",$D582-$D$17,0)</f>
        <v>3.1480085315525139</v>
      </c>
      <c r="U582" s="276">
        <f t="shared" ref="U582:U645" si="539">IF($B$44="On",$D1582-$D$17,0)</f>
        <v>3.6174291329879971</v>
      </c>
      <c r="V582" s="276">
        <f t="shared" ref="V582:V645" si="540">IF($B$44="On",$D2582-$D$17,0)</f>
        <v>4.7714520472491362</v>
      </c>
      <c r="W582" s="276">
        <f t="shared" ref="W582:W645" si="541">IF($B$44="On",$D3582-$D$17,0)</f>
        <v>3.2799419285016262</v>
      </c>
      <c r="X582" s="276">
        <f t="shared" ref="X582:X645" si="542">IF($B$44="On",$D4582-$D$17,0)</f>
        <v>3.4070022433013651</v>
      </c>
      <c r="Y582" s="686">
        <f t="shared" ref="Y582:Y645" si="543">IF($B$44="On",$D5582-$D$17,0)</f>
        <v>2.9196468456129097</v>
      </c>
      <c r="Z582" s="685" t="e">
        <f t="shared" ref="Z582:Z645" si="544">IF($B$45="On",$E582-$D$18,0)</f>
        <v>#DIV/0!</v>
      </c>
      <c r="AA582" s="276" t="e">
        <f t="shared" ref="AA582:AA645" si="545">IF($B$45="On",$E1582-$D$18,0)</f>
        <v>#DIV/0!</v>
      </c>
      <c r="AB582" s="276" t="e">
        <f t="shared" ref="AB582:AB645" si="546">IF($B$45="On",$E2582-$D$18,0)</f>
        <v>#DIV/0!</v>
      </c>
      <c r="AC582" s="276" t="e">
        <f t="shared" ref="AC582:AC645" si="547">IF($B$45="On",$E3582-$D$18,0)</f>
        <v>#DIV/0!</v>
      </c>
      <c r="AD582" s="276" t="e">
        <f t="shared" ref="AD582:AD645" si="548">IF($B$45="On",$E4582-$D$18,0)</f>
        <v>#DIV/0!</v>
      </c>
      <c r="AE582" s="686" t="e">
        <f t="shared" ref="AE582:AE645" si="549">IF($B$45="On",$E5582-$D$18,0)</f>
        <v>#DIV/0!</v>
      </c>
      <c r="AF582" s="239"/>
      <c r="AG582" s="965" t="e">
        <f t="shared" si="520"/>
        <v>#VALUE!</v>
      </c>
      <c r="AH582" s="878" t="e">
        <f t="shared" si="521"/>
        <v>#VALUE!</v>
      </c>
      <c r="AI582" s="878" t="e">
        <f t="shared" si="522"/>
        <v>#VALUE!</v>
      </c>
      <c r="AJ582" s="878" t="e">
        <f t="shared" si="523"/>
        <v>#VALUE!</v>
      </c>
      <c r="AK582" s="878" t="e">
        <f t="shared" si="524"/>
        <v>#VALUE!</v>
      </c>
      <c r="AL582" s="966" t="e">
        <f t="shared" si="525"/>
        <v>#VALUE!</v>
      </c>
      <c r="AM582" s="239"/>
      <c r="AO582" s="685">
        <f t="shared" ref="AO582:AO645" si="550">IF($B$42="On",MIN($B582-$D$15,$D$42),0)</f>
        <v>-1.2088418964059591</v>
      </c>
      <c r="AP582" s="276">
        <f t="shared" ref="AP582:AP645" si="551">IF($B$42="On",MIN($B1582-$D$15,$D$42),0)</f>
        <v>0.7522211287039684</v>
      </c>
      <c r="AQ582" s="276">
        <f t="shared" ref="AQ582:AQ645" si="552">IF($B$42="On",MIN($B2582-$D$15,$D$42),0)</f>
        <v>-6.6836161914076371</v>
      </c>
      <c r="AR582" s="276">
        <f t="shared" ref="AR582:AR645" si="553">IF($B$42="On",MIN($B3582-$D$15,$D$42),0)</f>
        <v>-2.4614469342692979</v>
      </c>
      <c r="AS582" s="276">
        <f t="shared" ref="AS582:AS645" si="554">IF($B$42="On",MIN($B4582-$D$15,$D$42),0)</f>
        <v>-2.20730512510917</v>
      </c>
      <c r="AT582" s="276">
        <f t="shared" ref="AT582:AT645" si="555">IF($B$42="On",MIN($B5582-$D$15,$D$42),0)</f>
        <v>-1.124496211506139</v>
      </c>
      <c r="AU582" s="685">
        <f t="shared" ref="AU582:AU645" si="556">IF($B$43="On",MAX($C582-$D$16,$D$43),0)</f>
        <v>1.1061889443651205</v>
      </c>
      <c r="AV582" s="276">
        <f t="shared" ref="AV582:AV645" si="557">IF($B$43="On",MAX($C1582-$D$16,$D$43),0)</f>
        <v>1.7389203892016754</v>
      </c>
      <c r="AW582" s="276">
        <f t="shared" ref="AW582:AW645" si="558">IF($B$43="On",MAX($C2582-$D$16,$D$43),0)</f>
        <v>1.0578544814783564</v>
      </c>
      <c r="AX582" s="276">
        <f t="shared" ref="AX582:AX645" si="559">IF($B$43="On",MAX($C3582-$D$16,$D$43),0)</f>
        <v>2.0474660576916586</v>
      </c>
      <c r="AY582" s="276">
        <f t="shared" ref="AY582:AY645" si="560">IF($B$43="On",MAX($C4582-$D$16,$D$43),0)</f>
        <v>1.1654505871083007</v>
      </c>
      <c r="AZ582" s="686">
        <f t="shared" ref="AZ582:AZ645" si="561">IF($B$43="On",MAX($C5582-$D$16,$D$43),0)</f>
        <v>1.1087804156439398</v>
      </c>
      <c r="BA582" s="685">
        <f t="shared" ref="BA582:BA645" si="562">IF($B$44="On",MIN($D582-$D$17,$D$44),0)</f>
        <v>0</v>
      </c>
      <c r="BB582" s="276">
        <f t="shared" ref="BB582:BB645" si="563">IF($B$44="On",MIN($D1582-$D$17,$D$44),0)</f>
        <v>0</v>
      </c>
      <c r="BC582" s="276">
        <f t="shared" ref="BC582:BC645" si="564">IF($B$44="On",MIN($D2582-$D$17,$D$44),0)</f>
        <v>0</v>
      </c>
      <c r="BD582" s="276">
        <f t="shared" ref="BD582:BD645" si="565">IF($B$44="On",MIN($D3582-$D$17,$D$44),0)</f>
        <v>0</v>
      </c>
      <c r="BE582" s="276">
        <f t="shared" ref="BE582:BE645" si="566">IF($B$44="On",MIN($D4582-$D$17,$D$44),0)</f>
        <v>0</v>
      </c>
      <c r="BF582" s="686">
        <f t="shared" ref="BF582:BF645" si="567">IF($B$44="On",MIN($D5582-$D$17,$D$44),0)</f>
        <v>0</v>
      </c>
      <c r="BG582" s="685" t="e">
        <f t="shared" ref="BG582:BG645" si="568">IF($B$45="On",MAX($E582-$D$18,$D$45),0)</f>
        <v>#DIV/0!</v>
      </c>
      <c r="BH582" s="276" t="e">
        <f t="shared" ref="BH582:BH645" si="569">IF($B$45="On",MAX($E1582-$D$18,$D$45),0)</f>
        <v>#DIV/0!</v>
      </c>
      <c r="BI582" s="276" t="e">
        <f t="shared" ref="BI582:BI645" si="570">IF($B$45="On",MAX($E2582-$D$18,$D$45),0)</f>
        <v>#DIV/0!</v>
      </c>
      <c r="BJ582" s="276" t="e">
        <f t="shared" ref="BJ582:BJ645" si="571">IF($B$45="On",MAX($E3582-$D$18,$D$45),0)</f>
        <v>#DIV/0!</v>
      </c>
      <c r="BK582" s="276" t="e">
        <f t="shared" ref="BK582:BK645" si="572">IF($B$45="On",MAX($E4582-$D$18,$D$45),0)</f>
        <v>#DIV/0!</v>
      </c>
      <c r="BL582" s="686" t="e">
        <f t="shared" ref="BL582:BL645" si="573">IF($B$45="On",MAX($E5582-$D$18,$D$45),0)</f>
        <v>#DIV/0!</v>
      </c>
      <c r="BM582" s="239"/>
      <c r="BN582" s="965" t="e">
        <f t="shared" ref="BN582:BN645" si="574">S$53*(1+(T$55+AU582)/100)*((1-S$62)+S$62*((1+(T$57+BG582)/100)))/(1+(T$54+AO582)/100)-(T$56+BA582)+T$58</f>
        <v>#VALUE!</v>
      </c>
      <c r="BO582" s="878" t="e">
        <f t="shared" ref="BO582:BO645" si="575">BN582*(1+(U$55+AV582)/100)*((1-T$62)+T$62*((1+(U$57+BH582)/100)))/(1+(U$54+AP582)/100)-(U$56+BB582)+U$58</f>
        <v>#VALUE!</v>
      </c>
      <c r="BP582" s="878" t="e">
        <f t="shared" ref="BP582:BP645" si="576">BO582*(1+(V$55+AW582)/100)*((1-U$62)+U$62*((1+(V$57+BI582)/100)))/(1+(V$54+AQ582)/100)-(V$56+BC582)+V$58</f>
        <v>#VALUE!</v>
      </c>
      <c r="BQ582" s="878" t="e">
        <f t="shared" ref="BQ582:BQ645" si="577">BP582*(1+(W$55+AX582)/100)*((1-V$62)+V$62*((1+(W$57+BJ582)/100)))/(1+(W$54+AR582)/100)-(W$56+BD582)+W$58</f>
        <v>#VALUE!</v>
      </c>
      <c r="BR582" s="878" t="e">
        <f t="shared" ref="BR582:BR645" si="578">BQ582*(1+(X$55+AY582)/100)*((1-W$62)+W$62*((1+(X$57+BK582)/100)))/(1+(X$54+AS582)/100)-(X$56+BE582)+X$58</f>
        <v>#VALUE!</v>
      </c>
      <c r="BS582" s="966" t="e">
        <f t="shared" ref="BS582:BS645" si="579">BR582*(1+(Y$55+AZ582)/100)*((1-X$62)+X$62*((1+(Y$57+BL582)/100)))/(1+(Y$54+AT582)/100)-(Y$56+BF582)+Y$58</f>
        <v>#VALUE!</v>
      </c>
    </row>
    <row r="583" spans="1:71">
      <c r="A583" s="284">
        <f t="shared" ref="A583:A646" si="580">A582+1</f>
        <v>515</v>
      </c>
      <c r="B583" s="285">
        <v>-0.59714059624199645</v>
      </c>
      <c r="C583" s="285">
        <v>3.0120255327606174</v>
      </c>
      <c r="D583" s="285">
        <v>-0.66156267366244181</v>
      </c>
      <c r="E583" s="285">
        <v>6.8230078054382588</v>
      </c>
      <c r="H583" s="685">
        <f t="shared" si="526"/>
        <v>-1.7303744380110513</v>
      </c>
      <c r="I583" s="276">
        <f t="shared" si="527"/>
        <v>-2.7538745488995104</v>
      </c>
      <c r="J583" s="276">
        <f t="shared" si="528"/>
        <v>-3.1600824194997506</v>
      </c>
      <c r="K583" s="276">
        <f t="shared" si="529"/>
        <v>-5.1815694860847259</v>
      </c>
      <c r="L583" s="276">
        <f t="shared" si="530"/>
        <v>-1.6785039254293062</v>
      </c>
      <c r="M583" s="276">
        <f t="shared" si="531"/>
        <v>-1.4231482651367733</v>
      </c>
      <c r="N583" s="685">
        <f t="shared" si="532"/>
        <v>1.8048543217887489</v>
      </c>
      <c r="O583" s="276">
        <f t="shared" si="533"/>
        <v>0.50314313713330283</v>
      </c>
      <c r="P583" s="276">
        <f t="shared" si="534"/>
        <v>2.407806157813515</v>
      </c>
      <c r="Q583" s="276">
        <f t="shared" si="535"/>
        <v>2.1963850484458423</v>
      </c>
      <c r="R583" s="276">
        <f t="shared" si="536"/>
        <v>0.91002706999724992</v>
      </c>
      <c r="S583" s="686">
        <f t="shared" si="537"/>
        <v>1.5403762726557944</v>
      </c>
      <c r="T583" s="685">
        <f t="shared" si="538"/>
        <v>2.6168010166084841</v>
      </c>
      <c r="U583" s="276">
        <f t="shared" si="539"/>
        <v>6.1976466446462322</v>
      </c>
      <c r="V583" s="276">
        <f t="shared" si="540"/>
        <v>4.0150135624793482</v>
      </c>
      <c r="W583" s="276">
        <f t="shared" si="541"/>
        <v>1.7245682420790058</v>
      </c>
      <c r="X583" s="276">
        <f t="shared" si="542"/>
        <v>3.4007553517260192</v>
      </c>
      <c r="Y583" s="686">
        <f t="shared" si="543"/>
        <v>3.1020248108298132</v>
      </c>
      <c r="Z583" s="685" t="e">
        <f t="shared" si="544"/>
        <v>#DIV/0!</v>
      </c>
      <c r="AA583" s="276" t="e">
        <f t="shared" si="545"/>
        <v>#DIV/0!</v>
      </c>
      <c r="AB583" s="276" t="e">
        <f t="shared" si="546"/>
        <v>#DIV/0!</v>
      </c>
      <c r="AC583" s="276" t="e">
        <f t="shared" si="547"/>
        <v>#DIV/0!</v>
      </c>
      <c r="AD583" s="276" t="e">
        <f t="shared" si="548"/>
        <v>#DIV/0!</v>
      </c>
      <c r="AE583" s="686" t="e">
        <f t="shared" si="549"/>
        <v>#DIV/0!</v>
      </c>
      <c r="AF583" s="239"/>
      <c r="AG583" s="965" t="e">
        <f t="shared" si="520"/>
        <v>#VALUE!</v>
      </c>
      <c r="AH583" s="878" t="e">
        <f t="shared" si="521"/>
        <v>#VALUE!</v>
      </c>
      <c r="AI583" s="878" t="e">
        <f t="shared" si="522"/>
        <v>#VALUE!</v>
      </c>
      <c r="AJ583" s="878" t="e">
        <f t="shared" si="523"/>
        <v>#VALUE!</v>
      </c>
      <c r="AK583" s="878" t="e">
        <f t="shared" si="524"/>
        <v>#VALUE!</v>
      </c>
      <c r="AL583" s="966" t="e">
        <f t="shared" si="525"/>
        <v>#VALUE!</v>
      </c>
      <c r="AM583" s="239"/>
      <c r="AO583" s="685">
        <f t="shared" si="550"/>
        <v>-1.7303744380110513</v>
      </c>
      <c r="AP583" s="276">
        <f t="shared" si="551"/>
        <v>-2.7538745488995104</v>
      </c>
      <c r="AQ583" s="276">
        <f t="shared" si="552"/>
        <v>-3.1600824194997506</v>
      </c>
      <c r="AR583" s="276">
        <f t="shared" si="553"/>
        <v>-5.1815694860847259</v>
      </c>
      <c r="AS583" s="276">
        <f t="shared" si="554"/>
        <v>-1.6785039254293062</v>
      </c>
      <c r="AT583" s="276">
        <f t="shared" si="555"/>
        <v>-1.4231482651367733</v>
      </c>
      <c r="AU583" s="685">
        <f t="shared" si="556"/>
        <v>1.8048543217887489</v>
      </c>
      <c r="AV583" s="276">
        <f t="shared" si="557"/>
        <v>0.50314313713330283</v>
      </c>
      <c r="AW583" s="276">
        <f t="shared" si="558"/>
        <v>2.407806157813515</v>
      </c>
      <c r="AX583" s="276">
        <f t="shared" si="559"/>
        <v>2.1963850484458423</v>
      </c>
      <c r="AY583" s="276">
        <f t="shared" si="560"/>
        <v>0.91002706999724992</v>
      </c>
      <c r="AZ583" s="686">
        <f t="shared" si="561"/>
        <v>1.5403762726557944</v>
      </c>
      <c r="BA583" s="685">
        <f t="shared" si="562"/>
        <v>0</v>
      </c>
      <c r="BB583" s="276">
        <f t="shared" si="563"/>
        <v>0</v>
      </c>
      <c r="BC583" s="276">
        <f t="shared" si="564"/>
        <v>0</v>
      </c>
      <c r="BD583" s="276">
        <f t="shared" si="565"/>
        <v>0</v>
      </c>
      <c r="BE583" s="276">
        <f t="shared" si="566"/>
        <v>0</v>
      </c>
      <c r="BF583" s="686">
        <f t="shared" si="567"/>
        <v>0</v>
      </c>
      <c r="BG583" s="685" t="e">
        <f t="shared" si="568"/>
        <v>#DIV/0!</v>
      </c>
      <c r="BH583" s="276" t="e">
        <f t="shared" si="569"/>
        <v>#DIV/0!</v>
      </c>
      <c r="BI583" s="276" t="e">
        <f t="shared" si="570"/>
        <v>#DIV/0!</v>
      </c>
      <c r="BJ583" s="276" t="e">
        <f t="shared" si="571"/>
        <v>#DIV/0!</v>
      </c>
      <c r="BK583" s="276" t="e">
        <f t="shared" si="572"/>
        <v>#DIV/0!</v>
      </c>
      <c r="BL583" s="686" t="e">
        <f t="shared" si="573"/>
        <v>#DIV/0!</v>
      </c>
      <c r="BM583" s="239"/>
      <c r="BN583" s="965" t="e">
        <f t="shared" si="574"/>
        <v>#VALUE!</v>
      </c>
      <c r="BO583" s="878" t="e">
        <f t="shared" si="575"/>
        <v>#VALUE!</v>
      </c>
      <c r="BP583" s="878" t="e">
        <f t="shared" si="576"/>
        <v>#VALUE!</v>
      </c>
      <c r="BQ583" s="878" t="e">
        <f t="shared" si="577"/>
        <v>#VALUE!</v>
      </c>
      <c r="BR583" s="878" t="e">
        <f t="shared" si="578"/>
        <v>#VALUE!</v>
      </c>
      <c r="BS583" s="966" t="e">
        <f t="shared" si="579"/>
        <v>#VALUE!</v>
      </c>
    </row>
    <row r="584" spans="1:71">
      <c r="A584" s="284">
        <f t="shared" si="580"/>
        <v>516</v>
      </c>
      <c r="B584" s="285">
        <v>2.2600891971518808</v>
      </c>
      <c r="C584" s="285">
        <v>2.4434084671013054</v>
      </c>
      <c r="D584" s="285">
        <v>1.4584068579867924</v>
      </c>
      <c r="E584" s="285">
        <v>-3.9882704879534057</v>
      </c>
      <c r="H584" s="685">
        <f t="shared" si="526"/>
        <v>1.126855355382826</v>
      </c>
      <c r="I584" s="276">
        <f t="shared" si="527"/>
        <v>-0.70107892201741762</v>
      </c>
      <c r="J584" s="276">
        <f t="shared" si="528"/>
        <v>-5.5791215179644684</v>
      </c>
      <c r="K584" s="276">
        <f t="shared" si="529"/>
        <v>1.2474467612762334</v>
      </c>
      <c r="L584" s="276">
        <f t="shared" si="530"/>
        <v>-1.6222094696903313</v>
      </c>
      <c r="M584" s="276">
        <f t="shared" si="531"/>
        <v>0.78507249616654562</v>
      </c>
      <c r="N584" s="685">
        <f t="shared" si="532"/>
        <v>1.236237256129437</v>
      </c>
      <c r="O584" s="276">
        <f t="shared" si="533"/>
        <v>1.3731094341353114</v>
      </c>
      <c r="P584" s="276">
        <f t="shared" si="534"/>
        <v>1.4060809999772885</v>
      </c>
      <c r="Q584" s="276">
        <f t="shared" si="535"/>
        <v>2.2613459266237461</v>
      </c>
      <c r="R584" s="276">
        <f t="shared" si="536"/>
        <v>1.4329675891482434</v>
      </c>
      <c r="S584" s="686">
        <f t="shared" si="537"/>
        <v>1.5264854863504709</v>
      </c>
      <c r="T584" s="685">
        <f t="shared" si="538"/>
        <v>4.7367705482577183</v>
      </c>
      <c r="U584" s="276">
        <f t="shared" si="539"/>
        <v>2.9586806081519335</v>
      </c>
      <c r="V584" s="276">
        <f t="shared" si="540"/>
        <v>1.3052820226757436</v>
      </c>
      <c r="W584" s="276">
        <f t="shared" si="541"/>
        <v>5.9272813480922899</v>
      </c>
      <c r="X584" s="276">
        <f t="shared" si="542"/>
        <v>6.091363058400967</v>
      </c>
      <c r="Y584" s="686">
        <f t="shared" si="543"/>
        <v>6.099422001956496</v>
      </c>
      <c r="Z584" s="685" t="e">
        <f t="shared" si="544"/>
        <v>#DIV/0!</v>
      </c>
      <c r="AA584" s="276" t="e">
        <f t="shared" si="545"/>
        <v>#DIV/0!</v>
      </c>
      <c r="AB584" s="276" t="e">
        <f t="shared" si="546"/>
        <v>#DIV/0!</v>
      </c>
      <c r="AC584" s="276" t="e">
        <f t="shared" si="547"/>
        <v>#DIV/0!</v>
      </c>
      <c r="AD584" s="276" t="e">
        <f t="shared" si="548"/>
        <v>#DIV/0!</v>
      </c>
      <c r="AE584" s="686" t="e">
        <f t="shared" si="549"/>
        <v>#DIV/0!</v>
      </c>
      <c r="AF584" s="239"/>
      <c r="AG584" s="965" t="e">
        <f t="shared" si="520"/>
        <v>#VALUE!</v>
      </c>
      <c r="AH584" s="878" t="e">
        <f t="shared" si="521"/>
        <v>#VALUE!</v>
      </c>
      <c r="AI584" s="878" t="e">
        <f t="shared" si="522"/>
        <v>#VALUE!</v>
      </c>
      <c r="AJ584" s="878" t="e">
        <f t="shared" si="523"/>
        <v>#VALUE!</v>
      </c>
      <c r="AK584" s="878" t="e">
        <f t="shared" si="524"/>
        <v>#VALUE!</v>
      </c>
      <c r="AL584" s="966" t="e">
        <f t="shared" si="525"/>
        <v>#VALUE!</v>
      </c>
      <c r="AM584" s="239"/>
      <c r="AO584" s="685">
        <f t="shared" si="550"/>
        <v>1.126855355382826</v>
      </c>
      <c r="AP584" s="276">
        <f t="shared" si="551"/>
        <v>-0.70107892201741762</v>
      </c>
      <c r="AQ584" s="276">
        <f t="shared" si="552"/>
        <v>-5.5791215179644684</v>
      </c>
      <c r="AR584" s="276">
        <f t="shared" si="553"/>
        <v>1.2474467612762334</v>
      </c>
      <c r="AS584" s="276">
        <f t="shared" si="554"/>
        <v>-1.6222094696903313</v>
      </c>
      <c r="AT584" s="276">
        <f t="shared" si="555"/>
        <v>0.78507249616654562</v>
      </c>
      <c r="AU584" s="685">
        <f t="shared" si="556"/>
        <v>1.236237256129437</v>
      </c>
      <c r="AV584" s="276">
        <f t="shared" si="557"/>
        <v>1.3731094341353114</v>
      </c>
      <c r="AW584" s="276">
        <f t="shared" si="558"/>
        <v>1.4060809999772885</v>
      </c>
      <c r="AX584" s="276">
        <f t="shared" si="559"/>
        <v>2.2613459266237461</v>
      </c>
      <c r="AY584" s="276">
        <f t="shared" si="560"/>
        <v>1.4329675891482434</v>
      </c>
      <c r="AZ584" s="686">
        <f t="shared" si="561"/>
        <v>1.5264854863504709</v>
      </c>
      <c r="BA584" s="685">
        <f t="shared" si="562"/>
        <v>0</v>
      </c>
      <c r="BB584" s="276">
        <f t="shared" si="563"/>
        <v>0</v>
      </c>
      <c r="BC584" s="276">
        <f t="shared" si="564"/>
        <v>0</v>
      </c>
      <c r="BD584" s="276">
        <f t="shared" si="565"/>
        <v>0</v>
      </c>
      <c r="BE584" s="276">
        <f t="shared" si="566"/>
        <v>0</v>
      </c>
      <c r="BF584" s="686">
        <f t="shared" si="567"/>
        <v>0</v>
      </c>
      <c r="BG584" s="685" t="e">
        <f t="shared" si="568"/>
        <v>#DIV/0!</v>
      </c>
      <c r="BH584" s="276" t="e">
        <f t="shared" si="569"/>
        <v>#DIV/0!</v>
      </c>
      <c r="BI584" s="276" t="e">
        <f t="shared" si="570"/>
        <v>#DIV/0!</v>
      </c>
      <c r="BJ584" s="276" t="e">
        <f t="shared" si="571"/>
        <v>#DIV/0!</v>
      </c>
      <c r="BK584" s="276" t="e">
        <f t="shared" si="572"/>
        <v>#DIV/0!</v>
      </c>
      <c r="BL584" s="686" t="e">
        <f t="shared" si="573"/>
        <v>#DIV/0!</v>
      </c>
      <c r="BM584" s="239"/>
      <c r="BN584" s="965" t="e">
        <f t="shared" si="574"/>
        <v>#VALUE!</v>
      </c>
      <c r="BO584" s="878" t="e">
        <f t="shared" si="575"/>
        <v>#VALUE!</v>
      </c>
      <c r="BP584" s="878" t="e">
        <f t="shared" si="576"/>
        <v>#VALUE!</v>
      </c>
      <c r="BQ584" s="878" t="e">
        <f t="shared" si="577"/>
        <v>#VALUE!</v>
      </c>
      <c r="BR584" s="878" t="e">
        <f t="shared" si="578"/>
        <v>#VALUE!</v>
      </c>
      <c r="BS584" s="966" t="e">
        <f t="shared" si="579"/>
        <v>#VALUE!</v>
      </c>
    </row>
    <row r="585" spans="1:71">
      <c r="A585" s="284">
        <f t="shared" si="580"/>
        <v>517</v>
      </c>
      <c r="B585" s="285">
        <v>-1.2175407726061489</v>
      </c>
      <c r="C585" s="285">
        <v>3.1083599335567147</v>
      </c>
      <c r="D585" s="285">
        <v>2.2879696730992993E-2</v>
      </c>
      <c r="E585" s="285">
        <v>18.719744244277614</v>
      </c>
      <c r="H585" s="685">
        <f t="shared" si="526"/>
        <v>-2.3507746143752035</v>
      </c>
      <c r="I585" s="276">
        <f t="shared" si="527"/>
        <v>-3.7934297635216163</v>
      </c>
      <c r="J585" s="276">
        <f t="shared" si="528"/>
        <v>-2.6860965998709458</v>
      </c>
      <c r="K585" s="276">
        <f t="shared" si="529"/>
        <v>-0.95440131143269114</v>
      </c>
      <c r="L585" s="276">
        <f t="shared" si="530"/>
        <v>-2.8915942461676485</v>
      </c>
      <c r="M585" s="276">
        <f t="shared" si="531"/>
        <v>5.1400225795070655</v>
      </c>
      <c r="N585" s="685">
        <f t="shared" si="532"/>
        <v>1.9011887225848463</v>
      </c>
      <c r="O585" s="276">
        <f t="shared" si="533"/>
        <v>1.4790903742696504</v>
      </c>
      <c r="P585" s="276">
        <f t="shared" si="534"/>
        <v>0.79530273839929211</v>
      </c>
      <c r="Q585" s="276">
        <f t="shared" si="535"/>
        <v>1.027320155459077</v>
      </c>
      <c r="R585" s="276">
        <f t="shared" si="536"/>
        <v>1.9179275014211845</v>
      </c>
      <c r="S585" s="686">
        <f t="shared" si="537"/>
        <v>0.33193276018454765</v>
      </c>
      <c r="T585" s="685">
        <f t="shared" si="538"/>
        <v>3.3012433870019189</v>
      </c>
      <c r="U585" s="276">
        <f t="shared" si="539"/>
        <v>6.3366347053969534</v>
      </c>
      <c r="V585" s="276">
        <f t="shared" si="540"/>
        <v>2.9847595024242306</v>
      </c>
      <c r="W585" s="276">
        <f t="shared" si="541"/>
        <v>6.8662650462057186</v>
      </c>
      <c r="X585" s="276">
        <f t="shared" si="542"/>
        <v>4.4558195964294205</v>
      </c>
      <c r="Y585" s="686">
        <f t="shared" si="543"/>
        <v>6.507266878304943</v>
      </c>
      <c r="Z585" s="685" t="e">
        <f t="shared" si="544"/>
        <v>#DIV/0!</v>
      </c>
      <c r="AA585" s="276" t="e">
        <f t="shared" si="545"/>
        <v>#DIV/0!</v>
      </c>
      <c r="AB585" s="276" t="e">
        <f t="shared" si="546"/>
        <v>#DIV/0!</v>
      </c>
      <c r="AC585" s="276" t="e">
        <f t="shared" si="547"/>
        <v>#DIV/0!</v>
      </c>
      <c r="AD585" s="276" t="e">
        <f t="shared" si="548"/>
        <v>#DIV/0!</v>
      </c>
      <c r="AE585" s="686" t="e">
        <f t="shared" si="549"/>
        <v>#DIV/0!</v>
      </c>
      <c r="AF585" s="239"/>
      <c r="AG585" s="965" t="e">
        <f t="shared" si="520"/>
        <v>#VALUE!</v>
      </c>
      <c r="AH585" s="878" t="e">
        <f t="shared" si="521"/>
        <v>#VALUE!</v>
      </c>
      <c r="AI585" s="878" t="e">
        <f t="shared" si="522"/>
        <v>#VALUE!</v>
      </c>
      <c r="AJ585" s="878" t="e">
        <f t="shared" si="523"/>
        <v>#VALUE!</v>
      </c>
      <c r="AK585" s="878" t="e">
        <f t="shared" si="524"/>
        <v>#VALUE!</v>
      </c>
      <c r="AL585" s="966" t="e">
        <f t="shared" si="525"/>
        <v>#VALUE!</v>
      </c>
      <c r="AM585" s="239"/>
      <c r="AO585" s="685">
        <f t="shared" si="550"/>
        <v>-2.3507746143752035</v>
      </c>
      <c r="AP585" s="276">
        <f t="shared" si="551"/>
        <v>-3.7934297635216163</v>
      </c>
      <c r="AQ585" s="276">
        <f t="shared" si="552"/>
        <v>-2.6860965998709458</v>
      </c>
      <c r="AR585" s="276">
        <f t="shared" si="553"/>
        <v>-0.95440131143269114</v>
      </c>
      <c r="AS585" s="276">
        <f t="shared" si="554"/>
        <v>-2.8915942461676485</v>
      </c>
      <c r="AT585" s="276">
        <f t="shared" si="555"/>
        <v>5.1400225795070655</v>
      </c>
      <c r="AU585" s="685">
        <f t="shared" si="556"/>
        <v>1.9011887225848463</v>
      </c>
      <c r="AV585" s="276">
        <f t="shared" si="557"/>
        <v>1.4790903742696504</v>
      </c>
      <c r="AW585" s="276">
        <f t="shared" si="558"/>
        <v>0.79530273839929211</v>
      </c>
      <c r="AX585" s="276">
        <f t="shared" si="559"/>
        <v>1.027320155459077</v>
      </c>
      <c r="AY585" s="276">
        <f t="shared" si="560"/>
        <v>1.9179275014211845</v>
      </c>
      <c r="AZ585" s="686">
        <f t="shared" si="561"/>
        <v>0.33193276018454765</v>
      </c>
      <c r="BA585" s="685">
        <f t="shared" si="562"/>
        <v>0</v>
      </c>
      <c r="BB585" s="276">
        <f t="shared" si="563"/>
        <v>0</v>
      </c>
      <c r="BC585" s="276">
        <f t="shared" si="564"/>
        <v>0</v>
      </c>
      <c r="BD585" s="276">
        <f t="shared" si="565"/>
        <v>0</v>
      </c>
      <c r="BE585" s="276">
        <f t="shared" si="566"/>
        <v>0</v>
      </c>
      <c r="BF585" s="686">
        <f t="shared" si="567"/>
        <v>0</v>
      </c>
      <c r="BG585" s="685" t="e">
        <f t="shared" si="568"/>
        <v>#DIV/0!</v>
      </c>
      <c r="BH585" s="276" t="e">
        <f t="shared" si="569"/>
        <v>#DIV/0!</v>
      </c>
      <c r="BI585" s="276" t="e">
        <f t="shared" si="570"/>
        <v>#DIV/0!</v>
      </c>
      <c r="BJ585" s="276" t="e">
        <f t="shared" si="571"/>
        <v>#DIV/0!</v>
      </c>
      <c r="BK585" s="276" t="e">
        <f t="shared" si="572"/>
        <v>#DIV/0!</v>
      </c>
      <c r="BL585" s="686" t="e">
        <f t="shared" si="573"/>
        <v>#DIV/0!</v>
      </c>
      <c r="BM585" s="239"/>
      <c r="BN585" s="965" t="e">
        <f t="shared" si="574"/>
        <v>#VALUE!</v>
      </c>
      <c r="BO585" s="878" t="e">
        <f t="shared" si="575"/>
        <v>#VALUE!</v>
      </c>
      <c r="BP585" s="878" t="e">
        <f t="shared" si="576"/>
        <v>#VALUE!</v>
      </c>
      <c r="BQ585" s="878" t="e">
        <f t="shared" si="577"/>
        <v>#VALUE!</v>
      </c>
      <c r="BR585" s="878" t="e">
        <f t="shared" si="578"/>
        <v>#VALUE!</v>
      </c>
      <c r="BS585" s="966" t="e">
        <f t="shared" si="579"/>
        <v>#VALUE!</v>
      </c>
    </row>
    <row r="586" spans="1:71">
      <c r="A586" s="284">
        <f t="shared" si="580"/>
        <v>518</v>
      </c>
      <c r="B586" s="285">
        <v>-1.5144650476908048</v>
      </c>
      <c r="C586" s="285">
        <v>2.9829925546407945</v>
      </c>
      <c r="D586" s="285">
        <v>-0.85026325425216553</v>
      </c>
      <c r="E586" s="285">
        <v>3.6405101544077918</v>
      </c>
      <c r="H586" s="685">
        <f t="shared" si="526"/>
        <v>-2.6476988894598597</v>
      </c>
      <c r="I586" s="276">
        <f t="shared" si="527"/>
        <v>-1.6925961059403649</v>
      </c>
      <c r="J586" s="276">
        <f t="shared" si="528"/>
        <v>-0.9276561236130656</v>
      </c>
      <c r="K586" s="276">
        <f t="shared" si="529"/>
        <v>2.9813409300982823</v>
      </c>
      <c r="L586" s="276">
        <f t="shared" si="530"/>
        <v>1.5471523749512268</v>
      </c>
      <c r="M586" s="276">
        <f t="shared" si="531"/>
        <v>1.6038221597818823</v>
      </c>
      <c r="N586" s="685">
        <f t="shared" si="532"/>
        <v>1.7758213436689261</v>
      </c>
      <c r="O586" s="276">
        <f t="shared" si="533"/>
        <v>1.4372881080114281</v>
      </c>
      <c r="P586" s="276">
        <f t="shared" si="534"/>
        <v>1.4443011035666211</v>
      </c>
      <c r="Q586" s="276">
        <f t="shared" si="535"/>
        <v>1.6462468597937538</v>
      </c>
      <c r="R586" s="276">
        <f t="shared" si="536"/>
        <v>1.6190124446114627</v>
      </c>
      <c r="S586" s="686">
        <f t="shared" si="537"/>
        <v>1.8246850933343219</v>
      </c>
      <c r="T586" s="685">
        <f t="shared" si="538"/>
        <v>2.4281004360187604</v>
      </c>
      <c r="U586" s="276">
        <f t="shared" si="539"/>
        <v>5.0040089216462187</v>
      </c>
      <c r="V586" s="276">
        <f t="shared" si="540"/>
        <v>4.4759588536950581</v>
      </c>
      <c r="W586" s="276">
        <f t="shared" si="541"/>
        <v>6.286281341570656</v>
      </c>
      <c r="X586" s="276">
        <f t="shared" si="542"/>
        <v>5.8206170339697856</v>
      </c>
      <c r="Y586" s="686">
        <f t="shared" si="543"/>
        <v>4.408293000773071</v>
      </c>
      <c r="Z586" s="685" t="e">
        <f t="shared" si="544"/>
        <v>#DIV/0!</v>
      </c>
      <c r="AA586" s="276" t="e">
        <f t="shared" si="545"/>
        <v>#DIV/0!</v>
      </c>
      <c r="AB586" s="276" t="e">
        <f t="shared" si="546"/>
        <v>#DIV/0!</v>
      </c>
      <c r="AC586" s="276" t="e">
        <f t="shared" si="547"/>
        <v>#DIV/0!</v>
      </c>
      <c r="AD586" s="276" t="e">
        <f t="shared" si="548"/>
        <v>#DIV/0!</v>
      </c>
      <c r="AE586" s="686" t="e">
        <f t="shared" si="549"/>
        <v>#DIV/0!</v>
      </c>
      <c r="AF586" s="239"/>
      <c r="AG586" s="965" t="e">
        <f t="shared" si="520"/>
        <v>#VALUE!</v>
      </c>
      <c r="AH586" s="878" t="e">
        <f t="shared" si="521"/>
        <v>#VALUE!</v>
      </c>
      <c r="AI586" s="878" t="e">
        <f t="shared" si="522"/>
        <v>#VALUE!</v>
      </c>
      <c r="AJ586" s="878" t="e">
        <f t="shared" si="523"/>
        <v>#VALUE!</v>
      </c>
      <c r="AK586" s="878" t="e">
        <f t="shared" si="524"/>
        <v>#VALUE!</v>
      </c>
      <c r="AL586" s="966" t="e">
        <f t="shared" si="525"/>
        <v>#VALUE!</v>
      </c>
      <c r="AM586" s="239"/>
      <c r="AO586" s="685">
        <f t="shared" si="550"/>
        <v>-2.6476988894598597</v>
      </c>
      <c r="AP586" s="276">
        <f t="shared" si="551"/>
        <v>-1.6925961059403649</v>
      </c>
      <c r="AQ586" s="276">
        <f t="shared" si="552"/>
        <v>-0.9276561236130656</v>
      </c>
      <c r="AR586" s="276">
        <f t="shared" si="553"/>
        <v>2.9813409300982823</v>
      </c>
      <c r="AS586" s="276">
        <f t="shared" si="554"/>
        <v>1.5471523749512268</v>
      </c>
      <c r="AT586" s="276">
        <f t="shared" si="555"/>
        <v>1.6038221597818823</v>
      </c>
      <c r="AU586" s="685">
        <f t="shared" si="556"/>
        <v>1.7758213436689261</v>
      </c>
      <c r="AV586" s="276">
        <f t="shared" si="557"/>
        <v>1.4372881080114281</v>
      </c>
      <c r="AW586" s="276">
        <f t="shared" si="558"/>
        <v>1.4443011035666211</v>
      </c>
      <c r="AX586" s="276">
        <f t="shared" si="559"/>
        <v>1.6462468597937538</v>
      </c>
      <c r="AY586" s="276">
        <f t="shared" si="560"/>
        <v>1.6190124446114627</v>
      </c>
      <c r="AZ586" s="686">
        <f t="shared" si="561"/>
        <v>1.8246850933343219</v>
      </c>
      <c r="BA586" s="685">
        <f t="shared" si="562"/>
        <v>0</v>
      </c>
      <c r="BB586" s="276">
        <f t="shared" si="563"/>
        <v>0</v>
      </c>
      <c r="BC586" s="276">
        <f t="shared" si="564"/>
        <v>0</v>
      </c>
      <c r="BD586" s="276">
        <f t="shared" si="565"/>
        <v>0</v>
      </c>
      <c r="BE586" s="276">
        <f t="shared" si="566"/>
        <v>0</v>
      </c>
      <c r="BF586" s="686">
        <f t="shared" si="567"/>
        <v>0</v>
      </c>
      <c r="BG586" s="685" t="e">
        <f t="shared" si="568"/>
        <v>#DIV/0!</v>
      </c>
      <c r="BH586" s="276" t="e">
        <f t="shared" si="569"/>
        <v>#DIV/0!</v>
      </c>
      <c r="BI586" s="276" t="e">
        <f t="shared" si="570"/>
        <v>#DIV/0!</v>
      </c>
      <c r="BJ586" s="276" t="e">
        <f t="shared" si="571"/>
        <v>#DIV/0!</v>
      </c>
      <c r="BK586" s="276" t="e">
        <f t="shared" si="572"/>
        <v>#DIV/0!</v>
      </c>
      <c r="BL586" s="686" t="e">
        <f t="shared" si="573"/>
        <v>#DIV/0!</v>
      </c>
      <c r="BM586" s="239"/>
      <c r="BN586" s="965" t="e">
        <f t="shared" si="574"/>
        <v>#VALUE!</v>
      </c>
      <c r="BO586" s="878" t="e">
        <f t="shared" si="575"/>
        <v>#VALUE!</v>
      </c>
      <c r="BP586" s="878" t="e">
        <f t="shared" si="576"/>
        <v>#VALUE!</v>
      </c>
      <c r="BQ586" s="878" t="e">
        <f t="shared" si="577"/>
        <v>#VALUE!</v>
      </c>
      <c r="BR586" s="878" t="e">
        <f t="shared" si="578"/>
        <v>#VALUE!</v>
      </c>
      <c r="BS586" s="966" t="e">
        <f t="shared" si="579"/>
        <v>#VALUE!</v>
      </c>
    </row>
    <row r="587" spans="1:71">
      <c r="A587" s="284">
        <f t="shared" si="580"/>
        <v>519</v>
      </c>
      <c r="B587" s="285">
        <v>1.0563800955996732</v>
      </c>
      <c r="C587" s="285">
        <v>2.6720957668078826</v>
      </c>
      <c r="D587" s="285">
        <v>1.7388425813490034</v>
      </c>
      <c r="E587" s="285">
        <v>-4.1703777223149716</v>
      </c>
      <c r="H587" s="685">
        <f t="shared" si="526"/>
        <v>-7.6853746169381676E-2</v>
      </c>
      <c r="I587" s="276">
        <f t="shared" si="527"/>
        <v>-5.2488497584801825</v>
      </c>
      <c r="J587" s="276">
        <f t="shared" si="528"/>
        <v>0.57625603878302289</v>
      </c>
      <c r="K587" s="276">
        <f t="shared" si="529"/>
        <v>-3.3539857701632645</v>
      </c>
      <c r="L587" s="276">
        <f t="shared" si="530"/>
        <v>9.5742027917262051E-2</v>
      </c>
      <c r="M587" s="276">
        <f t="shared" si="531"/>
        <v>-3.7843095148059938</v>
      </c>
      <c r="N587" s="685">
        <f t="shared" si="532"/>
        <v>1.4649245558360142</v>
      </c>
      <c r="O587" s="276">
        <f t="shared" si="533"/>
        <v>1.0912469267336335</v>
      </c>
      <c r="P587" s="276">
        <f t="shared" si="534"/>
        <v>1.3381289485707606</v>
      </c>
      <c r="Q587" s="276">
        <f t="shared" si="535"/>
        <v>1.5903569751631401</v>
      </c>
      <c r="R587" s="276">
        <f t="shared" si="536"/>
        <v>1.1299747578284898</v>
      </c>
      <c r="S587" s="686">
        <f t="shared" si="537"/>
        <v>0.37542294692958089</v>
      </c>
      <c r="T587" s="685">
        <f t="shared" si="538"/>
        <v>5.017206271619929</v>
      </c>
      <c r="U587" s="276">
        <f t="shared" si="539"/>
        <v>4.9926909041853573</v>
      </c>
      <c r="V587" s="276">
        <f t="shared" si="540"/>
        <v>4.0588166591933827</v>
      </c>
      <c r="W587" s="276">
        <f t="shared" si="541"/>
        <v>3.1435238582482921</v>
      </c>
      <c r="X587" s="276">
        <f t="shared" si="542"/>
        <v>3.7311916714347553</v>
      </c>
      <c r="Y587" s="686">
        <f t="shared" si="543"/>
        <v>5.122906092878651</v>
      </c>
      <c r="Z587" s="685" t="e">
        <f t="shared" si="544"/>
        <v>#DIV/0!</v>
      </c>
      <c r="AA587" s="276" t="e">
        <f t="shared" si="545"/>
        <v>#DIV/0!</v>
      </c>
      <c r="AB587" s="276" t="e">
        <f t="shared" si="546"/>
        <v>#DIV/0!</v>
      </c>
      <c r="AC587" s="276" t="e">
        <f t="shared" si="547"/>
        <v>#DIV/0!</v>
      </c>
      <c r="AD587" s="276" t="e">
        <f t="shared" si="548"/>
        <v>#DIV/0!</v>
      </c>
      <c r="AE587" s="686" t="e">
        <f t="shared" si="549"/>
        <v>#DIV/0!</v>
      </c>
      <c r="AF587" s="239"/>
      <c r="AG587" s="965" t="e">
        <f t="shared" si="520"/>
        <v>#VALUE!</v>
      </c>
      <c r="AH587" s="878" t="e">
        <f t="shared" si="521"/>
        <v>#VALUE!</v>
      </c>
      <c r="AI587" s="878" t="e">
        <f t="shared" si="522"/>
        <v>#VALUE!</v>
      </c>
      <c r="AJ587" s="878" t="e">
        <f t="shared" si="523"/>
        <v>#VALUE!</v>
      </c>
      <c r="AK587" s="878" t="e">
        <f t="shared" si="524"/>
        <v>#VALUE!</v>
      </c>
      <c r="AL587" s="966" t="e">
        <f t="shared" si="525"/>
        <v>#VALUE!</v>
      </c>
      <c r="AM587" s="239"/>
      <c r="AO587" s="685">
        <f t="shared" si="550"/>
        <v>-7.6853746169381676E-2</v>
      </c>
      <c r="AP587" s="276">
        <f t="shared" si="551"/>
        <v>-5.2488497584801825</v>
      </c>
      <c r="AQ587" s="276">
        <f t="shared" si="552"/>
        <v>0.57625603878302289</v>
      </c>
      <c r="AR587" s="276">
        <f t="shared" si="553"/>
        <v>-3.3539857701632645</v>
      </c>
      <c r="AS587" s="276">
        <f t="shared" si="554"/>
        <v>9.5742027917262051E-2</v>
      </c>
      <c r="AT587" s="276">
        <f t="shared" si="555"/>
        <v>-3.7843095148059938</v>
      </c>
      <c r="AU587" s="685">
        <f t="shared" si="556"/>
        <v>1.4649245558360142</v>
      </c>
      <c r="AV587" s="276">
        <f t="shared" si="557"/>
        <v>1.0912469267336335</v>
      </c>
      <c r="AW587" s="276">
        <f t="shared" si="558"/>
        <v>1.3381289485707606</v>
      </c>
      <c r="AX587" s="276">
        <f t="shared" si="559"/>
        <v>1.5903569751631401</v>
      </c>
      <c r="AY587" s="276">
        <f t="shared" si="560"/>
        <v>1.1299747578284898</v>
      </c>
      <c r="AZ587" s="686">
        <f t="shared" si="561"/>
        <v>0.37542294692958089</v>
      </c>
      <c r="BA587" s="685">
        <f t="shared" si="562"/>
        <v>0</v>
      </c>
      <c r="BB587" s="276">
        <f t="shared" si="563"/>
        <v>0</v>
      </c>
      <c r="BC587" s="276">
        <f t="shared" si="564"/>
        <v>0</v>
      </c>
      <c r="BD587" s="276">
        <f t="shared" si="565"/>
        <v>0</v>
      </c>
      <c r="BE587" s="276">
        <f t="shared" si="566"/>
        <v>0</v>
      </c>
      <c r="BF587" s="686">
        <f t="shared" si="567"/>
        <v>0</v>
      </c>
      <c r="BG587" s="685" t="e">
        <f t="shared" si="568"/>
        <v>#DIV/0!</v>
      </c>
      <c r="BH587" s="276" t="e">
        <f t="shared" si="569"/>
        <v>#DIV/0!</v>
      </c>
      <c r="BI587" s="276" t="e">
        <f t="shared" si="570"/>
        <v>#DIV/0!</v>
      </c>
      <c r="BJ587" s="276" t="e">
        <f t="shared" si="571"/>
        <v>#DIV/0!</v>
      </c>
      <c r="BK587" s="276" t="e">
        <f t="shared" si="572"/>
        <v>#DIV/0!</v>
      </c>
      <c r="BL587" s="686" t="e">
        <f t="shared" si="573"/>
        <v>#DIV/0!</v>
      </c>
      <c r="BM587" s="239"/>
      <c r="BN587" s="965" t="e">
        <f t="shared" si="574"/>
        <v>#VALUE!</v>
      </c>
      <c r="BO587" s="878" t="e">
        <f t="shared" si="575"/>
        <v>#VALUE!</v>
      </c>
      <c r="BP587" s="878" t="e">
        <f t="shared" si="576"/>
        <v>#VALUE!</v>
      </c>
      <c r="BQ587" s="878" t="e">
        <f t="shared" si="577"/>
        <v>#VALUE!</v>
      </c>
      <c r="BR587" s="878" t="e">
        <f t="shared" si="578"/>
        <v>#VALUE!</v>
      </c>
      <c r="BS587" s="966" t="e">
        <f t="shared" si="579"/>
        <v>#VALUE!</v>
      </c>
    </row>
    <row r="588" spans="1:71">
      <c r="A588" s="284">
        <f t="shared" si="580"/>
        <v>520</v>
      </c>
      <c r="B588" s="285">
        <v>-1.9988144690363796</v>
      </c>
      <c r="C588" s="285">
        <v>2.6596445636689228</v>
      </c>
      <c r="D588" s="285">
        <v>0.50651507622543845</v>
      </c>
      <c r="E588" s="285">
        <v>-7.3235706659418174</v>
      </c>
      <c r="H588" s="685">
        <f t="shared" si="526"/>
        <v>-3.1320483108054344</v>
      </c>
      <c r="I588" s="276">
        <f t="shared" si="527"/>
        <v>-1.0359595682796678</v>
      </c>
      <c r="J588" s="276">
        <f t="shared" si="528"/>
        <v>-2.1736218083961418</v>
      </c>
      <c r="K588" s="276">
        <f t="shared" si="529"/>
        <v>-4.5755771809266017</v>
      </c>
      <c r="L588" s="276">
        <f t="shared" si="530"/>
        <v>-4.1833122353233207</v>
      </c>
      <c r="M588" s="276">
        <f t="shared" si="531"/>
        <v>3.001339518092573</v>
      </c>
      <c r="N588" s="685">
        <f t="shared" si="532"/>
        <v>1.4524733526970544</v>
      </c>
      <c r="O588" s="276">
        <f t="shared" si="533"/>
        <v>1.0161412897071889</v>
      </c>
      <c r="P588" s="276">
        <f t="shared" si="534"/>
        <v>1.2792848655770943</v>
      </c>
      <c r="Q588" s="276">
        <f t="shared" si="535"/>
        <v>1.1903743059623852</v>
      </c>
      <c r="R588" s="276">
        <f t="shared" si="536"/>
        <v>1.5471775989353385</v>
      </c>
      <c r="S588" s="686">
        <f t="shared" si="537"/>
        <v>1.7371033168415451</v>
      </c>
      <c r="T588" s="685">
        <f t="shared" si="538"/>
        <v>3.7848787664963641</v>
      </c>
      <c r="U588" s="276">
        <f t="shared" si="539"/>
        <v>5.4377750005679779</v>
      </c>
      <c r="V588" s="276">
        <f t="shared" si="540"/>
        <v>4.0642021952980638</v>
      </c>
      <c r="W588" s="276">
        <f t="shared" si="541"/>
        <v>4.6291484984145006</v>
      </c>
      <c r="X588" s="276">
        <f t="shared" si="542"/>
        <v>4.3102377565791716</v>
      </c>
      <c r="Y588" s="686">
        <f t="shared" si="543"/>
        <v>4.3985236949549833</v>
      </c>
      <c r="Z588" s="685" t="e">
        <f t="shared" si="544"/>
        <v>#DIV/0!</v>
      </c>
      <c r="AA588" s="276" t="e">
        <f t="shared" si="545"/>
        <v>#DIV/0!</v>
      </c>
      <c r="AB588" s="276" t="e">
        <f t="shared" si="546"/>
        <v>#DIV/0!</v>
      </c>
      <c r="AC588" s="276" t="e">
        <f t="shared" si="547"/>
        <v>#DIV/0!</v>
      </c>
      <c r="AD588" s="276" t="e">
        <f t="shared" si="548"/>
        <v>#DIV/0!</v>
      </c>
      <c r="AE588" s="686" t="e">
        <f t="shared" si="549"/>
        <v>#DIV/0!</v>
      </c>
      <c r="AF588" s="239"/>
      <c r="AG588" s="965" t="e">
        <f t="shared" si="520"/>
        <v>#VALUE!</v>
      </c>
      <c r="AH588" s="878" t="e">
        <f t="shared" si="521"/>
        <v>#VALUE!</v>
      </c>
      <c r="AI588" s="878" t="e">
        <f t="shared" si="522"/>
        <v>#VALUE!</v>
      </c>
      <c r="AJ588" s="878" t="e">
        <f t="shared" si="523"/>
        <v>#VALUE!</v>
      </c>
      <c r="AK588" s="878" t="e">
        <f t="shared" si="524"/>
        <v>#VALUE!</v>
      </c>
      <c r="AL588" s="966" t="e">
        <f t="shared" si="525"/>
        <v>#VALUE!</v>
      </c>
      <c r="AM588" s="239"/>
      <c r="AO588" s="685">
        <f t="shared" si="550"/>
        <v>-3.1320483108054344</v>
      </c>
      <c r="AP588" s="276">
        <f t="shared" si="551"/>
        <v>-1.0359595682796678</v>
      </c>
      <c r="AQ588" s="276">
        <f t="shared" si="552"/>
        <v>-2.1736218083961418</v>
      </c>
      <c r="AR588" s="276">
        <f t="shared" si="553"/>
        <v>-4.5755771809266017</v>
      </c>
      <c r="AS588" s="276">
        <f t="shared" si="554"/>
        <v>-4.1833122353233207</v>
      </c>
      <c r="AT588" s="276">
        <f t="shared" si="555"/>
        <v>3.001339518092573</v>
      </c>
      <c r="AU588" s="685">
        <f t="shared" si="556"/>
        <v>1.4524733526970544</v>
      </c>
      <c r="AV588" s="276">
        <f t="shared" si="557"/>
        <v>1.0161412897071889</v>
      </c>
      <c r="AW588" s="276">
        <f t="shared" si="558"/>
        <v>1.2792848655770943</v>
      </c>
      <c r="AX588" s="276">
        <f t="shared" si="559"/>
        <v>1.1903743059623852</v>
      </c>
      <c r="AY588" s="276">
        <f t="shared" si="560"/>
        <v>1.5471775989353385</v>
      </c>
      <c r="AZ588" s="686">
        <f t="shared" si="561"/>
        <v>1.7371033168415451</v>
      </c>
      <c r="BA588" s="685">
        <f t="shared" si="562"/>
        <v>0</v>
      </c>
      <c r="BB588" s="276">
        <f t="shared" si="563"/>
        <v>0</v>
      </c>
      <c r="BC588" s="276">
        <f t="shared" si="564"/>
        <v>0</v>
      </c>
      <c r="BD588" s="276">
        <f t="shared" si="565"/>
        <v>0</v>
      </c>
      <c r="BE588" s="276">
        <f t="shared" si="566"/>
        <v>0</v>
      </c>
      <c r="BF588" s="686">
        <f t="shared" si="567"/>
        <v>0</v>
      </c>
      <c r="BG588" s="685" t="e">
        <f t="shared" si="568"/>
        <v>#DIV/0!</v>
      </c>
      <c r="BH588" s="276" t="e">
        <f t="shared" si="569"/>
        <v>#DIV/0!</v>
      </c>
      <c r="BI588" s="276" t="e">
        <f t="shared" si="570"/>
        <v>#DIV/0!</v>
      </c>
      <c r="BJ588" s="276" t="e">
        <f t="shared" si="571"/>
        <v>#DIV/0!</v>
      </c>
      <c r="BK588" s="276" t="e">
        <f t="shared" si="572"/>
        <v>#DIV/0!</v>
      </c>
      <c r="BL588" s="686" t="e">
        <f t="shared" si="573"/>
        <v>#DIV/0!</v>
      </c>
      <c r="BM588" s="239"/>
      <c r="BN588" s="965" t="e">
        <f t="shared" si="574"/>
        <v>#VALUE!</v>
      </c>
      <c r="BO588" s="878" t="e">
        <f t="shared" si="575"/>
        <v>#VALUE!</v>
      </c>
      <c r="BP588" s="878" t="e">
        <f t="shared" si="576"/>
        <v>#VALUE!</v>
      </c>
      <c r="BQ588" s="878" t="e">
        <f t="shared" si="577"/>
        <v>#VALUE!</v>
      </c>
      <c r="BR588" s="878" t="e">
        <f t="shared" si="578"/>
        <v>#VALUE!</v>
      </c>
      <c r="BS588" s="966" t="e">
        <f t="shared" si="579"/>
        <v>#VALUE!</v>
      </c>
    </row>
    <row r="589" spans="1:71">
      <c r="A589" s="284">
        <f t="shared" si="580"/>
        <v>521</v>
      </c>
      <c r="B589" s="285">
        <v>-0.63825278276264819</v>
      </c>
      <c r="C589" s="285">
        <v>2.6637344558690192</v>
      </c>
      <c r="D589" s="285">
        <v>-1.6483241996690547</v>
      </c>
      <c r="E589" s="285">
        <v>1.3743637147739363</v>
      </c>
      <c r="H589" s="685">
        <f t="shared" si="526"/>
        <v>-1.7714866245317031</v>
      </c>
      <c r="I589" s="276">
        <f t="shared" si="527"/>
        <v>-2.610529684608355</v>
      </c>
      <c r="J589" s="276">
        <f t="shared" si="528"/>
        <v>0.20987692043514627</v>
      </c>
      <c r="K589" s="276">
        <f t="shared" si="529"/>
        <v>-2.696656674585026</v>
      </c>
      <c r="L589" s="276">
        <f t="shared" si="530"/>
        <v>-0.47880610825440928</v>
      </c>
      <c r="M589" s="276">
        <f t="shared" si="531"/>
        <v>-4.6863506151547289</v>
      </c>
      <c r="N589" s="685">
        <f t="shared" si="532"/>
        <v>1.4565632448971508</v>
      </c>
      <c r="O589" s="276">
        <f t="shared" si="533"/>
        <v>1.6720780632659078</v>
      </c>
      <c r="P589" s="276">
        <f t="shared" si="534"/>
        <v>0.79581225123207111</v>
      </c>
      <c r="Q589" s="276">
        <f t="shared" si="535"/>
        <v>0.68856472687759429</v>
      </c>
      <c r="R589" s="276">
        <f t="shared" si="536"/>
        <v>1.373383123811488</v>
      </c>
      <c r="S589" s="686">
        <f t="shared" si="537"/>
        <v>0.60942068915727332</v>
      </c>
      <c r="T589" s="685">
        <f t="shared" si="538"/>
        <v>1.6300394906018711</v>
      </c>
      <c r="U589" s="276">
        <f t="shared" si="539"/>
        <v>4.1486636123210783</v>
      </c>
      <c r="V589" s="276">
        <f t="shared" si="540"/>
        <v>4.6453342615293414</v>
      </c>
      <c r="W589" s="276">
        <f t="shared" si="541"/>
        <v>5.8684088611421323</v>
      </c>
      <c r="X589" s="276">
        <f t="shared" si="542"/>
        <v>3.5140847283811039</v>
      </c>
      <c r="Y589" s="686">
        <f t="shared" si="543"/>
        <v>5.5301136243313422</v>
      </c>
      <c r="Z589" s="685" t="e">
        <f t="shared" si="544"/>
        <v>#DIV/0!</v>
      </c>
      <c r="AA589" s="276" t="e">
        <f t="shared" si="545"/>
        <v>#DIV/0!</v>
      </c>
      <c r="AB589" s="276" t="e">
        <f t="shared" si="546"/>
        <v>#DIV/0!</v>
      </c>
      <c r="AC589" s="276" t="e">
        <f t="shared" si="547"/>
        <v>#DIV/0!</v>
      </c>
      <c r="AD589" s="276" t="e">
        <f t="shared" si="548"/>
        <v>#DIV/0!</v>
      </c>
      <c r="AE589" s="686" t="e">
        <f t="shared" si="549"/>
        <v>#DIV/0!</v>
      </c>
      <c r="AF589" s="239"/>
      <c r="AG589" s="965" t="e">
        <f t="shared" si="520"/>
        <v>#VALUE!</v>
      </c>
      <c r="AH589" s="878" t="e">
        <f t="shared" si="521"/>
        <v>#VALUE!</v>
      </c>
      <c r="AI589" s="878" t="e">
        <f t="shared" si="522"/>
        <v>#VALUE!</v>
      </c>
      <c r="AJ589" s="878" t="e">
        <f t="shared" si="523"/>
        <v>#VALUE!</v>
      </c>
      <c r="AK589" s="878" t="e">
        <f t="shared" si="524"/>
        <v>#VALUE!</v>
      </c>
      <c r="AL589" s="966" t="e">
        <f t="shared" si="525"/>
        <v>#VALUE!</v>
      </c>
      <c r="AM589" s="239"/>
      <c r="AO589" s="685">
        <f t="shared" si="550"/>
        <v>-1.7714866245317031</v>
      </c>
      <c r="AP589" s="276">
        <f t="shared" si="551"/>
        <v>-2.610529684608355</v>
      </c>
      <c r="AQ589" s="276">
        <f t="shared" si="552"/>
        <v>0.20987692043514627</v>
      </c>
      <c r="AR589" s="276">
        <f t="shared" si="553"/>
        <v>-2.696656674585026</v>
      </c>
      <c r="AS589" s="276">
        <f t="shared" si="554"/>
        <v>-0.47880610825440928</v>
      </c>
      <c r="AT589" s="276">
        <f t="shared" si="555"/>
        <v>-4.6863506151547289</v>
      </c>
      <c r="AU589" s="685">
        <f t="shared" si="556"/>
        <v>1.4565632448971508</v>
      </c>
      <c r="AV589" s="276">
        <f t="shared" si="557"/>
        <v>1.6720780632659078</v>
      </c>
      <c r="AW589" s="276">
        <f t="shared" si="558"/>
        <v>0.79581225123207111</v>
      </c>
      <c r="AX589" s="276">
        <f t="shared" si="559"/>
        <v>0.68856472687759429</v>
      </c>
      <c r="AY589" s="276">
        <f t="shared" si="560"/>
        <v>1.373383123811488</v>
      </c>
      <c r="AZ589" s="686">
        <f t="shared" si="561"/>
        <v>0.60942068915727332</v>
      </c>
      <c r="BA589" s="685">
        <f t="shared" si="562"/>
        <v>0</v>
      </c>
      <c r="BB589" s="276">
        <f t="shared" si="563"/>
        <v>0</v>
      </c>
      <c r="BC589" s="276">
        <f t="shared" si="564"/>
        <v>0</v>
      </c>
      <c r="BD589" s="276">
        <f t="shared" si="565"/>
        <v>0</v>
      </c>
      <c r="BE589" s="276">
        <f t="shared" si="566"/>
        <v>0</v>
      </c>
      <c r="BF589" s="686">
        <f t="shared" si="567"/>
        <v>0</v>
      </c>
      <c r="BG589" s="685" t="e">
        <f t="shared" si="568"/>
        <v>#DIV/0!</v>
      </c>
      <c r="BH589" s="276" t="e">
        <f t="shared" si="569"/>
        <v>#DIV/0!</v>
      </c>
      <c r="BI589" s="276" t="e">
        <f t="shared" si="570"/>
        <v>#DIV/0!</v>
      </c>
      <c r="BJ589" s="276" t="e">
        <f t="shared" si="571"/>
        <v>#DIV/0!</v>
      </c>
      <c r="BK589" s="276" t="e">
        <f t="shared" si="572"/>
        <v>#DIV/0!</v>
      </c>
      <c r="BL589" s="686" t="e">
        <f t="shared" si="573"/>
        <v>#DIV/0!</v>
      </c>
      <c r="BM589" s="239"/>
      <c r="BN589" s="965" t="e">
        <f t="shared" si="574"/>
        <v>#VALUE!</v>
      </c>
      <c r="BO589" s="878" t="e">
        <f t="shared" si="575"/>
        <v>#VALUE!</v>
      </c>
      <c r="BP589" s="878" t="e">
        <f t="shared" si="576"/>
        <v>#VALUE!</v>
      </c>
      <c r="BQ589" s="878" t="e">
        <f t="shared" si="577"/>
        <v>#VALUE!</v>
      </c>
      <c r="BR589" s="878" t="e">
        <f t="shared" si="578"/>
        <v>#VALUE!</v>
      </c>
      <c r="BS589" s="966" t="e">
        <f t="shared" si="579"/>
        <v>#VALUE!</v>
      </c>
    </row>
    <row r="590" spans="1:71">
      <c r="A590" s="284">
        <f t="shared" si="580"/>
        <v>522</v>
      </c>
      <c r="B590" s="285">
        <v>3.2380108070084104</v>
      </c>
      <c r="C590" s="285">
        <v>1.9755362417785896</v>
      </c>
      <c r="D590" s="285">
        <v>2.248482092882071</v>
      </c>
      <c r="E590" s="285">
        <v>-15.008558344852869</v>
      </c>
      <c r="H590" s="685">
        <f t="shared" si="526"/>
        <v>2.1047769652393553</v>
      </c>
      <c r="I590" s="276">
        <f t="shared" si="527"/>
        <v>0.50395224180740916</v>
      </c>
      <c r="J590" s="276">
        <f t="shared" si="528"/>
        <v>0.46066410627432264</v>
      </c>
      <c r="K590" s="276">
        <f t="shared" si="529"/>
        <v>-0.45489684310268785</v>
      </c>
      <c r="L590" s="276">
        <f t="shared" si="530"/>
        <v>-5.9282290706314207</v>
      </c>
      <c r="M590" s="276">
        <f t="shared" si="531"/>
        <v>-2.0704974564727894</v>
      </c>
      <c r="N590" s="685">
        <f t="shared" si="532"/>
        <v>0.76836503080672114</v>
      </c>
      <c r="O590" s="276">
        <f t="shared" si="533"/>
        <v>1.7012178198410586</v>
      </c>
      <c r="P590" s="276">
        <f t="shared" si="534"/>
        <v>1.2910114335265119</v>
      </c>
      <c r="Q590" s="276">
        <f t="shared" si="535"/>
        <v>0.9977076806574503</v>
      </c>
      <c r="R590" s="276">
        <f t="shared" si="536"/>
        <v>1.1596126780383698</v>
      </c>
      <c r="S590" s="686">
        <f t="shared" si="537"/>
        <v>1.6857894397057798</v>
      </c>
      <c r="T590" s="685">
        <f t="shared" si="538"/>
        <v>5.5268457831529965</v>
      </c>
      <c r="U590" s="276">
        <f t="shared" si="539"/>
        <v>4.6464029310339745</v>
      </c>
      <c r="V590" s="276">
        <f t="shared" si="540"/>
        <v>6.83985451386717</v>
      </c>
      <c r="W590" s="276">
        <f t="shared" si="541"/>
        <v>2.9863601249073395</v>
      </c>
      <c r="X590" s="276">
        <f t="shared" si="542"/>
        <v>2.5830465756990804</v>
      </c>
      <c r="Y590" s="686">
        <f t="shared" si="543"/>
        <v>2.5044799583124622</v>
      </c>
      <c r="Z590" s="685" t="e">
        <f t="shared" si="544"/>
        <v>#DIV/0!</v>
      </c>
      <c r="AA590" s="276" t="e">
        <f t="shared" si="545"/>
        <v>#DIV/0!</v>
      </c>
      <c r="AB590" s="276" t="e">
        <f t="shared" si="546"/>
        <v>#DIV/0!</v>
      </c>
      <c r="AC590" s="276" t="e">
        <f t="shared" si="547"/>
        <v>#DIV/0!</v>
      </c>
      <c r="AD590" s="276" t="e">
        <f t="shared" si="548"/>
        <v>#DIV/0!</v>
      </c>
      <c r="AE590" s="686" t="e">
        <f t="shared" si="549"/>
        <v>#DIV/0!</v>
      </c>
      <c r="AF590" s="239"/>
      <c r="AG590" s="965" t="e">
        <f t="shared" si="520"/>
        <v>#VALUE!</v>
      </c>
      <c r="AH590" s="878" t="e">
        <f t="shared" si="521"/>
        <v>#VALUE!</v>
      </c>
      <c r="AI590" s="878" t="e">
        <f t="shared" si="522"/>
        <v>#VALUE!</v>
      </c>
      <c r="AJ590" s="878" t="e">
        <f t="shared" si="523"/>
        <v>#VALUE!</v>
      </c>
      <c r="AK590" s="878" t="e">
        <f t="shared" si="524"/>
        <v>#VALUE!</v>
      </c>
      <c r="AL590" s="966" t="e">
        <f t="shared" si="525"/>
        <v>#VALUE!</v>
      </c>
      <c r="AM590" s="239"/>
      <c r="AO590" s="685">
        <f t="shared" si="550"/>
        <v>2.1047769652393553</v>
      </c>
      <c r="AP590" s="276">
        <f t="shared" si="551"/>
        <v>0.50395224180740916</v>
      </c>
      <c r="AQ590" s="276">
        <f t="shared" si="552"/>
        <v>0.46066410627432264</v>
      </c>
      <c r="AR590" s="276">
        <f t="shared" si="553"/>
        <v>-0.45489684310268785</v>
      </c>
      <c r="AS590" s="276">
        <f t="shared" si="554"/>
        <v>-5.9282290706314207</v>
      </c>
      <c r="AT590" s="276">
        <f t="shared" si="555"/>
        <v>-2.0704974564727894</v>
      </c>
      <c r="AU590" s="685">
        <f t="shared" si="556"/>
        <v>0.76836503080672114</v>
      </c>
      <c r="AV590" s="276">
        <f t="shared" si="557"/>
        <v>1.7012178198410586</v>
      </c>
      <c r="AW590" s="276">
        <f t="shared" si="558"/>
        <v>1.2910114335265119</v>
      </c>
      <c r="AX590" s="276">
        <f t="shared" si="559"/>
        <v>0.9977076806574503</v>
      </c>
      <c r="AY590" s="276">
        <f t="shared" si="560"/>
        <v>1.1596126780383698</v>
      </c>
      <c r="AZ590" s="686">
        <f t="shared" si="561"/>
        <v>1.6857894397057798</v>
      </c>
      <c r="BA590" s="685">
        <f t="shared" si="562"/>
        <v>0</v>
      </c>
      <c r="BB590" s="276">
        <f t="shared" si="563"/>
        <v>0</v>
      </c>
      <c r="BC590" s="276">
        <f t="shared" si="564"/>
        <v>0</v>
      </c>
      <c r="BD590" s="276">
        <f t="shared" si="565"/>
        <v>0</v>
      </c>
      <c r="BE590" s="276">
        <f t="shared" si="566"/>
        <v>0</v>
      </c>
      <c r="BF590" s="686">
        <f t="shared" si="567"/>
        <v>0</v>
      </c>
      <c r="BG590" s="685" t="e">
        <f t="shared" si="568"/>
        <v>#DIV/0!</v>
      </c>
      <c r="BH590" s="276" t="e">
        <f t="shared" si="569"/>
        <v>#DIV/0!</v>
      </c>
      <c r="BI590" s="276" t="e">
        <f t="shared" si="570"/>
        <v>#DIV/0!</v>
      </c>
      <c r="BJ590" s="276" t="e">
        <f t="shared" si="571"/>
        <v>#DIV/0!</v>
      </c>
      <c r="BK590" s="276" t="e">
        <f t="shared" si="572"/>
        <v>#DIV/0!</v>
      </c>
      <c r="BL590" s="686" t="e">
        <f t="shared" si="573"/>
        <v>#DIV/0!</v>
      </c>
      <c r="BM590" s="239"/>
      <c r="BN590" s="965" t="e">
        <f t="shared" si="574"/>
        <v>#VALUE!</v>
      </c>
      <c r="BO590" s="878" t="e">
        <f t="shared" si="575"/>
        <v>#VALUE!</v>
      </c>
      <c r="BP590" s="878" t="e">
        <f t="shared" si="576"/>
        <v>#VALUE!</v>
      </c>
      <c r="BQ590" s="878" t="e">
        <f t="shared" si="577"/>
        <v>#VALUE!</v>
      </c>
      <c r="BR590" s="878" t="e">
        <f t="shared" si="578"/>
        <v>#VALUE!</v>
      </c>
      <c r="BS590" s="966" t="e">
        <f t="shared" si="579"/>
        <v>#VALUE!</v>
      </c>
    </row>
    <row r="591" spans="1:71">
      <c r="A591" s="284">
        <f t="shared" si="580"/>
        <v>523</v>
      </c>
      <c r="B591" s="285">
        <v>0.79359824657631139</v>
      </c>
      <c r="C591" s="285">
        <v>2.983677250205016</v>
      </c>
      <c r="D591" s="285">
        <v>0.76851794980568044</v>
      </c>
      <c r="E591" s="285">
        <v>6.1285363226264078</v>
      </c>
      <c r="H591" s="685">
        <f t="shared" si="526"/>
        <v>-0.33963559519274344</v>
      </c>
      <c r="I591" s="276">
        <f t="shared" si="527"/>
        <v>-3.0210813759121713E-3</v>
      </c>
      <c r="J591" s="276">
        <f t="shared" si="528"/>
        <v>1.4870698165064462</v>
      </c>
      <c r="K591" s="276">
        <f t="shared" si="529"/>
        <v>-1.5087002288552809</v>
      </c>
      <c r="L591" s="276">
        <f t="shared" si="530"/>
        <v>0.73875148056435158</v>
      </c>
      <c r="M591" s="276">
        <f t="shared" si="531"/>
        <v>-3.7106630204318742</v>
      </c>
      <c r="N591" s="685">
        <f t="shared" si="532"/>
        <v>1.7765060392331475</v>
      </c>
      <c r="O591" s="276">
        <f t="shared" si="533"/>
        <v>1.8328014555566374</v>
      </c>
      <c r="P591" s="276">
        <f t="shared" si="534"/>
        <v>0.8578859575771316</v>
      </c>
      <c r="Q591" s="276">
        <f t="shared" si="535"/>
        <v>0.46520540248781228</v>
      </c>
      <c r="R591" s="276">
        <f t="shared" si="536"/>
        <v>1.215981646519493</v>
      </c>
      <c r="S591" s="686">
        <f t="shared" si="537"/>
        <v>0.83261260715802243</v>
      </c>
      <c r="T591" s="685">
        <f t="shared" si="538"/>
        <v>4.0468816400766059</v>
      </c>
      <c r="U591" s="276">
        <f t="shared" si="539"/>
        <v>4.6594598710372646</v>
      </c>
      <c r="V591" s="276">
        <f t="shared" si="540"/>
        <v>3.5075315268314036</v>
      </c>
      <c r="W591" s="276">
        <f t="shared" si="541"/>
        <v>6.0704678920412061</v>
      </c>
      <c r="X591" s="276">
        <f t="shared" si="542"/>
        <v>5.1446761362457245</v>
      </c>
      <c r="Y591" s="686">
        <f t="shared" si="543"/>
        <v>6.0008220700741068</v>
      </c>
      <c r="Z591" s="685" t="e">
        <f t="shared" si="544"/>
        <v>#DIV/0!</v>
      </c>
      <c r="AA591" s="276" t="e">
        <f t="shared" si="545"/>
        <v>#DIV/0!</v>
      </c>
      <c r="AB591" s="276" t="e">
        <f t="shared" si="546"/>
        <v>#DIV/0!</v>
      </c>
      <c r="AC591" s="276" t="e">
        <f t="shared" si="547"/>
        <v>#DIV/0!</v>
      </c>
      <c r="AD591" s="276" t="e">
        <f t="shared" si="548"/>
        <v>#DIV/0!</v>
      </c>
      <c r="AE591" s="686" t="e">
        <f t="shared" si="549"/>
        <v>#DIV/0!</v>
      </c>
      <c r="AF591" s="239"/>
      <c r="AG591" s="965" t="e">
        <f t="shared" si="520"/>
        <v>#VALUE!</v>
      </c>
      <c r="AH591" s="878" t="e">
        <f t="shared" si="521"/>
        <v>#VALUE!</v>
      </c>
      <c r="AI591" s="878" t="e">
        <f t="shared" si="522"/>
        <v>#VALUE!</v>
      </c>
      <c r="AJ591" s="878" t="e">
        <f t="shared" si="523"/>
        <v>#VALUE!</v>
      </c>
      <c r="AK591" s="878" t="e">
        <f t="shared" si="524"/>
        <v>#VALUE!</v>
      </c>
      <c r="AL591" s="966" t="e">
        <f t="shared" si="525"/>
        <v>#VALUE!</v>
      </c>
      <c r="AM591" s="239"/>
      <c r="AO591" s="685">
        <f t="shared" si="550"/>
        <v>-0.33963559519274344</v>
      </c>
      <c r="AP591" s="276">
        <f t="shared" si="551"/>
        <v>-3.0210813759121713E-3</v>
      </c>
      <c r="AQ591" s="276">
        <f t="shared" si="552"/>
        <v>1.4870698165064462</v>
      </c>
      <c r="AR591" s="276">
        <f t="shared" si="553"/>
        <v>-1.5087002288552809</v>
      </c>
      <c r="AS591" s="276">
        <f t="shared" si="554"/>
        <v>0.73875148056435158</v>
      </c>
      <c r="AT591" s="276">
        <f t="shared" si="555"/>
        <v>-3.7106630204318742</v>
      </c>
      <c r="AU591" s="685">
        <f t="shared" si="556"/>
        <v>1.7765060392331475</v>
      </c>
      <c r="AV591" s="276">
        <f t="shared" si="557"/>
        <v>1.8328014555566374</v>
      </c>
      <c r="AW591" s="276">
        <f t="shared" si="558"/>
        <v>0.8578859575771316</v>
      </c>
      <c r="AX591" s="276">
        <f t="shared" si="559"/>
        <v>0.46520540248781228</v>
      </c>
      <c r="AY591" s="276">
        <f t="shared" si="560"/>
        <v>1.215981646519493</v>
      </c>
      <c r="AZ591" s="686">
        <f t="shared" si="561"/>
        <v>0.83261260715802243</v>
      </c>
      <c r="BA591" s="685">
        <f t="shared" si="562"/>
        <v>0</v>
      </c>
      <c r="BB591" s="276">
        <f t="shared" si="563"/>
        <v>0</v>
      </c>
      <c r="BC591" s="276">
        <f t="shared" si="564"/>
        <v>0</v>
      </c>
      <c r="BD591" s="276">
        <f t="shared" si="565"/>
        <v>0</v>
      </c>
      <c r="BE591" s="276">
        <f t="shared" si="566"/>
        <v>0</v>
      </c>
      <c r="BF591" s="686">
        <f t="shared" si="567"/>
        <v>0</v>
      </c>
      <c r="BG591" s="685" t="e">
        <f t="shared" si="568"/>
        <v>#DIV/0!</v>
      </c>
      <c r="BH591" s="276" t="e">
        <f t="shared" si="569"/>
        <v>#DIV/0!</v>
      </c>
      <c r="BI591" s="276" t="e">
        <f t="shared" si="570"/>
        <v>#DIV/0!</v>
      </c>
      <c r="BJ591" s="276" t="e">
        <f t="shared" si="571"/>
        <v>#DIV/0!</v>
      </c>
      <c r="BK591" s="276" t="e">
        <f t="shared" si="572"/>
        <v>#DIV/0!</v>
      </c>
      <c r="BL591" s="686" t="e">
        <f t="shared" si="573"/>
        <v>#DIV/0!</v>
      </c>
      <c r="BM591" s="239"/>
      <c r="BN591" s="965" t="e">
        <f t="shared" si="574"/>
        <v>#VALUE!</v>
      </c>
      <c r="BO591" s="878" t="e">
        <f t="shared" si="575"/>
        <v>#VALUE!</v>
      </c>
      <c r="BP591" s="878" t="e">
        <f t="shared" si="576"/>
        <v>#VALUE!</v>
      </c>
      <c r="BQ591" s="878" t="e">
        <f t="shared" si="577"/>
        <v>#VALUE!</v>
      </c>
      <c r="BR591" s="878" t="e">
        <f t="shared" si="578"/>
        <v>#VALUE!</v>
      </c>
      <c r="BS591" s="966" t="e">
        <f t="shared" si="579"/>
        <v>#VALUE!</v>
      </c>
    </row>
    <row r="592" spans="1:71">
      <c r="A592" s="284">
        <f t="shared" si="580"/>
        <v>524</v>
      </c>
      <c r="B592" s="285">
        <v>-1.7323549880072902</v>
      </c>
      <c r="C592" s="285">
        <v>2.6557992460516013</v>
      </c>
      <c r="D592" s="285">
        <v>0.93728539888801021</v>
      </c>
      <c r="E592" s="285">
        <v>6.2731172450959747</v>
      </c>
      <c r="H592" s="685">
        <f t="shared" si="526"/>
        <v>-2.8655888297763452</v>
      </c>
      <c r="I592" s="276">
        <f t="shared" si="527"/>
        <v>-1.018083084685534</v>
      </c>
      <c r="J592" s="276">
        <f t="shared" si="528"/>
        <v>0.38563879311995608</v>
      </c>
      <c r="K592" s="276">
        <f t="shared" si="529"/>
        <v>2.2582653561653867</v>
      </c>
      <c r="L592" s="276">
        <f t="shared" si="530"/>
        <v>-0.93942300178766525</v>
      </c>
      <c r="M592" s="276">
        <f t="shared" si="531"/>
        <v>-2.7041668625860522</v>
      </c>
      <c r="N592" s="685">
        <f t="shared" si="532"/>
        <v>1.4486280350797329</v>
      </c>
      <c r="O592" s="276">
        <f t="shared" si="533"/>
        <v>1.6102179947902651</v>
      </c>
      <c r="P592" s="276">
        <f t="shared" si="534"/>
        <v>1.327232350291587</v>
      </c>
      <c r="Q592" s="276">
        <f t="shared" si="535"/>
        <v>2.2405152520494953</v>
      </c>
      <c r="R592" s="276">
        <f t="shared" si="536"/>
        <v>1.8750209256843793</v>
      </c>
      <c r="S592" s="686">
        <f t="shared" si="537"/>
        <v>1.2044991325180494</v>
      </c>
      <c r="T592" s="685">
        <f t="shared" si="538"/>
        <v>4.2156490891589362</v>
      </c>
      <c r="U592" s="276">
        <f t="shared" si="539"/>
        <v>1.5534054731710989</v>
      </c>
      <c r="V592" s="276">
        <f t="shared" si="540"/>
        <v>5.4288657697249114</v>
      </c>
      <c r="W592" s="276">
        <f t="shared" si="541"/>
        <v>4.0082458169876558</v>
      </c>
      <c r="X592" s="276">
        <f t="shared" si="542"/>
        <v>3.5570312369945016</v>
      </c>
      <c r="Y592" s="686">
        <f t="shared" si="543"/>
        <v>4.433088629449303</v>
      </c>
      <c r="Z592" s="685" t="e">
        <f t="shared" si="544"/>
        <v>#DIV/0!</v>
      </c>
      <c r="AA592" s="276" t="e">
        <f t="shared" si="545"/>
        <v>#DIV/0!</v>
      </c>
      <c r="AB592" s="276" t="e">
        <f t="shared" si="546"/>
        <v>#DIV/0!</v>
      </c>
      <c r="AC592" s="276" t="e">
        <f t="shared" si="547"/>
        <v>#DIV/0!</v>
      </c>
      <c r="AD592" s="276" t="e">
        <f t="shared" si="548"/>
        <v>#DIV/0!</v>
      </c>
      <c r="AE592" s="686" t="e">
        <f t="shared" si="549"/>
        <v>#DIV/0!</v>
      </c>
      <c r="AF592" s="239"/>
      <c r="AG592" s="965" t="e">
        <f t="shared" si="520"/>
        <v>#VALUE!</v>
      </c>
      <c r="AH592" s="878" t="e">
        <f t="shared" si="521"/>
        <v>#VALUE!</v>
      </c>
      <c r="AI592" s="878" t="e">
        <f t="shared" si="522"/>
        <v>#VALUE!</v>
      </c>
      <c r="AJ592" s="878" t="e">
        <f t="shared" si="523"/>
        <v>#VALUE!</v>
      </c>
      <c r="AK592" s="878" t="e">
        <f t="shared" si="524"/>
        <v>#VALUE!</v>
      </c>
      <c r="AL592" s="966" t="e">
        <f t="shared" si="525"/>
        <v>#VALUE!</v>
      </c>
      <c r="AM592" s="239"/>
      <c r="AO592" s="685">
        <f t="shared" si="550"/>
        <v>-2.8655888297763452</v>
      </c>
      <c r="AP592" s="276">
        <f t="shared" si="551"/>
        <v>-1.018083084685534</v>
      </c>
      <c r="AQ592" s="276">
        <f t="shared" si="552"/>
        <v>0.38563879311995608</v>
      </c>
      <c r="AR592" s="276">
        <f t="shared" si="553"/>
        <v>2.2582653561653867</v>
      </c>
      <c r="AS592" s="276">
        <f t="shared" si="554"/>
        <v>-0.93942300178766525</v>
      </c>
      <c r="AT592" s="276">
        <f t="shared" si="555"/>
        <v>-2.7041668625860522</v>
      </c>
      <c r="AU592" s="685">
        <f t="shared" si="556"/>
        <v>1.4486280350797329</v>
      </c>
      <c r="AV592" s="276">
        <f t="shared" si="557"/>
        <v>1.6102179947902651</v>
      </c>
      <c r="AW592" s="276">
        <f t="shared" si="558"/>
        <v>1.327232350291587</v>
      </c>
      <c r="AX592" s="276">
        <f t="shared" si="559"/>
        <v>2.2405152520494953</v>
      </c>
      <c r="AY592" s="276">
        <f t="shared" si="560"/>
        <v>1.8750209256843793</v>
      </c>
      <c r="AZ592" s="686">
        <f t="shared" si="561"/>
        <v>1.2044991325180494</v>
      </c>
      <c r="BA592" s="685">
        <f t="shared" si="562"/>
        <v>0</v>
      </c>
      <c r="BB592" s="276">
        <f t="shared" si="563"/>
        <v>0</v>
      </c>
      <c r="BC592" s="276">
        <f t="shared" si="564"/>
        <v>0</v>
      </c>
      <c r="BD592" s="276">
        <f t="shared" si="565"/>
        <v>0</v>
      </c>
      <c r="BE592" s="276">
        <f t="shared" si="566"/>
        <v>0</v>
      </c>
      <c r="BF592" s="686">
        <f t="shared" si="567"/>
        <v>0</v>
      </c>
      <c r="BG592" s="685" t="e">
        <f t="shared" si="568"/>
        <v>#DIV/0!</v>
      </c>
      <c r="BH592" s="276" t="e">
        <f t="shared" si="569"/>
        <v>#DIV/0!</v>
      </c>
      <c r="BI592" s="276" t="e">
        <f t="shared" si="570"/>
        <v>#DIV/0!</v>
      </c>
      <c r="BJ592" s="276" t="e">
        <f t="shared" si="571"/>
        <v>#DIV/0!</v>
      </c>
      <c r="BK592" s="276" t="e">
        <f t="shared" si="572"/>
        <v>#DIV/0!</v>
      </c>
      <c r="BL592" s="686" t="e">
        <f t="shared" si="573"/>
        <v>#DIV/0!</v>
      </c>
      <c r="BM592" s="239"/>
      <c r="BN592" s="965" t="e">
        <f t="shared" si="574"/>
        <v>#VALUE!</v>
      </c>
      <c r="BO592" s="878" t="e">
        <f t="shared" si="575"/>
        <v>#VALUE!</v>
      </c>
      <c r="BP592" s="878" t="e">
        <f t="shared" si="576"/>
        <v>#VALUE!</v>
      </c>
      <c r="BQ592" s="878" t="e">
        <f t="shared" si="577"/>
        <v>#VALUE!</v>
      </c>
      <c r="BR592" s="878" t="e">
        <f t="shared" si="578"/>
        <v>#VALUE!</v>
      </c>
      <c r="BS592" s="966" t="e">
        <f t="shared" si="579"/>
        <v>#VALUE!</v>
      </c>
    </row>
    <row r="593" spans="1:71">
      <c r="A593" s="284">
        <f t="shared" si="580"/>
        <v>525</v>
      </c>
      <c r="B593" s="285">
        <v>-0.24825895470830442</v>
      </c>
      <c r="C593" s="285">
        <v>2.5004971858109544</v>
      </c>
      <c r="D593" s="285">
        <v>1.9030397620662181</v>
      </c>
      <c r="E593" s="285">
        <v>6.1563031607730228</v>
      </c>
      <c r="H593" s="685">
        <f t="shared" si="526"/>
        <v>-1.3814927964773593</v>
      </c>
      <c r="I593" s="276">
        <f t="shared" si="527"/>
        <v>2.4545383833376819</v>
      </c>
      <c r="J593" s="276">
        <f t="shared" si="528"/>
        <v>1.0093707839380659</v>
      </c>
      <c r="K593" s="276">
        <f t="shared" si="529"/>
        <v>1.079405014432796</v>
      </c>
      <c r="L593" s="276">
        <f t="shared" si="530"/>
        <v>-2.1477819131417801</v>
      </c>
      <c r="M593" s="276">
        <f t="shared" si="531"/>
        <v>-4.9548056637259323</v>
      </c>
      <c r="N593" s="685">
        <f t="shared" si="532"/>
        <v>1.293325974839086</v>
      </c>
      <c r="O593" s="276">
        <f t="shared" si="533"/>
        <v>1.9155784425867248</v>
      </c>
      <c r="P593" s="276">
        <f t="shared" si="534"/>
        <v>1.5805145068634785</v>
      </c>
      <c r="Q593" s="276">
        <f t="shared" si="535"/>
        <v>1.442588376712983</v>
      </c>
      <c r="R593" s="276">
        <f t="shared" si="536"/>
        <v>1.149883740974224</v>
      </c>
      <c r="S593" s="686">
        <f t="shared" si="537"/>
        <v>1.5343062558742966</v>
      </c>
      <c r="T593" s="685">
        <f t="shared" si="538"/>
        <v>5.1814034523371442</v>
      </c>
      <c r="U593" s="276">
        <f t="shared" si="539"/>
        <v>3.5928982142667936</v>
      </c>
      <c r="V593" s="276">
        <f t="shared" si="540"/>
        <v>5.6534852917153469</v>
      </c>
      <c r="W593" s="276">
        <f t="shared" si="541"/>
        <v>5.0674978819236225</v>
      </c>
      <c r="X593" s="276">
        <f t="shared" si="542"/>
        <v>4.7136983510512458</v>
      </c>
      <c r="Y593" s="686">
        <f t="shared" si="543"/>
        <v>3.7411117090367347</v>
      </c>
      <c r="Z593" s="685" t="e">
        <f t="shared" si="544"/>
        <v>#DIV/0!</v>
      </c>
      <c r="AA593" s="276" t="e">
        <f t="shared" si="545"/>
        <v>#DIV/0!</v>
      </c>
      <c r="AB593" s="276" t="e">
        <f t="shared" si="546"/>
        <v>#DIV/0!</v>
      </c>
      <c r="AC593" s="276" t="e">
        <f t="shared" si="547"/>
        <v>#DIV/0!</v>
      </c>
      <c r="AD593" s="276" t="e">
        <f t="shared" si="548"/>
        <v>#DIV/0!</v>
      </c>
      <c r="AE593" s="686" t="e">
        <f t="shared" si="549"/>
        <v>#DIV/0!</v>
      </c>
      <c r="AF593" s="239"/>
      <c r="AG593" s="965" t="e">
        <f t="shared" si="520"/>
        <v>#VALUE!</v>
      </c>
      <c r="AH593" s="878" t="e">
        <f t="shared" si="521"/>
        <v>#VALUE!</v>
      </c>
      <c r="AI593" s="878" t="e">
        <f t="shared" si="522"/>
        <v>#VALUE!</v>
      </c>
      <c r="AJ593" s="878" t="e">
        <f t="shared" si="523"/>
        <v>#VALUE!</v>
      </c>
      <c r="AK593" s="878" t="e">
        <f t="shared" si="524"/>
        <v>#VALUE!</v>
      </c>
      <c r="AL593" s="966" t="e">
        <f t="shared" si="525"/>
        <v>#VALUE!</v>
      </c>
      <c r="AM593" s="239"/>
      <c r="AO593" s="685">
        <f t="shared" si="550"/>
        <v>-1.3814927964773593</v>
      </c>
      <c r="AP593" s="276">
        <f t="shared" si="551"/>
        <v>2.4545383833376819</v>
      </c>
      <c r="AQ593" s="276">
        <f t="shared" si="552"/>
        <v>1.0093707839380659</v>
      </c>
      <c r="AR593" s="276">
        <f t="shared" si="553"/>
        <v>1.079405014432796</v>
      </c>
      <c r="AS593" s="276">
        <f t="shared" si="554"/>
        <v>-2.1477819131417801</v>
      </c>
      <c r="AT593" s="276">
        <f t="shared" si="555"/>
        <v>-4.9548056637259323</v>
      </c>
      <c r="AU593" s="685">
        <f t="shared" si="556"/>
        <v>1.293325974839086</v>
      </c>
      <c r="AV593" s="276">
        <f t="shared" si="557"/>
        <v>1.9155784425867248</v>
      </c>
      <c r="AW593" s="276">
        <f t="shared" si="558"/>
        <v>1.5805145068634785</v>
      </c>
      <c r="AX593" s="276">
        <f t="shared" si="559"/>
        <v>1.442588376712983</v>
      </c>
      <c r="AY593" s="276">
        <f t="shared" si="560"/>
        <v>1.149883740974224</v>
      </c>
      <c r="AZ593" s="686">
        <f t="shared" si="561"/>
        <v>1.5343062558742966</v>
      </c>
      <c r="BA593" s="685">
        <f t="shared" si="562"/>
        <v>0</v>
      </c>
      <c r="BB593" s="276">
        <f t="shared" si="563"/>
        <v>0</v>
      </c>
      <c r="BC593" s="276">
        <f t="shared" si="564"/>
        <v>0</v>
      </c>
      <c r="BD593" s="276">
        <f t="shared" si="565"/>
        <v>0</v>
      </c>
      <c r="BE593" s="276">
        <f t="shared" si="566"/>
        <v>0</v>
      </c>
      <c r="BF593" s="686">
        <f t="shared" si="567"/>
        <v>0</v>
      </c>
      <c r="BG593" s="685" t="e">
        <f t="shared" si="568"/>
        <v>#DIV/0!</v>
      </c>
      <c r="BH593" s="276" t="e">
        <f t="shared" si="569"/>
        <v>#DIV/0!</v>
      </c>
      <c r="BI593" s="276" t="e">
        <f t="shared" si="570"/>
        <v>#DIV/0!</v>
      </c>
      <c r="BJ593" s="276" t="e">
        <f t="shared" si="571"/>
        <v>#DIV/0!</v>
      </c>
      <c r="BK593" s="276" t="e">
        <f t="shared" si="572"/>
        <v>#DIV/0!</v>
      </c>
      <c r="BL593" s="686" t="e">
        <f t="shared" si="573"/>
        <v>#DIV/0!</v>
      </c>
      <c r="BM593" s="239"/>
      <c r="BN593" s="965" t="e">
        <f t="shared" si="574"/>
        <v>#VALUE!</v>
      </c>
      <c r="BO593" s="878" t="e">
        <f t="shared" si="575"/>
        <v>#VALUE!</v>
      </c>
      <c r="BP593" s="878" t="e">
        <f t="shared" si="576"/>
        <v>#VALUE!</v>
      </c>
      <c r="BQ593" s="878" t="e">
        <f t="shared" si="577"/>
        <v>#VALUE!</v>
      </c>
      <c r="BR593" s="878" t="e">
        <f t="shared" si="578"/>
        <v>#VALUE!</v>
      </c>
      <c r="BS593" s="966" t="e">
        <f t="shared" si="579"/>
        <v>#VALUE!</v>
      </c>
    </row>
    <row r="594" spans="1:71">
      <c r="A594" s="284">
        <f t="shared" si="580"/>
        <v>526</v>
      </c>
      <c r="B594" s="285">
        <v>-2.7186401957296469</v>
      </c>
      <c r="C594" s="285">
        <v>1.7511208519999339</v>
      </c>
      <c r="D594" s="285">
        <v>1.5910665432177011</v>
      </c>
      <c r="E594" s="285">
        <v>-12.252210788421875</v>
      </c>
      <c r="H594" s="685">
        <f t="shared" si="526"/>
        <v>-3.8518740374987015</v>
      </c>
      <c r="I594" s="276">
        <f t="shared" si="527"/>
        <v>-1.3626197290745674</v>
      </c>
      <c r="J594" s="276">
        <f t="shared" si="528"/>
        <v>1.2123348420699369</v>
      </c>
      <c r="K594" s="276">
        <f t="shared" si="529"/>
        <v>-1.0904149023789733</v>
      </c>
      <c r="L594" s="276">
        <f t="shared" si="530"/>
        <v>1.6972341453435649</v>
      </c>
      <c r="M594" s="276">
        <f t="shared" si="531"/>
        <v>-0.57291692452125009</v>
      </c>
      <c r="N594" s="685">
        <f t="shared" si="532"/>
        <v>0.54394964102806553</v>
      </c>
      <c r="O594" s="276">
        <f t="shared" si="533"/>
        <v>1.1790148423773041</v>
      </c>
      <c r="P594" s="276">
        <f t="shared" si="534"/>
        <v>1.7376674279257605</v>
      </c>
      <c r="Q594" s="276">
        <f t="shared" si="535"/>
        <v>2.0021822451306823</v>
      </c>
      <c r="R594" s="276">
        <f t="shared" si="536"/>
        <v>1.2046523055460552</v>
      </c>
      <c r="S594" s="686">
        <f t="shared" si="537"/>
        <v>1.7021100785370746</v>
      </c>
      <c r="T594" s="685">
        <f t="shared" si="538"/>
        <v>4.869430233488627</v>
      </c>
      <c r="U594" s="276">
        <f t="shared" si="539"/>
        <v>5.2554530920128535</v>
      </c>
      <c r="V594" s="276">
        <f t="shared" si="540"/>
        <v>3.5271411104504846</v>
      </c>
      <c r="W594" s="276">
        <f t="shared" si="541"/>
        <v>4.6557351901932957</v>
      </c>
      <c r="X594" s="276">
        <f t="shared" si="542"/>
        <v>6.1645564087308236</v>
      </c>
      <c r="Y594" s="686">
        <f t="shared" si="543"/>
        <v>4.0100775009887064</v>
      </c>
      <c r="Z594" s="685" t="e">
        <f t="shared" si="544"/>
        <v>#DIV/0!</v>
      </c>
      <c r="AA594" s="276" t="e">
        <f t="shared" si="545"/>
        <v>#DIV/0!</v>
      </c>
      <c r="AB594" s="276" t="e">
        <f t="shared" si="546"/>
        <v>#DIV/0!</v>
      </c>
      <c r="AC594" s="276" t="e">
        <f t="shared" si="547"/>
        <v>#DIV/0!</v>
      </c>
      <c r="AD594" s="276" t="e">
        <f t="shared" si="548"/>
        <v>#DIV/0!</v>
      </c>
      <c r="AE594" s="686" t="e">
        <f t="shared" si="549"/>
        <v>#DIV/0!</v>
      </c>
      <c r="AF594" s="239"/>
      <c r="AG594" s="965" t="e">
        <f t="shared" si="520"/>
        <v>#VALUE!</v>
      </c>
      <c r="AH594" s="878" t="e">
        <f t="shared" si="521"/>
        <v>#VALUE!</v>
      </c>
      <c r="AI594" s="878" t="e">
        <f t="shared" si="522"/>
        <v>#VALUE!</v>
      </c>
      <c r="AJ594" s="878" t="e">
        <f t="shared" si="523"/>
        <v>#VALUE!</v>
      </c>
      <c r="AK594" s="878" t="e">
        <f t="shared" si="524"/>
        <v>#VALUE!</v>
      </c>
      <c r="AL594" s="966" t="e">
        <f t="shared" si="525"/>
        <v>#VALUE!</v>
      </c>
      <c r="AM594" s="239"/>
      <c r="AO594" s="685">
        <f t="shared" si="550"/>
        <v>-3.8518740374987015</v>
      </c>
      <c r="AP594" s="276">
        <f t="shared" si="551"/>
        <v>-1.3626197290745674</v>
      </c>
      <c r="AQ594" s="276">
        <f t="shared" si="552"/>
        <v>1.2123348420699369</v>
      </c>
      <c r="AR594" s="276">
        <f t="shared" si="553"/>
        <v>-1.0904149023789733</v>
      </c>
      <c r="AS594" s="276">
        <f t="shared" si="554"/>
        <v>1.6972341453435649</v>
      </c>
      <c r="AT594" s="276">
        <f t="shared" si="555"/>
        <v>-0.57291692452125009</v>
      </c>
      <c r="AU594" s="685">
        <f t="shared" si="556"/>
        <v>0.54394964102806553</v>
      </c>
      <c r="AV594" s="276">
        <f t="shared" si="557"/>
        <v>1.1790148423773041</v>
      </c>
      <c r="AW594" s="276">
        <f t="shared" si="558"/>
        <v>1.7376674279257605</v>
      </c>
      <c r="AX594" s="276">
        <f t="shared" si="559"/>
        <v>2.0021822451306823</v>
      </c>
      <c r="AY594" s="276">
        <f t="shared" si="560"/>
        <v>1.2046523055460552</v>
      </c>
      <c r="AZ594" s="686">
        <f t="shared" si="561"/>
        <v>1.7021100785370746</v>
      </c>
      <c r="BA594" s="685">
        <f t="shared" si="562"/>
        <v>0</v>
      </c>
      <c r="BB594" s="276">
        <f t="shared" si="563"/>
        <v>0</v>
      </c>
      <c r="BC594" s="276">
        <f t="shared" si="564"/>
        <v>0</v>
      </c>
      <c r="BD594" s="276">
        <f t="shared" si="565"/>
        <v>0</v>
      </c>
      <c r="BE594" s="276">
        <f t="shared" si="566"/>
        <v>0</v>
      </c>
      <c r="BF594" s="686">
        <f t="shared" si="567"/>
        <v>0</v>
      </c>
      <c r="BG594" s="685" t="e">
        <f t="shared" si="568"/>
        <v>#DIV/0!</v>
      </c>
      <c r="BH594" s="276" t="e">
        <f t="shared" si="569"/>
        <v>#DIV/0!</v>
      </c>
      <c r="BI594" s="276" t="e">
        <f t="shared" si="570"/>
        <v>#DIV/0!</v>
      </c>
      <c r="BJ594" s="276" t="e">
        <f t="shared" si="571"/>
        <v>#DIV/0!</v>
      </c>
      <c r="BK594" s="276" t="e">
        <f t="shared" si="572"/>
        <v>#DIV/0!</v>
      </c>
      <c r="BL594" s="686" t="e">
        <f t="shared" si="573"/>
        <v>#DIV/0!</v>
      </c>
      <c r="BM594" s="239"/>
      <c r="BN594" s="965" t="e">
        <f t="shared" si="574"/>
        <v>#VALUE!</v>
      </c>
      <c r="BO594" s="878" t="e">
        <f t="shared" si="575"/>
        <v>#VALUE!</v>
      </c>
      <c r="BP594" s="878" t="e">
        <f t="shared" si="576"/>
        <v>#VALUE!</v>
      </c>
      <c r="BQ594" s="878" t="e">
        <f t="shared" si="577"/>
        <v>#VALUE!</v>
      </c>
      <c r="BR594" s="878" t="e">
        <f t="shared" si="578"/>
        <v>#VALUE!</v>
      </c>
      <c r="BS594" s="966" t="e">
        <f t="shared" si="579"/>
        <v>#VALUE!</v>
      </c>
    </row>
    <row r="595" spans="1:71">
      <c r="A595" s="284">
        <f t="shared" si="580"/>
        <v>527</v>
      </c>
      <c r="B595" s="285">
        <v>0.26052013788432543</v>
      </c>
      <c r="C595" s="285">
        <v>2.4087350317472378</v>
      </c>
      <c r="D595" s="285">
        <v>1.2168848792527622</v>
      </c>
      <c r="E595" s="285">
        <v>-3.0783052281847119</v>
      </c>
      <c r="H595" s="685">
        <f t="shared" si="526"/>
        <v>-0.87271370388472946</v>
      </c>
      <c r="I595" s="276">
        <f t="shared" si="527"/>
        <v>3.9505598668993542</v>
      </c>
      <c r="J595" s="276">
        <f t="shared" si="528"/>
        <v>-2.0564020586270662</v>
      </c>
      <c r="K595" s="276">
        <f t="shared" si="529"/>
        <v>-2.9760745171481418</v>
      </c>
      <c r="L595" s="276">
        <f t="shared" si="530"/>
        <v>-3.0156388447940419</v>
      </c>
      <c r="M595" s="276">
        <f t="shared" si="531"/>
        <v>2.0193400503787879</v>
      </c>
      <c r="N595" s="685">
        <f t="shared" si="532"/>
        <v>1.2015638207753694</v>
      </c>
      <c r="O595" s="276">
        <f t="shared" si="533"/>
        <v>1.1798574683950471</v>
      </c>
      <c r="P595" s="276">
        <f t="shared" si="534"/>
        <v>1.7573315610673534</v>
      </c>
      <c r="Q595" s="276">
        <f t="shared" si="535"/>
        <v>0.96900376305748437</v>
      </c>
      <c r="R595" s="276">
        <f t="shared" si="536"/>
        <v>1.2976068876028142</v>
      </c>
      <c r="S595" s="686">
        <f t="shared" si="537"/>
        <v>1.7824489556247654</v>
      </c>
      <c r="T595" s="685">
        <f t="shared" si="538"/>
        <v>4.4952485695236879</v>
      </c>
      <c r="U595" s="276">
        <f t="shared" si="539"/>
        <v>4.5401840168696967</v>
      </c>
      <c r="V595" s="276">
        <f t="shared" si="540"/>
        <v>3.8885551029864205</v>
      </c>
      <c r="W595" s="276">
        <f t="shared" si="541"/>
        <v>3.8822453612935952</v>
      </c>
      <c r="X595" s="276">
        <f t="shared" si="542"/>
        <v>3.3180265888002394</v>
      </c>
      <c r="Y595" s="686">
        <f t="shared" si="543"/>
        <v>4.9814712417525211</v>
      </c>
      <c r="Z595" s="685" t="e">
        <f t="shared" si="544"/>
        <v>#DIV/0!</v>
      </c>
      <c r="AA595" s="276" t="e">
        <f t="shared" si="545"/>
        <v>#DIV/0!</v>
      </c>
      <c r="AB595" s="276" t="e">
        <f t="shared" si="546"/>
        <v>#DIV/0!</v>
      </c>
      <c r="AC595" s="276" t="e">
        <f t="shared" si="547"/>
        <v>#DIV/0!</v>
      </c>
      <c r="AD595" s="276" t="e">
        <f t="shared" si="548"/>
        <v>#DIV/0!</v>
      </c>
      <c r="AE595" s="686" t="e">
        <f t="shared" si="549"/>
        <v>#DIV/0!</v>
      </c>
      <c r="AF595" s="239"/>
      <c r="AG595" s="965" t="e">
        <f t="shared" si="520"/>
        <v>#VALUE!</v>
      </c>
      <c r="AH595" s="878" t="e">
        <f t="shared" si="521"/>
        <v>#VALUE!</v>
      </c>
      <c r="AI595" s="878" t="e">
        <f t="shared" si="522"/>
        <v>#VALUE!</v>
      </c>
      <c r="AJ595" s="878" t="e">
        <f t="shared" si="523"/>
        <v>#VALUE!</v>
      </c>
      <c r="AK595" s="878" t="e">
        <f t="shared" si="524"/>
        <v>#VALUE!</v>
      </c>
      <c r="AL595" s="966" t="e">
        <f t="shared" si="525"/>
        <v>#VALUE!</v>
      </c>
      <c r="AM595" s="239"/>
      <c r="AO595" s="685">
        <f t="shared" si="550"/>
        <v>-0.87271370388472946</v>
      </c>
      <c r="AP595" s="276">
        <f t="shared" si="551"/>
        <v>3.9505598668993542</v>
      </c>
      <c r="AQ595" s="276">
        <f t="shared" si="552"/>
        <v>-2.0564020586270662</v>
      </c>
      <c r="AR595" s="276">
        <f t="shared" si="553"/>
        <v>-2.9760745171481418</v>
      </c>
      <c r="AS595" s="276">
        <f t="shared" si="554"/>
        <v>-3.0156388447940419</v>
      </c>
      <c r="AT595" s="276">
        <f t="shared" si="555"/>
        <v>2.0193400503787879</v>
      </c>
      <c r="AU595" s="685">
        <f t="shared" si="556"/>
        <v>1.2015638207753694</v>
      </c>
      <c r="AV595" s="276">
        <f t="shared" si="557"/>
        <v>1.1798574683950471</v>
      </c>
      <c r="AW595" s="276">
        <f t="shared" si="558"/>
        <v>1.7573315610673534</v>
      </c>
      <c r="AX595" s="276">
        <f t="shared" si="559"/>
        <v>0.96900376305748437</v>
      </c>
      <c r="AY595" s="276">
        <f t="shared" si="560"/>
        <v>1.2976068876028142</v>
      </c>
      <c r="AZ595" s="686">
        <f t="shared" si="561"/>
        <v>1.7824489556247654</v>
      </c>
      <c r="BA595" s="685">
        <f t="shared" si="562"/>
        <v>0</v>
      </c>
      <c r="BB595" s="276">
        <f t="shared" si="563"/>
        <v>0</v>
      </c>
      <c r="BC595" s="276">
        <f t="shared" si="564"/>
        <v>0</v>
      </c>
      <c r="BD595" s="276">
        <f t="shared" si="565"/>
        <v>0</v>
      </c>
      <c r="BE595" s="276">
        <f t="shared" si="566"/>
        <v>0</v>
      </c>
      <c r="BF595" s="686">
        <f t="shared" si="567"/>
        <v>0</v>
      </c>
      <c r="BG595" s="685" t="e">
        <f t="shared" si="568"/>
        <v>#DIV/0!</v>
      </c>
      <c r="BH595" s="276" t="e">
        <f t="shared" si="569"/>
        <v>#DIV/0!</v>
      </c>
      <c r="BI595" s="276" t="e">
        <f t="shared" si="570"/>
        <v>#DIV/0!</v>
      </c>
      <c r="BJ595" s="276" t="e">
        <f t="shared" si="571"/>
        <v>#DIV/0!</v>
      </c>
      <c r="BK595" s="276" t="e">
        <f t="shared" si="572"/>
        <v>#DIV/0!</v>
      </c>
      <c r="BL595" s="686" t="e">
        <f t="shared" si="573"/>
        <v>#DIV/0!</v>
      </c>
      <c r="BM595" s="239"/>
      <c r="BN595" s="965" t="e">
        <f t="shared" si="574"/>
        <v>#VALUE!</v>
      </c>
      <c r="BO595" s="878" t="e">
        <f t="shared" si="575"/>
        <v>#VALUE!</v>
      </c>
      <c r="BP595" s="878" t="e">
        <f t="shared" si="576"/>
        <v>#VALUE!</v>
      </c>
      <c r="BQ595" s="878" t="e">
        <f t="shared" si="577"/>
        <v>#VALUE!</v>
      </c>
      <c r="BR595" s="878" t="e">
        <f t="shared" si="578"/>
        <v>#VALUE!</v>
      </c>
      <c r="BS595" s="966" t="e">
        <f t="shared" si="579"/>
        <v>#VALUE!</v>
      </c>
    </row>
    <row r="596" spans="1:71">
      <c r="A596" s="284">
        <f t="shared" si="580"/>
        <v>528</v>
      </c>
      <c r="B596" s="285">
        <v>1.4543004745762547</v>
      </c>
      <c r="C596" s="285">
        <v>2.2366470529008255</v>
      </c>
      <c r="D596" s="285">
        <v>0.71840209545782607</v>
      </c>
      <c r="E596" s="285">
        <v>-5.048649119577842</v>
      </c>
      <c r="H596" s="685">
        <f t="shared" si="526"/>
        <v>0.32106663280719983</v>
      </c>
      <c r="I596" s="276">
        <f t="shared" si="527"/>
        <v>3.0020330721624955</v>
      </c>
      <c r="J596" s="276">
        <f t="shared" si="528"/>
        <v>-1.3236836135080405</v>
      </c>
      <c r="K596" s="276">
        <f t="shared" si="529"/>
        <v>0.15571442864184459</v>
      </c>
      <c r="L596" s="276">
        <f t="shared" si="530"/>
        <v>-4.2970270890910367</v>
      </c>
      <c r="M596" s="276">
        <f t="shared" si="531"/>
        <v>-1.8889998850273211</v>
      </c>
      <c r="N596" s="685">
        <f t="shared" si="532"/>
        <v>1.0294758419289571</v>
      </c>
      <c r="O596" s="276">
        <f t="shared" si="533"/>
        <v>1.068364227929252</v>
      </c>
      <c r="P596" s="276">
        <f t="shared" si="534"/>
        <v>1.4818304379505494</v>
      </c>
      <c r="Q596" s="276">
        <f t="shared" si="535"/>
        <v>1.6197831281766877</v>
      </c>
      <c r="R596" s="276">
        <f t="shared" si="536"/>
        <v>1.8054651977892198</v>
      </c>
      <c r="S596" s="686">
        <f t="shared" si="537"/>
        <v>1.4220094116106485</v>
      </c>
      <c r="T596" s="685">
        <f t="shared" si="538"/>
        <v>3.9967657857287522</v>
      </c>
      <c r="U596" s="276">
        <f t="shared" si="539"/>
        <v>5.4338326207401977</v>
      </c>
      <c r="V596" s="276">
        <f t="shared" si="540"/>
        <v>5.9558253666231309</v>
      </c>
      <c r="W596" s="276">
        <f t="shared" si="541"/>
        <v>3.3885147079357938</v>
      </c>
      <c r="X596" s="276">
        <f t="shared" si="542"/>
        <v>2.8947135075194499</v>
      </c>
      <c r="Y596" s="686">
        <f t="shared" si="543"/>
        <v>5.2606315084891282</v>
      </c>
      <c r="Z596" s="685" t="e">
        <f t="shared" si="544"/>
        <v>#DIV/0!</v>
      </c>
      <c r="AA596" s="276" t="e">
        <f t="shared" si="545"/>
        <v>#DIV/0!</v>
      </c>
      <c r="AB596" s="276" t="e">
        <f t="shared" si="546"/>
        <v>#DIV/0!</v>
      </c>
      <c r="AC596" s="276" t="e">
        <f t="shared" si="547"/>
        <v>#DIV/0!</v>
      </c>
      <c r="AD596" s="276" t="e">
        <f t="shared" si="548"/>
        <v>#DIV/0!</v>
      </c>
      <c r="AE596" s="686" t="e">
        <f t="shared" si="549"/>
        <v>#DIV/0!</v>
      </c>
      <c r="AF596" s="239"/>
      <c r="AG596" s="965" t="e">
        <f t="shared" si="520"/>
        <v>#VALUE!</v>
      </c>
      <c r="AH596" s="878" t="e">
        <f t="shared" si="521"/>
        <v>#VALUE!</v>
      </c>
      <c r="AI596" s="878" t="e">
        <f t="shared" si="522"/>
        <v>#VALUE!</v>
      </c>
      <c r="AJ596" s="878" t="e">
        <f t="shared" si="523"/>
        <v>#VALUE!</v>
      </c>
      <c r="AK596" s="878" t="e">
        <f t="shared" si="524"/>
        <v>#VALUE!</v>
      </c>
      <c r="AL596" s="966" t="e">
        <f t="shared" si="525"/>
        <v>#VALUE!</v>
      </c>
      <c r="AM596" s="239"/>
      <c r="AO596" s="685">
        <f t="shared" si="550"/>
        <v>0.32106663280719983</v>
      </c>
      <c r="AP596" s="276">
        <f t="shared" si="551"/>
        <v>3.0020330721624955</v>
      </c>
      <c r="AQ596" s="276">
        <f t="shared" si="552"/>
        <v>-1.3236836135080405</v>
      </c>
      <c r="AR596" s="276">
        <f t="shared" si="553"/>
        <v>0.15571442864184459</v>
      </c>
      <c r="AS596" s="276">
        <f t="shared" si="554"/>
        <v>-4.2970270890910367</v>
      </c>
      <c r="AT596" s="276">
        <f t="shared" si="555"/>
        <v>-1.8889998850273211</v>
      </c>
      <c r="AU596" s="685">
        <f t="shared" si="556"/>
        <v>1.0294758419289571</v>
      </c>
      <c r="AV596" s="276">
        <f t="shared" si="557"/>
        <v>1.068364227929252</v>
      </c>
      <c r="AW596" s="276">
        <f t="shared" si="558"/>
        <v>1.4818304379505494</v>
      </c>
      <c r="AX596" s="276">
        <f t="shared" si="559"/>
        <v>1.6197831281766877</v>
      </c>
      <c r="AY596" s="276">
        <f t="shared" si="560"/>
        <v>1.8054651977892198</v>
      </c>
      <c r="AZ596" s="686">
        <f t="shared" si="561"/>
        <v>1.4220094116106485</v>
      </c>
      <c r="BA596" s="685">
        <f t="shared" si="562"/>
        <v>0</v>
      </c>
      <c r="BB596" s="276">
        <f t="shared" si="563"/>
        <v>0</v>
      </c>
      <c r="BC596" s="276">
        <f t="shared" si="564"/>
        <v>0</v>
      </c>
      <c r="BD596" s="276">
        <f t="shared" si="565"/>
        <v>0</v>
      </c>
      <c r="BE596" s="276">
        <f t="shared" si="566"/>
        <v>0</v>
      </c>
      <c r="BF596" s="686">
        <f t="shared" si="567"/>
        <v>0</v>
      </c>
      <c r="BG596" s="685" t="e">
        <f t="shared" si="568"/>
        <v>#DIV/0!</v>
      </c>
      <c r="BH596" s="276" t="e">
        <f t="shared" si="569"/>
        <v>#DIV/0!</v>
      </c>
      <c r="BI596" s="276" t="e">
        <f t="shared" si="570"/>
        <v>#DIV/0!</v>
      </c>
      <c r="BJ596" s="276" t="e">
        <f t="shared" si="571"/>
        <v>#DIV/0!</v>
      </c>
      <c r="BK596" s="276" t="e">
        <f t="shared" si="572"/>
        <v>#DIV/0!</v>
      </c>
      <c r="BL596" s="686" t="e">
        <f t="shared" si="573"/>
        <v>#DIV/0!</v>
      </c>
      <c r="BM596" s="239"/>
      <c r="BN596" s="965" t="e">
        <f t="shared" si="574"/>
        <v>#VALUE!</v>
      </c>
      <c r="BO596" s="878" t="e">
        <f t="shared" si="575"/>
        <v>#VALUE!</v>
      </c>
      <c r="BP596" s="878" t="e">
        <f t="shared" si="576"/>
        <v>#VALUE!</v>
      </c>
      <c r="BQ596" s="878" t="e">
        <f t="shared" si="577"/>
        <v>#VALUE!</v>
      </c>
      <c r="BR596" s="878" t="e">
        <f t="shared" si="578"/>
        <v>#VALUE!</v>
      </c>
      <c r="BS596" s="966" t="e">
        <f t="shared" si="579"/>
        <v>#VALUE!</v>
      </c>
    </row>
    <row r="597" spans="1:71">
      <c r="A597" s="284">
        <f t="shared" si="580"/>
        <v>529</v>
      </c>
      <c r="B597" s="285">
        <v>-2.9469673294008678</v>
      </c>
      <c r="C597" s="285">
        <v>2.0005795722759365</v>
      </c>
      <c r="D597" s="285">
        <v>1.354585090853246</v>
      </c>
      <c r="E597" s="285">
        <v>-7.1729389646464448</v>
      </c>
      <c r="H597" s="685">
        <f t="shared" si="526"/>
        <v>-4.0802011711699224</v>
      </c>
      <c r="I597" s="276">
        <f t="shared" si="527"/>
        <v>-3.9356592263936045</v>
      </c>
      <c r="J597" s="276">
        <f t="shared" si="528"/>
        <v>-3.2786975117483612</v>
      </c>
      <c r="K597" s="276">
        <f t="shared" si="529"/>
        <v>-2.0489799529239754</v>
      </c>
      <c r="L597" s="276">
        <f t="shared" si="530"/>
        <v>-2.8326873803660821</v>
      </c>
      <c r="M597" s="276">
        <f t="shared" si="531"/>
        <v>-4.1725424782995679</v>
      </c>
      <c r="N597" s="685">
        <f t="shared" si="532"/>
        <v>0.79340836130406811</v>
      </c>
      <c r="O597" s="276">
        <f t="shared" si="533"/>
        <v>1.6002736181734967</v>
      </c>
      <c r="P597" s="276">
        <f t="shared" si="534"/>
        <v>0.84083436506706399</v>
      </c>
      <c r="Q597" s="276">
        <f t="shared" si="535"/>
        <v>0.86818189965953585</v>
      </c>
      <c r="R597" s="276">
        <f t="shared" si="536"/>
        <v>0.92800483232867204</v>
      </c>
      <c r="S597" s="686">
        <f t="shared" si="537"/>
        <v>0.54421737616771426</v>
      </c>
      <c r="T597" s="685">
        <f t="shared" si="538"/>
        <v>4.6329487811241723</v>
      </c>
      <c r="U597" s="276">
        <f t="shared" si="539"/>
        <v>3.9510864416218894</v>
      </c>
      <c r="V597" s="276">
        <f t="shared" si="540"/>
        <v>6.6150235645214366</v>
      </c>
      <c r="W597" s="276">
        <f t="shared" si="541"/>
        <v>4.3942590847792804</v>
      </c>
      <c r="X597" s="276">
        <f t="shared" si="542"/>
        <v>3.851032555660173</v>
      </c>
      <c r="Y597" s="686">
        <f t="shared" si="543"/>
        <v>2.7536680914436311</v>
      </c>
      <c r="Z597" s="685" t="e">
        <f t="shared" si="544"/>
        <v>#DIV/0!</v>
      </c>
      <c r="AA597" s="276" t="e">
        <f t="shared" si="545"/>
        <v>#DIV/0!</v>
      </c>
      <c r="AB597" s="276" t="e">
        <f t="shared" si="546"/>
        <v>#DIV/0!</v>
      </c>
      <c r="AC597" s="276" t="e">
        <f t="shared" si="547"/>
        <v>#DIV/0!</v>
      </c>
      <c r="AD597" s="276" t="e">
        <f t="shared" si="548"/>
        <v>#DIV/0!</v>
      </c>
      <c r="AE597" s="686" t="e">
        <f t="shared" si="549"/>
        <v>#DIV/0!</v>
      </c>
      <c r="AF597" s="239"/>
      <c r="AG597" s="965" t="e">
        <f t="shared" si="520"/>
        <v>#VALUE!</v>
      </c>
      <c r="AH597" s="878" t="e">
        <f t="shared" si="521"/>
        <v>#VALUE!</v>
      </c>
      <c r="AI597" s="878" t="e">
        <f t="shared" si="522"/>
        <v>#VALUE!</v>
      </c>
      <c r="AJ597" s="878" t="e">
        <f t="shared" si="523"/>
        <v>#VALUE!</v>
      </c>
      <c r="AK597" s="878" t="e">
        <f t="shared" si="524"/>
        <v>#VALUE!</v>
      </c>
      <c r="AL597" s="966" t="e">
        <f t="shared" si="525"/>
        <v>#VALUE!</v>
      </c>
      <c r="AM597" s="239"/>
      <c r="AO597" s="685">
        <f t="shared" si="550"/>
        <v>-4.0802011711699224</v>
      </c>
      <c r="AP597" s="276">
        <f t="shared" si="551"/>
        <v>-3.9356592263936045</v>
      </c>
      <c r="AQ597" s="276">
        <f t="shared" si="552"/>
        <v>-3.2786975117483612</v>
      </c>
      <c r="AR597" s="276">
        <f t="shared" si="553"/>
        <v>-2.0489799529239754</v>
      </c>
      <c r="AS597" s="276">
        <f t="shared" si="554"/>
        <v>-2.8326873803660821</v>
      </c>
      <c r="AT597" s="276">
        <f t="shared" si="555"/>
        <v>-4.1725424782995679</v>
      </c>
      <c r="AU597" s="685">
        <f t="shared" si="556"/>
        <v>0.79340836130406811</v>
      </c>
      <c r="AV597" s="276">
        <f t="shared" si="557"/>
        <v>1.6002736181734967</v>
      </c>
      <c r="AW597" s="276">
        <f t="shared" si="558"/>
        <v>0.84083436506706399</v>
      </c>
      <c r="AX597" s="276">
        <f t="shared" si="559"/>
        <v>0.86818189965953585</v>
      </c>
      <c r="AY597" s="276">
        <f t="shared" si="560"/>
        <v>0.92800483232867204</v>
      </c>
      <c r="AZ597" s="686">
        <f t="shared" si="561"/>
        <v>0.54421737616771426</v>
      </c>
      <c r="BA597" s="685">
        <f t="shared" si="562"/>
        <v>0</v>
      </c>
      <c r="BB597" s="276">
        <f t="shared" si="563"/>
        <v>0</v>
      </c>
      <c r="BC597" s="276">
        <f t="shared" si="564"/>
        <v>0</v>
      </c>
      <c r="BD597" s="276">
        <f t="shared" si="565"/>
        <v>0</v>
      </c>
      <c r="BE597" s="276">
        <f t="shared" si="566"/>
        <v>0</v>
      </c>
      <c r="BF597" s="686">
        <f t="shared" si="567"/>
        <v>0</v>
      </c>
      <c r="BG597" s="685" t="e">
        <f t="shared" si="568"/>
        <v>#DIV/0!</v>
      </c>
      <c r="BH597" s="276" t="e">
        <f t="shared" si="569"/>
        <v>#DIV/0!</v>
      </c>
      <c r="BI597" s="276" t="e">
        <f t="shared" si="570"/>
        <v>#DIV/0!</v>
      </c>
      <c r="BJ597" s="276" t="e">
        <f t="shared" si="571"/>
        <v>#DIV/0!</v>
      </c>
      <c r="BK597" s="276" t="e">
        <f t="shared" si="572"/>
        <v>#DIV/0!</v>
      </c>
      <c r="BL597" s="686" t="e">
        <f t="shared" si="573"/>
        <v>#DIV/0!</v>
      </c>
      <c r="BM597" s="239"/>
      <c r="BN597" s="965" t="e">
        <f t="shared" si="574"/>
        <v>#VALUE!</v>
      </c>
      <c r="BO597" s="878" t="e">
        <f t="shared" si="575"/>
        <v>#VALUE!</v>
      </c>
      <c r="BP597" s="878" t="e">
        <f t="shared" si="576"/>
        <v>#VALUE!</v>
      </c>
      <c r="BQ597" s="878" t="e">
        <f t="shared" si="577"/>
        <v>#VALUE!</v>
      </c>
      <c r="BR597" s="878" t="e">
        <f t="shared" si="578"/>
        <v>#VALUE!</v>
      </c>
      <c r="BS597" s="966" t="e">
        <f t="shared" si="579"/>
        <v>#VALUE!</v>
      </c>
    </row>
    <row r="598" spans="1:71">
      <c r="A598" s="284">
        <f t="shared" si="580"/>
        <v>530</v>
      </c>
      <c r="B598" s="285">
        <v>-1.1992343636648688</v>
      </c>
      <c r="C598" s="285">
        <v>2.3893231190872335</v>
      </c>
      <c r="D598" s="285">
        <v>0.80912325760248283</v>
      </c>
      <c r="E598" s="285">
        <v>-0.43029835416120621</v>
      </c>
      <c r="H598" s="685">
        <f t="shared" si="526"/>
        <v>-2.3324682054339236</v>
      </c>
      <c r="I598" s="276">
        <f t="shared" si="527"/>
        <v>-3.1621080486001514</v>
      </c>
      <c r="J598" s="276">
        <f t="shared" si="528"/>
        <v>-0.9183819182010744</v>
      </c>
      <c r="K598" s="276">
        <f t="shared" si="529"/>
        <v>-2.8429918306243245</v>
      </c>
      <c r="L598" s="276">
        <f t="shared" si="530"/>
        <v>-9.6579431538305727E-2</v>
      </c>
      <c r="M598" s="276">
        <f t="shared" si="531"/>
        <v>0.27765130222791456</v>
      </c>
      <c r="N598" s="685">
        <f t="shared" si="532"/>
        <v>1.1821519081153651</v>
      </c>
      <c r="O598" s="276">
        <f t="shared" si="533"/>
        <v>0.71654671985202412</v>
      </c>
      <c r="P598" s="276">
        <f t="shared" si="534"/>
        <v>0.87207447004390759</v>
      </c>
      <c r="Q598" s="276">
        <f t="shared" si="535"/>
        <v>1.8006059230174334</v>
      </c>
      <c r="R598" s="276">
        <f t="shared" si="536"/>
        <v>0.6308448302612355</v>
      </c>
      <c r="S598" s="686">
        <f t="shared" si="537"/>
        <v>1.8576621040595394</v>
      </c>
      <c r="T598" s="685">
        <f t="shared" si="538"/>
        <v>4.0874869478734084</v>
      </c>
      <c r="U598" s="276">
        <f t="shared" si="539"/>
        <v>4.2940852216572214</v>
      </c>
      <c r="V598" s="276">
        <f t="shared" si="540"/>
        <v>4.0029570770317751</v>
      </c>
      <c r="W598" s="276">
        <f t="shared" si="541"/>
        <v>4.8341208808656173</v>
      </c>
      <c r="X598" s="276">
        <f t="shared" si="542"/>
        <v>5.1437242769610663</v>
      </c>
      <c r="Y598" s="686">
        <f t="shared" si="543"/>
        <v>4.1105902515312147</v>
      </c>
      <c r="Z598" s="685" t="e">
        <f t="shared" si="544"/>
        <v>#DIV/0!</v>
      </c>
      <c r="AA598" s="276" t="e">
        <f t="shared" si="545"/>
        <v>#DIV/0!</v>
      </c>
      <c r="AB598" s="276" t="e">
        <f t="shared" si="546"/>
        <v>#DIV/0!</v>
      </c>
      <c r="AC598" s="276" t="e">
        <f t="shared" si="547"/>
        <v>#DIV/0!</v>
      </c>
      <c r="AD598" s="276" t="e">
        <f t="shared" si="548"/>
        <v>#DIV/0!</v>
      </c>
      <c r="AE598" s="686" t="e">
        <f t="shared" si="549"/>
        <v>#DIV/0!</v>
      </c>
      <c r="AF598" s="239"/>
      <c r="AG598" s="965" t="e">
        <f t="shared" si="520"/>
        <v>#VALUE!</v>
      </c>
      <c r="AH598" s="878" t="e">
        <f t="shared" si="521"/>
        <v>#VALUE!</v>
      </c>
      <c r="AI598" s="878" t="e">
        <f t="shared" si="522"/>
        <v>#VALUE!</v>
      </c>
      <c r="AJ598" s="878" t="e">
        <f t="shared" si="523"/>
        <v>#VALUE!</v>
      </c>
      <c r="AK598" s="878" t="e">
        <f t="shared" si="524"/>
        <v>#VALUE!</v>
      </c>
      <c r="AL598" s="966" t="e">
        <f t="shared" si="525"/>
        <v>#VALUE!</v>
      </c>
      <c r="AM598" s="239"/>
      <c r="AO598" s="685">
        <f t="shared" si="550"/>
        <v>-2.3324682054339236</v>
      </c>
      <c r="AP598" s="276">
        <f t="shared" si="551"/>
        <v>-3.1621080486001514</v>
      </c>
      <c r="AQ598" s="276">
        <f t="shared" si="552"/>
        <v>-0.9183819182010744</v>
      </c>
      <c r="AR598" s="276">
        <f t="shared" si="553"/>
        <v>-2.8429918306243245</v>
      </c>
      <c r="AS598" s="276">
        <f t="shared" si="554"/>
        <v>-9.6579431538305727E-2</v>
      </c>
      <c r="AT598" s="276">
        <f t="shared" si="555"/>
        <v>0.27765130222791456</v>
      </c>
      <c r="AU598" s="685">
        <f t="shared" si="556"/>
        <v>1.1821519081153651</v>
      </c>
      <c r="AV598" s="276">
        <f t="shared" si="557"/>
        <v>0.71654671985202412</v>
      </c>
      <c r="AW598" s="276">
        <f t="shared" si="558"/>
        <v>0.87207447004390759</v>
      </c>
      <c r="AX598" s="276">
        <f t="shared" si="559"/>
        <v>1.8006059230174334</v>
      </c>
      <c r="AY598" s="276">
        <f t="shared" si="560"/>
        <v>0.6308448302612355</v>
      </c>
      <c r="AZ598" s="686">
        <f t="shared" si="561"/>
        <v>1.8576621040595394</v>
      </c>
      <c r="BA598" s="685">
        <f t="shared" si="562"/>
        <v>0</v>
      </c>
      <c r="BB598" s="276">
        <f t="shared" si="563"/>
        <v>0</v>
      </c>
      <c r="BC598" s="276">
        <f t="shared" si="564"/>
        <v>0</v>
      </c>
      <c r="BD598" s="276">
        <f t="shared" si="565"/>
        <v>0</v>
      </c>
      <c r="BE598" s="276">
        <f t="shared" si="566"/>
        <v>0</v>
      </c>
      <c r="BF598" s="686">
        <f t="shared" si="567"/>
        <v>0</v>
      </c>
      <c r="BG598" s="685" t="e">
        <f t="shared" si="568"/>
        <v>#DIV/0!</v>
      </c>
      <c r="BH598" s="276" t="e">
        <f t="shared" si="569"/>
        <v>#DIV/0!</v>
      </c>
      <c r="BI598" s="276" t="e">
        <f t="shared" si="570"/>
        <v>#DIV/0!</v>
      </c>
      <c r="BJ598" s="276" t="e">
        <f t="shared" si="571"/>
        <v>#DIV/0!</v>
      </c>
      <c r="BK598" s="276" t="e">
        <f t="shared" si="572"/>
        <v>#DIV/0!</v>
      </c>
      <c r="BL598" s="686" t="e">
        <f t="shared" si="573"/>
        <v>#DIV/0!</v>
      </c>
      <c r="BM598" s="239"/>
      <c r="BN598" s="965" t="e">
        <f t="shared" si="574"/>
        <v>#VALUE!</v>
      </c>
      <c r="BO598" s="878" t="e">
        <f t="shared" si="575"/>
        <v>#VALUE!</v>
      </c>
      <c r="BP598" s="878" t="e">
        <f t="shared" si="576"/>
        <v>#VALUE!</v>
      </c>
      <c r="BQ598" s="878" t="e">
        <f t="shared" si="577"/>
        <v>#VALUE!</v>
      </c>
      <c r="BR598" s="878" t="e">
        <f t="shared" si="578"/>
        <v>#VALUE!</v>
      </c>
      <c r="BS598" s="966" t="e">
        <f t="shared" si="579"/>
        <v>#VALUE!</v>
      </c>
    </row>
    <row r="599" spans="1:71">
      <c r="A599" s="284">
        <f t="shared" si="580"/>
        <v>531</v>
      </c>
      <c r="B599" s="285">
        <v>1.5094722825300335</v>
      </c>
      <c r="C599" s="285">
        <v>1.7261677256647667</v>
      </c>
      <c r="D599" s="285">
        <v>0.5854755993283699</v>
      </c>
      <c r="E599" s="285">
        <v>-25.105980747217064</v>
      </c>
      <c r="H599" s="685">
        <f t="shared" si="526"/>
        <v>0.37623844076097868</v>
      </c>
      <c r="I599" s="276">
        <f t="shared" si="527"/>
        <v>-3.4953726874096693</v>
      </c>
      <c r="J599" s="276">
        <f t="shared" si="528"/>
        <v>-2.2374940215063566</v>
      </c>
      <c r="K599" s="276">
        <f t="shared" si="529"/>
        <v>-4.0045156928297558</v>
      </c>
      <c r="L599" s="276">
        <f t="shared" si="530"/>
        <v>-1.5373002532952951</v>
      </c>
      <c r="M599" s="276">
        <f t="shared" si="531"/>
        <v>-2.434539023965141</v>
      </c>
      <c r="N599" s="685">
        <f t="shared" si="532"/>
        <v>0.51899651469289831</v>
      </c>
      <c r="O599" s="276">
        <f t="shared" si="533"/>
        <v>1.0559132346696136</v>
      </c>
      <c r="P599" s="276">
        <f t="shared" si="534"/>
        <v>1.0406572313005589</v>
      </c>
      <c r="Q599" s="276">
        <f t="shared" si="535"/>
        <v>1.1702201712976639</v>
      </c>
      <c r="R599" s="276">
        <f t="shared" si="536"/>
        <v>0.68790236962182449</v>
      </c>
      <c r="S599" s="686">
        <f t="shared" si="537"/>
        <v>1.1178376397943077</v>
      </c>
      <c r="T599" s="685">
        <f t="shared" si="538"/>
        <v>3.8638392895992957</v>
      </c>
      <c r="U599" s="276">
        <f t="shared" si="539"/>
        <v>2.7116604683535694</v>
      </c>
      <c r="V599" s="276">
        <f t="shared" si="540"/>
        <v>4.4099661593699793</v>
      </c>
      <c r="W599" s="276">
        <f t="shared" si="541"/>
        <v>3.1272952806164991</v>
      </c>
      <c r="X599" s="276">
        <f t="shared" si="542"/>
        <v>4.9984546756768102</v>
      </c>
      <c r="Y599" s="686">
        <f t="shared" si="543"/>
        <v>4.722848792719109</v>
      </c>
      <c r="Z599" s="685" t="e">
        <f t="shared" si="544"/>
        <v>#DIV/0!</v>
      </c>
      <c r="AA599" s="276" t="e">
        <f t="shared" si="545"/>
        <v>#DIV/0!</v>
      </c>
      <c r="AB599" s="276" t="e">
        <f t="shared" si="546"/>
        <v>#DIV/0!</v>
      </c>
      <c r="AC599" s="276" t="e">
        <f t="shared" si="547"/>
        <v>#DIV/0!</v>
      </c>
      <c r="AD599" s="276" t="e">
        <f t="shared" si="548"/>
        <v>#DIV/0!</v>
      </c>
      <c r="AE599" s="686" t="e">
        <f t="shared" si="549"/>
        <v>#DIV/0!</v>
      </c>
      <c r="AF599" s="239"/>
      <c r="AG599" s="965" t="e">
        <f t="shared" si="520"/>
        <v>#VALUE!</v>
      </c>
      <c r="AH599" s="878" t="e">
        <f t="shared" si="521"/>
        <v>#VALUE!</v>
      </c>
      <c r="AI599" s="878" t="e">
        <f t="shared" si="522"/>
        <v>#VALUE!</v>
      </c>
      <c r="AJ599" s="878" t="e">
        <f t="shared" si="523"/>
        <v>#VALUE!</v>
      </c>
      <c r="AK599" s="878" t="e">
        <f t="shared" si="524"/>
        <v>#VALUE!</v>
      </c>
      <c r="AL599" s="966" t="e">
        <f t="shared" si="525"/>
        <v>#VALUE!</v>
      </c>
      <c r="AM599" s="239"/>
      <c r="AO599" s="685">
        <f t="shared" si="550"/>
        <v>0.37623844076097868</v>
      </c>
      <c r="AP599" s="276">
        <f t="shared" si="551"/>
        <v>-3.4953726874096693</v>
      </c>
      <c r="AQ599" s="276">
        <f t="shared" si="552"/>
        <v>-2.2374940215063566</v>
      </c>
      <c r="AR599" s="276">
        <f t="shared" si="553"/>
        <v>-4.0045156928297558</v>
      </c>
      <c r="AS599" s="276">
        <f t="shared" si="554"/>
        <v>-1.5373002532952951</v>
      </c>
      <c r="AT599" s="276">
        <f t="shared" si="555"/>
        <v>-2.434539023965141</v>
      </c>
      <c r="AU599" s="685">
        <f t="shared" si="556"/>
        <v>0.51899651469289831</v>
      </c>
      <c r="AV599" s="276">
        <f t="shared" si="557"/>
        <v>1.0559132346696136</v>
      </c>
      <c r="AW599" s="276">
        <f t="shared" si="558"/>
        <v>1.0406572313005589</v>
      </c>
      <c r="AX599" s="276">
        <f t="shared" si="559"/>
        <v>1.1702201712976639</v>
      </c>
      <c r="AY599" s="276">
        <f t="shared" si="560"/>
        <v>0.68790236962182449</v>
      </c>
      <c r="AZ599" s="686">
        <f t="shared" si="561"/>
        <v>1.1178376397943077</v>
      </c>
      <c r="BA599" s="685">
        <f t="shared" si="562"/>
        <v>0</v>
      </c>
      <c r="BB599" s="276">
        <f t="shared" si="563"/>
        <v>0</v>
      </c>
      <c r="BC599" s="276">
        <f t="shared" si="564"/>
        <v>0</v>
      </c>
      <c r="BD599" s="276">
        <f t="shared" si="565"/>
        <v>0</v>
      </c>
      <c r="BE599" s="276">
        <f t="shared" si="566"/>
        <v>0</v>
      </c>
      <c r="BF599" s="686">
        <f t="shared" si="567"/>
        <v>0</v>
      </c>
      <c r="BG599" s="685" t="e">
        <f t="shared" si="568"/>
        <v>#DIV/0!</v>
      </c>
      <c r="BH599" s="276" t="e">
        <f t="shared" si="569"/>
        <v>#DIV/0!</v>
      </c>
      <c r="BI599" s="276" t="e">
        <f t="shared" si="570"/>
        <v>#DIV/0!</v>
      </c>
      <c r="BJ599" s="276" t="e">
        <f t="shared" si="571"/>
        <v>#DIV/0!</v>
      </c>
      <c r="BK599" s="276" t="e">
        <f t="shared" si="572"/>
        <v>#DIV/0!</v>
      </c>
      <c r="BL599" s="686" t="e">
        <f t="shared" si="573"/>
        <v>#DIV/0!</v>
      </c>
      <c r="BM599" s="239"/>
      <c r="BN599" s="965" t="e">
        <f t="shared" si="574"/>
        <v>#VALUE!</v>
      </c>
      <c r="BO599" s="878" t="e">
        <f t="shared" si="575"/>
        <v>#VALUE!</v>
      </c>
      <c r="BP599" s="878" t="e">
        <f t="shared" si="576"/>
        <v>#VALUE!</v>
      </c>
      <c r="BQ599" s="878" t="e">
        <f t="shared" si="577"/>
        <v>#VALUE!</v>
      </c>
      <c r="BR599" s="878" t="e">
        <f t="shared" si="578"/>
        <v>#VALUE!</v>
      </c>
      <c r="BS599" s="966" t="e">
        <f t="shared" si="579"/>
        <v>#VALUE!</v>
      </c>
    </row>
    <row r="600" spans="1:71">
      <c r="A600" s="284">
        <f t="shared" si="580"/>
        <v>532</v>
      </c>
      <c r="B600" s="285">
        <v>-2.636160638763573</v>
      </c>
      <c r="C600" s="285">
        <v>2.087695808602386</v>
      </c>
      <c r="D600" s="285">
        <v>1.0693889747035712</v>
      </c>
      <c r="E600" s="285">
        <v>-13.131181516409885</v>
      </c>
      <c r="H600" s="685">
        <f t="shared" si="526"/>
        <v>-3.769394480532628</v>
      </c>
      <c r="I600" s="276">
        <f t="shared" si="527"/>
        <v>-0.78564742504293561</v>
      </c>
      <c r="J600" s="276">
        <f t="shared" si="528"/>
        <v>-0.78794331369077741</v>
      </c>
      <c r="K600" s="276">
        <f t="shared" si="529"/>
        <v>-1.9289494226229511</v>
      </c>
      <c r="L600" s="276">
        <f t="shared" si="530"/>
        <v>-2.191399448324522</v>
      </c>
      <c r="M600" s="276">
        <f t="shared" si="531"/>
        <v>3.3598523901982142</v>
      </c>
      <c r="N600" s="685">
        <f t="shared" si="532"/>
        <v>0.8805245976305176</v>
      </c>
      <c r="O600" s="276">
        <f t="shared" si="533"/>
        <v>1.1297000775567605</v>
      </c>
      <c r="P600" s="276">
        <f t="shared" si="534"/>
        <v>1.5376834850968695</v>
      </c>
      <c r="Q600" s="276">
        <f t="shared" si="535"/>
        <v>0.98366099099825299</v>
      </c>
      <c r="R600" s="276">
        <f t="shared" si="536"/>
        <v>1.1666967440877103</v>
      </c>
      <c r="S600" s="686">
        <f t="shared" si="537"/>
        <v>0.86988358348246453</v>
      </c>
      <c r="T600" s="685">
        <f t="shared" si="538"/>
        <v>4.3477526649744966</v>
      </c>
      <c r="U600" s="276">
        <f t="shared" si="539"/>
        <v>3.7158491132036255</v>
      </c>
      <c r="V600" s="276">
        <f t="shared" si="540"/>
        <v>4.8032346047365682</v>
      </c>
      <c r="W600" s="276">
        <f t="shared" si="541"/>
        <v>4.6787544918722128</v>
      </c>
      <c r="X600" s="276">
        <f t="shared" si="542"/>
        <v>3.2687487790895586</v>
      </c>
      <c r="Y600" s="686">
        <f t="shared" si="543"/>
        <v>4.5841926310969923</v>
      </c>
      <c r="Z600" s="685" t="e">
        <f t="shared" si="544"/>
        <v>#DIV/0!</v>
      </c>
      <c r="AA600" s="276" t="e">
        <f t="shared" si="545"/>
        <v>#DIV/0!</v>
      </c>
      <c r="AB600" s="276" t="e">
        <f t="shared" si="546"/>
        <v>#DIV/0!</v>
      </c>
      <c r="AC600" s="276" t="e">
        <f t="shared" si="547"/>
        <v>#DIV/0!</v>
      </c>
      <c r="AD600" s="276" t="e">
        <f t="shared" si="548"/>
        <v>#DIV/0!</v>
      </c>
      <c r="AE600" s="686" t="e">
        <f t="shared" si="549"/>
        <v>#DIV/0!</v>
      </c>
      <c r="AF600" s="239"/>
      <c r="AG600" s="965" t="e">
        <f t="shared" si="520"/>
        <v>#VALUE!</v>
      </c>
      <c r="AH600" s="878" t="e">
        <f t="shared" si="521"/>
        <v>#VALUE!</v>
      </c>
      <c r="AI600" s="878" t="e">
        <f t="shared" si="522"/>
        <v>#VALUE!</v>
      </c>
      <c r="AJ600" s="878" t="e">
        <f t="shared" si="523"/>
        <v>#VALUE!</v>
      </c>
      <c r="AK600" s="878" t="e">
        <f t="shared" si="524"/>
        <v>#VALUE!</v>
      </c>
      <c r="AL600" s="966" t="e">
        <f t="shared" si="525"/>
        <v>#VALUE!</v>
      </c>
      <c r="AM600" s="239"/>
      <c r="AO600" s="685">
        <f t="shared" si="550"/>
        <v>-3.769394480532628</v>
      </c>
      <c r="AP600" s="276">
        <f t="shared" si="551"/>
        <v>-0.78564742504293561</v>
      </c>
      <c r="AQ600" s="276">
        <f t="shared" si="552"/>
        <v>-0.78794331369077741</v>
      </c>
      <c r="AR600" s="276">
        <f t="shared" si="553"/>
        <v>-1.9289494226229511</v>
      </c>
      <c r="AS600" s="276">
        <f t="shared" si="554"/>
        <v>-2.191399448324522</v>
      </c>
      <c r="AT600" s="276">
        <f t="shared" si="555"/>
        <v>3.3598523901982142</v>
      </c>
      <c r="AU600" s="685">
        <f t="shared" si="556"/>
        <v>0.8805245976305176</v>
      </c>
      <c r="AV600" s="276">
        <f t="shared" si="557"/>
        <v>1.1297000775567605</v>
      </c>
      <c r="AW600" s="276">
        <f t="shared" si="558"/>
        <v>1.5376834850968695</v>
      </c>
      <c r="AX600" s="276">
        <f t="shared" si="559"/>
        <v>0.98366099099825299</v>
      </c>
      <c r="AY600" s="276">
        <f t="shared" si="560"/>
        <v>1.1666967440877103</v>
      </c>
      <c r="AZ600" s="686">
        <f t="shared" si="561"/>
        <v>0.86988358348246453</v>
      </c>
      <c r="BA600" s="685">
        <f t="shared" si="562"/>
        <v>0</v>
      </c>
      <c r="BB600" s="276">
        <f t="shared" si="563"/>
        <v>0</v>
      </c>
      <c r="BC600" s="276">
        <f t="shared" si="564"/>
        <v>0</v>
      </c>
      <c r="BD600" s="276">
        <f t="shared" si="565"/>
        <v>0</v>
      </c>
      <c r="BE600" s="276">
        <f t="shared" si="566"/>
        <v>0</v>
      </c>
      <c r="BF600" s="686">
        <f t="shared" si="567"/>
        <v>0</v>
      </c>
      <c r="BG600" s="685" t="e">
        <f t="shared" si="568"/>
        <v>#DIV/0!</v>
      </c>
      <c r="BH600" s="276" t="e">
        <f t="shared" si="569"/>
        <v>#DIV/0!</v>
      </c>
      <c r="BI600" s="276" t="e">
        <f t="shared" si="570"/>
        <v>#DIV/0!</v>
      </c>
      <c r="BJ600" s="276" t="e">
        <f t="shared" si="571"/>
        <v>#DIV/0!</v>
      </c>
      <c r="BK600" s="276" t="e">
        <f t="shared" si="572"/>
        <v>#DIV/0!</v>
      </c>
      <c r="BL600" s="686" t="e">
        <f t="shared" si="573"/>
        <v>#DIV/0!</v>
      </c>
      <c r="BM600" s="239"/>
      <c r="BN600" s="965" t="e">
        <f t="shared" si="574"/>
        <v>#VALUE!</v>
      </c>
      <c r="BO600" s="878" t="e">
        <f t="shared" si="575"/>
        <v>#VALUE!</v>
      </c>
      <c r="BP600" s="878" t="e">
        <f t="shared" si="576"/>
        <v>#VALUE!</v>
      </c>
      <c r="BQ600" s="878" t="e">
        <f t="shared" si="577"/>
        <v>#VALUE!</v>
      </c>
      <c r="BR600" s="878" t="e">
        <f t="shared" si="578"/>
        <v>#VALUE!</v>
      </c>
      <c r="BS600" s="966" t="e">
        <f t="shared" si="579"/>
        <v>#VALUE!</v>
      </c>
    </row>
    <row r="601" spans="1:71">
      <c r="A601" s="284">
        <f t="shared" si="580"/>
        <v>533</v>
      </c>
      <c r="B601" s="285">
        <v>-2.9994721989745226</v>
      </c>
      <c r="C601" s="285">
        <v>1.8204910245353869</v>
      </c>
      <c r="D601" s="285">
        <v>0.90563403539447951</v>
      </c>
      <c r="E601" s="285">
        <v>-8.1871993930446507</v>
      </c>
      <c r="H601" s="685">
        <f t="shared" si="526"/>
        <v>-4.1327060407435772</v>
      </c>
      <c r="I601" s="276">
        <f t="shared" si="527"/>
        <v>-2.5952302444845956</v>
      </c>
      <c r="J601" s="276">
        <f t="shared" si="528"/>
        <v>-0.84174095186348341</v>
      </c>
      <c r="K601" s="276">
        <f t="shared" si="529"/>
        <v>-1.996929078216775</v>
      </c>
      <c r="L601" s="276">
        <f t="shared" si="530"/>
        <v>0.61214984186339749</v>
      </c>
      <c r="M601" s="276">
        <f t="shared" si="531"/>
        <v>-5.7724298715403224</v>
      </c>
      <c r="N601" s="685">
        <f t="shared" si="532"/>
        <v>0.6133198135635185</v>
      </c>
      <c r="O601" s="276">
        <f t="shared" si="533"/>
        <v>0.64118180947122494</v>
      </c>
      <c r="P601" s="276">
        <f t="shared" si="534"/>
        <v>1.8234020444643038</v>
      </c>
      <c r="Q601" s="276">
        <f t="shared" si="535"/>
        <v>0.57462150782844801</v>
      </c>
      <c r="R601" s="276">
        <f t="shared" si="536"/>
        <v>0.80651298421525186</v>
      </c>
      <c r="S601" s="686">
        <f t="shared" si="537"/>
        <v>1.2514396565340415</v>
      </c>
      <c r="T601" s="685">
        <f t="shared" si="538"/>
        <v>4.1839977256654057</v>
      </c>
      <c r="U601" s="276">
        <f t="shared" si="539"/>
        <v>4.7922150907239907</v>
      </c>
      <c r="V601" s="276">
        <f t="shared" si="540"/>
        <v>3.7733858442482857</v>
      </c>
      <c r="W601" s="276">
        <f t="shared" si="541"/>
        <v>5.1823454368715396</v>
      </c>
      <c r="X601" s="276">
        <f t="shared" si="542"/>
        <v>6.3442612894429757</v>
      </c>
      <c r="Y601" s="686">
        <f t="shared" si="543"/>
        <v>3.9254410518673764</v>
      </c>
      <c r="Z601" s="685" t="e">
        <f t="shared" si="544"/>
        <v>#DIV/0!</v>
      </c>
      <c r="AA601" s="276" t="e">
        <f t="shared" si="545"/>
        <v>#DIV/0!</v>
      </c>
      <c r="AB601" s="276" t="e">
        <f t="shared" si="546"/>
        <v>#DIV/0!</v>
      </c>
      <c r="AC601" s="276" t="e">
        <f t="shared" si="547"/>
        <v>#DIV/0!</v>
      </c>
      <c r="AD601" s="276" t="e">
        <f t="shared" si="548"/>
        <v>#DIV/0!</v>
      </c>
      <c r="AE601" s="686" t="e">
        <f t="shared" si="549"/>
        <v>#DIV/0!</v>
      </c>
      <c r="AF601" s="239"/>
      <c r="AG601" s="965" t="e">
        <f t="shared" si="520"/>
        <v>#VALUE!</v>
      </c>
      <c r="AH601" s="878" t="e">
        <f t="shared" si="521"/>
        <v>#VALUE!</v>
      </c>
      <c r="AI601" s="878" t="e">
        <f t="shared" si="522"/>
        <v>#VALUE!</v>
      </c>
      <c r="AJ601" s="878" t="e">
        <f t="shared" si="523"/>
        <v>#VALUE!</v>
      </c>
      <c r="AK601" s="878" t="e">
        <f t="shared" si="524"/>
        <v>#VALUE!</v>
      </c>
      <c r="AL601" s="966" t="e">
        <f t="shared" si="525"/>
        <v>#VALUE!</v>
      </c>
      <c r="AM601" s="239"/>
      <c r="AO601" s="685">
        <f t="shared" si="550"/>
        <v>-4.1327060407435772</v>
      </c>
      <c r="AP601" s="276">
        <f t="shared" si="551"/>
        <v>-2.5952302444845956</v>
      </c>
      <c r="AQ601" s="276">
        <f t="shared" si="552"/>
        <v>-0.84174095186348341</v>
      </c>
      <c r="AR601" s="276">
        <f t="shared" si="553"/>
        <v>-1.996929078216775</v>
      </c>
      <c r="AS601" s="276">
        <f t="shared" si="554"/>
        <v>0.61214984186339749</v>
      </c>
      <c r="AT601" s="276">
        <f t="shared" si="555"/>
        <v>-5.7724298715403224</v>
      </c>
      <c r="AU601" s="685">
        <f t="shared" si="556"/>
        <v>0.6133198135635185</v>
      </c>
      <c r="AV601" s="276">
        <f t="shared" si="557"/>
        <v>0.64118180947122494</v>
      </c>
      <c r="AW601" s="276">
        <f t="shared" si="558"/>
        <v>1.8234020444643038</v>
      </c>
      <c r="AX601" s="276">
        <f t="shared" si="559"/>
        <v>0.57462150782844801</v>
      </c>
      <c r="AY601" s="276">
        <f t="shared" si="560"/>
        <v>0.80651298421525186</v>
      </c>
      <c r="AZ601" s="686">
        <f t="shared" si="561"/>
        <v>1.2514396565340415</v>
      </c>
      <c r="BA601" s="685">
        <f t="shared" si="562"/>
        <v>0</v>
      </c>
      <c r="BB601" s="276">
        <f t="shared" si="563"/>
        <v>0</v>
      </c>
      <c r="BC601" s="276">
        <f t="shared" si="564"/>
        <v>0</v>
      </c>
      <c r="BD601" s="276">
        <f t="shared" si="565"/>
        <v>0</v>
      </c>
      <c r="BE601" s="276">
        <f t="shared" si="566"/>
        <v>0</v>
      </c>
      <c r="BF601" s="686">
        <f t="shared" si="567"/>
        <v>0</v>
      </c>
      <c r="BG601" s="685" t="e">
        <f t="shared" si="568"/>
        <v>#DIV/0!</v>
      </c>
      <c r="BH601" s="276" t="e">
        <f t="shared" si="569"/>
        <v>#DIV/0!</v>
      </c>
      <c r="BI601" s="276" t="e">
        <f t="shared" si="570"/>
        <v>#DIV/0!</v>
      </c>
      <c r="BJ601" s="276" t="e">
        <f t="shared" si="571"/>
        <v>#DIV/0!</v>
      </c>
      <c r="BK601" s="276" t="e">
        <f t="shared" si="572"/>
        <v>#DIV/0!</v>
      </c>
      <c r="BL601" s="686" t="e">
        <f t="shared" si="573"/>
        <v>#DIV/0!</v>
      </c>
      <c r="BM601" s="239"/>
      <c r="BN601" s="965" t="e">
        <f t="shared" si="574"/>
        <v>#VALUE!</v>
      </c>
      <c r="BO601" s="878" t="e">
        <f t="shared" si="575"/>
        <v>#VALUE!</v>
      </c>
      <c r="BP601" s="878" t="e">
        <f t="shared" si="576"/>
        <v>#VALUE!</v>
      </c>
      <c r="BQ601" s="878" t="e">
        <f t="shared" si="577"/>
        <v>#VALUE!</v>
      </c>
      <c r="BR601" s="878" t="e">
        <f t="shared" si="578"/>
        <v>#VALUE!</v>
      </c>
      <c r="BS601" s="966" t="e">
        <f t="shared" si="579"/>
        <v>#VALUE!</v>
      </c>
    </row>
    <row r="602" spans="1:71">
      <c r="A602" s="284">
        <f t="shared" si="580"/>
        <v>534</v>
      </c>
      <c r="B602" s="285">
        <v>-1.274567695154716</v>
      </c>
      <c r="C602" s="285">
        <v>1.8564930770553267</v>
      </c>
      <c r="D602" s="285">
        <v>0.78719850869472108</v>
      </c>
      <c r="E602" s="285">
        <v>-7.0856877625014434</v>
      </c>
      <c r="H602" s="685">
        <f t="shared" si="526"/>
        <v>-2.4078015369237709</v>
      </c>
      <c r="I602" s="276">
        <f t="shared" si="527"/>
        <v>-3.7023071155240714</v>
      </c>
      <c r="J602" s="276">
        <f t="shared" si="528"/>
        <v>-1.2353661125719144</v>
      </c>
      <c r="K602" s="276">
        <f t="shared" si="529"/>
        <v>-5.9022530260095349</v>
      </c>
      <c r="L602" s="276">
        <f t="shared" si="530"/>
        <v>-0.85439307683323795</v>
      </c>
      <c r="M602" s="276">
        <f t="shared" si="531"/>
        <v>1.5240499228556643</v>
      </c>
      <c r="N602" s="685">
        <f t="shared" si="532"/>
        <v>0.64932186608345832</v>
      </c>
      <c r="O602" s="276">
        <f t="shared" si="533"/>
        <v>0.99675335435281442</v>
      </c>
      <c r="P602" s="276">
        <f t="shared" si="534"/>
        <v>1.302521482549676</v>
      </c>
      <c r="Q602" s="276">
        <f t="shared" si="535"/>
        <v>0.64027802544336132</v>
      </c>
      <c r="R602" s="276">
        <f t="shared" si="536"/>
        <v>1.0360714120465981</v>
      </c>
      <c r="S602" s="686">
        <f t="shared" si="537"/>
        <v>1.8838704870912941</v>
      </c>
      <c r="T602" s="685">
        <f t="shared" si="538"/>
        <v>4.0655621989656474</v>
      </c>
      <c r="U602" s="276">
        <f t="shared" si="539"/>
        <v>3.5958471788992696</v>
      </c>
      <c r="V602" s="276">
        <f t="shared" si="540"/>
        <v>6.3162019689681088</v>
      </c>
      <c r="W602" s="276">
        <f t="shared" si="541"/>
        <v>4.1883215800370559</v>
      </c>
      <c r="X602" s="276">
        <f t="shared" si="542"/>
        <v>6.5772287603160464</v>
      </c>
      <c r="Y602" s="686">
        <f t="shared" si="543"/>
        <v>4.8562617379476034</v>
      </c>
      <c r="Z602" s="685" t="e">
        <f t="shared" si="544"/>
        <v>#DIV/0!</v>
      </c>
      <c r="AA602" s="276" t="e">
        <f t="shared" si="545"/>
        <v>#DIV/0!</v>
      </c>
      <c r="AB602" s="276" t="e">
        <f t="shared" si="546"/>
        <v>#DIV/0!</v>
      </c>
      <c r="AC602" s="276" t="e">
        <f t="shared" si="547"/>
        <v>#DIV/0!</v>
      </c>
      <c r="AD602" s="276" t="e">
        <f t="shared" si="548"/>
        <v>#DIV/0!</v>
      </c>
      <c r="AE602" s="686" t="e">
        <f t="shared" si="549"/>
        <v>#DIV/0!</v>
      </c>
      <c r="AF602" s="239"/>
      <c r="AG602" s="965" t="e">
        <f t="shared" si="520"/>
        <v>#VALUE!</v>
      </c>
      <c r="AH602" s="878" t="e">
        <f t="shared" si="521"/>
        <v>#VALUE!</v>
      </c>
      <c r="AI602" s="878" t="e">
        <f t="shared" si="522"/>
        <v>#VALUE!</v>
      </c>
      <c r="AJ602" s="878" t="e">
        <f t="shared" si="523"/>
        <v>#VALUE!</v>
      </c>
      <c r="AK602" s="878" t="e">
        <f t="shared" si="524"/>
        <v>#VALUE!</v>
      </c>
      <c r="AL602" s="966" t="e">
        <f t="shared" si="525"/>
        <v>#VALUE!</v>
      </c>
      <c r="AM602" s="239"/>
      <c r="AO602" s="685">
        <f t="shared" si="550"/>
        <v>-2.4078015369237709</v>
      </c>
      <c r="AP602" s="276">
        <f t="shared" si="551"/>
        <v>-3.7023071155240714</v>
      </c>
      <c r="AQ602" s="276">
        <f t="shared" si="552"/>
        <v>-1.2353661125719144</v>
      </c>
      <c r="AR602" s="276">
        <f t="shared" si="553"/>
        <v>-5.9022530260095349</v>
      </c>
      <c r="AS602" s="276">
        <f t="shared" si="554"/>
        <v>-0.85439307683323795</v>
      </c>
      <c r="AT602" s="276">
        <f t="shared" si="555"/>
        <v>1.5240499228556643</v>
      </c>
      <c r="AU602" s="685">
        <f t="shared" si="556"/>
        <v>0.64932186608345832</v>
      </c>
      <c r="AV602" s="276">
        <f t="shared" si="557"/>
        <v>0.99675335435281442</v>
      </c>
      <c r="AW602" s="276">
        <f t="shared" si="558"/>
        <v>1.302521482549676</v>
      </c>
      <c r="AX602" s="276">
        <f t="shared" si="559"/>
        <v>0.64027802544336132</v>
      </c>
      <c r="AY602" s="276">
        <f t="shared" si="560"/>
        <v>1.0360714120465981</v>
      </c>
      <c r="AZ602" s="686">
        <f t="shared" si="561"/>
        <v>1.8838704870912941</v>
      </c>
      <c r="BA602" s="685">
        <f t="shared" si="562"/>
        <v>0</v>
      </c>
      <c r="BB602" s="276">
        <f t="shared" si="563"/>
        <v>0</v>
      </c>
      <c r="BC602" s="276">
        <f t="shared" si="564"/>
        <v>0</v>
      </c>
      <c r="BD602" s="276">
        <f t="shared" si="565"/>
        <v>0</v>
      </c>
      <c r="BE602" s="276">
        <f t="shared" si="566"/>
        <v>0</v>
      </c>
      <c r="BF602" s="686">
        <f t="shared" si="567"/>
        <v>0</v>
      </c>
      <c r="BG602" s="685" t="e">
        <f t="shared" si="568"/>
        <v>#DIV/0!</v>
      </c>
      <c r="BH602" s="276" t="e">
        <f t="shared" si="569"/>
        <v>#DIV/0!</v>
      </c>
      <c r="BI602" s="276" t="e">
        <f t="shared" si="570"/>
        <v>#DIV/0!</v>
      </c>
      <c r="BJ602" s="276" t="e">
        <f t="shared" si="571"/>
        <v>#DIV/0!</v>
      </c>
      <c r="BK602" s="276" t="e">
        <f t="shared" si="572"/>
        <v>#DIV/0!</v>
      </c>
      <c r="BL602" s="686" t="e">
        <f t="shared" si="573"/>
        <v>#DIV/0!</v>
      </c>
      <c r="BM602" s="239"/>
      <c r="BN602" s="965" t="e">
        <f t="shared" si="574"/>
        <v>#VALUE!</v>
      </c>
      <c r="BO602" s="878" t="e">
        <f t="shared" si="575"/>
        <v>#VALUE!</v>
      </c>
      <c r="BP602" s="878" t="e">
        <f t="shared" si="576"/>
        <v>#VALUE!</v>
      </c>
      <c r="BQ602" s="878" t="e">
        <f t="shared" si="577"/>
        <v>#VALUE!</v>
      </c>
      <c r="BR602" s="878" t="e">
        <f t="shared" si="578"/>
        <v>#VALUE!</v>
      </c>
      <c r="BS602" s="966" t="e">
        <f t="shared" si="579"/>
        <v>#VALUE!</v>
      </c>
    </row>
    <row r="603" spans="1:71">
      <c r="A603" s="284">
        <f t="shared" si="580"/>
        <v>535</v>
      </c>
      <c r="B603" s="285">
        <v>-0.35473741322607688</v>
      </c>
      <c r="C603" s="285">
        <v>2.1927553765202519</v>
      </c>
      <c r="D603" s="285">
        <v>-0.94347455191047835</v>
      </c>
      <c r="E603" s="285">
        <v>-13.540955697465598</v>
      </c>
      <c r="H603" s="685">
        <f t="shared" si="526"/>
        <v>-1.4879712549951316</v>
      </c>
      <c r="I603" s="276">
        <f t="shared" si="527"/>
        <v>2.9868074387000307</v>
      </c>
      <c r="J603" s="276">
        <f t="shared" si="528"/>
        <v>1.5969180569515375</v>
      </c>
      <c r="K603" s="276">
        <f t="shared" si="529"/>
        <v>-1.6356169761314745</v>
      </c>
      <c r="L603" s="276">
        <f t="shared" si="530"/>
        <v>1.6603286307314551</v>
      </c>
      <c r="M603" s="276">
        <f t="shared" si="531"/>
        <v>-4.057410393978186</v>
      </c>
      <c r="N603" s="685">
        <f t="shared" si="532"/>
        <v>0.98558416554838346</v>
      </c>
      <c r="O603" s="276">
        <f t="shared" si="533"/>
        <v>1.2386759070221414</v>
      </c>
      <c r="P603" s="276">
        <f t="shared" si="534"/>
        <v>1.9658578910804632</v>
      </c>
      <c r="Q603" s="276">
        <f t="shared" si="535"/>
        <v>2.0331588119583062</v>
      </c>
      <c r="R603" s="276">
        <f t="shared" si="536"/>
        <v>1.9330215095377781</v>
      </c>
      <c r="S603" s="686">
        <f t="shared" si="537"/>
        <v>1.4602291177857423</v>
      </c>
      <c r="T603" s="685">
        <f t="shared" si="538"/>
        <v>2.3348891383604475</v>
      </c>
      <c r="U603" s="276">
        <f t="shared" si="539"/>
        <v>5.6928890830681764</v>
      </c>
      <c r="V603" s="276">
        <f t="shared" si="540"/>
        <v>3.4294040568031758</v>
      </c>
      <c r="W603" s="276">
        <f t="shared" si="541"/>
        <v>2.7380465774118186</v>
      </c>
      <c r="X603" s="276">
        <f t="shared" si="542"/>
        <v>5.7515078859495583</v>
      </c>
      <c r="Y603" s="686">
        <f t="shared" si="543"/>
        <v>3.2406291980592083</v>
      </c>
      <c r="Z603" s="685" t="e">
        <f t="shared" si="544"/>
        <v>#DIV/0!</v>
      </c>
      <c r="AA603" s="276" t="e">
        <f t="shared" si="545"/>
        <v>#DIV/0!</v>
      </c>
      <c r="AB603" s="276" t="e">
        <f t="shared" si="546"/>
        <v>#DIV/0!</v>
      </c>
      <c r="AC603" s="276" t="e">
        <f t="shared" si="547"/>
        <v>#DIV/0!</v>
      </c>
      <c r="AD603" s="276" t="e">
        <f t="shared" si="548"/>
        <v>#DIV/0!</v>
      </c>
      <c r="AE603" s="686" t="e">
        <f t="shared" si="549"/>
        <v>#DIV/0!</v>
      </c>
      <c r="AF603" s="239"/>
      <c r="AG603" s="965" t="e">
        <f t="shared" si="520"/>
        <v>#VALUE!</v>
      </c>
      <c r="AH603" s="878" t="e">
        <f t="shared" si="521"/>
        <v>#VALUE!</v>
      </c>
      <c r="AI603" s="878" t="e">
        <f t="shared" si="522"/>
        <v>#VALUE!</v>
      </c>
      <c r="AJ603" s="878" t="e">
        <f t="shared" si="523"/>
        <v>#VALUE!</v>
      </c>
      <c r="AK603" s="878" t="e">
        <f t="shared" si="524"/>
        <v>#VALUE!</v>
      </c>
      <c r="AL603" s="966" t="e">
        <f t="shared" si="525"/>
        <v>#VALUE!</v>
      </c>
      <c r="AM603" s="239"/>
      <c r="AO603" s="685">
        <f t="shared" si="550"/>
        <v>-1.4879712549951316</v>
      </c>
      <c r="AP603" s="276">
        <f t="shared" si="551"/>
        <v>2.9868074387000307</v>
      </c>
      <c r="AQ603" s="276">
        <f t="shared" si="552"/>
        <v>1.5969180569515375</v>
      </c>
      <c r="AR603" s="276">
        <f t="shared" si="553"/>
        <v>-1.6356169761314745</v>
      </c>
      <c r="AS603" s="276">
        <f t="shared" si="554"/>
        <v>1.6603286307314551</v>
      </c>
      <c r="AT603" s="276">
        <f t="shared" si="555"/>
        <v>-4.057410393978186</v>
      </c>
      <c r="AU603" s="685">
        <f t="shared" si="556"/>
        <v>0.98558416554838346</v>
      </c>
      <c r="AV603" s="276">
        <f t="shared" si="557"/>
        <v>1.2386759070221414</v>
      </c>
      <c r="AW603" s="276">
        <f t="shared" si="558"/>
        <v>1.9658578910804632</v>
      </c>
      <c r="AX603" s="276">
        <f t="shared" si="559"/>
        <v>2.0331588119583062</v>
      </c>
      <c r="AY603" s="276">
        <f t="shared" si="560"/>
        <v>1.9330215095377781</v>
      </c>
      <c r="AZ603" s="686">
        <f t="shared" si="561"/>
        <v>1.4602291177857423</v>
      </c>
      <c r="BA603" s="685">
        <f t="shared" si="562"/>
        <v>0</v>
      </c>
      <c r="BB603" s="276">
        <f t="shared" si="563"/>
        <v>0</v>
      </c>
      <c r="BC603" s="276">
        <f t="shared" si="564"/>
        <v>0</v>
      </c>
      <c r="BD603" s="276">
        <f t="shared" si="565"/>
        <v>0</v>
      </c>
      <c r="BE603" s="276">
        <f t="shared" si="566"/>
        <v>0</v>
      </c>
      <c r="BF603" s="686">
        <f t="shared" si="567"/>
        <v>0</v>
      </c>
      <c r="BG603" s="685" t="e">
        <f t="shared" si="568"/>
        <v>#DIV/0!</v>
      </c>
      <c r="BH603" s="276" t="e">
        <f t="shared" si="569"/>
        <v>#DIV/0!</v>
      </c>
      <c r="BI603" s="276" t="e">
        <f t="shared" si="570"/>
        <v>#DIV/0!</v>
      </c>
      <c r="BJ603" s="276" t="e">
        <f t="shared" si="571"/>
        <v>#DIV/0!</v>
      </c>
      <c r="BK603" s="276" t="e">
        <f t="shared" si="572"/>
        <v>#DIV/0!</v>
      </c>
      <c r="BL603" s="686" t="e">
        <f t="shared" si="573"/>
        <v>#DIV/0!</v>
      </c>
      <c r="BM603" s="239"/>
      <c r="BN603" s="965" t="e">
        <f t="shared" si="574"/>
        <v>#VALUE!</v>
      </c>
      <c r="BO603" s="878" t="e">
        <f t="shared" si="575"/>
        <v>#VALUE!</v>
      </c>
      <c r="BP603" s="878" t="e">
        <f t="shared" si="576"/>
        <v>#VALUE!</v>
      </c>
      <c r="BQ603" s="878" t="e">
        <f t="shared" si="577"/>
        <v>#VALUE!</v>
      </c>
      <c r="BR603" s="878" t="e">
        <f t="shared" si="578"/>
        <v>#VALUE!</v>
      </c>
      <c r="BS603" s="966" t="e">
        <f t="shared" si="579"/>
        <v>#VALUE!</v>
      </c>
    </row>
    <row r="604" spans="1:71">
      <c r="A604" s="284">
        <f t="shared" si="580"/>
        <v>536</v>
      </c>
      <c r="B604" s="285">
        <v>-0.21731716505851889</v>
      </c>
      <c r="C604" s="285">
        <v>1.8749874591320705</v>
      </c>
      <c r="D604" s="285">
        <v>1.4010519861341695</v>
      </c>
      <c r="E604" s="285">
        <v>-12.406800175306692</v>
      </c>
      <c r="H604" s="685">
        <f t="shared" si="526"/>
        <v>-1.3505510068275737</v>
      </c>
      <c r="I604" s="276">
        <f t="shared" si="527"/>
        <v>1.000171241974668</v>
      </c>
      <c r="J604" s="276">
        <f t="shared" si="528"/>
        <v>-4.4531267052203241</v>
      </c>
      <c r="K604" s="276">
        <f t="shared" si="529"/>
        <v>-2.2223861037585104</v>
      </c>
      <c r="L604" s="276">
        <f t="shared" si="530"/>
        <v>-3.9108760615907991</v>
      </c>
      <c r="M604" s="276">
        <f t="shared" si="531"/>
        <v>-1.7510831692560309</v>
      </c>
      <c r="N604" s="685">
        <f t="shared" si="532"/>
        <v>0.66781624816020213</v>
      </c>
      <c r="O604" s="276">
        <f t="shared" si="533"/>
        <v>1.5523597167806484</v>
      </c>
      <c r="P604" s="276">
        <f t="shared" si="534"/>
        <v>0.84232074550766067</v>
      </c>
      <c r="Q604" s="276">
        <f t="shared" si="535"/>
        <v>1.0275969416165445</v>
      </c>
      <c r="R604" s="276">
        <f t="shared" si="536"/>
        <v>1.5807279597815713</v>
      </c>
      <c r="S604" s="686">
        <f t="shared" si="537"/>
        <v>0.75131376501771641</v>
      </c>
      <c r="T604" s="685">
        <f t="shared" si="538"/>
        <v>4.6794156764050951</v>
      </c>
      <c r="U604" s="276">
        <f t="shared" si="539"/>
        <v>5.3967982860227544</v>
      </c>
      <c r="V604" s="276">
        <f t="shared" si="540"/>
        <v>3.5862494687877531</v>
      </c>
      <c r="W604" s="276">
        <f t="shared" si="541"/>
        <v>3.8987364452644844</v>
      </c>
      <c r="X604" s="276">
        <f t="shared" si="542"/>
        <v>4.6163238725084117</v>
      </c>
      <c r="Y604" s="686">
        <f t="shared" si="543"/>
        <v>4.4262821479192125</v>
      </c>
      <c r="Z604" s="685" t="e">
        <f t="shared" si="544"/>
        <v>#DIV/0!</v>
      </c>
      <c r="AA604" s="276" t="e">
        <f t="shared" si="545"/>
        <v>#DIV/0!</v>
      </c>
      <c r="AB604" s="276" t="e">
        <f t="shared" si="546"/>
        <v>#DIV/0!</v>
      </c>
      <c r="AC604" s="276" t="e">
        <f t="shared" si="547"/>
        <v>#DIV/0!</v>
      </c>
      <c r="AD604" s="276" t="e">
        <f t="shared" si="548"/>
        <v>#DIV/0!</v>
      </c>
      <c r="AE604" s="686" t="e">
        <f t="shared" si="549"/>
        <v>#DIV/0!</v>
      </c>
      <c r="AF604" s="239"/>
      <c r="AG604" s="965" t="e">
        <f t="shared" si="520"/>
        <v>#VALUE!</v>
      </c>
      <c r="AH604" s="878" t="e">
        <f t="shared" si="521"/>
        <v>#VALUE!</v>
      </c>
      <c r="AI604" s="878" t="e">
        <f t="shared" si="522"/>
        <v>#VALUE!</v>
      </c>
      <c r="AJ604" s="878" t="e">
        <f t="shared" si="523"/>
        <v>#VALUE!</v>
      </c>
      <c r="AK604" s="878" t="e">
        <f t="shared" si="524"/>
        <v>#VALUE!</v>
      </c>
      <c r="AL604" s="966" t="e">
        <f t="shared" si="525"/>
        <v>#VALUE!</v>
      </c>
      <c r="AM604" s="239"/>
      <c r="AO604" s="685">
        <f t="shared" si="550"/>
        <v>-1.3505510068275737</v>
      </c>
      <c r="AP604" s="276">
        <f t="shared" si="551"/>
        <v>1.000171241974668</v>
      </c>
      <c r="AQ604" s="276">
        <f t="shared" si="552"/>
        <v>-4.4531267052203241</v>
      </c>
      <c r="AR604" s="276">
        <f t="shared" si="553"/>
        <v>-2.2223861037585104</v>
      </c>
      <c r="AS604" s="276">
        <f t="shared" si="554"/>
        <v>-3.9108760615907991</v>
      </c>
      <c r="AT604" s="276">
        <f t="shared" si="555"/>
        <v>-1.7510831692560309</v>
      </c>
      <c r="AU604" s="685">
        <f t="shared" si="556"/>
        <v>0.66781624816020213</v>
      </c>
      <c r="AV604" s="276">
        <f t="shared" si="557"/>
        <v>1.5523597167806484</v>
      </c>
      <c r="AW604" s="276">
        <f t="shared" si="558"/>
        <v>0.84232074550766067</v>
      </c>
      <c r="AX604" s="276">
        <f t="shared" si="559"/>
        <v>1.0275969416165445</v>
      </c>
      <c r="AY604" s="276">
        <f t="shared" si="560"/>
        <v>1.5807279597815713</v>
      </c>
      <c r="AZ604" s="686">
        <f t="shared" si="561"/>
        <v>0.75131376501771641</v>
      </c>
      <c r="BA604" s="685">
        <f t="shared" si="562"/>
        <v>0</v>
      </c>
      <c r="BB604" s="276">
        <f t="shared" si="563"/>
        <v>0</v>
      </c>
      <c r="BC604" s="276">
        <f t="shared" si="564"/>
        <v>0</v>
      </c>
      <c r="BD604" s="276">
        <f t="shared" si="565"/>
        <v>0</v>
      </c>
      <c r="BE604" s="276">
        <f t="shared" si="566"/>
        <v>0</v>
      </c>
      <c r="BF604" s="686">
        <f t="shared" si="567"/>
        <v>0</v>
      </c>
      <c r="BG604" s="685" t="e">
        <f t="shared" si="568"/>
        <v>#DIV/0!</v>
      </c>
      <c r="BH604" s="276" t="e">
        <f t="shared" si="569"/>
        <v>#DIV/0!</v>
      </c>
      <c r="BI604" s="276" t="e">
        <f t="shared" si="570"/>
        <v>#DIV/0!</v>
      </c>
      <c r="BJ604" s="276" t="e">
        <f t="shared" si="571"/>
        <v>#DIV/0!</v>
      </c>
      <c r="BK604" s="276" t="e">
        <f t="shared" si="572"/>
        <v>#DIV/0!</v>
      </c>
      <c r="BL604" s="686" t="e">
        <f t="shared" si="573"/>
        <v>#DIV/0!</v>
      </c>
      <c r="BM604" s="239"/>
      <c r="BN604" s="965" t="e">
        <f t="shared" si="574"/>
        <v>#VALUE!</v>
      </c>
      <c r="BO604" s="878" t="e">
        <f t="shared" si="575"/>
        <v>#VALUE!</v>
      </c>
      <c r="BP604" s="878" t="e">
        <f t="shared" si="576"/>
        <v>#VALUE!</v>
      </c>
      <c r="BQ604" s="878" t="e">
        <f t="shared" si="577"/>
        <v>#VALUE!</v>
      </c>
      <c r="BR604" s="878" t="e">
        <f t="shared" si="578"/>
        <v>#VALUE!</v>
      </c>
      <c r="BS604" s="966" t="e">
        <f t="shared" si="579"/>
        <v>#VALUE!</v>
      </c>
    </row>
    <row r="605" spans="1:71">
      <c r="A605" s="284">
        <f t="shared" si="580"/>
        <v>537</v>
      </c>
      <c r="B605" s="285">
        <v>-3.4020928756432909</v>
      </c>
      <c r="C605" s="285">
        <v>1.624988294493352</v>
      </c>
      <c r="D605" s="285">
        <v>0.4643299332977846</v>
      </c>
      <c r="E605" s="285">
        <v>-18.008724985144518</v>
      </c>
      <c r="H605" s="685">
        <f t="shared" si="526"/>
        <v>-4.5353267174123459</v>
      </c>
      <c r="I605" s="276">
        <f t="shared" si="527"/>
        <v>1.2119745377671245</v>
      </c>
      <c r="J605" s="276">
        <f t="shared" si="528"/>
        <v>-7.0902222238893806</v>
      </c>
      <c r="K605" s="276">
        <f t="shared" si="529"/>
        <v>0.49909419991810844</v>
      </c>
      <c r="L605" s="276">
        <f t="shared" si="530"/>
        <v>3.483634922308787E-2</v>
      </c>
      <c r="M605" s="276">
        <f t="shared" si="531"/>
        <v>4.3577857656572849E-2</v>
      </c>
      <c r="N605" s="685">
        <f t="shared" si="532"/>
        <v>0.41781708352148361</v>
      </c>
      <c r="O605" s="276">
        <f t="shared" si="533"/>
        <v>1.3405742087177226</v>
      </c>
      <c r="P605" s="276">
        <f t="shared" si="534"/>
        <v>1.1837747425099729</v>
      </c>
      <c r="Q605" s="276">
        <f t="shared" si="535"/>
        <v>0.58940152211789987</v>
      </c>
      <c r="R605" s="276">
        <f t="shared" si="536"/>
        <v>1.3775979939368324</v>
      </c>
      <c r="S605" s="686">
        <f t="shared" si="537"/>
        <v>1.8901554715724591</v>
      </c>
      <c r="T605" s="685">
        <f t="shared" si="538"/>
        <v>3.7426936235687105</v>
      </c>
      <c r="U605" s="276">
        <f t="shared" si="539"/>
        <v>4.6979479955050119</v>
      </c>
      <c r="V605" s="276">
        <f t="shared" si="540"/>
        <v>1.7542629332416424</v>
      </c>
      <c r="W605" s="276">
        <f t="shared" si="541"/>
        <v>4.9838058935809357</v>
      </c>
      <c r="X605" s="276">
        <f t="shared" si="542"/>
        <v>7.0664863017927768</v>
      </c>
      <c r="Y605" s="686">
        <f t="shared" si="543"/>
        <v>4.8993876875623785</v>
      </c>
      <c r="Z605" s="685" t="e">
        <f t="shared" si="544"/>
        <v>#DIV/0!</v>
      </c>
      <c r="AA605" s="276" t="e">
        <f t="shared" si="545"/>
        <v>#DIV/0!</v>
      </c>
      <c r="AB605" s="276" t="e">
        <f t="shared" si="546"/>
        <v>#DIV/0!</v>
      </c>
      <c r="AC605" s="276" t="e">
        <f t="shared" si="547"/>
        <v>#DIV/0!</v>
      </c>
      <c r="AD605" s="276" t="e">
        <f t="shared" si="548"/>
        <v>#DIV/0!</v>
      </c>
      <c r="AE605" s="686" t="e">
        <f t="shared" si="549"/>
        <v>#DIV/0!</v>
      </c>
      <c r="AF605" s="239"/>
      <c r="AG605" s="965" t="e">
        <f t="shared" si="520"/>
        <v>#VALUE!</v>
      </c>
      <c r="AH605" s="878" t="e">
        <f t="shared" si="521"/>
        <v>#VALUE!</v>
      </c>
      <c r="AI605" s="878" t="e">
        <f t="shared" si="522"/>
        <v>#VALUE!</v>
      </c>
      <c r="AJ605" s="878" t="e">
        <f t="shared" si="523"/>
        <v>#VALUE!</v>
      </c>
      <c r="AK605" s="878" t="e">
        <f t="shared" si="524"/>
        <v>#VALUE!</v>
      </c>
      <c r="AL605" s="966" t="e">
        <f t="shared" si="525"/>
        <v>#VALUE!</v>
      </c>
      <c r="AM605" s="239"/>
      <c r="AO605" s="685">
        <f t="shared" si="550"/>
        <v>-4.5353267174123459</v>
      </c>
      <c r="AP605" s="276">
        <f t="shared" si="551"/>
        <v>1.2119745377671245</v>
      </c>
      <c r="AQ605" s="276">
        <f t="shared" si="552"/>
        <v>-7.0902222238893806</v>
      </c>
      <c r="AR605" s="276">
        <f t="shared" si="553"/>
        <v>0.49909419991810844</v>
      </c>
      <c r="AS605" s="276">
        <f t="shared" si="554"/>
        <v>3.483634922308787E-2</v>
      </c>
      <c r="AT605" s="276">
        <f t="shared" si="555"/>
        <v>4.3577857656572849E-2</v>
      </c>
      <c r="AU605" s="685">
        <f t="shared" si="556"/>
        <v>0.41781708352148361</v>
      </c>
      <c r="AV605" s="276">
        <f t="shared" si="557"/>
        <v>1.3405742087177226</v>
      </c>
      <c r="AW605" s="276">
        <f t="shared" si="558"/>
        <v>1.1837747425099729</v>
      </c>
      <c r="AX605" s="276">
        <f t="shared" si="559"/>
        <v>0.58940152211789987</v>
      </c>
      <c r="AY605" s="276">
        <f t="shared" si="560"/>
        <v>1.3775979939368324</v>
      </c>
      <c r="AZ605" s="686">
        <f t="shared" si="561"/>
        <v>1.8901554715724591</v>
      </c>
      <c r="BA605" s="685">
        <f t="shared" si="562"/>
        <v>0</v>
      </c>
      <c r="BB605" s="276">
        <f t="shared" si="563"/>
        <v>0</v>
      </c>
      <c r="BC605" s="276">
        <f t="shared" si="564"/>
        <v>0</v>
      </c>
      <c r="BD605" s="276">
        <f t="shared" si="565"/>
        <v>0</v>
      </c>
      <c r="BE605" s="276">
        <f t="shared" si="566"/>
        <v>0</v>
      </c>
      <c r="BF605" s="686">
        <f t="shared" si="567"/>
        <v>0</v>
      </c>
      <c r="BG605" s="685" t="e">
        <f t="shared" si="568"/>
        <v>#DIV/0!</v>
      </c>
      <c r="BH605" s="276" t="e">
        <f t="shared" si="569"/>
        <v>#DIV/0!</v>
      </c>
      <c r="BI605" s="276" t="e">
        <f t="shared" si="570"/>
        <v>#DIV/0!</v>
      </c>
      <c r="BJ605" s="276" t="e">
        <f t="shared" si="571"/>
        <v>#DIV/0!</v>
      </c>
      <c r="BK605" s="276" t="e">
        <f t="shared" si="572"/>
        <v>#DIV/0!</v>
      </c>
      <c r="BL605" s="686" t="e">
        <f t="shared" si="573"/>
        <v>#DIV/0!</v>
      </c>
      <c r="BM605" s="239"/>
      <c r="BN605" s="965" t="e">
        <f t="shared" si="574"/>
        <v>#VALUE!</v>
      </c>
      <c r="BO605" s="878" t="e">
        <f t="shared" si="575"/>
        <v>#VALUE!</v>
      </c>
      <c r="BP605" s="878" t="e">
        <f t="shared" si="576"/>
        <v>#VALUE!</v>
      </c>
      <c r="BQ605" s="878" t="e">
        <f t="shared" si="577"/>
        <v>#VALUE!</v>
      </c>
      <c r="BR605" s="878" t="e">
        <f t="shared" si="578"/>
        <v>#VALUE!</v>
      </c>
      <c r="BS605" s="966" t="e">
        <f t="shared" si="579"/>
        <v>#VALUE!</v>
      </c>
    </row>
    <row r="606" spans="1:71">
      <c r="A606" s="284">
        <f t="shared" si="580"/>
        <v>538</v>
      </c>
      <c r="B606" s="285">
        <v>-0.8676727911721599</v>
      </c>
      <c r="C606" s="285">
        <v>2.3912208462188058</v>
      </c>
      <c r="D606" s="285">
        <v>-0.22169786471234354</v>
      </c>
      <c r="E606" s="285">
        <v>-14.564845152934783</v>
      </c>
      <c r="H606" s="685">
        <f t="shared" si="526"/>
        <v>-2.0009066329412146</v>
      </c>
      <c r="I606" s="276">
        <f t="shared" si="527"/>
        <v>1.1411723572645422</v>
      </c>
      <c r="J606" s="276">
        <f t="shared" si="528"/>
        <v>-0.19769908760399402</v>
      </c>
      <c r="K606" s="276">
        <f t="shared" si="529"/>
        <v>-1.4763187238224134</v>
      </c>
      <c r="L606" s="276">
        <f t="shared" si="530"/>
        <v>-0.34325908937279981</v>
      </c>
      <c r="M606" s="276">
        <f t="shared" si="531"/>
        <v>-0.59035968009317352</v>
      </c>
      <c r="N606" s="685">
        <f t="shared" si="532"/>
        <v>1.1840496352469374</v>
      </c>
      <c r="O606" s="276">
        <f t="shared" si="533"/>
        <v>1.5876156873292666</v>
      </c>
      <c r="P606" s="276">
        <f t="shared" si="534"/>
        <v>1.1164865639152686</v>
      </c>
      <c r="Q606" s="276">
        <f t="shared" si="535"/>
        <v>1.7215072563666285</v>
      </c>
      <c r="R606" s="276">
        <f t="shared" si="536"/>
        <v>1.3635015312034351</v>
      </c>
      <c r="S606" s="686">
        <f t="shared" si="537"/>
        <v>1.6038004758182061</v>
      </c>
      <c r="T606" s="685">
        <f t="shared" si="538"/>
        <v>3.0566658255585821</v>
      </c>
      <c r="U606" s="276">
        <f t="shared" si="539"/>
        <v>3.3821523254601358</v>
      </c>
      <c r="V606" s="276">
        <f t="shared" si="540"/>
        <v>4.0668296229753835</v>
      </c>
      <c r="W606" s="276">
        <f t="shared" si="541"/>
        <v>6.1515025057046646</v>
      </c>
      <c r="X606" s="276">
        <f t="shared" si="542"/>
        <v>6.0100947653996339</v>
      </c>
      <c r="Y606" s="686">
        <f t="shared" si="543"/>
        <v>4.7406103978056819</v>
      </c>
      <c r="Z606" s="685" t="e">
        <f t="shared" si="544"/>
        <v>#DIV/0!</v>
      </c>
      <c r="AA606" s="276" t="e">
        <f t="shared" si="545"/>
        <v>#DIV/0!</v>
      </c>
      <c r="AB606" s="276" t="e">
        <f t="shared" si="546"/>
        <v>#DIV/0!</v>
      </c>
      <c r="AC606" s="276" t="e">
        <f t="shared" si="547"/>
        <v>#DIV/0!</v>
      </c>
      <c r="AD606" s="276" t="e">
        <f t="shared" si="548"/>
        <v>#DIV/0!</v>
      </c>
      <c r="AE606" s="686" t="e">
        <f t="shared" si="549"/>
        <v>#DIV/0!</v>
      </c>
      <c r="AF606" s="239"/>
      <c r="AG606" s="965" t="e">
        <f t="shared" si="520"/>
        <v>#VALUE!</v>
      </c>
      <c r="AH606" s="878" t="e">
        <f t="shared" si="521"/>
        <v>#VALUE!</v>
      </c>
      <c r="AI606" s="878" t="e">
        <f t="shared" si="522"/>
        <v>#VALUE!</v>
      </c>
      <c r="AJ606" s="878" t="e">
        <f t="shared" si="523"/>
        <v>#VALUE!</v>
      </c>
      <c r="AK606" s="878" t="e">
        <f t="shared" si="524"/>
        <v>#VALUE!</v>
      </c>
      <c r="AL606" s="966" t="e">
        <f t="shared" si="525"/>
        <v>#VALUE!</v>
      </c>
      <c r="AM606" s="239"/>
      <c r="AO606" s="685">
        <f t="shared" si="550"/>
        <v>-2.0009066329412146</v>
      </c>
      <c r="AP606" s="276">
        <f t="shared" si="551"/>
        <v>1.1411723572645422</v>
      </c>
      <c r="AQ606" s="276">
        <f t="shared" si="552"/>
        <v>-0.19769908760399402</v>
      </c>
      <c r="AR606" s="276">
        <f t="shared" si="553"/>
        <v>-1.4763187238224134</v>
      </c>
      <c r="AS606" s="276">
        <f t="shared" si="554"/>
        <v>-0.34325908937279981</v>
      </c>
      <c r="AT606" s="276">
        <f t="shared" si="555"/>
        <v>-0.59035968009317352</v>
      </c>
      <c r="AU606" s="685">
        <f t="shared" si="556"/>
        <v>1.1840496352469374</v>
      </c>
      <c r="AV606" s="276">
        <f t="shared" si="557"/>
        <v>1.5876156873292666</v>
      </c>
      <c r="AW606" s="276">
        <f t="shared" si="558"/>
        <v>1.1164865639152686</v>
      </c>
      <c r="AX606" s="276">
        <f t="shared" si="559"/>
        <v>1.7215072563666285</v>
      </c>
      <c r="AY606" s="276">
        <f t="shared" si="560"/>
        <v>1.3635015312034351</v>
      </c>
      <c r="AZ606" s="686">
        <f t="shared" si="561"/>
        <v>1.6038004758182061</v>
      </c>
      <c r="BA606" s="685">
        <f t="shared" si="562"/>
        <v>0</v>
      </c>
      <c r="BB606" s="276">
        <f t="shared" si="563"/>
        <v>0</v>
      </c>
      <c r="BC606" s="276">
        <f t="shared" si="564"/>
        <v>0</v>
      </c>
      <c r="BD606" s="276">
        <f t="shared" si="565"/>
        <v>0</v>
      </c>
      <c r="BE606" s="276">
        <f t="shared" si="566"/>
        <v>0</v>
      </c>
      <c r="BF606" s="686">
        <f t="shared" si="567"/>
        <v>0</v>
      </c>
      <c r="BG606" s="685" t="e">
        <f t="shared" si="568"/>
        <v>#DIV/0!</v>
      </c>
      <c r="BH606" s="276" t="e">
        <f t="shared" si="569"/>
        <v>#DIV/0!</v>
      </c>
      <c r="BI606" s="276" t="e">
        <f t="shared" si="570"/>
        <v>#DIV/0!</v>
      </c>
      <c r="BJ606" s="276" t="e">
        <f t="shared" si="571"/>
        <v>#DIV/0!</v>
      </c>
      <c r="BK606" s="276" t="e">
        <f t="shared" si="572"/>
        <v>#DIV/0!</v>
      </c>
      <c r="BL606" s="686" t="e">
        <f t="shared" si="573"/>
        <v>#DIV/0!</v>
      </c>
      <c r="BM606" s="239"/>
      <c r="BN606" s="965" t="e">
        <f t="shared" si="574"/>
        <v>#VALUE!</v>
      </c>
      <c r="BO606" s="878" t="e">
        <f t="shared" si="575"/>
        <v>#VALUE!</v>
      </c>
      <c r="BP606" s="878" t="e">
        <f t="shared" si="576"/>
        <v>#VALUE!</v>
      </c>
      <c r="BQ606" s="878" t="e">
        <f t="shared" si="577"/>
        <v>#VALUE!</v>
      </c>
      <c r="BR606" s="878" t="e">
        <f t="shared" si="578"/>
        <v>#VALUE!</v>
      </c>
      <c r="BS606" s="966" t="e">
        <f t="shared" si="579"/>
        <v>#VALUE!</v>
      </c>
    </row>
    <row r="607" spans="1:71">
      <c r="A607" s="284">
        <f t="shared" si="580"/>
        <v>539</v>
      </c>
      <c r="B607" s="285">
        <v>3.034004204680472</v>
      </c>
      <c r="C607" s="285">
        <v>2.40281624770771</v>
      </c>
      <c r="D607" s="285">
        <v>1.8098771269743406</v>
      </c>
      <c r="E607" s="285">
        <v>-9.0112852374374803</v>
      </c>
      <c r="H607" s="685">
        <f t="shared" si="526"/>
        <v>1.9007703629114172</v>
      </c>
      <c r="I607" s="276">
        <f t="shared" si="527"/>
        <v>-1.4402181674569892</v>
      </c>
      <c r="J607" s="276">
        <f t="shared" si="528"/>
        <v>9.157148549229488E-2</v>
      </c>
      <c r="K607" s="276">
        <f t="shared" si="529"/>
        <v>-3.776869388713668</v>
      </c>
      <c r="L607" s="276">
        <f t="shared" si="530"/>
        <v>-2.7633574874360161</v>
      </c>
      <c r="M607" s="276">
        <f t="shared" si="531"/>
        <v>-2.836007272533672</v>
      </c>
      <c r="N607" s="685">
        <f t="shared" si="532"/>
        <v>1.1956450367358415</v>
      </c>
      <c r="O607" s="276">
        <f t="shared" si="533"/>
        <v>1.9698325905971188</v>
      </c>
      <c r="P607" s="276">
        <f t="shared" si="534"/>
        <v>1.1984611551325142</v>
      </c>
      <c r="Q607" s="276">
        <f t="shared" si="535"/>
        <v>1.5550820697214613</v>
      </c>
      <c r="R607" s="276">
        <f t="shared" si="536"/>
        <v>0.72915884155541111</v>
      </c>
      <c r="S607" s="686">
        <f t="shared" si="537"/>
        <v>1.402206833875155</v>
      </c>
      <c r="T607" s="685">
        <f t="shared" si="538"/>
        <v>5.088240817245266</v>
      </c>
      <c r="U607" s="276">
        <f t="shared" si="539"/>
        <v>4.3220656765825431</v>
      </c>
      <c r="V607" s="276">
        <f t="shared" si="540"/>
        <v>4.6699949343571019</v>
      </c>
      <c r="W607" s="276">
        <f t="shared" si="541"/>
        <v>1.0301727094196442</v>
      </c>
      <c r="X607" s="276">
        <f t="shared" si="542"/>
        <v>6.7015740429188186</v>
      </c>
      <c r="Y607" s="686">
        <f t="shared" si="543"/>
        <v>2.8884954018711269</v>
      </c>
      <c r="Z607" s="685" t="e">
        <f t="shared" si="544"/>
        <v>#DIV/0!</v>
      </c>
      <c r="AA607" s="276" t="e">
        <f t="shared" si="545"/>
        <v>#DIV/0!</v>
      </c>
      <c r="AB607" s="276" t="e">
        <f t="shared" si="546"/>
        <v>#DIV/0!</v>
      </c>
      <c r="AC607" s="276" t="e">
        <f t="shared" si="547"/>
        <v>#DIV/0!</v>
      </c>
      <c r="AD607" s="276" t="e">
        <f t="shared" si="548"/>
        <v>#DIV/0!</v>
      </c>
      <c r="AE607" s="686" t="e">
        <f t="shared" si="549"/>
        <v>#DIV/0!</v>
      </c>
      <c r="AF607" s="239"/>
      <c r="AG607" s="965" t="e">
        <f t="shared" si="520"/>
        <v>#VALUE!</v>
      </c>
      <c r="AH607" s="878" t="e">
        <f t="shared" si="521"/>
        <v>#VALUE!</v>
      </c>
      <c r="AI607" s="878" t="e">
        <f t="shared" si="522"/>
        <v>#VALUE!</v>
      </c>
      <c r="AJ607" s="878" t="e">
        <f t="shared" si="523"/>
        <v>#VALUE!</v>
      </c>
      <c r="AK607" s="878" t="e">
        <f t="shared" si="524"/>
        <v>#VALUE!</v>
      </c>
      <c r="AL607" s="966" t="e">
        <f t="shared" si="525"/>
        <v>#VALUE!</v>
      </c>
      <c r="AM607" s="239"/>
      <c r="AO607" s="685">
        <f t="shared" si="550"/>
        <v>1.9007703629114172</v>
      </c>
      <c r="AP607" s="276">
        <f t="shared" si="551"/>
        <v>-1.4402181674569892</v>
      </c>
      <c r="AQ607" s="276">
        <f t="shared" si="552"/>
        <v>9.157148549229488E-2</v>
      </c>
      <c r="AR607" s="276">
        <f t="shared" si="553"/>
        <v>-3.776869388713668</v>
      </c>
      <c r="AS607" s="276">
        <f t="shared" si="554"/>
        <v>-2.7633574874360161</v>
      </c>
      <c r="AT607" s="276">
        <f t="shared" si="555"/>
        <v>-2.836007272533672</v>
      </c>
      <c r="AU607" s="685">
        <f t="shared" si="556"/>
        <v>1.1956450367358415</v>
      </c>
      <c r="AV607" s="276">
        <f t="shared" si="557"/>
        <v>1.9698325905971188</v>
      </c>
      <c r="AW607" s="276">
        <f t="shared" si="558"/>
        <v>1.1984611551325142</v>
      </c>
      <c r="AX607" s="276">
        <f t="shared" si="559"/>
        <v>1.5550820697214613</v>
      </c>
      <c r="AY607" s="276">
        <f t="shared" si="560"/>
        <v>0.72915884155541111</v>
      </c>
      <c r="AZ607" s="686">
        <f t="shared" si="561"/>
        <v>1.402206833875155</v>
      </c>
      <c r="BA607" s="685">
        <f t="shared" si="562"/>
        <v>0</v>
      </c>
      <c r="BB607" s="276">
        <f t="shared" si="563"/>
        <v>0</v>
      </c>
      <c r="BC607" s="276">
        <f t="shared" si="564"/>
        <v>0</v>
      </c>
      <c r="BD607" s="276">
        <f t="shared" si="565"/>
        <v>0</v>
      </c>
      <c r="BE607" s="276">
        <f t="shared" si="566"/>
        <v>0</v>
      </c>
      <c r="BF607" s="686">
        <f t="shared" si="567"/>
        <v>0</v>
      </c>
      <c r="BG607" s="685" t="e">
        <f t="shared" si="568"/>
        <v>#DIV/0!</v>
      </c>
      <c r="BH607" s="276" t="e">
        <f t="shared" si="569"/>
        <v>#DIV/0!</v>
      </c>
      <c r="BI607" s="276" t="e">
        <f t="shared" si="570"/>
        <v>#DIV/0!</v>
      </c>
      <c r="BJ607" s="276" t="e">
        <f t="shared" si="571"/>
        <v>#DIV/0!</v>
      </c>
      <c r="BK607" s="276" t="e">
        <f t="shared" si="572"/>
        <v>#DIV/0!</v>
      </c>
      <c r="BL607" s="686" t="e">
        <f t="shared" si="573"/>
        <v>#DIV/0!</v>
      </c>
      <c r="BM607" s="239"/>
      <c r="BN607" s="965" t="e">
        <f t="shared" si="574"/>
        <v>#VALUE!</v>
      </c>
      <c r="BO607" s="878" t="e">
        <f t="shared" si="575"/>
        <v>#VALUE!</v>
      </c>
      <c r="BP607" s="878" t="e">
        <f t="shared" si="576"/>
        <v>#VALUE!</v>
      </c>
      <c r="BQ607" s="878" t="e">
        <f t="shared" si="577"/>
        <v>#VALUE!</v>
      </c>
      <c r="BR607" s="878" t="e">
        <f t="shared" si="578"/>
        <v>#VALUE!</v>
      </c>
      <c r="BS607" s="966" t="e">
        <f t="shared" si="579"/>
        <v>#VALUE!</v>
      </c>
    </row>
    <row r="608" spans="1:71">
      <c r="A608" s="284">
        <f t="shared" si="580"/>
        <v>540</v>
      </c>
      <c r="B608" s="285">
        <v>1.5815350962842183</v>
      </c>
      <c r="C608" s="285">
        <v>2.679756840011676</v>
      </c>
      <c r="D608" s="285">
        <v>0.71204905191129875</v>
      </c>
      <c r="E608" s="285">
        <v>-11.529909796699304</v>
      </c>
      <c r="H608" s="685">
        <f t="shared" si="526"/>
        <v>0.44830125451516345</v>
      </c>
      <c r="I608" s="276">
        <f t="shared" si="527"/>
        <v>-4.8769670428070819</v>
      </c>
      <c r="J608" s="276">
        <f t="shared" si="528"/>
        <v>-4.0101415338022779</v>
      </c>
      <c r="K608" s="276">
        <f t="shared" si="529"/>
        <v>0.34079549315213997</v>
      </c>
      <c r="L608" s="276">
        <f t="shared" si="530"/>
        <v>-2.0218598984901512</v>
      </c>
      <c r="M608" s="276">
        <f t="shared" si="531"/>
        <v>-4.5570282112028835</v>
      </c>
      <c r="N608" s="685">
        <f t="shared" si="532"/>
        <v>1.4725856290398076</v>
      </c>
      <c r="O608" s="276">
        <f t="shared" si="533"/>
        <v>0.47948531904980474</v>
      </c>
      <c r="P608" s="276">
        <f t="shared" si="534"/>
        <v>1.1571171938953462</v>
      </c>
      <c r="Q608" s="276">
        <f t="shared" si="535"/>
        <v>0.86186759345684139</v>
      </c>
      <c r="R608" s="276">
        <f t="shared" si="536"/>
        <v>0.56963782300618182</v>
      </c>
      <c r="S608" s="686">
        <f t="shared" si="537"/>
        <v>0.97756046356699922</v>
      </c>
      <c r="T608" s="685">
        <f t="shared" si="538"/>
        <v>3.9904127421822246</v>
      </c>
      <c r="U608" s="276">
        <f t="shared" si="539"/>
        <v>2.0949350254489283</v>
      </c>
      <c r="V608" s="276">
        <f t="shared" si="540"/>
        <v>4.1779788367037938</v>
      </c>
      <c r="W608" s="276">
        <f t="shared" si="541"/>
        <v>5.4893288646308633</v>
      </c>
      <c r="X608" s="276">
        <f t="shared" si="542"/>
        <v>1.9288079379729064</v>
      </c>
      <c r="Y608" s="686">
        <f t="shared" si="543"/>
        <v>2.9162149876403611</v>
      </c>
      <c r="Z608" s="685" t="e">
        <f t="shared" si="544"/>
        <v>#DIV/0!</v>
      </c>
      <c r="AA608" s="276" t="e">
        <f t="shared" si="545"/>
        <v>#DIV/0!</v>
      </c>
      <c r="AB608" s="276" t="e">
        <f t="shared" si="546"/>
        <v>#DIV/0!</v>
      </c>
      <c r="AC608" s="276" t="e">
        <f t="shared" si="547"/>
        <v>#DIV/0!</v>
      </c>
      <c r="AD608" s="276" t="e">
        <f t="shared" si="548"/>
        <v>#DIV/0!</v>
      </c>
      <c r="AE608" s="686" t="e">
        <f t="shared" si="549"/>
        <v>#DIV/0!</v>
      </c>
      <c r="AF608" s="239"/>
      <c r="AG608" s="965" t="e">
        <f t="shared" si="520"/>
        <v>#VALUE!</v>
      </c>
      <c r="AH608" s="878" t="e">
        <f t="shared" si="521"/>
        <v>#VALUE!</v>
      </c>
      <c r="AI608" s="878" t="e">
        <f t="shared" si="522"/>
        <v>#VALUE!</v>
      </c>
      <c r="AJ608" s="878" t="e">
        <f t="shared" si="523"/>
        <v>#VALUE!</v>
      </c>
      <c r="AK608" s="878" t="e">
        <f t="shared" si="524"/>
        <v>#VALUE!</v>
      </c>
      <c r="AL608" s="966" t="e">
        <f t="shared" si="525"/>
        <v>#VALUE!</v>
      </c>
      <c r="AM608" s="239"/>
      <c r="AO608" s="685">
        <f t="shared" si="550"/>
        <v>0.44830125451516345</v>
      </c>
      <c r="AP608" s="276">
        <f t="shared" si="551"/>
        <v>-4.8769670428070819</v>
      </c>
      <c r="AQ608" s="276">
        <f t="shared" si="552"/>
        <v>-4.0101415338022779</v>
      </c>
      <c r="AR608" s="276">
        <f t="shared" si="553"/>
        <v>0.34079549315213997</v>
      </c>
      <c r="AS608" s="276">
        <f t="shared" si="554"/>
        <v>-2.0218598984901512</v>
      </c>
      <c r="AT608" s="276">
        <f t="shared" si="555"/>
        <v>-4.5570282112028835</v>
      </c>
      <c r="AU608" s="685">
        <f t="shared" si="556"/>
        <v>1.4725856290398076</v>
      </c>
      <c r="AV608" s="276">
        <f t="shared" si="557"/>
        <v>0.47948531904980474</v>
      </c>
      <c r="AW608" s="276">
        <f t="shared" si="558"/>
        <v>1.1571171938953462</v>
      </c>
      <c r="AX608" s="276">
        <f t="shared" si="559"/>
        <v>0.86186759345684139</v>
      </c>
      <c r="AY608" s="276">
        <f t="shared" si="560"/>
        <v>0.56963782300618182</v>
      </c>
      <c r="AZ608" s="686">
        <f t="shared" si="561"/>
        <v>0.97756046356699922</v>
      </c>
      <c r="BA608" s="685">
        <f t="shared" si="562"/>
        <v>0</v>
      </c>
      <c r="BB608" s="276">
        <f t="shared" si="563"/>
        <v>0</v>
      </c>
      <c r="BC608" s="276">
        <f t="shared" si="564"/>
        <v>0</v>
      </c>
      <c r="BD608" s="276">
        <f t="shared" si="565"/>
        <v>0</v>
      </c>
      <c r="BE608" s="276">
        <f t="shared" si="566"/>
        <v>0</v>
      </c>
      <c r="BF608" s="686">
        <f t="shared" si="567"/>
        <v>0</v>
      </c>
      <c r="BG608" s="685" t="e">
        <f t="shared" si="568"/>
        <v>#DIV/0!</v>
      </c>
      <c r="BH608" s="276" t="e">
        <f t="shared" si="569"/>
        <v>#DIV/0!</v>
      </c>
      <c r="BI608" s="276" t="e">
        <f t="shared" si="570"/>
        <v>#DIV/0!</v>
      </c>
      <c r="BJ608" s="276" t="e">
        <f t="shared" si="571"/>
        <v>#DIV/0!</v>
      </c>
      <c r="BK608" s="276" t="e">
        <f t="shared" si="572"/>
        <v>#DIV/0!</v>
      </c>
      <c r="BL608" s="686" t="e">
        <f t="shared" si="573"/>
        <v>#DIV/0!</v>
      </c>
      <c r="BM608" s="239"/>
      <c r="BN608" s="965" t="e">
        <f t="shared" si="574"/>
        <v>#VALUE!</v>
      </c>
      <c r="BO608" s="878" t="e">
        <f t="shared" si="575"/>
        <v>#VALUE!</v>
      </c>
      <c r="BP608" s="878" t="e">
        <f t="shared" si="576"/>
        <v>#VALUE!</v>
      </c>
      <c r="BQ608" s="878" t="e">
        <f t="shared" si="577"/>
        <v>#VALUE!</v>
      </c>
      <c r="BR608" s="878" t="e">
        <f t="shared" si="578"/>
        <v>#VALUE!</v>
      </c>
      <c r="BS608" s="966" t="e">
        <f t="shared" si="579"/>
        <v>#VALUE!</v>
      </c>
    </row>
    <row r="609" spans="1:71">
      <c r="A609" s="284">
        <f t="shared" si="580"/>
        <v>541</v>
      </c>
      <c r="B609" s="285">
        <v>-1.522113697057895</v>
      </c>
      <c r="C609" s="285">
        <v>2.4264328012126835</v>
      </c>
      <c r="D609" s="285">
        <v>1.9805086036238291</v>
      </c>
      <c r="E609" s="285">
        <v>4.6540344287845858</v>
      </c>
      <c r="H609" s="685">
        <f t="shared" si="526"/>
        <v>-2.6553475388269501</v>
      </c>
      <c r="I609" s="276">
        <f t="shared" si="527"/>
        <v>-2.6819327252595615</v>
      </c>
      <c r="J609" s="276">
        <f t="shared" si="528"/>
        <v>-2.7002007235712222E-2</v>
      </c>
      <c r="K609" s="276">
        <f t="shared" si="529"/>
        <v>-2.7515883090236546</v>
      </c>
      <c r="L609" s="276">
        <f t="shared" si="530"/>
        <v>-1.5093603703470193</v>
      </c>
      <c r="M609" s="276">
        <f t="shared" si="531"/>
        <v>-3.0473153091530247</v>
      </c>
      <c r="N609" s="685">
        <f t="shared" si="532"/>
        <v>1.219261590240815</v>
      </c>
      <c r="O609" s="276">
        <f t="shared" si="533"/>
        <v>1.5161115721288578</v>
      </c>
      <c r="P609" s="276">
        <f t="shared" si="534"/>
        <v>1.1060399431666534</v>
      </c>
      <c r="Q609" s="276">
        <f t="shared" si="535"/>
        <v>1.1649090084635259</v>
      </c>
      <c r="R609" s="276">
        <f t="shared" si="536"/>
        <v>1.3468707401906823</v>
      </c>
      <c r="S609" s="686">
        <f t="shared" si="537"/>
        <v>1.1021626191096339</v>
      </c>
      <c r="T609" s="685">
        <f t="shared" si="538"/>
        <v>5.258872293894755</v>
      </c>
      <c r="U609" s="276">
        <f t="shared" si="539"/>
        <v>5.5870111351345013</v>
      </c>
      <c r="V609" s="276">
        <f t="shared" si="540"/>
        <v>4.0360827677519788</v>
      </c>
      <c r="W609" s="276">
        <f t="shared" si="541"/>
        <v>2.579368886063198</v>
      </c>
      <c r="X609" s="276">
        <f t="shared" si="542"/>
        <v>2.8443650842260437</v>
      </c>
      <c r="Y609" s="686">
        <f t="shared" si="543"/>
        <v>3.7462258653243419</v>
      </c>
      <c r="Z609" s="685" t="e">
        <f t="shared" si="544"/>
        <v>#DIV/0!</v>
      </c>
      <c r="AA609" s="276" t="e">
        <f t="shared" si="545"/>
        <v>#DIV/0!</v>
      </c>
      <c r="AB609" s="276" t="e">
        <f t="shared" si="546"/>
        <v>#DIV/0!</v>
      </c>
      <c r="AC609" s="276" t="e">
        <f t="shared" si="547"/>
        <v>#DIV/0!</v>
      </c>
      <c r="AD609" s="276" t="e">
        <f t="shared" si="548"/>
        <v>#DIV/0!</v>
      </c>
      <c r="AE609" s="686" t="e">
        <f t="shared" si="549"/>
        <v>#DIV/0!</v>
      </c>
      <c r="AF609" s="239"/>
      <c r="AG609" s="965" t="e">
        <f t="shared" si="520"/>
        <v>#VALUE!</v>
      </c>
      <c r="AH609" s="878" t="e">
        <f t="shared" si="521"/>
        <v>#VALUE!</v>
      </c>
      <c r="AI609" s="878" t="e">
        <f t="shared" si="522"/>
        <v>#VALUE!</v>
      </c>
      <c r="AJ609" s="878" t="e">
        <f t="shared" si="523"/>
        <v>#VALUE!</v>
      </c>
      <c r="AK609" s="878" t="e">
        <f t="shared" si="524"/>
        <v>#VALUE!</v>
      </c>
      <c r="AL609" s="966" t="e">
        <f t="shared" si="525"/>
        <v>#VALUE!</v>
      </c>
      <c r="AM609" s="239"/>
      <c r="AO609" s="685">
        <f t="shared" si="550"/>
        <v>-2.6553475388269501</v>
      </c>
      <c r="AP609" s="276">
        <f t="shared" si="551"/>
        <v>-2.6819327252595615</v>
      </c>
      <c r="AQ609" s="276">
        <f t="shared" si="552"/>
        <v>-2.7002007235712222E-2</v>
      </c>
      <c r="AR609" s="276">
        <f t="shared" si="553"/>
        <v>-2.7515883090236546</v>
      </c>
      <c r="AS609" s="276">
        <f t="shared" si="554"/>
        <v>-1.5093603703470193</v>
      </c>
      <c r="AT609" s="276">
        <f t="shared" si="555"/>
        <v>-3.0473153091530247</v>
      </c>
      <c r="AU609" s="685">
        <f t="shared" si="556"/>
        <v>1.219261590240815</v>
      </c>
      <c r="AV609" s="276">
        <f t="shared" si="557"/>
        <v>1.5161115721288578</v>
      </c>
      <c r="AW609" s="276">
        <f t="shared" si="558"/>
        <v>1.1060399431666534</v>
      </c>
      <c r="AX609" s="276">
        <f t="shared" si="559"/>
        <v>1.1649090084635259</v>
      </c>
      <c r="AY609" s="276">
        <f t="shared" si="560"/>
        <v>1.3468707401906823</v>
      </c>
      <c r="AZ609" s="686">
        <f t="shared" si="561"/>
        <v>1.1021626191096339</v>
      </c>
      <c r="BA609" s="685">
        <f t="shared" si="562"/>
        <v>0</v>
      </c>
      <c r="BB609" s="276">
        <f t="shared" si="563"/>
        <v>0</v>
      </c>
      <c r="BC609" s="276">
        <f t="shared" si="564"/>
        <v>0</v>
      </c>
      <c r="BD609" s="276">
        <f t="shared" si="565"/>
        <v>0</v>
      </c>
      <c r="BE609" s="276">
        <f t="shared" si="566"/>
        <v>0</v>
      </c>
      <c r="BF609" s="686">
        <f t="shared" si="567"/>
        <v>0</v>
      </c>
      <c r="BG609" s="685" t="e">
        <f t="shared" si="568"/>
        <v>#DIV/0!</v>
      </c>
      <c r="BH609" s="276" t="e">
        <f t="shared" si="569"/>
        <v>#DIV/0!</v>
      </c>
      <c r="BI609" s="276" t="e">
        <f t="shared" si="570"/>
        <v>#DIV/0!</v>
      </c>
      <c r="BJ609" s="276" t="e">
        <f t="shared" si="571"/>
        <v>#DIV/0!</v>
      </c>
      <c r="BK609" s="276" t="e">
        <f t="shared" si="572"/>
        <v>#DIV/0!</v>
      </c>
      <c r="BL609" s="686" t="e">
        <f t="shared" si="573"/>
        <v>#DIV/0!</v>
      </c>
      <c r="BM609" s="239"/>
      <c r="BN609" s="965" t="e">
        <f t="shared" si="574"/>
        <v>#VALUE!</v>
      </c>
      <c r="BO609" s="878" t="e">
        <f t="shared" si="575"/>
        <v>#VALUE!</v>
      </c>
      <c r="BP609" s="878" t="e">
        <f t="shared" si="576"/>
        <v>#VALUE!</v>
      </c>
      <c r="BQ609" s="878" t="e">
        <f t="shared" si="577"/>
        <v>#VALUE!</v>
      </c>
      <c r="BR609" s="878" t="e">
        <f t="shared" si="578"/>
        <v>#VALUE!</v>
      </c>
      <c r="BS609" s="966" t="e">
        <f t="shared" si="579"/>
        <v>#VALUE!</v>
      </c>
    </row>
    <row r="610" spans="1:71">
      <c r="A610" s="284">
        <f t="shared" si="580"/>
        <v>542</v>
      </c>
      <c r="B610" s="285">
        <v>2.3486848519151078</v>
      </c>
      <c r="C610" s="285">
        <v>1.6568333801358897</v>
      </c>
      <c r="D610" s="285">
        <v>1.4816050713077364</v>
      </c>
      <c r="E610" s="285">
        <v>-32.411232427441313</v>
      </c>
      <c r="H610" s="685">
        <f t="shared" si="526"/>
        <v>1.2154510101460529</v>
      </c>
      <c r="I610" s="276">
        <f t="shared" si="527"/>
        <v>-1.2621329615550896</v>
      </c>
      <c r="J610" s="276">
        <f t="shared" si="528"/>
        <v>-2.2066667519625396</v>
      </c>
      <c r="K610" s="276">
        <f t="shared" si="529"/>
        <v>-1.6372048937393562</v>
      </c>
      <c r="L610" s="276">
        <f t="shared" si="530"/>
        <v>-1.6000632730748536</v>
      </c>
      <c r="M610" s="276">
        <f t="shared" si="531"/>
        <v>1.4219711324711863</v>
      </c>
      <c r="N610" s="685">
        <f t="shared" si="532"/>
        <v>0.44966216916402124</v>
      </c>
      <c r="O610" s="276">
        <f t="shared" si="533"/>
        <v>1.5905588191780724</v>
      </c>
      <c r="P610" s="276">
        <f t="shared" si="534"/>
        <v>1.0194206404233344</v>
      </c>
      <c r="Q610" s="276">
        <f t="shared" si="535"/>
        <v>0.96739024746926661</v>
      </c>
      <c r="R610" s="276">
        <f t="shared" si="536"/>
        <v>1.4685400514064793</v>
      </c>
      <c r="S610" s="686">
        <f t="shared" si="537"/>
        <v>1.8429064201062684</v>
      </c>
      <c r="T610" s="685">
        <f t="shared" si="538"/>
        <v>4.7599687615786621</v>
      </c>
      <c r="U610" s="276">
        <f t="shared" si="539"/>
        <v>5.2193785110035709</v>
      </c>
      <c r="V610" s="276">
        <f t="shared" si="540"/>
        <v>2.5884567692115636</v>
      </c>
      <c r="W610" s="276">
        <f t="shared" si="541"/>
        <v>4.7163708043793786</v>
      </c>
      <c r="X610" s="276">
        <f t="shared" si="542"/>
        <v>2.4879072645471618</v>
      </c>
      <c r="Y610" s="686">
        <f t="shared" si="543"/>
        <v>5.455779699905448</v>
      </c>
      <c r="Z610" s="685" t="e">
        <f t="shared" si="544"/>
        <v>#DIV/0!</v>
      </c>
      <c r="AA610" s="276" t="e">
        <f t="shared" si="545"/>
        <v>#DIV/0!</v>
      </c>
      <c r="AB610" s="276" t="e">
        <f t="shared" si="546"/>
        <v>#DIV/0!</v>
      </c>
      <c r="AC610" s="276" t="e">
        <f t="shared" si="547"/>
        <v>#DIV/0!</v>
      </c>
      <c r="AD610" s="276" t="e">
        <f t="shared" si="548"/>
        <v>#DIV/0!</v>
      </c>
      <c r="AE610" s="686" t="e">
        <f t="shared" si="549"/>
        <v>#DIV/0!</v>
      </c>
      <c r="AF610" s="239"/>
      <c r="AG610" s="965" t="e">
        <f t="shared" si="520"/>
        <v>#VALUE!</v>
      </c>
      <c r="AH610" s="878" t="e">
        <f t="shared" si="521"/>
        <v>#VALUE!</v>
      </c>
      <c r="AI610" s="878" t="e">
        <f t="shared" si="522"/>
        <v>#VALUE!</v>
      </c>
      <c r="AJ610" s="878" t="e">
        <f t="shared" si="523"/>
        <v>#VALUE!</v>
      </c>
      <c r="AK610" s="878" t="e">
        <f t="shared" si="524"/>
        <v>#VALUE!</v>
      </c>
      <c r="AL610" s="966" t="e">
        <f t="shared" si="525"/>
        <v>#VALUE!</v>
      </c>
      <c r="AM610" s="239"/>
      <c r="AO610" s="685">
        <f t="shared" si="550"/>
        <v>1.2154510101460529</v>
      </c>
      <c r="AP610" s="276">
        <f t="shared" si="551"/>
        <v>-1.2621329615550896</v>
      </c>
      <c r="AQ610" s="276">
        <f t="shared" si="552"/>
        <v>-2.2066667519625396</v>
      </c>
      <c r="AR610" s="276">
        <f t="shared" si="553"/>
        <v>-1.6372048937393562</v>
      </c>
      <c r="AS610" s="276">
        <f t="shared" si="554"/>
        <v>-1.6000632730748536</v>
      </c>
      <c r="AT610" s="276">
        <f t="shared" si="555"/>
        <v>1.4219711324711863</v>
      </c>
      <c r="AU610" s="685">
        <f t="shared" si="556"/>
        <v>0.44966216916402124</v>
      </c>
      <c r="AV610" s="276">
        <f t="shared" si="557"/>
        <v>1.5905588191780724</v>
      </c>
      <c r="AW610" s="276">
        <f t="shared" si="558"/>
        <v>1.0194206404233344</v>
      </c>
      <c r="AX610" s="276">
        <f t="shared" si="559"/>
        <v>0.96739024746926661</v>
      </c>
      <c r="AY610" s="276">
        <f t="shared" si="560"/>
        <v>1.4685400514064793</v>
      </c>
      <c r="AZ610" s="686">
        <f t="shared" si="561"/>
        <v>1.8429064201062684</v>
      </c>
      <c r="BA610" s="685">
        <f t="shared" si="562"/>
        <v>0</v>
      </c>
      <c r="BB610" s="276">
        <f t="shared" si="563"/>
        <v>0</v>
      </c>
      <c r="BC610" s="276">
        <f t="shared" si="564"/>
        <v>0</v>
      </c>
      <c r="BD610" s="276">
        <f t="shared" si="565"/>
        <v>0</v>
      </c>
      <c r="BE610" s="276">
        <f t="shared" si="566"/>
        <v>0</v>
      </c>
      <c r="BF610" s="686">
        <f t="shared" si="567"/>
        <v>0</v>
      </c>
      <c r="BG610" s="685" t="e">
        <f t="shared" si="568"/>
        <v>#DIV/0!</v>
      </c>
      <c r="BH610" s="276" t="e">
        <f t="shared" si="569"/>
        <v>#DIV/0!</v>
      </c>
      <c r="BI610" s="276" t="e">
        <f t="shared" si="570"/>
        <v>#DIV/0!</v>
      </c>
      <c r="BJ610" s="276" t="e">
        <f t="shared" si="571"/>
        <v>#DIV/0!</v>
      </c>
      <c r="BK610" s="276" t="e">
        <f t="shared" si="572"/>
        <v>#DIV/0!</v>
      </c>
      <c r="BL610" s="686" t="e">
        <f t="shared" si="573"/>
        <v>#DIV/0!</v>
      </c>
      <c r="BM610" s="239"/>
      <c r="BN610" s="965" t="e">
        <f t="shared" si="574"/>
        <v>#VALUE!</v>
      </c>
      <c r="BO610" s="878" t="e">
        <f t="shared" si="575"/>
        <v>#VALUE!</v>
      </c>
      <c r="BP610" s="878" t="e">
        <f t="shared" si="576"/>
        <v>#VALUE!</v>
      </c>
      <c r="BQ610" s="878" t="e">
        <f t="shared" si="577"/>
        <v>#VALUE!</v>
      </c>
      <c r="BR610" s="878" t="e">
        <f t="shared" si="578"/>
        <v>#VALUE!</v>
      </c>
      <c r="BS610" s="966" t="e">
        <f t="shared" si="579"/>
        <v>#VALUE!</v>
      </c>
    </row>
    <row r="611" spans="1:71">
      <c r="A611" s="284">
        <f t="shared" si="580"/>
        <v>543</v>
      </c>
      <c r="B611" s="285">
        <v>1.2978071371496291</v>
      </c>
      <c r="C611" s="285">
        <v>2.7069701021216046</v>
      </c>
      <c r="D611" s="285">
        <v>2.5724364190816069</v>
      </c>
      <c r="E611" s="285">
        <v>2.3726028476494094</v>
      </c>
      <c r="H611" s="685">
        <f t="shared" si="526"/>
        <v>0.1645732953805743</v>
      </c>
      <c r="I611" s="276">
        <f t="shared" si="527"/>
        <v>-3.0639088057431736</v>
      </c>
      <c r="J611" s="276">
        <f t="shared" si="528"/>
        <v>1.2044068275503339</v>
      </c>
      <c r="K611" s="276">
        <f t="shared" si="529"/>
        <v>-1.2472601582152054</v>
      </c>
      <c r="L611" s="276">
        <f t="shared" si="530"/>
        <v>-1.7358401312071141</v>
      </c>
      <c r="M611" s="276">
        <f t="shared" si="531"/>
        <v>0.25768570454824347</v>
      </c>
      <c r="N611" s="685">
        <f t="shared" si="532"/>
        <v>1.4997988911497362</v>
      </c>
      <c r="O611" s="276">
        <f t="shared" si="533"/>
        <v>1.5318377963622212</v>
      </c>
      <c r="P611" s="276">
        <f t="shared" si="534"/>
        <v>2.2642700756059453</v>
      </c>
      <c r="Q611" s="276">
        <f t="shared" si="535"/>
        <v>1.2333091783845818</v>
      </c>
      <c r="R611" s="276">
        <f t="shared" si="536"/>
        <v>1.0670969365316882</v>
      </c>
      <c r="S611" s="686">
        <f t="shared" si="537"/>
        <v>1.6441562409273225</v>
      </c>
      <c r="T611" s="685">
        <f t="shared" si="538"/>
        <v>5.8508001093525328</v>
      </c>
      <c r="U611" s="276">
        <f t="shared" si="539"/>
        <v>4.564326882998607</v>
      </c>
      <c r="V611" s="276">
        <f t="shared" si="540"/>
        <v>3.9493930181957673</v>
      </c>
      <c r="W611" s="276">
        <f t="shared" si="541"/>
        <v>5.6763125235979892</v>
      </c>
      <c r="X611" s="276">
        <f t="shared" si="542"/>
        <v>4.8391343971073617</v>
      </c>
      <c r="Y611" s="686">
        <f t="shared" si="543"/>
        <v>5.1220401778288549</v>
      </c>
      <c r="Z611" s="685" t="e">
        <f t="shared" si="544"/>
        <v>#DIV/0!</v>
      </c>
      <c r="AA611" s="276" t="e">
        <f t="shared" si="545"/>
        <v>#DIV/0!</v>
      </c>
      <c r="AB611" s="276" t="e">
        <f t="shared" si="546"/>
        <v>#DIV/0!</v>
      </c>
      <c r="AC611" s="276" t="e">
        <f t="shared" si="547"/>
        <v>#DIV/0!</v>
      </c>
      <c r="AD611" s="276" t="e">
        <f t="shared" si="548"/>
        <v>#DIV/0!</v>
      </c>
      <c r="AE611" s="686" t="e">
        <f t="shared" si="549"/>
        <v>#DIV/0!</v>
      </c>
      <c r="AF611" s="239"/>
      <c r="AG611" s="965" t="e">
        <f t="shared" si="520"/>
        <v>#VALUE!</v>
      </c>
      <c r="AH611" s="878" t="e">
        <f t="shared" si="521"/>
        <v>#VALUE!</v>
      </c>
      <c r="AI611" s="878" t="e">
        <f t="shared" si="522"/>
        <v>#VALUE!</v>
      </c>
      <c r="AJ611" s="878" t="e">
        <f t="shared" si="523"/>
        <v>#VALUE!</v>
      </c>
      <c r="AK611" s="878" t="e">
        <f t="shared" si="524"/>
        <v>#VALUE!</v>
      </c>
      <c r="AL611" s="966" t="e">
        <f t="shared" si="525"/>
        <v>#VALUE!</v>
      </c>
      <c r="AM611" s="239"/>
      <c r="AO611" s="685">
        <f t="shared" si="550"/>
        <v>0.1645732953805743</v>
      </c>
      <c r="AP611" s="276">
        <f t="shared" si="551"/>
        <v>-3.0639088057431736</v>
      </c>
      <c r="AQ611" s="276">
        <f t="shared" si="552"/>
        <v>1.2044068275503339</v>
      </c>
      <c r="AR611" s="276">
        <f t="shared" si="553"/>
        <v>-1.2472601582152054</v>
      </c>
      <c r="AS611" s="276">
        <f t="shared" si="554"/>
        <v>-1.7358401312071141</v>
      </c>
      <c r="AT611" s="276">
        <f t="shared" si="555"/>
        <v>0.25768570454824347</v>
      </c>
      <c r="AU611" s="685">
        <f t="shared" si="556"/>
        <v>1.4997988911497362</v>
      </c>
      <c r="AV611" s="276">
        <f t="shared" si="557"/>
        <v>1.5318377963622212</v>
      </c>
      <c r="AW611" s="276">
        <f t="shared" si="558"/>
        <v>2.2642700756059453</v>
      </c>
      <c r="AX611" s="276">
        <f t="shared" si="559"/>
        <v>1.2333091783845818</v>
      </c>
      <c r="AY611" s="276">
        <f t="shared" si="560"/>
        <v>1.0670969365316882</v>
      </c>
      <c r="AZ611" s="686">
        <f t="shared" si="561"/>
        <v>1.6441562409273225</v>
      </c>
      <c r="BA611" s="685">
        <f t="shared" si="562"/>
        <v>0</v>
      </c>
      <c r="BB611" s="276">
        <f t="shared" si="563"/>
        <v>0</v>
      </c>
      <c r="BC611" s="276">
        <f t="shared" si="564"/>
        <v>0</v>
      </c>
      <c r="BD611" s="276">
        <f t="shared" si="565"/>
        <v>0</v>
      </c>
      <c r="BE611" s="276">
        <f t="shared" si="566"/>
        <v>0</v>
      </c>
      <c r="BF611" s="686">
        <f t="shared" si="567"/>
        <v>0</v>
      </c>
      <c r="BG611" s="685" t="e">
        <f t="shared" si="568"/>
        <v>#DIV/0!</v>
      </c>
      <c r="BH611" s="276" t="e">
        <f t="shared" si="569"/>
        <v>#DIV/0!</v>
      </c>
      <c r="BI611" s="276" t="e">
        <f t="shared" si="570"/>
        <v>#DIV/0!</v>
      </c>
      <c r="BJ611" s="276" t="e">
        <f t="shared" si="571"/>
        <v>#DIV/0!</v>
      </c>
      <c r="BK611" s="276" t="e">
        <f t="shared" si="572"/>
        <v>#DIV/0!</v>
      </c>
      <c r="BL611" s="686" t="e">
        <f t="shared" si="573"/>
        <v>#DIV/0!</v>
      </c>
      <c r="BM611" s="239"/>
      <c r="BN611" s="965" t="e">
        <f t="shared" si="574"/>
        <v>#VALUE!</v>
      </c>
      <c r="BO611" s="878" t="e">
        <f t="shared" si="575"/>
        <v>#VALUE!</v>
      </c>
      <c r="BP611" s="878" t="e">
        <f t="shared" si="576"/>
        <v>#VALUE!</v>
      </c>
      <c r="BQ611" s="878" t="e">
        <f t="shared" si="577"/>
        <v>#VALUE!</v>
      </c>
      <c r="BR611" s="878" t="e">
        <f t="shared" si="578"/>
        <v>#VALUE!</v>
      </c>
      <c r="BS611" s="966" t="e">
        <f t="shared" si="579"/>
        <v>#VALUE!</v>
      </c>
    </row>
    <row r="612" spans="1:71">
      <c r="A612" s="284">
        <f t="shared" si="580"/>
        <v>544</v>
      </c>
      <c r="B612" s="285">
        <v>-4.1609222832272961</v>
      </c>
      <c r="C612" s="285">
        <v>2.8430273363470642</v>
      </c>
      <c r="D612" s="285">
        <v>0.79044731591654627</v>
      </c>
      <c r="E612" s="285">
        <v>-3.0175519741991876</v>
      </c>
      <c r="H612" s="685">
        <f t="shared" si="526"/>
        <v>-5.2941561249963511</v>
      </c>
      <c r="I612" s="276">
        <f t="shared" si="527"/>
        <v>-2.537313250916811</v>
      </c>
      <c r="J612" s="276">
        <f t="shared" si="528"/>
        <v>1.6819556420104382</v>
      </c>
      <c r="K612" s="276">
        <f t="shared" si="529"/>
        <v>-4.3543206369975485</v>
      </c>
      <c r="L612" s="276">
        <f t="shared" si="530"/>
        <v>-1.2130312588689753</v>
      </c>
      <c r="M612" s="276">
        <f t="shared" si="531"/>
        <v>-2.9951805957860991</v>
      </c>
      <c r="N612" s="685">
        <f t="shared" si="532"/>
        <v>1.6358561253751958</v>
      </c>
      <c r="O612" s="276">
        <f t="shared" si="533"/>
        <v>1.1888630992833178</v>
      </c>
      <c r="P612" s="276">
        <f t="shared" si="534"/>
        <v>1.9759015864496428</v>
      </c>
      <c r="Q612" s="276">
        <f t="shared" si="535"/>
        <v>1.1447877336794139</v>
      </c>
      <c r="R612" s="276">
        <f t="shared" si="536"/>
        <v>0.75656116763573111</v>
      </c>
      <c r="S612" s="686">
        <f t="shared" si="537"/>
        <v>0.8951552627619781</v>
      </c>
      <c r="T612" s="685">
        <f t="shared" si="538"/>
        <v>4.068811006187472</v>
      </c>
      <c r="U612" s="276">
        <f t="shared" si="539"/>
        <v>3.6247397718703196</v>
      </c>
      <c r="V612" s="276">
        <f t="shared" si="540"/>
        <v>4.1133573754758075</v>
      </c>
      <c r="W612" s="276">
        <f t="shared" si="541"/>
        <v>4.6329589293194973</v>
      </c>
      <c r="X612" s="276">
        <f t="shared" si="542"/>
        <v>4.9916224267031222</v>
      </c>
      <c r="Y612" s="686">
        <f t="shared" si="543"/>
        <v>4.9054532275520444</v>
      </c>
      <c r="Z612" s="685" t="e">
        <f t="shared" si="544"/>
        <v>#DIV/0!</v>
      </c>
      <c r="AA612" s="276" t="e">
        <f t="shared" si="545"/>
        <v>#DIV/0!</v>
      </c>
      <c r="AB612" s="276" t="e">
        <f t="shared" si="546"/>
        <v>#DIV/0!</v>
      </c>
      <c r="AC612" s="276" t="e">
        <f t="shared" si="547"/>
        <v>#DIV/0!</v>
      </c>
      <c r="AD612" s="276" t="e">
        <f t="shared" si="548"/>
        <v>#DIV/0!</v>
      </c>
      <c r="AE612" s="686" t="e">
        <f t="shared" si="549"/>
        <v>#DIV/0!</v>
      </c>
      <c r="AF612" s="239"/>
      <c r="AG612" s="965" t="e">
        <f t="shared" si="520"/>
        <v>#VALUE!</v>
      </c>
      <c r="AH612" s="878" t="e">
        <f t="shared" si="521"/>
        <v>#VALUE!</v>
      </c>
      <c r="AI612" s="878" t="e">
        <f t="shared" si="522"/>
        <v>#VALUE!</v>
      </c>
      <c r="AJ612" s="878" t="e">
        <f t="shared" si="523"/>
        <v>#VALUE!</v>
      </c>
      <c r="AK612" s="878" t="e">
        <f t="shared" si="524"/>
        <v>#VALUE!</v>
      </c>
      <c r="AL612" s="966" t="e">
        <f t="shared" si="525"/>
        <v>#VALUE!</v>
      </c>
      <c r="AM612" s="239"/>
      <c r="AO612" s="685">
        <f t="shared" si="550"/>
        <v>-5.2941561249963511</v>
      </c>
      <c r="AP612" s="276">
        <f t="shared" si="551"/>
        <v>-2.537313250916811</v>
      </c>
      <c r="AQ612" s="276">
        <f t="shared" si="552"/>
        <v>1.6819556420104382</v>
      </c>
      <c r="AR612" s="276">
        <f t="shared" si="553"/>
        <v>-4.3543206369975485</v>
      </c>
      <c r="AS612" s="276">
        <f t="shared" si="554"/>
        <v>-1.2130312588689753</v>
      </c>
      <c r="AT612" s="276">
        <f t="shared" si="555"/>
        <v>-2.9951805957860991</v>
      </c>
      <c r="AU612" s="685">
        <f t="shared" si="556"/>
        <v>1.6358561253751958</v>
      </c>
      <c r="AV612" s="276">
        <f t="shared" si="557"/>
        <v>1.1888630992833178</v>
      </c>
      <c r="AW612" s="276">
        <f t="shared" si="558"/>
        <v>1.9759015864496428</v>
      </c>
      <c r="AX612" s="276">
        <f t="shared" si="559"/>
        <v>1.1447877336794139</v>
      </c>
      <c r="AY612" s="276">
        <f t="shared" si="560"/>
        <v>0.75656116763573111</v>
      </c>
      <c r="AZ612" s="686">
        <f t="shared" si="561"/>
        <v>0.8951552627619781</v>
      </c>
      <c r="BA612" s="685">
        <f t="shared" si="562"/>
        <v>0</v>
      </c>
      <c r="BB612" s="276">
        <f t="shared" si="563"/>
        <v>0</v>
      </c>
      <c r="BC612" s="276">
        <f t="shared" si="564"/>
        <v>0</v>
      </c>
      <c r="BD612" s="276">
        <f t="shared" si="565"/>
        <v>0</v>
      </c>
      <c r="BE612" s="276">
        <f t="shared" si="566"/>
        <v>0</v>
      </c>
      <c r="BF612" s="686">
        <f t="shared" si="567"/>
        <v>0</v>
      </c>
      <c r="BG612" s="685" t="e">
        <f t="shared" si="568"/>
        <v>#DIV/0!</v>
      </c>
      <c r="BH612" s="276" t="e">
        <f t="shared" si="569"/>
        <v>#DIV/0!</v>
      </c>
      <c r="BI612" s="276" t="e">
        <f t="shared" si="570"/>
        <v>#DIV/0!</v>
      </c>
      <c r="BJ612" s="276" t="e">
        <f t="shared" si="571"/>
        <v>#DIV/0!</v>
      </c>
      <c r="BK612" s="276" t="e">
        <f t="shared" si="572"/>
        <v>#DIV/0!</v>
      </c>
      <c r="BL612" s="686" t="e">
        <f t="shared" si="573"/>
        <v>#DIV/0!</v>
      </c>
      <c r="BM612" s="239"/>
      <c r="BN612" s="965" t="e">
        <f t="shared" si="574"/>
        <v>#VALUE!</v>
      </c>
      <c r="BO612" s="878" t="e">
        <f t="shared" si="575"/>
        <v>#VALUE!</v>
      </c>
      <c r="BP612" s="878" t="e">
        <f t="shared" si="576"/>
        <v>#VALUE!</v>
      </c>
      <c r="BQ612" s="878" t="e">
        <f t="shared" si="577"/>
        <v>#VALUE!</v>
      </c>
      <c r="BR612" s="878" t="e">
        <f t="shared" si="578"/>
        <v>#VALUE!</v>
      </c>
      <c r="BS612" s="966" t="e">
        <f t="shared" si="579"/>
        <v>#VALUE!</v>
      </c>
    </row>
    <row r="613" spans="1:71">
      <c r="A613" s="284">
        <f t="shared" si="580"/>
        <v>545</v>
      </c>
      <c r="B613" s="285">
        <v>3.2342447303709791</v>
      </c>
      <c r="C613" s="285">
        <v>2.7485032351806353</v>
      </c>
      <c r="D613" s="285">
        <v>3.5762986275523247</v>
      </c>
      <c r="E613" s="285">
        <v>-1.673899853425169</v>
      </c>
      <c r="H613" s="685">
        <f t="shared" si="526"/>
        <v>2.1010108886019241</v>
      </c>
      <c r="I613" s="276">
        <f t="shared" si="527"/>
        <v>-1.0274145176738207</v>
      </c>
      <c r="J613" s="276">
        <f t="shared" si="528"/>
        <v>-1.8696107242628051</v>
      </c>
      <c r="K613" s="276">
        <f t="shared" si="529"/>
        <v>-2.6691162441712581</v>
      </c>
      <c r="L613" s="276">
        <f t="shared" si="530"/>
        <v>0.75225774133906209</v>
      </c>
      <c r="M613" s="276">
        <f t="shared" si="531"/>
        <v>-4.2928367642873457</v>
      </c>
      <c r="N613" s="685">
        <f t="shared" si="532"/>
        <v>1.5413320242087669</v>
      </c>
      <c r="O613" s="276">
        <f t="shared" si="533"/>
        <v>2.0333670703470847</v>
      </c>
      <c r="P613" s="276">
        <f t="shared" si="534"/>
        <v>1.6674695124861245</v>
      </c>
      <c r="Q613" s="276">
        <f t="shared" si="535"/>
        <v>1.774249175016102</v>
      </c>
      <c r="R613" s="276">
        <f t="shared" si="536"/>
        <v>1.1974639476769047</v>
      </c>
      <c r="S613" s="686">
        <f t="shared" si="537"/>
        <v>0.79796470455085688</v>
      </c>
      <c r="T613" s="685">
        <f t="shared" si="538"/>
        <v>6.8546623178232506</v>
      </c>
      <c r="U613" s="276">
        <f t="shared" si="539"/>
        <v>1.7362276484373296</v>
      </c>
      <c r="V613" s="276">
        <f t="shared" si="540"/>
        <v>4.3346311436569653</v>
      </c>
      <c r="W613" s="276">
        <f t="shared" si="541"/>
        <v>5.341865256965626</v>
      </c>
      <c r="X613" s="276">
        <f t="shared" si="542"/>
        <v>3.3739553234166886</v>
      </c>
      <c r="Y613" s="686">
        <f t="shared" si="543"/>
        <v>5.6582800023136697</v>
      </c>
      <c r="Z613" s="685" t="e">
        <f t="shared" si="544"/>
        <v>#DIV/0!</v>
      </c>
      <c r="AA613" s="276" t="e">
        <f t="shared" si="545"/>
        <v>#DIV/0!</v>
      </c>
      <c r="AB613" s="276" t="e">
        <f t="shared" si="546"/>
        <v>#DIV/0!</v>
      </c>
      <c r="AC613" s="276" t="e">
        <f t="shared" si="547"/>
        <v>#DIV/0!</v>
      </c>
      <c r="AD613" s="276" t="e">
        <f t="shared" si="548"/>
        <v>#DIV/0!</v>
      </c>
      <c r="AE613" s="686" t="e">
        <f t="shared" si="549"/>
        <v>#DIV/0!</v>
      </c>
      <c r="AF613" s="239"/>
      <c r="AG613" s="965" t="e">
        <f t="shared" si="520"/>
        <v>#VALUE!</v>
      </c>
      <c r="AH613" s="878" t="e">
        <f t="shared" si="521"/>
        <v>#VALUE!</v>
      </c>
      <c r="AI613" s="878" t="e">
        <f t="shared" si="522"/>
        <v>#VALUE!</v>
      </c>
      <c r="AJ613" s="878" t="e">
        <f t="shared" si="523"/>
        <v>#VALUE!</v>
      </c>
      <c r="AK613" s="878" t="e">
        <f t="shared" si="524"/>
        <v>#VALUE!</v>
      </c>
      <c r="AL613" s="966" t="e">
        <f t="shared" si="525"/>
        <v>#VALUE!</v>
      </c>
      <c r="AM613" s="239"/>
      <c r="AO613" s="685">
        <f t="shared" si="550"/>
        <v>2.1010108886019241</v>
      </c>
      <c r="AP613" s="276">
        <f t="shared" si="551"/>
        <v>-1.0274145176738207</v>
      </c>
      <c r="AQ613" s="276">
        <f t="shared" si="552"/>
        <v>-1.8696107242628051</v>
      </c>
      <c r="AR613" s="276">
        <f t="shared" si="553"/>
        <v>-2.6691162441712581</v>
      </c>
      <c r="AS613" s="276">
        <f t="shared" si="554"/>
        <v>0.75225774133906209</v>
      </c>
      <c r="AT613" s="276">
        <f t="shared" si="555"/>
        <v>-4.2928367642873457</v>
      </c>
      <c r="AU613" s="685">
        <f t="shared" si="556"/>
        <v>1.5413320242087669</v>
      </c>
      <c r="AV613" s="276">
        <f t="shared" si="557"/>
        <v>2.0333670703470847</v>
      </c>
      <c r="AW613" s="276">
        <f t="shared" si="558"/>
        <v>1.6674695124861245</v>
      </c>
      <c r="AX613" s="276">
        <f t="shared" si="559"/>
        <v>1.774249175016102</v>
      </c>
      <c r="AY613" s="276">
        <f t="shared" si="560"/>
        <v>1.1974639476769047</v>
      </c>
      <c r="AZ613" s="686">
        <f t="shared" si="561"/>
        <v>0.79796470455085688</v>
      </c>
      <c r="BA613" s="685">
        <f t="shared" si="562"/>
        <v>0</v>
      </c>
      <c r="BB613" s="276">
        <f t="shared" si="563"/>
        <v>0</v>
      </c>
      <c r="BC613" s="276">
        <f t="shared" si="564"/>
        <v>0</v>
      </c>
      <c r="BD613" s="276">
        <f t="shared" si="565"/>
        <v>0</v>
      </c>
      <c r="BE613" s="276">
        <f t="shared" si="566"/>
        <v>0</v>
      </c>
      <c r="BF613" s="686">
        <f t="shared" si="567"/>
        <v>0</v>
      </c>
      <c r="BG613" s="685" t="e">
        <f t="shared" si="568"/>
        <v>#DIV/0!</v>
      </c>
      <c r="BH613" s="276" t="e">
        <f t="shared" si="569"/>
        <v>#DIV/0!</v>
      </c>
      <c r="BI613" s="276" t="e">
        <f t="shared" si="570"/>
        <v>#DIV/0!</v>
      </c>
      <c r="BJ613" s="276" t="e">
        <f t="shared" si="571"/>
        <v>#DIV/0!</v>
      </c>
      <c r="BK613" s="276" t="e">
        <f t="shared" si="572"/>
        <v>#DIV/0!</v>
      </c>
      <c r="BL613" s="686" t="e">
        <f t="shared" si="573"/>
        <v>#DIV/0!</v>
      </c>
      <c r="BM613" s="239"/>
      <c r="BN613" s="965" t="e">
        <f t="shared" si="574"/>
        <v>#VALUE!</v>
      </c>
      <c r="BO613" s="878" t="e">
        <f t="shared" si="575"/>
        <v>#VALUE!</v>
      </c>
      <c r="BP613" s="878" t="e">
        <f t="shared" si="576"/>
        <v>#VALUE!</v>
      </c>
      <c r="BQ613" s="878" t="e">
        <f t="shared" si="577"/>
        <v>#VALUE!</v>
      </c>
      <c r="BR613" s="878" t="e">
        <f t="shared" si="578"/>
        <v>#VALUE!</v>
      </c>
      <c r="BS613" s="966" t="e">
        <f t="shared" si="579"/>
        <v>#VALUE!</v>
      </c>
    </row>
    <row r="614" spans="1:71">
      <c r="A614" s="284">
        <f t="shared" si="580"/>
        <v>546</v>
      </c>
      <c r="B614" s="285">
        <v>-1.4843321267525782</v>
      </c>
      <c r="C614" s="285">
        <v>2.3339021526586152</v>
      </c>
      <c r="D614" s="285">
        <v>7.0475149217863686E-2</v>
      </c>
      <c r="E614" s="285">
        <v>1.7856304898208113</v>
      </c>
      <c r="H614" s="685">
        <f t="shared" si="526"/>
        <v>-2.617565968521633</v>
      </c>
      <c r="I614" s="276">
        <f t="shared" si="527"/>
        <v>0.79999620959115147</v>
      </c>
      <c r="J614" s="276">
        <f t="shared" si="528"/>
        <v>-1.6691381459746122</v>
      </c>
      <c r="K614" s="276">
        <f t="shared" si="529"/>
        <v>-1.7715271679861302</v>
      </c>
      <c r="L614" s="276">
        <f t="shared" si="530"/>
        <v>-2.8955015516763978</v>
      </c>
      <c r="M614" s="276">
        <f t="shared" si="531"/>
        <v>-3.2675360971759719</v>
      </c>
      <c r="N614" s="685">
        <f t="shared" si="532"/>
        <v>1.1267309416867468</v>
      </c>
      <c r="O614" s="276">
        <f t="shared" si="533"/>
        <v>1.2025654043732745</v>
      </c>
      <c r="P614" s="276">
        <f t="shared" si="534"/>
        <v>1.1854135871258562</v>
      </c>
      <c r="Q614" s="276">
        <f t="shared" si="535"/>
        <v>1.0591963362577366</v>
      </c>
      <c r="R614" s="276">
        <f t="shared" si="536"/>
        <v>1.8988850256336576</v>
      </c>
      <c r="S614" s="686">
        <f t="shared" si="537"/>
        <v>0.60127403248468858</v>
      </c>
      <c r="T614" s="685">
        <f t="shared" si="538"/>
        <v>3.3488388394887894</v>
      </c>
      <c r="U614" s="276">
        <f t="shared" si="539"/>
        <v>6.2522704599878303</v>
      </c>
      <c r="V614" s="276">
        <f t="shared" si="540"/>
        <v>3.803376468033163</v>
      </c>
      <c r="W614" s="276">
        <f t="shared" si="541"/>
        <v>3.550458830590705</v>
      </c>
      <c r="X614" s="276">
        <f t="shared" si="542"/>
        <v>3.9855463606188182</v>
      </c>
      <c r="Y614" s="686">
        <f t="shared" si="543"/>
        <v>5.2054025879141737</v>
      </c>
      <c r="Z614" s="685" t="e">
        <f t="shared" si="544"/>
        <v>#DIV/0!</v>
      </c>
      <c r="AA614" s="276" t="e">
        <f t="shared" si="545"/>
        <v>#DIV/0!</v>
      </c>
      <c r="AB614" s="276" t="e">
        <f t="shared" si="546"/>
        <v>#DIV/0!</v>
      </c>
      <c r="AC614" s="276" t="e">
        <f t="shared" si="547"/>
        <v>#DIV/0!</v>
      </c>
      <c r="AD614" s="276" t="e">
        <f t="shared" si="548"/>
        <v>#DIV/0!</v>
      </c>
      <c r="AE614" s="686" t="e">
        <f t="shared" si="549"/>
        <v>#DIV/0!</v>
      </c>
      <c r="AF614" s="239"/>
      <c r="AG614" s="965" t="e">
        <f t="shared" si="520"/>
        <v>#VALUE!</v>
      </c>
      <c r="AH614" s="878" t="e">
        <f t="shared" si="521"/>
        <v>#VALUE!</v>
      </c>
      <c r="AI614" s="878" t="e">
        <f t="shared" si="522"/>
        <v>#VALUE!</v>
      </c>
      <c r="AJ614" s="878" t="e">
        <f t="shared" si="523"/>
        <v>#VALUE!</v>
      </c>
      <c r="AK614" s="878" t="e">
        <f t="shared" si="524"/>
        <v>#VALUE!</v>
      </c>
      <c r="AL614" s="966" t="e">
        <f t="shared" si="525"/>
        <v>#VALUE!</v>
      </c>
      <c r="AM614" s="239"/>
      <c r="AO614" s="685">
        <f t="shared" si="550"/>
        <v>-2.617565968521633</v>
      </c>
      <c r="AP614" s="276">
        <f t="shared" si="551"/>
        <v>0.79999620959115147</v>
      </c>
      <c r="AQ614" s="276">
        <f t="shared" si="552"/>
        <v>-1.6691381459746122</v>
      </c>
      <c r="AR614" s="276">
        <f t="shared" si="553"/>
        <v>-1.7715271679861302</v>
      </c>
      <c r="AS614" s="276">
        <f t="shared" si="554"/>
        <v>-2.8955015516763978</v>
      </c>
      <c r="AT614" s="276">
        <f t="shared" si="555"/>
        <v>-3.2675360971759719</v>
      </c>
      <c r="AU614" s="685">
        <f t="shared" si="556"/>
        <v>1.1267309416867468</v>
      </c>
      <c r="AV614" s="276">
        <f t="shared" si="557"/>
        <v>1.2025654043732745</v>
      </c>
      <c r="AW614" s="276">
        <f t="shared" si="558"/>
        <v>1.1854135871258562</v>
      </c>
      <c r="AX614" s="276">
        <f t="shared" si="559"/>
        <v>1.0591963362577366</v>
      </c>
      <c r="AY614" s="276">
        <f t="shared" si="560"/>
        <v>1.8988850256336576</v>
      </c>
      <c r="AZ614" s="686">
        <f t="shared" si="561"/>
        <v>0.60127403248468858</v>
      </c>
      <c r="BA614" s="685">
        <f t="shared" si="562"/>
        <v>0</v>
      </c>
      <c r="BB614" s="276">
        <f t="shared" si="563"/>
        <v>0</v>
      </c>
      <c r="BC614" s="276">
        <f t="shared" si="564"/>
        <v>0</v>
      </c>
      <c r="BD614" s="276">
        <f t="shared" si="565"/>
        <v>0</v>
      </c>
      <c r="BE614" s="276">
        <f t="shared" si="566"/>
        <v>0</v>
      </c>
      <c r="BF614" s="686">
        <f t="shared" si="567"/>
        <v>0</v>
      </c>
      <c r="BG614" s="685" t="e">
        <f t="shared" si="568"/>
        <v>#DIV/0!</v>
      </c>
      <c r="BH614" s="276" t="e">
        <f t="shared" si="569"/>
        <v>#DIV/0!</v>
      </c>
      <c r="BI614" s="276" t="e">
        <f t="shared" si="570"/>
        <v>#DIV/0!</v>
      </c>
      <c r="BJ614" s="276" t="e">
        <f t="shared" si="571"/>
        <v>#DIV/0!</v>
      </c>
      <c r="BK614" s="276" t="e">
        <f t="shared" si="572"/>
        <v>#DIV/0!</v>
      </c>
      <c r="BL614" s="686" t="e">
        <f t="shared" si="573"/>
        <v>#DIV/0!</v>
      </c>
      <c r="BM614" s="239"/>
      <c r="BN614" s="965" t="e">
        <f t="shared" si="574"/>
        <v>#VALUE!</v>
      </c>
      <c r="BO614" s="878" t="e">
        <f t="shared" si="575"/>
        <v>#VALUE!</v>
      </c>
      <c r="BP614" s="878" t="e">
        <f t="shared" si="576"/>
        <v>#VALUE!</v>
      </c>
      <c r="BQ614" s="878" t="e">
        <f t="shared" si="577"/>
        <v>#VALUE!</v>
      </c>
      <c r="BR614" s="878" t="e">
        <f t="shared" si="578"/>
        <v>#VALUE!</v>
      </c>
      <c r="BS614" s="966" t="e">
        <f t="shared" si="579"/>
        <v>#VALUE!</v>
      </c>
    </row>
    <row r="615" spans="1:71">
      <c r="A615" s="284">
        <f t="shared" si="580"/>
        <v>547</v>
      </c>
      <c r="B615" s="285">
        <v>-0.44921632319552884</v>
      </c>
      <c r="C615" s="285">
        <v>3.0234727908450201</v>
      </c>
      <c r="D615" s="285">
        <v>3.1770690294357973E-2</v>
      </c>
      <c r="E615" s="285">
        <v>-0.59029598227579383</v>
      </c>
      <c r="H615" s="685">
        <f t="shared" si="526"/>
        <v>-1.5824501649645837</v>
      </c>
      <c r="I615" s="276">
        <f t="shared" si="527"/>
        <v>-1.3791360986380161</v>
      </c>
      <c r="J615" s="276">
        <f t="shared" si="528"/>
        <v>-1.7320974057622025</v>
      </c>
      <c r="K615" s="276">
        <f t="shared" si="529"/>
        <v>3.2437780170379957</v>
      </c>
      <c r="L615" s="276">
        <f t="shared" si="530"/>
        <v>-1.2984662504067712</v>
      </c>
      <c r="M615" s="276">
        <f t="shared" si="531"/>
        <v>-3.6015474083599841E-2</v>
      </c>
      <c r="N615" s="685">
        <f t="shared" si="532"/>
        <v>1.8163015798731517</v>
      </c>
      <c r="O615" s="276">
        <f t="shared" si="533"/>
        <v>0.64814941096267442</v>
      </c>
      <c r="P615" s="276">
        <f t="shared" si="534"/>
        <v>1.2748242720299363</v>
      </c>
      <c r="Q615" s="276">
        <f t="shared" si="535"/>
        <v>1.0527941412704169</v>
      </c>
      <c r="R615" s="276">
        <f t="shared" si="536"/>
        <v>1.9033745598844487</v>
      </c>
      <c r="S615" s="686">
        <f t="shared" si="537"/>
        <v>1.238184542480868</v>
      </c>
      <c r="T615" s="685">
        <f t="shared" si="538"/>
        <v>3.3101343805652839</v>
      </c>
      <c r="U615" s="276">
        <f t="shared" si="539"/>
        <v>4.2306265829153054</v>
      </c>
      <c r="V615" s="276">
        <f t="shared" si="540"/>
        <v>3.5067725544498853</v>
      </c>
      <c r="W615" s="276">
        <f t="shared" si="541"/>
        <v>6.4431313088334798</v>
      </c>
      <c r="X615" s="276">
        <f t="shared" si="542"/>
        <v>4.4599398762603766</v>
      </c>
      <c r="Y615" s="686">
        <f t="shared" si="543"/>
        <v>4.2458819740888494</v>
      </c>
      <c r="Z615" s="685" t="e">
        <f t="shared" si="544"/>
        <v>#DIV/0!</v>
      </c>
      <c r="AA615" s="276" t="e">
        <f t="shared" si="545"/>
        <v>#DIV/0!</v>
      </c>
      <c r="AB615" s="276" t="e">
        <f t="shared" si="546"/>
        <v>#DIV/0!</v>
      </c>
      <c r="AC615" s="276" t="e">
        <f t="shared" si="547"/>
        <v>#DIV/0!</v>
      </c>
      <c r="AD615" s="276" t="e">
        <f t="shared" si="548"/>
        <v>#DIV/0!</v>
      </c>
      <c r="AE615" s="686" t="e">
        <f t="shared" si="549"/>
        <v>#DIV/0!</v>
      </c>
      <c r="AF615" s="239"/>
      <c r="AG615" s="965" t="e">
        <f t="shared" si="520"/>
        <v>#VALUE!</v>
      </c>
      <c r="AH615" s="878" t="e">
        <f t="shared" si="521"/>
        <v>#VALUE!</v>
      </c>
      <c r="AI615" s="878" t="e">
        <f t="shared" si="522"/>
        <v>#VALUE!</v>
      </c>
      <c r="AJ615" s="878" t="e">
        <f t="shared" si="523"/>
        <v>#VALUE!</v>
      </c>
      <c r="AK615" s="878" t="e">
        <f t="shared" si="524"/>
        <v>#VALUE!</v>
      </c>
      <c r="AL615" s="966" t="e">
        <f t="shared" si="525"/>
        <v>#VALUE!</v>
      </c>
      <c r="AM615" s="239"/>
      <c r="AO615" s="685">
        <f t="shared" si="550"/>
        <v>-1.5824501649645837</v>
      </c>
      <c r="AP615" s="276">
        <f t="shared" si="551"/>
        <v>-1.3791360986380161</v>
      </c>
      <c r="AQ615" s="276">
        <f t="shared" si="552"/>
        <v>-1.7320974057622025</v>
      </c>
      <c r="AR615" s="276">
        <f t="shared" si="553"/>
        <v>3.2437780170379957</v>
      </c>
      <c r="AS615" s="276">
        <f t="shared" si="554"/>
        <v>-1.2984662504067712</v>
      </c>
      <c r="AT615" s="276">
        <f t="shared" si="555"/>
        <v>-3.6015474083599841E-2</v>
      </c>
      <c r="AU615" s="685">
        <f t="shared" si="556"/>
        <v>1.8163015798731517</v>
      </c>
      <c r="AV615" s="276">
        <f t="shared" si="557"/>
        <v>0.64814941096267442</v>
      </c>
      <c r="AW615" s="276">
        <f t="shared" si="558"/>
        <v>1.2748242720299363</v>
      </c>
      <c r="AX615" s="276">
        <f t="shared" si="559"/>
        <v>1.0527941412704169</v>
      </c>
      <c r="AY615" s="276">
        <f t="shared" si="560"/>
        <v>1.9033745598844487</v>
      </c>
      <c r="AZ615" s="686">
        <f t="shared" si="561"/>
        <v>1.238184542480868</v>
      </c>
      <c r="BA615" s="685">
        <f t="shared" si="562"/>
        <v>0</v>
      </c>
      <c r="BB615" s="276">
        <f t="shared" si="563"/>
        <v>0</v>
      </c>
      <c r="BC615" s="276">
        <f t="shared" si="564"/>
        <v>0</v>
      </c>
      <c r="BD615" s="276">
        <f t="shared" si="565"/>
        <v>0</v>
      </c>
      <c r="BE615" s="276">
        <f t="shared" si="566"/>
        <v>0</v>
      </c>
      <c r="BF615" s="686">
        <f t="shared" si="567"/>
        <v>0</v>
      </c>
      <c r="BG615" s="685" t="e">
        <f t="shared" si="568"/>
        <v>#DIV/0!</v>
      </c>
      <c r="BH615" s="276" t="e">
        <f t="shared" si="569"/>
        <v>#DIV/0!</v>
      </c>
      <c r="BI615" s="276" t="e">
        <f t="shared" si="570"/>
        <v>#DIV/0!</v>
      </c>
      <c r="BJ615" s="276" t="e">
        <f t="shared" si="571"/>
        <v>#DIV/0!</v>
      </c>
      <c r="BK615" s="276" t="e">
        <f t="shared" si="572"/>
        <v>#DIV/0!</v>
      </c>
      <c r="BL615" s="686" t="e">
        <f t="shared" si="573"/>
        <v>#DIV/0!</v>
      </c>
      <c r="BM615" s="239"/>
      <c r="BN615" s="965" t="e">
        <f t="shared" si="574"/>
        <v>#VALUE!</v>
      </c>
      <c r="BO615" s="878" t="e">
        <f t="shared" si="575"/>
        <v>#VALUE!</v>
      </c>
      <c r="BP615" s="878" t="e">
        <f t="shared" si="576"/>
        <v>#VALUE!</v>
      </c>
      <c r="BQ615" s="878" t="e">
        <f t="shared" si="577"/>
        <v>#VALUE!</v>
      </c>
      <c r="BR615" s="878" t="e">
        <f t="shared" si="578"/>
        <v>#VALUE!</v>
      </c>
      <c r="BS615" s="966" t="e">
        <f t="shared" si="579"/>
        <v>#VALUE!</v>
      </c>
    </row>
    <row r="616" spans="1:71">
      <c r="A616" s="284">
        <f t="shared" si="580"/>
        <v>548</v>
      </c>
      <c r="B616" s="285">
        <v>-2.3260028688828593</v>
      </c>
      <c r="C616" s="285">
        <v>2.0787323264619113</v>
      </c>
      <c r="D616" s="285">
        <v>0.63444607751774851</v>
      </c>
      <c r="E616" s="285">
        <v>-9.6134480856992326</v>
      </c>
      <c r="H616" s="685">
        <f t="shared" si="526"/>
        <v>-3.459236710651914</v>
      </c>
      <c r="I616" s="276">
        <f t="shared" si="527"/>
        <v>-3.1294330145476383</v>
      </c>
      <c r="J616" s="276">
        <f t="shared" si="528"/>
        <v>-2.76462809039004</v>
      </c>
      <c r="K616" s="276">
        <f t="shared" si="529"/>
        <v>-0.67289445725038011</v>
      </c>
      <c r="L616" s="276">
        <f t="shared" si="530"/>
        <v>-5.8837169389220385</v>
      </c>
      <c r="M616" s="276">
        <f t="shared" si="531"/>
        <v>-4.7505041873199216</v>
      </c>
      <c r="N616" s="685">
        <f t="shared" si="532"/>
        <v>0.87156111549004289</v>
      </c>
      <c r="O616" s="276">
        <f t="shared" si="533"/>
        <v>0.8474620954612806</v>
      </c>
      <c r="P616" s="276">
        <f t="shared" si="534"/>
        <v>0.96554503549693949</v>
      </c>
      <c r="Q616" s="276">
        <f t="shared" si="535"/>
        <v>1.8644554047239918</v>
      </c>
      <c r="R616" s="276">
        <f t="shared" si="536"/>
        <v>0.98708671359434264</v>
      </c>
      <c r="S616" s="686">
        <f t="shared" si="537"/>
        <v>1.1541386463438295</v>
      </c>
      <c r="T616" s="685">
        <f t="shared" si="538"/>
        <v>3.9128097677886746</v>
      </c>
      <c r="U616" s="276">
        <f t="shared" si="539"/>
        <v>5.5728493109124759</v>
      </c>
      <c r="V616" s="276">
        <f t="shared" si="540"/>
        <v>3.3104986945990946</v>
      </c>
      <c r="W616" s="276">
        <f t="shared" si="541"/>
        <v>4.2016382188476875</v>
      </c>
      <c r="X616" s="276">
        <f t="shared" si="542"/>
        <v>3.2863442872467967</v>
      </c>
      <c r="Y616" s="686">
        <f t="shared" si="543"/>
        <v>3.232130245012375</v>
      </c>
      <c r="Z616" s="685" t="e">
        <f t="shared" si="544"/>
        <v>#DIV/0!</v>
      </c>
      <c r="AA616" s="276" t="e">
        <f t="shared" si="545"/>
        <v>#DIV/0!</v>
      </c>
      <c r="AB616" s="276" t="e">
        <f t="shared" si="546"/>
        <v>#DIV/0!</v>
      </c>
      <c r="AC616" s="276" t="e">
        <f t="shared" si="547"/>
        <v>#DIV/0!</v>
      </c>
      <c r="AD616" s="276" t="e">
        <f t="shared" si="548"/>
        <v>#DIV/0!</v>
      </c>
      <c r="AE616" s="686" t="e">
        <f t="shared" si="549"/>
        <v>#DIV/0!</v>
      </c>
      <c r="AF616" s="239"/>
      <c r="AG616" s="965" t="e">
        <f t="shared" si="520"/>
        <v>#VALUE!</v>
      </c>
      <c r="AH616" s="878" t="e">
        <f t="shared" si="521"/>
        <v>#VALUE!</v>
      </c>
      <c r="AI616" s="878" t="e">
        <f t="shared" si="522"/>
        <v>#VALUE!</v>
      </c>
      <c r="AJ616" s="878" t="e">
        <f t="shared" si="523"/>
        <v>#VALUE!</v>
      </c>
      <c r="AK616" s="878" t="e">
        <f t="shared" si="524"/>
        <v>#VALUE!</v>
      </c>
      <c r="AL616" s="966" t="e">
        <f t="shared" si="525"/>
        <v>#VALUE!</v>
      </c>
      <c r="AM616" s="239"/>
      <c r="AO616" s="685">
        <f t="shared" si="550"/>
        <v>-3.459236710651914</v>
      </c>
      <c r="AP616" s="276">
        <f t="shared" si="551"/>
        <v>-3.1294330145476383</v>
      </c>
      <c r="AQ616" s="276">
        <f t="shared" si="552"/>
        <v>-2.76462809039004</v>
      </c>
      <c r="AR616" s="276">
        <f t="shared" si="553"/>
        <v>-0.67289445725038011</v>
      </c>
      <c r="AS616" s="276">
        <f t="shared" si="554"/>
        <v>-5.8837169389220385</v>
      </c>
      <c r="AT616" s="276">
        <f t="shared" si="555"/>
        <v>-4.7505041873199216</v>
      </c>
      <c r="AU616" s="685">
        <f t="shared" si="556"/>
        <v>0.87156111549004289</v>
      </c>
      <c r="AV616" s="276">
        <f t="shared" si="557"/>
        <v>0.8474620954612806</v>
      </c>
      <c r="AW616" s="276">
        <f t="shared" si="558"/>
        <v>0.96554503549693949</v>
      </c>
      <c r="AX616" s="276">
        <f t="shared" si="559"/>
        <v>1.8644554047239918</v>
      </c>
      <c r="AY616" s="276">
        <f t="shared" si="560"/>
        <v>0.98708671359434264</v>
      </c>
      <c r="AZ616" s="686">
        <f t="shared" si="561"/>
        <v>1.1541386463438295</v>
      </c>
      <c r="BA616" s="685">
        <f t="shared" si="562"/>
        <v>0</v>
      </c>
      <c r="BB616" s="276">
        <f t="shared" si="563"/>
        <v>0</v>
      </c>
      <c r="BC616" s="276">
        <f t="shared" si="564"/>
        <v>0</v>
      </c>
      <c r="BD616" s="276">
        <f t="shared" si="565"/>
        <v>0</v>
      </c>
      <c r="BE616" s="276">
        <f t="shared" si="566"/>
        <v>0</v>
      </c>
      <c r="BF616" s="686">
        <f t="shared" si="567"/>
        <v>0</v>
      </c>
      <c r="BG616" s="685" t="e">
        <f t="shared" si="568"/>
        <v>#DIV/0!</v>
      </c>
      <c r="BH616" s="276" t="e">
        <f t="shared" si="569"/>
        <v>#DIV/0!</v>
      </c>
      <c r="BI616" s="276" t="e">
        <f t="shared" si="570"/>
        <v>#DIV/0!</v>
      </c>
      <c r="BJ616" s="276" t="e">
        <f t="shared" si="571"/>
        <v>#DIV/0!</v>
      </c>
      <c r="BK616" s="276" t="e">
        <f t="shared" si="572"/>
        <v>#DIV/0!</v>
      </c>
      <c r="BL616" s="686" t="e">
        <f t="shared" si="573"/>
        <v>#DIV/0!</v>
      </c>
      <c r="BM616" s="239"/>
      <c r="BN616" s="965" t="e">
        <f t="shared" si="574"/>
        <v>#VALUE!</v>
      </c>
      <c r="BO616" s="878" t="e">
        <f t="shared" si="575"/>
        <v>#VALUE!</v>
      </c>
      <c r="BP616" s="878" t="e">
        <f t="shared" si="576"/>
        <v>#VALUE!</v>
      </c>
      <c r="BQ616" s="878" t="e">
        <f t="shared" si="577"/>
        <v>#VALUE!</v>
      </c>
      <c r="BR616" s="878" t="e">
        <f t="shared" si="578"/>
        <v>#VALUE!</v>
      </c>
      <c r="BS616" s="966" t="e">
        <f t="shared" si="579"/>
        <v>#VALUE!</v>
      </c>
    </row>
    <row r="617" spans="1:71">
      <c r="A617" s="284">
        <f t="shared" si="580"/>
        <v>549</v>
      </c>
      <c r="B617" s="285">
        <v>5.0875553094599404</v>
      </c>
      <c r="C617" s="285">
        <v>3.451973494747695</v>
      </c>
      <c r="D617" s="285">
        <v>1.8528476826841573</v>
      </c>
      <c r="E617" s="285">
        <v>-1.1657369511456595</v>
      </c>
      <c r="H617" s="685">
        <f t="shared" si="526"/>
        <v>3.9543214676908853</v>
      </c>
      <c r="I617" s="276">
        <f t="shared" si="527"/>
        <v>-4.2448577066036544</v>
      </c>
      <c r="J617" s="276">
        <f t="shared" si="528"/>
        <v>-4.5054759261692672</v>
      </c>
      <c r="K617" s="276">
        <f t="shared" si="529"/>
        <v>-1.0492261694381066</v>
      </c>
      <c r="L617" s="276">
        <f t="shared" si="530"/>
        <v>3.4912050769995817E-2</v>
      </c>
      <c r="M617" s="276">
        <f t="shared" si="531"/>
        <v>-3.1618818676252953</v>
      </c>
      <c r="N617" s="685">
        <f t="shared" si="532"/>
        <v>2.2448022837758268</v>
      </c>
      <c r="O617" s="276">
        <f t="shared" si="533"/>
        <v>1.721139114673379</v>
      </c>
      <c r="P617" s="276">
        <f t="shared" si="534"/>
        <v>1.1138589629563509</v>
      </c>
      <c r="Q617" s="276">
        <f t="shared" si="535"/>
        <v>0.82110595345681214</v>
      </c>
      <c r="R617" s="276">
        <f t="shared" si="536"/>
        <v>1.7010936745160288</v>
      </c>
      <c r="S617" s="686">
        <f t="shared" si="537"/>
        <v>1.0098540203398689</v>
      </c>
      <c r="T617" s="685">
        <f t="shared" si="538"/>
        <v>5.1312113729550832</v>
      </c>
      <c r="U617" s="276">
        <f t="shared" si="539"/>
        <v>3.372326765070476</v>
      </c>
      <c r="V617" s="276">
        <f t="shared" si="540"/>
        <v>5.6937055901140177</v>
      </c>
      <c r="W617" s="276">
        <f t="shared" si="541"/>
        <v>5.527672998378689</v>
      </c>
      <c r="X617" s="276">
        <f t="shared" si="542"/>
        <v>4.6319961535722793</v>
      </c>
      <c r="Y617" s="686">
        <f t="shared" si="543"/>
        <v>3.8235166023208631</v>
      </c>
      <c r="Z617" s="685" t="e">
        <f t="shared" si="544"/>
        <v>#DIV/0!</v>
      </c>
      <c r="AA617" s="276" t="e">
        <f t="shared" si="545"/>
        <v>#DIV/0!</v>
      </c>
      <c r="AB617" s="276" t="e">
        <f t="shared" si="546"/>
        <v>#DIV/0!</v>
      </c>
      <c r="AC617" s="276" t="e">
        <f t="shared" si="547"/>
        <v>#DIV/0!</v>
      </c>
      <c r="AD617" s="276" t="e">
        <f t="shared" si="548"/>
        <v>#DIV/0!</v>
      </c>
      <c r="AE617" s="686" t="e">
        <f t="shared" si="549"/>
        <v>#DIV/0!</v>
      </c>
      <c r="AF617" s="239"/>
      <c r="AG617" s="965" t="e">
        <f t="shared" si="520"/>
        <v>#VALUE!</v>
      </c>
      <c r="AH617" s="878" t="e">
        <f t="shared" si="521"/>
        <v>#VALUE!</v>
      </c>
      <c r="AI617" s="878" t="e">
        <f t="shared" si="522"/>
        <v>#VALUE!</v>
      </c>
      <c r="AJ617" s="878" t="e">
        <f t="shared" si="523"/>
        <v>#VALUE!</v>
      </c>
      <c r="AK617" s="878" t="e">
        <f t="shared" si="524"/>
        <v>#VALUE!</v>
      </c>
      <c r="AL617" s="966" t="e">
        <f t="shared" si="525"/>
        <v>#VALUE!</v>
      </c>
      <c r="AM617" s="239"/>
      <c r="AO617" s="685">
        <f t="shared" si="550"/>
        <v>3.9543214676908853</v>
      </c>
      <c r="AP617" s="276">
        <f t="shared" si="551"/>
        <v>-4.2448577066036544</v>
      </c>
      <c r="AQ617" s="276">
        <f t="shared" si="552"/>
        <v>-4.5054759261692672</v>
      </c>
      <c r="AR617" s="276">
        <f t="shared" si="553"/>
        <v>-1.0492261694381066</v>
      </c>
      <c r="AS617" s="276">
        <f t="shared" si="554"/>
        <v>3.4912050769995817E-2</v>
      </c>
      <c r="AT617" s="276">
        <f t="shared" si="555"/>
        <v>-3.1618818676252953</v>
      </c>
      <c r="AU617" s="685">
        <f t="shared" si="556"/>
        <v>2.2448022837758268</v>
      </c>
      <c r="AV617" s="276">
        <f t="shared" si="557"/>
        <v>1.721139114673379</v>
      </c>
      <c r="AW617" s="276">
        <f t="shared" si="558"/>
        <v>1.1138589629563509</v>
      </c>
      <c r="AX617" s="276">
        <f t="shared" si="559"/>
        <v>0.82110595345681214</v>
      </c>
      <c r="AY617" s="276">
        <f t="shared" si="560"/>
        <v>1.7010936745160288</v>
      </c>
      <c r="AZ617" s="686">
        <f t="shared" si="561"/>
        <v>1.0098540203398689</v>
      </c>
      <c r="BA617" s="685">
        <f t="shared" si="562"/>
        <v>0</v>
      </c>
      <c r="BB617" s="276">
        <f t="shared" si="563"/>
        <v>0</v>
      </c>
      <c r="BC617" s="276">
        <f t="shared" si="564"/>
        <v>0</v>
      </c>
      <c r="BD617" s="276">
        <f t="shared" si="565"/>
        <v>0</v>
      </c>
      <c r="BE617" s="276">
        <f t="shared" si="566"/>
        <v>0</v>
      </c>
      <c r="BF617" s="686">
        <f t="shared" si="567"/>
        <v>0</v>
      </c>
      <c r="BG617" s="685" t="e">
        <f t="shared" si="568"/>
        <v>#DIV/0!</v>
      </c>
      <c r="BH617" s="276" t="e">
        <f t="shared" si="569"/>
        <v>#DIV/0!</v>
      </c>
      <c r="BI617" s="276" t="e">
        <f t="shared" si="570"/>
        <v>#DIV/0!</v>
      </c>
      <c r="BJ617" s="276" t="e">
        <f t="shared" si="571"/>
        <v>#DIV/0!</v>
      </c>
      <c r="BK617" s="276" t="e">
        <f t="shared" si="572"/>
        <v>#DIV/0!</v>
      </c>
      <c r="BL617" s="686" t="e">
        <f t="shared" si="573"/>
        <v>#DIV/0!</v>
      </c>
      <c r="BM617" s="239"/>
      <c r="BN617" s="965" t="e">
        <f t="shared" si="574"/>
        <v>#VALUE!</v>
      </c>
      <c r="BO617" s="878" t="e">
        <f t="shared" si="575"/>
        <v>#VALUE!</v>
      </c>
      <c r="BP617" s="878" t="e">
        <f t="shared" si="576"/>
        <v>#VALUE!</v>
      </c>
      <c r="BQ617" s="878" t="e">
        <f t="shared" si="577"/>
        <v>#VALUE!</v>
      </c>
      <c r="BR617" s="878" t="e">
        <f t="shared" si="578"/>
        <v>#VALUE!</v>
      </c>
      <c r="BS617" s="966" t="e">
        <f t="shared" si="579"/>
        <v>#VALUE!</v>
      </c>
    </row>
    <row r="618" spans="1:71">
      <c r="A618" s="284">
        <f t="shared" si="580"/>
        <v>550</v>
      </c>
      <c r="B618" s="285">
        <v>-0.96829030371383462</v>
      </c>
      <c r="C618" s="285">
        <v>2.3720099953741394</v>
      </c>
      <c r="D618" s="285">
        <v>1.8469977558992259</v>
      </c>
      <c r="E618" s="285">
        <v>-5.1978888252775493</v>
      </c>
      <c r="H618" s="685">
        <f t="shared" si="526"/>
        <v>-2.1015241454828892</v>
      </c>
      <c r="I618" s="276">
        <f t="shared" si="527"/>
        <v>-1.8688680150549395</v>
      </c>
      <c r="J618" s="276">
        <f t="shared" si="528"/>
        <v>-4.0259605039105617</v>
      </c>
      <c r="K618" s="276">
        <f t="shared" si="529"/>
        <v>-1.7882010657785425</v>
      </c>
      <c r="L618" s="276">
        <f t="shared" si="530"/>
        <v>-2.7060396414618038</v>
      </c>
      <c r="M618" s="276">
        <f t="shared" si="531"/>
        <v>0.94141283829900568</v>
      </c>
      <c r="N618" s="685">
        <f t="shared" si="532"/>
        <v>1.164838784402271</v>
      </c>
      <c r="O618" s="276">
        <f t="shared" si="533"/>
        <v>0.9624089440847754</v>
      </c>
      <c r="P618" s="276">
        <f t="shared" si="534"/>
        <v>0.81882064130988286</v>
      </c>
      <c r="Q618" s="276">
        <f t="shared" si="535"/>
        <v>1.4380766582215425</v>
      </c>
      <c r="R618" s="276">
        <f t="shared" si="536"/>
        <v>1.7410624338734861</v>
      </c>
      <c r="S618" s="686">
        <f t="shared" si="537"/>
        <v>1.2840871625236778</v>
      </c>
      <c r="T618" s="685">
        <f t="shared" si="538"/>
        <v>5.1253614461701513</v>
      </c>
      <c r="U618" s="276">
        <f t="shared" si="539"/>
        <v>3.9439739651731713</v>
      </c>
      <c r="V618" s="276">
        <f t="shared" si="540"/>
        <v>5.4206299288473243</v>
      </c>
      <c r="W618" s="276">
        <f t="shared" si="541"/>
        <v>4.1841492830606839</v>
      </c>
      <c r="X618" s="276">
        <f t="shared" si="542"/>
        <v>3.5350535505534602</v>
      </c>
      <c r="Y618" s="686">
        <f t="shared" si="543"/>
        <v>6.2117286653364641</v>
      </c>
      <c r="Z618" s="685" t="e">
        <f t="shared" si="544"/>
        <v>#DIV/0!</v>
      </c>
      <c r="AA618" s="276" t="e">
        <f t="shared" si="545"/>
        <v>#DIV/0!</v>
      </c>
      <c r="AB618" s="276" t="e">
        <f t="shared" si="546"/>
        <v>#DIV/0!</v>
      </c>
      <c r="AC618" s="276" t="e">
        <f t="shared" si="547"/>
        <v>#DIV/0!</v>
      </c>
      <c r="AD618" s="276" t="e">
        <f t="shared" si="548"/>
        <v>#DIV/0!</v>
      </c>
      <c r="AE618" s="686" t="e">
        <f t="shared" si="549"/>
        <v>#DIV/0!</v>
      </c>
      <c r="AF618" s="239"/>
      <c r="AG618" s="965" t="e">
        <f t="shared" si="520"/>
        <v>#VALUE!</v>
      </c>
      <c r="AH618" s="878" t="e">
        <f t="shared" si="521"/>
        <v>#VALUE!</v>
      </c>
      <c r="AI618" s="878" t="e">
        <f t="shared" si="522"/>
        <v>#VALUE!</v>
      </c>
      <c r="AJ618" s="878" t="e">
        <f t="shared" si="523"/>
        <v>#VALUE!</v>
      </c>
      <c r="AK618" s="878" t="e">
        <f t="shared" si="524"/>
        <v>#VALUE!</v>
      </c>
      <c r="AL618" s="966" t="e">
        <f t="shared" si="525"/>
        <v>#VALUE!</v>
      </c>
      <c r="AM618" s="239"/>
      <c r="AO618" s="685">
        <f t="shared" si="550"/>
        <v>-2.1015241454828892</v>
      </c>
      <c r="AP618" s="276">
        <f t="shared" si="551"/>
        <v>-1.8688680150549395</v>
      </c>
      <c r="AQ618" s="276">
        <f t="shared" si="552"/>
        <v>-4.0259605039105617</v>
      </c>
      <c r="AR618" s="276">
        <f t="shared" si="553"/>
        <v>-1.7882010657785425</v>
      </c>
      <c r="AS618" s="276">
        <f t="shared" si="554"/>
        <v>-2.7060396414618038</v>
      </c>
      <c r="AT618" s="276">
        <f t="shared" si="555"/>
        <v>0.94141283829900568</v>
      </c>
      <c r="AU618" s="685">
        <f t="shared" si="556"/>
        <v>1.164838784402271</v>
      </c>
      <c r="AV618" s="276">
        <f t="shared" si="557"/>
        <v>0.9624089440847754</v>
      </c>
      <c r="AW618" s="276">
        <f t="shared" si="558"/>
        <v>0.81882064130988286</v>
      </c>
      <c r="AX618" s="276">
        <f t="shared" si="559"/>
        <v>1.4380766582215425</v>
      </c>
      <c r="AY618" s="276">
        <f t="shared" si="560"/>
        <v>1.7410624338734861</v>
      </c>
      <c r="AZ618" s="686">
        <f t="shared" si="561"/>
        <v>1.2840871625236778</v>
      </c>
      <c r="BA618" s="685">
        <f t="shared" si="562"/>
        <v>0</v>
      </c>
      <c r="BB618" s="276">
        <f t="shared" si="563"/>
        <v>0</v>
      </c>
      <c r="BC618" s="276">
        <f t="shared" si="564"/>
        <v>0</v>
      </c>
      <c r="BD618" s="276">
        <f t="shared" si="565"/>
        <v>0</v>
      </c>
      <c r="BE618" s="276">
        <f t="shared" si="566"/>
        <v>0</v>
      </c>
      <c r="BF618" s="686">
        <f t="shared" si="567"/>
        <v>0</v>
      </c>
      <c r="BG618" s="685" t="e">
        <f t="shared" si="568"/>
        <v>#DIV/0!</v>
      </c>
      <c r="BH618" s="276" t="e">
        <f t="shared" si="569"/>
        <v>#DIV/0!</v>
      </c>
      <c r="BI618" s="276" t="e">
        <f t="shared" si="570"/>
        <v>#DIV/0!</v>
      </c>
      <c r="BJ618" s="276" t="e">
        <f t="shared" si="571"/>
        <v>#DIV/0!</v>
      </c>
      <c r="BK618" s="276" t="e">
        <f t="shared" si="572"/>
        <v>#DIV/0!</v>
      </c>
      <c r="BL618" s="686" t="e">
        <f t="shared" si="573"/>
        <v>#DIV/0!</v>
      </c>
      <c r="BM618" s="239"/>
      <c r="BN618" s="965" t="e">
        <f t="shared" si="574"/>
        <v>#VALUE!</v>
      </c>
      <c r="BO618" s="878" t="e">
        <f t="shared" si="575"/>
        <v>#VALUE!</v>
      </c>
      <c r="BP618" s="878" t="e">
        <f t="shared" si="576"/>
        <v>#VALUE!</v>
      </c>
      <c r="BQ618" s="878" t="e">
        <f t="shared" si="577"/>
        <v>#VALUE!</v>
      </c>
      <c r="BR618" s="878" t="e">
        <f t="shared" si="578"/>
        <v>#VALUE!</v>
      </c>
      <c r="BS618" s="966" t="e">
        <f t="shared" si="579"/>
        <v>#VALUE!</v>
      </c>
    </row>
    <row r="619" spans="1:71">
      <c r="A619" s="284">
        <f t="shared" si="580"/>
        <v>551</v>
      </c>
      <c r="B619" s="285">
        <v>2.2677960082478843</v>
      </c>
      <c r="C619" s="285">
        <v>2.709217304061275</v>
      </c>
      <c r="D619" s="285">
        <v>1.7004469471570036</v>
      </c>
      <c r="E619" s="285">
        <v>-8.7177226191216128</v>
      </c>
      <c r="H619" s="685">
        <f t="shared" si="526"/>
        <v>1.1345621664788295</v>
      </c>
      <c r="I619" s="276">
        <f t="shared" si="527"/>
        <v>-2.1279513257855251</v>
      </c>
      <c r="J619" s="276">
        <f t="shared" si="528"/>
        <v>-6.9310301729011643</v>
      </c>
      <c r="K619" s="276">
        <f t="shared" si="529"/>
        <v>-0.73159530597941003</v>
      </c>
      <c r="L619" s="276">
        <f t="shared" si="530"/>
        <v>1.2466770763309289</v>
      </c>
      <c r="M619" s="276">
        <f t="shared" si="531"/>
        <v>1.7917909202612468</v>
      </c>
      <c r="N619" s="685">
        <f t="shared" si="532"/>
        <v>1.5020460930894066</v>
      </c>
      <c r="O619" s="276">
        <f t="shared" si="533"/>
        <v>0.61558037934588361</v>
      </c>
      <c r="P619" s="276">
        <f t="shared" si="534"/>
        <v>0.41178671068192241</v>
      </c>
      <c r="Q619" s="276">
        <f t="shared" si="535"/>
        <v>1.2875370501159702</v>
      </c>
      <c r="R619" s="276">
        <f t="shared" si="536"/>
        <v>1.4164996156691594</v>
      </c>
      <c r="S619" s="686">
        <f t="shared" si="537"/>
        <v>0.77244484076232456</v>
      </c>
      <c r="T619" s="685">
        <f t="shared" si="538"/>
        <v>4.9788106374279293</v>
      </c>
      <c r="U619" s="276">
        <f t="shared" si="539"/>
        <v>3.2354150072018575</v>
      </c>
      <c r="V619" s="276">
        <f t="shared" si="540"/>
        <v>5.6245667579894629</v>
      </c>
      <c r="W619" s="276">
        <f t="shared" si="541"/>
        <v>5.1461147101697993</v>
      </c>
      <c r="X619" s="276">
        <f t="shared" si="542"/>
        <v>6.612426083285639</v>
      </c>
      <c r="Y619" s="686">
        <f t="shared" si="543"/>
        <v>6.3072164424990014</v>
      </c>
      <c r="Z619" s="685" t="e">
        <f t="shared" si="544"/>
        <v>#DIV/0!</v>
      </c>
      <c r="AA619" s="276" t="e">
        <f t="shared" si="545"/>
        <v>#DIV/0!</v>
      </c>
      <c r="AB619" s="276" t="e">
        <f t="shared" si="546"/>
        <v>#DIV/0!</v>
      </c>
      <c r="AC619" s="276" t="e">
        <f t="shared" si="547"/>
        <v>#DIV/0!</v>
      </c>
      <c r="AD619" s="276" t="e">
        <f t="shared" si="548"/>
        <v>#DIV/0!</v>
      </c>
      <c r="AE619" s="686" t="e">
        <f t="shared" si="549"/>
        <v>#DIV/0!</v>
      </c>
      <c r="AF619" s="239"/>
      <c r="AG619" s="965" t="e">
        <f t="shared" si="520"/>
        <v>#VALUE!</v>
      </c>
      <c r="AH619" s="878" t="e">
        <f t="shared" si="521"/>
        <v>#VALUE!</v>
      </c>
      <c r="AI619" s="878" t="e">
        <f t="shared" si="522"/>
        <v>#VALUE!</v>
      </c>
      <c r="AJ619" s="878" t="e">
        <f t="shared" si="523"/>
        <v>#VALUE!</v>
      </c>
      <c r="AK619" s="878" t="e">
        <f t="shared" si="524"/>
        <v>#VALUE!</v>
      </c>
      <c r="AL619" s="966" t="e">
        <f t="shared" si="525"/>
        <v>#VALUE!</v>
      </c>
      <c r="AM619" s="239"/>
      <c r="AO619" s="685">
        <f t="shared" si="550"/>
        <v>1.1345621664788295</v>
      </c>
      <c r="AP619" s="276">
        <f t="shared" si="551"/>
        <v>-2.1279513257855251</v>
      </c>
      <c r="AQ619" s="276">
        <f t="shared" si="552"/>
        <v>-6.9310301729011643</v>
      </c>
      <c r="AR619" s="276">
        <f t="shared" si="553"/>
        <v>-0.73159530597941003</v>
      </c>
      <c r="AS619" s="276">
        <f t="shared" si="554"/>
        <v>1.2466770763309289</v>
      </c>
      <c r="AT619" s="276">
        <f t="shared" si="555"/>
        <v>1.7917909202612468</v>
      </c>
      <c r="AU619" s="685">
        <f t="shared" si="556"/>
        <v>1.5020460930894066</v>
      </c>
      <c r="AV619" s="276">
        <f t="shared" si="557"/>
        <v>0.61558037934588361</v>
      </c>
      <c r="AW619" s="276">
        <f t="shared" si="558"/>
        <v>0.41178671068192241</v>
      </c>
      <c r="AX619" s="276">
        <f t="shared" si="559"/>
        <v>1.2875370501159702</v>
      </c>
      <c r="AY619" s="276">
        <f t="shared" si="560"/>
        <v>1.4164996156691594</v>
      </c>
      <c r="AZ619" s="686">
        <f t="shared" si="561"/>
        <v>0.77244484076232456</v>
      </c>
      <c r="BA619" s="685">
        <f t="shared" si="562"/>
        <v>0</v>
      </c>
      <c r="BB619" s="276">
        <f t="shared" si="563"/>
        <v>0</v>
      </c>
      <c r="BC619" s="276">
        <f t="shared" si="564"/>
        <v>0</v>
      </c>
      <c r="BD619" s="276">
        <f t="shared" si="565"/>
        <v>0</v>
      </c>
      <c r="BE619" s="276">
        <f t="shared" si="566"/>
        <v>0</v>
      </c>
      <c r="BF619" s="686">
        <f t="shared" si="567"/>
        <v>0</v>
      </c>
      <c r="BG619" s="685" t="e">
        <f t="shared" si="568"/>
        <v>#DIV/0!</v>
      </c>
      <c r="BH619" s="276" t="e">
        <f t="shared" si="569"/>
        <v>#DIV/0!</v>
      </c>
      <c r="BI619" s="276" t="e">
        <f t="shared" si="570"/>
        <v>#DIV/0!</v>
      </c>
      <c r="BJ619" s="276" t="e">
        <f t="shared" si="571"/>
        <v>#DIV/0!</v>
      </c>
      <c r="BK619" s="276" t="e">
        <f t="shared" si="572"/>
        <v>#DIV/0!</v>
      </c>
      <c r="BL619" s="686" t="e">
        <f t="shared" si="573"/>
        <v>#DIV/0!</v>
      </c>
      <c r="BM619" s="239"/>
      <c r="BN619" s="965" t="e">
        <f t="shared" si="574"/>
        <v>#VALUE!</v>
      </c>
      <c r="BO619" s="878" t="e">
        <f t="shared" si="575"/>
        <v>#VALUE!</v>
      </c>
      <c r="BP619" s="878" t="e">
        <f t="shared" si="576"/>
        <v>#VALUE!</v>
      </c>
      <c r="BQ619" s="878" t="e">
        <f t="shared" si="577"/>
        <v>#VALUE!</v>
      </c>
      <c r="BR619" s="878" t="e">
        <f t="shared" si="578"/>
        <v>#VALUE!</v>
      </c>
      <c r="BS619" s="966" t="e">
        <f t="shared" si="579"/>
        <v>#VALUE!</v>
      </c>
    </row>
    <row r="620" spans="1:71">
      <c r="A620" s="284">
        <f t="shared" si="580"/>
        <v>552</v>
      </c>
      <c r="B620" s="285">
        <v>-1.4899935659691435</v>
      </c>
      <c r="C620" s="285">
        <v>2.3559643727521173</v>
      </c>
      <c r="D620" s="285">
        <v>1.3072291896463588</v>
      </c>
      <c r="E620" s="285">
        <v>-5.4924560110473077</v>
      </c>
      <c r="H620" s="685">
        <f t="shared" si="526"/>
        <v>-2.6232274077381983</v>
      </c>
      <c r="I620" s="276">
        <f t="shared" si="527"/>
        <v>1.2561565253035309</v>
      </c>
      <c r="J620" s="276">
        <f t="shared" si="528"/>
        <v>-4.687198029063123</v>
      </c>
      <c r="K620" s="276">
        <f t="shared" si="529"/>
        <v>0.36158051932735802</v>
      </c>
      <c r="L620" s="276">
        <f t="shared" si="530"/>
        <v>-1.3227354398469784</v>
      </c>
      <c r="M620" s="276">
        <f t="shared" si="531"/>
        <v>0.89677817782719971</v>
      </c>
      <c r="N620" s="685">
        <f t="shared" si="532"/>
        <v>1.1487931617802489</v>
      </c>
      <c r="O620" s="276">
        <f t="shared" si="533"/>
        <v>0.54248257750600826</v>
      </c>
      <c r="P620" s="276">
        <f t="shared" si="534"/>
        <v>0.88866518010081408</v>
      </c>
      <c r="Q620" s="276">
        <f t="shared" si="535"/>
        <v>1.0251206842248164</v>
      </c>
      <c r="R620" s="276">
        <f t="shared" si="536"/>
        <v>1.185476366211385</v>
      </c>
      <c r="S620" s="686">
        <f t="shared" si="537"/>
        <v>2.2732622468022132</v>
      </c>
      <c r="T620" s="685">
        <f t="shared" si="538"/>
        <v>4.5855928799172849</v>
      </c>
      <c r="U620" s="276">
        <f t="shared" si="539"/>
        <v>4.1299102384567181</v>
      </c>
      <c r="V620" s="276">
        <f t="shared" si="540"/>
        <v>4.2940901577076369</v>
      </c>
      <c r="W620" s="276">
        <f t="shared" si="541"/>
        <v>5.3822941652437404</v>
      </c>
      <c r="X620" s="276">
        <f t="shared" si="542"/>
        <v>5.3783333892593923</v>
      </c>
      <c r="Y620" s="686">
        <f t="shared" si="543"/>
        <v>4.5980848255538058</v>
      </c>
      <c r="Z620" s="685" t="e">
        <f t="shared" si="544"/>
        <v>#DIV/0!</v>
      </c>
      <c r="AA620" s="276" t="e">
        <f t="shared" si="545"/>
        <v>#DIV/0!</v>
      </c>
      <c r="AB620" s="276" t="e">
        <f t="shared" si="546"/>
        <v>#DIV/0!</v>
      </c>
      <c r="AC620" s="276" t="e">
        <f t="shared" si="547"/>
        <v>#DIV/0!</v>
      </c>
      <c r="AD620" s="276" t="e">
        <f t="shared" si="548"/>
        <v>#DIV/0!</v>
      </c>
      <c r="AE620" s="686" t="e">
        <f t="shared" si="549"/>
        <v>#DIV/0!</v>
      </c>
      <c r="AF620" s="239"/>
      <c r="AG620" s="965" t="e">
        <f t="shared" si="520"/>
        <v>#VALUE!</v>
      </c>
      <c r="AH620" s="878" t="e">
        <f t="shared" si="521"/>
        <v>#VALUE!</v>
      </c>
      <c r="AI620" s="878" t="e">
        <f t="shared" si="522"/>
        <v>#VALUE!</v>
      </c>
      <c r="AJ620" s="878" t="e">
        <f t="shared" si="523"/>
        <v>#VALUE!</v>
      </c>
      <c r="AK620" s="878" t="e">
        <f t="shared" si="524"/>
        <v>#VALUE!</v>
      </c>
      <c r="AL620" s="966" t="e">
        <f t="shared" si="525"/>
        <v>#VALUE!</v>
      </c>
      <c r="AM620" s="239"/>
      <c r="AO620" s="685">
        <f t="shared" si="550"/>
        <v>-2.6232274077381983</v>
      </c>
      <c r="AP620" s="276">
        <f t="shared" si="551"/>
        <v>1.2561565253035309</v>
      </c>
      <c r="AQ620" s="276">
        <f t="shared" si="552"/>
        <v>-4.687198029063123</v>
      </c>
      <c r="AR620" s="276">
        <f t="shared" si="553"/>
        <v>0.36158051932735802</v>
      </c>
      <c r="AS620" s="276">
        <f t="shared" si="554"/>
        <v>-1.3227354398469784</v>
      </c>
      <c r="AT620" s="276">
        <f t="shared" si="555"/>
        <v>0.89677817782719971</v>
      </c>
      <c r="AU620" s="685">
        <f t="shared" si="556"/>
        <v>1.1487931617802489</v>
      </c>
      <c r="AV620" s="276">
        <f t="shared" si="557"/>
        <v>0.54248257750600826</v>
      </c>
      <c r="AW620" s="276">
        <f t="shared" si="558"/>
        <v>0.88866518010081408</v>
      </c>
      <c r="AX620" s="276">
        <f t="shared" si="559"/>
        <v>1.0251206842248164</v>
      </c>
      <c r="AY620" s="276">
        <f t="shared" si="560"/>
        <v>1.185476366211385</v>
      </c>
      <c r="AZ620" s="686">
        <f t="shared" si="561"/>
        <v>2.2732622468022132</v>
      </c>
      <c r="BA620" s="685">
        <f t="shared" si="562"/>
        <v>0</v>
      </c>
      <c r="BB620" s="276">
        <f t="shared" si="563"/>
        <v>0</v>
      </c>
      <c r="BC620" s="276">
        <f t="shared" si="564"/>
        <v>0</v>
      </c>
      <c r="BD620" s="276">
        <f t="shared" si="565"/>
        <v>0</v>
      </c>
      <c r="BE620" s="276">
        <f t="shared" si="566"/>
        <v>0</v>
      </c>
      <c r="BF620" s="686">
        <f t="shared" si="567"/>
        <v>0</v>
      </c>
      <c r="BG620" s="685" t="e">
        <f t="shared" si="568"/>
        <v>#DIV/0!</v>
      </c>
      <c r="BH620" s="276" t="e">
        <f t="shared" si="569"/>
        <v>#DIV/0!</v>
      </c>
      <c r="BI620" s="276" t="e">
        <f t="shared" si="570"/>
        <v>#DIV/0!</v>
      </c>
      <c r="BJ620" s="276" t="e">
        <f t="shared" si="571"/>
        <v>#DIV/0!</v>
      </c>
      <c r="BK620" s="276" t="e">
        <f t="shared" si="572"/>
        <v>#DIV/0!</v>
      </c>
      <c r="BL620" s="686" t="e">
        <f t="shared" si="573"/>
        <v>#DIV/0!</v>
      </c>
      <c r="BM620" s="239"/>
      <c r="BN620" s="965" t="e">
        <f t="shared" si="574"/>
        <v>#VALUE!</v>
      </c>
      <c r="BO620" s="878" t="e">
        <f t="shared" si="575"/>
        <v>#VALUE!</v>
      </c>
      <c r="BP620" s="878" t="e">
        <f t="shared" si="576"/>
        <v>#VALUE!</v>
      </c>
      <c r="BQ620" s="878" t="e">
        <f t="shared" si="577"/>
        <v>#VALUE!</v>
      </c>
      <c r="BR620" s="878" t="e">
        <f t="shared" si="578"/>
        <v>#VALUE!</v>
      </c>
      <c r="BS620" s="966" t="e">
        <f t="shared" si="579"/>
        <v>#VALUE!</v>
      </c>
    </row>
    <row r="621" spans="1:71">
      <c r="A621" s="284">
        <f t="shared" si="580"/>
        <v>553</v>
      </c>
      <c r="B621" s="285">
        <v>-3.2407431206435073</v>
      </c>
      <c r="C621" s="285">
        <v>2.2256564515820196</v>
      </c>
      <c r="D621" s="285">
        <v>0.92107086695164597</v>
      </c>
      <c r="E621" s="285">
        <v>-16.166785716977845</v>
      </c>
      <c r="H621" s="685">
        <f t="shared" si="526"/>
        <v>-4.373976962412562</v>
      </c>
      <c r="I621" s="276">
        <f t="shared" si="527"/>
        <v>-2.6184075452354367</v>
      </c>
      <c r="J621" s="276">
        <f t="shared" si="528"/>
        <v>-2.5346572285172932</v>
      </c>
      <c r="K621" s="276">
        <f t="shared" si="529"/>
        <v>-2.3365382754592043</v>
      </c>
      <c r="L621" s="276">
        <f t="shared" si="530"/>
        <v>2.4114763949976767</v>
      </c>
      <c r="M621" s="276">
        <f t="shared" si="531"/>
        <v>-2.7642627143460095</v>
      </c>
      <c r="N621" s="685">
        <f t="shared" si="532"/>
        <v>1.0184852406101512</v>
      </c>
      <c r="O621" s="276">
        <f t="shared" si="533"/>
        <v>1.1686786023602236</v>
      </c>
      <c r="P621" s="276">
        <f t="shared" si="534"/>
        <v>1.3168072873995225</v>
      </c>
      <c r="Q621" s="276">
        <f t="shared" si="535"/>
        <v>1.8507580187879176</v>
      </c>
      <c r="R621" s="276">
        <f t="shared" si="536"/>
        <v>1.4939000577778916</v>
      </c>
      <c r="S621" s="686">
        <f t="shared" si="537"/>
        <v>0.5724062799681473</v>
      </c>
      <c r="T621" s="685">
        <f t="shared" si="538"/>
        <v>4.1994345572225722</v>
      </c>
      <c r="U621" s="276">
        <f t="shared" si="539"/>
        <v>5.6551871677840735</v>
      </c>
      <c r="V621" s="276">
        <f t="shared" si="540"/>
        <v>3.9389826935258352</v>
      </c>
      <c r="W621" s="276">
        <f t="shared" si="541"/>
        <v>1.3660249838222014</v>
      </c>
      <c r="X621" s="276">
        <f t="shared" si="542"/>
        <v>5.4014920378058431</v>
      </c>
      <c r="Y621" s="686">
        <f t="shared" si="543"/>
        <v>6.0980025887385967</v>
      </c>
      <c r="Z621" s="685" t="e">
        <f t="shared" si="544"/>
        <v>#DIV/0!</v>
      </c>
      <c r="AA621" s="276" t="e">
        <f t="shared" si="545"/>
        <v>#DIV/0!</v>
      </c>
      <c r="AB621" s="276" t="e">
        <f t="shared" si="546"/>
        <v>#DIV/0!</v>
      </c>
      <c r="AC621" s="276" t="e">
        <f t="shared" si="547"/>
        <v>#DIV/0!</v>
      </c>
      <c r="AD621" s="276" t="e">
        <f t="shared" si="548"/>
        <v>#DIV/0!</v>
      </c>
      <c r="AE621" s="686" t="e">
        <f t="shared" si="549"/>
        <v>#DIV/0!</v>
      </c>
      <c r="AF621" s="239"/>
      <c r="AG621" s="965" t="e">
        <f t="shared" si="520"/>
        <v>#VALUE!</v>
      </c>
      <c r="AH621" s="878" t="e">
        <f t="shared" si="521"/>
        <v>#VALUE!</v>
      </c>
      <c r="AI621" s="878" t="e">
        <f t="shared" si="522"/>
        <v>#VALUE!</v>
      </c>
      <c r="AJ621" s="878" t="e">
        <f t="shared" si="523"/>
        <v>#VALUE!</v>
      </c>
      <c r="AK621" s="878" t="e">
        <f t="shared" si="524"/>
        <v>#VALUE!</v>
      </c>
      <c r="AL621" s="966" t="e">
        <f t="shared" si="525"/>
        <v>#VALUE!</v>
      </c>
      <c r="AM621" s="239"/>
      <c r="AO621" s="685">
        <f t="shared" si="550"/>
        <v>-4.373976962412562</v>
      </c>
      <c r="AP621" s="276">
        <f t="shared" si="551"/>
        <v>-2.6184075452354367</v>
      </c>
      <c r="AQ621" s="276">
        <f t="shared" si="552"/>
        <v>-2.5346572285172932</v>
      </c>
      <c r="AR621" s="276">
        <f t="shared" si="553"/>
        <v>-2.3365382754592043</v>
      </c>
      <c r="AS621" s="276">
        <f t="shared" si="554"/>
        <v>2.4114763949976767</v>
      </c>
      <c r="AT621" s="276">
        <f t="shared" si="555"/>
        <v>-2.7642627143460095</v>
      </c>
      <c r="AU621" s="685">
        <f t="shared" si="556"/>
        <v>1.0184852406101512</v>
      </c>
      <c r="AV621" s="276">
        <f t="shared" si="557"/>
        <v>1.1686786023602236</v>
      </c>
      <c r="AW621" s="276">
        <f t="shared" si="558"/>
        <v>1.3168072873995225</v>
      </c>
      <c r="AX621" s="276">
        <f t="shared" si="559"/>
        <v>1.8507580187879176</v>
      </c>
      <c r="AY621" s="276">
        <f t="shared" si="560"/>
        <v>1.4939000577778916</v>
      </c>
      <c r="AZ621" s="686">
        <f t="shared" si="561"/>
        <v>0.5724062799681473</v>
      </c>
      <c r="BA621" s="685">
        <f t="shared" si="562"/>
        <v>0</v>
      </c>
      <c r="BB621" s="276">
        <f t="shared" si="563"/>
        <v>0</v>
      </c>
      <c r="BC621" s="276">
        <f t="shared" si="564"/>
        <v>0</v>
      </c>
      <c r="BD621" s="276">
        <f t="shared" si="565"/>
        <v>0</v>
      </c>
      <c r="BE621" s="276">
        <f t="shared" si="566"/>
        <v>0</v>
      </c>
      <c r="BF621" s="686">
        <f t="shared" si="567"/>
        <v>0</v>
      </c>
      <c r="BG621" s="685" t="e">
        <f t="shared" si="568"/>
        <v>#DIV/0!</v>
      </c>
      <c r="BH621" s="276" t="e">
        <f t="shared" si="569"/>
        <v>#DIV/0!</v>
      </c>
      <c r="BI621" s="276" t="e">
        <f t="shared" si="570"/>
        <v>#DIV/0!</v>
      </c>
      <c r="BJ621" s="276" t="e">
        <f t="shared" si="571"/>
        <v>#DIV/0!</v>
      </c>
      <c r="BK621" s="276" t="e">
        <f t="shared" si="572"/>
        <v>#DIV/0!</v>
      </c>
      <c r="BL621" s="686" t="e">
        <f t="shared" si="573"/>
        <v>#DIV/0!</v>
      </c>
      <c r="BM621" s="239"/>
      <c r="BN621" s="965" t="e">
        <f t="shared" si="574"/>
        <v>#VALUE!</v>
      </c>
      <c r="BO621" s="878" t="e">
        <f t="shared" si="575"/>
        <v>#VALUE!</v>
      </c>
      <c r="BP621" s="878" t="e">
        <f t="shared" si="576"/>
        <v>#VALUE!</v>
      </c>
      <c r="BQ621" s="878" t="e">
        <f t="shared" si="577"/>
        <v>#VALUE!</v>
      </c>
      <c r="BR621" s="878" t="e">
        <f t="shared" si="578"/>
        <v>#VALUE!</v>
      </c>
      <c r="BS621" s="966" t="e">
        <f t="shared" si="579"/>
        <v>#VALUE!</v>
      </c>
    </row>
    <row r="622" spans="1:71">
      <c r="A622" s="284">
        <f t="shared" si="580"/>
        <v>554</v>
      </c>
      <c r="B622" s="285">
        <v>0.47126607765961442</v>
      </c>
      <c r="C622" s="285">
        <v>2.5068488465407244</v>
      </c>
      <c r="D622" s="285">
        <v>1.6916766835345638</v>
      </c>
      <c r="E622" s="285">
        <v>-5.5293223142461727</v>
      </c>
      <c r="H622" s="685">
        <f t="shared" si="526"/>
        <v>-0.66196776410944036</v>
      </c>
      <c r="I622" s="276">
        <f t="shared" si="527"/>
        <v>-1.8509798188148125</v>
      </c>
      <c r="J622" s="276">
        <f t="shared" si="528"/>
        <v>-2.8779847581654767</v>
      </c>
      <c r="K622" s="276">
        <f t="shared" si="529"/>
        <v>3.8218416806425104</v>
      </c>
      <c r="L622" s="276">
        <f t="shared" si="530"/>
        <v>0.67120893570224371</v>
      </c>
      <c r="M622" s="276">
        <f t="shared" si="531"/>
        <v>-8.7032973665769653</v>
      </c>
      <c r="N622" s="685">
        <f t="shared" si="532"/>
        <v>1.299677635568856</v>
      </c>
      <c r="O622" s="276">
        <f t="shared" si="533"/>
        <v>1.2182845307115515</v>
      </c>
      <c r="P622" s="276">
        <f t="shared" si="534"/>
        <v>1.1060953652605321</v>
      </c>
      <c r="Q622" s="276">
        <f t="shared" si="535"/>
        <v>0.8950625990474006</v>
      </c>
      <c r="R622" s="276">
        <f t="shared" si="536"/>
        <v>0.90654137162327308</v>
      </c>
      <c r="S622" s="686">
        <f t="shared" si="537"/>
        <v>0.19839126269676277</v>
      </c>
      <c r="T622" s="685">
        <f t="shared" si="538"/>
        <v>4.9700403738054897</v>
      </c>
      <c r="U622" s="276">
        <f t="shared" si="539"/>
        <v>3.8486975421745759</v>
      </c>
      <c r="V622" s="276">
        <f t="shared" si="540"/>
        <v>4.2568714188111985</v>
      </c>
      <c r="W622" s="276">
        <f t="shared" si="541"/>
        <v>5.462165093092489</v>
      </c>
      <c r="X622" s="276">
        <f t="shared" si="542"/>
        <v>5.0559075995300633</v>
      </c>
      <c r="Y622" s="686">
        <f t="shared" si="543"/>
        <v>5.3208445506180535</v>
      </c>
      <c r="Z622" s="685" t="e">
        <f t="shared" si="544"/>
        <v>#DIV/0!</v>
      </c>
      <c r="AA622" s="276" t="e">
        <f t="shared" si="545"/>
        <v>#DIV/0!</v>
      </c>
      <c r="AB622" s="276" t="e">
        <f t="shared" si="546"/>
        <v>#DIV/0!</v>
      </c>
      <c r="AC622" s="276" t="e">
        <f t="shared" si="547"/>
        <v>#DIV/0!</v>
      </c>
      <c r="AD622" s="276" t="e">
        <f t="shared" si="548"/>
        <v>#DIV/0!</v>
      </c>
      <c r="AE622" s="686" t="e">
        <f t="shared" si="549"/>
        <v>#DIV/0!</v>
      </c>
      <c r="AF622" s="239"/>
      <c r="AG622" s="965" t="e">
        <f t="shared" si="520"/>
        <v>#VALUE!</v>
      </c>
      <c r="AH622" s="878" t="e">
        <f t="shared" si="521"/>
        <v>#VALUE!</v>
      </c>
      <c r="AI622" s="878" t="e">
        <f t="shared" si="522"/>
        <v>#VALUE!</v>
      </c>
      <c r="AJ622" s="878" t="e">
        <f t="shared" si="523"/>
        <v>#VALUE!</v>
      </c>
      <c r="AK622" s="878" t="e">
        <f t="shared" si="524"/>
        <v>#VALUE!</v>
      </c>
      <c r="AL622" s="966" t="e">
        <f t="shared" si="525"/>
        <v>#VALUE!</v>
      </c>
      <c r="AM622" s="239"/>
      <c r="AO622" s="685">
        <f t="shared" si="550"/>
        <v>-0.66196776410944036</v>
      </c>
      <c r="AP622" s="276">
        <f t="shared" si="551"/>
        <v>-1.8509798188148125</v>
      </c>
      <c r="AQ622" s="276">
        <f t="shared" si="552"/>
        <v>-2.8779847581654767</v>
      </c>
      <c r="AR622" s="276">
        <f t="shared" si="553"/>
        <v>3.8218416806425104</v>
      </c>
      <c r="AS622" s="276">
        <f t="shared" si="554"/>
        <v>0.67120893570224371</v>
      </c>
      <c r="AT622" s="276">
        <f t="shared" si="555"/>
        <v>-8.7032973665769653</v>
      </c>
      <c r="AU622" s="685">
        <f t="shared" si="556"/>
        <v>1.299677635568856</v>
      </c>
      <c r="AV622" s="276">
        <f t="shared" si="557"/>
        <v>1.2182845307115515</v>
      </c>
      <c r="AW622" s="276">
        <f t="shared" si="558"/>
        <v>1.1060953652605321</v>
      </c>
      <c r="AX622" s="276">
        <f t="shared" si="559"/>
        <v>0.8950625990474006</v>
      </c>
      <c r="AY622" s="276">
        <f t="shared" si="560"/>
        <v>0.90654137162327308</v>
      </c>
      <c r="AZ622" s="686">
        <f t="shared" si="561"/>
        <v>0.19839126269676277</v>
      </c>
      <c r="BA622" s="685">
        <f t="shared" si="562"/>
        <v>0</v>
      </c>
      <c r="BB622" s="276">
        <f t="shared" si="563"/>
        <v>0</v>
      </c>
      <c r="BC622" s="276">
        <f t="shared" si="564"/>
        <v>0</v>
      </c>
      <c r="BD622" s="276">
        <f t="shared" si="565"/>
        <v>0</v>
      </c>
      <c r="BE622" s="276">
        <f t="shared" si="566"/>
        <v>0</v>
      </c>
      <c r="BF622" s="686">
        <f t="shared" si="567"/>
        <v>0</v>
      </c>
      <c r="BG622" s="685" t="e">
        <f t="shared" si="568"/>
        <v>#DIV/0!</v>
      </c>
      <c r="BH622" s="276" t="e">
        <f t="shared" si="569"/>
        <v>#DIV/0!</v>
      </c>
      <c r="BI622" s="276" t="e">
        <f t="shared" si="570"/>
        <v>#DIV/0!</v>
      </c>
      <c r="BJ622" s="276" t="e">
        <f t="shared" si="571"/>
        <v>#DIV/0!</v>
      </c>
      <c r="BK622" s="276" t="e">
        <f t="shared" si="572"/>
        <v>#DIV/0!</v>
      </c>
      <c r="BL622" s="686" t="e">
        <f t="shared" si="573"/>
        <v>#DIV/0!</v>
      </c>
      <c r="BM622" s="239"/>
      <c r="BN622" s="965" t="e">
        <f t="shared" si="574"/>
        <v>#VALUE!</v>
      </c>
      <c r="BO622" s="878" t="e">
        <f t="shared" si="575"/>
        <v>#VALUE!</v>
      </c>
      <c r="BP622" s="878" t="e">
        <f t="shared" si="576"/>
        <v>#VALUE!</v>
      </c>
      <c r="BQ622" s="878" t="e">
        <f t="shared" si="577"/>
        <v>#VALUE!</v>
      </c>
      <c r="BR622" s="878" t="e">
        <f t="shared" si="578"/>
        <v>#VALUE!</v>
      </c>
      <c r="BS622" s="966" t="e">
        <f t="shared" si="579"/>
        <v>#VALUE!</v>
      </c>
    </row>
    <row r="623" spans="1:71">
      <c r="A623" s="284">
        <f t="shared" si="580"/>
        <v>555</v>
      </c>
      <c r="B623" s="285">
        <v>-1.6039177481683434E-2</v>
      </c>
      <c r="C623" s="285">
        <v>2.3811643281646604</v>
      </c>
      <c r="D623" s="285">
        <v>0.32769232991618835</v>
      </c>
      <c r="E623" s="285">
        <v>-2.8244295803350665</v>
      </c>
      <c r="H623" s="685">
        <f t="shared" si="526"/>
        <v>-1.1492730192507383</v>
      </c>
      <c r="I623" s="276">
        <f t="shared" si="527"/>
        <v>-4.4699563011471106</v>
      </c>
      <c r="J623" s="276">
        <f t="shared" si="528"/>
        <v>0.58910432350188269</v>
      </c>
      <c r="K623" s="276">
        <f t="shared" si="529"/>
        <v>-1.9384427259806452</v>
      </c>
      <c r="L623" s="276">
        <f t="shared" si="530"/>
        <v>-3.1208875799874685</v>
      </c>
      <c r="M623" s="276">
        <f t="shared" si="531"/>
        <v>5.0523669648369296E-2</v>
      </c>
      <c r="N623" s="685">
        <f t="shared" si="532"/>
        <v>1.173993117192792</v>
      </c>
      <c r="O623" s="276">
        <f t="shared" si="533"/>
        <v>0.94906139330033024</v>
      </c>
      <c r="P623" s="276">
        <f t="shared" si="534"/>
        <v>1.5065407711391867</v>
      </c>
      <c r="Q623" s="276">
        <f t="shared" si="535"/>
        <v>2.2105645573511445</v>
      </c>
      <c r="R623" s="276">
        <f t="shared" si="536"/>
        <v>0.70551833797982977</v>
      </c>
      <c r="S623" s="686">
        <f t="shared" si="537"/>
        <v>1.3955869811458215</v>
      </c>
      <c r="T623" s="685">
        <f t="shared" si="538"/>
        <v>3.6060560201871144</v>
      </c>
      <c r="U623" s="276">
        <f t="shared" si="539"/>
        <v>3.5934366226889298</v>
      </c>
      <c r="V623" s="276">
        <f t="shared" si="540"/>
        <v>5.36126888054992</v>
      </c>
      <c r="W623" s="276">
        <f t="shared" si="541"/>
        <v>4.068182417310541</v>
      </c>
      <c r="X623" s="276">
        <f t="shared" si="542"/>
        <v>5.3860105335427146</v>
      </c>
      <c r="Y623" s="686">
        <f t="shared" si="543"/>
        <v>3.9359165390549746</v>
      </c>
      <c r="Z623" s="685" t="e">
        <f t="shared" si="544"/>
        <v>#DIV/0!</v>
      </c>
      <c r="AA623" s="276" t="e">
        <f t="shared" si="545"/>
        <v>#DIV/0!</v>
      </c>
      <c r="AB623" s="276" t="e">
        <f t="shared" si="546"/>
        <v>#DIV/0!</v>
      </c>
      <c r="AC623" s="276" t="e">
        <f t="shared" si="547"/>
        <v>#DIV/0!</v>
      </c>
      <c r="AD623" s="276" t="e">
        <f t="shared" si="548"/>
        <v>#DIV/0!</v>
      </c>
      <c r="AE623" s="686" t="e">
        <f t="shared" si="549"/>
        <v>#DIV/0!</v>
      </c>
      <c r="AF623" s="239"/>
      <c r="AG623" s="965" t="e">
        <f t="shared" si="520"/>
        <v>#VALUE!</v>
      </c>
      <c r="AH623" s="878" t="e">
        <f t="shared" si="521"/>
        <v>#VALUE!</v>
      </c>
      <c r="AI623" s="878" t="e">
        <f t="shared" si="522"/>
        <v>#VALUE!</v>
      </c>
      <c r="AJ623" s="878" t="e">
        <f t="shared" si="523"/>
        <v>#VALUE!</v>
      </c>
      <c r="AK623" s="878" t="e">
        <f t="shared" si="524"/>
        <v>#VALUE!</v>
      </c>
      <c r="AL623" s="966" t="e">
        <f t="shared" si="525"/>
        <v>#VALUE!</v>
      </c>
      <c r="AM623" s="239"/>
      <c r="AO623" s="685">
        <f t="shared" si="550"/>
        <v>-1.1492730192507383</v>
      </c>
      <c r="AP623" s="276">
        <f t="shared" si="551"/>
        <v>-4.4699563011471106</v>
      </c>
      <c r="AQ623" s="276">
        <f t="shared" si="552"/>
        <v>0.58910432350188269</v>
      </c>
      <c r="AR623" s="276">
        <f t="shared" si="553"/>
        <v>-1.9384427259806452</v>
      </c>
      <c r="AS623" s="276">
        <f t="shared" si="554"/>
        <v>-3.1208875799874685</v>
      </c>
      <c r="AT623" s="276">
        <f t="shared" si="555"/>
        <v>5.0523669648369296E-2</v>
      </c>
      <c r="AU623" s="685">
        <f t="shared" si="556"/>
        <v>1.173993117192792</v>
      </c>
      <c r="AV623" s="276">
        <f t="shared" si="557"/>
        <v>0.94906139330033024</v>
      </c>
      <c r="AW623" s="276">
        <f t="shared" si="558"/>
        <v>1.5065407711391867</v>
      </c>
      <c r="AX623" s="276">
        <f t="shared" si="559"/>
        <v>2.2105645573511445</v>
      </c>
      <c r="AY623" s="276">
        <f t="shared" si="560"/>
        <v>0.70551833797982977</v>
      </c>
      <c r="AZ623" s="686">
        <f t="shared" si="561"/>
        <v>1.3955869811458215</v>
      </c>
      <c r="BA623" s="685">
        <f t="shared" si="562"/>
        <v>0</v>
      </c>
      <c r="BB623" s="276">
        <f t="shared" si="563"/>
        <v>0</v>
      </c>
      <c r="BC623" s="276">
        <f t="shared" si="564"/>
        <v>0</v>
      </c>
      <c r="BD623" s="276">
        <f t="shared" si="565"/>
        <v>0</v>
      </c>
      <c r="BE623" s="276">
        <f t="shared" si="566"/>
        <v>0</v>
      </c>
      <c r="BF623" s="686">
        <f t="shared" si="567"/>
        <v>0</v>
      </c>
      <c r="BG623" s="685" t="e">
        <f t="shared" si="568"/>
        <v>#DIV/0!</v>
      </c>
      <c r="BH623" s="276" t="e">
        <f t="shared" si="569"/>
        <v>#DIV/0!</v>
      </c>
      <c r="BI623" s="276" t="e">
        <f t="shared" si="570"/>
        <v>#DIV/0!</v>
      </c>
      <c r="BJ623" s="276" t="e">
        <f t="shared" si="571"/>
        <v>#DIV/0!</v>
      </c>
      <c r="BK623" s="276" t="e">
        <f t="shared" si="572"/>
        <v>#DIV/0!</v>
      </c>
      <c r="BL623" s="686" t="e">
        <f t="shared" si="573"/>
        <v>#DIV/0!</v>
      </c>
      <c r="BM623" s="239"/>
      <c r="BN623" s="965" t="e">
        <f t="shared" si="574"/>
        <v>#VALUE!</v>
      </c>
      <c r="BO623" s="878" t="e">
        <f t="shared" si="575"/>
        <v>#VALUE!</v>
      </c>
      <c r="BP623" s="878" t="e">
        <f t="shared" si="576"/>
        <v>#VALUE!</v>
      </c>
      <c r="BQ623" s="878" t="e">
        <f t="shared" si="577"/>
        <v>#VALUE!</v>
      </c>
      <c r="BR623" s="878" t="e">
        <f t="shared" si="578"/>
        <v>#VALUE!</v>
      </c>
      <c r="BS623" s="966" t="e">
        <f t="shared" si="579"/>
        <v>#VALUE!</v>
      </c>
    </row>
    <row r="624" spans="1:71">
      <c r="A624" s="284">
        <f t="shared" si="580"/>
        <v>556</v>
      </c>
      <c r="B624" s="285">
        <v>-2.0720228363730318</v>
      </c>
      <c r="C624" s="285">
        <v>2.4708955516996594</v>
      </c>
      <c r="D624" s="285">
        <v>2.4242433646668782</v>
      </c>
      <c r="E624" s="285">
        <v>-10.890225903250387</v>
      </c>
      <c r="H624" s="685">
        <f t="shared" si="526"/>
        <v>-3.2052566781420868</v>
      </c>
      <c r="I624" s="276">
        <f t="shared" si="527"/>
        <v>4.2215552133103769</v>
      </c>
      <c r="J624" s="276">
        <f t="shared" si="528"/>
        <v>-3.0339912237755744</v>
      </c>
      <c r="K624" s="276">
        <f t="shared" si="529"/>
        <v>-1.4726342407956603</v>
      </c>
      <c r="L624" s="276">
        <f t="shared" si="530"/>
        <v>-1.4488606053699482</v>
      </c>
      <c r="M624" s="276">
        <f t="shared" si="531"/>
        <v>-1.1603525230801863</v>
      </c>
      <c r="N624" s="685">
        <f t="shared" si="532"/>
        <v>1.2637243407277909</v>
      </c>
      <c r="O624" s="276">
        <f t="shared" si="533"/>
        <v>1.6363347561719415</v>
      </c>
      <c r="P624" s="276">
        <f t="shared" si="534"/>
        <v>1.172672233159205</v>
      </c>
      <c r="Q624" s="276">
        <f t="shared" si="535"/>
        <v>1.9583179720379917</v>
      </c>
      <c r="R624" s="276">
        <f t="shared" si="536"/>
        <v>1.9974989583614786</v>
      </c>
      <c r="S624" s="686">
        <f t="shared" si="537"/>
        <v>0.76751455514027156</v>
      </c>
      <c r="T624" s="685">
        <f t="shared" si="538"/>
        <v>5.7026070549378041</v>
      </c>
      <c r="U624" s="276">
        <f t="shared" si="539"/>
        <v>5.829249824792555</v>
      </c>
      <c r="V624" s="276">
        <f t="shared" si="540"/>
        <v>3.5757257004187486</v>
      </c>
      <c r="W624" s="276">
        <f t="shared" si="541"/>
        <v>3.9527357616595493</v>
      </c>
      <c r="X624" s="276">
        <f t="shared" si="542"/>
        <v>5.2190222152777928</v>
      </c>
      <c r="Y624" s="686">
        <f t="shared" si="543"/>
        <v>5.132677076860289</v>
      </c>
      <c r="Z624" s="685" t="e">
        <f t="shared" si="544"/>
        <v>#DIV/0!</v>
      </c>
      <c r="AA624" s="276" t="e">
        <f t="shared" si="545"/>
        <v>#DIV/0!</v>
      </c>
      <c r="AB624" s="276" t="e">
        <f t="shared" si="546"/>
        <v>#DIV/0!</v>
      </c>
      <c r="AC624" s="276" t="e">
        <f t="shared" si="547"/>
        <v>#DIV/0!</v>
      </c>
      <c r="AD624" s="276" t="e">
        <f t="shared" si="548"/>
        <v>#DIV/0!</v>
      </c>
      <c r="AE624" s="686" t="e">
        <f t="shared" si="549"/>
        <v>#DIV/0!</v>
      </c>
      <c r="AF624" s="239"/>
      <c r="AG624" s="965" t="e">
        <f t="shared" si="520"/>
        <v>#VALUE!</v>
      </c>
      <c r="AH624" s="878" t="e">
        <f t="shared" si="521"/>
        <v>#VALUE!</v>
      </c>
      <c r="AI624" s="878" t="e">
        <f t="shared" si="522"/>
        <v>#VALUE!</v>
      </c>
      <c r="AJ624" s="878" t="e">
        <f t="shared" si="523"/>
        <v>#VALUE!</v>
      </c>
      <c r="AK624" s="878" t="e">
        <f t="shared" si="524"/>
        <v>#VALUE!</v>
      </c>
      <c r="AL624" s="966" t="e">
        <f t="shared" si="525"/>
        <v>#VALUE!</v>
      </c>
      <c r="AM624" s="239"/>
      <c r="AO624" s="685">
        <f t="shared" si="550"/>
        <v>-3.2052566781420868</v>
      </c>
      <c r="AP624" s="276">
        <f t="shared" si="551"/>
        <v>4.2215552133103769</v>
      </c>
      <c r="AQ624" s="276">
        <f t="shared" si="552"/>
        <v>-3.0339912237755744</v>
      </c>
      <c r="AR624" s="276">
        <f t="shared" si="553"/>
        <v>-1.4726342407956603</v>
      </c>
      <c r="AS624" s="276">
        <f t="shared" si="554"/>
        <v>-1.4488606053699482</v>
      </c>
      <c r="AT624" s="276">
        <f t="shared" si="555"/>
        <v>-1.1603525230801863</v>
      </c>
      <c r="AU624" s="685">
        <f t="shared" si="556"/>
        <v>1.2637243407277909</v>
      </c>
      <c r="AV624" s="276">
        <f t="shared" si="557"/>
        <v>1.6363347561719415</v>
      </c>
      <c r="AW624" s="276">
        <f t="shared" si="558"/>
        <v>1.172672233159205</v>
      </c>
      <c r="AX624" s="276">
        <f t="shared" si="559"/>
        <v>1.9583179720379917</v>
      </c>
      <c r="AY624" s="276">
        <f t="shared" si="560"/>
        <v>1.9974989583614786</v>
      </c>
      <c r="AZ624" s="686">
        <f t="shared" si="561"/>
        <v>0.76751455514027156</v>
      </c>
      <c r="BA624" s="685">
        <f t="shared" si="562"/>
        <v>0</v>
      </c>
      <c r="BB624" s="276">
        <f t="shared" si="563"/>
        <v>0</v>
      </c>
      <c r="BC624" s="276">
        <f t="shared" si="564"/>
        <v>0</v>
      </c>
      <c r="BD624" s="276">
        <f t="shared" si="565"/>
        <v>0</v>
      </c>
      <c r="BE624" s="276">
        <f t="shared" si="566"/>
        <v>0</v>
      </c>
      <c r="BF624" s="686">
        <f t="shared" si="567"/>
        <v>0</v>
      </c>
      <c r="BG624" s="685" t="e">
        <f t="shared" si="568"/>
        <v>#DIV/0!</v>
      </c>
      <c r="BH624" s="276" t="e">
        <f t="shared" si="569"/>
        <v>#DIV/0!</v>
      </c>
      <c r="BI624" s="276" t="e">
        <f t="shared" si="570"/>
        <v>#DIV/0!</v>
      </c>
      <c r="BJ624" s="276" t="e">
        <f t="shared" si="571"/>
        <v>#DIV/0!</v>
      </c>
      <c r="BK624" s="276" t="e">
        <f t="shared" si="572"/>
        <v>#DIV/0!</v>
      </c>
      <c r="BL624" s="686" t="e">
        <f t="shared" si="573"/>
        <v>#DIV/0!</v>
      </c>
      <c r="BM624" s="239"/>
      <c r="BN624" s="965" t="e">
        <f t="shared" si="574"/>
        <v>#VALUE!</v>
      </c>
      <c r="BO624" s="878" t="e">
        <f t="shared" si="575"/>
        <v>#VALUE!</v>
      </c>
      <c r="BP624" s="878" t="e">
        <f t="shared" si="576"/>
        <v>#VALUE!</v>
      </c>
      <c r="BQ624" s="878" t="e">
        <f t="shared" si="577"/>
        <v>#VALUE!</v>
      </c>
      <c r="BR624" s="878" t="e">
        <f t="shared" si="578"/>
        <v>#VALUE!</v>
      </c>
      <c r="BS624" s="966" t="e">
        <f t="shared" si="579"/>
        <v>#VALUE!</v>
      </c>
    </row>
    <row r="625" spans="1:71">
      <c r="A625" s="284">
        <f t="shared" si="580"/>
        <v>557</v>
      </c>
      <c r="B625" s="285">
        <v>-0.33440054145666559</v>
      </c>
      <c r="C625" s="285">
        <v>2.1843106623768027</v>
      </c>
      <c r="D625" s="285">
        <v>1.1818439737117299</v>
      </c>
      <c r="E625" s="285">
        <v>-5.7495027677124639</v>
      </c>
      <c r="H625" s="685">
        <f t="shared" si="526"/>
        <v>-1.4676343832257204</v>
      </c>
      <c r="I625" s="276">
        <f t="shared" si="527"/>
        <v>3.3518053330187723</v>
      </c>
      <c r="J625" s="276">
        <f t="shared" si="528"/>
        <v>-3.3455621149872234</v>
      </c>
      <c r="K625" s="276">
        <f t="shared" si="529"/>
        <v>-2.206145931096092</v>
      </c>
      <c r="L625" s="276">
        <f t="shared" si="530"/>
        <v>-1.5579495138147079</v>
      </c>
      <c r="M625" s="276">
        <f t="shared" si="531"/>
        <v>1.8191478398196577</v>
      </c>
      <c r="N625" s="685">
        <f t="shared" si="532"/>
        <v>0.9771394514049343</v>
      </c>
      <c r="O625" s="276">
        <f t="shared" si="533"/>
        <v>2.0183919814939033</v>
      </c>
      <c r="P625" s="276">
        <f t="shared" si="534"/>
        <v>1.3068913728442573</v>
      </c>
      <c r="Q625" s="276">
        <f t="shared" si="535"/>
        <v>1.849432176419892</v>
      </c>
      <c r="R625" s="276">
        <f t="shared" si="536"/>
        <v>1.8158788308132341</v>
      </c>
      <c r="S625" s="686">
        <f t="shared" si="537"/>
        <v>1.3610476393519579</v>
      </c>
      <c r="T625" s="685">
        <f t="shared" si="538"/>
        <v>4.460207663982656</v>
      </c>
      <c r="U625" s="276">
        <f t="shared" si="539"/>
        <v>3.7378824589172446</v>
      </c>
      <c r="V625" s="276">
        <f t="shared" si="540"/>
        <v>2.7542369315680997</v>
      </c>
      <c r="W625" s="276">
        <f t="shared" si="541"/>
        <v>4.0208000680883895</v>
      </c>
      <c r="X625" s="276">
        <f t="shared" si="542"/>
        <v>3.4676069265322096</v>
      </c>
      <c r="Y625" s="686">
        <f t="shared" si="543"/>
        <v>5.8262007410751409</v>
      </c>
      <c r="Z625" s="685" t="e">
        <f t="shared" si="544"/>
        <v>#DIV/0!</v>
      </c>
      <c r="AA625" s="276" t="e">
        <f t="shared" si="545"/>
        <v>#DIV/0!</v>
      </c>
      <c r="AB625" s="276" t="e">
        <f t="shared" si="546"/>
        <v>#DIV/0!</v>
      </c>
      <c r="AC625" s="276" t="e">
        <f t="shared" si="547"/>
        <v>#DIV/0!</v>
      </c>
      <c r="AD625" s="276" t="e">
        <f t="shared" si="548"/>
        <v>#DIV/0!</v>
      </c>
      <c r="AE625" s="686" t="e">
        <f t="shared" si="549"/>
        <v>#DIV/0!</v>
      </c>
      <c r="AF625" s="239"/>
      <c r="AG625" s="965" t="e">
        <f t="shared" si="520"/>
        <v>#VALUE!</v>
      </c>
      <c r="AH625" s="878" t="e">
        <f t="shared" si="521"/>
        <v>#VALUE!</v>
      </c>
      <c r="AI625" s="878" t="e">
        <f t="shared" si="522"/>
        <v>#VALUE!</v>
      </c>
      <c r="AJ625" s="878" t="e">
        <f t="shared" si="523"/>
        <v>#VALUE!</v>
      </c>
      <c r="AK625" s="878" t="e">
        <f t="shared" si="524"/>
        <v>#VALUE!</v>
      </c>
      <c r="AL625" s="966" t="e">
        <f t="shared" si="525"/>
        <v>#VALUE!</v>
      </c>
      <c r="AM625" s="239"/>
      <c r="AO625" s="685">
        <f t="shared" si="550"/>
        <v>-1.4676343832257204</v>
      </c>
      <c r="AP625" s="276">
        <f t="shared" si="551"/>
        <v>3.3518053330187723</v>
      </c>
      <c r="AQ625" s="276">
        <f t="shared" si="552"/>
        <v>-3.3455621149872234</v>
      </c>
      <c r="AR625" s="276">
        <f t="shared" si="553"/>
        <v>-2.206145931096092</v>
      </c>
      <c r="AS625" s="276">
        <f t="shared" si="554"/>
        <v>-1.5579495138147079</v>
      </c>
      <c r="AT625" s="276">
        <f t="shared" si="555"/>
        <v>1.8191478398196577</v>
      </c>
      <c r="AU625" s="685">
        <f t="shared" si="556"/>
        <v>0.9771394514049343</v>
      </c>
      <c r="AV625" s="276">
        <f t="shared" si="557"/>
        <v>2.0183919814939033</v>
      </c>
      <c r="AW625" s="276">
        <f t="shared" si="558"/>
        <v>1.3068913728442573</v>
      </c>
      <c r="AX625" s="276">
        <f t="shared" si="559"/>
        <v>1.849432176419892</v>
      </c>
      <c r="AY625" s="276">
        <f t="shared" si="560"/>
        <v>1.8158788308132341</v>
      </c>
      <c r="AZ625" s="686">
        <f t="shared" si="561"/>
        <v>1.3610476393519579</v>
      </c>
      <c r="BA625" s="685">
        <f t="shared" si="562"/>
        <v>0</v>
      </c>
      <c r="BB625" s="276">
        <f t="shared" si="563"/>
        <v>0</v>
      </c>
      <c r="BC625" s="276">
        <f t="shared" si="564"/>
        <v>0</v>
      </c>
      <c r="BD625" s="276">
        <f t="shared" si="565"/>
        <v>0</v>
      </c>
      <c r="BE625" s="276">
        <f t="shared" si="566"/>
        <v>0</v>
      </c>
      <c r="BF625" s="686">
        <f t="shared" si="567"/>
        <v>0</v>
      </c>
      <c r="BG625" s="685" t="e">
        <f t="shared" si="568"/>
        <v>#DIV/0!</v>
      </c>
      <c r="BH625" s="276" t="e">
        <f t="shared" si="569"/>
        <v>#DIV/0!</v>
      </c>
      <c r="BI625" s="276" t="e">
        <f t="shared" si="570"/>
        <v>#DIV/0!</v>
      </c>
      <c r="BJ625" s="276" t="e">
        <f t="shared" si="571"/>
        <v>#DIV/0!</v>
      </c>
      <c r="BK625" s="276" t="e">
        <f t="shared" si="572"/>
        <v>#DIV/0!</v>
      </c>
      <c r="BL625" s="686" t="e">
        <f t="shared" si="573"/>
        <v>#DIV/0!</v>
      </c>
      <c r="BM625" s="239"/>
      <c r="BN625" s="965" t="e">
        <f t="shared" si="574"/>
        <v>#VALUE!</v>
      </c>
      <c r="BO625" s="878" t="e">
        <f t="shared" si="575"/>
        <v>#VALUE!</v>
      </c>
      <c r="BP625" s="878" t="e">
        <f t="shared" si="576"/>
        <v>#VALUE!</v>
      </c>
      <c r="BQ625" s="878" t="e">
        <f t="shared" si="577"/>
        <v>#VALUE!</v>
      </c>
      <c r="BR625" s="878" t="e">
        <f t="shared" si="578"/>
        <v>#VALUE!</v>
      </c>
      <c r="BS625" s="966" t="e">
        <f t="shared" si="579"/>
        <v>#VALUE!</v>
      </c>
    </row>
    <row r="626" spans="1:71">
      <c r="A626" s="284">
        <f t="shared" si="580"/>
        <v>558</v>
      </c>
      <c r="B626" s="285">
        <v>-0.73445242113122966</v>
      </c>
      <c r="C626" s="285">
        <v>2.7574247154617089</v>
      </c>
      <c r="D626" s="285">
        <v>2.7659609897691877</v>
      </c>
      <c r="E626" s="285">
        <v>-4.0737203834240745</v>
      </c>
      <c r="H626" s="685">
        <f t="shared" si="526"/>
        <v>-1.8676862629002846</v>
      </c>
      <c r="I626" s="276">
        <f t="shared" si="527"/>
        <v>0.13893963412431387</v>
      </c>
      <c r="J626" s="276">
        <f t="shared" si="528"/>
        <v>-3.2896869099152823</v>
      </c>
      <c r="K626" s="276">
        <f t="shared" si="529"/>
        <v>-1.106295961872789</v>
      </c>
      <c r="L626" s="276">
        <f t="shared" si="530"/>
        <v>-1.913437692751967</v>
      </c>
      <c r="M626" s="276">
        <f t="shared" si="531"/>
        <v>-2.1469029631715024</v>
      </c>
      <c r="N626" s="685">
        <f t="shared" si="532"/>
        <v>1.5502535044898405</v>
      </c>
      <c r="O626" s="276">
        <f t="shared" si="533"/>
        <v>1.2489544341248655</v>
      </c>
      <c r="P626" s="276">
        <f t="shared" si="534"/>
        <v>0.48101850342921471</v>
      </c>
      <c r="Q626" s="276">
        <f t="shared" si="535"/>
        <v>1.8768212732930174</v>
      </c>
      <c r="R626" s="276">
        <f t="shared" si="536"/>
        <v>1.3734332026188809</v>
      </c>
      <c r="S626" s="686">
        <f t="shared" si="537"/>
        <v>1.1093899867669863</v>
      </c>
      <c r="T626" s="685">
        <f t="shared" si="538"/>
        <v>6.0443246800401136</v>
      </c>
      <c r="U626" s="276">
        <f t="shared" si="539"/>
        <v>2.0225412139901633</v>
      </c>
      <c r="V626" s="276">
        <f t="shared" si="540"/>
        <v>4.9869717408869718</v>
      </c>
      <c r="W626" s="276">
        <f t="shared" si="541"/>
        <v>6.3121475111406635</v>
      </c>
      <c r="X626" s="276">
        <f t="shared" si="542"/>
        <v>4.3684265401194713</v>
      </c>
      <c r="Y626" s="686">
        <f t="shared" si="543"/>
        <v>3.4647164884447372</v>
      </c>
      <c r="Z626" s="685" t="e">
        <f t="shared" si="544"/>
        <v>#DIV/0!</v>
      </c>
      <c r="AA626" s="276" t="e">
        <f t="shared" si="545"/>
        <v>#DIV/0!</v>
      </c>
      <c r="AB626" s="276" t="e">
        <f t="shared" si="546"/>
        <v>#DIV/0!</v>
      </c>
      <c r="AC626" s="276" t="e">
        <f t="shared" si="547"/>
        <v>#DIV/0!</v>
      </c>
      <c r="AD626" s="276" t="e">
        <f t="shared" si="548"/>
        <v>#DIV/0!</v>
      </c>
      <c r="AE626" s="686" t="e">
        <f t="shared" si="549"/>
        <v>#DIV/0!</v>
      </c>
      <c r="AF626" s="239"/>
      <c r="AG626" s="965" t="e">
        <f t="shared" si="520"/>
        <v>#VALUE!</v>
      </c>
      <c r="AH626" s="878" t="e">
        <f t="shared" si="521"/>
        <v>#VALUE!</v>
      </c>
      <c r="AI626" s="878" t="e">
        <f t="shared" si="522"/>
        <v>#VALUE!</v>
      </c>
      <c r="AJ626" s="878" t="e">
        <f t="shared" si="523"/>
        <v>#VALUE!</v>
      </c>
      <c r="AK626" s="878" t="e">
        <f t="shared" si="524"/>
        <v>#VALUE!</v>
      </c>
      <c r="AL626" s="966" t="e">
        <f t="shared" si="525"/>
        <v>#VALUE!</v>
      </c>
      <c r="AM626" s="239"/>
      <c r="AO626" s="685">
        <f t="shared" si="550"/>
        <v>-1.8676862629002846</v>
      </c>
      <c r="AP626" s="276">
        <f t="shared" si="551"/>
        <v>0.13893963412431387</v>
      </c>
      <c r="AQ626" s="276">
        <f t="shared" si="552"/>
        <v>-3.2896869099152823</v>
      </c>
      <c r="AR626" s="276">
        <f t="shared" si="553"/>
        <v>-1.106295961872789</v>
      </c>
      <c r="AS626" s="276">
        <f t="shared" si="554"/>
        <v>-1.913437692751967</v>
      </c>
      <c r="AT626" s="276">
        <f t="shared" si="555"/>
        <v>-2.1469029631715024</v>
      </c>
      <c r="AU626" s="685">
        <f t="shared" si="556"/>
        <v>1.5502535044898405</v>
      </c>
      <c r="AV626" s="276">
        <f t="shared" si="557"/>
        <v>1.2489544341248655</v>
      </c>
      <c r="AW626" s="276">
        <f t="shared" si="558"/>
        <v>0.48101850342921471</v>
      </c>
      <c r="AX626" s="276">
        <f t="shared" si="559"/>
        <v>1.8768212732930174</v>
      </c>
      <c r="AY626" s="276">
        <f t="shared" si="560"/>
        <v>1.3734332026188809</v>
      </c>
      <c r="AZ626" s="686">
        <f t="shared" si="561"/>
        <v>1.1093899867669863</v>
      </c>
      <c r="BA626" s="685">
        <f t="shared" si="562"/>
        <v>0</v>
      </c>
      <c r="BB626" s="276">
        <f t="shared" si="563"/>
        <v>0</v>
      </c>
      <c r="BC626" s="276">
        <f t="shared" si="564"/>
        <v>0</v>
      </c>
      <c r="BD626" s="276">
        <f t="shared" si="565"/>
        <v>0</v>
      </c>
      <c r="BE626" s="276">
        <f t="shared" si="566"/>
        <v>0</v>
      </c>
      <c r="BF626" s="686">
        <f t="shared" si="567"/>
        <v>0</v>
      </c>
      <c r="BG626" s="685" t="e">
        <f t="shared" si="568"/>
        <v>#DIV/0!</v>
      </c>
      <c r="BH626" s="276" t="e">
        <f t="shared" si="569"/>
        <v>#DIV/0!</v>
      </c>
      <c r="BI626" s="276" t="e">
        <f t="shared" si="570"/>
        <v>#DIV/0!</v>
      </c>
      <c r="BJ626" s="276" t="e">
        <f t="shared" si="571"/>
        <v>#DIV/0!</v>
      </c>
      <c r="BK626" s="276" t="e">
        <f t="shared" si="572"/>
        <v>#DIV/0!</v>
      </c>
      <c r="BL626" s="686" t="e">
        <f t="shared" si="573"/>
        <v>#DIV/0!</v>
      </c>
      <c r="BM626" s="239"/>
      <c r="BN626" s="965" t="e">
        <f t="shared" si="574"/>
        <v>#VALUE!</v>
      </c>
      <c r="BO626" s="878" t="e">
        <f t="shared" si="575"/>
        <v>#VALUE!</v>
      </c>
      <c r="BP626" s="878" t="e">
        <f t="shared" si="576"/>
        <v>#VALUE!</v>
      </c>
      <c r="BQ626" s="878" t="e">
        <f t="shared" si="577"/>
        <v>#VALUE!</v>
      </c>
      <c r="BR626" s="878" t="e">
        <f t="shared" si="578"/>
        <v>#VALUE!</v>
      </c>
      <c r="BS626" s="966" t="e">
        <f t="shared" si="579"/>
        <v>#VALUE!</v>
      </c>
    </row>
    <row r="627" spans="1:71">
      <c r="A627" s="284">
        <f t="shared" si="580"/>
        <v>559</v>
      </c>
      <c r="B627" s="285">
        <v>0.19436797011966278</v>
      </c>
      <c r="C627" s="285">
        <v>2.5530092383417489</v>
      </c>
      <c r="D627" s="285">
        <v>2.7843623389661074</v>
      </c>
      <c r="E627" s="285">
        <v>1.0020823864118591</v>
      </c>
      <c r="H627" s="685">
        <f t="shared" si="526"/>
        <v>-0.93886587164939206</v>
      </c>
      <c r="I627" s="276">
        <f t="shared" si="527"/>
        <v>-2.486428136139998</v>
      </c>
      <c r="J627" s="276">
        <f t="shared" si="528"/>
        <v>-1.60656082294132</v>
      </c>
      <c r="K627" s="276">
        <f t="shared" si="529"/>
        <v>-0.8338434053199959</v>
      </c>
      <c r="L627" s="276">
        <f t="shared" si="530"/>
        <v>0.2077720679867785</v>
      </c>
      <c r="M627" s="276">
        <f t="shared" si="531"/>
        <v>-4.5344776824280943</v>
      </c>
      <c r="N627" s="685">
        <f t="shared" si="532"/>
        <v>1.3458380273698805</v>
      </c>
      <c r="O627" s="276">
        <f t="shared" si="533"/>
        <v>1.0483159431228601</v>
      </c>
      <c r="P627" s="276">
        <f t="shared" si="534"/>
        <v>1.4564277461228874</v>
      </c>
      <c r="Q627" s="276">
        <f t="shared" si="535"/>
        <v>1.3509361881763098</v>
      </c>
      <c r="R627" s="276">
        <f t="shared" si="536"/>
        <v>0.96367586868013544</v>
      </c>
      <c r="S627" s="686">
        <f t="shared" si="537"/>
        <v>1.3860132600943846</v>
      </c>
      <c r="T627" s="685">
        <f t="shared" si="538"/>
        <v>6.0627260292370337</v>
      </c>
      <c r="U627" s="276">
        <f t="shared" si="539"/>
        <v>3.4754302779126141</v>
      </c>
      <c r="V627" s="276">
        <f t="shared" si="540"/>
        <v>5.0834748037180386</v>
      </c>
      <c r="W627" s="276">
        <f t="shared" si="541"/>
        <v>4.5681470564319397</v>
      </c>
      <c r="X627" s="276">
        <f t="shared" si="542"/>
        <v>6.1020401828474196</v>
      </c>
      <c r="Y627" s="686">
        <f t="shared" si="543"/>
        <v>2.3225898435873611</v>
      </c>
      <c r="Z627" s="685" t="e">
        <f t="shared" si="544"/>
        <v>#DIV/0!</v>
      </c>
      <c r="AA627" s="276" t="e">
        <f t="shared" si="545"/>
        <v>#DIV/0!</v>
      </c>
      <c r="AB627" s="276" t="e">
        <f t="shared" si="546"/>
        <v>#DIV/0!</v>
      </c>
      <c r="AC627" s="276" t="e">
        <f t="shared" si="547"/>
        <v>#DIV/0!</v>
      </c>
      <c r="AD627" s="276" t="e">
        <f t="shared" si="548"/>
        <v>#DIV/0!</v>
      </c>
      <c r="AE627" s="686" t="e">
        <f t="shared" si="549"/>
        <v>#DIV/0!</v>
      </c>
      <c r="AF627" s="239"/>
      <c r="AG627" s="965" t="e">
        <f t="shared" si="520"/>
        <v>#VALUE!</v>
      </c>
      <c r="AH627" s="878" t="e">
        <f t="shared" si="521"/>
        <v>#VALUE!</v>
      </c>
      <c r="AI627" s="878" t="e">
        <f t="shared" si="522"/>
        <v>#VALUE!</v>
      </c>
      <c r="AJ627" s="878" t="e">
        <f t="shared" si="523"/>
        <v>#VALUE!</v>
      </c>
      <c r="AK627" s="878" t="e">
        <f t="shared" si="524"/>
        <v>#VALUE!</v>
      </c>
      <c r="AL627" s="966" t="e">
        <f t="shared" si="525"/>
        <v>#VALUE!</v>
      </c>
      <c r="AM627" s="239"/>
      <c r="AO627" s="685">
        <f t="shared" si="550"/>
        <v>-0.93886587164939206</v>
      </c>
      <c r="AP627" s="276">
        <f t="shared" si="551"/>
        <v>-2.486428136139998</v>
      </c>
      <c r="AQ627" s="276">
        <f t="shared" si="552"/>
        <v>-1.60656082294132</v>
      </c>
      <c r="AR627" s="276">
        <f t="shared" si="553"/>
        <v>-0.8338434053199959</v>
      </c>
      <c r="AS627" s="276">
        <f t="shared" si="554"/>
        <v>0.2077720679867785</v>
      </c>
      <c r="AT627" s="276">
        <f t="shared" si="555"/>
        <v>-4.5344776824280943</v>
      </c>
      <c r="AU627" s="685">
        <f t="shared" si="556"/>
        <v>1.3458380273698805</v>
      </c>
      <c r="AV627" s="276">
        <f t="shared" si="557"/>
        <v>1.0483159431228601</v>
      </c>
      <c r="AW627" s="276">
        <f t="shared" si="558"/>
        <v>1.4564277461228874</v>
      </c>
      <c r="AX627" s="276">
        <f t="shared" si="559"/>
        <v>1.3509361881763098</v>
      </c>
      <c r="AY627" s="276">
        <f t="shared" si="560"/>
        <v>0.96367586868013544</v>
      </c>
      <c r="AZ627" s="686">
        <f t="shared" si="561"/>
        <v>1.3860132600943846</v>
      </c>
      <c r="BA627" s="685">
        <f t="shared" si="562"/>
        <v>0</v>
      </c>
      <c r="BB627" s="276">
        <f t="shared" si="563"/>
        <v>0</v>
      </c>
      <c r="BC627" s="276">
        <f t="shared" si="564"/>
        <v>0</v>
      </c>
      <c r="BD627" s="276">
        <f t="shared" si="565"/>
        <v>0</v>
      </c>
      <c r="BE627" s="276">
        <f t="shared" si="566"/>
        <v>0</v>
      </c>
      <c r="BF627" s="686">
        <f t="shared" si="567"/>
        <v>0</v>
      </c>
      <c r="BG627" s="685" t="e">
        <f t="shared" si="568"/>
        <v>#DIV/0!</v>
      </c>
      <c r="BH627" s="276" t="e">
        <f t="shared" si="569"/>
        <v>#DIV/0!</v>
      </c>
      <c r="BI627" s="276" t="e">
        <f t="shared" si="570"/>
        <v>#DIV/0!</v>
      </c>
      <c r="BJ627" s="276" t="e">
        <f t="shared" si="571"/>
        <v>#DIV/0!</v>
      </c>
      <c r="BK627" s="276" t="e">
        <f t="shared" si="572"/>
        <v>#DIV/0!</v>
      </c>
      <c r="BL627" s="686" t="e">
        <f t="shared" si="573"/>
        <v>#DIV/0!</v>
      </c>
      <c r="BM627" s="239"/>
      <c r="BN627" s="965" t="e">
        <f t="shared" si="574"/>
        <v>#VALUE!</v>
      </c>
      <c r="BO627" s="878" t="e">
        <f t="shared" si="575"/>
        <v>#VALUE!</v>
      </c>
      <c r="BP627" s="878" t="e">
        <f t="shared" si="576"/>
        <v>#VALUE!</v>
      </c>
      <c r="BQ627" s="878" t="e">
        <f t="shared" si="577"/>
        <v>#VALUE!</v>
      </c>
      <c r="BR627" s="878" t="e">
        <f t="shared" si="578"/>
        <v>#VALUE!</v>
      </c>
      <c r="BS627" s="966" t="e">
        <f t="shared" si="579"/>
        <v>#VALUE!</v>
      </c>
    </row>
    <row r="628" spans="1:71">
      <c r="A628" s="284">
        <f t="shared" si="580"/>
        <v>560</v>
      </c>
      <c r="B628" s="285">
        <v>-0.55261114523715638</v>
      </c>
      <c r="C628" s="285">
        <v>2.7741416256441611</v>
      </c>
      <c r="D628" s="285">
        <v>1.8487630079810566</v>
      </c>
      <c r="E628" s="285">
        <v>4.8261149762940665</v>
      </c>
      <c r="H628" s="685">
        <f t="shared" si="526"/>
        <v>-1.6858449870062113</v>
      </c>
      <c r="I628" s="276">
        <f t="shared" si="527"/>
        <v>-0.18114732848393844</v>
      </c>
      <c r="J628" s="276">
        <f t="shared" si="528"/>
        <v>-1.5140518211268181</v>
      </c>
      <c r="K628" s="276">
        <f t="shared" si="529"/>
        <v>-0.87611923589564811</v>
      </c>
      <c r="L628" s="276">
        <f t="shared" si="530"/>
        <v>-2.2028205707327526</v>
      </c>
      <c r="M628" s="276">
        <f t="shared" si="531"/>
        <v>3.0860449665919649</v>
      </c>
      <c r="N628" s="685">
        <f t="shared" si="532"/>
        <v>1.5669704146722927</v>
      </c>
      <c r="O628" s="276">
        <f t="shared" si="533"/>
        <v>1.5683631387503241</v>
      </c>
      <c r="P628" s="276">
        <f t="shared" si="534"/>
        <v>1.1415530222807015</v>
      </c>
      <c r="Q628" s="276">
        <f t="shared" si="535"/>
        <v>1.1757362720788833</v>
      </c>
      <c r="R628" s="276">
        <f t="shared" si="536"/>
        <v>1.9740491963375717</v>
      </c>
      <c r="S628" s="686">
        <f t="shared" si="537"/>
        <v>0.79133325225380946</v>
      </c>
      <c r="T628" s="685">
        <f t="shared" si="538"/>
        <v>5.127126698251983</v>
      </c>
      <c r="U628" s="276">
        <f t="shared" si="539"/>
        <v>4.7066290837301734</v>
      </c>
      <c r="V628" s="276">
        <f t="shared" si="540"/>
        <v>3.0055022718149251</v>
      </c>
      <c r="W628" s="276">
        <f t="shared" si="541"/>
        <v>4.1265605440744659</v>
      </c>
      <c r="X628" s="276">
        <f t="shared" si="542"/>
        <v>2.2047730890843629</v>
      </c>
      <c r="Y628" s="686">
        <f t="shared" si="543"/>
        <v>6.9716734245498353</v>
      </c>
      <c r="Z628" s="685" t="e">
        <f t="shared" si="544"/>
        <v>#DIV/0!</v>
      </c>
      <c r="AA628" s="276" t="e">
        <f t="shared" si="545"/>
        <v>#DIV/0!</v>
      </c>
      <c r="AB628" s="276" t="e">
        <f t="shared" si="546"/>
        <v>#DIV/0!</v>
      </c>
      <c r="AC628" s="276" t="e">
        <f t="shared" si="547"/>
        <v>#DIV/0!</v>
      </c>
      <c r="AD628" s="276" t="e">
        <f t="shared" si="548"/>
        <v>#DIV/0!</v>
      </c>
      <c r="AE628" s="686" t="e">
        <f t="shared" si="549"/>
        <v>#DIV/0!</v>
      </c>
      <c r="AF628" s="239"/>
      <c r="AG628" s="965" t="e">
        <f t="shared" si="520"/>
        <v>#VALUE!</v>
      </c>
      <c r="AH628" s="878" t="e">
        <f t="shared" si="521"/>
        <v>#VALUE!</v>
      </c>
      <c r="AI628" s="878" t="e">
        <f t="shared" si="522"/>
        <v>#VALUE!</v>
      </c>
      <c r="AJ628" s="878" t="e">
        <f t="shared" si="523"/>
        <v>#VALUE!</v>
      </c>
      <c r="AK628" s="878" t="e">
        <f t="shared" si="524"/>
        <v>#VALUE!</v>
      </c>
      <c r="AL628" s="966" t="e">
        <f t="shared" si="525"/>
        <v>#VALUE!</v>
      </c>
      <c r="AM628" s="239"/>
      <c r="AO628" s="685">
        <f t="shared" si="550"/>
        <v>-1.6858449870062113</v>
      </c>
      <c r="AP628" s="276">
        <f t="shared" si="551"/>
        <v>-0.18114732848393844</v>
      </c>
      <c r="AQ628" s="276">
        <f t="shared" si="552"/>
        <v>-1.5140518211268181</v>
      </c>
      <c r="AR628" s="276">
        <f t="shared" si="553"/>
        <v>-0.87611923589564811</v>
      </c>
      <c r="AS628" s="276">
        <f t="shared" si="554"/>
        <v>-2.2028205707327526</v>
      </c>
      <c r="AT628" s="276">
        <f t="shared" si="555"/>
        <v>3.0860449665919649</v>
      </c>
      <c r="AU628" s="685">
        <f t="shared" si="556"/>
        <v>1.5669704146722927</v>
      </c>
      <c r="AV628" s="276">
        <f t="shared" si="557"/>
        <v>1.5683631387503241</v>
      </c>
      <c r="AW628" s="276">
        <f t="shared" si="558"/>
        <v>1.1415530222807015</v>
      </c>
      <c r="AX628" s="276">
        <f t="shared" si="559"/>
        <v>1.1757362720788833</v>
      </c>
      <c r="AY628" s="276">
        <f t="shared" si="560"/>
        <v>1.9740491963375717</v>
      </c>
      <c r="AZ628" s="686">
        <f t="shared" si="561"/>
        <v>0.79133325225380946</v>
      </c>
      <c r="BA628" s="685">
        <f t="shared" si="562"/>
        <v>0</v>
      </c>
      <c r="BB628" s="276">
        <f t="shared" si="563"/>
        <v>0</v>
      </c>
      <c r="BC628" s="276">
        <f t="shared" si="564"/>
        <v>0</v>
      </c>
      <c r="BD628" s="276">
        <f t="shared" si="565"/>
        <v>0</v>
      </c>
      <c r="BE628" s="276">
        <f t="shared" si="566"/>
        <v>0</v>
      </c>
      <c r="BF628" s="686">
        <f t="shared" si="567"/>
        <v>0</v>
      </c>
      <c r="BG628" s="685" t="e">
        <f t="shared" si="568"/>
        <v>#DIV/0!</v>
      </c>
      <c r="BH628" s="276" t="e">
        <f t="shared" si="569"/>
        <v>#DIV/0!</v>
      </c>
      <c r="BI628" s="276" t="e">
        <f t="shared" si="570"/>
        <v>#DIV/0!</v>
      </c>
      <c r="BJ628" s="276" t="e">
        <f t="shared" si="571"/>
        <v>#DIV/0!</v>
      </c>
      <c r="BK628" s="276" t="e">
        <f t="shared" si="572"/>
        <v>#DIV/0!</v>
      </c>
      <c r="BL628" s="686" t="e">
        <f t="shared" si="573"/>
        <v>#DIV/0!</v>
      </c>
      <c r="BM628" s="239"/>
      <c r="BN628" s="965" t="e">
        <f t="shared" si="574"/>
        <v>#VALUE!</v>
      </c>
      <c r="BO628" s="878" t="e">
        <f t="shared" si="575"/>
        <v>#VALUE!</v>
      </c>
      <c r="BP628" s="878" t="e">
        <f t="shared" si="576"/>
        <v>#VALUE!</v>
      </c>
      <c r="BQ628" s="878" t="e">
        <f t="shared" si="577"/>
        <v>#VALUE!</v>
      </c>
      <c r="BR628" s="878" t="e">
        <f t="shared" si="578"/>
        <v>#VALUE!</v>
      </c>
      <c r="BS628" s="966" t="e">
        <f t="shared" si="579"/>
        <v>#VALUE!</v>
      </c>
    </row>
    <row r="629" spans="1:71">
      <c r="A629" s="284">
        <f t="shared" si="580"/>
        <v>561</v>
      </c>
      <c r="B629" s="285">
        <v>2.0464590756448331</v>
      </c>
      <c r="C629" s="285">
        <v>2.7878483844923534</v>
      </c>
      <c r="D629" s="285">
        <v>0.60088262486840671</v>
      </c>
      <c r="E629" s="285">
        <v>-1.0669414198181029</v>
      </c>
      <c r="H629" s="685">
        <f t="shared" si="526"/>
        <v>0.91322523387577825</v>
      </c>
      <c r="I629" s="276">
        <f t="shared" si="527"/>
        <v>-3.931685977931962</v>
      </c>
      <c r="J629" s="276">
        <f t="shared" si="528"/>
        <v>2.9275291141738249</v>
      </c>
      <c r="K629" s="276">
        <f t="shared" si="529"/>
        <v>-1.1665503949538232</v>
      </c>
      <c r="L629" s="276">
        <f t="shared" si="530"/>
        <v>-1.9935877936441408</v>
      </c>
      <c r="M629" s="276">
        <f t="shared" si="531"/>
        <v>-2.9784736666153031</v>
      </c>
      <c r="N629" s="685">
        <f t="shared" si="532"/>
        <v>1.580677173520485</v>
      </c>
      <c r="O629" s="276">
        <f t="shared" si="533"/>
        <v>0.77818053810782684</v>
      </c>
      <c r="P629" s="276">
        <f t="shared" si="534"/>
        <v>1.5242129348858569</v>
      </c>
      <c r="Q629" s="276">
        <f t="shared" si="535"/>
        <v>1.9457738424482496</v>
      </c>
      <c r="R629" s="276">
        <f t="shared" si="536"/>
        <v>1.4202097373838878</v>
      </c>
      <c r="S629" s="686">
        <f t="shared" si="537"/>
        <v>1.143628878240887</v>
      </c>
      <c r="T629" s="685">
        <f t="shared" si="538"/>
        <v>3.8792463151393326</v>
      </c>
      <c r="U629" s="276">
        <f t="shared" si="539"/>
        <v>3.6195932382578064</v>
      </c>
      <c r="V629" s="276">
        <f t="shared" si="540"/>
        <v>4.9501089287920284</v>
      </c>
      <c r="W629" s="276">
        <f t="shared" si="541"/>
        <v>5.0581971654848976</v>
      </c>
      <c r="X629" s="276">
        <f t="shared" si="542"/>
        <v>3.9732410448037347</v>
      </c>
      <c r="Y629" s="686">
        <f t="shared" si="543"/>
        <v>3.4319902010453776</v>
      </c>
      <c r="Z629" s="685" t="e">
        <f t="shared" si="544"/>
        <v>#DIV/0!</v>
      </c>
      <c r="AA629" s="276" t="e">
        <f t="shared" si="545"/>
        <v>#DIV/0!</v>
      </c>
      <c r="AB629" s="276" t="e">
        <f t="shared" si="546"/>
        <v>#DIV/0!</v>
      </c>
      <c r="AC629" s="276" t="e">
        <f t="shared" si="547"/>
        <v>#DIV/0!</v>
      </c>
      <c r="AD629" s="276" t="e">
        <f t="shared" si="548"/>
        <v>#DIV/0!</v>
      </c>
      <c r="AE629" s="686" t="e">
        <f t="shared" si="549"/>
        <v>#DIV/0!</v>
      </c>
      <c r="AF629" s="239"/>
      <c r="AG629" s="965" t="e">
        <f t="shared" si="520"/>
        <v>#VALUE!</v>
      </c>
      <c r="AH629" s="878" t="e">
        <f t="shared" si="521"/>
        <v>#VALUE!</v>
      </c>
      <c r="AI629" s="878" t="e">
        <f t="shared" si="522"/>
        <v>#VALUE!</v>
      </c>
      <c r="AJ629" s="878" t="e">
        <f t="shared" si="523"/>
        <v>#VALUE!</v>
      </c>
      <c r="AK629" s="878" t="e">
        <f t="shared" si="524"/>
        <v>#VALUE!</v>
      </c>
      <c r="AL629" s="966" t="e">
        <f t="shared" si="525"/>
        <v>#VALUE!</v>
      </c>
      <c r="AM629" s="239"/>
      <c r="AO629" s="685">
        <f t="shared" si="550"/>
        <v>0.91322523387577825</v>
      </c>
      <c r="AP629" s="276">
        <f t="shared" si="551"/>
        <v>-3.931685977931962</v>
      </c>
      <c r="AQ629" s="276">
        <f t="shared" si="552"/>
        <v>2.9275291141738249</v>
      </c>
      <c r="AR629" s="276">
        <f t="shared" si="553"/>
        <v>-1.1665503949538232</v>
      </c>
      <c r="AS629" s="276">
        <f t="shared" si="554"/>
        <v>-1.9935877936441408</v>
      </c>
      <c r="AT629" s="276">
        <f t="shared" si="555"/>
        <v>-2.9784736666153031</v>
      </c>
      <c r="AU629" s="685">
        <f t="shared" si="556"/>
        <v>1.580677173520485</v>
      </c>
      <c r="AV629" s="276">
        <f t="shared" si="557"/>
        <v>0.77818053810782684</v>
      </c>
      <c r="AW629" s="276">
        <f t="shared" si="558"/>
        <v>1.5242129348858569</v>
      </c>
      <c r="AX629" s="276">
        <f t="shared" si="559"/>
        <v>1.9457738424482496</v>
      </c>
      <c r="AY629" s="276">
        <f t="shared" si="560"/>
        <v>1.4202097373838878</v>
      </c>
      <c r="AZ629" s="686">
        <f t="shared" si="561"/>
        <v>1.143628878240887</v>
      </c>
      <c r="BA629" s="685">
        <f t="shared" si="562"/>
        <v>0</v>
      </c>
      <c r="BB629" s="276">
        <f t="shared" si="563"/>
        <v>0</v>
      </c>
      <c r="BC629" s="276">
        <f t="shared" si="564"/>
        <v>0</v>
      </c>
      <c r="BD629" s="276">
        <f t="shared" si="565"/>
        <v>0</v>
      </c>
      <c r="BE629" s="276">
        <f t="shared" si="566"/>
        <v>0</v>
      </c>
      <c r="BF629" s="686">
        <f t="shared" si="567"/>
        <v>0</v>
      </c>
      <c r="BG629" s="685" t="e">
        <f t="shared" si="568"/>
        <v>#DIV/0!</v>
      </c>
      <c r="BH629" s="276" t="e">
        <f t="shared" si="569"/>
        <v>#DIV/0!</v>
      </c>
      <c r="BI629" s="276" t="e">
        <f t="shared" si="570"/>
        <v>#DIV/0!</v>
      </c>
      <c r="BJ629" s="276" t="e">
        <f t="shared" si="571"/>
        <v>#DIV/0!</v>
      </c>
      <c r="BK629" s="276" t="e">
        <f t="shared" si="572"/>
        <v>#DIV/0!</v>
      </c>
      <c r="BL629" s="686" t="e">
        <f t="shared" si="573"/>
        <v>#DIV/0!</v>
      </c>
      <c r="BM629" s="239"/>
      <c r="BN629" s="965" t="e">
        <f t="shared" si="574"/>
        <v>#VALUE!</v>
      </c>
      <c r="BO629" s="878" t="e">
        <f t="shared" si="575"/>
        <v>#VALUE!</v>
      </c>
      <c r="BP629" s="878" t="e">
        <f t="shared" si="576"/>
        <v>#VALUE!</v>
      </c>
      <c r="BQ629" s="878" t="e">
        <f t="shared" si="577"/>
        <v>#VALUE!</v>
      </c>
      <c r="BR629" s="878" t="e">
        <f t="shared" si="578"/>
        <v>#VALUE!</v>
      </c>
      <c r="BS629" s="966" t="e">
        <f t="shared" si="579"/>
        <v>#VALUE!</v>
      </c>
    </row>
    <row r="630" spans="1:71">
      <c r="A630" s="284">
        <f t="shared" si="580"/>
        <v>562</v>
      </c>
      <c r="B630" s="285">
        <v>3.6825255984834069</v>
      </c>
      <c r="C630" s="285">
        <v>3.0525716361613684</v>
      </c>
      <c r="D630" s="285">
        <v>0.76064958413358053</v>
      </c>
      <c r="E630" s="285">
        <v>4.178106472629656</v>
      </c>
      <c r="H630" s="685">
        <f t="shared" si="526"/>
        <v>2.5492917567143518</v>
      </c>
      <c r="I630" s="276">
        <f t="shared" si="527"/>
        <v>-3.1048001685679516</v>
      </c>
      <c r="J630" s="276">
        <f t="shared" si="528"/>
        <v>0.2933978076833903</v>
      </c>
      <c r="K630" s="276">
        <f t="shared" si="529"/>
        <v>-0.92409325536011933</v>
      </c>
      <c r="L630" s="276">
        <f t="shared" si="530"/>
        <v>2.4916351097045446</v>
      </c>
      <c r="M630" s="276">
        <f t="shared" si="531"/>
        <v>-2.7840140020251538</v>
      </c>
      <c r="N630" s="685">
        <f t="shared" si="532"/>
        <v>1.8454004251895</v>
      </c>
      <c r="O630" s="276">
        <f t="shared" si="533"/>
        <v>0.61519762781897991</v>
      </c>
      <c r="P630" s="276">
        <f t="shared" si="534"/>
        <v>1.7257874559977837</v>
      </c>
      <c r="Q630" s="276">
        <f t="shared" si="535"/>
        <v>1.3350705648021657</v>
      </c>
      <c r="R630" s="276">
        <f t="shared" si="536"/>
        <v>2.4285367275600169</v>
      </c>
      <c r="S630" s="686">
        <f t="shared" si="537"/>
        <v>0.85376514407989323</v>
      </c>
      <c r="T630" s="685">
        <f t="shared" si="538"/>
        <v>4.0390132744045069</v>
      </c>
      <c r="U630" s="276">
        <f t="shared" si="539"/>
        <v>5.9234828253068095</v>
      </c>
      <c r="V630" s="276">
        <f t="shared" si="540"/>
        <v>3.3379797842060475</v>
      </c>
      <c r="W630" s="276">
        <f t="shared" si="541"/>
        <v>2.3862736026637412</v>
      </c>
      <c r="X630" s="276">
        <f t="shared" si="542"/>
        <v>4.4917103409703012</v>
      </c>
      <c r="Y630" s="686">
        <f t="shared" si="543"/>
        <v>3.9429186596537664</v>
      </c>
      <c r="Z630" s="685" t="e">
        <f t="shared" si="544"/>
        <v>#DIV/0!</v>
      </c>
      <c r="AA630" s="276" t="e">
        <f t="shared" si="545"/>
        <v>#DIV/0!</v>
      </c>
      <c r="AB630" s="276" t="e">
        <f t="shared" si="546"/>
        <v>#DIV/0!</v>
      </c>
      <c r="AC630" s="276" t="e">
        <f t="shared" si="547"/>
        <v>#DIV/0!</v>
      </c>
      <c r="AD630" s="276" t="e">
        <f t="shared" si="548"/>
        <v>#DIV/0!</v>
      </c>
      <c r="AE630" s="686" t="e">
        <f t="shared" si="549"/>
        <v>#DIV/0!</v>
      </c>
      <c r="AF630" s="239"/>
      <c r="AG630" s="965" t="e">
        <f t="shared" si="520"/>
        <v>#VALUE!</v>
      </c>
      <c r="AH630" s="878" t="e">
        <f t="shared" si="521"/>
        <v>#VALUE!</v>
      </c>
      <c r="AI630" s="878" t="e">
        <f t="shared" si="522"/>
        <v>#VALUE!</v>
      </c>
      <c r="AJ630" s="878" t="e">
        <f t="shared" si="523"/>
        <v>#VALUE!</v>
      </c>
      <c r="AK630" s="878" t="e">
        <f t="shared" si="524"/>
        <v>#VALUE!</v>
      </c>
      <c r="AL630" s="966" t="e">
        <f t="shared" si="525"/>
        <v>#VALUE!</v>
      </c>
      <c r="AM630" s="239"/>
      <c r="AO630" s="685">
        <f t="shared" si="550"/>
        <v>2.5492917567143518</v>
      </c>
      <c r="AP630" s="276">
        <f t="shared" si="551"/>
        <v>-3.1048001685679516</v>
      </c>
      <c r="AQ630" s="276">
        <f t="shared" si="552"/>
        <v>0.2933978076833903</v>
      </c>
      <c r="AR630" s="276">
        <f t="shared" si="553"/>
        <v>-0.92409325536011933</v>
      </c>
      <c r="AS630" s="276">
        <f t="shared" si="554"/>
        <v>2.4916351097045446</v>
      </c>
      <c r="AT630" s="276">
        <f t="shared" si="555"/>
        <v>-2.7840140020251538</v>
      </c>
      <c r="AU630" s="685">
        <f t="shared" si="556"/>
        <v>1.8454004251895</v>
      </c>
      <c r="AV630" s="276">
        <f t="shared" si="557"/>
        <v>0.61519762781897991</v>
      </c>
      <c r="AW630" s="276">
        <f t="shared" si="558"/>
        <v>1.7257874559977837</v>
      </c>
      <c r="AX630" s="276">
        <f t="shared" si="559"/>
        <v>1.3350705648021657</v>
      </c>
      <c r="AY630" s="276">
        <f t="shared" si="560"/>
        <v>2.4285367275600169</v>
      </c>
      <c r="AZ630" s="686">
        <f t="shared" si="561"/>
        <v>0.85376514407989323</v>
      </c>
      <c r="BA630" s="685">
        <f t="shared" si="562"/>
        <v>0</v>
      </c>
      <c r="BB630" s="276">
        <f t="shared" si="563"/>
        <v>0</v>
      </c>
      <c r="BC630" s="276">
        <f t="shared" si="564"/>
        <v>0</v>
      </c>
      <c r="BD630" s="276">
        <f t="shared" si="565"/>
        <v>0</v>
      </c>
      <c r="BE630" s="276">
        <f t="shared" si="566"/>
        <v>0</v>
      </c>
      <c r="BF630" s="686">
        <f t="shared" si="567"/>
        <v>0</v>
      </c>
      <c r="BG630" s="685" t="e">
        <f t="shared" si="568"/>
        <v>#DIV/0!</v>
      </c>
      <c r="BH630" s="276" t="e">
        <f t="shared" si="569"/>
        <v>#DIV/0!</v>
      </c>
      <c r="BI630" s="276" t="e">
        <f t="shared" si="570"/>
        <v>#DIV/0!</v>
      </c>
      <c r="BJ630" s="276" t="e">
        <f t="shared" si="571"/>
        <v>#DIV/0!</v>
      </c>
      <c r="BK630" s="276" t="e">
        <f t="shared" si="572"/>
        <v>#DIV/0!</v>
      </c>
      <c r="BL630" s="686" t="e">
        <f t="shared" si="573"/>
        <v>#DIV/0!</v>
      </c>
      <c r="BM630" s="239"/>
      <c r="BN630" s="965" t="e">
        <f t="shared" si="574"/>
        <v>#VALUE!</v>
      </c>
      <c r="BO630" s="878" t="e">
        <f t="shared" si="575"/>
        <v>#VALUE!</v>
      </c>
      <c r="BP630" s="878" t="e">
        <f t="shared" si="576"/>
        <v>#VALUE!</v>
      </c>
      <c r="BQ630" s="878" t="e">
        <f t="shared" si="577"/>
        <v>#VALUE!</v>
      </c>
      <c r="BR630" s="878" t="e">
        <f t="shared" si="578"/>
        <v>#VALUE!</v>
      </c>
      <c r="BS630" s="966" t="e">
        <f t="shared" si="579"/>
        <v>#VALUE!</v>
      </c>
    </row>
    <row r="631" spans="1:71">
      <c r="A631" s="284">
        <f t="shared" si="580"/>
        <v>563</v>
      </c>
      <c r="B631" s="285">
        <v>2.212828553756728</v>
      </c>
      <c r="C631" s="285">
        <v>2.3308644965508774</v>
      </c>
      <c r="D631" s="285">
        <v>1.3214103518373828</v>
      </c>
      <c r="E631" s="285">
        <v>-8.023525562548059</v>
      </c>
      <c r="H631" s="685">
        <f t="shared" si="526"/>
        <v>1.0795947119876732</v>
      </c>
      <c r="I631" s="276">
        <f t="shared" si="527"/>
        <v>0.79502196362843525</v>
      </c>
      <c r="J631" s="276">
        <f t="shared" si="528"/>
        <v>-0.50731094252751974</v>
      </c>
      <c r="K631" s="276">
        <f t="shared" si="529"/>
        <v>-0.45789706581757295</v>
      </c>
      <c r="L631" s="276">
        <f t="shared" si="530"/>
        <v>1.133688868042767</v>
      </c>
      <c r="M631" s="276">
        <f t="shared" si="531"/>
        <v>1.4845909884957977</v>
      </c>
      <c r="N631" s="685">
        <f t="shared" si="532"/>
        <v>1.1236932855790089</v>
      </c>
      <c r="O631" s="276">
        <f t="shared" si="533"/>
        <v>0.97293040489635074</v>
      </c>
      <c r="P631" s="276">
        <f t="shared" si="534"/>
        <v>1.3922806902077511</v>
      </c>
      <c r="Q631" s="276">
        <f t="shared" si="535"/>
        <v>0.90973604388079488</v>
      </c>
      <c r="R631" s="276">
        <f t="shared" si="536"/>
        <v>0.70049313616835618</v>
      </c>
      <c r="S631" s="686">
        <f t="shared" si="537"/>
        <v>1.3082055145403275</v>
      </c>
      <c r="T631" s="685">
        <f t="shared" si="538"/>
        <v>4.5997740421083089</v>
      </c>
      <c r="U631" s="276">
        <f t="shared" si="539"/>
        <v>4.2854587274327045</v>
      </c>
      <c r="V631" s="276">
        <f t="shared" si="540"/>
        <v>4.3829928028829759</v>
      </c>
      <c r="W631" s="276">
        <f t="shared" si="541"/>
        <v>5.7092177507852746</v>
      </c>
      <c r="X631" s="276">
        <f t="shared" si="542"/>
        <v>4.8377621849546824</v>
      </c>
      <c r="Y631" s="686">
        <f t="shared" si="543"/>
        <v>4.8789904227639855</v>
      </c>
      <c r="Z631" s="685" t="e">
        <f t="shared" si="544"/>
        <v>#DIV/0!</v>
      </c>
      <c r="AA631" s="276" t="e">
        <f t="shared" si="545"/>
        <v>#DIV/0!</v>
      </c>
      <c r="AB631" s="276" t="e">
        <f t="shared" si="546"/>
        <v>#DIV/0!</v>
      </c>
      <c r="AC631" s="276" t="e">
        <f t="shared" si="547"/>
        <v>#DIV/0!</v>
      </c>
      <c r="AD631" s="276" t="e">
        <f t="shared" si="548"/>
        <v>#DIV/0!</v>
      </c>
      <c r="AE631" s="686" t="e">
        <f t="shared" si="549"/>
        <v>#DIV/0!</v>
      </c>
      <c r="AF631" s="239"/>
      <c r="AG631" s="965" t="e">
        <f t="shared" si="520"/>
        <v>#VALUE!</v>
      </c>
      <c r="AH631" s="878" t="e">
        <f t="shared" si="521"/>
        <v>#VALUE!</v>
      </c>
      <c r="AI631" s="878" t="e">
        <f t="shared" si="522"/>
        <v>#VALUE!</v>
      </c>
      <c r="AJ631" s="878" t="e">
        <f t="shared" si="523"/>
        <v>#VALUE!</v>
      </c>
      <c r="AK631" s="878" t="e">
        <f t="shared" si="524"/>
        <v>#VALUE!</v>
      </c>
      <c r="AL631" s="966" t="e">
        <f t="shared" si="525"/>
        <v>#VALUE!</v>
      </c>
      <c r="AM631" s="239"/>
      <c r="AO631" s="685">
        <f t="shared" si="550"/>
        <v>1.0795947119876732</v>
      </c>
      <c r="AP631" s="276">
        <f t="shared" si="551"/>
        <v>0.79502196362843525</v>
      </c>
      <c r="AQ631" s="276">
        <f t="shared" si="552"/>
        <v>-0.50731094252751974</v>
      </c>
      <c r="AR631" s="276">
        <f t="shared" si="553"/>
        <v>-0.45789706581757295</v>
      </c>
      <c r="AS631" s="276">
        <f t="shared" si="554"/>
        <v>1.133688868042767</v>
      </c>
      <c r="AT631" s="276">
        <f t="shared" si="555"/>
        <v>1.4845909884957977</v>
      </c>
      <c r="AU631" s="685">
        <f t="shared" si="556"/>
        <v>1.1236932855790089</v>
      </c>
      <c r="AV631" s="276">
        <f t="shared" si="557"/>
        <v>0.97293040489635074</v>
      </c>
      <c r="AW631" s="276">
        <f t="shared" si="558"/>
        <v>1.3922806902077511</v>
      </c>
      <c r="AX631" s="276">
        <f t="shared" si="559"/>
        <v>0.90973604388079488</v>
      </c>
      <c r="AY631" s="276">
        <f t="shared" si="560"/>
        <v>0.70049313616835618</v>
      </c>
      <c r="AZ631" s="686">
        <f t="shared" si="561"/>
        <v>1.3082055145403275</v>
      </c>
      <c r="BA631" s="685">
        <f t="shared" si="562"/>
        <v>0</v>
      </c>
      <c r="BB631" s="276">
        <f t="shared" si="563"/>
        <v>0</v>
      </c>
      <c r="BC631" s="276">
        <f t="shared" si="564"/>
        <v>0</v>
      </c>
      <c r="BD631" s="276">
        <f t="shared" si="565"/>
        <v>0</v>
      </c>
      <c r="BE631" s="276">
        <f t="shared" si="566"/>
        <v>0</v>
      </c>
      <c r="BF631" s="686">
        <f t="shared" si="567"/>
        <v>0</v>
      </c>
      <c r="BG631" s="685" t="e">
        <f t="shared" si="568"/>
        <v>#DIV/0!</v>
      </c>
      <c r="BH631" s="276" t="e">
        <f t="shared" si="569"/>
        <v>#DIV/0!</v>
      </c>
      <c r="BI631" s="276" t="e">
        <f t="shared" si="570"/>
        <v>#DIV/0!</v>
      </c>
      <c r="BJ631" s="276" t="e">
        <f t="shared" si="571"/>
        <v>#DIV/0!</v>
      </c>
      <c r="BK631" s="276" t="e">
        <f t="shared" si="572"/>
        <v>#DIV/0!</v>
      </c>
      <c r="BL631" s="686" t="e">
        <f t="shared" si="573"/>
        <v>#DIV/0!</v>
      </c>
      <c r="BM631" s="239"/>
      <c r="BN631" s="965" t="e">
        <f t="shared" si="574"/>
        <v>#VALUE!</v>
      </c>
      <c r="BO631" s="878" t="e">
        <f t="shared" si="575"/>
        <v>#VALUE!</v>
      </c>
      <c r="BP631" s="878" t="e">
        <f t="shared" si="576"/>
        <v>#VALUE!</v>
      </c>
      <c r="BQ631" s="878" t="e">
        <f t="shared" si="577"/>
        <v>#VALUE!</v>
      </c>
      <c r="BR631" s="878" t="e">
        <f t="shared" si="578"/>
        <v>#VALUE!</v>
      </c>
      <c r="BS631" s="966" t="e">
        <f t="shared" si="579"/>
        <v>#VALUE!</v>
      </c>
    </row>
    <row r="632" spans="1:71">
      <c r="A632" s="284">
        <f t="shared" si="580"/>
        <v>564</v>
      </c>
      <c r="B632" s="285">
        <v>-1.1864531272894101</v>
      </c>
      <c r="C632" s="285">
        <v>3.2995639593128878</v>
      </c>
      <c r="D632" s="285">
        <v>0.76293886071411898</v>
      </c>
      <c r="E632" s="285">
        <v>17.623287250129952</v>
      </c>
      <c r="H632" s="685">
        <f t="shared" si="526"/>
        <v>-2.3196869690584649</v>
      </c>
      <c r="I632" s="276">
        <f t="shared" si="527"/>
        <v>4.4300704912726356</v>
      </c>
      <c r="J632" s="276">
        <f t="shared" si="528"/>
        <v>-1.4325482512220991</v>
      </c>
      <c r="K632" s="276">
        <f t="shared" si="529"/>
        <v>1.2831810987401513</v>
      </c>
      <c r="L632" s="276">
        <f t="shared" si="530"/>
        <v>-0.82499286428726593</v>
      </c>
      <c r="M632" s="276">
        <f t="shared" si="531"/>
        <v>-4.0059379188063149</v>
      </c>
      <c r="N632" s="685">
        <f t="shared" si="532"/>
        <v>2.0923927483410196</v>
      </c>
      <c r="O632" s="276">
        <f t="shared" si="533"/>
        <v>1.8636051515122707</v>
      </c>
      <c r="P632" s="276">
        <f t="shared" si="534"/>
        <v>1.4688593011987641</v>
      </c>
      <c r="Q632" s="276">
        <f t="shared" si="535"/>
        <v>1.4472776686844722</v>
      </c>
      <c r="R632" s="276">
        <f t="shared" si="536"/>
        <v>1.084378851543182</v>
      </c>
      <c r="S632" s="686">
        <f t="shared" si="537"/>
        <v>0.93186494444463697</v>
      </c>
      <c r="T632" s="685">
        <f t="shared" si="538"/>
        <v>4.0413025509850451</v>
      </c>
      <c r="U632" s="276">
        <f t="shared" si="539"/>
        <v>7.0886464343679041</v>
      </c>
      <c r="V632" s="276">
        <f t="shared" si="540"/>
        <v>5.3192927178360883</v>
      </c>
      <c r="W632" s="276">
        <f t="shared" si="541"/>
        <v>5.1465172694717864</v>
      </c>
      <c r="X632" s="276">
        <f t="shared" si="542"/>
        <v>6.7967993940647515</v>
      </c>
      <c r="Y632" s="686">
        <f t="shared" si="543"/>
        <v>6.9263232838356013</v>
      </c>
      <c r="Z632" s="685" t="e">
        <f t="shared" si="544"/>
        <v>#DIV/0!</v>
      </c>
      <c r="AA632" s="276" t="e">
        <f t="shared" si="545"/>
        <v>#DIV/0!</v>
      </c>
      <c r="AB632" s="276" t="e">
        <f t="shared" si="546"/>
        <v>#DIV/0!</v>
      </c>
      <c r="AC632" s="276" t="e">
        <f t="shared" si="547"/>
        <v>#DIV/0!</v>
      </c>
      <c r="AD632" s="276" t="e">
        <f t="shared" si="548"/>
        <v>#DIV/0!</v>
      </c>
      <c r="AE632" s="686" t="e">
        <f t="shared" si="549"/>
        <v>#DIV/0!</v>
      </c>
      <c r="AF632" s="239"/>
      <c r="AG632" s="965" t="e">
        <f t="shared" si="520"/>
        <v>#VALUE!</v>
      </c>
      <c r="AH632" s="878" t="e">
        <f t="shared" si="521"/>
        <v>#VALUE!</v>
      </c>
      <c r="AI632" s="878" t="e">
        <f t="shared" si="522"/>
        <v>#VALUE!</v>
      </c>
      <c r="AJ632" s="878" t="e">
        <f t="shared" si="523"/>
        <v>#VALUE!</v>
      </c>
      <c r="AK632" s="878" t="e">
        <f t="shared" si="524"/>
        <v>#VALUE!</v>
      </c>
      <c r="AL632" s="966" t="e">
        <f t="shared" si="525"/>
        <v>#VALUE!</v>
      </c>
      <c r="AM632" s="239"/>
      <c r="AO632" s="685">
        <f t="shared" si="550"/>
        <v>-2.3196869690584649</v>
      </c>
      <c r="AP632" s="276">
        <f t="shared" si="551"/>
        <v>4.4300704912726356</v>
      </c>
      <c r="AQ632" s="276">
        <f t="shared" si="552"/>
        <v>-1.4325482512220991</v>
      </c>
      <c r="AR632" s="276">
        <f t="shared" si="553"/>
        <v>1.2831810987401513</v>
      </c>
      <c r="AS632" s="276">
        <f t="shared" si="554"/>
        <v>-0.82499286428726593</v>
      </c>
      <c r="AT632" s="276">
        <f t="shared" si="555"/>
        <v>-4.0059379188063149</v>
      </c>
      <c r="AU632" s="685">
        <f t="shared" si="556"/>
        <v>2.0923927483410196</v>
      </c>
      <c r="AV632" s="276">
        <f t="shared" si="557"/>
        <v>1.8636051515122707</v>
      </c>
      <c r="AW632" s="276">
        <f t="shared" si="558"/>
        <v>1.4688593011987641</v>
      </c>
      <c r="AX632" s="276">
        <f t="shared" si="559"/>
        <v>1.4472776686844722</v>
      </c>
      <c r="AY632" s="276">
        <f t="shared" si="560"/>
        <v>1.084378851543182</v>
      </c>
      <c r="AZ632" s="686">
        <f t="shared" si="561"/>
        <v>0.93186494444463697</v>
      </c>
      <c r="BA632" s="685">
        <f t="shared" si="562"/>
        <v>0</v>
      </c>
      <c r="BB632" s="276">
        <f t="shared" si="563"/>
        <v>0</v>
      </c>
      <c r="BC632" s="276">
        <f t="shared" si="564"/>
        <v>0</v>
      </c>
      <c r="BD632" s="276">
        <f t="shared" si="565"/>
        <v>0</v>
      </c>
      <c r="BE632" s="276">
        <f t="shared" si="566"/>
        <v>0</v>
      </c>
      <c r="BF632" s="686">
        <f t="shared" si="567"/>
        <v>0</v>
      </c>
      <c r="BG632" s="685" t="e">
        <f t="shared" si="568"/>
        <v>#DIV/0!</v>
      </c>
      <c r="BH632" s="276" t="e">
        <f t="shared" si="569"/>
        <v>#DIV/0!</v>
      </c>
      <c r="BI632" s="276" t="e">
        <f t="shared" si="570"/>
        <v>#DIV/0!</v>
      </c>
      <c r="BJ632" s="276" t="e">
        <f t="shared" si="571"/>
        <v>#DIV/0!</v>
      </c>
      <c r="BK632" s="276" t="e">
        <f t="shared" si="572"/>
        <v>#DIV/0!</v>
      </c>
      <c r="BL632" s="686" t="e">
        <f t="shared" si="573"/>
        <v>#DIV/0!</v>
      </c>
      <c r="BM632" s="239"/>
      <c r="BN632" s="965" t="e">
        <f t="shared" si="574"/>
        <v>#VALUE!</v>
      </c>
      <c r="BO632" s="878" t="e">
        <f t="shared" si="575"/>
        <v>#VALUE!</v>
      </c>
      <c r="BP632" s="878" t="e">
        <f t="shared" si="576"/>
        <v>#VALUE!</v>
      </c>
      <c r="BQ632" s="878" t="e">
        <f t="shared" si="577"/>
        <v>#VALUE!</v>
      </c>
      <c r="BR632" s="878" t="e">
        <f t="shared" si="578"/>
        <v>#VALUE!</v>
      </c>
      <c r="BS632" s="966" t="e">
        <f t="shared" si="579"/>
        <v>#VALUE!</v>
      </c>
    </row>
    <row r="633" spans="1:71">
      <c r="A633" s="284">
        <f t="shared" si="580"/>
        <v>565</v>
      </c>
      <c r="B633" s="285">
        <v>-0.87308083351948029</v>
      </c>
      <c r="C633" s="285">
        <v>2.5261699568229332</v>
      </c>
      <c r="D633" s="285">
        <v>2.071340615994985</v>
      </c>
      <c r="E633" s="285">
        <v>-0.12975702851598969</v>
      </c>
      <c r="H633" s="685">
        <f t="shared" si="526"/>
        <v>-2.006314675288535</v>
      </c>
      <c r="I633" s="276">
        <f t="shared" si="527"/>
        <v>2.5867934777254193</v>
      </c>
      <c r="J633" s="276">
        <f t="shared" si="528"/>
        <v>2.2589914870415964</v>
      </c>
      <c r="K633" s="276">
        <f t="shared" si="529"/>
        <v>-1.9838992327449296</v>
      </c>
      <c r="L633" s="276">
        <f t="shared" si="530"/>
        <v>6.863883706536078E-2</v>
      </c>
      <c r="M633" s="276">
        <f t="shared" si="531"/>
        <v>-3.6788556122540443</v>
      </c>
      <c r="N633" s="685">
        <f t="shared" si="532"/>
        <v>1.3189987458510648</v>
      </c>
      <c r="O633" s="276">
        <f t="shared" si="533"/>
        <v>1.578165344163885</v>
      </c>
      <c r="P633" s="276">
        <f t="shared" si="534"/>
        <v>1.342060188454927</v>
      </c>
      <c r="Q633" s="276">
        <f t="shared" si="535"/>
        <v>1.199250983995648</v>
      </c>
      <c r="R633" s="276">
        <f t="shared" si="536"/>
        <v>2.1449702736756642</v>
      </c>
      <c r="S633" s="686">
        <f t="shared" si="537"/>
        <v>1.6391604325804037</v>
      </c>
      <c r="T633" s="685">
        <f t="shared" si="538"/>
        <v>5.3497043062659113</v>
      </c>
      <c r="U633" s="276">
        <f t="shared" si="539"/>
        <v>5.9280231049121355</v>
      </c>
      <c r="V633" s="276">
        <f t="shared" si="540"/>
        <v>6.7214892444066496</v>
      </c>
      <c r="W633" s="276">
        <f t="shared" si="541"/>
        <v>5.226239096891506</v>
      </c>
      <c r="X633" s="276">
        <f t="shared" si="542"/>
        <v>2.6993607881170751</v>
      </c>
      <c r="Y633" s="686">
        <f t="shared" si="543"/>
        <v>4.6189053022210427</v>
      </c>
      <c r="Z633" s="685" t="e">
        <f t="shared" si="544"/>
        <v>#DIV/0!</v>
      </c>
      <c r="AA633" s="276" t="e">
        <f t="shared" si="545"/>
        <v>#DIV/0!</v>
      </c>
      <c r="AB633" s="276" t="e">
        <f t="shared" si="546"/>
        <v>#DIV/0!</v>
      </c>
      <c r="AC633" s="276" t="e">
        <f t="shared" si="547"/>
        <v>#DIV/0!</v>
      </c>
      <c r="AD633" s="276" t="e">
        <f t="shared" si="548"/>
        <v>#DIV/0!</v>
      </c>
      <c r="AE633" s="686" t="e">
        <f t="shared" si="549"/>
        <v>#DIV/0!</v>
      </c>
      <c r="AF633" s="239"/>
      <c r="AG633" s="965" t="e">
        <f t="shared" si="520"/>
        <v>#VALUE!</v>
      </c>
      <c r="AH633" s="878" t="e">
        <f t="shared" si="521"/>
        <v>#VALUE!</v>
      </c>
      <c r="AI633" s="878" t="e">
        <f t="shared" si="522"/>
        <v>#VALUE!</v>
      </c>
      <c r="AJ633" s="878" t="e">
        <f t="shared" si="523"/>
        <v>#VALUE!</v>
      </c>
      <c r="AK633" s="878" t="e">
        <f t="shared" si="524"/>
        <v>#VALUE!</v>
      </c>
      <c r="AL633" s="966" t="e">
        <f t="shared" si="525"/>
        <v>#VALUE!</v>
      </c>
      <c r="AM633" s="239"/>
      <c r="AO633" s="685">
        <f t="shared" si="550"/>
        <v>-2.006314675288535</v>
      </c>
      <c r="AP633" s="276">
        <f t="shared" si="551"/>
        <v>2.5867934777254193</v>
      </c>
      <c r="AQ633" s="276">
        <f t="shared" si="552"/>
        <v>2.2589914870415964</v>
      </c>
      <c r="AR633" s="276">
        <f t="shared" si="553"/>
        <v>-1.9838992327449296</v>
      </c>
      <c r="AS633" s="276">
        <f t="shared" si="554"/>
        <v>6.863883706536078E-2</v>
      </c>
      <c r="AT633" s="276">
        <f t="shared" si="555"/>
        <v>-3.6788556122540443</v>
      </c>
      <c r="AU633" s="685">
        <f t="shared" si="556"/>
        <v>1.3189987458510648</v>
      </c>
      <c r="AV633" s="276">
        <f t="shared" si="557"/>
        <v>1.578165344163885</v>
      </c>
      <c r="AW633" s="276">
        <f t="shared" si="558"/>
        <v>1.342060188454927</v>
      </c>
      <c r="AX633" s="276">
        <f t="shared" si="559"/>
        <v>1.199250983995648</v>
      </c>
      <c r="AY633" s="276">
        <f t="shared" si="560"/>
        <v>2.1449702736756642</v>
      </c>
      <c r="AZ633" s="686">
        <f t="shared" si="561"/>
        <v>1.6391604325804037</v>
      </c>
      <c r="BA633" s="685">
        <f t="shared" si="562"/>
        <v>0</v>
      </c>
      <c r="BB633" s="276">
        <f t="shared" si="563"/>
        <v>0</v>
      </c>
      <c r="BC633" s="276">
        <f t="shared" si="564"/>
        <v>0</v>
      </c>
      <c r="BD633" s="276">
        <f t="shared" si="565"/>
        <v>0</v>
      </c>
      <c r="BE633" s="276">
        <f t="shared" si="566"/>
        <v>0</v>
      </c>
      <c r="BF633" s="686">
        <f t="shared" si="567"/>
        <v>0</v>
      </c>
      <c r="BG633" s="685" t="e">
        <f t="shared" si="568"/>
        <v>#DIV/0!</v>
      </c>
      <c r="BH633" s="276" t="e">
        <f t="shared" si="569"/>
        <v>#DIV/0!</v>
      </c>
      <c r="BI633" s="276" t="e">
        <f t="shared" si="570"/>
        <v>#DIV/0!</v>
      </c>
      <c r="BJ633" s="276" t="e">
        <f t="shared" si="571"/>
        <v>#DIV/0!</v>
      </c>
      <c r="BK633" s="276" t="e">
        <f t="shared" si="572"/>
        <v>#DIV/0!</v>
      </c>
      <c r="BL633" s="686" t="e">
        <f t="shared" si="573"/>
        <v>#DIV/0!</v>
      </c>
      <c r="BM633" s="239"/>
      <c r="BN633" s="965" t="e">
        <f t="shared" si="574"/>
        <v>#VALUE!</v>
      </c>
      <c r="BO633" s="878" t="e">
        <f t="shared" si="575"/>
        <v>#VALUE!</v>
      </c>
      <c r="BP633" s="878" t="e">
        <f t="shared" si="576"/>
        <v>#VALUE!</v>
      </c>
      <c r="BQ633" s="878" t="e">
        <f t="shared" si="577"/>
        <v>#VALUE!</v>
      </c>
      <c r="BR633" s="878" t="e">
        <f t="shared" si="578"/>
        <v>#VALUE!</v>
      </c>
      <c r="BS633" s="966" t="e">
        <f t="shared" si="579"/>
        <v>#VALUE!</v>
      </c>
    </row>
    <row r="634" spans="1:71">
      <c r="A634" s="284">
        <f t="shared" si="580"/>
        <v>566</v>
      </c>
      <c r="B634" s="285">
        <v>1.4529760422817946</v>
      </c>
      <c r="C634" s="285">
        <v>2.1507534999470472</v>
      </c>
      <c r="D634" s="285">
        <v>2.1007177845084541</v>
      </c>
      <c r="E634" s="285">
        <v>-9.7494823395569838</v>
      </c>
      <c r="H634" s="685">
        <f t="shared" si="526"/>
        <v>0.31974220051273972</v>
      </c>
      <c r="I634" s="276">
        <f t="shared" si="527"/>
        <v>0.71328117357413068</v>
      </c>
      <c r="J634" s="276">
        <f t="shared" si="528"/>
        <v>-0.63383238056099267</v>
      </c>
      <c r="K634" s="276">
        <f t="shared" si="529"/>
        <v>-0.31979425769008329</v>
      </c>
      <c r="L634" s="276">
        <f t="shared" si="530"/>
        <v>2.499245172284235</v>
      </c>
      <c r="M634" s="276">
        <f t="shared" si="531"/>
        <v>-2.5408692290960739</v>
      </c>
      <c r="N634" s="685">
        <f t="shared" si="532"/>
        <v>0.94358228897517882</v>
      </c>
      <c r="O634" s="276">
        <f t="shared" si="533"/>
        <v>1.90160704669206</v>
      </c>
      <c r="P634" s="276">
        <f t="shared" si="534"/>
        <v>1.8963265684620569</v>
      </c>
      <c r="Q634" s="276">
        <f t="shared" si="535"/>
        <v>1.2974145538517259</v>
      </c>
      <c r="R634" s="276">
        <f t="shared" si="536"/>
        <v>2.1462228473791445</v>
      </c>
      <c r="S634" s="686">
        <f t="shared" si="537"/>
        <v>1.6512340943397981</v>
      </c>
      <c r="T634" s="685">
        <f t="shared" si="538"/>
        <v>5.3790814747793796</v>
      </c>
      <c r="U634" s="276">
        <f t="shared" si="539"/>
        <v>4.8542376598180432</v>
      </c>
      <c r="V634" s="276">
        <f t="shared" si="540"/>
        <v>2.5492583714838428</v>
      </c>
      <c r="W634" s="276">
        <f t="shared" si="541"/>
        <v>3.7328995073355675</v>
      </c>
      <c r="X634" s="276">
        <f t="shared" si="542"/>
        <v>3.6578960176252036</v>
      </c>
      <c r="Y634" s="686">
        <f t="shared" si="543"/>
        <v>3.4495468343426818</v>
      </c>
      <c r="Z634" s="685" t="e">
        <f t="shared" si="544"/>
        <v>#DIV/0!</v>
      </c>
      <c r="AA634" s="276" t="e">
        <f t="shared" si="545"/>
        <v>#DIV/0!</v>
      </c>
      <c r="AB634" s="276" t="e">
        <f t="shared" si="546"/>
        <v>#DIV/0!</v>
      </c>
      <c r="AC634" s="276" t="e">
        <f t="shared" si="547"/>
        <v>#DIV/0!</v>
      </c>
      <c r="AD634" s="276" t="e">
        <f t="shared" si="548"/>
        <v>#DIV/0!</v>
      </c>
      <c r="AE634" s="686" t="e">
        <f t="shared" si="549"/>
        <v>#DIV/0!</v>
      </c>
      <c r="AF634" s="239"/>
      <c r="AG634" s="965" t="e">
        <f t="shared" si="520"/>
        <v>#VALUE!</v>
      </c>
      <c r="AH634" s="878" t="e">
        <f t="shared" si="521"/>
        <v>#VALUE!</v>
      </c>
      <c r="AI634" s="878" t="e">
        <f t="shared" si="522"/>
        <v>#VALUE!</v>
      </c>
      <c r="AJ634" s="878" t="e">
        <f t="shared" si="523"/>
        <v>#VALUE!</v>
      </c>
      <c r="AK634" s="878" t="e">
        <f t="shared" si="524"/>
        <v>#VALUE!</v>
      </c>
      <c r="AL634" s="966" t="e">
        <f t="shared" si="525"/>
        <v>#VALUE!</v>
      </c>
      <c r="AM634" s="239"/>
      <c r="AO634" s="685">
        <f t="shared" si="550"/>
        <v>0.31974220051273972</v>
      </c>
      <c r="AP634" s="276">
        <f t="shared" si="551"/>
        <v>0.71328117357413068</v>
      </c>
      <c r="AQ634" s="276">
        <f t="shared" si="552"/>
        <v>-0.63383238056099267</v>
      </c>
      <c r="AR634" s="276">
        <f t="shared" si="553"/>
        <v>-0.31979425769008329</v>
      </c>
      <c r="AS634" s="276">
        <f t="shared" si="554"/>
        <v>2.499245172284235</v>
      </c>
      <c r="AT634" s="276">
        <f t="shared" si="555"/>
        <v>-2.5408692290960739</v>
      </c>
      <c r="AU634" s="685">
        <f t="shared" si="556"/>
        <v>0.94358228897517882</v>
      </c>
      <c r="AV634" s="276">
        <f t="shared" si="557"/>
        <v>1.90160704669206</v>
      </c>
      <c r="AW634" s="276">
        <f t="shared" si="558"/>
        <v>1.8963265684620569</v>
      </c>
      <c r="AX634" s="276">
        <f t="shared" si="559"/>
        <v>1.2974145538517259</v>
      </c>
      <c r="AY634" s="276">
        <f t="shared" si="560"/>
        <v>2.1462228473791445</v>
      </c>
      <c r="AZ634" s="686">
        <f t="shared" si="561"/>
        <v>1.6512340943397981</v>
      </c>
      <c r="BA634" s="685">
        <f t="shared" si="562"/>
        <v>0</v>
      </c>
      <c r="BB634" s="276">
        <f t="shared" si="563"/>
        <v>0</v>
      </c>
      <c r="BC634" s="276">
        <f t="shared" si="564"/>
        <v>0</v>
      </c>
      <c r="BD634" s="276">
        <f t="shared" si="565"/>
        <v>0</v>
      </c>
      <c r="BE634" s="276">
        <f t="shared" si="566"/>
        <v>0</v>
      </c>
      <c r="BF634" s="686">
        <f t="shared" si="567"/>
        <v>0</v>
      </c>
      <c r="BG634" s="685" t="e">
        <f t="shared" si="568"/>
        <v>#DIV/0!</v>
      </c>
      <c r="BH634" s="276" t="e">
        <f t="shared" si="569"/>
        <v>#DIV/0!</v>
      </c>
      <c r="BI634" s="276" t="e">
        <f t="shared" si="570"/>
        <v>#DIV/0!</v>
      </c>
      <c r="BJ634" s="276" t="e">
        <f t="shared" si="571"/>
        <v>#DIV/0!</v>
      </c>
      <c r="BK634" s="276" t="e">
        <f t="shared" si="572"/>
        <v>#DIV/0!</v>
      </c>
      <c r="BL634" s="686" t="e">
        <f t="shared" si="573"/>
        <v>#DIV/0!</v>
      </c>
      <c r="BM634" s="239"/>
      <c r="BN634" s="965" t="e">
        <f t="shared" si="574"/>
        <v>#VALUE!</v>
      </c>
      <c r="BO634" s="878" t="e">
        <f t="shared" si="575"/>
        <v>#VALUE!</v>
      </c>
      <c r="BP634" s="878" t="e">
        <f t="shared" si="576"/>
        <v>#VALUE!</v>
      </c>
      <c r="BQ634" s="878" t="e">
        <f t="shared" si="577"/>
        <v>#VALUE!</v>
      </c>
      <c r="BR634" s="878" t="e">
        <f t="shared" si="578"/>
        <v>#VALUE!</v>
      </c>
      <c r="BS634" s="966" t="e">
        <f t="shared" si="579"/>
        <v>#VALUE!</v>
      </c>
    </row>
    <row r="635" spans="1:71">
      <c r="A635" s="284">
        <f t="shared" si="580"/>
        <v>567</v>
      </c>
      <c r="B635" s="285">
        <v>-1.7258190134703844</v>
      </c>
      <c r="C635" s="285">
        <v>2.5502077429499508</v>
      </c>
      <c r="D635" s="285">
        <v>1.3424633874771434</v>
      </c>
      <c r="E635" s="285">
        <v>-5.041634705428728</v>
      </c>
      <c r="H635" s="685">
        <f t="shared" si="526"/>
        <v>-2.8590528552394394</v>
      </c>
      <c r="I635" s="276">
        <f t="shared" si="527"/>
        <v>-1.0785518066777988</v>
      </c>
      <c r="J635" s="276">
        <f t="shared" si="528"/>
        <v>-0.45966067148597511</v>
      </c>
      <c r="K635" s="276">
        <f t="shared" si="529"/>
        <v>-5.1583221831095409</v>
      </c>
      <c r="L635" s="276">
        <f t="shared" si="530"/>
        <v>-5.1669924416666593</v>
      </c>
      <c r="M635" s="276">
        <f t="shared" si="531"/>
        <v>-2.8006261148769882</v>
      </c>
      <c r="N635" s="685">
        <f t="shared" si="532"/>
        <v>1.3430365319780824</v>
      </c>
      <c r="O635" s="276">
        <f t="shared" si="533"/>
        <v>1.1780091305317641</v>
      </c>
      <c r="P635" s="276">
        <f t="shared" si="534"/>
        <v>1.5312679005497978</v>
      </c>
      <c r="Q635" s="276">
        <f t="shared" si="535"/>
        <v>1.3680804384494787</v>
      </c>
      <c r="R635" s="276">
        <f t="shared" si="536"/>
        <v>1.4894649197884891</v>
      </c>
      <c r="S635" s="686">
        <f t="shared" si="537"/>
        <v>1.4214495797174631</v>
      </c>
      <c r="T635" s="685">
        <f t="shared" si="538"/>
        <v>4.6208270777480696</v>
      </c>
      <c r="U635" s="276">
        <f t="shared" si="539"/>
        <v>4.758767292603598</v>
      </c>
      <c r="V635" s="276">
        <f t="shared" si="540"/>
        <v>4.0918285848619504</v>
      </c>
      <c r="W635" s="276">
        <f t="shared" si="541"/>
        <v>5.1066213354178807</v>
      </c>
      <c r="X635" s="276">
        <f t="shared" si="542"/>
        <v>1.8331374130900113</v>
      </c>
      <c r="Y635" s="686">
        <f t="shared" si="543"/>
        <v>4.4533197568460876</v>
      </c>
      <c r="Z635" s="685" t="e">
        <f t="shared" si="544"/>
        <v>#DIV/0!</v>
      </c>
      <c r="AA635" s="276" t="e">
        <f t="shared" si="545"/>
        <v>#DIV/0!</v>
      </c>
      <c r="AB635" s="276" t="e">
        <f t="shared" si="546"/>
        <v>#DIV/0!</v>
      </c>
      <c r="AC635" s="276" t="e">
        <f t="shared" si="547"/>
        <v>#DIV/0!</v>
      </c>
      <c r="AD635" s="276" t="e">
        <f t="shared" si="548"/>
        <v>#DIV/0!</v>
      </c>
      <c r="AE635" s="686" t="e">
        <f t="shared" si="549"/>
        <v>#DIV/0!</v>
      </c>
      <c r="AF635" s="239"/>
      <c r="AG635" s="965" t="e">
        <f t="shared" si="520"/>
        <v>#VALUE!</v>
      </c>
      <c r="AH635" s="878" t="e">
        <f t="shared" si="521"/>
        <v>#VALUE!</v>
      </c>
      <c r="AI635" s="878" t="e">
        <f t="shared" si="522"/>
        <v>#VALUE!</v>
      </c>
      <c r="AJ635" s="878" t="e">
        <f t="shared" si="523"/>
        <v>#VALUE!</v>
      </c>
      <c r="AK635" s="878" t="e">
        <f t="shared" si="524"/>
        <v>#VALUE!</v>
      </c>
      <c r="AL635" s="966" t="e">
        <f t="shared" si="525"/>
        <v>#VALUE!</v>
      </c>
      <c r="AM635" s="239"/>
      <c r="AO635" s="685">
        <f t="shared" si="550"/>
        <v>-2.8590528552394394</v>
      </c>
      <c r="AP635" s="276">
        <f t="shared" si="551"/>
        <v>-1.0785518066777988</v>
      </c>
      <c r="AQ635" s="276">
        <f t="shared" si="552"/>
        <v>-0.45966067148597511</v>
      </c>
      <c r="AR635" s="276">
        <f t="shared" si="553"/>
        <v>-5.1583221831095409</v>
      </c>
      <c r="AS635" s="276">
        <f t="shared" si="554"/>
        <v>-5.1669924416666593</v>
      </c>
      <c r="AT635" s="276">
        <f t="shared" si="555"/>
        <v>-2.8006261148769882</v>
      </c>
      <c r="AU635" s="685">
        <f t="shared" si="556"/>
        <v>1.3430365319780824</v>
      </c>
      <c r="AV635" s="276">
        <f t="shared" si="557"/>
        <v>1.1780091305317641</v>
      </c>
      <c r="AW635" s="276">
        <f t="shared" si="558"/>
        <v>1.5312679005497978</v>
      </c>
      <c r="AX635" s="276">
        <f t="shared" si="559"/>
        <v>1.3680804384494787</v>
      </c>
      <c r="AY635" s="276">
        <f t="shared" si="560"/>
        <v>1.4894649197884891</v>
      </c>
      <c r="AZ635" s="686">
        <f t="shared" si="561"/>
        <v>1.4214495797174631</v>
      </c>
      <c r="BA635" s="685">
        <f t="shared" si="562"/>
        <v>0</v>
      </c>
      <c r="BB635" s="276">
        <f t="shared" si="563"/>
        <v>0</v>
      </c>
      <c r="BC635" s="276">
        <f t="shared" si="564"/>
        <v>0</v>
      </c>
      <c r="BD635" s="276">
        <f t="shared" si="565"/>
        <v>0</v>
      </c>
      <c r="BE635" s="276">
        <f t="shared" si="566"/>
        <v>0</v>
      </c>
      <c r="BF635" s="686">
        <f t="shared" si="567"/>
        <v>0</v>
      </c>
      <c r="BG635" s="685" t="e">
        <f t="shared" si="568"/>
        <v>#DIV/0!</v>
      </c>
      <c r="BH635" s="276" t="e">
        <f t="shared" si="569"/>
        <v>#DIV/0!</v>
      </c>
      <c r="BI635" s="276" t="e">
        <f t="shared" si="570"/>
        <v>#DIV/0!</v>
      </c>
      <c r="BJ635" s="276" t="e">
        <f t="shared" si="571"/>
        <v>#DIV/0!</v>
      </c>
      <c r="BK635" s="276" t="e">
        <f t="shared" si="572"/>
        <v>#DIV/0!</v>
      </c>
      <c r="BL635" s="686" t="e">
        <f t="shared" si="573"/>
        <v>#DIV/0!</v>
      </c>
      <c r="BM635" s="239"/>
      <c r="BN635" s="965" t="e">
        <f t="shared" si="574"/>
        <v>#VALUE!</v>
      </c>
      <c r="BO635" s="878" t="e">
        <f t="shared" si="575"/>
        <v>#VALUE!</v>
      </c>
      <c r="BP635" s="878" t="e">
        <f t="shared" si="576"/>
        <v>#VALUE!</v>
      </c>
      <c r="BQ635" s="878" t="e">
        <f t="shared" si="577"/>
        <v>#VALUE!</v>
      </c>
      <c r="BR635" s="878" t="e">
        <f t="shared" si="578"/>
        <v>#VALUE!</v>
      </c>
      <c r="BS635" s="966" t="e">
        <f t="shared" si="579"/>
        <v>#VALUE!</v>
      </c>
    </row>
    <row r="636" spans="1:71">
      <c r="A636" s="284">
        <f t="shared" si="580"/>
        <v>568</v>
      </c>
      <c r="B636" s="285">
        <v>-0.16962204166917519</v>
      </c>
      <c r="C636" s="285">
        <v>2.4935521824184788</v>
      </c>
      <c r="D636" s="285">
        <v>2.1428161528757679</v>
      </c>
      <c r="E636" s="285">
        <v>-7.2549986720421114</v>
      </c>
      <c r="H636" s="685">
        <f t="shared" si="526"/>
        <v>-1.30285588343823</v>
      </c>
      <c r="I636" s="276">
        <f t="shared" si="527"/>
        <v>-3.0477828965849554</v>
      </c>
      <c r="J636" s="276">
        <f t="shared" si="528"/>
        <v>1.7668951454925723</v>
      </c>
      <c r="K636" s="276">
        <f t="shared" si="529"/>
        <v>4.3215977299744193</v>
      </c>
      <c r="L636" s="276">
        <f t="shared" si="530"/>
        <v>2.2247632522791925</v>
      </c>
      <c r="M636" s="276">
        <f t="shared" si="531"/>
        <v>-0.98909527371482375</v>
      </c>
      <c r="N636" s="685">
        <f t="shared" si="532"/>
        <v>1.2863809714466103</v>
      </c>
      <c r="O636" s="276">
        <f t="shared" si="533"/>
        <v>0.49731014655852879</v>
      </c>
      <c r="P636" s="276">
        <f t="shared" si="534"/>
        <v>2.5033156222933002</v>
      </c>
      <c r="Q636" s="276">
        <f t="shared" si="535"/>
        <v>1.2056561044197383</v>
      </c>
      <c r="R636" s="276">
        <f t="shared" si="536"/>
        <v>1.3931682768372478</v>
      </c>
      <c r="S636" s="686">
        <f t="shared" si="537"/>
        <v>1.5651365346835575</v>
      </c>
      <c r="T636" s="685">
        <f t="shared" si="538"/>
        <v>5.4211798431466942</v>
      </c>
      <c r="U636" s="276">
        <f t="shared" si="539"/>
        <v>3.9747356111373922</v>
      </c>
      <c r="V636" s="276">
        <f t="shared" si="540"/>
        <v>1.0722539180498036</v>
      </c>
      <c r="W636" s="276">
        <f t="shared" si="541"/>
        <v>5.5356008112349322</v>
      </c>
      <c r="X636" s="276">
        <f t="shared" si="542"/>
        <v>6.1144101240997379</v>
      </c>
      <c r="Y636" s="686">
        <f t="shared" si="543"/>
        <v>5.233636328982934</v>
      </c>
      <c r="Z636" s="685" t="e">
        <f t="shared" si="544"/>
        <v>#DIV/0!</v>
      </c>
      <c r="AA636" s="276" t="e">
        <f t="shared" si="545"/>
        <v>#DIV/0!</v>
      </c>
      <c r="AB636" s="276" t="e">
        <f t="shared" si="546"/>
        <v>#DIV/0!</v>
      </c>
      <c r="AC636" s="276" t="e">
        <f t="shared" si="547"/>
        <v>#DIV/0!</v>
      </c>
      <c r="AD636" s="276" t="e">
        <f t="shared" si="548"/>
        <v>#DIV/0!</v>
      </c>
      <c r="AE636" s="686" t="e">
        <f t="shared" si="549"/>
        <v>#DIV/0!</v>
      </c>
      <c r="AF636" s="239"/>
      <c r="AG636" s="965" t="e">
        <f t="shared" si="520"/>
        <v>#VALUE!</v>
      </c>
      <c r="AH636" s="878" t="e">
        <f t="shared" si="521"/>
        <v>#VALUE!</v>
      </c>
      <c r="AI636" s="878" t="e">
        <f t="shared" si="522"/>
        <v>#VALUE!</v>
      </c>
      <c r="AJ636" s="878" t="e">
        <f t="shared" si="523"/>
        <v>#VALUE!</v>
      </c>
      <c r="AK636" s="878" t="e">
        <f t="shared" si="524"/>
        <v>#VALUE!</v>
      </c>
      <c r="AL636" s="966" t="e">
        <f t="shared" si="525"/>
        <v>#VALUE!</v>
      </c>
      <c r="AM636" s="239"/>
      <c r="AO636" s="685">
        <f t="shared" si="550"/>
        <v>-1.30285588343823</v>
      </c>
      <c r="AP636" s="276">
        <f t="shared" si="551"/>
        <v>-3.0477828965849554</v>
      </c>
      <c r="AQ636" s="276">
        <f t="shared" si="552"/>
        <v>1.7668951454925723</v>
      </c>
      <c r="AR636" s="276">
        <f t="shared" si="553"/>
        <v>4.3215977299744193</v>
      </c>
      <c r="AS636" s="276">
        <f t="shared" si="554"/>
        <v>2.2247632522791925</v>
      </c>
      <c r="AT636" s="276">
        <f t="shared" si="555"/>
        <v>-0.98909527371482375</v>
      </c>
      <c r="AU636" s="685">
        <f t="shared" si="556"/>
        <v>1.2863809714466103</v>
      </c>
      <c r="AV636" s="276">
        <f t="shared" si="557"/>
        <v>0.49731014655852879</v>
      </c>
      <c r="AW636" s="276">
        <f t="shared" si="558"/>
        <v>2.5033156222933002</v>
      </c>
      <c r="AX636" s="276">
        <f t="shared" si="559"/>
        <v>1.2056561044197383</v>
      </c>
      <c r="AY636" s="276">
        <f t="shared" si="560"/>
        <v>1.3931682768372478</v>
      </c>
      <c r="AZ636" s="686">
        <f t="shared" si="561"/>
        <v>1.5651365346835575</v>
      </c>
      <c r="BA636" s="685">
        <f t="shared" si="562"/>
        <v>0</v>
      </c>
      <c r="BB636" s="276">
        <f t="shared" si="563"/>
        <v>0</v>
      </c>
      <c r="BC636" s="276">
        <f t="shared" si="564"/>
        <v>0</v>
      </c>
      <c r="BD636" s="276">
        <f t="shared" si="565"/>
        <v>0</v>
      </c>
      <c r="BE636" s="276">
        <f t="shared" si="566"/>
        <v>0</v>
      </c>
      <c r="BF636" s="686">
        <f t="shared" si="567"/>
        <v>0</v>
      </c>
      <c r="BG636" s="685" t="e">
        <f t="shared" si="568"/>
        <v>#DIV/0!</v>
      </c>
      <c r="BH636" s="276" t="e">
        <f t="shared" si="569"/>
        <v>#DIV/0!</v>
      </c>
      <c r="BI636" s="276" t="e">
        <f t="shared" si="570"/>
        <v>#DIV/0!</v>
      </c>
      <c r="BJ636" s="276" t="e">
        <f t="shared" si="571"/>
        <v>#DIV/0!</v>
      </c>
      <c r="BK636" s="276" t="e">
        <f t="shared" si="572"/>
        <v>#DIV/0!</v>
      </c>
      <c r="BL636" s="686" t="e">
        <f t="shared" si="573"/>
        <v>#DIV/0!</v>
      </c>
      <c r="BM636" s="239"/>
      <c r="BN636" s="965" t="e">
        <f t="shared" si="574"/>
        <v>#VALUE!</v>
      </c>
      <c r="BO636" s="878" t="e">
        <f t="shared" si="575"/>
        <v>#VALUE!</v>
      </c>
      <c r="BP636" s="878" t="e">
        <f t="shared" si="576"/>
        <v>#VALUE!</v>
      </c>
      <c r="BQ636" s="878" t="e">
        <f t="shared" si="577"/>
        <v>#VALUE!</v>
      </c>
      <c r="BR636" s="878" t="e">
        <f t="shared" si="578"/>
        <v>#VALUE!</v>
      </c>
      <c r="BS636" s="966" t="e">
        <f t="shared" si="579"/>
        <v>#VALUE!</v>
      </c>
    </row>
    <row r="637" spans="1:71">
      <c r="A637" s="284">
        <f t="shared" si="580"/>
        <v>569</v>
      </c>
      <c r="B637" s="285">
        <v>0.64009106297269935</v>
      </c>
      <c r="C637" s="285">
        <v>2.1499534481087808</v>
      </c>
      <c r="D637" s="285">
        <v>0.77138120791515441</v>
      </c>
      <c r="E637" s="285">
        <v>-7.6544457809453679</v>
      </c>
      <c r="H637" s="685">
        <f t="shared" si="526"/>
        <v>-0.49314277879635549</v>
      </c>
      <c r="I637" s="276">
        <f t="shared" si="527"/>
        <v>0.36492516800813846</v>
      </c>
      <c r="J637" s="276">
        <f t="shared" si="528"/>
        <v>-3.2813665965401215</v>
      </c>
      <c r="K637" s="276">
        <f t="shared" si="529"/>
        <v>-1.7077993019371021</v>
      </c>
      <c r="L637" s="276">
        <f t="shared" si="530"/>
        <v>-1.1745436448281883</v>
      </c>
      <c r="M637" s="276">
        <f t="shared" si="531"/>
        <v>-2.0479394746971726</v>
      </c>
      <c r="N637" s="685">
        <f t="shared" si="532"/>
        <v>0.94278223713691234</v>
      </c>
      <c r="O637" s="276">
        <f t="shared" si="533"/>
        <v>1.1589176877126641</v>
      </c>
      <c r="P637" s="276">
        <f t="shared" si="534"/>
        <v>0.9041927058136523</v>
      </c>
      <c r="Q637" s="276">
        <f t="shared" si="535"/>
        <v>1.9050623644098363</v>
      </c>
      <c r="R637" s="276">
        <f t="shared" si="536"/>
        <v>1.3328445854683306</v>
      </c>
      <c r="S637" s="686">
        <f t="shared" si="537"/>
        <v>0.92454470630804031</v>
      </c>
      <c r="T637" s="685">
        <f t="shared" si="538"/>
        <v>4.0497448981860806</v>
      </c>
      <c r="U637" s="276">
        <f t="shared" si="539"/>
        <v>4.0675465392312518</v>
      </c>
      <c r="V637" s="276">
        <f t="shared" si="540"/>
        <v>6.2429637066539678</v>
      </c>
      <c r="W637" s="276">
        <f t="shared" si="541"/>
        <v>3.0507106159392716</v>
      </c>
      <c r="X637" s="276">
        <f t="shared" si="542"/>
        <v>3.2119585182047921</v>
      </c>
      <c r="Y637" s="686">
        <f t="shared" si="543"/>
        <v>3.4157865406930652</v>
      </c>
      <c r="Z637" s="685" t="e">
        <f t="shared" si="544"/>
        <v>#DIV/0!</v>
      </c>
      <c r="AA637" s="276" t="e">
        <f t="shared" si="545"/>
        <v>#DIV/0!</v>
      </c>
      <c r="AB637" s="276" t="e">
        <f t="shared" si="546"/>
        <v>#DIV/0!</v>
      </c>
      <c r="AC637" s="276" t="e">
        <f t="shared" si="547"/>
        <v>#DIV/0!</v>
      </c>
      <c r="AD637" s="276" t="e">
        <f t="shared" si="548"/>
        <v>#DIV/0!</v>
      </c>
      <c r="AE637" s="686" t="e">
        <f t="shared" si="549"/>
        <v>#DIV/0!</v>
      </c>
      <c r="AF637" s="239"/>
      <c r="AG637" s="965" t="e">
        <f t="shared" si="520"/>
        <v>#VALUE!</v>
      </c>
      <c r="AH637" s="878" t="e">
        <f t="shared" si="521"/>
        <v>#VALUE!</v>
      </c>
      <c r="AI637" s="878" t="e">
        <f t="shared" si="522"/>
        <v>#VALUE!</v>
      </c>
      <c r="AJ637" s="878" t="e">
        <f t="shared" si="523"/>
        <v>#VALUE!</v>
      </c>
      <c r="AK637" s="878" t="e">
        <f t="shared" si="524"/>
        <v>#VALUE!</v>
      </c>
      <c r="AL637" s="966" t="e">
        <f t="shared" si="525"/>
        <v>#VALUE!</v>
      </c>
      <c r="AM637" s="239"/>
      <c r="AO637" s="685">
        <f t="shared" si="550"/>
        <v>-0.49314277879635549</v>
      </c>
      <c r="AP637" s="276">
        <f t="shared" si="551"/>
        <v>0.36492516800813846</v>
      </c>
      <c r="AQ637" s="276">
        <f t="shared" si="552"/>
        <v>-3.2813665965401215</v>
      </c>
      <c r="AR637" s="276">
        <f t="shared" si="553"/>
        <v>-1.7077993019371021</v>
      </c>
      <c r="AS637" s="276">
        <f t="shared" si="554"/>
        <v>-1.1745436448281883</v>
      </c>
      <c r="AT637" s="276">
        <f t="shared" si="555"/>
        <v>-2.0479394746971726</v>
      </c>
      <c r="AU637" s="685">
        <f t="shared" si="556"/>
        <v>0.94278223713691234</v>
      </c>
      <c r="AV637" s="276">
        <f t="shared" si="557"/>
        <v>1.1589176877126641</v>
      </c>
      <c r="AW637" s="276">
        <f t="shared" si="558"/>
        <v>0.9041927058136523</v>
      </c>
      <c r="AX637" s="276">
        <f t="shared" si="559"/>
        <v>1.9050623644098363</v>
      </c>
      <c r="AY637" s="276">
        <f t="shared" si="560"/>
        <v>1.3328445854683306</v>
      </c>
      <c r="AZ637" s="686">
        <f t="shared" si="561"/>
        <v>0.92454470630804031</v>
      </c>
      <c r="BA637" s="685">
        <f t="shared" si="562"/>
        <v>0</v>
      </c>
      <c r="BB637" s="276">
        <f t="shared" si="563"/>
        <v>0</v>
      </c>
      <c r="BC637" s="276">
        <f t="shared" si="564"/>
        <v>0</v>
      </c>
      <c r="BD637" s="276">
        <f t="shared" si="565"/>
        <v>0</v>
      </c>
      <c r="BE637" s="276">
        <f t="shared" si="566"/>
        <v>0</v>
      </c>
      <c r="BF637" s="686">
        <f t="shared" si="567"/>
        <v>0</v>
      </c>
      <c r="BG637" s="685" t="e">
        <f t="shared" si="568"/>
        <v>#DIV/0!</v>
      </c>
      <c r="BH637" s="276" t="e">
        <f t="shared" si="569"/>
        <v>#DIV/0!</v>
      </c>
      <c r="BI637" s="276" t="e">
        <f t="shared" si="570"/>
        <v>#DIV/0!</v>
      </c>
      <c r="BJ637" s="276" t="e">
        <f t="shared" si="571"/>
        <v>#DIV/0!</v>
      </c>
      <c r="BK637" s="276" t="e">
        <f t="shared" si="572"/>
        <v>#DIV/0!</v>
      </c>
      <c r="BL637" s="686" t="e">
        <f t="shared" si="573"/>
        <v>#DIV/0!</v>
      </c>
      <c r="BM637" s="239"/>
      <c r="BN637" s="965" t="e">
        <f t="shared" si="574"/>
        <v>#VALUE!</v>
      </c>
      <c r="BO637" s="878" t="e">
        <f t="shared" si="575"/>
        <v>#VALUE!</v>
      </c>
      <c r="BP637" s="878" t="e">
        <f t="shared" si="576"/>
        <v>#VALUE!</v>
      </c>
      <c r="BQ637" s="878" t="e">
        <f t="shared" si="577"/>
        <v>#VALUE!</v>
      </c>
      <c r="BR637" s="878" t="e">
        <f t="shared" si="578"/>
        <v>#VALUE!</v>
      </c>
      <c r="BS637" s="966" t="e">
        <f t="shared" si="579"/>
        <v>#VALUE!</v>
      </c>
    </row>
    <row r="638" spans="1:71">
      <c r="A638" s="284">
        <f t="shared" si="580"/>
        <v>570</v>
      </c>
      <c r="B638" s="285">
        <v>0.66250387481148343</v>
      </c>
      <c r="C638" s="285">
        <v>1.5267881910753316</v>
      </c>
      <c r="D638" s="285">
        <v>4.3408823145033786</v>
      </c>
      <c r="E638" s="285">
        <v>-24.681059357977304</v>
      </c>
      <c r="H638" s="685">
        <f t="shared" si="526"/>
        <v>-0.47072996695757141</v>
      </c>
      <c r="I638" s="276">
        <f t="shared" si="527"/>
        <v>-3.758525657535742</v>
      </c>
      <c r="J638" s="276">
        <f t="shared" si="528"/>
        <v>-0.82832581338548006</v>
      </c>
      <c r="K638" s="276">
        <f t="shared" si="529"/>
        <v>-1.9770378006292306</v>
      </c>
      <c r="L638" s="276">
        <f t="shared" si="530"/>
        <v>-0.57157293260710273</v>
      </c>
      <c r="M638" s="276">
        <f t="shared" si="531"/>
        <v>-1.5122280821599359</v>
      </c>
      <c r="N638" s="685">
        <f t="shared" si="532"/>
        <v>0.31961698010346318</v>
      </c>
      <c r="O638" s="276">
        <f t="shared" si="533"/>
        <v>0.53083617025182339</v>
      </c>
      <c r="P638" s="276">
        <f t="shared" si="534"/>
        <v>1.6666446683242595</v>
      </c>
      <c r="Q638" s="276">
        <f t="shared" si="535"/>
        <v>1.8606729763542844</v>
      </c>
      <c r="R638" s="276">
        <f t="shared" si="536"/>
        <v>1.399198108905795</v>
      </c>
      <c r="S638" s="686">
        <f t="shared" si="537"/>
        <v>0.36821698813643189</v>
      </c>
      <c r="T638" s="685">
        <f t="shared" si="538"/>
        <v>7.619246004774304</v>
      </c>
      <c r="U638" s="276">
        <f t="shared" si="539"/>
        <v>5.0302772285119213</v>
      </c>
      <c r="V638" s="276">
        <f t="shared" si="540"/>
        <v>4.5696651947336839</v>
      </c>
      <c r="W638" s="276">
        <f t="shared" si="541"/>
        <v>4.1282636754452549</v>
      </c>
      <c r="X638" s="276">
        <f t="shared" si="542"/>
        <v>3.488697677100058</v>
      </c>
      <c r="Y638" s="686">
        <f t="shared" si="543"/>
        <v>6.5817036861843423</v>
      </c>
      <c r="Z638" s="685" t="e">
        <f t="shared" si="544"/>
        <v>#DIV/0!</v>
      </c>
      <c r="AA638" s="276" t="e">
        <f t="shared" si="545"/>
        <v>#DIV/0!</v>
      </c>
      <c r="AB638" s="276" t="e">
        <f t="shared" si="546"/>
        <v>#DIV/0!</v>
      </c>
      <c r="AC638" s="276" t="e">
        <f t="shared" si="547"/>
        <v>#DIV/0!</v>
      </c>
      <c r="AD638" s="276" t="e">
        <f t="shared" si="548"/>
        <v>#DIV/0!</v>
      </c>
      <c r="AE638" s="686" t="e">
        <f t="shared" si="549"/>
        <v>#DIV/0!</v>
      </c>
      <c r="AF638" s="239"/>
      <c r="AG638" s="965" t="e">
        <f t="shared" si="520"/>
        <v>#VALUE!</v>
      </c>
      <c r="AH638" s="878" t="e">
        <f t="shared" si="521"/>
        <v>#VALUE!</v>
      </c>
      <c r="AI638" s="878" t="e">
        <f t="shared" si="522"/>
        <v>#VALUE!</v>
      </c>
      <c r="AJ638" s="878" t="e">
        <f t="shared" si="523"/>
        <v>#VALUE!</v>
      </c>
      <c r="AK638" s="878" t="e">
        <f t="shared" si="524"/>
        <v>#VALUE!</v>
      </c>
      <c r="AL638" s="966" t="e">
        <f t="shared" si="525"/>
        <v>#VALUE!</v>
      </c>
      <c r="AM638" s="239"/>
      <c r="AO638" s="685">
        <f t="shared" si="550"/>
        <v>-0.47072996695757141</v>
      </c>
      <c r="AP638" s="276">
        <f t="shared" si="551"/>
        <v>-3.758525657535742</v>
      </c>
      <c r="AQ638" s="276">
        <f t="shared" si="552"/>
        <v>-0.82832581338548006</v>
      </c>
      <c r="AR638" s="276">
        <f t="shared" si="553"/>
        <v>-1.9770378006292306</v>
      </c>
      <c r="AS638" s="276">
        <f t="shared" si="554"/>
        <v>-0.57157293260710273</v>
      </c>
      <c r="AT638" s="276">
        <f t="shared" si="555"/>
        <v>-1.5122280821599359</v>
      </c>
      <c r="AU638" s="685">
        <f t="shared" si="556"/>
        <v>0.31961698010346318</v>
      </c>
      <c r="AV638" s="276">
        <f t="shared" si="557"/>
        <v>0.53083617025182339</v>
      </c>
      <c r="AW638" s="276">
        <f t="shared" si="558"/>
        <v>1.6666446683242595</v>
      </c>
      <c r="AX638" s="276">
        <f t="shared" si="559"/>
        <v>1.8606729763542844</v>
      </c>
      <c r="AY638" s="276">
        <f t="shared" si="560"/>
        <v>1.399198108905795</v>
      </c>
      <c r="AZ638" s="686">
        <f t="shared" si="561"/>
        <v>0.36821698813643189</v>
      </c>
      <c r="BA638" s="685">
        <f t="shared" si="562"/>
        <v>0</v>
      </c>
      <c r="BB638" s="276">
        <f t="shared" si="563"/>
        <v>0</v>
      </c>
      <c r="BC638" s="276">
        <f t="shared" si="564"/>
        <v>0</v>
      </c>
      <c r="BD638" s="276">
        <f t="shared" si="565"/>
        <v>0</v>
      </c>
      <c r="BE638" s="276">
        <f t="shared" si="566"/>
        <v>0</v>
      </c>
      <c r="BF638" s="686">
        <f t="shared" si="567"/>
        <v>0</v>
      </c>
      <c r="BG638" s="685" t="e">
        <f t="shared" si="568"/>
        <v>#DIV/0!</v>
      </c>
      <c r="BH638" s="276" t="e">
        <f t="shared" si="569"/>
        <v>#DIV/0!</v>
      </c>
      <c r="BI638" s="276" t="e">
        <f t="shared" si="570"/>
        <v>#DIV/0!</v>
      </c>
      <c r="BJ638" s="276" t="e">
        <f t="shared" si="571"/>
        <v>#DIV/0!</v>
      </c>
      <c r="BK638" s="276" t="e">
        <f t="shared" si="572"/>
        <v>#DIV/0!</v>
      </c>
      <c r="BL638" s="686" t="e">
        <f t="shared" si="573"/>
        <v>#DIV/0!</v>
      </c>
      <c r="BM638" s="239"/>
      <c r="BN638" s="965" t="e">
        <f t="shared" si="574"/>
        <v>#VALUE!</v>
      </c>
      <c r="BO638" s="878" t="e">
        <f t="shared" si="575"/>
        <v>#VALUE!</v>
      </c>
      <c r="BP638" s="878" t="e">
        <f t="shared" si="576"/>
        <v>#VALUE!</v>
      </c>
      <c r="BQ638" s="878" t="e">
        <f t="shared" si="577"/>
        <v>#VALUE!</v>
      </c>
      <c r="BR638" s="878" t="e">
        <f t="shared" si="578"/>
        <v>#VALUE!</v>
      </c>
      <c r="BS638" s="966" t="e">
        <f t="shared" si="579"/>
        <v>#VALUE!</v>
      </c>
    </row>
    <row r="639" spans="1:71">
      <c r="A639" s="284">
        <f t="shared" si="580"/>
        <v>571</v>
      </c>
      <c r="B639" s="285">
        <v>-0.623111595061836</v>
      </c>
      <c r="C639" s="285">
        <v>2.0425289726196301</v>
      </c>
      <c r="D639" s="285">
        <v>2.1178424383002032</v>
      </c>
      <c r="E639" s="285">
        <v>-22.283554375175189</v>
      </c>
      <c r="H639" s="685">
        <f t="shared" si="526"/>
        <v>-1.7563454368308908</v>
      </c>
      <c r="I639" s="276">
        <f t="shared" si="527"/>
        <v>0.69457003616271451</v>
      </c>
      <c r="J639" s="276">
        <f t="shared" si="528"/>
        <v>-1.6045403601728681</v>
      </c>
      <c r="K639" s="276">
        <f t="shared" si="529"/>
        <v>4.3632739948578365</v>
      </c>
      <c r="L639" s="276">
        <f t="shared" si="530"/>
        <v>1.5141627294549307</v>
      </c>
      <c r="M639" s="276">
        <f t="shared" si="531"/>
        <v>-2.0529598502931021</v>
      </c>
      <c r="N639" s="685">
        <f t="shared" si="532"/>
        <v>0.83535776164776165</v>
      </c>
      <c r="O639" s="276">
        <f t="shared" si="533"/>
        <v>1.5022596560638621</v>
      </c>
      <c r="P639" s="276">
        <f t="shared" si="534"/>
        <v>1.9804861970705241</v>
      </c>
      <c r="Q639" s="276">
        <f t="shared" si="535"/>
        <v>1.7134021808059365</v>
      </c>
      <c r="R639" s="276">
        <f t="shared" si="536"/>
        <v>1.377065649977401</v>
      </c>
      <c r="S639" s="686">
        <f t="shared" si="537"/>
        <v>1.4221342959682854</v>
      </c>
      <c r="T639" s="685">
        <f t="shared" si="538"/>
        <v>5.3962061285711291</v>
      </c>
      <c r="U639" s="276">
        <f t="shared" si="539"/>
        <v>5.8908296090199865</v>
      </c>
      <c r="V639" s="276">
        <f t="shared" si="540"/>
        <v>4.3177929757947657</v>
      </c>
      <c r="W639" s="276">
        <f t="shared" si="541"/>
        <v>6.3335082292690768</v>
      </c>
      <c r="X639" s="276">
        <f t="shared" si="542"/>
        <v>4.3528966934724194</v>
      </c>
      <c r="Y639" s="686">
        <f t="shared" si="543"/>
        <v>3.8201397131134094</v>
      </c>
      <c r="Z639" s="685" t="e">
        <f t="shared" si="544"/>
        <v>#DIV/0!</v>
      </c>
      <c r="AA639" s="276" t="e">
        <f t="shared" si="545"/>
        <v>#DIV/0!</v>
      </c>
      <c r="AB639" s="276" t="e">
        <f t="shared" si="546"/>
        <v>#DIV/0!</v>
      </c>
      <c r="AC639" s="276" t="e">
        <f t="shared" si="547"/>
        <v>#DIV/0!</v>
      </c>
      <c r="AD639" s="276" t="e">
        <f t="shared" si="548"/>
        <v>#DIV/0!</v>
      </c>
      <c r="AE639" s="686" t="e">
        <f t="shared" si="549"/>
        <v>#DIV/0!</v>
      </c>
      <c r="AF639" s="239"/>
      <c r="AG639" s="965" t="e">
        <f t="shared" si="520"/>
        <v>#VALUE!</v>
      </c>
      <c r="AH639" s="878" t="e">
        <f t="shared" si="521"/>
        <v>#VALUE!</v>
      </c>
      <c r="AI639" s="878" t="e">
        <f t="shared" si="522"/>
        <v>#VALUE!</v>
      </c>
      <c r="AJ639" s="878" t="e">
        <f t="shared" si="523"/>
        <v>#VALUE!</v>
      </c>
      <c r="AK639" s="878" t="e">
        <f t="shared" si="524"/>
        <v>#VALUE!</v>
      </c>
      <c r="AL639" s="966" t="e">
        <f t="shared" si="525"/>
        <v>#VALUE!</v>
      </c>
      <c r="AM639" s="239"/>
      <c r="AO639" s="685">
        <f t="shared" si="550"/>
        <v>-1.7563454368308908</v>
      </c>
      <c r="AP639" s="276">
        <f t="shared" si="551"/>
        <v>0.69457003616271451</v>
      </c>
      <c r="AQ639" s="276">
        <f t="shared" si="552"/>
        <v>-1.6045403601728681</v>
      </c>
      <c r="AR639" s="276">
        <f t="shared" si="553"/>
        <v>4.3632739948578365</v>
      </c>
      <c r="AS639" s="276">
        <f t="shared" si="554"/>
        <v>1.5141627294549307</v>
      </c>
      <c r="AT639" s="276">
        <f t="shared" si="555"/>
        <v>-2.0529598502931021</v>
      </c>
      <c r="AU639" s="685">
        <f t="shared" si="556"/>
        <v>0.83535776164776165</v>
      </c>
      <c r="AV639" s="276">
        <f t="shared" si="557"/>
        <v>1.5022596560638621</v>
      </c>
      <c r="AW639" s="276">
        <f t="shared" si="558"/>
        <v>1.9804861970705241</v>
      </c>
      <c r="AX639" s="276">
        <f t="shared" si="559"/>
        <v>1.7134021808059365</v>
      </c>
      <c r="AY639" s="276">
        <f t="shared" si="560"/>
        <v>1.377065649977401</v>
      </c>
      <c r="AZ639" s="686">
        <f t="shared" si="561"/>
        <v>1.4221342959682854</v>
      </c>
      <c r="BA639" s="685">
        <f t="shared" si="562"/>
        <v>0</v>
      </c>
      <c r="BB639" s="276">
        <f t="shared" si="563"/>
        <v>0</v>
      </c>
      <c r="BC639" s="276">
        <f t="shared" si="564"/>
        <v>0</v>
      </c>
      <c r="BD639" s="276">
        <f t="shared" si="565"/>
        <v>0</v>
      </c>
      <c r="BE639" s="276">
        <f t="shared" si="566"/>
        <v>0</v>
      </c>
      <c r="BF639" s="686">
        <f t="shared" si="567"/>
        <v>0</v>
      </c>
      <c r="BG639" s="685" t="e">
        <f t="shared" si="568"/>
        <v>#DIV/0!</v>
      </c>
      <c r="BH639" s="276" t="e">
        <f t="shared" si="569"/>
        <v>#DIV/0!</v>
      </c>
      <c r="BI639" s="276" t="e">
        <f t="shared" si="570"/>
        <v>#DIV/0!</v>
      </c>
      <c r="BJ639" s="276" t="e">
        <f t="shared" si="571"/>
        <v>#DIV/0!</v>
      </c>
      <c r="BK639" s="276" t="e">
        <f t="shared" si="572"/>
        <v>#DIV/0!</v>
      </c>
      <c r="BL639" s="686" t="e">
        <f t="shared" si="573"/>
        <v>#DIV/0!</v>
      </c>
      <c r="BM639" s="239"/>
      <c r="BN639" s="965" t="e">
        <f t="shared" si="574"/>
        <v>#VALUE!</v>
      </c>
      <c r="BO639" s="878" t="e">
        <f t="shared" si="575"/>
        <v>#VALUE!</v>
      </c>
      <c r="BP639" s="878" t="e">
        <f t="shared" si="576"/>
        <v>#VALUE!</v>
      </c>
      <c r="BQ639" s="878" t="e">
        <f t="shared" si="577"/>
        <v>#VALUE!</v>
      </c>
      <c r="BR639" s="878" t="e">
        <f t="shared" si="578"/>
        <v>#VALUE!</v>
      </c>
      <c r="BS639" s="966" t="e">
        <f t="shared" si="579"/>
        <v>#VALUE!</v>
      </c>
    </row>
    <row r="640" spans="1:71">
      <c r="A640" s="284">
        <f t="shared" si="580"/>
        <v>572</v>
      </c>
      <c r="B640" s="285">
        <v>-3.3181019414528459</v>
      </c>
      <c r="C640" s="285">
        <v>2.4650350285010196</v>
      </c>
      <c r="D640" s="285">
        <v>2.0878529705007005</v>
      </c>
      <c r="E640" s="285">
        <v>-4.9326025715603059</v>
      </c>
      <c r="H640" s="685">
        <f t="shared" si="526"/>
        <v>-4.4513357832219009</v>
      </c>
      <c r="I640" s="276">
        <f t="shared" si="527"/>
        <v>0.1558245137989358</v>
      </c>
      <c r="J640" s="276">
        <f t="shared" si="528"/>
        <v>-3.6569149969563917</v>
      </c>
      <c r="K640" s="276">
        <f t="shared" si="529"/>
        <v>-1.3976646619038728</v>
      </c>
      <c r="L640" s="276">
        <f t="shared" si="530"/>
        <v>0.59024831929536892</v>
      </c>
      <c r="M640" s="276">
        <f t="shared" si="531"/>
        <v>-0.90301955811278067</v>
      </c>
      <c r="N640" s="685">
        <f t="shared" si="532"/>
        <v>1.2578638175291512</v>
      </c>
      <c r="O640" s="276">
        <f t="shared" si="533"/>
        <v>0.91662417633829452</v>
      </c>
      <c r="P640" s="276">
        <f t="shared" si="534"/>
        <v>1.9770896064716765</v>
      </c>
      <c r="Q640" s="276">
        <f t="shared" si="535"/>
        <v>1.6047941119748217</v>
      </c>
      <c r="R640" s="276">
        <f t="shared" si="536"/>
        <v>1.1737659275609469</v>
      </c>
      <c r="S640" s="686">
        <f t="shared" si="537"/>
        <v>1.6479632660179859</v>
      </c>
      <c r="T640" s="685">
        <f t="shared" si="538"/>
        <v>5.3662166607716264</v>
      </c>
      <c r="U640" s="276">
        <f t="shared" si="539"/>
        <v>4.9033352614798318</v>
      </c>
      <c r="V640" s="276">
        <f t="shared" si="540"/>
        <v>3.7099087864616731</v>
      </c>
      <c r="W640" s="276">
        <f t="shared" si="541"/>
        <v>2.3596566366546452</v>
      </c>
      <c r="X640" s="276">
        <f t="shared" si="542"/>
        <v>6.2914434922789635</v>
      </c>
      <c r="Y640" s="686">
        <f t="shared" si="543"/>
        <v>5.9540455617265184</v>
      </c>
      <c r="Z640" s="685" t="e">
        <f t="shared" si="544"/>
        <v>#DIV/0!</v>
      </c>
      <c r="AA640" s="276" t="e">
        <f t="shared" si="545"/>
        <v>#DIV/0!</v>
      </c>
      <c r="AB640" s="276" t="e">
        <f t="shared" si="546"/>
        <v>#DIV/0!</v>
      </c>
      <c r="AC640" s="276" t="e">
        <f t="shared" si="547"/>
        <v>#DIV/0!</v>
      </c>
      <c r="AD640" s="276" t="e">
        <f t="shared" si="548"/>
        <v>#DIV/0!</v>
      </c>
      <c r="AE640" s="686" t="e">
        <f t="shared" si="549"/>
        <v>#DIV/0!</v>
      </c>
      <c r="AF640" s="239"/>
      <c r="AG640" s="965" t="e">
        <f t="shared" si="520"/>
        <v>#VALUE!</v>
      </c>
      <c r="AH640" s="878" t="e">
        <f t="shared" si="521"/>
        <v>#VALUE!</v>
      </c>
      <c r="AI640" s="878" t="e">
        <f t="shared" si="522"/>
        <v>#VALUE!</v>
      </c>
      <c r="AJ640" s="878" t="e">
        <f t="shared" si="523"/>
        <v>#VALUE!</v>
      </c>
      <c r="AK640" s="878" t="e">
        <f t="shared" si="524"/>
        <v>#VALUE!</v>
      </c>
      <c r="AL640" s="966" t="e">
        <f t="shared" si="525"/>
        <v>#VALUE!</v>
      </c>
      <c r="AM640" s="239"/>
      <c r="AO640" s="685">
        <f t="shared" si="550"/>
        <v>-4.4513357832219009</v>
      </c>
      <c r="AP640" s="276">
        <f t="shared" si="551"/>
        <v>0.1558245137989358</v>
      </c>
      <c r="AQ640" s="276">
        <f t="shared" si="552"/>
        <v>-3.6569149969563917</v>
      </c>
      <c r="AR640" s="276">
        <f t="shared" si="553"/>
        <v>-1.3976646619038728</v>
      </c>
      <c r="AS640" s="276">
        <f t="shared" si="554"/>
        <v>0.59024831929536892</v>
      </c>
      <c r="AT640" s="276">
        <f t="shared" si="555"/>
        <v>-0.90301955811278067</v>
      </c>
      <c r="AU640" s="685">
        <f t="shared" si="556"/>
        <v>1.2578638175291512</v>
      </c>
      <c r="AV640" s="276">
        <f t="shared" si="557"/>
        <v>0.91662417633829452</v>
      </c>
      <c r="AW640" s="276">
        <f t="shared" si="558"/>
        <v>1.9770896064716765</v>
      </c>
      <c r="AX640" s="276">
        <f t="shared" si="559"/>
        <v>1.6047941119748217</v>
      </c>
      <c r="AY640" s="276">
        <f t="shared" si="560"/>
        <v>1.1737659275609469</v>
      </c>
      <c r="AZ640" s="686">
        <f t="shared" si="561"/>
        <v>1.6479632660179859</v>
      </c>
      <c r="BA640" s="685">
        <f t="shared" si="562"/>
        <v>0</v>
      </c>
      <c r="BB640" s="276">
        <f t="shared" si="563"/>
        <v>0</v>
      </c>
      <c r="BC640" s="276">
        <f t="shared" si="564"/>
        <v>0</v>
      </c>
      <c r="BD640" s="276">
        <f t="shared" si="565"/>
        <v>0</v>
      </c>
      <c r="BE640" s="276">
        <f t="shared" si="566"/>
        <v>0</v>
      </c>
      <c r="BF640" s="686">
        <f t="shared" si="567"/>
        <v>0</v>
      </c>
      <c r="BG640" s="685" t="e">
        <f t="shared" si="568"/>
        <v>#DIV/0!</v>
      </c>
      <c r="BH640" s="276" t="e">
        <f t="shared" si="569"/>
        <v>#DIV/0!</v>
      </c>
      <c r="BI640" s="276" t="e">
        <f t="shared" si="570"/>
        <v>#DIV/0!</v>
      </c>
      <c r="BJ640" s="276" t="e">
        <f t="shared" si="571"/>
        <v>#DIV/0!</v>
      </c>
      <c r="BK640" s="276" t="e">
        <f t="shared" si="572"/>
        <v>#DIV/0!</v>
      </c>
      <c r="BL640" s="686" t="e">
        <f t="shared" si="573"/>
        <v>#DIV/0!</v>
      </c>
      <c r="BM640" s="239"/>
      <c r="BN640" s="965" t="e">
        <f t="shared" si="574"/>
        <v>#VALUE!</v>
      </c>
      <c r="BO640" s="878" t="e">
        <f t="shared" si="575"/>
        <v>#VALUE!</v>
      </c>
      <c r="BP640" s="878" t="e">
        <f t="shared" si="576"/>
        <v>#VALUE!</v>
      </c>
      <c r="BQ640" s="878" t="e">
        <f t="shared" si="577"/>
        <v>#VALUE!</v>
      </c>
      <c r="BR640" s="878" t="e">
        <f t="shared" si="578"/>
        <v>#VALUE!</v>
      </c>
      <c r="BS640" s="966" t="e">
        <f t="shared" si="579"/>
        <v>#VALUE!</v>
      </c>
    </row>
    <row r="641" spans="1:71">
      <c r="A641" s="284">
        <f t="shared" si="580"/>
        <v>573</v>
      </c>
      <c r="B641" s="285">
        <v>4.2215868769422213</v>
      </c>
      <c r="C641" s="285">
        <v>3.1249847060697986</v>
      </c>
      <c r="D641" s="285">
        <v>1.0526725141576951</v>
      </c>
      <c r="E641" s="285">
        <v>0.2242950818332714</v>
      </c>
      <c r="H641" s="685">
        <f t="shared" si="526"/>
        <v>3.0883530351731663</v>
      </c>
      <c r="I641" s="276">
        <f t="shared" si="527"/>
        <v>-3.1004399150714339</v>
      </c>
      <c r="J641" s="276">
        <f t="shared" si="528"/>
        <v>-4.8144158388453784</v>
      </c>
      <c r="K641" s="276">
        <f t="shared" si="529"/>
        <v>2.8362341119637176</v>
      </c>
      <c r="L641" s="276">
        <f t="shared" si="530"/>
        <v>-3.5523347089444632</v>
      </c>
      <c r="M641" s="276">
        <f t="shared" si="531"/>
        <v>-1.1655627905375658</v>
      </c>
      <c r="N641" s="685">
        <f t="shared" si="532"/>
        <v>1.9178134950979302</v>
      </c>
      <c r="O641" s="276">
        <f t="shared" si="533"/>
        <v>0.42610462948557992</v>
      </c>
      <c r="P641" s="276">
        <f t="shared" si="534"/>
        <v>1.5202703114491734</v>
      </c>
      <c r="Q641" s="276">
        <f t="shared" si="535"/>
        <v>1.9564865735195116</v>
      </c>
      <c r="R641" s="276">
        <f t="shared" si="536"/>
        <v>1.3018245705098079</v>
      </c>
      <c r="S641" s="686">
        <f t="shared" si="537"/>
        <v>1.4775136334544008</v>
      </c>
      <c r="T641" s="685">
        <f t="shared" si="538"/>
        <v>4.3310362044286208</v>
      </c>
      <c r="U641" s="276">
        <f t="shared" si="539"/>
        <v>4.406560665393739</v>
      </c>
      <c r="V641" s="276">
        <f t="shared" si="540"/>
        <v>4.622369072604652</v>
      </c>
      <c r="W641" s="276">
        <f t="shared" si="541"/>
        <v>2.6711122100104858</v>
      </c>
      <c r="X641" s="276">
        <f t="shared" si="542"/>
        <v>4.0486712130860205</v>
      </c>
      <c r="Y641" s="686">
        <f t="shared" si="543"/>
        <v>3.6738496957467826</v>
      </c>
      <c r="Z641" s="685" t="e">
        <f t="shared" si="544"/>
        <v>#DIV/0!</v>
      </c>
      <c r="AA641" s="276" t="e">
        <f t="shared" si="545"/>
        <v>#DIV/0!</v>
      </c>
      <c r="AB641" s="276" t="e">
        <f t="shared" si="546"/>
        <v>#DIV/0!</v>
      </c>
      <c r="AC641" s="276" t="e">
        <f t="shared" si="547"/>
        <v>#DIV/0!</v>
      </c>
      <c r="AD641" s="276" t="e">
        <f t="shared" si="548"/>
        <v>#DIV/0!</v>
      </c>
      <c r="AE641" s="686" t="e">
        <f t="shared" si="549"/>
        <v>#DIV/0!</v>
      </c>
      <c r="AF641" s="239"/>
      <c r="AG641" s="965" t="e">
        <f t="shared" si="520"/>
        <v>#VALUE!</v>
      </c>
      <c r="AH641" s="878" t="e">
        <f t="shared" si="521"/>
        <v>#VALUE!</v>
      </c>
      <c r="AI641" s="878" t="e">
        <f t="shared" si="522"/>
        <v>#VALUE!</v>
      </c>
      <c r="AJ641" s="878" t="e">
        <f t="shared" si="523"/>
        <v>#VALUE!</v>
      </c>
      <c r="AK641" s="878" t="e">
        <f t="shared" si="524"/>
        <v>#VALUE!</v>
      </c>
      <c r="AL641" s="966" t="e">
        <f t="shared" si="525"/>
        <v>#VALUE!</v>
      </c>
      <c r="AM641" s="239"/>
      <c r="AO641" s="685">
        <f t="shared" si="550"/>
        <v>3.0883530351731663</v>
      </c>
      <c r="AP641" s="276">
        <f t="shared" si="551"/>
        <v>-3.1004399150714339</v>
      </c>
      <c r="AQ641" s="276">
        <f t="shared" si="552"/>
        <v>-4.8144158388453784</v>
      </c>
      <c r="AR641" s="276">
        <f t="shared" si="553"/>
        <v>2.8362341119637176</v>
      </c>
      <c r="AS641" s="276">
        <f t="shared" si="554"/>
        <v>-3.5523347089444632</v>
      </c>
      <c r="AT641" s="276">
        <f t="shared" si="555"/>
        <v>-1.1655627905375658</v>
      </c>
      <c r="AU641" s="685">
        <f t="shared" si="556"/>
        <v>1.9178134950979302</v>
      </c>
      <c r="AV641" s="276">
        <f t="shared" si="557"/>
        <v>0.42610462948557992</v>
      </c>
      <c r="AW641" s="276">
        <f t="shared" si="558"/>
        <v>1.5202703114491734</v>
      </c>
      <c r="AX641" s="276">
        <f t="shared" si="559"/>
        <v>1.9564865735195116</v>
      </c>
      <c r="AY641" s="276">
        <f t="shared" si="560"/>
        <v>1.3018245705098079</v>
      </c>
      <c r="AZ641" s="686">
        <f t="shared" si="561"/>
        <v>1.4775136334544008</v>
      </c>
      <c r="BA641" s="685">
        <f t="shared" si="562"/>
        <v>0</v>
      </c>
      <c r="BB641" s="276">
        <f t="shared" si="563"/>
        <v>0</v>
      </c>
      <c r="BC641" s="276">
        <f t="shared" si="564"/>
        <v>0</v>
      </c>
      <c r="BD641" s="276">
        <f t="shared" si="565"/>
        <v>0</v>
      </c>
      <c r="BE641" s="276">
        <f t="shared" si="566"/>
        <v>0</v>
      </c>
      <c r="BF641" s="686">
        <f t="shared" si="567"/>
        <v>0</v>
      </c>
      <c r="BG641" s="685" t="e">
        <f t="shared" si="568"/>
        <v>#DIV/0!</v>
      </c>
      <c r="BH641" s="276" t="e">
        <f t="shared" si="569"/>
        <v>#DIV/0!</v>
      </c>
      <c r="BI641" s="276" t="e">
        <f t="shared" si="570"/>
        <v>#DIV/0!</v>
      </c>
      <c r="BJ641" s="276" t="e">
        <f t="shared" si="571"/>
        <v>#DIV/0!</v>
      </c>
      <c r="BK641" s="276" t="e">
        <f t="shared" si="572"/>
        <v>#DIV/0!</v>
      </c>
      <c r="BL641" s="686" t="e">
        <f t="shared" si="573"/>
        <v>#DIV/0!</v>
      </c>
      <c r="BM641" s="239"/>
      <c r="BN641" s="965" t="e">
        <f t="shared" si="574"/>
        <v>#VALUE!</v>
      </c>
      <c r="BO641" s="878" t="e">
        <f t="shared" si="575"/>
        <v>#VALUE!</v>
      </c>
      <c r="BP641" s="878" t="e">
        <f t="shared" si="576"/>
        <v>#VALUE!</v>
      </c>
      <c r="BQ641" s="878" t="e">
        <f t="shared" si="577"/>
        <v>#VALUE!</v>
      </c>
      <c r="BR641" s="878" t="e">
        <f t="shared" si="578"/>
        <v>#VALUE!</v>
      </c>
      <c r="BS641" s="966" t="e">
        <f t="shared" si="579"/>
        <v>#VALUE!</v>
      </c>
    </row>
    <row r="642" spans="1:71">
      <c r="A642" s="284">
        <f t="shared" si="580"/>
        <v>574</v>
      </c>
      <c r="B642" s="285">
        <v>-2.9827168472663228</v>
      </c>
      <c r="C642" s="285">
        <v>2.2711573859649978</v>
      </c>
      <c r="D642" s="285">
        <v>0.10225113807812525</v>
      </c>
      <c r="E642" s="285">
        <v>-16.219801682966146</v>
      </c>
      <c r="H642" s="685">
        <f t="shared" si="526"/>
        <v>-4.1159506890353779</v>
      </c>
      <c r="I642" s="276">
        <f t="shared" si="527"/>
        <v>-2.413902827171583</v>
      </c>
      <c r="J642" s="276">
        <f t="shared" si="528"/>
        <v>-3.5004875964397915</v>
      </c>
      <c r="K642" s="276">
        <f t="shared" si="529"/>
        <v>-0.79951140404263987</v>
      </c>
      <c r="L642" s="276">
        <f t="shared" si="530"/>
        <v>-5.8544457939936558</v>
      </c>
      <c r="M642" s="276">
        <f t="shared" si="531"/>
        <v>-0.33007394358133002</v>
      </c>
      <c r="N642" s="685">
        <f t="shared" si="532"/>
        <v>1.0639861749931294</v>
      </c>
      <c r="O642" s="276">
        <f t="shared" si="533"/>
        <v>1.667324762069373</v>
      </c>
      <c r="P642" s="276">
        <f t="shared" si="534"/>
        <v>0.41050777469386057</v>
      </c>
      <c r="Q642" s="276">
        <f t="shared" si="535"/>
        <v>0.29885256725453702</v>
      </c>
      <c r="R642" s="276">
        <f t="shared" si="536"/>
        <v>0.75584539881312263</v>
      </c>
      <c r="S642" s="686">
        <f t="shared" si="537"/>
        <v>1.0444453692956175</v>
      </c>
      <c r="T642" s="685">
        <f t="shared" si="538"/>
        <v>3.3806148283490511</v>
      </c>
      <c r="U642" s="276">
        <f t="shared" si="539"/>
        <v>3.523554882569738</v>
      </c>
      <c r="V642" s="276">
        <f t="shared" si="540"/>
        <v>4.6035495223594296</v>
      </c>
      <c r="W642" s="276">
        <f t="shared" si="541"/>
        <v>3.3740479547433129</v>
      </c>
      <c r="X642" s="276">
        <f t="shared" si="542"/>
        <v>2.6505501285627644</v>
      </c>
      <c r="Y642" s="686">
        <f t="shared" si="543"/>
        <v>3.6620119441444072</v>
      </c>
      <c r="Z642" s="685" t="e">
        <f t="shared" si="544"/>
        <v>#DIV/0!</v>
      </c>
      <c r="AA642" s="276" t="e">
        <f t="shared" si="545"/>
        <v>#DIV/0!</v>
      </c>
      <c r="AB642" s="276" t="e">
        <f t="shared" si="546"/>
        <v>#DIV/0!</v>
      </c>
      <c r="AC642" s="276" t="e">
        <f t="shared" si="547"/>
        <v>#DIV/0!</v>
      </c>
      <c r="AD642" s="276" t="e">
        <f t="shared" si="548"/>
        <v>#DIV/0!</v>
      </c>
      <c r="AE642" s="686" t="e">
        <f t="shared" si="549"/>
        <v>#DIV/0!</v>
      </c>
      <c r="AF642" s="239"/>
      <c r="AG642" s="965" t="e">
        <f t="shared" si="520"/>
        <v>#VALUE!</v>
      </c>
      <c r="AH642" s="878" t="e">
        <f t="shared" si="521"/>
        <v>#VALUE!</v>
      </c>
      <c r="AI642" s="878" t="e">
        <f t="shared" si="522"/>
        <v>#VALUE!</v>
      </c>
      <c r="AJ642" s="878" t="e">
        <f t="shared" si="523"/>
        <v>#VALUE!</v>
      </c>
      <c r="AK642" s="878" t="e">
        <f t="shared" si="524"/>
        <v>#VALUE!</v>
      </c>
      <c r="AL642" s="966" t="e">
        <f t="shared" si="525"/>
        <v>#VALUE!</v>
      </c>
      <c r="AM642" s="239"/>
      <c r="AO642" s="685">
        <f t="shared" si="550"/>
        <v>-4.1159506890353779</v>
      </c>
      <c r="AP642" s="276">
        <f t="shared" si="551"/>
        <v>-2.413902827171583</v>
      </c>
      <c r="AQ642" s="276">
        <f t="shared" si="552"/>
        <v>-3.5004875964397915</v>
      </c>
      <c r="AR642" s="276">
        <f t="shared" si="553"/>
        <v>-0.79951140404263987</v>
      </c>
      <c r="AS642" s="276">
        <f t="shared" si="554"/>
        <v>-5.8544457939936558</v>
      </c>
      <c r="AT642" s="276">
        <f t="shared" si="555"/>
        <v>-0.33007394358133002</v>
      </c>
      <c r="AU642" s="685">
        <f t="shared" si="556"/>
        <v>1.0639861749931294</v>
      </c>
      <c r="AV642" s="276">
        <f t="shared" si="557"/>
        <v>1.667324762069373</v>
      </c>
      <c r="AW642" s="276">
        <f t="shared" si="558"/>
        <v>0.41050777469386057</v>
      </c>
      <c r="AX642" s="276">
        <f t="shared" si="559"/>
        <v>0.29885256725453702</v>
      </c>
      <c r="AY642" s="276">
        <f t="shared" si="560"/>
        <v>0.75584539881312263</v>
      </c>
      <c r="AZ642" s="686">
        <f t="shared" si="561"/>
        <v>1.0444453692956175</v>
      </c>
      <c r="BA642" s="685">
        <f t="shared" si="562"/>
        <v>0</v>
      </c>
      <c r="BB642" s="276">
        <f t="shared" si="563"/>
        <v>0</v>
      </c>
      <c r="BC642" s="276">
        <f t="shared" si="564"/>
        <v>0</v>
      </c>
      <c r="BD642" s="276">
        <f t="shared" si="565"/>
        <v>0</v>
      </c>
      <c r="BE642" s="276">
        <f t="shared" si="566"/>
        <v>0</v>
      </c>
      <c r="BF642" s="686">
        <f t="shared" si="567"/>
        <v>0</v>
      </c>
      <c r="BG642" s="685" t="e">
        <f t="shared" si="568"/>
        <v>#DIV/0!</v>
      </c>
      <c r="BH642" s="276" t="e">
        <f t="shared" si="569"/>
        <v>#DIV/0!</v>
      </c>
      <c r="BI642" s="276" t="e">
        <f t="shared" si="570"/>
        <v>#DIV/0!</v>
      </c>
      <c r="BJ642" s="276" t="e">
        <f t="shared" si="571"/>
        <v>#DIV/0!</v>
      </c>
      <c r="BK642" s="276" t="e">
        <f t="shared" si="572"/>
        <v>#DIV/0!</v>
      </c>
      <c r="BL642" s="686" t="e">
        <f t="shared" si="573"/>
        <v>#DIV/0!</v>
      </c>
      <c r="BM642" s="239"/>
      <c r="BN642" s="965" t="e">
        <f t="shared" si="574"/>
        <v>#VALUE!</v>
      </c>
      <c r="BO642" s="878" t="e">
        <f t="shared" si="575"/>
        <v>#VALUE!</v>
      </c>
      <c r="BP642" s="878" t="e">
        <f t="shared" si="576"/>
        <v>#VALUE!</v>
      </c>
      <c r="BQ642" s="878" t="e">
        <f t="shared" si="577"/>
        <v>#VALUE!</v>
      </c>
      <c r="BR642" s="878" t="e">
        <f t="shared" si="578"/>
        <v>#VALUE!</v>
      </c>
      <c r="BS642" s="966" t="e">
        <f t="shared" si="579"/>
        <v>#VALUE!</v>
      </c>
    </row>
    <row r="643" spans="1:71">
      <c r="A643" s="284">
        <f t="shared" si="580"/>
        <v>575</v>
      </c>
      <c r="B643" s="285">
        <v>2.2497516258260504</v>
      </c>
      <c r="C643" s="285">
        <v>2.7691022881563256</v>
      </c>
      <c r="D643" s="285">
        <v>2.3572116903172038</v>
      </c>
      <c r="E643" s="285">
        <v>1.7595767136490328</v>
      </c>
      <c r="H643" s="685">
        <f t="shared" si="526"/>
        <v>1.1165177840569955</v>
      </c>
      <c r="I643" s="276">
        <f t="shared" si="527"/>
        <v>-3.4145270072861704</v>
      </c>
      <c r="J643" s="276">
        <f t="shared" si="528"/>
        <v>-0.80574088378363873</v>
      </c>
      <c r="K643" s="276">
        <f t="shared" si="529"/>
        <v>-5.9315937409039687</v>
      </c>
      <c r="L643" s="276">
        <f t="shared" si="530"/>
        <v>-1.2351791452487384</v>
      </c>
      <c r="M643" s="276">
        <f t="shared" si="531"/>
        <v>-1.9504790403436394</v>
      </c>
      <c r="N643" s="685">
        <f t="shared" si="532"/>
        <v>1.5619310771844572</v>
      </c>
      <c r="O643" s="276">
        <f t="shared" si="533"/>
        <v>0.7392667864625444</v>
      </c>
      <c r="P643" s="276">
        <f t="shared" si="534"/>
        <v>1.1597354267548459</v>
      </c>
      <c r="Q643" s="276">
        <f t="shared" si="535"/>
        <v>1.6576222185572662</v>
      </c>
      <c r="R643" s="276">
        <f t="shared" si="536"/>
        <v>1.6115190755487039</v>
      </c>
      <c r="S643" s="686">
        <f t="shared" si="537"/>
        <v>1.4200771799517613</v>
      </c>
      <c r="T643" s="685">
        <f t="shared" si="538"/>
        <v>5.6355753805881292</v>
      </c>
      <c r="U643" s="276">
        <f t="shared" si="539"/>
        <v>3.4994761056146384</v>
      </c>
      <c r="V643" s="276">
        <f t="shared" si="540"/>
        <v>3.5240733222472365</v>
      </c>
      <c r="W643" s="276">
        <f t="shared" si="541"/>
        <v>1.039869707091317</v>
      </c>
      <c r="X643" s="276">
        <f t="shared" si="542"/>
        <v>1.9636532387194401</v>
      </c>
      <c r="Y643" s="686">
        <f t="shared" si="543"/>
        <v>4.7268401262416049</v>
      </c>
      <c r="Z643" s="685" t="e">
        <f t="shared" si="544"/>
        <v>#DIV/0!</v>
      </c>
      <c r="AA643" s="276" t="e">
        <f t="shared" si="545"/>
        <v>#DIV/0!</v>
      </c>
      <c r="AB643" s="276" t="e">
        <f t="shared" si="546"/>
        <v>#DIV/0!</v>
      </c>
      <c r="AC643" s="276" t="e">
        <f t="shared" si="547"/>
        <v>#DIV/0!</v>
      </c>
      <c r="AD643" s="276" t="e">
        <f t="shared" si="548"/>
        <v>#DIV/0!</v>
      </c>
      <c r="AE643" s="686" t="e">
        <f t="shared" si="549"/>
        <v>#DIV/0!</v>
      </c>
      <c r="AF643" s="239"/>
      <c r="AG643" s="965" t="e">
        <f t="shared" si="520"/>
        <v>#VALUE!</v>
      </c>
      <c r="AH643" s="878" t="e">
        <f t="shared" si="521"/>
        <v>#VALUE!</v>
      </c>
      <c r="AI643" s="878" t="e">
        <f t="shared" si="522"/>
        <v>#VALUE!</v>
      </c>
      <c r="AJ643" s="878" t="e">
        <f t="shared" si="523"/>
        <v>#VALUE!</v>
      </c>
      <c r="AK643" s="878" t="e">
        <f t="shared" si="524"/>
        <v>#VALUE!</v>
      </c>
      <c r="AL643" s="966" t="e">
        <f t="shared" si="525"/>
        <v>#VALUE!</v>
      </c>
      <c r="AM643" s="239"/>
      <c r="AO643" s="685">
        <f t="shared" si="550"/>
        <v>1.1165177840569955</v>
      </c>
      <c r="AP643" s="276">
        <f t="shared" si="551"/>
        <v>-3.4145270072861704</v>
      </c>
      <c r="AQ643" s="276">
        <f t="shared" si="552"/>
        <v>-0.80574088378363873</v>
      </c>
      <c r="AR643" s="276">
        <f t="shared" si="553"/>
        <v>-5.9315937409039687</v>
      </c>
      <c r="AS643" s="276">
        <f t="shared" si="554"/>
        <v>-1.2351791452487384</v>
      </c>
      <c r="AT643" s="276">
        <f t="shared" si="555"/>
        <v>-1.9504790403436394</v>
      </c>
      <c r="AU643" s="685">
        <f t="shared" si="556"/>
        <v>1.5619310771844572</v>
      </c>
      <c r="AV643" s="276">
        <f t="shared" si="557"/>
        <v>0.7392667864625444</v>
      </c>
      <c r="AW643" s="276">
        <f t="shared" si="558"/>
        <v>1.1597354267548459</v>
      </c>
      <c r="AX643" s="276">
        <f t="shared" si="559"/>
        <v>1.6576222185572662</v>
      </c>
      <c r="AY643" s="276">
        <f t="shared" si="560"/>
        <v>1.6115190755487039</v>
      </c>
      <c r="AZ643" s="686">
        <f t="shared" si="561"/>
        <v>1.4200771799517613</v>
      </c>
      <c r="BA643" s="685">
        <f t="shared" si="562"/>
        <v>0</v>
      </c>
      <c r="BB643" s="276">
        <f t="shared" si="563"/>
        <v>0</v>
      </c>
      <c r="BC643" s="276">
        <f t="shared" si="564"/>
        <v>0</v>
      </c>
      <c r="BD643" s="276">
        <f t="shared" si="565"/>
        <v>0</v>
      </c>
      <c r="BE643" s="276">
        <f t="shared" si="566"/>
        <v>0</v>
      </c>
      <c r="BF643" s="686">
        <f t="shared" si="567"/>
        <v>0</v>
      </c>
      <c r="BG643" s="685" t="e">
        <f t="shared" si="568"/>
        <v>#DIV/0!</v>
      </c>
      <c r="BH643" s="276" t="e">
        <f t="shared" si="569"/>
        <v>#DIV/0!</v>
      </c>
      <c r="BI643" s="276" t="e">
        <f t="shared" si="570"/>
        <v>#DIV/0!</v>
      </c>
      <c r="BJ643" s="276" t="e">
        <f t="shared" si="571"/>
        <v>#DIV/0!</v>
      </c>
      <c r="BK643" s="276" t="e">
        <f t="shared" si="572"/>
        <v>#DIV/0!</v>
      </c>
      <c r="BL643" s="686" t="e">
        <f t="shared" si="573"/>
        <v>#DIV/0!</v>
      </c>
      <c r="BM643" s="239"/>
      <c r="BN643" s="965" t="e">
        <f t="shared" si="574"/>
        <v>#VALUE!</v>
      </c>
      <c r="BO643" s="878" t="e">
        <f t="shared" si="575"/>
        <v>#VALUE!</v>
      </c>
      <c r="BP643" s="878" t="e">
        <f t="shared" si="576"/>
        <v>#VALUE!</v>
      </c>
      <c r="BQ643" s="878" t="e">
        <f t="shared" si="577"/>
        <v>#VALUE!</v>
      </c>
      <c r="BR643" s="878" t="e">
        <f t="shared" si="578"/>
        <v>#VALUE!</v>
      </c>
      <c r="BS643" s="966" t="e">
        <f t="shared" si="579"/>
        <v>#VALUE!</v>
      </c>
    </row>
    <row r="644" spans="1:71">
      <c r="A644" s="284">
        <f t="shared" si="580"/>
        <v>576</v>
      </c>
      <c r="B644" s="285">
        <v>2.3393564634158817</v>
      </c>
      <c r="C644" s="285">
        <v>3.3537880373029374</v>
      </c>
      <c r="D644" s="285">
        <v>1.9169742986725544</v>
      </c>
      <c r="E644" s="285">
        <v>15.390632524236363</v>
      </c>
      <c r="H644" s="685">
        <f t="shared" si="526"/>
        <v>1.2061226216468268</v>
      </c>
      <c r="I644" s="276">
        <f t="shared" si="527"/>
        <v>-2.1110182008223912</v>
      </c>
      <c r="J644" s="276">
        <f t="shared" si="528"/>
        <v>-4.3076014745217757</v>
      </c>
      <c r="K644" s="276">
        <f t="shared" si="529"/>
        <v>0.11552815008937656</v>
      </c>
      <c r="L644" s="276">
        <f t="shared" si="530"/>
        <v>1.0657638790127597</v>
      </c>
      <c r="M644" s="276">
        <f t="shared" si="531"/>
        <v>-0.83418484791428393</v>
      </c>
      <c r="N644" s="685">
        <f t="shared" si="532"/>
        <v>2.1466168263310692</v>
      </c>
      <c r="O644" s="276">
        <f t="shared" si="533"/>
        <v>0.98411201166902074</v>
      </c>
      <c r="P644" s="276">
        <f t="shared" si="534"/>
        <v>0.97534386672676576</v>
      </c>
      <c r="Q644" s="276">
        <f t="shared" si="535"/>
        <v>1.3612504510860639</v>
      </c>
      <c r="R644" s="276">
        <f t="shared" si="536"/>
        <v>1.6258729076827947</v>
      </c>
      <c r="S644" s="686">
        <f t="shared" si="537"/>
        <v>1.1100521670219046</v>
      </c>
      <c r="T644" s="685">
        <f t="shared" si="538"/>
        <v>5.1953379889434803</v>
      </c>
      <c r="U644" s="276">
        <f t="shared" si="539"/>
        <v>4.48491150093757</v>
      </c>
      <c r="V644" s="276">
        <f t="shared" si="540"/>
        <v>3.570585730647502</v>
      </c>
      <c r="W644" s="276">
        <f t="shared" si="541"/>
        <v>3.5491510829860569</v>
      </c>
      <c r="X644" s="276">
        <f t="shared" si="542"/>
        <v>4.8601230588107285</v>
      </c>
      <c r="Y644" s="686">
        <f t="shared" si="543"/>
        <v>3.5021451360672655</v>
      </c>
      <c r="Z644" s="685" t="e">
        <f t="shared" si="544"/>
        <v>#DIV/0!</v>
      </c>
      <c r="AA644" s="276" t="e">
        <f t="shared" si="545"/>
        <v>#DIV/0!</v>
      </c>
      <c r="AB644" s="276" t="e">
        <f t="shared" si="546"/>
        <v>#DIV/0!</v>
      </c>
      <c r="AC644" s="276" t="e">
        <f t="shared" si="547"/>
        <v>#DIV/0!</v>
      </c>
      <c r="AD644" s="276" t="e">
        <f t="shared" si="548"/>
        <v>#DIV/0!</v>
      </c>
      <c r="AE644" s="686" t="e">
        <f t="shared" si="549"/>
        <v>#DIV/0!</v>
      </c>
      <c r="AF644" s="239"/>
      <c r="AG644" s="965" t="e">
        <f t="shared" si="520"/>
        <v>#VALUE!</v>
      </c>
      <c r="AH644" s="878" t="e">
        <f t="shared" si="521"/>
        <v>#VALUE!</v>
      </c>
      <c r="AI644" s="878" t="e">
        <f t="shared" si="522"/>
        <v>#VALUE!</v>
      </c>
      <c r="AJ644" s="878" t="e">
        <f t="shared" si="523"/>
        <v>#VALUE!</v>
      </c>
      <c r="AK644" s="878" t="e">
        <f t="shared" si="524"/>
        <v>#VALUE!</v>
      </c>
      <c r="AL644" s="966" t="e">
        <f t="shared" si="525"/>
        <v>#VALUE!</v>
      </c>
      <c r="AM644" s="239"/>
      <c r="AO644" s="685">
        <f t="shared" si="550"/>
        <v>1.2061226216468268</v>
      </c>
      <c r="AP644" s="276">
        <f t="shared" si="551"/>
        <v>-2.1110182008223912</v>
      </c>
      <c r="AQ644" s="276">
        <f t="shared" si="552"/>
        <v>-4.3076014745217757</v>
      </c>
      <c r="AR644" s="276">
        <f t="shared" si="553"/>
        <v>0.11552815008937656</v>
      </c>
      <c r="AS644" s="276">
        <f t="shared" si="554"/>
        <v>1.0657638790127597</v>
      </c>
      <c r="AT644" s="276">
        <f t="shared" si="555"/>
        <v>-0.83418484791428393</v>
      </c>
      <c r="AU644" s="685">
        <f t="shared" si="556"/>
        <v>2.1466168263310692</v>
      </c>
      <c r="AV644" s="276">
        <f t="shared" si="557"/>
        <v>0.98411201166902074</v>
      </c>
      <c r="AW644" s="276">
        <f t="shared" si="558"/>
        <v>0.97534386672676576</v>
      </c>
      <c r="AX644" s="276">
        <f t="shared" si="559"/>
        <v>1.3612504510860639</v>
      </c>
      <c r="AY644" s="276">
        <f t="shared" si="560"/>
        <v>1.6258729076827947</v>
      </c>
      <c r="AZ644" s="686">
        <f t="shared" si="561"/>
        <v>1.1100521670219046</v>
      </c>
      <c r="BA644" s="685">
        <f t="shared" si="562"/>
        <v>0</v>
      </c>
      <c r="BB644" s="276">
        <f t="shared" si="563"/>
        <v>0</v>
      </c>
      <c r="BC644" s="276">
        <f t="shared" si="564"/>
        <v>0</v>
      </c>
      <c r="BD644" s="276">
        <f t="shared" si="565"/>
        <v>0</v>
      </c>
      <c r="BE644" s="276">
        <f t="shared" si="566"/>
        <v>0</v>
      </c>
      <c r="BF644" s="686">
        <f t="shared" si="567"/>
        <v>0</v>
      </c>
      <c r="BG644" s="685" t="e">
        <f t="shared" si="568"/>
        <v>#DIV/0!</v>
      </c>
      <c r="BH644" s="276" t="e">
        <f t="shared" si="569"/>
        <v>#DIV/0!</v>
      </c>
      <c r="BI644" s="276" t="e">
        <f t="shared" si="570"/>
        <v>#DIV/0!</v>
      </c>
      <c r="BJ644" s="276" t="e">
        <f t="shared" si="571"/>
        <v>#DIV/0!</v>
      </c>
      <c r="BK644" s="276" t="e">
        <f t="shared" si="572"/>
        <v>#DIV/0!</v>
      </c>
      <c r="BL644" s="686" t="e">
        <f t="shared" si="573"/>
        <v>#DIV/0!</v>
      </c>
      <c r="BM644" s="239"/>
      <c r="BN644" s="965" t="e">
        <f t="shared" si="574"/>
        <v>#VALUE!</v>
      </c>
      <c r="BO644" s="878" t="e">
        <f t="shared" si="575"/>
        <v>#VALUE!</v>
      </c>
      <c r="BP644" s="878" t="e">
        <f t="shared" si="576"/>
        <v>#VALUE!</v>
      </c>
      <c r="BQ644" s="878" t="e">
        <f t="shared" si="577"/>
        <v>#VALUE!</v>
      </c>
      <c r="BR644" s="878" t="e">
        <f t="shared" si="578"/>
        <v>#VALUE!</v>
      </c>
      <c r="BS644" s="966" t="e">
        <f t="shared" si="579"/>
        <v>#VALUE!</v>
      </c>
    </row>
    <row r="645" spans="1:71">
      <c r="A645" s="284">
        <f t="shared" si="580"/>
        <v>577</v>
      </c>
      <c r="B645" s="285">
        <v>2.701741886392369</v>
      </c>
      <c r="C645" s="285">
        <v>2.1410425504092672</v>
      </c>
      <c r="D645" s="285">
        <v>1.37124389261877</v>
      </c>
      <c r="E645" s="285">
        <v>-12.701084163296688</v>
      </c>
      <c r="H645" s="685">
        <f t="shared" si="526"/>
        <v>1.5685080446233142</v>
      </c>
      <c r="I645" s="276">
        <f t="shared" si="527"/>
        <v>8.4014179450682569E-2</v>
      </c>
      <c r="J645" s="276">
        <f t="shared" si="528"/>
        <v>-2.3266032212343157</v>
      </c>
      <c r="K645" s="276">
        <f t="shared" si="529"/>
        <v>0.59996760430273222</v>
      </c>
      <c r="L645" s="276">
        <f t="shared" si="530"/>
        <v>2.3139449713774152</v>
      </c>
      <c r="M645" s="276">
        <f t="shared" si="531"/>
        <v>-3.0610708243272997</v>
      </c>
      <c r="N645" s="685">
        <f t="shared" si="532"/>
        <v>0.93387133943739875</v>
      </c>
      <c r="O645" s="276">
        <f t="shared" si="533"/>
        <v>0.82521293075063107</v>
      </c>
      <c r="P645" s="276">
        <f t="shared" si="534"/>
        <v>1.4467805260222579</v>
      </c>
      <c r="Q645" s="276">
        <f t="shared" si="535"/>
        <v>2.3705476891520192</v>
      </c>
      <c r="R645" s="276">
        <f t="shared" si="536"/>
        <v>1.20779180522734</v>
      </c>
      <c r="S645" s="686">
        <f t="shared" si="537"/>
        <v>1.5402519503151477</v>
      </c>
      <c r="T645" s="685">
        <f t="shared" si="538"/>
        <v>4.6496075828896961</v>
      </c>
      <c r="U645" s="276">
        <f t="shared" si="539"/>
        <v>3.9878830639497145</v>
      </c>
      <c r="V645" s="276">
        <f t="shared" si="540"/>
        <v>4.5259364248694869</v>
      </c>
      <c r="W645" s="276">
        <f t="shared" si="541"/>
        <v>1.9289406596092777</v>
      </c>
      <c r="X645" s="276">
        <f t="shared" si="542"/>
        <v>3.5716933029507043</v>
      </c>
      <c r="Y645" s="686">
        <f t="shared" si="543"/>
        <v>4.6954645607035737</v>
      </c>
      <c r="Z645" s="685" t="e">
        <f t="shared" si="544"/>
        <v>#DIV/0!</v>
      </c>
      <c r="AA645" s="276" t="e">
        <f t="shared" si="545"/>
        <v>#DIV/0!</v>
      </c>
      <c r="AB645" s="276" t="e">
        <f t="shared" si="546"/>
        <v>#DIV/0!</v>
      </c>
      <c r="AC645" s="276" t="e">
        <f t="shared" si="547"/>
        <v>#DIV/0!</v>
      </c>
      <c r="AD645" s="276" t="e">
        <f t="shared" si="548"/>
        <v>#DIV/0!</v>
      </c>
      <c r="AE645" s="686" t="e">
        <f t="shared" si="549"/>
        <v>#DIV/0!</v>
      </c>
      <c r="AF645" s="239"/>
      <c r="AG645" s="965" t="e">
        <f t="shared" ref="AG645:AG708" si="581">S$53*(1+(T$55+N645)/100)*((1-S$62)+S$62*((1+(T$57+Z645)/100)))/(1+(T$54+H645)/100)-(T$56+T645)+T$58</f>
        <v>#VALUE!</v>
      </c>
      <c r="AH645" s="878" t="e">
        <f t="shared" ref="AH645:AH708" si="582">AG645*(1+(U$55+O645)/100)*((1-T$62)+T$62*((1+(U$57+AA645)/100)))/(1+(U$54+I645)/100)-(U$56+U645)+U$58</f>
        <v>#VALUE!</v>
      </c>
      <c r="AI645" s="878" t="e">
        <f t="shared" ref="AI645:AI708" si="583">AH645*(1+(V$55+P645)/100)*((1-U$62)+U$62*((1+(V$57+AB645)/100)))/(1+(V$54+J645)/100)-(V$56+V645)+V$58</f>
        <v>#VALUE!</v>
      </c>
      <c r="AJ645" s="878" t="e">
        <f t="shared" ref="AJ645:AJ708" si="584">AI645*(1+(W$55+Q645)/100)*((1-V$62)+V$62*((1+(W$57+AC645)/100)))/(1+(W$54+K645)/100)-(W$56+W645)+W$58</f>
        <v>#VALUE!</v>
      </c>
      <c r="AK645" s="878" t="e">
        <f t="shared" ref="AK645:AK708" si="585">AJ645*(1+(X$55+R645)/100)*((1-W$62)+W$62*((1+(X$57+AD645)/100)))/(1+(X$54+L645)/100)-(X$56+X645)+X$58</f>
        <v>#VALUE!</v>
      </c>
      <c r="AL645" s="966" t="e">
        <f t="shared" ref="AL645:AL708" si="586">AK645*(1+(Y$55+S645)/100)*((1-X$62)+X$62*((1+(Y$57+AE645)/100)))/(1+(Y$54+M645)/100)-(Y$56+Y645)+Y$58</f>
        <v>#VALUE!</v>
      </c>
      <c r="AM645" s="239"/>
      <c r="AO645" s="685">
        <f t="shared" si="550"/>
        <v>1.5685080446233142</v>
      </c>
      <c r="AP645" s="276">
        <f t="shared" si="551"/>
        <v>8.4014179450682569E-2</v>
      </c>
      <c r="AQ645" s="276">
        <f t="shared" si="552"/>
        <v>-2.3266032212343157</v>
      </c>
      <c r="AR645" s="276">
        <f t="shared" si="553"/>
        <v>0.59996760430273222</v>
      </c>
      <c r="AS645" s="276">
        <f t="shared" si="554"/>
        <v>2.3139449713774152</v>
      </c>
      <c r="AT645" s="276">
        <f t="shared" si="555"/>
        <v>-3.0610708243272997</v>
      </c>
      <c r="AU645" s="685">
        <f t="shared" si="556"/>
        <v>0.93387133943739875</v>
      </c>
      <c r="AV645" s="276">
        <f t="shared" si="557"/>
        <v>0.82521293075063107</v>
      </c>
      <c r="AW645" s="276">
        <f t="shared" si="558"/>
        <v>1.4467805260222579</v>
      </c>
      <c r="AX645" s="276">
        <f t="shared" si="559"/>
        <v>2.3705476891520192</v>
      </c>
      <c r="AY645" s="276">
        <f t="shared" si="560"/>
        <v>1.20779180522734</v>
      </c>
      <c r="AZ645" s="686">
        <f t="shared" si="561"/>
        <v>1.5402519503151477</v>
      </c>
      <c r="BA645" s="685">
        <f t="shared" si="562"/>
        <v>0</v>
      </c>
      <c r="BB645" s="276">
        <f t="shared" si="563"/>
        <v>0</v>
      </c>
      <c r="BC645" s="276">
        <f t="shared" si="564"/>
        <v>0</v>
      </c>
      <c r="BD645" s="276">
        <f t="shared" si="565"/>
        <v>0</v>
      </c>
      <c r="BE645" s="276">
        <f t="shared" si="566"/>
        <v>0</v>
      </c>
      <c r="BF645" s="686">
        <f t="shared" si="567"/>
        <v>0</v>
      </c>
      <c r="BG645" s="685" t="e">
        <f t="shared" si="568"/>
        <v>#DIV/0!</v>
      </c>
      <c r="BH645" s="276" t="e">
        <f t="shared" si="569"/>
        <v>#DIV/0!</v>
      </c>
      <c r="BI645" s="276" t="e">
        <f t="shared" si="570"/>
        <v>#DIV/0!</v>
      </c>
      <c r="BJ645" s="276" t="e">
        <f t="shared" si="571"/>
        <v>#DIV/0!</v>
      </c>
      <c r="BK645" s="276" t="e">
        <f t="shared" si="572"/>
        <v>#DIV/0!</v>
      </c>
      <c r="BL645" s="686" t="e">
        <f t="shared" si="573"/>
        <v>#DIV/0!</v>
      </c>
      <c r="BM645" s="239"/>
      <c r="BN645" s="965" t="e">
        <f t="shared" si="574"/>
        <v>#VALUE!</v>
      </c>
      <c r="BO645" s="878" t="e">
        <f t="shared" si="575"/>
        <v>#VALUE!</v>
      </c>
      <c r="BP645" s="878" t="e">
        <f t="shared" si="576"/>
        <v>#VALUE!</v>
      </c>
      <c r="BQ645" s="878" t="e">
        <f t="shared" si="577"/>
        <v>#VALUE!</v>
      </c>
      <c r="BR645" s="878" t="e">
        <f t="shared" si="578"/>
        <v>#VALUE!</v>
      </c>
      <c r="BS645" s="966" t="e">
        <f t="shared" si="579"/>
        <v>#VALUE!</v>
      </c>
    </row>
    <row r="646" spans="1:71">
      <c r="A646" s="284">
        <f t="shared" si="580"/>
        <v>578</v>
      </c>
      <c r="B646" s="285">
        <v>2.9612746788889095</v>
      </c>
      <c r="C646" s="285">
        <v>2.3415849420357953</v>
      </c>
      <c r="D646" s="285">
        <v>3.2645041992793704</v>
      </c>
      <c r="E646" s="285">
        <v>-1.836698826062896</v>
      </c>
      <c r="H646" s="685">
        <f t="shared" ref="H646:H709" si="587">IF($B$42="On",$B646-$D$15,0)</f>
        <v>1.8280408371198547</v>
      </c>
      <c r="I646" s="276">
        <f t="shared" ref="I646:I709" si="588">IF($B$42="On",$B1646-$D$15,0)</f>
        <v>-3.321292155609096</v>
      </c>
      <c r="J646" s="276">
        <f t="shared" ref="J646:J709" si="589">IF($B$42="On",$B2646-$D$15,0)</f>
        <v>-3.4297466785156274</v>
      </c>
      <c r="K646" s="276">
        <f t="shared" ref="K646:K709" si="590">IF($B$42="On",$B3646-$D$15,0)</f>
        <v>-2.8291277042751268</v>
      </c>
      <c r="L646" s="276">
        <f t="shared" ref="L646:L709" si="591">IF($B$42="On",$B4646-$D$15,0)</f>
        <v>-3.5873251269774213</v>
      </c>
      <c r="M646" s="276">
        <f t="shared" ref="M646:M709" si="592">IF($B$42="On",$B5646-$D$15,0)</f>
        <v>-5.3591635188821609</v>
      </c>
      <c r="N646" s="685">
        <f t="shared" ref="N646:N709" si="593">IF($B$43="On",$C646-$D$16,0)</f>
        <v>1.1344137310639268</v>
      </c>
      <c r="O646" s="276">
        <f t="shared" ref="O646:O709" si="594">IF($B$43="On",$C1646-$D$16,0)</f>
        <v>0.79940029860691664</v>
      </c>
      <c r="P646" s="276">
        <f t="shared" ref="P646:P709" si="595">IF($B$43="On",$C2646-$D$16,0)</f>
        <v>0.73138447757227243</v>
      </c>
      <c r="Q646" s="276">
        <f t="shared" ref="Q646:Q709" si="596">IF($B$43="On",$C3646-$D$16,0)</f>
        <v>1.815151212376007</v>
      </c>
      <c r="R646" s="276">
        <f t="shared" ref="R646:R709" si="597">IF($B$43="On",$C4646-$D$16,0)</f>
        <v>1.1874529464128638</v>
      </c>
      <c r="S646" s="686">
        <f t="shared" ref="S646:S709" si="598">IF($B$43="On",$C5646-$D$16,0)</f>
        <v>1.2184993687768373</v>
      </c>
      <c r="T646" s="685">
        <f t="shared" ref="T646:T709" si="599">IF($B$44="On",$D646-$D$17,0)</f>
        <v>6.5428678895502959</v>
      </c>
      <c r="U646" s="276">
        <f t="shared" ref="U646:U709" si="600">IF($B$44="On",$D1646-$D$17,0)</f>
        <v>3.5949064514399698</v>
      </c>
      <c r="V646" s="276">
        <f t="shared" ref="V646:V709" si="601">IF($B$44="On",$D2646-$D$17,0)</f>
        <v>4.9796958811689658</v>
      </c>
      <c r="W646" s="276">
        <f t="shared" ref="W646:W709" si="602">IF($B$44="On",$D3646-$D$17,0)</f>
        <v>5.2142907935738414</v>
      </c>
      <c r="X646" s="276">
        <f t="shared" ref="X646:X709" si="603">IF($B$44="On",$D4646-$D$17,0)</f>
        <v>4.9113357683442995</v>
      </c>
      <c r="Y646" s="686">
        <f t="shared" ref="Y646:Y709" si="604">IF($B$44="On",$D5646-$D$17,0)</f>
        <v>6.3203810241693894</v>
      </c>
      <c r="Z646" s="685" t="e">
        <f t="shared" ref="Z646:Z709" si="605">IF($B$45="On",$E646-$D$18,0)</f>
        <v>#DIV/0!</v>
      </c>
      <c r="AA646" s="276" t="e">
        <f t="shared" ref="AA646:AA709" si="606">IF($B$45="On",$E1646-$D$18,0)</f>
        <v>#DIV/0!</v>
      </c>
      <c r="AB646" s="276" t="e">
        <f t="shared" ref="AB646:AB709" si="607">IF($B$45="On",$E2646-$D$18,0)</f>
        <v>#DIV/0!</v>
      </c>
      <c r="AC646" s="276" t="e">
        <f t="shared" ref="AC646:AC709" si="608">IF($B$45="On",$E3646-$D$18,0)</f>
        <v>#DIV/0!</v>
      </c>
      <c r="AD646" s="276" t="e">
        <f t="shared" ref="AD646:AD709" si="609">IF($B$45="On",$E4646-$D$18,0)</f>
        <v>#DIV/0!</v>
      </c>
      <c r="AE646" s="686" t="e">
        <f t="shared" ref="AE646:AE709" si="610">IF($B$45="On",$E5646-$D$18,0)</f>
        <v>#DIV/0!</v>
      </c>
      <c r="AF646" s="239"/>
      <c r="AG646" s="965" t="e">
        <f t="shared" si="581"/>
        <v>#VALUE!</v>
      </c>
      <c r="AH646" s="878" t="e">
        <f t="shared" si="582"/>
        <v>#VALUE!</v>
      </c>
      <c r="AI646" s="878" t="e">
        <f t="shared" si="583"/>
        <v>#VALUE!</v>
      </c>
      <c r="AJ646" s="878" t="e">
        <f t="shared" si="584"/>
        <v>#VALUE!</v>
      </c>
      <c r="AK646" s="878" t="e">
        <f t="shared" si="585"/>
        <v>#VALUE!</v>
      </c>
      <c r="AL646" s="966" t="e">
        <f t="shared" si="586"/>
        <v>#VALUE!</v>
      </c>
      <c r="AM646" s="239"/>
      <c r="AO646" s="685">
        <f t="shared" ref="AO646:AO709" si="611">IF($B$42="On",MIN($B646-$D$15,$D$42),0)</f>
        <v>1.8280408371198547</v>
      </c>
      <c r="AP646" s="276">
        <f t="shared" ref="AP646:AP709" si="612">IF($B$42="On",MIN($B1646-$D$15,$D$42),0)</f>
        <v>-3.321292155609096</v>
      </c>
      <c r="AQ646" s="276">
        <f t="shared" ref="AQ646:AQ709" si="613">IF($B$42="On",MIN($B2646-$D$15,$D$42),0)</f>
        <v>-3.4297466785156274</v>
      </c>
      <c r="AR646" s="276">
        <f t="shared" ref="AR646:AR709" si="614">IF($B$42="On",MIN($B3646-$D$15,$D$42),0)</f>
        <v>-2.8291277042751268</v>
      </c>
      <c r="AS646" s="276">
        <f t="shared" ref="AS646:AS709" si="615">IF($B$42="On",MIN($B4646-$D$15,$D$42),0)</f>
        <v>-3.5873251269774213</v>
      </c>
      <c r="AT646" s="276">
        <f t="shared" ref="AT646:AT709" si="616">IF($B$42="On",MIN($B5646-$D$15,$D$42),0)</f>
        <v>-5.3591635188821609</v>
      </c>
      <c r="AU646" s="685">
        <f t="shared" ref="AU646:AU709" si="617">IF($B$43="On",MAX($C646-$D$16,$D$43),0)</f>
        <v>1.1344137310639268</v>
      </c>
      <c r="AV646" s="276">
        <f t="shared" ref="AV646:AV709" si="618">IF($B$43="On",MAX($C1646-$D$16,$D$43),0)</f>
        <v>0.79940029860691664</v>
      </c>
      <c r="AW646" s="276">
        <f t="shared" ref="AW646:AW709" si="619">IF($B$43="On",MAX($C2646-$D$16,$D$43),0)</f>
        <v>0.73138447757227243</v>
      </c>
      <c r="AX646" s="276">
        <f t="shared" ref="AX646:AX709" si="620">IF($B$43="On",MAX($C3646-$D$16,$D$43),0)</f>
        <v>1.815151212376007</v>
      </c>
      <c r="AY646" s="276">
        <f t="shared" ref="AY646:AY709" si="621">IF($B$43="On",MAX($C4646-$D$16,$D$43),0)</f>
        <v>1.1874529464128638</v>
      </c>
      <c r="AZ646" s="686">
        <f t="shared" ref="AZ646:AZ709" si="622">IF($B$43="On",MAX($C5646-$D$16,$D$43),0)</f>
        <v>1.2184993687768373</v>
      </c>
      <c r="BA646" s="685">
        <f t="shared" ref="BA646:BA709" si="623">IF($B$44="On",MIN($D646-$D$17,$D$44),0)</f>
        <v>0</v>
      </c>
      <c r="BB646" s="276">
        <f t="shared" ref="BB646:BB709" si="624">IF($B$44="On",MIN($D1646-$D$17,$D$44),0)</f>
        <v>0</v>
      </c>
      <c r="BC646" s="276">
        <f t="shared" ref="BC646:BC709" si="625">IF($B$44="On",MIN($D2646-$D$17,$D$44),0)</f>
        <v>0</v>
      </c>
      <c r="BD646" s="276">
        <f t="shared" ref="BD646:BD709" si="626">IF($B$44="On",MIN($D3646-$D$17,$D$44),0)</f>
        <v>0</v>
      </c>
      <c r="BE646" s="276">
        <f t="shared" ref="BE646:BE709" si="627">IF($B$44="On",MIN($D4646-$D$17,$D$44),0)</f>
        <v>0</v>
      </c>
      <c r="BF646" s="686">
        <f t="shared" ref="BF646:BF709" si="628">IF($B$44="On",MIN($D5646-$D$17,$D$44),0)</f>
        <v>0</v>
      </c>
      <c r="BG646" s="685" t="e">
        <f t="shared" ref="BG646:BG709" si="629">IF($B$45="On",MAX($E646-$D$18,$D$45),0)</f>
        <v>#DIV/0!</v>
      </c>
      <c r="BH646" s="276" t="e">
        <f t="shared" ref="BH646:BH709" si="630">IF($B$45="On",MAX($E1646-$D$18,$D$45),0)</f>
        <v>#DIV/0!</v>
      </c>
      <c r="BI646" s="276" t="e">
        <f t="shared" ref="BI646:BI709" si="631">IF($B$45="On",MAX($E2646-$D$18,$D$45),0)</f>
        <v>#DIV/0!</v>
      </c>
      <c r="BJ646" s="276" t="e">
        <f t="shared" ref="BJ646:BJ709" si="632">IF($B$45="On",MAX($E3646-$D$18,$D$45),0)</f>
        <v>#DIV/0!</v>
      </c>
      <c r="BK646" s="276" t="e">
        <f t="shared" ref="BK646:BK709" si="633">IF($B$45="On",MAX($E4646-$D$18,$D$45),0)</f>
        <v>#DIV/0!</v>
      </c>
      <c r="BL646" s="686" t="e">
        <f t="shared" ref="BL646:BL709" si="634">IF($B$45="On",MAX($E5646-$D$18,$D$45),0)</f>
        <v>#DIV/0!</v>
      </c>
      <c r="BM646" s="239"/>
      <c r="BN646" s="965" t="e">
        <f t="shared" ref="BN646:BN709" si="635">S$53*(1+(T$55+AU646)/100)*((1-S$62)+S$62*((1+(T$57+BG646)/100)))/(1+(T$54+AO646)/100)-(T$56+BA646)+T$58</f>
        <v>#VALUE!</v>
      </c>
      <c r="BO646" s="878" t="e">
        <f t="shared" ref="BO646:BO709" si="636">BN646*(1+(U$55+AV646)/100)*((1-T$62)+T$62*((1+(U$57+BH646)/100)))/(1+(U$54+AP646)/100)-(U$56+BB646)+U$58</f>
        <v>#VALUE!</v>
      </c>
      <c r="BP646" s="878" t="e">
        <f t="shared" ref="BP646:BP709" si="637">BO646*(1+(V$55+AW646)/100)*((1-U$62)+U$62*((1+(V$57+BI646)/100)))/(1+(V$54+AQ646)/100)-(V$56+BC646)+V$58</f>
        <v>#VALUE!</v>
      </c>
      <c r="BQ646" s="878" t="e">
        <f t="shared" ref="BQ646:BQ709" si="638">BP646*(1+(W$55+AX646)/100)*((1-V$62)+V$62*((1+(W$57+BJ646)/100)))/(1+(W$54+AR646)/100)-(W$56+BD646)+W$58</f>
        <v>#VALUE!</v>
      </c>
      <c r="BR646" s="878" t="e">
        <f t="shared" ref="BR646:BR709" si="639">BQ646*(1+(X$55+AY646)/100)*((1-W$62)+W$62*((1+(X$57+BK646)/100)))/(1+(X$54+AS646)/100)-(X$56+BE646)+X$58</f>
        <v>#VALUE!</v>
      </c>
      <c r="BS646" s="966" t="e">
        <f t="shared" ref="BS646:BS709" si="640">BR646*(1+(Y$55+AZ646)/100)*((1-X$62)+X$62*((1+(Y$57+BL646)/100)))/(1+(Y$54+AT646)/100)-(Y$56+BF646)+Y$58</f>
        <v>#VALUE!</v>
      </c>
    </row>
    <row r="647" spans="1:71">
      <c r="A647" s="284">
        <f t="shared" ref="A647:A710" si="641">A646+1</f>
        <v>579</v>
      </c>
      <c r="B647" s="285">
        <v>1.2083236960448958</v>
      </c>
      <c r="C647" s="285">
        <v>3.31629647283517</v>
      </c>
      <c r="D647" s="285">
        <v>2.3273611886870968</v>
      </c>
      <c r="E647" s="285">
        <v>11.775903227382781</v>
      </c>
      <c r="H647" s="685">
        <f t="shared" si="587"/>
        <v>7.5089854275840917E-2</v>
      </c>
      <c r="I647" s="276">
        <f t="shared" si="588"/>
        <v>-0.69012231996050488</v>
      </c>
      <c r="J647" s="276">
        <f t="shared" si="589"/>
        <v>2.1996248940842049</v>
      </c>
      <c r="K647" s="276">
        <f t="shared" si="590"/>
        <v>-5.7350549043326975</v>
      </c>
      <c r="L647" s="276">
        <f t="shared" si="591"/>
        <v>-3.573620819596437</v>
      </c>
      <c r="M647" s="276">
        <f t="shared" si="592"/>
        <v>-6.5935644639437712</v>
      </c>
      <c r="N647" s="685">
        <f t="shared" si="593"/>
        <v>2.1091252618633014</v>
      </c>
      <c r="O647" s="276">
        <f t="shared" si="594"/>
        <v>1.7089854176740882</v>
      </c>
      <c r="P647" s="276">
        <f t="shared" si="595"/>
        <v>1.498486672405001</v>
      </c>
      <c r="Q647" s="276">
        <f t="shared" si="596"/>
        <v>0.44129264399993162</v>
      </c>
      <c r="R647" s="276">
        <f t="shared" si="597"/>
        <v>0.97904481298880675</v>
      </c>
      <c r="S647" s="686">
        <f t="shared" si="598"/>
        <v>0.35731091883055188</v>
      </c>
      <c r="T647" s="685">
        <f t="shared" si="599"/>
        <v>5.6057248789580232</v>
      </c>
      <c r="U647" s="276">
        <f t="shared" si="600"/>
        <v>5.0834185208064175</v>
      </c>
      <c r="V647" s="276">
        <f t="shared" si="601"/>
        <v>4.8682382794505887</v>
      </c>
      <c r="W647" s="276">
        <f t="shared" si="602"/>
        <v>1.0760166289829036</v>
      </c>
      <c r="X647" s="276">
        <f t="shared" si="603"/>
        <v>6.3528747674916612</v>
      </c>
      <c r="Y647" s="686">
        <f t="shared" si="604"/>
        <v>3.1919661131652921</v>
      </c>
      <c r="Z647" s="685" t="e">
        <f t="shared" si="605"/>
        <v>#DIV/0!</v>
      </c>
      <c r="AA647" s="276" t="e">
        <f t="shared" si="606"/>
        <v>#DIV/0!</v>
      </c>
      <c r="AB647" s="276" t="e">
        <f t="shared" si="607"/>
        <v>#DIV/0!</v>
      </c>
      <c r="AC647" s="276" t="e">
        <f t="shared" si="608"/>
        <v>#DIV/0!</v>
      </c>
      <c r="AD647" s="276" t="e">
        <f t="shared" si="609"/>
        <v>#DIV/0!</v>
      </c>
      <c r="AE647" s="686" t="e">
        <f t="shared" si="610"/>
        <v>#DIV/0!</v>
      </c>
      <c r="AF647" s="239"/>
      <c r="AG647" s="965" t="e">
        <f t="shared" si="581"/>
        <v>#VALUE!</v>
      </c>
      <c r="AH647" s="878" t="e">
        <f t="shared" si="582"/>
        <v>#VALUE!</v>
      </c>
      <c r="AI647" s="878" t="e">
        <f t="shared" si="583"/>
        <v>#VALUE!</v>
      </c>
      <c r="AJ647" s="878" t="e">
        <f t="shared" si="584"/>
        <v>#VALUE!</v>
      </c>
      <c r="AK647" s="878" t="e">
        <f t="shared" si="585"/>
        <v>#VALUE!</v>
      </c>
      <c r="AL647" s="966" t="e">
        <f t="shared" si="586"/>
        <v>#VALUE!</v>
      </c>
      <c r="AM647" s="239"/>
      <c r="AO647" s="685">
        <f t="shared" si="611"/>
        <v>7.5089854275840917E-2</v>
      </c>
      <c r="AP647" s="276">
        <f t="shared" si="612"/>
        <v>-0.69012231996050488</v>
      </c>
      <c r="AQ647" s="276">
        <f t="shared" si="613"/>
        <v>2.1996248940842049</v>
      </c>
      <c r="AR647" s="276">
        <f t="shared" si="614"/>
        <v>-5.7350549043326975</v>
      </c>
      <c r="AS647" s="276">
        <f t="shared" si="615"/>
        <v>-3.573620819596437</v>
      </c>
      <c r="AT647" s="276">
        <f t="shared" si="616"/>
        <v>-6.5935644639437712</v>
      </c>
      <c r="AU647" s="685">
        <f t="shared" si="617"/>
        <v>2.1091252618633014</v>
      </c>
      <c r="AV647" s="276">
        <f t="shared" si="618"/>
        <v>1.7089854176740882</v>
      </c>
      <c r="AW647" s="276">
        <f t="shared" si="619"/>
        <v>1.498486672405001</v>
      </c>
      <c r="AX647" s="276">
        <f t="shared" si="620"/>
        <v>0.44129264399993162</v>
      </c>
      <c r="AY647" s="276">
        <f t="shared" si="621"/>
        <v>0.97904481298880675</v>
      </c>
      <c r="AZ647" s="686">
        <f t="shared" si="622"/>
        <v>0.35731091883055188</v>
      </c>
      <c r="BA647" s="685">
        <f t="shared" si="623"/>
        <v>0</v>
      </c>
      <c r="BB647" s="276">
        <f t="shared" si="624"/>
        <v>0</v>
      </c>
      <c r="BC647" s="276">
        <f t="shared" si="625"/>
        <v>0</v>
      </c>
      <c r="BD647" s="276">
        <f t="shared" si="626"/>
        <v>0</v>
      </c>
      <c r="BE647" s="276">
        <f t="shared" si="627"/>
        <v>0</v>
      </c>
      <c r="BF647" s="686">
        <f t="shared" si="628"/>
        <v>0</v>
      </c>
      <c r="BG647" s="685" t="e">
        <f t="shared" si="629"/>
        <v>#DIV/0!</v>
      </c>
      <c r="BH647" s="276" t="e">
        <f t="shared" si="630"/>
        <v>#DIV/0!</v>
      </c>
      <c r="BI647" s="276" t="e">
        <f t="shared" si="631"/>
        <v>#DIV/0!</v>
      </c>
      <c r="BJ647" s="276" t="e">
        <f t="shared" si="632"/>
        <v>#DIV/0!</v>
      </c>
      <c r="BK647" s="276" t="e">
        <f t="shared" si="633"/>
        <v>#DIV/0!</v>
      </c>
      <c r="BL647" s="686" t="e">
        <f t="shared" si="634"/>
        <v>#DIV/0!</v>
      </c>
      <c r="BM647" s="239"/>
      <c r="BN647" s="965" t="e">
        <f t="shared" si="635"/>
        <v>#VALUE!</v>
      </c>
      <c r="BO647" s="878" t="e">
        <f t="shared" si="636"/>
        <v>#VALUE!</v>
      </c>
      <c r="BP647" s="878" t="e">
        <f t="shared" si="637"/>
        <v>#VALUE!</v>
      </c>
      <c r="BQ647" s="878" t="e">
        <f t="shared" si="638"/>
        <v>#VALUE!</v>
      </c>
      <c r="BR647" s="878" t="e">
        <f t="shared" si="639"/>
        <v>#VALUE!</v>
      </c>
      <c r="BS647" s="966" t="e">
        <f t="shared" si="640"/>
        <v>#VALUE!</v>
      </c>
    </row>
    <row r="648" spans="1:71">
      <c r="A648" s="284">
        <f t="shared" si="641"/>
        <v>580</v>
      </c>
      <c r="B648" s="285">
        <v>2.3577536214338446</v>
      </c>
      <c r="C648" s="285">
        <v>2.7029765229132758</v>
      </c>
      <c r="D648" s="285">
        <v>3.2532919784307488</v>
      </c>
      <c r="E648" s="285">
        <v>-10.077231543321764</v>
      </c>
      <c r="H648" s="685">
        <f t="shared" si="587"/>
        <v>1.2245197796647898</v>
      </c>
      <c r="I648" s="276">
        <f t="shared" si="588"/>
        <v>-1.6772290334827051</v>
      </c>
      <c r="J648" s="276">
        <f t="shared" si="589"/>
        <v>-0.90573934005206103</v>
      </c>
      <c r="K648" s="276">
        <f t="shared" si="590"/>
        <v>0.80030178300740085</v>
      </c>
      <c r="L648" s="276">
        <f t="shared" si="591"/>
        <v>-1.9965002712811228</v>
      </c>
      <c r="M648" s="276">
        <f t="shared" si="592"/>
        <v>-6.3357811566641553E-2</v>
      </c>
      <c r="N648" s="685">
        <f t="shared" si="593"/>
        <v>1.4958053119414074</v>
      </c>
      <c r="O648" s="276">
        <f t="shared" si="594"/>
        <v>0.82849047987256452</v>
      </c>
      <c r="P648" s="276">
        <f t="shared" si="595"/>
        <v>0.88301127016003611</v>
      </c>
      <c r="Q648" s="276">
        <f t="shared" si="596"/>
        <v>1.8918025879905016</v>
      </c>
      <c r="R648" s="276">
        <f t="shared" si="597"/>
        <v>0.2853159985664504</v>
      </c>
      <c r="S648" s="686">
        <f t="shared" si="598"/>
        <v>0.84897736469020146</v>
      </c>
      <c r="T648" s="685">
        <f t="shared" si="599"/>
        <v>6.5316556687016742</v>
      </c>
      <c r="U648" s="276">
        <f t="shared" si="600"/>
        <v>3.9280071030039938</v>
      </c>
      <c r="V648" s="276">
        <f t="shared" si="601"/>
        <v>4.0259707518344694</v>
      </c>
      <c r="W648" s="276">
        <f t="shared" si="602"/>
        <v>4.5503404058706742</v>
      </c>
      <c r="X648" s="276">
        <f t="shared" si="603"/>
        <v>7.0198426157441318</v>
      </c>
      <c r="Y648" s="686">
        <f t="shared" si="604"/>
        <v>5.1413730551108792</v>
      </c>
      <c r="Z648" s="685" t="e">
        <f t="shared" si="605"/>
        <v>#DIV/0!</v>
      </c>
      <c r="AA648" s="276" t="e">
        <f t="shared" si="606"/>
        <v>#DIV/0!</v>
      </c>
      <c r="AB648" s="276" t="e">
        <f t="shared" si="607"/>
        <v>#DIV/0!</v>
      </c>
      <c r="AC648" s="276" t="e">
        <f t="shared" si="608"/>
        <v>#DIV/0!</v>
      </c>
      <c r="AD648" s="276" t="e">
        <f t="shared" si="609"/>
        <v>#DIV/0!</v>
      </c>
      <c r="AE648" s="686" t="e">
        <f t="shared" si="610"/>
        <v>#DIV/0!</v>
      </c>
      <c r="AF648" s="239"/>
      <c r="AG648" s="965" t="e">
        <f t="shared" si="581"/>
        <v>#VALUE!</v>
      </c>
      <c r="AH648" s="878" t="e">
        <f t="shared" si="582"/>
        <v>#VALUE!</v>
      </c>
      <c r="AI648" s="878" t="e">
        <f t="shared" si="583"/>
        <v>#VALUE!</v>
      </c>
      <c r="AJ648" s="878" t="e">
        <f t="shared" si="584"/>
        <v>#VALUE!</v>
      </c>
      <c r="AK648" s="878" t="e">
        <f t="shared" si="585"/>
        <v>#VALUE!</v>
      </c>
      <c r="AL648" s="966" t="e">
        <f t="shared" si="586"/>
        <v>#VALUE!</v>
      </c>
      <c r="AM648" s="239"/>
      <c r="AO648" s="685">
        <f t="shared" si="611"/>
        <v>1.2245197796647898</v>
      </c>
      <c r="AP648" s="276">
        <f t="shared" si="612"/>
        <v>-1.6772290334827051</v>
      </c>
      <c r="AQ648" s="276">
        <f t="shared" si="613"/>
        <v>-0.90573934005206103</v>
      </c>
      <c r="AR648" s="276">
        <f t="shared" si="614"/>
        <v>0.80030178300740085</v>
      </c>
      <c r="AS648" s="276">
        <f t="shared" si="615"/>
        <v>-1.9965002712811228</v>
      </c>
      <c r="AT648" s="276">
        <f t="shared" si="616"/>
        <v>-6.3357811566641553E-2</v>
      </c>
      <c r="AU648" s="685">
        <f t="shared" si="617"/>
        <v>1.4958053119414074</v>
      </c>
      <c r="AV648" s="276">
        <f t="shared" si="618"/>
        <v>0.82849047987256452</v>
      </c>
      <c r="AW648" s="276">
        <f t="shared" si="619"/>
        <v>0.88301127016003611</v>
      </c>
      <c r="AX648" s="276">
        <f t="shared" si="620"/>
        <v>1.8918025879905016</v>
      </c>
      <c r="AY648" s="276">
        <f t="shared" si="621"/>
        <v>0.2853159985664504</v>
      </c>
      <c r="AZ648" s="686">
        <f t="shared" si="622"/>
        <v>0.84897736469020146</v>
      </c>
      <c r="BA648" s="685">
        <f t="shared" si="623"/>
        <v>0</v>
      </c>
      <c r="BB648" s="276">
        <f t="shared" si="624"/>
        <v>0</v>
      </c>
      <c r="BC648" s="276">
        <f t="shared" si="625"/>
        <v>0</v>
      </c>
      <c r="BD648" s="276">
        <f t="shared" si="626"/>
        <v>0</v>
      </c>
      <c r="BE648" s="276">
        <f t="shared" si="627"/>
        <v>0</v>
      </c>
      <c r="BF648" s="686">
        <f t="shared" si="628"/>
        <v>0</v>
      </c>
      <c r="BG648" s="685" t="e">
        <f t="shared" si="629"/>
        <v>#DIV/0!</v>
      </c>
      <c r="BH648" s="276" t="e">
        <f t="shared" si="630"/>
        <v>#DIV/0!</v>
      </c>
      <c r="BI648" s="276" t="e">
        <f t="shared" si="631"/>
        <v>#DIV/0!</v>
      </c>
      <c r="BJ648" s="276" t="e">
        <f t="shared" si="632"/>
        <v>#DIV/0!</v>
      </c>
      <c r="BK648" s="276" t="e">
        <f t="shared" si="633"/>
        <v>#DIV/0!</v>
      </c>
      <c r="BL648" s="686" t="e">
        <f t="shared" si="634"/>
        <v>#DIV/0!</v>
      </c>
      <c r="BM648" s="239"/>
      <c r="BN648" s="965" t="e">
        <f t="shared" si="635"/>
        <v>#VALUE!</v>
      </c>
      <c r="BO648" s="878" t="e">
        <f t="shared" si="636"/>
        <v>#VALUE!</v>
      </c>
      <c r="BP648" s="878" t="e">
        <f t="shared" si="637"/>
        <v>#VALUE!</v>
      </c>
      <c r="BQ648" s="878" t="e">
        <f t="shared" si="638"/>
        <v>#VALUE!</v>
      </c>
      <c r="BR648" s="878" t="e">
        <f t="shared" si="639"/>
        <v>#VALUE!</v>
      </c>
      <c r="BS648" s="966" t="e">
        <f t="shared" si="640"/>
        <v>#VALUE!</v>
      </c>
    </row>
    <row r="649" spans="1:71">
      <c r="A649" s="284">
        <f t="shared" si="641"/>
        <v>581</v>
      </c>
      <c r="B649" s="285">
        <v>-2.3859271647606621</v>
      </c>
      <c r="C649" s="285">
        <v>2.2353470259439439</v>
      </c>
      <c r="D649" s="285">
        <v>-0.68666861087199837</v>
      </c>
      <c r="E649" s="285">
        <v>-4.1837809349081452</v>
      </c>
      <c r="H649" s="685">
        <f t="shared" si="587"/>
        <v>-3.5191610065297168</v>
      </c>
      <c r="I649" s="276">
        <f t="shared" si="588"/>
        <v>-6.1844965952749744</v>
      </c>
      <c r="J649" s="276">
        <f t="shared" si="589"/>
        <v>0.9089762731674933</v>
      </c>
      <c r="K649" s="276">
        <f t="shared" si="590"/>
        <v>-2.8218085946966895</v>
      </c>
      <c r="L649" s="276">
        <f t="shared" si="591"/>
        <v>-3.5043715676311837</v>
      </c>
      <c r="M649" s="276">
        <f t="shared" si="592"/>
        <v>-3.9778527017709751</v>
      </c>
      <c r="N649" s="685">
        <f t="shared" si="593"/>
        <v>1.0281758149720754</v>
      </c>
      <c r="O649" s="276">
        <f t="shared" si="594"/>
        <v>1.160131222827405</v>
      </c>
      <c r="P649" s="276">
        <f t="shared" si="595"/>
        <v>1.4053125065035486</v>
      </c>
      <c r="Q649" s="276">
        <f t="shared" si="596"/>
        <v>0.78858256927061565</v>
      </c>
      <c r="R649" s="276">
        <f t="shared" si="597"/>
        <v>0.8009666915860032</v>
      </c>
      <c r="S649" s="686">
        <f t="shared" si="598"/>
        <v>1.0709206827549516</v>
      </c>
      <c r="T649" s="685">
        <f t="shared" si="599"/>
        <v>2.5916950793989275</v>
      </c>
      <c r="U649" s="276">
        <f t="shared" si="600"/>
        <v>5.0156809940613014</v>
      </c>
      <c r="V649" s="276">
        <f t="shared" si="601"/>
        <v>4.2732389896069245</v>
      </c>
      <c r="W649" s="276">
        <f t="shared" si="602"/>
        <v>3.5884832195156942</v>
      </c>
      <c r="X649" s="276">
        <f t="shared" si="603"/>
        <v>4.5128432842582642</v>
      </c>
      <c r="Y649" s="686">
        <f t="shared" si="604"/>
        <v>3.9433252592424419</v>
      </c>
      <c r="Z649" s="685" t="e">
        <f t="shared" si="605"/>
        <v>#DIV/0!</v>
      </c>
      <c r="AA649" s="276" t="e">
        <f t="shared" si="606"/>
        <v>#DIV/0!</v>
      </c>
      <c r="AB649" s="276" t="e">
        <f t="shared" si="607"/>
        <v>#DIV/0!</v>
      </c>
      <c r="AC649" s="276" t="e">
        <f t="shared" si="608"/>
        <v>#DIV/0!</v>
      </c>
      <c r="AD649" s="276" t="e">
        <f t="shared" si="609"/>
        <v>#DIV/0!</v>
      </c>
      <c r="AE649" s="686" t="e">
        <f t="shared" si="610"/>
        <v>#DIV/0!</v>
      </c>
      <c r="AF649" s="239"/>
      <c r="AG649" s="965" t="e">
        <f t="shared" si="581"/>
        <v>#VALUE!</v>
      </c>
      <c r="AH649" s="878" t="e">
        <f t="shared" si="582"/>
        <v>#VALUE!</v>
      </c>
      <c r="AI649" s="878" t="e">
        <f t="shared" si="583"/>
        <v>#VALUE!</v>
      </c>
      <c r="AJ649" s="878" t="e">
        <f t="shared" si="584"/>
        <v>#VALUE!</v>
      </c>
      <c r="AK649" s="878" t="e">
        <f t="shared" si="585"/>
        <v>#VALUE!</v>
      </c>
      <c r="AL649" s="966" t="e">
        <f t="shared" si="586"/>
        <v>#VALUE!</v>
      </c>
      <c r="AM649" s="239"/>
      <c r="AO649" s="685">
        <f t="shared" si="611"/>
        <v>-3.5191610065297168</v>
      </c>
      <c r="AP649" s="276">
        <f t="shared" si="612"/>
        <v>-6.1844965952749744</v>
      </c>
      <c r="AQ649" s="276">
        <f t="shared" si="613"/>
        <v>0.9089762731674933</v>
      </c>
      <c r="AR649" s="276">
        <f t="shared" si="614"/>
        <v>-2.8218085946966895</v>
      </c>
      <c r="AS649" s="276">
        <f t="shared" si="615"/>
        <v>-3.5043715676311837</v>
      </c>
      <c r="AT649" s="276">
        <f t="shared" si="616"/>
        <v>-3.9778527017709751</v>
      </c>
      <c r="AU649" s="685">
        <f t="shared" si="617"/>
        <v>1.0281758149720754</v>
      </c>
      <c r="AV649" s="276">
        <f t="shared" si="618"/>
        <v>1.160131222827405</v>
      </c>
      <c r="AW649" s="276">
        <f t="shared" si="619"/>
        <v>1.4053125065035486</v>
      </c>
      <c r="AX649" s="276">
        <f t="shared" si="620"/>
        <v>0.78858256927061565</v>
      </c>
      <c r="AY649" s="276">
        <f t="shared" si="621"/>
        <v>0.8009666915860032</v>
      </c>
      <c r="AZ649" s="686">
        <f t="shared" si="622"/>
        <v>1.0709206827549516</v>
      </c>
      <c r="BA649" s="685">
        <f t="shared" si="623"/>
        <v>0</v>
      </c>
      <c r="BB649" s="276">
        <f t="shared" si="624"/>
        <v>0</v>
      </c>
      <c r="BC649" s="276">
        <f t="shared" si="625"/>
        <v>0</v>
      </c>
      <c r="BD649" s="276">
        <f t="shared" si="626"/>
        <v>0</v>
      </c>
      <c r="BE649" s="276">
        <f t="shared" si="627"/>
        <v>0</v>
      </c>
      <c r="BF649" s="686">
        <f t="shared" si="628"/>
        <v>0</v>
      </c>
      <c r="BG649" s="685" t="e">
        <f t="shared" si="629"/>
        <v>#DIV/0!</v>
      </c>
      <c r="BH649" s="276" t="e">
        <f t="shared" si="630"/>
        <v>#DIV/0!</v>
      </c>
      <c r="BI649" s="276" t="e">
        <f t="shared" si="631"/>
        <v>#DIV/0!</v>
      </c>
      <c r="BJ649" s="276" t="e">
        <f t="shared" si="632"/>
        <v>#DIV/0!</v>
      </c>
      <c r="BK649" s="276" t="e">
        <f t="shared" si="633"/>
        <v>#DIV/0!</v>
      </c>
      <c r="BL649" s="686" t="e">
        <f t="shared" si="634"/>
        <v>#DIV/0!</v>
      </c>
      <c r="BM649" s="239"/>
      <c r="BN649" s="965" t="e">
        <f t="shared" si="635"/>
        <v>#VALUE!</v>
      </c>
      <c r="BO649" s="878" t="e">
        <f t="shared" si="636"/>
        <v>#VALUE!</v>
      </c>
      <c r="BP649" s="878" t="e">
        <f t="shared" si="637"/>
        <v>#VALUE!</v>
      </c>
      <c r="BQ649" s="878" t="e">
        <f t="shared" si="638"/>
        <v>#VALUE!</v>
      </c>
      <c r="BR649" s="878" t="e">
        <f t="shared" si="639"/>
        <v>#VALUE!</v>
      </c>
      <c r="BS649" s="966" t="e">
        <f t="shared" si="640"/>
        <v>#VALUE!</v>
      </c>
    </row>
    <row r="650" spans="1:71">
      <c r="A650" s="284">
        <f t="shared" si="641"/>
        <v>582</v>
      </c>
      <c r="B650" s="285">
        <v>-0.65855533849613779</v>
      </c>
      <c r="C650" s="285">
        <v>2.3023312194886389</v>
      </c>
      <c r="D650" s="285">
        <v>-0.82543412248605952</v>
      </c>
      <c r="E650" s="285">
        <v>0.41926044826311459</v>
      </c>
      <c r="H650" s="685">
        <f t="shared" si="587"/>
        <v>-1.7917891802651926</v>
      </c>
      <c r="I650" s="276">
        <f t="shared" si="588"/>
        <v>-7.1894540518141037E-2</v>
      </c>
      <c r="J650" s="276">
        <f t="shared" si="589"/>
        <v>-2.4330902350683741</v>
      </c>
      <c r="K650" s="276">
        <f t="shared" si="590"/>
        <v>-0.63540364250539705</v>
      </c>
      <c r="L650" s="276">
        <f t="shared" si="591"/>
        <v>-3.4719716881811857</v>
      </c>
      <c r="M650" s="276">
        <f t="shared" si="592"/>
        <v>-1.3384331270728587</v>
      </c>
      <c r="N650" s="685">
        <f t="shared" si="593"/>
        <v>1.0951600085167705</v>
      </c>
      <c r="O650" s="276">
        <f t="shared" si="594"/>
        <v>1.8805454496639984</v>
      </c>
      <c r="P650" s="276">
        <f t="shared" si="595"/>
        <v>1.4334009108776289</v>
      </c>
      <c r="Q650" s="276">
        <f t="shared" si="596"/>
        <v>1.3825228492698407</v>
      </c>
      <c r="R650" s="276">
        <f t="shared" si="597"/>
        <v>1.0507082593640169</v>
      </c>
      <c r="S650" s="686">
        <f t="shared" si="598"/>
        <v>0.99170635810393715</v>
      </c>
      <c r="T650" s="685">
        <f t="shared" si="599"/>
        <v>2.4529295677848664</v>
      </c>
      <c r="U650" s="276">
        <f t="shared" si="600"/>
        <v>4.3718892940231244</v>
      </c>
      <c r="V650" s="276">
        <f t="shared" si="601"/>
        <v>3.8275294839632297</v>
      </c>
      <c r="W650" s="276">
        <f t="shared" si="602"/>
        <v>3.8355905099195424</v>
      </c>
      <c r="X650" s="276">
        <f t="shared" si="603"/>
        <v>3.2493204339721045</v>
      </c>
      <c r="Y650" s="686">
        <f t="shared" si="604"/>
        <v>5.7914695927806914</v>
      </c>
      <c r="Z650" s="685" t="e">
        <f t="shared" si="605"/>
        <v>#DIV/0!</v>
      </c>
      <c r="AA650" s="276" t="e">
        <f t="shared" si="606"/>
        <v>#DIV/0!</v>
      </c>
      <c r="AB650" s="276" t="e">
        <f t="shared" si="607"/>
        <v>#DIV/0!</v>
      </c>
      <c r="AC650" s="276" t="e">
        <f t="shared" si="608"/>
        <v>#DIV/0!</v>
      </c>
      <c r="AD650" s="276" t="e">
        <f t="shared" si="609"/>
        <v>#DIV/0!</v>
      </c>
      <c r="AE650" s="686" t="e">
        <f t="shared" si="610"/>
        <v>#DIV/0!</v>
      </c>
      <c r="AF650" s="239"/>
      <c r="AG650" s="965" t="e">
        <f t="shared" si="581"/>
        <v>#VALUE!</v>
      </c>
      <c r="AH650" s="878" t="e">
        <f t="shared" si="582"/>
        <v>#VALUE!</v>
      </c>
      <c r="AI650" s="878" t="e">
        <f t="shared" si="583"/>
        <v>#VALUE!</v>
      </c>
      <c r="AJ650" s="878" t="e">
        <f t="shared" si="584"/>
        <v>#VALUE!</v>
      </c>
      <c r="AK650" s="878" t="e">
        <f t="shared" si="585"/>
        <v>#VALUE!</v>
      </c>
      <c r="AL650" s="966" t="e">
        <f t="shared" si="586"/>
        <v>#VALUE!</v>
      </c>
      <c r="AM650" s="239"/>
      <c r="AO650" s="685">
        <f t="shared" si="611"/>
        <v>-1.7917891802651926</v>
      </c>
      <c r="AP650" s="276">
        <f t="shared" si="612"/>
        <v>-7.1894540518141037E-2</v>
      </c>
      <c r="AQ650" s="276">
        <f t="shared" si="613"/>
        <v>-2.4330902350683741</v>
      </c>
      <c r="AR650" s="276">
        <f t="shared" si="614"/>
        <v>-0.63540364250539705</v>
      </c>
      <c r="AS650" s="276">
        <f t="shared" si="615"/>
        <v>-3.4719716881811857</v>
      </c>
      <c r="AT650" s="276">
        <f t="shared" si="616"/>
        <v>-1.3384331270728587</v>
      </c>
      <c r="AU650" s="685">
        <f t="shared" si="617"/>
        <v>1.0951600085167705</v>
      </c>
      <c r="AV650" s="276">
        <f t="shared" si="618"/>
        <v>1.8805454496639984</v>
      </c>
      <c r="AW650" s="276">
        <f t="shared" si="619"/>
        <v>1.4334009108776289</v>
      </c>
      <c r="AX650" s="276">
        <f t="shared" si="620"/>
        <v>1.3825228492698407</v>
      </c>
      <c r="AY650" s="276">
        <f t="shared" si="621"/>
        <v>1.0507082593640169</v>
      </c>
      <c r="AZ650" s="686">
        <f t="shared" si="622"/>
        <v>0.99170635810393715</v>
      </c>
      <c r="BA650" s="685">
        <f t="shared" si="623"/>
        <v>0</v>
      </c>
      <c r="BB650" s="276">
        <f t="shared" si="624"/>
        <v>0</v>
      </c>
      <c r="BC650" s="276">
        <f t="shared" si="625"/>
        <v>0</v>
      </c>
      <c r="BD650" s="276">
        <f t="shared" si="626"/>
        <v>0</v>
      </c>
      <c r="BE650" s="276">
        <f t="shared" si="627"/>
        <v>0</v>
      </c>
      <c r="BF650" s="686">
        <f t="shared" si="628"/>
        <v>0</v>
      </c>
      <c r="BG650" s="685" t="e">
        <f t="shared" si="629"/>
        <v>#DIV/0!</v>
      </c>
      <c r="BH650" s="276" t="e">
        <f t="shared" si="630"/>
        <v>#DIV/0!</v>
      </c>
      <c r="BI650" s="276" t="e">
        <f t="shared" si="631"/>
        <v>#DIV/0!</v>
      </c>
      <c r="BJ650" s="276" t="e">
        <f t="shared" si="632"/>
        <v>#DIV/0!</v>
      </c>
      <c r="BK650" s="276" t="e">
        <f t="shared" si="633"/>
        <v>#DIV/0!</v>
      </c>
      <c r="BL650" s="686" t="e">
        <f t="shared" si="634"/>
        <v>#DIV/0!</v>
      </c>
      <c r="BM650" s="239"/>
      <c r="BN650" s="965" t="e">
        <f t="shared" si="635"/>
        <v>#VALUE!</v>
      </c>
      <c r="BO650" s="878" t="e">
        <f t="shared" si="636"/>
        <v>#VALUE!</v>
      </c>
      <c r="BP650" s="878" t="e">
        <f t="shared" si="637"/>
        <v>#VALUE!</v>
      </c>
      <c r="BQ650" s="878" t="e">
        <f t="shared" si="638"/>
        <v>#VALUE!</v>
      </c>
      <c r="BR650" s="878" t="e">
        <f t="shared" si="639"/>
        <v>#VALUE!</v>
      </c>
      <c r="BS650" s="966" t="e">
        <f t="shared" si="640"/>
        <v>#VALUE!</v>
      </c>
    </row>
    <row r="651" spans="1:71">
      <c r="A651" s="284">
        <f t="shared" si="641"/>
        <v>583</v>
      </c>
      <c r="B651" s="285">
        <v>5.1905858256650152E-2</v>
      </c>
      <c r="C651" s="285">
        <v>2.5474212265891008</v>
      </c>
      <c r="D651" s="285">
        <v>1.2687797944752308</v>
      </c>
      <c r="E651" s="285">
        <v>-7.8058936679349848</v>
      </c>
      <c r="H651" s="685">
        <f t="shared" si="587"/>
        <v>-1.0813279835124048</v>
      </c>
      <c r="I651" s="276">
        <f t="shared" si="588"/>
        <v>0.64058960068163318</v>
      </c>
      <c r="J651" s="276">
        <f t="shared" si="589"/>
        <v>3.5660821803533276</v>
      </c>
      <c r="K651" s="276">
        <f t="shared" si="590"/>
        <v>-2.5720909566413344</v>
      </c>
      <c r="L651" s="276">
        <f t="shared" si="591"/>
        <v>8.5788014878297902E-2</v>
      </c>
      <c r="M651" s="276">
        <f t="shared" si="592"/>
        <v>-4.4234458451280156E-2</v>
      </c>
      <c r="N651" s="685">
        <f t="shared" si="593"/>
        <v>1.3402500156172323</v>
      </c>
      <c r="O651" s="276">
        <f t="shared" si="594"/>
        <v>2.3186252041857376</v>
      </c>
      <c r="P651" s="276">
        <f t="shared" si="595"/>
        <v>2.0118714946938896</v>
      </c>
      <c r="Q651" s="276">
        <f t="shared" si="596"/>
        <v>1.3519252460029298</v>
      </c>
      <c r="R651" s="276">
        <f t="shared" si="597"/>
        <v>0.51977408380105694</v>
      </c>
      <c r="S651" s="686">
        <f t="shared" si="598"/>
        <v>0.7413523829570281</v>
      </c>
      <c r="T651" s="685">
        <f t="shared" si="599"/>
        <v>4.5471434847461563</v>
      </c>
      <c r="U651" s="276">
        <f t="shared" si="600"/>
        <v>5.1431578695435904</v>
      </c>
      <c r="V651" s="276">
        <f t="shared" si="601"/>
        <v>5.5557183695963968</v>
      </c>
      <c r="W651" s="276">
        <f t="shared" si="602"/>
        <v>5.2914066377988416</v>
      </c>
      <c r="X651" s="276">
        <f t="shared" si="603"/>
        <v>4.5720421931063164</v>
      </c>
      <c r="Y651" s="686">
        <f t="shared" si="604"/>
        <v>7.3969855350139024</v>
      </c>
      <c r="Z651" s="685" t="e">
        <f t="shared" si="605"/>
        <v>#DIV/0!</v>
      </c>
      <c r="AA651" s="276" t="e">
        <f t="shared" si="606"/>
        <v>#DIV/0!</v>
      </c>
      <c r="AB651" s="276" t="e">
        <f t="shared" si="607"/>
        <v>#DIV/0!</v>
      </c>
      <c r="AC651" s="276" t="e">
        <f t="shared" si="608"/>
        <v>#DIV/0!</v>
      </c>
      <c r="AD651" s="276" t="e">
        <f t="shared" si="609"/>
        <v>#DIV/0!</v>
      </c>
      <c r="AE651" s="686" t="e">
        <f t="shared" si="610"/>
        <v>#DIV/0!</v>
      </c>
      <c r="AF651" s="239"/>
      <c r="AG651" s="965" t="e">
        <f t="shared" si="581"/>
        <v>#VALUE!</v>
      </c>
      <c r="AH651" s="878" t="e">
        <f t="shared" si="582"/>
        <v>#VALUE!</v>
      </c>
      <c r="AI651" s="878" t="e">
        <f t="shared" si="583"/>
        <v>#VALUE!</v>
      </c>
      <c r="AJ651" s="878" t="e">
        <f t="shared" si="584"/>
        <v>#VALUE!</v>
      </c>
      <c r="AK651" s="878" t="e">
        <f t="shared" si="585"/>
        <v>#VALUE!</v>
      </c>
      <c r="AL651" s="966" t="e">
        <f t="shared" si="586"/>
        <v>#VALUE!</v>
      </c>
      <c r="AM651" s="239"/>
      <c r="AO651" s="685">
        <f t="shared" si="611"/>
        <v>-1.0813279835124048</v>
      </c>
      <c r="AP651" s="276">
        <f t="shared" si="612"/>
        <v>0.64058960068163318</v>
      </c>
      <c r="AQ651" s="276">
        <f t="shared" si="613"/>
        <v>3.5660821803533276</v>
      </c>
      <c r="AR651" s="276">
        <f t="shared" si="614"/>
        <v>-2.5720909566413344</v>
      </c>
      <c r="AS651" s="276">
        <f t="shared" si="615"/>
        <v>8.5788014878297902E-2</v>
      </c>
      <c r="AT651" s="276">
        <f t="shared" si="616"/>
        <v>-4.4234458451280156E-2</v>
      </c>
      <c r="AU651" s="685">
        <f t="shared" si="617"/>
        <v>1.3402500156172323</v>
      </c>
      <c r="AV651" s="276">
        <f t="shared" si="618"/>
        <v>2.3186252041857376</v>
      </c>
      <c r="AW651" s="276">
        <f t="shared" si="619"/>
        <v>2.0118714946938896</v>
      </c>
      <c r="AX651" s="276">
        <f t="shared" si="620"/>
        <v>1.3519252460029298</v>
      </c>
      <c r="AY651" s="276">
        <f t="shared" si="621"/>
        <v>0.51977408380105694</v>
      </c>
      <c r="AZ651" s="686">
        <f t="shared" si="622"/>
        <v>0.7413523829570281</v>
      </c>
      <c r="BA651" s="685">
        <f t="shared" si="623"/>
        <v>0</v>
      </c>
      <c r="BB651" s="276">
        <f t="shared" si="624"/>
        <v>0</v>
      </c>
      <c r="BC651" s="276">
        <f t="shared" si="625"/>
        <v>0</v>
      </c>
      <c r="BD651" s="276">
        <f t="shared" si="626"/>
        <v>0</v>
      </c>
      <c r="BE651" s="276">
        <f t="shared" si="627"/>
        <v>0</v>
      </c>
      <c r="BF651" s="686">
        <f t="shared" si="628"/>
        <v>0</v>
      </c>
      <c r="BG651" s="685" t="e">
        <f t="shared" si="629"/>
        <v>#DIV/0!</v>
      </c>
      <c r="BH651" s="276" t="e">
        <f t="shared" si="630"/>
        <v>#DIV/0!</v>
      </c>
      <c r="BI651" s="276" t="e">
        <f t="shared" si="631"/>
        <v>#DIV/0!</v>
      </c>
      <c r="BJ651" s="276" t="e">
        <f t="shared" si="632"/>
        <v>#DIV/0!</v>
      </c>
      <c r="BK651" s="276" t="e">
        <f t="shared" si="633"/>
        <v>#DIV/0!</v>
      </c>
      <c r="BL651" s="686" t="e">
        <f t="shared" si="634"/>
        <v>#DIV/0!</v>
      </c>
      <c r="BM651" s="239"/>
      <c r="BN651" s="965" t="e">
        <f t="shared" si="635"/>
        <v>#VALUE!</v>
      </c>
      <c r="BO651" s="878" t="e">
        <f t="shared" si="636"/>
        <v>#VALUE!</v>
      </c>
      <c r="BP651" s="878" t="e">
        <f t="shared" si="637"/>
        <v>#VALUE!</v>
      </c>
      <c r="BQ651" s="878" t="e">
        <f t="shared" si="638"/>
        <v>#VALUE!</v>
      </c>
      <c r="BR651" s="878" t="e">
        <f t="shared" si="639"/>
        <v>#VALUE!</v>
      </c>
      <c r="BS651" s="966" t="e">
        <f t="shared" si="640"/>
        <v>#VALUE!</v>
      </c>
    </row>
    <row r="652" spans="1:71">
      <c r="A652" s="284">
        <f t="shared" si="641"/>
        <v>584</v>
      </c>
      <c r="B652" s="285">
        <v>-1.4686610405272329</v>
      </c>
      <c r="C652" s="285">
        <v>2.0615605953843166</v>
      </c>
      <c r="D652" s="285">
        <v>7.4520230333401827E-2</v>
      </c>
      <c r="E652" s="285">
        <v>-10.272766503140993</v>
      </c>
      <c r="H652" s="685">
        <f t="shared" si="587"/>
        <v>-2.6018948822962877</v>
      </c>
      <c r="I652" s="276">
        <f t="shared" si="588"/>
        <v>-7.1854892336774911</v>
      </c>
      <c r="J652" s="276">
        <f t="shared" si="589"/>
        <v>-2.6175010604294116</v>
      </c>
      <c r="K652" s="276">
        <f t="shared" si="590"/>
        <v>0.56046344606977927</v>
      </c>
      <c r="L652" s="276">
        <f t="shared" si="591"/>
        <v>-2.69601937397145</v>
      </c>
      <c r="M652" s="276">
        <f t="shared" si="592"/>
        <v>-5.1907920876087292</v>
      </c>
      <c r="N652" s="685">
        <f t="shared" si="593"/>
        <v>0.85438938441244816</v>
      </c>
      <c r="O652" s="276">
        <f t="shared" si="594"/>
        <v>0.49686746398776216</v>
      </c>
      <c r="P652" s="276">
        <f t="shared" si="595"/>
        <v>2.1174790943345529</v>
      </c>
      <c r="Q652" s="276">
        <f t="shared" si="596"/>
        <v>1.9605596151737117</v>
      </c>
      <c r="R652" s="276">
        <f t="shared" si="597"/>
        <v>1.009500607286739</v>
      </c>
      <c r="S652" s="686">
        <f t="shared" si="598"/>
        <v>0.18994332510859602</v>
      </c>
      <c r="T652" s="685">
        <f t="shared" si="599"/>
        <v>3.3528839206043277</v>
      </c>
      <c r="U652" s="276">
        <f t="shared" si="600"/>
        <v>3.5887742523132329</v>
      </c>
      <c r="V652" s="276">
        <f t="shared" si="601"/>
        <v>4.9930373512541433</v>
      </c>
      <c r="W652" s="276">
        <f t="shared" si="602"/>
        <v>5.1300703851508995</v>
      </c>
      <c r="X652" s="276">
        <f t="shared" si="603"/>
        <v>4.6399800656865722</v>
      </c>
      <c r="Y652" s="686">
        <f t="shared" si="604"/>
        <v>4.9050207241455448</v>
      </c>
      <c r="Z652" s="685" t="e">
        <f t="shared" si="605"/>
        <v>#DIV/0!</v>
      </c>
      <c r="AA652" s="276" t="e">
        <f t="shared" si="606"/>
        <v>#DIV/0!</v>
      </c>
      <c r="AB652" s="276" t="e">
        <f t="shared" si="607"/>
        <v>#DIV/0!</v>
      </c>
      <c r="AC652" s="276" t="e">
        <f t="shared" si="608"/>
        <v>#DIV/0!</v>
      </c>
      <c r="AD652" s="276" t="e">
        <f t="shared" si="609"/>
        <v>#DIV/0!</v>
      </c>
      <c r="AE652" s="686" t="e">
        <f t="shared" si="610"/>
        <v>#DIV/0!</v>
      </c>
      <c r="AF652" s="239"/>
      <c r="AG652" s="965" t="e">
        <f t="shared" si="581"/>
        <v>#VALUE!</v>
      </c>
      <c r="AH652" s="878" t="e">
        <f t="shared" si="582"/>
        <v>#VALUE!</v>
      </c>
      <c r="AI652" s="878" t="e">
        <f t="shared" si="583"/>
        <v>#VALUE!</v>
      </c>
      <c r="AJ652" s="878" t="e">
        <f t="shared" si="584"/>
        <v>#VALUE!</v>
      </c>
      <c r="AK652" s="878" t="e">
        <f t="shared" si="585"/>
        <v>#VALUE!</v>
      </c>
      <c r="AL652" s="966" t="e">
        <f t="shared" si="586"/>
        <v>#VALUE!</v>
      </c>
      <c r="AM652" s="239"/>
      <c r="AO652" s="685">
        <f t="shared" si="611"/>
        <v>-2.6018948822962877</v>
      </c>
      <c r="AP652" s="276">
        <f t="shared" si="612"/>
        <v>-7.1854892336774911</v>
      </c>
      <c r="AQ652" s="276">
        <f t="shared" si="613"/>
        <v>-2.6175010604294116</v>
      </c>
      <c r="AR652" s="276">
        <f t="shared" si="614"/>
        <v>0.56046344606977927</v>
      </c>
      <c r="AS652" s="276">
        <f t="shared" si="615"/>
        <v>-2.69601937397145</v>
      </c>
      <c r="AT652" s="276">
        <f t="shared" si="616"/>
        <v>-5.1907920876087292</v>
      </c>
      <c r="AU652" s="685">
        <f t="shared" si="617"/>
        <v>0.85438938441244816</v>
      </c>
      <c r="AV652" s="276">
        <f t="shared" si="618"/>
        <v>0.49686746398776216</v>
      </c>
      <c r="AW652" s="276">
        <f t="shared" si="619"/>
        <v>2.1174790943345529</v>
      </c>
      <c r="AX652" s="276">
        <f t="shared" si="620"/>
        <v>1.9605596151737117</v>
      </c>
      <c r="AY652" s="276">
        <f t="shared" si="621"/>
        <v>1.009500607286739</v>
      </c>
      <c r="AZ652" s="686">
        <f t="shared" si="622"/>
        <v>0.18994332510859602</v>
      </c>
      <c r="BA652" s="685">
        <f t="shared" si="623"/>
        <v>0</v>
      </c>
      <c r="BB652" s="276">
        <f t="shared" si="624"/>
        <v>0</v>
      </c>
      <c r="BC652" s="276">
        <f t="shared" si="625"/>
        <v>0</v>
      </c>
      <c r="BD652" s="276">
        <f t="shared" si="626"/>
        <v>0</v>
      </c>
      <c r="BE652" s="276">
        <f t="shared" si="627"/>
        <v>0</v>
      </c>
      <c r="BF652" s="686">
        <f t="shared" si="628"/>
        <v>0</v>
      </c>
      <c r="BG652" s="685" t="e">
        <f t="shared" si="629"/>
        <v>#DIV/0!</v>
      </c>
      <c r="BH652" s="276" t="e">
        <f t="shared" si="630"/>
        <v>#DIV/0!</v>
      </c>
      <c r="BI652" s="276" t="e">
        <f t="shared" si="631"/>
        <v>#DIV/0!</v>
      </c>
      <c r="BJ652" s="276" t="e">
        <f t="shared" si="632"/>
        <v>#DIV/0!</v>
      </c>
      <c r="BK652" s="276" t="e">
        <f t="shared" si="633"/>
        <v>#DIV/0!</v>
      </c>
      <c r="BL652" s="686" t="e">
        <f t="shared" si="634"/>
        <v>#DIV/0!</v>
      </c>
      <c r="BM652" s="239"/>
      <c r="BN652" s="965" t="e">
        <f t="shared" si="635"/>
        <v>#VALUE!</v>
      </c>
      <c r="BO652" s="878" t="e">
        <f t="shared" si="636"/>
        <v>#VALUE!</v>
      </c>
      <c r="BP652" s="878" t="e">
        <f t="shared" si="637"/>
        <v>#VALUE!</v>
      </c>
      <c r="BQ652" s="878" t="e">
        <f t="shared" si="638"/>
        <v>#VALUE!</v>
      </c>
      <c r="BR652" s="878" t="e">
        <f t="shared" si="639"/>
        <v>#VALUE!</v>
      </c>
      <c r="BS652" s="966" t="e">
        <f t="shared" si="640"/>
        <v>#VALUE!</v>
      </c>
    </row>
    <row r="653" spans="1:71">
      <c r="A653" s="284">
        <f t="shared" si="641"/>
        <v>585</v>
      </c>
      <c r="B653" s="285">
        <v>-3.0261509550742307</v>
      </c>
      <c r="C653" s="285">
        <v>2.4406138126961716</v>
      </c>
      <c r="D653" s="285">
        <v>1.7525581340634735</v>
      </c>
      <c r="E653" s="285">
        <v>-0.42379871675964287</v>
      </c>
      <c r="H653" s="685">
        <f t="shared" si="587"/>
        <v>-4.1593847968432858</v>
      </c>
      <c r="I653" s="276">
        <f t="shared" si="588"/>
        <v>-2.2148173500410953</v>
      </c>
      <c r="J653" s="276">
        <f t="shared" si="589"/>
        <v>-1.5059636924428181</v>
      </c>
      <c r="K653" s="276">
        <f t="shared" si="590"/>
        <v>-1.2570754577810628</v>
      </c>
      <c r="L653" s="276">
        <f t="shared" si="591"/>
        <v>-2.2768703299323718</v>
      </c>
      <c r="M653" s="276">
        <f t="shared" si="592"/>
        <v>-2.5183436041970331</v>
      </c>
      <c r="N653" s="685">
        <f t="shared" si="593"/>
        <v>1.2334426017243032</v>
      </c>
      <c r="O653" s="276">
        <f t="shared" si="594"/>
        <v>2.0408228727181967</v>
      </c>
      <c r="P653" s="276">
        <f t="shared" si="595"/>
        <v>1.5365192953231419</v>
      </c>
      <c r="Q653" s="276">
        <f t="shared" si="596"/>
        <v>1.9837747252288189</v>
      </c>
      <c r="R653" s="276">
        <f t="shared" si="597"/>
        <v>1.337706425196336</v>
      </c>
      <c r="S653" s="686">
        <f t="shared" si="598"/>
        <v>1.8199553276664824</v>
      </c>
      <c r="T653" s="685">
        <f t="shared" si="599"/>
        <v>5.0309218243343992</v>
      </c>
      <c r="U653" s="276">
        <f t="shared" si="600"/>
        <v>2.5295676485542518</v>
      </c>
      <c r="V653" s="276">
        <f t="shared" si="601"/>
        <v>6.1377365103671622</v>
      </c>
      <c r="W653" s="276">
        <f t="shared" si="602"/>
        <v>3.7590881381957399</v>
      </c>
      <c r="X653" s="276">
        <f t="shared" si="603"/>
        <v>5.2316972104136861</v>
      </c>
      <c r="Y653" s="686">
        <f t="shared" si="604"/>
        <v>3.2027992633795046</v>
      </c>
      <c r="Z653" s="685" t="e">
        <f t="shared" si="605"/>
        <v>#DIV/0!</v>
      </c>
      <c r="AA653" s="276" t="e">
        <f t="shared" si="606"/>
        <v>#DIV/0!</v>
      </c>
      <c r="AB653" s="276" t="e">
        <f t="shared" si="607"/>
        <v>#DIV/0!</v>
      </c>
      <c r="AC653" s="276" t="e">
        <f t="shared" si="608"/>
        <v>#DIV/0!</v>
      </c>
      <c r="AD653" s="276" t="e">
        <f t="shared" si="609"/>
        <v>#DIV/0!</v>
      </c>
      <c r="AE653" s="686" t="e">
        <f t="shared" si="610"/>
        <v>#DIV/0!</v>
      </c>
      <c r="AF653" s="239"/>
      <c r="AG653" s="965" t="e">
        <f t="shared" si="581"/>
        <v>#VALUE!</v>
      </c>
      <c r="AH653" s="878" t="e">
        <f t="shared" si="582"/>
        <v>#VALUE!</v>
      </c>
      <c r="AI653" s="878" t="e">
        <f t="shared" si="583"/>
        <v>#VALUE!</v>
      </c>
      <c r="AJ653" s="878" t="e">
        <f t="shared" si="584"/>
        <v>#VALUE!</v>
      </c>
      <c r="AK653" s="878" t="e">
        <f t="shared" si="585"/>
        <v>#VALUE!</v>
      </c>
      <c r="AL653" s="966" t="e">
        <f t="shared" si="586"/>
        <v>#VALUE!</v>
      </c>
      <c r="AM653" s="239"/>
      <c r="AO653" s="685">
        <f t="shared" si="611"/>
        <v>-4.1593847968432858</v>
      </c>
      <c r="AP653" s="276">
        <f t="shared" si="612"/>
        <v>-2.2148173500410953</v>
      </c>
      <c r="AQ653" s="276">
        <f t="shared" si="613"/>
        <v>-1.5059636924428181</v>
      </c>
      <c r="AR653" s="276">
        <f t="shared" si="614"/>
        <v>-1.2570754577810628</v>
      </c>
      <c r="AS653" s="276">
        <f t="shared" si="615"/>
        <v>-2.2768703299323718</v>
      </c>
      <c r="AT653" s="276">
        <f t="shared" si="616"/>
        <v>-2.5183436041970331</v>
      </c>
      <c r="AU653" s="685">
        <f t="shared" si="617"/>
        <v>1.2334426017243032</v>
      </c>
      <c r="AV653" s="276">
        <f t="shared" si="618"/>
        <v>2.0408228727181967</v>
      </c>
      <c r="AW653" s="276">
        <f t="shared" si="619"/>
        <v>1.5365192953231419</v>
      </c>
      <c r="AX653" s="276">
        <f t="shared" si="620"/>
        <v>1.9837747252288189</v>
      </c>
      <c r="AY653" s="276">
        <f t="shared" si="621"/>
        <v>1.337706425196336</v>
      </c>
      <c r="AZ653" s="686">
        <f t="shared" si="622"/>
        <v>1.8199553276664824</v>
      </c>
      <c r="BA653" s="685">
        <f t="shared" si="623"/>
        <v>0</v>
      </c>
      <c r="BB653" s="276">
        <f t="shared" si="624"/>
        <v>0</v>
      </c>
      <c r="BC653" s="276">
        <f t="shared" si="625"/>
        <v>0</v>
      </c>
      <c r="BD653" s="276">
        <f t="shared" si="626"/>
        <v>0</v>
      </c>
      <c r="BE653" s="276">
        <f t="shared" si="627"/>
        <v>0</v>
      </c>
      <c r="BF653" s="686">
        <f t="shared" si="628"/>
        <v>0</v>
      </c>
      <c r="BG653" s="685" t="e">
        <f t="shared" si="629"/>
        <v>#DIV/0!</v>
      </c>
      <c r="BH653" s="276" t="e">
        <f t="shared" si="630"/>
        <v>#DIV/0!</v>
      </c>
      <c r="BI653" s="276" t="e">
        <f t="shared" si="631"/>
        <v>#DIV/0!</v>
      </c>
      <c r="BJ653" s="276" t="e">
        <f t="shared" si="632"/>
        <v>#DIV/0!</v>
      </c>
      <c r="BK653" s="276" t="e">
        <f t="shared" si="633"/>
        <v>#DIV/0!</v>
      </c>
      <c r="BL653" s="686" t="e">
        <f t="shared" si="634"/>
        <v>#DIV/0!</v>
      </c>
      <c r="BM653" s="239"/>
      <c r="BN653" s="965" t="e">
        <f t="shared" si="635"/>
        <v>#VALUE!</v>
      </c>
      <c r="BO653" s="878" t="e">
        <f t="shared" si="636"/>
        <v>#VALUE!</v>
      </c>
      <c r="BP653" s="878" t="e">
        <f t="shared" si="637"/>
        <v>#VALUE!</v>
      </c>
      <c r="BQ653" s="878" t="e">
        <f t="shared" si="638"/>
        <v>#VALUE!</v>
      </c>
      <c r="BR653" s="878" t="e">
        <f t="shared" si="639"/>
        <v>#VALUE!</v>
      </c>
      <c r="BS653" s="966" t="e">
        <f t="shared" si="640"/>
        <v>#VALUE!</v>
      </c>
    </row>
    <row r="654" spans="1:71">
      <c r="A654" s="284">
        <f t="shared" si="641"/>
        <v>586</v>
      </c>
      <c r="B654" s="285">
        <v>0.75914347952843342</v>
      </c>
      <c r="C654" s="285">
        <v>2.5970156264163871</v>
      </c>
      <c r="D654" s="285">
        <v>0.99347062779978457</v>
      </c>
      <c r="E654" s="285">
        <v>2.7344383695296854</v>
      </c>
      <c r="H654" s="685">
        <f t="shared" si="587"/>
        <v>-0.37409036224062142</v>
      </c>
      <c r="I654" s="276">
        <f t="shared" si="588"/>
        <v>-1.3539489034074843</v>
      </c>
      <c r="J654" s="276">
        <f t="shared" si="589"/>
        <v>-2.6219338354347279</v>
      </c>
      <c r="K654" s="276">
        <f t="shared" si="590"/>
        <v>-6.3507707564755878</v>
      </c>
      <c r="L654" s="276">
        <f t="shared" si="591"/>
        <v>-3.106972199763435</v>
      </c>
      <c r="M654" s="276">
        <f t="shared" si="592"/>
        <v>1.5747366925122772</v>
      </c>
      <c r="N654" s="685">
        <f t="shared" si="593"/>
        <v>1.3898444154445186</v>
      </c>
      <c r="O654" s="276">
        <f t="shared" si="594"/>
        <v>0.87603194431881293</v>
      </c>
      <c r="P654" s="276">
        <f t="shared" si="595"/>
        <v>1.0947508852614731</v>
      </c>
      <c r="Q654" s="276">
        <f t="shared" si="596"/>
        <v>1.2691583722248241</v>
      </c>
      <c r="R654" s="276">
        <f t="shared" si="597"/>
        <v>1.2705365068113623</v>
      </c>
      <c r="S654" s="686">
        <f t="shared" si="598"/>
        <v>1.8005097575090623</v>
      </c>
      <c r="T654" s="685">
        <f t="shared" si="599"/>
        <v>4.2718343180707103</v>
      </c>
      <c r="U654" s="276">
        <f t="shared" si="600"/>
        <v>5.823748371849951</v>
      </c>
      <c r="V654" s="276">
        <f t="shared" si="601"/>
        <v>5.0825026947853189</v>
      </c>
      <c r="W654" s="276">
        <f t="shared" si="602"/>
        <v>2.7798335815063742</v>
      </c>
      <c r="X654" s="276">
        <f t="shared" si="603"/>
        <v>2.6504416881274722</v>
      </c>
      <c r="Y654" s="686">
        <f t="shared" si="604"/>
        <v>4.5513082528916637</v>
      </c>
      <c r="Z654" s="685" t="e">
        <f t="shared" si="605"/>
        <v>#DIV/0!</v>
      </c>
      <c r="AA654" s="276" t="e">
        <f t="shared" si="606"/>
        <v>#DIV/0!</v>
      </c>
      <c r="AB654" s="276" t="e">
        <f t="shared" si="607"/>
        <v>#DIV/0!</v>
      </c>
      <c r="AC654" s="276" t="e">
        <f t="shared" si="608"/>
        <v>#DIV/0!</v>
      </c>
      <c r="AD654" s="276" t="e">
        <f t="shared" si="609"/>
        <v>#DIV/0!</v>
      </c>
      <c r="AE654" s="686" t="e">
        <f t="shared" si="610"/>
        <v>#DIV/0!</v>
      </c>
      <c r="AF654" s="239"/>
      <c r="AG654" s="965" t="e">
        <f t="shared" si="581"/>
        <v>#VALUE!</v>
      </c>
      <c r="AH654" s="878" t="e">
        <f t="shared" si="582"/>
        <v>#VALUE!</v>
      </c>
      <c r="AI654" s="878" t="e">
        <f t="shared" si="583"/>
        <v>#VALUE!</v>
      </c>
      <c r="AJ654" s="878" t="e">
        <f t="shared" si="584"/>
        <v>#VALUE!</v>
      </c>
      <c r="AK654" s="878" t="e">
        <f t="shared" si="585"/>
        <v>#VALUE!</v>
      </c>
      <c r="AL654" s="966" t="e">
        <f t="shared" si="586"/>
        <v>#VALUE!</v>
      </c>
      <c r="AM654" s="239"/>
      <c r="AO654" s="685">
        <f t="shared" si="611"/>
        <v>-0.37409036224062142</v>
      </c>
      <c r="AP654" s="276">
        <f t="shared" si="612"/>
        <v>-1.3539489034074843</v>
      </c>
      <c r="AQ654" s="276">
        <f t="shared" si="613"/>
        <v>-2.6219338354347279</v>
      </c>
      <c r="AR654" s="276">
        <f t="shared" si="614"/>
        <v>-6.3507707564755878</v>
      </c>
      <c r="AS654" s="276">
        <f t="shared" si="615"/>
        <v>-3.106972199763435</v>
      </c>
      <c r="AT654" s="276">
        <f t="shared" si="616"/>
        <v>1.5747366925122772</v>
      </c>
      <c r="AU654" s="685">
        <f t="shared" si="617"/>
        <v>1.3898444154445186</v>
      </c>
      <c r="AV654" s="276">
        <f t="shared" si="618"/>
        <v>0.87603194431881293</v>
      </c>
      <c r="AW654" s="276">
        <f t="shared" si="619"/>
        <v>1.0947508852614731</v>
      </c>
      <c r="AX654" s="276">
        <f t="shared" si="620"/>
        <v>1.2691583722248241</v>
      </c>
      <c r="AY654" s="276">
        <f t="shared" si="621"/>
        <v>1.2705365068113623</v>
      </c>
      <c r="AZ654" s="686">
        <f t="shared" si="622"/>
        <v>1.8005097575090623</v>
      </c>
      <c r="BA654" s="685">
        <f t="shared" si="623"/>
        <v>0</v>
      </c>
      <c r="BB654" s="276">
        <f t="shared" si="624"/>
        <v>0</v>
      </c>
      <c r="BC654" s="276">
        <f t="shared" si="625"/>
        <v>0</v>
      </c>
      <c r="BD654" s="276">
        <f t="shared" si="626"/>
        <v>0</v>
      </c>
      <c r="BE654" s="276">
        <f t="shared" si="627"/>
        <v>0</v>
      </c>
      <c r="BF654" s="686">
        <f t="shared" si="628"/>
        <v>0</v>
      </c>
      <c r="BG654" s="685" t="e">
        <f t="shared" si="629"/>
        <v>#DIV/0!</v>
      </c>
      <c r="BH654" s="276" t="e">
        <f t="shared" si="630"/>
        <v>#DIV/0!</v>
      </c>
      <c r="BI654" s="276" t="e">
        <f t="shared" si="631"/>
        <v>#DIV/0!</v>
      </c>
      <c r="BJ654" s="276" t="e">
        <f t="shared" si="632"/>
        <v>#DIV/0!</v>
      </c>
      <c r="BK654" s="276" t="e">
        <f t="shared" si="633"/>
        <v>#DIV/0!</v>
      </c>
      <c r="BL654" s="686" t="e">
        <f t="shared" si="634"/>
        <v>#DIV/0!</v>
      </c>
      <c r="BM654" s="239"/>
      <c r="BN654" s="965" t="e">
        <f t="shared" si="635"/>
        <v>#VALUE!</v>
      </c>
      <c r="BO654" s="878" t="e">
        <f t="shared" si="636"/>
        <v>#VALUE!</v>
      </c>
      <c r="BP654" s="878" t="e">
        <f t="shared" si="637"/>
        <v>#VALUE!</v>
      </c>
      <c r="BQ654" s="878" t="e">
        <f t="shared" si="638"/>
        <v>#VALUE!</v>
      </c>
      <c r="BR654" s="878" t="e">
        <f t="shared" si="639"/>
        <v>#VALUE!</v>
      </c>
      <c r="BS654" s="966" t="e">
        <f t="shared" si="640"/>
        <v>#VALUE!</v>
      </c>
    </row>
    <row r="655" spans="1:71">
      <c r="A655" s="284">
        <f t="shared" si="641"/>
        <v>587</v>
      </c>
      <c r="B655" s="285">
        <v>2.8266061271478442</v>
      </c>
      <c r="C655" s="285">
        <v>2.6457075058253783</v>
      </c>
      <c r="D655" s="285">
        <v>1.6826115367322843</v>
      </c>
      <c r="E655" s="285">
        <v>-11.384123617002794</v>
      </c>
      <c r="H655" s="685">
        <f t="shared" si="587"/>
        <v>1.6933722853787894</v>
      </c>
      <c r="I655" s="276">
        <f t="shared" si="588"/>
        <v>-1.9282586610934571</v>
      </c>
      <c r="J655" s="276">
        <f t="shared" si="589"/>
        <v>-0.32356958979049932</v>
      </c>
      <c r="K655" s="276">
        <f t="shared" si="590"/>
        <v>3.3035044909309459</v>
      </c>
      <c r="L655" s="276">
        <f t="shared" si="591"/>
        <v>-2.8234344932592466</v>
      </c>
      <c r="M655" s="276">
        <f t="shared" si="592"/>
        <v>-1.3248719546608287</v>
      </c>
      <c r="N655" s="685">
        <f t="shared" si="593"/>
        <v>1.4385362948535099</v>
      </c>
      <c r="O655" s="276">
        <f t="shared" si="594"/>
        <v>0.81170389738546223</v>
      </c>
      <c r="P655" s="276">
        <f t="shared" si="595"/>
        <v>1.7013113575610663</v>
      </c>
      <c r="Q655" s="276">
        <f t="shared" si="596"/>
        <v>1.7363844076566488</v>
      </c>
      <c r="R655" s="276">
        <f t="shared" si="597"/>
        <v>2.0206798055692134</v>
      </c>
      <c r="S655" s="686">
        <f t="shared" si="598"/>
        <v>1.0751894626576515</v>
      </c>
      <c r="T655" s="685">
        <f t="shared" si="599"/>
        <v>4.9609752270032104</v>
      </c>
      <c r="U655" s="276">
        <f t="shared" si="600"/>
        <v>5.7522064872332486</v>
      </c>
      <c r="V655" s="276">
        <f t="shared" si="601"/>
        <v>5.276196633269433</v>
      </c>
      <c r="W655" s="276">
        <f t="shared" si="602"/>
        <v>5.4890993345027166</v>
      </c>
      <c r="X655" s="276">
        <f t="shared" si="603"/>
        <v>3.2654714659549442</v>
      </c>
      <c r="Y655" s="686">
        <f t="shared" si="604"/>
        <v>4.9141264942378227</v>
      </c>
      <c r="Z655" s="685" t="e">
        <f t="shared" si="605"/>
        <v>#DIV/0!</v>
      </c>
      <c r="AA655" s="276" t="e">
        <f t="shared" si="606"/>
        <v>#DIV/0!</v>
      </c>
      <c r="AB655" s="276" t="e">
        <f t="shared" si="607"/>
        <v>#DIV/0!</v>
      </c>
      <c r="AC655" s="276" t="e">
        <f t="shared" si="608"/>
        <v>#DIV/0!</v>
      </c>
      <c r="AD655" s="276" t="e">
        <f t="shared" si="609"/>
        <v>#DIV/0!</v>
      </c>
      <c r="AE655" s="686" t="e">
        <f t="shared" si="610"/>
        <v>#DIV/0!</v>
      </c>
      <c r="AF655" s="239"/>
      <c r="AG655" s="965" t="e">
        <f t="shared" si="581"/>
        <v>#VALUE!</v>
      </c>
      <c r="AH655" s="878" t="e">
        <f t="shared" si="582"/>
        <v>#VALUE!</v>
      </c>
      <c r="AI655" s="878" t="e">
        <f t="shared" si="583"/>
        <v>#VALUE!</v>
      </c>
      <c r="AJ655" s="878" t="e">
        <f t="shared" si="584"/>
        <v>#VALUE!</v>
      </c>
      <c r="AK655" s="878" t="e">
        <f t="shared" si="585"/>
        <v>#VALUE!</v>
      </c>
      <c r="AL655" s="966" t="e">
        <f t="shared" si="586"/>
        <v>#VALUE!</v>
      </c>
      <c r="AM655" s="239"/>
      <c r="AO655" s="685">
        <f t="shared" si="611"/>
        <v>1.6933722853787894</v>
      </c>
      <c r="AP655" s="276">
        <f t="shared" si="612"/>
        <v>-1.9282586610934571</v>
      </c>
      <c r="AQ655" s="276">
        <f t="shared" si="613"/>
        <v>-0.32356958979049932</v>
      </c>
      <c r="AR655" s="276">
        <f t="shared" si="614"/>
        <v>3.3035044909309459</v>
      </c>
      <c r="AS655" s="276">
        <f t="shared" si="615"/>
        <v>-2.8234344932592466</v>
      </c>
      <c r="AT655" s="276">
        <f t="shared" si="616"/>
        <v>-1.3248719546608287</v>
      </c>
      <c r="AU655" s="685">
        <f t="shared" si="617"/>
        <v>1.4385362948535099</v>
      </c>
      <c r="AV655" s="276">
        <f t="shared" si="618"/>
        <v>0.81170389738546223</v>
      </c>
      <c r="AW655" s="276">
        <f t="shared" si="619"/>
        <v>1.7013113575610663</v>
      </c>
      <c r="AX655" s="276">
        <f t="shared" si="620"/>
        <v>1.7363844076566488</v>
      </c>
      <c r="AY655" s="276">
        <f t="shared" si="621"/>
        <v>2.0206798055692134</v>
      </c>
      <c r="AZ655" s="686">
        <f t="shared" si="622"/>
        <v>1.0751894626576515</v>
      </c>
      <c r="BA655" s="685">
        <f t="shared" si="623"/>
        <v>0</v>
      </c>
      <c r="BB655" s="276">
        <f t="shared" si="624"/>
        <v>0</v>
      </c>
      <c r="BC655" s="276">
        <f t="shared" si="625"/>
        <v>0</v>
      </c>
      <c r="BD655" s="276">
        <f t="shared" si="626"/>
        <v>0</v>
      </c>
      <c r="BE655" s="276">
        <f t="shared" si="627"/>
        <v>0</v>
      </c>
      <c r="BF655" s="686">
        <f t="shared" si="628"/>
        <v>0</v>
      </c>
      <c r="BG655" s="685" t="e">
        <f t="shared" si="629"/>
        <v>#DIV/0!</v>
      </c>
      <c r="BH655" s="276" t="e">
        <f t="shared" si="630"/>
        <v>#DIV/0!</v>
      </c>
      <c r="BI655" s="276" t="e">
        <f t="shared" si="631"/>
        <v>#DIV/0!</v>
      </c>
      <c r="BJ655" s="276" t="e">
        <f t="shared" si="632"/>
        <v>#DIV/0!</v>
      </c>
      <c r="BK655" s="276" t="e">
        <f t="shared" si="633"/>
        <v>#DIV/0!</v>
      </c>
      <c r="BL655" s="686" t="e">
        <f t="shared" si="634"/>
        <v>#DIV/0!</v>
      </c>
      <c r="BM655" s="239"/>
      <c r="BN655" s="965" t="e">
        <f t="shared" si="635"/>
        <v>#VALUE!</v>
      </c>
      <c r="BO655" s="878" t="e">
        <f t="shared" si="636"/>
        <v>#VALUE!</v>
      </c>
      <c r="BP655" s="878" t="e">
        <f t="shared" si="637"/>
        <v>#VALUE!</v>
      </c>
      <c r="BQ655" s="878" t="e">
        <f t="shared" si="638"/>
        <v>#VALUE!</v>
      </c>
      <c r="BR655" s="878" t="e">
        <f t="shared" si="639"/>
        <v>#VALUE!</v>
      </c>
      <c r="BS655" s="966" t="e">
        <f t="shared" si="640"/>
        <v>#VALUE!</v>
      </c>
    </row>
    <row r="656" spans="1:71">
      <c r="A656" s="284">
        <f t="shared" si="641"/>
        <v>588</v>
      </c>
      <c r="B656" s="285">
        <v>0.70307194388688421</v>
      </c>
      <c r="C656" s="285">
        <v>1.9508242119517829</v>
      </c>
      <c r="D656" s="285">
        <v>1.9232446319221261</v>
      </c>
      <c r="E656" s="285">
        <v>-21.580968439758919</v>
      </c>
      <c r="H656" s="685">
        <f t="shared" si="587"/>
        <v>-0.43016189788217063</v>
      </c>
      <c r="I656" s="276">
        <f t="shared" si="588"/>
        <v>-0.56089301427875204</v>
      </c>
      <c r="J656" s="276">
        <f t="shared" si="589"/>
        <v>0.70815654744123102</v>
      </c>
      <c r="K656" s="276">
        <f t="shared" si="590"/>
        <v>-3.3682840208937259</v>
      </c>
      <c r="L656" s="276">
        <f t="shared" si="591"/>
        <v>-0.3742143212295842</v>
      </c>
      <c r="M656" s="276">
        <f t="shared" si="592"/>
        <v>1.3320706368275979</v>
      </c>
      <c r="N656" s="685">
        <f t="shared" si="593"/>
        <v>0.74365300097991449</v>
      </c>
      <c r="O656" s="276">
        <f t="shared" si="594"/>
        <v>0.99566933594789453</v>
      </c>
      <c r="P656" s="276">
        <f t="shared" si="595"/>
        <v>0.81274636146692036</v>
      </c>
      <c r="Q656" s="276">
        <f t="shared" si="596"/>
        <v>0.7592882809706929</v>
      </c>
      <c r="R656" s="276">
        <f t="shared" si="597"/>
        <v>1.7109870371939893</v>
      </c>
      <c r="S656" s="686">
        <f t="shared" si="598"/>
        <v>1.6578937470576955</v>
      </c>
      <c r="T656" s="685">
        <f t="shared" si="599"/>
        <v>5.201608322193052</v>
      </c>
      <c r="U656" s="276">
        <f t="shared" si="600"/>
        <v>2.5110691240241314</v>
      </c>
      <c r="V656" s="276">
        <f t="shared" si="601"/>
        <v>4.3130956658710167</v>
      </c>
      <c r="W656" s="276">
        <f t="shared" si="602"/>
        <v>3.4937735242886712</v>
      </c>
      <c r="X656" s="276">
        <f t="shared" si="603"/>
        <v>3.0428388180692281</v>
      </c>
      <c r="Y656" s="686">
        <f t="shared" si="604"/>
        <v>2.8296023690491787</v>
      </c>
      <c r="Z656" s="685" t="e">
        <f t="shared" si="605"/>
        <v>#DIV/0!</v>
      </c>
      <c r="AA656" s="276" t="e">
        <f t="shared" si="606"/>
        <v>#DIV/0!</v>
      </c>
      <c r="AB656" s="276" t="e">
        <f t="shared" si="607"/>
        <v>#DIV/0!</v>
      </c>
      <c r="AC656" s="276" t="e">
        <f t="shared" si="608"/>
        <v>#DIV/0!</v>
      </c>
      <c r="AD656" s="276" t="e">
        <f t="shared" si="609"/>
        <v>#DIV/0!</v>
      </c>
      <c r="AE656" s="686" t="e">
        <f t="shared" si="610"/>
        <v>#DIV/0!</v>
      </c>
      <c r="AF656" s="239"/>
      <c r="AG656" s="965" t="e">
        <f t="shared" si="581"/>
        <v>#VALUE!</v>
      </c>
      <c r="AH656" s="878" t="e">
        <f t="shared" si="582"/>
        <v>#VALUE!</v>
      </c>
      <c r="AI656" s="878" t="e">
        <f t="shared" si="583"/>
        <v>#VALUE!</v>
      </c>
      <c r="AJ656" s="878" t="e">
        <f t="shared" si="584"/>
        <v>#VALUE!</v>
      </c>
      <c r="AK656" s="878" t="e">
        <f t="shared" si="585"/>
        <v>#VALUE!</v>
      </c>
      <c r="AL656" s="966" t="e">
        <f t="shared" si="586"/>
        <v>#VALUE!</v>
      </c>
      <c r="AM656" s="239"/>
      <c r="AO656" s="685">
        <f t="shared" si="611"/>
        <v>-0.43016189788217063</v>
      </c>
      <c r="AP656" s="276">
        <f t="shared" si="612"/>
        <v>-0.56089301427875204</v>
      </c>
      <c r="AQ656" s="276">
        <f t="shared" si="613"/>
        <v>0.70815654744123102</v>
      </c>
      <c r="AR656" s="276">
        <f t="shared" si="614"/>
        <v>-3.3682840208937259</v>
      </c>
      <c r="AS656" s="276">
        <f t="shared" si="615"/>
        <v>-0.3742143212295842</v>
      </c>
      <c r="AT656" s="276">
        <f t="shared" si="616"/>
        <v>1.3320706368275979</v>
      </c>
      <c r="AU656" s="685">
        <f t="shared" si="617"/>
        <v>0.74365300097991449</v>
      </c>
      <c r="AV656" s="276">
        <f t="shared" si="618"/>
        <v>0.99566933594789453</v>
      </c>
      <c r="AW656" s="276">
        <f t="shared" si="619"/>
        <v>0.81274636146692036</v>
      </c>
      <c r="AX656" s="276">
        <f t="shared" si="620"/>
        <v>0.7592882809706929</v>
      </c>
      <c r="AY656" s="276">
        <f t="shared" si="621"/>
        <v>1.7109870371939893</v>
      </c>
      <c r="AZ656" s="686">
        <f t="shared" si="622"/>
        <v>1.6578937470576955</v>
      </c>
      <c r="BA656" s="685">
        <f t="shared" si="623"/>
        <v>0</v>
      </c>
      <c r="BB656" s="276">
        <f t="shared" si="624"/>
        <v>0</v>
      </c>
      <c r="BC656" s="276">
        <f t="shared" si="625"/>
        <v>0</v>
      </c>
      <c r="BD656" s="276">
        <f t="shared" si="626"/>
        <v>0</v>
      </c>
      <c r="BE656" s="276">
        <f t="shared" si="627"/>
        <v>0</v>
      </c>
      <c r="BF656" s="686">
        <f t="shared" si="628"/>
        <v>0</v>
      </c>
      <c r="BG656" s="685" t="e">
        <f t="shared" si="629"/>
        <v>#DIV/0!</v>
      </c>
      <c r="BH656" s="276" t="e">
        <f t="shared" si="630"/>
        <v>#DIV/0!</v>
      </c>
      <c r="BI656" s="276" t="e">
        <f t="shared" si="631"/>
        <v>#DIV/0!</v>
      </c>
      <c r="BJ656" s="276" t="e">
        <f t="shared" si="632"/>
        <v>#DIV/0!</v>
      </c>
      <c r="BK656" s="276" t="e">
        <f t="shared" si="633"/>
        <v>#DIV/0!</v>
      </c>
      <c r="BL656" s="686" t="e">
        <f t="shared" si="634"/>
        <v>#DIV/0!</v>
      </c>
      <c r="BM656" s="239"/>
      <c r="BN656" s="965" t="e">
        <f t="shared" si="635"/>
        <v>#VALUE!</v>
      </c>
      <c r="BO656" s="878" t="e">
        <f t="shared" si="636"/>
        <v>#VALUE!</v>
      </c>
      <c r="BP656" s="878" t="e">
        <f t="shared" si="637"/>
        <v>#VALUE!</v>
      </c>
      <c r="BQ656" s="878" t="e">
        <f t="shared" si="638"/>
        <v>#VALUE!</v>
      </c>
      <c r="BR656" s="878" t="e">
        <f t="shared" si="639"/>
        <v>#VALUE!</v>
      </c>
      <c r="BS656" s="966" t="e">
        <f t="shared" si="640"/>
        <v>#VALUE!</v>
      </c>
    </row>
    <row r="657" spans="1:71">
      <c r="A657" s="284">
        <f t="shared" si="641"/>
        <v>589</v>
      </c>
      <c r="B657" s="285">
        <v>-1.9224289719432244</v>
      </c>
      <c r="C657" s="285">
        <v>2.8700989424641721</v>
      </c>
      <c r="D657" s="285">
        <v>1.5893924105184303</v>
      </c>
      <c r="E657" s="285">
        <v>6.157816955336834</v>
      </c>
      <c r="H657" s="685">
        <f t="shared" si="587"/>
        <v>-3.0556628137122792</v>
      </c>
      <c r="I657" s="276">
        <f t="shared" si="588"/>
        <v>3.3805877688350643</v>
      </c>
      <c r="J657" s="276">
        <f t="shared" si="589"/>
        <v>0.76766918033989007</v>
      </c>
      <c r="K657" s="276">
        <f t="shared" si="590"/>
        <v>1.7045733300822403</v>
      </c>
      <c r="L657" s="276">
        <f t="shared" si="591"/>
        <v>0.8036295533605804</v>
      </c>
      <c r="M657" s="276">
        <f t="shared" si="592"/>
        <v>-3.1064213933210123</v>
      </c>
      <c r="N657" s="685">
        <f t="shared" si="593"/>
        <v>1.6629277314923037</v>
      </c>
      <c r="O657" s="276">
        <f t="shared" si="594"/>
        <v>1.7691211253779533</v>
      </c>
      <c r="P657" s="276">
        <f t="shared" si="595"/>
        <v>1.8572218093388562</v>
      </c>
      <c r="Q657" s="276">
        <f t="shared" si="596"/>
        <v>1.1569112521667344</v>
      </c>
      <c r="R657" s="276">
        <f t="shared" si="597"/>
        <v>1.5619251984080098</v>
      </c>
      <c r="S657" s="686">
        <f t="shared" si="598"/>
        <v>0.10747059970304496</v>
      </c>
      <c r="T657" s="685">
        <f t="shared" si="599"/>
        <v>4.8677561007893564</v>
      </c>
      <c r="U657" s="276">
        <f t="shared" si="600"/>
        <v>4.8739301386325149</v>
      </c>
      <c r="V657" s="276">
        <f t="shared" si="601"/>
        <v>2.9133622041351104</v>
      </c>
      <c r="W657" s="276">
        <f t="shared" si="602"/>
        <v>5.2303383045601546</v>
      </c>
      <c r="X657" s="276">
        <f t="shared" si="603"/>
        <v>4.0528980094140685</v>
      </c>
      <c r="Y657" s="686">
        <f t="shared" si="604"/>
        <v>3.9888071703709786</v>
      </c>
      <c r="Z657" s="685" t="e">
        <f t="shared" si="605"/>
        <v>#DIV/0!</v>
      </c>
      <c r="AA657" s="276" t="e">
        <f t="shared" si="606"/>
        <v>#DIV/0!</v>
      </c>
      <c r="AB657" s="276" t="e">
        <f t="shared" si="607"/>
        <v>#DIV/0!</v>
      </c>
      <c r="AC657" s="276" t="e">
        <f t="shared" si="608"/>
        <v>#DIV/0!</v>
      </c>
      <c r="AD657" s="276" t="e">
        <f t="shared" si="609"/>
        <v>#DIV/0!</v>
      </c>
      <c r="AE657" s="686" t="e">
        <f t="shared" si="610"/>
        <v>#DIV/0!</v>
      </c>
      <c r="AF657" s="239"/>
      <c r="AG657" s="965" t="e">
        <f t="shared" si="581"/>
        <v>#VALUE!</v>
      </c>
      <c r="AH657" s="878" t="e">
        <f t="shared" si="582"/>
        <v>#VALUE!</v>
      </c>
      <c r="AI657" s="878" t="e">
        <f t="shared" si="583"/>
        <v>#VALUE!</v>
      </c>
      <c r="AJ657" s="878" t="e">
        <f t="shared" si="584"/>
        <v>#VALUE!</v>
      </c>
      <c r="AK657" s="878" t="e">
        <f t="shared" si="585"/>
        <v>#VALUE!</v>
      </c>
      <c r="AL657" s="966" t="e">
        <f t="shared" si="586"/>
        <v>#VALUE!</v>
      </c>
      <c r="AM657" s="239"/>
      <c r="AO657" s="685">
        <f t="shared" si="611"/>
        <v>-3.0556628137122792</v>
      </c>
      <c r="AP657" s="276">
        <f t="shared" si="612"/>
        <v>3.3805877688350643</v>
      </c>
      <c r="AQ657" s="276">
        <f t="shared" si="613"/>
        <v>0.76766918033989007</v>
      </c>
      <c r="AR657" s="276">
        <f t="shared" si="614"/>
        <v>1.7045733300822403</v>
      </c>
      <c r="AS657" s="276">
        <f t="shared" si="615"/>
        <v>0.8036295533605804</v>
      </c>
      <c r="AT657" s="276">
        <f t="shared" si="616"/>
        <v>-3.1064213933210123</v>
      </c>
      <c r="AU657" s="685">
        <f t="shared" si="617"/>
        <v>1.6629277314923037</v>
      </c>
      <c r="AV657" s="276">
        <f t="shared" si="618"/>
        <v>1.7691211253779533</v>
      </c>
      <c r="AW657" s="276">
        <f t="shared" si="619"/>
        <v>1.8572218093388562</v>
      </c>
      <c r="AX657" s="276">
        <f t="shared" si="620"/>
        <v>1.1569112521667344</v>
      </c>
      <c r="AY657" s="276">
        <f t="shared" si="621"/>
        <v>1.5619251984080098</v>
      </c>
      <c r="AZ657" s="686">
        <f t="shared" si="622"/>
        <v>0.10747059970304496</v>
      </c>
      <c r="BA657" s="685">
        <f t="shared" si="623"/>
        <v>0</v>
      </c>
      <c r="BB657" s="276">
        <f t="shared" si="624"/>
        <v>0</v>
      </c>
      <c r="BC657" s="276">
        <f t="shared" si="625"/>
        <v>0</v>
      </c>
      <c r="BD657" s="276">
        <f t="shared" si="626"/>
        <v>0</v>
      </c>
      <c r="BE657" s="276">
        <f t="shared" si="627"/>
        <v>0</v>
      </c>
      <c r="BF657" s="686">
        <f t="shared" si="628"/>
        <v>0</v>
      </c>
      <c r="BG657" s="685" t="e">
        <f t="shared" si="629"/>
        <v>#DIV/0!</v>
      </c>
      <c r="BH657" s="276" t="e">
        <f t="shared" si="630"/>
        <v>#DIV/0!</v>
      </c>
      <c r="BI657" s="276" t="e">
        <f t="shared" si="631"/>
        <v>#DIV/0!</v>
      </c>
      <c r="BJ657" s="276" t="e">
        <f t="shared" si="632"/>
        <v>#DIV/0!</v>
      </c>
      <c r="BK657" s="276" t="e">
        <f t="shared" si="633"/>
        <v>#DIV/0!</v>
      </c>
      <c r="BL657" s="686" t="e">
        <f t="shared" si="634"/>
        <v>#DIV/0!</v>
      </c>
      <c r="BM657" s="239"/>
      <c r="BN657" s="965" t="e">
        <f t="shared" si="635"/>
        <v>#VALUE!</v>
      </c>
      <c r="BO657" s="878" t="e">
        <f t="shared" si="636"/>
        <v>#VALUE!</v>
      </c>
      <c r="BP657" s="878" t="e">
        <f t="shared" si="637"/>
        <v>#VALUE!</v>
      </c>
      <c r="BQ657" s="878" t="e">
        <f t="shared" si="638"/>
        <v>#VALUE!</v>
      </c>
      <c r="BR657" s="878" t="e">
        <f t="shared" si="639"/>
        <v>#VALUE!</v>
      </c>
      <c r="BS657" s="966" t="e">
        <f t="shared" si="640"/>
        <v>#VALUE!</v>
      </c>
    </row>
    <row r="658" spans="1:71">
      <c r="A658" s="284">
        <f t="shared" si="641"/>
        <v>590</v>
      </c>
      <c r="B658" s="285">
        <v>4.1368377019654305</v>
      </c>
      <c r="C658" s="285">
        <v>3.2024296126529053</v>
      </c>
      <c r="D658" s="285">
        <v>1.0199628650181465</v>
      </c>
      <c r="E658" s="285">
        <v>11.067475792888462</v>
      </c>
      <c r="H658" s="685">
        <f t="shared" si="587"/>
        <v>3.0036038601963755</v>
      </c>
      <c r="I658" s="276">
        <f t="shared" si="588"/>
        <v>0.13564198741381817</v>
      </c>
      <c r="J658" s="276">
        <f t="shared" si="589"/>
        <v>-4.9511846746951864</v>
      </c>
      <c r="K658" s="276">
        <f t="shared" si="590"/>
        <v>-9.3795092049509199E-2</v>
      </c>
      <c r="L658" s="276">
        <f t="shared" si="591"/>
        <v>-0.10262091983275234</v>
      </c>
      <c r="M658" s="276">
        <f t="shared" si="592"/>
        <v>0.56439032850482063</v>
      </c>
      <c r="N658" s="685">
        <f t="shared" si="593"/>
        <v>1.9952584016810369</v>
      </c>
      <c r="O658" s="276">
        <f t="shared" si="594"/>
        <v>6.5477043091012765E-2</v>
      </c>
      <c r="P658" s="276">
        <f t="shared" si="595"/>
        <v>0.91721318088912196</v>
      </c>
      <c r="Q658" s="276">
        <f t="shared" si="596"/>
        <v>1.1873954130281501</v>
      </c>
      <c r="R658" s="276">
        <f t="shared" si="597"/>
        <v>1.2582114260476496</v>
      </c>
      <c r="S658" s="686">
        <f t="shared" si="598"/>
        <v>1.1744583745175172</v>
      </c>
      <c r="T658" s="685">
        <f t="shared" si="599"/>
        <v>4.2983265552890728</v>
      </c>
      <c r="U658" s="276">
        <f t="shared" si="600"/>
        <v>6.9021800801815987</v>
      </c>
      <c r="V658" s="276">
        <f t="shared" si="601"/>
        <v>2.6422435774079784</v>
      </c>
      <c r="W658" s="276">
        <f t="shared" si="602"/>
        <v>6.0426834702358079</v>
      </c>
      <c r="X658" s="276">
        <f t="shared" si="603"/>
        <v>4.7735562496602801</v>
      </c>
      <c r="Y658" s="686">
        <f t="shared" si="604"/>
        <v>7.3107192011518318</v>
      </c>
      <c r="Z658" s="685" t="e">
        <f t="shared" si="605"/>
        <v>#DIV/0!</v>
      </c>
      <c r="AA658" s="276" t="e">
        <f t="shared" si="606"/>
        <v>#DIV/0!</v>
      </c>
      <c r="AB658" s="276" t="e">
        <f t="shared" si="607"/>
        <v>#DIV/0!</v>
      </c>
      <c r="AC658" s="276" t="e">
        <f t="shared" si="608"/>
        <v>#DIV/0!</v>
      </c>
      <c r="AD658" s="276" t="e">
        <f t="shared" si="609"/>
        <v>#DIV/0!</v>
      </c>
      <c r="AE658" s="686" t="e">
        <f t="shared" si="610"/>
        <v>#DIV/0!</v>
      </c>
      <c r="AF658" s="239"/>
      <c r="AG658" s="965" t="e">
        <f t="shared" si="581"/>
        <v>#VALUE!</v>
      </c>
      <c r="AH658" s="878" t="e">
        <f t="shared" si="582"/>
        <v>#VALUE!</v>
      </c>
      <c r="AI658" s="878" t="e">
        <f t="shared" si="583"/>
        <v>#VALUE!</v>
      </c>
      <c r="AJ658" s="878" t="e">
        <f t="shared" si="584"/>
        <v>#VALUE!</v>
      </c>
      <c r="AK658" s="878" t="e">
        <f t="shared" si="585"/>
        <v>#VALUE!</v>
      </c>
      <c r="AL658" s="966" t="e">
        <f t="shared" si="586"/>
        <v>#VALUE!</v>
      </c>
      <c r="AM658" s="239"/>
      <c r="AO658" s="685">
        <f t="shared" si="611"/>
        <v>3.0036038601963755</v>
      </c>
      <c r="AP658" s="276">
        <f t="shared" si="612"/>
        <v>0.13564198741381817</v>
      </c>
      <c r="AQ658" s="276">
        <f t="shared" si="613"/>
        <v>-4.9511846746951864</v>
      </c>
      <c r="AR658" s="276">
        <f t="shared" si="614"/>
        <v>-9.3795092049509199E-2</v>
      </c>
      <c r="AS658" s="276">
        <f t="shared" si="615"/>
        <v>-0.10262091983275234</v>
      </c>
      <c r="AT658" s="276">
        <f t="shared" si="616"/>
        <v>0.56439032850482063</v>
      </c>
      <c r="AU658" s="685">
        <f t="shared" si="617"/>
        <v>1.9952584016810369</v>
      </c>
      <c r="AV658" s="276">
        <f t="shared" si="618"/>
        <v>6.5477043091012765E-2</v>
      </c>
      <c r="AW658" s="276">
        <f t="shared" si="619"/>
        <v>0.91721318088912196</v>
      </c>
      <c r="AX658" s="276">
        <f t="shared" si="620"/>
        <v>1.1873954130281501</v>
      </c>
      <c r="AY658" s="276">
        <f t="shared" si="621"/>
        <v>1.2582114260476496</v>
      </c>
      <c r="AZ658" s="686">
        <f t="shared" si="622"/>
        <v>1.1744583745175172</v>
      </c>
      <c r="BA658" s="685">
        <f t="shared" si="623"/>
        <v>0</v>
      </c>
      <c r="BB658" s="276">
        <f t="shared" si="624"/>
        <v>0</v>
      </c>
      <c r="BC658" s="276">
        <f t="shared" si="625"/>
        <v>0</v>
      </c>
      <c r="BD658" s="276">
        <f t="shared" si="626"/>
        <v>0</v>
      </c>
      <c r="BE658" s="276">
        <f t="shared" si="627"/>
        <v>0</v>
      </c>
      <c r="BF658" s="686">
        <f t="shared" si="628"/>
        <v>0</v>
      </c>
      <c r="BG658" s="685" t="e">
        <f t="shared" si="629"/>
        <v>#DIV/0!</v>
      </c>
      <c r="BH658" s="276" t="e">
        <f t="shared" si="630"/>
        <v>#DIV/0!</v>
      </c>
      <c r="BI658" s="276" t="e">
        <f t="shared" si="631"/>
        <v>#DIV/0!</v>
      </c>
      <c r="BJ658" s="276" t="e">
        <f t="shared" si="632"/>
        <v>#DIV/0!</v>
      </c>
      <c r="BK658" s="276" t="e">
        <f t="shared" si="633"/>
        <v>#DIV/0!</v>
      </c>
      <c r="BL658" s="686" t="e">
        <f t="shared" si="634"/>
        <v>#DIV/0!</v>
      </c>
      <c r="BM658" s="239"/>
      <c r="BN658" s="965" t="e">
        <f t="shared" si="635"/>
        <v>#VALUE!</v>
      </c>
      <c r="BO658" s="878" t="e">
        <f t="shared" si="636"/>
        <v>#VALUE!</v>
      </c>
      <c r="BP658" s="878" t="e">
        <f t="shared" si="637"/>
        <v>#VALUE!</v>
      </c>
      <c r="BQ658" s="878" t="e">
        <f t="shared" si="638"/>
        <v>#VALUE!</v>
      </c>
      <c r="BR658" s="878" t="e">
        <f t="shared" si="639"/>
        <v>#VALUE!</v>
      </c>
      <c r="BS658" s="966" t="e">
        <f t="shared" si="640"/>
        <v>#VALUE!</v>
      </c>
    </row>
    <row r="659" spans="1:71">
      <c r="A659" s="284">
        <f t="shared" si="641"/>
        <v>591</v>
      </c>
      <c r="B659" s="285">
        <v>-2.1762683441473114</v>
      </c>
      <c r="C659" s="285">
        <v>1.6663492454874018</v>
      </c>
      <c r="D659" s="285">
        <v>0.39774893831959623</v>
      </c>
      <c r="E659" s="285">
        <v>-19.920496864795279</v>
      </c>
      <c r="H659" s="685">
        <f t="shared" si="587"/>
        <v>-3.309502185916366</v>
      </c>
      <c r="I659" s="276">
        <f t="shared" si="588"/>
        <v>1.0825410832304263</v>
      </c>
      <c r="J659" s="276">
        <f t="shared" si="589"/>
        <v>-1.3198464122436735</v>
      </c>
      <c r="K659" s="276">
        <f t="shared" si="590"/>
        <v>-8.1398907033208845E-2</v>
      </c>
      <c r="L659" s="276">
        <f t="shared" si="591"/>
        <v>-3.6828040573496921</v>
      </c>
      <c r="M659" s="276">
        <f t="shared" si="592"/>
        <v>-5.9302584572464951</v>
      </c>
      <c r="N659" s="685">
        <f t="shared" si="593"/>
        <v>0.45917803451553341</v>
      </c>
      <c r="O659" s="276">
        <f t="shared" si="594"/>
        <v>1.8433029609127403</v>
      </c>
      <c r="P659" s="276">
        <f t="shared" si="595"/>
        <v>1.2072174870633121</v>
      </c>
      <c r="Q659" s="276">
        <f t="shared" si="596"/>
        <v>0.67272141483652148</v>
      </c>
      <c r="R659" s="276">
        <f t="shared" si="597"/>
        <v>0.69307573931416178</v>
      </c>
      <c r="S659" s="686">
        <f t="shared" si="598"/>
        <v>0.46569789955400931</v>
      </c>
      <c r="T659" s="685">
        <f t="shared" si="599"/>
        <v>3.6761126285905221</v>
      </c>
      <c r="U659" s="276">
        <f t="shared" si="600"/>
        <v>4.328173166029778</v>
      </c>
      <c r="V659" s="276">
        <f t="shared" si="601"/>
        <v>3.4226778610387121</v>
      </c>
      <c r="W659" s="276">
        <f t="shared" si="602"/>
        <v>4.6665865559813451</v>
      </c>
      <c r="X659" s="276">
        <f t="shared" si="603"/>
        <v>3.217210291642628</v>
      </c>
      <c r="Y659" s="686">
        <f t="shared" si="604"/>
        <v>3.6725303191843874</v>
      </c>
      <c r="Z659" s="685" t="e">
        <f t="shared" si="605"/>
        <v>#DIV/0!</v>
      </c>
      <c r="AA659" s="276" t="e">
        <f t="shared" si="606"/>
        <v>#DIV/0!</v>
      </c>
      <c r="AB659" s="276" t="e">
        <f t="shared" si="607"/>
        <v>#DIV/0!</v>
      </c>
      <c r="AC659" s="276" t="e">
        <f t="shared" si="608"/>
        <v>#DIV/0!</v>
      </c>
      <c r="AD659" s="276" t="e">
        <f t="shared" si="609"/>
        <v>#DIV/0!</v>
      </c>
      <c r="AE659" s="686" t="e">
        <f t="shared" si="610"/>
        <v>#DIV/0!</v>
      </c>
      <c r="AF659" s="239"/>
      <c r="AG659" s="965" t="e">
        <f t="shared" si="581"/>
        <v>#VALUE!</v>
      </c>
      <c r="AH659" s="878" t="e">
        <f t="shared" si="582"/>
        <v>#VALUE!</v>
      </c>
      <c r="AI659" s="878" t="e">
        <f t="shared" si="583"/>
        <v>#VALUE!</v>
      </c>
      <c r="AJ659" s="878" t="e">
        <f t="shared" si="584"/>
        <v>#VALUE!</v>
      </c>
      <c r="AK659" s="878" t="e">
        <f t="shared" si="585"/>
        <v>#VALUE!</v>
      </c>
      <c r="AL659" s="966" t="e">
        <f t="shared" si="586"/>
        <v>#VALUE!</v>
      </c>
      <c r="AM659" s="239"/>
      <c r="AO659" s="685">
        <f t="shared" si="611"/>
        <v>-3.309502185916366</v>
      </c>
      <c r="AP659" s="276">
        <f t="shared" si="612"/>
        <v>1.0825410832304263</v>
      </c>
      <c r="AQ659" s="276">
        <f t="shared" si="613"/>
        <v>-1.3198464122436735</v>
      </c>
      <c r="AR659" s="276">
        <f t="shared" si="614"/>
        <v>-8.1398907033208845E-2</v>
      </c>
      <c r="AS659" s="276">
        <f t="shared" si="615"/>
        <v>-3.6828040573496921</v>
      </c>
      <c r="AT659" s="276">
        <f t="shared" si="616"/>
        <v>-5.9302584572464951</v>
      </c>
      <c r="AU659" s="685">
        <f t="shared" si="617"/>
        <v>0.45917803451553341</v>
      </c>
      <c r="AV659" s="276">
        <f t="shared" si="618"/>
        <v>1.8433029609127403</v>
      </c>
      <c r="AW659" s="276">
        <f t="shared" si="619"/>
        <v>1.2072174870633121</v>
      </c>
      <c r="AX659" s="276">
        <f t="shared" si="620"/>
        <v>0.67272141483652148</v>
      </c>
      <c r="AY659" s="276">
        <f t="shared" si="621"/>
        <v>0.69307573931416178</v>
      </c>
      <c r="AZ659" s="686">
        <f t="shared" si="622"/>
        <v>0.46569789955400931</v>
      </c>
      <c r="BA659" s="685">
        <f t="shared" si="623"/>
        <v>0</v>
      </c>
      <c r="BB659" s="276">
        <f t="shared" si="624"/>
        <v>0</v>
      </c>
      <c r="BC659" s="276">
        <f t="shared" si="625"/>
        <v>0</v>
      </c>
      <c r="BD659" s="276">
        <f t="shared" si="626"/>
        <v>0</v>
      </c>
      <c r="BE659" s="276">
        <f t="shared" si="627"/>
        <v>0</v>
      </c>
      <c r="BF659" s="686">
        <f t="shared" si="628"/>
        <v>0</v>
      </c>
      <c r="BG659" s="685" t="e">
        <f t="shared" si="629"/>
        <v>#DIV/0!</v>
      </c>
      <c r="BH659" s="276" t="e">
        <f t="shared" si="630"/>
        <v>#DIV/0!</v>
      </c>
      <c r="BI659" s="276" t="e">
        <f t="shared" si="631"/>
        <v>#DIV/0!</v>
      </c>
      <c r="BJ659" s="276" t="e">
        <f t="shared" si="632"/>
        <v>#DIV/0!</v>
      </c>
      <c r="BK659" s="276" t="e">
        <f t="shared" si="633"/>
        <v>#DIV/0!</v>
      </c>
      <c r="BL659" s="686" t="e">
        <f t="shared" si="634"/>
        <v>#DIV/0!</v>
      </c>
      <c r="BM659" s="239"/>
      <c r="BN659" s="965" t="e">
        <f t="shared" si="635"/>
        <v>#VALUE!</v>
      </c>
      <c r="BO659" s="878" t="e">
        <f t="shared" si="636"/>
        <v>#VALUE!</v>
      </c>
      <c r="BP659" s="878" t="e">
        <f t="shared" si="637"/>
        <v>#VALUE!</v>
      </c>
      <c r="BQ659" s="878" t="e">
        <f t="shared" si="638"/>
        <v>#VALUE!</v>
      </c>
      <c r="BR659" s="878" t="e">
        <f t="shared" si="639"/>
        <v>#VALUE!</v>
      </c>
      <c r="BS659" s="966" t="e">
        <f t="shared" si="640"/>
        <v>#VALUE!</v>
      </c>
    </row>
    <row r="660" spans="1:71">
      <c r="A660" s="284">
        <f t="shared" si="641"/>
        <v>592</v>
      </c>
      <c r="B660" s="285">
        <v>-0.38107596596928545</v>
      </c>
      <c r="C660" s="285">
        <v>3.1114679009781416</v>
      </c>
      <c r="D660" s="285">
        <v>-0.56471553315430789</v>
      </c>
      <c r="E660" s="285">
        <v>8.9447665920307688</v>
      </c>
      <c r="H660" s="685">
        <f t="shared" si="587"/>
        <v>-1.5143098077383403</v>
      </c>
      <c r="I660" s="276">
        <f t="shared" si="588"/>
        <v>0.38690953940291584</v>
      </c>
      <c r="J660" s="276">
        <f t="shared" si="589"/>
        <v>-2.3338989634756815</v>
      </c>
      <c r="K660" s="276">
        <f t="shared" si="590"/>
        <v>8.9267820327771918E-3</v>
      </c>
      <c r="L660" s="276">
        <f t="shared" si="591"/>
        <v>-0.6833207651539962</v>
      </c>
      <c r="M660" s="276">
        <f t="shared" si="592"/>
        <v>2.3202616112150745</v>
      </c>
      <c r="N660" s="685">
        <f t="shared" si="593"/>
        <v>1.9042966900062732</v>
      </c>
      <c r="O660" s="276">
        <f t="shared" si="594"/>
        <v>1.5110299423127229</v>
      </c>
      <c r="P660" s="276">
        <f t="shared" si="595"/>
        <v>2.0148012431529061</v>
      </c>
      <c r="Q660" s="276">
        <f t="shared" si="596"/>
        <v>1.0019327379010579</v>
      </c>
      <c r="R660" s="276">
        <f t="shared" si="597"/>
        <v>1.9313035628969544</v>
      </c>
      <c r="S660" s="686">
        <f t="shared" si="598"/>
        <v>1.7565874168994167</v>
      </c>
      <c r="T660" s="685">
        <f t="shared" si="599"/>
        <v>2.713648157116618</v>
      </c>
      <c r="U660" s="276">
        <f t="shared" si="600"/>
        <v>4.5866342073639386</v>
      </c>
      <c r="V660" s="276">
        <f t="shared" si="601"/>
        <v>4.5661245225010152</v>
      </c>
      <c r="W660" s="276">
        <f t="shared" si="602"/>
        <v>4.3185734728232985</v>
      </c>
      <c r="X660" s="276">
        <f t="shared" si="603"/>
        <v>4.3696973418018805</v>
      </c>
      <c r="Y660" s="686">
        <f t="shared" si="604"/>
        <v>6.641624126833424</v>
      </c>
      <c r="Z660" s="685" t="e">
        <f t="shared" si="605"/>
        <v>#DIV/0!</v>
      </c>
      <c r="AA660" s="276" t="e">
        <f t="shared" si="606"/>
        <v>#DIV/0!</v>
      </c>
      <c r="AB660" s="276" t="e">
        <f t="shared" si="607"/>
        <v>#DIV/0!</v>
      </c>
      <c r="AC660" s="276" t="e">
        <f t="shared" si="608"/>
        <v>#DIV/0!</v>
      </c>
      <c r="AD660" s="276" t="e">
        <f t="shared" si="609"/>
        <v>#DIV/0!</v>
      </c>
      <c r="AE660" s="686" t="e">
        <f t="shared" si="610"/>
        <v>#DIV/0!</v>
      </c>
      <c r="AF660" s="239"/>
      <c r="AG660" s="965" t="e">
        <f t="shared" si="581"/>
        <v>#VALUE!</v>
      </c>
      <c r="AH660" s="878" t="e">
        <f t="shared" si="582"/>
        <v>#VALUE!</v>
      </c>
      <c r="AI660" s="878" t="e">
        <f t="shared" si="583"/>
        <v>#VALUE!</v>
      </c>
      <c r="AJ660" s="878" t="e">
        <f t="shared" si="584"/>
        <v>#VALUE!</v>
      </c>
      <c r="AK660" s="878" t="e">
        <f t="shared" si="585"/>
        <v>#VALUE!</v>
      </c>
      <c r="AL660" s="966" t="e">
        <f t="shared" si="586"/>
        <v>#VALUE!</v>
      </c>
      <c r="AM660" s="239"/>
      <c r="AO660" s="685">
        <f t="shared" si="611"/>
        <v>-1.5143098077383403</v>
      </c>
      <c r="AP660" s="276">
        <f t="shared" si="612"/>
        <v>0.38690953940291584</v>
      </c>
      <c r="AQ660" s="276">
        <f t="shared" si="613"/>
        <v>-2.3338989634756815</v>
      </c>
      <c r="AR660" s="276">
        <f t="shared" si="614"/>
        <v>8.9267820327771918E-3</v>
      </c>
      <c r="AS660" s="276">
        <f t="shared" si="615"/>
        <v>-0.6833207651539962</v>
      </c>
      <c r="AT660" s="276">
        <f t="shared" si="616"/>
        <v>2.3202616112150745</v>
      </c>
      <c r="AU660" s="685">
        <f t="shared" si="617"/>
        <v>1.9042966900062732</v>
      </c>
      <c r="AV660" s="276">
        <f t="shared" si="618"/>
        <v>1.5110299423127229</v>
      </c>
      <c r="AW660" s="276">
        <f t="shared" si="619"/>
        <v>2.0148012431529061</v>
      </c>
      <c r="AX660" s="276">
        <f t="shared" si="620"/>
        <v>1.0019327379010579</v>
      </c>
      <c r="AY660" s="276">
        <f t="shared" si="621"/>
        <v>1.9313035628969544</v>
      </c>
      <c r="AZ660" s="686">
        <f t="shared" si="622"/>
        <v>1.7565874168994167</v>
      </c>
      <c r="BA660" s="685">
        <f t="shared" si="623"/>
        <v>0</v>
      </c>
      <c r="BB660" s="276">
        <f t="shared" si="624"/>
        <v>0</v>
      </c>
      <c r="BC660" s="276">
        <f t="shared" si="625"/>
        <v>0</v>
      </c>
      <c r="BD660" s="276">
        <f t="shared" si="626"/>
        <v>0</v>
      </c>
      <c r="BE660" s="276">
        <f t="shared" si="627"/>
        <v>0</v>
      </c>
      <c r="BF660" s="686">
        <f t="shared" si="628"/>
        <v>0</v>
      </c>
      <c r="BG660" s="685" t="e">
        <f t="shared" si="629"/>
        <v>#DIV/0!</v>
      </c>
      <c r="BH660" s="276" t="e">
        <f t="shared" si="630"/>
        <v>#DIV/0!</v>
      </c>
      <c r="BI660" s="276" t="e">
        <f t="shared" si="631"/>
        <v>#DIV/0!</v>
      </c>
      <c r="BJ660" s="276" t="e">
        <f t="shared" si="632"/>
        <v>#DIV/0!</v>
      </c>
      <c r="BK660" s="276" t="e">
        <f t="shared" si="633"/>
        <v>#DIV/0!</v>
      </c>
      <c r="BL660" s="686" t="e">
        <f t="shared" si="634"/>
        <v>#DIV/0!</v>
      </c>
      <c r="BM660" s="239"/>
      <c r="BN660" s="965" t="e">
        <f t="shared" si="635"/>
        <v>#VALUE!</v>
      </c>
      <c r="BO660" s="878" t="e">
        <f t="shared" si="636"/>
        <v>#VALUE!</v>
      </c>
      <c r="BP660" s="878" t="e">
        <f t="shared" si="637"/>
        <v>#VALUE!</v>
      </c>
      <c r="BQ660" s="878" t="e">
        <f t="shared" si="638"/>
        <v>#VALUE!</v>
      </c>
      <c r="BR660" s="878" t="e">
        <f t="shared" si="639"/>
        <v>#VALUE!</v>
      </c>
      <c r="BS660" s="966" t="e">
        <f t="shared" si="640"/>
        <v>#VALUE!</v>
      </c>
    </row>
    <row r="661" spans="1:71">
      <c r="A661" s="284">
        <f t="shared" si="641"/>
        <v>593</v>
      </c>
      <c r="B661" s="285">
        <v>-2.8329793573556978</v>
      </c>
      <c r="C661" s="285">
        <v>2.3220245195507894</v>
      </c>
      <c r="D661" s="285">
        <v>8.1176818444341325E-2</v>
      </c>
      <c r="E661" s="285">
        <v>-9.7222850100941933</v>
      </c>
      <c r="H661" s="685">
        <f t="shared" si="587"/>
        <v>-3.9662131991247529</v>
      </c>
      <c r="I661" s="276">
        <f t="shared" si="588"/>
        <v>1.2059839266407069</v>
      </c>
      <c r="J661" s="276">
        <f t="shared" si="589"/>
        <v>-3.1385682578920768</v>
      </c>
      <c r="K661" s="276">
        <f t="shared" si="590"/>
        <v>-6.3483117795698405</v>
      </c>
      <c r="L661" s="276">
        <f t="shared" si="591"/>
        <v>-0.8560787968444149</v>
      </c>
      <c r="M661" s="276">
        <f t="shared" si="592"/>
        <v>-2.1953072955612707</v>
      </c>
      <c r="N661" s="685">
        <f t="shared" si="593"/>
        <v>1.114853308578921</v>
      </c>
      <c r="O661" s="276">
        <f t="shared" si="594"/>
        <v>1.9833050212938932</v>
      </c>
      <c r="P661" s="276">
        <f t="shared" si="595"/>
        <v>1.2097313709614947</v>
      </c>
      <c r="Q661" s="276">
        <f t="shared" si="596"/>
        <v>1.3245608806838944</v>
      </c>
      <c r="R661" s="276">
        <f t="shared" si="597"/>
        <v>1.0001005985811628</v>
      </c>
      <c r="S661" s="686">
        <f t="shared" si="598"/>
        <v>1.2913303447477078</v>
      </c>
      <c r="T661" s="685">
        <f t="shared" si="599"/>
        <v>3.3595405087152672</v>
      </c>
      <c r="U661" s="276">
        <f t="shared" si="600"/>
        <v>1.6303980957633852</v>
      </c>
      <c r="V661" s="276">
        <f t="shared" si="601"/>
        <v>1.9129243332242369</v>
      </c>
      <c r="W661" s="276">
        <f t="shared" si="602"/>
        <v>4.6578751943734664</v>
      </c>
      <c r="X661" s="276">
        <f t="shared" si="603"/>
        <v>2.6390279897027824</v>
      </c>
      <c r="Y661" s="686">
        <f t="shared" si="604"/>
        <v>2.8577732590725544</v>
      </c>
      <c r="Z661" s="685" t="e">
        <f t="shared" si="605"/>
        <v>#DIV/0!</v>
      </c>
      <c r="AA661" s="276" t="e">
        <f t="shared" si="606"/>
        <v>#DIV/0!</v>
      </c>
      <c r="AB661" s="276" t="e">
        <f t="shared" si="607"/>
        <v>#DIV/0!</v>
      </c>
      <c r="AC661" s="276" t="e">
        <f t="shared" si="608"/>
        <v>#DIV/0!</v>
      </c>
      <c r="AD661" s="276" t="e">
        <f t="shared" si="609"/>
        <v>#DIV/0!</v>
      </c>
      <c r="AE661" s="686" t="e">
        <f t="shared" si="610"/>
        <v>#DIV/0!</v>
      </c>
      <c r="AF661" s="239"/>
      <c r="AG661" s="965" t="e">
        <f t="shared" si="581"/>
        <v>#VALUE!</v>
      </c>
      <c r="AH661" s="878" t="e">
        <f t="shared" si="582"/>
        <v>#VALUE!</v>
      </c>
      <c r="AI661" s="878" t="e">
        <f t="shared" si="583"/>
        <v>#VALUE!</v>
      </c>
      <c r="AJ661" s="878" t="e">
        <f t="shared" si="584"/>
        <v>#VALUE!</v>
      </c>
      <c r="AK661" s="878" t="e">
        <f t="shared" si="585"/>
        <v>#VALUE!</v>
      </c>
      <c r="AL661" s="966" t="e">
        <f t="shared" si="586"/>
        <v>#VALUE!</v>
      </c>
      <c r="AM661" s="239"/>
      <c r="AO661" s="685">
        <f t="shared" si="611"/>
        <v>-3.9662131991247529</v>
      </c>
      <c r="AP661" s="276">
        <f t="shared" si="612"/>
        <v>1.2059839266407069</v>
      </c>
      <c r="AQ661" s="276">
        <f t="shared" si="613"/>
        <v>-3.1385682578920768</v>
      </c>
      <c r="AR661" s="276">
        <f t="shared" si="614"/>
        <v>-6.3483117795698405</v>
      </c>
      <c r="AS661" s="276">
        <f t="shared" si="615"/>
        <v>-0.8560787968444149</v>
      </c>
      <c r="AT661" s="276">
        <f t="shared" si="616"/>
        <v>-2.1953072955612707</v>
      </c>
      <c r="AU661" s="685">
        <f t="shared" si="617"/>
        <v>1.114853308578921</v>
      </c>
      <c r="AV661" s="276">
        <f t="shared" si="618"/>
        <v>1.9833050212938932</v>
      </c>
      <c r="AW661" s="276">
        <f t="shared" si="619"/>
        <v>1.2097313709614947</v>
      </c>
      <c r="AX661" s="276">
        <f t="shared" si="620"/>
        <v>1.3245608806838944</v>
      </c>
      <c r="AY661" s="276">
        <f t="shared" si="621"/>
        <v>1.0001005985811628</v>
      </c>
      <c r="AZ661" s="686">
        <f t="shared" si="622"/>
        <v>1.2913303447477078</v>
      </c>
      <c r="BA661" s="685">
        <f t="shared" si="623"/>
        <v>0</v>
      </c>
      <c r="BB661" s="276">
        <f t="shared" si="624"/>
        <v>0</v>
      </c>
      <c r="BC661" s="276">
        <f t="shared" si="625"/>
        <v>0</v>
      </c>
      <c r="BD661" s="276">
        <f t="shared" si="626"/>
        <v>0</v>
      </c>
      <c r="BE661" s="276">
        <f t="shared" si="627"/>
        <v>0</v>
      </c>
      <c r="BF661" s="686">
        <f t="shared" si="628"/>
        <v>0</v>
      </c>
      <c r="BG661" s="685" t="e">
        <f t="shared" si="629"/>
        <v>#DIV/0!</v>
      </c>
      <c r="BH661" s="276" t="e">
        <f t="shared" si="630"/>
        <v>#DIV/0!</v>
      </c>
      <c r="BI661" s="276" t="e">
        <f t="shared" si="631"/>
        <v>#DIV/0!</v>
      </c>
      <c r="BJ661" s="276" t="e">
        <f t="shared" si="632"/>
        <v>#DIV/0!</v>
      </c>
      <c r="BK661" s="276" t="e">
        <f t="shared" si="633"/>
        <v>#DIV/0!</v>
      </c>
      <c r="BL661" s="686" t="e">
        <f t="shared" si="634"/>
        <v>#DIV/0!</v>
      </c>
      <c r="BM661" s="239"/>
      <c r="BN661" s="965" t="e">
        <f t="shared" si="635"/>
        <v>#VALUE!</v>
      </c>
      <c r="BO661" s="878" t="e">
        <f t="shared" si="636"/>
        <v>#VALUE!</v>
      </c>
      <c r="BP661" s="878" t="e">
        <f t="shared" si="637"/>
        <v>#VALUE!</v>
      </c>
      <c r="BQ661" s="878" t="e">
        <f t="shared" si="638"/>
        <v>#VALUE!</v>
      </c>
      <c r="BR661" s="878" t="e">
        <f t="shared" si="639"/>
        <v>#VALUE!</v>
      </c>
      <c r="BS661" s="966" t="e">
        <f t="shared" si="640"/>
        <v>#VALUE!</v>
      </c>
    </row>
    <row r="662" spans="1:71">
      <c r="A662" s="284">
        <f t="shared" si="641"/>
        <v>594</v>
      </c>
      <c r="B662" s="285">
        <v>0.72379559793488546</v>
      </c>
      <c r="C662" s="285">
        <v>3.0642810368746005</v>
      </c>
      <c r="D662" s="285">
        <v>1.0222310740966247</v>
      </c>
      <c r="E662" s="285">
        <v>-5.2007295090760675</v>
      </c>
      <c r="H662" s="685">
        <f t="shared" si="587"/>
        <v>-0.40943824383416938</v>
      </c>
      <c r="I662" s="276">
        <f t="shared" si="588"/>
        <v>-1.2151736893426173</v>
      </c>
      <c r="J662" s="276">
        <f t="shared" si="589"/>
        <v>0.3153301722558739</v>
      </c>
      <c r="K662" s="276">
        <f t="shared" si="590"/>
        <v>-2.3148369045573398</v>
      </c>
      <c r="L662" s="276">
        <f t="shared" si="591"/>
        <v>1.0041289251922476</v>
      </c>
      <c r="M662" s="276">
        <f t="shared" si="592"/>
        <v>-3.5681668688507573</v>
      </c>
      <c r="N662" s="685">
        <f t="shared" si="593"/>
        <v>1.8571098259027321</v>
      </c>
      <c r="O662" s="276">
        <f t="shared" si="594"/>
        <v>1.1882646975251141</v>
      </c>
      <c r="P662" s="276">
        <f t="shared" si="595"/>
        <v>0.65743628318722291</v>
      </c>
      <c r="Q662" s="276">
        <f t="shared" si="596"/>
        <v>0.7761687155934045</v>
      </c>
      <c r="R662" s="276">
        <f t="shared" si="597"/>
        <v>1.8030516672215648</v>
      </c>
      <c r="S662" s="686">
        <f t="shared" si="598"/>
        <v>0.76720627286486476</v>
      </c>
      <c r="T662" s="685">
        <f t="shared" si="599"/>
        <v>4.3005947643675508</v>
      </c>
      <c r="U662" s="276">
        <f t="shared" si="600"/>
        <v>4.3135387627259068</v>
      </c>
      <c r="V662" s="276">
        <f t="shared" si="601"/>
        <v>6.6912676626468643</v>
      </c>
      <c r="W662" s="276">
        <f t="shared" si="602"/>
        <v>4.8411401828727483</v>
      </c>
      <c r="X662" s="276">
        <f t="shared" si="603"/>
        <v>3.0121234552594176</v>
      </c>
      <c r="Y662" s="686">
        <f t="shared" si="604"/>
        <v>2.5110388151168337</v>
      </c>
      <c r="Z662" s="685" t="e">
        <f t="shared" si="605"/>
        <v>#DIV/0!</v>
      </c>
      <c r="AA662" s="276" t="e">
        <f t="shared" si="606"/>
        <v>#DIV/0!</v>
      </c>
      <c r="AB662" s="276" t="e">
        <f t="shared" si="607"/>
        <v>#DIV/0!</v>
      </c>
      <c r="AC662" s="276" t="e">
        <f t="shared" si="608"/>
        <v>#DIV/0!</v>
      </c>
      <c r="AD662" s="276" t="e">
        <f t="shared" si="609"/>
        <v>#DIV/0!</v>
      </c>
      <c r="AE662" s="686" t="e">
        <f t="shared" si="610"/>
        <v>#DIV/0!</v>
      </c>
      <c r="AF662" s="239"/>
      <c r="AG662" s="965" t="e">
        <f t="shared" si="581"/>
        <v>#VALUE!</v>
      </c>
      <c r="AH662" s="878" t="e">
        <f t="shared" si="582"/>
        <v>#VALUE!</v>
      </c>
      <c r="AI662" s="878" t="e">
        <f t="shared" si="583"/>
        <v>#VALUE!</v>
      </c>
      <c r="AJ662" s="878" t="e">
        <f t="shared" si="584"/>
        <v>#VALUE!</v>
      </c>
      <c r="AK662" s="878" t="e">
        <f t="shared" si="585"/>
        <v>#VALUE!</v>
      </c>
      <c r="AL662" s="966" t="e">
        <f t="shared" si="586"/>
        <v>#VALUE!</v>
      </c>
      <c r="AM662" s="239"/>
      <c r="AO662" s="685">
        <f t="shared" si="611"/>
        <v>-0.40943824383416938</v>
      </c>
      <c r="AP662" s="276">
        <f t="shared" si="612"/>
        <v>-1.2151736893426173</v>
      </c>
      <c r="AQ662" s="276">
        <f t="shared" si="613"/>
        <v>0.3153301722558739</v>
      </c>
      <c r="AR662" s="276">
        <f t="shared" si="614"/>
        <v>-2.3148369045573398</v>
      </c>
      <c r="AS662" s="276">
        <f t="shared" si="615"/>
        <v>1.0041289251922476</v>
      </c>
      <c r="AT662" s="276">
        <f t="shared" si="616"/>
        <v>-3.5681668688507573</v>
      </c>
      <c r="AU662" s="685">
        <f t="shared" si="617"/>
        <v>1.8571098259027321</v>
      </c>
      <c r="AV662" s="276">
        <f t="shared" si="618"/>
        <v>1.1882646975251141</v>
      </c>
      <c r="AW662" s="276">
        <f t="shared" si="619"/>
        <v>0.65743628318722291</v>
      </c>
      <c r="AX662" s="276">
        <f t="shared" si="620"/>
        <v>0.7761687155934045</v>
      </c>
      <c r="AY662" s="276">
        <f t="shared" si="621"/>
        <v>1.8030516672215648</v>
      </c>
      <c r="AZ662" s="686">
        <f t="shared" si="622"/>
        <v>0.76720627286486476</v>
      </c>
      <c r="BA662" s="685">
        <f t="shared" si="623"/>
        <v>0</v>
      </c>
      <c r="BB662" s="276">
        <f t="shared" si="624"/>
        <v>0</v>
      </c>
      <c r="BC662" s="276">
        <f t="shared" si="625"/>
        <v>0</v>
      </c>
      <c r="BD662" s="276">
        <f t="shared" si="626"/>
        <v>0</v>
      </c>
      <c r="BE662" s="276">
        <f t="shared" si="627"/>
        <v>0</v>
      </c>
      <c r="BF662" s="686">
        <f t="shared" si="628"/>
        <v>0</v>
      </c>
      <c r="BG662" s="685" t="e">
        <f t="shared" si="629"/>
        <v>#DIV/0!</v>
      </c>
      <c r="BH662" s="276" t="e">
        <f t="shared" si="630"/>
        <v>#DIV/0!</v>
      </c>
      <c r="BI662" s="276" t="e">
        <f t="shared" si="631"/>
        <v>#DIV/0!</v>
      </c>
      <c r="BJ662" s="276" t="e">
        <f t="shared" si="632"/>
        <v>#DIV/0!</v>
      </c>
      <c r="BK662" s="276" t="e">
        <f t="shared" si="633"/>
        <v>#DIV/0!</v>
      </c>
      <c r="BL662" s="686" t="e">
        <f t="shared" si="634"/>
        <v>#DIV/0!</v>
      </c>
      <c r="BM662" s="239"/>
      <c r="BN662" s="965" t="e">
        <f t="shared" si="635"/>
        <v>#VALUE!</v>
      </c>
      <c r="BO662" s="878" t="e">
        <f t="shared" si="636"/>
        <v>#VALUE!</v>
      </c>
      <c r="BP662" s="878" t="e">
        <f t="shared" si="637"/>
        <v>#VALUE!</v>
      </c>
      <c r="BQ662" s="878" t="e">
        <f t="shared" si="638"/>
        <v>#VALUE!</v>
      </c>
      <c r="BR662" s="878" t="e">
        <f t="shared" si="639"/>
        <v>#VALUE!</v>
      </c>
      <c r="BS662" s="966" t="e">
        <f t="shared" si="640"/>
        <v>#VALUE!</v>
      </c>
    </row>
    <row r="663" spans="1:71">
      <c r="A663" s="284">
        <f t="shared" si="641"/>
        <v>595</v>
      </c>
      <c r="B663" s="285">
        <v>1.6461504962725479</v>
      </c>
      <c r="C663" s="285">
        <v>2.685049613873558</v>
      </c>
      <c r="D663" s="285">
        <v>2.7049948244953743</v>
      </c>
      <c r="E663" s="285">
        <v>-0.87385227695515288</v>
      </c>
      <c r="H663" s="685">
        <f t="shared" si="587"/>
        <v>0.51291665450349311</v>
      </c>
      <c r="I663" s="276">
        <f t="shared" si="588"/>
        <v>-3.6064217342257985</v>
      </c>
      <c r="J663" s="276">
        <f t="shared" si="589"/>
        <v>0.4794400382988584</v>
      </c>
      <c r="K663" s="276">
        <f t="shared" si="590"/>
        <v>-1.1402910162274384</v>
      </c>
      <c r="L663" s="276">
        <f t="shared" si="591"/>
        <v>2.0369259814133365</v>
      </c>
      <c r="M663" s="276">
        <f t="shared" si="592"/>
        <v>-1.7356397922179698</v>
      </c>
      <c r="N663" s="685">
        <f t="shared" si="593"/>
        <v>1.4778784029016896</v>
      </c>
      <c r="O663" s="276">
        <f t="shared" si="594"/>
        <v>1.492460834964991</v>
      </c>
      <c r="P663" s="276">
        <f t="shared" si="595"/>
        <v>1.3614852396184884</v>
      </c>
      <c r="Q663" s="276">
        <f t="shared" si="596"/>
        <v>1.4332065481439222</v>
      </c>
      <c r="R663" s="276">
        <f t="shared" si="597"/>
        <v>1.0095746480155314</v>
      </c>
      <c r="S663" s="686">
        <f t="shared" si="598"/>
        <v>1.0747262562745259</v>
      </c>
      <c r="T663" s="685">
        <f t="shared" si="599"/>
        <v>5.9833585147662998</v>
      </c>
      <c r="U663" s="276">
        <f t="shared" si="600"/>
        <v>4.5080236370795133</v>
      </c>
      <c r="V663" s="276">
        <f t="shared" si="601"/>
        <v>3.8907047662813481</v>
      </c>
      <c r="W663" s="276">
        <f t="shared" si="602"/>
        <v>4.8376907362330499</v>
      </c>
      <c r="X663" s="276">
        <f t="shared" si="603"/>
        <v>5.1885363333190533</v>
      </c>
      <c r="Y663" s="686">
        <f t="shared" si="604"/>
        <v>5.9264352893594836</v>
      </c>
      <c r="Z663" s="685" t="e">
        <f t="shared" si="605"/>
        <v>#DIV/0!</v>
      </c>
      <c r="AA663" s="276" t="e">
        <f t="shared" si="606"/>
        <v>#DIV/0!</v>
      </c>
      <c r="AB663" s="276" t="e">
        <f t="shared" si="607"/>
        <v>#DIV/0!</v>
      </c>
      <c r="AC663" s="276" t="e">
        <f t="shared" si="608"/>
        <v>#DIV/0!</v>
      </c>
      <c r="AD663" s="276" t="e">
        <f t="shared" si="609"/>
        <v>#DIV/0!</v>
      </c>
      <c r="AE663" s="686" t="e">
        <f t="shared" si="610"/>
        <v>#DIV/0!</v>
      </c>
      <c r="AF663" s="239"/>
      <c r="AG663" s="965" t="e">
        <f t="shared" si="581"/>
        <v>#VALUE!</v>
      </c>
      <c r="AH663" s="878" t="e">
        <f t="shared" si="582"/>
        <v>#VALUE!</v>
      </c>
      <c r="AI663" s="878" t="e">
        <f t="shared" si="583"/>
        <v>#VALUE!</v>
      </c>
      <c r="AJ663" s="878" t="e">
        <f t="shared" si="584"/>
        <v>#VALUE!</v>
      </c>
      <c r="AK663" s="878" t="e">
        <f t="shared" si="585"/>
        <v>#VALUE!</v>
      </c>
      <c r="AL663" s="966" t="e">
        <f t="shared" si="586"/>
        <v>#VALUE!</v>
      </c>
      <c r="AM663" s="239"/>
      <c r="AO663" s="685">
        <f t="shared" si="611"/>
        <v>0.51291665450349311</v>
      </c>
      <c r="AP663" s="276">
        <f t="shared" si="612"/>
        <v>-3.6064217342257985</v>
      </c>
      <c r="AQ663" s="276">
        <f t="shared" si="613"/>
        <v>0.4794400382988584</v>
      </c>
      <c r="AR663" s="276">
        <f t="shared" si="614"/>
        <v>-1.1402910162274384</v>
      </c>
      <c r="AS663" s="276">
        <f t="shared" si="615"/>
        <v>2.0369259814133365</v>
      </c>
      <c r="AT663" s="276">
        <f t="shared" si="616"/>
        <v>-1.7356397922179698</v>
      </c>
      <c r="AU663" s="685">
        <f t="shared" si="617"/>
        <v>1.4778784029016896</v>
      </c>
      <c r="AV663" s="276">
        <f t="shared" si="618"/>
        <v>1.492460834964991</v>
      </c>
      <c r="AW663" s="276">
        <f t="shared" si="619"/>
        <v>1.3614852396184884</v>
      </c>
      <c r="AX663" s="276">
        <f t="shared" si="620"/>
        <v>1.4332065481439222</v>
      </c>
      <c r="AY663" s="276">
        <f t="shared" si="621"/>
        <v>1.0095746480155314</v>
      </c>
      <c r="AZ663" s="686">
        <f t="shared" si="622"/>
        <v>1.0747262562745259</v>
      </c>
      <c r="BA663" s="685">
        <f t="shared" si="623"/>
        <v>0</v>
      </c>
      <c r="BB663" s="276">
        <f t="shared" si="624"/>
        <v>0</v>
      </c>
      <c r="BC663" s="276">
        <f t="shared" si="625"/>
        <v>0</v>
      </c>
      <c r="BD663" s="276">
        <f t="shared" si="626"/>
        <v>0</v>
      </c>
      <c r="BE663" s="276">
        <f t="shared" si="627"/>
        <v>0</v>
      </c>
      <c r="BF663" s="686">
        <f t="shared" si="628"/>
        <v>0</v>
      </c>
      <c r="BG663" s="685" t="e">
        <f t="shared" si="629"/>
        <v>#DIV/0!</v>
      </c>
      <c r="BH663" s="276" t="e">
        <f t="shared" si="630"/>
        <v>#DIV/0!</v>
      </c>
      <c r="BI663" s="276" t="e">
        <f t="shared" si="631"/>
        <v>#DIV/0!</v>
      </c>
      <c r="BJ663" s="276" t="e">
        <f t="shared" si="632"/>
        <v>#DIV/0!</v>
      </c>
      <c r="BK663" s="276" t="e">
        <f t="shared" si="633"/>
        <v>#DIV/0!</v>
      </c>
      <c r="BL663" s="686" t="e">
        <f t="shared" si="634"/>
        <v>#DIV/0!</v>
      </c>
      <c r="BM663" s="239"/>
      <c r="BN663" s="965" t="e">
        <f t="shared" si="635"/>
        <v>#VALUE!</v>
      </c>
      <c r="BO663" s="878" t="e">
        <f t="shared" si="636"/>
        <v>#VALUE!</v>
      </c>
      <c r="BP663" s="878" t="e">
        <f t="shared" si="637"/>
        <v>#VALUE!</v>
      </c>
      <c r="BQ663" s="878" t="e">
        <f t="shared" si="638"/>
        <v>#VALUE!</v>
      </c>
      <c r="BR663" s="878" t="e">
        <f t="shared" si="639"/>
        <v>#VALUE!</v>
      </c>
      <c r="BS663" s="966" t="e">
        <f t="shared" si="640"/>
        <v>#VALUE!</v>
      </c>
    </row>
    <row r="664" spans="1:71">
      <c r="A664" s="284">
        <f t="shared" si="641"/>
        <v>596</v>
      </c>
      <c r="B664" s="285">
        <v>-1.9707703670261729</v>
      </c>
      <c r="C664" s="285">
        <v>3.8880170207094356</v>
      </c>
      <c r="D664" s="285">
        <v>-3.8565514315749283E-3</v>
      </c>
      <c r="E664" s="285">
        <v>17.300129213002073</v>
      </c>
      <c r="H664" s="685">
        <f t="shared" si="587"/>
        <v>-3.104004208795228</v>
      </c>
      <c r="I664" s="276">
        <f t="shared" si="588"/>
        <v>-0.44315986161546239</v>
      </c>
      <c r="J664" s="276">
        <f t="shared" si="589"/>
        <v>-1.6382669281422624</v>
      </c>
      <c r="K664" s="276">
        <f t="shared" si="590"/>
        <v>0.2919235708005683</v>
      </c>
      <c r="L664" s="276">
        <f t="shared" si="591"/>
        <v>-1.0022333532161012</v>
      </c>
      <c r="M664" s="276">
        <f t="shared" si="592"/>
        <v>0.79519272392804607</v>
      </c>
      <c r="N664" s="685">
        <f t="shared" si="593"/>
        <v>2.6808458097375674</v>
      </c>
      <c r="O664" s="276">
        <f t="shared" si="594"/>
        <v>1.3047699195801699</v>
      </c>
      <c r="P664" s="276">
        <f t="shared" si="595"/>
        <v>1.389439435456451</v>
      </c>
      <c r="Q664" s="276">
        <f t="shared" si="596"/>
        <v>1.8520320570821049</v>
      </c>
      <c r="R664" s="276">
        <f t="shared" si="597"/>
        <v>2.0006539283215137</v>
      </c>
      <c r="S664" s="686">
        <f t="shared" si="598"/>
        <v>1.1396226560344365</v>
      </c>
      <c r="T664" s="685">
        <f t="shared" si="599"/>
        <v>3.274507138839351</v>
      </c>
      <c r="U664" s="276">
        <f t="shared" si="600"/>
        <v>5.8783805487778258</v>
      </c>
      <c r="V664" s="276">
        <f t="shared" si="601"/>
        <v>4.756355393630372</v>
      </c>
      <c r="W664" s="276">
        <f t="shared" si="602"/>
        <v>3.4325221382123448</v>
      </c>
      <c r="X664" s="276">
        <f t="shared" si="603"/>
        <v>3.4662269383561033</v>
      </c>
      <c r="Y664" s="686">
        <f t="shared" si="604"/>
        <v>6.9973105918456664</v>
      </c>
      <c r="Z664" s="685" t="e">
        <f t="shared" si="605"/>
        <v>#DIV/0!</v>
      </c>
      <c r="AA664" s="276" t="e">
        <f t="shared" si="606"/>
        <v>#DIV/0!</v>
      </c>
      <c r="AB664" s="276" t="e">
        <f t="shared" si="607"/>
        <v>#DIV/0!</v>
      </c>
      <c r="AC664" s="276" t="e">
        <f t="shared" si="608"/>
        <v>#DIV/0!</v>
      </c>
      <c r="AD664" s="276" t="e">
        <f t="shared" si="609"/>
        <v>#DIV/0!</v>
      </c>
      <c r="AE664" s="686" t="e">
        <f t="shared" si="610"/>
        <v>#DIV/0!</v>
      </c>
      <c r="AF664" s="239"/>
      <c r="AG664" s="965" t="e">
        <f t="shared" si="581"/>
        <v>#VALUE!</v>
      </c>
      <c r="AH664" s="878" t="e">
        <f t="shared" si="582"/>
        <v>#VALUE!</v>
      </c>
      <c r="AI664" s="878" t="e">
        <f t="shared" si="583"/>
        <v>#VALUE!</v>
      </c>
      <c r="AJ664" s="878" t="e">
        <f t="shared" si="584"/>
        <v>#VALUE!</v>
      </c>
      <c r="AK664" s="878" t="e">
        <f t="shared" si="585"/>
        <v>#VALUE!</v>
      </c>
      <c r="AL664" s="966" t="e">
        <f t="shared" si="586"/>
        <v>#VALUE!</v>
      </c>
      <c r="AM664" s="239"/>
      <c r="AO664" s="685">
        <f t="shared" si="611"/>
        <v>-3.104004208795228</v>
      </c>
      <c r="AP664" s="276">
        <f t="shared" si="612"/>
        <v>-0.44315986161546239</v>
      </c>
      <c r="AQ664" s="276">
        <f t="shared" si="613"/>
        <v>-1.6382669281422624</v>
      </c>
      <c r="AR664" s="276">
        <f t="shared" si="614"/>
        <v>0.2919235708005683</v>
      </c>
      <c r="AS664" s="276">
        <f t="shared" si="615"/>
        <v>-1.0022333532161012</v>
      </c>
      <c r="AT664" s="276">
        <f t="shared" si="616"/>
        <v>0.79519272392804607</v>
      </c>
      <c r="AU664" s="685">
        <f t="shared" si="617"/>
        <v>2.6808458097375674</v>
      </c>
      <c r="AV664" s="276">
        <f t="shared" si="618"/>
        <v>1.3047699195801699</v>
      </c>
      <c r="AW664" s="276">
        <f t="shared" si="619"/>
        <v>1.389439435456451</v>
      </c>
      <c r="AX664" s="276">
        <f t="shared" si="620"/>
        <v>1.8520320570821049</v>
      </c>
      <c r="AY664" s="276">
        <f t="shared" si="621"/>
        <v>2.0006539283215137</v>
      </c>
      <c r="AZ664" s="686">
        <f t="shared" si="622"/>
        <v>1.1396226560344365</v>
      </c>
      <c r="BA664" s="685">
        <f t="shared" si="623"/>
        <v>0</v>
      </c>
      <c r="BB664" s="276">
        <f t="shared" si="624"/>
        <v>0</v>
      </c>
      <c r="BC664" s="276">
        <f t="shared" si="625"/>
        <v>0</v>
      </c>
      <c r="BD664" s="276">
        <f t="shared" si="626"/>
        <v>0</v>
      </c>
      <c r="BE664" s="276">
        <f t="shared" si="627"/>
        <v>0</v>
      </c>
      <c r="BF664" s="686">
        <f t="shared" si="628"/>
        <v>0</v>
      </c>
      <c r="BG664" s="685" t="e">
        <f t="shared" si="629"/>
        <v>#DIV/0!</v>
      </c>
      <c r="BH664" s="276" t="e">
        <f t="shared" si="630"/>
        <v>#DIV/0!</v>
      </c>
      <c r="BI664" s="276" t="e">
        <f t="shared" si="631"/>
        <v>#DIV/0!</v>
      </c>
      <c r="BJ664" s="276" t="e">
        <f t="shared" si="632"/>
        <v>#DIV/0!</v>
      </c>
      <c r="BK664" s="276" t="e">
        <f t="shared" si="633"/>
        <v>#DIV/0!</v>
      </c>
      <c r="BL664" s="686" t="e">
        <f t="shared" si="634"/>
        <v>#DIV/0!</v>
      </c>
      <c r="BM664" s="239"/>
      <c r="BN664" s="965" t="e">
        <f t="shared" si="635"/>
        <v>#VALUE!</v>
      </c>
      <c r="BO664" s="878" t="e">
        <f t="shared" si="636"/>
        <v>#VALUE!</v>
      </c>
      <c r="BP664" s="878" t="e">
        <f t="shared" si="637"/>
        <v>#VALUE!</v>
      </c>
      <c r="BQ664" s="878" t="e">
        <f t="shared" si="638"/>
        <v>#VALUE!</v>
      </c>
      <c r="BR664" s="878" t="e">
        <f t="shared" si="639"/>
        <v>#VALUE!</v>
      </c>
      <c r="BS664" s="966" t="e">
        <f t="shared" si="640"/>
        <v>#VALUE!</v>
      </c>
    </row>
    <row r="665" spans="1:71">
      <c r="A665" s="284">
        <f t="shared" si="641"/>
        <v>597</v>
      </c>
      <c r="B665" s="285">
        <v>0.910719704441736</v>
      </c>
      <c r="C665" s="285">
        <v>2.7258377730600496</v>
      </c>
      <c r="D665" s="285">
        <v>1.9270486024650997</v>
      </c>
      <c r="E665" s="285">
        <v>-15.131122859875136</v>
      </c>
      <c r="H665" s="685">
        <f t="shared" si="587"/>
        <v>-0.22251413732731884</v>
      </c>
      <c r="I665" s="276">
        <f t="shared" si="588"/>
        <v>-3.4233260864329411</v>
      </c>
      <c r="J665" s="276">
        <f t="shared" si="589"/>
        <v>-0.53673116055753789</v>
      </c>
      <c r="K665" s="276">
        <f t="shared" si="590"/>
        <v>-3.4747161181592956</v>
      </c>
      <c r="L665" s="276">
        <f t="shared" si="591"/>
        <v>0.77718145141604489</v>
      </c>
      <c r="M665" s="276">
        <f t="shared" si="592"/>
        <v>2.0131129690296765</v>
      </c>
      <c r="N665" s="685">
        <f t="shared" si="593"/>
        <v>1.5186665620881812</v>
      </c>
      <c r="O665" s="276">
        <f t="shared" si="594"/>
        <v>1.306414255458096</v>
      </c>
      <c r="P665" s="276">
        <f t="shared" si="595"/>
        <v>1.6755066695034022</v>
      </c>
      <c r="Q665" s="276">
        <f t="shared" si="596"/>
        <v>0.82546704400093884</v>
      </c>
      <c r="R665" s="276">
        <f t="shared" si="597"/>
        <v>1.4940637699303514</v>
      </c>
      <c r="S665" s="686">
        <f t="shared" si="598"/>
        <v>1.8742213478151502</v>
      </c>
      <c r="T665" s="685">
        <f t="shared" si="599"/>
        <v>5.2054122927360256</v>
      </c>
      <c r="U665" s="276">
        <f t="shared" si="600"/>
        <v>3.611075582461055</v>
      </c>
      <c r="V665" s="276">
        <f t="shared" si="601"/>
        <v>4.0546014673967017</v>
      </c>
      <c r="W665" s="276">
        <f t="shared" si="602"/>
        <v>3.3805106096205484</v>
      </c>
      <c r="X665" s="276">
        <f t="shared" si="603"/>
        <v>4.6513709158956118</v>
      </c>
      <c r="Y665" s="686">
        <f t="shared" si="604"/>
        <v>4.025796096686463</v>
      </c>
      <c r="Z665" s="685" t="e">
        <f t="shared" si="605"/>
        <v>#DIV/0!</v>
      </c>
      <c r="AA665" s="276" t="e">
        <f t="shared" si="606"/>
        <v>#DIV/0!</v>
      </c>
      <c r="AB665" s="276" t="e">
        <f t="shared" si="607"/>
        <v>#DIV/0!</v>
      </c>
      <c r="AC665" s="276" t="e">
        <f t="shared" si="608"/>
        <v>#DIV/0!</v>
      </c>
      <c r="AD665" s="276" t="e">
        <f t="shared" si="609"/>
        <v>#DIV/0!</v>
      </c>
      <c r="AE665" s="686" t="e">
        <f t="shared" si="610"/>
        <v>#DIV/0!</v>
      </c>
      <c r="AF665" s="239"/>
      <c r="AG665" s="965" t="e">
        <f t="shared" si="581"/>
        <v>#VALUE!</v>
      </c>
      <c r="AH665" s="878" t="e">
        <f t="shared" si="582"/>
        <v>#VALUE!</v>
      </c>
      <c r="AI665" s="878" t="e">
        <f t="shared" si="583"/>
        <v>#VALUE!</v>
      </c>
      <c r="AJ665" s="878" t="e">
        <f t="shared" si="584"/>
        <v>#VALUE!</v>
      </c>
      <c r="AK665" s="878" t="e">
        <f t="shared" si="585"/>
        <v>#VALUE!</v>
      </c>
      <c r="AL665" s="966" t="e">
        <f t="shared" si="586"/>
        <v>#VALUE!</v>
      </c>
      <c r="AM665" s="239"/>
      <c r="AO665" s="685">
        <f t="shared" si="611"/>
        <v>-0.22251413732731884</v>
      </c>
      <c r="AP665" s="276">
        <f t="shared" si="612"/>
        <v>-3.4233260864329411</v>
      </c>
      <c r="AQ665" s="276">
        <f t="shared" si="613"/>
        <v>-0.53673116055753789</v>
      </c>
      <c r="AR665" s="276">
        <f t="shared" si="614"/>
        <v>-3.4747161181592956</v>
      </c>
      <c r="AS665" s="276">
        <f t="shared" si="615"/>
        <v>0.77718145141604489</v>
      </c>
      <c r="AT665" s="276">
        <f t="shared" si="616"/>
        <v>2.0131129690296765</v>
      </c>
      <c r="AU665" s="685">
        <f t="shared" si="617"/>
        <v>1.5186665620881812</v>
      </c>
      <c r="AV665" s="276">
        <f t="shared" si="618"/>
        <v>1.306414255458096</v>
      </c>
      <c r="AW665" s="276">
        <f t="shared" si="619"/>
        <v>1.6755066695034022</v>
      </c>
      <c r="AX665" s="276">
        <f t="shared" si="620"/>
        <v>0.82546704400093884</v>
      </c>
      <c r="AY665" s="276">
        <f t="shared" si="621"/>
        <v>1.4940637699303514</v>
      </c>
      <c r="AZ665" s="686">
        <f t="shared" si="622"/>
        <v>1.8742213478151502</v>
      </c>
      <c r="BA665" s="685">
        <f t="shared" si="623"/>
        <v>0</v>
      </c>
      <c r="BB665" s="276">
        <f t="shared" si="624"/>
        <v>0</v>
      </c>
      <c r="BC665" s="276">
        <f t="shared" si="625"/>
        <v>0</v>
      </c>
      <c r="BD665" s="276">
        <f t="shared" si="626"/>
        <v>0</v>
      </c>
      <c r="BE665" s="276">
        <f t="shared" si="627"/>
        <v>0</v>
      </c>
      <c r="BF665" s="686">
        <f t="shared" si="628"/>
        <v>0</v>
      </c>
      <c r="BG665" s="685" t="e">
        <f t="shared" si="629"/>
        <v>#DIV/0!</v>
      </c>
      <c r="BH665" s="276" t="e">
        <f t="shared" si="630"/>
        <v>#DIV/0!</v>
      </c>
      <c r="BI665" s="276" t="e">
        <f t="shared" si="631"/>
        <v>#DIV/0!</v>
      </c>
      <c r="BJ665" s="276" t="e">
        <f t="shared" si="632"/>
        <v>#DIV/0!</v>
      </c>
      <c r="BK665" s="276" t="e">
        <f t="shared" si="633"/>
        <v>#DIV/0!</v>
      </c>
      <c r="BL665" s="686" t="e">
        <f t="shared" si="634"/>
        <v>#DIV/0!</v>
      </c>
      <c r="BM665" s="239"/>
      <c r="BN665" s="965" t="e">
        <f t="shared" si="635"/>
        <v>#VALUE!</v>
      </c>
      <c r="BO665" s="878" t="e">
        <f t="shared" si="636"/>
        <v>#VALUE!</v>
      </c>
      <c r="BP665" s="878" t="e">
        <f t="shared" si="637"/>
        <v>#VALUE!</v>
      </c>
      <c r="BQ665" s="878" t="e">
        <f t="shared" si="638"/>
        <v>#VALUE!</v>
      </c>
      <c r="BR665" s="878" t="e">
        <f t="shared" si="639"/>
        <v>#VALUE!</v>
      </c>
      <c r="BS665" s="966" t="e">
        <f t="shared" si="640"/>
        <v>#VALUE!</v>
      </c>
    </row>
    <row r="666" spans="1:71">
      <c r="A666" s="284">
        <f t="shared" si="641"/>
        <v>598</v>
      </c>
      <c r="B666" s="285">
        <v>-3.4514895067355171</v>
      </c>
      <c r="C666" s="285">
        <v>2.4226602537439317</v>
      </c>
      <c r="D666" s="285">
        <v>3.4538674510963303</v>
      </c>
      <c r="E666" s="285">
        <v>-5.1303629541872855</v>
      </c>
      <c r="H666" s="685">
        <f t="shared" si="587"/>
        <v>-4.5847233485045722</v>
      </c>
      <c r="I666" s="276">
        <f t="shared" si="588"/>
        <v>-2.8198510010009343</v>
      </c>
      <c r="J666" s="276">
        <f t="shared" si="589"/>
        <v>-3.4175807038432726</v>
      </c>
      <c r="K666" s="276">
        <f t="shared" si="590"/>
        <v>-2.6186948060150756</v>
      </c>
      <c r="L666" s="276">
        <f t="shared" si="591"/>
        <v>3.0967567641843319</v>
      </c>
      <c r="M666" s="276">
        <f t="shared" si="592"/>
        <v>4.1831364883108124E-2</v>
      </c>
      <c r="N666" s="685">
        <f t="shared" si="593"/>
        <v>1.2154890427720633</v>
      </c>
      <c r="O666" s="276">
        <f t="shared" si="594"/>
        <v>1.0691429468459475</v>
      </c>
      <c r="P666" s="276">
        <f t="shared" si="595"/>
        <v>0.75240117233709203</v>
      </c>
      <c r="Q666" s="276">
        <f t="shared" si="596"/>
        <v>0.48766707994228753</v>
      </c>
      <c r="R666" s="276">
        <f t="shared" si="597"/>
        <v>1.9621480425886333</v>
      </c>
      <c r="S666" s="686">
        <f t="shared" si="598"/>
        <v>1.5847448630404559</v>
      </c>
      <c r="T666" s="685">
        <f t="shared" si="599"/>
        <v>6.7322311413672562</v>
      </c>
      <c r="U666" s="276">
        <f t="shared" si="600"/>
        <v>5.5699950852472426</v>
      </c>
      <c r="V666" s="276">
        <f t="shared" si="601"/>
        <v>4.0915230451121554</v>
      </c>
      <c r="W666" s="276">
        <f t="shared" si="602"/>
        <v>5.9161190726946487</v>
      </c>
      <c r="X666" s="276">
        <f t="shared" si="603"/>
        <v>5.6565575354459678</v>
      </c>
      <c r="Y666" s="686">
        <f t="shared" si="604"/>
        <v>3.0645861441768241</v>
      </c>
      <c r="Z666" s="685" t="e">
        <f t="shared" si="605"/>
        <v>#DIV/0!</v>
      </c>
      <c r="AA666" s="276" t="e">
        <f t="shared" si="606"/>
        <v>#DIV/0!</v>
      </c>
      <c r="AB666" s="276" t="e">
        <f t="shared" si="607"/>
        <v>#DIV/0!</v>
      </c>
      <c r="AC666" s="276" t="e">
        <f t="shared" si="608"/>
        <v>#DIV/0!</v>
      </c>
      <c r="AD666" s="276" t="e">
        <f t="shared" si="609"/>
        <v>#DIV/0!</v>
      </c>
      <c r="AE666" s="686" t="e">
        <f t="shared" si="610"/>
        <v>#DIV/0!</v>
      </c>
      <c r="AF666" s="239"/>
      <c r="AG666" s="965" t="e">
        <f t="shared" si="581"/>
        <v>#VALUE!</v>
      </c>
      <c r="AH666" s="878" t="e">
        <f t="shared" si="582"/>
        <v>#VALUE!</v>
      </c>
      <c r="AI666" s="878" t="e">
        <f t="shared" si="583"/>
        <v>#VALUE!</v>
      </c>
      <c r="AJ666" s="878" t="e">
        <f t="shared" si="584"/>
        <v>#VALUE!</v>
      </c>
      <c r="AK666" s="878" t="e">
        <f t="shared" si="585"/>
        <v>#VALUE!</v>
      </c>
      <c r="AL666" s="966" t="e">
        <f t="shared" si="586"/>
        <v>#VALUE!</v>
      </c>
      <c r="AM666" s="239"/>
      <c r="AO666" s="685">
        <f t="shared" si="611"/>
        <v>-4.5847233485045722</v>
      </c>
      <c r="AP666" s="276">
        <f t="shared" si="612"/>
        <v>-2.8198510010009343</v>
      </c>
      <c r="AQ666" s="276">
        <f t="shared" si="613"/>
        <v>-3.4175807038432726</v>
      </c>
      <c r="AR666" s="276">
        <f t="shared" si="614"/>
        <v>-2.6186948060150756</v>
      </c>
      <c r="AS666" s="276">
        <f t="shared" si="615"/>
        <v>3.0967567641843319</v>
      </c>
      <c r="AT666" s="276">
        <f t="shared" si="616"/>
        <v>4.1831364883108124E-2</v>
      </c>
      <c r="AU666" s="685">
        <f t="shared" si="617"/>
        <v>1.2154890427720633</v>
      </c>
      <c r="AV666" s="276">
        <f t="shared" si="618"/>
        <v>1.0691429468459475</v>
      </c>
      <c r="AW666" s="276">
        <f t="shared" si="619"/>
        <v>0.75240117233709203</v>
      </c>
      <c r="AX666" s="276">
        <f t="shared" si="620"/>
        <v>0.48766707994228753</v>
      </c>
      <c r="AY666" s="276">
        <f t="shared" si="621"/>
        <v>1.9621480425886333</v>
      </c>
      <c r="AZ666" s="686">
        <f t="shared" si="622"/>
        <v>1.5847448630404559</v>
      </c>
      <c r="BA666" s="685">
        <f t="shared" si="623"/>
        <v>0</v>
      </c>
      <c r="BB666" s="276">
        <f t="shared" si="624"/>
        <v>0</v>
      </c>
      <c r="BC666" s="276">
        <f t="shared" si="625"/>
        <v>0</v>
      </c>
      <c r="BD666" s="276">
        <f t="shared" si="626"/>
        <v>0</v>
      </c>
      <c r="BE666" s="276">
        <f t="shared" si="627"/>
        <v>0</v>
      </c>
      <c r="BF666" s="686">
        <f t="shared" si="628"/>
        <v>0</v>
      </c>
      <c r="BG666" s="685" t="e">
        <f t="shared" si="629"/>
        <v>#DIV/0!</v>
      </c>
      <c r="BH666" s="276" t="e">
        <f t="shared" si="630"/>
        <v>#DIV/0!</v>
      </c>
      <c r="BI666" s="276" t="e">
        <f t="shared" si="631"/>
        <v>#DIV/0!</v>
      </c>
      <c r="BJ666" s="276" t="e">
        <f t="shared" si="632"/>
        <v>#DIV/0!</v>
      </c>
      <c r="BK666" s="276" t="e">
        <f t="shared" si="633"/>
        <v>#DIV/0!</v>
      </c>
      <c r="BL666" s="686" t="e">
        <f t="shared" si="634"/>
        <v>#DIV/0!</v>
      </c>
      <c r="BM666" s="239"/>
      <c r="BN666" s="965" t="e">
        <f t="shared" si="635"/>
        <v>#VALUE!</v>
      </c>
      <c r="BO666" s="878" t="e">
        <f t="shared" si="636"/>
        <v>#VALUE!</v>
      </c>
      <c r="BP666" s="878" t="e">
        <f t="shared" si="637"/>
        <v>#VALUE!</v>
      </c>
      <c r="BQ666" s="878" t="e">
        <f t="shared" si="638"/>
        <v>#VALUE!</v>
      </c>
      <c r="BR666" s="878" t="e">
        <f t="shared" si="639"/>
        <v>#VALUE!</v>
      </c>
      <c r="BS666" s="966" t="e">
        <f t="shared" si="640"/>
        <v>#VALUE!</v>
      </c>
    </row>
    <row r="667" spans="1:71">
      <c r="A667" s="284">
        <f t="shared" si="641"/>
        <v>599</v>
      </c>
      <c r="B667" s="285">
        <v>-4.9454697787087154</v>
      </c>
      <c r="C667" s="285">
        <v>2.363460773841298</v>
      </c>
      <c r="D667" s="285">
        <v>-1.0827872012737068</v>
      </c>
      <c r="E667" s="285">
        <v>11.023046353009367</v>
      </c>
      <c r="H667" s="685">
        <f t="shared" si="587"/>
        <v>-6.0787036204777705</v>
      </c>
      <c r="I667" s="276">
        <f t="shared" si="588"/>
        <v>-3.9655642641552573</v>
      </c>
      <c r="J667" s="276">
        <f t="shared" si="589"/>
        <v>-5.3036165119324599</v>
      </c>
      <c r="K667" s="276">
        <f t="shared" si="590"/>
        <v>5.4553845843984421</v>
      </c>
      <c r="L667" s="276">
        <f t="shared" si="591"/>
        <v>3.1398460101466359</v>
      </c>
      <c r="M667" s="276">
        <f t="shared" si="592"/>
        <v>-2.3551749467305862</v>
      </c>
      <c r="N667" s="685">
        <f t="shared" si="593"/>
        <v>1.1562895628694296</v>
      </c>
      <c r="O667" s="276">
        <f t="shared" si="594"/>
        <v>1.6832005129469161</v>
      </c>
      <c r="P667" s="276">
        <f t="shared" si="595"/>
        <v>0.85982605593803085</v>
      </c>
      <c r="Q667" s="276">
        <f t="shared" si="596"/>
        <v>1.9327263684969098</v>
      </c>
      <c r="R667" s="276">
        <f t="shared" si="597"/>
        <v>1.5151500532068656</v>
      </c>
      <c r="S667" s="686">
        <f t="shared" si="598"/>
        <v>1.0802351210240471</v>
      </c>
      <c r="T667" s="685">
        <f t="shared" si="599"/>
        <v>2.1955764889972191</v>
      </c>
      <c r="U667" s="276">
        <f t="shared" si="600"/>
        <v>3.381502065730146</v>
      </c>
      <c r="V667" s="276">
        <f t="shared" si="601"/>
        <v>3.537772485898298</v>
      </c>
      <c r="W667" s="276">
        <f t="shared" si="602"/>
        <v>4.3802236166027928</v>
      </c>
      <c r="X667" s="276">
        <f t="shared" si="603"/>
        <v>5.1458995652120656</v>
      </c>
      <c r="Y667" s="686">
        <f t="shared" si="604"/>
        <v>1.864537486127769</v>
      </c>
      <c r="Z667" s="685" t="e">
        <f t="shared" si="605"/>
        <v>#DIV/0!</v>
      </c>
      <c r="AA667" s="276" t="e">
        <f t="shared" si="606"/>
        <v>#DIV/0!</v>
      </c>
      <c r="AB667" s="276" t="e">
        <f t="shared" si="607"/>
        <v>#DIV/0!</v>
      </c>
      <c r="AC667" s="276" t="e">
        <f t="shared" si="608"/>
        <v>#DIV/0!</v>
      </c>
      <c r="AD667" s="276" t="e">
        <f t="shared" si="609"/>
        <v>#DIV/0!</v>
      </c>
      <c r="AE667" s="686" t="e">
        <f t="shared" si="610"/>
        <v>#DIV/0!</v>
      </c>
      <c r="AF667" s="239"/>
      <c r="AG667" s="965" t="e">
        <f t="shared" si="581"/>
        <v>#VALUE!</v>
      </c>
      <c r="AH667" s="878" t="e">
        <f t="shared" si="582"/>
        <v>#VALUE!</v>
      </c>
      <c r="AI667" s="878" t="e">
        <f t="shared" si="583"/>
        <v>#VALUE!</v>
      </c>
      <c r="AJ667" s="878" t="e">
        <f t="shared" si="584"/>
        <v>#VALUE!</v>
      </c>
      <c r="AK667" s="878" t="e">
        <f t="shared" si="585"/>
        <v>#VALUE!</v>
      </c>
      <c r="AL667" s="966" t="e">
        <f t="shared" si="586"/>
        <v>#VALUE!</v>
      </c>
      <c r="AM667" s="239"/>
      <c r="AO667" s="685">
        <f t="shared" si="611"/>
        <v>-6.0787036204777705</v>
      </c>
      <c r="AP667" s="276">
        <f t="shared" si="612"/>
        <v>-3.9655642641552573</v>
      </c>
      <c r="AQ667" s="276">
        <f t="shared" si="613"/>
        <v>-5.3036165119324599</v>
      </c>
      <c r="AR667" s="276">
        <f t="shared" si="614"/>
        <v>5.4553845843984421</v>
      </c>
      <c r="AS667" s="276">
        <f t="shared" si="615"/>
        <v>3.1398460101466359</v>
      </c>
      <c r="AT667" s="276">
        <f t="shared" si="616"/>
        <v>-2.3551749467305862</v>
      </c>
      <c r="AU667" s="685">
        <f t="shared" si="617"/>
        <v>1.1562895628694296</v>
      </c>
      <c r="AV667" s="276">
        <f t="shared" si="618"/>
        <v>1.6832005129469161</v>
      </c>
      <c r="AW667" s="276">
        <f t="shared" si="619"/>
        <v>0.85982605593803085</v>
      </c>
      <c r="AX667" s="276">
        <f t="shared" si="620"/>
        <v>1.9327263684969098</v>
      </c>
      <c r="AY667" s="276">
        <f t="shared" si="621"/>
        <v>1.5151500532068656</v>
      </c>
      <c r="AZ667" s="686">
        <f t="shared" si="622"/>
        <v>1.0802351210240471</v>
      </c>
      <c r="BA667" s="685">
        <f t="shared" si="623"/>
        <v>0</v>
      </c>
      <c r="BB667" s="276">
        <f t="shared" si="624"/>
        <v>0</v>
      </c>
      <c r="BC667" s="276">
        <f t="shared" si="625"/>
        <v>0</v>
      </c>
      <c r="BD667" s="276">
        <f t="shared" si="626"/>
        <v>0</v>
      </c>
      <c r="BE667" s="276">
        <f t="shared" si="627"/>
        <v>0</v>
      </c>
      <c r="BF667" s="686">
        <f t="shared" si="628"/>
        <v>0</v>
      </c>
      <c r="BG667" s="685" t="e">
        <f t="shared" si="629"/>
        <v>#DIV/0!</v>
      </c>
      <c r="BH667" s="276" t="e">
        <f t="shared" si="630"/>
        <v>#DIV/0!</v>
      </c>
      <c r="BI667" s="276" t="e">
        <f t="shared" si="631"/>
        <v>#DIV/0!</v>
      </c>
      <c r="BJ667" s="276" t="e">
        <f t="shared" si="632"/>
        <v>#DIV/0!</v>
      </c>
      <c r="BK667" s="276" t="e">
        <f t="shared" si="633"/>
        <v>#DIV/0!</v>
      </c>
      <c r="BL667" s="686" t="e">
        <f t="shared" si="634"/>
        <v>#DIV/0!</v>
      </c>
      <c r="BM667" s="239"/>
      <c r="BN667" s="965" t="e">
        <f t="shared" si="635"/>
        <v>#VALUE!</v>
      </c>
      <c r="BO667" s="878" t="e">
        <f t="shared" si="636"/>
        <v>#VALUE!</v>
      </c>
      <c r="BP667" s="878" t="e">
        <f t="shared" si="637"/>
        <v>#VALUE!</v>
      </c>
      <c r="BQ667" s="878" t="e">
        <f t="shared" si="638"/>
        <v>#VALUE!</v>
      </c>
      <c r="BR667" s="878" t="e">
        <f t="shared" si="639"/>
        <v>#VALUE!</v>
      </c>
      <c r="BS667" s="966" t="e">
        <f t="shared" si="640"/>
        <v>#VALUE!</v>
      </c>
    </row>
    <row r="668" spans="1:71">
      <c r="A668" s="284">
        <f t="shared" si="641"/>
        <v>600</v>
      </c>
      <c r="B668" s="285">
        <v>0.36521612415442412</v>
      </c>
      <c r="C668" s="285">
        <v>2.1250764960098851</v>
      </c>
      <c r="D668" s="285">
        <v>3.8939403479142376E-2</v>
      </c>
      <c r="E668" s="285">
        <v>-13.486266789199075</v>
      </c>
      <c r="H668" s="685">
        <f t="shared" si="587"/>
        <v>-0.76801771761463078</v>
      </c>
      <c r="I668" s="276">
        <f t="shared" si="588"/>
        <v>-0.47333900134213813</v>
      </c>
      <c r="J668" s="276">
        <f t="shared" si="589"/>
        <v>-0.87198550587093338</v>
      </c>
      <c r="K668" s="276">
        <f t="shared" si="590"/>
        <v>2.4658661978079666</v>
      </c>
      <c r="L668" s="276">
        <f t="shared" si="591"/>
        <v>-2.0243687457351438</v>
      </c>
      <c r="M668" s="276">
        <f t="shared" si="592"/>
        <v>-0.28826817911956815</v>
      </c>
      <c r="N668" s="685">
        <f t="shared" si="593"/>
        <v>0.91790528503801672</v>
      </c>
      <c r="O668" s="276">
        <f t="shared" si="594"/>
        <v>1.0886850551937484</v>
      </c>
      <c r="P668" s="276">
        <f t="shared" si="595"/>
        <v>1.1578483593989171</v>
      </c>
      <c r="Q668" s="276">
        <f t="shared" si="596"/>
        <v>1.4486953637041442</v>
      </c>
      <c r="R668" s="276">
        <f t="shared" si="597"/>
        <v>1.8590776868031667</v>
      </c>
      <c r="S668" s="686">
        <f t="shared" si="598"/>
        <v>1.4620829771526818</v>
      </c>
      <c r="T668" s="685">
        <f t="shared" si="599"/>
        <v>3.317303093750068</v>
      </c>
      <c r="U668" s="276">
        <f t="shared" si="600"/>
        <v>6.1583652878949682</v>
      </c>
      <c r="V668" s="276">
        <f t="shared" si="601"/>
        <v>2.9488301865515365</v>
      </c>
      <c r="W668" s="276">
        <f t="shared" si="602"/>
        <v>4.9159972205236544</v>
      </c>
      <c r="X668" s="276">
        <f t="shared" si="603"/>
        <v>3.9471119475365617</v>
      </c>
      <c r="Y668" s="686">
        <f t="shared" si="604"/>
        <v>4.8709544537580438</v>
      </c>
      <c r="Z668" s="685" t="e">
        <f t="shared" si="605"/>
        <v>#DIV/0!</v>
      </c>
      <c r="AA668" s="276" t="e">
        <f t="shared" si="606"/>
        <v>#DIV/0!</v>
      </c>
      <c r="AB668" s="276" t="e">
        <f t="shared" si="607"/>
        <v>#DIV/0!</v>
      </c>
      <c r="AC668" s="276" t="e">
        <f t="shared" si="608"/>
        <v>#DIV/0!</v>
      </c>
      <c r="AD668" s="276" t="e">
        <f t="shared" si="609"/>
        <v>#DIV/0!</v>
      </c>
      <c r="AE668" s="686" t="e">
        <f t="shared" si="610"/>
        <v>#DIV/0!</v>
      </c>
      <c r="AF668" s="239"/>
      <c r="AG668" s="965" t="e">
        <f t="shared" si="581"/>
        <v>#VALUE!</v>
      </c>
      <c r="AH668" s="878" t="e">
        <f t="shared" si="582"/>
        <v>#VALUE!</v>
      </c>
      <c r="AI668" s="878" t="e">
        <f t="shared" si="583"/>
        <v>#VALUE!</v>
      </c>
      <c r="AJ668" s="878" t="e">
        <f t="shared" si="584"/>
        <v>#VALUE!</v>
      </c>
      <c r="AK668" s="878" t="e">
        <f t="shared" si="585"/>
        <v>#VALUE!</v>
      </c>
      <c r="AL668" s="966" t="e">
        <f t="shared" si="586"/>
        <v>#VALUE!</v>
      </c>
      <c r="AM668" s="239"/>
      <c r="AO668" s="685">
        <f t="shared" si="611"/>
        <v>-0.76801771761463078</v>
      </c>
      <c r="AP668" s="276">
        <f t="shared" si="612"/>
        <v>-0.47333900134213813</v>
      </c>
      <c r="AQ668" s="276">
        <f t="shared" si="613"/>
        <v>-0.87198550587093338</v>
      </c>
      <c r="AR668" s="276">
        <f t="shared" si="614"/>
        <v>2.4658661978079666</v>
      </c>
      <c r="AS668" s="276">
        <f t="shared" si="615"/>
        <v>-2.0243687457351438</v>
      </c>
      <c r="AT668" s="276">
        <f t="shared" si="616"/>
        <v>-0.28826817911956815</v>
      </c>
      <c r="AU668" s="685">
        <f t="shared" si="617"/>
        <v>0.91790528503801672</v>
      </c>
      <c r="AV668" s="276">
        <f t="shared" si="618"/>
        <v>1.0886850551937484</v>
      </c>
      <c r="AW668" s="276">
        <f t="shared" si="619"/>
        <v>1.1578483593989171</v>
      </c>
      <c r="AX668" s="276">
        <f t="shared" si="620"/>
        <v>1.4486953637041442</v>
      </c>
      <c r="AY668" s="276">
        <f t="shared" si="621"/>
        <v>1.8590776868031667</v>
      </c>
      <c r="AZ668" s="686">
        <f t="shared" si="622"/>
        <v>1.4620829771526818</v>
      </c>
      <c r="BA668" s="685">
        <f t="shared" si="623"/>
        <v>0</v>
      </c>
      <c r="BB668" s="276">
        <f t="shared" si="624"/>
        <v>0</v>
      </c>
      <c r="BC668" s="276">
        <f t="shared" si="625"/>
        <v>0</v>
      </c>
      <c r="BD668" s="276">
        <f t="shared" si="626"/>
        <v>0</v>
      </c>
      <c r="BE668" s="276">
        <f t="shared" si="627"/>
        <v>0</v>
      </c>
      <c r="BF668" s="686">
        <f t="shared" si="628"/>
        <v>0</v>
      </c>
      <c r="BG668" s="685" t="e">
        <f t="shared" si="629"/>
        <v>#DIV/0!</v>
      </c>
      <c r="BH668" s="276" t="e">
        <f t="shared" si="630"/>
        <v>#DIV/0!</v>
      </c>
      <c r="BI668" s="276" t="e">
        <f t="shared" si="631"/>
        <v>#DIV/0!</v>
      </c>
      <c r="BJ668" s="276" t="e">
        <f t="shared" si="632"/>
        <v>#DIV/0!</v>
      </c>
      <c r="BK668" s="276" t="e">
        <f t="shared" si="633"/>
        <v>#DIV/0!</v>
      </c>
      <c r="BL668" s="686" t="e">
        <f t="shared" si="634"/>
        <v>#DIV/0!</v>
      </c>
      <c r="BM668" s="239"/>
      <c r="BN668" s="965" t="e">
        <f t="shared" si="635"/>
        <v>#VALUE!</v>
      </c>
      <c r="BO668" s="878" t="e">
        <f t="shared" si="636"/>
        <v>#VALUE!</v>
      </c>
      <c r="BP668" s="878" t="e">
        <f t="shared" si="637"/>
        <v>#VALUE!</v>
      </c>
      <c r="BQ668" s="878" t="e">
        <f t="shared" si="638"/>
        <v>#VALUE!</v>
      </c>
      <c r="BR668" s="878" t="e">
        <f t="shared" si="639"/>
        <v>#VALUE!</v>
      </c>
      <c r="BS668" s="966" t="e">
        <f t="shared" si="640"/>
        <v>#VALUE!</v>
      </c>
    </row>
    <row r="669" spans="1:71">
      <c r="A669" s="284">
        <f t="shared" si="641"/>
        <v>601</v>
      </c>
      <c r="B669" s="285">
        <v>5.0358049206879354</v>
      </c>
      <c r="C669" s="285">
        <v>3.3595166394460891</v>
      </c>
      <c r="D669" s="285">
        <v>1.7020925025097378</v>
      </c>
      <c r="E669" s="285">
        <v>9.4048151355909013</v>
      </c>
      <c r="H669" s="685">
        <f t="shared" si="587"/>
        <v>3.9025710789188803</v>
      </c>
      <c r="I669" s="276">
        <f t="shared" si="588"/>
        <v>0.87211250619859304</v>
      </c>
      <c r="J669" s="276">
        <f t="shared" si="589"/>
        <v>-4.4214636316270086</v>
      </c>
      <c r="K669" s="276">
        <f t="shared" si="590"/>
        <v>-2.0404759020454128</v>
      </c>
      <c r="L669" s="276">
        <f t="shared" si="591"/>
        <v>1.6990420880748187</v>
      </c>
      <c r="M669" s="276">
        <f t="shared" si="592"/>
        <v>-0.10547576833572614</v>
      </c>
      <c r="N669" s="685">
        <f t="shared" si="593"/>
        <v>2.1523454284742209</v>
      </c>
      <c r="O669" s="276">
        <f t="shared" si="594"/>
        <v>1.9517218881786322</v>
      </c>
      <c r="P669" s="276">
        <f t="shared" si="595"/>
        <v>0.95189837073052952</v>
      </c>
      <c r="Q669" s="276">
        <f t="shared" si="596"/>
        <v>1.2501073378694583</v>
      </c>
      <c r="R669" s="276">
        <f t="shared" si="597"/>
        <v>1.6329305661327316</v>
      </c>
      <c r="S669" s="686">
        <f t="shared" si="598"/>
        <v>1.6659521729491493</v>
      </c>
      <c r="T669" s="685">
        <f t="shared" si="599"/>
        <v>4.9804561927806636</v>
      </c>
      <c r="U669" s="276">
        <f t="shared" si="600"/>
        <v>3.3885502752741634</v>
      </c>
      <c r="V669" s="276">
        <f t="shared" si="601"/>
        <v>4.9280781952919348</v>
      </c>
      <c r="W669" s="276">
        <f t="shared" si="602"/>
        <v>5.2176054868748274</v>
      </c>
      <c r="X669" s="276">
        <f t="shared" si="603"/>
        <v>3.9208869055574094</v>
      </c>
      <c r="Y669" s="686">
        <f t="shared" si="604"/>
        <v>5.1024494566010992</v>
      </c>
      <c r="Z669" s="685" t="e">
        <f t="shared" si="605"/>
        <v>#DIV/0!</v>
      </c>
      <c r="AA669" s="276" t="e">
        <f t="shared" si="606"/>
        <v>#DIV/0!</v>
      </c>
      <c r="AB669" s="276" t="e">
        <f t="shared" si="607"/>
        <v>#DIV/0!</v>
      </c>
      <c r="AC669" s="276" t="e">
        <f t="shared" si="608"/>
        <v>#DIV/0!</v>
      </c>
      <c r="AD669" s="276" t="e">
        <f t="shared" si="609"/>
        <v>#DIV/0!</v>
      </c>
      <c r="AE669" s="686" t="e">
        <f t="shared" si="610"/>
        <v>#DIV/0!</v>
      </c>
      <c r="AF669" s="239"/>
      <c r="AG669" s="965" t="e">
        <f t="shared" si="581"/>
        <v>#VALUE!</v>
      </c>
      <c r="AH669" s="878" t="e">
        <f t="shared" si="582"/>
        <v>#VALUE!</v>
      </c>
      <c r="AI669" s="878" t="e">
        <f t="shared" si="583"/>
        <v>#VALUE!</v>
      </c>
      <c r="AJ669" s="878" t="e">
        <f t="shared" si="584"/>
        <v>#VALUE!</v>
      </c>
      <c r="AK669" s="878" t="e">
        <f t="shared" si="585"/>
        <v>#VALUE!</v>
      </c>
      <c r="AL669" s="966" t="e">
        <f t="shared" si="586"/>
        <v>#VALUE!</v>
      </c>
      <c r="AM669" s="239"/>
      <c r="AO669" s="685">
        <f t="shared" si="611"/>
        <v>3.9025710789188803</v>
      </c>
      <c r="AP669" s="276">
        <f t="shared" si="612"/>
        <v>0.87211250619859304</v>
      </c>
      <c r="AQ669" s="276">
        <f t="shared" si="613"/>
        <v>-4.4214636316270086</v>
      </c>
      <c r="AR669" s="276">
        <f t="shared" si="614"/>
        <v>-2.0404759020454128</v>
      </c>
      <c r="AS669" s="276">
        <f t="shared" si="615"/>
        <v>1.6990420880748187</v>
      </c>
      <c r="AT669" s="276">
        <f t="shared" si="616"/>
        <v>-0.10547576833572614</v>
      </c>
      <c r="AU669" s="685">
        <f t="shared" si="617"/>
        <v>2.1523454284742209</v>
      </c>
      <c r="AV669" s="276">
        <f t="shared" si="618"/>
        <v>1.9517218881786322</v>
      </c>
      <c r="AW669" s="276">
        <f t="shared" si="619"/>
        <v>0.95189837073052952</v>
      </c>
      <c r="AX669" s="276">
        <f t="shared" si="620"/>
        <v>1.2501073378694583</v>
      </c>
      <c r="AY669" s="276">
        <f t="shared" si="621"/>
        <v>1.6329305661327316</v>
      </c>
      <c r="AZ669" s="686">
        <f t="shared" si="622"/>
        <v>1.6659521729491493</v>
      </c>
      <c r="BA669" s="685">
        <f t="shared" si="623"/>
        <v>0</v>
      </c>
      <c r="BB669" s="276">
        <f t="shared" si="624"/>
        <v>0</v>
      </c>
      <c r="BC669" s="276">
        <f t="shared" si="625"/>
        <v>0</v>
      </c>
      <c r="BD669" s="276">
        <f t="shared" si="626"/>
        <v>0</v>
      </c>
      <c r="BE669" s="276">
        <f t="shared" si="627"/>
        <v>0</v>
      </c>
      <c r="BF669" s="686">
        <f t="shared" si="628"/>
        <v>0</v>
      </c>
      <c r="BG669" s="685" t="e">
        <f t="shared" si="629"/>
        <v>#DIV/0!</v>
      </c>
      <c r="BH669" s="276" t="e">
        <f t="shared" si="630"/>
        <v>#DIV/0!</v>
      </c>
      <c r="BI669" s="276" t="e">
        <f t="shared" si="631"/>
        <v>#DIV/0!</v>
      </c>
      <c r="BJ669" s="276" t="e">
        <f t="shared" si="632"/>
        <v>#DIV/0!</v>
      </c>
      <c r="BK669" s="276" t="e">
        <f t="shared" si="633"/>
        <v>#DIV/0!</v>
      </c>
      <c r="BL669" s="686" t="e">
        <f t="shared" si="634"/>
        <v>#DIV/0!</v>
      </c>
      <c r="BM669" s="239"/>
      <c r="BN669" s="965" t="e">
        <f t="shared" si="635"/>
        <v>#VALUE!</v>
      </c>
      <c r="BO669" s="878" t="e">
        <f t="shared" si="636"/>
        <v>#VALUE!</v>
      </c>
      <c r="BP669" s="878" t="e">
        <f t="shared" si="637"/>
        <v>#VALUE!</v>
      </c>
      <c r="BQ669" s="878" t="e">
        <f t="shared" si="638"/>
        <v>#VALUE!</v>
      </c>
      <c r="BR669" s="878" t="e">
        <f t="shared" si="639"/>
        <v>#VALUE!</v>
      </c>
      <c r="BS669" s="966" t="e">
        <f t="shared" si="640"/>
        <v>#VALUE!</v>
      </c>
    </row>
    <row r="670" spans="1:71">
      <c r="A670" s="284">
        <f t="shared" si="641"/>
        <v>602</v>
      </c>
      <c r="B670" s="285">
        <v>1.7958036732058824</v>
      </c>
      <c r="C670" s="285">
        <v>2.9932493282509114</v>
      </c>
      <c r="D670" s="285">
        <v>0.70396192901519483</v>
      </c>
      <c r="E670" s="285">
        <v>2.3763770831196767</v>
      </c>
      <c r="H670" s="685">
        <f t="shared" si="587"/>
        <v>0.66256983143682757</v>
      </c>
      <c r="I670" s="276">
        <f t="shared" si="588"/>
        <v>-1.2673216974960857</v>
      </c>
      <c r="J670" s="276">
        <f t="shared" si="589"/>
        <v>0.15482756444474277</v>
      </c>
      <c r="K670" s="276">
        <f t="shared" si="590"/>
        <v>0.14145839504544933</v>
      </c>
      <c r="L670" s="276">
        <f t="shared" si="591"/>
        <v>-3.983553146599407</v>
      </c>
      <c r="M670" s="276">
        <f t="shared" si="592"/>
        <v>-4.9010158134408073</v>
      </c>
      <c r="N670" s="685">
        <f t="shared" si="593"/>
        <v>1.786078117279043</v>
      </c>
      <c r="O670" s="276">
        <f t="shared" si="594"/>
        <v>1.1627665591415857</v>
      </c>
      <c r="P670" s="276">
        <f t="shared" si="595"/>
        <v>1.7055469359996394</v>
      </c>
      <c r="Q670" s="276">
        <f t="shared" si="596"/>
        <v>1.6226665432013625</v>
      </c>
      <c r="R670" s="276">
        <f t="shared" si="597"/>
        <v>1.5382306611412961</v>
      </c>
      <c r="S670" s="686">
        <f t="shared" si="598"/>
        <v>1.0530852545191152</v>
      </c>
      <c r="T670" s="685">
        <f t="shared" si="599"/>
        <v>3.9823256192861205</v>
      </c>
      <c r="U670" s="276">
        <f t="shared" si="600"/>
        <v>4.1604322853976727</v>
      </c>
      <c r="V670" s="276">
        <f t="shared" si="601"/>
        <v>5.2775311308223509</v>
      </c>
      <c r="W670" s="276">
        <f t="shared" si="602"/>
        <v>2.3030852620711708</v>
      </c>
      <c r="X670" s="276">
        <f t="shared" si="603"/>
        <v>3.1022047562876045</v>
      </c>
      <c r="Y670" s="686">
        <f t="shared" si="604"/>
        <v>4.2126585396968075</v>
      </c>
      <c r="Z670" s="685" t="e">
        <f t="shared" si="605"/>
        <v>#DIV/0!</v>
      </c>
      <c r="AA670" s="276" t="e">
        <f t="shared" si="606"/>
        <v>#DIV/0!</v>
      </c>
      <c r="AB670" s="276" t="e">
        <f t="shared" si="607"/>
        <v>#DIV/0!</v>
      </c>
      <c r="AC670" s="276" t="e">
        <f t="shared" si="608"/>
        <v>#DIV/0!</v>
      </c>
      <c r="AD670" s="276" t="e">
        <f t="shared" si="609"/>
        <v>#DIV/0!</v>
      </c>
      <c r="AE670" s="686" t="e">
        <f t="shared" si="610"/>
        <v>#DIV/0!</v>
      </c>
      <c r="AF670" s="239"/>
      <c r="AG670" s="965" t="e">
        <f t="shared" si="581"/>
        <v>#VALUE!</v>
      </c>
      <c r="AH670" s="878" t="e">
        <f t="shared" si="582"/>
        <v>#VALUE!</v>
      </c>
      <c r="AI670" s="878" t="e">
        <f t="shared" si="583"/>
        <v>#VALUE!</v>
      </c>
      <c r="AJ670" s="878" t="e">
        <f t="shared" si="584"/>
        <v>#VALUE!</v>
      </c>
      <c r="AK670" s="878" t="e">
        <f t="shared" si="585"/>
        <v>#VALUE!</v>
      </c>
      <c r="AL670" s="966" t="e">
        <f t="shared" si="586"/>
        <v>#VALUE!</v>
      </c>
      <c r="AM670" s="239"/>
      <c r="AO670" s="685">
        <f t="shared" si="611"/>
        <v>0.66256983143682757</v>
      </c>
      <c r="AP670" s="276">
        <f t="shared" si="612"/>
        <v>-1.2673216974960857</v>
      </c>
      <c r="AQ670" s="276">
        <f t="shared" si="613"/>
        <v>0.15482756444474277</v>
      </c>
      <c r="AR670" s="276">
        <f t="shared" si="614"/>
        <v>0.14145839504544933</v>
      </c>
      <c r="AS670" s="276">
        <f t="shared" si="615"/>
        <v>-3.983553146599407</v>
      </c>
      <c r="AT670" s="276">
        <f t="shared" si="616"/>
        <v>-4.9010158134408073</v>
      </c>
      <c r="AU670" s="685">
        <f t="shared" si="617"/>
        <v>1.786078117279043</v>
      </c>
      <c r="AV670" s="276">
        <f t="shared" si="618"/>
        <v>1.1627665591415857</v>
      </c>
      <c r="AW670" s="276">
        <f t="shared" si="619"/>
        <v>1.7055469359996394</v>
      </c>
      <c r="AX670" s="276">
        <f t="shared" si="620"/>
        <v>1.6226665432013625</v>
      </c>
      <c r="AY670" s="276">
        <f t="shared" si="621"/>
        <v>1.5382306611412961</v>
      </c>
      <c r="AZ670" s="686">
        <f t="shared" si="622"/>
        <v>1.0530852545191152</v>
      </c>
      <c r="BA670" s="685">
        <f t="shared" si="623"/>
        <v>0</v>
      </c>
      <c r="BB670" s="276">
        <f t="shared" si="624"/>
        <v>0</v>
      </c>
      <c r="BC670" s="276">
        <f t="shared" si="625"/>
        <v>0</v>
      </c>
      <c r="BD670" s="276">
        <f t="shared" si="626"/>
        <v>0</v>
      </c>
      <c r="BE670" s="276">
        <f t="shared" si="627"/>
        <v>0</v>
      </c>
      <c r="BF670" s="686">
        <f t="shared" si="628"/>
        <v>0</v>
      </c>
      <c r="BG670" s="685" t="e">
        <f t="shared" si="629"/>
        <v>#DIV/0!</v>
      </c>
      <c r="BH670" s="276" t="e">
        <f t="shared" si="630"/>
        <v>#DIV/0!</v>
      </c>
      <c r="BI670" s="276" t="e">
        <f t="shared" si="631"/>
        <v>#DIV/0!</v>
      </c>
      <c r="BJ670" s="276" t="e">
        <f t="shared" si="632"/>
        <v>#DIV/0!</v>
      </c>
      <c r="BK670" s="276" t="e">
        <f t="shared" si="633"/>
        <v>#DIV/0!</v>
      </c>
      <c r="BL670" s="686" t="e">
        <f t="shared" si="634"/>
        <v>#DIV/0!</v>
      </c>
      <c r="BM670" s="239"/>
      <c r="BN670" s="965" t="e">
        <f t="shared" si="635"/>
        <v>#VALUE!</v>
      </c>
      <c r="BO670" s="878" t="e">
        <f t="shared" si="636"/>
        <v>#VALUE!</v>
      </c>
      <c r="BP670" s="878" t="e">
        <f t="shared" si="637"/>
        <v>#VALUE!</v>
      </c>
      <c r="BQ670" s="878" t="e">
        <f t="shared" si="638"/>
        <v>#VALUE!</v>
      </c>
      <c r="BR670" s="878" t="e">
        <f t="shared" si="639"/>
        <v>#VALUE!</v>
      </c>
      <c r="BS670" s="966" t="e">
        <f t="shared" si="640"/>
        <v>#VALUE!</v>
      </c>
    </row>
    <row r="671" spans="1:71">
      <c r="A671" s="284">
        <f t="shared" si="641"/>
        <v>603</v>
      </c>
      <c r="B671" s="285">
        <v>1.9080801844075903</v>
      </c>
      <c r="C671" s="285">
        <v>2.927102854832365</v>
      </c>
      <c r="D671" s="285">
        <v>-0.17060584257880729</v>
      </c>
      <c r="E671" s="285">
        <v>5.5235421400913403</v>
      </c>
      <c r="H671" s="685">
        <f t="shared" si="587"/>
        <v>0.77484634263853547</v>
      </c>
      <c r="I671" s="276">
        <f t="shared" si="588"/>
        <v>2.8697264923231005</v>
      </c>
      <c r="J671" s="276">
        <f t="shared" si="589"/>
        <v>0.15772429257761456</v>
      </c>
      <c r="K671" s="276">
        <f t="shared" si="590"/>
        <v>0.25374991886989329</v>
      </c>
      <c r="L671" s="276">
        <f t="shared" si="591"/>
        <v>2.2142874227282583</v>
      </c>
      <c r="M671" s="276">
        <f t="shared" si="592"/>
        <v>2.9928326442190061</v>
      </c>
      <c r="N671" s="685">
        <f t="shared" si="593"/>
        <v>1.7199316438604966</v>
      </c>
      <c r="O671" s="276">
        <f t="shared" si="594"/>
        <v>1.4060078949891477</v>
      </c>
      <c r="P671" s="276">
        <f t="shared" si="595"/>
        <v>2.2132788876131269</v>
      </c>
      <c r="Q671" s="276">
        <f t="shared" si="596"/>
        <v>1.9691007669751135</v>
      </c>
      <c r="R671" s="276">
        <f t="shared" si="597"/>
        <v>1.6836966889414338</v>
      </c>
      <c r="S671" s="686">
        <f t="shared" si="598"/>
        <v>1.736292376527816</v>
      </c>
      <c r="T671" s="685">
        <f t="shared" si="599"/>
        <v>3.1077578476921186</v>
      </c>
      <c r="U671" s="276">
        <f t="shared" si="600"/>
        <v>4.6312395876951555</v>
      </c>
      <c r="V671" s="276">
        <f t="shared" si="601"/>
        <v>2.6008109115640647</v>
      </c>
      <c r="W671" s="276">
        <f t="shared" si="602"/>
        <v>2.0496075876283233</v>
      </c>
      <c r="X671" s="276">
        <f t="shared" si="603"/>
        <v>2.3597401822911244</v>
      </c>
      <c r="Y671" s="686">
        <f t="shared" si="604"/>
        <v>5.1653751272872901</v>
      </c>
      <c r="Z671" s="685" t="e">
        <f t="shared" si="605"/>
        <v>#DIV/0!</v>
      </c>
      <c r="AA671" s="276" t="e">
        <f t="shared" si="606"/>
        <v>#DIV/0!</v>
      </c>
      <c r="AB671" s="276" t="e">
        <f t="shared" si="607"/>
        <v>#DIV/0!</v>
      </c>
      <c r="AC671" s="276" t="e">
        <f t="shared" si="608"/>
        <v>#DIV/0!</v>
      </c>
      <c r="AD671" s="276" t="e">
        <f t="shared" si="609"/>
        <v>#DIV/0!</v>
      </c>
      <c r="AE671" s="686" t="e">
        <f t="shared" si="610"/>
        <v>#DIV/0!</v>
      </c>
      <c r="AF671" s="239"/>
      <c r="AG671" s="965" t="e">
        <f t="shared" si="581"/>
        <v>#VALUE!</v>
      </c>
      <c r="AH671" s="878" t="e">
        <f t="shared" si="582"/>
        <v>#VALUE!</v>
      </c>
      <c r="AI671" s="878" t="e">
        <f t="shared" si="583"/>
        <v>#VALUE!</v>
      </c>
      <c r="AJ671" s="878" t="e">
        <f t="shared" si="584"/>
        <v>#VALUE!</v>
      </c>
      <c r="AK671" s="878" t="e">
        <f t="shared" si="585"/>
        <v>#VALUE!</v>
      </c>
      <c r="AL671" s="966" t="e">
        <f t="shared" si="586"/>
        <v>#VALUE!</v>
      </c>
      <c r="AM671" s="239"/>
      <c r="AO671" s="685">
        <f t="shared" si="611"/>
        <v>0.77484634263853547</v>
      </c>
      <c r="AP671" s="276">
        <f t="shared" si="612"/>
        <v>2.8697264923231005</v>
      </c>
      <c r="AQ671" s="276">
        <f t="shared" si="613"/>
        <v>0.15772429257761456</v>
      </c>
      <c r="AR671" s="276">
        <f t="shared" si="614"/>
        <v>0.25374991886989329</v>
      </c>
      <c r="AS671" s="276">
        <f t="shared" si="615"/>
        <v>2.2142874227282583</v>
      </c>
      <c r="AT671" s="276">
        <f t="shared" si="616"/>
        <v>2.9928326442190061</v>
      </c>
      <c r="AU671" s="685">
        <f t="shared" si="617"/>
        <v>1.7199316438604966</v>
      </c>
      <c r="AV671" s="276">
        <f t="shared" si="618"/>
        <v>1.4060078949891477</v>
      </c>
      <c r="AW671" s="276">
        <f t="shared" si="619"/>
        <v>2.2132788876131269</v>
      </c>
      <c r="AX671" s="276">
        <f t="shared" si="620"/>
        <v>1.9691007669751135</v>
      </c>
      <c r="AY671" s="276">
        <f t="shared" si="621"/>
        <v>1.6836966889414338</v>
      </c>
      <c r="AZ671" s="686">
        <f t="shared" si="622"/>
        <v>1.736292376527816</v>
      </c>
      <c r="BA671" s="685">
        <f t="shared" si="623"/>
        <v>0</v>
      </c>
      <c r="BB671" s="276">
        <f t="shared" si="624"/>
        <v>0</v>
      </c>
      <c r="BC671" s="276">
        <f t="shared" si="625"/>
        <v>0</v>
      </c>
      <c r="BD671" s="276">
        <f t="shared" si="626"/>
        <v>0</v>
      </c>
      <c r="BE671" s="276">
        <f t="shared" si="627"/>
        <v>0</v>
      </c>
      <c r="BF671" s="686">
        <f t="shared" si="628"/>
        <v>0</v>
      </c>
      <c r="BG671" s="685" t="e">
        <f t="shared" si="629"/>
        <v>#DIV/0!</v>
      </c>
      <c r="BH671" s="276" t="e">
        <f t="shared" si="630"/>
        <v>#DIV/0!</v>
      </c>
      <c r="BI671" s="276" t="e">
        <f t="shared" si="631"/>
        <v>#DIV/0!</v>
      </c>
      <c r="BJ671" s="276" t="e">
        <f t="shared" si="632"/>
        <v>#DIV/0!</v>
      </c>
      <c r="BK671" s="276" t="e">
        <f t="shared" si="633"/>
        <v>#DIV/0!</v>
      </c>
      <c r="BL671" s="686" t="e">
        <f t="shared" si="634"/>
        <v>#DIV/0!</v>
      </c>
      <c r="BM671" s="239"/>
      <c r="BN671" s="965" t="e">
        <f t="shared" si="635"/>
        <v>#VALUE!</v>
      </c>
      <c r="BO671" s="878" t="e">
        <f t="shared" si="636"/>
        <v>#VALUE!</v>
      </c>
      <c r="BP671" s="878" t="e">
        <f t="shared" si="637"/>
        <v>#VALUE!</v>
      </c>
      <c r="BQ671" s="878" t="e">
        <f t="shared" si="638"/>
        <v>#VALUE!</v>
      </c>
      <c r="BR671" s="878" t="e">
        <f t="shared" si="639"/>
        <v>#VALUE!</v>
      </c>
      <c r="BS671" s="966" t="e">
        <f t="shared" si="640"/>
        <v>#VALUE!</v>
      </c>
    </row>
    <row r="672" spans="1:71">
      <c r="A672" s="284">
        <f t="shared" si="641"/>
        <v>604</v>
      </c>
      <c r="B672" s="285">
        <v>0.74127210184116643</v>
      </c>
      <c r="C672" s="285">
        <v>1.8243218067458207</v>
      </c>
      <c r="D672" s="285">
        <v>4.8022886747619431</v>
      </c>
      <c r="E672" s="285">
        <v>-17.940151587313053</v>
      </c>
      <c r="H672" s="685">
        <f t="shared" si="587"/>
        <v>-0.39196173992788841</v>
      </c>
      <c r="I672" s="276">
        <f t="shared" si="588"/>
        <v>2.3987566731553649</v>
      </c>
      <c r="J672" s="276">
        <f t="shared" si="589"/>
        <v>-0.45925279843620603</v>
      </c>
      <c r="K672" s="276">
        <f t="shared" si="590"/>
        <v>-3.7370799662914687</v>
      </c>
      <c r="L672" s="276">
        <f t="shared" si="591"/>
        <v>1.1306044605603141</v>
      </c>
      <c r="M672" s="276">
        <f t="shared" si="592"/>
        <v>-3.5849531980857545</v>
      </c>
      <c r="N672" s="685">
        <f t="shared" si="593"/>
        <v>0.61715059577395226</v>
      </c>
      <c r="O672" s="276">
        <f t="shared" si="594"/>
        <v>2.3219128448607576</v>
      </c>
      <c r="P672" s="276">
        <f t="shared" si="595"/>
        <v>1.1855954402741331</v>
      </c>
      <c r="Q672" s="276">
        <f t="shared" si="596"/>
        <v>1.4216323893761167</v>
      </c>
      <c r="R672" s="276">
        <f t="shared" si="597"/>
        <v>1.824144764833574</v>
      </c>
      <c r="S672" s="686">
        <f t="shared" si="598"/>
        <v>1.7342517245816846</v>
      </c>
      <c r="T672" s="685">
        <f t="shared" si="599"/>
        <v>8.0806523650328685</v>
      </c>
      <c r="U672" s="276">
        <f t="shared" si="600"/>
        <v>6.0955211206157234</v>
      </c>
      <c r="V672" s="276">
        <f t="shared" si="601"/>
        <v>3.7323317573819157</v>
      </c>
      <c r="W672" s="276">
        <f t="shared" si="602"/>
        <v>3.0031452174003608</v>
      </c>
      <c r="X672" s="276">
        <f t="shared" si="603"/>
        <v>4.4762122143855834</v>
      </c>
      <c r="Y672" s="686">
        <f t="shared" si="604"/>
        <v>3.9242953498720574</v>
      </c>
      <c r="Z672" s="685" t="e">
        <f t="shared" si="605"/>
        <v>#DIV/0!</v>
      </c>
      <c r="AA672" s="276" t="e">
        <f t="shared" si="606"/>
        <v>#DIV/0!</v>
      </c>
      <c r="AB672" s="276" t="e">
        <f t="shared" si="607"/>
        <v>#DIV/0!</v>
      </c>
      <c r="AC672" s="276" t="e">
        <f t="shared" si="608"/>
        <v>#DIV/0!</v>
      </c>
      <c r="AD672" s="276" t="e">
        <f t="shared" si="609"/>
        <v>#DIV/0!</v>
      </c>
      <c r="AE672" s="686" t="e">
        <f t="shared" si="610"/>
        <v>#DIV/0!</v>
      </c>
      <c r="AF672" s="239"/>
      <c r="AG672" s="965" t="e">
        <f t="shared" si="581"/>
        <v>#VALUE!</v>
      </c>
      <c r="AH672" s="878" t="e">
        <f t="shared" si="582"/>
        <v>#VALUE!</v>
      </c>
      <c r="AI672" s="878" t="e">
        <f t="shared" si="583"/>
        <v>#VALUE!</v>
      </c>
      <c r="AJ672" s="878" t="e">
        <f t="shared" si="584"/>
        <v>#VALUE!</v>
      </c>
      <c r="AK672" s="878" t="e">
        <f t="shared" si="585"/>
        <v>#VALUE!</v>
      </c>
      <c r="AL672" s="966" t="e">
        <f t="shared" si="586"/>
        <v>#VALUE!</v>
      </c>
      <c r="AM672" s="239"/>
      <c r="AO672" s="685">
        <f t="shared" si="611"/>
        <v>-0.39196173992788841</v>
      </c>
      <c r="AP672" s="276">
        <f t="shared" si="612"/>
        <v>2.3987566731553649</v>
      </c>
      <c r="AQ672" s="276">
        <f t="shared" si="613"/>
        <v>-0.45925279843620603</v>
      </c>
      <c r="AR672" s="276">
        <f t="shared" si="614"/>
        <v>-3.7370799662914687</v>
      </c>
      <c r="AS672" s="276">
        <f t="shared" si="615"/>
        <v>1.1306044605603141</v>
      </c>
      <c r="AT672" s="276">
        <f t="shared" si="616"/>
        <v>-3.5849531980857545</v>
      </c>
      <c r="AU672" s="685">
        <f t="shared" si="617"/>
        <v>0.61715059577395226</v>
      </c>
      <c r="AV672" s="276">
        <f t="shared" si="618"/>
        <v>2.3219128448607576</v>
      </c>
      <c r="AW672" s="276">
        <f t="shared" si="619"/>
        <v>1.1855954402741331</v>
      </c>
      <c r="AX672" s="276">
        <f t="shared" si="620"/>
        <v>1.4216323893761167</v>
      </c>
      <c r="AY672" s="276">
        <f t="shared" si="621"/>
        <v>1.824144764833574</v>
      </c>
      <c r="AZ672" s="686">
        <f t="shared" si="622"/>
        <v>1.7342517245816846</v>
      </c>
      <c r="BA672" s="685">
        <f t="shared" si="623"/>
        <v>0</v>
      </c>
      <c r="BB672" s="276">
        <f t="shared" si="624"/>
        <v>0</v>
      </c>
      <c r="BC672" s="276">
        <f t="shared" si="625"/>
        <v>0</v>
      </c>
      <c r="BD672" s="276">
        <f t="shared" si="626"/>
        <v>0</v>
      </c>
      <c r="BE672" s="276">
        <f t="shared" si="627"/>
        <v>0</v>
      </c>
      <c r="BF672" s="686">
        <f t="shared" si="628"/>
        <v>0</v>
      </c>
      <c r="BG672" s="685" t="e">
        <f t="shared" si="629"/>
        <v>#DIV/0!</v>
      </c>
      <c r="BH672" s="276" t="e">
        <f t="shared" si="630"/>
        <v>#DIV/0!</v>
      </c>
      <c r="BI672" s="276" t="e">
        <f t="shared" si="631"/>
        <v>#DIV/0!</v>
      </c>
      <c r="BJ672" s="276" t="e">
        <f t="shared" si="632"/>
        <v>#DIV/0!</v>
      </c>
      <c r="BK672" s="276" t="e">
        <f t="shared" si="633"/>
        <v>#DIV/0!</v>
      </c>
      <c r="BL672" s="686" t="e">
        <f t="shared" si="634"/>
        <v>#DIV/0!</v>
      </c>
      <c r="BM672" s="239"/>
      <c r="BN672" s="965" t="e">
        <f t="shared" si="635"/>
        <v>#VALUE!</v>
      </c>
      <c r="BO672" s="878" t="e">
        <f t="shared" si="636"/>
        <v>#VALUE!</v>
      </c>
      <c r="BP672" s="878" t="e">
        <f t="shared" si="637"/>
        <v>#VALUE!</v>
      </c>
      <c r="BQ672" s="878" t="e">
        <f t="shared" si="638"/>
        <v>#VALUE!</v>
      </c>
      <c r="BR672" s="878" t="e">
        <f t="shared" si="639"/>
        <v>#VALUE!</v>
      </c>
      <c r="BS672" s="966" t="e">
        <f t="shared" si="640"/>
        <v>#VALUE!</v>
      </c>
    </row>
    <row r="673" spans="1:71">
      <c r="A673" s="284">
        <f t="shared" si="641"/>
        <v>605</v>
      </c>
      <c r="B673" s="285">
        <v>1.9793106450006543</v>
      </c>
      <c r="C673" s="285">
        <v>2.5450971245681044</v>
      </c>
      <c r="D673" s="285">
        <v>1.1199887646600648</v>
      </c>
      <c r="E673" s="285">
        <v>-8.2211983595802298</v>
      </c>
      <c r="H673" s="685">
        <f t="shared" si="587"/>
        <v>0.84607680323159951</v>
      </c>
      <c r="I673" s="276">
        <f t="shared" si="588"/>
        <v>-2.958308691181156</v>
      </c>
      <c r="J673" s="276">
        <f t="shared" si="589"/>
        <v>-3.1776311527018715</v>
      </c>
      <c r="K673" s="276">
        <f t="shared" si="590"/>
        <v>-2.7049013691752157</v>
      </c>
      <c r="L673" s="276">
        <f t="shared" si="591"/>
        <v>-1.3279258433109973</v>
      </c>
      <c r="M673" s="276">
        <f t="shared" si="592"/>
        <v>1.545258754698607</v>
      </c>
      <c r="N673" s="685">
        <f t="shared" si="593"/>
        <v>1.337925913596236</v>
      </c>
      <c r="O673" s="276">
        <f t="shared" si="594"/>
        <v>1.456102325705342</v>
      </c>
      <c r="P673" s="276">
        <f t="shared" si="595"/>
        <v>1.9587681975399709</v>
      </c>
      <c r="Q673" s="276">
        <f t="shared" si="596"/>
        <v>0.83133486125014744</v>
      </c>
      <c r="R673" s="276">
        <f t="shared" si="597"/>
        <v>1.4239234438761523</v>
      </c>
      <c r="S673" s="686">
        <f t="shared" si="598"/>
        <v>1.9343735154555202</v>
      </c>
      <c r="T673" s="685">
        <f t="shared" si="599"/>
        <v>4.3983524549309907</v>
      </c>
      <c r="U673" s="276">
        <f t="shared" si="600"/>
        <v>5.1336339804718314</v>
      </c>
      <c r="V673" s="276">
        <f t="shared" si="601"/>
        <v>2.2899560082348689</v>
      </c>
      <c r="W673" s="276">
        <f t="shared" si="602"/>
        <v>4.9307608916901309</v>
      </c>
      <c r="X673" s="276">
        <f t="shared" si="603"/>
        <v>3.8760817455746497</v>
      </c>
      <c r="Y673" s="686">
        <f t="shared" si="604"/>
        <v>3.1209981236881319</v>
      </c>
      <c r="Z673" s="685" t="e">
        <f t="shared" si="605"/>
        <v>#DIV/0!</v>
      </c>
      <c r="AA673" s="276" t="e">
        <f t="shared" si="606"/>
        <v>#DIV/0!</v>
      </c>
      <c r="AB673" s="276" t="e">
        <f t="shared" si="607"/>
        <v>#DIV/0!</v>
      </c>
      <c r="AC673" s="276" t="e">
        <f t="shared" si="608"/>
        <v>#DIV/0!</v>
      </c>
      <c r="AD673" s="276" t="e">
        <f t="shared" si="609"/>
        <v>#DIV/0!</v>
      </c>
      <c r="AE673" s="686" t="e">
        <f t="shared" si="610"/>
        <v>#DIV/0!</v>
      </c>
      <c r="AF673" s="239"/>
      <c r="AG673" s="965" t="e">
        <f t="shared" si="581"/>
        <v>#VALUE!</v>
      </c>
      <c r="AH673" s="878" t="e">
        <f t="shared" si="582"/>
        <v>#VALUE!</v>
      </c>
      <c r="AI673" s="878" t="e">
        <f t="shared" si="583"/>
        <v>#VALUE!</v>
      </c>
      <c r="AJ673" s="878" t="e">
        <f t="shared" si="584"/>
        <v>#VALUE!</v>
      </c>
      <c r="AK673" s="878" t="e">
        <f t="shared" si="585"/>
        <v>#VALUE!</v>
      </c>
      <c r="AL673" s="966" t="e">
        <f t="shared" si="586"/>
        <v>#VALUE!</v>
      </c>
      <c r="AM673" s="239"/>
      <c r="AO673" s="685">
        <f t="shared" si="611"/>
        <v>0.84607680323159951</v>
      </c>
      <c r="AP673" s="276">
        <f t="shared" si="612"/>
        <v>-2.958308691181156</v>
      </c>
      <c r="AQ673" s="276">
        <f t="shared" si="613"/>
        <v>-3.1776311527018715</v>
      </c>
      <c r="AR673" s="276">
        <f t="shared" si="614"/>
        <v>-2.7049013691752157</v>
      </c>
      <c r="AS673" s="276">
        <f t="shared" si="615"/>
        <v>-1.3279258433109973</v>
      </c>
      <c r="AT673" s="276">
        <f t="shared" si="616"/>
        <v>1.545258754698607</v>
      </c>
      <c r="AU673" s="685">
        <f t="shared" si="617"/>
        <v>1.337925913596236</v>
      </c>
      <c r="AV673" s="276">
        <f t="shared" si="618"/>
        <v>1.456102325705342</v>
      </c>
      <c r="AW673" s="276">
        <f t="shared" si="619"/>
        <v>1.9587681975399709</v>
      </c>
      <c r="AX673" s="276">
        <f t="shared" si="620"/>
        <v>0.83133486125014744</v>
      </c>
      <c r="AY673" s="276">
        <f t="shared" si="621"/>
        <v>1.4239234438761523</v>
      </c>
      <c r="AZ673" s="686">
        <f t="shared" si="622"/>
        <v>1.9343735154555202</v>
      </c>
      <c r="BA673" s="685">
        <f t="shared" si="623"/>
        <v>0</v>
      </c>
      <c r="BB673" s="276">
        <f t="shared" si="624"/>
        <v>0</v>
      </c>
      <c r="BC673" s="276">
        <f t="shared" si="625"/>
        <v>0</v>
      </c>
      <c r="BD673" s="276">
        <f t="shared" si="626"/>
        <v>0</v>
      </c>
      <c r="BE673" s="276">
        <f t="shared" si="627"/>
        <v>0</v>
      </c>
      <c r="BF673" s="686">
        <f t="shared" si="628"/>
        <v>0</v>
      </c>
      <c r="BG673" s="685" t="e">
        <f t="shared" si="629"/>
        <v>#DIV/0!</v>
      </c>
      <c r="BH673" s="276" t="e">
        <f t="shared" si="630"/>
        <v>#DIV/0!</v>
      </c>
      <c r="BI673" s="276" t="e">
        <f t="shared" si="631"/>
        <v>#DIV/0!</v>
      </c>
      <c r="BJ673" s="276" t="e">
        <f t="shared" si="632"/>
        <v>#DIV/0!</v>
      </c>
      <c r="BK673" s="276" t="e">
        <f t="shared" si="633"/>
        <v>#DIV/0!</v>
      </c>
      <c r="BL673" s="686" t="e">
        <f t="shared" si="634"/>
        <v>#DIV/0!</v>
      </c>
      <c r="BM673" s="239"/>
      <c r="BN673" s="965" t="e">
        <f t="shared" si="635"/>
        <v>#VALUE!</v>
      </c>
      <c r="BO673" s="878" t="e">
        <f t="shared" si="636"/>
        <v>#VALUE!</v>
      </c>
      <c r="BP673" s="878" t="e">
        <f t="shared" si="637"/>
        <v>#VALUE!</v>
      </c>
      <c r="BQ673" s="878" t="e">
        <f t="shared" si="638"/>
        <v>#VALUE!</v>
      </c>
      <c r="BR673" s="878" t="e">
        <f t="shared" si="639"/>
        <v>#VALUE!</v>
      </c>
      <c r="BS673" s="966" t="e">
        <f t="shared" si="640"/>
        <v>#VALUE!</v>
      </c>
    </row>
    <row r="674" spans="1:71">
      <c r="A674" s="284">
        <f t="shared" si="641"/>
        <v>606</v>
      </c>
      <c r="B674" s="285">
        <v>1.9573900875055725</v>
      </c>
      <c r="C674" s="285">
        <v>2.2891186187920529</v>
      </c>
      <c r="D674" s="285">
        <v>2.201075693096</v>
      </c>
      <c r="E674" s="285">
        <v>-2.3349308106593809</v>
      </c>
      <c r="H674" s="685">
        <f t="shared" si="587"/>
        <v>0.82415624573651769</v>
      </c>
      <c r="I674" s="276">
        <f t="shared" si="588"/>
        <v>-0.23507710920755187</v>
      </c>
      <c r="J674" s="276">
        <f t="shared" si="589"/>
        <v>0.24081609349549526</v>
      </c>
      <c r="K674" s="276">
        <f t="shared" si="590"/>
        <v>-2.4243408452541155</v>
      </c>
      <c r="L674" s="276">
        <f t="shared" si="591"/>
        <v>1.6879444397092971</v>
      </c>
      <c r="M674" s="276">
        <f t="shared" si="592"/>
        <v>2.5279816812186207</v>
      </c>
      <c r="N674" s="685">
        <f t="shared" si="593"/>
        <v>1.0819474078201845</v>
      </c>
      <c r="O674" s="276">
        <f t="shared" si="594"/>
        <v>1.8446415694324896</v>
      </c>
      <c r="P674" s="276">
        <f t="shared" si="595"/>
        <v>0.99842163290046559</v>
      </c>
      <c r="Q674" s="276">
        <f t="shared" si="596"/>
        <v>1.1249953215727253</v>
      </c>
      <c r="R674" s="276">
        <f t="shared" si="597"/>
        <v>1.7211346456354211</v>
      </c>
      <c r="S674" s="686">
        <f t="shared" si="598"/>
        <v>2.0006498076635992</v>
      </c>
      <c r="T674" s="685">
        <f t="shared" si="599"/>
        <v>5.4794393833669259</v>
      </c>
      <c r="U674" s="276">
        <f t="shared" si="600"/>
        <v>4.4163755531254107</v>
      </c>
      <c r="V674" s="276">
        <f t="shared" si="601"/>
        <v>5.4035859548141385</v>
      </c>
      <c r="W674" s="276">
        <f t="shared" si="602"/>
        <v>3.9115793808457249</v>
      </c>
      <c r="X674" s="276">
        <f t="shared" si="603"/>
        <v>4.0414850940903531</v>
      </c>
      <c r="Y674" s="686">
        <f t="shared" si="604"/>
        <v>4.2277139376770725</v>
      </c>
      <c r="Z674" s="685" t="e">
        <f t="shared" si="605"/>
        <v>#DIV/0!</v>
      </c>
      <c r="AA674" s="276" t="e">
        <f t="shared" si="606"/>
        <v>#DIV/0!</v>
      </c>
      <c r="AB674" s="276" t="e">
        <f t="shared" si="607"/>
        <v>#DIV/0!</v>
      </c>
      <c r="AC674" s="276" t="e">
        <f t="shared" si="608"/>
        <v>#DIV/0!</v>
      </c>
      <c r="AD674" s="276" t="e">
        <f t="shared" si="609"/>
        <v>#DIV/0!</v>
      </c>
      <c r="AE674" s="686" t="e">
        <f t="shared" si="610"/>
        <v>#DIV/0!</v>
      </c>
      <c r="AF674" s="239"/>
      <c r="AG674" s="965" t="e">
        <f t="shared" si="581"/>
        <v>#VALUE!</v>
      </c>
      <c r="AH674" s="878" t="e">
        <f t="shared" si="582"/>
        <v>#VALUE!</v>
      </c>
      <c r="AI674" s="878" t="e">
        <f t="shared" si="583"/>
        <v>#VALUE!</v>
      </c>
      <c r="AJ674" s="878" t="e">
        <f t="shared" si="584"/>
        <v>#VALUE!</v>
      </c>
      <c r="AK674" s="878" t="e">
        <f t="shared" si="585"/>
        <v>#VALUE!</v>
      </c>
      <c r="AL674" s="966" t="e">
        <f t="shared" si="586"/>
        <v>#VALUE!</v>
      </c>
      <c r="AM674" s="239"/>
      <c r="AO674" s="685">
        <f t="shared" si="611"/>
        <v>0.82415624573651769</v>
      </c>
      <c r="AP674" s="276">
        <f t="shared" si="612"/>
        <v>-0.23507710920755187</v>
      </c>
      <c r="AQ674" s="276">
        <f t="shared" si="613"/>
        <v>0.24081609349549526</v>
      </c>
      <c r="AR674" s="276">
        <f t="shared" si="614"/>
        <v>-2.4243408452541155</v>
      </c>
      <c r="AS674" s="276">
        <f t="shared" si="615"/>
        <v>1.6879444397092971</v>
      </c>
      <c r="AT674" s="276">
        <f t="shared" si="616"/>
        <v>2.5279816812186207</v>
      </c>
      <c r="AU674" s="685">
        <f t="shared" si="617"/>
        <v>1.0819474078201845</v>
      </c>
      <c r="AV674" s="276">
        <f t="shared" si="618"/>
        <v>1.8446415694324896</v>
      </c>
      <c r="AW674" s="276">
        <f t="shared" si="619"/>
        <v>0.99842163290046559</v>
      </c>
      <c r="AX674" s="276">
        <f t="shared" si="620"/>
        <v>1.1249953215727253</v>
      </c>
      <c r="AY674" s="276">
        <f t="shared" si="621"/>
        <v>1.7211346456354211</v>
      </c>
      <c r="AZ674" s="686">
        <f t="shared" si="622"/>
        <v>2.0006498076635992</v>
      </c>
      <c r="BA674" s="685">
        <f t="shared" si="623"/>
        <v>0</v>
      </c>
      <c r="BB674" s="276">
        <f t="shared" si="624"/>
        <v>0</v>
      </c>
      <c r="BC674" s="276">
        <f t="shared" si="625"/>
        <v>0</v>
      </c>
      <c r="BD674" s="276">
        <f t="shared" si="626"/>
        <v>0</v>
      </c>
      <c r="BE674" s="276">
        <f t="shared" si="627"/>
        <v>0</v>
      </c>
      <c r="BF674" s="686">
        <f t="shared" si="628"/>
        <v>0</v>
      </c>
      <c r="BG674" s="685" t="e">
        <f t="shared" si="629"/>
        <v>#DIV/0!</v>
      </c>
      <c r="BH674" s="276" t="e">
        <f t="shared" si="630"/>
        <v>#DIV/0!</v>
      </c>
      <c r="BI674" s="276" t="e">
        <f t="shared" si="631"/>
        <v>#DIV/0!</v>
      </c>
      <c r="BJ674" s="276" t="e">
        <f t="shared" si="632"/>
        <v>#DIV/0!</v>
      </c>
      <c r="BK674" s="276" t="e">
        <f t="shared" si="633"/>
        <v>#DIV/0!</v>
      </c>
      <c r="BL674" s="686" t="e">
        <f t="shared" si="634"/>
        <v>#DIV/0!</v>
      </c>
      <c r="BM674" s="239"/>
      <c r="BN674" s="965" t="e">
        <f t="shared" si="635"/>
        <v>#VALUE!</v>
      </c>
      <c r="BO674" s="878" t="e">
        <f t="shared" si="636"/>
        <v>#VALUE!</v>
      </c>
      <c r="BP674" s="878" t="e">
        <f t="shared" si="637"/>
        <v>#VALUE!</v>
      </c>
      <c r="BQ674" s="878" t="e">
        <f t="shared" si="638"/>
        <v>#VALUE!</v>
      </c>
      <c r="BR674" s="878" t="e">
        <f t="shared" si="639"/>
        <v>#VALUE!</v>
      </c>
      <c r="BS674" s="966" t="e">
        <f t="shared" si="640"/>
        <v>#VALUE!</v>
      </c>
    </row>
    <row r="675" spans="1:71">
      <c r="A675" s="284">
        <f t="shared" si="641"/>
        <v>607</v>
      </c>
      <c r="B675" s="285">
        <v>6.327634712743464</v>
      </c>
      <c r="C675" s="285">
        <v>2.8355184813219569</v>
      </c>
      <c r="D675" s="285">
        <v>1.2220097882311669</v>
      </c>
      <c r="E675" s="285">
        <v>-4.9222475405594555</v>
      </c>
      <c r="H675" s="685">
        <f t="shared" si="587"/>
        <v>5.1944008709744089</v>
      </c>
      <c r="I675" s="276">
        <f t="shared" si="588"/>
        <v>-6.0393249951365346</v>
      </c>
      <c r="J675" s="276">
        <f t="shared" si="589"/>
        <v>-6.4310554588885473</v>
      </c>
      <c r="K675" s="276">
        <f t="shared" si="590"/>
        <v>-2.6529507845466265</v>
      </c>
      <c r="L675" s="276">
        <f t="shared" si="591"/>
        <v>-0.78485579161275876</v>
      </c>
      <c r="M675" s="276">
        <f t="shared" si="592"/>
        <v>3.1735390044608582</v>
      </c>
      <c r="N675" s="685">
        <f t="shared" si="593"/>
        <v>1.6283472703500885</v>
      </c>
      <c r="O675" s="276">
        <f t="shared" si="594"/>
        <v>0.61026073544491521</v>
      </c>
      <c r="P675" s="276">
        <f t="shared" si="595"/>
        <v>0.40479030555215423</v>
      </c>
      <c r="Q675" s="276">
        <f t="shared" si="596"/>
        <v>1.4118517848889602</v>
      </c>
      <c r="R675" s="276">
        <f t="shared" si="597"/>
        <v>1.9040419409662348</v>
      </c>
      <c r="S675" s="686">
        <f t="shared" si="598"/>
        <v>1.4439853791302888</v>
      </c>
      <c r="T675" s="685">
        <f t="shared" si="599"/>
        <v>4.5003734785020928</v>
      </c>
      <c r="U675" s="276">
        <f t="shared" si="600"/>
        <v>3.7469476783441631</v>
      </c>
      <c r="V675" s="276">
        <f t="shared" si="601"/>
        <v>5.0980724471135286</v>
      </c>
      <c r="W675" s="276">
        <f t="shared" si="602"/>
        <v>1.7059862564013852</v>
      </c>
      <c r="X675" s="276">
        <f t="shared" si="603"/>
        <v>4.2155109752290585</v>
      </c>
      <c r="Y675" s="686">
        <f t="shared" si="604"/>
        <v>5.19873554708904</v>
      </c>
      <c r="Z675" s="685" t="e">
        <f t="shared" si="605"/>
        <v>#DIV/0!</v>
      </c>
      <c r="AA675" s="276" t="e">
        <f t="shared" si="606"/>
        <v>#DIV/0!</v>
      </c>
      <c r="AB675" s="276" t="e">
        <f t="shared" si="607"/>
        <v>#DIV/0!</v>
      </c>
      <c r="AC675" s="276" t="e">
        <f t="shared" si="608"/>
        <v>#DIV/0!</v>
      </c>
      <c r="AD675" s="276" t="e">
        <f t="shared" si="609"/>
        <v>#DIV/0!</v>
      </c>
      <c r="AE675" s="686" t="e">
        <f t="shared" si="610"/>
        <v>#DIV/0!</v>
      </c>
      <c r="AF675" s="239"/>
      <c r="AG675" s="965" t="e">
        <f t="shared" si="581"/>
        <v>#VALUE!</v>
      </c>
      <c r="AH675" s="878" t="e">
        <f t="shared" si="582"/>
        <v>#VALUE!</v>
      </c>
      <c r="AI675" s="878" t="e">
        <f t="shared" si="583"/>
        <v>#VALUE!</v>
      </c>
      <c r="AJ675" s="878" t="e">
        <f t="shared" si="584"/>
        <v>#VALUE!</v>
      </c>
      <c r="AK675" s="878" t="e">
        <f t="shared" si="585"/>
        <v>#VALUE!</v>
      </c>
      <c r="AL675" s="966" t="e">
        <f t="shared" si="586"/>
        <v>#VALUE!</v>
      </c>
      <c r="AM675" s="239"/>
      <c r="AO675" s="685">
        <f t="shared" si="611"/>
        <v>5.1944008709744089</v>
      </c>
      <c r="AP675" s="276">
        <f t="shared" si="612"/>
        <v>-6.0393249951365346</v>
      </c>
      <c r="AQ675" s="276">
        <f t="shared" si="613"/>
        <v>-6.4310554588885473</v>
      </c>
      <c r="AR675" s="276">
        <f t="shared" si="614"/>
        <v>-2.6529507845466265</v>
      </c>
      <c r="AS675" s="276">
        <f t="shared" si="615"/>
        <v>-0.78485579161275876</v>
      </c>
      <c r="AT675" s="276">
        <f t="shared" si="616"/>
        <v>3.1735390044608582</v>
      </c>
      <c r="AU675" s="685">
        <f t="shared" si="617"/>
        <v>1.6283472703500885</v>
      </c>
      <c r="AV675" s="276">
        <f t="shared" si="618"/>
        <v>0.61026073544491521</v>
      </c>
      <c r="AW675" s="276">
        <f t="shared" si="619"/>
        <v>0.40479030555215423</v>
      </c>
      <c r="AX675" s="276">
        <f t="shared" si="620"/>
        <v>1.4118517848889602</v>
      </c>
      <c r="AY675" s="276">
        <f t="shared" si="621"/>
        <v>1.9040419409662348</v>
      </c>
      <c r="AZ675" s="686">
        <f t="shared" si="622"/>
        <v>1.4439853791302888</v>
      </c>
      <c r="BA675" s="685">
        <f t="shared" si="623"/>
        <v>0</v>
      </c>
      <c r="BB675" s="276">
        <f t="shared" si="624"/>
        <v>0</v>
      </c>
      <c r="BC675" s="276">
        <f t="shared" si="625"/>
        <v>0</v>
      </c>
      <c r="BD675" s="276">
        <f t="shared" si="626"/>
        <v>0</v>
      </c>
      <c r="BE675" s="276">
        <f t="shared" si="627"/>
        <v>0</v>
      </c>
      <c r="BF675" s="686">
        <f t="shared" si="628"/>
        <v>0</v>
      </c>
      <c r="BG675" s="685" t="e">
        <f t="shared" si="629"/>
        <v>#DIV/0!</v>
      </c>
      <c r="BH675" s="276" t="e">
        <f t="shared" si="630"/>
        <v>#DIV/0!</v>
      </c>
      <c r="BI675" s="276" t="e">
        <f t="shared" si="631"/>
        <v>#DIV/0!</v>
      </c>
      <c r="BJ675" s="276" t="e">
        <f t="shared" si="632"/>
        <v>#DIV/0!</v>
      </c>
      <c r="BK675" s="276" t="e">
        <f t="shared" si="633"/>
        <v>#DIV/0!</v>
      </c>
      <c r="BL675" s="686" t="e">
        <f t="shared" si="634"/>
        <v>#DIV/0!</v>
      </c>
      <c r="BM675" s="239"/>
      <c r="BN675" s="965" t="e">
        <f t="shared" si="635"/>
        <v>#VALUE!</v>
      </c>
      <c r="BO675" s="878" t="e">
        <f t="shared" si="636"/>
        <v>#VALUE!</v>
      </c>
      <c r="BP675" s="878" t="e">
        <f t="shared" si="637"/>
        <v>#VALUE!</v>
      </c>
      <c r="BQ675" s="878" t="e">
        <f t="shared" si="638"/>
        <v>#VALUE!</v>
      </c>
      <c r="BR675" s="878" t="e">
        <f t="shared" si="639"/>
        <v>#VALUE!</v>
      </c>
      <c r="BS675" s="966" t="e">
        <f t="shared" si="640"/>
        <v>#VALUE!</v>
      </c>
    </row>
    <row r="676" spans="1:71">
      <c r="A676" s="284">
        <f t="shared" si="641"/>
        <v>608</v>
      </c>
      <c r="B676" s="285">
        <v>-0.28507906275306527</v>
      </c>
      <c r="C676" s="285">
        <v>2.0626675999725901</v>
      </c>
      <c r="D676" s="285">
        <v>2.3255936749746069</v>
      </c>
      <c r="E676" s="285">
        <v>-23.570247230883812</v>
      </c>
      <c r="H676" s="685">
        <f t="shared" si="587"/>
        <v>-1.4183129045221201</v>
      </c>
      <c r="I676" s="276">
        <f t="shared" si="588"/>
        <v>-1.0799156328825221</v>
      </c>
      <c r="J676" s="276">
        <f t="shared" si="589"/>
        <v>3.9672142624429529E-2</v>
      </c>
      <c r="K676" s="276">
        <f t="shared" si="590"/>
        <v>-1.9012630667983212</v>
      </c>
      <c r="L676" s="276">
        <f t="shared" si="591"/>
        <v>-2.5878315792546935</v>
      </c>
      <c r="M676" s="276">
        <f t="shared" si="592"/>
        <v>-2.0183578548183618</v>
      </c>
      <c r="N676" s="685">
        <f t="shared" si="593"/>
        <v>0.85549638900072167</v>
      </c>
      <c r="O676" s="276">
        <f t="shared" si="594"/>
        <v>2.2679923505666082</v>
      </c>
      <c r="P676" s="276">
        <f t="shared" si="595"/>
        <v>1.8205848943128962</v>
      </c>
      <c r="Q676" s="276">
        <f t="shared" si="596"/>
        <v>0.90975463960963387</v>
      </c>
      <c r="R676" s="276">
        <f t="shared" si="597"/>
        <v>1.2410252114178653</v>
      </c>
      <c r="S676" s="686">
        <f t="shared" si="598"/>
        <v>1.4516209329638541</v>
      </c>
      <c r="T676" s="685">
        <f t="shared" si="599"/>
        <v>5.6039573652455328</v>
      </c>
      <c r="U676" s="276">
        <f t="shared" si="600"/>
        <v>3.4738200327873758</v>
      </c>
      <c r="V676" s="276">
        <f t="shared" si="601"/>
        <v>5.9499839069645351</v>
      </c>
      <c r="W676" s="276">
        <f t="shared" si="602"/>
        <v>7.5382246874472827</v>
      </c>
      <c r="X676" s="276">
        <f t="shared" si="603"/>
        <v>3.913755215440061</v>
      </c>
      <c r="Y676" s="686">
        <f t="shared" si="604"/>
        <v>5.2985770190654993</v>
      </c>
      <c r="Z676" s="685" t="e">
        <f t="shared" si="605"/>
        <v>#DIV/0!</v>
      </c>
      <c r="AA676" s="276" t="e">
        <f t="shared" si="606"/>
        <v>#DIV/0!</v>
      </c>
      <c r="AB676" s="276" t="e">
        <f t="shared" si="607"/>
        <v>#DIV/0!</v>
      </c>
      <c r="AC676" s="276" t="e">
        <f t="shared" si="608"/>
        <v>#DIV/0!</v>
      </c>
      <c r="AD676" s="276" t="e">
        <f t="shared" si="609"/>
        <v>#DIV/0!</v>
      </c>
      <c r="AE676" s="686" t="e">
        <f t="shared" si="610"/>
        <v>#DIV/0!</v>
      </c>
      <c r="AF676" s="239"/>
      <c r="AG676" s="965" t="e">
        <f t="shared" si="581"/>
        <v>#VALUE!</v>
      </c>
      <c r="AH676" s="878" t="e">
        <f t="shared" si="582"/>
        <v>#VALUE!</v>
      </c>
      <c r="AI676" s="878" t="e">
        <f t="shared" si="583"/>
        <v>#VALUE!</v>
      </c>
      <c r="AJ676" s="878" t="e">
        <f t="shared" si="584"/>
        <v>#VALUE!</v>
      </c>
      <c r="AK676" s="878" t="e">
        <f t="shared" si="585"/>
        <v>#VALUE!</v>
      </c>
      <c r="AL676" s="966" t="e">
        <f t="shared" si="586"/>
        <v>#VALUE!</v>
      </c>
      <c r="AM676" s="239"/>
      <c r="AO676" s="685">
        <f t="shared" si="611"/>
        <v>-1.4183129045221201</v>
      </c>
      <c r="AP676" s="276">
        <f t="shared" si="612"/>
        <v>-1.0799156328825221</v>
      </c>
      <c r="AQ676" s="276">
        <f t="shared" si="613"/>
        <v>3.9672142624429529E-2</v>
      </c>
      <c r="AR676" s="276">
        <f t="shared" si="614"/>
        <v>-1.9012630667983212</v>
      </c>
      <c r="AS676" s="276">
        <f t="shared" si="615"/>
        <v>-2.5878315792546935</v>
      </c>
      <c r="AT676" s="276">
        <f t="shared" si="616"/>
        <v>-2.0183578548183618</v>
      </c>
      <c r="AU676" s="685">
        <f t="shared" si="617"/>
        <v>0.85549638900072167</v>
      </c>
      <c r="AV676" s="276">
        <f t="shared" si="618"/>
        <v>2.2679923505666082</v>
      </c>
      <c r="AW676" s="276">
        <f t="shared" si="619"/>
        <v>1.8205848943128962</v>
      </c>
      <c r="AX676" s="276">
        <f t="shared" si="620"/>
        <v>0.90975463960963387</v>
      </c>
      <c r="AY676" s="276">
        <f t="shared" si="621"/>
        <v>1.2410252114178653</v>
      </c>
      <c r="AZ676" s="686">
        <f t="shared" si="622"/>
        <v>1.4516209329638541</v>
      </c>
      <c r="BA676" s="685">
        <f t="shared" si="623"/>
        <v>0</v>
      </c>
      <c r="BB676" s="276">
        <f t="shared" si="624"/>
        <v>0</v>
      </c>
      <c r="BC676" s="276">
        <f t="shared" si="625"/>
        <v>0</v>
      </c>
      <c r="BD676" s="276">
        <f t="shared" si="626"/>
        <v>0</v>
      </c>
      <c r="BE676" s="276">
        <f t="shared" si="627"/>
        <v>0</v>
      </c>
      <c r="BF676" s="686">
        <f t="shared" si="628"/>
        <v>0</v>
      </c>
      <c r="BG676" s="685" t="e">
        <f t="shared" si="629"/>
        <v>#DIV/0!</v>
      </c>
      <c r="BH676" s="276" t="e">
        <f t="shared" si="630"/>
        <v>#DIV/0!</v>
      </c>
      <c r="BI676" s="276" t="e">
        <f t="shared" si="631"/>
        <v>#DIV/0!</v>
      </c>
      <c r="BJ676" s="276" t="e">
        <f t="shared" si="632"/>
        <v>#DIV/0!</v>
      </c>
      <c r="BK676" s="276" t="e">
        <f t="shared" si="633"/>
        <v>#DIV/0!</v>
      </c>
      <c r="BL676" s="686" t="e">
        <f t="shared" si="634"/>
        <v>#DIV/0!</v>
      </c>
      <c r="BM676" s="239"/>
      <c r="BN676" s="965" t="e">
        <f t="shared" si="635"/>
        <v>#VALUE!</v>
      </c>
      <c r="BO676" s="878" t="e">
        <f t="shared" si="636"/>
        <v>#VALUE!</v>
      </c>
      <c r="BP676" s="878" t="e">
        <f t="shared" si="637"/>
        <v>#VALUE!</v>
      </c>
      <c r="BQ676" s="878" t="e">
        <f t="shared" si="638"/>
        <v>#VALUE!</v>
      </c>
      <c r="BR676" s="878" t="e">
        <f t="shared" si="639"/>
        <v>#VALUE!</v>
      </c>
      <c r="BS676" s="966" t="e">
        <f t="shared" si="640"/>
        <v>#VALUE!</v>
      </c>
    </row>
    <row r="677" spans="1:71">
      <c r="A677" s="284">
        <f t="shared" si="641"/>
        <v>609</v>
      </c>
      <c r="B677" s="285">
        <v>-0.38751306115310535</v>
      </c>
      <c r="C677" s="285">
        <v>2.9065500315593389</v>
      </c>
      <c r="D677" s="285">
        <v>-2.1094564285214021</v>
      </c>
      <c r="E677" s="285">
        <v>2.1916461225934083</v>
      </c>
      <c r="H677" s="685">
        <f t="shared" si="587"/>
        <v>-1.5207469029221601</v>
      </c>
      <c r="I677" s="276">
        <f t="shared" si="588"/>
        <v>-2.0912882053867872</v>
      </c>
      <c r="J677" s="276">
        <f t="shared" si="589"/>
        <v>0.45496543815454427</v>
      </c>
      <c r="K677" s="276">
        <f t="shared" si="590"/>
        <v>2.3132879071811203</v>
      </c>
      <c r="L677" s="276">
        <f t="shared" si="591"/>
        <v>-1.4891103864210775</v>
      </c>
      <c r="M677" s="276">
        <f t="shared" si="592"/>
        <v>7.2697083943878749E-2</v>
      </c>
      <c r="N677" s="685">
        <f t="shared" si="593"/>
        <v>1.6993788205874705</v>
      </c>
      <c r="O677" s="276">
        <f t="shared" si="594"/>
        <v>0.8054761819158347</v>
      </c>
      <c r="P677" s="276">
        <f t="shared" si="595"/>
        <v>1.5964549066798888</v>
      </c>
      <c r="Q677" s="276">
        <f t="shared" si="596"/>
        <v>1.5485575502851556</v>
      </c>
      <c r="R677" s="276">
        <f t="shared" si="597"/>
        <v>1.7062337696847985</v>
      </c>
      <c r="S677" s="686">
        <f t="shared" si="598"/>
        <v>1.2448179940255033</v>
      </c>
      <c r="T677" s="685">
        <f t="shared" si="599"/>
        <v>1.1689072617495238</v>
      </c>
      <c r="U677" s="276">
        <f t="shared" si="600"/>
        <v>4.8013291874646917</v>
      </c>
      <c r="V677" s="276">
        <f t="shared" si="601"/>
        <v>5.4777546318508588</v>
      </c>
      <c r="W677" s="276">
        <f t="shared" si="602"/>
        <v>6.3854765796595174</v>
      </c>
      <c r="X677" s="276">
        <f t="shared" si="603"/>
        <v>2.6911206971559212</v>
      </c>
      <c r="Y677" s="686">
        <f t="shared" si="604"/>
        <v>5.5109204465144561</v>
      </c>
      <c r="Z677" s="685" t="e">
        <f t="shared" si="605"/>
        <v>#DIV/0!</v>
      </c>
      <c r="AA677" s="276" t="e">
        <f t="shared" si="606"/>
        <v>#DIV/0!</v>
      </c>
      <c r="AB677" s="276" t="e">
        <f t="shared" si="607"/>
        <v>#DIV/0!</v>
      </c>
      <c r="AC677" s="276" t="e">
        <f t="shared" si="608"/>
        <v>#DIV/0!</v>
      </c>
      <c r="AD677" s="276" t="e">
        <f t="shared" si="609"/>
        <v>#DIV/0!</v>
      </c>
      <c r="AE677" s="686" t="e">
        <f t="shared" si="610"/>
        <v>#DIV/0!</v>
      </c>
      <c r="AF677" s="239"/>
      <c r="AG677" s="965" t="e">
        <f t="shared" si="581"/>
        <v>#VALUE!</v>
      </c>
      <c r="AH677" s="878" t="e">
        <f t="shared" si="582"/>
        <v>#VALUE!</v>
      </c>
      <c r="AI677" s="878" t="e">
        <f t="shared" si="583"/>
        <v>#VALUE!</v>
      </c>
      <c r="AJ677" s="878" t="e">
        <f t="shared" si="584"/>
        <v>#VALUE!</v>
      </c>
      <c r="AK677" s="878" t="e">
        <f t="shared" si="585"/>
        <v>#VALUE!</v>
      </c>
      <c r="AL677" s="966" t="e">
        <f t="shared" si="586"/>
        <v>#VALUE!</v>
      </c>
      <c r="AM677" s="239"/>
      <c r="AO677" s="685">
        <f t="shared" si="611"/>
        <v>-1.5207469029221601</v>
      </c>
      <c r="AP677" s="276">
        <f t="shared" si="612"/>
        <v>-2.0912882053867872</v>
      </c>
      <c r="AQ677" s="276">
        <f t="shared" si="613"/>
        <v>0.45496543815454427</v>
      </c>
      <c r="AR677" s="276">
        <f t="shared" si="614"/>
        <v>2.3132879071811203</v>
      </c>
      <c r="AS677" s="276">
        <f t="shared" si="615"/>
        <v>-1.4891103864210775</v>
      </c>
      <c r="AT677" s="276">
        <f t="shared" si="616"/>
        <v>7.2697083943878749E-2</v>
      </c>
      <c r="AU677" s="685">
        <f t="shared" si="617"/>
        <v>1.6993788205874705</v>
      </c>
      <c r="AV677" s="276">
        <f t="shared" si="618"/>
        <v>0.8054761819158347</v>
      </c>
      <c r="AW677" s="276">
        <f t="shared" si="619"/>
        <v>1.5964549066798888</v>
      </c>
      <c r="AX677" s="276">
        <f t="shared" si="620"/>
        <v>1.5485575502851556</v>
      </c>
      <c r="AY677" s="276">
        <f t="shared" si="621"/>
        <v>1.7062337696847985</v>
      </c>
      <c r="AZ677" s="686">
        <f t="shared" si="622"/>
        <v>1.2448179940255033</v>
      </c>
      <c r="BA677" s="685">
        <f t="shared" si="623"/>
        <v>0</v>
      </c>
      <c r="BB677" s="276">
        <f t="shared" si="624"/>
        <v>0</v>
      </c>
      <c r="BC677" s="276">
        <f t="shared" si="625"/>
        <v>0</v>
      </c>
      <c r="BD677" s="276">
        <f t="shared" si="626"/>
        <v>0</v>
      </c>
      <c r="BE677" s="276">
        <f t="shared" si="627"/>
        <v>0</v>
      </c>
      <c r="BF677" s="686">
        <f t="shared" si="628"/>
        <v>0</v>
      </c>
      <c r="BG677" s="685" t="e">
        <f t="shared" si="629"/>
        <v>#DIV/0!</v>
      </c>
      <c r="BH677" s="276" t="e">
        <f t="shared" si="630"/>
        <v>#DIV/0!</v>
      </c>
      <c r="BI677" s="276" t="e">
        <f t="shared" si="631"/>
        <v>#DIV/0!</v>
      </c>
      <c r="BJ677" s="276" t="e">
        <f t="shared" si="632"/>
        <v>#DIV/0!</v>
      </c>
      <c r="BK677" s="276" t="e">
        <f t="shared" si="633"/>
        <v>#DIV/0!</v>
      </c>
      <c r="BL677" s="686" t="e">
        <f t="shared" si="634"/>
        <v>#DIV/0!</v>
      </c>
      <c r="BM677" s="239"/>
      <c r="BN677" s="965" t="e">
        <f t="shared" si="635"/>
        <v>#VALUE!</v>
      </c>
      <c r="BO677" s="878" t="e">
        <f t="shared" si="636"/>
        <v>#VALUE!</v>
      </c>
      <c r="BP677" s="878" t="e">
        <f t="shared" si="637"/>
        <v>#VALUE!</v>
      </c>
      <c r="BQ677" s="878" t="e">
        <f t="shared" si="638"/>
        <v>#VALUE!</v>
      </c>
      <c r="BR677" s="878" t="e">
        <f t="shared" si="639"/>
        <v>#VALUE!</v>
      </c>
      <c r="BS677" s="966" t="e">
        <f t="shared" si="640"/>
        <v>#VALUE!</v>
      </c>
    </row>
    <row r="678" spans="1:71">
      <c r="A678" s="284">
        <f t="shared" si="641"/>
        <v>610</v>
      </c>
      <c r="B678" s="285">
        <v>1.9451393745720578</v>
      </c>
      <c r="C678" s="285">
        <v>3.0263349096398739</v>
      </c>
      <c r="D678" s="285">
        <v>0.2714847690969111</v>
      </c>
      <c r="E678" s="285">
        <v>4.8925809097558322</v>
      </c>
      <c r="H678" s="685">
        <f t="shared" si="587"/>
        <v>0.81190553280300293</v>
      </c>
      <c r="I678" s="276">
        <f t="shared" si="588"/>
        <v>3.0020942575102731</v>
      </c>
      <c r="J678" s="276">
        <f t="shared" si="589"/>
        <v>0.5001765927604449</v>
      </c>
      <c r="K678" s="276">
        <f t="shared" si="590"/>
        <v>1.9213087306289112</v>
      </c>
      <c r="L678" s="276">
        <f t="shared" si="591"/>
        <v>1.0874758858132274</v>
      </c>
      <c r="M678" s="276">
        <f t="shared" si="592"/>
        <v>0.47111994466410612</v>
      </c>
      <c r="N678" s="685">
        <f t="shared" si="593"/>
        <v>1.8191636986680055</v>
      </c>
      <c r="O678" s="276">
        <f t="shared" si="594"/>
        <v>2.0714778997392704</v>
      </c>
      <c r="P678" s="276">
        <f t="shared" si="595"/>
        <v>1.7363953933896508</v>
      </c>
      <c r="Q678" s="276">
        <f t="shared" si="596"/>
        <v>1.1634246940644062</v>
      </c>
      <c r="R678" s="276">
        <f t="shared" si="597"/>
        <v>1.4831295221233189</v>
      </c>
      <c r="S678" s="686">
        <f t="shared" si="598"/>
        <v>0.65146424791133684</v>
      </c>
      <c r="T678" s="685">
        <f t="shared" si="599"/>
        <v>3.549848459367837</v>
      </c>
      <c r="U678" s="276">
        <f t="shared" si="600"/>
        <v>5.616365523404804</v>
      </c>
      <c r="V678" s="276">
        <f t="shared" si="601"/>
        <v>4.9122079427643124</v>
      </c>
      <c r="W678" s="276">
        <f t="shared" si="602"/>
        <v>3.2873253103987303</v>
      </c>
      <c r="X678" s="276">
        <f t="shared" si="603"/>
        <v>4.9967892576657409</v>
      </c>
      <c r="Y678" s="686">
        <f t="shared" si="604"/>
        <v>4.8134250629145612</v>
      </c>
      <c r="Z678" s="685" t="e">
        <f t="shared" si="605"/>
        <v>#DIV/0!</v>
      </c>
      <c r="AA678" s="276" t="e">
        <f t="shared" si="606"/>
        <v>#DIV/0!</v>
      </c>
      <c r="AB678" s="276" t="e">
        <f t="shared" si="607"/>
        <v>#DIV/0!</v>
      </c>
      <c r="AC678" s="276" t="e">
        <f t="shared" si="608"/>
        <v>#DIV/0!</v>
      </c>
      <c r="AD678" s="276" t="e">
        <f t="shared" si="609"/>
        <v>#DIV/0!</v>
      </c>
      <c r="AE678" s="686" t="e">
        <f t="shared" si="610"/>
        <v>#DIV/0!</v>
      </c>
      <c r="AF678" s="239"/>
      <c r="AG678" s="965" t="e">
        <f t="shared" si="581"/>
        <v>#VALUE!</v>
      </c>
      <c r="AH678" s="878" t="e">
        <f t="shared" si="582"/>
        <v>#VALUE!</v>
      </c>
      <c r="AI678" s="878" t="e">
        <f t="shared" si="583"/>
        <v>#VALUE!</v>
      </c>
      <c r="AJ678" s="878" t="e">
        <f t="shared" si="584"/>
        <v>#VALUE!</v>
      </c>
      <c r="AK678" s="878" t="e">
        <f t="shared" si="585"/>
        <v>#VALUE!</v>
      </c>
      <c r="AL678" s="966" t="e">
        <f t="shared" si="586"/>
        <v>#VALUE!</v>
      </c>
      <c r="AM678" s="239"/>
      <c r="AO678" s="685">
        <f t="shared" si="611"/>
        <v>0.81190553280300293</v>
      </c>
      <c r="AP678" s="276">
        <f t="shared" si="612"/>
        <v>3.0020942575102731</v>
      </c>
      <c r="AQ678" s="276">
        <f t="shared" si="613"/>
        <v>0.5001765927604449</v>
      </c>
      <c r="AR678" s="276">
        <f t="shared" si="614"/>
        <v>1.9213087306289112</v>
      </c>
      <c r="AS678" s="276">
        <f t="shared" si="615"/>
        <v>1.0874758858132274</v>
      </c>
      <c r="AT678" s="276">
        <f t="shared" si="616"/>
        <v>0.47111994466410612</v>
      </c>
      <c r="AU678" s="685">
        <f t="shared" si="617"/>
        <v>1.8191636986680055</v>
      </c>
      <c r="AV678" s="276">
        <f t="shared" si="618"/>
        <v>2.0714778997392704</v>
      </c>
      <c r="AW678" s="276">
        <f t="shared" si="619"/>
        <v>1.7363953933896508</v>
      </c>
      <c r="AX678" s="276">
        <f t="shared" si="620"/>
        <v>1.1634246940644062</v>
      </c>
      <c r="AY678" s="276">
        <f t="shared" si="621"/>
        <v>1.4831295221233189</v>
      </c>
      <c r="AZ678" s="686">
        <f t="shared" si="622"/>
        <v>0.65146424791133684</v>
      </c>
      <c r="BA678" s="685">
        <f t="shared" si="623"/>
        <v>0</v>
      </c>
      <c r="BB678" s="276">
        <f t="shared" si="624"/>
        <v>0</v>
      </c>
      <c r="BC678" s="276">
        <f t="shared" si="625"/>
        <v>0</v>
      </c>
      <c r="BD678" s="276">
        <f t="shared" si="626"/>
        <v>0</v>
      </c>
      <c r="BE678" s="276">
        <f t="shared" si="627"/>
        <v>0</v>
      </c>
      <c r="BF678" s="686">
        <f t="shared" si="628"/>
        <v>0</v>
      </c>
      <c r="BG678" s="685" t="e">
        <f t="shared" si="629"/>
        <v>#DIV/0!</v>
      </c>
      <c r="BH678" s="276" t="e">
        <f t="shared" si="630"/>
        <v>#DIV/0!</v>
      </c>
      <c r="BI678" s="276" t="e">
        <f t="shared" si="631"/>
        <v>#DIV/0!</v>
      </c>
      <c r="BJ678" s="276" t="e">
        <f t="shared" si="632"/>
        <v>#DIV/0!</v>
      </c>
      <c r="BK678" s="276" t="e">
        <f t="shared" si="633"/>
        <v>#DIV/0!</v>
      </c>
      <c r="BL678" s="686" t="e">
        <f t="shared" si="634"/>
        <v>#DIV/0!</v>
      </c>
      <c r="BM678" s="239"/>
      <c r="BN678" s="965" t="e">
        <f t="shared" si="635"/>
        <v>#VALUE!</v>
      </c>
      <c r="BO678" s="878" t="e">
        <f t="shared" si="636"/>
        <v>#VALUE!</v>
      </c>
      <c r="BP678" s="878" t="e">
        <f t="shared" si="637"/>
        <v>#VALUE!</v>
      </c>
      <c r="BQ678" s="878" t="e">
        <f t="shared" si="638"/>
        <v>#VALUE!</v>
      </c>
      <c r="BR678" s="878" t="e">
        <f t="shared" si="639"/>
        <v>#VALUE!</v>
      </c>
      <c r="BS678" s="966" t="e">
        <f t="shared" si="640"/>
        <v>#VALUE!</v>
      </c>
    </row>
    <row r="679" spans="1:71">
      <c r="A679" s="284">
        <f t="shared" si="641"/>
        <v>611</v>
      </c>
      <c r="B679" s="285">
        <v>3.4267105423242157</v>
      </c>
      <c r="C679" s="285">
        <v>2.7790637658000605</v>
      </c>
      <c r="D679" s="285">
        <v>0.91622829929869998</v>
      </c>
      <c r="E679" s="285">
        <v>2.3396677136702206</v>
      </c>
      <c r="H679" s="685">
        <f t="shared" si="587"/>
        <v>2.2934767005551606</v>
      </c>
      <c r="I679" s="276">
        <f t="shared" si="588"/>
        <v>4.4211493409106701</v>
      </c>
      <c r="J679" s="276">
        <f t="shared" si="589"/>
        <v>-3.3160090420005321</v>
      </c>
      <c r="K679" s="276">
        <f t="shared" si="590"/>
        <v>-0.31316824918078878</v>
      </c>
      <c r="L679" s="276">
        <f t="shared" si="591"/>
        <v>2.1797038469957535</v>
      </c>
      <c r="M679" s="276">
        <f t="shared" si="592"/>
        <v>-0.83827552128517269</v>
      </c>
      <c r="N679" s="685">
        <f t="shared" si="593"/>
        <v>1.5718925548281921</v>
      </c>
      <c r="O679" s="276">
        <f t="shared" si="594"/>
        <v>2.0923210075341538</v>
      </c>
      <c r="P679" s="276">
        <f t="shared" si="595"/>
        <v>0.8678743830503961</v>
      </c>
      <c r="Q679" s="276">
        <f t="shared" si="596"/>
        <v>1.1928655356014903</v>
      </c>
      <c r="R679" s="276">
        <f t="shared" si="597"/>
        <v>2.2611374628582794</v>
      </c>
      <c r="S679" s="686">
        <f t="shared" si="598"/>
        <v>1.190093232132573</v>
      </c>
      <c r="T679" s="685">
        <f t="shared" si="599"/>
        <v>4.1945919895696262</v>
      </c>
      <c r="U679" s="276">
        <f t="shared" si="600"/>
        <v>5.8126060074691814</v>
      </c>
      <c r="V679" s="276">
        <f t="shared" si="601"/>
        <v>6.1224807422979737</v>
      </c>
      <c r="W679" s="276">
        <f t="shared" si="602"/>
        <v>4.1821758985861441</v>
      </c>
      <c r="X679" s="276">
        <f t="shared" si="603"/>
        <v>6.2193186540618051</v>
      </c>
      <c r="Y679" s="686">
        <f t="shared" si="604"/>
        <v>3.5438787093074389</v>
      </c>
      <c r="Z679" s="685" t="e">
        <f t="shared" si="605"/>
        <v>#DIV/0!</v>
      </c>
      <c r="AA679" s="276" t="e">
        <f t="shared" si="606"/>
        <v>#DIV/0!</v>
      </c>
      <c r="AB679" s="276" t="e">
        <f t="shared" si="607"/>
        <v>#DIV/0!</v>
      </c>
      <c r="AC679" s="276" t="e">
        <f t="shared" si="608"/>
        <v>#DIV/0!</v>
      </c>
      <c r="AD679" s="276" t="e">
        <f t="shared" si="609"/>
        <v>#DIV/0!</v>
      </c>
      <c r="AE679" s="686" t="e">
        <f t="shared" si="610"/>
        <v>#DIV/0!</v>
      </c>
      <c r="AF679" s="239"/>
      <c r="AG679" s="965" t="e">
        <f t="shared" si="581"/>
        <v>#VALUE!</v>
      </c>
      <c r="AH679" s="878" t="e">
        <f t="shared" si="582"/>
        <v>#VALUE!</v>
      </c>
      <c r="AI679" s="878" t="e">
        <f t="shared" si="583"/>
        <v>#VALUE!</v>
      </c>
      <c r="AJ679" s="878" t="e">
        <f t="shared" si="584"/>
        <v>#VALUE!</v>
      </c>
      <c r="AK679" s="878" t="e">
        <f t="shared" si="585"/>
        <v>#VALUE!</v>
      </c>
      <c r="AL679" s="966" t="e">
        <f t="shared" si="586"/>
        <v>#VALUE!</v>
      </c>
      <c r="AM679" s="239"/>
      <c r="AO679" s="685">
        <f t="shared" si="611"/>
        <v>2.2934767005551606</v>
      </c>
      <c r="AP679" s="276">
        <f t="shared" si="612"/>
        <v>4.4211493409106701</v>
      </c>
      <c r="AQ679" s="276">
        <f t="shared" si="613"/>
        <v>-3.3160090420005321</v>
      </c>
      <c r="AR679" s="276">
        <f t="shared" si="614"/>
        <v>-0.31316824918078878</v>
      </c>
      <c r="AS679" s="276">
        <f t="shared" si="615"/>
        <v>2.1797038469957535</v>
      </c>
      <c r="AT679" s="276">
        <f t="shared" si="616"/>
        <v>-0.83827552128517269</v>
      </c>
      <c r="AU679" s="685">
        <f t="shared" si="617"/>
        <v>1.5718925548281921</v>
      </c>
      <c r="AV679" s="276">
        <f t="shared" si="618"/>
        <v>2.0923210075341538</v>
      </c>
      <c r="AW679" s="276">
        <f t="shared" si="619"/>
        <v>0.8678743830503961</v>
      </c>
      <c r="AX679" s="276">
        <f t="shared" si="620"/>
        <v>1.1928655356014903</v>
      </c>
      <c r="AY679" s="276">
        <f t="shared" si="621"/>
        <v>2.2611374628582794</v>
      </c>
      <c r="AZ679" s="686">
        <f t="shared" si="622"/>
        <v>1.190093232132573</v>
      </c>
      <c r="BA679" s="685">
        <f t="shared" si="623"/>
        <v>0</v>
      </c>
      <c r="BB679" s="276">
        <f t="shared" si="624"/>
        <v>0</v>
      </c>
      <c r="BC679" s="276">
        <f t="shared" si="625"/>
        <v>0</v>
      </c>
      <c r="BD679" s="276">
        <f t="shared" si="626"/>
        <v>0</v>
      </c>
      <c r="BE679" s="276">
        <f t="shared" si="627"/>
        <v>0</v>
      </c>
      <c r="BF679" s="686">
        <f t="shared" si="628"/>
        <v>0</v>
      </c>
      <c r="BG679" s="685" t="e">
        <f t="shared" si="629"/>
        <v>#DIV/0!</v>
      </c>
      <c r="BH679" s="276" t="e">
        <f t="shared" si="630"/>
        <v>#DIV/0!</v>
      </c>
      <c r="BI679" s="276" t="e">
        <f t="shared" si="631"/>
        <v>#DIV/0!</v>
      </c>
      <c r="BJ679" s="276" t="e">
        <f t="shared" si="632"/>
        <v>#DIV/0!</v>
      </c>
      <c r="BK679" s="276" t="e">
        <f t="shared" si="633"/>
        <v>#DIV/0!</v>
      </c>
      <c r="BL679" s="686" t="e">
        <f t="shared" si="634"/>
        <v>#DIV/0!</v>
      </c>
      <c r="BM679" s="239"/>
      <c r="BN679" s="965" t="e">
        <f t="shared" si="635"/>
        <v>#VALUE!</v>
      </c>
      <c r="BO679" s="878" t="e">
        <f t="shared" si="636"/>
        <v>#VALUE!</v>
      </c>
      <c r="BP679" s="878" t="e">
        <f t="shared" si="637"/>
        <v>#VALUE!</v>
      </c>
      <c r="BQ679" s="878" t="e">
        <f t="shared" si="638"/>
        <v>#VALUE!</v>
      </c>
      <c r="BR679" s="878" t="e">
        <f t="shared" si="639"/>
        <v>#VALUE!</v>
      </c>
      <c r="BS679" s="966" t="e">
        <f t="shared" si="640"/>
        <v>#VALUE!</v>
      </c>
    </row>
    <row r="680" spans="1:71">
      <c r="A680" s="284">
        <f t="shared" si="641"/>
        <v>612</v>
      </c>
      <c r="B680" s="285">
        <v>5.6498471339022964E-2</v>
      </c>
      <c r="C680" s="285">
        <v>2.3926018956521631</v>
      </c>
      <c r="D680" s="285">
        <v>1.2138511132081573</v>
      </c>
      <c r="E680" s="285">
        <v>3.6323292812867138</v>
      </c>
      <c r="H680" s="685">
        <f t="shared" si="587"/>
        <v>-1.076735370430032</v>
      </c>
      <c r="I680" s="276">
        <f t="shared" si="588"/>
        <v>-2.024909594386834</v>
      </c>
      <c r="J680" s="276">
        <f t="shared" si="589"/>
        <v>7.3880887618365643E-2</v>
      </c>
      <c r="K680" s="276">
        <f t="shared" si="590"/>
        <v>-1.72108942846087</v>
      </c>
      <c r="L680" s="276">
        <f t="shared" si="591"/>
        <v>-1.1149036616222159</v>
      </c>
      <c r="M680" s="276">
        <f t="shared" si="592"/>
        <v>-4.4007549502642656</v>
      </c>
      <c r="N680" s="685">
        <f t="shared" si="593"/>
        <v>1.1854306846802947</v>
      </c>
      <c r="O680" s="276">
        <f t="shared" si="594"/>
        <v>1.0149105446686153</v>
      </c>
      <c r="P680" s="276">
        <f t="shared" si="595"/>
        <v>1.5988427164580197</v>
      </c>
      <c r="Q680" s="276">
        <f t="shared" si="596"/>
        <v>1.8942136736691662</v>
      </c>
      <c r="R680" s="276">
        <f t="shared" si="597"/>
        <v>1.5086779201218639</v>
      </c>
      <c r="S680" s="686">
        <f t="shared" si="598"/>
        <v>1.5489885405978197</v>
      </c>
      <c r="T680" s="685">
        <f t="shared" si="599"/>
        <v>4.492214803479083</v>
      </c>
      <c r="U680" s="276">
        <f t="shared" si="600"/>
        <v>5.6593566097626367</v>
      </c>
      <c r="V680" s="276">
        <f t="shared" si="601"/>
        <v>5.3410330794849417</v>
      </c>
      <c r="W680" s="276">
        <f t="shared" si="602"/>
        <v>4.1085148590983591</v>
      </c>
      <c r="X680" s="276">
        <f t="shared" si="603"/>
        <v>5.8826200831303108</v>
      </c>
      <c r="Y680" s="686">
        <f t="shared" si="604"/>
        <v>2.675556073529044</v>
      </c>
      <c r="Z680" s="685" t="e">
        <f t="shared" si="605"/>
        <v>#DIV/0!</v>
      </c>
      <c r="AA680" s="276" t="e">
        <f t="shared" si="606"/>
        <v>#DIV/0!</v>
      </c>
      <c r="AB680" s="276" t="e">
        <f t="shared" si="607"/>
        <v>#DIV/0!</v>
      </c>
      <c r="AC680" s="276" t="e">
        <f t="shared" si="608"/>
        <v>#DIV/0!</v>
      </c>
      <c r="AD680" s="276" t="e">
        <f t="shared" si="609"/>
        <v>#DIV/0!</v>
      </c>
      <c r="AE680" s="686" t="e">
        <f t="shared" si="610"/>
        <v>#DIV/0!</v>
      </c>
      <c r="AF680" s="239"/>
      <c r="AG680" s="965" t="e">
        <f t="shared" si="581"/>
        <v>#VALUE!</v>
      </c>
      <c r="AH680" s="878" t="e">
        <f t="shared" si="582"/>
        <v>#VALUE!</v>
      </c>
      <c r="AI680" s="878" t="e">
        <f t="shared" si="583"/>
        <v>#VALUE!</v>
      </c>
      <c r="AJ680" s="878" t="e">
        <f t="shared" si="584"/>
        <v>#VALUE!</v>
      </c>
      <c r="AK680" s="878" t="e">
        <f t="shared" si="585"/>
        <v>#VALUE!</v>
      </c>
      <c r="AL680" s="966" t="e">
        <f t="shared" si="586"/>
        <v>#VALUE!</v>
      </c>
      <c r="AM680" s="239"/>
      <c r="AO680" s="685">
        <f t="shared" si="611"/>
        <v>-1.076735370430032</v>
      </c>
      <c r="AP680" s="276">
        <f t="shared" si="612"/>
        <v>-2.024909594386834</v>
      </c>
      <c r="AQ680" s="276">
        <f t="shared" si="613"/>
        <v>7.3880887618365643E-2</v>
      </c>
      <c r="AR680" s="276">
        <f t="shared" si="614"/>
        <v>-1.72108942846087</v>
      </c>
      <c r="AS680" s="276">
        <f t="shared" si="615"/>
        <v>-1.1149036616222159</v>
      </c>
      <c r="AT680" s="276">
        <f t="shared" si="616"/>
        <v>-4.4007549502642656</v>
      </c>
      <c r="AU680" s="685">
        <f t="shared" si="617"/>
        <v>1.1854306846802947</v>
      </c>
      <c r="AV680" s="276">
        <f t="shared" si="618"/>
        <v>1.0149105446686153</v>
      </c>
      <c r="AW680" s="276">
        <f t="shared" si="619"/>
        <v>1.5988427164580197</v>
      </c>
      <c r="AX680" s="276">
        <f t="shared" si="620"/>
        <v>1.8942136736691662</v>
      </c>
      <c r="AY680" s="276">
        <f t="shared" si="621"/>
        <v>1.5086779201218639</v>
      </c>
      <c r="AZ680" s="686">
        <f t="shared" si="622"/>
        <v>1.5489885405978197</v>
      </c>
      <c r="BA680" s="685">
        <f t="shared" si="623"/>
        <v>0</v>
      </c>
      <c r="BB680" s="276">
        <f t="shared" si="624"/>
        <v>0</v>
      </c>
      <c r="BC680" s="276">
        <f t="shared" si="625"/>
        <v>0</v>
      </c>
      <c r="BD680" s="276">
        <f t="shared" si="626"/>
        <v>0</v>
      </c>
      <c r="BE680" s="276">
        <f t="shared" si="627"/>
        <v>0</v>
      </c>
      <c r="BF680" s="686">
        <f t="shared" si="628"/>
        <v>0</v>
      </c>
      <c r="BG680" s="685" t="e">
        <f t="shared" si="629"/>
        <v>#DIV/0!</v>
      </c>
      <c r="BH680" s="276" t="e">
        <f t="shared" si="630"/>
        <v>#DIV/0!</v>
      </c>
      <c r="BI680" s="276" t="e">
        <f t="shared" si="631"/>
        <v>#DIV/0!</v>
      </c>
      <c r="BJ680" s="276" t="e">
        <f t="shared" si="632"/>
        <v>#DIV/0!</v>
      </c>
      <c r="BK680" s="276" t="e">
        <f t="shared" si="633"/>
        <v>#DIV/0!</v>
      </c>
      <c r="BL680" s="686" t="e">
        <f t="shared" si="634"/>
        <v>#DIV/0!</v>
      </c>
      <c r="BM680" s="239"/>
      <c r="BN680" s="965" t="e">
        <f t="shared" si="635"/>
        <v>#VALUE!</v>
      </c>
      <c r="BO680" s="878" t="e">
        <f t="shared" si="636"/>
        <v>#VALUE!</v>
      </c>
      <c r="BP680" s="878" t="e">
        <f t="shared" si="637"/>
        <v>#VALUE!</v>
      </c>
      <c r="BQ680" s="878" t="e">
        <f t="shared" si="638"/>
        <v>#VALUE!</v>
      </c>
      <c r="BR680" s="878" t="e">
        <f t="shared" si="639"/>
        <v>#VALUE!</v>
      </c>
      <c r="BS680" s="966" t="e">
        <f t="shared" si="640"/>
        <v>#VALUE!</v>
      </c>
    </row>
    <row r="681" spans="1:71">
      <c r="A681" s="284">
        <f t="shared" si="641"/>
        <v>613</v>
      </c>
      <c r="B681" s="285">
        <v>-0.38460051084240432</v>
      </c>
      <c r="C681" s="285">
        <v>2.7876453338602172</v>
      </c>
      <c r="D681" s="285">
        <v>1.5516730216856152</v>
      </c>
      <c r="E681" s="285">
        <v>-10.239444613385464</v>
      </c>
      <c r="H681" s="685">
        <f t="shared" si="587"/>
        <v>-1.5178343526114593</v>
      </c>
      <c r="I681" s="276">
        <f t="shared" si="588"/>
        <v>-3.2676897559011424</v>
      </c>
      <c r="J681" s="276">
        <f t="shared" si="589"/>
        <v>-2.630954165510476</v>
      </c>
      <c r="K681" s="276">
        <f t="shared" si="590"/>
        <v>1.1920757930247581</v>
      </c>
      <c r="L681" s="276">
        <f t="shared" si="591"/>
        <v>0.43228023002976856</v>
      </c>
      <c r="M681" s="276">
        <f t="shared" si="592"/>
        <v>-0.39885243903713086</v>
      </c>
      <c r="N681" s="685">
        <f t="shared" si="593"/>
        <v>1.5804741228883488</v>
      </c>
      <c r="O681" s="276">
        <f t="shared" si="594"/>
        <v>0.93841505017478144</v>
      </c>
      <c r="P681" s="276">
        <f t="shared" si="595"/>
        <v>0.90577610320252799</v>
      </c>
      <c r="Q681" s="276">
        <f t="shared" si="596"/>
        <v>2.0423538835923374</v>
      </c>
      <c r="R681" s="276">
        <f t="shared" si="597"/>
        <v>1.6138383392310056</v>
      </c>
      <c r="S681" s="686">
        <f t="shared" si="598"/>
        <v>0.84498326437783189</v>
      </c>
      <c r="T681" s="685">
        <f t="shared" si="599"/>
        <v>4.8300367119565415</v>
      </c>
      <c r="U681" s="276">
        <f t="shared" si="600"/>
        <v>5.321647620246825</v>
      </c>
      <c r="V681" s="276">
        <f t="shared" si="601"/>
        <v>5.6262765942525519</v>
      </c>
      <c r="W681" s="276">
        <f t="shared" si="602"/>
        <v>4.1296277723501547</v>
      </c>
      <c r="X681" s="276">
        <f t="shared" si="603"/>
        <v>3.5271402291290093</v>
      </c>
      <c r="Y681" s="686">
        <f t="shared" si="604"/>
        <v>5.9072976158991377</v>
      </c>
      <c r="Z681" s="685" t="e">
        <f t="shared" si="605"/>
        <v>#DIV/0!</v>
      </c>
      <c r="AA681" s="276" t="e">
        <f t="shared" si="606"/>
        <v>#DIV/0!</v>
      </c>
      <c r="AB681" s="276" t="e">
        <f t="shared" si="607"/>
        <v>#DIV/0!</v>
      </c>
      <c r="AC681" s="276" t="e">
        <f t="shared" si="608"/>
        <v>#DIV/0!</v>
      </c>
      <c r="AD681" s="276" t="e">
        <f t="shared" si="609"/>
        <v>#DIV/0!</v>
      </c>
      <c r="AE681" s="686" t="e">
        <f t="shared" si="610"/>
        <v>#DIV/0!</v>
      </c>
      <c r="AF681" s="239"/>
      <c r="AG681" s="965" t="e">
        <f t="shared" si="581"/>
        <v>#VALUE!</v>
      </c>
      <c r="AH681" s="878" t="e">
        <f t="shared" si="582"/>
        <v>#VALUE!</v>
      </c>
      <c r="AI681" s="878" t="e">
        <f t="shared" si="583"/>
        <v>#VALUE!</v>
      </c>
      <c r="AJ681" s="878" t="e">
        <f t="shared" si="584"/>
        <v>#VALUE!</v>
      </c>
      <c r="AK681" s="878" t="e">
        <f t="shared" si="585"/>
        <v>#VALUE!</v>
      </c>
      <c r="AL681" s="966" t="e">
        <f t="shared" si="586"/>
        <v>#VALUE!</v>
      </c>
      <c r="AM681" s="239"/>
      <c r="AO681" s="685">
        <f t="shared" si="611"/>
        <v>-1.5178343526114593</v>
      </c>
      <c r="AP681" s="276">
        <f t="shared" si="612"/>
        <v>-3.2676897559011424</v>
      </c>
      <c r="AQ681" s="276">
        <f t="shared" si="613"/>
        <v>-2.630954165510476</v>
      </c>
      <c r="AR681" s="276">
        <f t="shared" si="614"/>
        <v>1.1920757930247581</v>
      </c>
      <c r="AS681" s="276">
        <f t="shared" si="615"/>
        <v>0.43228023002976856</v>
      </c>
      <c r="AT681" s="276">
        <f t="shared" si="616"/>
        <v>-0.39885243903713086</v>
      </c>
      <c r="AU681" s="685">
        <f t="shared" si="617"/>
        <v>1.5804741228883488</v>
      </c>
      <c r="AV681" s="276">
        <f t="shared" si="618"/>
        <v>0.93841505017478144</v>
      </c>
      <c r="AW681" s="276">
        <f t="shared" si="619"/>
        <v>0.90577610320252799</v>
      </c>
      <c r="AX681" s="276">
        <f t="shared" si="620"/>
        <v>2.0423538835923374</v>
      </c>
      <c r="AY681" s="276">
        <f t="shared" si="621"/>
        <v>1.6138383392310056</v>
      </c>
      <c r="AZ681" s="686">
        <f t="shared" si="622"/>
        <v>0.84498326437783189</v>
      </c>
      <c r="BA681" s="685">
        <f t="shared" si="623"/>
        <v>0</v>
      </c>
      <c r="BB681" s="276">
        <f t="shared" si="624"/>
        <v>0</v>
      </c>
      <c r="BC681" s="276">
        <f t="shared" si="625"/>
        <v>0</v>
      </c>
      <c r="BD681" s="276">
        <f t="shared" si="626"/>
        <v>0</v>
      </c>
      <c r="BE681" s="276">
        <f t="shared" si="627"/>
        <v>0</v>
      </c>
      <c r="BF681" s="686">
        <f t="shared" si="628"/>
        <v>0</v>
      </c>
      <c r="BG681" s="685" t="e">
        <f t="shared" si="629"/>
        <v>#DIV/0!</v>
      </c>
      <c r="BH681" s="276" t="e">
        <f t="shared" si="630"/>
        <v>#DIV/0!</v>
      </c>
      <c r="BI681" s="276" t="e">
        <f t="shared" si="631"/>
        <v>#DIV/0!</v>
      </c>
      <c r="BJ681" s="276" t="e">
        <f t="shared" si="632"/>
        <v>#DIV/0!</v>
      </c>
      <c r="BK681" s="276" t="e">
        <f t="shared" si="633"/>
        <v>#DIV/0!</v>
      </c>
      <c r="BL681" s="686" t="e">
        <f t="shared" si="634"/>
        <v>#DIV/0!</v>
      </c>
      <c r="BM681" s="239"/>
      <c r="BN681" s="965" t="e">
        <f t="shared" si="635"/>
        <v>#VALUE!</v>
      </c>
      <c r="BO681" s="878" t="e">
        <f t="shared" si="636"/>
        <v>#VALUE!</v>
      </c>
      <c r="BP681" s="878" t="e">
        <f t="shared" si="637"/>
        <v>#VALUE!</v>
      </c>
      <c r="BQ681" s="878" t="e">
        <f t="shared" si="638"/>
        <v>#VALUE!</v>
      </c>
      <c r="BR681" s="878" t="e">
        <f t="shared" si="639"/>
        <v>#VALUE!</v>
      </c>
      <c r="BS681" s="966" t="e">
        <f t="shared" si="640"/>
        <v>#VALUE!</v>
      </c>
    </row>
    <row r="682" spans="1:71">
      <c r="A682" s="284">
        <f t="shared" si="641"/>
        <v>614</v>
      </c>
      <c r="B682" s="285">
        <v>1.7660451919788238</v>
      </c>
      <c r="C682" s="285">
        <v>2.8133312086811459</v>
      </c>
      <c r="D682" s="285">
        <v>1.6045027729038703</v>
      </c>
      <c r="E682" s="285">
        <v>0.23293835086818904</v>
      </c>
      <c r="H682" s="685">
        <f t="shared" si="587"/>
        <v>0.63281135020976897</v>
      </c>
      <c r="I682" s="276">
        <f t="shared" si="588"/>
        <v>-3.7477747571113253</v>
      </c>
      <c r="J682" s="276">
        <f t="shared" si="589"/>
        <v>-0.82198199252699</v>
      </c>
      <c r="K682" s="276">
        <f t="shared" si="590"/>
        <v>0.67091196461424074</v>
      </c>
      <c r="L682" s="276">
        <f t="shared" si="591"/>
        <v>2.2667525328608233</v>
      </c>
      <c r="M682" s="276">
        <f t="shared" si="592"/>
        <v>-1.6173559108263702</v>
      </c>
      <c r="N682" s="685">
        <f t="shared" si="593"/>
        <v>1.6061599977092775</v>
      </c>
      <c r="O682" s="276">
        <f t="shared" si="594"/>
        <v>1.3550765001117038</v>
      </c>
      <c r="P682" s="276">
        <f t="shared" si="595"/>
        <v>1.0987489913726931</v>
      </c>
      <c r="Q682" s="276">
        <f t="shared" si="596"/>
        <v>1.5175018352454932</v>
      </c>
      <c r="R682" s="276">
        <f t="shared" si="597"/>
        <v>0.94955908817905743</v>
      </c>
      <c r="S682" s="686">
        <f t="shared" si="598"/>
        <v>0.19471509952479549</v>
      </c>
      <c r="T682" s="685">
        <f t="shared" si="599"/>
        <v>4.8828664631747962</v>
      </c>
      <c r="U682" s="276">
        <f t="shared" si="600"/>
        <v>3.0825679247107431</v>
      </c>
      <c r="V682" s="276">
        <f t="shared" si="601"/>
        <v>4.6594154918887654</v>
      </c>
      <c r="W682" s="276">
        <f t="shared" si="602"/>
        <v>4.5322389583402041</v>
      </c>
      <c r="X682" s="276">
        <f t="shared" si="603"/>
        <v>5.6203401106322417</v>
      </c>
      <c r="Y682" s="686">
        <f t="shared" si="604"/>
        <v>5.1771636556634704</v>
      </c>
      <c r="Z682" s="685" t="e">
        <f t="shared" si="605"/>
        <v>#DIV/0!</v>
      </c>
      <c r="AA682" s="276" t="e">
        <f t="shared" si="606"/>
        <v>#DIV/0!</v>
      </c>
      <c r="AB682" s="276" t="e">
        <f t="shared" si="607"/>
        <v>#DIV/0!</v>
      </c>
      <c r="AC682" s="276" t="e">
        <f t="shared" si="608"/>
        <v>#DIV/0!</v>
      </c>
      <c r="AD682" s="276" t="e">
        <f t="shared" si="609"/>
        <v>#DIV/0!</v>
      </c>
      <c r="AE682" s="686" t="e">
        <f t="shared" si="610"/>
        <v>#DIV/0!</v>
      </c>
      <c r="AF682" s="239"/>
      <c r="AG682" s="965" t="e">
        <f t="shared" si="581"/>
        <v>#VALUE!</v>
      </c>
      <c r="AH682" s="878" t="e">
        <f t="shared" si="582"/>
        <v>#VALUE!</v>
      </c>
      <c r="AI682" s="878" t="e">
        <f t="shared" si="583"/>
        <v>#VALUE!</v>
      </c>
      <c r="AJ682" s="878" t="e">
        <f t="shared" si="584"/>
        <v>#VALUE!</v>
      </c>
      <c r="AK682" s="878" t="e">
        <f t="shared" si="585"/>
        <v>#VALUE!</v>
      </c>
      <c r="AL682" s="966" t="e">
        <f t="shared" si="586"/>
        <v>#VALUE!</v>
      </c>
      <c r="AM682" s="239"/>
      <c r="AO682" s="685">
        <f t="shared" si="611"/>
        <v>0.63281135020976897</v>
      </c>
      <c r="AP682" s="276">
        <f t="shared" si="612"/>
        <v>-3.7477747571113253</v>
      </c>
      <c r="AQ682" s="276">
        <f t="shared" si="613"/>
        <v>-0.82198199252699</v>
      </c>
      <c r="AR682" s="276">
        <f t="shared" si="614"/>
        <v>0.67091196461424074</v>
      </c>
      <c r="AS682" s="276">
        <f t="shared" si="615"/>
        <v>2.2667525328608233</v>
      </c>
      <c r="AT682" s="276">
        <f t="shared" si="616"/>
        <v>-1.6173559108263702</v>
      </c>
      <c r="AU682" s="685">
        <f t="shared" si="617"/>
        <v>1.6061599977092775</v>
      </c>
      <c r="AV682" s="276">
        <f t="shared" si="618"/>
        <v>1.3550765001117038</v>
      </c>
      <c r="AW682" s="276">
        <f t="shared" si="619"/>
        <v>1.0987489913726931</v>
      </c>
      <c r="AX682" s="276">
        <f t="shared" si="620"/>
        <v>1.5175018352454932</v>
      </c>
      <c r="AY682" s="276">
        <f t="shared" si="621"/>
        <v>0.94955908817905743</v>
      </c>
      <c r="AZ682" s="686">
        <f t="shared" si="622"/>
        <v>0.19471509952479549</v>
      </c>
      <c r="BA682" s="685">
        <f t="shared" si="623"/>
        <v>0</v>
      </c>
      <c r="BB682" s="276">
        <f t="shared" si="624"/>
        <v>0</v>
      </c>
      <c r="BC682" s="276">
        <f t="shared" si="625"/>
        <v>0</v>
      </c>
      <c r="BD682" s="276">
        <f t="shared" si="626"/>
        <v>0</v>
      </c>
      <c r="BE682" s="276">
        <f t="shared" si="627"/>
        <v>0</v>
      </c>
      <c r="BF682" s="686">
        <f t="shared" si="628"/>
        <v>0</v>
      </c>
      <c r="BG682" s="685" t="e">
        <f t="shared" si="629"/>
        <v>#DIV/0!</v>
      </c>
      <c r="BH682" s="276" t="e">
        <f t="shared" si="630"/>
        <v>#DIV/0!</v>
      </c>
      <c r="BI682" s="276" t="e">
        <f t="shared" si="631"/>
        <v>#DIV/0!</v>
      </c>
      <c r="BJ682" s="276" t="e">
        <f t="shared" si="632"/>
        <v>#DIV/0!</v>
      </c>
      <c r="BK682" s="276" t="e">
        <f t="shared" si="633"/>
        <v>#DIV/0!</v>
      </c>
      <c r="BL682" s="686" t="e">
        <f t="shared" si="634"/>
        <v>#DIV/0!</v>
      </c>
      <c r="BM682" s="239"/>
      <c r="BN682" s="965" t="e">
        <f t="shared" si="635"/>
        <v>#VALUE!</v>
      </c>
      <c r="BO682" s="878" t="e">
        <f t="shared" si="636"/>
        <v>#VALUE!</v>
      </c>
      <c r="BP682" s="878" t="e">
        <f t="shared" si="637"/>
        <v>#VALUE!</v>
      </c>
      <c r="BQ682" s="878" t="e">
        <f t="shared" si="638"/>
        <v>#VALUE!</v>
      </c>
      <c r="BR682" s="878" t="e">
        <f t="shared" si="639"/>
        <v>#VALUE!</v>
      </c>
      <c r="BS682" s="966" t="e">
        <f t="shared" si="640"/>
        <v>#VALUE!</v>
      </c>
    </row>
    <row r="683" spans="1:71">
      <c r="A683" s="284">
        <f t="shared" si="641"/>
        <v>615</v>
      </c>
      <c r="B683" s="285">
        <v>-1.0896314989092475</v>
      </c>
      <c r="C683" s="285">
        <v>2.7672519441357712</v>
      </c>
      <c r="D683" s="285">
        <v>1.9190949503905266</v>
      </c>
      <c r="E683" s="285">
        <v>-8.1729687868108964</v>
      </c>
      <c r="H683" s="685">
        <f t="shared" si="587"/>
        <v>-2.2228653406783021</v>
      </c>
      <c r="I683" s="276">
        <f t="shared" si="588"/>
        <v>3.3824721909594961</v>
      </c>
      <c r="J683" s="276">
        <f t="shared" si="589"/>
        <v>-0.90409060547093856</v>
      </c>
      <c r="K683" s="276">
        <f t="shared" si="590"/>
        <v>-1.6777122132799964</v>
      </c>
      <c r="L683" s="276">
        <f t="shared" si="591"/>
        <v>2.3140225853214957</v>
      </c>
      <c r="M683" s="276">
        <f t="shared" si="592"/>
        <v>0.97370443552395902</v>
      </c>
      <c r="N683" s="685">
        <f t="shared" si="593"/>
        <v>1.5600807331639028</v>
      </c>
      <c r="O683" s="276">
        <f t="shared" si="594"/>
        <v>1.7993096976291054</v>
      </c>
      <c r="P683" s="276">
        <f t="shared" si="595"/>
        <v>0.75420305825802614</v>
      </c>
      <c r="Q683" s="276">
        <f t="shared" si="596"/>
        <v>1.3728464848548392</v>
      </c>
      <c r="R683" s="276">
        <f t="shared" si="597"/>
        <v>1.8497221410971287</v>
      </c>
      <c r="S683" s="686">
        <f t="shared" si="598"/>
        <v>0.89512688957911934</v>
      </c>
      <c r="T683" s="685">
        <f t="shared" si="599"/>
        <v>5.197458640661452</v>
      </c>
      <c r="U683" s="276">
        <f t="shared" si="600"/>
        <v>5.2121787268004773</v>
      </c>
      <c r="V683" s="276">
        <f t="shared" si="601"/>
        <v>3.3035371424408755</v>
      </c>
      <c r="W683" s="276">
        <f t="shared" si="602"/>
        <v>4.1252405653531117</v>
      </c>
      <c r="X683" s="276">
        <f t="shared" si="603"/>
        <v>3.4016782948103836</v>
      </c>
      <c r="Y683" s="686">
        <f t="shared" si="604"/>
        <v>5.4261421251972113</v>
      </c>
      <c r="Z683" s="685" t="e">
        <f t="shared" si="605"/>
        <v>#DIV/0!</v>
      </c>
      <c r="AA683" s="276" t="e">
        <f t="shared" si="606"/>
        <v>#DIV/0!</v>
      </c>
      <c r="AB683" s="276" t="e">
        <f t="shared" si="607"/>
        <v>#DIV/0!</v>
      </c>
      <c r="AC683" s="276" t="e">
        <f t="shared" si="608"/>
        <v>#DIV/0!</v>
      </c>
      <c r="AD683" s="276" t="e">
        <f t="shared" si="609"/>
        <v>#DIV/0!</v>
      </c>
      <c r="AE683" s="686" t="e">
        <f t="shared" si="610"/>
        <v>#DIV/0!</v>
      </c>
      <c r="AF683" s="239"/>
      <c r="AG683" s="965" t="e">
        <f t="shared" si="581"/>
        <v>#VALUE!</v>
      </c>
      <c r="AH683" s="878" t="e">
        <f t="shared" si="582"/>
        <v>#VALUE!</v>
      </c>
      <c r="AI683" s="878" t="e">
        <f t="shared" si="583"/>
        <v>#VALUE!</v>
      </c>
      <c r="AJ683" s="878" t="e">
        <f t="shared" si="584"/>
        <v>#VALUE!</v>
      </c>
      <c r="AK683" s="878" t="e">
        <f t="shared" si="585"/>
        <v>#VALUE!</v>
      </c>
      <c r="AL683" s="966" t="e">
        <f t="shared" si="586"/>
        <v>#VALUE!</v>
      </c>
      <c r="AM683" s="239"/>
      <c r="AO683" s="685">
        <f t="shared" si="611"/>
        <v>-2.2228653406783021</v>
      </c>
      <c r="AP683" s="276">
        <f t="shared" si="612"/>
        <v>3.3824721909594961</v>
      </c>
      <c r="AQ683" s="276">
        <f t="shared" si="613"/>
        <v>-0.90409060547093856</v>
      </c>
      <c r="AR683" s="276">
        <f t="shared" si="614"/>
        <v>-1.6777122132799964</v>
      </c>
      <c r="AS683" s="276">
        <f t="shared" si="615"/>
        <v>2.3140225853214957</v>
      </c>
      <c r="AT683" s="276">
        <f t="shared" si="616"/>
        <v>0.97370443552395902</v>
      </c>
      <c r="AU683" s="685">
        <f t="shared" si="617"/>
        <v>1.5600807331639028</v>
      </c>
      <c r="AV683" s="276">
        <f t="shared" si="618"/>
        <v>1.7993096976291054</v>
      </c>
      <c r="AW683" s="276">
        <f t="shared" si="619"/>
        <v>0.75420305825802614</v>
      </c>
      <c r="AX683" s="276">
        <f t="shared" si="620"/>
        <v>1.3728464848548392</v>
      </c>
      <c r="AY683" s="276">
        <f t="shared" si="621"/>
        <v>1.8497221410971287</v>
      </c>
      <c r="AZ683" s="686">
        <f t="shared" si="622"/>
        <v>0.89512688957911934</v>
      </c>
      <c r="BA683" s="685">
        <f t="shared" si="623"/>
        <v>0</v>
      </c>
      <c r="BB683" s="276">
        <f t="shared" si="624"/>
        <v>0</v>
      </c>
      <c r="BC683" s="276">
        <f t="shared" si="625"/>
        <v>0</v>
      </c>
      <c r="BD683" s="276">
        <f t="shared" si="626"/>
        <v>0</v>
      </c>
      <c r="BE683" s="276">
        <f t="shared" si="627"/>
        <v>0</v>
      </c>
      <c r="BF683" s="686">
        <f t="shared" si="628"/>
        <v>0</v>
      </c>
      <c r="BG683" s="685" t="e">
        <f t="shared" si="629"/>
        <v>#DIV/0!</v>
      </c>
      <c r="BH683" s="276" t="e">
        <f t="shared" si="630"/>
        <v>#DIV/0!</v>
      </c>
      <c r="BI683" s="276" t="e">
        <f t="shared" si="631"/>
        <v>#DIV/0!</v>
      </c>
      <c r="BJ683" s="276" t="e">
        <f t="shared" si="632"/>
        <v>#DIV/0!</v>
      </c>
      <c r="BK683" s="276" t="e">
        <f t="shared" si="633"/>
        <v>#DIV/0!</v>
      </c>
      <c r="BL683" s="686" t="e">
        <f t="shared" si="634"/>
        <v>#DIV/0!</v>
      </c>
      <c r="BM683" s="239"/>
      <c r="BN683" s="965" t="e">
        <f t="shared" si="635"/>
        <v>#VALUE!</v>
      </c>
      <c r="BO683" s="878" t="e">
        <f t="shared" si="636"/>
        <v>#VALUE!</v>
      </c>
      <c r="BP683" s="878" t="e">
        <f t="shared" si="637"/>
        <v>#VALUE!</v>
      </c>
      <c r="BQ683" s="878" t="e">
        <f t="shared" si="638"/>
        <v>#VALUE!</v>
      </c>
      <c r="BR683" s="878" t="e">
        <f t="shared" si="639"/>
        <v>#VALUE!</v>
      </c>
      <c r="BS683" s="966" t="e">
        <f t="shared" si="640"/>
        <v>#VALUE!</v>
      </c>
    </row>
    <row r="684" spans="1:71">
      <c r="A684" s="284">
        <f t="shared" si="641"/>
        <v>616</v>
      </c>
      <c r="B684" s="285">
        <v>0.62383451932479683</v>
      </c>
      <c r="C684" s="285">
        <v>2.8477134164141278</v>
      </c>
      <c r="D684" s="285">
        <v>-0.36396153806857012</v>
      </c>
      <c r="E684" s="285">
        <v>2.7908888289388085</v>
      </c>
      <c r="H684" s="685">
        <f t="shared" si="587"/>
        <v>-0.50939932244425801</v>
      </c>
      <c r="I684" s="276">
        <f t="shared" si="588"/>
        <v>-3.2331665691688238</v>
      </c>
      <c r="J684" s="276">
        <f t="shared" si="589"/>
        <v>-3.2163970419942789E-2</v>
      </c>
      <c r="K684" s="276">
        <f t="shared" si="590"/>
        <v>-1.4332079523047272</v>
      </c>
      <c r="L684" s="276">
        <f t="shared" si="591"/>
        <v>-1.2032197574073644</v>
      </c>
      <c r="M684" s="276">
        <f t="shared" si="592"/>
        <v>-1.9204239781853518</v>
      </c>
      <c r="N684" s="685">
        <f t="shared" si="593"/>
        <v>1.6405422054422594</v>
      </c>
      <c r="O684" s="276">
        <f t="shared" si="594"/>
        <v>0.65604333551558147</v>
      </c>
      <c r="P684" s="276">
        <f t="shared" si="595"/>
        <v>1.7515682108900863</v>
      </c>
      <c r="Q684" s="276">
        <f t="shared" si="596"/>
        <v>0.67608994937420319</v>
      </c>
      <c r="R684" s="276">
        <f t="shared" si="597"/>
        <v>0.97513580575322023</v>
      </c>
      <c r="S684" s="686">
        <f t="shared" si="598"/>
        <v>1.2940435333004727</v>
      </c>
      <c r="T684" s="685">
        <f t="shared" si="599"/>
        <v>2.9144021522023555</v>
      </c>
      <c r="U684" s="276">
        <f t="shared" si="600"/>
        <v>4.7383791531666031</v>
      </c>
      <c r="V684" s="276">
        <f t="shared" si="601"/>
        <v>3.8787597861288705</v>
      </c>
      <c r="W684" s="276">
        <f t="shared" si="602"/>
        <v>3.8161998875389189</v>
      </c>
      <c r="X684" s="276">
        <f t="shared" si="603"/>
        <v>6.4339671367200779</v>
      </c>
      <c r="Y684" s="686">
        <f t="shared" si="604"/>
        <v>3.0595966150211029</v>
      </c>
      <c r="Z684" s="685" t="e">
        <f t="shared" si="605"/>
        <v>#DIV/0!</v>
      </c>
      <c r="AA684" s="276" t="e">
        <f t="shared" si="606"/>
        <v>#DIV/0!</v>
      </c>
      <c r="AB684" s="276" t="e">
        <f t="shared" si="607"/>
        <v>#DIV/0!</v>
      </c>
      <c r="AC684" s="276" t="e">
        <f t="shared" si="608"/>
        <v>#DIV/0!</v>
      </c>
      <c r="AD684" s="276" t="e">
        <f t="shared" si="609"/>
        <v>#DIV/0!</v>
      </c>
      <c r="AE684" s="686" t="e">
        <f t="shared" si="610"/>
        <v>#DIV/0!</v>
      </c>
      <c r="AF684" s="239"/>
      <c r="AG684" s="965" t="e">
        <f t="shared" si="581"/>
        <v>#VALUE!</v>
      </c>
      <c r="AH684" s="878" t="e">
        <f t="shared" si="582"/>
        <v>#VALUE!</v>
      </c>
      <c r="AI684" s="878" t="e">
        <f t="shared" si="583"/>
        <v>#VALUE!</v>
      </c>
      <c r="AJ684" s="878" t="e">
        <f t="shared" si="584"/>
        <v>#VALUE!</v>
      </c>
      <c r="AK684" s="878" t="e">
        <f t="shared" si="585"/>
        <v>#VALUE!</v>
      </c>
      <c r="AL684" s="966" t="e">
        <f t="shared" si="586"/>
        <v>#VALUE!</v>
      </c>
      <c r="AM684" s="239"/>
      <c r="AO684" s="685">
        <f t="shared" si="611"/>
        <v>-0.50939932244425801</v>
      </c>
      <c r="AP684" s="276">
        <f t="shared" si="612"/>
        <v>-3.2331665691688238</v>
      </c>
      <c r="AQ684" s="276">
        <f t="shared" si="613"/>
        <v>-3.2163970419942789E-2</v>
      </c>
      <c r="AR684" s="276">
        <f t="shared" si="614"/>
        <v>-1.4332079523047272</v>
      </c>
      <c r="AS684" s="276">
        <f t="shared" si="615"/>
        <v>-1.2032197574073644</v>
      </c>
      <c r="AT684" s="276">
        <f t="shared" si="616"/>
        <v>-1.9204239781853518</v>
      </c>
      <c r="AU684" s="685">
        <f t="shared" si="617"/>
        <v>1.6405422054422594</v>
      </c>
      <c r="AV684" s="276">
        <f t="shared" si="618"/>
        <v>0.65604333551558147</v>
      </c>
      <c r="AW684" s="276">
        <f t="shared" si="619"/>
        <v>1.7515682108900863</v>
      </c>
      <c r="AX684" s="276">
        <f t="shared" si="620"/>
        <v>0.67608994937420319</v>
      </c>
      <c r="AY684" s="276">
        <f t="shared" si="621"/>
        <v>0.97513580575322023</v>
      </c>
      <c r="AZ684" s="686">
        <f t="shared" si="622"/>
        <v>1.2940435333004727</v>
      </c>
      <c r="BA684" s="685">
        <f t="shared" si="623"/>
        <v>0</v>
      </c>
      <c r="BB684" s="276">
        <f t="shared" si="624"/>
        <v>0</v>
      </c>
      <c r="BC684" s="276">
        <f t="shared" si="625"/>
        <v>0</v>
      </c>
      <c r="BD684" s="276">
        <f t="shared" si="626"/>
        <v>0</v>
      </c>
      <c r="BE684" s="276">
        <f t="shared" si="627"/>
        <v>0</v>
      </c>
      <c r="BF684" s="686">
        <f t="shared" si="628"/>
        <v>0</v>
      </c>
      <c r="BG684" s="685" t="e">
        <f t="shared" si="629"/>
        <v>#DIV/0!</v>
      </c>
      <c r="BH684" s="276" t="e">
        <f t="shared" si="630"/>
        <v>#DIV/0!</v>
      </c>
      <c r="BI684" s="276" t="e">
        <f t="shared" si="631"/>
        <v>#DIV/0!</v>
      </c>
      <c r="BJ684" s="276" t="e">
        <f t="shared" si="632"/>
        <v>#DIV/0!</v>
      </c>
      <c r="BK684" s="276" t="e">
        <f t="shared" si="633"/>
        <v>#DIV/0!</v>
      </c>
      <c r="BL684" s="686" t="e">
        <f t="shared" si="634"/>
        <v>#DIV/0!</v>
      </c>
      <c r="BM684" s="239"/>
      <c r="BN684" s="965" t="e">
        <f t="shared" si="635"/>
        <v>#VALUE!</v>
      </c>
      <c r="BO684" s="878" t="e">
        <f t="shared" si="636"/>
        <v>#VALUE!</v>
      </c>
      <c r="BP684" s="878" t="e">
        <f t="shared" si="637"/>
        <v>#VALUE!</v>
      </c>
      <c r="BQ684" s="878" t="e">
        <f t="shared" si="638"/>
        <v>#VALUE!</v>
      </c>
      <c r="BR684" s="878" t="e">
        <f t="shared" si="639"/>
        <v>#VALUE!</v>
      </c>
      <c r="BS684" s="966" t="e">
        <f t="shared" si="640"/>
        <v>#VALUE!</v>
      </c>
    </row>
    <row r="685" spans="1:71">
      <c r="A685" s="284">
        <f t="shared" si="641"/>
        <v>617</v>
      </c>
      <c r="B685" s="285">
        <v>-2.6191831435974176</v>
      </c>
      <c r="C685" s="285">
        <v>2.9561718188155885</v>
      </c>
      <c r="D685" s="285">
        <v>2.2216338796069279</v>
      </c>
      <c r="E685" s="285">
        <v>4.4155690973926962</v>
      </c>
      <c r="H685" s="685">
        <f t="shared" si="587"/>
        <v>-3.7524169853664722</v>
      </c>
      <c r="I685" s="276">
        <f t="shared" si="588"/>
        <v>-5.6619365182519124</v>
      </c>
      <c r="J685" s="276">
        <f t="shared" si="589"/>
        <v>-0.30508368427191224</v>
      </c>
      <c r="K685" s="276">
        <f t="shared" si="590"/>
        <v>-2.4082833268175783</v>
      </c>
      <c r="L685" s="276">
        <f t="shared" si="591"/>
        <v>1.642619813167056</v>
      </c>
      <c r="M685" s="276">
        <f t="shared" si="592"/>
        <v>2.3444363844025196</v>
      </c>
      <c r="N685" s="685">
        <f t="shared" si="593"/>
        <v>1.7490006078437201</v>
      </c>
      <c r="O685" s="276">
        <f t="shared" si="594"/>
        <v>0.52915208027786642</v>
      </c>
      <c r="P685" s="276">
        <f t="shared" si="595"/>
        <v>1.8446020928209046</v>
      </c>
      <c r="Q685" s="276">
        <f t="shared" si="596"/>
        <v>1.5548691810401591</v>
      </c>
      <c r="R685" s="276">
        <f t="shared" si="597"/>
        <v>1.2854497943835865</v>
      </c>
      <c r="S685" s="686">
        <f t="shared" si="598"/>
        <v>1.33027758322387</v>
      </c>
      <c r="T685" s="685">
        <f t="shared" si="599"/>
        <v>5.4999975698778538</v>
      </c>
      <c r="U685" s="276">
        <f t="shared" si="600"/>
        <v>2.4749790149787265</v>
      </c>
      <c r="V685" s="276">
        <f t="shared" si="601"/>
        <v>3.322491421845887</v>
      </c>
      <c r="W685" s="276">
        <f t="shared" si="602"/>
        <v>4.207375553235341</v>
      </c>
      <c r="X685" s="276">
        <f t="shared" si="603"/>
        <v>6.2940623863379273</v>
      </c>
      <c r="Y685" s="686">
        <f t="shared" si="604"/>
        <v>5.896583925180451</v>
      </c>
      <c r="Z685" s="685" t="e">
        <f t="shared" si="605"/>
        <v>#DIV/0!</v>
      </c>
      <c r="AA685" s="276" t="e">
        <f t="shared" si="606"/>
        <v>#DIV/0!</v>
      </c>
      <c r="AB685" s="276" t="e">
        <f t="shared" si="607"/>
        <v>#DIV/0!</v>
      </c>
      <c r="AC685" s="276" t="e">
        <f t="shared" si="608"/>
        <v>#DIV/0!</v>
      </c>
      <c r="AD685" s="276" t="e">
        <f t="shared" si="609"/>
        <v>#DIV/0!</v>
      </c>
      <c r="AE685" s="686" t="e">
        <f t="shared" si="610"/>
        <v>#DIV/0!</v>
      </c>
      <c r="AF685" s="239"/>
      <c r="AG685" s="965" t="e">
        <f t="shared" si="581"/>
        <v>#VALUE!</v>
      </c>
      <c r="AH685" s="878" t="e">
        <f t="shared" si="582"/>
        <v>#VALUE!</v>
      </c>
      <c r="AI685" s="878" t="e">
        <f t="shared" si="583"/>
        <v>#VALUE!</v>
      </c>
      <c r="AJ685" s="878" t="e">
        <f t="shared" si="584"/>
        <v>#VALUE!</v>
      </c>
      <c r="AK685" s="878" t="e">
        <f t="shared" si="585"/>
        <v>#VALUE!</v>
      </c>
      <c r="AL685" s="966" t="e">
        <f t="shared" si="586"/>
        <v>#VALUE!</v>
      </c>
      <c r="AM685" s="239"/>
      <c r="AO685" s="685">
        <f t="shared" si="611"/>
        <v>-3.7524169853664722</v>
      </c>
      <c r="AP685" s="276">
        <f t="shared" si="612"/>
        <v>-5.6619365182519124</v>
      </c>
      <c r="AQ685" s="276">
        <f t="shared" si="613"/>
        <v>-0.30508368427191224</v>
      </c>
      <c r="AR685" s="276">
        <f t="shared" si="614"/>
        <v>-2.4082833268175783</v>
      </c>
      <c r="AS685" s="276">
        <f t="shared" si="615"/>
        <v>1.642619813167056</v>
      </c>
      <c r="AT685" s="276">
        <f t="shared" si="616"/>
        <v>2.3444363844025196</v>
      </c>
      <c r="AU685" s="685">
        <f t="shared" si="617"/>
        <v>1.7490006078437201</v>
      </c>
      <c r="AV685" s="276">
        <f t="shared" si="618"/>
        <v>0.52915208027786642</v>
      </c>
      <c r="AW685" s="276">
        <f t="shared" si="619"/>
        <v>1.8446020928209046</v>
      </c>
      <c r="AX685" s="276">
        <f t="shared" si="620"/>
        <v>1.5548691810401591</v>
      </c>
      <c r="AY685" s="276">
        <f t="shared" si="621"/>
        <v>1.2854497943835865</v>
      </c>
      <c r="AZ685" s="686">
        <f t="shared" si="622"/>
        <v>1.33027758322387</v>
      </c>
      <c r="BA685" s="685">
        <f t="shared" si="623"/>
        <v>0</v>
      </c>
      <c r="BB685" s="276">
        <f t="shared" si="624"/>
        <v>0</v>
      </c>
      <c r="BC685" s="276">
        <f t="shared" si="625"/>
        <v>0</v>
      </c>
      <c r="BD685" s="276">
        <f t="shared" si="626"/>
        <v>0</v>
      </c>
      <c r="BE685" s="276">
        <f t="shared" si="627"/>
        <v>0</v>
      </c>
      <c r="BF685" s="686">
        <f t="shared" si="628"/>
        <v>0</v>
      </c>
      <c r="BG685" s="685" t="e">
        <f t="shared" si="629"/>
        <v>#DIV/0!</v>
      </c>
      <c r="BH685" s="276" t="e">
        <f t="shared" si="630"/>
        <v>#DIV/0!</v>
      </c>
      <c r="BI685" s="276" t="e">
        <f t="shared" si="631"/>
        <v>#DIV/0!</v>
      </c>
      <c r="BJ685" s="276" t="e">
        <f t="shared" si="632"/>
        <v>#DIV/0!</v>
      </c>
      <c r="BK685" s="276" t="e">
        <f t="shared" si="633"/>
        <v>#DIV/0!</v>
      </c>
      <c r="BL685" s="686" t="e">
        <f t="shared" si="634"/>
        <v>#DIV/0!</v>
      </c>
      <c r="BM685" s="239"/>
      <c r="BN685" s="965" t="e">
        <f t="shared" si="635"/>
        <v>#VALUE!</v>
      </c>
      <c r="BO685" s="878" t="e">
        <f t="shared" si="636"/>
        <v>#VALUE!</v>
      </c>
      <c r="BP685" s="878" t="e">
        <f t="shared" si="637"/>
        <v>#VALUE!</v>
      </c>
      <c r="BQ685" s="878" t="e">
        <f t="shared" si="638"/>
        <v>#VALUE!</v>
      </c>
      <c r="BR685" s="878" t="e">
        <f t="shared" si="639"/>
        <v>#VALUE!</v>
      </c>
      <c r="BS685" s="966" t="e">
        <f t="shared" si="640"/>
        <v>#VALUE!</v>
      </c>
    </row>
    <row r="686" spans="1:71">
      <c r="A686" s="284">
        <f t="shared" si="641"/>
        <v>618</v>
      </c>
      <c r="B686" s="285">
        <v>4.7189616223283091</v>
      </c>
      <c r="C686" s="285">
        <v>2.597651817051096</v>
      </c>
      <c r="D686" s="285">
        <v>2.4667842350254712</v>
      </c>
      <c r="E686" s="285">
        <v>-4.2120468880992075</v>
      </c>
      <c r="H686" s="685">
        <f t="shared" si="587"/>
        <v>3.585727780559254</v>
      </c>
      <c r="I686" s="276">
        <f t="shared" si="588"/>
        <v>-2.8787498917063461</v>
      </c>
      <c r="J686" s="276">
        <f t="shared" si="589"/>
        <v>1.4226337233646584</v>
      </c>
      <c r="K686" s="276">
        <f t="shared" si="590"/>
        <v>-3.3371698166664556</v>
      </c>
      <c r="L686" s="276">
        <f t="shared" si="591"/>
        <v>2.1749705427497066</v>
      </c>
      <c r="M686" s="276">
        <f t="shared" si="592"/>
        <v>-0.89759776117037315</v>
      </c>
      <c r="N686" s="685">
        <f t="shared" si="593"/>
        <v>1.3904806060792276</v>
      </c>
      <c r="O686" s="276">
        <f t="shared" si="594"/>
        <v>1.7746927106557642</v>
      </c>
      <c r="P686" s="276">
        <f t="shared" si="595"/>
        <v>1.8344158411565792</v>
      </c>
      <c r="Q686" s="276">
        <f t="shared" si="596"/>
        <v>0.5756590230822185</v>
      </c>
      <c r="R686" s="276">
        <f t="shared" si="597"/>
        <v>1.3709248427469134</v>
      </c>
      <c r="S686" s="686">
        <f t="shared" si="598"/>
        <v>0.54048376395330933</v>
      </c>
      <c r="T686" s="685">
        <f t="shared" si="599"/>
        <v>5.7451479252963971</v>
      </c>
      <c r="U686" s="276">
        <f t="shared" si="600"/>
        <v>4.0467173540016335</v>
      </c>
      <c r="V686" s="276">
        <f t="shared" si="601"/>
        <v>3.9108527735279046</v>
      </c>
      <c r="W686" s="276">
        <f t="shared" si="602"/>
        <v>5.4792680072470805</v>
      </c>
      <c r="X686" s="276">
        <f t="shared" si="603"/>
        <v>3.7227478987063121</v>
      </c>
      <c r="Y686" s="686">
        <f t="shared" si="604"/>
        <v>3.783585727359394</v>
      </c>
      <c r="Z686" s="685" t="e">
        <f t="shared" si="605"/>
        <v>#DIV/0!</v>
      </c>
      <c r="AA686" s="276" t="e">
        <f t="shared" si="606"/>
        <v>#DIV/0!</v>
      </c>
      <c r="AB686" s="276" t="e">
        <f t="shared" si="607"/>
        <v>#DIV/0!</v>
      </c>
      <c r="AC686" s="276" t="e">
        <f t="shared" si="608"/>
        <v>#DIV/0!</v>
      </c>
      <c r="AD686" s="276" t="e">
        <f t="shared" si="609"/>
        <v>#DIV/0!</v>
      </c>
      <c r="AE686" s="686" t="e">
        <f t="shared" si="610"/>
        <v>#DIV/0!</v>
      </c>
      <c r="AF686" s="239"/>
      <c r="AG686" s="965" t="e">
        <f t="shared" si="581"/>
        <v>#VALUE!</v>
      </c>
      <c r="AH686" s="878" t="e">
        <f t="shared" si="582"/>
        <v>#VALUE!</v>
      </c>
      <c r="AI686" s="878" t="e">
        <f t="shared" si="583"/>
        <v>#VALUE!</v>
      </c>
      <c r="AJ686" s="878" t="e">
        <f t="shared" si="584"/>
        <v>#VALUE!</v>
      </c>
      <c r="AK686" s="878" t="e">
        <f t="shared" si="585"/>
        <v>#VALUE!</v>
      </c>
      <c r="AL686" s="966" t="e">
        <f t="shared" si="586"/>
        <v>#VALUE!</v>
      </c>
      <c r="AM686" s="239"/>
      <c r="AO686" s="685">
        <f t="shared" si="611"/>
        <v>3.585727780559254</v>
      </c>
      <c r="AP686" s="276">
        <f t="shared" si="612"/>
        <v>-2.8787498917063461</v>
      </c>
      <c r="AQ686" s="276">
        <f t="shared" si="613"/>
        <v>1.4226337233646584</v>
      </c>
      <c r="AR686" s="276">
        <f t="shared" si="614"/>
        <v>-3.3371698166664556</v>
      </c>
      <c r="AS686" s="276">
        <f t="shared" si="615"/>
        <v>2.1749705427497066</v>
      </c>
      <c r="AT686" s="276">
        <f t="shared" si="616"/>
        <v>-0.89759776117037315</v>
      </c>
      <c r="AU686" s="685">
        <f t="shared" si="617"/>
        <v>1.3904806060792276</v>
      </c>
      <c r="AV686" s="276">
        <f t="shared" si="618"/>
        <v>1.7746927106557642</v>
      </c>
      <c r="AW686" s="276">
        <f t="shared" si="619"/>
        <v>1.8344158411565792</v>
      </c>
      <c r="AX686" s="276">
        <f t="shared" si="620"/>
        <v>0.5756590230822185</v>
      </c>
      <c r="AY686" s="276">
        <f t="shared" si="621"/>
        <v>1.3709248427469134</v>
      </c>
      <c r="AZ686" s="686">
        <f t="shared" si="622"/>
        <v>0.54048376395330933</v>
      </c>
      <c r="BA686" s="685">
        <f t="shared" si="623"/>
        <v>0</v>
      </c>
      <c r="BB686" s="276">
        <f t="shared" si="624"/>
        <v>0</v>
      </c>
      <c r="BC686" s="276">
        <f t="shared" si="625"/>
        <v>0</v>
      </c>
      <c r="BD686" s="276">
        <f t="shared" si="626"/>
        <v>0</v>
      </c>
      <c r="BE686" s="276">
        <f t="shared" si="627"/>
        <v>0</v>
      </c>
      <c r="BF686" s="686">
        <f t="shared" si="628"/>
        <v>0</v>
      </c>
      <c r="BG686" s="685" t="e">
        <f t="shared" si="629"/>
        <v>#DIV/0!</v>
      </c>
      <c r="BH686" s="276" t="e">
        <f t="shared" si="630"/>
        <v>#DIV/0!</v>
      </c>
      <c r="BI686" s="276" t="e">
        <f t="shared" si="631"/>
        <v>#DIV/0!</v>
      </c>
      <c r="BJ686" s="276" t="e">
        <f t="shared" si="632"/>
        <v>#DIV/0!</v>
      </c>
      <c r="BK686" s="276" t="e">
        <f t="shared" si="633"/>
        <v>#DIV/0!</v>
      </c>
      <c r="BL686" s="686" t="e">
        <f t="shared" si="634"/>
        <v>#DIV/0!</v>
      </c>
      <c r="BM686" s="239"/>
      <c r="BN686" s="965" t="e">
        <f t="shared" si="635"/>
        <v>#VALUE!</v>
      </c>
      <c r="BO686" s="878" t="e">
        <f t="shared" si="636"/>
        <v>#VALUE!</v>
      </c>
      <c r="BP686" s="878" t="e">
        <f t="shared" si="637"/>
        <v>#VALUE!</v>
      </c>
      <c r="BQ686" s="878" t="e">
        <f t="shared" si="638"/>
        <v>#VALUE!</v>
      </c>
      <c r="BR686" s="878" t="e">
        <f t="shared" si="639"/>
        <v>#VALUE!</v>
      </c>
      <c r="BS686" s="966" t="e">
        <f t="shared" si="640"/>
        <v>#VALUE!</v>
      </c>
    </row>
    <row r="687" spans="1:71">
      <c r="A687" s="284">
        <f t="shared" si="641"/>
        <v>619</v>
      </c>
      <c r="B687" s="285">
        <v>2.5036315905654245</v>
      </c>
      <c r="C687" s="285">
        <v>3.2484080260077559</v>
      </c>
      <c r="D687" s="285">
        <v>0.11671896598128551</v>
      </c>
      <c r="E687" s="285">
        <v>-0.50598530053032453</v>
      </c>
      <c r="H687" s="685">
        <f t="shared" si="587"/>
        <v>1.3703977487963697</v>
      </c>
      <c r="I687" s="276">
        <f t="shared" si="588"/>
        <v>-2.0477378112470181</v>
      </c>
      <c r="J687" s="276">
        <f t="shared" si="589"/>
        <v>-4.2984977821199291</v>
      </c>
      <c r="K687" s="276">
        <f t="shared" si="590"/>
        <v>-7.4456040945731106E-2</v>
      </c>
      <c r="L687" s="276">
        <f t="shared" si="591"/>
        <v>-1.2778129670109875</v>
      </c>
      <c r="M687" s="276">
        <f t="shared" si="592"/>
        <v>-0.43236915658849195</v>
      </c>
      <c r="N687" s="685">
        <f t="shared" si="593"/>
        <v>2.0412368150358873</v>
      </c>
      <c r="O687" s="276">
        <f t="shared" si="594"/>
        <v>1.1223925930724359</v>
      </c>
      <c r="P687" s="276">
        <f t="shared" si="595"/>
        <v>1.5647525101164181</v>
      </c>
      <c r="Q687" s="276">
        <f t="shared" si="596"/>
        <v>1.8956997173055126</v>
      </c>
      <c r="R687" s="276">
        <f t="shared" si="597"/>
        <v>0.55992911280584123</v>
      </c>
      <c r="S687" s="686">
        <f t="shared" si="598"/>
        <v>1.3762386341128912</v>
      </c>
      <c r="T687" s="685">
        <f t="shared" si="599"/>
        <v>3.3950826562522112</v>
      </c>
      <c r="U687" s="276">
        <f t="shared" si="600"/>
        <v>4.8455558163898207</v>
      </c>
      <c r="V687" s="276">
        <f t="shared" si="601"/>
        <v>3.7426316837305347</v>
      </c>
      <c r="W687" s="276">
        <f t="shared" si="602"/>
        <v>3.2157783591247067</v>
      </c>
      <c r="X687" s="276">
        <f t="shared" si="603"/>
        <v>5.5941565576471879</v>
      </c>
      <c r="Y687" s="686">
        <f t="shared" si="604"/>
        <v>3.1683647417359042</v>
      </c>
      <c r="Z687" s="685" t="e">
        <f t="shared" si="605"/>
        <v>#DIV/0!</v>
      </c>
      <c r="AA687" s="276" t="e">
        <f t="shared" si="606"/>
        <v>#DIV/0!</v>
      </c>
      <c r="AB687" s="276" t="e">
        <f t="shared" si="607"/>
        <v>#DIV/0!</v>
      </c>
      <c r="AC687" s="276" t="e">
        <f t="shared" si="608"/>
        <v>#DIV/0!</v>
      </c>
      <c r="AD687" s="276" t="e">
        <f t="shared" si="609"/>
        <v>#DIV/0!</v>
      </c>
      <c r="AE687" s="686" t="e">
        <f t="shared" si="610"/>
        <v>#DIV/0!</v>
      </c>
      <c r="AF687" s="239"/>
      <c r="AG687" s="965" t="e">
        <f t="shared" si="581"/>
        <v>#VALUE!</v>
      </c>
      <c r="AH687" s="878" t="e">
        <f t="shared" si="582"/>
        <v>#VALUE!</v>
      </c>
      <c r="AI687" s="878" t="e">
        <f t="shared" si="583"/>
        <v>#VALUE!</v>
      </c>
      <c r="AJ687" s="878" t="e">
        <f t="shared" si="584"/>
        <v>#VALUE!</v>
      </c>
      <c r="AK687" s="878" t="e">
        <f t="shared" si="585"/>
        <v>#VALUE!</v>
      </c>
      <c r="AL687" s="966" t="e">
        <f t="shared" si="586"/>
        <v>#VALUE!</v>
      </c>
      <c r="AM687" s="239"/>
      <c r="AO687" s="685">
        <f t="shared" si="611"/>
        <v>1.3703977487963697</v>
      </c>
      <c r="AP687" s="276">
        <f t="shared" si="612"/>
        <v>-2.0477378112470181</v>
      </c>
      <c r="AQ687" s="276">
        <f t="shared" si="613"/>
        <v>-4.2984977821199291</v>
      </c>
      <c r="AR687" s="276">
        <f t="shared" si="614"/>
        <v>-7.4456040945731106E-2</v>
      </c>
      <c r="AS687" s="276">
        <f t="shared" si="615"/>
        <v>-1.2778129670109875</v>
      </c>
      <c r="AT687" s="276">
        <f t="shared" si="616"/>
        <v>-0.43236915658849195</v>
      </c>
      <c r="AU687" s="685">
        <f t="shared" si="617"/>
        <v>2.0412368150358873</v>
      </c>
      <c r="AV687" s="276">
        <f t="shared" si="618"/>
        <v>1.1223925930724359</v>
      </c>
      <c r="AW687" s="276">
        <f t="shared" si="619"/>
        <v>1.5647525101164181</v>
      </c>
      <c r="AX687" s="276">
        <f t="shared" si="620"/>
        <v>1.8956997173055126</v>
      </c>
      <c r="AY687" s="276">
        <f t="shared" si="621"/>
        <v>0.55992911280584123</v>
      </c>
      <c r="AZ687" s="686">
        <f t="shared" si="622"/>
        <v>1.3762386341128912</v>
      </c>
      <c r="BA687" s="685">
        <f t="shared" si="623"/>
        <v>0</v>
      </c>
      <c r="BB687" s="276">
        <f t="shared" si="624"/>
        <v>0</v>
      </c>
      <c r="BC687" s="276">
        <f t="shared" si="625"/>
        <v>0</v>
      </c>
      <c r="BD687" s="276">
        <f t="shared" si="626"/>
        <v>0</v>
      </c>
      <c r="BE687" s="276">
        <f t="shared" si="627"/>
        <v>0</v>
      </c>
      <c r="BF687" s="686">
        <f t="shared" si="628"/>
        <v>0</v>
      </c>
      <c r="BG687" s="685" t="e">
        <f t="shared" si="629"/>
        <v>#DIV/0!</v>
      </c>
      <c r="BH687" s="276" t="e">
        <f t="shared" si="630"/>
        <v>#DIV/0!</v>
      </c>
      <c r="BI687" s="276" t="e">
        <f t="shared" si="631"/>
        <v>#DIV/0!</v>
      </c>
      <c r="BJ687" s="276" t="e">
        <f t="shared" si="632"/>
        <v>#DIV/0!</v>
      </c>
      <c r="BK687" s="276" t="e">
        <f t="shared" si="633"/>
        <v>#DIV/0!</v>
      </c>
      <c r="BL687" s="686" t="e">
        <f t="shared" si="634"/>
        <v>#DIV/0!</v>
      </c>
      <c r="BM687" s="239"/>
      <c r="BN687" s="965" t="e">
        <f t="shared" si="635"/>
        <v>#VALUE!</v>
      </c>
      <c r="BO687" s="878" t="e">
        <f t="shared" si="636"/>
        <v>#VALUE!</v>
      </c>
      <c r="BP687" s="878" t="e">
        <f t="shared" si="637"/>
        <v>#VALUE!</v>
      </c>
      <c r="BQ687" s="878" t="e">
        <f t="shared" si="638"/>
        <v>#VALUE!</v>
      </c>
      <c r="BR687" s="878" t="e">
        <f t="shared" si="639"/>
        <v>#VALUE!</v>
      </c>
      <c r="BS687" s="966" t="e">
        <f t="shared" si="640"/>
        <v>#VALUE!</v>
      </c>
    </row>
    <row r="688" spans="1:71">
      <c r="A688" s="284">
        <f t="shared" si="641"/>
        <v>620</v>
      </c>
      <c r="B688" s="285">
        <v>-0.82887418694437265</v>
      </c>
      <c r="C688" s="285">
        <v>2.4400084631742804</v>
      </c>
      <c r="D688" s="285">
        <v>2.3583024591194324E-2</v>
      </c>
      <c r="E688" s="285">
        <v>-4.1965065570310163</v>
      </c>
      <c r="H688" s="685">
        <f t="shared" si="587"/>
        <v>-1.9621080287134274</v>
      </c>
      <c r="I688" s="276">
        <f t="shared" si="588"/>
        <v>1.9600822293687152</v>
      </c>
      <c r="J688" s="276">
        <f t="shared" si="589"/>
        <v>0.32910967589989459</v>
      </c>
      <c r="K688" s="276">
        <f t="shared" si="590"/>
        <v>-2.0346777598792665E-2</v>
      </c>
      <c r="L688" s="276">
        <f t="shared" si="591"/>
        <v>-3.2275796895099775</v>
      </c>
      <c r="M688" s="276">
        <f t="shared" si="592"/>
        <v>-1.281648970796468</v>
      </c>
      <c r="N688" s="685">
        <f t="shared" si="593"/>
        <v>1.232837252202412</v>
      </c>
      <c r="O688" s="276">
        <f t="shared" si="594"/>
        <v>1.9624842067967421</v>
      </c>
      <c r="P688" s="276">
        <f t="shared" si="595"/>
        <v>1.4416304218760245</v>
      </c>
      <c r="Q688" s="276">
        <f t="shared" si="596"/>
        <v>1.2646566218737652</v>
      </c>
      <c r="R688" s="276">
        <f t="shared" si="597"/>
        <v>1.3428618041424791</v>
      </c>
      <c r="S688" s="686">
        <f t="shared" si="598"/>
        <v>1.0183628513042613</v>
      </c>
      <c r="T688" s="685">
        <f t="shared" si="599"/>
        <v>3.3019467148621202</v>
      </c>
      <c r="U688" s="276">
        <f t="shared" si="600"/>
        <v>3.2813193482912864</v>
      </c>
      <c r="V688" s="276">
        <f t="shared" si="601"/>
        <v>5.8036363956091694</v>
      </c>
      <c r="W688" s="276">
        <f t="shared" si="602"/>
        <v>5.2995823560621691</v>
      </c>
      <c r="X688" s="276">
        <f t="shared" si="603"/>
        <v>3.2360467661235286</v>
      </c>
      <c r="Y688" s="686">
        <f t="shared" si="604"/>
        <v>4.5141615663407517</v>
      </c>
      <c r="Z688" s="685" t="e">
        <f t="shared" si="605"/>
        <v>#DIV/0!</v>
      </c>
      <c r="AA688" s="276" t="e">
        <f t="shared" si="606"/>
        <v>#DIV/0!</v>
      </c>
      <c r="AB688" s="276" t="e">
        <f t="shared" si="607"/>
        <v>#DIV/0!</v>
      </c>
      <c r="AC688" s="276" t="e">
        <f t="shared" si="608"/>
        <v>#DIV/0!</v>
      </c>
      <c r="AD688" s="276" t="e">
        <f t="shared" si="609"/>
        <v>#DIV/0!</v>
      </c>
      <c r="AE688" s="686" t="e">
        <f t="shared" si="610"/>
        <v>#DIV/0!</v>
      </c>
      <c r="AF688" s="239"/>
      <c r="AG688" s="965" t="e">
        <f t="shared" si="581"/>
        <v>#VALUE!</v>
      </c>
      <c r="AH688" s="878" t="e">
        <f t="shared" si="582"/>
        <v>#VALUE!</v>
      </c>
      <c r="AI688" s="878" t="e">
        <f t="shared" si="583"/>
        <v>#VALUE!</v>
      </c>
      <c r="AJ688" s="878" t="e">
        <f t="shared" si="584"/>
        <v>#VALUE!</v>
      </c>
      <c r="AK688" s="878" t="e">
        <f t="shared" si="585"/>
        <v>#VALUE!</v>
      </c>
      <c r="AL688" s="966" t="e">
        <f t="shared" si="586"/>
        <v>#VALUE!</v>
      </c>
      <c r="AM688" s="239"/>
      <c r="AO688" s="685">
        <f t="shared" si="611"/>
        <v>-1.9621080287134274</v>
      </c>
      <c r="AP688" s="276">
        <f t="shared" si="612"/>
        <v>1.9600822293687152</v>
      </c>
      <c r="AQ688" s="276">
        <f t="shared" si="613"/>
        <v>0.32910967589989459</v>
      </c>
      <c r="AR688" s="276">
        <f t="shared" si="614"/>
        <v>-2.0346777598792665E-2</v>
      </c>
      <c r="AS688" s="276">
        <f t="shared" si="615"/>
        <v>-3.2275796895099775</v>
      </c>
      <c r="AT688" s="276">
        <f t="shared" si="616"/>
        <v>-1.281648970796468</v>
      </c>
      <c r="AU688" s="685">
        <f t="shared" si="617"/>
        <v>1.232837252202412</v>
      </c>
      <c r="AV688" s="276">
        <f t="shared" si="618"/>
        <v>1.9624842067967421</v>
      </c>
      <c r="AW688" s="276">
        <f t="shared" si="619"/>
        <v>1.4416304218760245</v>
      </c>
      <c r="AX688" s="276">
        <f t="shared" si="620"/>
        <v>1.2646566218737652</v>
      </c>
      <c r="AY688" s="276">
        <f t="shared" si="621"/>
        <v>1.3428618041424791</v>
      </c>
      <c r="AZ688" s="686">
        <f t="shared" si="622"/>
        <v>1.0183628513042613</v>
      </c>
      <c r="BA688" s="685">
        <f t="shared" si="623"/>
        <v>0</v>
      </c>
      <c r="BB688" s="276">
        <f t="shared" si="624"/>
        <v>0</v>
      </c>
      <c r="BC688" s="276">
        <f t="shared" si="625"/>
        <v>0</v>
      </c>
      <c r="BD688" s="276">
        <f t="shared" si="626"/>
        <v>0</v>
      </c>
      <c r="BE688" s="276">
        <f t="shared" si="627"/>
        <v>0</v>
      </c>
      <c r="BF688" s="686">
        <f t="shared" si="628"/>
        <v>0</v>
      </c>
      <c r="BG688" s="685" t="e">
        <f t="shared" si="629"/>
        <v>#DIV/0!</v>
      </c>
      <c r="BH688" s="276" t="e">
        <f t="shared" si="630"/>
        <v>#DIV/0!</v>
      </c>
      <c r="BI688" s="276" t="e">
        <f t="shared" si="631"/>
        <v>#DIV/0!</v>
      </c>
      <c r="BJ688" s="276" t="e">
        <f t="shared" si="632"/>
        <v>#DIV/0!</v>
      </c>
      <c r="BK688" s="276" t="e">
        <f t="shared" si="633"/>
        <v>#DIV/0!</v>
      </c>
      <c r="BL688" s="686" t="e">
        <f t="shared" si="634"/>
        <v>#DIV/0!</v>
      </c>
      <c r="BM688" s="239"/>
      <c r="BN688" s="965" t="e">
        <f t="shared" si="635"/>
        <v>#VALUE!</v>
      </c>
      <c r="BO688" s="878" t="e">
        <f t="shared" si="636"/>
        <v>#VALUE!</v>
      </c>
      <c r="BP688" s="878" t="e">
        <f t="shared" si="637"/>
        <v>#VALUE!</v>
      </c>
      <c r="BQ688" s="878" t="e">
        <f t="shared" si="638"/>
        <v>#VALUE!</v>
      </c>
      <c r="BR688" s="878" t="e">
        <f t="shared" si="639"/>
        <v>#VALUE!</v>
      </c>
      <c r="BS688" s="966" t="e">
        <f t="shared" si="640"/>
        <v>#VALUE!</v>
      </c>
    </row>
    <row r="689" spans="1:71">
      <c r="A689" s="284">
        <f t="shared" si="641"/>
        <v>621</v>
      </c>
      <c r="B689" s="285">
        <v>-4.8073437828500909</v>
      </c>
      <c r="C689" s="285">
        <v>1.8656729218309556</v>
      </c>
      <c r="D689" s="285">
        <v>0.58498114867892526</v>
      </c>
      <c r="E689" s="285">
        <v>-9.5666830089515908</v>
      </c>
      <c r="H689" s="685">
        <f t="shared" si="587"/>
        <v>-5.940577624619146</v>
      </c>
      <c r="I689" s="276">
        <f t="shared" si="588"/>
        <v>-2.0236838506781178</v>
      </c>
      <c r="J689" s="276">
        <f t="shared" si="589"/>
        <v>-4.3600158779711506</v>
      </c>
      <c r="K689" s="276">
        <f t="shared" si="590"/>
        <v>-2.2013462595539011</v>
      </c>
      <c r="L689" s="276">
        <f t="shared" si="591"/>
        <v>-4.1277129999116324</v>
      </c>
      <c r="M689" s="276">
        <f t="shared" si="592"/>
        <v>-2.7362672139415944</v>
      </c>
      <c r="N689" s="685">
        <f t="shared" si="593"/>
        <v>0.65850171085908715</v>
      </c>
      <c r="O689" s="276">
        <f t="shared" si="594"/>
        <v>1.1886222007059828</v>
      </c>
      <c r="P689" s="276">
        <f t="shared" si="595"/>
        <v>1.1296393616893463</v>
      </c>
      <c r="Q689" s="276">
        <f t="shared" si="596"/>
        <v>0.65551753167621185</v>
      </c>
      <c r="R689" s="276">
        <f t="shared" si="597"/>
        <v>2.0442350334419652</v>
      </c>
      <c r="S689" s="686">
        <f t="shared" si="598"/>
        <v>-8.9740235587257189E-2</v>
      </c>
      <c r="T689" s="685">
        <f t="shared" si="599"/>
        <v>3.863344838949851</v>
      </c>
      <c r="U689" s="276">
        <f t="shared" si="600"/>
        <v>5.5168705110569416</v>
      </c>
      <c r="V689" s="276">
        <f t="shared" si="601"/>
        <v>3.7059192621491515</v>
      </c>
      <c r="W689" s="276">
        <f t="shared" si="602"/>
        <v>4.4649728036696406</v>
      </c>
      <c r="X689" s="276">
        <f t="shared" si="603"/>
        <v>3.7165261134570717</v>
      </c>
      <c r="Y689" s="686">
        <f t="shared" si="604"/>
        <v>5.8151627112459767</v>
      </c>
      <c r="Z689" s="685" t="e">
        <f t="shared" si="605"/>
        <v>#DIV/0!</v>
      </c>
      <c r="AA689" s="276" t="e">
        <f t="shared" si="606"/>
        <v>#DIV/0!</v>
      </c>
      <c r="AB689" s="276" t="e">
        <f t="shared" si="607"/>
        <v>#DIV/0!</v>
      </c>
      <c r="AC689" s="276" t="e">
        <f t="shared" si="608"/>
        <v>#DIV/0!</v>
      </c>
      <c r="AD689" s="276" t="e">
        <f t="shared" si="609"/>
        <v>#DIV/0!</v>
      </c>
      <c r="AE689" s="686" t="e">
        <f t="shared" si="610"/>
        <v>#DIV/0!</v>
      </c>
      <c r="AF689" s="239"/>
      <c r="AG689" s="965" t="e">
        <f t="shared" si="581"/>
        <v>#VALUE!</v>
      </c>
      <c r="AH689" s="878" t="e">
        <f t="shared" si="582"/>
        <v>#VALUE!</v>
      </c>
      <c r="AI689" s="878" t="e">
        <f t="shared" si="583"/>
        <v>#VALUE!</v>
      </c>
      <c r="AJ689" s="878" t="e">
        <f t="shared" si="584"/>
        <v>#VALUE!</v>
      </c>
      <c r="AK689" s="878" t="e">
        <f t="shared" si="585"/>
        <v>#VALUE!</v>
      </c>
      <c r="AL689" s="966" t="e">
        <f t="shared" si="586"/>
        <v>#VALUE!</v>
      </c>
      <c r="AM689" s="239"/>
      <c r="AO689" s="685">
        <f t="shared" si="611"/>
        <v>-5.940577624619146</v>
      </c>
      <c r="AP689" s="276">
        <f t="shared" si="612"/>
        <v>-2.0236838506781178</v>
      </c>
      <c r="AQ689" s="276">
        <f t="shared" si="613"/>
        <v>-4.3600158779711506</v>
      </c>
      <c r="AR689" s="276">
        <f t="shared" si="614"/>
        <v>-2.2013462595539011</v>
      </c>
      <c r="AS689" s="276">
        <f t="shared" si="615"/>
        <v>-4.1277129999116324</v>
      </c>
      <c r="AT689" s="276">
        <f t="shared" si="616"/>
        <v>-2.7362672139415944</v>
      </c>
      <c r="AU689" s="685">
        <f t="shared" si="617"/>
        <v>0.65850171085908715</v>
      </c>
      <c r="AV689" s="276">
        <f t="shared" si="618"/>
        <v>1.1886222007059828</v>
      </c>
      <c r="AW689" s="276">
        <f t="shared" si="619"/>
        <v>1.1296393616893463</v>
      </c>
      <c r="AX689" s="276">
        <f t="shared" si="620"/>
        <v>0.65551753167621185</v>
      </c>
      <c r="AY689" s="276">
        <f t="shared" si="621"/>
        <v>2.0442350334419652</v>
      </c>
      <c r="AZ689" s="686">
        <f t="shared" si="622"/>
        <v>-8.9740235587257189E-2</v>
      </c>
      <c r="BA689" s="685">
        <f t="shared" si="623"/>
        <v>0</v>
      </c>
      <c r="BB689" s="276">
        <f t="shared" si="624"/>
        <v>0</v>
      </c>
      <c r="BC689" s="276">
        <f t="shared" si="625"/>
        <v>0</v>
      </c>
      <c r="BD689" s="276">
        <f t="shared" si="626"/>
        <v>0</v>
      </c>
      <c r="BE689" s="276">
        <f t="shared" si="627"/>
        <v>0</v>
      </c>
      <c r="BF689" s="686">
        <f t="shared" si="628"/>
        <v>0</v>
      </c>
      <c r="BG689" s="685" t="e">
        <f t="shared" si="629"/>
        <v>#DIV/0!</v>
      </c>
      <c r="BH689" s="276" t="e">
        <f t="shared" si="630"/>
        <v>#DIV/0!</v>
      </c>
      <c r="BI689" s="276" t="e">
        <f t="shared" si="631"/>
        <v>#DIV/0!</v>
      </c>
      <c r="BJ689" s="276" t="e">
        <f t="shared" si="632"/>
        <v>#DIV/0!</v>
      </c>
      <c r="BK689" s="276" t="e">
        <f t="shared" si="633"/>
        <v>#DIV/0!</v>
      </c>
      <c r="BL689" s="686" t="e">
        <f t="shared" si="634"/>
        <v>#DIV/0!</v>
      </c>
      <c r="BM689" s="239"/>
      <c r="BN689" s="965" t="e">
        <f t="shared" si="635"/>
        <v>#VALUE!</v>
      </c>
      <c r="BO689" s="878" t="e">
        <f t="shared" si="636"/>
        <v>#VALUE!</v>
      </c>
      <c r="BP689" s="878" t="e">
        <f t="shared" si="637"/>
        <v>#VALUE!</v>
      </c>
      <c r="BQ689" s="878" t="e">
        <f t="shared" si="638"/>
        <v>#VALUE!</v>
      </c>
      <c r="BR689" s="878" t="e">
        <f t="shared" si="639"/>
        <v>#VALUE!</v>
      </c>
      <c r="BS689" s="966" t="e">
        <f t="shared" si="640"/>
        <v>#VALUE!</v>
      </c>
    </row>
    <row r="690" spans="1:71">
      <c r="A690" s="284">
        <f t="shared" si="641"/>
        <v>622</v>
      </c>
      <c r="B690" s="285">
        <v>2.3246619456584665</v>
      </c>
      <c r="C690" s="285">
        <v>2.4716523239891268</v>
      </c>
      <c r="D690" s="285">
        <v>1.8797841000128759</v>
      </c>
      <c r="E690" s="285">
        <v>-1.238025441803178</v>
      </c>
      <c r="H690" s="685">
        <f t="shared" si="587"/>
        <v>1.1914281038894117</v>
      </c>
      <c r="I690" s="276">
        <f t="shared" si="588"/>
        <v>-2.5815759453707079</v>
      </c>
      <c r="J690" s="276">
        <f t="shared" si="589"/>
        <v>-0.95350036325278975</v>
      </c>
      <c r="K690" s="276">
        <f t="shared" si="590"/>
        <v>-3.3567060261234145</v>
      </c>
      <c r="L690" s="276">
        <f t="shared" si="591"/>
        <v>1.1987238861465224</v>
      </c>
      <c r="M690" s="276">
        <f t="shared" si="592"/>
        <v>-1.5380083412973373</v>
      </c>
      <c r="N690" s="685">
        <f t="shared" si="593"/>
        <v>1.2644811130172584</v>
      </c>
      <c r="O690" s="276">
        <f t="shared" si="594"/>
        <v>0.43898301023034958</v>
      </c>
      <c r="P690" s="276">
        <f t="shared" si="595"/>
        <v>1.1446885435093244</v>
      </c>
      <c r="Q690" s="276">
        <f t="shared" si="596"/>
        <v>1.6673050474602549</v>
      </c>
      <c r="R690" s="276">
        <f t="shared" si="597"/>
        <v>1.1148690397242846</v>
      </c>
      <c r="S690" s="686">
        <f t="shared" si="598"/>
        <v>1.0927625361188456</v>
      </c>
      <c r="T690" s="685">
        <f t="shared" si="599"/>
        <v>5.1581477902838015</v>
      </c>
      <c r="U690" s="276">
        <f t="shared" si="600"/>
        <v>2.18072405112187</v>
      </c>
      <c r="V690" s="276">
        <f t="shared" si="601"/>
        <v>4.5996286173194001</v>
      </c>
      <c r="W690" s="276">
        <f t="shared" si="602"/>
        <v>3.6109714484400555</v>
      </c>
      <c r="X690" s="276">
        <f t="shared" si="603"/>
        <v>4.7816076084769641</v>
      </c>
      <c r="Y690" s="686">
        <f t="shared" si="604"/>
        <v>6.6504287210580006</v>
      </c>
      <c r="Z690" s="685" t="e">
        <f t="shared" si="605"/>
        <v>#DIV/0!</v>
      </c>
      <c r="AA690" s="276" t="e">
        <f t="shared" si="606"/>
        <v>#DIV/0!</v>
      </c>
      <c r="AB690" s="276" t="e">
        <f t="shared" si="607"/>
        <v>#DIV/0!</v>
      </c>
      <c r="AC690" s="276" t="e">
        <f t="shared" si="608"/>
        <v>#DIV/0!</v>
      </c>
      <c r="AD690" s="276" t="e">
        <f t="shared" si="609"/>
        <v>#DIV/0!</v>
      </c>
      <c r="AE690" s="686" t="e">
        <f t="shared" si="610"/>
        <v>#DIV/0!</v>
      </c>
      <c r="AF690" s="239"/>
      <c r="AG690" s="965" t="e">
        <f t="shared" si="581"/>
        <v>#VALUE!</v>
      </c>
      <c r="AH690" s="878" t="e">
        <f t="shared" si="582"/>
        <v>#VALUE!</v>
      </c>
      <c r="AI690" s="878" t="e">
        <f t="shared" si="583"/>
        <v>#VALUE!</v>
      </c>
      <c r="AJ690" s="878" t="e">
        <f t="shared" si="584"/>
        <v>#VALUE!</v>
      </c>
      <c r="AK690" s="878" t="e">
        <f t="shared" si="585"/>
        <v>#VALUE!</v>
      </c>
      <c r="AL690" s="966" t="e">
        <f t="shared" si="586"/>
        <v>#VALUE!</v>
      </c>
      <c r="AM690" s="239"/>
      <c r="AO690" s="685">
        <f t="shared" si="611"/>
        <v>1.1914281038894117</v>
      </c>
      <c r="AP690" s="276">
        <f t="shared" si="612"/>
        <v>-2.5815759453707079</v>
      </c>
      <c r="AQ690" s="276">
        <f t="shared" si="613"/>
        <v>-0.95350036325278975</v>
      </c>
      <c r="AR690" s="276">
        <f t="shared" si="614"/>
        <v>-3.3567060261234145</v>
      </c>
      <c r="AS690" s="276">
        <f t="shared" si="615"/>
        <v>1.1987238861465224</v>
      </c>
      <c r="AT690" s="276">
        <f t="shared" si="616"/>
        <v>-1.5380083412973373</v>
      </c>
      <c r="AU690" s="685">
        <f t="shared" si="617"/>
        <v>1.2644811130172584</v>
      </c>
      <c r="AV690" s="276">
        <f t="shared" si="618"/>
        <v>0.43898301023034958</v>
      </c>
      <c r="AW690" s="276">
        <f t="shared" si="619"/>
        <v>1.1446885435093244</v>
      </c>
      <c r="AX690" s="276">
        <f t="shared" si="620"/>
        <v>1.6673050474602549</v>
      </c>
      <c r="AY690" s="276">
        <f t="shared" si="621"/>
        <v>1.1148690397242846</v>
      </c>
      <c r="AZ690" s="686">
        <f t="shared" si="622"/>
        <v>1.0927625361188456</v>
      </c>
      <c r="BA690" s="685">
        <f t="shared" si="623"/>
        <v>0</v>
      </c>
      <c r="BB690" s="276">
        <f t="shared" si="624"/>
        <v>0</v>
      </c>
      <c r="BC690" s="276">
        <f t="shared" si="625"/>
        <v>0</v>
      </c>
      <c r="BD690" s="276">
        <f t="shared" si="626"/>
        <v>0</v>
      </c>
      <c r="BE690" s="276">
        <f t="shared" si="627"/>
        <v>0</v>
      </c>
      <c r="BF690" s="686">
        <f t="shared" si="628"/>
        <v>0</v>
      </c>
      <c r="BG690" s="685" t="e">
        <f t="shared" si="629"/>
        <v>#DIV/0!</v>
      </c>
      <c r="BH690" s="276" t="e">
        <f t="shared" si="630"/>
        <v>#DIV/0!</v>
      </c>
      <c r="BI690" s="276" t="e">
        <f t="shared" si="631"/>
        <v>#DIV/0!</v>
      </c>
      <c r="BJ690" s="276" t="e">
        <f t="shared" si="632"/>
        <v>#DIV/0!</v>
      </c>
      <c r="BK690" s="276" t="e">
        <f t="shared" si="633"/>
        <v>#DIV/0!</v>
      </c>
      <c r="BL690" s="686" t="e">
        <f t="shared" si="634"/>
        <v>#DIV/0!</v>
      </c>
      <c r="BM690" s="239"/>
      <c r="BN690" s="965" t="e">
        <f t="shared" si="635"/>
        <v>#VALUE!</v>
      </c>
      <c r="BO690" s="878" t="e">
        <f t="shared" si="636"/>
        <v>#VALUE!</v>
      </c>
      <c r="BP690" s="878" t="e">
        <f t="shared" si="637"/>
        <v>#VALUE!</v>
      </c>
      <c r="BQ690" s="878" t="e">
        <f t="shared" si="638"/>
        <v>#VALUE!</v>
      </c>
      <c r="BR690" s="878" t="e">
        <f t="shared" si="639"/>
        <v>#VALUE!</v>
      </c>
      <c r="BS690" s="966" t="e">
        <f t="shared" si="640"/>
        <v>#VALUE!</v>
      </c>
    </row>
    <row r="691" spans="1:71">
      <c r="A691" s="284">
        <f t="shared" si="641"/>
        <v>623</v>
      </c>
      <c r="B691" s="285">
        <v>-4.4007088655760462</v>
      </c>
      <c r="C691" s="285">
        <v>2.5376948963214754</v>
      </c>
      <c r="D691" s="285">
        <v>-2.2158423157736706</v>
      </c>
      <c r="E691" s="285">
        <v>16.570229718939736</v>
      </c>
      <c r="H691" s="685">
        <f t="shared" si="587"/>
        <v>-5.5339427073451013</v>
      </c>
      <c r="I691" s="276">
        <f t="shared" si="588"/>
        <v>0.69192886238695617</v>
      </c>
      <c r="J691" s="276">
        <f t="shared" si="589"/>
        <v>-0.19634665323216161</v>
      </c>
      <c r="K691" s="276">
        <f t="shared" si="590"/>
        <v>-3.8025086292470212</v>
      </c>
      <c r="L691" s="276">
        <f t="shared" si="591"/>
        <v>-5.0057795645610259</v>
      </c>
      <c r="M691" s="276">
        <f t="shared" si="592"/>
        <v>-5.2263918289389499</v>
      </c>
      <c r="N691" s="685">
        <f t="shared" si="593"/>
        <v>1.330523685349607</v>
      </c>
      <c r="O691" s="276">
        <f t="shared" si="594"/>
        <v>1.7009867387243707</v>
      </c>
      <c r="P691" s="276">
        <f t="shared" si="595"/>
        <v>1.8347571341944706</v>
      </c>
      <c r="Q691" s="276">
        <f t="shared" si="596"/>
        <v>1.0725584100013543</v>
      </c>
      <c r="R691" s="276">
        <f t="shared" si="597"/>
        <v>0.63759661984994542</v>
      </c>
      <c r="S691" s="686">
        <f t="shared" si="598"/>
        <v>0.69743595674446524</v>
      </c>
      <c r="T691" s="685">
        <f t="shared" si="599"/>
        <v>1.0625213744972553</v>
      </c>
      <c r="U691" s="276">
        <f t="shared" si="600"/>
        <v>5.8183234412394</v>
      </c>
      <c r="V691" s="276">
        <f t="shared" si="601"/>
        <v>5.388325517384855</v>
      </c>
      <c r="W691" s="276">
        <f t="shared" si="602"/>
        <v>5.7924038964016784</v>
      </c>
      <c r="X691" s="276">
        <f t="shared" si="603"/>
        <v>5.5889290686896853</v>
      </c>
      <c r="Y691" s="686">
        <f t="shared" si="604"/>
        <v>4.8866679846544914</v>
      </c>
      <c r="Z691" s="685" t="e">
        <f t="shared" si="605"/>
        <v>#DIV/0!</v>
      </c>
      <c r="AA691" s="276" t="e">
        <f t="shared" si="606"/>
        <v>#DIV/0!</v>
      </c>
      <c r="AB691" s="276" t="e">
        <f t="shared" si="607"/>
        <v>#DIV/0!</v>
      </c>
      <c r="AC691" s="276" t="e">
        <f t="shared" si="608"/>
        <v>#DIV/0!</v>
      </c>
      <c r="AD691" s="276" t="e">
        <f t="shared" si="609"/>
        <v>#DIV/0!</v>
      </c>
      <c r="AE691" s="686" t="e">
        <f t="shared" si="610"/>
        <v>#DIV/0!</v>
      </c>
      <c r="AF691" s="239"/>
      <c r="AG691" s="965" t="e">
        <f t="shared" si="581"/>
        <v>#VALUE!</v>
      </c>
      <c r="AH691" s="878" t="e">
        <f t="shared" si="582"/>
        <v>#VALUE!</v>
      </c>
      <c r="AI691" s="878" t="e">
        <f t="shared" si="583"/>
        <v>#VALUE!</v>
      </c>
      <c r="AJ691" s="878" t="e">
        <f t="shared" si="584"/>
        <v>#VALUE!</v>
      </c>
      <c r="AK691" s="878" t="e">
        <f t="shared" si="585"/>
        <v>#VALUE!</v>
      </c>
      <c r="AL691" s="966" t="e">
        <f t="shared" si="586"/>
        <v>#VALUE!</v>
      </c>
      <c r="AM691" s="239"/>
      <c r="AO691" s="685">
        <f t="shared" si="611"/>
        <v>-5.5339427073451013</v>
      </c>
      <c r="AP691" s="276">
        <f t="shared" si="612"/>
        <v>0.69192886238695617</v>
      </c>
      <c r="AQ691" s="276">
        <f t="shared" si="613"/>
        <v>-0.19634665323216161</v>
      </c>
      <c r="AR691" s="276">
        <f t="shared" si="614"/>
        <v>-3.8025086292470212</v>
      </c>
      <c r="AS691" s="276">
        <f t="shared" si="615"/>
        <v>-5.0057795645610259</v>
      </c>
      <c r="AT691" s="276">
        <f t="shared" si="616"/>
        <v>-5.2263918289389499</v>
      </c>
      <c r="AU691" s="685">
        <f t="shared" si="617"/>
        <v>1.330523685349607</v>
      </c>
      <c r="AV691" s="276">
        <f t="shared" si="618"/>
        <v>1.7009867387243707</v>
      </c>
      <c r="AW691" s="276">
        <f t="shared" si="619"/>
        <v>1.8347571341944706</v>
      </c>
      <c r="AX691" s="276">
        <f t="shared" si="620"/>
        <v>1.0725584100013543</v>
      </c>
      <c r="AY691" s="276">
        <f t="shared" si="621"/>
        <v>0.63759661984994542</v>
      </c>
      <c r="AZ691" s="686">
        <f t="shared" si="622"/>
        <v>0.69743595674446524</v>
      </c>
      <c r="BA691" s="685">
        <f t="shared" si="623"/>
        <v>0</v>
      </c>
      <c r="BB691" s="276">
        <f t="shared" si="624"/>
        <v>0</v>
      </c>
      <c r="BC691" s="276">
        <f t="shared" si="625"/>
        <v>0</v>
      </c>
      <c r="BD691" s="276">
        <f t="shared" si="626"/>
        <v>0</v>
      </c>
      <c r="BE691" s="276">
        <f t="shared" si="627"/>
        <v>0</v>
      </c>
      <c r="BF691" s="686">
        <f t="shared" si="628"/>
        <v>0</v>
      </c>
      <c r="BG691" s="685" t="e">
        <f t="shared" si="629"/>
        <v>#DIV/0!</v>
      </c>
      <c r="BH691" s="276" t="e">
        <f t="shared" si="630"/>
        <v>#DIV/0!</v>
      </c>
      <c r="BI691" s="276" t="e">
        <f t="shared" si="631"/>
        <v>#DIV/0!</v>
      </c>
      <c r="BJ691" s="276" t="e">
        <f t="shared" si="632"/>
        <v>#DIV/0!</v>
      </c>
      <c r="BK691" s="276" t="e">
        <f t="shared" si="633"/>
        <v>#DIV/0!</v>
      </c>
      <c r="BL691" s="686" t="e">
        <f t="shared" si="634"/>
        <v>#DIV/0!</v>
      </c>
      <c r="BM691" s="239"/>
      <c r="BN691" s="965" t="e">
        <f t="shared" si="635"/>
        <v>#VALUE!</v>
      </c>
      <c r="BO691" s="878" t="e">
        <f t="shared" si="636"/>
        <v>#VALUE!</v>
      </c>
      <c r="BP691" s="878" t="e">
        <f t="shared" si="637"/>
        <v>#VALUE!</v>
      </c>
      <c r="BQ691" s="878" t="e">
        <f t="shared" si="638"/>
        <v>#VALUE!</v>
      </c>
      <c r="BR691" s="878" t="e">
        <f t="shared" si="639"/>
        <v>#VALUE!</v>
      </c>
      <c r="BS691" s="966" t="e">
        <f t="shared" si="640"/>
        <v>#VALUE!</v>
      </c>
    </row>
    <row r="692" spans="1:71">
      <c r="A692" s="284">
        <f t="shared" si="641"/>
        <v>624</v>
      </c>
      <c r="B692" s="285">
        <v>-0.49072675711652564</v>
      </c>
      <c r="C692" s="285">
        <v>2.5094188202794494</v>
      </c>
      <c r="D692" s="285">
        <v>-0.95506487347574831</v>
      </c>
      <c r="E692" s="285">
        <v>0.8700505946793391</v>
      </c>
      <c r="H692" s="685">
        <f t="shared" si="587"/>
        <v>-1.6239605988855805</v>
      </c>
      <c r="I692" s="276">
        <f t="shared" si="588"/>
        <v>-3.5365983617409276</v>
      </c>
      <c r="J692" s="276">
        <f t="shared" si="589"/>
        <v>-1.7075612433996963</v>
      </c>
      <c r="K692" s="276">
        <f t="shared" si="590"/>
        <v>-1.8228363528651483</v>
      </c>
      <c r="L692" s="276">
        <f t="shared" si="591"/>
        <v>-3.0959375066215973</v>
      </c>
      <c r="M692" s="276">
        <f t="shared" si="592"/>
        <v>1.3430488346690581</v>
      </c>
      <c r="N692" s="685">
        <f t="shared" si="593"/>
        <v>1.302247609307581</v>
      </c>
      <c r="O692" s="276">
        <f t="shared" si="594"/>
        <v>1.2776183739973048</v>
      </c>
      <c r="P692" s="276">
        <f t="shared" si="595"/>
        <v>1.865011440448</v>
      </c>
      <c r="Q692" s="276">
        <f t="shared" si="596"/>
        <v>1.2230824643076545</v>
      </c>
      <c r="R692" s="276">
        <f t="shared" si="597"/>
        <v>1.7107151932513454</v>
      </c>
      <c r="S692" s="686">
        <f t="shared" si="598"/>
        <v>2.0152611575437707</v>
      </c>
      <c r="T692" s="685">
        <f t="shared" si="599"/>
        <v>2.3232988167951776</v>
      </c>
      <c r="U692" s="276">
        <f t="shared" si="600"/>
        <v>4.2463899167094148</v>
      </c>
      <c r="V692" s="276">
        <f t="shared" si="601"/>
        <v>2.8752128107888999</v>
      </c>
      <c r="W692" s="276">
        <f t="shared" si="602"/>
        <v>5.1864631548758657</v>
      </c>
      <c r="X692" s="276">
        <f t="shared" si="603"/>
        <v>4.9020793214406702</v>
      </c>
      <c r="Y692" s="686">
        <f t="shared" si="604"/>
        <v>3.8914724074992115</v>
      </c>
      <c r="Z692" s="685" t="e">
        <f t="shared" si="605"/>
        <v>#DIV/0!</v>
      </c>
      <c r="AA692" s="276" t="e">
        <f t="shared" si="606"/>
        <v>#DIV/0!</v>
      </c>
      <c r="AB692" s="276" t="e">
        <f t="shared" si="607"/>
        <v>#DIV/0!</v>
      </c>
      <c r="AC692" s="276" t="e">
        <f t="shared" si="608"/>
        <v>#DIV/0!</v>
      </c>
      <c r="AD692" s="276" t="e">
        <f t="shared" si="609"/>
        <v>#DIV/0!</v>
      </c>
      <c r="AE692" s="686" t="e">
        <f t="shared" si="610"/>
        <v>#DIV/0!</v>
      </c>
      <c r="AF692" s="239"/>
      <c r="AG692" s="965" t="e">
        <f t="shared" si="581"/>
        <v>#VALUE!</v>
      </c>
      <c r="AH692" s="878" t="e">
        <f t="shared" si="582"/>
        <v>#VALUE!</v>
      </c>
      <c r="AI692" s="878" t="e">
        <f t="shared" si="583"/>
        <v>#VALUE!</v>
      </c>
      <c r="AJ692" s="878" t="e">
        <f t="shared" si="584"/>
        <v>#VALUE!</v>
      </c>
      <c r="AK692" s="878" t="e">
        <f t="shared" si="585"/>
        <v>#VALUE!</v>
      </c>
      <c r="AL692" s="966" t="e">
        <f t="shared" si="586"/>
        <v>#VALUE!</v>
      </c>
      <c r="AM692" s="239"/>
      <c r="AO692" s="685">
        <f t="shared" si="611"/>
        <v>-1.6239605988855805</v>
      </c>
      <c r="AP692" s="276">
        <f t="shared" si="612"/>
        <v>-3.5365983617409276</v>
      </c>
      <c r="AQ692" s="276">
        <f t="shared" si="613"/>
        <v>-1.7075612433996963</v>
      </c>
      <c r="AR692" s="276">
        <f t="shared" si="614"/>
        <v>-1.8228363528651483</v>
      </c>
      <c r="AS692" s="276">
        <f t="shared" si="615"/>
        <v>-3.0959375066215973</v>
      </c>
      <c r="AT692" s="276">
        <f t="shared" si="616"/>
        <v>1.3430488346690581</v>
      </c>
      <c r="AU692" s="685">
        <f t="shared" si="617"/>
        <v>1.302247609307581</v>
      </c>
      <c r="AV692" s="276">
        <f t="shared" si="618"/>
        <v>1.2776183739973048</v>
      </c>
      <c r="AW692" s="276">
        <f t="shared" si="619"/>
        <v>1.865011440448</v>
      </c>
      <c r="AX692" s="276">
        <f t="shared" si="620"/>
        <v>1.2230824643076545</v>
      </c>
      <c r="AY692" s="276">
        <f t="shared" si="621"/>
        <v>1.7107151932513454</v>
      </c>
      <c r="AZ692" s="686">
        <f t="shared" si="622"/>
        <v>2.0152611575437707</v>
      </c>
      <c r="BA692" s="685">
        <f t="shared" si="623"/>
        <v>0</v>
      </c>
      <c r="BB692" s="276">
        <f t="shared" si="624"/>
        <v>0</v>
      </c>
      <c r="BC692" s="276">
        <f t="shared" si="625"/>
        <v>0</v>
      </c>
      <c r="BD692" s="276">
        <f t="shared" si="626"/>
        <v>0</v>
      </c>
      <c r="BE692" s="276">
        <f t="shared" si="627"/>
        <v>0</v>
      </c>
      <c r="BF692" s="686">
        <f t="shared" si="628"/>
        <v>0</v>
      </c>
      <c r="BG692" s="685" t="e">
        <f t="shared" si="629"/>
        <v>#DIV/0!</v>
      </c>
      <c r="BH692" s="276" t="e">
        <f t="shared" si="630"/>
        <v>#DIV/0!</v>
      </c>
      <c r="BI692" s="276" t="e">
        <f t="shared" si="631"/>
        <v>#DIV/0!</v>
      </c>
      <c r="BJ692" s="276" t="e">
        <f t="shared" si="632"/>
        <v>#DIV/0!</v>
      </c>
      <c r="BK692" s="276" t="e">
        <f t="shared" si="633"/>
        <v>#DIV/0!</v>
      </c>
      <c r="BL692" s="686" t="e">
        <f t="shared" si="634"/>
        <v>#DIV/0!</v>
      </c>
      <c r="BM692" s="239"/>
      <c r="BN692" s="965" t="e">
        <f t="shared" si="635"/>
        <v>#VALUE!</v>
      </c>
      <c r="BO692" s="878" t="e">
        <f t="shared" si="636"/>
        <v>#VALUE!</v>
      </c>
      <c r="BP692" s="878" t="e">
        <f t="shared" si="637"/>
        <v>#VALUE!</v>
      </c>
      <c r="BQ692" s="878" t="e">
        <f t="shared" si="638"/>
        <v>#VALUE!</v>
      </c>
      <c r="BR692" s="878" t="e">
        <f t="shared" si="639"/>
        <v>#VALUE!</v>
      </c>
      <c r="BS692" s="966" t="e">
        <f t="shared" si="640"/>
        <v>#VALUE!</v>
      </c>
    </row>
    <row r="693" spans="1:71">
      <c r="A693" s="284">
        <f t="shared" si="641"/>
        <v>625</v>
      </c>
      <c r="B693" s="285">
        <v>2.1517465148607098</v>
      </c>
      <c r="C693" s="285">
        <v>3.260871555695894</v>
      </c>
      <c r="D693" s="285">
        <v>0.95718318778924394</v>
      </c>
      <c r="E693" s="285">
        <v>16.225719595742294</v>
      </c>
      <c r="H693" s="685">
        <f t="shared" si="587"/>
        <v>1.0185126730916549</v>
      </c>
      <c r="I693" s="276">
        <f t="shared" si="588"/>
        <v>0.97644353237770143</v>
      </c>
      <c r="J693" s="276">
        <f t="shared" si="589"/>
        <v>3.2527210998504312</v>
      </c>
      <c r="K693" s="276">
        <f t="shared" si="590"/>
        <v>1.6729675830743649</v>
      </c>
      <c r="L693" s="276">
        <f t="shared" si="591"/>
        <v>-3.1405321144308092</v>
      </c>
      <c r="M693" s="276">
        <f t="shared" si="592"/>
        <v>1.9846319293132326</v>
      </c>
      <c r="N693" s="685">
        <f t="shared" si="593"/>
        <v>2.0537003447240254</v>
      </c>
      <c r="O693" s="276">
        <f t="shared" si="594"/>
        <v>1.3873879485872018</v>
      </c>
      <c r="P693" s="276">
        <f t="shared" si="595"/>
        <v>1.4741887399851434</v>
      </c>
      <c r="Q693" s="276">
        <f t="shared" si="596"/>
        <v>1.9764906342874455</v>
      </c>
      <c r="R693" s="276">
        <f t="shared" si="597"/>
        <v>0.91789245539823283</v>
      </c>
      <c r="S693" s="686">
        <f t="shared" si="598"/>
        <v>1.4300381337371715</v>
      </c>
      <c r="T693" s="685">
        <f t="shared" si="599"/>
        <v>4.2355468780601697</v>
      </c>
      <c r="U693" s="276">
        <f t="shared" si="600"/>
        <v>5.8757977861085111</v>
      </c>
      <c r="V693" s="276">
        <f t="shared" si="601"/>
        <v>4.4930983384246153</v>
      </c>
      <c r="W693" s="276">
        <f t="shared" si="602"/>
        <v>3.159659081792213</v>
      </c>
      <c r="X693" s="276">
        <f t="shared" si="603"/>
        <v>3.7294054212949632</v>
      </c>
      <c r="Y693" s="686">
        <f t="shared" si="604"/>
        <v>7.0123971760422359</v>
      </c>
      <c r="Z693" s="685" t="e">
        <f t="shared" si="605"/>
        <v>#DIV/0!</v>
      </c>
      <c r="AA693" s="276" t="e">
        <f t="shared" si="606"/>
        <v>#DIV/0!</v>
      </c>
      <c r="AB693" s="276" t="e">
        <f t="shared" si="607"/>
        <v>#DIV/0!</v>
      </c>
      <c r="AC693" s="276" t="e">
        <f t="shared" si="608"/>
        <v>#DIV/0!</v>
      </c>
      <c r="AD693" s="276" t="e">
        <f t="shared" si="609"/>
        <v>#DIV/0!</v>
      </c>
      <c r="AE693" s="686" t="e">
        <f t="shared" si="610"/>
        <v>#DIV/0!</v>
      </c>
      <c r="AF693" s="239"/>
      <c r="AG693" s="965" t="e">
        <f t="shared" si="581"/>
        <v>#VALUE!</v>
      </c>
      <c r="AH693" s="878" t="e">
        <f t="shared" si="582"/>
        <v>#VALUE!</v>
      </c>
      <c r="AI693" s="878" t="e">
        <f t="shared" si="583"/>
        <v>#VALUE!</v>
      </c>
      <c r="AJ693" s="878" t="e">
        <f t="shared" si="584"/>
        <v>#VALUE!</v>
      </c>
      <c r="AK693" s="878" t="e">
        <f t="shared" si="585"/>
        <v>#VALUE!</v>
      </c>
      <c r="AL693" s="966" t="e">
        <f t="shared" si="586"/>
        <v>#VALUE!</v>
      </c>
      <c r="AM693" s="239"/>
      <c r="AO693" s="685">
        <f t="shared" si="611"/>
        <v>1.0185126730916549</v>
      </c>
      <c r="AP693" s="276">
        <f t="shared" si="612"/>
        <v>0.97644353237770143</v>
      </c>
      <c r="AQ693" s="276">
        <f t="shared" si="613"/>
        <v>3.2527210998504312</v>
      </c>
      <c r="AR693" s="276">
        <f t="shared" si="614"/>
        <v>1.6729675830743649</v>
      </c>
      <c r="AS693" s="276">
        <f t="shared" si="615"/>
        <v>-3.1405321144308092</v>
      </c>
      <c r="AT693" s="276">
        <f t="shared" si="616"/>
        <v>1.9846319293132326</v>
      </c>
      <c r="AU693" s="685">
        <f t="shared" si="617"/>
        <v>2.0537003447240254</v>
      </c>
      <c r="AV693" s="276">
        <f t="shared" si="618"/>
        <v>1.3873879485872018</v>
      </c>
      <c r="AW693" s="276">
        <f t="shared" si="619"/>
        <v>1.4741887399851434</v>
      </c>
      <c r="AX693" s="276">
        <f t="shared" si="620"/>
        <v>1.9764906342874455</v>
      </c>
      <c r="AY693" s="276">
        <f t="shared" si="621"/>
        <v>0.91789245539823283</v>
      </c>
      <c r="AZ693" s="686">
        <f t="shared" si="622"/>
        <v>1.4300381337371715</v>
      </c>
      <c r="BA693" s="685">
        <f t="shared" si="623"/>
        <v>0</v>
      </c>
      <c r="BB693" s="276">
        <f t="shared" si="624"/>
        <v>0</v>
      </c>
      <c r="BC693" s="276">
        <f t="shared" si="625"/>
        <v>0</v>
      </c>
      <c r="BD693" s="276">
        <f t="shared" si="626"/>
        <v>0</v>
      </c>
      <c r="BE693" s="276">
        <f t="shared" si="627"/>
        <v>0</v>
      </c>
      <c r="BF693" s="686">
        <f t="shared" si="628"/>
        <v>0</v>
      </c>
      <c r="BG693" s="685" t="e">
        <f t="shared" si="629"/>
        <v>#DIV/0!</v>
      </c>
      <c r="BH693" s="276" t="e">
        <f t="shared" si="630"/>
        <v>#DIV/0!</v>
      </c>
      <c r="BI693" s="276" t="e">
        <f t="shared" si="631"/>
        <v>#DIV/0!</v>
      </c>
      <c r="BJ693" s="276" t="e">
        <f t="shared" si="632"/>
        <v>#DIV/0!</v>
      </c>
      <c r="BK693" s="276" t="e">
        <f t="shared" si="633"/>
        <v>#DIV/0!</v>
      </c>
      <c r="BL693" s="686" t="e">
        <f t="shared" si="634"/>
        <v>#DIV/0!</v>
      </c>
      <c r="BM693" s="239"/>
      <c r="BN693" s="965" t="e">
        <f t="shared" si="635"/>
        <v>#VALUE!</v>
      </c>
      <c r="BO693" s="878" t="e">
        <f t="shared" si="636"/>
        <v>#VALUE!</v>
      </c>
      <c r="BP693" s="878" t="e">
        <f t="shared" si="637"/>
        <v>#VALUE!</v>
      </c>
      <c r="BQ693" s="878" t="e">
        <f t="shared" si="638"/>
        <v>#VALUE!</v>
      </c>
      <c r="BR693" s="878" t="e">
        <f t="shared" si="639"/>
        <v>#VALUE!</v>
      </c>
      <c r="BS693" s="966" t="e">
        <f t="shared" si="640"/>
        <v>#VALUE!</v>
      </c>
    </row>
    <row r="694" spans="1:71">
      <c r="A694" s="284">
        <f t="shared" si="641"/>
        <v>626</v>
      </c>
      <c r="B694" s="285">
        <v>3.2472361186178449</v>
      </c>
      <c r="C694" s="285">
        <v>2.351232815835028</v>
      </c>
      <c r="D694" s="285">
        <v>0.45901957181761399</v>
      </c>
      <c r="E694" s="285">
        <v>1.7803177218982946</v>
      </c>
      <c r="H694" s="685">
        <f t="shared" si="587"/>
        <v>2.1140022768487903</v>
      </c>
      <c r="I694" s="276">
        <f t="shared" si="588"/>
        <v>2.8293743505294691</v>
      </c>
      <c r="J694" s="276">
        <f t="shared" si="589"/>
        <v>-2.4979107077968283</v>
      </c>
      <c r="K694" s="276">
        <f t="shared" si="590"/>
        <v>-3.5126120767173585</v>
      </c>
      <c r="L694" s="276">
        <f t="shared" si="591"/>
        <v>1.0001011257310004</v>
      </c>
      <c r="M694" s="276">
        <f t="shared" si="592"/>
        <v>-3.1864955399543913</v>
      </c>
      <c r="N694" s="685">
        <f t="shared" si="593"/>
        <v>1.1440616048631596</v>
      </c>
      <c r="O694" s="276">
        <f t="shared" si="594"/>
        <v>0.48138654796236957</v>
      </c>
      <c r="P694" s="276">
        <f t="shared" si="595"/>
        <v>1.7235002867629727</v>
      </c>
      <c r="Q694" s="276">
        <f t="shared" si="596"/>
        <v>1.3594209709058445</v>
      </c>
      <c r="R694" s="276">
        <f t="shared" si="597"/>
        <v>1.3506029830786328</v>
      </c>
      <c r="S694" s="686">
        <f t="shared" si="598"/>
        <v>0.97728057199144636</v>
      </c>
      <c r="T694" s="685">
        <f t="shared" si="599"/>
        <v>3.7373832620885397</v>
      </c>
      <c r="U694" s="276">
        <f t="shared" si="600"/>
        <v>6.5822311083814125</v>
      </c>
      <c r="V694" s="276">
        <f t="shared" si="601"/>
        <v>6.2516644430854615</v>
      </c>
      <c r="W694" s="276">
        <f t="shared" si="602"/>
        <v>3.6610357591673957</v>
      </c>
      <c r="X694" s="276">
        <f t="shared" si="603"/>
        <v>5.7721210685747337</v>
      </c>
      <c r="Y694" s="686">
        <f t="shared" si="604"/>
        <v>2.4210526624809461</v>
      </c>
      <c r="Z694" s="685" t="e">
        <f t="shared" si="605"/>
        <v>#DIV/0!</v>
      </c>
      <c r="AA694" s="276" t="e">
        <f t="shared" si="606"/>
        <v>#DIV/0!</v>
      </c>
      <c r="AB694" s="276" t="e">
        <f t="shared" si="607"/>
        <v>#DIV/0!</v>
      </c>
      <c r="AC694" s="276" t="e">
        <f t="shared" si="608"/>
        <v>#DIV/0!</v>
      </c>
      <c r="AD694" s="276" t="e">
        <f t="shared" si="609"/>
        <v>#DIV/0!</v>
      </c>
      <c r="AE694" s="686" t="e">
        <f t="shared" si="610"/>
        <v>#DIV/0!</v>
      </c>
      <c r="AF694" s="239"/>
      <c r="AG694" s="965" t="e">
        <f t="shared" si="581"/>
        <v>#VALUE!</v>
      </c>
      <c r="AH694" s="878" t="e">
        <f t="shared" si="582"/>
        <v>#VALUE!</v>
      </c>
      <c r="AI694" s="878" t="e">
        <f t="shared" si="583"/>
        <v>#VALUE!</v>
      </c>
      <c r="AJ694" s="878" t="e">
        <f t="shared" si="584"/>
        <v>#VALUE!</v>
      </c>
      <c r="AK694" s="878" t="e">
        <f t="shared" si="585"/>
        <v>#VALUE!</v>
      </c>
      <c r="AL694" s="966" t="e">
        <f t="shared" si="586"/>
        <v>#VALUE!</v>
      </c>
      <c r="AM694" s="239"/>
      <c r="AO694" s="685">
        <f t="shared" si="611"/>
        <v>2.1140022768487903</v>
      </c>
      <c r="AP694" s="276">
        <f t="shared" si="612"/>
        <v>2.8293743505294691</v>
      </c>
      <c r="AQ694" s="276">
        <f t="shared" si="613"/>
        <v>-2.4979107077968283</v>
      </c>
      <c r="AR694" s="276">
        <f t="shared" si="614"/>
        <v>-3.5126120767173585</v>
      </c>
      <c r="AS694" s="276">
        <f t="shared" si="615"/>
        <v>1.0001011257310004</v>
      </c>
      <c r="AT694" s="276">
        <f t="shared" si="616"/>
        <v>-3.1864955399543913</v>
      </c>
      <c r="AU694" s="685">
        <f t="shared" si="617"/>
        <v>1.1440616048631596</v>
      </c>
      <c r="AV694" s="276">
        <f t="shared" si="618"/>
        <v>0.48138654796236957</v>
      </c>
      <c r="AW694" s="276">
        <f t="shared" si="619"/>
        <v>1.7235002867629727</v>
      </c>
      <c r="AX694" s="276">
        <f t="shared" si="620"/>
        <v>1.3594209709058445</v>
      </c>
      <c r="AY694" s="276">
        <f t="shared" si="621"/>
        <v>1.3506029830786328</v>
      </c>
      <c r="AZ694" s="686">
        <f t="shared" si="622"/>
        <v>0.97728057199144636</v>
      </c>
      <c r="BA694" s="685">
        <f t="shared" si="623"/>
        <v>0</v>
      </c>
      <c r="BB694" s="276">
        <f t="shared" si="624"/>
        <v>0</v>
      </c>
      <c r="BC694" s="276">
        <f t="shared" si="625"/>
        <v>0</v>
      </c>
      <c r="BD694" s="276">
        <f t="shared" si="626"/>
        <v>0</v>
      </c>
      <c r="BE694" s="276">
        <f t="shared" si="627"/>
        <v>0</v>
      </c>
      <c r="BF694" s="686">
        <f t="shared" si="628"/>
        <v>0</v>
      </c>
      <c r="BG694" s="685" t="e">
        <f t="shared" si="629"/>
        <v>#DIV/0!</v>
      </c>
      <c r="BH694" s="276" t="e">
        <f t="shared" si="630"/>
        <v>#DIV/0!</v>
      </c>
      <c r="BI694" s="276" t="e">
        <f t="shared" si="631"/>
        <v>#DIV/0!</v>
      </c>
      <c r="BJ694" s="276" t="e">
        <f t="shared" si="632"/>
        <v>#DIV/0!</v>
      </c>
      <c r="BK694" s="276" t="e">
        <f t="shared" si="633"/>
        <v>#DIV/0!</v>
      </c>
      <c r="BL694" s="686" t="e">
        <f t="shared" si="634"/>
        <v>#DIV/0!</v>
      </c>
      <c r="BM694" s="239"/>
      <c r="BN694" s="965" t="e">
        <f t="shared" si="635"/>
        <v>#VALUE!</v>
      </c>
      <c r="BO694" s="878" t="e">
        <f t="shared" si="636"/>
        <v>#VALUE!</v>
      </c>
      <c r="BP694" s="878" t="e">
        <f t="shared" si="637"/>
        <v>#VALUE!</v>
      </c>
      <c r="BQ694" s="878" t="e">
        <f t="shared" si="638"/>
        <v>#VALUE!</v>
      </c>
      <c r="BR694" s="878" t="e">
        <f t="shared" si="639"/>
        <v>#VALUE!</v>
      </c>
      <c r="BS694" s="966" t="e">
        <f t="shared" si="640"/>
        <v>#VALUE!</v>
      </c>
    </row>
    <row r="695" spans="1:71">
      <c r="A695" s="284">
        <f t="shared" si="641"/>
        <v>627</v>
      </c>
      <c r="B695" s="285">
        <v>1.9734155931507038</v>
      </c>
      <c r="C695" s="285">
        <v>2.1891213338296573</v>
      </c>
      <c r="D695" s="285">
        <v>1.4136508096223357</v>
      </c>
      <c r="E695" s="285">
        <v>-2.739847334646242</v>
      </c>
      <c r="H695" s="685">
        <f t="shared" si="587"/>
        <v>0.84018175138164897</v>
      </c>
      <c r="I695" s="276">
        <f t="shared" si="588"/>
        <v>1.5179176432368406</v>
      </c>
      <c r="J695" s="276">
        <f t="shared" si="589"/>
        <v>-2.303718250926309</v>
      </c>
      <c r="K695" s="276">
        <f t="shared" si="590"/>
        <v>-2.9013473114037645</v>
      </c>
      <c r="L695" s="276">
        <f t="shared" si="591"/>
        <v>-2.1371019804482598</v>
      </c>
      <c r="M695" s="276">
        <f t="shared" si="592"/>
        <v>-3.9713013550122689E-2</v>
      </c>
      <c r="N695" s="685">
        <f t="shared" si="593"/>
        <v>0.98195012285778893</v>
      </c>
      <c r="O695" s="276">
        <f t="shared" si="594"/>
        <v>1.7145106012717004</v>
      </c>
      <c r="P695" s="276">
        <f t="shared" si="595"/>
        <v>1.096999350704446</v>
      </c>
      <c r="Q695" s="276">
        <f t="shared" si="596"/>
        <v>0.76814732808532704</v>
      </c>
      <c r="R695" s="276">
        <f t="shared" si="597"/>
        <v>0.6180407072285814</v>
      </c>
      <c r="S695" s="686">
        <f t="shared" si="598"/>
        <v>0.84200610090647321</v>
      </c>
      <c r="T695" s="685">
        <f t="shared" si="599"/>
        <v>4.6920144998932614</v>
      </c>
      <c r="U695" s="276">
        <f t="shared" si="600"/>
        <v>3.3355281578784766</v>
      </c>
      <c r="V695" s="276">
        <f t="shared" si="601"/>
        <v>3.2042220155421095</v>
      </c>
      <c r="W695" s="276">
        <f t="shared" si="602"/>
        <v>3.6720423334299075</v>
      </c>
      <c r="X695" s="276">
        <f t="shared" si="603"/>
        <v>3.8401127805454087</v>
      </c>
      <c r="Y695" s="686">
        <f t="shared" si="604"/>
        <v>3.6944865496430976</v>
      </c>
      <c r="Z695" s="685" t="e">
        <f t="shared" si="605"/>
        <v>#DIV/0!</v>
      </c>
      <c r="AA695" s="276" t="e">
        <f t="shared" si="606"/>
        <v>#DIV/0!</v>
      </c>
      <c r="AB695" s="276" t="e">
        <f t="shared" si="607"/>
        <v>#DIV/0!</v>
      </c>
      <c r="AC695" s="276" t="e">
        <f t="shared" si="608"/>
        <v>#DIV/0!</v>
      </c>
      <c r="AD695" s="276" t="e">
        <f t="shared" si="609"/>
        <v>#DIV/0!</v>
      </c>
      <c r="AE695" s="686" t="e">
        <f t="shared" si="610"/>
        <v>#DIV/0!</v>
      </c>
      <c r="AF695" s="239"/>
      <c r="AG695" s="965" t="e">
        <f t="shared" si="581"/>
        <v>#VALUE!</v>
      </c>
      <c r="AH695" s="878" t="e">
        <f t="shared" si="582"/>
        <v>#VALUE!</v>
      </c>
      <c r="AI695" s="878" t="e">
        <f t="shared" si="583"/>
        <v>#VALUE!</v>
      </c>
      <c r="AJ695" s="878" t="e">
        <f t="shared" si="584"/>
        <v>#VALUE!</v>
      </c>
      <c r="AK695" s="878" t="e">
        <f t="shared" si="585"/>
        <v>#VALUE!</v>
      </c>
      <c r="AL695" s="966" t="e">
        <f t="shared" si="586"/>
        <v>#VALUE!</v>
      </c>
      <c r="AM695" s="239"/>
      <c r="AO695" s="685">
        <f t="shared" si="611"/>
        <v>0.84018175138164897</v>
      </c>
      <c r="AP695" s="276">
        <f t="shared" si="612"/>
        <v>1.5179176432368406</v>
      </c>
      <c r="AQ695" s="276">
        <f t="shared" si="613"/>
        <v>-2.303718250926309</v>
      </c>
      <c r="AR695" s="276">
        <f t="shared" si="614"/>
        <v>-2.9013473114037645</v>
      </c>
      <c r="AS695" s="276">
        <f t="shared" si="615"/>
        <v>-2.1371019804482598</v>
      </c>
      <c r="AT695" s="276">
        <f t="shared" si="616"/>
        <v>-3.9713013550122689E-2</v>
      </c>
      <c r="AU695" s="685">
        <f t="shared" si="617"/>
        <v>0.98195012285778893</v>
      </c>
      <c r="AV695" s="276">
        <f t="shared" si="618"/>
        <v>1.7145106012717004</v>
      </c>
      <c r="AW695" s="276">
        <f t="shared" si="619"/>
        <v>1.096999350704446</v>
      </c>
      <c r="AX695" s="276">
        <f t="shared" si="620"/>
        <v>0.76814732808532704</v>
      </c>
      <c r="AY695" s="276">
        <f t="shared" si="621"/>
        <v>0.6180407072285814</v>
      </c>
      <c r="AZ695" s="686">
        <f t="shared" si="622"/>
        <v>0.84200610090647321</v>
      </c>
      <c r="BA695" s="685">
        <f t="shared" si="623"/>
        <v>0</v>
      </c>
      <c r="BB695" s="276">
        <f t="shared" si="624"/>
        <v>0</v>
      </c>
      <c r="BC695" s="276">
        <f t="shared" si="625"/>
        <v>0</v>
      </c>
      <c r="BD695" s="276">
        <f t="shared" si="626"/>
        <v>0</v>
      </c>
      <c r="BE695" s="276">
        <f t="shared" si="627"/>
        <v>0</v>
      </c>
      <c r="BF695" s="686">
        <f t="shared" si="628"/>
        <v>0</v>
      </c>
      <c r="BG695" s="685" t="e">
        <f t="shared" si="629"/>
        <v>#DIV/0!</v>
      </c>
      <c r="BH695" s="276" t="e">
        <f t="shared" si="630"/>
        <v>#DIV/0!</v>
      </c>
      <c r="BI695" s="276" t="e">
        <f t="shared" si="631"/>
        <v>#DIV/0!</v>
      </c>
      <c r="BJ695" s="276" t="e">
        <f t="shared" si="632"/>
        <v>#DIV/0!</v>
      </c>
      <c r="BK695" s="276" t="e">
        <f t="shared" si="633"/>
        <v>#DIV/0!</v>
      </c>
      <c r="BL695" s="686" t="e">
        <f t="shared" si="634"/>
        <v>#DIV/0!</v>
      </c>
      <c r="BM695" s="239"/>
      <c r="BN695" s="965" t="e">
        <f t="shared" si="635"/>
        <v>#VALUE!</v>
      </c>
      <c r="BO695" s="878" t="e">
        <f t="shared" si="636"/>
        <v>#VALUE!</v>
      </c>
      <c r="BP695" s="878" t="e">
        <f t="shared" si="637"/>
        <v>#VALUE!</v>
      </c>
      <c r="BQ695" s="878" t="e">
        <f t="shared" si="638"/>
        <v>#VALUE!</v>
      </c>
      <c r="BR695" s="878" t="e">
        <f t="shared" si="639"/>
        <v>#VALUE!</v>
      </c>
      <c r="BS695" s="966" t="e">
        <f t="shared" si="640"/>
        <v>#VALUE!</v>
      </c>
    </row>
    <row r="696" spans="1:71">
      <c r="A696" s="284">
        <f t="shared" si="641"/>
        <v>628</v>
      </c>
      <c r="B696" s="285">
        <v>-3.1667040554568682</v>
      </c>
      <c r="C696" s="285">
        <v>1.5446811422924016</v>
      </c>
      <c r="D696" s="285">
        <v>1.3025944867249555</v>
      </c>
      <c r="E696" s="285">
        <v>-14.242860121989198</v>
      </c>
      <c r="H696" s="685">
        <f t="shared" si="587"/>
        <v>-4.2999378972259228</v>
      </c>
      <c r="I696" s="276">
        <f t="shared" si="588"/>
        <v>-1.8547342790483006</v>
      </c>
      <c r="J696" s="276">
        <f t="shared" si="589"/>
        <v>-2.2845678995693373</v>
      </c>
      <c r="K696" s="276">
        <f t="shared" si="590"/>
        <v>-0.18949608232771431</v>
      </c>
      <c r="L696" s="276">
        <f t="shared" si="591"/>
        <v>-4.6015123651296399</v>
      </c>
      <c r="M696" s="276">
        <f t="shared" si="592"/>
        <v>2.4566862302726591</v>
      </c>
      <c r="N696" s="685">
        <f t="shared" si="593"/>
        <v>0.3375099313205332</v>
      </c>
      <c r="O696" s="276">
        <f t="shared" si="594"/>
        <v>0.72552925039231053</v>
      </c>
      <c r="P696" s="276">
        <f t="shared" si="595"/>
        <v>1.0641730750296146</v>
      </c>
      <c r="Q696" s="276">
        <f t="shared" si="596"/>
        <v>0.98818027194465663</v>
      </c>
      <c r="R696" s="276">
        <f t="shared" si="597"/>
        <v>0.96979359831507872</v>
      </c>
      <c r="S696" s="686">
        <f t="shared" si="598"/>
        <v>2.0837750930964436</v>
      </c>
      <c r="T696" s="685">
        <f t="shared" si="599"/>
        <v>4.5809581769958818</v>
      </c>
      <c r="U696" s="276">
        <f t="shared" si="600"/>
        <v>5.5906746087082606</v>
      </c>
      <c r="V696" s="276">
        <f t="shared" si="601"/>
        <v>4.200739761889138</v>
      </c>
      <c r="W696" s="276">
        <f t="shared" si="602"/>
        <v>5.6586988709306976</v>
      </c>
      <c r="X696" s="276">
        <f t="shared" si="603"/>
        <v>3.5174171864434531</v>
      </c>
      <c r="Y696" s="686">
        <f t="shared" si="604"/>
        <v>4.6766223137358107</v>
      </c>
      <c r="Z696" s="685" t="e">
        <f t="shared" si="605"/>
        <v>#DIV/0!</v>
      </c>
      <c r="AA696" s="276" t="e">
        <f t="shared" si="606"/>
        <v>#DIV/0!</v>
      </c>
      <c r="AB696" s="276" t="e">
        <f t="shared" si="607"/>
        <v>#DIV/0!</v>
      </c>
      <c r="AC696" s="276" t="e">
        <f t="shared" si="608"/>
        <v>#DIV/0!</v>
      </c>
      <c r="AD696" s="276" t="e">
        <f t="shared" si="609"/>
        <v>#DIV/0!</v>
      </c>
      <c r="AE696" s="686" t="e">
        <f t="shared" si="610"/>
        <v>#DIV/0!</v>
      </c>
      <c r="AF696" s="239"/>
      <c r="AG696" s="965" t="e">
        <f t="shared" si="581"/>
        <v>#VALUE!</v>
      </c>
      <c r="AH696" s="878" t="e">
        <f t="shared" si="582"/>
        <v>#VALUE!</v>
      </c>
      <c r="AI696" s="878" t="e">
        <f t="shared" si="583"/>
        <v>#VALUE!</v>
      </c>
      <c r="AJ696" s="878" t="e">
        <f t="shared" si="584"/>
        <v>#VALUE!</v>
      </c>
      <c r="AK696" s="878" t="e">
        <f t="shared" si="585"/>
        <v>#VALUE!</v>
      </c>
      <c r="AL696" s="966" t="e">
        <f t="shared" si="586"/>
        <v>#VALUE!</v>
      </c>
      <c r="AM696" s="239"/>
      <c r="AO696" s="685">
        <f t="shared" si="611"/>
        <v>-4.2999378972259228</v>
      </c>
      <c r="AP696" s="276">
        <f t="shared" si="612"/>
        <v>-1.8547342790483006</v>
      </c>
      <c r="AQ696" s="276">
        <f t="shared" si="613"/>
        <v>-2.2845678995693373</v>
      </c>
      <c r="AR696" s="276">
        <f t="shared" si="614"/>
        <v>-0.18949608232771431</v>
      </c>
      <c r="AS696" s="276">
        <f t="shared" si="615"/>
        <v>-4.6015123651296399</v>
      </c>
      <c r="AT696" s="276">
        <f t="shared" si="616"/>
        <v>2.4566862302726591</v>
      </c>
      <c r="AU696" s="685">
        <f t="shared" si="617"/>
        <v>0.3375099313205332</v>
      </c>
      <c r="AV696" s="276">
        <f t="shared" si="618"/>
        <v>0.72552925039231053</v>
      </c>
      <c r="AW696" s="276">
        <f t="shared" si="619"/>
        <v>1.0641730750296146</v>
      </c>
      <c r="AX696" s="276">
        <f t="shared" si="620"/>
        <v>0.98818027194465663</v>
      </c>
      <c r="AY696" s="276">
        <f t="shared" si="621"/>
        <v>0.96979359831507872</v>
      </c>
      <c r="AZ696" s="686">
        <f t="shared" si="622"/>
        <v>2.0837750930964436</v>
      </c>
      <c r="BA696" s="685">
        <f t="shared" si="623"/>
        <v>0</v>
      </c>
      <c r="BB696" s="276">
        <f t="shared" si="624"/>
        <v>0</v>
      </c>
      <c r="BC696" s="276">
        <f t="shared" si="625"/>
        <v>0</v>
      </c>
      <c r="BD696" s="276">
        <f t="shared" si="626"/>
        <v>0</v>
      </c>
      <c r="BE696" s="276">
        <f t="shared" si="627"/>
        <v>0</v>
      </c>
      <c r="BF696" s="686">
        <f t="shared" si="628"/>
        <v>0</v>
      </c>
      <c r="BG696" s="685" t="e">
        <f t="shared" si="629"/>
        <v>#DIV/0!</v>
      </c>
      <c r="BH696" s="276" t="e">
        <f t="shared" si="630"/>
        <v>#DIV/0!</v>
      </c>
      <c r="BI696" s="276" t="e">
        <f t="shared" si="631"/>
        <v>#DIV/0!</v>
      </c>
      <c r="BJ696" s="276" t="e">
        <f t="shared" si="632"/>
        <v>#DIV/0!</v>
      </c>
      <c r="BK696" s="276" t="e">
        <f t="shared" si="633"/>
        <v>#DIV/0!</v>
      </c>
      <c r="BL696" s="686" t="e">
        <f t="shared" si="634"/>
        <v>#DIV/0!</v>
      </c>
      <c r="BM696" s="239"/>
      <c r="BN696" s="965" t="e">
        <f t="shared" si="635"/>
        <v>#VALUE!</v>
      </c>
      <c r="BO696" s="878" t="e">
        <f t="shared" si="636"/>
        <v>#VALUE!</v>
      </c>
      <c r="BP696" s="878" t="e">
        <f t="shared" si="637"/>
        <v>#VALUE!</v>
      </c>
      <c r="BQ696" s="878" t="e">
        <f t="shared" si="638"/>
        <v>#VALUE!</v>
      </c>
      <c r="BR696" s="878" t="e">
        <f t="shared" si="639"/>
        <v>#VALUE!</v>
      </c>
      <c r="BS696" s="966" t="e">
        <f t="shared" si="640"/>
        <v>#VALUE!</v>
      </c>
    </row>
    <row r="697" spans="1:71">
      <c r="A697" s="284">
        <f t="shared" si="641"/>
        <v>629</v>
      </c>
      <c r="B697" s="285">
        <v>-2.2839886755976075</v>
      </c>
      <c r="C697" s="285">
        <v>2.7250504346258957</v>
      </c>
      <c r="D697" s="285">
        <v>-1.6032680786195188</v>
      </c>
      <c r="E697" s="285">
        <v>3.8173326833699384</v>
      </c>
      <c r="H697" s="685">
        <f t="shared" si="587"/>
        <v>-3.4172225173666622</v>
      </c>
      <c r="I697" s="276">
        <f t="shared" si="588"/>
        <v>6.6516745165028368E-3</v>
      </c>
      <c r="J697" s="276">
        <f t="shared" si="589"/>
        <v>-3.9606825362622109</v>
      </c>
      <c r="K697" s="276">
        <f t="shared" si="590"/>
        <v>-3.3569797041653207</v>
      </c>
      <c r="L697" s="276">
        <f t="shared" si="591"/>
        <v>4.8129948015133275</v>
      </c>
      <c r="M697" s="276">
        <f t="shared" si="592"/>
        <v>-3.2010261125033619</v>
      </c>
      <c r="N697" s="685">
        <f t="shared" si="593"/>
        <v>1.5178792236540273</v>
      </c>
      <c r="O697" s="276">
        <f t="shared" si="594"/>
        <v>0.18157002346077955</v>
      </c>
      <c r="P697" s="276">
        <f t="shared" si="595"/>
        <v>4.8166054772681433E-2</v>
      </c>
      <c r="Q697" s="276">
        <f t="shared" si="596"/>
        <v>1.7769164040933061</v>
      </c>
      <c r="R697" s="276">
        <f t="shared" si="597"/>
        <v>1.8016199525132677</v>
      </c>
      <c r="S697" s="686">
        <f t="shared" si="598"/>
        <v>0.88606869512207598</v>
      </c>
      <c r="T697" s="685">
        <f t="shared" si="599"/>
        <v>1.6750956116514071</v>
      </c>
      <c r="U697" s="276">
        <f t="shared" si="600"/>
        <v>7.6834046059068957</v>
      </c>
      <c r="V697" s="276">
        <f t="shared" si="601"/>
        <v>2.2877959206276666</v>
      </c>
      <c r="W697" s="276">
        <f t="shared" si="602"/>
        <v>1.5515934084444347</v>
      </c>
      <c r="X697" s="276">
        <f t="shared" si="603"/>
        <v>7.3765477737518008</v>
      </c>
      <c r="Y697" s="686">
        <f t="shared" si="604"/>
        <v>4.302373961742175</v>
      </c>
      <c r="Z697" s="685" t="e">
        <f t="shared" si="605"/>
        <v>#DIV/0!</v>
      </c>
      <c r="AA697" s="276" t="e">
        <f t="shared" si="606"/>
        <v>#DIV/0!</v>
      </c>
      <c r="AB697" s="276" t="e">
        <f t="shared" si="607"/>
        <v>#DIV/0!</v>
      </c>
      <c r="AC697" s="276" t="e">
        <f t="shared" si="608"/>
        <v>#DIV/0!</v>
      </c>
      <c r="AD697" s="276" t="e">
        <f t="shared" si="609"/>
        <v>#DIV/0!</v>
      </c>
      <c r="AE697" s="686" t="e">
        <f t="shared" si="610"/>
        <v>#DIV/0!</v>
      </c>
      <c r="AF697" s="239"/>
      <c r="AG697" s="965" t="e">
        <f t="shared" si="581"/>
        <v>#VALUE!</v>
      </c>
      <c r="AH697" s="878" t="e">
        <f t="shared" si="582"/>
        <v>#VALUE!</v>
      </c>
      <c r="AI697" s="878" t="e">
        <f t="shared" si="583"/>
        <v>#VALUE!</v>
      </c>
      <c r="AJ697" s="878" t="e">
        <f t="shared" si="584"/>
        <v>#VALUE!</v>
      </c>
      <c r="AK697" s="878" t="e">
        <f t="shared" si="585"/>
        <v>#VALUE!</v>
      </c>
      <c r="AL697" s="966" t="e">
        <f t="shared" si="586"/>
        <v>#VALUE!</v>
      </c>
      <c r="AM697" s="239"/>
      <c r="AO697" s="685">
        <f t="shared" si="611"/>
        <v>-3.4172225173666622</v>
      </c>
      <c r="AP697" s="276">
        <f t="shared" si="612"/>
        <v>6.6516745165028368E-3</v>
      </c>
      <c r="AQ697" s="276">
        <f t="shared" si="613"/>
        <v>-3.9606825362622109</v>
      </c>
      <c r="AR697" s="276">
        <f t="shared" si="614"/>
        <v>-3.3569797041653207</v>
      </c>
      <c r="AS697" s="276">
        <f t="shared" si="615"/>
        <v>4.8129948015133275</v>
      </c>
      <c r="AT697" s="276">
        <f t="shared" si="616"/>
        <v>-3.2010261125033619</v>
      </c>
      <c r="AU697" s="685">
        <f t="shared" si="617"/>
        <v>1.5178792236540273</v>
      </c>
      <c r="AV697" s="276">
        <f t="shared" si="618"/>
        <v>0.18157002346077955</v>
      </c>
      <c r="AW697" s="276">
        <f t="shared" si="619"/>
        <v>4.8166054772681433E-2</v>
      </c>
      <c r="AX697" s="276">
        <f t="shared" si="620"/>
        <v>1.7769164040933061</v>
      </c>
      <c r="AY697" s="276">
        <f t="shared" si="621"/>
        <v>1.8016199525132677</v>
      </c>
      <c r="AZ697" s="686">
        <f t="shared" si="622"/>
        <v>0.88606869512207598</v>
      </c>
      <c r="BA697" s="685">
        <f t="shared" si="623"/>
        <v>0</v>
      </c>
      <c r="BB697" s="276">
        <f t="shared" si="624"/>
        <v>0</v>
      </c>
      <c r="BC697" s="276">
        <f t="shared" si="625"/>
        <v>0</v>
      </c>
      <c r="BD697" s="276">
        <f t="shared" si="626"/>
        <v>0</v>
      </c>
      <c r="BE697" s="276">
        <f t="shared" si="627"/>
        <v>0</v>
      </c>
      <c r="BF697" s="686">
        <f t="shared" si="628"/>
        <v>0</v>
      </c>
      <c r="BG697" s="685" t="e">
        <f t="shared" si="629"/>
        <v>#DIV/0!</v>
      </c>
      <c r="BH697" s="276" t="e">
        <f t="shared" si="630"/>
        <v>#DIV/0!</v>
      </c>
      <c r="BI697" s="276" t="e">
        <f t="shared" si="631"/>
        <v>#DIV/0!</v>
      </c>
      <c r="BJ697" s="276" t="e">
        <f t="shared" si="632"/>
        <v>#DIV/0!</v>
      </c>
      <c r="BK697" s="276" t="e">
        <f t="shared" si="633"/>
        <v>#DIV/0!</v>
      </c>
      <c r="BL697" s="686" t="e">
        <f t="shared" si="634"/>
        <v>#DIV/0!</v>
      </c>
      <c r="BM697" s="239"/>
      <c r="BN697" s="965" t="e">
        <f t="shared" si="635"/>
        <v>#VALUE!</v>
      </c>
      <c r="BO697" s="878" t="e">
        <f t="shared" si="636"/>
        <v>#VALUE!</v>
      </c>
      <c r="BP697" s="878" t="e">
        <f t="shared" si="637"/>
        <v>#VALUE!</v>
      </c>
      <c r="BQ697" s="878" t="e">
        <f t="shared" si="638"/>
        <v>#VALUE!</v>
      </c>
      <c r="BR697" s="878" t="e">
        <f t="shared" si="639"/>
        <v>#VALUE!</v>
      </c>
      <c r="BS697" s="966" t="e">
        <f t="shared" si="640"/>
        <v>#VALUE!</v>
      </c>
    </row>
    <row r="698" spans="1:71">
      <c r="A698" s="284">
        <f t="shared" si="641"/>
        <v>630</v>
      </c>
      <c r="B698" s="285">
        <v>-2.8418147813196852</v>
      </c>
      <c r="C698" s="285">
        <v>2.5937134451361876</v>
      </c>
      <c r="D698" s="285">
        <v>0.70592033197805071</v>
      </c>
      <c r="E698" s="285">
        <v>1.8484512430123448</v>
      </c>
      <c r="H698" s="685">
        <f t="shared" si="587"/>
        <v>-3.9750486230887399</v>
      </c>
      <c r="I698" s="276">
        <f t="shared" si="588"/>
        <v>-1.1283972703564198</v>
      </c>
      <c r="J698" s="276">
        <f t="shared" si="589"/>
        <v>-1.9979612360525283</v>
      </c>
      <c r="K698" s="276">
        <f t="shared" si="590"/>
        <v>1.8704565141817004</v>
      </c>
      <c r="L698" s="276">
        <f t="shared" si="591"/>
        <v>-2.178593520471384</v>
      </c>
      <c r="M698" s="276">
        <f t="shared" si="592"/>
        <v>0.65968462232853908</v>
      </c>
      <c r="N698" s="685">
        <f t="shared" si="593"/>
        <v>1.3865422341643192</v>
      </c>
      <c r="O698" s="276">
        <f t="shared" si="594"/>
        <v>0.90470132126398339</v>
      </c>
      <c r="P698" s="276">
        <f t="shared" si="595"/>
        <v>1.8940152777523112</v>
      </c>
      <c r="Q698" s="276">
        <f t="shared" si="596"/>
        <v>1.7128357569085753</v>
      </c>
      <c r="R698" s="276">
        <f t="shared" si="597"/>
        <v>1.4027906679569566</v>
      </c>
      <c r="S698" s="686">
        <f t="shared" si="598"/>
        <v>1.437279106892406</v>
      </c>
      <c r="T698" s="685">
        <f t="shared" si="599"/>
        <v>3.9842840222489766</v>
      </c>
      <c r="U698" s="276">
        <f t="shared" si="600"/>
        <v>4.5061245184735315</v>
      </c>
      <c r="V698" s="276">
        <f t="shared" si="601"/>
        <v>2.9747060645228425</v>
      </c>
      <c r="W698" s="276">
        <f t="shared" si="602"/>
        <v>5.9867924033431805</v>
      </c>
      <c r="X698" s="276">
        <f t="shared" si="603"/>
        <v>3.6681990747322319</v>
      </c>
      <c r="Y698" s="686">
        <f t="shared" si="604"/>
        <v>5.4069690644718671</v>
      </c>
      <c r="Z698" s="685" t="e">
        <f t="shared" si="605"/>
        <v>#DIV/0!</v>
      </c>
      <c r="AA698" s="276" t="e">
        <f t="shared" si="606"/>
        <v>#DIV/0!</v>
      </c>
      <c r="AB698" s="276" t="e">
        <f t="shared" si="607"/>
        <v>#DIV/0!</v>
      </c>
      <c r="AC698" s="276" t="e">
        <f t="shared" si="608"/>
        <v>#DIV/0!</v>
      </c>
      <c r="AD698" s="276" t="e">
        <f t="shared" si="609"/>
        <v>#DIV/0!</v>
      </c>
      <c r="AE698" s="686" t="e">
        <f t="shared" si="610"/>
        <v>#DIV/0!</v>
      </c>
      <c r="AF698" s="239"/>
      <c r="AG698" s="965" t="e">
        <f t="shared" si="581"/>
        <v>#VALUE!</v>
      </c>
      <c r="AH698" s="878" t="e">
        <f t="shared" si="582"/>
        <v>#VALUE!</v>
      </c>
      <c r="AI698" s="878" t="e">
        <f t="shared" si="583"/>
        <v>#VALUE!</v>
      </c>
      <c r="AJ698" s="878" t="e">
        <f t="shared" si="584"/>
        <v>#VALUE!</v>
      </c>
      <c r="AK698" s="878" t="e">
        <f t="shared" si="585"/>
        <v>#VALUE!</v>
      </c>
      <c r="AL698" s="966" t="e">
        <f t="shared" si="586"/>
        <v>#VALUE!</v>
      </c>
      <c r="AM698" s="239"/>
      <c r="AO698" s="685">
        <f t="shared" si="611"/>
        <v>-3.9750486230887399</v>
      </c>
      <c r="AP698" s="276">
        <f t="shared" si="612"/>
        <v>-1.1283972703564198</v>
      </c>
      <c r="AQ698" s="276">
        <f t="shared" si="613"/>
        <v>-1.9979612360525283</v>
      </c>
      <c r="AR698" s="276">
        <f t="shared" si="614"/>
        <v>1.8704565141817004</v>
      </c>
      <c r="AS698" s="276">
        <f t="shared" si="615"/>
        <v>-2.178593520471384</v>
      </c>
      <c r="AT698" s="276">
        <f t="shared" si="616"/>
        <v>0.65968462232853908</v>
      </c>
      <c r="AU698" s="685">
        <f t="shared" si="617"/>
        <v>1.3865422341643192</v>
      </c>
      <c r="AV698" s="276">
        <f t="shared" si="618"/>
        <v>0.90470132126398339</v>
      </c>
      <c r="AW698" s="276">
        <f t="shared" si="619"/>
        <v>1.8940152777523112</v>
      </c>
      <c r="AX698" s="276">
        <f t="shared" si="620"/>
        <v>1.7128357569085753</v>
      </c>
      <c r="AY698" s="276">
        <f t="shared" si="621"/>
        <v>1.4027906679569566</v>
      </c>
      <c r="AZ698" s="686">
        <f t="shared" si="622"/>
        <v>1.437279106892406</v>
      </c>
      <c r="BA698" s="685">
        <f t="shared" si="623"/>
        <v>0</v>
      </c>
      <c r="BB698" s="276">
        <f t="shared" si="624"/>
        <v>0</v>
      </c>
      <c r="BC698" s="276">
        <f t="shared" si="625"/>
        <v>0</v>
      </c>
      <c r="BD698" s="276">
        <f t="shared" si="626"/>
        <v>0</v>
      </c>
      <c r="BE698" s="276">
        <f t="shared" si="627"/>
        <v>0</v>
      </c>
      <c r="BF698" s="686">
        <f t="shared" si="628"/>
        <v>0</v>
      </c>
      <c r="BG698" s="685" t="e">
        <f t="shared" si="629"/>
        <v>#DIV/0!</v>
      </c>
      <c r="BH698" s="276" t="e">
        <f t="shared" si="630"/>
        <v>#DIV/0!</v>
      </c>
      <c r="BI698" s="276" t="e">
        <f t="shared" si="631"/>
        <v>#DIV/0!</v>
      </c>
      <c r="BJ698" s="276" t="e">
        <f t="shared" si="632"/>
        <v>#DIV/0!</v>
      </c>
      <c r="BK698" s="276" t="e">
        <f t="shared" si="633"/>
        <v>#DIV/0!</v>
      </c>
      <c r="BL698" s="686" t="e">
        <f t="shared" si="634"/>
        <v>#DIV/0!</v>
      </c>
      <c r="BM698" s="239"/>
      <c r="BN698" s="965" t="e">
        <f t="shared" si="635"/>
        <v>#VALUE!</v>
      </c>
      <c r="BO698" s="878" t="e">
        <f t="shared" si="636"/>
        <v>#VALUE!</v>
      </c>
      <c r="BP698" s="878" t="e">
        <f t="shared" si="637"/>
        <v>#VALUE!</v>
      </c>
      <c r="BQ698" s="878" t="e">
        <f t="shared" si="638"/>
        <v>#VALUE!</v>
      </c>
      <c r="BR698" s="878" t="e">
        <f t="shared" si="639"/>
        <v>#VALUE!</v>
      </c>
      <c r="BS698" s="966" t="e">
        <f t="shared" si="640"/>
        <v>#VALUE!</v>
      </c>
    </row>
    <row r="699" spans="1:71">
      <c r="A699" s="284">
        <f t="shared" si="641"/>
        <v>631</v>
      </c>
      <c r="B699" s="285">
        <v>3.5511050876949814E-2</v>
      </c>
      <c r="C699" s="285">
        <v>3.0277475959813498</v>
      </c>
      <c r="D699" s="285">
        <v>3.8126505675730913</v>
      </c>
      <c r="E699" s="285">
        <v>8.551894688658944</v>
      </c>
      <c r="H699" s="685">
        <f t="shared" si="587"/>
        <v>-1.097722790892105</v>
      </c>
      <c r="I699" s="276">
        <f t="shared" si="588"/>
        <v>-0.86837648091948472</v>
      </c>
      <c r="J699" s="276">
        <f t="shared" si="589"/>
        <v>2.0501617510740742</v>
      </c>
      <c r="K699" s="276">
        <f t="shared" si="590"/>
        <v>-0.54604087616359898</v>
      </c>
      <c r="L699" s="276">
        <f t="shared" si="591"/>
        <v>-2.6031242496371689</v>
      </c>
      <c r="M699" s="276">
        <f t="shared" si="592"/>
        <v>-0.42022185409751756</v>
      </c>
      <c r="N699" s="685">
        <f t="shared" si="593"/>
        <v>1.8205763850094814</v>
      </c>
      <c r="O699" s="276">
        <f t="shared" si="594"/>
        <v>1.0134989581200633</v>
      </c>
      <c r="P699" s="276">
        <f t="shared" si="595"/>
        <v>2.0122927571595799</v>
      </c>
      <c r="Q699" s="276">
        <f t="shared" si="596"/>
        <v>1.1733494249990069</v>
      </c>
      <c r="R699" s="276">
        <f t="shared" si="597"/>
        <v>1.1392294006979828</v>
      </c>
      <c r="S699" s="686">
        <f t="shared" si="598"/>
        <v>1.3082616165577228</v>
      </c>
      <c r="T699" s="685">
        <f t="shared" si="599"/>
        <v>7.0910142578440176</v>
      </c>
      <c r="U699" s="276">
        <f t="shared" si="600"/>
        <v>4.7995672922670805</v>
      </c>
      <c r="V699" s="276">
        <f t="shared" si="601"/>
        <v>5.9859958667629911</v>
      </c>
      <c r="W699" s="276">
        <f t="shared" si="602"/>
        <v>2.9144368304814132</v>
      </c>
      <c r="X699" s="276">
        <f t="shared" si="603"/>
        <v>6.091601399996657</v>
      </c>
      <c r="Y699" s="686">
        <f t="shared" si="604"/>
        <v>4.2591548469813807</v>
      </c>
      <c r="Z699" s="685" t="e">
        <f t="shared" si="605"/>
        <v>#DIV/0!</v>
      </c>
      <c r="AA699" s="276" t="e">
        <f t="shared" si="606"/>
        <v>#DIV/0!</v>
      </c>
      <c r="AB699" s="276" t="e">
        <f t="shared" si="607"/>
        <v>#DIV/0!</v>
      </c>
      <c r="AC699" s="276" t="e">
        <f t="shared" si="608"/>
        <v>#DIV/0!</v>
      </c>
      <c r="AD699" s="276" t="e">
        <f t="shared" si="609"/>
        <v>#DIV/0!</v>
      </c>
      <c r="AE699" s="686" t="e">
        <f t="shared" si="610"/>
        <v>#DIV/0!</v>
      </c>
      <c r="AF699" s="239"/>
      <c r="AG699" s="965" t="e">
        <f t="shared" si="581"/>
        <v>#VALUE!</v>
      </c>
      <c r="AH699" s="878" t="e">
        <f t="shared" si="582"/>
        <v>#VALUE!</v>
      </c>
      <c r="AI699" s="878" t="e">
        <f t="shared" si="583"/>
        <v>#VALUE!</v>
      </c>
      <c r="AJ699" s="878" t="e">
        <f t="shared" si="584"/>
        <v>#VALUE!</v>
      </c>
      <c r="AK699" s="878" t="e">
        <f t="shared" si="585"/>
        <v>#VALUE!</v>
      </c>
      <c r="AL699" s="966" t="e">
        <f t="shared" si="586"/>
        <v>#VALUE!</v>
      </c>
      <c r="AM699" s="239"/>
      <c r="AO699" s="685">
        <f t="shared" si="611"/>
        <v>-1.097722790892105</v>
      </c>
      <c r="AP699" s="276">
        <f t="shared" si="612"/>
        <v>-0.86837648091948472</v>
      </c>
      <c r="AQ699" s="276">
        <f t="shared" si="613"/>
        <v>2.0501617510740742</v>
      </c>
      <c r="AR699" s="276">
        <f t="shared" si="614"/>
        <v>-0.54604087616359898</v>
      </c>
      <c r="AS699" s="276">
        <f t="shared" si="615"/>
        <v>-2.6031242496371689</v>
      </c>
      <c r="AT699" s="276">
        <f t="shared" si="616"/>
        <v>-0.42022185409751756</v>
      </c>
      <c r="AU699" s="685">
        <f t="shared" si="617"/>
        <v>1.8205763850094814</v>
      </c>
      <c r="AV699" s="276">
        <f t="shared" si="618"/>
        <v>1.0134989581200633</v>
      </c>
      <c r="AW699" s="276">
        <f t="shared" si="619"/>
        <v>2.0122927571595799</v>
      </c>
      <c r="AX699" s="276">
        <f t="shared" si="620"/>
        <v>1.1733494249990069</v>
      </c>
      <c r="AY699" s="276">
        <f t="shared" si="621"/>
        <v>1.1392294006979828</v>
      </c>
      <c r="AZ699" s="686">
        <f t="shared" si="622"/>
        <v>1.3082616165577228</v>
      </c>
      <c r="BA699" s="685">
        <f t="shared" si="623"/>
        <v>0</v>
      </c>
      <c r="BB699" s="276">
        <f t="shared" si="624"/>
        <v>0</v>
      </c>
      <c r="BC699" s="276">
        <f t="shared" si="625"/>
        <v>0</v>
      </c>
      <c r="BD699" s="276">
        <f t="shared" si="626"/>
        <v>0</v>
      </c>
      <c r="BE699" s="276">
        <f t="shared" si="627"/>
        <v>0</v>
      </c>
      <c r="BF699" s="686">
        <f t="shared" si="628"/>
        <v>0</v>
      </c>
      <c r="BG699" s="685" t="e">
        <f t="shared" si="629"/>
        <v>#DIV/0!</v>
      </c>
      <c r="BH699" s="276" t="e">
        <f t="shared" si="630"/>
        <v>#DIV/0!</v>
      </c>
      <c r="BI699" s="276" t="e">
        <f t="shared" si="631"/>
        <v>#DIV/0!</v>
      </c>
      <c r="BJ699" s="276" t="e">
        <f t="shared" si="632"/>
        <v>#DIV/0!</v>
      </c>
      <c r="BK699" s="276" t="e">
        <f t="shared" si="633"/>
        <v>#DIV/0!</v>
      </c>
      <c r="BL699" s="686" t="e">
        <f t="shared" si="634"/>
        <v>#DIV/0!</v>
      </c>
      <c r="BM699" s="239"/>
      <c r="BN699" s="965" t="e">
        <f t="shared" si="635"/>
        <v>#VALUE!</v>
      </c>
      <c r="BO699" s="878" t="e">
        <f t="shared" si="636"/>
        <v>#VALUE!</v>
      </c>
      <c r="BP699" s="878" t="e">
        <f t="shared" si="637"/>
        <v>#VALUE!</v>
      </c>
      <c r="BQ699" s="878" t="e">
        <f t="shared" si="638"/>
        <v>#VALUE!</v>
      </c>
      <c r="BR699" s="878" t="e">
        <f t="shared" si="639"/>
        <v>#VALUE!</v>
      </c>
      <c r="BS699" s="966" t="e">
        <f t="shared" si="640"/>
        <v>#VALUE!</v>
      </c>
    </row>
    <row r="700" spans="1:71">
      <c r="A700" s="284">
        <f t="shared" si="641"/>
        <v>632</v>
      </c>
      <c r="B700" s="285">
        <v>0.26515668774082279</v>
      </c>
      <c r="C700" s="285">
        <v>3.1274045373975361</v>
      </c>
      <c r="D700" s="285">
        <v>8.2695688039525761E-2</v>
      </c>
      <c r="E700" s="285">
        <v>11.070670282538263</v>
      </c>
      <c r="H700" s="685">
        <f t="shared" si="587"/>
        <v>-0.86807715402823205</v>
      </c>
      <c r="I700" s="276">
        <f t="shared" si="588"/>
        <v>4.5018375096155694E-2</v>
      </c>
      <c r="J700" s="276">
        <f t="shared" si="589"/>
        <v>-1.5594223709712021</v>
      </c>
      <c r="K700" s="276">
        <f t="shared" si="590"/>
        <v>-3.0083386321181891</v>
      </c>
      <c r="L700" s="276">
        <f t="shared" si="591"/>
        <v>-3.4338411120178121</v>
      </c>
      <c r="M700" s="276">
        <f t="shared" si="592"/>
        <v>-1.5602441032259162</v>
      </c>
      <c r="N700" s="685">
        <f t="shared" si="593"/>
        <v>1.9202333264256677</v>
      </c>
      <c r="O700" s="276">
        <f t="shared" si="594"/>
        <v>0.81907345193289882</v>
      </c>
      <c r="P700" s="276">
        <f t="shared" si="595"/>
        <v>1.7478507154702594</v>
      </c>
      <c r="Q700" s="276">
        <f t="shared" si="596"/>
        <v>1.4123217844834912</v>
      </c>
      <c r="R700" s="276">
        <f t="shared" si="597"/>
        <v>1.5334775206509279</v>
      </c>
      <c r="S700" s="686">
        <f t="shared" si="598"/>
        <v>1.6019208750640839</v>
      </c>
      <c r="T700" s="685">
        <f t="shared" si="599"/>
        <v>3.3610593783104514</v>
      </c>
      <c r="U700" s="276">
        <f t="shared" si="600"/>
        <v>4.6351949366308167</v>
      </c>
      <c r="V700" s="276">
        <f t="shared" si="601"/>
        <v>3.6292371966116899</v>
      </c>
      <c r="W700" s="276">
        <f t="shared" si="602"/>
        <v>1.9723845009981238</v>
      </c>
      <c r="X700" s="276">
        <f t="shared" si="603"/>
        <v>3.3970053043443951</v>
      </c>
      <c r="Y700" s="686">
        <f t="shared" si="604"/>
        <v>4.351702481169859</v>
      </c>
      <c r="Z700" s="685" t="e">
        <f t="shared" si="605"/>
        <v>#DIV/0!</v>
      </c>
      <c r="AA700" s="276" t="e">
        <f t="shared" si="606"/>
        <v>#DIV/0!</v>
      </c>
      <c r="AB700" s="276" t="e">
        <f t="shared" si="607"/>
        <v>#DIV/0!</v>
      </c>
      <c r="AC700" s="276" t="e">
        <f t="shared" si="608"/>
        <v>#DIV/0!</v>
      </c>
      <c r="AD700" s="276" t="e">
        <f t="shared" si="609"/>
        <v>#DIV/0!</v>
      </c>
      <c r="AE700" s="686" t="e">
        <f t="shared" si="610"/>
        <v>#DIV/0!</v>
      </c>
      <c r="AF700" s="239"/>
      <c r="AG700" s="965" t="e">
        <f t="shared" si="581"/>
        <v>#VALUE!</v>
      </c>
      <c r="AH700" s="878" t="e">
        <f t="shared" si="582"/>
        <v>#VALUE!</v>
      </c>
      <c r="AI700" s="878" t="e">
        <f t="shared" si="583"/>
        <v>#VALUE!</v>
      </c>
      <c r="AJ700" s="878" t="e">
        <f t="shared" si="584"/>
        <v>#VALUE!</v>
      </c>
      <c r="AK700" s="878" t="e">
        <f t="shared" si="585"/>
        <v>#VALUE!</v>
      </c>
      <c r="AL700" s="966" t="e">
        <f t="shared" si="586"/>
        <v>#VALUE!</v>
      </c>
      <c r="AM700" s="239"/>
      <c r="AO700" s="685">
        <f t="shared" si="611"/>
        <v>-0.86807715402823205</v>
      </c>
      <c r="AP700" s="276">
        <f t="shared" si="612"/>
        <v>4.5018375096155694E-2</v>
      </c>
      <c r="AQ700" s="276">
        <f t="shared" si="613"/>
        <v>-1.5594223709712021</v>
      </c>
      <c r="AR700" s="276">
        <f t="shared" si="614"/>
        <v>-3.0083386321181891</v>
      </c>
      <c r="AS700" s="276">
        <f t="shared" si="615"/>
        <v>-3.4338411120178121</v>
      </c>
      <c r="AT700" s="276">
        <f t="shared" si="616"/>
        <v>-1.5602441032259162</v>
      </c>
      <c r="AU700" s="685">
        <f t="shared" si="617"/>
        <v>1.9202333264256677</v>
      </c>
      <c r="AV700" s="276">
        <f t="shared" si="618"/>
        <v>0.81907345193289882</v>
      </c>
      <c r="AW700" s="276">
        <f t="shared" si="619"/>
        <v>1.7478507154702594</v>
      </c>
      <c r="AX700" s="276">
        <f t="shared" si="620"/>
        <v>1.4123217844834912</v>
      </c>
      <c r="AY700" s="276">
        <f t="shared" si="621"/>
        <v>1.5334775206509279</v>
      </c>
      <c r="AZ700" s="686">
        <f t="shared" si="622"/>
        <v>1.6019208750640839</v>
      </c>
      <c r="BA700" s="685">
        <f t="shared" si="623"/>
        <v>0</v>
      </c>
      <c r="BB700" s="276">
        <f t="shared" si="624"/>
        <v>0</v>
      </c>
      <c r="BC700" s="276">
        <f t="shared" si="625"/>
        <v>0</v>
      </c>
      <c r="BD700" s="276">
        <f t="shared" si="626"/>
        <v>0</v>
      </c>
      <c r="BE700" s="276">
        <f t="shared" si="627"/>
        <v>0</v>
      </c>
      <c r="BF700" s="686">
        <f t="shared" si="628"/>
        <v>0</v>
      </c>
      <c r="BG700" s="685" t="e">
        <f t="shared" si="629"/>
        <v>#DIV/0!</v>
      </c>
      <c r="BH700" s="276" t="e">
        <f t="shared" si="630"/>
        <v>#DIV/0!</v>
      </c>
      <c r="BI700" s="276" t="e">
        <f t="shared" si="631"/>
        <v>#DIV/0!</v>
      </c>
      <c r="BJ700" s="276" t="e">
        <f t="shared" si="632"/>
        <v>#DIV/0!</v>
      </c>
      <c r="BK700" s="276" t="e">
        <f t="shared" si="633"/>
        <v>#DIV/0!</v>
      </c>
      <c r="BL700" s="686" t="e">
        <f t="shared" si="634"/>
        <v>#DIV/0!</v>
      </c>
      <c r="BM700" s="239"/>
      <c r="BN700" s="965" t="e">
        <f t="shared" si="635"/>
        <v>#VALUE!</v>
      </c>
      <c r="BO700" s="878" t="e">
        <f t="shared" si="636"/>
        <v>#VALUE!</v>
      </c>
      <c r="BP700" s="878" t="e">
        <f t="shared" si="637"/>
        <v>#VALUE!</v>
      </c>
      <c r="BQ700" s="878" t="e">
        <f t="shared" si="638"/>
        <v>#VALUE!</v>
      </c>
      <c r="BR700" s="878" t="e">
        <f t="shared" si="639"/>
        <v>#VALUE!</v>
      </c>
      <c r="BS700" s="966" t="e">
        <f t="shared" si="640"/>
        <v>#VALUE!</v>
      </c>
    </row>
    <row r="701" spans="1:71">
      <c r="A701" s="284">
        <f t="shared" si="641"/>
        <v>633</v>
      </c>
      <c r="B701" s="285">
        <v>0.8846564072370261</v>
      </c>
      <c r="C701" s="285">
        <v>2.149291935458665</v>
      </c>
      <c r="D701" s="285">
        <v>1.7297216196161462</v>
      </c>
      <c r="E701" s="285">
        <v>-7.2651308876261744</v>
      </c>
      <c r="H701" s="685">
        <f t="shared" si="587"/>
        <v>-0.24857743453202874</v>
      </c>
      <c r="I701" s="276">
        <f t="shared" si="588"/>
        <v>0.24104435295780302</v>
      </c>
      <c r="J701" s="276">
        <f t="shared" si="589"/>
        <v>1.8599244507299979</v>
      </c>
      <c r="K701" s="276">
        <f t="shared" si="590"/>
        <v>2.1184514421128151</v>
      </c>
      <c r="L701" s="276">
        <f t="shared" si="591"/>
        <v>9.0143973736165339E-3</v>
      </c>
      <c r="M701" s="276">
        <f t="shared" si="592"/>
        <v>1.2903031739955388</v>
      </c>
      <c r="N701" s="685">
        <f t="shared" si="593"/>
        <v>0.94212072448679662</v>
      </c>
      <c r="O701" s="276">
        <f t="shared" si="594"/>
        <v>1.7501896580117273</v>
      </c>
      <c r="P701" s="276">
        <f t="shared" si="595"/>
        <v>1.364420724027174</v>
      </c>
      <c r="Q701" s="276">
        <f t="shared" si="596"/>
        <v>2.2923936281976145</v>
      </c>
      <c r="R701" s="276">
        <f t="shared" si="597"/>
        <v>1.7341306136653356</v>
      </c>
      <c r="S701" s="686">
        <f t="shared" si="598"/>
        <v>1.4833355110785014</v>
      </c>
      <c r="T701" s="685">
        <f t="shared" si="599"/>
        <v>5.0080853098870719</v>
      </c>
      <c r="U701" s="276">
        <f t="shared" si="600"/>
        <v>4.5007504353730035</v>
      </c>
      <c r="V701" s="276">
        <f t="shared" si="601"/>
        <v>5.6880493930376907</v>
      </c>
      <c r="W701" s="276">
        <f t="shared" si="602"/>
        <v>4.2336803558488985</v>
      </c>
      <c r="X701" s="276">
        <f t="shared" si="603"/>
        <v>4.5326698728145605</v>
      </c>
      <c r="Y701" s="686">
        <f t="shared" si="604"/>
        <v>3.7848686075342259</v>
      </c>
      <c r="Z701" s="685" t="e">
        <f t="shared" si="605"/>
        <v>#DIV/0!</v>
      </c>
      <c r="AA701" s="276" t="e">
        <f t="shared" si="606"/>
        <v>#DIV/0!</v>
      </c>
      <c r="AB701" s="276" t="e">
        <f t="shared" si="607"/>
        <v>#DIV/0!</v>
      </c>
      <c r="AC701" s="276" t="e">
        <f t="shared" si="608"/>
        <v>#DIV/0!</v>
      </c>
      <c r="AD701" s="276" t="e">
        <f t="shared" si="609"/>
        <v>#DIV/0!</v>
      </c>
      <c r="AE701" s="686" t="e">
        <f t="shared" si="610"/>
        <v>#DIV/0!</v>
      </c>
      <c r="AF701" s="239"/>
      <c r="AG701" s="965" t="e">
        <f t="shared" si="581"/>
        <v>#VALUE!</v>
      </c>
      <c r="AH701" s="878" t="e">
        <f t="shared" si="582"/>
        <v>#VALUE!</v>
      </c>
      <c r="AI701" s="878" t="e">
        <f t="shared" si="583"/>
        <v>#VALUE!</v>
      </c>
      <c r="AJ701" s="878" t="e">
        <f t="shared" si="584"/>
        <v>#VALUE!</v>
      </c>
      <c r="AK701" s="878" t="e">
        <f t="shared" si="585"/>
        <v>#VALUE!</v>
      </c>
      <c r="AL701" s="966" t="e">
        <f t="shared" si="586"/>
        <v>#VALUE!</v>
      </c>
      <c r="AM701" s="239"/>
      <c r="AO701" s="685">
        <f t="shared" si="611"/>
        <v>-0.24857743453202874</v>
      </c>
      <c r="AP701" s="276">
        <f t="shared" si="612"/>
        <v>0.24104435295780302</v>
      </c>
      <c r="AQ701" s="276">
        <f t="shared" si="613"/>
        <v>1.8599244507299979</v>
      </c>
      <c r="AR701" s="276">
        <f t="shared" si="614"/>
        <v>2.1184514421128151</v>
      </c>
      <c r="AS701" s="276">
        <f t="shared" si="615"/>
        <v>9.0143973736165339E-3</v>
      </c>
      <c r="AT701" s="276">
        <f t="shared" si="616"/>
        <v>1.2903031739955388</v>
      </c>
      <c r="AU701" s="685">
        <f t="shared" si="617"/>
        <v>0.94212072448679662</v>
      </c>
      <c r="AV701" s="276">
        <f t="shared" si="618"/>
        <v>1.7501896580117273</v>
      </c>
      <c r="AW701" s="276">
        <f t="shared" si="619"/>
        <v>1.364420724027174</v>
      </c>
      <c r="AX701" s="276">
        <f t="shared" si="620"/>
        <v>2.2923936281976145</v>
      </c>
      <c r="AY701" s="276">
        <f t="shared" si="621"/>
        <v>1.7341306136653356</v>
      </c>
      <c r="AZ701" s="686">
        <f t="shared" si="622"/>
        <v>1.4833355110785014</v>
      </c>
      <c r="BA701" s="685">
        <f t="shared" si="623"/>
        <v>0</v>
      </c>
      <c r="BB701" s="276">
        <f t="shared" si="624"/>
        <v>0</v>
      </c>
      <c r="BC701" s="276">
        <f t="shared" si="625"/>
        <v>0</v>
      </c>
      <c r="BD701" s="276">
        <f t="shared" si="626"/>
        <v>0</v>
      </c>
      <c r="BE701" s="276">
        <f t="shared" si="627"/>
        <v>0</v>
      </c>
      <c r="BF701" s="686">
        <f t="shared" si="628"/>
        <v>0</v>
      </c>
      <c r="BG701" s="685" t="e">
        <f t="shared" si="629"/>
        <v>#DIV/0!</v>
      </c>
      <c r="BH701" s="276" t="e">
        <f t="shared" si="630"/>
        <v>#DIV/0!</v>
      </c>
      <c r="BI701" s="276" t="e">
        <f t="shared" si="631"/>
        <v>#DIV/0!</v>
      </c>
      <c r="BJ701" s="276" t="e">
        <f t="shared" si="632"/>
        <v>#DIV/0!</v>
      </c>
      <c r="BK701" s="276" t="e">
        <f t="shared" si="633"/>
        <v>#DIV/0!</v>
      </c>
      <c r="BL701" s="686" t="e">
        <f t="shared" si="634"/>
        <v>#DIV/0!</v>
      </c>
      <c r="BM701" s="239"/>
      <c r="BN701" s="965" t="e">
        <f t="shared" si="635"/>
        <v>#VALUE!</v>
      </c>
      <c r="BO701" s="878" t="e">
        <f t="shared" si="636"/>
        <v>#VALUE!</v>
      </c>
      <c r="BP701" s="878" t="e">
        <f t="shared" si="637"/>
        <v>#VALUE!</v>
      </c>
      <c r="BQ701" s="878" t="e">
        <f t="shared" si="638"/>
        <v>#VALUE!</v>
      </c>
      <c r="BR701" s="878" t="e">
        <f t="shared" si="639"/>
        <v>#VALUE!</v>
      </c>
      <c r="BS701" s="966" t="e">
        <f t="shared" si="640"/>
        <v>#VALUE!</v>
      </c>
    </row>
    <row r="702" spans="1:71">
      <c r="A702" s="284">
        <f t="shared" si="641"/>
        <v>634</v>
      </c>
      <c r="B702" s="285">
        <v>4.1796432747639791</v>
      </c>
      <c r="C702" s="285">
        <v>3.2230862801007238</v>
      </c>
      <c r="D702" s="285">
        <v>0.12483936515524108</v>
      </c>
      <c r="E702" s="285">
        <v>-5.7034302887554347</v>
      </c>
      <c r="H702" s="685">
        <f t="shared" si="587"/>
        <v>3.0464094329949241</v>
      </c>
      <c r="I702" s="276">
        <f t="shared" si="588"/>
        <v>-2.953970818367111</v>
      </c>
      <c r="J702" s="276">
        <f t="shared" si="589"/>
        <v>-4.8827923116130245</v>
      </c>
      <c r="K702" s="276">
        <f t="shared" si="590"/>
        <v>-2.9795563753006151</v>
      </c>
      <c r="L702" s="276">
        <f t="shared" si="591"/>
        <v>-0.97191880221998028</v>
      </c>
      <c r="M702" s="276">
        <f t="shared" si="592"/>
        <v>-3.9939590261158626</v>
      </c>
      <c r="N702" s="685">
        <f t="shared" si="593"/>
        <v>2.0159150691288552</v>
      </c>
      <c r="O702" s="276">
        <f t="shared" si="594"/>
        <v>0.69624366621879008</v>
      </c>
      <c r="P702" s="276">
        <f t="shared" si="595"/>
        <v>0.56029783853788317</v>
      </c>
      <c r="Q702" s="276">
        <f t="shared" si="596"/>
        <v>1.0495515830185023</v>
      </c>
      <c r="R702" s="276">
        <f t="shared" si="597"/>
        <v>2.1904394028432224</v>
      </c>
      <c r="S702" s="686">
        <f t="shared" si="598"/>
        <v>0.28451415361697063</v>
      </c>
      <c r="T702" s="685">
        <f t="shared" si="599"/>
        <v>3.4032030554261672</v>
      </c>
      <c r="U702" s="276">
        <f t="shared" si="600"/>
        <v>3.5902448854257125</v>
      </c>
      <c r="V702" s="276">
        <f t="shared" si="601"/>
        <v>5.1393511684498652</v>
      </c>
      <c r="W702" s="276">
        <f t="shared" si="602"/>
        <v>3.6417263833401559</v>
      </c>
      <c r="X702" s="276">
        <f t="shared" si="603"/>
        <v>5.5335262312685725</v>
      </c>
      <c r="Y702" s="686">
        <f t="shared" si="604"/>
        <v>4.6640531710657731</v>
      </c>
      <c r="Z702" s="685" t="e">
        <f t="shared" si="605"/>
        <v>#DIV/0!</v>
      </c>
      <c r="AA702" s="276" t="e">
        <f t="shared" si="606"/>
        <v>#DIV/0!</v>
      </c>
      <c r="AB702" s="276" t="e">
        <f t="shared" si="607"/>
        <v>#DIV/0!</v>
      </c>
      <c r="AC702" s="276" t="e">
        <f t="shared" si="608"/>
        <v>#DIV/0!</v>
      </c>
      <c r="AD702" s="276" t="e">
        <f t="shared" si="609"/>
        <v>#DIV/0!</v>
      </c>
      <c r="AE702" s="686" t="e">
        <f t="shared" si="610"/>
        <v>#DIV/0!</v>
      </c>
      <c r="AF702" s="239"/>
      <c r="AG702" s="965" t="e">
        <f t="shared" si="581"/>
        <v>#VALUE!</v>
      </c>
      <c r="AH702" s="878" t="e">
        <f t="shared" si="582"/>
        <v>#VALUE!</v>
      </c>
      <c r="AI702" s="878" t="e">
        <f t="shared" si="583"/>
        <v>#VALUE!</v>
      </c>
      <c r="AJ702" s="878" t="e">
        <f t="shared" si="584"/>
        <v>#VALUE!</v>
      </c>
      <c r="AK702" s="878" t="e">
        <f t="shared" si="585"/>
        <v>#VALUE!</v>
      </c>
      <c r="AL702" s="966" t="e">
        <f t="shared" si="586"/>
        <v>#VALUE!</v>
      </c>
      <c r="AM702" s="239"/>
      <c r="AO702" s="685">
        <f t="shared" si="611"/>
        <v>3.0464094329949241</v>
      </c>
      <c r="AP702" s="276">
        <f t="shared" si="612"/>
        <v>-2.953970818367111</v>
      </c>
      <c r="AQ702" s="276">
        <f t="shared" si="613"/>
        <v>-4.8827923116130245</v>
      </c>
      <c r="AR702" s="276">
        <f t="shared" si="614"/>
        <v>-2.9795563753006151</v>
      </c>
      <c r="AS702" s="276">
        <f t="shared" si="615"/>
        <v>-0.97191880221998028</v>
      </c>
      <c r="AT702" s="276">
        <f t="shared" si="616"/>
        <v>-3.9939590261158626</v>
      </c>
      <c r="AU702" s="685">
        <f t="shared" si="617"/>
        <v>2.0159150691288552</v>
      </c>
      <c r="AV702" s="276">
        <f t="shared" si="618"/>
        <v>0.69624366621879008</v>
      </c>
      <c r="AW702" s="276">
        <f t="shared" si="619"/>
        <v>0.56029783853788317</v>
      </c>
      <c r="AX702" s="276">
        <f t="shared" si="620"/>
        <v>1.0495515830185023</v>
      </c>
      <c r="AY702" s="276">
        <f t="shared" si="621"/>
        <v>2.1904394028432224</v>
      </c>
      <c r="AZ702" s="686">
        <f t="shared" si="622"/>
        <v>0.28451415361697063</v>
      </c>
      <c r="BA702" s="685">
        <f t="shared" si="623"/>
        <v>0</v>
      </c>
      <c r="BB702" s="276">
        <f t="shared" si="624"/>
        <v>0</v>
      </c>
      <c r="BC702" s="276">
        <f t="shared" si="625"/>
        <v>0</v>
      </c>
      <c r="BD702" s="276">
        <f t="shared" si="626"/>
        <v>0</v>
      </c>
      <c r="BE702" s="276">
        <f t="shared" si="627"/>
        <v>0</v>
      </c>
      <c r="BF702" s="686">
        <f t="shared" si="628"/>
        <v>0</v>
      </c>
      <c r="BG702" s="685" t="e">
        <f t="shared" si="629"/>
        <v>#DIV/0!</v>
      </c>
      <c r="BH702" s="276" t="e">
        <f t="shared" si="630"/>
        <v>#DIV/0!</v>
      </c>
      <c r="BI702" s="276" t="e">
        <f t="shared" si="631"/>
        <v>#DIV/0!</v>
      </c>
      <c r="BJ702" s="276" t="e">
        <f t="shared" si="632"/>
        <v>#DIV/0!</v>
      </c>
      <c r="BK702" s="276" t="e">
        <f t="shared" si="633"/>
        <v>#DIV/0!</v>
      </c>
      <c r="BL702" s="686" t="e">
        <f t="shared" si="634"/>
        <v>#DIV/0!</v>
      </c>
      <c r="BM702" s="239"/>
      <c r="BN702" s="965" t="e">
        <f t="shared" si="635"/>
        <v>#VALUE!</v>
      </c>
      <c r="BO702" s="878" t="e">
        <f t="shared" si="636"/>
        <v>#VALUE!</v>
      </c>
      <c r="BP702" s="878" t="e">
        <f t="shared" si="637"/>
        <v>#VALUE!</v>
      </c>
      <c r="BQ702" s="878" t="e">
        <f t="shared" si="638"/>
        <v>#VALUE!</v>
      </c>
      <c r="BR702" s="878" t="e">
        <f t="shared" si="639"/>
        <v>#VALUE!</v>
      </c>
      <c r="BS702" s="966" t="e">
        <f t="shared" si="640"/>
        <v>#VALUE!</v>
      </c>
    </row>
    <row r="703" spans="1:71">
      <c r="A703" s="284">
        <f t="shared" si="641"/>
        <v>635</v>
      </c>
      <c r="B703" s="285">
        <v>0.9463750442707074</v>
      </c>
      <c r="C703" s="285">
        <v>2.620807048316153</v>
      </c>
      <c r="D703" s="285">
        <v>2.8245862066197205</v>
      </c>
      <c r="E703" s="285">
        <v>-4.2446422120503815</v>
      </c>
      <c r="H703" s="685">
        <f t="shared" si="587"/>
        <v>-0.18685879749834744</v>
      </c>
      <c r="I703" s="276">
        <f t="shared" si="588"/>
        <v>-2.2862060746695798</v>
      </c>
      <c r="J703" s="276">
        <f t="shared" si="589"/>
        <v>-2.2059507806873699</v>
      </c>
      <c r="K703" s="276">
        <f t="shared" si="590"/>
        <v>-1.6936033824836927</v>
      </c>
      <c r="L703" s="276">
        <f t="shared" si="591"/>
        <v>-0.5373296010946248</v>
      </c>
      <c r="M703" s="276">
        <f t="shared" si="592"/>
        <v>-3.600684702581054</v>
      </c>
      <c r="N703" s="685">
        <f t="shared" si="593"/>
        <v>1.4136358373442846</v>
      </c>
      <c r="O703" s="276">
        <f t="shared" si="594"/>
        <v>1.1847099828433667</v>
      </c>
      <c r="P703" s="276">
        <f t="shared" si="595"/>
        <v>1.282172290505043</v>
      </c>
      <c r="Q703" s="276">
        <f t="shared" si="596"/>
        <v>1.2189451181322586</v>
      </c>
      <c r="R703" s="276">
        <f t="shared" si="597"/>
        <v>1.492165892856917</v>
      </c>
      <c r="S703" s="686">
        <f t="shared" si="598"/>
        <v>1.2907746841648009</v>
      </c>
      <c r="T703" s="685">
        <f t="shared" si="599"/>
        <v>6.1029498968906459</v>
      </c>
      <c r="U703" s="276">
        <f t="shared" si="600"/>
        <v>2.7477678247396282</v>
      </c>
      <c r="V703" s="276">
        <f t="shared" si="601"/>
        <v>4.8028185023159118</v>
      </c>
      <c r="W703" s="276">
        <f t="shared" si="602"/>
        <v>3.0285529433077585</v>
      </c>
      <c r="X703" s="276">
        <f t="shared" si="603"/>
        <v>5.5568578118706942</v>
      </c>
      <c r="Y703" s="686">
        <f t="shared" si="604"/>
        <v>5.0699116779645204</v>
      </c>
      <c r="Z703" s="685" t="e">
        <f t="shared" si="605"/>
        <v>#DIV/0!</v>
      </c>
      <c r="AA703" s="276" t="e">
        <f t="shared" si="606"/>
        <v>#DIV/0!</v>
      </c>
      <c r="AB703" s="276" t="e">
        <f t="shared" si="607"/>
        <v>#DIV/0!</v>
      </c>
      <c r="AC703" s="276" t="e">
        <f t="shared" si="608"/>
        <v>#DIV/0!</v>
      </c>
      <c r="AD703" s="276" t="e">
        <f t="shared" si="609"/>
        <v>#DIV/0!</v>
      </c>
      <c r="AE703" s="686" t="e">
        <f t="shared" si="610"/>
        <v>#DIV/0!</v>
      </c>
      <c r="AF703" s="239"/>
      <c r="AG703" s="965" t="e">
        <f t="shared" si="581"/>
        <v>#VALUE!</v>
      </c>
      <c r="AH703" s="878" t="e">
        <f t="shared" si="582"/>
        <v>#VALUE!</v>
      </c>
      <c r="AI703" s="878" t="e">
        <f t="shared" si="583"/>
        <v>#VALUE!</v>
      </c>
      <c r="AJ703" s="878" t="e">
        <f t="shared" si="584"/>
        <v>#VALUE!</v>
      </c>
      <c r="AK703" s="878" t="e">
        <f t="shared" si="585"/>
        <v>#VALUE!</v>
      </c>
      <c r="AL703" s="966" t="e">
        <f t="shared" si="586"/>
        <v>#VALUE!</v>
      </c>
      <c r="AM703" s="239"/>
      <c r="AO703" s="685">
        <f t="shared" si="611"/>
        <v>-0.18685879749834744</v>
      </c>
      <c r="AP703" s="276">
        <f t="shared" si="612"/>
        <v>-2.2862060746695798</v>
      </c>
      <c r="AQ703" s="276">
        <f t="shared" si="613"/>
        <v>-2.2059507806873699</v>
      </c>
      <c r="AR703" s="276">
        <f t="shared" si="614"/>
        <v>-1.6936033824836927</v>
      </c>
      <c r="AS703" s="276">
        <f t="shared" si="615"/>
        <v>-0.5373296010946248</v>
      </c>
      <c r="AT703" s="276">
        <f t="shared" si="616"/>
        <v>-3.600684702581054</v>
      </c>
      <c r="AU703" s="685">
        <f t="shared" si="617"/>
        <v>1.4136358373442846</v>
      </c>
      <c r="AV703" s="276">
        <f t="shared" si="618"/>
        <v>1.1847099828433667</v>
      </c>
      <c r="AW703" s="276">
        <f t="shared" si="619"/>
        <v>1.282172290505043</v>
      </c>
      <c r="AX703" s="276">
        <f t="shared" si="620"/>
        <v>1.2189451181322586</v>
      </c>
      <c r="AY703" s="276">
        <f t="shared" si="621"/>
        <v>1.492165892856917</v>
      </c>
      <c r="AZ703" s="686">
        <f t="shared" si="622"/>
        <v>1.2907746841648009</v>
      </c>
      <c r="BA703" s="685">
        <f t="shared" si="623"/>
        <v>0</v>
      </c>
      <c r="BB703" s="276">
        <f t="shared" si="624"/>
        <v>0</v>
      </c>
      <c r="BC703" s="276">
        <f t="shared" si="625"/>
        <v>0</v>
      </c>
      <c r="BD703" s="276">
        <f t="shared" si="626"/>
        <v>0</v>
      </c>
      <c r="BE703" s="276">
        <f t="shared" si="627"/>
        <v>0</v>
      </c>
      <c r="BF703" s="686">
        <f t="shared" si="628"/>
        <v>0</v>
      </c>
      <c r="BG703" s="685" t="e">
        <f t="shared" si="629"/>
        <v>#DIV/0!</v>
      </c>
      <c r="BH703" s="276" t="e">
        <f t="shared" si="630"/>
        <v>#DIV/0!</v>
      </c>
      <c r="BI703" s="276" t="e">
        <f t="shared" si="631"/>
        <v>#DIV/0!</v>
      </c>
      <c r="BJ703" s="276" t="e">
        <f t="shared" si="632"/>
        <v>#DIV/0!</v>
      </c>
      <c r="BK703" s="276" t="e">
        <f t="shared" si="633"/>
        <v>#DIV/0!</v>
      </c>
      <c r="BL703" s="686" t="e">
        <f t="shared" si="634"/>
        <v>#DIV/0!</v>
      </c>
      <c r="BM703" s="239"/>
      <c r="BN703" s="965" t="e">
        <f t="shared" si="635"/>
        <v>#VALUE!</v>
      </c>
      <c r="BO703" s="878" t="e">
        <f t="shared" si="636"/>
        <v>#VALUE!</v>
      </c>
      <c r="BP703" s="878" t="e">
        <f t="shared" si="637"/>
        <v>#VALUE!</v>
      </c>
      <c r="BQ703" s="878" t="e">
        <f t="shared" si="638"/>
        <v>#VALUE!</v>
      </c>
      <c r="BR703" s="878" t="e">
        <f t="shared" si="639"/>
        <v>#VALUE!</v>
      </c>
      <c r="BS703" s="966" t="e">
        <f t="shared" si="640"/>
        <v>#VALUE!</v>
      </c>
    </row>
    <row r="704" spans="1:71">
      <c r="A704" s="284">
        <f t="shared" si="641"/>
        <v>636</v>
      </c>
      <c r="B704" s="285">
        <v>4.639618296800367</v>
      </c>
      <c r="C704" s="285">
        <v>2.7681037596849167</v>
      </c>
      <c r="D704" s="285">
        <v>1.7106898920196776</v>
      </c>
      <c r="E704" s="285">
        <v>-6.2600405628745399</v>
      </c>
      <c r="H704" s="685">
        <f t="shared" si="587"/>
        <v>3.5063844550313119</v>
      </c>
      <c r="I704" s="276">
        <f t="shared" si="588"/>
        <v>0.48488594934139506</v>
      </c>
      <c r="J704" s="276">
        <f t="shared" si="589"/>
        <v>7.128356326307328E-2</v>
      </c>
      <c r="K704" s="276">
        <f t="shared" si="590"/>
        <v>2.1739436024263785</v>
      </c>
      <c r="L704" s="276">
        <f t="shared" si="591"/>
        <v>5.3765653219530725</v>
      </c>
      <c r="M704" s="276">
        <f t="shared" si="592"/>
        <v>0.31442311829228808</v>
      </c>
      <c r="N704" s="685">
        <f t="shared" si="593"/>
        <v>1.5609325487130483</v>
      </c>
      <c r="O704" s="276">
        <f t="shared" si="594"/>
        <v>1.1513514635546975</v>
      </c>
      <c r="P704" s="276">
        <f t="shared" si="595"/>
        <v>1.1797572562915237</v>
      </c>
      <c r="Q704" s="276">
        <f t="shared" si="596"/>
        <v>0.99840799073920805</v>
      </c>
      <c r="R704" s="276">
        <f t="shared" si="597"/>
        <v>1.7719688370868256</v>
      </c>
      <c r="S704" s="686">
        <f t="shared" si="598"/>
        <v>1.1372554156316557</v>
      </c>
      <c r="T704" s="685">
        <f t="shared" si="599"/>
        <v>4.9890535822906035</v>
      </c>
      <c r="U704" s="276">
        <f t="shared" si="600"/>
        <v>6.5801589542696988</v>
      </c>
      <c r="V704" s="276">
        <f t="shared" si="601"/>
        <v>4.0058075541141811</v>
      </c>
      <c r="W704" s="276">
        <f t="shared" si="602"/>
        <v>5.8601140674598433</v>
      </c>
      <c r="X704" s="276">
        <f t="shared" si="603"/>
        <v>5.3388288084422122</v>
      </c>
      <c r="Y704" s="686">
        <f t="shared" si="604"/>
        <v>6.1573466684093363</v>
      </c>
      <c r="Z704" s="685" t="e">
        <f t="shared" si="605"/>
        <v>#DIV/0!</v>
      </c>
      <c r="AA704" s="276" t="e">
        <f t="shared" si="606"/>
        <v>#DIV/0!</v>
      </c>
      <c r="AB704" s="276" t="e">
        <f t="shared" si="607"/>
        <v>#DIV/0!</v>
      </c>
      <c r="AC704" s="276" t="e">
        <f t="shared" si="608"/>
        <v>#DIV/0!</v>
      </c>
      <c r="AD704" s="276" t="e">
        <f t="shared" si="609"/>
        <v>#DIV/0!</v>
      </c>
      <c r="AE704" s="686" t="e">
        <f t="shared" si="610"/>
        <v>#DIV/0!</v>
      </c>
      <c r="AF704" s="239"/>
      <c r="AG704" s="965" t="e">
        <f t="shared" si="581"/>
        <v>#VALUE!</v>
      </c>
      <c r="AH704" s="878" t="e">
        <f t="shared" si="582"/>
        <v>#VALUE!</v>
      </c>
      <c r="AI704" s="878" t="e">
        <f t="shared" si="583"/>
        <v>#VALUE!</v>
      </c>
      <c r="AJ704" s="878" t="e">
        <f t="shared" si="584"/>
        <v>#VALUE!</v>
      </c>
      <c r="AK704" s="878" t="e">
        <f t="shared" si="585"/>
        <v>#VALUE!</v>
      </c>
      <c r="AL704" s="966" t="e">
        <f t="shared" si="586"/>
        <v>#VALUE!</v>
      </c>
      <c r="AM704" s="239"/>
      <c r="AO704" s="685">
        <f t="shared" si="611"/>
        <v>3.5063844550313119</v>
      </c>
      <c r="AP704" s="276">
        <f t="shared" si="612"/>
        <v>0.48488594934139506</v>
      </c>
      <c r="AQ704" s="276">
        <f t="shared" si="613"/>
        <v>7.128356326307328E-2</v>
      </c>
      <c r="AR704" s="276">
        <f t="shared" si="614"/>
        <v>2.1739436024263785</v>
      </c>
      <c r="AS704" s="276">
        <f t="shared" si="615"/>
        <v>5.3765653219530725</v>
      </c>
      <c r="AT704" s="276">
        <f t="shared" si="616"/>
        <v>0.31442311829228808</v>
      </c>
      <c r="AU704" s="685">
        <f t="shared" si="617"/>
        <v>1.5609325487130483</v>
      </c>
      <c r="AV704" s="276">
        <f t="shared" si="618"/>
        <v>1.1513514635546975</v>
      </c>
      <c r="AW704" s="276">
        <f t="shared" si="619"/>
        <v>1.1797572562915237</v>
      </c>
      <c r="AX704" s="276">
        <f t="shared" si="620"/>
        <v>0.99840799073920805</v>
      </c>
      <c r="AY704" s="276">
        <f t="shared" si="621"/>
        <v>1.7719688370868256</v>
      </c>
      <c r="AZ704" s="686">
        <f t="shared" si="622"/>
        <v>1.1372554156316557</v>
      </c>
      <c r="BA704" s="685">
        <f t="shared" si="623"/>
        <v>0</v>
      </c>
      <c r="BB704" s="276">
        <f t="shared" si="624"/>
        <v>0</v>
      </c>
      <c r="BC704" s="276">
        <f t="shared" si="625"/>
        <v>0</v>
      </c>
      <c r="BD704" s="276">
        <f t="shared" si="626"/>
        <v>0</v>
      </c>
      <c r="BE704" s="276">
        <f t="shared" si="627"/>
        <v>0</v>
      </c>
      <c r="BF704" s="686">
        <f t="shared" si="628"/>
        <v>0</v>
      </c>
      <c r="BG704" s="685" t="e">
        <f t="shared" si="629"/>
        <v>#DIV/0!</v>
      </c>
      <c r="BH704" s="276" t="e">
        <f t="shared" si="630"/>
        <v>#DIV/0!</v>
      </c>
      <c r="BI704" s="276" t="e">
        <f t="shared" si="631"/>
        <v>#DIV/0!</v>
      </c>
      <c r="BJ704" s="276" t="e">
        <f t="shared" si="632"/>
        <v>#DIV/0!</v>
      </c>
      <c r="BK704" s="276" t="e">
        <f t="shared" si="633"/>
        <v>#DIV/0!</v>
      </c>
      <c r="BL704" s="686" t="e">
        <f t="shared" si="634"/>
        <v>#DIV/0!</v>
      </c>
      <c r="BM704" s="239"/>
      <c r="BN704" s="965" t="e">
        <f t="shared" si="635"/>
        <v>#VALUE!</v>
      </c>
      <c r="BO704" s="878" t="e">
        <f t="shared" si="636"/>
        <v>#VALUE!</v>
      </c>
      <c r="BP704" s="878" t="e">
        <f t="shared" si="637"/>
        <v>#VALUE!</v>
      </c>
      <c r="BQ704" s="878" t="e">
        <f t="shared" si="638"/>
        <v>#VALUE!</v>
      </c>
      <c r="BR704" s="878" t="e">
        <f t="shared" si="639"/>
        <v>#VALUE!</v>
      </c>
      <c r="BS704" s="966" t="e">
        <f t="shared" si="640"/>
        <v>#VALUE!</v>
      </c>
    </row>
    <row r="705" spans="1:71">
      <c r="A705" s="284">
        <f t="shared" si="641"/>
        <v>637</v>
      </c>
      <c r="B705" s="285">
        <v>2.4136312556417643</v>
      </c>
      <c r="C705" s="285">
        <v>2.4078141446105445</v>
      </c>
      <c r="D705" s="285">
        <v>1.5711366307069108</v>
      </c>
      <c r="E705" s="285">
        <v>-17.286421813483081</v>
      </c>
      <c r="H705" s="685">
        <f t="shared" si="587"/>
        <v>1.2803974138727094</v>
      </c>
      <c r="I705" s="276">
        <f t="shared" si="588"/>
        <v>3.3923587555042474</v>
      </c>
      <c r="J705" s="276">
        <f t="shared" si="589"/>
        <v>1.5736651719991703</v>
      </c>
      <c r="K705" s="276">
        <f t="shared" si="590"/>
        <v>-1.3081699061104224</v>
      </c>
      <c r="L705" s="276">
        <f t="shared" si="591"/>
        <v>-1.2076871149161552</v>
      </c>
      <c r="M705" s="276">
        <f t="shared" si="592"/>
        <v>-0.76226084940592931</v>
      </c>
      <c r="N705" s="685">
        <f t="shared" si="593"/>
        <v>1.2006429336386761</v>
      </c>
      <c r="O705" s="276">
        <f t="shared" si="594"/>
        <v>0.80746993696867864</v>
      </c>
      <c r="P705" s="276">
        <f t="shared" si="595"/>
        <v>1.1420199694629336</v>
      </c>
      <c r="Q705" s="276">
        <f t="shared" si="596"/>
        <v>1.0020104745415692</v>
      </c>
      <c r="R705" s="276">
        <f t="shared" si="597"/>
        <v>1.2593425498679369</v>
      </c>
      <c r="S705" s="686">
        <f t="shared" si="598"/>
        <v>0.63922231903867077</v>
      </c>
      <c r="T705" s="685">
        <f t="shared" si="599"/>
        <v>4.8495003209778371</v>
      </c>
      <c r="U705" s="276">
        <f t="shared" si="600"/>
        <v>6.8841076602044193</v>
      </c>
      <c r="V705" s="276">
        <f t="shared" si="601"/>
        <v>2.9592715283735123</v>
      </c>
      <c r="W705" s="276">
        <f t="shared" si="602"/>
        <v>4.8559924273409978</v>
      </c>
      <c r="X705" s="276">
        <f t="shared" si="603"/>
        <v>4.8128756094668699</v>
      </c>
      <c r="Y705" s="686">
        <f t="shared" si="604"/>
        <v>3.6918841386570511</v>
      </c>
      <c r="Z705" s="685" t="e">
        <f t="shared" si="605"/>
        <v>#DIV/0!</v>
      </c>
      <c r="AA705" s="276" t="e">
        <f t="shared" si="606"/>
        <v>#DIV/0!</v>
      </c>
      <c r="AB705" s="276" t="e">
        <f t="shared" si="607"/>
        <v>#DIV/0!</v>
      </c>
      <c r="AC705" s="276" t="e">
        <f t="shared" si="608"/>
        <v>#DIV/0!</v>
      </c>
      <c r="AD705" s="276" t="e">
        <f t="shared" si="609"/>
        <v>#DIV/0!</v>
      </c>
      <c r="AE705" s="686" t="e">
        <f t="shared" si="610"/>
        <v>#DIV/0!</v>
      </c>
      <c r="AF705" s="239"/>
      <c r="AG705" s="965" t="e">
        <f t="shared" si="581"/>
        <v>#VALUE!</v>
      </c>
      <c r="AH705" s="878" t="e">
        <f t="shared" si="582"/>
        <v>#VALUE!</v>
      </c>
      <c r="AI705" s="878" t="e">
        <f t="shared" si="583"/>
        <v>#VALUE!</v>
      </c>
      <c r="AJ705" s="878" t="e">
        <f t="shared" si="584"/>
        <v>#VALUE!</v>
      </c>
      <c r="AK705" s="878" t="e">
        <f t="shared" si="585"/>
        <v>#VALUE!</v>
      </c>
      <c r="AL705" s="966" t="e">
        <f t="shared" si="586"/>
        <v>#VALUE!</v>
      </c>
      <c r="AM705" s="239"/>
      <c r="AO705" s="685">
        <f t="shared" si="611"/>
        <v>1.2803974138727094</v>
      </c>
      <c r="AP705" s="276">
        <f t="shared" si="612"/>
        <v>3.3923587555042474</v>
      </c>
      <c r="AQ705" s="276">
        <f t="shared" si="613"/>
        <v>1.5736651719991703</v>
      </c>
      <c r="AR705" s="276">
        <f t="shared" si="614"/>
        <v>-1.3081699061104224</v>
      </c>
      <c r="AS705" s="276">
        <f t="shared" si="615"/>
        <v>-1.2076871149161552</v>
      </c>
      <c r="AT705" s="276">
        <f t="shared" si="616"/>
        <v>-0.76226084940592931</v>
      </c>
      <c r="AU705" s="685">
        <f t="shared" si="617"/>
        <v>1.2006429336386761</v>
      </c>
      <c r="AV705" s="276">
        <f t="shared" si="618"/>
        <v>0.80746993696867864</v>
      </c>
      <c r="AW705" s="276">
        <f t="shared" si="619"/>
        <v>1.1420199694629336</v>
      </c>
      <c r="AX705" s="276">
        <f t="shared" si="620"/>
        <v>1.0020104745415692</v>
      </c>
      <c r="AY705" s="276">
        <f t="shared" si="621"/>
        <v>1.2593425498679369</v>
      </c>
      <c r="AZ705" s="686">
        <f t="shared" si="622"/>
        <v>0.63922231903867077</v>
      </c>
      <c r="BA705" s="685">
        <f t="shared" si="623"/>
        <v>0</v>
      </c>
      <c r="BB705" s="276">
        <f t="shared" si="624"/>
        <v>0</v>
      </c>
      <c r="BC705" s="276">
        <f t="shared" si="625"/>
        <v>0</v>
      </c>
      <c r="BD705" s="276">
        <f t="shared" si="626"/>
        <v>0</v>
      </c>
      <c r="BE705" s="276">
        <f t="shared" si="627"/>
        <v>0</v>
      </c>
      <c r="BF705" s="686">
        <f t="shared" si="628"/>
        <v>0</v>
      </c>
      <c r="BG705" s="685" t="e">
        <f t="shared" si="629"/>
        <v>#DIV/0!</v>
      </c>
      <c r="BH705" s="276" t="e">
        <f t="shared" si="630"/>
        <v>#DIV/0!</v>
      </c>
      <c r="BI705" s="276" t="e">
        <f t="shared" si="631"/>
        <v>#DIV/0!</v>
      </c>
      <c r="BJ705" s="276" t="e">
        <f t="shared" si="632"/>
        <v>#DIV/0!</v>
      </c>
      <c r="BK705" s="276" t="e">
        <f t="shared" si="633"/>
        <v>#DIV/0!</v>
      </c>
      <c r="BL705" s="686" t="e">
        <f t="shared" si="634"/>
        <v>#DIV/0!</v>
      </c>
      <c r="BM705" s="239"/>
      <c r="BN705" s="965" t="e">
        <f t="shared" si="635"/>
        <v>#VALUE!</v>
      </c>
      <c r="BO705" s="878" t="e">
        <f t="shared" si="636"/>
        <v>#VALUE!</v>
      </c>
      <c r="BP705" s="878" t="e">
        <f t="shared" si="637"/>
        <v>#VALUE!</v>
      </c>
      <c r="BQ705" s="878" t="e">
        <f t="shared" si="638"/>
        <v>#VALUE!</v>
      </c>
      <c r="BR705" s="878" t="e">
        <f t="shared" si="639"/>
        <v>#VALUE!</v>
      </c>
      <c r="BS705" s="966" t="e">
        <f t="shared" si="640"/>
        <v>#VALUE!</v>
      </c>
    </row>
    <row r="706" spans="1:71">
      <c r="A706" s="284">
        <f t="shared" si="641"/>
        <v>638</v>
      </c>
      <c r="B706" s="285">
        <v>1.2071826506102521</v>
      </c>
      <c r="C706" s="285">
        <v>2.6822506027152699</v>
      </c>
      <c r="D706" s="285">
        <v>1.3616720288101971</v>
      </c>
      <c r="E706" s="285">
        <v>-6.5393425145223016</v>
      </c>
      <c r="H706" s="685">
        <f t="shared" si="587"/>
        <v>7.3948808841197256E-2</v>
      </c>
      <c r="I706" s="276">
        <f t="shared" si="588"/>
        <v>0.56491334473948829</v>
      </c>
      <c r="J706" s="276">
        <f t="shared" si="589"/>
        <v>0.59256463082355104</v>
      </c>
      <c r="K706" s="276">
        <f t="shared" si="590"/>
        <v>-1.170749995869139</v>
      </c>
      <c r="L706" s="276">
        <f t="shared" si="591"/>
        <v>0.23350672759317015</v>
      </c>
      <c r="M706" s="276">
        <f t="shared" si="592"/>
        <v>-0.64311384496500645</v>
      </c>
      <c r="N706" s="685">
        <f t="shared" si="593"/>
        <v>1.4750793917434015</v>
      </c>
      <c r="O706" s="276">
        <f t="shared" si="594"/>
        <v>1.5207062766353936</v>
      </c>
      <c r="P706" s="276">
        <f t="shared" si="595"/>
        <v>1.3663553833307229</v>
      </c>
      <c r="Q706" s="276">
        <f t="shared" si="596"/>
        <v>2.218894422316823</v>
      </c>
      <c r="R706" s="276">
        <f t="shared" si="597"/>
        <v>1.2509442252534082</v>
      </c>
      <c r="S706" s="686">
        <f t="shared" si="598"/>
        <v>1.7965602238795231</v>
      </c>
      <c r="T706" s="685">
        <f t="shared" si="599"/>
        <v>4.6400357190811228</v>
      </c>
      <c r="U706" s="276">
        <f t="shared" si="600"/>
        <v>5.2075385370126366</v>
      </c>
      <c r="V706" s="276">
        <f t="shared" si="601"/>
        <v>6.536511871259794</v>
      </c>
      <c r="W706" s="276">
        <f t="shared" si="602"/>
        <v>4.7500923011360667</v>
      </c>
      <c r="X706" s="276">
        <f t="shared" si="603"/>
        <v>4.2647843752031012</v>
      </c>
      <c r="Y706" s="686">
        <f t="shared" si="604"/>
        <v>3.1234639365484922</v>
      </c>
      <c r="Z706" s="685" t="e">
        <f t="shared" si="605"/>
        <v>#DIV/0!</v>
      </c>
      <c r="AA706" s="276" t="e">
        <f t="shared" si="606"/>
        <v>#DIV/0!</v>
      </c>
      <c r="AB706" s="276" t="e">
        <f t="shared" si="607"/>
        <v>#DIV/0!</v>
      </c>
      <c r="AC706" s="276" t="e">
        <f t="shared" si="608"/>
        <v>#DIV/0!</v>
      </c>
      <c r="AD706" s="276" t="e">
        <f t="shared" si="609"/>
        <v>#DIV/0!</v>
      </c>
      <c r="AE706" s="686" t="e">
        <f t="shared" si="610"/>
        <v>#DIV/0!</v>
      </c>
      <c r="AF706" s="239"/>
      <c r="AG706" s="965" t="e">
        <f t="shared" si="581"/>
        <v>#VALUE!</v>
      </c>
      <c r="AH706" s="878" t="e">
        <f t="shared" si="582"/>
        <v>#VALUE!</v>
      </c>
      <c r="AI706" s="878" t="e">
        <f t="shared" si="583"/>
        <v>#VALUE!</v>
      </c>
      <c r="AJ706" s="878" t="e">
        <f t="shared" si="584"/>
        <v>#VALUE!</v>
      </c>
      <c r="AK706" s="878" t="e">
        <f t="shared" si="585"/>
        <v>#VALUE!</v>
      </c>
      <c r="AL706" s="966" t="e">
        <f t="shared" si="586"/>
        <v>#VALUE!</v>
      </c>
      <c r="AM706" s="239"/>
      <c r="AO706" s="685">
        <f t="shared" si="611"/>
        <v>7.3948808841197256E-2</v>
      </c>
      <c r="AP706" s="276">
        <f t="shared" si="612"/>
        <v>0.56491334473948829</v>
      </c>
      <c r="AQ706" s="276">
        <f t="shared" si="613"/>
        <v>0.59256463082355104</v>
      </c>
      <c r="AR706" s="276">
        <f t="shared" si="614"/>
        <v>-1.170749995869139</v>
      </c>
      <c r="AS706" s="276">
        <f t="shared" si="615"/>
        <v>0.23350672759317015</v>
      </c>
      <c r="AT706" s="276">
        <f t="shared" si="616"/>
        <v>-0.64311384496500645</v>
      </c>
      <c r="AU706" s="685">
        <f t="shared" si="617"/>
        <v>1.4750793917434015</v>
      </c>
      <c r="AV706" s="276">
        <f t="shared" si="618"/>
        <v>1.5207062766353936</v>
      </c>
      <c r="AW706" s="276">
        <f t="shared" si="619"/>
        <v>1.3663553833307229</v>
      </c>
      <c r="AX706" s="276">
        <f t="shared" si="620"/>
        <v>2.218894422316823</v>
      </c>
      <c r="AY706" s="276">
        <f t="shared" si="621"/>
        <v>1.2509442252534082</v>
      </c>
      <c r="AZ706" s="686">
        <f t="shared" si="622"/>
        <v>1.7965602238795231</v>
      </c>
      <c r="BA706" s="685">
        <f t="shared" si="623"/>
        <v>0</v>
      </c>
      <c r="BB706" s="276">
        <f t="shared" si="624"/>
        <v>0</v>
      </c>
      <c r="BC706" s="276">
        <f t="shared" si="625"/>
        <v>0</v>
      </c>
      <c r="BD706" s="276">
        <f t="shared" si="626"/>
        <v>0</v>
      </c>
      <c r="BE706" s="276">
        <f t="shared" si="627"/>
        <v>0</v>
      </c>
      <c r="BF706" s="686">
        <f t="shared" si="628"/>
        <v>0</v>
      </c>
      <c r="BG706" s="685" t="e">
        <f t="shared" si="629"/>
        <v>#DIV/0!</v>
      </c>
      <c r="BH706" s="276" t="e">
        <f t="shared" si="630"/>
        <v>#DIV/0!</v>
      </c>
      <c r="BI706" s="276" t="e">
        <f t="shared" si="631"/>
        <v>#DIV/0!</v>
      </c>
      <c r="BJ706" s="276" t="e">
        <f t="shared" si="632"/>
        <v>#DIV/0!</v>
      </c>
      <c r="BK706" s="276" t="e">
        <f t="shared" si="633"/>
        <v>#DIV/0!</v>
      </c>
      <c r="BL706" s="686" t="e">
        <f t="shared" si="634"/>
        <v>#DIV/0!</v>
      </c>
      <c r="BM706" s="239"/>
      <c r="BN706" s="965" t="e">
        <f t="shared" si="635"/>
        <v>#VALUE!</v>
      </c>
      <c r="BO706" s="878" t="e">
        <f t="shared" si="636"/>
        <v>#VALUE!</v>
      </c>
      <c r="BP706" s="878" t="e">
        <f t="shared" si="637"/>
        <v>#VALUE!</v>
      </c>
      <c r="BQ706" s="878" t="e">
        <f t="shared" si="638"/>
        <v>#VALUE!</v>
      </c>
      <c r="BR706" s="878" t="e">
        <f t="shared" si="639"/>
        <v>#VALUE!</v>
      </c>
      <c r="BS706" s="966" t="e">
        <f t="shared" si="640"/>
        <v>#VALUE!</v>
      </c>
    </row>
    <row r="707" spans="1:71">
      <c r="A707" s="284">
        <f t="shared" si="641"/>
        <v>639</v>
      </c>
      <c r="B707" s="285">
        <v>2.2894921815591411</v>
      </c>
      <c r="C707" s="285">
        <v>2.6597793594482826</v>
      </c>
      <c r="D707" s="285">
        <v>0.5466292391399622</v>
      </c>
      <c r="E707" s="285">
        <v>-8.1849854436383218</v>
      </c>
      <c r="H707" s="685">
        <f t="shared" si="587"/>
        <v>1.1562583397900863</v>
      </c>
      <c r="I707" s="276">
        <f t="shared" si="588"/>
        <v>-2.9200750724760089</v>
      </c>
      <c r="J707" s="276">
        <f t="shared" si="589"/>
        <v>4.7297244021017315E-2</v>
      </c>
      <c r="K707" s="276">
        <f t="shared" si="590"/>
        <v>2.2309822050311912</v>
      </c>
      <c r="L707" s="276">
        <f t="shared" si="591"/>
        <v>-0.54124241523266303</v>
      </c>
      <c r="M707" s="276">
        <f t="shared" si="592"/>
        <v>-4.0118973945614638</v>
      </c>
      <c r="N707" s="685">
        <f t="shared" si="593"/>
        <v>1.4526081484764142</v>
      </c>
      <c r="O707" s="276">
        <f t="shared" si="594"/>
        <v>1.051637850207092</v>
      </c>
      <c r="P707" s="276">
        <f t="shared" si="595"/>
        <v>2.0756279644225426</v>
      </c>
      <c r="Q707" s="276">
        <f t="shared" si="596"/>
        <v>1.5532286646121374</v>
      </c>
      <c r="R707" s="276">
        <f t="shared" si="597"/>
        <v>1.587796724070129</v>
      </c>
      <c r="S707" s="686">
        <f t="shared" si="598"/>
        <v>1.4661060313372494</v>
      </c>
      <c r="T707" s="685">
        <f t="shared" si="599"/>
        <v>3.8249929294108882</v>
      </c>
      <c r="U707" s="276">
        <f t="shared" si="600"/>
        <v>4.0119950368172272</v>
      </c>
      <c r="V707" s="276">
        <f t="shared" si="601"/>
        <v>4.9725278570577176</v>
      </c>
      <c r="W707" s="276">
        <f t="shared" si="602"/>
        <v>5.4034823516096537</v>
      </c>
      <c r="X707" s="276">
        <f t="shared" si="603"/>
        <v>5.3209105545951267</v>
      </c>
      <c r="Y707" s="686">
        <f t="shared" si="604"/>
        <v>5.8154623051327281</v>
      </c>
      <c r="Z707" s="685" t="e">
        <f t="shared" si="605"/>
        <v>#DIV/0!</v>
      </c>
      <c r="AA707" s="276" t="e">
        <f t="shared" si="606"/>
        <v>#DIV/0!</v>
      </c>
      <c r="AB707" s="276" t="e">
        <f t="shared" si="607"/>
        <v>#DIV/0!</v>
      </c>
      <c r="AC707" s="276" t="e">
        <f t="shared" si="608"/>
        <v>#DIV/0!</v>
      </c>
      <c r="AD707" s="276" t="e">
        <f t="shared" si="609"/>
        <v>#DIV/0!</v>
      </c>
      <c r="AE707" s="686" t="e">
        <f t="shared" si="610"/>
        <v>#DIV/0!</v>
      </c>
      <c r="AF707" s="239"/>
      <c r="AG707" s="965" t="e">
        <f t="shared" si="581"/>
        <v>#VALUE!</v>
      </c>
      <c r="AH707" s="878" t="e">
        <f t="shared" si="582"/>
        <v>#VALUE!</v>
      </c>
      <c r="AI707" s="878" t="e">
        <f t="shared" si="583"/>
        <v>#VALUE!</v>
      </c>
      <c r="AJ707" s="878" t="e">
        <f t="shared" si="584"/>
        <v>#VALUE!</v>
      </c>
      <c r="AK707" s="878" t="e">
        <f t="shared" si="585"/>
        <v>#VALUE!</v>
      </c>
      <c r="AL707" s="966" t="e">
        <f t="shared" si="586"/>
        <v>#VALUE!</v>
      </c>
      <c r="AM707" s="239"/>
      <c r="AO707" s="685">
        <f t="shared" si="611"/>
        <v>1.1562583397900863</v>
      </c>
      <c r="AP707" s="276">
        <f t="shared" si="612"/>
        <v>-2.9200750724760089</v>
      </c>
      <c r="AQ707" s="276">
        <f t="shared" si="613"/>
        <v>4.7297244021017315E-2</v>
      </c>
      <c r="AR707" s="276">
        <f t="shared" si="614"/>
        <v>2.2309822050311912</v>
      </c>
      <c r="AS707" s="276">
        <f t="shared" si="615"/>
        <v>-0.54124241523266303</v>
      </c>
      <c r="AT707" s="276">
        <f t="shared" si="616"/>
        <v>-4.0118973945614638</v>
      </c>
      <c r="AU707" s="685">
        <f t="shared" si="617"/>
        <v>1.4526081484764142</v>
      </c>
      <c r="AV707" s="276">
        <f t="shared" si="618"/>
        <v>1.051637850207092</v>
      </c>
      <c r="AW707" s="276">
        <f t="shared" si="619"/>
        <v>2.0756279644225426</v>
      </c>
      <c r="AX707" s="276">
        <f t="shared" si="620"/>
        <v>1.5532286646121374</v>
      </c>
      <c r="AY707" s="276">
        <f t="shared" si="621"/>
        <v>1.587796724070129</v>
      </c>
      <c r="AZ707" s="686">
        <f t="shared" si="622"/>
        <v>1.4661060313372494</v>
      </c>
      <c r="BA707" s="685">
        <f t="shared" si="623"/>
        <v>0</v>
      </c>
      <c r="BB707" s="276">
        <f t="shared" si="624"/>
        <v>0</v>
      </c>
      <c r="BC707" s="276">
        <f t="shared" si="625"/>
        <v>0</v>
      </c>
      <c r="BD707" s="276">
        <f t="shared" si="626"/>
        <v>0</v>
      </c>
      <c r="BE707" s="276">
        <f t="shared" si="627"/>
        <v>0</v>
      </c>
      <c r="BF707" s="686">
        <f t="shared" si="628"/>
        <v>0</v>
      </c>
      <c r="BG707" s="685" t="e">
        <f t="shared" si="629"/>
        <v>#DIV/0!</v>
      </c>
      <c r="BH707" s="276" t="e">
        <f t="shared" si="630"/>
        <v>#DIV/0!</v>
      </c>
      <c r="BI707" s="276" t="e">
        <f t="shared" si="631"/>
        <v>#DIV/0!</v>
      </c>
      <c r="BJ707" s="276" t="e">
        <f t="shared" si="632"/>
        <v>#DIV/0!</v>
      </c>
      <c r="BK707" s="276" t="e">
        <f t="shared" si="633"/>
        <v>#DIV/0!</v>
      </c>
      <c r="BL707" s="686" t="e">
        <f t="shared" si="634"/>
        <v>#DIV/0!</v>
      </c>
      <c r="BM707" s="239"/>
      <c r="BN707" s="965" t="e">
        <f t="shared" si="635"/>
        <v>#VALUE!</v>
      </c>
      <c r="BO707" s="878" t="e">
        <f t="shared" si="636"/>
        <v>#VALUE!</v>
      </c>
      <c r="BP707" s="878" t="e">
        <f t="shared" si="637"/>
        <v>#VALUE!</v>
      </c>
      <c r="BQ707" s="878" t="e">
        <f t="shared" si="638"/>
        <v>#VALUE!</v>
      </c>
      <c r="BR707" s="878" t="e">
        <f t="shared" si="639"/>
        <v>#VALUE!</v>
      </c>
      <c r="BS707" s="966" t="e">
        <f t="shared" si="640"/>
        <v>#VALUE!</v>
      </c>
    </row>
    <row r="708" spans="1:71">
      <c r="A708" s="284">
        <f t="shared" si="641"/>
        <v>640</v>
      </c>
      <c r="B708" s="285">
        <v>-3.1706872902005934</v>
      </c>
      <c r="C708" s="285">
        <v>2.5981104710371818</v>
      </c>
      <c r="D708" s="285">
        <v>1.7629403784803244</v>
      </c>
      <c r="E708" s="285">
        <v>9.0751180883620997E-2</v>
      </c>
      <c r="H708" s="685">
        <f t="shared" si="587"/>
        <v>-4.3039211319696484</v>
      </c>
      <c r="I708" s="276">
        <f t="shared" si="588"/>
        <v>-0.12974409148317378</v>
      </c>
      <c r="J708" s="276">
        <f t="shared" si="589"/>
        <v>0.59608975912426021</v>
      </c>
      <c r="K708" s="276">
        <f t="shared" si="590"/>
        <v>-2.061550646052428</v>
      </c>
      <c r="L708" s="276">
        <f t="shared" si="591"/>
        <v>1.925340469129299</v>
      </c>
      <c r="M708" s="276">
        <f t="shared" si="592"/>
        <v>2.3642046912228292</v>
      </c>
      <c r="N708" s="685">
        <f t="shared" si="593"/>
        <v>1.3909392600653134</v>
      </c>
      <c r="O708" s="276">
        <f t="shared" si="594"/>
        <v>1.7292975227357126</v>
      </c>
      <c r="P708" s="276">
        <f t="shared" si="595"/>
        <v>2.2972563205521395</v>
      </c>
      <c r="Q708" s="276">
        <f t="shared" si="596"/>
        <v>1.6090964492803608</v>
      </c>
      <c r="R708" s="276">
        <f t="shared" si="597"/>
        <v>1.9762845187368974</v>
      </c>
      <c r="S708" s="686">
        <f t="shared" si="598"/>
        <v>1.2567052089231405</v>
      </c>
      <c r="T708" s="685">
        <f t="shared" si="599"/>
        <v>5.0413040687512503</v>
      </c>
      <c r="U708" s="276">
        <f t="shared" si="600"/>
        <v>3.6051677823807102</v>
      </c>
      <c r="V708" s="276">
        <f t="shared" si="601"/>
        <v>5.2614233153571117</v>
      </c>
      <c r="W708" s="276">
        <f t="shared" si="602"/>
        <v>4.970208492388231</v>
      </c>
      <c r="X708" s="276">
        <f t="shared" si="603"/>
        <v>4.0627544581410495</v>
      </c>
      <c r="Y708" s="686">
        <f t="shared" si="604"/>
        <v>4.6586489561392561</v>
      </c>
      <c r="Z708" s="685" t="e">
        <f t="shared" si="605"/>
        <v>#DIV/0!</v>
      </c>
      <c r="AA708" s="276" t="e">
        <f t="shared" si="606"/>
        <v>#DIV/0!</v>
      </c>
      <c r="AB708" s="276" t="e">
        <f t="shared" si="607"/>
        <v>#DIV/0!</v>
      </c>
      <c r="AC708" s="276" t="e">
        <f t="shared" si="608"/>
        <v>#DIV/0!</v>
      </c>
      <c r="AD708" s="276" t="e">
        <f t="shared" si="609"/>
        <v>#DIV/0!</v>
      </c>
      <c r="AE708" s="686" t="e">
        <f t="shared" si="610"/>
        <v>#DIV/0!</v>
      </c>
      <c r="AF708" s="239"/>
      <c r="AG708" s="965" t="e">
        <f t="shared" si="581"/>
        <v>#VALUE!</v>
      </c>
      <c r="AH708" s="878" t="e">
        <f t="shared" si="582"/>
        <v>#VALUE!</v>
      </c>
      <c r="AI708" s="878" t="e">
        <f t="shared" si="583"/>
        <v>#VALUE!</v>
      </c>
      <c r="AJ708" s="878" t="e">
        <f t="shared" si="584"/>
        <v>#VALUE!</v>
      </c>
      <c r="AK708" s="878" t="e">
        <f t="shared" si="585"/>
        <v>#VALUE!</v>
      </c>
      <c r="AL708" s="966" t="e">
        <f t="shared" si="586"/>
        <v>#VALUE!</v>
      </c>
      <c r="AM708" s="239"/>
      <c r="AO708" s="685">
        <f t="shared" si="611"/>
        <v>-4.3039211319696484</v>
      </c>
      <c r="AP708" s="276">
        <f t="shared" si="612"/>
        <v>-0.12974409148317378</v>
      </c>
      <c r="AQ708" s="276">
        <f t="shared" si="613"/>
        <v>0.59608975912426021</v>
      </c>
      <c r="AR708" s="276">
        <f t="shared" si="614"/>
        <v>-2.061550646052428</v>
      </c>
      <c r="AS708" s="276">
        <f t="shared" si="615"/>
        <v>1.925340469129299</v>
      </c>
      <c r="AT708" s="276">
        <f t="shared" si="616"/>
        <v>2.3642046912228292</v>
      </c>
      <c r="AU708" s="685">
        <f t="shared" si="617"/>
        <v>1.3909392600653134</v>
      </c>
      <c r="AV708" s="276">
        <f t="shared" si="618"/>
        <v>1.7292975227357126</v>
      </c>
      <c r="AW708" s="276">
        <f t="shared" si="619"/>
        <v>2.2972563205521395</v>
      </c>
      <c r="AX708" s="276">
        <f t="shared" si="620"/>
        <v>1.6090964492803608</v>
      </c>
      <c r="AY708" s="276">
        <f t="shared" si="621"/>
        <v>1.9762845187368974</v>
      </c>
      <c r="AZ708" s="686">
        <f t="shared" si="622"/>
        <v>1.2567052089231405</v>
      </c>
      <c r="BA708" s="685">
        <f t="shared" si="623"/>
        <v>0</v>
      </c>
      <c r="BB708" s="276">
        <f t="shared" si="624"/>
        <v>0</v>
      </c>
      <c r="BC708" s="276">
        <f t="shared" si="625"/>
        <v>0</v>
      </c>
      <c r="BD708" s="276">
        <f t="shared" si="626"/>
        <v>0</v>
      </c>
      <c r="BE708" s="276">
        <f t="shared" si="627"/>
        <v>0</v>
      </c>
      <c r="BF708" s="686">
        <f t="shared" si="628"/>
        <v>0</v>
      </c>
      <c r="BG708" s="685" t="e">
        <f t="shared" si="629"/>
        <v>#DIV/0!</v>
      </c>
      <c r="BH708" s="276" t="e">
        <f t="shared" si="630"/>
        <v>#DIV/0!</v>
      </c>
      <c r="BI708" s="276" t="e">
        <f t="shared" si="631"/>
        <v>#DIV/0!</v>
      </c>
      <c r="BJ708" s="276" t="e">
        <f t="shared" si="632"/>
        <v>#DIV/0!</v>
      </c>
      <c r="BK708" s="276" t="e">
        <f t="shared" si="633"/>
        <v>#DIV/0!</v>
      </c>
      <c r="BL708" s="686" t="e">
        <f t="shared" si="634"/>
        <v>#DIV/0!</v>
      </c>
      <c r="BM708" s="239"/>
      <c r="BN708" s="965" t="e">
        <f t="shared" si="635"/>
        <v>#VALUE!</v>
      </c>
      <c r="BO708" s="878" t="e">
        <f t="shared" si="636"/>
        <v>#VALUE!</v>
      </c>
      <c r="BP708" s="878" t="e">
        <f t="shared" si="637"/>
        <v>#VALUE!</v>
      </c>
      <c r="BQ708" s="878" t="e">
        <f t="shared" si="638"/>
        <v>#VALUE!</v>
      </c>
      <c r="BR708" s="878" t="e">
        <f t="shared" si="639"/>
        <v>#VALUE!</v>
      </c>
      <c r="BS708" s="966" t="e">
        <f t="shared" si="640"/>
        <v>#VALUE!</v>
      </c>
    </row>
    <row r="709" spans="1:71">
      <c r="A709" s="284">
        <f t="shared" si="641"/>
        <v>641</v>
      </c>
      <c r="B709" s="285">
        <v>0.65715413009462786</v>
      </c>
      <c r="C709" s="285">
        <v>2.8702263148036407</v>
      </c>
      <c r="D709" s="285">
        <v>-0.2663816901557281</v>
      </c>
      <c r="E709" s="285">
        <v>14.106121817522546</v>
      </c>
      <c r="H709" s="685">
        <f t="shared" si="587"/>
        <v>-0.47607971167442698</v>
      </c>
      <c r="I709" s="276">
        <f t="shared" si="588"/>
        <v>0.54695019766870168</v>
      </c>
      <c r="J709" s="276">
        <f t="shared" si="589"/>
        <v>-3.4685959396810775</v>
      </c>
      <c r="K709" s="276">
        <f t="shared" si="590"/>
        <v>-4.3338595766357475</v>
      </c>
      <c r="L709" s="276">
        <f t="shared" si="591"/>
        <v>-1.1877909651606404</v>
      </c>
      <c r="M709" s="276">
        <f t="shared" si="592"/>
        <v>-1.2779742842966035</v>
      </c>
      <c r="N709" s="685">
        <f t="shared" si="593"/>
        <v>1.6630551038317722</v>
      </c>
      <c r="O709" s="276">
        <f t="shared" si="594"/>
        <v>2.0580135269885433</v>
      </c>
      <c r="P709" s="276">
        <f t="shared" si="595"/>
        <v>0.48445114816203572</v>
      </c>
      <c r="Q709" s="276">
        <f t="shared" si="596"/>
        <v>1.3387297766141015</v>
      </c>
      <c r="R709" s="276">
        <f t="shared" si="597"/>
        <v>1.1612390301483699</v>
      </c>
      <c r="S709" s="686">
        <f t="shared" si="598"/>
        <v>1.5530426201789547</v>
      </c>
      <c r="T709" s="685">
        <f t="shared" si="599"/>
        <v>3.0119820001151978</v>
      </c>
      <c r="U709" s="276">
        <f t="shared" si="600"/>
        <v>5.094592807200554</v>
      </c>
      <c r="V709" s="276">
        <f t="shared" si="601"/>
        <v>5.6914276217618021</v>
      </c>
      <c r="W709" s="276">
        <f t="shared" si="602"/>
        <v>3.5928120388136824</v>
      </c>
      <c r="X709" s="276">
        <f t="shared" si="603"/>
        <v>4.9417043338155491</v>
      </c>
      <c r="Y709" s="686">
        <f t="shared" si="604"/>
        <v>7.0194165431076376</v>
      </c>
      <c r="Z709" s="685" t="e">
        <f t="shared" si="605"/>
        <v>#DIV/0!</v>
      </c>
      <c r="AA709" s="276" t="e">
        <f t="shared" si="606"/>
        <v>#DIV/0!</v>
      </c>
      <c r="AB709" s="276" t="e">
        <f t="shared" si="607"/>
        <v>#DIV/0!</v>
      </c>
      <c r="AC709" s="276" t="e">
        <f t="shared" si="608"/>
        <v>#DIV/0!</v>
      </c>
      <c r="AD709" s="276" t="e">
        <f t="shared" si="609"/>
        <v>#DIV/0!</v>
      </c>
      <c r="AE709" s="686" t="e">
        <f t="shared" si="610"/>
        <v>#DIV/0!</v>
      </c>
      <c r="AF709" s="239"/>
      <c r="AG709" s="965" t="e">
        <f t="shared" ref="AG709:AG772" si="642">S$53*(1+(T$55+N709)/100)*((1-S$62)+S$62*((1+(T$57+Z709)/100)))/(1+(T$54+H709)/100)-(T$56+T709)+T$58</f>
        <v>#VALUE!</v>
      </c>
      <c r="AH709" s="878" t="e">
        <f t="shared" ref="AH709:AH772" si="643">AG709*(1+(U$55+O709)/100)*((1-T$62)+T$62*((1+(U$57+AA709)/100)))/(1+(U$54+I709)/100)-(U$56+U709)+U$58</f>
        <v>#VALUE!</v>
      </c>
      <c r="AI709" s="878" t="e">
        <f t="shared" ref="AI709:AI772" si="644">AH709*(1+(V$55+P709)/100)*((1-U$62)+U$62*((1+(V$57+AB709)/100)))/(1+(V$54+J709)/100)-(V$56+V709)+V$58</f>
        <v>#VALUE!</v>
      </c>
      <c r="AJ709" s="878" t="e">
        <f t="shared" ref="AJ709:AJ772" si="645">AI709*(1+(W$55+Q709)/100)*((1-V$62)+V$62*((1+(W$57+AC709)/100)))/(1+(W$54+K709)/100)-(W$56+W709)+W$58</f>
        <v>#VALUE!</v>
      </c>
      <c r="AK709" s="878" t="e">
        <f t="shared" ref="AK709:AK772" si="646">AJ709*(1+(X$55+R709)/100)*((1-W$62)+W$62*((1+(X$57+AD709)/100)))/(1+(X$54+L709)/100)-(X$56+X709)+X$58</f>
        <v>#VALUE!</v>
      </c>
      <c r="AL709" s="966" t="e">
        <f t="shared" ref="AL709:AL772" si="647">AK709*(1+(Y$55+S709)/100)*((1-X$62)+X$62*((1+(Y$57+AE709)/100)))/(1+(Y$54+M709)/100)-(Y$56+Y709)+Y$58</f>
        <v>#VALUE!</v>
      </c>
      <c r="AM709" s="239"/>
      <c r="AO709" s="685">
        <f t="shared" si="611"/>
        <v>-0.47607971167442698</v>
      </c>
      <c r="AP709" s="276">
        <f t="shared" si="612"/>
        <v>0.54695019766870168</v>
      </c>
      <c r="AQ709" s="276">
        <f t="shared" si="613"/>
        <v>-3.4685959396810775</v>
      </c>
      <c r="AR709" s="276">
        <f t="shared" si="614"/>
        <v>-4.3338595766357475</v>
      </c>
      <c r="AS709" s="276">
        <f t="shared" si="615"/>
        <v>-1.1877909651606404</v>
      </c>
      <c r="AT709" s="276">
        <f t="shared" si="616"/>
        <v>-1.2779742842966035</v>
      </c>
      <c r="AU709" s="685">
        <f t="shared" si="617"/>
        <v>1.6630551038317722</v>
      </c>
      <c r="AV709" s="276">
        <f t="shared" si="618"/>
        <v>2.0580135269885433</v>
      </c>
      <c r="AW709" s="276">
        <f t="shared" si="619"/>
        <v>0.48445114816203572</v>
      </c>
      <c r="AX709" s="276">
        <f t="shared" si="620"/>
        <v>1.3387297766141015</v>
      </c>
      <c r="AY709" s="276">
        <f t="shared" si="621"/>
        <v>1.1612390301483699</v>
      </c>
      <c r="AZ709" s="686">
        <f t="shared" si="622"/>
        <v>1.5530426201789547</v>
      </c>
      <c r="BA709" s="685">
        <f t="shared" si="623"/>
        <v>0</v>
      </c>
      <c r="BB709" s="276">
        <f t="shared" si="624"/>
        <v>0</v>
      </c>
      <c r="BC709" s="276">
        <f t="shared" si="625"/>
        <v>0</v>
      </c>
      <c r="BD709" s="276">
        <f t="shared" si="626"/>
        <v>0</v>
      </c>
      <c r="BE709" s="276">
        <f t="shared" si="627"/>
        <v>0</v>
      </c>
      <c r="BF709" s="686">
        <f t="shared" si="628"/>
        <v>0</v>
      </c>
      <c r="BG709" s="685" t="e">
        <f t="shared" si="629"/>
        <v>#DIV/0!</v>
      </c>
      <c r="BH709" s="276" t="e">
        <f t="shared" si="630"/>
        <v>#DIV/0!</v>
      </c>
      <c r="BI709" s="276" t="e">
        <f t="shared" si="631"/>
        <v>#DIV/0!</v>
      </c>
      <c r="BJ709" s="276" t="e">
        <f t="shared" si="632"/>
        <v>#DIV/0!</v>
      </c>
      <c r="BK709" s="276" t="e">
        <f t="shared" si="633"/>
        <v>#DIV/0!</v>
      </c>
      <c r="BL709" s="686" t="e">
        <f t="shared" si="634"/>
        <v>#DIV/0!</v>
      </c>
      <c r="BM709" s="239"/>
      <c r="BN709" s="965" t="e">
        <f t="shared" si="635"/>
        <v>#VALUE!</v>
      </c>
      <c r="BO709" s="878" t="e">
        <f t="shared" si="636"/>
        <v>#VALUE!</v>
      </c>
      <c r="BP709" s="878" t="e">
        <f t="shared" si="637"/>
        <v>#VALUE!</v>
      </c>
      <c r="BQ709" s="878" t="e">
        <f t="shared" si="638"/>
        <v>#VALUE!</v>
      </c>
      <c r="BR709" s="878" t="e">
        <f t="shared" si="639"/>
        <v>#VALUE!</v>
      </c>
      <c r="BS709" s="966" t="e">
        <f t="shared" si="640"/>
        <v>#VALUE!</v>
      </c>
    </row>
    <row r="710" spans="1:71">
      <c r="A710" s="284">
        <f t="shared" si="641"/>
        <v>642</v>
      </c>
      <c r="B710" s="285">
        <v>-2.6989820557958182</v>
      </c>
      <c r="C710" s="285">
        <v>2.8341120178684318</v>
      </c>
      <c r="D710" s="285">
        <v>4.3491625532371403E-2</v>
      </c>
      <c r="E710" s="285">
        <v>1.3596061599233411</v>
      </c>
      <c r="H710" s="685">
        <f t="shared" ref="H710:H773" si="648">IF($B$42="On",$B710-$D$15,0)</f>
        <v>-3.8322158975648728</v>
      </c>
      <c r="I710" s="276">
        <f t="shared" ref="I710:I773" si="649">IF($B$42="On",$B1710-$D$15,0)</f>
        <v>-3.3766378804957986</v>
      </c>
      <c r="J710" s="276">
        <f t="shared" ref="J710:J773" si="650">IF($B$42="On",$B2710-$D$15,0)</f>
        <v>2.7851441933615364</v>
      </c>
      <c r="K710" s="276">
        <f t="shared" ref="K710:K773" si="651">IF($B$42="On",$B3710-$D$15,0)</f>
        <v>-4.5602976487031555</v>
      </c>
      <c r="L710" s="276">
        <f t="shared" ref="L710:L773" si="652">IF($B$42="On",$B4710-$D$15,0)</f>
        <v>-4.5756514744414636</v>
      </c>
      <c r="M710" s="276">
        <f t="shared" ref="M710:M773" si="653">IF($B$42="On",$B5710-$D$15,0)</f>
        <v>-3.4217719188113218</v>
      </c>
      <c r="N710" s="685">
        <f t="shared" ref="N710:N773" si="654">IF($B$43="On",$C710-$D$16,0)</f>
        <v>1.6269408068965634</v>
      </c>
      <c r="O710" s="276">
        <f t="shared" ref="O710:O773" si="655">IF($B$43="On",$C1710-$D$16,0)</f>
        <v>0.98622986329856244</v>
      </c>
      <c r="P710" s="276">
        <f t="shared" ref="P710:P773" si="656">IF($B$43="On",$C2710-$D$16,0)</f>
        <v>1.8663707404812884</v>
      </c>
      <c r="Q710" s="276">
        <f t="shared" ref="Q710:Q773" si="657">IF($B$43="On",$C3710-$D$16,0)</f>
        <v>1.6547853949922502</v>
      </c>
      <c r="R710" s="276">
        <f t="shared" ref="R710:R773" si="658">IF($B$43="On",$C4710-$D$16,0)</f>
        <v>0.88082667233338863</v>
      </c>
      <c r="S710" s="686">
        <f t="shared" ref="S710:S773" si="659">IF($B$43="On",$C5710-$D$16,0)</f>
        <v>0.78459663589505091</v>
      </c>
      <c r="T710" s="685">
        <f t="shared" ref="T710:T773" si="660">IF($B$44="On",$D710-$D$17,0)</f>
        <v>3.3218553158032975</v>
      </c>
      <c r="U710" s="276">
        <f t="shared" ref="U710:U773" si="661">IF($B$44="On",$D1710-$D$17,0)</f>
        <v>5.8688451272903475</v>
      </c>
      <c r="V710" s="276">
        <f t="shared" ref="V710:V773" si="662">IF($B$44="On",$D2710-$D$17,0)</f>
        <v>4.4141243894840532</v>
      </c>
      <c r="W710" s="276">
        <f t="shared" ref="W710:W773" si="663">IF($B$44="On",$D3710-$D$17,0)</f>
        <v>3.1556462467261408</v>
      </c>
      <c r="X710" s="276">
        <f t="shared" ref="X710:X773" si="664">IF($B$44="On",$D4710-$D$17,0)</f>
        <v>3.150829510214022</v>
      </c>
      <c r="Y710" s="686">
        <f t="shared" ref="Y710:Y773" si="665">IF($B$44="On",$D5710-$D$17,0)</f>
        <v>5.2339797015035261</v>
      </c>
      <c r="Z710" s="685" t="e">
        <f t="shared" ref="Z710:Z773" si="666">IF($B$45="On",$E710-$D$18,0)</f>
        <v>#DIV/0!</v>
      </c>
      <c r="AA710" s="276" t="e">
        <f t="shared" ref="AA710:AA773" si="667">IF($B$45="On",$E1710-$D$18,0)</f>
        <v>#DIV/0!</v>
      </c>
      <c r="AB710" s="276" t="e">
        <f t="shared" ref="AB710:AB773" si="668">IF($B$45="On",$E2710-$D$18,0)</f>
        <v>#DIV/0!</v>
      </c>
      <c r="AC710" s="276" t="e">
        <f t="shared" ref="AC710:AC773" si="669">IF($B$45="On",$E3710-$D$18,0)</f>
        <v>#DIV/0!</v>
      </c>
      <c r="AD710" s="276" t="e">
        <f t="shared" ref="AD710:AD773" si="670">IF($B$45="On",$E4710-$D$18,0)</f>
        <v>#DIV/0!</v>
      </c>
      <c r="AE710" s="686" t="e">
        <f t="shared" ref="AE710:AE773" si="671">IF($B$45="On",$E5710-$D$18,0)</f>
        <v>#DIV/0!</v>
      </c>
      <c r="AF710" s="239"/>
      <c r="AG710" s="965" t="e">
        <f t="shared" si="642"/>
        <v>#VALUE!</v>
      </c>
      <c r="AH710" s="878" t="e">
        <f t="shared" si="643"/>
        <v>#VALUE!</v>
      </c>
      <c r="AI710" s="878" t="e">
        <f t="shared" si="644"/>
        <v>#VALUE!</v>
      </c>
      <c r="AJ710" s="878" t="e">
        <f t="shared" si="645"/>
        <v>#VALUE!</v>
      </c>
      <c r="AK710" s="878" t="e">
        <f t="shared" si="646"/>
        <v>#VALUE!</v>
      </c>
      <c r="AL710" s="966" t="e">
        <f t="shared" si="647"/>
        <v>#VALUE!</v>
      </c>
      <c r="AM710" s="239"/>
      <c r="AO710" s="685">
        <f t="shared" ref="AO710:AO773" si="672">IF($B$42="On",MIN($B710-$D$15,$D$42),0)</f>
        <v>-3.8322158975648728</v>
      </c>
      <c r="AP710" s="276">
        <f t="shared" ref="AP710:AP773" si="673">IF($B$42="On",MIN($B1710-$D$15,$D$42),0)</f>
        <v>-3.3766378804957986</v>
      </c>
      <c r="AQ710" s="276">
        <f t="shared" ref="AQ710:AQ773" si="674">IF($B$42="On",MIN($B2710-$D$15,$D$42),0)</f>
        <v>2.7851441933615364</v>
      </c>
      <c r="AR710" s="276">
        <f t="shared" ref="AR710:AR773" si="675">IF($B$42="On",MIN($B3710-$D$15,$D$42),0)</f>
        <v>-4.5602976487031555</v>
      </c>
      <c r="AS710" s="276">
        <f t="shared" ref="AS710:AS773" si="676">IF($B$42="On",MIN($B4710-$D$15,$D$42),0)</f>
        <v>-4.5756514744414636</v>
      </c>
      <c r="AT710" s="276">
        <f t="shared" ref="AT710:AT773" si="677">IF($B$42="On",MIN($B5710-$D$15,$D$42),0)</f>
        <v>-3.4217719188113218</v>
      </c>
      <c r="AU710" s="685">
        <f t="shared" ref="AU710:AU773" si="678">IF($B$43="On",MAX($C710-$D$16,$D$43),0)</f>
        <v>1.6269408068965634</v>
      </c>
      <c r="AV710" s="276">
        <f t="shared" ref="AV710:AV773" si="679">IF($B$43="On",MAX($C1710-$D$16,$D$43),0)</f>
        <v>0.98622986329856244</v>
      </c>
      <c r="AW710" s="276">
        <f t="shared" ref="AW710:AW773" si="680">IF($B$43="On",MAX($C2710-$D$16,$D$43),0)</f>
        <v>1.8663707404812884</v>
      </c>
      <c r="AX710" s="276">
        <f t="shared" ref="AX710:AX773" si="681">IF($B$43="On",MAX($C3710-$D$16,$D$43),0)</f>
        <v>1.6547853949922502</v>
      </c>
      <c r="AY710" s="276">
        <f t="shared" ref="AY710:AY773" si="682">IF($B$43="On",MAX($C4710-$D$16,$D$43),0)</f>
        <v>0.88082667233338863</v>
      </c>
      <c r="AZ710" s="686">
        <f t="shared" ref="AZ710:AZ773" si="683">IF($B$43="On",MAX($C5710-$D$16,$D$43),0)</f>
        <v>0.78459663589505091</v>
      </c>
      <c r="BA710" s="685">
        <f t="shared" ref="BA710:BA773" si="684">IF($B$44="On",MIN($D710-$D$17,$D$44),0)</f>
        <v>0</v>
      </c>
      <c r="BB710" s="276">
        <f t="shared" ref="BB710:BB773" si="685">IF($B$44="On",MIN($D1710-$D$17,$D$44),0)</f>
        <v>0</v>
      </c>
      <c r="BC710" s="276">
        <f t="shared" ref="BC710:BC773" si="686">IF($B$44="On",MIN($D2710-$D$17,$D$44),0)</f>
        <v>0</v>
      </c>
      <c r="BD710" s="276">
        <f t="shared" ref="BD710:BD773" si="687">IF($B$44="On",MIN($D3710-$D$17,$D$44),0)</f>
        <v>0</v>
      </c>
      <c r="BE710" s="276">
        <f t="shared" ref="BE710:BE773" si="688">IF($B$44="On",MIN($D4710-$D$17,$D$44),0)</f>
        <v>0</v>
      </c>
      <c r="BF710" s="686">
        <f t="shared" ref="BF710:BF773" si="689">IF($B$44="On",MIN($D5710-$D$17,$D$44),0)</f>
        <v>0</v>
      </c>
      <c r="BG710" s="685" t="e">
        <f t="shared" ref="BG710:BG773" si="690">IF($B$45="On",MAX($E710-$D$18,$D$45),0)</f>
        <v>#DIV/0!</v>
      </c>
      <c r="BH710" s="276" t="e">
        <f t="shared" ref="BH710:BH773" si="691">IF($B$45="On",MAX($E1710-$D$18,$D$45),0)</f>
        <v>#DIV/0!</v>
      </c>
      <c r="BI710" s="276" t="e">
        <f t="shared" ref="BI710:BI773" si="692">IF($B$45="On",MAX($E2710-$D$18,$D$45),0)</f>
        <v>#DIV/0!</v>
      </c>
      <c r="BJ710" s="276" t="e">
        <f t="shared" ref="BJ710:BJ773" si="693">IF($B$45="On",MAX($E3710-$D$18,$D$45),0)</f>
        <v>#DIV/0!</v>
      </c>
      <c r="BK710" s="276" t="e">
        <f t="shared" ref="BK710:BK773" si="694">IF($B$45="On",MAX($E4710-$D$18,$D$45),0)</f>
        <v>#DIV/0!</v>
      </c>
      <c r="BL710" s="686" t="e">
        <f t="shared" ref="BL710:BL773" si="695">IF($B$45="On",MAX($E5710-$D$18,$D$45),0)</f>
        <v>#DIV/0!</v>
      </c>
      <c r="BM710" s="239"/>
      <c r="BN710" s="965" t="e">
        <f t="shared" ref="BN710:BN773" si="696">S$53*(1+(T$55+AU710)/100)*((1-S$62)+S$62*((1+(T$57+BG710)/100)))/(1+(T$54+AO710)/100)-(T$56+BA710)+T$58</f>
        <v>#VALUE!</v>
      </c>
      <c r="BO710" s="878" t="e">
        <f t="shared" ref="BO710:BO773" si="697">BN710*(1+(U$55+AV710)/100)*((1-T$62)+T$62*((1+(U$57+BH710)/100)))/(1+(U$54+AP710)/100)-(U$56+BB710)+U$58</f>
        <v>#VALUE!</v>
      </c>
      <c r="BP710" s="878" t="e">
        <f t="shared" ref="BP710:BP773" si="698">BO710*(1+(V$55+AW710)/100)*((1-U$62)+U$62*((1+(V$57+BI710)/100)))/(1+(V$54+AQ710)/100)-(V$56+BC710)+V$58</f>
        <v>#VALUE!</v>
      </c>
      <c r="BQ710" s="878" t="e">
        <f t="shared" ref="BQ710:BQ773" si="699">BP710*(1+(W$55+AX710)/100)*((1-V$62)+V$62*((1+(W$57+BJ710)/100)))/(1+(W$54+AR710)/100)-(W$56+BD710)+W$58</f>
        <v>#VALUE!</v>
      </c>
      <c r="BR710" s="878" t="e">
        <f t="shared" ref="BR710:BR773" si="700">BQ710*(1+(X$55+AY710)/100)*((1-W$62)+W$62*((1+(X$57+BK710)/100)))/(1+(X$54+AS710)/100)-(X$56+BE710)+X$58</f>
        <v>#VALUE!</v>
      </c>
      <c r="BS710" s="966" t="e">
        <f t="shared" ref="BS710:BS773" si="701">BR710*(1+(Y$55+AZ710)/100)*((1-X$62)+X$62*((1+(Y$57+BL710)/100)))/(1+(Y$54+AT710)/100)-(Y$56+BF710)+Y$58</f>
        <v>#VALUE!</v>
      </c>
    </row>
    <row r="711" spans="1:71">
      <c r="A711" s="284">
        <f t="shared" ref="A711:A774" si="702">A710+1</f>
        <v>643</v>
      </c>
      <c r="B711" s="285">
        <v>-0.70815841841390148</v>
      </c>
      <c r="C711" s="285">
        <v>2.2343516919922797</v>
      </c>
      <c r="D711" s="285">
        <v>2.2910055625470158</v>
      </c>
      <c r="E711" s="285">
        <v>-20.777462148876257</v>
      </c>
      <c r="H711" s="685">
        <f t="shared" si="648"/>
        <v>-1.8413922601829564</v>
      </c>
      <c r="I711" s="276">
        <f t="shared" si="649"/>
        <v>-0.22810249938363258</v>
      </c>
      <c r="J711" s="276">
        <f t="shared" si="650"/>
        <v>-4.3476640885622553</v>
      </c>
      <c r="K711" s="276">
        <f t="shared" si="651"/>
        <v>-8.0567629031666588E-2</v>
      </c>
      <c r="L711" s="276">
        <f t="shared" si="652"/>
        <v>7.4507193328431587E-2</v>
      </c>
      <c r="M711" s="276">
        <f t="shared" si="653"/>
        <v>0.27076185953247656</v>
      </c>
      <c r="N711" s="685">
        <f t="shared" si="654"/>
        <v>1.0271804810204113</v>
      </c>
      <c r="O711" s="276">
        <f t="shared" si="655"/>
        <v>1.2730280713636419</v>
      </c>
      <c r="P711" s="276">
        <f t="shared" si="656"/>
        <v>1.8334551158209986</v>
      </c>
      <c r="Q711" s="276">
        <f t="shared" si="657"/>
        <v>1.5981953127651456</v>
      </c>
      <c r="R711" s="276">
        <f t="shared" si="658"/>
        <v>1.0286795774828661</v>
      </c>
      <c r="S711" s="686">
        <f t="shared" si="659"/>
        <v>1.7574659119757003</v>
      </c>
      <c r="T711" s="685">
        <f t="shared" si="660"/>
        <v>5.5693692528179417</v>
      </c>
      <c r="U711" s="276">
        <f t="shared" si="661"/>
        <v>5.0154294124355321</v>
      </c>
      <c r="V711" s="276">
        <f t="shared" si="662"/>
        <v>3.1694152297052085</v>
      </c>
      <c r="W711" s="276">
        <f t="shared" si="663"/>
        <v>3.7818266231755633</v>
      </c>
      <c r="X711" s="276">
        <f t="shared" si="664"/>
        <v>4.5945861905609124</v>
      </c>
      <c r="Y711" s="686">
        <f t="shared" si="665"/>
        <v>4.0381751081045127</v>
      </c>
      <c r="Z711" s="685" t="e">
        <f t="shared" si="666"/>
        <v>#DIV/0!</v>
      </c>
      <c r="AA711" s="276" t="e">
        <f t="shared" si="667"/>
        <v>#DIV/0!</v>
      </c>
      <c r="AB711" s="276" t="e">
        <f t="shared" si="668"/>
        <v>#DIV/0!</v>
      </c>
      <c r="AC711" s="276" t="e">
        <f t="shared" si="669"/>
        <v>#DIV/0!</v>
      </c>
      <c r="AD711" s="276" t="e">
        <f t="shared" si="670"/>
        <v>#DIV/0!</v>
      </c>
      <c r="AE711" s="686" t="e">
        <f t="shared" si="671"/>
        <v>#DIV/0!</v>
      </c>
      <c r="AF711" s="239"/>
      <c r="AG711" s="965" t="e">
        <f t="shared" si="642"/>
        <v>#VALUE!</v>
      </c>
      <c r="AH711" s="878" t="e">
        <f t="shared" si="643"/>
        <v>#VALUE!</v>
      </c>
      <c r="AI711" s="878" t="e">
        <f t="shared" si="644"/>
        <v>#VALUE!</v>
      </c>
      <c r="AJ711" s="878" t="e">
        <f t="shared" si="645"/>
        <v>#VALUE!</v>
      </c>
      <c r="AK711" s="878" t="e">
        <f t="shared" si="646"/>
        <v>#VALUE!</v>
      </c>
      <c r="AL711" s="966" t="e">
        <f t="shared" si="647"/>
        <v>#VALUE!</v>
      </c>
      <c r="AM711" s="239"/>
      <c r="AO711" s="685">
        <f t="shared" si="672"/>
        <v>-1.8413922601829564</v>
      </c>
      <c r="AP711" s="276">
        <f t="shared" si="673"/>
        <v>-0.22810249938363258</v>
      </c>
      <c r="AQ711" s="276">
        <f t="shared" si="674"/>
        <v>-4.3476640885622553</v>
      </c>
      <c r="AR711" s="276">
        <f t="shared" si="675"/>
        <v>-8.0567629031666588E-2</v>
      </c>
      <c r="AS711" s="276">
        <f t="shared" si="676"/>
        <v>7.4507193328431587E-2</v>
      </c>
      <c r="AT711" s="276">
        <f t="shared" si="677"/>
        <v>0.27076185953247656</v>
      </c>
      <c r="AU711" s="685">
        <f t="shared" si="678"/>
        <v>1.0271804810204113</v>
      </c>
      <c r="AV711" s="276">
        <f t="shared" si="679"/>
        <v>1.2730280713636419</v>
      </c>
      <c r="AW711" s="276">
        <f t="shared" si="680"/>
        <v>1.8334551158209986</v>
      </c>
      <c r="AX711" s="276">
        <f t="shared" si="681"/>
        <v>1.5981953127651456</v>
      </c>
      <c r="AY711" s="276">
        <f t="shared" si="682"/>
        <v>1.0286795774828661</v>
      </c>
      <c r="AZ711" s="686">
        <f t="shared" si="683"/>
        <v>1.7574659119757003</v>
      </c>
      <c r="BA711" s="685">
        <f t="shared" si="684"/>
        <v>0</v>
      </c>
      <c r="BB711" s="276">
        <f t="shared" si="685"/>
        <v>0</v>
      </c>
      <c r="BC711" s="276">
        <f t="shared" si="686"/>
        <v>0</v>
      </c>
      <c r="BD711" s="276">
        <f t="shared" si="687"/>
        <v>0</v>
      </c>
      <c r="BE711" s="276">
        <f t="shared" si="688"/>
        <v>0</v>
      </c>
      <c r="BF711" s="686">
        <f t="shared" si="689"/>
        <v>0</v>
      </c>
      <c r="BG711" s="685" t="e">
        <f t="shared" si="690"/>
        <v>#DIV/0!</v>
      </c>
      <c r="BH711" s="276" t="e">
        <f t="shared" si="691"/>
        <v>#DIV/0!</v>
      </c>
      <c r="BI711" s="276" t="e">
        <f t="shared" si="692"/>
        <v>#DIV/0!</v>
      </c>
      <c r="BJ711" s="276" t="e">
        <f t="shared" si="693"/>
        <v>#DIV/0!</v>
      </c>
      <c r="BK711" s="276" t="e">
        <f t="shared" si="694"/>
        <v>#DIV/0!</v>
      </c>
      <c r="BL711" s="686" t="e">
        <f t="shared" si="695"/>
        <v>#DIV/0!</v>
      </c>
      <c r="BM711" s="239"/>
      <c r="BN711" s="965" t="e">
        <f t="shared" si="696"/>
        <v>#VALUE!</v>
      </c>
      <c r="BO711" s="878" t="e">
        <f t="shared" si="697"/>
        <v>#VALUE!</v>
      </c>
      <c r="BP711" s="878" t="e">
        <f t="shared" si="698"/>
        <v>#VALUE!</v>
      </c>
      <c r="BQ711" s="878" t="e">
        <f t="shared" si="699"/>
        <v>#VALUE!</v>
      </c>
      <c r="BR711" s="878" t="e">
        <f t="shared" si="700"/>
        <v>#VALUE!</v>
      </c>
      <c r="BS711" s="966" t="e">
        <f t="shared" si="701"/>
        <v>#VALUE!</v>
      </c>
    </row>
    <row r="712" spans="1:71">
      <c r="A712" s="284">
        <f t="shared" si="702"/>
        <v>644</v>
      </c>
      <c r="B712" s="285">
        <v>1.3072566190730188</v>
      </c>
      <c r="C712" s="285">
        <v>2.128922472968938</v>
      </c>
      <c r="D712" s="285">
        <v>2.3564535573470433</v>
      </c>
      <c r="E712" s="285">
        <v>-12.910602644030131</v>
      </c>
      <c r="H712" s="685">
        <f t="shared" si="648"/>
        <v>0.17402277730396398</v>
      </c>
      <c r="I712" s="276">
        <f t="shared" si="649"/>
        <v>-3.3376500478198317</v>
      </c>
      <c r="J712" s="276">
        <f t="shared" si="650"/>
        <v>-1.2771172716749939</v>
      </c>
      <c r="K712" s="276">
        <f t="shared" si="651"/>
        <v>-3.2334130058731407</v>
      </c>
      <c r="L712" s="276">
        <f t="shared" si="652"/>
        <v>-4.3206176969525467</v>
      </c>
      <c r="M712" s="276">
        <f t="shared" si="653"/>
        <v>-4.6435653035307318</v>
      </c>
      <c r="N712" s="685">
        <f t="shared" si="654"/>
        <v>0.92175126199706958</v>
      </c>
      <c r="O712" s="276">
        <f t="shared" si="655"/>
        <v>1.6268411741786004</v>
      </c>
      <c r="P712" s="276">
        <f t="shared" si="656"/>
        <v>0.78767314027617674</v>
      </c>
      <c r="Q712" s="276">
        <f t="shared" si="657"/>
        <v>1.3273873131552805</v>
      </c>
      <c r="R712" s="276">
        <f t="shared" si="658"/>
        <v>0.95572556242150886</v>
      </c>
      <c r="S712" s="686">
        <f t="shared" si="659"/>
        <v>1.0229852254822791</v>
      </c>
      <c r="T712" s="685">
        <f t="shared" si="660"/>
        <v>5.6348172476179688</v>
      </c>
      <c r="U712" s="276">
        <f t="shared" si="661"/>
        <v>5.1408566792311632</v>
      </c>
      <c r="V712" s="276">
        <f t="shared" si="662"/>
        <v>5.513207364553109</v>
      </c>
      <c r="W712" s="276">
        <f t="shared" si="663"/>
        <v>4.2750394849992572</v>
      </c>
      <c r="X712" s="276">
        <f t="shared" si="664"/>
        <v>3.3396982059042699</v>
      </c>
      <c r="Y712" s="686">
        <f t="shared" si="665"/>
        <v>3.2995556228733487</v>
      </c>
      <c r="Z712" s="685" t="e">
        <f t="shared" si="666"/>
        <v>#DIV/0!</v>
      </c>
      <c r="AA712" s="276" t="e">
        <f t="shared" si="667"/>
        <v>#DIV/0!</v>
      </c>
      <c r="AB712" s="276" t="e">
        <f t="shared" si="668"/>
        <v>#DIV/0!</v>
      </c>
      <c r="AC712" s="276" t="e">
        <f t="shared" si="669"/>
        <v>#DIV/0!</v>
      </c>
      <c r="AD712" s="276" t="e">
        <f t="shared" si="670"/>
        <v>#DIV/0!</v>
      </c>
      <c r="AE712" s="686" t="e">
        <f t="shared" si="671"/>
        <v>#DIV/0!</v>
      </c>
      <c r="AF712" s="239"/>
      <c r="AG712" s="965" t="e">
        <f t="shared" si="642"/>
        <v>#VALUE!</v>
      </c>
      <c r="AH712" s="878" t="e">
        <f t="shared" si="643"/>
        <v>#VALUE!</v>
      </c>
      <c r="AI712" s="878" t="e">
        <f t="shared" si="644"/>
        <v>#VALUE!</v>
      </c>
      <c r="AJ712" s="878" t="e">
        <f t="shared" si="645"/>
        <v>#VALUE!</v>
      </c>
      <c r="AK712" s="878" t="e">
        <f t="shared" si="646"/>
        <v>#VALUE!</v>
      </c>
      <c r="AL712" s="966" t="e">
        <f t="shared" si="647"/>
        <v>#VALUE!</v>
      </c>
      <c r="AM712" s="239"/>
      <c r="AO712" s="685">
        <f t="shared" si="672"/>
        <v>0.17402277730396398</v>
      </c>
      <c r="AP712" s="276">
        <f t="shared" si="673"/>
        <v>-3.3376500478198317</v>
      </c>
      <c r="AQ712" s="276">
        <f t="shared" si="674"/>
        <v>-1.2771172716749939</v>
      </c>
      <c r="AR712" s="276">
        <f t="shared" si="675"/>
        <v>-3.2334130058731407</v>
      </c>
      <c r="AS712" s="276">
        <f t="shared" si="676"/>
        <v>-4.3206176969525467</v>
      </c>
      <c r="AT712" s="276">
        <f t="shared" si="677"/>
        <v>-4.6435653035307318</v>
      </c>
      <c r="AU712" s="685">
        <f t="shared" si="678"/>
        <v>0.92175126199706958</v>
      </c>
      <c r="AV712" s="276">
        <f t="shared" si="679"/>
        <v>1.6268411741786004</v>
      </c>
      <c r="AW712" s="276">
        <f t="shared" si="680"/>
        <v>0.78767314027617674</v>
      </c>
      <c r="AX712" s="276">
        <f t="shared" si="681"/>
        <v>1.3273873131552805</v>
      </c>
      <c r="AY712" s="276">
        <f t="shared" si="682"/>
        <v>0.95572556242150886</v>
      </c>
      <c r="AZ712" s="686">
        <f t="shared" si="683"/>
        <v>1.0229852254822791</v>
      </c>
      <c r="BA712" s="685">
        <f t="shared" si="684"/>
        <v>0</v>
      </c>
      <c r="BB712" s="276">
        <f t="shared" si="685"/>
        <v>0</v>
      </c>
      <c r="BC712" s="276">
        <f t="shared" si="686"/>
        <v>0</v>
      </c>
      <c r="BD712" s="276">
        <f t="shared" si="687"/>
        <v>0</v>
      </c>
      <c r="BE712" s="276">
        <f t="shared" si="688"/>
        <v>0</v>
      </c>
      <c r="BF712" s="686">
        <f t="shared" si="689"/>
        <v>0</v>
      </c>
      <c r="BG712" s="685" t="e">
        <f t="shared" si="690"/>
        <v>#DIV/0!</v>
      </c>
      <c r="BH712" s="276" t="e">
        <f t="shared" si="691"/>
        <v>#DIV/0!</v>
      </c>
      <c r="BI712" s="276" t="e">
        <f t="shared" si="692"/>
        <v>#DIV/0!</v>
      </c>
      <c r="BJ712" s="276" t="e">
        <f t="shared" si="693"/>
        <v>#DIV/0!</v>
      </c>
      <c r="BK712" s="276" t="e">
        <f t="shared" si="694"/>
        <v>#DIV/0!</v>
      </c>
      <c r="BL712" s="686" t="e">
        <f t="shared" si="695"/>
        <v>#DIV/0!</v>
      </c>
      <c r="BM712" s="239"/>
      <c r="BN712" s="965" t="e">
        <f t="shared" si="696"/>
        <v>#VALUE!</v>
      </c>
      <c r="BO712" s="878" t="e">
        <f t="shared" si="697"/>
        <v>#VALUE!</v>
      </c>
      <c r="BP712" s="878" t="e">
        <f t="shared" si="698"/>
        <v>#VALUE!</v>
      </c>
      <c r="BQ712" s="878" t="e">
        <f t="shared" si="699"/>
        <v>#VALUE!</v>
      </c>
      <c r="BR712" s="878" t="e">
        <f t="shared" si="700"/>
        <v>#VALUE!</v>
      </c>
      <c r="BS712" s="966" t="e">
        <f t="shared" si="701"/>
        <v>#VALUE!</v>
      </c>
    </row>
    <row r="713" spans="1:71">
      <c r="A713" s="284">
        <f t="shared" si="702"/>
        <v>645</v>
      </c>
      <c r="B713" s="285">
        <v>-1.2826843795912974</v>
      </c>
      <c r="C713" s="285">
        <v>2.7009089399602892</v>
      </c>
      <c r="D713" s="285">
        <v>1.1073553653799697</v>
      </c>
      <c r="E713" s="285">
        <v>12.3444696478977</v>
      </c>
      <c r="H713" s="685">
        <f t="shared" si="648"/>
        <v>-2.4159182213603523</v>
      </c>
      <c r="I713" s="276">
        <f t="shared" si="649"/>
        <v>-2.2686663724317566</v>
      </c>
      <c r="J713" s="276">
        <f t="shared" si="650"/>
        <v>-2.7736398092580394</v>
      </c>
      <c r="K713" s="276">
        <f t="shared" si="651"/>
        <v>-1.2600551537633924</v>
      </c>
      <c r="L713" s="276">
        <f t="shared" si="652"/>
        <v>1.4945075492076356</v>
      </c>
      <c r="M713" s="276">
        <f t="shared" si="653"/>
        <v>-0.46591646104324091</v>
      </c>
      <c r="N713" s="685">
        <f t="shared" si="654"/>
        <v>1.4937377289884208</v>
      </c>
      <c r="O713" s="276">
        <f t="shared" si="655"/>
        <v>1.3787460686027815</v>
      </c>
      <c r="P713" s="276">
        <f t="shared" si="656"/>
        <v>1.1249588743615047</v>
      </c>
      <c r="Q713" s="276">
        <f t="shared" si="657"/>
        <v>1.5330673340192937</v>
      </c>
      <c r="R713" s="276">
        <f t="shared" si="658"/>
        <v>1.3440752446387381</v>
      </c>
      <c r="S713" s="686">
        <f t="shared" si="659"/>
        <v>2.4074298728126031</v>
      </c>
      <c r="T713" s="685">
        <f t="shared" si="660"/>
        <v>4.3857190556508954</v>
      </c>
      <c r="U713" s="276">
        <f t="shared" si="661"/>
        <v>4.7604183291959306</v>
      </c>
      <c r="V713" s="276">
        <f t="shared" si="662"/>
        <v>3.3604156320650009</v>
      </c>
      <c r="W713" s="276">
        <f t="shared" si="663"/>
        <v>4.7470830680930023</v>
      </c>
      <c r="X713" s="276">
        <f t="shared" si="664"/>
        <v>4.0218795038251605</v>
      </c>
      <c r="Y713" s="686">
        <f t="shared" si="665"/>
        <v>3.0453941914633726</v>
      </c>
      <c r="Z713" s="685" t="e">
        <f t="shared" si="666"/>
        <v>#DIV/0!</v>
      </c>
      <c r="AA713" s="276" t="e">
        <f t="shared" si="667"/>
        <v>#DIV/0!</v>
      </c>
      <c r="AB713" s="276" t="e">
        <f t="shared" si="668"/>
        <v>#DIV/0!</v>
      </c>
      <c r="AC713" s="276" t="e">
        <f t="shared" si="669"/>
        <v>#DIV/0!</v>
      </c>
      <c r="AD713" s="276" t="e">
        <f t="shared" si="670"/>
        <v>#DIV/0!</v>
      </c>
      <c r="AE713" s="686" t="e">
        <f t="shared" si="671"/>
        <v>#DIV/0!</v>
      </c>
      <c r="AF713" s="239"/>
      <c r="AG713" s="965" t="e">
        <f t="shared" si="642"/>
        <v>#VALUE!</v>
      </c>
      <c r="AH713" s="878" t="e">
        <f t="shared" si="643"/>
        <v>#VALUE!</v>
      </c>
      <c r="AI713" s="878" t="e">
        <f t="shared" si="644"/>
        <v>#VALUE!</v>
      </c>
      <c r="AJ713" s="878" t="e">
        <f t="shared" si="645"/>
        <v>#VALUE!</v>
      </c>
      <c r="AK713" s="878" t="e">
        <f t="shared" si="646"/>
        <v>#VALUE!</v>
      </c>
      <c r="AL713" s="966" t="e">
        <f t="shared" si="647"/>
        <v>#VALUE!</v>
      </c>
      <c r="AM713" s="239"/>
      <c r="AO713" s="685">
        <f t="shared" si="672"/>
        <v>-2.4159182213603523</v>
      </c>
      <c r="AP713" s="276">
        <f t="shared" si="673"/>
        <v>-2.2686663724317566</v>
      </c>
      <c r="AQ713" s="276">
        <f t="shared" si="674"/>
        <v>-2.7736398092580394</v>
      </c>
      <c r="AR713" s="276">
        <f t="shared" si="675"/>
        <v>-1.2600551537633924</v>
      </c>
      <c r="AS713" s="276">
        <f t="shared" si="676"/>
        <v>1.4945075492076356</v>
      </c>
      <c r="AT713" s="276">
        <f t="shared" si="677"/>
        <v>-0.46591646104324091</v>
      </c>
      <c r="AU713" s="685">
        <f t="shared" si="678"/>
        <v>1.4937377289884208</v>
      </c>
      <c r="AV713" s="276">
        <f t="shared" si="679"/>
        <v>1.3787460686027815</v>
      </c>
      <c r="AW713" s="276">
        <f t="shared" si="680"/>
        <v>1.1249588743615047</v>
      </c>
      <c r="AX713" s="276">
        <f t="shared" si="681"/>
        <v>1.5330673340192937</v>
      </c>
      <c r="AY713" s="276">
        <f t="shared" si="682"/>
        <v>1.3440752446387381</v>
      </c>
      <c r="AZ713" s="686">
        <f t="shared" si="683"/>
        <v>2.4074298728126031</v>
      </c>
      <c r="BA713" s="685">
        <f t="shared" si="684"/>
        <v>0</v>
      </c>
      <c r="BB713" s="276">
        <f t="shared" si="685"/>
        <v>0</v>
      </c>
      <c r="BC713" s="276">
        <f t="shared" si="686"/>
        <v>0</v>
      </c>
      <c r="BD713" s="276">
        <f t="shared" si="687"/>
        <v>0</v>
      </c>
      <c r="BE713" s="276">
        <f t="shared" si="688"/>
        <v>0</v>
      </c>
      <c r="BF713" s="686">
        <f t="shared" si="689"/>
        <v>0</v>
      </c>
      <c r="BG713" s="685" t="e">
        <f t="shared" si="690"/>
        <v>#DIV/0!</v>
      </c>
      <c r="BH713" s="276" t="e">
        <f t="shared" si="691"/>
        <v>#DIV/0!</v>
      </c>
      <c r="BI713" s="276" t="e">
        <f t="shared" si="692"/>
        <v>#DIV/0!</v>
      </c>
      <c r="BJ713" s="276" t="e">
        <f t="shared" si="693"/>
        <v>#DIV/0!</v>
      </c>
      <c r="BK713" s="276" t="e">
        <f t="shared" si="694"/>
        <v>#DIV/0!</v>
      </c>
      <c r="BL713" s="686" t="e">
        <f t="shared" si="695"/>
        <v>#DIV/0!</v>
      </c>
      <c r="BM713" s="239"/>
      <c r="BN713" s="965" t="e">
        <f t="shared" si="696"/>
        <v>#VALUE!</v>
      </c>
      <c r="BO713" s="878" t="e">
        <f t="shared" si="697"/>
        <v>#VALUE!</v>
      </c>
      <c r="BP713" s="878" t="e">
        <f t="shared" si="698"/>
        <v>#VALUE!</v>
      </c>
      <c r="BQ713" s="878" t="e">
        <f t="shared" si="699"/>
        <v>#VALUE!</v>
      </c>
      <c r="BR713" s="878" t="e">
        <f t="shared" si="700"/>
        <v>#VALUE!</v>
      </c>
      <c r="BS713" s="966" t="e">
        <f t="shared" si="701"/>
        <v>#VALUE!</v>
      </c>
    </row>
    <row r="714" spans="1:71">
      <c r="A714" s="284">
        <f t="shared" si="702"/>
        <v>646</v>
      </c>
      <c r="B714" s="285">
        <v>3.0979799202347036</v>
      </c>
      <c r="C714" s="285">
        <v>2.4403080237155721</v>
      </c>
      <c r="D714" s="285">
        <v>3.3780720121438272</v>
      </c>
      <c r="E714" s="285">
        <v>-15.005135940547856</v>
      </c>
      <c r="H714" s="685">
        <f t="shared" si="648"/>
        <v>1.9647460784656487</v>
      </c>
      <c r="I714" s="276">
        <f t="shared" si="649"/>
        <v>0.56004252205048677</v>
      </c>
      <c r="J714" s="276">
        <f t="shared" si="650"/>
        <v>-3.3785206194398656</v>
      </c>
      <c r="K714" s="276">
        <f t="shared" si="651"/>
        <v>1.122470127841215</v>
      </c>
      <c r="L714" s="276">
        <f t="shared" si="652"/>
        <v>-1.5395995696757085</v>
      </c>
      <c r="M714" s="276">
        <f t="shared" si="653"/>
        <v>0.83012735510759716</v>
      </c>
      <c r="N714" s="685">
        <f t="shared" si="654"/>
        <v>1.2331368127437037</v>
      </c>
      <c r="O714" s="276">
        <f t="shared" si="655"/>
        <v>0.94321327748944062</v>
      </c>
      <c r="P714" s="276">
        <f t="shared" si="656"/>
        <v>1.0858187081360204</v>
      </c>
      <c r="Q714" s="276">
        <f t="shared" si="657"/>
        <v>1.4920089189114505</v>
      </c>
      <c r="R714" s="276">
        <f t="shared" si="658"/>
        <v>1.5529064632259695</v>
      </c>
      <c r="S714" s="686">
        <f t="shared" si="659"/>
        <v>1.100705101052563</v>
      </c>
      <c r="T714" s="685">
        <f t="shared" si="660"/>
        <v>6.6564357024147531</v>
      </c>
      <c r="U714" s="276">
        <f t="shared" si="661"/>
        <v>6.7323852718033077</v>
      </c>
      <c r="V714" s="276">
        <f t="shared" si="662"/>
        <v>6.0979509073423168</v>
      </c>
      <c r="W714" s="276">
        <f t="shared" si="663"/>
        <v>5.4784149062160452</v>
      </c>
      <c r="X714" s="276">
        <f t="shared" si="664"/>
        <v>3.0419317433007178</v>
      </c>
      <c r="Y714" s="686">
        <f t="shared" si="665"/>
        <v>6.1542996674898287</v>
      </c>
      <c r="Z714" s="685" t="e">
        <f t="shared" si="666"/>
        <v>#DIV/0!</v>
      </c>
      <c r="AA714" s="276" t="e">
        <f t="shared" si="667"/>
        <v>#DIV/0!</v>
      </c>
      <c r="AB714" s="276" t="e">
        <f t="shared" si="668"/>
        <v>#DIV/0!</v>
      </c>
      <c r="AC714" s="276" t="e">
        <f t="shared" si="669"/>
        <v>#DIV/0!</v>
      </c>
      <c r="AD714" s="276" t="e">
        <f t="shared" si="670"/>
        <v>#DIV/0!</v>
      </c>
      <c r="AE714" s="686" t="e">
        <f t="shared" si="671"/>
        <v>#DIV/0!</v>
      </c>
      <c r="AF714" s="239"/>
      <c r="AG714" s="965" t="e">
        <f t="shared" si="642"/>
        <v>#VALUE!</v>
      </c>
      <c r="AH714" s="878" t="e">
        <f t="shared" si="643"/>
        <v>#VALUE!</v>
      </c>
      <c r="AI714" s="878" t="e">
        <f t="shared" si="644"/>
        <v>#VALUE!</v>
      </c>
      <c r="AJ714" s="878" t="e">
        <f t="shared" si="645"/>
        <v>#VALUE!</v>
      </c>
      <c r="AK714" s="878" t="e">
        <f t="shared" si="646"/>
        <v>#VALUE!</v>
      </c>
      <c r="AL714" s="966" t="e">
        <f t="shared" si="647"/>
        <v>#VALUE!</v>
      </c>
      <c r="AM714" s="239"/>
      <c r="AO714" s="685">
        <f t="shared" si="672"/>
        <v>1.9647460784656487</v>
      </c>
      <c r="AP714" s="276">
        <f t="shared" si="673"/>
        <v>0.56004252205048677</v>
      </c>
      <c r="AQ714" s="276">
        <f t="shared" si="674"/>
        <v>-3.3785206194398656</v>
      </c>
      <c r="AR714" s="276">
        <f t="shared" si="675"/>
        <v>1.122470127841215</v>
      </c>
      <c r="AS714" s="276">
        <f t="shared" si="676"/>
        <v>-1.5395995696757085</v>
      </c>
      <c r="AT714" s="276">
        <f t="shared" si="677"/>
        <v>0.83012735510759716</v>
      </c>
      <c r="AU714" s="685">
        <f t="shared" si="678"/>
        <v>1.2331368127437037</v>
      </c>
      <c r="AV714" s="276">
        <f t="shared" si="679"/>
        <v>0.94321327748944062</v>
      </c>
      <c r="AW714" s="276">
        <f t="shared" si="680"/>
        <v>1.0858187081360204</v>
      </c>
      <c r="AX714" s="276">
        <f t="shared" si="681"/>
        <v>1.4920089189114505</v>
      </c>
      <c r="AY714" s="276">
        <f t="shared" si="682"/>
        <v>1.5529064632259695</v>
      </c>
      <c r="AZ714" s="686">
        <f t="shared" si="683"/>
        <v>1.100705101052563</v>
      </c>
      <c r="BA714" s="685">
        <f t="shared" si="684"/>
        <v>0</v>
      </c>
      <c r="BB714" s="276">
        <f t="shared" si="685"/>
        <v>0</v>
      </c>
      <c r="BC714" s="276">
        <f t="shared" si="686"/>
        <v>0</v>
      </c>
      <c r="BD714" s="276">
        <f t="shared" si="687"/>
        <v>0</v>
      </c>
      <c r="BE714" s="276">
        <f t="shared" si="688"/>
        <v>0</v>
      </c>
      <c r="BF714" s="686">
        <f t="shared" si="689"/>
        <v>0</v>
      </c>
      <c r="BG714" s="685" t="e">
        <f t="shared" si="690"/>
        <v>#DIV/0!</v>
      </c>
      <c r="BH714" s="276" t="e">
        <f t="shared" si="691"/>
        <v>#DIV/0!</v>
      </c>
      <c r="BI714" s="276" t="e">
        <f t="shared" si="692"/>
        <v>#DIV/0!</v>
      </c>
      <c r="BJ714" s="276" t="e">
        <f t="shared" si="693"/>
        <v>#DIV/0!</v>
      </c>
      <c r="BK714" s="276" t="e">
        <f t="shared" si="694"/>
        <v>#DIV/0!</v>
      </c>
      <c r="BL714" s="686" t="e">
        <f t="shared" si="695"/>
        <v>#DIV/0!</v>
      </c>
      <c r="BM714" s="239"/>
      <c r="BN714" s="965" t="e">
        <f t="shared" si="696"/>
        <v>#VALUE!</v>
      </c>
      <c r="BO714" s="878" t="e">
        <f t="shared" si="697"/>
        <v>#VALUE!</v>
      </c>
      <c r="BP714" s="878" t="e">
        <f t="shared" si="698"/>
        <v>#VALUE!</v>
      </c>
      <c r="BQ714" s="878" t="e">
        <f t="shared" si="699"/>
        <v>#VALUE!</v>
      </c>
      <c r="BR714" s="878" t="e">
        <f t="shared" si="700"/>
        <v>#VALUE!</v>
      </c>
      <c r="BS714" s="966" t="e">
        <f t="shared" si="701"/>
        <v>#VALUE!</v>
      </c>
    </row>
    <row r="715" spans="1:71">
      <c r="A715" s="284">
        <f t="shared" si="702"/>
        <v>647</v>
      </c>
      <c r="B715" s="285">
        <v>-2.2791317696428073</v>
      </c>
      <c r="C715" s="285">
        <v>2.4933315829952472</v>
      </c>
      <c r="D715" s="285">
        <v>-0.64400978015685162</v>
      </c>
      <c r="E715" s="285">
        <v>-1.9339910509672196</v>
      </c>
      <c r="H715" s="685">
        <f t="shared" si="648"/>
        <v>-3.4123656114118619</v>
      </c>
      <c r="I715" s="276">
        <f t="shared" si="649"/>
        <v>-2.6818864582416775</v>
      </c>
      <c r="J715" s="276">
        <f t="shared" si="650"/>
        <v>0.31686215497424297</v>
      </c>
      <c r="K715" s="276">
        <f t="shared" si="651"/>
        <v>-5.430225136751659</v>
      </c>
      <c r="L715" s="276">
        <f t="shared" si="652"/>
        <v>0.23988830577954179</v>
      </c>
      <c r="M715" s="276">
        <f t="shared" si="653"/>
        <v>0.16315986436730512</v>
      </c>
      <c r="N715" s="685">
        <f t="shared" si="654"/>
        <v>1.2861603720233787</v>
      </c>
      <c r="O715" s="276">
        <f t="shared" si="655"/>
        <v>1.4611261513886118</v>
      </c>
      <c r="P715" s="276">
        <f t="shared" si="656"/>
        <v>1.5727182955098755</v>
      </c>
      <c r="Q715" s="276">
        <f t="shared" si="657"/>
        <v>0.27803821708706589</v>
      </c>
      <c r="R715" s="276">
        <f t="shared" si="658"/>
        <v>1.0950325308905164</v>
      </c>
      <c r="S715" s="686">
        <f t="shared" si="659"/>
        <v>2.1886288428312231</v>
      </c>
      <c r="T715" s="685">
        <f t="shared" si="660"/>
        <v>2.6343539101140743</v>
      </c>
      <c r="U715" s="276">
        <f t="shared" si="661"/>
        <v>6.4543435762028114</v>
      </c>
      <c r="V715" s="276">
        <f t="shared" si="662"/>
        <v>2.8827443959418386</v>
      </c>
      <c r="W715" s="276">
        <f t="shared" si="663"/>
        <v>6.9671128725645204</v>
      </c>
      <c r="X715" s="276">
        <f t="shared" si="664"/>
        <v>6.3355599166201433</v>
      </c>
      <c r="Y715" s="686">
        <f t="shared" si="665"/>
        <v>5.151472472671049</v>
      </c>
      <c r="Z715" s="685" t="e">
        <f t="shared" si="666"/>
        <v>#DIV/0!</v>
      </c>
      <c r="AA715" s="276" t="e">
        <f t="shared" si="667"/>
        <v>#DIV/0!</v>
      </c>
      <c r="AB715" s="276" t="e">
        <f t="shared" si="668"/>
        <v>#DIV/0!</v>
      </c>
      <c r="AC715" s="276" t="e">
        <f t="shared" si="669"/>
        <v>#DIV/0!</v>
      </c>
      <c r="AD715" s="276" t="e">
        <f t="shared" si="670"/>
        <v>#DIV/0!</v>
      </c>
      <c r="AE715" s="686" t="e">
        <f t="shared" si="671"/>
        <v>#DIV/0!</v>
      </c>
      <c r="AF715" s="239"/>
      <c r="AG715" s="965" t="e">
        <f t="shared" si="642"/>
        <v>#VALUE!</v>
      </c>
      <c r="AH715" s="878" t="e">
        <f t="shared" si="643"/>
        <v>#VALUE!</v>
      </c>
      <c r="AI715" s="878" t="e">
        <f t="shared" si="644"/>
        <v>#VALUE!</v>
      </c>
      <c r="AJ715" s="878" t="e">
        <f t="shared" si="645"/>
        <v>#VALUE!</v>
      </c>
      <c r="AK715" s="878" t="e">
        <f t="shared" si="646"/>
        <v>#VALUE!</v>
      </c>
      <c r="AL715" s="966" t="e">
        <f t="shared" si="647"/>
        <v>#VALUE!</v>
      </c>
      <c r="AM715" s="239"/>
      <c r="AO715" s="685">
        <f t="shared" si="672"/>
        <v>-3.4123656114118619</v>
      </c>
      <c r="AP715" s="276">
        <f t="shared" si="673"/>
        <v>-2.6818864582416775</v>
      </c>
      <c r="AQ715" s="276">
        <f t="shared" si="674"/>
        <v>0.31686215497424297</v>
      </c>
      <c r="AR715" s="276">
        <f t="shared" si="675"/>
        <v>-5.430225136751659</v>
      </c>
      <c r="AS715" s="276">
        <f t="shared" si="676"/>
        <v>0.23988830577954179</v>
      </c>
      <c r="AT715" s="276">
        <f t="shared" si="677"/>
        <v>0.16315986436730512</v>
      </c>
      <c r="AU715" s="685">
        <f t="shared" si="678"/>
        <v>1.2861603720233787</v>
      </c>
      <c r="AV715" s="276">
        <f t="shared" si="679"/>
        <v>1.4611261513886118</v>
      </c>
      <c r="AW715" s="276">
        <f t="shared" si="680"/>
        <v>1.5727182955098755</v>
      </c>
      <c r="AX715" s="276">
        <f t="shared" si="681"/>
        <v>0.27803821708706589</v>
      </c>
      <c r="AY715" s="276">
        <f t="shared" si="682"/>
        <v>1.0950325308905164</v>
      </c>
      <c r="AZ715" s="686">
        <f t="shared" si="683"/>
        <v>2.1886288428312231</v>
      </c>
      <c r="BA715" s="685">
        <f t="shared" si="684"/>
        <v>0</v>
      </c>
      <c r="BB715" s="276">
        <f t="shared" si="685"/>
        <v>0</v>
      </c>
      <c r="BC715" s="276">
        <f t="shared" si="686"/>
        <v>0</v>
      </c>
      <c r="BD715" s="276">
        <f t="shared" si="687"/>
        <v>0</v>
      </c>
      <c r="BE715" s="276">
        <f t="shared" si="688"/>
        <v>0</v>
      </c>
      <c r="BF715" s="686">
        <f t="shared" si="689"/>
        <v>0</v>
      </c>
      <c r="BG715" s="685" t="e">
        <f t="shared" si="690"/>
        <v>#DIV/0!</v>
      </c>
      <c r="BH715" s="276" t="e">
        <f t="shared" si="691"/>
        <v>#DIV/0!</v>
      </c>
      <c r="BI715" s="276" t="e">
        <f t="shared" si="692"/>
        <v>#DIV/0!</v>
      </c>
      <c r="BJ715" s="276" t="e">
        <f t="shared" si="693"/>
        <v>#DIV/0!</v>
      </c>
      <c r="BK715" s="276" t="e">
        <f t="shared" si="694"/>
        <v>#DIV/0!</v>
      </c>
      <c r="BL715" s="686" t="e">
        <f t="shared" si="695"/>
        <v>#DIV/0!</v>
      </c>
      <c r="BM715" s="239"/>
      <c r="BN715" s="965" t="e">
        <f t="shared" si="696"/>
        <v>#VALUE!</v>
      </c>
      <c r="BO715" s="878" t="e">
        <f t="shared" si="697"/>
        <v>#VALUE!</v>
      </c>
      <c r="BP715" s="878" t="e">
        <f t="shared" si="698"/>
        <v>#VALUE!</v>
      </c>
      <c r="BQ715" s="878" t="e">
        <f t="shared" si="699"/>
        <v>#VALUE!</v>
      </c>
      <c r="BR715" s="878" t="e">
        <f t="shared" si="700"/>
        <v>#VALUE!</v>
      </c>
      <c r="BS715" s="966" t="e">
        <f t="shared" si="701"/>
        <v>#VALUE!</v>
      </c>
    </row>
    <row r="716" spans="1:71">
      <c r="A716" s="284">
        <f t="shared" si="702"/>
        <v>648</v>
      </c>
      <c r="B716" s="285">
        <v>0.12877983929242343</v>
      </c>
      <c r="C716" s="285">
        <v>2.2993888883650162</v>
      </c>
      <c r="D716" s="285">
        <v>1.3424528379287344</v>
      </c>
      <c r="E716" s="285">
        <v>-7.7630080677492188</v>
      </c>
      <c r="H716" s="685">
        <f t="shared" si="648"/>
        <v>-1.0044540024766313</v>
      </c>
      <c r="I716" s="276">
        <f t="shared" si="649"/>
        <v>-5.1949266030143644</v>
      </c>
      <c r="J716" s="276">
        <f t="shared" si="650"/>
        <v>1.0076575807834598</v>
      </c>
      <c r="K716" s="276">
        <f t="shared" si="651"/>
        <v>0.79420173353796475</v>
      </c>
      <c r="L716" s="276">
        <f t="shared" si="652"/>
        <v>0.36026867054598388</v>
      </c>
      <c r="M716" s="276">
        <f t="shared" si="653"/>
        <v>-1.7484329749718919E-2</v>
      </c>
      <c r="N716" s="685">
        <f t="shared" si="654"/>
        <v>1.0922176773931478</v>
      </c>
      <c r="O716" s="276">
        <f t="shared" si="655"/>
        <v>0.10574109185379332</v>
      </c>
      <c r="P716" s="276">
        <f t="shared" si="656"/>
        <v>1.221950859402295</v>
      </c>
      <c r="Q716" s="276">
        <f t="shared" si="657"/>
        <v>1.8510163462459832</v>
      </c>
      <c r="R716" s="276">
        <f t="shared" si="658"/>
        <v>1.579998235477176</v>
      </c>
      <c r="S716" s="686">
        <f t="shared" si="659"/>
        <v>1.4174174018691506</v>
      </c>
      <c r="T716" s="685">
        <f t="shared" si="660"/>
        <v>4.6208165281996605</v>
      </c>
      <c r="U716" s="276">
        <f t="shared" si="661"/>
        <v>4.6204348093966949</v>
      </c>
      <c r="V716" s="276">
        <f t="shared" si="662"/>
        <v>5.2020171976529213</v>
      </c>
      <c r="W716" s="276">
        <f t="shared" si="663"/>
        <v>3.2175035739821478</v>
      </c>
      <c r="X716" s="276">
        <f t="shared" si="664"/>
        <v>4.7800604576867727</v>
      </c>
      <c r="Y716" s="686">
        <f t="shared" si="665"/>
        <v>4.6861159121683205</v>
      </c>
      <c r="Z716" s="685" t="e">
        <f t="shared" si="666"/>
        <v>#DIV/0!</v>
      </c>
      <c r="AA716" s="276" t="e">
        <f t="shared" si="667"/>
        <v>#DIV/0!</v>
      </c>
      <c r="AB716" s="276" t="e">
        <f t="shared" si="668"/>
        <v>#DIV/0!</v>
      </c>
      <c r="AC716" s="276" t="e">
        <f t="shared" si="669"/>
        <v>#DIV/0!</v>
      </c>
      <c r="AD716" s="276" t="e">
        <f t="shared" si="670"/>
        <v>#DIV/0!</v>
      </c>
      <c r="AE716" s="686" t="e">
        <f t="shared" si="671"/>
        <v>#DIV/0!</v>
      </c>
      <c r="AF716" s="239"/>
      <c r="AG716" s="965" t="e">
        <f t="shared" si="642"/>
        <v>#VALUE!</v>
      </c>
      <c r="AH716" s="878" t="e">
        <f t="shared" si="643"/>
        <v>#VALUE!</v>
      </c>
      <c r="AI716" s="878" t="e">
        <f t="shared" si="644"/>
        <v>#VALUE!</v>
      </c>
      <c r="AJ716" s="878" t="e">
        <f t="shared" si="645"/>
        <v>#VALUE!</v>
      </c>
      <c r="AK716" s="878" t="e">
        <f t="shared" si="646"/>
        <v>#VALUE!</v>
      </c>
      <c r="AL716" s="966" t="e">
        <f t="shared" si="647"/>
        <v>#VALUE!</v>
      </c>
      <c r="AM716" s="239"/>
      <c r="AO716" s="685">
        <f t="shared" si="672"/>
        <v>-1.0044540024766313</v>
      </c>
      <c r="AP716" s="276">
        <f t="shared" si="673"/>
        <v>-5.1949266030143644</v>
      </c>
      <c r="AQ716" s="276">
        <f t="shared" si="674"/>
        <v>1.0076575807834598</v>
      </c>
      <c r="AR716" s="276">
        <f t="shared" si="675"/>
        <v>0.79420173353796475</v>
      </c>
      <c r="AS716" s="276">
        <f t="shared" si="676"/>
        <v>0.36026867054598388</v>
      </c>
      <c r="AT716" s="276">
        <f t="shared" si="677"/>
        <v>-1.7484329749718919E-2</v>
      </c>
      <c r="AU716" s="685">
        <f t="shared" si="678"/>
        <v>1.0922176773931478</v>
      </c>
      <c r="AV716" s="276">
        <f t="shared" si="679"/>
        <v>0.10574109185379332</v>
      </c>
      <c r="AW716" s="276">
        <f t="shared" si="680"/>
        <v>1.221950859402295</v>
      </c>
      <c r="AX716" s="276">
        <f t="shared" si="681"/>
        <v>1.8510163462459832</v>
      </c>
      <c r="AY716" s="276">
        <f t="shared" si="682"/>
        <v>1.579998235477176</v>
      </c>
      <c r="AZ716" s="686">
        <f t="shared" si="683"/>
        <v>1.4174174018691506</v>
      </c>
      <c r="BA716" s="685">
        <f t="shared" si="684"/>
        <v>0</v>
      </c>
      <c r="BB716" s="276">
        <f t="shared" si="685"/>
        <v>0</v>
      </c>
      <c r="BC716" s="276">
        <f t="shared" si="686"/>
        <v>0</v>
      </c>
      <c r="BD716" s="276">
        <f t="shared" si="687"/>
        <v>0</v>
      </c>
      <c r="BE716" s="276">
        <f t="shared" si="688"/>
        <v>0</v>
      </c>
      <c r="BF716" s="686">
        <f t="shared" si="689"/>
        <v>0</v>
      </c>
      <c r="BG716" s="685" t="e">
        <f t="shared" si="690"/>
        <v>#DIV/0!</v>
      </c>
      <c r="BH716" s="276" t="e">
        <f t="shared" si="691"/>
        <v>#DIV/0!</v>
      </c>
      <c r="BI716" s="276" t="e">
        <f t="shared" si="692"/>
        <v>#DIV/0!</v>
      </c>
      <c r="BJ716" s="276" t="e">
        <f t="shared" si="693"/>
        <v>#DIV/0!</v>
      </c>
      <c r="BK716" s="276" t="e">
        <f t="shared" si="694"/>
        <v>#DIV/0!</v>
      </c>
      <c r="BL716" s="686" t="e">
        <f t="shared" si="695"/>
        <v>#DIV/0!</v>
      </c>
      <c r="BM716" s="239"/>
      <c r="BN716" s="965" t="e">
        <f t="shared" si="696"/>
        <v>#VALUE!</v>
      </c>
      <c r="BO716" s="878" t="e">
        <f t="shared" si="697"/>
        <v>#VALUE!</v>
      </c>
      <c r="BP716" s="878" t="e">
        <f t="shared" si="698"/>
        <v>#VALUE!</v>
      </c>
      <c r="BQ716" s="878" t="e">
        <f t="shared" si="699"/>
        <v>#VALUE!</v>
      </c>
      <c r="BR716" s="878" t="e">
        <f t="shared" si="700"/>
        <v>#VALUE!</v>
      </c>
      <c r="BS716" s="966" t="e">
        <f t="shared" si="701"/>
        <v>#VALUE!</v>
      </c>
    </row>
    <row r="717" spans="1:71">
      <c r="A717" s="284">
        <f t="shared" si="702"/>
        <v>649</v>
      </c>
      <c r="B717" s="285">
        <v>5.0929640047678753</v>
      </c>
      <c r="C717" s="285">
        <v>3.1358302547617702</v>
      </c>
      <c r="D717" s="285">
        <v>0.92956178282875879</v>
      </c>
      <c r="E717" s="285">
        <v>-1.0120752361352787</v>
      </c>
      <c r="H717" s="685">
        <f t="shared" si="648"/>
        <v>3.9597301629988202</v>
      </c>
      <c r="I717" s="276">
        <f t="shared" si="649"/>
        <v>-6.8854884216407903</v>
      </c>
      <c r="J717" s="276">
        <f t="shared" si="650"/>
        <v>3.2506962074700576</v>
      </c>
      <c r="K717" s="276">
        <f t="shared" si="651"/>
        <v>-3.5186157699104577</v>
      </c>
      <c r="L717" s="276">
        <f t="shared" si="652"/>
        <v>-3.0847115393340312</v>
      </c>
      <c r="M717" s="276">
        <f t="shared" si="653"/>
        <v>-4.506224399320339</v>
      </c>
      <c r="N717" s="685">
        <f t="shared" si="654"/>
        <v>1.9286590437899018</v>
      </c>
      <c r="O717" s="276">
        <f t="shared" si="655"/>
        <v>0.95601580716677703</v>
      </c>
      <c r="P717" s="276">
        <f t="shared" si="656"/>
        <v>0.89249454513263182</v>
      </c>
      <c r="Q717" s="276">
        <f t="shared" si="657"/>
        <v>0.59254708340195328</v>
      </c>
      <c r="R717" s="276">
        <f t="shared" si="658"/>
        <v>0.90153441388351019</v>
      </c>
      <c r="S717" s="686">
        <f t="shared" si="659"/>
        <v>1.0719390248064962</v>
      </c>
      <c r="T717" s="685">
        <f t="shared" si="660"/>
        <v>4.2079254730996851</v>
      </c>
      <c r="U717" s="276">
        <f t="shared" si="661"/>
        <v>3.2280279282050599</v>
      </c>
      <c r="V717" s="276">
        <f t="shared" si="662"/>
        <v>4.1687899591067428</v>
      </c>
      <c r="W717" s="276">
        <f t="shared" si="663"/>
        <v>3.8426952283013058</v>
      </c>
      <c r="X717" s="276">
        <f t="shared" si="664"/>
        <v>4.6696427790543895</v>
      </c>
      <c r="Y717" s="686">
        <f t="shared" si="665"/>
        <v>3.1786561983749868</v>
      </c>
      <c r="Z717" s="685" t="e">
        <f t="shared" si="666"/>
        <v>#DIV/0!</v>
      </c>
      <c r="AA717" s="276" t="e">
        <f t="shared" si="667"/>
        <v>#DIV/0!</v>
      </c>
      <c r="AB717" s="276" t="e">
        <f t="shared" si="668"/>
        <v>#DIV/0!</v>
      </c>
      <c r="AC717" s="276" t="e">
        <f t="shared" si="669"/>
        <v>#DIV/0!</v>
      </c>
      <c r="AD717" s="276" t="e">
        <f t="shared" si="670"/>
        <v>#DIV/0!</v>
      </c>
      <c r="AE717" s="686" t="e">
        <f t="shared" si="671"/>
        <v>#DIV/0!</v>
      </c>
      <c r="AF717" s="239"/>
      <c r="AG717" s="965" t="e">
        <f t="shared" si="642"/>
        <v>#VALUE!</v>
      </c>
      <c r="AH717" s="878" t="e">
        <f t="shared" si="643"/>
        <v>#VALUE!</v>
      </c>
      <c r="AI717" s="878" t="e">
        <f t="shared" si="644"/>
        <v>#VALUE!</v>
      </c>
      <c r="AJ717" s="878" t="e">
        <f t="shared" si="645"/>
        <v>#VALUE!</v>
      </c>
      <c r="AK717" s="878" t="e">
        <f t="shared" si="646"/>
        <v>#VALUE!</v>
      </c>
      <c r="AL717" s="966" t="e">
        <f t="shared" si="647"/>
        <v>#VALUE!</v>
      </c>
      <c r="AM717" s="239"/>
      <c r="AO717" s="685">
        <f t="shared" si="672"/>
        <v>3.9597301629988202</v>
      </c>
      <c r="AP717" s="276">
        <f t="shared" si="673"/>
        <v>-6.8854884216407903</v>
      </c>
      <c r="AQ717" s="276">
        <f t="shared" si="674"/>
        <v>3.2506962074700576</v>
      </c>
      <c r="AR717" s="276">
        <f t="shared" si="675"/>
        <v>-3.5186157699104577</v>
      </c>
      <c r="AS717" s="276">
        <f t="shared" si="676"/>
        <v>-3.0847115393340312</v>
      </c>
      <c r="AT717" s="276">
        <f t="shared" si="677"/>
        <v>-4.506224399320339</v>
      </c>
      <c r="AU717" s="685">
        <f t="shared" si="678"/>
        <v>1.9286590437899018</v>
      </c>
      <c r="AV717" s="276">
        <f t="shared" si="679"/>
        <v>0.95601580716677703</v>
      </c>
      <c r="AW717" s="276">
        <f t="shared" si="680"/>
        <v>0.89249454513263182</v>
      </c>
      <c r="AX717" s="276">
        <f t="shared" si="681"/>
        <v>0.59254708340195328</v>
      </c>
      <c r="AY717" s="276">
        <f t="shared" si="682"/>
        <v>0.90153441388351019</v>
      </c>
      <c r="AZ717" s="686">
        <f t="shared" si="683"/>
        <v>1.0719390248064962</v>
      </c>
      <c r="BA717" s="685">
        <f t="shared" si="684"/>
        <v>0</v>
      </c>
      <c r="BB717" s="276">
        <f t="shared" si="685"/>
        <v>0</v>
      </c>
      <c r="BC717" s="276">
        <f t="shared" si="686"/>
        <v>0</v>
      </c>
      <c r="BD717" s="276">
        <f t="shared" si="687"/>
        <v>0</v>
      </c>
      <c r="BE717" s="276">
        <f t="shared" si="688"/>
        <v>0</v>
      </c>
      <c r="BF717" s="686">
        <f t="shared" si="689"/>
        <v>0</v>
      </c>
      <c r="BG717" s="685" t="e">
        <f t="shared" si="690"/>
        <v>#DIV/0!</v>
      </c>
      <c r="BH717" s="276" t="e">
        <f t="shared" si="691"/>
        <v>#DIV/0!</v>
      </c>
      <c r="BI717" s="276" t="e">
        <f t="shared" si="692"/>
        <v>#DIV/0!</v>
      </c>
      <c r="BJ717" s="276" t="e">
        <f t="shared" si="693"/>
        <v>#DIV/0!</v>
      </c>
      <c r="BK717" s="276" t="e">
        <f t="shared" si="694"/>
        <v>#DIV/0!</v>
      </c>
      <c r="BL717" s="686" t="e">
        <f t="shared" si="695"/>
        <v>#DIV/0!</v>
      </c>
      <c r="BM717" s="239"/>
      <c r="BN717" s="965" t="e">
        <f t="shared" si="696"/>
        <v>#VALUE!</v>
      </c>
      <c r="BO717" s="878" t="e">
        <f t="shared" si="697"/>
        <v>#VALUE!</v>
      </c>
      <c r="BP717" s="878" t="e">
        <f t="shared" si="698"/>
        <v>#VALUE!</v>
      </c>
      <c r="BQ717" s="878" t="e">
        <f t="shared" si="699"/>
        <v>#VALUE!</v>
      </c>
      <c r="BR717" s="878" t="e">
        <f t="shared" si="700"/>
        <v>#VALUE!</v>
      </c>
      <c r="BS717" s="966" t="e">
        <f t="shared" si="701"/>
        <v>#VALUE!</v>
      </c>
    </row>
    <row r="718" spans="1:71">
      <c r="A718" s="284">
        <f t="shared" si="702"/>
        <v>650</v>
      </c>
      <c r="B718" s="285">
        <v>-1.6006848950455748</v>
      </c>
      <c r="C718" s="285">
        <v>2.45600256975453</v>
      </c>
      <c r="D718" s="285">
        <v>0.80910020971651475</v>
      </c>
      <c r="E718" s="285">
        <v>8.7080479031627078E-2</v>
      </c>
      <c r="H718" s="685">
        <f t="shared" si="648"/>
        <v>-2.7339187368146298</v>
      </c>
      <c r="I718" s="276">
        <f t="shared" si="649"/>
        <v>-1.1431222598958144</v>
      </c>
      <c r="J718" s="276">
        <f t="shared" si="650"/>
        <v>-1.273618674108868</v>
      </c>
      <c r="K718" s="276">
        <f t="shared" si="651"/>
        <v>1.6964592114978598</v>
      </c>
      <c r="L718" s="276">
        <f t="shared" si="652"/>
        <v>-0.66947318253251731</v>
      </c>
      <c r="M718" s="276">
        <f t="shared" si="653"/>
        <v>-2.4315528147538625</v>
      </c>
      <c r="N718" s="685">
        <f t="shared" si="654"/>
        <v>1.2488313587826616</v>
      </c>
      <c r="O718" s="276">
        <f t="shared" si="655"/>
        <v>1.2378554191302682</v>
      </c>
      <c r="P718" s="276">
        <f t="shared" si="656"/>
        <v>2.1890322076886264</v>
      </c>
      <c r="Q718" s="276">
        <f t="shared" si="657"/>
        <v>1.8350895416361988</v>
      </c>
      <c r="R718" s="276">
        <f t="shared" si="658"/>
        <v>1.2001514645420015</v>
      </c>
      <c r="S718" s="686">
        <f t="shared" si="659"/>
        <v>0.83254858828216638</v>
      </c>
      <c r="T718" s="685">
        <f t="shared" si="660"/>
        <v>4.0874638999874406</v>
      </c>
      <c r="U718" s="276">
        <f t="shared" si="661"/>
        <v>5.7721444029299978</v>
      </c>
      <c r="V718" s="276">
        <f t="shared" si="662"/>
        <v>4.4372256289615777</v>
      </c>
      <c r="W718" s="276">
        <f t="shared" si="663"/>
        <v>3.2050804662263244</v>
      </c>
      <c r="X718" s="276">
        <f t="shared" si="664"/>
        <v>4.3046729161721862</v>
      </c>
      <c r="Y718" s="686">
        <f t="shared" si="665"/>
        <v>4.8214370849265125</v>
      </c>
      <c r="Z718" s="685" t="e">
        <f t="shared" si="666"/>
        <v>#DIV/0!</v>
      </c>
      <c r="AA718" s="276" t="e">
        <f t="shared" si="667"/>
        <v>#DIV/0!</v>
      </c>
      <c r="AB718" s="276" t="e">
        <f t="shared" si="668"/>
        <v>#DIV/0!</v>
      </c>
      <c r="AC718" s="276" t="e">
        <f t="shared" si="669"/>
        <v>#DIV/0!</v>
      </c>
      <c r="AD718" s="276" t="e">
        <f t="shared" si="670"/>
        <v>#DIV/0!</v>
      </c>
      <c r="AE718" s="686" t="e">
        <f t="shared" si="671"/>
        <v>#DIV/0!</v>
      </c>
      <c r="AF718" s="239"/>
      <c r="AG718" s="965" t="e">
        <f t="shared" si="642"/>
        <v>#VALUE!</v>
      </c>
      <c r="AH718" s="878" t="e">
        <f t="shared" si="643"/>
        <v>#VALUE!</v>
      </c>
      <c r="AI718" s="878" t="e">
        <f t="shared" si="644"/>
        <v>#VALUE!</v>
      </c>
      <c r="AJ718" s="878" t="e">
        <f t="shared" si="645"/>
        <v>#VALUE!</v>
      </c>
      <c r="AK718" s="878" t="e">
        <f t="shared" si="646"/>
        <v>#VALUE!</v>
      </c>
      <c r="AL718" s="966" t="e">
        <f t="shared" si="647"/>
        <v>#VALUE!</v>
      </c>
      <c r="AM718" s="239"/>
      <c r="AO718" s="685">
        <f t="shared" si="672"/>
        <v>-2.7339187368146298</v>
      </c>
      <c r="AP718" s="276">
        <f t="shared" si="673"/>
        <v>-1.1431222598958144</v>
      </c>
      <c r="AQ718" s="276">
        <f t="shared" si="674"/>
        <v>-1.273618674108868</v>
      </c>
      <c r="AR718" s="276">
        <f t="shared" si="675"/>
        <v>1.6964592114978598</v>
      </c>
      <c r="AS718" s="276">
        <f t="shared" si="676"/>
        <v>-0.66947318253251731</v>
      </c>
      <c r="AT718" s="276">
        <f t="shared" si="677"/>
        <v>-2.4315528147538625</v>
      </c>
      <c r="AU718" s="685">
        <f t="shared" si="678"/>
        <v>1.2488313587826616</v>
      </c>
      <c r="AV718" s="276">
        <f t="shared" si="679"/>
        <v>1.2378554191302682</v>
      </c>
      <c r="AW718" s="276">
        <f t="shared" si="680"/>
        <v>2.1890322076886264</v>
      </c>
      <c r="AX718" s="276">
        <f t="shared" si="681"/>
        <v>1.8350895416361988</v>
      </c>
      <c r="AY718" s="276">
        <f t="shared" si="682"/>
        <v>1.2001514645420015</v>
      </c>
      <c r="AZ718" s="686">
        <f t="shared" si="683"/>
        <v>0.83254858828216638</v>
      </c>
      <c r="BA718" s="685">
        <f t="shared" si="684"/>
        <v>0</v>
      </c>
      <c r="BB718" s="276">
        <f t="shared" si="685"/>
        <v>0</v>
      </c>
      <c r="BC718" s="276">
        <f t="shared" si="686"/>
        <v>0</v>
      </c>
      <c r="BD718" s="276">
        <f t="shared" si="687"/>
        <v>0</v>
      </c>
      <c r="BE718" s="276">
        <f t="shared" si="688"/>
        <v>0</v>
      </c>
      <c r="BF718" s="686">
        <f t="shared" si="689"/>
        <v>0</v>
      </c>
      <c r="BG718" s="685" t="e">
        <f t="shared" si="690"/>
        <v>#DIV/0!</v>
      </c>
      <c r="BH718" s="276" t="e">
        <f t="shared" si="691"/>
        <v>#DIV/0!</v>
      </c>
      <c r="BI718" s="276" t="e">
        <f t="shared" si="692"/>
        <v>#DIV/0!</v>
      </c>
      <c r="BJ718" s="276" t="e">
        <f t="shared" si="693"/>
        <v>#DIV/0!</v>
      </c>
      <c r="BK718" s="276" t="e">
        <f t="shared" si="694"/>
        <v>#DIV/0!</v>
      </c>
      <c r="BL718" s="686" t="e">
        <f t="shared" si="695"/>
        <v>#DIV/0!</v>
      </c>
      <c r="BM718" s="239"/>
      <c r="BN718" s="965" t="e">
        <f t="shared" si="696"/>
        <v>#VALUE!</v>
      </c>
      <c r="BO718" s="878" t="e">
        <f t="shared" si="697"/>
        <v>#VALUE!</v>
      </c>
      <c r="BP718" s="878" t="e">
        <f t="shared" si="698"/>
        <v>#VALUE!</v>
      </c>
      <c r="BQ718" s="878" t="e">
        <f t="shared" si="699"/>
        <v>#VALUE!</v>
      </c>
      <c r="BR718" s="878" t="e">
        <f t="shared" si="700"/>
        <v>#VALUE!</v>
      </c>
      <c r="BS718" s="966" t="e">
        <f t="shared" si="701"/>
        <v>#VALUE!</v>
      </c>
    </row>
    <row r="719" spans="1:71">
      <c r="A719" s="284">
        <f t="shared" si="702"/>
        <v>651</v>
      </c>
      <c r="B719" s="285">
        <v>-1.4274306344907444</v>
      </c>
      <c r="C719" s="285">
        <v>2.7246786684492088</v>
      </c>
      <c r="D719" s="285">
        <v>-0.18223199721443928</v>
      </c>
      <c r="E719" s="285">
        <v>7.4739317845619411</v>
      </c>
      <c r="H719" s="685">
        <f t="shared" si="648"/>
        <v>-2.5606644762597992</v>
      </c>
      <c r="I719" s="276">
        <f t="shared" si="649"/>
        <v>0.54576010424928856</v>
      </c>
      <c r="J719" s="276">
        <f t="shared" si="650"/>
        <v>0.21854870754677869</v>
      </c>
      <c r="K719" s="276">
        <f t="shared" si="651"/>
        <v>-2.5433323801273184</v>
      </c>
      <c r="L719" s="276">
        <f t="shared" si="652"/>
        <v>0.34416479247459608</v>
      </c>
      <c r="M719" s="276">
        <f t="shared" si="653"/>
        <v>-1.146120939933744</v>
      </c>
      <c r="N719" s="685">
        <f t="shared" si="654"/>
        <v>1.5175074574773404</v>
      </c>
      <c r="O719" s="276">
        <f t="shared" si="655"/>
        <v>0.99196895268250018</v>
      </c>
      <c r="P719" s="276">
        <f t="shared" si="656"/>
        <v>0.79076503975277324</v>
      </c>
      <c r="Q719" s="276">
        <f t="shared" si="657"/>
        <v>1.1219923573073676</v>
      </c>
      <c r="R719" s="276">
        <f t="shared" si="658"/>
        <v>1.2522948322285117</v>
      </c>
      <c r="S719" s="686">
        <f t="shared" si="659"/>
        <v>1.5216972660171277</v>
      </c>
      <c r="T719" s="685">
        <f t="shared" si="660"/>
        <v>3.0961316930564866</v>
      </c>
      <c r="U719" s="276">
        <f t="shared" si="661"/>
        <v>5.4499705246718406</v>
      </c>
      <c r="V719" s="276">
        <f t="shared" si="662"/>
        <v>6.447889097096752</v>
      </c>
      <c r="W719" s="276">
        <f t="shared" si="663"/>
        <v>4.1912567505886287</v>
      </c>
      <c r="X719" s="276">
        <f t="shared" si="664"/>
        <v>4.487564210330639</v>
      </c>
      <c r="Y719" s="686">
        <f t="shared" si="665"/>
        <v>3.4710436716029691</v>
      </c>
      <c r="Z719" s="685" t="e">
        <f t="shared" si="666"/>
        <v>#DIV/0!</v>
      </c>
      <c r="AA719" s="276" t="e">
        <f t="shared" si="667"/>
        <v>#DIV/0!</v>
      </c>
      <c r="AB719" s="276" t="e">
        <f t="shared" si="668"/>
        <v>#DIV/0!</v>
      </c>
      <c r="AC719" s="276" t="e">
        <f t="shared" si="669"/>
        <v>#DIV/0!</v>
      </c>
      <c r="AD719" s="276" t="e">
        <f t="shared" si="670"/>
        <v>#DIV/0!</v>
      </c>
      <c r="AE719" s="686" t="e">
        <f t="shared" si="671"/>
        <v>#DIV/0!</v>
      </c>
      <c r="AF719" s="239"/>
      <c r="AG719" s="965" t="e">
        <f t="shared" si="642"/>
        <v>#VALUE!</v>
      </c>
      <c r="AH719" s="878" t="e">
        <f t="shared" si="643"/>
        <v>#VALUE!</v>
      </c>
      <c r="AI719" s="878" t="e">
        <f t="shared" si="644"/>
        <v>#VALUE!</v>
      </c>
      <c r="AJ719" s="878" t="e">
        <f t="shared" si="645"/>
        <v>#VALUE!</v>
      </c>
      <c r="AK719" s="878" t="e">
        <f t="shared" si="646"/>
        <v>#VALUE!</v>
      </c>
      <c r="AL719" s="966" t="e">
        <f t="shared" si="647"/>
        <v>#VALUE!</v>
      </c>
      <c r="AM719" s="239"/>
      <c r="AO719" s="685">
        <f t="shared" si="672"/>
        <v>-2.5606644762597992</v>
      </c>
      <c r="AP719" s="276">
        <f t="shared" si="673"/>
        <v>0.54576010424928856</v>
      </c>
      <c r="AQ719" s="276">
        <f t="shared" si="674"/>
        <v>0.21854870754677869</v>
      </c>
      <c r="AR719" s="276">
        <f t="shared" si="675"/>
        <v>-2.5433323801273184</v>
      </c>
      <c r="AS719" s="276">
        <f t="shared" si="676"/>
        <v>0.34416479247459608</v>
      </c>
      <c r="AT719" s="276">
        <f t="shared" si="677"/>
        <v>-1.146120939933744</v>
      </c>
      <c r="AU719" s="685">
        <f t="shared" si="678"/>
        <v>1.5175074574773404</v>
      </c>
      <c r="AV719" s="276">
        <f t="shared" si="679"/>
        <v>0.99196895268250018</v>
      </c>
      <c r="AW719" s="276">
        <f t="shared" si="680"/>
        <v>0.79076503975277324</v>
      </c>
      <c r="AX719" s="276">
        <f t="shared" si="681"/>
        <v>1.1219923573073676</v>
      </c>
      <c r="AY719" s="276">
        <f t="shared" si="682"/>
        <v>1.2522948322285117</v>
      </c>
      <c r="AZ719" s="686">
        <f t="shared" si="683"/>
        <v>1.5216972660171277</v>
      </c>
      <c r="BA719" s="685">
        <f t="shared" si="684"/>
        <v>0</v>
      </c>
      <c r="BB719" s="276">
        <f t="shared" si="685"/>
        <v>0</v>
      </c>
      <c r="BC719" s="276">
        <f t="shared" si="686"/>
        <v>0</v>
      </c>
      <c r="BD719" s="276">
        <f t="shared" si="687"/>
        <v>0</v>
      </c>
      <c r="BE719" s="276">
        <f t="shared" si="688"/>
        <v>0</v>
      </c>
      <c r="BF719" s="686">
        <f t="shared" si="689"/>
        <v>0</v>
      </c>
      <c r="BG719" s="685" t="e">
        <f t="shared" si="690"/>
        <v>#DIV/0!</v>
      </c>
      <c r="BH719" s="276" t="e">
        <f t="shared" si="691"/>
        <v>#DIV/0!</v>
      </c>
      <c r="BI719" s="276" t="e">
        <f t="shared" si="692"/>
        <v>#DIV/0!</v>
      </c>
      <c r="BJ719" s="276" t="e">
        <f t="shared" si="693"/>
        <v>#DIV/0!</v>
      </c>
      <c r="BK719" s="276" t="e">
        <f t="shared" si="694"/>
        <v>#DIV/0!</v>
      </c>
      <c r="BL719" s="686" t="e">
        <f t="shared" si="695"/>
        <v>#DIV/0!</v>
      </c>
      <c r="BM719" s="239"/>
      <c r="BN719" s="965" t="e">
        <f t="shared" si="696"/>
        <v>#VALUE!</v>
      </c>
      <c r="BO719" s="878" t="e">
        <f t="shared" si="697"/>
        <v>#VALUE!</v>
      </c>
      <c r="BP719" s="878" t="e">
        <f t="shared" si="698"/>
        <v>#VALUE!</v>
      </c>
      <c r="BQ719" s="878" t="e">
        <f t="shared" si="699"/>
        <v>#VALUE!</v>
      </c>
      <c r="BR719" s="878" t="e">
        <f t="shared" si="700"/>
        <v>#VALUE!</v>
      </c>
      <c r="BS719" s="966" t="e">
        <f t="shared" si="701"/>
        <v>#VALUE!</v>
      </c>
    </row>
    <row r="720" spans="1:71">
      <c r="A720" s="284">
        <f t="shared" si="702"/>
        <v>652</v>
      </c>
      <c r="B720" s="285">
        <v>-3.2890979360910517</v>
      </c>
      <c r="C720" s="285">
        <v>1.9711069807877073</v>
      </c>
      <c r="D720" s="285">
        <v>0.49620562649228073</v>
      </c>
      <c r="E720" s="285">
        <v>-8.337571167172948</v>
      </c>
      <c r="H720" s="685">
        <f t="shared" si="648"/>
        <v>-4.4223317778601068</v>
      </c>
      <c r="I720" s="276">
        <f t="shared" si="649"/>
        <v>0.56240837064589688</v>
      </c>
      <c r="J720" s="276">
        <f t="shared" si="650"/>
        <v>-7.9684091305714633E-2</v>
      </c>
      <c r="K720" s="276">
        <f t="shared" si="651"/>
        <v>-0.45203552621612841</v>
      </c>
      <c r="L720" s="276">
        <f t="shared" si="652"/>
        <v>-0.12246252068939989</v>
      </c>
      <c r="M720" s="276">
        <f t="shared" si="653"/>
        <v>-2.1334373845981336</v>
      </c>
      <c r="N720" s="685">
        <f t="shared" si="654"/>
        <v>0.76393576981583888</v>
      </c>
      <c r="O720" s="276">
        <f t="shared" si="655"/>
        <v>1.9401721942790882</v>
      </c>
      <c r="P720" s="276">
        <f t="shared" si="656"/>
        <v>1.2884191388387551</v>
      </c>
      <c r="Q720" s="276">
        <f t="shared" si="657"/>
        <v>0.73826451892266443</v>
      </c>
      <c r="R720" s="276">
        <f t="shared" si="658"/>
        <v>1.6740760469349449</v>
      </c>
      <c r="S720" s="686">
        <f t="shared" si="659"/>
        <v>1.0179025661581169</v>
      </c>
      <c r="T720" s="685">
        <f t="shared" si="660"/>
        <v>3.7745693167632064</v>
      </c>
      <c r="U720" s="276">
        <f t="shared" si="661"/>
        <v>5.7233153680038997</v>
      </c>
      <c r="V720" s="276">
        <f t="shared" si="662"/>
        <v>4.5254906288815633</v>
      </c>
      <c r="W720" s="276">
        <f t="shared" si="663"/>
        <v>3.6947406045505895</v>
      </c>
      <c r="X720" s="276">
        <f t="shared" si="664"/>
        <v>3.2168439561909854</v>
      </c>
      <c r="Y720" s="686">
        <f t="shared" si="665"/>
        <v>4.91543828911208</v>
      </c>
      <c r="Z720" s="685" t="e">
        <f t="shared" si="666"/>
        <v>#DIV/0!</v>
      </c>
      <c r="AA720" s="276" t="e">
        <f t="shared" si="667"/>
        <v>#DIV/0!</v>
      </c>
      <c r="AB720" s="276" t="e">
        <f t="shared" si="668"/>
        <v>#DIV/0!</v>
      </c>
      <c r="AC720" s="276" t="e">
        <f t="shared" si="669"/>
        <v>#DIV/0!</v>
      </c>
      <c r="AD720" s="276" t="e">
        <f t="shared" si="670"/>
        <v>#DIV/0!</v>
      </c>
      <c r="AE720" s="686" t="e">
        <f t="shared" si="671"/>
        <v>#DIV/0!</v>
      </c>
      <c r="AF720" s="239"/>
      <c r="AG720" s="965" t="e">
        <f t="shared" si="642"/>
        <v>#VALUE!</v>
      </c>
      <c r="AH720" s="878" t="e">
        <f t="shared" si="643"/>
        <v>#VALUE!</v>
      </c>
      <c r="AI720" s="878" t="e">
        <f t="shared" si="644"/>
        <v>#VALUE!</v>
      </c>
      <c r="AJ720" s="878" t="e">
        <f t="shared" si="645"/>
        <v>#VALUE!</v>
      </c>
      <c r="AK720" s="878" t="e">
        <f t="shared" si="646"/>
        <v>#VALUE!</v>
      </c>
      <c r="AL720" s="966" t="e">
        <f t="shared" si="647"/>
        <v>#VALUE!</v>
      </c>
      <c r="AM720" s="239"/>
      <c r="AO720" s="685">
        <f t="shared" si="672"/>
        <v>-4.4223317778601068</v>
      </c>
      <c r="AP720" s="276">
        <f t="shared" si="673"/>
        <v>0.56240837064589688</v>
      </c>
      <c r="AQ720" s="276">
        <f t="shared" si="674"/>
        <v>-7.9684091305714633E-2</v>
      </c>
      <c r="AR720" s="276">
        <f t="shared" si="675"/>
        <v>-0.45203552621612841</v>
      </c>
      <c r="AS720" s="276">
        <f t="shared" si="676"/>
        <v>-0.12246252068939989</v>
      </c>
      <c r="AT720" s="276">
        <f t="shared" si="677"/>
        <v>-2.1334373845981336</v>
      </c>
      <c r="AU720" s="685">
        <f t="shared" si="678"/>
        <v>0.76393576981583888</v>
      </c>
      <c r="AV720" s="276">
        <f t="shared" si="679"/>
        <v>1.9401721942790882</v>
      </c>
      <c r="AW720" s="276">
        <f t="shared" si="680"/>
        <v>1.2884191388387551</v>
      </c>
      <c r="AX720" s="276">
        <f t="shared" si="681"/>
        <v>0.73826451892266443</v>
      </c>
      <c r="AY720" s="276">
        <f t="shared" si="682"/>
        <v>1.6740760469349449</v>
      </c>
      <c r="AZ720" s="686">
        <f t="shared" si="683"/>
        <v>1.0179025661581169</v>
      </c>
      <c r="BA720" s="685">
        <f t="shared" si="684"/>
        <v>0</v>
      </c>
      <c r="BB720" s="276">
        <f t="shared" si="685"/>
        <v>0</v>
      </c>
      <c r="BC720" s="276">
        <f t="shared" si="686"/>
        <v>0</v>
      </c>
      <c r="BD720" s="276">
        <f t="shared" si="687"/>
        <v>0</v>
      </c>
      <c r="BE720" s="276">
        <f t="shared" si="688"/>
        <v>0</v>
      </c>
      <c r="BF720" s="686">
        <f t="shared" si="689"/>
        <v>0</v>
      </c>
      <c r="BG720" s="685" t="e">
        <f t="shared" si="690"/>
        <v>#DIV/0!</v>
      </c>
      <c r="BH720" s="276" t="e">
        <f t="shared" si="691"/>
        <v>#DIV/0!</v>
      </c>
      <c r="BI720" s="276" t="e">
        <f t="shared" si="692"/>
        <v>#DIV/0!</v>
      </c>
      <c r="BJ720" s="276" t="e">
        <f t="shared" si="693"/>
        <v>#DIV/0!</v>
      </c>
      <c r="BK720" s="276" t="e">
        <f t="shared" si="694"/>
        <v>#DIV/0!</v>
      </c>
      <c r="BL720" s="686" t="e">
        <f t="shared" si="695"/>
        <v>#DIV/0!</v>
      </c>
      <c r="BM720" s="239"/>
      <c r="BN720" s="965" t="e">
        <f t="shared" si="696"/>
        <v>#VALUE!</v>
      </c>
      <c r="BO720" s="878" t="e">
        <f t="shared" si="697"/>
        <v>#VALUE!</v>
      </c>
      <c r="BP720" s="878" t="e">
        <f t="shared" si="698"/>
        <v>#VALUE!</v>
      </c>
      <c r="BQ720" s="878" t="e">
        <f t="shared" si="699"/>
        <v>#VALUE!</v>
      </c>
      <c r="BR720" s="878" t="e">
        <f t="shared" si="700"/>
        <v>#VALUE!</v>
      </c>
      <c r="BS720" s="966" t="e">
        <f t="shared" si="701"/>
        <v>#VALUE!</v>
      </c>
    </row>
    <row r="721" spans="1:71">
      <c r="A721" s="284">
        <f t="shared" si="702"/>
        <v>653</v>
      </c>
      <c r="B721" s="285">
        <v>1.5765451916669979</v>
      </c>
      <c r="C721" s="285">
        <v>2.5997874469815963</v>
      </c>
      <c r="D721" s="285">
        <v>0.66994497226547933</v>
      </c>
      <c r="E721" s="285">
        <v>2.2016945868683035</v>
      </c>
      <c r="H721" s="685">
        <f t="shared" si="648"/>
        <v>0.44331134989794307</v>
      </c>
      <c r="I721" s="276">
        <f t="shared" si="649"/>
        <v>2.2234510452907186</v>
      </c>
      <c r="J721" s="276">
        <f t="shared" si="650"/>
        <v>-2.6634633435027526</v>
      </c>
      <c r="K721" s="276">
        <f t="shared" si="651"/>
        <v>-1.0003070044795697</v>
      </c>
      <c r="L721" s="276">
        <f t="shared" si="652"/>
        <v>-6.9331527783825599</v>
      </c>
      <c r="M721" s="276">
        <f t="shared" si="653"/>
        <v>-0.825492459946638</v>
      </c>
      <c r="N721" s="685">
        <f t="shared" si="654"/>
        <v>1.3926162360097278</v>
      </c>
      <c r="O721" s="276">
        <f t="shared" si="655"/>
        <v>1.9359821749535235</v>
      </c>
      <c r="P721" s="276">
        <f t="shared" si="656"/>
        <v>0.99267584961804078</v>
      </c>
      <c r="Q721" s="276">
        <f t="shared" si="657"/>
        <v>1.0455135421532822</v>
      </c>
      <c r="R721" s="276">
        <f t="shared" si="658"/>
        <v>0.99984384773967228</v>
      </c>
      <c r="S721" s="686">
        <f t="shared" si="659"/>
        <v>1.0439998899720797</v>
      </c>
      <c r="T721" s="685">
        <f t="shared" si="660"/>
        <v>3.9483086625364052</v>
      </c>
      <c r="U721" s="276">
        <f t="shared" si="661"/>
        <v>6.6835538508753345</v>
      </c>
      <c r="V721" s="276">
        <f t="shared" si="662"/>
        <v>2.9135360174949256</v>
      </c>
      <c r="W721" s="276">
        <f t="shared" si="663"/>
        <v>5.4931512743731652</v>
      </c>
      <c r="X721" s="276">
        <f t="shared" si="664"/>
        <v>3.7591638283596898</v>
      </c>
      <c r="Y721" s="686">
        <f t="shared" si="665"/>
        <v>5.3886047910449175</v>
      </c>
      <c r="Z721" s="685" t="e">
        <f t="shared" si="666"/>
        <v>#DIV/0!</v>
      </c>
      <c r="AA721" s="276" t="e">
        <f t="shared" si="667"/>
        <v>#DIV/0!</v>
      </c>
      <c r="AB721" s="276" t="e">
        <f t="shared" si="668"/>
        <v>#DIV/0!</v>
      </c>
      <c r="AC721" s="276" t="e">
        <f t="shared" si="669"/>
        <v>#DIV/0!</v>
      </c>
      <c r="AD721" s="276" t="e">
        <f t="shared" si="670"/>
        <v>#DIV/0!</v>
      </c>
      <c r="AE721" s="686" t="e">
        <f t="shared" si="671"/>
        <v>#DIV/0!</v>
      </c>
      <c r="AF721" s="239"/>
      <c r="AG721" s="965" t="e">
        <f t="shared" si="642"/>
        <v>#VALUE!</v>
      </c>
      <c r="AH721" s="878" t="e">
        <f t="shared" si="643"/>
        <v>#VALUE!</v>
      </c>
      <c r="AI721" s="878" t="e">
        <f t="shared" si="644"/>
        <v>#VALUE!</v>
      </c>
      <c r="AJ721" s="878" t="e">
        <f t="shared" si="645"/>
        <v>#VALUE!</v>
      </c>
      <c r="AK721" s="878" t="e">
        <f t="shared" si="646"/>
        <v>#VALUE!</v>
      </c>
      <c r="AL721" s="966" t="e">
        <f t="shared" si="647"/>
        <v>#VALUE!</v>
      </c>
      <c r="AM721" s="239"/>
      <c r="AO721" s="685">
        <f t="shared" si="672"/>
        <v>0.44331134989794307</v>
      </c>
      <c r="AP721" s="276">
        <f t="shared" si="673"/>
        <v>2.2234510452907186</v>
      </c>
      <c r="AQ721" s="276">
        <f t="shared" si="674"/>
        <v>-2.6634633435027526</v>
      </c>
      <c r="AR721" s="276">
        <f t="shared" si="675"/>
        <v>-1.0003070044795697</v>
      </c>
      <c r="AS721" s="276">
        <f t="shared" si="676"/>
        <v>-6.9331527783825599</v>
      </c>
      <c r="AT721" s="276">
        <f t="shared" si="677"/>
        <v>-0.825492459946638</v>
      </c>
      <c r="AU721" s="685">
        <f t="shared" si="678"/>
        <v>1.3926162360097278</v>
      </c>
      <c r="AV721" s="276">
        <f t="shared" si="679"/>
        <v>1.9359821749535235</v>
      </c>
      <c r="AW721" s="276">
        <f t="shared" si="680"/>
        <v>0.99267584961804078</v>
      </c>
      <c r="AX721" s="276">
        <f t="shared" si="681"/>
        <v>1.0455135421532822</v>
      </c>
      <c r="AY721" s="276">
        <f t="shared" si="682"/>
        <v>0.99984384773967228</v>
      </c>
      <c r="AZ721" s="686">
        <f t="shared" si="683"/>
        <v>1.0439998899720797</v>
      </c>
      <c r="BA721" s="685">
        <f t="shared" si="684"/>
        <v>0</v>
      </c>
      <c r="BB721" s="276">
        <f t="shared" si="685"/>
        <v>0</v>
      </c>
      <c r="BC721" s="276">
        <f t="shared" si="686"/>
        <v>0</v>
      </c>
      <c r="BD721" s="276">
        <f t="shared" si="687"/>
        <v>0</v>
      </c>
      <c r="BE721" s="276">
        <f t="shared" si="688"/>
        <v>0</v>
      </c>
      <c r="BF721" s="686">
        <f t="shared" si="689"/>
        <v>0</v>
      </c>
      <c r="BG721" s="685" t="e">
        <f t="shared" si="690"/>
        <v>#DIV/0!</v>
      </c>
      <c r="BH721" s="276" t="e">
        <f t="shared" si="691"/>
        <v>#DIV/0!</v>
      </c>
      <c r="BI721" s="276" t="e">
        <f t="shared" si="692"/>
        <v>#DIV/0!</v>
      </c>
      <c r="BJ721" s="276" t="e">
        <f t="shared" si="693"/>
        <v>#DIV/0!</v>
      </c>
      <c r="BK721" s="276" t="e">
        <f t="shared" si="694"/>
        <v>#DIV/0!</v>
      </c>
      <c r="BL721" s="686" t="e">
        <f t="shared" si="695"/>
        <v>#DIV/0!</v>
      </c>
      <c r="BM721" s="239"/>
      <c r="BN721" s="965" t="e">
        <f t="shared" si="696"/>
        <v>#VALUE!</v>
      </c>
      <c r="BO721" s="878" t="e">
        <f t="shared" si="697"/>
        <v>#VALUE!</v>
      </c>
      <c r="BP721" s="878" t="e">
        <f t="shared" si="698"/>
        <v>#VALUE!</v>
      </c>
      <c r="BQ721" s="878" t="e">
        <f t="shared" si="699"/>
        <v>#VALUE!</v>
      </c>
      <c r="BR721" s="878" t="e">
        <f t="shared" si="700"/>
        <v>#VALUE!</v>
      </c>
      <c r="BS721" s="966" t="e">
        <f t="shared" si="701"/>
        <v>#VALUE!</v>
      </c>
    </row>
    <row r="722" spans="1:71">
      <c r="A722" s="284">
        <f t="shared" si="702"/>
        <v>654</v>
      </c>
      <c r="B722" s="285">
        <v>-2.7024534118663688</v>
      </c>
      <c r="C722" s="285">
        <v>2.9325124594984056</v>
      </c>
      <c r="D722" s="285">
        <v>-1.7254000249560728</v>
      </c>
      <c r="E722" s="285">
        <v>12.819046478998356</v>
      </c>
      <c r="H722" s="685">
        <f t="shared" si="648"/>
        <v>-3.8356872536354238</v>
      </c>
      <c r="I722" s="276">
        <f t="shared" si="649"/>
        <v>1.1783572456612867</v>
      </c>
      <c r="J722" s="276">
        <f t="shared" si="650"/>
        <v>0.40324546825601137</v>
      </c>
      <c r="K722" s="276">
        <f t="shared" si="651"/>
        <v>-6.888688978362139</v>
      </c>
      <c r="L722" s="276">
        <f t="shared" si="652"/>
        <v>-2.0593655930397325</v>
      </c>
      <c r="M722" s="276">
        <f t="shared" si="653"/>
        <v>-3.4229698780732409</v>
      </c>
      <c r="N722" s="685">
        <f t="shared" si="654"/>
        <v>1.7253412485265371</v>
      </c>
      <c r="O722" s="276">
        <f t="shared" si="655"/>
        <v>1.3821651825888466</v>
      </c>
      <c r="P722" s="276">
        <f t="shared" si="656"/>
        <v>1.7046293495216827</v>
      </c>
      <c r="Q722" s="276">
        <f t="shared" si="657"/>
        <v>0.53453069442635104</v>
      </c>
      <c r="R722" s="276">
        <f t="shared" si="658"/>
        <v>0.63320959408347233</v>
      </c>
      <c r="S722" s="686">
        <f t="shared" si="659"/>
        <v>1.0550078713032816</v>
      </c>
      <c r="T722" s="685">
        <f t="shared" si="660"/>
        <v>1.5529636653148531</v>
      </c>
      <c r="U722" s="276">
        <f t="shared" si="661"/>
        <v>5.8667356026499071</v>
      </c>
      <c r="V722" s="276">
        <f t="shared" si="662"/>
        <v>6.3690421519595164</v>
      </c>
      <c r="W722" s="276">
        <f t="shared" si="663"/>
        <v>2.4574078550329856</v>
      </c>
      <c r="X722" s="276">
        <f t="shared" si="664"/>
        <v>3.9641610522110535</v>
      </c>
      <c r="Y722" s="686">
        <f t="shared" si="665"/>
        <v>5.2205095306644829</v>
      </c>
      <c r="Z722" s="685" t="e">
        <f t="shared" si="666"/>
        <v>#DIV/0!</v>
      </c>
      <c r="AA722" s="276" t="e">
        <f t="shared" si="667"/>
        <v>#DIV/0!</v>
      </c>
      <c r="AB722" s="276" t="e">
        <f t="shared" si="668"/>
        <v>#DIV/0!</v>
      </c>
      <c r="AC722" s="276" t="e">
        <f t="shared" si="669"/>
        <v>#DIV/0!</v>
      </c>
      <c r="AD722" s="276" t="e">
        <f t="shared" si="670"/>
        <v>#DIV/0!</v>
      </c>
      <c r="AE722" s="686" t="e">
        <f t="shared" si="671"/>
        <v>#DIV/0!</v>
      </c>
      <c r="AF722" s="239"/>
      <c r="AG722" s="965" t="e">
        <f t="shared" si="642"/>
        <v>#VALUE!</v>
      </c>
      <c r="AH722" s="878" t="e">
        <f t="shared" si="643"/>
        <v>#VALUE!</v>
      </c>
      <c r="AI722" s="878" t="e">
        <f t="shared" si="644"/>
        <v>#VALUE!</v>
      </c>
      <c r="AJ722" s="878" t="e">
        <f t="shared" si="645"/>
        <v>#VALUE!</v>
      </c>
      <c r="AK722" s="878" t="e">
        <f t="shared" si="646"/>
        <v>#VALUE!</v>
      </c>
      <c r="AL722" s="966" t="e">
        <f t="shared" si="647"/>
        <v>#VALUE!</v>
      </c>
      <c r="AM722" s="239"/>
      <c r="AO722" s="685">
        <f t="shared" si="672"/>
        <v>-3.8356872536354238</v>
      </c>
      <c r="AP722" s="276">
        <f t="shared" si="673"/>
        <v>1.1783572456612867</v>
      </c>
      <c r="AQ722" s="276">
        <f t="shared" si="674"/>
        <v>0.40324546825601137</v>
      </c>
      <c r="AR722" s="276">
        <f t="shared" si="675"/>
        <v>-6.888688978362139</v>
      </c>
      <c r="AS722" s="276">
        <f t="shared" si="676"/>
        <v>-2.0593655930397325</v>
      </c>
      <c r="AT722" s="276">
        <f t="shared" si="677"/>
        <v>-3.4229698780732409</v>
      </c>
      <c r="AU722" s="685">
        <f t="shared" si="678"/>
        <v>1.7253412485265371</v>
      </c>
      <c r="AV722" s="276">
        <f t="shared" si="679"/>
        <v>1.3821651825888466</v>
      </c>
      <c r="AW722" s="276">
        <f t="shared" si="680"/>
        <v>1.7046293495216827</v>
      </c>
      <c r="AX722" s="276">
        <f t="shared" si="681"/>
        <v>0.53453069442635104</v>
      </c>
      <c r="AY722" s="276">
        <f t="shared" si="682"/>
        <v>0.63320959408347233</v>
      </c>
      <c r="AZ722" s="686">
        <f t="shared" si="683"/>
        <v>1.0550078713032816</v>
      </c>
      <c r="BA722" s="685">
        <f t="shared" si="684"/>
        <v>0</v>
      </c>
      <c r="BB722" s="276">
        <f t="shared" si="685"/>
        <v>0</v>
      </c>
      <c r="BC722" s="276">
        <f t="shared" si="686"/>
        <v>0</v>
      </c>
      <c r="BD722" s="276">
        <f t="shared" si="687"/>
        <v>0</v>
      </c>
      <c r="BE722" s="276">
        <f t="shared" si="688"/>
        <v>0</v>
      </c>
      <c r="BF722" s="686">
        <f t="shared" si="689"/>
        <v>0</v>
      </c>
      <c r="BG722" s="685" t="e">
        <f t="shared" si="690"/>
        <v>#DIV/0!</v>
      </c>
      <c r="BH722" s="276" t="e">
        <f t="shared" si="691"/>
        <v>#DIV/0!</v>
      </c>
      <c r="BI722" s="276" t="e">
        <f t="shared" si="692"/>
        <v>#DIV/0!</v>
      </c>
      <c r="BJ722" s="276" t="e">
        <f t="shared" si="693"/>
        <v>#DIV/0!</v>
      </c>
      <c r="BK722" s="276" t="e">
        <f t="shared" si="694"/>
        <v>#DIV/0!</v>
      </c>
      <c r="BL722" s="686" t="e">
        <f t="shared" si="695"/>
        <v>#DIV/0!</v>
      </c>
      <c r="BM722" s="239"/>
      <c r="BN722" s="965" t="e">
        <f t="shared" si="696"/>
        <v>#VALUE!</v>
      </c>
      <c r="BO722" s="878" t="e">
        <f t="shared" si="697"/>
        <v>#VALUE!</v>
      </c>
      <c r="BP722" s="878" t="e">
        <f t="shared" si="698"/>
        <v>#VALUE!</v>
      </c>
      <c r="BQ722" s="878" t="e">
        <f t="shared" si="699"/>
        <v>#VALUE!</v>
      </c>
      <c r="BR722" s="878" t="e">
        <f t="shared" si="700"/>
        <v>#VALUE!</v>
      </c>
      <c r="BS722" s="966" t="e">
        <f t="shared" si="701"/>
        <v>#VALUE!</v>
      </c>
    </row>
    <row r="723" spans="1:71">
      <c r="A723" s="284">
        <f t="shared" si="702"/>
        <v>655</v>
      </c>
      <c r="B723" s="285">
        <v>-2.908640794221574</v>
      </c>
      <c r="C723" s="285">
        <v>1.4535792299085859</v>
      </c>
      <c r="D723" s="285">
        <v>1.2366478592592889</v>
      </c>
      <c r="E723" s="285">
        <v>-29.002856018251475</v>
      </c>
      <c r="H723" s="685">
        <f t="shared" si="648"/>
        <v>-4.041874635990629</v>
      </c>
      <c r="I723" s="276">
        <f t="shared" si="649"/>
        <v>-0.60909327086326848</v>
      </c>
      <c r="J723" s="276">
        <f t="shared" si="650"/>
        <v>-4.2328851227888942</v>
      </c>
      <c r="K723" s="276">
        <f t="shared" si="651"/>
        <v>-6.0937020656391265</v>
      </c>
      <c r="L723" s="276">
        <f t="shared" si="652"/>
        <v>0.56144687781398961</v>
      </c>
      <c r="M723" s="276">
        <f t="shared" si="653"/>
        <v>-3.474450698991312</v>
      </c>
      <c r="N723" s="685">
        <f t="shared" si="654"/>
        <v>0.24640801893671749</v>
      </c>
      <c r="O723" s="276">
        <f t="shared" si="655"/>
        <v>1.4706995906872533</v>
      </c>
      <c r="P723" s="276">
        <f t="shared" si="656"/>
        <v>1.1455333706354069</v>
      </c>
      <c r="Q723" s="276">
        <f t="shared" si="657"/>
        <v>-6.197489481122731E-2</v>
      </c>
      <c r="R723" s="276">
        <f t="shared" si="658"/>
        <v>1.6757704519607344</v>
      </c>
      <c r="S723" s="686">
        <f t="shared" si="659"/>
        <v>0.81200825938924992</v>
      </c>
      <c r="T723" s="685">
        <f t="shared" si="660"/>
        <v>4.5150115495302146</v>
      </c>
      <c r="U723" s="276">
        <f t="shared" si="661"/>
        <v>5.0440060026935845</v>
      </c>
      <c r="V723" s="276">
        <f t="shared" si="662"/>
        <v>4.6193096153970679</v>
      </c>
      <c r="W723" s="276">
        <f t="shared" si="663"/>
        <v>3.858744903288386</v>
      </c>
      <c r="X723" s="276">
        <f t="shared" si="664"/>
        <v>3.5457027654388646</v>
      </c>
      <c r="Y723" s="686">
        <f t="shared" si="665"/>
        <v>3.2328515542146823</v>
      </c>
      <c r="Z723" s="685" t="e">
        <f t="shared" si="666"/>
        <v>#DIV/0!</v>
      </c>
      <c r="AA723" s="276" t="e">
        <f t="shared" si="667"/>
        <v>#DIV/0!</v>
      </c>
      <c r="AB723" s="276" t="e">
        <f t="shared" si="668"/>
        <v>#DIV/0!</v>
      </c>
      <c r="AC723" s="276" t="e">
        <f t="shared" si="669"/>
        <v>#DIV/0!</v>
      </c>
      <c r="AD723" s="276" t="e">
        <f t="shared" si="670"/>
        <v>#DIV/0!</v>
      </c>
      <c r="AE723" s="686" t="e">
        <f t="shared" si="671"/>
        <v>#DIV/0!</v>
      </c>
      <c r="AF723" s="239"/>
      <c r="AG723" s="965" t="e">
        <f t="shared" si="642"/>
        <v>#VALUE!</v>
      </c>
      <c r="AH723" s="878" t="e">
        <f t="shared" si="643"/>
        <v>#VALUE!</v>
      </c>
      <c r="AI723" s="878" t="e">
        <f t="shared" si="644"/>
        <v>#VALUE!</v>
      </c>
      <c r="AJ723" s="878" t="e">
        <f t="shared" si="645"/>
        <v>#VALUE!</v>
      </c>
      <c r="AK723" s="878" t="e">
        <f t="shared" si="646"/>
        <v>#VALUE!</v>
      </c>
      <c r="AL723" s="966" t="e">
        <f t="shared" si="647"/>
        <v>#VALUE!</v>
      </c>
      <c r="AM723" s="239"/>
      <c r="AO723" s="685">
        <f t="shared" si="672"/>
        <v>-4.041874635990629</v>
      </c>
      <c r="AP723" s="276">
        <f t="shared" si="673"/>
        <v>-0.60909327086326848</v>
      </c>
      <c r="AQ723" s="276">
        <f t="shared" si="674"/>
        <v>-4.2328851227888942</v>
      </c>
      <c r="AR723" s="276">
        <f t="shared" si="675"/>
        <v>-6.0937020656391265</v>
      </c>
      <c r="AS723" s="276">
        <f t="shared" si="676"/>
        <v>0.56144687781398961</v>
      </c>
      <c r="AT723" s="276">
        <f t="shared" si="677"/>
        <v>-3.474450698991312</v>
      </c>
      <c r="AU723" s="685">
        <f t="shared" si="678"/>
        <v>0.24640801893671749</v>
      </c>
      <c r="AV723" s="276">
        <f t="shared" si="679"/>
        <v>1.4706995906872533</v>
      </c>
      <c r="AW723" s="276">
        <f t="shared" si="680"/>
        <v>1.1455333706354069</v>
      </c>
      <c r="AX723" s="276">
        <f t="shared" si="681"/>
        <v>-6.197489481122731E-2</v>
      </c>
      <c r="AY723" s="276">
        <f t="shared" si="682"/>
        <v>1.6757704519607344</v>
      </c>
      <c r="AZ723" s="686">
        <f t="shared" si="683"/>
        <v>0.81200825938924992</v>
      </c>
      <c r="BA723" s="685">
        <f t="shared" si="684"/>
        <v>0</v>
      </c>
      <c r="BB723" s="276">
        <f t="shared" si="685"/>
        <v>0</v>
      </c>
      <c r="BC723" s="276">
        <f t="shared" si="686"/>
        <v>0</v>
      </c>
      <c r="BD723" s="276">
        <f t="shared" si="687"/>
        <v>0</v>
      </c>
      <c r="BE723" s="276">
        <f t="shared" si="688"/>
        <v>0</v>
      </c>
      <c r="BF723" s="686">
        <f t="shared" si="689"/>
        <v>0</v>
      </c>
      <c r="BG723" s="685" t="e">
        <f t="shared" si="690"/>
        <v>#DIV/0!</v>
      </c>
      <c r="BH723" s="276" t="e">
        <f t="shared" si="691"/>
        <v>#DIV/0!</v>
      </c>
      <c r="BI723" s="276" t="e">
        <f t="shared" si="692"/>
        <v>#DIV/0!</v>
      </c>
      <c r="BJ723" s="276" t="e">
        <f t="shared" si="693"/>
        <v>#DIV/0!</v>
      </c>
      <c r="BK723" s="276" t="e">
        <f t="shared" si="694"/>
        <v>#DIV/0!</v>
      </c>
      <c r="BL723" s="686" t="e">
        <f t="shared" si="695"/>
        <v>#DIV/0!</v>
      </c>
      <c r="BM723" s="239"/>
      <c r="BN723" s="965" t="e">
        <f t="shared" si="696"/>
        <v>#VALUE!</v>
      </c>
      <c r="BO723" s="878" t="e">
        <f t="shared" si="697"/>
        <v>#VALUE!</v>
      </c>
      <c r="BP723" s="878" t="e">
        <f t="shared" si="698"/>
        <v>#VALUE!</v>
      </c>
      <c r="BQ723" s="878" t="e">
        <f t="shared" si="699"/>
        <v>#VALUE!</v>
      </c>
      <c r="BR723" s="878" t="e">
        <f t="shared" si="700"/>
        <v>#VALUE!</v>
      </c>
      <c r="BS723" s="966" t="e">
        <f t="shared" si="701"/>
        <v>#VALUE!</v>
      </c>
    </row>
    <row r="724" spans="1:71">
      <c r="A724" s="284">
        <f t="shared" si="702"/>
        <v>656</v>
      </c>
      <c r="B724" s="285">
        <v>-1.7398621190825827</v>
      </c>
      <c r="C724" s="285">
        <v>2.7350993502204139</v>
      </c>
      <c r="D724" s="285">
        <v>0.59050953997551447</v>
      </c>
      <c r="E724" s="285">
        <v>8.866393368919379</v>
      </c>
      <c r="H724" s="685">
        <f t="shared" si="648"/>
        <v>-2.8730959608516375</v>
      </c>
      <c r="I724" s="276">
        <f t="shared" si="649"/>
        <v>-1.5967634097616292</v>
      </c>
      <c r="J724" s="276">
        <f t="shared" si="650"/>
        <v>-4.8575503079026747</v>
      </c>
      <c r="K724" s="276">
        <f t="shared" si="651"/>
        <v>-1.6940117034213786</v>
      </c>
      <c r="L724" s="276">
        <f t="shared" si="652"/>
        <v>-2.6687122037957423</v>
      </c>
      <c r="M724" s="276">
        <f t="shared" si="653"/>
        <v>-1.9129922179091374</v>
      </c>
      <c r="N724" s="685">
        <f t="shared" si="654"/>
        <v>1.5279281392485455</v>
      </c>
      <c r="O724" s="276">
        <f t="shared" si="655"/>
        <v>1.3090363064544548</v>
      </c>
      <c r="P724" s="276">
        <f t="shared" si="656"/>
        <v>1.1395220418413119</v>
      </c>
      <c r="Q724" s="276">
        <f t="shared" si="657"/>
        <v>1.4915024743358714</v>
      </c>
      <c r="R724" s="276">
        <f t="shared" si="658"/>
        <v>0.93010527512933661</v>
      </c>
      <c r="S724" s="686">
        <f t="shared" si="659"/>
        <v>1.9995848185438343</v>
      </c>
      <c r="T724" s="685">
        <f t="shared" si="660"/>
        <v>3.8688732302464404</v>
      </c>
      <c r="U724" s="276">
        <f t="shared" si="661"/>
        <v>4.6536700732262659</v>
      </c>
      <c r="V724" s="276">
        <f t="shared" si="662"/>
        <v>6.0070191260401842</v>
      </c>
      <c r="W724" s="276">
        <f t="shared" si="663"/>
        <v>4.9983702976831168</v>
      </c>
      <c r="X724" s="276">
        <f t="shared" si="664"/>
        <v>4.8009317330012049</v>
      </c>
      <c r="Y724" s="686">
        <f t="shared" si="665"/>
        <v>3.2884727493602575</v>
      </c>
      <c r="Z724" s="685" t="e">
        <f t="shared" si="666"/>
        <v>#DIV/0!</v>
      </c>
      <c r="AA724" s="276" t="e">
        <f t="shared" si="667"/>
        <v>#DIV/0!</v>
      </c>
      <c r="AB724" s="276" t="e">
        <f t="shared" si="668"/>
        <v>#DIV/0!</v>
      </c>
      <c r="AC724" s="276" t="e">
        <f t="shared" si="669"/>
        <v>#DIV/0!</v>
      </c>
      <c r="AD724" s="276" t="e">
        <f t="shared" si="670"/>
        <v>#DIV/0!</v>
      </c>
      <c r="AE724" s="686" t="e">
        <f t="shared" si="671"/>
        <v>#DIV/0!</v>
      </c>
      <c r="AF724" s="239"/>
      <c r="AG724" s="965" t="e">
        <f t="shared" si="642"/>
        <v>#VALUE!</v>
      </c>
      <c r="AH724" s="878" t="e">
        <f t="shared" si="643"/>
        <v>#VALUE!</v>
      </c>
      <c r="AI724" s="878" t="e">
        <f t="shared" si="644"/>
        <v>#VALUE!</v>
      </c>
      <c r="AJ724" s="878" t="e">
        <f t="shared" si="645"/>
        <v>#VALUE!</v>
      </c>
      <c r="AK724" s="878" t="e">
        <f t="shared" si="646"/>
        <v>#VALUE!</v>
      </c>
      <c r="AL724" s="966" t="e">
        <f t="shared" si="647"/>
        <v>#VALUE!</v>
      </c>
      <c r="AM724" s="239"/>
      <c r="AO724" s="685">
        <f t="shared" si="672"/>
        <v>-2.8730959608516375</v>
      </c>
      <c r="AP724" s="276">
        <f t="shared" si="673"/>
        <v>-1.5967634097616292</v>
      </c>
      <c r="AQ724" s="276">
        <f t="shared" si="674"/>
        <v>-4.8575503079026747</v>
      </c>
      <c r="AR724" s="276">
        <f t="shared" si="675"/>
        <v>-1.6940117034213786</v>
      </c>
      <c r="AS724" s="276">
        <f t="shared" si="676"/>
        <v>-2.6687122037957423</v>
      </c>
      <c r="AT724" s="276">
        <f t="shared" si="677"/>
        <v>-1.9129922179091374</v>
      </c>
      <c r="AU724" s="685">
        <f t="shared" si="678"/>
        <v>1.5279281392485455</v>
      </c>
      <c r="AV724" s="276">
        <f t="shared" si="679"/>
        <v>1.3090363064544548</v>
      </c>
      <c r="AW724" s="276">
        <f t="shared" si="680"/>
        <v>1.1395220418413119</v>
      </c>
      <c r="AX724" s="276">
        <f t="shared" si="681"/>
        <v>1.4915024743358714</v>
      </c>
      <c r="AY724" s="276">
        <f t="shared" si="682"/>
        <v>0.93010527512933661</v>
      </c>
      <c r="AZ724" s="686">
        <f t="shared" si="683"/>
        <v>1.9995848185438343</v>
      </c>
      <c r="BA724" s="685">
        <f t="shared" si="684"/>
        <v>0</v>
      </c>
      <c r="BB724" s="276">
        <f t="shared" si="685"/>
        <v>0</v>
      </c>
      <c r="BC724" s="276">
        <f t="shared" si="686"/>
        <v>0</v>
      </c>
      <c r="BD724" s="276">
        <f t="shared" si="687"/>
        <v>0</v>
      </c>
      <c r="BE724" s="276">
        <f t="shared" si="688"/>
        <v>0</v>
      </c>
      <c r="BF724" s="686">
        <f t="shared" si="689"/>
        <v>0</v>
      </c>
      <c r="BG724" s="685" t="e">
        <f t="shared" si="690"/>
        <v>#DIV/0!</v>
      </c>
      <c r="BH724" s="276" t="e">
        <f t="shared" si="691"/>
        <v>#DIV/0!</v>
      </c>
      <c r="BI724" s="276" t="e">
        <f t="shared" si="692"/>
        <v>#DIV/0!</v>
      </c>
      <c r="BJ724" s="276" t="e">
        <f t="shared" si="693"/>
        <v>#DIV/0!</v>
      </c>
      <c r="BK724" s="276" t="e">
        <f t="shared" si="694"/>
        <v>#DIV/0!</v>
      </c>
      <c r="BL724" s="686" t="e">
        <f t="shared" si="695"/>
        <v>#DIV/0!</v>
      </c>
      <c r="BM724" s="239"/>
      <c r="BN724" s="965" t="e">
        <f t="shared" si="696"/>
        <v>#VALUE!</v>
      </c>
      <c r="BO724" s="878" t="e">
        <f t="shared" si="697"/>
        <v>#VALUE!</v>
      </c>
      <c r="BP724" s="878" t="e">
        <f t="shared" si="698"/>
        <v>#VALUE!</v>
      </c>
      <c r="BQ724" s="878" t="e">
        <f t="shared" si="699"/>
        <v>#VALUE!</v>
      </c>
      <c r="BR724" s="878" t="e">
        <f t="shared" si="700"/>
        <v>#VALUE!</v>
      </c>
      <c r="BS724" s="966" t="e">
        <f t="shared" si="701"/>
        <v>#VALUE!</v>
      </c>
    </row>
    <row r="725" spans="1:71">
      <c r="A725" s="284">
        <f t="shared" si="702"/>
        <v>657</v>
      </c>
      <c r="B725" s="285">
        <v>-0.79043010048319307</v>
      </c>
      <c r="C725" s="285">
        <v>2.4808114560456613</v>
      </c>
      <c r="D725" s="285">
        <v>1.1428876415717053</v>
      </c>
      <c r="E725" s="285">
        <v>-3.5588117312240142</v>
      </c>
      <c r="H725" s="685">
        <f t="shared" si="648"/>
        <v>-1.9236639422522479</v>
      </c>
      <c r="I725" s="276">
        <f t="shared" si="649"/>
        <v>-0.96037100319229629</v>
      </c>
      <c r="J725" s="276">
        <f t="shared" si="650"/>
        <v>-3.6010507030481715</v>
      </c>
      <c r="K725" s="276">
        <f t="shared" si="651"/>
        <v>1.4308946190023171</v>
      </c>
      <c r="L725" s="276">
        <f t="shared" si="652"/>
        <v>-4.296323174672553</v>
      </c>
      <c r="M725" s="276">
        <f t="shared" si="653"/>
        <v>1.5296955908133951</v>
      </c>
      <c r="N725" s="685">
        <f t="shared" si="654"/>
        <v>1.2736402450737929</v>
      </c>
      <c r="O725" s="276">
        <f t="shared" si="655"/>
        <v>1.185827478063042</v>
      </c>
      <c r="P725" s="276">
        <f t="shared" si="656"/>
        <v>1.58594265027396</v>
      </c>
      <c r="Q725" s="276">
        <f t="shared" si="657"/>
        <v>2.0198238013459466</v>
      </c>
      <c r="R725" s="276">
        <f t="shared" si="658"/>
        <v>1.4415511830646583</v>
      </c>
      <c r="S725" s="686">
        <f t="shared" si="659"/>
        <v>2.3053927417235993</v>
      </c>
      <c r="T725" s="685">
        <f t="shared" si="660"/>
        <v>4.4212513318426314</v>
      </c>
      <c r="U725" s="276">
        <f t="shared" si="661"/>
        <v>4.10219848239635</v>
      </c>
      <c r="V725" s="276">
        <f t="shared" si="662"/>
        <v>3.7524663002475873</v>
      </c>
      <c r="W725" s="276">
        <f t="shared" si="663"/>
        <v>4.5039821771304043</v>
      </c>
      <c r="X725" s="276">
        <f t="shared" si="664"/>
        <v>4.733094540599879</v>
      </c>
      <c r="Y725" s="686">
        <f t="shared" si="665"/>
        <v>4.8673154723833605</v>
      </c>
      <c r="Z725" s="685" t="e">
        <f t="shared" si="666"/>
        <v>#DIV/0!</v>
      </c>
      <c r="AA725" s="276" t="e">
        <f t="shared" si="667"/>
        <v>#DIV/0!</v>
      </c>
      <c r="AB725" s="276" t="e">
        <f t="shared" si="668"/>
        <v>#DIV/0!</v>
      </c>
      <c r="AC725" s="276" t="e">
        <f t="shared" si="669"/>
        <v>#DIV/0!</v>
      </c>
      <c r="AD725" s="276" t="e">
        <f t="shared" si="670"/>
        <v>#DIV/0!</v>
      </c>
      <c r="AE725" s="686" t="e">
        <f t="shared" si="671"/>
        <v>#DIV/0!</v>
      </c>
      <c r="AF725" s="239"/>
      <c r="AG725" s="965" t="e">
        <f t="shared" si="642"/>
        <v>#VALUE!</v>
      </c>
      <c r="AH725" s="878" t="e">
        <f t="shared" si="643"/>
        <v>#VALUE!</v>
      </c>
      <c r="AI725" s="878" t="e">
        <f t="shared" si="644"/>
        <v>#VALUE!</v>
      </c>
      <c r="AJ725" s="878" t="e">
        <f t="shared" si="645"/>
        <v>#VALUE!</v>
      </c>
      <c r="AK725" s="878" t="e">
        <f t="shared" si="646"/>
        <v>#VALUE!</v>
      </c>
      <c r="AL725" s="966" t="e">
        <f t="shared" si="647"/>
        <v>#VALUE!</v>
      </c>
      <c r="AM725" s="239"/>
      <c r="AO725" s="685">
        <f t="shared" si="672"/>
        <v>-1.9236639422522479</v>
      </c>
      <c r="AP725" s="276">
        <f t="shared" si="673"/>
        <v>-0.96037100319229629</v>
      </c>
      <c r="AQ725" s="276">
        <f t="shared" si="674"/>
        <v>-3.6010507030481715</v>
      </c>
      <c r="AR725" s="276">
        <f t="shared" si="675"/>
        <v>1.4308946190023171</v>
      </c>
      <c r="AS725" s="276">
        <f t="shared" si="676"/>
        <v>-4.296323174672553</v>
      </c>
      <c r="AT725" s="276">
        <f t="shared" si="677"/>
        <v>1.5296955908133951</v>
      </c>
      <c r="AU725" s="685">
        <f t="shared" si="678"/>
        <v>1.2736402450737929</v>
      </c>
      <c r="AV725" s="276">
        <f t="shared" si="679"/>
        <v>1.185827478063042</v>
      </c>
      <c r="AW725" s="276">
        <f t="shared" si="680"/>
        <v>1.58594265027396</v>
      </c>
      <c r="AX725" s="276">
        <f t="shared" si="681"/>
        <v>2.0198238013459466</v>
      </c>
      <c r="AY725" s="276">
        <f t="shared" si="682"/>
        <v>1.4415511830646583</v>
      </c>
      <c r="AZ725" s="686">
        <f t="shared" si="683"/>
        <v>2.3053927417235993</v>
      </c>
      <c r="BA725" s="685">
        <f t="shared" si="684"/>
        <v>0</v>
      </c>
      <c r="BB725" s="276">
        <f t="shared" si="685"/>
        <v>0</v>
      </c>
      <c r="BC725" s="276">
        <f t="shared" si="686"/>
        <v>0</v>
      </c>
      <c r="BD725" s="276">
        <f t="shared" si="687"/>
        <v>0</v>
      </c>
      <c r="BE725" s="276">
        <f t="shared" si="688"/>
        <v>0</v>
      </c>
      <c r="BF725" s="686">
        <f t="shared" si="689"/>
        <v>0</v>
      </c>
      <c r="BG725" s="685" t="e">
        <f t="shared" si="690"/>
        <v>#DIV/0!</v>
      </c>
      <c r="BH725" s="276" t="e">
        <f t="shared" si="691"/>
        <v>#DIV/0!</v>
      </c>
      <c r="BI725" s="276" t="e">
        <f t="shared" si="692"/>
        <v>#DIV/0!</v>
      </c>
      <c r="BJ725" s="276" t="e">
        <f t="shared" si="693"/>
        <v>#DIV/0!</v>
      </c>
      <c r="BK725" s="276" t="e">
        <f t="shared" si="694"/>
        <v>#DIV/0!</v>
      </c>
      <c r="BL725" s="686" t="e">
        <f t="shared" si="695"/>
        <v>#DIV/0!</v>
      </c>
      <c r="BM725" s="239"/>
      <c r="BN725" s="965" t="e">
        <f t="shared" si="696"/>
        <v>#VALUE!</v>
      </c>
      <c r="BO725" s="878" t="e">
        <f t="shared" si="697"/>
        <v>#VALUE!</v>
      </c>
      <c r="BP725" s="878" t="e">
        <f t="shared" si="698"/>
        <v>#VALUE!</v>
      </c>
      <c r="BQ725" s="878" t="e">
        <f t="shared" si="699"/>
        <v>#VALUE!</v>
      </c>
      <c r="BR725" s="878" t="e">
        <f t="shared" si="700"/>
        <v>#VALUE!</v>
      </c>
      <c r="BS725" s="966" t="e">
        <f t="shared" si="701"/>
        <v>#VALUE!</v>
      </c>
    </row>
    <row r="726" spans="1:71">
      <c r="A726" s="284">
        <f t="shared" si="702"/>
        <v>658</v>
      </c>
      <c r="B726" s="285">
        <v>1.087789849904387</v>
      </c>
      <c r="C726" s="285">
        <v>2.8213257009410824</v>
      </c>
      <c r="D726" s="285">
        <v>1.5857572910362179</v>
      </c>
      <c r="E726" s="285">
        <v>-5.4804403115394091</v>
      </c>
      <c r="H726" s="685">
        <f t="shared" si="648"/>
        <v>-4.5443991864667854E-2</v>
      </c>
      <c r="I726" s="276">
        <f t="shared" si="649"/>
        <v>-4.0178464130069331</v>
      </c>
      <c r="J726" s="276">
        <f t="shared" si="650"/>
        <v>-2.6955560959455251</v>
      </c>
      <c r="K726" s="276">
        <f t="shared" si="651"/>
        <v>-0.27540039240109782</v>
      </c>
      <c r="L726" s="276">
        <f t="shared" si="652"/>
        <v>-0.26827230714181327</v>
      </c>
      <c r="M726" s="276">
        <f t="shared" si="653"/>
        <v>-2.3596379524745794</v>
      </c>
      <c r="N726" s="685">
        <f t="shared" si="654"/>
        <v>1.614154489969214</v>
      </c>
      <c r="O726" s="276">
        <f t="shared" si="655"/>
        <v>0.95423907977595479</v>
      </c>
      <c r="P726" s="276">
        <f t="shared" si="656"/>
        <v>1.2610149015900103</v>
      </c>
      <c r="Q726" s="276">
        <f t="shared" si="657"/>
        <v>1.1403320296275357</v>
      </c>
      <c r="R726" s="276">
        <f t="shared" si="658"/>
        <v>1.0971202545515675</v>
      </c>
      <c r="S726" s="686">
        <f t="shared" si="659"/>
        <v>1.7558950206758308</v>
      </c>
      <c r="T726" s="685">
        <f t="shared" si="660"/>
        <v>4.8641209813071438</v>
      </c>
      <c r="U726" s="276">
        <f t="shared" si="661"/>
        <v>5.3532366271214435</v>
      </c>
      <c r="V726" s="276">
        <f t="shared" si="662"/>
        <v>4.3063015630389945</v>
      </c>
      <c r="W726" s="276">
        <f t="shared" si="663"/>
        <v>5.4453767640863582</v>
      </c>
      <c r="X726" s="276">
        <f t="shared" si="664"/>
        <v>5.5323187130833098</v>
      </c>
      <c r="Y726" s="686">
        <f t="shared" si="665"/>
        <v>3.8493379255527764</v>
      </c>
      <c r="Z726" s="685" t="e">
        <f t="shared" si="666"/>
        <v>#DIV/0!</v>
      </c>
      <c r="AA726" s="276" t="e">
        <f t="shared" si="667"/>
        <v>#DIV/0!</v>
      </c>
      <c r="AB726" s="276" t="e">
        <f t="shared" si="668"/>
        <v>#DIV/0!</v>
      </c>
      <c r="AC726" s="276" t="e">
        <f t="shared" si="669"/>
        <v>#DIV/0!</v>
      </c>
      <c r="AD726" s="276" t="e">
        <f t="shared" si="670"/>
        <v>#DIV/0!</v>
      </c>
      <c r="AE726" s="686" t="e">
        <f t="shared" si="671"/>
        <v>#DIV/0!</v>
      </c>
      <c r="AF726" s="239"/>
      <c r="AG726" s="965" t="e">
        <f t="shared" si="642"/>
        <v>#VALUE!</v>
      </c>
      <c r="AH726" s="878" t="e">
        <f t="shared" si="643"/>
        <v>#VALUE!</v>
      </c>
      <c r="AI726" s="878" t="e">
        <f t="shared" si="644"/>
        <v>#VALUE!</v>
      </c>
      <c r="AJ726" s="878" t="e">
        <f t="shared" si="645"/>
        <v>#VALUE!</v>
      </c>
      <c r="AK726" s="878" t="e">
        <f t="shared" si="646"/>
        <v>#VALUE!</v>
      </c>
      <c r="AL726" s="966" t="e">
        <f t="shared" si="647"/>
        <v>#VALUE!</v>
      </c>
      <c r="AM726" s="239"/>
      <c r="AO726" s="685">
        <f t="shared" si="672"/>
        <v>-4.5443991864667854E-2</v>
      </c>
      <c r="AP726" s="276">
        <f t="shared" si="673"/>
        <v>-4.0178464130069331</v>
      </c>
      <c r="AQ726" s="276">
        <f t="shared" si="674"/>
        <v>-2.6955560959455251</v>
      </c>
      <c r="AR726" s="276">
        <f t="shared" si="675"/>
        <v>-0.27540039240109782</v>
      </c>
      <c r="AS726" s="276">
        <f t="shared" si="676"/>
        <v>-0.26827230714181327</v>
      </c>
      <c r="AT726" s="276">
        <f t="shared" si="677"/>
        <v>-2.3596379524745794</v>
      </c>
      <c r="AU726" s="685">
        <f t="shared" si="678"/>
        <v>1.614154489969214</v>
      </c>
      <c r="AV726" s="276">
        <f t="shared" si="679"/>
        <v>0.95423907977595479</v>
      </c>
      <c r="AW726" s="276">
        <f t="shared" si="680"/>
        <v>1.2610149015900103</v>
      </c>
      <c r="AX726" s="276">
        <f t="shared" si="681"/>
        <v>1.1403320296275357</v>
      </c>
      <c r="AY726" s="276">
        <f t="shared" si="682"/>
        <v>1.0971202545515675</v>
      </c>
      <c r="AZ726" s="686">
        <f t="shared" si="683"/>
        <v>1.7558950206758308</v>
      </c>
      <c r="BA726" s="685">
        <f t="shared" si="684"/>
        <v>0</v>
      </c>
      <c r="BB726" s="276">
        <f t="shared" si="685"/>
        <v>0</v>
      </c>
      <c r="BC726" s="276">
        <f t="shared" si="686"/>
        <v>0</v>
      </c>
      <c r="BD726" s="276">
        <f t="shared" si="687"/>
        <v>0</v>
      </c>
      <c r="BE726" s="276">
        <f t="shared" si="688"/>
        <v>0</v>
      </c>
      <c r="BF726" s="686">
        <f t="shared" si="689"/>
        <v>0</v>
      </c>
      <c r="BG726" s="685" t="e">
        <f t="shared" si="690"/>
        <v>#DIV/0!</v>
      </c>
      <c r="BH726" s="276" t="e">
        <f t="shared" si="691"/>
        <v>#DIV/0!</v>
      </c>
      <c r="BI726" s="276" t="e">
        <f t="shared" si="692"/>
        <v>#DIV/0!</v>
      </c>
      <c r="BJ726" s="276" t="e">
        <f t="shared" si="693"/>
        <v>#DIV/0!</v>
      </c>
      <c r="BK726" s="276" t="e">
        <f t="shared" si="694"/>
        <v>#DIV/0!</v>
      </c>
      <c r="BL726" s="686" t="e">
        <f t="shared" si="695"/>
        <v>#DIV/0!</v>
      </c>
      <c r="BM726" s="239"/>
      <c r="BN726" s="965" t="e">
        <f t="shared" si="696"/>
        <v>#VALUE!</v>
      </c>
      <c r="BO726" s="878" t="e">
        <f t="shared" si="697"/>
        <v>#VALUE!</v>
      </c>
      <c r="BP726" s="878" t="e">
        <f t="shared" si="698"/>
        <v>#VALUE!</v>
      </c>
      <c r="BQ726" s="878" t="e">
        <f t="shared" si="699"/>
        <v>#VALUE!</v>
      </c>
      <c r="BR726" s="878" t="e">
        <f t="shared" si="700"/>
        <v>#VALUE!</v>
      </c>
      <c r="BS726" s="966" t="e">
        <f t="shared" si="701"/>
        <v>#VALUE!</v>
      </c>
    </row>
    <row r="727" spans="1:71">
      <c r="A727" s="284">
        <f t="shared" si="702"/>
        <v>659</v>
      </c>
      <c r="B727" s="285">
        <v>-0.1336619673495254</v>
      </c>
      <c r="C727" s="285">
        <v>2.2570968474521171</v>
      </c>
      <c r="D727" s="285">
        <v>2.5792635774226413</v>
      </c>
      <c r="E727" s="285">
        <v>-3.1046130318114451</v>
      </c>
      <c r="H727" s="685">
        <f t="shared" si="648"/>
        <v>-1.2668958091185802</v>
      </c>
      <c r="I727" s="276">
        <f t="shared" si="649"/>
        <v>-2.542992170196305</v>
      </c>
      <c r="J727" s="276">
        <f t="shared" si="650"/>
        <v>-2.8874063124371419</v>
      </c>
      <c r="K727" s="276">
        <f t="shared" si="651"/>
        <v>2.0642598167534176</v>
      </c>
      <c r="L727" s="276">
        <f t="shared" si="652"/>
        <v>-0.3315748919967807</v>
      </c>
      <c r="M727" s="276">
        <f t="shared" si="653"/>
        <v>-4.1591715033448731</v>
      </c>
      <c r="N727" s="685">
        <f t="shared" si="654"/>
        <v>1.0499256364802487</v>
      </c>
      <c r="O727" s="276">
        <f t="shared" si="655"/>
        <v>1.9671370396247092</v>
      </c>
      <c r="P727" s="276">
        <f t="shared" si="656"/>
        <v>1.0614279008532888</v>
      </c>
      <c r="Q727" s="276">
        <f t="shared" si="657"/>
        <v>0.86677395174576399</v>
      </c>
      <c r="R727" s="276">
        <f t="shared" si="658"/>
        <v>0.81768510033529807</v>
      </c>
      <c r="S727" s="686">
        <f t="shared" si="659"/>
        <v>1.7104708092262577</v>
      </c>
      <c r="T727" s="685">
        <f t="shared" si="660"/>
        <v>5.8576272676935677</v>
      </c>
      <c r="U727" s="276">
        <f t="shared" si="661"/>
        <v>4.3648639018595423</v>
      </c>
      <c r="V727" s="276">
        <f t="shared" si="662"/>
        <v>5.822630173894197</v>
      </c>
      <c r="W727" s="276">
        <f t="shared" si="663"/>
        <v>5.7271721258985648</v>
      </c>
      <c r="X727" s="276">
        <f t="shared" si="664"/>
        <v>7.0101002003640787</v>
      </c>
      <c r="Y727" s="686">
        <f t="shared" si="665"/>
        <v>2.431532319143765</v>
      </c>
      <c r="Z727" s="685" t="e">
        <f t="shared" si="666"/>
        <v>#DIV/0!</v>
      </c>
      <c r="AA727" s="276" t="e">
        <f t="shared" si="667"/>
        <v>#DIV/0!</v>
      </c>
      <c r="AB727" s="276" t="e">
        <f t="shared" si="668"/>
        <v>#DIV/0!</v>
      </c>
      <c r="AC727" s="276" t="e">
        <f t="shared" si="669"/>
        <v>#DIV/0!</v>
      </c>
      <c r="AD727" s="276" t="e">
        <f t="shared" si="670"/>
        <v>#DIV/0!</v>
      </c>
      <c r="AE727" s="686" t="e">
        <f t="shared" si="671"/>
        <v>#DIV/0!</v>
      </c>
      <c r="AF727" s="239"/>
      <c r="AG727" s="965" t="e">
        <f t="shared" si="642"/>
        <v>#VALUE!</v>
      </c>
      <c r="AH727" s="878" t="e">
        <f t="shared" si="643"/>
        <v>#VALUE!</v>
      </c>
      <c r="AI727" s="878" t="e">
        <f t="shared" si="644"/>
        <v>#VALUE!</v>
      </c>
      <c r="AJ727" s="878" t="e">
        <f t="shared" si="645"/>
        <v>#VALUE!</v>
      </c>
      <c r="AK727" s="878" t="e">
        <f t="shared" si="646"/>
        <v>#VALUE!</v>
      </c>
      <c r="AL727" s="966" t="e">
        <f t="shared" si="647"/>
        <v>#VALUE!</v>
      </c>
      <c r="AM727" s="239"/>
      <c r="AO727" s="685">
        <f t="shared" si="672"/>
        <v>-1.2668958091185802</v>
      </c>
      <c r="AP727" s="276">
        <f t="shared" si="673"/>
        <v>-2.542992170196305</v>
      </c>
      <c r="AQ727" s="276">
        <f t="shared" si="674"/>
        <v>-2.8874063124371419</v>
      </c>
      <c r="AR727" s="276">
        <f t="shared" si="675"/>
        <v>2.0642598167534176</v>
      </c>
      <c r="AS727" s="276">
        <f t="shared" si="676"/>
        <v>-0.3315748919967807</v>
      </c>
      <c r="AT727" s="276">
        <f t="shared" si="677"/>
        <v>-4.1591715033448731</v>
      </c>
      <c r="AU727" s="685">
        <f t="shared" si="678"/>
        <v>1.0499256364802487</v>
      </c>
      <c r="AV727" s="276">
        <f t="shared" si="679"/>
        <v>1.9671370396247092</v>
      </c>
      <c r="AW727" s="276">
        <f t="shared" si="680"/>
        <v>1.0614279008532888</v>
      </c>
      <c r="AX727" s="276">
        <f t="shared" si="681"/>
        <v>0.86677395174576399</v>
      </c>
      <c r="AY727" s="276">
        <f t="shared" si="682"/>
        <v>0.81768510033529807</v>
      </c>
      <c r="AZ727" s="686">
        <f t="shared" si="683"/>
        <v>1.7104708092262577</v>
      </c>
      <c r="BA727" s="685">
        <f t="shared" si="684"/>
        <v>0</v>
      </c>
      <c r="BB727" s="276">
        <f t="shared" si="685"/>
        <v>0</v>
      </c>
      <c r="BC727" s="276">
        <f t="shared" si="686"/>
        <v>0</v>
      </c>
      <c r="BD727" s="276">
        <f t="shared" si="687"/>
        <v>0</v>
      </c>
      <c r="BE727" s="276">
        <f t="shared" si="688"/>
        <v>0</v>
      </c>
      <c r="BF727" s="686">
        <f t="shared" si="689"/>
        <v>0</v>
      </c>
      <c r="BG727" s="685" t="e">
        <f t="shared" si="690"/>
        <v>#DIV/0!</v>
      </c>
      <c r="BH727" s="276" t="e">
        <f t="shared" si="691"/>
        <v>#DIV/0!</v>
      </c>
      <c r="BI727" s="276" t="e">
        <f t="shared" si="692"/>
        <v>#DIV/0!</v>
      </c>
      <c r="BJ727" s="276" t="e">
        <f t="shared" si="693"/>
        <v>#DIV/0!</v>
      </c>
      <c r="BK727" s="276" t="e">
        <f t="shared" si="694"/>
        <v>#DIV/0!</v>
      </c>
      <c r="BL727" s="686" t="e">
        <f t="shared" si="695"/>
        <v>#DIV/0!</v>
      </c>
      <c r="BM727" s="239"/>
      <c r="BN727" s="965" t="e">
        <f t="shared" si="696"/>
        <v>#VALUE!</v>
      </c>
      <c r="BO727" s="878" t="e">
        <f t="shared" si="697"/>
        <v>#VALUE!</v>
      </c>
      <c r="BP727" s="878" t="e">
        <f t="shared" si="698"/>
        <v>#VALUE!</v>
      </c>
      <c r="BQ727" s="878" t="e">
        <f t="shared" si="699"/>
        <v>#VALUE!</v>
      </c>
      <c r="BR727" s="878" t="e">
        <f t="shared" si="700"/>
        <v>#VALUE!</v>
      </c>
      <c r="BS727" s="966" t="e">
        <f t="shared" si="701"/>
        <v>#VALUE!</v>
      </c>
    </row>
    <row r="728" spans="1:71">
      <c r="A728" s="284">
        <f t="shared" si="702"/>
        <v>660</v>
      </c>
      <c r="B728" s="285">
        <v>-5.7217048500800844</v>
      </c>
      <c r="C728" s="285">
        <v>1.8932398793589198</v>
      </c>
      <c r="D728" s="285">
        <v>1.706268801041511</v>
      </c>
      <c r="E728" s="285">
        <v>-10.22585755077368</v>
      </c>
      <c r="H728" s="685">
        <f t="shared" si="648"/>
        <v>-6.8549386918491395</v>
      </c>
      <c r="I728" s="276">
        <f t="shared" si="649"/>
        <v>-0.80737254066367647</v>
      </c>
      <c r="J728" s="276">
        <f t="shared" si="650"/>
        <v>-1.9545105137055456</v>
      </c>
      <c r="K728" s="276">
        <f t="shared" si="651"/>
        <v>-0.65543190904713922</v>
      </c>
      <c r="L728" s="276">
        <f t="shared" si="652"/>
        <v>0.92221328297034177</v>
      </c>
      <c r="M728" s="276">
        <f t="shared" si="653"/>
        <v>-1.1680153775004289</v>
      </c>
      <c r="N728" s="685">
        <f t="shared" si="654"/>
        <v>0.68606866838705138</v>
      </c>
      <c r="O728" s="276">
        <f t="shared" si="655"/>
        <v>1.5954741799747756</v>
      </c>
      <c r="P728" s="276">
        <f t="shared" si="656"/>
        <v>0.91141241663697747</v>
      </c>
      <c r="Q728" s="276">
        <f t="shared" si="657"/>
        <v>1.6623965635730145</v>
      </c>
      <c r="R728" s="276">
        <f t="shared" si="658"/>
        <v>1.5103783955090415</v>
      </c>
      <c r="S728" s="686">
        <f t="shared" si="659"/>
        <v>1.3352778858291183</v>
      </c>
      <c r="T728" s="685">
        <f t="shared" si="660"/>
        <v>4.9846324913124374</v>
      </c>
      <c r="U728" s="276">
        <f t="shared" si="661"/>
        <v>5.8139309349537296</v>
      </c>
      <c r="V728" s="276">
        <f t="shared" si="662"/>
        <v>3.2122798687421437</v>
      </c>
      <c r="W728" s="276">
        <f t="shared" si="663"/>
        <v>3.771957741226605</v>
      </c>
      <c r="X728" s="276">
        <f t="shared" si="664"/>
        <v>5.2345245866388748</v>
      </c>
      <c r="Y728" s="686">
        <f t="shared" si="665"/>
        <v>4.4008611446720067</v>
      </c>
      <c r="Z728" s="685" t="e">
        <f t="shared" si="666"/>
        <v>#DIV/0!</v>
      </c>
      <c r="AA728" s="276" t="e">
        <f t="shared" si="667"/>
        <v>#DIV/0!</v>
      </c>
      <c r="AB728" s="276" t="e">
        <f t="shared" si="668"/>
        <v>#DIV/0!</v>
      </c>
      <c r="AC728" s="276" t="e">
        <f t="shared" si="669"/>
        <v>#DIV/0!</v>
      </c>
      <c r="AD728" s="276" t="e">
        <f t="shared" si="670"/>
        <v>#DIV/0!</v>
      </c>
      <c r="AE728" s="686" t="e">
        <f t="shared" si="671"/>
        <v>#DIV/0!</v>
      </c>
      <c r="AF728" s="239"/>
      <c r="AG728" s="965" t="e">
        <f t="shared" si="642"/>
        <v>#VALUE!</v>
      </c>
      <c r="AH728" s="878" t="e">
        <f t="shared" si="643"/>
        <v>#VALUE!</v>
      </c>
      <c r="AI728" s="878" t="e">
        <f t="shared" si="644"/>
        <v>#VALUE!</v>
      </c>
      <c r="AJ728" s="878" t="e">
        <f t="shared" si="645"/>
        <v>#VALUE!</v>
      </c>
      <c r="AK728" s="878" t="e">
        <f t="shared" si="646"/>
        <v>#VALUE!</v>
      </c>
      <c r="AL728" s="966" t="e">
        <f t="shared" si="647"/>
        <v>#VALUE!</v>
      </c>
      <c r="AM728" s="239"/>
      <c r="AO728" s="685">
        <f t="shared" si="672"/>
        <v>-6.8549386918491395</v>
      </c>
      <c r="AP728" s="276">
        <f t="shared" si="673"/>
        <v>-0.80737254066367647</v>
      </c>
      <c r="AQ728" s="276">
        <f t="shared" si="674"/>
        <v>-1.9545105137055456</v>
      </c>
      <c r="AR728" s="276">
        <f t="shared" si="675"/>
        <v>-0.65543190904713922</v>
      </c>
      <c r="AS728" s="276">
        <f t="shared" si="676"/>
        <v>0.92221328297034177</v>
      </c>
      <c r="AT728" s="276">
        <f t="shared" si="677"/>
        <v>-1.1680153775004289</v>
      </c>
      <c r="AU728" s="685">
        <f t="shared" si="678"/>
        <v>0.68606866838705138</v>
      </c>
      <c r="AV728" s="276">
        <f t="shared" si="679"/>
        <v>1.5954741799747756</v>
      </c>
      <c r="AW728" s="276">
        <f t="shared" si="680"/>
        <v>0.91141241663697747</v>
      </c>
      <c r="AX728" s="276">
        <f t="shared" si="681"/>
        <v>1.6623965635730145</v>
      </c>
      <c r="AY728" s="276">
        <f t="shared" si="682"/>
        <v>1.5103783955090415</v>
      </c>
      <c r="AZ728" s="686">
        <f t="shared" si="683"/>
        <v>1.3352778858291183</v>
      </c>
      <c r="BA728" s="685">
        <f t="shared" si="684"/>
        <v>0</v>
      </c>
      <c r="BB728" s="276">
        <f t="shared" si="685"/>
        <v>0</v>
      </c>
      <c r="BC728" s="276">
        <f t="shared" si="686"/>
        <v>0</v>
      </c>
      <c r="BD728" s="276">
        <f t="shared" si="687"/>
        <v>0</v>
      </c>
      <c r="BE728" s="276">
        <f t="shared" si="688"/>
        <v>0</v>
      </c>
      <c r="BF728" s="686">
        <f t="shared" si="689"/>
        <v>0</v>
      </c>
      <c r="BG728" s="685" t="e">
        <f t="shared" si="690"/>
        <v>#DIV/0!</v>
      </c>
      <c r="BH728" s="276" t="e">
        <f t="shared" si="691"/>
        <v>#DIV/0!</v>
      </c>
      <c r="BI728" s="276" t="e">
        <f t="shared" si="692"/>
        <v>#DIV/0!</v>
      </c>
      <c r="BJ728" s="276" t="e">
        <f t="shared" si="693"/>
        <v>#DIV/0!</v>
      </c>
      <c r="BK728" s="276" t="e">
        <f t="shared" si="694"/>
        <v>#DIV/0!</v>
      </c>
      <c r="BL728" s="686" t="e">
        <f t="shared" si="695"/>
        <v>#DIV/0!</v>
      </c>
      <c r="BM728" s="239"/>
      <c r="BN728" s="965" t="e">
        <f t="shared" si="696"/>
        <v>#VALUE!</v>
      </c>
      <c r="BO728" s="878" t="e">
        <f t="shared" si="697"/>
        <v>#VALUE!</v>
      </c>
      <c r="BP728" s="878" t="e">
        <f t="shared" si="698"/>
        <v>#VALUE!</v>
      </c>
      <c r="BQ728" s="878" t="e">
        <f t="shared" si="699"/>
        <v>#VALUE!</v>
      </c>
      <c r="BR728" s="878" t="e">
        <f t="shared" si="700"/>
        <v>#VALUE!</v>
      </c>
      <c r="BS728" s="966" t="e">
        <f t="shared" si="701"/>
        <v>#VALUE!</v>
      </c>
    </row>
    <row r="729" spans="1:71">
      <c r="A729" s="284">
        <f t="shared" si="702"/>
        <v>661</v>
      </c>
      <c r="B729" s="285">
        <v>-2.3181622208720644E-2</v>
      </c>
      <c r="C729" s="285">
        <v>2.8494733272686719</v>
      </c>
      <c r="D729" s="285">
        <v>1.4072336185234682</v>
      </c>
      <c r="E729" s="285">
        <v>-8.3864556615490287</v>
      </c>
      <c r="H729" s="685">
        <f t="shared" si="648"/>
        <v>-1.1564154639777755</v>
      </c>
      <c r="I729" s="276">
        <f t="shared" si="649"/>
        <v>-1.5542772708571784</v>
      </c>
      <c r="J729" s="276">
        <f t="shared" si="650"/>
        <v>1.9115229832810601</v>
      </c>
      <c r="K729" s="276">
        <f t="shared" si="651"/>
        <v>1.3802180563192035</v>
      </c>
      <c r="L729" s="276">
        <f t="shared" si="652"/>
        <v>-1.5330565291116021</v>
      </c>
      <c r="M729" s="276">
        <f t="shared" si="653"/>
        <v>-4.553635904924624</v>
      </c>
      <c r="N729" s="685">
        <f t="shared" si="654"/>
        <v>1.6423021162968034</v>
      </c>
      <c r="O729" s="276">
        <f t="shared" si="655"/>
        <v>1.7265496109506049</v>
      </c>
      <c r="P729" s="276">
        <f t="shared" si="656"/>
        <v>1.5035253421683319</v>
      </c>
      <c r="Q729" s="276">
        <f t="shared" si="657"/>
        <v>2.0970552644880209</v>
      </c>
      <c r="R729" s="276">
        <f t="shared" si="658"/>
        <v>1.1951495263627872</v>
      </c>
      <c r="S729" s="686">
        <f t="shared" si="659"/>
        <v>1.0174644993521056</v>
      </c>
      <c r="T729" s="685">
        <f t="shared" si="660"/>
        <v>4.6855973087943941</v>
      </c>
      <c r="U729" s="276">
        <f t="shared" si="661"/>
        <v>3.0434695549276554</v>
      </c>
      <c r="V729" s="276">
        <f t="shared" si="662"/>
        <v>4.8180981719894991</v>
      </c>
      <c r="W729" s="276">
        <f t="shared" si="663"/>
        <v>5.6776635653633036</v>
      </c>
      <c r="X729" s="276">
        <f t="shared" si="664"/>
        <v>3.339931249870244</v>
      </c>
      <c r="Y729" s="686">
        <f t="shared" si="665"/>
        <v>2.5290557586321505</v>
      </c>
      <c r="Z729" s="685" t="e">
        <f t="shared" si="666"/>
        <v>#DIV/0!</v>
      </c>
      <c r="AA729" s="276" t="e">
        <f t="shared" si="667"/>
        <v>#DIV/0!</v>
      </c>
      <c r="AB729" s="276" t="e">
        <f t="shared" si="668"/>
        <v>#DIV/0!</v>
      </c>
      <c r="AC729" s="276" t="e">
        <f t="shared" si="669"/>
        <v>#DIV/0!</v>
      </c>
      <c r="AD729" s="276" t="e">
        <f t="shared" si="670"/>
        <v>#DIV/0!</v>
      </c>
      <c r="AE729" s="686" t="e">
        <f t="shared" si="671"/>
        <v>#DIV/0!</v>
      </c>
      <c r="AF729" s="239"/>
      <c r="AG729" s="965" t="e">
        <f t="shared" si="642"/>
        <v>#VALUE!</v>
      </c>
      <c r="AH729" s="878" t="e">
        <f t="shared" si="643"/>
        <v>#VALUE!</v>
      </c>
      <c r="AI729" s="878" t="e">
        <f t="shared" si="644"/>
        <v>#VALUE!</v>
      </c>
      <c r="AJ729" s="878" t="e">
        <f t="shared" si="645"/>
        <v>#VALUE!</v>
      </c>
      <c r="AK729" s="878" t="e">
        <f t="shared" si="646"/>
        <v>#VALUE!</v>
      </c>
      <c r="AL729" s="966" t="e">
        <f t="shared" si="647"/>
        <v>#VALUE!</v>
      </c>
      <c r="AM729" s="239"/>
      <c r="AO729" s="685">
        <f t="shared" si="672"/>
        <v>-1.1564154639777755</v>
      </c>
      <c r="AP729" s="276">
        <f t="shared" si="673"/>
        <v>-1.5542772708571784</v>
      </c>
      <c r="AQ729" s="276">
        <f t="shared" si="674"/>
        <v>1.9115229832810601</v>
      </c>
      <c r="AR729" s="276">
        <f t="shared" si="675"/>
        <v>1.3802180563192035</v>
      </c>
      <c r="AS729" s="276">
        <f t="shared" si="676"/>
        <v>-1.5330565291116021</v>
      </c>
      <c r="AT729" s="276">
        <f t="shared" si="677"/>
        <v>-4.553635904924624</v>
      </c>
      <c r="AU729" s="685">
        <f t="shared" si="678"/>
        <v>1.6423021162968034</v>
      </c>
      <c r="AV729" s="276">
        <f t="shared" si="679"/>
        <v>1.7265496109506049</v>
      </c>
      <c r="AW729" s="276">
        <f t="shared" si="680"/>
        <v>1.5035253421683319</v>
      </c>
      <c r="AX729" s="276">
        <f t="shared" si="681"/>
        <v>2.0970552644880209</v>
      </c>
      <c r="AY729" s="276">
        <f t="shared" si="682"/>
        <v>1.1951495263627872</v>
      </c>
      <c r="AZ729" s="686">
        <f t="shared" si="683"/>
        <v>1.0174644993521056</v>
      </c>
      <c r="BA729" s="685">
        <f t="shared" si="684"/>
        <v>0</v>
      </c>
      <c r="BB729" s="276">
        <f t="shared" si="685"/>
        <v>0</v>
      </c>
      <c r="BC729" s="276">
        <f t="shared" si="686"/>
        <v>0</v>
      </c>
      <c r="BD729" s="276">
        <f t="shared" si="687"/>
        <v>0</v>
      </c>
      <c r="BE729" s="276">
        <f t="shared" si="688"/>
        <v>0</v>
      </c>
      <c r="BF729" s="686">
        <f t="shared" si="689"/>
        <v>0</v>
      </c>
      <c r="BG729" s="685" t="e">
        <f t="shared" si="690"/>
        <v>#DIV/0!</v>
      </c>
      <c r="BH729" s="276" t="e">
        <f t="shared" si="691"/>
        <v>#DIV/0!</v>
      </c>
      <c r="BI729" s="276" t="e">
        <f t="shared" si="692"/>
        <v>#DIV/0!</v>
      </c>
      <c r="BJ729" s="276" t="e">
        <f t="shared" si="693"/>
        <v>#DIV/0!</v>
      </c>
      <c r="BK729" s="276" t="e">
        <f t="shared" si="694"/>
        <v>#DIV/0!</v>
      </c>
      <c r="BL729" s="686" t="e">
        <f t="shared" si="695"/>
        <v>#DIV/0!</v>
      </c>
      <c r="BM729" s="239"/>
      <c r="BN729" s="965" t="e">
        <f t="shared" si="696"/>
        <v>#VALUE!</v>
      </c>
      <c r="BO729" s="878" t="e">
        <f t="shared" si="697"/>
        <v>#VALUE!</v>
      </c>
      <c r="BP729" s="878" t="e">
        <f t="shared" si="698"/>
        <v>#VALUE!</v>
      </c>
      <c r="BQ729" s="878" t="e">
        <f t="shared" si="699"/>
        <v>#VALUE!</v>
      </c>
      <c r="BR729" s="878" t="e">
        <f t="shared" si="700"/>
        <v>#VALUE!</v>
      </c>
      <c r="BS729" s="966" t="e">
        <f t="shared" si="701"/>
        <v>#VALUE!</v>
      </c>
    </row>
    <row r="730" spans="1:71">
      <c r="A730" s="284">
        <f t="shared" si="702"/>
        <v>662</v>
      </c>
      <c r="B730" s="285">
        <v>-2.6410854105895991</v>
      </c>
      <c r="C730" s="285">
        <v>2.2528739656082903</v>
      </c>
      <c r="D730" s="285">
        <v>2.9597350308386785</v>
      </c>
      <c r="E730" s="285">
        <v>1.4299511538994421</v>
      </c>
      <c r="H730" s="685">
        <f t="shared" si="648"/>
        <v>-3.7743192523586542</v>
      </c>
      <c r="I730" s="276">
        <f t="shared" si="649"/>
        <v>1.3134090412421437</v>
      </c>
      <c r="J730" s="276">
        <f t="shared" si="650"/>
        <v>-2.5653333159625751</v>
      </c>
      <c r="K730" s="276">
        <f t="shared" si="651"/>
        <v>1.1203408721205041</v>
      </c>
      <c r="L730" s="276">
        <f t="shared" si="652"/>
        <v>-0.87282989460765936</v>
      </c>
      <c r="M730" s="276">
        <f t="shared" si="653"/>
        <v>-3.9737116860541493</v>
      </c>
      <c r="N730" s="685">
        <f t="shared" si="654"/>
        <v>1.0457027546364219</v>
      </c>
      <c r="O730" s="276">
        <f t="shared" si="655"/>
        <v>1.3719269302178703</v>
      </c>
      <c r="P730" s="276">
        <f t="shared" si="656"/>
        <v>1.9244921649696847</v>
      </c>
      <c r="Q730" s="276">
        <f t="shared" si="657"/>
        <v>1.0962745126765594</v>
      </c>
      <c r="R730" s="276">
        <f t="shared" si="658"/>
        <v>1.2222655682613131</v>
      </c>
      <c r="S730" s="686">
        <f t="shared" si="659"/>
        <v>1.4260538550704489</v>
      </c>
      <c r="T730" s="685">
        <f t="shared" si="660"/>
        <v>6.2380987211096048</v>
      </c>
      <c r="U730" s="276">
        <f t="shared" si="661"/>
        <v>4.6045178838776453</v>
      </c>
      <c r="V730" s="276">
        <f t="shared" si="662"/>
        <v>3.8844668551691712</v>
      </c>
      <c r="W730" s="276">
        <f t="shared" si="663"/>
        <v>6.2358569007314619</v>
      </c>
      <c r="X730" s="276">
        <f t="shared" si="664"/>
        <v>5.5067363038935149</v>
      </c>
      <c r="Y730" s="686">
        <f t="shared" si="665"/>
        <v>3.3863087954883317</v>
      </c>
      <c r="Z730" s="685" t="e">
        <f t="shared" si="666"/>
        <v>#DIV/0!</v>
      </c>
      <c r="AA730" s="276" t="e">
        <f t="shared" si="667"/>
        <v>#DIV/0!</v>
      </c>
      <c r="AB730" s="276" t="e">
        <f t="shared" si="668"/>
        <v>#DIV/0!</v>
      </c>
      <c r="AC730" s="276" t="e">
        <f t="shared" si="669"/>
        <v>#DIV/0!</v>
      </c>
      <c r="AD730" s="276" t="e">
        <f t="shared" si="670"/>
        <v>#DIV/0!</v>
      </c>
      <c r="AE730" s="686" t="e">
        <f t="shared" si="671"/>
        <v>#DIV/0!</v>
      </c>
      <c r="AF730" s="239"/>
      <c r="AG730" s="965" t="e">
        <f t="shared" si="642"/>
        <v>#VALUE!</v>
      </c>
      <c r="AH730" s="878" t="e">
        <f t="shared" si="643"/>
        <v>#VALUE!</v>
      </c>
      <c r="AI730" s="878" t="e">
        <f t="shared" si="644"/>
        <v>#VALUE!</v>
      </c>
      <c r="AJ730" s="878" t="e">
        <f t="shared" si="645"/>
        <v>#VALUE!</v>
      </c>
      <c r="AK730" s="878" t="e">
        <f t="shared" si="646"/>
        <v>#VALUE!</v>
      </c>
      <c r="AL730" s="966" t="e">
        <f t="shared" si="647"/>
        <v>#VALUE!</v>
      </c>
      <c r="AM730" s="239"/>
      <c r="AO730" s="685">
        <f t="shared" si="672"/>
        <v>-3.7743192523586542</v>
      </c>
      <c r="AP730" s="276">
        <f t="shared" si="673"/>
        <v>1.3134090412421437</v>
      </c>
      <c r="AQ730" s="276">
        <f t="shared" si="674"/>
        <v>-2.5653333159625751</v>
      </c>
      <c r="AR730" s="276">
        <f t="shared" si="675"/>
        <v>1.1203408721205041</v>
      </c>
      <c r="AS730" s="276">
        <f t="shared" si="676"/>
        <v>-0.87282989460765936</v>
      </c>
      <c r="AT730" s="276">
        <f t="shared" si="677"/>
        <v>-3.9737116860541493</v>
      </c>
      <c r="AU730" s="685">
        <f t="shared" si="678"/>
        <v>1.0457027546364219</v>
      </c>
      <c r="AV730" s="276">
        <f t="shared" si="679"/>
        <v>1.3719269302178703</v>
      </c>
      <c r="AW730" s="276">
        <f t="shared" si="680"/>
        <v>1.9244921649696847</v>
      </c>
      <c r="AX730" s="276">
        <f t="shared" si="681"/>
        <v>1.0962745126765594</v>
      </c>
      <c r="AY730" s="276">
        <f t="shared" si="682"/>
        <v>1.2222655682613131</v>
      </c>
      <c r="AZ730" s="686">
        <f t="shared" si="683"/>
        <v>1.4260538550704489</v>
      </c>
      <c r="BA730" s="685">
        <f t="shared" si="684"/>
        <v>0</v>
      </c>
      <c r="BB730" s="276">
        <f t="shared" si="685"/>
        <v>0</v>
      </c>
      <c r="BC730" s="276">
        <f t="shared" si="686"/>
        <v>0</v>
      </c>
      <c r="BD730" s="276">
        <f t="shared" si="687"/>
        <v>0</v>
      </c>
      <c r="BE730" s="276">
        <f t="shared" si="688"/>
        <v>0</v>
      </c>
      <c r="BF730" s="686">
        <f t="shared" si="689"/>
        <v>0</v>
      </c>
      <c r="BG730" s="685" t="e">
        <f t="shared" si="690"/>
        <v>#DIV/0!</v>
      </c>
      <c r="BH730" s="276" t="e">
        <f t="shared" si="691"/>
        <v>#DIV/0!</v>
      </c>
      <c r="BI730" s="276" t="e">
        <f t="shared" si="692"/>
        <v>#DIV/0!</v>
      </c>
      <c r="BJ730" s="276" t="e">
        <f t="shared" si="693"/>
        <v>#DIV/0!</v>
      </c>
      <c r="BK730" s="276" t="e">
        <f t="shared" si="694"/>
        <v>#DIV/0!</v>
      </c>
      <c r="BL730" s="686" t="e">
        <f t="shared" si="695"/>
        <v>#DIV/0!</v>
      </c>
      <c r="BM730" s="239"/>
      <c r="BN730" s="965" t="e">
        <f t="shared" si="696"/>
        <v>#VALUE!</v>
      </c>
      <c r="BO730" s="878" t="e">
        <f t="shared" si="697"/>
        <v>#VALUE!</v>
      </c>
      <c r="BP730" s="878" t="e">
        <f t="shared" si="698"/>
        <v>#VALUE!</v>
      </c>
      <c r="BQ730" s="878" t="e">
        <f t="shared" si="699"/>
        <v>#VALUE!</v>
      </c>
      <c r="BR730" s="878" t="e">
        <f t="shared" si="700"/>
        <v>#VALUE!</v>
      </c>
      <c r="BS730" s="966" t="e">
        <f t="shared" si="701"/>
        <v>#VALUE!</v>
      </c>
    </row>
    <row r="731" spans="1:71">
      <c r="A731" s="284">
        <f t="shared" si="702"/>
        <v>663</v>
      </c>
      <c r="B731" s="285">
        <v>-0.94688214352111588</v>
      </c>
      <c r="C731" s="285">
        <v>1.9411797095417866</v>
      </c>
      <c r="D731" s="285">
        <v>2.9472515795100902</v>
      </c>
      <c r="E731" s="285">
        <v>-8.9693592494789485</v>
      </c>
      <c r="H731" s="685">
        <f t="shared" si="648"/>
        <v>-2.0801159852901705</v>
      </c>
      <c r="I731" s="276">
        <f t="shared" si="649"/>
        <v>-2.1447552301808854</v>
      </c>
      <c r="J731" s="276">
        <f t="shared" si="650"/>
        <v>-0.95005684433463533</v>
      </c>
      <c r="K731" s="276">
        <f t="shared" si="651"/>
        <v>-4.641255605403332</v>
      </c>
      <c r="L731" s="276">
        <f t="shared" si="652"/>
        <v>-2.247122136963386</v>
      </c>
      <c r="M731" s="276">
        <f t="shared" si="653"/>
        <v>-2.684318017813986</v>
      </c>
      <c r="N731" s="685">
        <f t="shared" si="654"/>
        <v>0.73400849856991823</v>
      </c>
      <c r="O731" s="276">
        <f t="shared" si="655"/>
        <v>1.7836451338531314</v>
      </c>
      <c r="P731" s="276">
        <f t="shared" si="656"/>
        <v>1.3608852613606623</v>
      </c>
      <c r="Q731" s="276">
        <f t="shared" si="657"/>
        <v>0.81750657228407397</v>
      </c>
      <c r="R731" s="276">
        <f t="shared" si="658"/>
        <v>1.3719748584218034</v>
      </c>
      <c r="S731" s="686">
        <f t="shared" si="659"/>
        <v>0.98856223503023455</v>
      </c>
      <c r="T731" s="685">
        <f t="shared" si="660"/>
        <v>6.2256152697810165</v>
      </c>
      <c r="U731" s="276">
        <f t="shared" si="661"/>
        <v>3.6937820080753525</v>
      </c>
      <c r="V731" s="276">
        <f t="shared" si="662"/>
        <v>3.3063141677279377</v>
      </c>
      <c r="W731" s="276">
        <f t="shared" si="663"/>
        <v>3.9900709440078841</v>
      </c>
      <c r="X731" s="276">
        <f t="shared" si="664"/>
        <v>5.2182521758561302</v>
      </c>
      <c r="Y731" s="686">
        <f t="shared" si="665"/>
        <v>2.796944025216705</v>
      </c>
      <c r="Z731" s="685" t="e">
        <f t="shared" si="666"/>
        <v>#DIV/0!</v>
      </c>
      <c r="AA731" s="276" t="e">
        <f t="shared" si="667"/>
        <v>#DIV/0!</v>
      </c>
      <c r="AB731" s="276" t="e">
        <f t="shared" si="668"/>
        <v>#DIV/0!</v>
      </c>
      <c r="AC731" s="276" t="e">
        <f t="shared" si="669"/>
        <v>#DIV/0!</v>
      </c>
      <c r="AD731" s="276" t="e">
        <f t="shared" si="670"/>
        <v>#DIV/0!</v>
      </c>
      <c r="AE731" s="686" t="e">
        <f t="shared" si="671"/>
        <v>#DIV/0!</v>
      </c>
      <c r="AF731" s="239"/>
      <c r="AG731" s="965" t="e">
        <f t="shared" si="642"/>
        <v>#VALUE!</v>
      </c>
      <c r="AH731" s="878" t="e">
        <f t="shared" si="643"/>
        <v>#VALUE!</v>
      </c>
      <c r="AI731" s="878" t="e">
        <f t="shared" si="644"/>
        <v>#VALUE!</v>
      </c>
      <c r="AJ731" s="878" t="e">
        <f t="shared" si="645"/>
        <v>#VALUE!</v>
      </c>
      <c r="AK731" s="878" t="e">
        <f t="shared" si="646"/>
        <v>#VALUE!</v>
      </c>
      <c r="AL731" s="966" t="e">
        <f t="shared" si="647"/>
        <v>#VALUE!</v>
      </c>
      <c r="AM731" s="239"/>
      <c r="AO731" s="685">
        <f t="shared" si="672"/>
        <v>-2.0801159852901705</v>
      </c>
      <c r="AP731" s="276">
        <f t="shared" si="673"/>
        <v>-2.1447552301808854</v>
      </c>
      <c r="AQ731" s="276">
        <f t="shared" si="674"/>
        <v>-0.95005684433463533</v>
      </c>
      <c r="AR731" s="276">
        <f t="shared" si="675"/>
        <v>-4.641255605403332</v>
      </c>
      <c r="AS731" s="276">
        <f t="shared" si="676"/>
        <v>-2.247122136963386</v>
      </c>
      <c r="AT731" s="276">
        <f t="shared" si="677"/>
        <v>-2.684318017813986</v>
      </c>
      <c r="AU731" s="685">
        <f t="shared" si="678"/>
        <v>0.73400849856991823</v>
      </c>
      <c r="AV731" s="276">
        <f t="shared" si="679"/>
        <v>1.7836451338531314</v>
      </c>
      <c r="AW731" s="276">
        <f t="shared" si="680"/>
        <v>1.3608852613606623</v>
      </c>
      <c r="AX731" s="276">
        <f t="shared" si="681"/>
        <v>0.81750657228407397</v>
      </c>
      <c r="AY731" s="276">
        <f t="shared" si="682"/>
        <v>1.3719748584218034</v>
      </c>
      <c r="AZ731" s="686">
        <f t="shared" si="683"/>
        <v>0.98856223503023455</v>
      </c>
      <c r="BA731" s="685">
        <f t="shared" si="684"/>
        <v>0</v>
      </c>
      <c r="BB731" s="276">
        <f t="shared" si="685"/>
        <v>0</v>
      </c>
      <c r="BC731" s="276">
        <f t="shared" si="686"/>
        <v>0</v>
      </c>
      <c r="BD731" s="276">
        <f t="shared" si="687"/>
        <v>0</v>
      </c>
      <c r="BE731" s="276">
        <f t="shared" si="688"/>
        <v>0</v>
      </c>
      <c r="BF731" s="686">
        <f t="shared" si="689"/>
        <v>0</v>
      </c>
      <c r="BG731" s="685" t="e">
        <f t="shared" si="690"/>
        <v>#DIV/0!</v>
      </c>
      <c r="BH731" s="276" t="e">
        <f t="shared" si="691"/>
        <v>#DIV/0!</v>
      </c>
      <c r="BI731" s="276" t="e">
        <f t="shared" si="692"/>
        <v>#DIV/0!</v>
      </c>
      <c r="BJ731" s="276" t="e">
        <f t="shared" si="693"/>
        <v>#DIV/0!</v>
      </c>
      <c r="BK731" s="276" t="e">
        <f t="shared" si="694"/>
        <v>#DIV/0!</v>
      </c>
      <c r="BL731" s="686" t="e">
        <f t="shared" si="695"/>
        <v>#DIV/0!</v>
      </c>
      <c r="BM731" s="239"/>
      <c r="BN731" s="965" t="e">
        <f t="shared" si="696"/>
        <v>#VALUE!</v>
      </c>
      <c r="BO731" s="878" t="e">
        <f t="shared" si="697"/>
        <v>#VALUE!</v>
      </c>
      <c r="BP731" s="878" t="e">
        <f t="shared" si="698"/>
        <v>#VALUE!</v>
      </c>
      <c r="BQ731" s="878" t="e">
        <f t="shared" si="699"/>
        <v>#VALUE!</v>
      </c>
      <c r="BR731" s="878" t="e">
        <f t="shared" si="700"/>
        <v>#VALUE!</v>
      </c>
      <c r="BS731" s="966" t="e">
        <f t="shared" si="701"/>
        <v>#VALUE!</v>
      </c>
    </row>
    <row r="732" spans="1:71">
      <c r="A732" s="284">
        <f t="shared" si="702"/>
        <v>664</v>
      </c>
      <c r="B732" s="285">
        <v>-2.6264013796273136</v>
      </c>
      <c r="C732" s="285">
        <v>2.3149677053524589</v>
      </c>
      <c r="D732" s="285">
        <v>1.3048330498070362</v>
      </c>
      <c r="E732" s="285">
        <v>4.3230293384069896</v>
      </c>
      <c r="H732" s="685">
        <f t="shared" si="648"/>
        <v>-3.7596352213963682</v>
      </c>
      <c r="I732" s="276">
        <f t="shared" si="649"/>
        <v>1.0108861178925597</v>
      </c>
      <c r="J732" s="276">
        <f t="shared" si="650"/>
        <v>-3.056984098702904</v>
      </c>
      <c r="K732" s="276">
        <f t="shared" si="651"/>
        <v>-2.5210217247869013</v>
      </c>
      <c r="L732" s="276">
        <f t="shared" si="652"/>
        <v>0.75254673744244127</v>
      </c>
      <c r="M732" s="276">
        <f t="shared" si="653"/>
        <v>-3.7386404196343488</v>
      </c>
      <c r="N732" s="685">
        <f t="shared" si="654"/>
        <v>1.1077964943805905</v>
      </c>
      <c r="O732" s="276">
        <f t="shared" si="655"/>
        <v>1.822871403631434</v>
      </c>
      <c r="P732" s="276">
        <f t="shared" si="656"/>
        <v>1.2643821566870945</v>
      </c>
      <c r="Q732" s="276">
        <f t="shared" si="657"/>
        <v>1.3662138378544439</v>
      </c>
      <c r="R732" s="276">
        <f t="shared" si="658"/>
        <v>1.9375206541397245</v>
      </c>
      <c r="S732" s="686">
        <f t="shared" si="659"/>
        <v>1.5130954344721126</v>
      </c>
      <c r="T732" s="685">
        <f t="shared" si="660"/>
        <v>4.5831967400779625</v>
      </c>
      <c r="U732" s="276">
        <f t="shared" si="661"/>
        <v>5.6271407886339819</v>
      </c>
      <c r="V732" s="276">
        <f t="shared" si="662"/>
        <v>5.1433404634014295</v>
      </c>
      <c r="W732" s="276">
        <f t="shared" si="663"/>
        <v>3.9895706000511058</v>
      </c>
      <c r="X732" s="276">
        <f t="shared" si="664"/>
        <v>2.6630301164628909</v>
      </c>
      <c r="Y732" s="686">
        <f t="shared" si="665"/>
        <v>4.5013231891086161</v>
      </c>
      <c r="Z732" s="685" t="e">
        <f t="shared" si="666"/>
        <v>#DIV/0!</v>
      </c>
      <c r="AA732" s="276" t="e">
        <f t="shared" si="667"/>
        <v>#DIV/0!</v>
      </c>
      <c r="AB732" s="276" t="e">
        <f t="shared" si="668"/>
        <v>#DIV/0!</v>
      </c>
      <c r="AC732" s="276" t="e">
        <f t="shared" si="669"/>
        <v>#DIV/0!</v>
      </c>
      <c r="AD732" s="276" t="e">
        <f t="shared" si="670"/>
        <v>#DIV/0!</v>
      </c>
      <c r="AE732" s="686" t="e">
        <f t="shared" si="671"/>
        <v>#DIV/0!</v>
      </c>
      <c r="AF732" s="239"/>
      <c r="AG732" s="965" t="e">
        <f t="shared" si="642"/>
        <v>#VALUE!</v>
      </c>
      <c r="AH732" s="878" t="e">
        <f t="shared" si="643"/>
        <v>#VALUE!</v>
      </c>
      <c r="AI732" s="878" t="e">
        <f t="shared" si="644"/>
        <v>#VALUE!</v>
      </c>
      <c r="AJ732" s="878" t="e">
        <f t="shared" si="645"/>
        <v>#VALUE!</v>
      </c>
      <c r="AK732" s="878" t="e">
        <f t="shared" si="646"/>
        <v>#VALUE!</v>
      </c>
      <c r="AL732" s="966" t="e">
        <f t="shared" si="647"/>
        <v>#VALUE!</v>
      </c>
      <c r="AM732" s="239"/>
      <c r="AO732" s="685">
        <f t="shared" si="672"/>
        <v>-3.7596352213963682</v>
      </c>
      <c r="AP732" s="276">
        <f t="shared" si="673"/>
        <v>1.0108861178925597</v>
      </c>
      <c r="AQ732" s="276">
        <f t="shared" si="674"/>
        <v>-3.056984098702904</v>
      </c>
      <c r="AR732" s="276">
        <f t="shared" si="675"/>
        <v>-2.5210217247869013</v>
      </c>
      <c r="AS732" s="276">
        <f t="shared" si="676"/>
        <v>0.75254673744244127</v>
      </c>
      <c r="AT732" s="276">
        <f t="shared" si="677"/>
        <v>-3.7386404196343488</v>
      </c>
      <c r="AU732" s="685">
        <f t="shared" si="678"/>
        <v>1.1077964943805905</v>
      </c>
      <c r="AV732" s="276">
        <f t="shared" si="679"/>
        <v>1.822871403631434</v>
      </c>
      <c r="AW732" s="276">
        <f t="shared" si="680"/>
        <v>1.2643821566870945</v>
      </c>
      <c r="AX732" s="276">
        <f t="shared" si="681"/>
        <v>1.3662138378544439</v>
      </c>
      <c r="AY732" s="276">
        <f t="shared" si="682"/>
        <v>1.9375206541397245</v>
      </c>
      <c r="AZ732" s="686">
        <f t="shared" si="683"/>
        <v>1.5130954344721126</v>
      </c>
      <c r="BA732" s="685">
        <f t="shared" si="684"/>
        <v>0</v>
      </c>
      <c r="BB732" s="276">
        <f t="shared" si="685"/>
        <v>0</v>
      </c>
      <c r="BC732" s="276">
        <f t="shared" si="686"/>
        <v>0</v>
      </c>
      <c r="BD732" s="276">
        <f t="shared" si="687"/>
        <v>0</v>
      </c>
      <c r="BE732" s="276">
        <f t="shared" si="688"/>
        <v>0</v>
      </c>
      <c r="BF732" s="686">
        <f t="shared" si="689"/>
        <v>0</v>
      </c>
      <c r="BG732" s="685" t="e">
        <f t="shared" si="690"/>
        <v>#DIV/0!</v>
      </c>
      <c r="BH732" s="276" t="e">
        <f t="shared" si="691"/>
        <v>#DIV/0!</v>
      </c>
      <c r="BI732" s="276" t="e">
        <f t="shared" si="692"/>
        <v>#DIV/0!</v>
      </c>
      <c r="BJ732" s="276" t="e">
        <f t="shared" si="693"/>
        <v>#DIV/0!</v>
      </c>
      <c r="BK732" s="276" t="e">
        <f t="shared" si="694"/>
        <v>#DIV/0!</v>
      </c>
      <c r="BL732" s="686" t="e">
        <f t="shared" si="695"/>
        <v>#DIV/0!</v>
      </c>
      <c r="BM732" s="239"/>
      <c r="BN732" s="965" t="e">
        <f t="shared" si="696"/>
        <v>#VALUE!</v>
      </c>
      <c r="BO732" s="878" t="e">
        <f t="shared" si="697"/>
        <v>#VALUE!</v>
      </c>
      <c r="BP732" s="878" t="e">
        <f t="shared" si="698"/>
        <v>#VALUE!</v>
      </c>
      <c r="BQ732" s="878" t="e">
        <f t="shared" si="699"/>
        <v>#VALUE!</v>
      </c>
      <c r="BR732" s="878" t="e">
        <f t="shared" si="700"/>
        <v>#VALUE!</v>
      </c>
      <c r="BS732" s="966" t="e">
        <f t="shared" si="701"/>
        <v>#VALUE!</v>
      </c>
    </row>
    <row r="733" spans="1:71">
      <c r="A733" s="284">
        <f t="shared" si="702"/>
        <v>665</v>
      </c>
      <c r="B733" s="285">
        <v>1.9349697489062914</v>
      </c>
      <c r="C733" s="285">
        <v>3.0659310473328416</v>
      </c>
      <c r="D733" s="285">
        <v>0.35306428062752349</v>
      </c>
      <c r="E733" s="285">
        <v>5.6654443407154655</v>
      </c>
      <c r="H733" s="685">
        <f t="shared" si="648"/>
        <v>0.80173590713723653</v>
      </c>
      <c r="I733" s="276">
        <f t="shared" si="649"/>
        <v>2.1652965320700304</v>
      </c>
      <c r="J733" s="276">
        <f t="shared" si="650"/>
        <v>-2.6171862451106978</v>
      </c>
      <c r="K733" s="276">
        <f t="shared" si="651"/>
        <v>-4.3774554437944877</v>
      </c>
      <c r="L733" s="276">
        <f t="shared" si="652"/>
        <v>-2.7686832584699643</v>
      </c>
      <c r="M733" s="276">
        <f t="shared" si="653"/>
        <v>0.90377167693965155</v>
      </c>
      <c r="N733" s="685">
        <f t="shared" si="654"/>
        <v>1.8587598363609732</v>
      </c>
      <c r="O733" s="276">
        <f t="shared" si="655"/>
        <v>1.6707155296245009</v>
      </c>
      <c r="P733" s="276">
        <f t="shared" si="656"/>
        <v>1.5803586435611165</v>
      </c>
      <c r="Q733" s="276">
        <f t="shared" si="657"/>
        <v>0.8944348451381956</v>
      </c>
      <c r="R733" s="276">
        <f t="shared" si="658"/>
        <v>1.4557092760703652</v>
      </c>
      <c r="S733" s="686">
        <f t="shared" si="659"/>
        <v>0.99407547355681891</v>
      </c>
      <c r="T733" s="685">
        <f t="shared" si="660"/>
        <v>3.6314279708984492</v>
      </c>
      <c r="U733" s="276">
        <f t="shared" si="661"/>
        <v>4.0618173819278214</v>
      </c>
      <c r="V733" s="276">
        <f t="shared" si="662"/>
        <v>3.0245471932695911</v>
      </c>
      <c r="W733" s="276">
        <f t="shared" si="663"/>
        <v>1.7092426181637124</v>
      </c>
      <c r="X733" s="276">
        <f t="shared" si="664"/>
        <v>3.2526036007039294</v>
      </c>
      <c r="Y733" s="686">
        <f t="shared" si="665"/>
        <v>5.2757590713317262</v>
      </c>
      <c r="Z733" s="685" t="e">
        <f t="shared" si="666"/>
        <v>#DIV/0!</v>
      </c>
      <c r="AA733" s="276" t="e">
        <f t="shared" si="667"/>
        <v>#DIV/0!</v>
      </c>
      <c r="AB733" s="276" t="e">
        <f t="shared" si="668"/>
        <v>#DIV/0!</v>
      </c>
      <c r="AC733" s="276" t="e">
        <f t="shared" si="669"/>
        <v>#DIV/0!</v>
      </c>
      <c r="AD733" s="276" t="e">
        <f t="shared" si="670"/>
        <v>#DIV/0!</v>
      </c>
      <c r="AE733" s="686" t="e">
        <f t="shared" si="671"/>
        <v>#DIV/0!</v>
      </c>
      <c r="AF733" s="239"/>
      <c r="AG733" s="965" t="e">
        <f t="shared" si="642"/>
        <v>#VALUE!</v>
      </c>
      <c r="AH733" s="878" t="e">
        <f t="shared" si="643"/>
        <v>#VALUE!</v>
      </c>
      <c r="AI733" s="878" t="e">
        <f t="shared" si="644"/>
        <v>#VALUE!</v>
      </c>
      <c r="AJ733" s="878" t="e">
        <f t="shared" si="645"/>
        <v>#VALUE!</v>
      </c>
      <c r="AK733" s="878" t="e">
        <f t="shared" si="646"/>
        <v>#VALUE!</v>
      </c>
      <c r="AL733" s="966" t="e">
        <f t="shared" si="647"/>
        <v>#VALUE!</v>
      </c>
      <c r="AM733" s="239"/>
      <c r="AO733" s="685">
        <f t="shared" si="672"/>
        <v>0.80173590713723653</v>
      </c>
      <c r="AP733" s="276">
        <f t="shared" si="673"/>
        <v>2.1652965320700304</v>
      </c>
      <c r="AQ733" s="276">
        <f t="shared" si="674"/>
        <v>-2.6171862451106978</v>
      </c>
      <c r="AR733" s="276">
        <f t="shared" si="675"/>
        <v>-4.3774554437944877</v>
      </c>
      <c r="AS733" s="276">
        <f t="shared" si="676"/>
        <v>-2.7686832584699643</v>
      </c>
      <c r="AT733" s="276">
        <f t="shared" si="677"/>
        <v>0.90377167693965155</v>
      </c>
      <c r="AU733" s="685">
        <f t="shared" si="678"/>
        <v>1.8587598363609732</v>
      </c>
      <c r="AV733" s="276">
        <f t="shared" si="679"/>
        <v>1.6707155296245009</v>
      </c>
      <c r="AW733" s="276">
        <f t="shared" si="680"/>
        <v>1.5803586435611165</v>
      </c>
      <c r="AX733" s="276">
        <f t="shared" si="681"/>
        <v>0.8944348451381956</v>
      </c>
      <c r="AY733" s="276">
        <f t="shared" si="682"/>
        <v>1.4557092760703652</v>
      </c>
      <c r="AZ733" s="686">
        <f t="shared" si="683"/>
        <v>0.99407547355681891</v>
      </c>
      <c r="BA733" s="685">
        <f t="shared" si="684"/>
        <v>0</v>
      </c>
      <c r="BB733" s="276">
        <f t="shared" si="685"/>
        <v>0</v>
      </c>
      <c r="BC733" s="276">
        <f t="shared" si="686"/>
        <v>0</v>
      </c>
      <c r="BD733" s="276">
        <f t="shared" si="687"/>
        <v>0</v>
      </c>
      <c r="BE733" s="276">
        <f t="shared" si="688"/>
        <v>0</v>
      </c>
      <c r="BF733" s="686">
        <f t="shared" si="689"/>
        <v>0</v>
      </c>
      <c r="BG733" s="685" t="e">
        <f t="shared" si="690"/>
        <v>#DIV/0!</v>
      </c>
      <c r="BH733" s="276" t="e">
        <f t="shared" si="691"/>
        <v>#DIV/0!</v>
      </c>
      <c r="BI733" s="276" t="e">
        <f t="shared" si="692"/>
        <v>#DIV/0!</v>
      </c>
      <c r="BJ733" s="276" t="e">
        <f t="shared" si="693"/>
        <v>#DIV/0!</v>
      </c>
      <c r="BK733" s="276" t="e">
        <f t="shared" si="694"/>
        <v>#DIV/0!</v>
      </c>
      <c r="BL733" s="686" t="e">
        <f t="shared" si="695"/>
        <v>#DIV/0!</v>
      </c>
      <c r="BM733" s="239"/>
      <c r="BN733" s="965" t="e">
        <f t="shared" si="696"/>
        <v>#VALUE!</v>
      </c>
      <c r="BO733" s="878" t="e">
        <f t="shared" si="697"/>
        <v>#VALUE!</v>
      </c>
      <c r="BP733" s="878" t="e">
        <f t="shared" si="698"/>
        <v>#VALUE!</v>
      </c>
      <c r="BQ733" s="878" t="e">
        <f t="shared" si="699"/>
        <v>#VALUE!</v>
      </c>
      <c r="BR733" s="878" t="e">
        <f t="shared" si="700"/>
        <v>#VALUE!</v>
      </c>
      <c r="BS733" s="966" t="e">
        <f t="shared" si="701"/>
        <v>#VALUE!</v>
      </c>
    </row>
    <row r="734" spans="1:71">
      <c r="A734" s="284">
        <f t="shared" si="702"/>
        <v>666</v>
      </c>
      <c r="B734" s="285">
        <v>2.1833850880786314</v>
      </c>
      <c r="C734" s="285">
        <v>2.6095943350983304</v>
      </c>
      <c r="D734" s="285">
        <v>2.0076596136576397</v>
      </c>
      <c r="E734" s="285">
        <v>-2.9105999860841978</v>
      </c>
      <c r="H734" s="685">
        <f t="shared" si="648"/>
        <v>1.0501512463095766</v>
      </c>
      <c r="I734" s="276">
        <f t="shared" si="649"/>
        <v>-4.4423280035452537</v>
      </c>
      <c r="J734" s="276">
        <f t="shared" si="650"/>
        <v>-2.3785639688316831</v>
      </c>
      <c r="K734" s="276">
        <f t="shared" si="651"/>
        <v>0.6857407145604355</v>
      </c>
      <c r="L734" s="276">
        <f t="shared" si="652"/>
        <v>-2.5692764755875572</v>
      </c>
      <c r="M734" s="276">
        <f t="shared" si="653"/>
        <v>2.6281723628363718</v>
      </c>
      <c r="N734" s="685">
        <f t="shared" si="654"/>
        <v>1.402423124126462</v>
      </c>
      <c r="O734" s="276">
        <f t="shared" si="655"/>
        <v>0.82914650625430286</v>
      </c>
      <c r="P734" s="276">
        <f t="shared" si="656"/>
        <v>1.1681171551874969</v>
      </c>
      <c r="Q734" s="276">
        <f t="shared" si="657"/>
        <v>1.9737901966449918</v>
      </c>
      <c r="R734" s="276">
        <f t="shared" si="658"/>
        <v>1.236768336930562</v>
      </c>
      <c r="S734" s="686">
        <f t="shared" si="659"/>
        <v>0.82586409746239675</v>
      </c>
      <c r="T734" s="685">
        <f t="shared" si="660"/>
        <v>5.286023303928566</v>
      </c>
      <c r="U734" s="276">
        <f t="shared" si="661"/>
        <v>4.3790410806328577</v>
      </c>
      <c r="V734" s="276">
        <f t="shared" si="662"/>
        <v>3.7779505093658283</v>
      </c>
      <c r="W734" s="276">
        <f t="shared" si="663"/>
        <v>4.2311273829663536</v>
      </c>
      <c r="X734" s="276">
        <f t="shared" si="664"/>
        <v>4.6078075762675814</v>
      </c>
      <c r="Y734" s="686">
        <f t="shared" si="665"/>
        <v>5.8856369024494057</v>
      </c>
      <c r="Z734" s="685" t="e">
        <f t="shared" si="666"/>
        <v>#DIV/0!</v>
      </c>
      <c r="AA734" s="276" t="e">
        <f t="shared" si="667"/>
        <v>#DIV/0!</v>
      </c>
      <c r="AB734" s="276" t="e">
        <f t="shared" si="668"/>
        <v>#DIV/0!</v>
      </c>
      <c r="AC734" s="276" t="e">
        <f t="shared" si="669"/>
        <v>#DIV/0!</v>
      </c>
      <c r="AD734" s="276" t="e">
        <f t="shared" si="670"/>
        <v>#DIV/0!</v>
      </c>
      <c r="AE734" s="686" t="e">
        <f t="shared" si="671"/>
        <v>#DIV/0!</v>
      </c>
      <c r="AF734" s="239"/>
      <c r="AG734" s="965" t="e">
        <f t="shared" si="642"/>
        <v>#VALUE!</v>
      </c>
      <c r="AH734" s="878" t="e">
        <f t="shared" si="643"/>
        <v>#VALUE!</v>
      </c>
      <c r="AI734" s="878" t="e">
        <f t="shared" si="644"/>
        <v>#VALUE!</v>
      </c>
      <c r="AJ734" s="878" t="e">
        <f t="shared" si="645"/>
        <v>#VALUE!</v>
      </c>
      <c r="AK734" s="878" t="e">
        <f t="shared" si="646"/>
        <v>#VALUE!</v>
      </c>
      <c r="AL734" s="966" t="e">
        <f t="shared" si="647"/>
        <v>#VALUE!</v>
      </c>
      <c r="AM734" s="239"/>
      <c r="AO734" s="685">
        <f t="shared" si="672"/>
        <v>1.0501512463095766</v>
      </c>
      <c r="AP734" s="276">
        <f t="shared" si="673"/>
        <v>-4.4423280035452537</v>
      </c>
      <c r="AQ734" s="276">
        <f t="shared" si="674"/>
        <v>-2.3785639688316831</v>
      </c>
      <c r="AR734" s="276">
        <f t="shared" si="675"/>
        <v>0.6857407145604355</v>
      </c>
      <c r="AS734" s="276">
        <f t="shared" si="676"/>
        <v>-2.5692764755875572</v>
      </c>
      <c r="AT734" s="276">
        <f t="shared" si="677"/>
        <v>2.6281723628363718</v>
      </c>
      <c r="AU734" s="685">
        <f t="shared" si="678"/>
        <v>1.402423124126462</v>
      </c>
      <c r="AV734" s="276">
        <f t="shared" si="679"/>
        <v>0.82914650625430286</v>
      </c>
      <c r="AW734" s="276">
        <f t="shared" si="680"/>
        <v>1.1681171551874969</v>
      </c>
      <c r="AX734" s="276">
        <f t="shared" si="681"/>
        <v>1.9737901966449918</v>
      </c>
      <c r="AY734" s="276">
        <f t="shared" si="682"/>
        <v>1.236768336930562</v>
      </c>
      <c r="AZ734" s="686">
        <f t="shared" si="683"/>
        <v>0.82586409746239675</v>
      </c>
      <c r="BA734" s="685">
        <f t="shared" si="684"/>
        <v>0</v>
      </c>
      <c r="BB734" s="276">
        <f t="shared" si="685"/>
        <v>0</v>
      </c>
      <c r="BC734" s="276">
        <f t="shared" si="686"/>
        <v>0</v>
      </c>
      <c r="BD734" s="276">
        <f t="shared" si="687"/>
        <v>0</v>
      </c>
      <c r="BE734" s="276">
        <f t="shared" si="688"/>
        <v>0</v>
      </c>
      <c r="BF734" s="686">
        <f t="shared" si="689"/>
        <v>0</v>
      </c>
      <c r="BG734" s="685" t="e">
        <f t="shared" si="690"/>
        <v>#DIV/0!</v>
      </c>
      <c r="BH734" s="276" t="e">
        <f t="shared" si="691"/>
        <v>#DIV/0!</v>
      </c>
      <c r="BI734" s="276" t="e">
        <f t="shared" si="692"/>
        <v>#DIV/0!</v>
      </c>
      <c r="BJ734" s="276" t="e">
        <f t="shared" si="693"/>
        <v>#DIV/0!</v>
      </c>
      <c r="BK734" s="276" t="e">
        <f t="shared" si="694"/>
        <v>#DIV/0!</v>
      </c>
      <c r="BL734" s="686" t="e">
        <f t="shared" si="695"/>
        <v>#DIV/0!</v>
      </c>
      <c r="BM734" s="239"/>
      <c r="BN734" s="965" t="e">
        <f t="shared" si="696"/>
        <v>#VALUE!</v>
      </c>
      <c r="BO734" s="878" t="e">
        <f t="shared" si="697"/>
        <v>#VALUE!</v>
      </c>
      <c r="BP734" s="878" t="e">
        <f t="shared" si="698"/>
        <v>#VALUE!</v>
      </c>
      <c r="BQ734" s="878" t="e">
        <f t="shared" si="699"/>
        <v>#VALUE!</v>
      </c>
      <c r="BR734" s="878" t="e">
        <f t="shared" si="700"/>
        <v>#VALUE!</v>
      </c>
      <c r="BS734" s="966" t="e">
        <f t="shared" si="701"/>
        <v>#VALUE!</v>
      </c>
    </row>
    <row r="735" spans="1:71">
      <c r="A735" s="284">
        <f t="shared" si="702"/>
        <v>667</v>
      </c>
      <c r="B735" s="285">
        <v>-2.978359297594086</v>
      </c>
      <c r="C735" s="285">
        <v>2.6682526433510572</v>
      </c>
      <c r="D735" s="285">
        <v>0.55453207324548093</v>
      </c>
      <c r="E735" s="285">
        <v>12.024426840431818</v>
      </c>
      <c r="H735" s="685">
        <f t="shared" si="648"/>
        <v>-4.1115931393631406</v>
      </c>
      <c r="I735" s="276">
        <f t="shared" si="649"/>
        <v>1.2138965066012048</v>
      </c>
      <c r="J735" s="276">
        <f t="shared" si="650"/>
        <v>-6.3837169614677727</v>
      </c>
      <c r="K735" s="276">
        <f t="shared" si="651"/>
        <v>-0.59495510379022243</v>
      </c>
      <c r="L735" s="276">
        <f t="shared" si="652"/>
        <v>-1.5549852325235825</v>
      </c>
      <c r="M735" s="276">
        <f t="shared" si="653"/>
        <v>0.2048710986081248</v>
      </c>
      <c r="N735" s="685">
        <f t="shared" si="654"/>
        <v>1.4610814323791887</v>
      </c>
      <c r="O735" s="276">
        <f t="shared" si="655"/>
        <v>1.8987416094186609</v>
      </c>
      <c r="P735" s="276">
        <f t="shared" si="656"/>
        <v>0.47823963568798455</v>
      </c>
      <c r="Q735" s="276">
        <f t="shared" si="657"/>
        <v>1.0178175535205465</v>
      </c>
      <c r="R735" s="276">
        <f t="shared" si="658"/>
        <v>1.5892128595635218</v>
      </c>
      <c r="S735" s="686">
        <f t="shared" si="659"/>
        <v>1.3620052794536559</v>
      </c>
      <c r="T735" s="685">
        <f t="shared" si="660"/>
        <v>3.8328957635164067</v>
      </c>
      <c r="U735" s="276">
        <f t="shared" si="661"/>
        <v>4.1212101373086032</v>
      </c>
      <c r="V735" s="276">
        <f t="shared" si="662"/>
        <v>5.121146334015374</v>
      </c>
      <c r="W735" s="276">
        <f t="shared" si="663"/>
        <v>4.6428591091567712</v>
      </c>
      <c r="X735" s="276">
        <f t="shared" si="664"/>
        <v>3.8588735417010072</v>
      </c>
      <c r="Y735" s="686">
        <f t="shared" si="665"/>
        <v>4.0175780204555469</v>
      </c>
      <c r="Z735" s="685" t="e">
        <f t="shared" si="666"/>
        <v>#DIV/0!</v>
      </c>
      <c r="AA735" s="276" t="e">
        <f t="shared" si="667"/>
        <v>#DIV/0!</v>
      </c>
      <c r="AB735" s="276" t="e">
        <f t="shared" si="668"/>
        <v>#DIV/0!</v>
      </c>
      <c r="AC735" s="276" t="e">
        <f t="shared" si="669"/>
        <v>#DIV/0!</v>
      </c>
      <c r="AD735" s="276" t="e">
        <f t="shared" si="670"/>
        <v>#DIV/0!</v>
      </c>
      <c r="AE735" s="686" t="e">
        <f t="shared" si="671"/>
        <v>#DIV/0!</v>
      </c>
      <c r="AF735" s="239"/>
      <c r="AG735" s="965" t="e">
        <f t="shared" si="642"/>
        <v>#VALUE!</v>
      </c>
      <c r="AH735" s="878" t="e">
        <f t="shared" si="643"/>
        <v>#VALUE!</v>
      </c>
      <c r="AI735" s="878" t="e">
        <f t="shared" si="644"/>
        <v>#VALUE!</v>
      </c>
      <c r="AJ735" s="878" t="e">
        <f t="shared" si="645"/>
        <v>#VALUE!</v>
      </c>
      <c r="AK735" s="878" t="e">
        <f t="shared" si="646"/>
        <v>#VALUE!</v>
      </c>
      <c r="AL735" s="966" t="e">
        <f t="shared" si="647"/>
        <v>#VALUE!</v>
      </c>
      <c r="AM735" s="239"/>
      <c r="AO735" s="685">
        <f t="shared" si="672"/>
        <v>-4.1115931393631406</v>
      </c>
      <c r="AP735" s="276">
        <f t="shared" si="673"/>
        <v>1.2138965066012048</v>
      </c>
      <c r="AQ735" s="276">
        <f t="shared" si="674"/>
        <v>-6.3837169614677727</v>
      </c>
      <c r="AR735" s="276">
        <f t="shared" si="675"/>
        <v>-0.59495510379022243</v>
      </c>
      <c r="AS735" s="276">
        <f t="shared" si="676"/>
        <v>-1.5549852325235825</v>
      </c>
      <c r="AT735" s="276">
        <f t="shared" si="677"/>
        <v>0.2048710986081248</v>
      </c>
      <c r="AU735" s="685">
        <f t="shared" si="678"/>
        <v>1.4610814323791887</v>
      </c>
      <c r="AV735" s="276">
        <f t="shared" si="679"/>
        <v>1.8987416094186609</v>
      </c>
      <c r="AW735" s="276">
        <f t="shared" si="680"/>
        <v>0.47823963568798455</v>
      </c>
      <c r="AX735" s="276">
        <f t="shared" si="681"/>
        <v>1.0178175535205465</v>
      </c>
      <c r="AY735" s="276">
        <f t="shared" si="682"/>
        <v>1.5892128595635218</v>
      </c>
      <c r="AZ735" s="686">
        <f t="shared" si="683"/>
        <v>1.3620052794536559</v>
      </c>
      <c r="BA735" s="685">
        <f t="shared" si="684"/>
        <v>0</v>
      </c>
      <c r="BB735" s="276">
        <f t="shared" si="685"/>
        <v>0</v>
      </c>
      <c r="BC735" s="276">
        <f t="shared" si="686"/>
        <v>0</v>
      </c>
      <c r="BD735" s="276">
        <f t="shared" si="687"/>
        <v>0</v>
      </c>
      <c r="BE735" s="276">
        <f t="shared" si="688"/>
        <v>0</v>
      </c>
      <c r="BF735" s="686">
        <f t="shared" si="689"/>
        <v>0</v>
      </c>
      <c r="BG735" s="685" t="e">
        <f t="shared" si="690"/>
        <v>#DIV/0!</v>
      </c>
      <c r="BH735" s="276" t="e">
        <f t="shared" si="691"/>
        <v>#DIV/0!</v>
      </c>
      <c r="BI735" s="276" t="e">
        <f t="shared" si="692"/>
        <v>#DIV/0!</v>
      </c>
      <c r="BJ735" s="276" t="e">
        <f t="shared" si="693"/>
        <v>#DIV/0!</v>
      </c>
      <c r="BK735" s="276" t="e">
        <f t="shared" si="694"/>
        <v>#DIV/0!</v>
      </c>
      <c r="BL735" s="686" t="e">
        <f t="shared" si="695"/>
        <v>#DIV/0!</v>
      </c>
      <c r="BM735" s="239"/>
      <c r="BN735" s="965" t="e">
        <f t="shared" si="696"/>
        <v>#VALUE!</v>
      </c>
      <c r="BO735" s="878" t="e">
        <f t="shared" si="697"/>
        <v>#VALUE!</v>
      </c>
      <c r="BP735" s="878" t="e">
        <f t="shared" si="698"/>
        <v>#VALUE!</v>
      </c>
      <c r="BQ735" s="878" t="e">
        <f t="shared" si="699"/>
        <v>#VALUE!</v>
      </c>
      <c r="BR735" s="878" t="e">
        <f t="shared" si="700"/>
        <v>#VALUE!</v>
      </c>
      <c r="BS735" s="966" t="e">
        <f t="shared" si="701"/>
        <v>#VALUE!</v>
      </c>
    </row>
    <row r="736" spans="1:71">
      <c r="A736" s="284">
        <f t="shared" si="702"/>
        <v>668</v>
      </c>
      <c r="B736" s="285">
        <v>-1.057317978745584</v>
      </c>
      <c r="C736" s="285">
        <v>1.5354401221086573</v>
      </c>
      <c r="D736" s="285">
        <v>3.8044882433166816</v>
      </c>
      <c r="E736" s="285">
        <v>-19.445024133489131</v>
      </c>
      <c r="H736" s="685">
        <f t="shared" si="648"/>
        <v>-2.1905518205146386</v>
      </c>
      <c r="I736" s="276">
        <f t="shared" si="649"/>
        <v>4.9425436742726099</v>
      </c>
      <c r="J736" s="276">
        <f t="shared" si="650"/>
        <v>-3.6057266903558061</v>
      </c>
      <c r="K736" s="276">
        <f t="shared" si="651"/>
        <v>1.289120659638632</v>
      </c>
      <c r="L736" s="276">
        <f t="shared" si="652"/>
        <v>0.47381004608230382</v>
      </c>
      <c r="M736" s="276">
        <f t="shared" si="653"/>
        <v>-2.1797692503657848</v>
      </c>
      <c r="N736" s="685">
        <f t="shared" si="654"/>
        <v>0.32826891113678891</v>
      </c>
      <c r="O736" s="276">
        <f t="shared" si="655"/>
        <v>2.1252229172707313</v>
      </c>
      <c r="P736" s="276">
        <f t="shared" si="656"/>
        <v>1.6863421116166719</v>
      </c>
      <c r="Q736" s="276">
        <f t="shared" si="657"/>
        <v>0.80319678354916912</v>
      </c>
      <c r="R736" s="276">
        <f t="shared" si="658"/>
        <v>1.6576610924306847</v>
      </c>
      <c r="S736" s="686">
        <f t="shared" si="659"/>
        <v>0.14351494501395567</v>
      </c>
      <c r="T736" s="685">
        <f t="shared" si="660"/>
        <v>7.082851933587607</v>
      </c>
      <c r="U736" s="276">
        <f t="shared" si="661"/>
        <v>6.2204037920746345</v>
      </c>
      <c r="V736" s="276">
        <f t="shared" si="662"/>
        <v>3.3342376171080153</v>
      </c>
      <c r="W736" s="276">
        <f t="shared" si="663"/>
        <v>5.309793520160218</v>
      </c>
      <c r="X736" s="276">
        <f t="shared" si="664"/>
        <v>5.2563743792634838</v>
      </c>
      <c r="Y736" s="686">
        <f t="shared" si="665"/>
        <v>4.7293161198435971</v>
      </c>
      <c r="Z736" s="685" t="e">
        <f t="shared" si="666"/>
        <v>#DIV/0!</v>
      </c>
      <c r="AA736" s="276" t="e">
        <f t="shared" si="667"/>
        <v>#DIV/0!</v>
      </c>
      <c r="AB736" s="276" t="e">
        <f t="shared" si="668"/>
        <v>#DIV/0!</v>
      </c>
      <c r="AC736" s="276" t="e">
        <f t="shared" si="669"/>
        <v>#DIV/0!</v>
      </c>
      <c r="AD736" s="276" t="e">
        <f t="shared" si="670"/>
        <v>#DIV/0!</v>
      </c>
      <c r="AE736" s="686" t="e">
        <f t="shared" si="671"/>
        <v>#DIV/0!</v>
      </c>
      <c r="AF736" s="239"/>
      <c r="AG736" s="965" t="e">
        <f t="shared" si="642"/>
        <v>#VALUE!</v>
      </c>
      <c r="AH736" s="878" t="e">
        <f t="shared" si="643"/>
        <v>#VALUE!</v>
      </c>
      <c r="AI736" s="878" t="e">
        <f t="shared" si="644"/>
        <v>#VALUE!</v>
      </c>
      <c r="AJ736" s="878" t="e">
        <f t="shared" si="645"/>
        <v>#VALUE!</v>
      </c>
      <c r="AK736" s="878" t="e">
        <f t="shared" si="646"/>
        <v>#VALUE!</v>
      </c>
      <c r="AL736" s="966" t="e">
        <f t="shared" si="647"/>
        <v>#VALUE!</v>
      </c>
      <c r="AM736" s="239"/>
      <c r="AO736" s="685">
        <f t="shared" si="672"/>
        <v>-2.1905518205146386</v>
      </c>
      <c r="AP736" s="276">
        <f t="shared" si="673"/>
        <v>4.9425436742726099</v>
      </c>
      <c r="AQ736" s="276">
        <f t="shared" si="674"/>
        <v>-3.6057266903558061</v>
      </c>
      <c r="AR736" s="276">
        <f t="shared" si="675"/>
        <v>1.289120659638632</v>
      </c>
      <c r="AS736" s="276">
        <f t="shared" si="676"/>
        <v>0.47381004608230382</v>
      </c>
      <c r="AT736" s="276">
        <f t="shared" si="677"/>
        <v>-2.1797692503657848</v>
      </c>
      <c r="AU736" s="685">
        <f t="shared" si="678"/>
        <v>0.32826891113678891</v>
      </c>
      <c r="AV736" s="276">
        <f t="shared" si="679"/>
        <v>2.1252229172707313</v>
      </c>
      <c r="AW736" s="276">
        <f t="shared" si="680"/>
        <v>1.6863421116166719</v>
      </c>
      <c r="AX736" s="276">
        <f t="shared" si="681"/>
        <v>0.80319678354916912</v>
      </c>
      <c r="AY736" s="276">
        <f t="shared" si="682"/>
        <v>1.6576610924306847</v>
      </c>
      <c r="AZ736" s="686">
        <f t="shared" si="683"/>
        <v>0.14351494501395567</v>
      </c>
      <c r="BA736" s="685">
        <f t="shared" si="684"/>
        <v>0</v>
      </c>
      <c r="BB736" s="276">
        <f t="shared" si="685"/>
        <v>0</v>
      </c>
      <c r="BC736" s="276">
        <f t="shared" si="686"/>
        <v>0</v>
      </c>
      <c r="BD736" s="276">
        <f t="shared" si="687"/>
        <v>0</v>
      </c>
      <c r="BE736" s="276">
        <f t="shared" si="688"/>
        <v>0</v>
      </c>
      <c r="BF736" s="686">
        <f t="shared" si="689"/>
        <v>0</v>
      </c>
      <c r="BG736" s="685" t="e">
        <f t="shared" si="690"/>
        <v>#DIV/0!</v>
      </c>
      <c r="BH736" s="276" t="e">
        <f t="shared" si="691"/>
        <v>#DIV/0!</v>
      </c>
      <c r="BI736" s="276" t="e">
        <f t="shared" si="692"/>
        <v>#DIV/0!</v>
      </c>
      <c r="BJ736" s="276" t="e">
        <f t="shared" si="693"/>
        <v>#DIV/0!</v>
      </c>
      <c r="BK736" s="276" t="e">
        <f t="shared" si="694"/>
        <v>#DIV/0!</v>
      </c>
      <c r="BL736" s="686" t="e">
        <f t="shared" si="695"/>
        <v>#DIV/0!</v>
      </c>
      <c r="BM736" s="239"/>
      <c r="BN736" s="965" t="e">
        <f t="shared" si="696"/>
        <v>#VALUE!</v>
      </c>
      <c r="BO736" s="878" t="e">
        <f t="shared" si="697"/>
        <v>#VALUE!</v>
      </c>
      <c r="BP736" s="878" t="e">
        <f t="shared" si="698"/>
        <v>#VALUE!</v>
      </c>
      <c r="BQ736" s="878" t="e">
        <f t="shared" si="699"/>
        <v>#VALUE!</v>
      </c>
      <c r="BR736" s="878" t="e">
        <f t="shared" si="700"/>
        <v>#VALUE!</v>
      </c>
      <c r="BS736" s="966" t="e">
        <f t="shared" si="701"/>
        <v>#VALUE!</v>
      </c>
    </row>
    <row r="737" spans="1:71">
      <c r="A737" s="284">
        <f t="shared" si="702"/>
        <v>669</v>
      </c>
      <c r="B737" s="285">
        <v>5.5594359403570914</v>
      </c>
      <c r="C737" s="285">
        <v>2.3675989675599789</v>
      </c>
      <c r="D737" s="285">
        <v>1.6303272103649151</v>
      </c>
      <c r="E737" s="285">
        <v>-2.7642861137195829</v>
      </c>
      <c r="H737" s="685">
        <f t="shared" si="648"/>
        <v>4.4262020985880364</v>
      </c>
      <c r="I737" s="276">
        <f t="shared" si="649"/>
        <v>-0.19446844013478715</v>
      </c>
      <c r="J737" s="276">
        <f t="shared" si="650"/>
        <v>-0.37077928623682455</v>
      </c>
      <c r="K737" s="276">
        <f t="shared" si="651"/>
        <v>0.33510548996159262</v>
      </c>
      <c r="L737" s="276">
        <f t="shared" si="652"/>
        <v>-3.1581611440352342</v>
      </c>
      <c r="M737" s="276">
        <f t="shared" si="653"/>
        <v>-2.2714582115975577</v>
      </c>
      <c r="N737" s="685">
        <f t="shared" si="654"/>
        <v>1.1604277565881105</v>
      </c>
      <c r="O737" s="276">
        <f t="shared" si="655"/>
        <v>1.5184945645961887</v>
      </c>
      <c r="P737" s="276">
        <f t="shared" si="656"/>
        <v>1.885562093421665</v>
      </c>
      <c r="Q737" s="276">
        <f t="shared" si="657"/>
        <v>0.93038917309253644</v>
      </c>
      <c r="R737" s="276">
        <f t="shared" si="658"/>
        <v>1.0723396871062085</v>
      </c>
      <c r="S737" s="686">
        <f t="shared" si="659"/>
        <v>1.950478847262836</v>
      </c>
      <c r="T737" s="685">
        <f t="shared" si="660"/>
        <v>4.9086909006358415</v>
      </c>
      <c r="U737" s="276">
        <f t="shared" si="661"/>
        <v>4.976118830927641</v>
      </c>
      <c r="V737" s="276">
        <f t="shared" si="662"/>
        <v>3.9580742167216392</v>
      </c>
      <c r="W737" s="276">
        <f t="shared" si="663"/>
        <v>4.9531767475983361</v>
      </c>
      <c r="X737" s="276">
        <f t="shared" si="664"/>
        <v>3.6911863588468425</v>
      </c>
      <c r="Y737" s="686">
        <f t="shared" si="665"/>
        <v>2.5075893658281827</v>
      </c>
      <c r="Z737" s="685" t="e">
        <f t="shared" si="666"/>
        <v>#DIV/0!</v>
      </c>
      <c r="AA737" s="276" t="e">
        <f t="shared" si="667"/>
        <v>#DIV/0!</v>
      </c>
      <c r="AB737" s="276" t="e">
        <f t="shared" si="668"/>
        <v>#DIV/0!</v>
      </c>
      <c r="AC737" s="276" t="e">
        <f t="shared" si="669"/>
        <v>#DIV/0!</v>
      </c>
      <c r="AD737" s="276" t="e">
        <f t="shared" si="670"/>
        <v>#DIV/0!</v>
      </c>
      <c r="AE737" s="686" t="e">
        <f t="shared" si="671"/>
        <v>#DIV/0!</v>
      </c>
      <c r="AF737" s="239"/>
      <c r="AG737" s="965" t="e">
        <f t="shared" si="642"/>
        <v>#VALUE!</v>
      </c>
      <c r="AH737" s="878" t="e">
        <f t="shared" si="643"/>
        <v>#VALUE!</v>
      </c>
      <c r="AI737" s="878" t="e">
        <f t="shared" si="644"/>
        <v>#VALUE!</v>
      </c>
      <c r="AJ737" s="878" t="e">
        <f t="shared" si="645"/>
        <v>#VALUE!</v>
      </c>
      <c r="AK737" s="878" t="e">
        <f t="shared" si="646"/>
        <v>#VALUE!</v>
      </c>
      <c r="AL737" s="966" t="e">
        <f t="shared" si="647"/>
        <v>#VALUE!</v>
      </c>
      <c r="AM737" s="239"/>
      <c r="AO737" s="685">
        <f t="shared" si="672"/>
        <v>4.4262020985880364</v>
      </c>
      <c r="AP737" s="276">
        <f t="shared" si="673"/>
        <v>-0.19446844013478715</v>
      </c>
      <c r="AQ737" s="276">
        <f t="shared" si="674"/>
        <v>-0.37077928623682455</v>
      </c>
      <c r="AR737" s="276">
        <f t="shared" si="675"/>
        <v>0.33510548996159262</v>
      </c>
      <c r="AS737" s="276">
        <f t="shared" si="676"/>
        <v>-3.1581611440352342</v>
      </c>
      <c r="AT737" s="276">
        <f t="shared" si="677"/>
        <v>-2.2714582115975577</v>
      </c>
      <c r="AU737" s="685">
        <f t="shared" si="678"/>
        <v>1.1604277565881105</v>
      </c>
      <c r="AV737" s="276">
        <f t="shared" si="679"/>
        <v>1.5184945645961887</v>
      </c>
      <c r="AW737" s="276">
        <f t="shared" si="680"/>
        <v>1.885562093421665</v>
      </c>
      <c r="AX737" s="276">
        <f t="shared" si="681"/>
        <v>0.93038917309253644</v>
      </c>
      <c r="AY737" s="276">
        <f t="shared" si="682"/>
        <v>1.0723396871062085</v>
      </c>
      <c r="AZ737" s="686">
        <f t="shared" si="683"/>
        <v>1.950478847262836</v>
      </c>
      <c r="BA737" s="685">
        <f t="shared" si="684"/>
        <v>0</v>
      </c>
      <c r="BB737" s="276">
        <f t="shared" si="685"/>
        <v>0</v>
      </c>
      <c r="BC737" s="276">
        <f t="shared" si="686"/>
        <v>0</v>
      </c>
      <c r="BD737" s="276">
        <f t="shared" si="687"/>
        <v>0</v>
      </c>
      <c r="BE737" s="276">
        <f t="shared" si="688"/>
        <v>0</v>
      </c>
      <c r="BF737" s="686">
        <f t="shared" si="689"/>
        <v>0</v>
      </c>
      <c r="BG737" s="685" t="e">
        <f t="shared" si="690"/>
        <v>#DIV/0!</v>
      </c>
      <c r="BH737" s="276" t="e">
        <f t="shared" si="691"/>
        <v>#DIV/0!</v>
      </c>
      <c r="BI737" s="276" t="e">
        <f t="shared" si="692"/>
        <v>#DIV/0!</v>
      </c>
      <c r="BJ737" s="276" t="e">
        <f t="shared" si="693"/>
        <v>#DIV/0!</v>
      </c>
      <c r="BK737" s="276" t="e">
        <f t="shared" si="694"/>
        <v>#DIV/0!</v>
      </c>
      <c r="BL737" s="686" t="e">
        <f t="shared" si="695"/>
        <v>#DIV/0!</v>
      </c>
      <c r="BM737" s="239"/>
      <c r="BN737" s="965" t="e">
        <f t="shared" si="696"/>
        <v>#VALUE!</v>
      </c>
      <c r="BO737" s="878" t="e">
        <f t="shared" si="697"/>
        <v>#VALUE!</v>
      </c>
      <c r="BP737" s="878" t="e">
        <f t="shared" si="698"/>
        <v>#VALUE!</v>
      </c>
      <c r="BQ737" s="878" t="e">
        <f t="shared" si="699"/>
        <v>#VALUE!</v>
      </c>
      <c r="BR737" s="878" t="e">
        <f t="shared" si="700"/>
        <v>#VALUE!</v>
      </c>
      <c r="BS737" s="966" t="e">
        <f t="shared" si="701"/>
        <v>#VALUE!</v>
      </c>
    </row>
    <row r="738" spans="1:71">
      <c r="A738" s="284">
        <f t="shared" si="702"/>
        <v>670</v>
      </c>
      <c r="B738" s="285">
        <v>1.8558068725964625</v>
      </c>
      <c r="C738" s="285">
        <v>3.3865210992775068</v>
      </c>
      <c r="D738" s="285">
        <v>1.4292267474580327</v>
      </c>
      <c r="E738" s="285">
        <v>24.66139417948828</v>
      </c>
      <c r="H738" s="685">
        <f t="shared" si="648"/>
        <v>0.72257303082740765</v>
      </c>
      <c r="I738" s="276">
        <f t="shared" si="649"/>
        <v>-4.5915557012479065</v>
      </c>
      <c r="J738" s="276">
        <f t="shared" si="650"/>
        <v>-1.058478336443152</v>
      </c>
      <c r="K738" s="276">
        <f t="shared" si="651"/>
        <v>2.5568773243907499</v>
      </c>
      <c r="L738" s="276">
        <f t="shared" si="652"/>
        <v>-1.9137612706367981</v>
      </c>
      <c r="M738" s="276">
        <f t="shared" si="653"/>
        <v>-8.1210565905439722</v>
      </c>
      <c r="N738" s="685">
        <f t="shared" si="654"/>
        <v>2.1793498883056381</v>
      </c>
      <c r="O738" s="276">
        <f t="shared" si="655"/>
        <v>1.8089425653684146</v>
      </c>
      <c r="P738" s="276">
        <f t="shared" si="656"/>
        <v>1.5194779879139799</v>
      </c>
      <c r="Q738" s="276">
        <f t="shared" si="657"/>
        <v>1.5947386836958086</v>
      </c>
      <c r="R738" s="276">
        <f t="shared" si="658"/>
        <v>1.1262154656837458</v>
      </c>
      <c r="S738" s="686">
        <f t="shared" si="659"/>
        <v>1.0272198014400498</v>
      </c>
      <c r="T738" s="685">
        <f t="shared" si="660"/>
        <v>4.7075904377289586</v>
      </c>
      <c r="U738" s="276">
        <f t="shared" si="661"/>
        <v>1.01236949036756</v>
      </c>
      <c r="V738" s="276">
        <f t="shared" si="662"/>
        <v>4.256171201693963</v>
      </c>
      <c r="W738" s="276">
        <f t="shared" si="663"/>
        <v>5.2487477083819236</v>
      </c>
      <c r="X738" s="276">
        <f t="shared" si="664"/>
        <v>3.3846341044029495</v>
      </c>
      <c r="Y738" s="686">
        <f t="shared" si="665"/>
        <v>5.6216946646151733</v>
      </c>
      <c r="Z738" s="685" t="e">
        <f t="shared" si="666"/>
        <v>#DIV/0!</v>
      </c>
      <c r="AA738" s="276" t="e">
        <f t="shared" si="667"/>
        <v>#DIV/0!</v>
      </c>
      <c r="AB738" s="276" t="e">
        <f t="shared" si="668"/>
        <v>#DIV/0!</v>
      </c>
      <c r="AC738" s="276" t="e">
        <f t="shared" si="669"/>
        <v>#DIV/0!</v>
      </c>
      <c r="AD738" s="276" t="e">
        <f t="shared" si="670"/>
        <v>#DIV/0!</v>
      </c>
      <c r="AE738" s="686" t="e">
        <f t="shared" si="671"/>
        <v>#DIV/0!</v>
      </c>
      <c r="AF738" s="239"/>
      <c r="AG738" s="965" t="e">
        <f t="shared" si="642"/>
        <v>#VALUE!</v>
      </c>
      <c r="AH738" s="878" t="e">
        <f t="shared" si="643"/>
        <v>#VALUE!</v>
      </c>
      <c r="AI738" s="878" t="e">
        <f t="shared" si="644"/>
        <v>#VALUE!</v>
      </c>
      <c r="AJ738" s="878" t="e">
        <f t="shared" si="645"/>
        <v>#VALUE!</v>
      </c>
      <c r="AK738" s="878" t="e">
        <f t="shared" si="646"/>
        <v>#VALUE!</v>
      </c>
      <c r="AL738" s="966" t="e">
        <f t="shared" si="647"/>
        <v>#VALUE!</v>
      </c>
      <c r="AM738" s="239"/>
      <c r="AO738" s="685">
        <f t="shared" si="672"/>
        <v>0.72257303082740765</v>
      </c>
      <c r="AP738" s="276">
        <f t="shared" si="673"/>
        <v>-4.5915557012479065</v>
      </c>
      <c r="AQ738" s="276">
        <f t="shared" si="674"/>
        <v>-1.058478336443152</v>
      </c>
      <c r="AR738" s="276">
        <f t="shared" si="675"/>
        <v>2.5568773243907499</v>
      </c>
      <c r="AS738" s="276">
        <f t="shared" si="676"/>
        <v>-1.9137612706367981</v>
      </c>
      <c r="AT738" s="276">
        <f t="shared" si="677"/>
        <v>-8.1210565905439722</v>
      </c>
      <c r="AU738" s="685">
        <f t="shared" si="678"/>
        <v>2.1793498883056381</v>
      </c>
      <c r="AV738" s="276">
        <f t="shared" si="679"/>
        <v>1.8089425653684146</v>
      </c>
      <c r="AW738" s="276">
        <f t="shared" si="680"/>
        <v>1.5194779879139799</v>
      </c>
      <c r="AX738" s="276">
        <f t="shared" si="681"/>
        <v>1.5947386836958086</v>
      </c>
      <c r="AY738" s="276">
        <f t="shared" si="682"/>
        <v>1.1262154656837458</v>
      </c>
      <c r="AZ738" s="686">
        <f t="shared" si="683"/>
        <v>1.0272198014400498</v>
      </c>
      <c r="BA738" s="685">
        <f t="shared" si="684"/>
        <v>0</v>
      </c>
      <c r="BB738" s="276">
        <f t="shared" si="685"/>
        <v>0</v>
      </c>
      <c r="BC738" s="276">
        <f t="shared" si="686"/>
        <v>0</v>
      </c>
      <c r="BD738" s="276">
        <f t="shared" si="687"/>
        <v>0</v>
      </c>
      <c r="BE738" s="276">
        <f t="shared" si="688"/>
        <v>0</v>
      </c>
      <c r="BF738" s="686">
        <f t="shared" si="689"/>
        <v>0</v>
      </c>
      <c r="BG738" s="685" t="e">
        <f t="shared" si="690"/>
        <v>#DIV/0!</v>
      </c>
      <c r="BH738" s="276" t="e">
        <f t="shared" si="691"/>
        <v>#DIV/0!</v>
      </c>
      <c r="BI738" s="276" t="e">
        <f t="shared" si="692"/>
        <v>#DIV/0!</v>
      </c>
      <c r="BJ738" s="276" t="e">
        <f t="shared" si="693"/>
        <v>#DIV/0!</v>
      </c>
      <c r="BK738" s="276" t="e">
        <f t="shared" si="694"/>
        <v>#DIV/0!</v>
      </c>
      <c r="BL738" s="686" t="e">
        <f t="shared" si="695"/>
        <v>#DIV/0!</v>
      </c>
      <c r="BM738" s="239"/>
      <c r="BN738" s="965" t="e">
        <f t="shared" si="696"/>
        <v>#VALUE!</v>
      </c>
      <c r="BO738" s="878" t="e">
        <f t="shared" si="697"/>
        <v>#VALUE!</v>
      </c>
      <c r="BP738" s="878" t="e">
        <f t="shared" si="698"/>
        <v>#VALUE!</v>
      </c>
      <c r="BQ738" s="878" t="e">
        <f t="shared" si="699"/>
        <v>#VALUE!</v>
      </c>
      <c r="BR738" s="878" t="e">
        <f t="shared" si="700"/>
        <v>#VALUE!</v>
      </c>
      <c r="BS738" s="966" t="e">
        <f t="shared" si="701"/>
        <v>#VALUE!</v>
      </c>
    </row>
    <row r="739" spans="1:71">
      <c r="A739" s="284">
        <f t="shared" si="702"/>
        <v>671</v>
      </c>
      <c r="B739" s="285">
        <v>1.9703035952348014</v>
      </c>
      <c r="C739" s="285">
        <v>1.9562481463554726</v>
      </c>
      <c r="D739" s="285">
        <v>3.5665253733985418</v>
      </c>
      <c r="E739" s="285">
        <v>-12.132250237715251</v>
      </c>
      <c r="H739" s="685">
        <f t="shared" si="648"/>
        <v>0.83706975346574652</v>
      </c>
      <c r="I739" s="276">
        <f t="shared" si="649"/>
        <v>-5.3770209553697361</v>
      </c>
      <c r="J739" s="276">
        <f t="shared" si="650"/>
        <v>1.1008089215751138E-2</v>
      </c>
      <c r="K739" s="276">
        <f t="shared" si="651"/>
        <v>1.2205045975874684E-2</v>
      </c>
      <c r="L739" s="276">
        <f t="shared" si="652"/>
        <v>-2.0259591162670341</v>
      </c>
      <c r="M739" s="276">
        <f t="shared" si="653"/>
        <v>0.41291094570585796</v>
      </c>
      <c r="N739" s="685">
        <f t="shared" si="654"/>
        <v>0.7490769353836042</v>
      </c>
      <c r="O739" s="276">
        <f t="shared" si="655"/>
        <v>1.5590102624776006</v>
      </c>
      <c r="P739" s="276">
        <f t="shared" si="656"/>
        <v>1.6413128127599144</v>
      </c>
      <c r="Q739" s="276">
        <f t="shared" si="657"/>
        <v>1.6086965696747917</v>
      </c>
      <c r="R739" s="276">
        <f t="shared" si="658"/>
        <v>1.6632264605656528</v>
      </c>
      <c r="S739" s="686">
        <f t="shared" si="659"/>
        <v>0.98140416862636237</v>
      </c>
      <c r="T739" s="685">
        <f t="shared" si="660"/>
        <v>6.8448890636694681</v>
      </c>
      <c r="U739" s="276">
        <f t="shared" si="661"/>
        <v>4.5034795136171066</v>
      </c>
      <c r="V739" s="276">
        <f t="shared" si="662"/>
        <v>4.180529164395856</v>
      </c>
      <c r="W739" s="276">
        <f t="shared" si="663"/>
        <v>7.280879701207283</v>
      </c>
      <c r="X739" s="276">
        <f t="shared" si="664"/>
        <v>4.9658984514182087</v>
      </c>
      <c r="Y739" s="686">
        <f t="shared" si="665"/>
        <v>6.1856053935209481</v>
      </c>
      <c r="Z739" s="685" t="e">
        <f t="shared" si="666"/>
        <v>#DIV/0!</v>
      </c>
      <c r="AA739" s="276" t="e">
        <f t="shared" si="667"/>
        <v>#DIV/0!</v>
      </c>
      <c r="AB739" s="276" t="e">
        <f t="shared" si="668"/>
        <v>#DIV/0!</v>
      </c>
      <c r="AC739" s="276" t="e">
        <f t="shared" si="669"/>
        <v>#DIV/0!</v>
      </c>
      <c r="AD739" s="276" t="e">
        <f t="shared" si="670"/>
        <v>#DIV/0!</v>
      </c>
      <c r="AE739" s="686" t="e">
        <f t="shared" si="671"/>
        <v>#DIV/0!</v>
      </c>
      <c r="AF739" s="239"/>
      <c r="AG739" s="965" t="e">
        <f t="shared" si="642"/>
        <v>#VALUE!</v>
      </c>
      <c r="AH739" s="878" t="e">
        <f t="shared" si="643"/>
        <v>#VALUE!</v>
      </c>
      <c r="AI739" s="878" t="e">
        <f t="shared" si="644"/>
        <v>#VALUE!</v>
      </c>
      <c r="AJ739" s="878" t="e">
        <f t="shared" si="645"/>
        <v>#VALUE!</v>
      </c>
      <c r="AK739" s="878" t="e">
        <f t="shared" si="646"/>
        <v>#VALUE!</v>
      </c>
      <c r="AL739" s="966" t="e">
        <f t="shared" si="647"/>
        <v>#VALUE!</v>
      </c>
      <c r="AM739" s="239"/>
      <c r="AO739" s="685">
        <f t="shared" si="672"/>
        <v>0.83706975346574652</v>
      </c>
      <c r="AP739" s="276">
        <f t="shared" si="673"/>
        <v>-5.3770209553697361</v>
      </c>
      <c r="AQ739" s="276">
        <f t="shared" si="674"/>
        <v>1.1008089215751138E-2</v>
      </c>
      <c r="AR739" s="276">
        <f t="shared" si="675"/>
        <v>1.2205045975874684E-2</v>
      </c>
      <c r="AS739" s="276">
        <f t="shared" si="676"/>
        <v>-2.0259591162670341</v>
      </c>
      <c r="AT739" s="276">
        <f t="shared" si="677"/>
        <v>0.41291094570585796</v>
      </c>
      <c r="AU739" s="685">
        <f t="shared" si="678"/>
        <v>0.7490769353836042</v>
      </c>
      <c r="AV739" s="276">
        <f t="shared" si="679"/>
        <v>1.5590102624776006</v>
      </c>
      <c r="AW739" s="276">
        <f t="shared" si="680"/>
        <v>1.6413128127599144</v>
      </c>
      <c r="AX739" s="276">
        <f t="shared" si="681"/>
        <v>1.6086965696747917</v>
      </c>
      <c r="AY739" s="276">
        <f t="shared" si="682"/>
        <v>1.6632264605656528</v>
      </c>
      <c r="AZ739" s="686">
        <f t="shared" si="683"/>
        <v>0.98140416862636237</v>
      </c>
      <c r="BA739" s="685">
        <f t="shared" si="684"/>
        <v>0</v>
      </c>
      <c r="BB739" s="276">
        <f t="shared" si="685"/>
        <v>0</v>
      </c>
      <c r="BC739" s="276">
        <f t="shared" si="686"/>
        <v>0</v>
      </c>
      <c r="BD739" s="276">
        <f t="shared" si="687"/>
        <v>0</v>
      </c>
      <c r="BE739" s="276">
        <f t="shared" si="688"/>
        <v>0</v>
      </c>
      <c r="BF739" s="686">
        <f t="shared" si="689"/>
        <v>0</v>
      </c>
      <c r="BG739" s="685" t="e">
        <f t="shared" si="690"/>
        <v>#DIV/0!</v>
      </c>
      <c r="BH739" s="276" t="e">
        <f t="shared" si="691"/>
        <v>#DIV/0!</v>
      </c>
      <c r="BI739" s="276" t="e">
        <f t="shared" si="692"/>
        <v>#DIV/0!</v>
      </c>
      <c r="BJ739" s="276" t="e">
        <f t="shared" si="693"/>
        <v>#DIV/0!</v>
      </c>
      <c r="BK739" s="276" t="e">
        <f t="shared" si="694"/>
        <v>#DIV/0!</v>
      </c>
      <c r="BL739" s="686" t="e">
        <f t="shared" si="695"/>
        <v>#DIV/0!</v>
      </c>
      <c r="BM739" s="239"/>
      <c r="BN739" s="965" t="e">
        <f t="shared" si="696"/>
        <v>#VALUE!</v>
      </c>
      <c r="BO739" s="878" t="e">
        <f t="shared" si="697"/>
        <v>#VALUE!</v>
      </c>
      <c r="BP739" s="878" t="e">
        <f t="shared" si="698"/>
        <v>#VALUE!</v>
      </c>
      <c r="BQ739" s="878" t="e">
        <f t="shared" si="699"/>
        <v>#VALUE!</v>
      </c>
      <c r="BR739" s="878" t="e">
        <f t="shared" si="700"/>
        <v>#VALUE!</v>
      </c>
      <c r="BS739" s="966" t="e">
        <f t="shared" si="701"/>
        <v>#VALUE!</v>
      </c>
    </row>
    <row r="740" spans="1:71">
      <c r="A740" s="284">
        <f t="shared" si="702"/>
        <v>672</v>
      </c>
      <c r="B740" s="285">
        <v>0.98684464866078692</v>
      </c>
      <c r="C740" s="285">
        <v>2.0931343840436414</v>
      </c>
      <c r="D740" s="285">
        <v>2.0330424348953353</v>
      </c>
      <c r="E740" s="285">
        <v>-6.3542502645090231</v>
      </c>
      <c r="H740" s="685">
        <f t="shared" si="648"/>
        <v>-0.14638919310826792</v>
      </c>
      <c r="I740" s="276">
        <f t="shared" si="649"/>
        <v>0.88224369699055871</v>
      </c>
      <c r="J740" s="276">
        <f t="shared" si="650"/>
        <v>0.39045146434312827</v>
      </c>
      <c r="K740" s="276">
        <f t="shared" si="651"/>
        <v>-0.60737513100860208</v>
      </c>
      <c r="L740" s="276">
        <f t="shared" si="652"/>
        <v>-6.7238777682221844</v>
      </c>
      <c r="M740" s="276">
        <f t="shared" si="653"/>
        <v>-1.6729714107724023</v>
      </c>
      <c r="N740" s="685">
        <f t="shared" si="654"/>
        <v>0.88596317307177297</v>
      </c>
      <c r="O740" s="276">
        <f t="shared" si="655"/>
        <v>1.588990090877753</v>
      </c>
      <c r="P740" s="276">
        <f t="shared" si="656"/>
        <v>1.7723112422945071</v>
      </c>
      <c r="Q740" s="276">
        <f t="shared" si="657"/>
        <v>1.7443563894109964</v>
      </c>
      <c r="R740" s="276">
        <f t="shared" si="658"/>
        <v>0.35509673150105336</v>
      </c>
      <c r="S740" s="686">
        <f t="shared" si="659"/>
        <v>1.0621478443358308</v>
      </c>
      <c r="T740" s="685">
        <f t="shared" si="660"/>
        <v>5.3114061251662612</v>
      </c>
      <c r="U740" s="276">
        <f t="shared" si="661"/>
        <v>4.9634782574174956</v>
      </c>
      <c r="V740" s="276">
        <f t="shared" si="662"/>
        <v>3.5690789284014484</v>
      </c>
      <c r="W740" s="276">
        <f t="shared" si="663"/>
        <v>2.5506715543229346</v>
      </c>
      <c r="X740" s="276">
        <f t="shared" si="664"/>
        <v>5.6821882017598639</v>
      </c>
      <c r="Y740" s="686">
        <f t="shared" si="665"/>
        <v>4.6926317096752745</v>
      </c>
      <c r="Z740" s="685" t="e">
        <f t="shared" si="666"/>
        <v>#DIV/0!</v>
      </c>
      <c r="AA740" s="276" t="e">
        <f t="shared" si="667"/>
        <v>#DIV/0!</v>
      </c>
      <c r="AB740" s="276" t="e">
        <f t="shared" si="668"/>
        <v>#DIV/0!</v>
      </c>
      <c r="AC740" s="276" t="e">
        <f t="shared" si="669"/>
        <v>#DIV/0!</v>
      </c>
      <c r="AD740" s="276" t="e">
        <f t="shared" si="670"/>
        <v>#DIV/0!</v>
      </c>
      <c r="AE740" s="686" t="e">
        <f t="shared" si="671"/>
        <v>#DIV/0!</v>
      </c>
      <c r="AF740" s="239"/>
      <c r="AG740" s="965" t="e">
        <f t="shared" si="642"/>
        <v>#VALUE!</v>
      </c>
      <c r="AH740" s="878" t="e">
        <f t="shared" si="643"/>
        <v>#VALUE!</v>
      </c>
      <c r="AI740" s="878" t="e">
        <f t="shared" si="644"/>
        <v>#VALUE!</v>
      </c>
      <c r="AJ740" s="878" t="e">
        <f t="shared" si="645"/>
        <v>#VALUE!</v>
      </c>
      <c r="AK740" s="878" t="e">
        <f t="shared" si="646"/>
        <v>#VALUE!</v>
      </c>
      <c r="AL740" s="966" t="e">
        <f t="shared" si="647"/>
        <v>#VALUE!</v>
      </c>
      <c r="AM740" s="239"/>
      <c r="AO740" s="685">
        <f t="shared" si="672"/>
        <v>-0.14638919310826792</v>
      </c>
      <c r="AP740" s="276">
        <f t="shared" si="673"/>
        <v>0.88224369699055871</v>
      </c>
      <c r="AQ740" s="276">
        <f t="shared" si="674"/>
        <v>0.39045146434312827</v>
      </c>
      <c r="AR740" s="276">
        <f t="shared" si="675"/>
        <v>-0.60737513100860208</v>
      </c>
      <c r="AS740" s="276">
        <f t="shared" si="676"/>
        <v>-6.7238777682221844</v>
      </c>
      <c r="AT740" s="276">
        <f t="shared" si="677"/>
        <v>-1.6729714107724023</v>
      </c>
      <c r="AU740" s="685">
        <f t="shared" si="678"/>
        <v>0.88596317307177297</v>
      </c>
      <c r="AV740" s="276">
        <f t="shared" si="679"/>
        <v>1.588990090877753</v>
      </c>
      <c r="AW740" s="276">
        <f t="shared" si="680"/>
        <v>1.7723112422945071</v>
      </c>
      <c r="AX740" s="276">
        <f t="shared" si="681"/>
        <v>1.7443563894109964</v>
      </c>
      <c r="AY740" s="276">
        <f t="shared" si="682"/>
        <v>0.35509673150105336</v>
      </c>
      <c r="AZ740" s="686">
        <f t="shared" si="683"/>
        <v>1.0621478443358308</v>
      </c>
      <c r="BA740" s="685">
        <f t="shared" si="684"/>
        <v>0</v>
      </c>
      <c r="BB740" s="276">
        <f t="shared" si="685"/>
        <v>0</v>
      </c>
      <c r="BC740" s="276">
        <f t="shared" si="686"/>
        <v>0</v>
      </c>
      <c r="BD740" s="276">
        <f t="shared" si="687"/>
        <v>0</v>
      </c>
      <c r="BE740" s="276">
        <f t="shared" si="688"/>
        <v>0</v>
      </c>
      <c r="BF740" s="686">
        <f t="shared" si="689"/>
        <v>0</v>
      </c>
      <c r="BG740" s="685" t="e">
        <f t="shared" si="690"/>
        <v>#DIV/0!</v>
      </c>
      <c r="BH740" s="276" t="e">
        <f t="shared" si="691"/>
        <v>#DIV/0!</v>
      </c>
      <c r="BI740" s="276" t="e">
        <f t="shared" si="692"/>
        <v>#DIV/0!</v>
      </c>
      <c r="BJ740" s="276" t="e">
        <f t="shared" si="693"/>
        <v>#DIV/0!</v>
      </c>
      <c r="BK740" s="276" t="e">
        <f t="shared" si="694"/>
        <v>#DIV/0!</v>
      </c>
      <c r="BL740" s="686" t="e">
        <f t="shared" si="695"/>
        <v>#DIV/0!</v>
      </c>
      <c r="BM740" s="239"/>
      <c r="BN740" s="965" t="e">
        <f t="shared" si="696"/>
        <v>#VALUE!</v>
      </c>
      <c r="BO740" s="878" t="e">
        <f t="shared" si="697"/>
        <v>#VALUE!</v>
      </c>
      <c r="BP740" s="878" t="e">
        <f t="shared" si="698"/>
        <v>#VALUE!</v>
      </c>
      <c r="BQ740" s="878" t="e">
        <f t="shared" si="699"/>
        <v>#VALUE!</v>
      </c>
      <c r="BR740" s="878" t="e">
        <f t="shared" si="700"/>
        <v>#VALUE!</v>
      </c>
      <c r="BS740" s="966" t="e">
        <f t="shared" si="701"/>
        <v>#VALUE!</v>
      </c>
    </row>
    <row r="741" spans="1:71">
      <c r="A741" s="284">
        <f t="shared" si="702"/>
        <v>673</v>
      </c>
      <c r="B741" s="285">
        <v>3.147905332962476</v>
      </c>
      <c r="C741" s="285">
        <v>1.9324977324744239</v>
      </c>
      <c r="D741" s="285">
        <v>0.83180293619154444</v>
      </c>
      <c r="E741" s="285">
        <v>-13.667590404885591</v>
      </c>
      <c r="H741" s="685">
        <f t="shared" si="648"/>
        <v>2.0146714911934209</v>
      </c>
      <c r="I741" s="276">
        <f t="shared" si="649"/>
        <v>2.7428584780350693</v>
      </c>
      <c r="J741" s="276">
        <f t="shared" si="650"/>
        <v>4.0752683691219431</v>
      </c>
      <c r="K741" s="276">
        <f t="shared" si="651"/>
        <v>2.4091990538169012</v>
      </c>
      <c r="L741" s="276">
        <f t="shared" si="652"/>
        <v>2.7587828180562077</v>
      </c>
      <c r="M741" s="276">
        <f t="shared" si="653"/>
        <v>-0.37266300832000299</v>
      </c>
      <c r="N741" s="685">
        <f t="shared" si="654"/>
        <v>0.7253265215025555</v>
      </c>
      <c r="O741" s="276">
        <f t="shared" si="655"/>
        <v>1.3573146307783641</v>
      </c>
      <c r="P741" s="276">
        <f t="shared" si="656"/>
        <v>1.6157310408191183</v>
      </c>
      <c r="Q741" s="276">
        <f t="shared" si="657"/>
        <v>1.2276827182250838</v>
      </c>
      <c r="R741" s="276">
        <f t="shared" si="658"/>
        <v>1.3910834282333464</v>
      </c>
      <c r="S741" s="686">
        <f t="shared" si="659"/>
        <v>0.62677828522328372</v>
      </c>
      <c r="T741" s="685">
        <f t="shared" si="660"/>
        <v>4.1101666264624708</v>
      </c>
      <c r="U741" s="276">
        <f t="shared" si="661"/>
        <v>6.2182400678937988</v>
      </c>
      <c r="V741" s="276">
        <f t="shared" si="662"/>
        <v>3.5846705572106412</v>
      </c>
      <c r="W741" s="276">
        <f t="shared" si="663"/>
        <v>5.871560328676348</v>
      </c>
      <c r="X741" s="276">
        <f t="shared" si="664"/>
        <v>5.5484372448004979</v>
      </c>
      <c r="Y741" s="686">
        <f t="shared" si="665"/>
        <v>7.638454108498415</v>
      </c>
      <c r="Z741" s="685" t="e">
        <f t="shared" si="666"/>
        <v>#DIV/0!</v>
      </c>
      <c r="AA741" s="276" t="e">
        <f t="shared" si="667"/>
        <v>#DIV/0!</v>
      </c>
      <c r="AB741" s="276" t="e">
        <f t="shared" si="668"/>
        <v>#DIV/0!</v>
      </c>
      <c r="AC741" s="276" t="e">
        <f t="shared" si="669"/>
        <v>#DIV/0!</v>
      </c>
      <c r="AD741" s="276" t="e">
        <f t="shared" si="670"/>
        <v>#DIV/0!</v>
      </c>
      <c r="AE741" s="686" t="e">
        <f t="shared" si="671"/>
        <v>#DIV/0!</v>
      </c>
      <c r="AF741" s="239"/>
      <c r="AG741" s="965" t="e">
        <f t="shared" si="642"/>
        <v>#VALUE!</v>
      </c>
      <c r="AH741" s="878" t="e">
        <f t="shared" si="643"/>
        <v>#VALUE!</v>
      </c>
      <c r="AI741" s="878" t="e">
        <f t="shared" si="644"/>
        <v>#VALUE!</v>
      </c>
      <c r="AJ741" s="878" t="e">
        <f t="shared" si="645"/>
        <v>#VALUE!</v>
      </c>
      <c r="AK741" s="878" t="e">
        <f t="shared" si="646"/>
        <v>#VALUE!</v>
      </c>
      <c r="AL741" s="966" t="e">
        <f t="shared" si="647"/>
        <v>#VALUE!</v>
      </c>
      <c r="AM741" s="239"/>
      <c r="AO741" s="685">
        <f t="shared" si="672"/>
        <v>2.0146714911934209</v>
      </c>
      <c r="AP741" s="276">
        <f t="shared" si="673"/>
        <v>2.7428584780350693</v>
      </c>
      <c r="AQ741" s="276">
        <f t="shared" si="674"/>
        <v>4.0752683691219431</v>
      </c>
      <c r="AR741" s="276">
        <f t="shared" si="675"/>
        <v>2.4091990538169012</v>
      </c>
      <c r="AS741" s="276">
        <f t="shared" si="676"/>
        <v>2.7587828180562077</v>
      </c>
      <c r="AT741" s="276">
        <f t="shared" si="677"/>
        <v>-0.37266300832000299</v>
      </c>
      <c r="AU741" s="685">
        <f t="shared" si="678"/>
        <v>0.7253265215025555</v>
      </c>
      <c r="AV741" s="276">
        <f t="shared" si="679"/>
        <v>1.3573146307783641</v>
      </c>
      <c r="AW741" s="276">
        <f t="shared" si="680"/>
        <v>1.6157310408191183</v>
      </c>
      <c r="AX741" s="276">
        <f t="shared" si="681"/>
        <v>1.2276827182250838</v>
      </c>
      <c r="AY741" s="276">
        <f t="shared" si="682"/>
        <v>1.3910834282333464</v>
      </c>
      <c r="AZ741" s="686">
        <f t="shared" si="683"/>
        <v>0.62677828522328372</v>
      </c>
      <c r="BA741" s="685">
        <f t="shared" si="684"/>
        <v>0</v>
      </c>
      <c r="BB741" s="276">
        <f t="shared" si="685"/>
        <v>0</v>
      </c>
      <c r="BC741" s="276">
        <f t="shared" si="686"/>
        <v>0</v>
      </c>
      <c r="BD741" s="276">
        <f t="shared" si="687"/>
        <v>0</v>
      </c>
      <c r="BE741" s="276">
        <f t="shared" si="688"/>
        <v>0</v>
      </c>
      <c r="BF741" s="686">
        <f t="shared" si="689"/>
        <v>0</v>
      </c>
      <c r="BG741" s="685" t="e">
        <f t="shared" si="690"/>
        <v>#DIV/0!</v>
      </c>
      <c r="BH741" s="276" t="e">
        <f t="shared" si="691"/>
        <v>#DIV/0!</v>
      </c>
      <c r="BI741" s="276" t="e">
        <f t="shared" si="692"/>
        <v>#DIV/0!</v>
      </c>
      <c r="BJ741" s="276" t="e">
        <f t="shared" si="693"/>
        <v>#DIV/0!</v>
      </c>
      <c r="BK741" s="276" t="e">
        <f t="shared" si="694"/>
        <v>#DIV/0!</v>
      </c>
      <c r="BL741" s="686" t="e">
        <f t="shared" si="695"/>
        <v>#DIV/0!</v>
      </c>
      <c r="BM741" s="239"/>
      <c r="BN741" s="965" t="e">
        <f t="shared" si="696"/>
        <v>#VALUE!</v>
      </c>
      <c r="BO741" s="878" t="e">
        <f t="shared" si="697"/>
        <v>#VALUE!</v>
      </c>
      <c r="BP741" s="878" t="e">
        <f t="shared" si="698"/>
        <v>#VALUE!</v>
      </c>
      <c r="BQ741" s="878" t="e">
        <f t="shared" si="699"/>
        <v>#VALUE!</v>
      </c>
      <c r="BR741" s="878" t="e">
        <f t="shared" si="700"/>
        <v>#VALUE!</v>
      </c>
      <c r="BS741" s="966" t="e">
        <f t="shared" si="701"/>
        <v>#VALUE!</v>
      </c>
    </row>
    <row r="742" spans="1:71">
      <c r="A742" s="284">
        <f t="shared" si="702"/>
        <v>674</v>
      </c>
      <c r="B742" s="285">
        <v>-1.1920400523545074</v>
      </c>
      <c r="C742" s="285">
        <v>3.4470775688111392</v>
      </c>
      <c r="D742" s="285">
        <v>1.0608998479824006</v>
      </c>
      <c r="E742" s="285">
        <v>11.498811656121546</v>
      </c>
      <c r="H742" s="685">
        <f t="shared" si="648"/>
        <v>-2.325273894123562</v>
      </c>
      <c r="I742" s="276">
        <f t="shared" si="649"/>
        <v>-1.3214528995255788</v>
      </c>
      <c r="J742" s="276">
        <f t="shared" si="650"/>
        <v>-2.2276556128333258</v>
      </c>
      <c r="K742" s="276">
        <f t="shared" si="651"/>
        <v>-1.586816094116539</v>
      </c>
      <c r="L742" s="276">
        <f t="shared" si="652"/>
        <v>-0.63724116172055867</v>
      </c>
      <c r="M742" s="276">
        <f t="shared" si="653"/>
        <v>-5.6381340460277132</v>
      </c>
      <c r="N742" s="685">
        <f t="shared" si="654"/>
        <v>2.2399063578392706</v>
      </c>
      <c r="O742" s="276">
        <f t="shared" si="655"/>
        <v>1.3700083478780243</v>
      </c>
      <c r="P742" s="276">
        <f t="shared" si="656"/>
        <v>2.0671031090973013</v>
      </c>
      <c r="Q742" s="276">
        <f t="shared" si="657"/>
        <v>1.0996211942713241</v>
      </c>
      <c r="R742" s="276">
        <f t="shared" si="658"/>
        <v>1.8209362228852159</v>
      </c>
      <c r="S742" s="686">
        <f t="shared" si="659"/>
        <v>1.7059699866560318</v>
      </c>
      <c r="T742" s="685">
        <f t="shared" si="660"/>
        <v>4.3392635382533262</v>
      </c>
      <c r="U742" s="276">
        <f t="shared" si="661"/>
        <v>4.0686611253548053</v>
      </c>
      <c r="V742" s="276">
        <f t="shared" si="662"/>
        <v>3.1654929011538364</v>
      </c>
      <c r="W742" s="276">
        <f t="shared" si="663"/>
        <v>4.2447054081348741</v>
      </c>
      <c r="X742" s="276">
        <f t="shared" si="664"/>
        <v>6.6934928215564842</v>
      </c>
      <c r="Y742" s="686">
        <f t="shared" si="665"/>
        <v>3.4627589196332291</v>
      </c>
      <c r="Z742" s="685" t="e">
        <f t="shared" si="666"/>
        <v>#DIV/0!</v>
      </c>
      <c r="AA742" s="276" t="e">
        <f t="shared" si="667"/>
        <v>#DIV/0!</v>
      </c>
      <c r="AB742" s="276" t="e">
        <f t="shared" si="668"/>
        <v>#DIV/0!</v>
      </c>
      <c r="AC742" s="276" t="e">
        <f t="shared" si="669"/>
        <v>#DIV/0!</v>
      </c>
      <c r="AD742" s="276" t="e">
        <f t="shared" si="670"/>
        <v>#DIV/0!</v>
      </c>
      <c r="AE742" s="686" t="e">
        <f t="shared" si="671"/>
        <v>#DIV/0!</v>
      </c>
      <c r="AF742" s="239"/>
      <c r="AG742" s="965" t="e">
        <f t="shared" si="642"/>
        <v>#VALUE!</v>
      </c>
      <c r="AH742" s="878" t="e">
        <f t="shared" si="643"/>
        <v>#VALUE!</v>
      </c>
      <c r="AI742" s="878" t="e">
        <f t="shared" si="644"/>
        <v>#VALUE!</v>
      </c>
      <c r="AJ742" s="878" t="e">
        <f t="shared" si="645"/>
        <v>#VALUE!</v>
      </c>
      <c r="AK742" s="878" t="e">
        <f t="shared" si="646"/>
        <v>#VALUE!</v>
      </c>
      <c r="AL742" s="966" t="e">
        <f t="shared" si="647"/>
        <v>#VALUE!</v>
      </c>
      <c r="AM742" s="239"/>
      <c r="AO742" s="685">
        <f t="shared" si="672"/>
        <v>-2.325273894123562</v>
      </c>
      <c r="AP742" s="276">
        <f t="shared" si="673"/>
        <v>-1.3214528995255788</v>
      </c>
      <c r="AQ742" s="276">
        <f t="shared" si="674"/>
        <v>-2.2276556128333258</v>
      </c>
      <c r="AR742" s="276">
        <f t="shared" si="675"/>
        <v>-1.586816094116539</v>
      </c>
      <c r="AS742" s="276">
        <f t="shared" si="676"/>
        <v>-0.63724116172055867</v>
      </c>
      <c r="AT742" s="276">
        <f t="shared" si="677"/>
        <v>-5.6381340460277132</v>
      </c>
      <c r="AU742" s="685">
        <f t="shared" si="678"/>
        <v>2.2399063578392706</v>
      </c>
      <c r="AV742" s="276">
        <f t="shared" si="679"/>
        <v>1.3700083478780243</v>
      </c>
      <c r="AW742" s="276">
        <f t="shared" si="680"/>
        <v>2.0671031090973013</v>
      </c>
      <c r="AX742" s="276">
        <f t="shared" si="681"/>
        <v>1.0996211942713241</v>
      </c>
      <c r="AY742" s="276">
        <f t="shared" si="682"/>
        <v>1.8209362228852159</v>
      </c>
      <c r="AZ742" s="686">
        <f t="shared" si="683"/>
        <v>1.7059699866560318</v>
      </c>
      <c r="BA742" s="685">
        <f t="shared" si="684"/>
        <v>0</v>
      </c>
      <c r="BB742" s="276">
        <f t="shared" si="685"/>
        <v>0</v>
      </c>
      <c r="BC742" s="276">
        <f t="shared" si="686"/>
        <v>0</v>
      </c>
      <c r="BD742" s="276">
        <f t="shared" si="687"/>
        <v>0</v>
      </c>
      <c r="BE742" s="276">
        <f t="shared" si="688"/>
        <v>0</v>
      </c>
      <c r="BF742" s="686">
        <f t="shared" si="689"/>
        <v>0</v>
      </c>
      <c r="BG742" s="685" t="e">
        <f t="shared" si="690"/>
        <v>#DIV/0!</v>
      </c>
      <c r="BH742" s="276" t="e">
        <f t="shared" si="691"/>
        <v>#DIV/0!</v>
      </c>
      <c r="BI742" s="276" t="e">
        <f t="shared" si="692"/>
        <v>#DIV/0!</v>
      </c>
      <c r="BJ742" s="276" t="e">
        <f t="shared" si="693"/>
        <v>#DIV/0!</v>
      </c>
      <c r="BK742" s="276" t="e">
        <f t="shared" si="694"/>
        <v>#DIV/0!</v>
      </c>
      <c r="BL742" s="686" t="e">
        <f t="shared" si="695"/>
        <v>#DIV/0!</v>
      </c>
      <c r="BM742" s="239"/>
      <c r="BN742" s="965" t="e">
        <f t="shared" si="696"/>
        <v>#VALUE!</v>
      </c>
      <c r="BO742" s="878" t="e">
        <f t="shared" si="697"/>
        <v>#VALUE!</v>
      </c>
      <c r="BP742" s="878" t="e">
        <f t="shared" si="698"/>
        <v>#VALUE!</v>
      </c>
      <c r="BQ742" s="878" t="e">
        <f t="shared" si="699"/>
        <v>#VALUE!</v>
      </c>
      <c r="BR742" s="878" t="e">
        <f t="shared" si="700"/>
        <v>#VALUE!</v>
      </c>
      <c r="BS742" s="966" t="e">
        <f t="shared" si="701"/>
        <v>#VALUE!</v>
      </c>
    </row>
    <row r="743" spans="1:71">
      <c r="A743" s="284">
        <f t="shared" si="702"/>
        <v>675</v>
      </c>
      <c r="B743" s="285">
        <v>1.577705100254162</v>
      </c>
      <c r="C743" s="285">
        <v>2.5622002469931386</v>
      </c>
      <c r="D743" s="285">
        <v>1.9404310740474879</v>
      </c>
      <c r="E743" s="285">
        <v>4.7752409162472809</v>
      </c>
      <c r="H743" s="685">
        <f t="shared" si="648"/>
        <v>0.44447125848510716</v>
      </c>
      <c r="I743" s="276">
        <f t="shared" si="649"/>
        <v>-3.5009123283294894</v>
      </c>
      <c r="J743" s="276">
        <f t="shared" si="650"/>
        <v>0.47716140077213187</v>
      </c>
      <c r="K743" s="276">
        <f t="shared" si="651"/>
        <v>-1.5911734513406823</v>
      </c>
      <c r="L743" s="276">
        <f t="shared" si="652"/>
        <v>-0.87673450286170018</v>
      </c>
      <c r="M743" s="276">
        <f t="shared" si="653"/>
        <v>0.24873574207374638</v>
      </c>
      <c r="N743" s="685">
        <f t="shared" si="654"/>
        <v>1.3550290360212702</v>
      </c>
      <c r="O743" s="276">
        <f t="shared" si="655"/>
        <v>0.2535636694625738</v>
      </c>
      <c r="P743" s="276">
        <f t="shared" si="656"/>
        <v>2.1042599415238152</v>
      </c>
      <c r="Q743" s="276">
        <f t="shared" si="657"/>
        <v>1.2884189804642545</v>
      </c>
      <c r="R743" s="276">
        <f t="shared" si="658"/>
        <v>1.3054356742547573</v>
      </c>
      <c r="S743" s="686">
        <f t="shared" si="659"/>
        <v>1.7231000767386873</v>
      </c>
      <c r="T743" s="685">
        <f t="shared" si="660"/>
        <v>5.2187947643184138</v>
      </c>
      <c r="U743" s="276">
        <f t="shared" si="661"/>
        <v>5.9666119270134583</v>
      </c>
      <c r="V743" s="276">
        <f t="shared" si="662"/>
        <v>5.5560862925363752</v>
      </c>
      <c r="W743" s="276">
        <f t="shared" si="663"/>
        <v>3.4934651414698323</v>
      </c>
      <c r="X743" s="276">
        <f t="shared" si="664"/>
        <v>5.9148759289133563</v>
      </c>
      <c r="Y743" s="686">
        <f t="shared" si="665"/>
        <v>5.4774089188023964</v>
      </c>
      <c r="Z743" s="685" t="e">
        <f t="shared" si="666"/>
        <v>#DIV/0!</v>
      </c>
      <c r="AA743" s="276" t="e">
        <f t="shared" si="667"/>
        <v>#DIV/0!</v>
      </c>
      <c r="AB743" s="276" t="e">
        <f t="shared" si="668"/>
        <v>#DIV/0!</v>
      </c>
      <c r="AC743" s="276" t="e">
        <f t="shared" si="669"/>
        <v>#DIV/0!</v>
      </c>
      <c r="AD743" s="276" t="e">
        <f t="shared" si="670"/>
        <v>#DIV/0!</v>
      </c>
      <c r="AE743" s="686" t="e">
        <f t="shared" si="671"/>
        <v>#DIV/0!</v>
      </c>
      <c r="AF743" s="239"/>
      <c r="AG743" s="965" t="e">
        <f t="shared" si="642"/>
        <v>#VALUE!</v>
      </c>
      <c r="AH743" s="878" t="e">
        <f t="shared" si="643"/>
        <v>#VALUE!</v>
      </c>
      <c r="AI743" s="878" t="e">
        <f t="shared" si="644"/>
        <v>#VALUE!</v>
      </c>
      <c r="AJ743" s="878" t="e">
        <f t="shared" si="645"/>
        <v>#VALUE!</v>
      </c>
      <c r="AK743" s="878" t="e">
        <f t="shared" si="646"/>
        <v>#VALUE!</v>
      </c>
      <c r="AL743" s="966" t="e">
        <f t="shared" si="647"/>
        <v>#VALUE!</v>
      </c>
      <c r="AM743" s="239"/>
      <c r="AO743" s="685">
        <f t="shared" si="672"/>
        <v>0.44447125848510716</v>
      </c>
      <c r="AP743" s="276">
        <f t="shared" si="673"/>
        <v>-3.5009123283294894</v>
      </c>
      <c r="AQ743" s="276">
        <f t="shared" si="674"/>
        <v>0.47716140077213187</v>
      </c>
      <c r="AR743" s="276">
        <f t="shared" si="675"/>
        <v>-1.5911734513406823</v>
      </c>
      <c r="AS743" s="276">
        <f t="shared" si="676"/>
        <v>-0.87673450286170018</v>
      </c>
      <c r="AT743" s="276">
        <f t="shared" si="677"/>
        <v>0.24873574207374638</v>
      </c>
      <c r="AU743" s="685">
        <f t="shared" si="678"/>
        <v>1.3550290360212702</v>
      </c>
      <c r="AV743" s="276">
        <f t="shared" si="679"/>
        <v>0.2535636694625738</v>
      </c>
      <c r="AW743" s="276">
        <f t="shared" si="680"/>
        <v>2.1042599415238152</v>
      </c>
      <c r="AX743" s="276">
        <f t="shared" si="681"/>
        <v>1.2884189804642545</v>
      </c>
      <c r="AY743" s="276">
        <f t="shared" si="682"/>
        <v>1.3054356742547573</v>
      </c>
      <c r="AZ743" s="686">
        <f t="shared" si="683"/>
        <v>1.7231000767386873</v>
      </c>
      <c r="BA743" s="685">
        <f t="shared" si="684"/>
        <v>0</v>
      </c>
      <c r="BB743" s="276">
        <f t="shared" si="685"/>
        <v>0</v>
      </c>
      <c r="BC743" s="276">
        <f t="shared" si="686"/>
        <v>0</v>
      </c>
      <c r="BD743" s="276">
        <f t="shared" si="687"/>
        <v>0</v>
      </c>
      <c r="BE743" s="276">
        <f t="shared" si="688"/>
        <v>0</v>
      </c>
      <c r="BF743" s="686">
        <f t="shared" si="689"/>
        <v>0</v>
      </c>
      <c r="BG743" s="685" t="e">
        <f t="shared" si="690"/>
        <v>#DIV/0!</v>
      </c>
      <c r="BH743" s="276" t="e">
        <f t="shared" si="691"/>
        <v>#DIV/0!</v>
      </c>
      <c r="BI743" s="276" t="e">
        <f t="shared" si="692"/>
        <v>#DIV/0!</v>
      </c>
      <c r="BJ743" s="276" t="e">
        <f t="shared" si="693"/>
        <v>#DIV/0!</v>
      </c>
      <c r="BK743" s="276" t="e">
        <f t="shared" si="694"/>
        <v>#DIV/0!</v>
      </c>
      <c r="BL743" s="686" t="e">
        <f t="shared" si="695"/>
        <v>#DIV/0!</v>
      </c>
      <c r="BM743" s="239"/>
      <c r="BN743" s="965" t="e">
        <f t="shared" si="696"/>
        <v>#VALUE!</v>
      </c>
      <c r="BO743" s="878" t="e">
        <f t="shared" si="697"/>
        <v>#VALUE!</v>
      </c>
      <c r="BP743" s="878" t="e">
        <f t="shared" si="698"/>
        <v>#VALUE!</v>
      </c>
      <c r="BQ743" s="878" t="e">
        <f t="shared" si="699"/>
        <v>#VALUE!</v>
      </c>
      <c r="BR743" s="878" t="e">
        <f t="shared" si="700"/>
        <v>#VALUE!</v>
      </c>
      <c r="BS743" s="966" t="e">
        <f t="shared" si="701"/>
        <v>#VALUE!</v>
      </c>
    </row>
    <row r="744" spans="1:71">
      <c r="A744" s="284">
        <f t="shared" si="702"/>
        <v>676</v>
      </c>
      <c r="B744" s="285">
        <v>0.24508531728191049</v>
      </c>
      <c r="C744" s="285">
        <v>2.8658348256220179</v>
      </c>
      <c r="D744" s="285">
        <v>1.8084355374712104</v>
      </c>
      <c r="E744" s="285">
        <v>-4.7937839134195404</v>
      </c>
      <c r="H744" s="685">
        <f t="shared" si="648"/>
        <v>-0.88814852448714432</v>
      </c>
      <c r="I744" s="276">
        <f t="shared" si="649"/>
        <v>-3.1935967212531633</v>
      </c>
      <c r="J744" s="276">
        <f t="shared" si="650"/>
        <v>0.81116907618194434</v>
      </c>
      <c r="K744" s="276">
        <f t="shared" si="651"/>
        <v>-0.73570999575299778</v>
      </c>
      <c r="L744" s="276">
        <f t="shared" si="652"/>
        <v>-5.0906294749438219</v>
      </c>
      <c r="M744" s="276">
        <f t="shared" si="653"/>
        <v>-2.6506149127444365</v>
      </c>
      <c r="N744" s="685">
        <f t="shared" si="654"/>
        <v>1.6586636146501494</v>
      </c>
      <c r="O744" s="276">
        <f t="shared" si="655"/>
        <v>1.4831008931933047</v>
      </c>
      <c r="P744" s="276">
        <f t="shared" si="656"/>
        <v>1.8194454522675356</v>
      </c>
      <c r="Q744" s="276">
        <f t="shared" si="657"/>
        <v>1.6713951950534855</v>
      </c>
      <c r="R744" s="276">
        <f t="shared" si="658"/>
        <v>1.3635630393338636</v>
      </c>
      <c r="S744" s="686">
        <f t="shared" si="659"/>
        <v>1.1051581282644773</v>
      </c>
      <c r="T744" s="685">
        <f t="shared" si="660"/>
        <v>5.0867992277421363</v>
      </c>
      <c r="U744" s="276">
        <f t="shared" si="661"/>
        <v>2.6790289043857749</v>
      </c>
      <c r="V744" s="276">
        <f t="shared" si="662"/>
        <v>4.6682966317004597</v>
      </c>
      <c r="W744" s="276">
        <f t="shared" si="663"/>
        <v>4.2324238958119471</v>
      </c>
      <c r="X744" s="276">
        <f t="shared" si="664"/>
        <v>2.8881297012646026</v>
      </c>
      <c r="Y744" s="686">
        <f t="shared" si="665"/>
        <v>3.1010994450626441</v>
      </c>
      <c r="Z744" s="685" t="e">
        <f t="shared" si="666"/>
        <v>#DIV/0!</v>
      </c>
      <c r="AA744" s="276" t="e">
        <f t="shared" si="667"/>
        <v>#DIV/0!</v>
      </c>
      <c r="AB744" s="276" t="e">
        <f t="shared" si="668"/>
        <v>#DIV/0!</v>
      </c>
      <c r="AC744" s="276" t="e">
        <f t="shared" si="669"/>
        <v>#DIV/0!</v>
      </c>
      <c r="AD744" s="276" t="e">
        <f t="shared" si="670"/>
        <v>#DIV/0!</v>
      </c>
      <c r="AE744" s="686" t="e">
        <f t="shared" si="671"/>
        <v>#DIV/0!</v>
      </c>
      <c r="AF744" s="239"/>
      <c r="AG744" s="965" t="e">
        <f t="shared" si="642"/>
        <v>#VALUE!</v>
      </c>
      <c r="AH744" s="878" t="e">
        <f t="shared" si="643"/>
        <v>#VALUE!</v>
      </c>
      <c r="AI744" s="878" t="e">
        <f t="shared" si="644"/>
        <v>#VALUE!</v>
      </c>
      <c r="AJ744" s="878" t="e">
        <f t="shared" si="645"/>
        <v>#VALUE!</v>
      </c>
      <c r="AK744" s="878" t="e">
        <f t="shared" si="646"/>
        <v>#VALUE!</v>
      </c>
      <c r="AL744" s="966" t="e">
        <f t="shared" si="647"/>
        <v>#VALUE!</v>
      </c>
      <c r="AM744" s="239"/>
      <c r="AO744" s="685">
        <f t="shared" si="672"/>
        <v>-0.88814852448714432</v>
      </c>
      <c r="AP744" s="276">
        <f t="shared" si="673"/>
        <v>-3.1935967212531633</v>
      </c>
      <c r="AQ744" s="276">
        <f t="shared" si="674"/>
        <v>0.81116907618194434</v>
      </c>
      <c r="AR744" s="276">
        <f t="shared" si="675"/>
        <v>-0.73570999575299778</v>
      </c>
      <c r="AS744" s="276">
        <f t="shared" si="676"/>
        <v>-5.0906294749438219</v>
      </c>
      <c r="AT744" s="276">
        <f t="shared" si="677"/>
        <v>-2.6506149127444365</v>
      </c>
      <c r="AU744" s="685">
        <f t="shared" si="678"/>
        <v>1.6586636146501494</v>
      </c>
      <c r="AV744" s="276">
        <f t="shared" si="679"/>
        <v>1.4831008931933047</v>
      </c>
      <c r="AW744" s="276">
        <f t="shared" si="680"/>
        <v>1.8194454522675356</v>
      </c>
      <c r="AX744" s="276">
        <f t="shared" si="681"/>
        <v>1.6713951950534855</v>
      </c>
      <c r="AY744" s="276">
        <f t="shared" si="682"/>
        <v>1.3635630393338636</v>
      </c>
      <c r="AZ744" s="686">
        <f t="shared" si="683"/>
        <v>1.1051581282644773</v>
      </c>
      <c r="BA744" s="685">
        <f t="shared" si="684"/>
        <v>0</v>
      </c>
      <c r="BB744" s="276">
        <f t="shared" si="685"/>
        <v>0</v>
      </c>
      <c r="BC744" s="276">
        <f t="shared" si="686"/>
        <v>0</v>
      </c>
      <c r="BD744" s="276">
        <f t="shared" si="687"/>
        <v>0</v>
      </c>
      <c r="BE744" s="276">
        <f t="shared" si="688"/>
        <v>0</v>
      </c>
      <c r="BF744" s="686">
        <f t="shared" si="689"/>
        <v>0</v>
      </c>
      <c r="BG744" s="685" t="e">
        <f t="shared" si="690"/>
        <v>#DIV/0!</v>
      </c>
      <c r="BH744" s="276" t="e">
        <f t="shared" si="691"/>
        <v>#DIV/0!</v>
      </c>
      <c r="BI744" s="276" t="e">
        <f t="shared" si="692"/>
        <v>#DIV/0!</v>
      </c>
      <c r="BJ744" s="276" t="e">
        <f t="shared" si="693"/>
        <v>#DIV/0!</v>
      </c>
      <c r="BK744" s="276" t="e">
        <f t="shared" si="694"/>
        <v>#DIV/0!</v>
      </c>
      <c r="BL744" s="686" t="e">
        <f t="shared" si="695"/>
        <v>#DIV/0!</v>
      </c>
      <c r="BM744" s="239"/>
      <c r="BN744" s="965" t="e">
        <f t="shared" si="696"/>
        <v>#VALUE!</v>
      </c>
      <c r="BO744" s="878" t="e">
        <f t="shared" si="697"/>
        <v>#VALUE!</v>
      </c>
      <c r="BP744" s="878" t="e">
        <f t="shared" si="698"/>
        <v>#VALUE!</v>
      </c>
      <c r="BQ744" s="878" t="e">
        <f t="shared" si="699"/>
        <v>#VALUE!</v>
      </c>
      <c r="BR744" s="878" t="e">
        <f t="shared" si="700"/>
        <v>#VALUE!</v>
      </c>
      <c r="BS744" s="966" t="e">
        <f t="shared" si="701"/>
        <v>#VALUE!</v>
      </c>
    </row>
    <row r="745" spans="1:71">
      <c r="A745" s="284">
        <f t="shared" si="702"/>
        <v>677</v>
      </c>
      <c r="B745" s="285">
        <v>0.48816725230556163</v>
      </c>
      <c r="C745" s="285">
        <v>2.4912662780378221</v>
      </c>
      <c r="D745" s="285">
        <v>2.9116937695447889</v>
      </c>
      <c r="E745" s="285">
        <v>-12.756669204318797</v>
      </c>
      <c r="H745" s="685">
        <f t="shared" si="648"/>
        <v>-0.64506658946349327</v>
      </c>
      <c r="I745" s="276">
        <f t="shared" si="649"/>
        <v>-4.3677443802413345</v>
      </c>
      <c r="J745" s="276">
        <f t="shared" si="650"/>
        <v>-2.5124638121356564</v>
      </c>
      <c r="K745" s="276">
        <f t="shared" si="651"/>
        <v>1.4783789961874743</v>
      </c>
      <c r="L745" s="276">
        <f t="shared" si="652"/>
        <v>-1.3065125426382238</v>
      </c>
      <c r="M745" s="276">
        <f t="shared" si="653"/>
        <v>1.8977630661399314</v>
      </c>
      <c r="N745" s="685">
        <f t="shared" si="654"/>
        <v>1.2840950670659537</v>
      </c>
      <c r="O745" s="276">
        <f t="shared" si="655"/>
        <v>0.41452551622547706</v>
      </c>
      <c r="P745" s="276">
        <f t="shared" si="656"/>
        <v>1.5549544877431003</v>
      </c>
      <c r="Q745" s="276">
        <f t="shared" si="657"/>
        <v>1.6633841632533726</v>
      </c>
      <c r="R745" s="276">
        <f t="shared" si="658"/>
        <v>1.4923926085177934</v>
      </c>
      <c r="S745" s="686">
        <f t="shared" si="659"/>
        <v>1.5054028702150053</v>
      </c>
      <c r="T745" s="685">
        <f t="shared" si="660"/>
        <v>6.1900574598157148</v>
      </c>
      <c r="U745" s="276">
        <f t="shared" si="661"/>
        <v>4.1005423148317117</v>
      </c>
      <c r="V745" s="276">
        <f t="shared" si="662"/>
        <v>3.7733855097929938</v>
      </c>
      <c r="W745" s="276">
        <f t="shared" si="663"/>
        <v>5.0982522511979367</v>
      </c>
      <c r="X745" s="276">
        <f t="shared" si="664"/>
        <v>4.1526169249108085</v>
      </c>
      <c r="Y745" s="686">
        <f t="shared" si="665"/>
        <v>4.6497090288945992</v>
      </c>
      <c r="Z745" s="685" t="e">
        <f t="shared" si="666"/>
        <v>#DIV/0!</v>
      </c>
      <c r="AA745" s="276" t="e">
        <f t="shared" si="667"/>
        <v>#DIV/0!</v>
      </c>
      <c r="AB745" s="276" t="e">
        <f t="shared" si="668"/>
        <v>#DIV/0!</v>
      </c>
      <c r="AC745" s="276" t="e">
        <f t="shared" si="669"/>
        <v>#DIV/0!</v>
      </c>
      <c r="AD745" s="276" t="e">
        <f t="shared" si="670"/>
        <v>#DIV/0!</v>
      </c>
      <c r="AE745" s="686" t="e">
        <f t="shared" si="671"/>
        <v>#DIV/0!</v>
      </c>
      <c r="AF745" s="239"/>
      <c r="AG745" s="965" t="e">
        <f t="shared" si="642"/>
        <v>#VALUE!</v>
      </c>
      <c r="AH745" s="878" t="e">
        <f t="shared" si="643"/>
        <v>#VALUE!</v>
      </c>
      <c r="AI745" s="878" t="e">
        <f t="shared" si="644"/>
        <v>#VALUE!</v>
      </c>
      <c r="AJ745" s="878" t="e">
        <f t="shared" si="645"/>
        <v>#VALUE!</v>
      </c>
      <c r="AK745" s="878" t="e">
        <f t="shared" si="646"/>
        <v>#VALUE!</v>
      </c>
      <c r="AL745" s="966" t="e">
        <f t="shared" si="647"/>
        <v>#VALUE!</v>
      </c>
      <c r="AM745" s="239"/>
      <c r="AO745" s="685">
        <f t="shared" si="672"/>
        <v>-0.64506658946349327</v>
      </c>
      <c r="AP745" s="276">
        <f t="shared" si="673"/>
        <v>-4.3677443802413345</v>
      </c>
      <c r="AQ745" s="276">
        <f t="shared" si="674"/>
        <v>-2.5124638121356564</v>
      </c>
      <c r="AR745" s="276">
        <f t="shared" si="675"/>
        <v>1.4783789961874743</v>
      </c>
      <c r="AS745" s="276">
        <f t="shared" si="676"/>
        <v>-1.3065125426382238</v>
      </c>
      <c r="AT745" s="276">
        <f t="shared" si="677"/>
        <v>1.8977630661399314</v>
      </c>
      <c r="AU745" s="685">
        <f t="shared" si="678"/>
        <v>1.2840950670659537</v>
      </c>
      <c r="AV745" s="276">
        <f t="shared" si="679"/>
        <v>0.41452551622547706</v>
      </c>
      <c r="AW745" s="276">
        <f t="shared" si="680"/>
        <v>1.5549544877431003</v>
      </c>
      <c r="AX745" s="276">
        <f t="shared" si="681"/>
        <v>1.6633841632533726</v>
      </c>
      <c r="AY745" s="276">
        <f t="shared" si="682"/>
        <v>1.4923926085177934</v>
      </c>
      <c r="AZ745" s="686">
        <f t="shared" si="683"/>
        <v>1.5054028702150053</v>
      </c>
      <c r="BA745" s="685">
        <f t="shared" si="684"/>
        <v>0</v>
      </c>
      <c r="BB745" s="276">
        <f t="shared" si="685"/>
        <v>0</v>
      </c>
      <c r="BC745" s="276">
        <f t="shared" si="686"/>
        <v>0</v>
      </c>
      <c r="BD745" s="276">
        <f t="shared" si="687"/>
        <v>0</v>
      </c>
      <c r="BE745" s="276">
        <f t="shared" si="688"/>
        <v>0</v>
      </c>
      <c r="BF745" s="686">
        <f t="shared" si="689"/>
        <v>0</v>
      </c>
      <c r="BG745" s="685" t="e">
        <f t="shared" si="690"/>
        <v>#DIV/0!</v>
      </c>
      <c r="BH745" s="276" t="e">
        <f t="shared" si="691"/>
        <v>#DIV/0!</v>
      </c>
      <c r="BI745" s="276" t="e">
        <f t="shared" si="692"/>
        <v>#DIV/0!</v>
      </c>
      <c r="BJ745" s="276" t="e">
        <f t="shared" si="693"/>
        <v>#DIV/0!</v>
      </c>
      <c r="BK745" s="276" t="e">
        <f t="shared" si="694"/>
        <v>#DIV/0!</v>
      </c>
      <c r="BL745" s="686" t="e">
        <f t="shared" si="695"/>
        <v>#DIV/0!</v>
      </c>
      <c r="BM745" s="239"/>
      <c r="BN745" s="965" t="e">
        <f t="shared" si="696"/>
        <v>#VALUE!</v>
      </c>
      <c r="BO745" s="878" t="e">
        <f t="shared" si="697"/>
        <v>#VALUE!</v>
      </c>
      <c r="BP745" s="878" t="e">
        <f t="shared" si="698"/>
        <v>#VALUE!</v>
      </c>
      <c r="BQ745" s="878" t="e">
        <f t="shared" si="699"/>
        <v>#VALUE!</v>
      </c>
      <c r="BR745" s="878" t="e">
        <f t="shared" si="700"/>
        <v>#VALUE!</v>
      </c>
      <c r="BS745" s="966" t="e">
        <f t="shared" si="701"/>
        <v>#VALUE!</v>
      </c>
    </row>
    <row r="746" spans="1:71">
      <c r="A746" s="284">
        <f t="shared" si="702"/>
        <v>678</v>
      </c>
      <c r="B746" s="285">
        <v>-4.5303292667237676</v>
      </c>
      <c r="C746" s="285">
        <v>3.4791506612454692</v>
      </c>
      <c r="D746" s="285">
        <v>-1.9125197886430723</v>
      </c>
      <c r="E746" s="285">
        <v>10.160644870456268</v>
      </c>
      <c r="H746" s="685">
        <f t="shared" si="648"/>
        <v>-5.6635631084928226</v>
      </c>
      <c r="I746" s="276">
        <f t="shared" si="649"/>
        <v>-0.41987481684098227</v>
      </c>
      <c r="J746" s="276">
        <f t="shared" si="650"/>
        <v>-4.1581503844901526</v>
      </c>
      <c r="K746" s="276">
        <f t="shared" si="651"/>
        <v>-1.1629753441880115</v>
      </c>
      <c r="L746" s="276">
        <f t="shared" si="652"/>
        <v>-5.8490416884465875</v>
      </c>
      <c r="M746" s="276">
        <f t="shared" si="653"/>
        <v>-0.57355171168366792</v>
      </c>
      <c r="N746" s="685">
        <f t="shared" si="654"/>
        <v>2.2719794502736006</v>
      </c>
      <c r="O746" s="276">
        <f t="shared" si="655"/>
        <v>1.0088355198040191</v>
      </c>
      <c r="P746" s="276">
        <f t="shared" si="656"/>
        <v>0.94423199067224473</v>
      </c>
      <c r="Q746" s="276">
        <f t="shared" si="657"/>
        <v>0.60674972512214631</v>
      </c>
      <c r="R746" s="276">
        <f t="shared" si="658"/>
        <v>1.8557831065476325</v>
      </c>
      <c r="S746" s="686">
        <f t="shared" si="659"/>
        <v>1.3315145266472033</v>
      </c>
      <c r="T746" s="685">
        <f t="shared" si="660"/>
        <v>1.3658439016278536</v>
      </c>
      <c r="U746" s="276">
        <f t="shared" si="661"/>
        <v>7.1486635018486062</v>
      </c>
      <c r="V746" s="276">
        <f t="shared" si="662"/>
        <v>2.5277315008403232</v>
      </c>
      <c r="W746" s="276">
        <f t="shared" si="663"/>
        <v>5.9056079311935861</v>
      </c>
      <c r="X746" s="276">
        <f t="shared" si="664"/>
        <v>5.0378356687467374</v>
      </c>
      <c r="Y746" s="686">
        <f t="shared" si="665"/>
        <v>5.5497875096070697</v>
      </c>
      <c r="Z746" s="685" t="e">
        <f t="shared" si="666"/>
        <v>#DIV/0!</v>
      </c>
      <c r="AA746" s="276" t="e">
        <f t="shared" si="667"/>
        <v>#DIV/0!</v>
      </c>
      <c r="AB746" s="276" t="e">
        <f t="shared" si="668"/>
        <v>#DIV/0!</v>
      </c>
      <c r="AC746" s="276" t="e">
        <f t="shared" si="669"/>
        <v>#DIV/0!</v>
      </c>
      <c r="AD746" s="276" t="e">
        <f t="shared" si="670"/>
        <v>#DIV/0!</v>
      </c>
      <c r="AE746" s="686" t="e">
        <f t="shared" si="671"/>
        <v>#DIV/0!</v>
      </c>
      <c r="AF746" s="239"/>
      <c r="AG746" s="965" t="e">
        <f t="shared" si="642"/>
        <v>#VALUE!</v>
      </c>
      <c r="AH746" s="878" t="e">
        <f t="shared" si="643"/>
        <v>#VALUE!</v>
      </c>
      <c r="AI746" s="878" t="e">
        <f t="shared" si="644"/>
        <v>#VALUE!</v>
      </c>
      <c r="AJ746" s="878" t="e">
        <f t="shared" si="645"/>
        <v>#VALUE!</v>
      </c>
      <c r="AK746" s="878" t="e">
        <f t="shared" si="646"/>
        <v>#VALUE!</v>
      </c>
      <c r="AL746" s="966" t="e">
        <f t="shared" si="647"/>
        <v>#VALUE!</v>
      </c>
      <c r="AM746" s="239"/>
      <c r="AO746" s="685">
        <f t="shared" si="672"/>
        <v>-5.6635631084928226</v>
      </c>
      <c r="AP746" s="276">
        <f t="shared" si="673"/>
        <v>-0.41987481684098227</v>
      </c>
      <c r="AQ746" s="276">
        <f t="shared" si="674"/>
        <v>-4.1581503844901526</v>
      </c>
      <c r="AR746" s="276">
        <f t="shared" si="675"/>
        <v>-1.1629753441880115</v>
      </c>
      <c r="AS746" s="276">
        <f t="shared" si="676"/>
        <v>-5.8490416884465875</v>
      </c>
      <c r="AT746" s="276">
        <f t="shared" si="677"/>
        <v>-0.57355171168366792</v>
      </c>
      <c r="AU746" s="685">
        <f t="shared" si="678"/>
        <v>2.2719794502736006</v>
      </c>
      <c r="AV746" s="276">
        <f t="shared" si="679"/>
        <v>1.0088355198040191</v>
      </c>
      <c r="AW746" s="276">
        <f t="shared" si="680"/>
        <v>0.94423199067224473</v>
      </c>
      <c r="AX746" s="276">
        <f t="shared" si="681"/>
        <v>0.60674972512214631</v>
      </c>
      <c r="AY746" s="276">
        <f t="shared" si="682"/>
        <v>1.8557831065476325</v>
      </c>
      <c r="AZ746" s="686">
        <f t="shared" si="683"/>
        <v>1.3315145266472033</v>
      </c>
      <c r="BA746" s="685">
        <f t="shared" si="684"/>
        <v>0</v>
      </c>
      <c r="BB746" s="276">
        <f t="shared" si="685"/>
        <v>0</v>
      </c>
      <c r="BC746" s="276">
        <f t="shared" si="686"/>
        <v>0</v>
      </c>
      <c r="BD746" s="276">
        <f t="shared" si="687"/>
        <v>0</v>
      </c>
      <c r="BE746" s="276">
        <f t="shared" si="688"/>
        <v>0</v>
      </c>
      <c r="BF746" s="686">
        <f t="shared" si="689"/>
        <v>0</v>
      </c>
      <c r="BG746" s="685" t="e">
        <f t="shared" si="690"/>
        <v>#DIV/0!</v>
      </c>
      <c r="BH746" s="276" t="e">
        <f t="shared" si="691"/>
        <v>#DIV/0!</v>
      </c>
      <c r="BI746" s="276" t="e">
        <f t="shared" si="692"/>
        <v>#DIV/0!</v>
      </c>
      <c r="BJ746" s="276" t="e">
        <f t="shared" si="693"/>
        <v>#DIV/0!</v>
      </c>
      <c r="BK746" s="276" t="e">
        <f t="shared" si="694"/>
        <v>#DIV/0!</v>
      </c>
      <c r="BL746" s="686" t="e">
        <f t="shared" si="695"/>
        <v>#DIV/0!</v>
      </c>
      <c r="BM746" s="239"/>
      <c r="BN746" s="965" t="e">
        <f t="shared" si="696"/>
        <v>#VALUE!</v>
      </c>
      <c r="BO746" s="878" t="e">
        <f t="shared" si="697"/>
        <v>#VALUE!</v>
      </c>
      <c r="BP746" s="878" t="e">
        <f t="shared" si="698"/>
        <v>#VALUE!</v>
      </c>
      <c r="BQ746" s="878" t="e">
        <f t="shared" si="699"/>
        <v>#VALUE!</v>
      </c>
      <c r="BR746" s="878" t="e">
        <f t="shared" si="700"/>
        <v>#VALUE!</v>
      </c>
      <c r="BS746" s="966" t="e">
        <f t="shared" si="701"/>
        <v>#VALUE!</v>
      </c>
    </row>
    <row r="747" spans="1:71">
      <c r="A747" s="284">
        <f t="shared" si="702"/>
        <v>679</v>
      </c>
      <c r="B747" s="285">
        <v>-1.0605962936898481</v>
      </c>
      <c r="C747" s="285">
        <v>1.8249210242877167</v>
      </c>
      <c r="D747" s="285">
        <v>1.4560843717622236</v>
      </c>
      <c r="E747" s="285">
        <v>-21.657436461625462</v>
      </c>
      <c r="H747" s="685">
        <f t="shared" si="648"/>
        <v>-2.1938301354589029</v>
      </c>
      <c r="I747" s="276">
        <f t="shared" si="649"/>
        <v>1.3189280497738072</v>
      </c>
      <c r="J747" s="276">
        <f t="shared" si="650"/>
        <v>0.97712402192872916</v>
      </c>
      <c r="K747" s="276">
        <f t="shared" si="651"/>
        <v>-2.8275938797405287</v>
      </c>
      <c r="L747" s="276">
        <f t="shared" si="652"/>
        <v>-0.45957602338594294</v>
      </c>
      <c r="M747" s="276">
        <f t="shared" si="653"/>
        <v>-2.6811834074055092</v>
      </c>
      <c r="N747" s="685">
        <f t="shared" si="654"/>
        <v>0.61774981331584833</v>
      </c>
      <c r="O747" s="276">
        <f t="shared" si="655"/>
        <v>1.6681909533863111</v>
      </c>
      <c r="P747" s="276">
        <f t="shared" si="656"/>
        <v>1.3639093799856437</v>
      </c>
      <c r="Q747" s="276">
        <f t="shared" si="657"/>
        <v>1.7668644433941239</v>
      </c>
      <c r="R747" s="276">
        <f t="shared" si="658"/>
        <v>1.254882983940423</v>
      </c>
      <c r="S747" s="686">
        <f t="shared" si="659"/>
        <v>1.7966745344062189</v>
      </c>
      <c r="T747" s="685">
        <f t="shared" si="660"/>
        <v>4.7344480620331497</v>
      </c>
      <c r="U747" s="276">
        <f t="shared" si="661"/>
        <v>3.1427881147737344</v>
      </c>
      <c r="V747" s="276">
        <f t="shared" si="662"/>
        <v>4.8383774859616384</v>
      </c>
      <c r="W747" s="276">
        <f t="shared" si="663"/>
        <v>4.089012089659688</v>
      </c>
      <c r="X747" s="276">
        <f t="shared" si="664"/>
        <v>3.614182387244564</v>
      </c>
      <c r="Y747" s="686">
        <f t="shared" si="665"/>
        <v>3.4720304737733558</v>
      </c>
      <c r="Z747" s="685" t="e">
        <f t="shared" si="666"/>
        <v>#DIV/0!</v>
      </c>
      <c r="AA747" s="276" t="e">
        <f t="shared" si="667"/>
        <v>#DIV/0!</v>
      </c>
      <c r="AB747" s="276" t="e">
        <f t="shared" si="668"/>
        <v>#DIV/0!</v>
      </c>
      <c r="AC747" s="276" t="e">
        <f t="shared" si="669"/>
        <v>#DIV/0!</v>
      </c>
      <c r="AD747" s="276" t="e">
        <f t="shared" si="670"/>
        <v>#DIV/0!</v>
      </c>
      <c r="AE747" s="686" t="e">
        <f t="shared" si="671"/>
        <v>#DIV/0!</v>
      </c>
      <c r="AF747" s="239"/>
      <c r="AG747" s="965" t="e">
        <f t="shared" si="642"/>
        <v>#VALUE!</v>
      </c>
      <c r="AH747" s="878" t="e">
        <f t="shared" si="643"/>
        <v>#VALUE!</v>
      </c>
      <c r="AI747" s="878" t="e">
        <f t="shared" si="644"/>
        <v>#VALUE!</v>
      </c>
      <c r="AJ747" s="878" t="e">
        <f t="shared" si="645"/>
        <v>#VALUE!</v>
      </c>
      <c r="AK747" s="878" t="e">
        <f t="shared" si="646"/>
        <v>#VALUE!</v>
      </c>
      <c r="AL747" s="966" t="e">
        <f t="shared" si="647"/>
        <v>#VALUE!</v>
      </c>
      <c r="AM747" s="239"/>
      <c r="AO747" s="685">
        <f t="shared" si="672"/>
        <v>-2.1938301354589029</v>
      </c>
      <c r="AP747" s="276">
        <f t="shared" si="673"/>
        <v>1.3189280497738072</v>
      </c>
      <c r="AQ747" s="276">
        <f t="shared" si="674"/>
        <v>0.97712402192872916</v>
      </c>
      <c r="AR747" s="276">
        <f t="shared" si="675"/>
        <v>-2.8275938797405287</v>
      </c>
      <c r="AS747" s="276">
        <f t="shared" si="676"/>
        <v>-0.45957602338594294</v>
      </c>
      <c r="AT747" s="276">
        <f t="shared" si="677"/>
        <v>-2.6811834074055092</v>
      </c>
      <c r="AU747" s="685">
        <f t="shared" si="678"/>
        <v>0.61774981331584833</v>
      </c>
      <c r="AV747" s="276">
        <f t="shared" si="679"/>
        <v>1.6681909533863111</v>
      </c>
      <c r="AW747" s="276">
        <f t="shared" si="680"/>
        <v>1.3639093799856437</v>
      </c>
      <c r="AX747" s="276">
        <f t="shared" si="681"/>
        <v>1.7668644433941239</v>
      </c>
      <c r="AY747" s="276">
        <f t="shared" si="682"/>
        <v>1.254882983940423</v>
      </c>
      <c r="AZ747" s="686">
        <f t="shared" si="683"/>
        <v>1.7966745344062189</v>
      </c>
      <c r="BA747" s="685">
        <f t="shared" si="684"/>
        <v>0</v>
      </c>
      <c r="BB747" s="276">
        <f t="shared" si="685"/>
        <v>0</v>
      </c>
      <c r="BC747" s="276">
        <f t="shared" si="686"/>
        <v>0</v>
      </c>
      <c r="BD747" s="276">
        <f t="shared" si="687"/>
        <v>0</v>
      </c>
      <c r="BE747" s="276">
        <f t="shared" si="688"/>
        <v>0</v>
      </c>
      <c r="BF747" s="686">
        <f t="shared" si="689"/>
        <v>0</v>
      </c>
      <c r="BG747" s="685" t="e">
        <f t="shared" si="690"/>
        <v>#DIV/0!</v>
      </c>
      <c r="BH747" s="276" t="e">
        <f t="shared" si="691"/>
        <v>#DIV/0!</v>
      </c>
      <c r="BI747" s="276" t="e">
        <f t="shared" si="692"/>
        <v>#DIV/0!</v>
      </c>
      <c r="BJ747" s="276" t="e">
        <f t="shared" si="693"/>
        <v>#DIV/0!</v>
      </c>
      <c r="BK747" s="276" t="e">
        <f t="shared" si="694"/>
        <v>#DIV/0!</v>
      </c>
      <c r="BL747" s="686" t="e">
        <f t="shared" si="695"/>
        <v>#DIV/0!</v>
      </c>
      <c r="BM747" s="239"/>
      <c r="BN747" s="965" t="e">
        <f t="shared" si="696"/>
        <v>#VALUE!</v>
      </c>
      <c r="BO747" s="878" t="e">
        <f t="shared" si="697"/>
        <v>#VALUE!</v>
      </c>
      <c r="BP747" s="878" t="e">
        <f t="shared" si="698"/>
        <v>#VALUE!</v>
      </c>
      <c r="BQ747" s="878" t="e">
        <f t="shared" si="699"/>
        <v>#VALUE!</v>
      </c>
      <c r="BR747" s="878" t="e">
        <f t="shared" si="700"/>
        <v>#VALUE!</v>
      </c>
      <c r="BS747" s="966" t="e">
        <f t="shared" si="701"/>
        <v>#VALUE!</v>
      </c>
    </row>
    <row r="748" spans="1:71">
      <c r="A748" s="284">
        <f t="shared" si="702"/>
        <v>680</v>
      </c>
      <c r="B748" s="285">
        <v>-1.2125814506560333</v>
      </c>
      <c r="C748" s="285">
        <v>2.5906755805124733</v>
      </c>
      <c r="D748" s="285">
        <v>0.237678574660666</v>
      </c>
      <c r="E748" s="285">
        <v>0.26694676070669976</v>
      </c>
      <c r="H748" s="685">
        <f t="shared" si="648"/>
        <v>-2.3458152924250881</v>
      </c>
      <c r="I748" s="276">
        <f t="shared" si="649"/>
        <v>-4.0857535403101677</v>
      </c>
      <c r="J748" s="276">
        <f t="shared" si="650"/>
        <v>0.88424406659063215</v>
      </c>
      <c r="K748" s="276">
        <f t="shared" si="651"/>
        <v>-2.3885923846985211</v>
      </c>
      <c r="L748" s="276">
        <f t="shared" si="652"/>
        <v>1.6944774003067231</v>
      </c>
      <c r="M748" s="276">
        <f t="shared" si="653"/>
        <v>-2.0696391447340696</v>
      </c>
      <c r="N748" s="685">
        <f t="shared" si="654"/>
        <v>1.3835043695406049</v>
      </c>
      <c r="O748" s="276">
        <f t="shared" si="655"/>
        <v>1.3229061395553405</v>
      </c>
      <c r="P748" s="276">
        <f t="shared" si="656"/>
        <v>1.8488107107124605</v>
      </c>
      <c r="Q748" s="276">
        <f t="shared" si="657"/>
        <v>1.0199392997953438</v>
      </c>
      <c r="R748" s="276">
        <f t="shared" si="658"/>
        <v>1.0314373892334008</v>
      </c>
      <c r="S748" s="686">
        <f t="shared" si="659"/>
        <v>2.0156162842832401</v>
      </c>
      <c r="T748" s="685">
        <f t="shared" si="660"/>
        <v>3.5160422649315919</v>
      </c>
      <c r="U748" s="276">
        <f t="shared" si="661"/>
        <v>3.5061097813061681</v>
      </c>
      <c r="V748" s="276">
        <f t="shared" si="662"/>
        <v>4.8694339224342853</v>
      </c>
      <c r="W748" s="276">
        <f t="shared" si="663"/>
        <v>5.0024052806592065</v>
      </c>
      <c r="X748" s="276">
        <f t="shared" si="664"/>
        <v>6.3028266859431401</v>
      </c>
      <c r="Y748" s="686">
        <f t="shared" si="665"/>
        <v>5.2985025896802718</v>
      </c>
      <c r="Z748" s="685" t="e">
        <f t="shared" si="666"/>
        <v>#DIV/0!</v>
      </c>
      <c r="AA748" s="276" t="e">
        <f t="shared" si="667"/>
        <v>#DIV/0!</v>
      </c>
      <c r="AB748" s="276" t="e">
        <f t="shared" si="668"/>
        <v>#DIV/0!</v>
      </c>
      <c r="AC748" s="276" t="e">
        <f t="shared" si="669"/>
        <v>#DIV/0!</v>
      </c>
      <c r="AD748" s="276" t="e">
        <f t="shared" si="670"/>
        <v>#DIV/0!</v>
      </c>
      <c r="AE748" s="686" t="e">
        <f t="shared" si="671"/>
        <v>#DIV/0!</v>
      </c>
      <c r="AF748" s="239"/>
      <c r="AG748" s="965" t="e">
        <f t="shared" si="642"/>
        <v>#VALUE!</v>
      </c>
      <c r="AH748" s="878" t="e">
        <f t="shared" si="643"/>
        <v>#VALUE!</v>
      </c>
      <c r="AI748" s="878" t="e">
        <f t="shared" si="644"/>
        <v>#VALUE!</v>
      </c>
      <c r="AJ748" s="878" t="e">
        <f t="shared" si="645"/>
        <v>#VALUE!</v>
      </c>
      <c r="AK748" s="878" t="e">
        <f t="shared" si="646"/>
        <v>#VALUE!</v>
      </c>
      <c r="AL748" s="966" t="e">
        <f t="shared" si="647"/>
        <v>#VALUE!</v>
      </c>
      <c r="AM748" s="239"/>
      <c r="AO748" s="685">
        <f t="shared" si="672"/>
        <v>-2.3458152924250881</v>
      </c>
      <c r="AP748" s="276">
        <f t="shared" si="673"/>
        <v>-4.0857535403101677</v>
      </c>
      <c r="AQ748" s="276">
        <f t="shared" si="674"/>
        <v>0.88424406659063215</v>
      </c>
      <c r="AR748" s="276">
        <f t="shared" si="675"/>
        <v>-2.3885923846985211</v>
      </c>
      <c r="AS748" s="276">
        <f t="shared" si="676"/>
        <v>1.6944774003067231</v>
      </c>
      <c r="AT748" s="276">
        <f t="shared" si="677"/>
        <v>-2.0696391447340696</v>
      </c>
      <c r="AU748" s="685">
        <f t="shared" si="678"/>
        <v>1.3835043695406049</v>
      </c>
      <c r="AV748" s="276">
        <f t="shared" si="679"/>
        <v>1.3229061395553405</v>
      </c>
      <c r="AW748" s="276">
        <f t="shared" si="680"/>
        <v>1.8488107107124605</v>
      </c>
      <c r="AX748" s="276">
        <f t="shared" si="681"/>
        <v>1.0199392997953438</v>
      </c>
      <c r="AY748" s="276">
        <f t="shared" si="682"/>
        <v>1.0314373892334008</v>
      </c>
      <c r="AZ748" s="686">
        <f t="shared" si="683"/>
        <v>2.0156162842832401</v>
      </c>
      <c r="BA748" s="685">
        <f t="shared" si="684"/>
        <v>0</v>
      </c>
      <c r="BB748" s="276">
        <f t="shared" si="685"/>
        <v>0</v>
      </c>
      <c r="BC748" s="276">
        <f t="shared" si="686"/>
        <v>0</v>
      </c>
      <c r="BD748" s="276">
        <f t="shared" si="687"/>
        <v>0</v>
      </c>
      <c r="BE748" s="276">
        <f t="shared" si="688"/>
        <v>0</v>
      </c>
      <c r="BF748" s="686">
        <f t="shared" si="689"/>
        <v>0</v>
      </c>
      <c r="BG748" s="685" t="e">
        <f t="shared" si="690"/>
        <v>#DIV/0!</v>
      </c>
      <c r="BH748" s="276" t="e">
        <f t="shared" si="691"/>
        <v>#DIV/0!</v>
      </c>
      <c r="BI748" s="276" t="e">
        <f t="shared" si="692"/>
        <v>#DIV/0!</v>
      </c>
      <c r="BJ748" s="276" t="e">
        <f t="shared" si="693"/>
        <v>#DIV/0!</v>
      </c>
      <c r="BK748" s="276" t="e">
        <f t="shared" si="694"/>
        <v>#DIV/0!</v>
      </c>
      <c r="BL748" s="686" t="e">
        <f t="shared" si="695"/>
        <v>#DIV/0!</v>
      </c>
      <c r="BM748" s="239"/>
      <c r="BN748" s="965" t="e">
        <f t="shared" si="696"/>
        <v>#VALUE!</v>
      </c>
      <c r="BO748" s="878" t="e">
        <f t="shared" si="697"/>
        <v>#VALUE!</v>
      </c>
      <c r="BP748" s="878" t="e">
        <f t="shared" si="698"/>
        <v>#VALUE!</v>
      </c>
      <c r="BQ748" s="878" t="e">
        <f t="shared" si="699"/>
        <v>#VALUE!</v>
      </c>
      <c r="BR748" s="878" t="e">
        <f t="shared" si="700"/>
        <v>#VALUE!</v>
      </c>
      <c r="BS748" s="966" t="e">
        <f t="shared" si="701"/>
        <v>#VALUE!</v>
      </c>
    </row>
    <row r="749" spans="1:71">
      <c r="A749" s="284">
        <f t="shared" si="702"/>
        <v>681</v>
      </c>
      <c r="B749" s="285">
        <v>-4.2047615579955302</v>
      </c>
      <c r="C749" s="285">
        <v>2.5500455061857861</v>
      </c>
      <c r="D749" s="285">
        <v>0.55864072175227575</v>
      </c>
      <c r="E749" s="285">
        <v>6.1227388214376184</v>
      </c>
      <c r="H749" s="685">
        <f t="shared" si="648"/>
        <v>-5.3379953997645853</v>
      </c>
      <c r="I749" s="276">
        <f t="shared" si="649"/>
        <v>7.4544141779713913E-2</v>
      </c>
      <c r="J749" s="276">
        <f t="shared" si="650"/>
        <v>-0.65983757553640343</v>
      </c>
      <c r="K749" s="276">
        <f t="shared" si="651"/>
        <v>0.46839534383341674</v>
      </c>
      <c r="L749" s="276">
        <f t="shared" si="652"/>
        <v>-1.1148097487762203</v>
      </c>
      <c r="M749" s="276">
        <f t="shared" si="653"/>
        <v>0.590434319840762</v>
      </c>
      <c r="N749" s="685">
        <f t="shared" si="654"/>
        <v>1.3428742952139177</v>
      </c>
      <c r="O749" s="276">
        <f t="shared" si="655"/>
        <v>1.9952806655171569</v>
      </c>
      <c r="P749" s="276">
        <f t="shared" si="656"/>
        <v>1.3858732899245469</v>
      </c>
      <c r="Q749" s="276">
        <f t="shared" si="657"/>
        <v>1.7021193390567244</v>
      </c>
      <c r="R749" s="276">
        <f t="shared" si="658"/>
        <v>0.87389185747390097</v>
      </c>
      <c r="S749" s="686">
        <f t="shared" si="659"/>
        <v>1.737547142183417</v>
      </c>
      <c r="T749" s="685">
        <f t="shared" si="660"/>
        <v>3.8370044120232016</v>
      </c>
      <c r="U749" s="276">
        <f t="shared" si="661"/>
        <v>4.9042140127053209</v>
      </c>
      <c r="V749" s="276">
        <f t="shared" si="662"/>
        <v>4.2045207738111632</v>
      </c>
      <c r="W749" s="276">
        <f t="shared" si="663"/>
        <v>4.0430278099414352</v>
      </c>
      <c r="X749" s="276">
        <f t="shared" si="664"/>
        <v>5.6037164836444333</v>
      </c>
      <c r="Y749" s="686">
        <f t="shared" si="665"/>
        <v>4.9948412641403319</v>
      </c>
      <c r="Z749" s="685" t="e">
        <f t="shared" si="666"/>
        <v>#DIV/0!</v>
      </c>
      <c r="AA749" s="276" t="e">
        <f t="shared" si="667"/>
        <v>#DIV/0!</v>
      </c>
      <c r="AB749" s="276" t="e">
        <f t="shared" si="668"/>
        <v>#DIV/0!</v>
      </c>
      <c r="AC749" s="276" t="e">
        <f t="shared" si="669"/>
        <v>#DIV/0!</v>
      </c>
      <c r="AD749" s="276" t="e">
        <f t="shared" si="670"/>
        <v>#DIV/0!</v>
      </c>
      <c r="AE749" s="686" t="e">
        <f t="shared" si="671"/>
        <v>#DIV/0!</v>
      </c>
      <c r="AF749" s="239"/>
      <c r="AG749" s="965" t="e">
        <f t="shared" si="642"/>
        <v>#VALUE!</v>
      </c>
      <c r="AH749" s="878" t="e">
        <f t="shared" si="643"/>
        <v>#VALUE!</v>
      </c>
      <c r="AI749" s="878" t="e">
        <f t="shared" si="644"/>
        <v>#VALUE!</v>
      </c>
      <c r="AJ749" s="878" t="e">
        <f t="shared" si="645"/>
        <v>#VALUE!</v>
      </c>
      <c r="AK749" s="878" t="e">
        <f t="shared" si="646"/>
        <v>#VALUE!</v>
      </c>
      <c r="AL749" s="966" t="e">
        <f t="shared" si="647"/>
        <v>#VALUE!</v>
      </c>
      <c r="AM749" s="239"/>
      <c r="AO749" s="685">
        <f t="shared" si="672"/>
        <v>-5.3379953997645853</v>
      </c>
      <c r="AP749" s="276">
        <f t="shared" si="673"/>
        <v>7.4544141779713913E-2</v>
      </c>
      <c r="AQ749" s="276">
        <f t="shared" si="674"/>
        <v>-0.65983757553640343</v>
      </c>
      <c r="AR749" s="276">
        <f t="shared" si="675"/>
        <v>0.46839534383341674</v>
      </c>
      <c r="AS749" s="276">
        <f t="shared" si="676"/>
        <v>-1.1148097487762203</v>
      </c>
      <c r="AT749" s="276">
        <f t="shared" si="677"/>
        <v>0.590434319840762</v>
      </c>
      <c r="AU749" s="685">
        <f t="shared" si="678"/>
        <v>1.3428742952139177</v>
      </c>
      <c r="AV749" s="276">
        <f t="shared" si="679"/>
        <v>1.9952806655171569</v>
      </c>
      <c r="AW749" s="276">
        <f t="shared" si="680"/>
        <v>1.3858732899245469</v>
      </c>
      <c r="AX749" s="276">
        <f t="shared" si="681"/>
        <v>1.7021193390567244</v>
      </c>
      <c r="AY749" s="276">
        <f t="shared" si="682"/>
        <v>0.87389185747390097</v>
      </c>
      <c r="AZ749" s="686">
        <f t="shared" si="683"/>
        <v>1.737547142183417</v>
      </c>
      <c r="BA749" s="685">
        <f t="shared" si="684"/>
        <v>0</v>
      </c>
      <c r="BB749" s="276">
        <f t="shared" si="685"/>
        <v>0</v>
      </c>
      <c r="BC749" s="276">
        <f t="shared" si="686"/>
        <v>0</v>
      </c>
      <c r="BD749" s="276">
        <f t="shared" si="687"/>
        <v>0</v>
      </c>
      <c r="BE749" s="276">
        <f t="shared" si="688"/>
        <v>0</v>
      </c>
      <c r="BF749" s="686">
        <f t="shared" si="689"/>
        <v>0</v>
      </c>
      <c r="BG749" s="685" t="e">
        <f t="shared" si="690"/>
        <v>#DIV/0!</v>
      </c>
      <c r="BH749" s="276" t="e">
        <f t="shared" si="691"/>
        <v>#DIV/0!</v>
      </c>
      <c r="BI749" s="276" t="e">
        <f t="shared" si="692"/>
        <v>#DIV/0!</v>
      </c>
      <c r="BJ749" s="276" t="e">
        <f t="shared" si="693"/>
        <v>#DIV/0!</v>
      </c>
      <c r="BK749" s="276" t="e">
        <f t="shared" si="694"/>
        <v>#DIV/0!</v>
      </c>
      <c r="BL749" s="686" t="e">
        <f t="shared" si="695"/>
        <v>#DIV/0!</v>
      </c>
      <c r="BM749" s="239"/>
      <c r="BN749" s="965" t="e">
        <f t="shared" si="696"/>
        <v>#VALUE!</v>
      </c>
      <c r="BO749" s="878" t="e">
        <f t="shared" si="697"/>
        <v>#VALUE!</v>
      </c>
      <c r="BP749" s="878" t="e">
        <f t="shared" si="698"/>
        <v>#VALUE!</v>
      </c>
      <c r="BQ749" s="878" t="e">
        <f t="shared" si="699"/>
        <v>#VALUE!</v>
      </c>
      <c r="BR749" s="878" t="e">
        <f t="shared" si="700"/>
        <v>#VALUE!</v>
      </c>
      <c r="BS749" s="966" t="e">
        <f t="shared" si="701"/>
        <v>#VALUE!</v>
      </c>
    </row>
    <row r="750" spans="1:71">
      <c r="A750" s="284">
        <f t="shared" si="702"/>
        <v>682</v>
      </c>
      <c r="B750" s="285">
        <v>1.6469378072176459</v>
      </c>
      <c r="C750" s="285">
        <v>3.0075160970328172</v>
      </c>
      <c r="D750" s="285">
        <v>0.30999345634470377</v>
      </c>
      <c r="E750" s="285">
        <v>8.2818932430712469</v>
      </c>
      <c r="H750" s="685">
        <f t="shared" si="648"/>
        <v>0.51370396544859109</v>
      </c>
      <c r="I750" s="276">
        <f t="shared" si="649"/>
        <v>2.4542013356976007</v>
      </c>
      <c r="J750" s="276">
        <f t="shared" si="650"/>
        <v>-6.8494725382750588E-2</v>
      </c>
      <c r="K750" s="276">
        <f t="shared" si="651"/>
        <v>-0.15524707951280903</v>
      </c>
      <c r="L750" s="276">
        <f t="shared" si="652"/>
        <v>-2.0307096677114127</v>
      </c>
      <c r="M750" s="276">
        <f t="shared" si="653"/>
        <v>-1.8215185421222124</v>
      </c>
      <c r="N750" s="685">
        <f t="shared" si="654"/>
        <v>1.8003448860609488</v>
      </c>
      <c r="O750" s="276">
        <f t="shared" si="655"/>
        <v>2.2105921158396882</v>
      </c>
      <c r="P750" s="276">
        <f t="shared" si="656"/>
        <v>1.2639769891393751</v>
      </c>
      <c r="Q750" s="276">
        <f t="shared" si="657"/>
        <v>0.82480091186925208</v>
      </c>
      <c r="R750" s="276">
        <f t="shared" si="658"/>
        <v>1.8849934142670859</v>
      </c>
      <c r="S750" s="686">
        <f t="shared" si="659"/>
        <v>1.3361544241949443</v>
      </c>
      <c r="T750" s="685">
        <f t="shared" si="660"/>
        <v>3.5883571466156297</v>
      </c>
      <c r="U750" s="276">
        <f t="shared" si="661"/>
        <v>3.0886856635827127</v>
      </c>
      <c r="V750" s="276">
        <f t="shared" si="662"/>
        <v>5.5635371260581259</v>
      </c>
      <c r="W750" s="276">
        <f t="shared" si="663"/>
        <v>6.8155984963630978</v>
      </c>
      <c r="X750" s="276">
        <f t="shared" si="664"/>
        <v>3.6157285626500766</v>
      </c>
      <c r="Y750" s="686">
        <f t="shared" si="665"/>
        <v>4.3935593720723514</v>
      </c>
      <c r="Z750" s="685" t="e">
        <f t="shared" si="666"/>
        <v>#DIV/0!</v>
      </c>
      <c r="AA750" s="276" t="e">
        <f t="shared" si="667"/>
        <v>#DIV/0!</v>
      </c>
      <c r="AB750" s="276" t="e">
        <f t="shared" si="668"/>
        <v>#DIV/0!</v>
      </c>
      <c r="AC750" s="276" t="e">
        <f t="shared" si="669"/>
        <v>#DIV/0!</v>
      </c>
      <c r="AD750" s="276" t="e">
        <f t="shared" si="670"/>
        <v>#DIV/0!</v>
      </c>
      <c r="AE750" s="686" t="e">
        <f t="shared" si="671"/>
        <v>#DIV/0!</v>
      </c>
      <c r="AF750" s="239"/>
      <c r="AG750" s="965" t="e">
        <f t="shared" si="642"/>
        <v>#VALUE!</v>
      </c>
      <c r="AH750" s="878" t="e">
        <f t="shared" si="643"/>
        <v>#VALUE!</v>
      </c>
      <c r="AI750" s="878" t="e">
        <f t="shared" si="644"/>
        <v>#VALUE!</v>
      </c>
      <c r="AJ750" s="878" t="e">
        <f t="shared" si="645"/>
        <v>#VALUE!</v>
      </c>
      <c r="AK750" s="878" t="e">
        <f t="shared" si="646"/>
        <v>#VALUE!</v>
      </c>
      <c r="AL750" s="966" t="e">
        <f t="shared" si="647"/>
        <v>#VALUE!</v>
      </c>
      <c r="AM750" s="239"/>
      <c r="AO750" s="685">
        <f t="shared" si="672"/>
        <v>0.51370396544859109</v>
      </c>
      <c r="AP750" s="276">
        <f t="shared" si="673"/>
        <v>2.4542013356976007</v>
      </c>
      <c r="AQ750" s="276">
        <f t="shared" si="674"/>
        <v>-6.8494725382750588E-2</v>
      </c>
      <c r="AR750" s="276">
        <f t="shared" si="675"/>
        <v>-0.15524707951280903</v>
      </c>
      <c r="AS750" s="276">
        <f t="shared" si="676"/>
        <v>-2.0307096677114127</v>
      </c>
      <c r="AT750" s="276">
        <f t="shared" si="677"/>
        <v>-1.8215185421222124</v>
      </c>
      <c r="AU750" s="685">
        <f t="shared" si="678"/>
        <v>1.8003448860609488</v>
      </c>
      <c r="AV750" s="276">
        <f t="shared" si="679"/>
        <v>2.2105921158396882</v>
      </c>
      <c r="AW750" s="276">
        <f t="shared" si="680"/>
        <v>1.2639769891393751</v>
      </c>
      <c r="AX750" s="276">
        <f t="shared" si="681"/>
        <v>0.82480091186925208</v>
      </c>
      <c r="AY750" s="276">
        <f t="shared" si="682"/>
        <v>1.8849934142670859</v>
      </c>
      <c r="AZ750" s="686">
        <f t="shared" si="683"/>
        <v>1.3361544241949443</v>
      </c>
      <c r="BA750" s="685">
        <f t="shared" si="684"/>
        <v>0</v>
      </c>
      <c r="BB750" s="276">
        <f t="shared" si="685"/>
        <v>0</v>
      </c>
      <c r="BC750" s="276">
        <f t="shared" si="686"/>
        <v>0</v>
      </c>
      <c r="BD750" s="276">
        <f t="shared" si="687"/>
        <v>0</v>
      </c>
      <c r="BE750" s="276">
        <f t="shared" si="688"/>
        <v>0</v>
      </c>
      <c r="BF750" s="686">
        <f t="shared" si="689"/>
        <v>0</v>
      </c>
      <c r="BG750" s="685" t="e">
        <f t="shared" si="690"/>
        <v>#DIV/0!</v>
      </c>
      <c r="BH750" s="276" t="e">
        <f t="shared" si="691"/>
        <v>#DIV/0!</v>
      </c>
      <c r="BI750" s="276" t="e">
        <f t="shared" si="692"/>
        <v>#DIV/0!</v>
      </c>
      <c r="BJ750" s="276" t="e">
        <f t="shared" si="693"/>
        <v>#DIV/0!</v>
      </c>
      <c r="BK750" s="276" t="e">
        <f t="shared" si="694"/>
        <v>#DIV/0!</v>
      </c>
      <c r="BL750" s="686" t="e">
        <f t="shared" si="695"/>
        <v>#DIV/0!</v>
      </c>
      <c r="BM750" s="239"/>
      <c r="BN750" s="965" t="e">
        <f t="shared" si="696"/>
        <v>#VALUE!</v>
      </c>
      <c r="BO750" s="878" t="e">
        <f t="shared" si="697"/>
        <v>#VALUE!</v>
      </c>
      <c r="BP750" s="878" t="e">
        <f t="shared" si="698"/>
        <v>#VALUE!</v>
      </c>
      <c r="BQ750" s="878" t="e">
        <f t="shared" si="699"/>
        <v>#VALUE!</v>
      </c>
      <c r="BR750" s="878" t="e">
        <f t="shared" si="700"/>
        <v>#VALUE!</v>
      </c>
      <c r="BS750" s="966" t="e">
        <f t="shared" si="701"/>
        <v>#VALUE!</v>
      </c>
    </row>
    <row r="751" spans="1:71">
      <c r="A751" s="284">
        <f t="shared" si="702"/>
        <v>683</v>
      </c>
      <c r="B751" s="285">
        <v>-0.66058847410479504</v>
      </c>
      <c r="C751" s="285">
        <v>2.500659636317605</v>
      </c>
      <c r="D751" s="285">
        <v>0.7064615398034122</v>
      </c>
      <c r="E751" s="285">
        <v>5.2435781753859914</v>
      </c>
      <c r="H751" s="685">
        <f t="shared" si="648"/>
        <v>-1.7938223158738498</v>
      </c>
      <c r="I751" s="276">
        <f t="shared" si="649"/>
        <v>-2.0320505013212031</v>
      </c>
      <c r="J751" s="276">
        <f t="shared" si="650"/>
        <v>-1.3313353360200628</v>
      </c>
      <c r="K751" s="276">
        <f t="shared" si="651"/>
        <v>-3.6801326033840391</v>
      </c>
      <c r="L751" s="276">
        <f t="shared" si="652"/>
        <v>-2.8920490731903143</v>
      </c>
      <c r="M751" s="276">
        <f t="shared" si="653"/>
        <v>2.0202390070050935</v>
      </c>
      <c r="N751" s="685">
        <f t="shared" si="654"/>
        <v>1.2934884253457366</v>
      </c>
      <c r="O751" s="276">
        <f t="shared" si="655"/>
        <v>1.1386389038084703</v>
      </c>
      <c r="P751" s="276">
        <f t="shared" si="656"/>
        <v>1.675462374077944</v>
      </c>
      <c r="Q751" s="276">
        <f t="shared" si="657"/>
        <v>1.1979396907925188</v>
      </c>
      <c r="R751" s="276">
        <f t="shared" si="658"/>
        <v>1.4547528263315292</v>
      </c>
      <c r="S751" s="686">
        <f t="shared" si="659"/>
        <v>1.953836358023662</v>
      </c>
      <c r="T751" s="685">
        <f t="shared" si="660"/>
        <v>3.9848252300743381</v>
      </c>
      <c r="U751" s="276">
        <f t="shared" si="661"/>
        <v>2.2683313653421746</v>
      </c>
      <c r="V751" s="276">
        <f t="shared" si="662"/>
        <v>4.3353722089898783</v>
      </c>
      <c r="W751" s="276">
        <f t="shared" si="663"/>
        <v>3.6453089238309997</v>
      </c>
      <c r="X751" s="276">
        <f t="shared" si="664"/>
        <v>2.0559832882916638</v>
      </c>
      <c r="Y751" s="686">
        <f t="shared" si="665"/>
        <v>5.6295096287110198</v>
      </c>
      <c r="Z751" s="685" t="e">
        <f t="shared" si="666"/>
        <v>#DIV/0!</v>
      </c>
      <c r="AA751" s="276" t="e">
        <f t="shared" si="667"/>
        <v>#DIV/0!</v>
      </c>
      <c r="AB751" s="276" t="e">
        <f t="shared" si="668"/>
        <v>#DIV/0!</v>
      </c>
      <c r="AC751" s="276" t="e">
        <f t="shared" si="669"/>
        <v>#DIV/0!</v>
      </c>
      <c r="AD751" s="276" t="e">
        <f t="shared" si="670"/>
        <v>#DIV/0!</v>
      </c>
      <c r="AE751" s="686" t="e">
        <f t="shared" si="671"/>
        <v>#DIV/0!</v>
      </c>
      <c r="AF751" s="239"/>
      <c r="AG751" s="965" t="e">
        <f t="shared" si="642"/>
        <v>#VALUE!</v>
      </c>
      <c r="AH751" s="878" t="e">
        <f t="shared" si="643"/>
        <v>#VALUE!</v>
      </c>
      <c r="AI751" s="878" t="e">
        <f t="shared" si="644"/>
        <v>#VALUE!</v>
      </c>
      <c r="AJ751" s="878" t="e">
        <f t="shared" si="645"/>
        <v>#VALUE!</v>
      </c>
      <c r="AK751" s="878" t="e">
        <f t="shared" si="646"/>
        <v>#VALUE!</v>
      </c>
      <c r="AL751" s="966" t="e">
        <f t="shared" si="647"/>
        <v>#VALUE!</v>
      </c>
      <c r="AM751" s="239"/>
      <c r="AO751" s="685">
        <f t="shared" si="672"/>
        <v>-1.7938223158738498</v>
      </c>
      <c r="AP751" s="276">
        <f t="shared" si="673"/>
        <v>-2.0320505013212031</v>
      </c>
      <c r="AQ751" s="276">
        <f t="shared" si="674"/>
        <v>-1.3313353360200628</v>
      </c>
      <c r="AR751" s="276">
        <f t="shared" si="675"/>
        <v>-3.6801326033840391</v>
      </c>
      <c r="AS751" s="276">
        <f t="shared" si="676"/>
        <v>-2.8920490731903143</v>
      </c>
      <c r="AT751" s="276">
        <f t="shared" si="677"/>
        <v>2.0202390070050935</v>
      </c>
      <c r="AU751" s="685">
        <f t="shared" si="678"/>
        <v>1.2934884253457366</v>
      </c>
      <c r="AV751" s="276">
        <f t="shared" si="679"/>
        <v>1.1386389038084703</v>
      </c>
      <c r="AW751" s="276">
        <f t="shared" si="680"/>
        <v>1.675462374077944</v>
      </c>
      <c r="AX751" s="276">
        <f t="shared" si="681"/>
        <v>1.1979396907925188</v>
      </c>
      <c r="AY751" s="276">
        <f t="shared" si="682"/>
        <v>1.4547528263315292</v>
      </c>
      <c r="AZ751" s="686">
        <f t="shared" si="683"/>
        <v>1.953836358023662</v>
      </c>
      <c r="BA751" s="685">
        <f t="shared" si="684"/>
        <v>0</v>
      </c>
      <c r="BB751" s="276">
        <f t="shared" si="685"/>
        <v>0</v>
      </c>
      <c r="BC751" s="276">
        <f t="shared" si="686"/>
        <v>0</v>
      </c>
      <c r="BD751" s="276">
        <f t="shared" si="687"/>
        <v>0</v>
      </c>
      <c r="BE751" s="276">
        <f t="shared" si="688"/>
        <v>0</v>
      </c>
      <c r="BF751" s="686">
        <f t="shared" si="689"/>
        <v>0</v>
      </c>
      <c r="BG751" s="685" t="e">
        <f t="shared" si="690"/>
        <v>#DIV/0!</v>
      </c>
      <c r="BH751" s="276" t="e">
        <f t="shared" si="691"/>
        <v>#DIV/0!</v>
      </c>
      <c r="BI751" s="276" t="e">
        <f t="shared" si="692"/>
        <v>#DIV/0!</v>
      </c>
      <c r="BJ751" s="276" t="e">
        <f t="shared" si="693"/>
        <v>#DIV/0!</v>
      </c>
      <c r="BK751" s="276" t="e">
        <f t="shared" si="694"/>
        <v>#DIV/0!</v>
      </c>
      <c r="BL751" s="686" t="e">
        <f t="shared" si="695"/>
        <v>#DIV/0!</v>
      </c>
      <c r="BM751" s="239"/>
      <c r="BN751" s="965" t="e">
        <f t="shared" si="696"/>
        <v>#VALUE!</v>
      </c>
      <c r="BO751" s="878" t="e">
        <f t="shared" si="697"/>
        <v>#VALUE!</v>
      </c>
      <c r="BP751" s="878" t="e">
        <f t="shared" si="698"/>
        <v>#VALUE!</v>
      </c>
      <c r="BQ751" s="878" t="e">
        <f t="shared" si="699"/>
        <v>#VALUE!</v>
      </c>
      <c r="BR751" s="878" t="e">
        <f t="shared" si="700"/>
        <v>#VALUE!</v>
      </c>
      <c r="BS751" s="966" t="e">
        <f t="shared" si="701"/>
        <v>#VALUE!</v>
      </c>
    </row>
    <row r="752" spans="1:71">
      <c r="A752" s="284">
        <f t="shared" si="702"/>
        <v>684</v>
      </c>
      <c r="B752" s="285">
        <v>-3.4029446531416556</v>
      </c>
      <c r="C752" s="285">
        <v>2.0569737346652426</v>
      </c>
      <c r="D752" s="285">
        <v>-1.0508641380490626</v>
      </c>
      <c r="E752" s="285">
        <v>-10.122290466724497</v>
      </c>
      <c r="H752" s="685">
        <f t="shared" si="648"/>
        <v>-4.5361784949107102</v>
      </c>
      <c r="I752" s="276">
        <f t="shared" si="649"/>
        <v>-2.6439076627041151</v>
      </c>
      <c r="J752" s="276">
        <f t="shared" si="650"/>
        <v>-2.0052163419215954</v>
      </c>
      <c r="K752" s="276">
        <f t="shared" si="651"/>
        <v>-1.6549058784596795</v>
      </c>
      <c r="L752" s="276">
        <f t="shared" si="652"/>
        <v>-2.2399380528640691</v>
      </c>
      <c r="M752" s="276">
        <f t="shared" si="653"/>
        <v>3.7061385542387013</v>
      </c>
      <c r="N752" s="685">
        <f t="shared" si="654"/>
        <v>0.84980252369337417</v>
      </c>
      <c r="O752" s="276">
        <f t="shared" si="655"/>
        <v>0.72867007874743761</v>
      </c>
      <c r="P752" s="276">
        <f t="shared" si="656"/>
        <v>1.5067966249490625</v>
      </c>
      <c r="Q752" s="276">
        <f t="shared" si="657"/>
        <v>0.61702972336436379</v>
      </c>
      <c r="R752" s="276">
        <f t="shared" si="658"/>
        <v>1.5722583628475808</v>
      </c>
      <c r="S752" s="686">
        <f t="shared" si="659"/>
        <v>1.8504344255106699</v>
      </c>
      <c r="T752" s="685">
        <f t="shared" si="660"/>
        <v>2.2274995522218632</v>
      </c>
      <c r="U752" s="276">
        <f t="shared" si="661"/>
        <v>5.3002286524192535</v>
      </c>
      <c r="V752" s="276">
        <f t="shared" si="662"/>
        <v>3.3140190954424842</v>
      </c>
      <c r="W752" s="276">
        <f t="shared" si="663"/>
        <v>4.8975970697804376</v>
      </c>
      <c r="X752" s="276">
        <f t="shared" si="664"/>
        <v>2.3878241539133978</v>
      </c>
      <c r="Y752" s="686">
        <f t="shared" si="665"/>
        <v>4.7562426827074944</v>
      </c>
      <c r="Z752" s="685" t="e">
        <f t="shared" si="666"/>
        <v>#DIV/0!</v>
      </c>
      <c r="AA752" s="276" t="e">
        <f t="shared" si="667"/>
        <v>#DIV/0!</v>
      </c>
      <c r="AB752" s="276" t="e">
        <f t="shared" si="668"/>
        <v>#DIV/0!</v>
      </c>
      <c r="AC752" s="276" t="e">
        <f t="shared" si="669"/>
        <v>#DIV/0!</v>
      </c>
      <c r="AD752" s="276" t="e">
        <f t="shared" si="670"/>
        <v>#DIV/0!</v>
      </c>
      <c r="AE752" s="686" t="e">
        <f t="shared" si="671"/>
        <v>#DIV/0!</v>
      </c>
      <c r="AF752" s="239"/>
      <c r="AG752" s="965" t="e">
        <f t="shared" si="642"/>
        <v>#VALUE!</v>
      </c>
      <c r="AH752" s="878" t="e">
        <f t="shared" si="643"/>
        <v>#VALUE!</v>
      </c>
      <c r="AI752" s="878" t="e">
        <f t="shared" si="644"/>
        <v>#VALUE!</v>
      </c>
      <c r="AJ752" s="878" t="e">
        <f t="shared" si="645"/>
        <v>#VALUE!</v>
      </c>
      <c r="AK752" s="878" t="e">
        <f t="shared" si="646"/>
        <v>#VALUE!</v>
      </c>
      <c r="AL752" s="966" t="e">
        <f t="shared" si="647"/>
        <v>#VALUE!</v>
      </c>
      <c r="AM752" s="239"/>
      <c r="AO752" s="685">
        <f t="shared" si="672"/>
        <v>-4.5361784949107102</v>
      </c>
      <c r="AP752" s="276">
        <f t="shared" si="673"/>
        <v>-2.6439076627041151</v>
      </c>
      <c r="AQ752" s="276">
        <f t="shared" si="674"/>
        <v>-2.0052163419215954</v>
      </c>
      <c r="AR752" s="276">
        <f t="shared" si="675"/>
        <v>-1.6549058784596795</v>
      </c>
      <c r="AS752" s="276">
        <f t="shared" si="676"/>
        <v>-2.2399380528640691</v>
      </c>
      <c r="AT752" s="276">
        <f t="shared" si="677"/>
        <v>3.7061385542387013</v>
      </c>
      <c r="AU752" s="685">
        <f t="shared" si="678"/>
        <v>0.84980252369337417</v>
      </c>
      <c r="AV752" s="276">
        <f t="shared" si="679"/>
        <v>0.72867007874743761</v>
      </c>
      <c r="AW752" s="276">
        <f t="shared" si="680"/>
        <v>1.5067966249490625</v>
      </c>
      <c r="AX752" s="276">
        <f t="shared" si="681"/>
        <v>0.61702972336436379</v>
      </c>
      <c r="AY752" s="276">
        <f t="shared" si="682"/>
        <v>1.5722583628475808</v>
      </c>
      <c r="AZ752" s="686">
        <f t="shared" si="683"/>
        <v>1.8504344255106699</v>
      </c>
      <c r="BA752" s="685">
        <f t="shared" si="684"/>
        <v>0</v>
      </c>
      <c r="BB752" s="276">
        <f t="shared" si="685"/>
        <v>0</v>
      </c>
      <c r="BC752" s="276">
        <f t="shared" si="686"/>
        <v>0</v>
      </c>
      <c r="BD752" s="276">
        <f t="shared" si="687"/>
        <v>0</v>
      </c>
      <c r="BE752" s="276">
        <f t="shared" si="688"/>
        <v>0</v>
      </c>
      <c r="BF752" s="686">
        <f t="shared" si="689"/>
        <v>0</v>
      </c>
      <c r="BG752" s="685" t="e">
        <f t="shared" si="690"/>
        <v>#DIV/0!</v>
      </c>
      <c r="BH752" s="276" t="e">
        <f t="shared" si="691"/>
        <v>#DIV/0!</v>
      </c>
      <c r="BI752" s="276" t="e">
        <f t="shared" si="692"/>
        <v>#DIV/0!</v>
      </c>
      <c r="BJ752" s="276" t="e">
        <f t="shared" si="693"/>
        <v>#DIV/0!</v>
      </c>
      <c r="BK752" s="276" t="e">
        <f t="shared" si="694"/>
        <v>#DIV/0!</v>
      </c>
      <c r="BL752" s="686" t="e">
        <f t="shared" si="695"/>
        <v>#DIV/0!</v>
      </c>
      <c r="BM752" s="239"/>
      <c r="BN752" s="965" t="e">
        <f t="shared" si="696"/>
        <v>#VALUE!</v>
      </c>
      <c r="BO752" s="878" t="e">
        <f t="shared" si="697"/>
        <v>#VALUE!</v>
      </c>
      <c r="BP752" s="878" t="e">
        <f t="shared" si="698"/>
        <v>#VALUE!</v>
      </c>
      <c r="BQ752" s="878" t="e">
        <f t="shared" si="699"/>
        <v>#VALUE!</v>
      </c>
      <c r="BR752" s="878" t="e">
        <f t="shared" si="700"/>
        <v>#VALUE!</v>
      </c>
      <c r="BS752" s="966" t="e">
        <f t="shared" si="701"/>
        <v>#VALUE!</v>
      </c>
    </row>
    <row r="753" spans="1:71">
      <c r="A753" s="284">
        <f t="shared" si="702"/>
        <v>685</v>
      </c>
      <c r="B753" s="285">
        <v>2.2344554258260003</v>
      </c>
      <c r="C753" s="285">
        <v>2.6648093246762281</v>
      </c>
      <c r="D753" s="285">
        <v>-1.3567202447191469</v>
      </c>
      <c r="E753" s="285">
        <v>0.46307783684319359</v>
      </c>
      <c r="H753" s="685">
        <f t="shared" si="648"/>
        <v>1.1012215840569455</v>
      </c>
      <c r="I753" s="276">
        <f t="shared" si="649"/>
        <v>-5.0935129602678266</v>
      </c>
      <c r="J753" s="276">
        <f t="shared" si="650"/>
        <v>-1.2092039925433031</v>
      </c>
      <c r="K753" s="276">
        <f t="shared" si="651"/>
        <v>-0.81048219336725236</v>
      </c>
      <c r="L753" s="276">
        <f t="shared" si="652"/>
        <v>-0.87056435284744871</v>
      </c>
      <c r="M753" s="276">
        <f t="shared" si="653"/>
        <v>-2.6325858628303118</v>
      </c>
      <c r="N753" s="685">
        <f t="shared" si="654"/>
        <v>1.4576381137043597</v>
      </c>
      <c r="O753" s="276">
        <f t="shared" si="655"/>
        <v>1.0479176392038012</v>
      </c>
      <c r="P753" s="276">
        <f t="shared" si="656"/>
        <v>1.9334287712656832</v>
      </c>
      <c r="Q753" s="276">
        <f t="shared" si="657"/>
        <v>0.88041260853720238</v>
      </c>
      <c r="R753" s="276">
        <f t="shared" si="658"/>
        <v>1.3978655112128158</v>
      </c>
      <c r="S753" s="686">
        <f t="shared" si="659"/>
        <v>2.5551861750634171</v>
      </c>
      <c r="T753" s="685">
        <f t="shared" si="660"/>
        <v>1.921643445551779</v>
      </c>
      <c r="U753" s="276">
        <f t="shared" si="661"/>
        <v>4.2463672655811857</v>
      </c>
      <c r="V753" s="276">
        <f t="shared" si="662"/>
        <v>5.7994592276067554</v>
      </c>
      <c r="W753" s="276">
        <f t="shared" si="663"/>
        <v>6.2120006294593857</v>
      </c>
      <c r="X753" s="276">
        <f t="shared" si="664"/>
        <v>3.5606088474514155</v>
      </c>
      <c r="Y753" s="686">
        <f t="shared" si="665"/>
        <v>2.5994175001103992</v>
      </c>
      <c r="Z753" s="685" t="e">
        <f t="shared" si="666"/>
        <v>#DIV/0!</v>
      </c>
      <c r="AA753" s="276" t="e">
        <f t="shared" si="667"/>
        <v>#DIV/0!</v>
      </c>
      <c r="AB753" s="276" t="e">
        <f t="shared" si="668"/>
        <v>#DIV/0!</v>
      </c>
      <c r="AC753" s="276" t="e">
        <f t="shared" si="669"/>
        <v>#DIV/0!</v>
      </c>
      <c r="AD753" s="276" t="e">
        <f t="shared" si="670"/>
        <v>#DIV/0!</v>
      </c>
      <c r="AE753" s="686" t="e">
        <f t="shared" si="671"/>
        <v>#DIV/0!</v>
      </c>
      <c r="AF753" s="239"/>
      <c r="AG753" s="965" t="e">
        <f t="shared" si="642"/>
        <v>#VALUE!</v>
      </c>
      <c r="AH753" s="878" t="e">
        <f t="shared" si="643"/>
        <v>#VALUE!</v>
      </c>
      <c r="AI753" s="878" t="e">
        <f t="shared" si="644"/>
        <v>#VALUE!</v>
      </c>
      <c r="AJ753" s="878" t="e">
        <f t="shared" si="645"/>
        <v>#VALUE!</v>
      </c>
      <c r="AK753" s="878" t="e">
        <f t="shared" si="646"/>
        <v>#VALUE!</v>
      </c>
      <c r="AL753" s="966" t="e">
        <f t="shared" si="647"/>
        <v>#VALUE!</v>
      </c>
      <c r="AM753" s="239"/>
      <c r="AO753" s="685">
        <f t="shared" si="672"/>
        <v>1.1012215840569455</v>
      </c>
      <c r="AP753" s="276">
        <f t="shared" si="673"/>
        <v>-5.0935129602678266</v>
      </c>
      <c r="AQ753" s="276">
        <f t="shared" si="674"/>
        <v>-1.2092039925433031</v>
      </c>
      <c r="AR753" s="276">
        <f t="shared" si="675"/>
        <v>-0.81048219336725236</v>
      </c>
      <c r="AS753" s="276">
        <f t="shared" si="676"/>
        <v>-0.87056435284744871</v>
      </c>
      <c r="AT753" s="276">
        <f t="shared" si="677"/>
        <v>-2.6325858628303118</v>
      </c>
      <c r="AU753" s="685">
        <f t="shared" si="678"/>
        <v>1.4576381137043597</v>
      </c>
      <c r="AV753" s="276">
        <f t="shared" si="679"/>
        <v>1.0479176392038012</v>
      </c>
      <c r="AW753" s="276">
        <f t="shared" si="680"/>
        <v>1.9334287712656832</v>
      </c>
      <c r="AX753" s="276">
        <f t="shared" si="681"/>
        <v>0.88041260853720238</v>
      </c>
      <c r="AY753" s="276">
        <f t="shared" si="682"/>
        <v>1.3978655112128158</v>
      </c>
      <c r="AZ753" s="686">
        <f t="shared" si="683"/>
        <v>2.5551861750634171</v>
      </c>
      <c r="BA753" s="685">
        <f t="shared" si="684"/>
        <v>0</v>
      </c>
      <c r="BB753" s="276">
        <f t="shared" si="685"/>
        <v>0</v>
      </c>
      <c r="BC753" s="276">
        <f t="shared" si="686"/>
        <v>0</v>
      </c>
      <c r="BD753" s="276">
        <f t="shared" si="687"/>
        <v>0</v>
      </c>
      <c r="BE753" s="276">
        <f t="shared" si="688"/>
        <v>0</v>
      </c>
      <c r="BF753" s="686">
        <f t="shared" si="689"/>
        <v>0</v>
      </c>
      <c r="BG753" s="685" t="e">
        <f t="shared" si="690"/>
        <v>#DIV/0!</v>
      </c>
      <c r="BH753" s="276" t="e">
        <f t="shared" si="691"/>
        <v>#DIV/0!</v>
      </c>
      <c r="BI753" s="276" t="e">
        <f t="shared" si="692"/>
        <v>#DIV/0!</v>
      </c>
      <c r="BJ753" s="276" t="e">
        <f t="shared" si="693"/>
        <v>#DIV/0!</v>
      </c>
      <c r="BK753" s="276" t="e">
        <f t="shared" si="694"/>
        <v>#DIV/0!</v>
      </c>
      <c r="BL753" s="686" t="e">
        <f t="shared" si="695"/>
        <v>#DIV/0!</v>
      </c>
      <c r="BM753" s="239"/>
      <c r="BN753" s="965" t="e">
        <f t="shared" si="696"/>
        <v>#VALUE!</v>
      </c>
      <c r="BO753" s="878" t="e">
        <f t="shared" si="697"/>
        <v>#VALUE!</v>
      </c>
      <c r="BP753" s="878" t="e">
        <f t="shared" si="698"/>
        <v>#VALUE!</v>
      </c>
      <c r="BQ753" s="878" t="e">
        <f t="shared" si="699"/>
        <v>#VALUE!</v>
      </c>
      <c r="BR753" s="878" t="e">
        <f t="shared" si="700"/>
        <v>#VALUE!</v>
      </c>
      <c r="BS753" s="966" t="e">
        <f t="shared" si="701"/>
        <v>#VALUE!</v>
      </c>
    </row>
    <row r="754" spans="1:71">
      <c r="A754" s="284">
        <f t="shared" si="702"/>
        <v>686</v>
      </c>
      <c r="B754" s="285">
        <v>2.9146736703825553</v>
      </c>
      <c r="C754" s="285">
        <v>2.1715609719697015</v>
      </c>
      <c r="D754" s="285">
        <v>2.4303466347616909</v>
      </c>
      <c r="E754" s="285">
        <v>-5.4813805823262243</v>
      </c>
      <c r="H754" s="685">
        <f t="shared" si="648"/>
        <v>1.7814398286135005</v>
      </c>
      <c r="I754" s="276">
        <f t="shared" si="649"/>
        <v>-3.6294675829706637</v>
      </c>
      <c r="J754" s="276">
        <f t="shared" si="650"/>
        <v>-3.1379036876877082</v>
      </c>
      <c r="K754" s="276">
        <f t="shared" si="651"/>
        <v>-0.80532493698136109</v>
      </c>
      <c r="L754" s="276">
        <f t="shared" si="652"/>
        <v>-5.2113544369941893</v>
      </c>
      <c r="M754" s="276">
        <f t="shared" si="653"/>
        <v>-0.45016320671832533</v>
      </c>
      <c r="N754" s="685">
        <f t="shared" si="654"/>
        <v>0.96438976099783313</v>
      </c>
      <c r="O754" s="276">
        <f t="shared" si="655"/>
        <v>1.3356794464826913</v>
      </c>
      <c r="P754" s="276">
        <f t="shared" si="656"/>
        <v>1.3182825382271621</v>
      </c>
      <c r="Q754" s="276">
        <f t="shared" si="657"/>
        <v>0.58951278265567764</v>
      </c>
      <c r="R754" s="276">
        <f t="shared" si="658"/>
        <v>1.5373825054563171</v>
      </c>
      <c r="S754" s="686">
        <f t="shared" si="659"/>
        <v>1.4237677484776248</v>
      </c>
      <c r="T754" s="685">
        <f t="shared" si="660"/>
        <v>5.7087103250326168</v>
      </c>
      <c r="U754" s="276">
        <f t="shared" si="661"/>
        <v>1.9260725834974584</v>
      </c>
      <c r="V754" s="276">
        <f t="shared" si="662"/>
        <v>2.324547544942785</v>
      </c>
      <c r="W754" s="276">
        <f t="shared" si="663"/>
        <v>2.9144928781403392</v>
      </c>
      <c r="X754" s="276">
        <f t="shared" si="664"/>
        <v>3.0598567035566742</v>
      </c>
      <c r="Y754" s="686">
        <f t="shared" si="665"/>
        <v>8.4411420122239953</v>
      </c>
      <c r="Z754" s="685" t="e">
        <f t="shared" si="666"/>
        <v>#DIV/0!</v>
      </c>
      <c r="AA754" s="276" t="e">
        <f t="shared" si="667"/>
        <v>#DIV/0!</v>
      </c>
      <c r="AB754" s="276" t="e">
        <f t="shared" si="668"/>
        <v>#DIV/0!</v>
      </c>
      <c r="AC754" s="276" t="e">
        <f t="shared" si="669"/>
        <v>#DIV/0!</v>
      </c>
      <c r="AD754" s="276" t="e">
        <f t="shared" si="670"/>
        <v>#DIV/0!</v>
      </c>
      <c r="AE754" s="686" t="e">
        <f t="shared" si="671"/>
        <v>#DIV/0!</v>
      </c>
      <c r="AF754" s="239"/>
      <c r="AG754" s="965" t="e">
        <f t="shared" si="642"/>
        <v>#VALUE!</v>
      </c>
      <c r="AH754" s="878" t="e">
        <f t="shared" si="643"/>
        <v>#VALUE!</v>
      </c>
      <c r="AI754" s="878" t="e">
        <f t="shared" si="644"/>
        <v>#VALUE!</v>
      </c>
      <c r="AJ754" s="878" t="e">
        <f t="shared" si="645"/>
        <v>#VALUE!</v>
      </c>
      <c r="AK754" s="878" t="e">
        <f t="shared" si="646"/>
        <v>#VALUE!</v>
      </c>
      <c r="AL754" s="966" t="e">
        <f t="shared" si="647"/>
        <v>#VALUE!</v>
      </c>
      <c r="AM754" s="239"/>
      <c r="AO754" s="685">
        <f t="shared" si="672"/>
        <v>1.7814398286135005</v>
      </c>
      <c r="AP754" s="276">
        <f t="shared" si="673"/>
        <v>-3.6294675829706637</v>
      </c>
      <c r="AQ754" s="276">
        <f t="shared" si="674"/>
        <v>-3.1379036876877082</v>
      </c>
      <c r="AR754" s="276">
        <f t="shared" si="675"/>
        <v>-0.80532493698136109</v>
      </c>
      <c r="AS754" s="276">
        <f t="shared" si="676"/>
        <v>-5.2113544369941893</v>
      </c>
      <c r="AT754" s="276">
        <f t="shared" si="677"/>
        <v>-0.45016320671832533</v>
      </c>
      <c r="AU754" s="685">
        <f t="shared" si="678"/>
        <v>0.96438976099783313</v>
      </c>
      <c r="AV754" s="276">
        <f t="shared" si="679"/>
        <v>1.3356794464826913</v>
      </c>
      <c r="AW754" s="276">
        <f t="shared" si="680"/>
        <v>1.3182825382271621</v>
      </c>
      <c r="AX754" s="276">
        <f t="shared" si="681"/>
        <v>0.58951278265567764</v>
      </c>
      <c r="AY754" s="276">
        <f t="shared" si="682"/>
        <v>1.5373825054563171</v>
      </c>
      <c r="AZ754" s="686">
        <f t="shared" si="683"/>
        <v>1.4237677484776248</v>
      </c>
      <c r="BA754" s="685">
        <f t="shared" si="684"/>
        <v>0</v>
      </c>
      <c r="BB754" s="276">
        <f t="shared" si="685"/>
        <v>0</v>
      </c>
      <c r="BC754" s="276">
        <f t="shared" si="686"/>
        <v>0</v>
      </c>
      <c r="BD754" s="276">
        <f t="shared" si="687"/>
        <v>0</v>
      </c>
      <c r="BE754" s="276">
        <f t="shared" si="688"/>
        <v>0</v>
      </c>
      <c r="BF754" s="686">
        <f t="shared" si="689"/>
        <v>0</v>
      </c>
      <c r="BG754" s="685" t="e">
        <f t="shared" si="690"/>
        <v>#DIV/0!</v>
      </c>
      <c r="BH754" s="276" t="e">
        <f t="shared" si="691"/>
        <v>#DIV/0!</v>
      </c>
      <c r="BI754" s="276" t="e">
        <f t="shared" si="692"/>
        <v>#DIV/0!</v>
      </c>
      <c r="BJ754" s="276" t="e">
        <f t="shared" si="693"/>
        <v>#DIV/0!</v>
      </c>
      <c r="BK754" s="276" t="e">
        <f t="shared" si="694"/>
        <v>#DIV/0!</v>
      </c>
      <c r="BL754" s="686" t="e">
        <f t="shared" si="695"/>
        <v>#DIV/0!</v>
      </c>
      <c r="BM754" s="239"/>
      <c r="BN754" s="965" t="e">
        <f t="shared" si="696"/>
        <v>#VALUE!</v>
      </c>
      <c r="BO754" s="878" t="e">
        <f t="shared" si="697"/>
        <v>#VALUE!</v>
      </c>
      <c r="BP754" s="878" t="e">
        <f t="shared" si="698"/>
        <v>#VALUE!</v>
      </c>
      <c r="BQ754" s="878" t="e">
        <f t="shared" si="699"/>
        <v>#VALUE!</v>
      </c>
      <c r="BR754" s="878" t="e">
        <f t="shared" si="700"/>
        <v>#VALUE!</v>
      </c>
      <c r="BS754" s="966" t="e">
        <f t="shared" si="701"/>
        <v>#VALUE!</v>
      </c>
    </row>
    <row r="755" spans="1:71">
      <c r="A755" s="284">
        <f t="shared" si="702"/>
        <v>687</v>
      </c>
      <c r="B755" s="285">
        <v>-1.2844358123129007</v>
      </c>
      <c r="C755" s="285">
        <v>1.8326720253190452</v>
      </c>
      <c r="D755" s="285">
        <v>2.1127390882614341</v>
      </c>
      <c r="E755" s="285">
        <v>-10.343650569116232</v>
      </c>
      <c r="H755" s="685">
        <f t="shared" si="648"/>
        <v>-2.4176696540819558</v>
      </c>
      <c r="I755" s="276">
        <f t="shared" si="649"/>
        <v>-0.36242411741558</v>
      </c>
      <c r="J755" s="276">
        <f t="shared" si="650"/>
        <v>-4.7035757275997705</v>
      </c>
      <c r="K755" s="276">
        <f t="shared" si="651"/>
        <v>-1.8852064348735702</v>
      </c>
      <c r="L755" s="276">
        <f t="shared" si="652"/>
        <v>-2.0244417676778346</v>
      </c>
      <c r="M755" s="276">
        <f t="shared" si="653"/>
        <v>-0.50637093709359593</v>
      </c>
      <c r="N755" s="685">
        <f t="shared" si="654"/>
        <v>0.62550081434717675</v>
      </c>
      <c r="O755" s="276">
        <f t="shared" si="655"/>
        <v>1.8044583773765643</v>
      </c>
      <c r="P755" s="276">
        <f t="shared" si="656"/>
        <v>1.8299791328033186</v>
      </c>
      <c r="Q755" s="276">
        <f t="shared" si="657"/>
        <v>1.0480100457206374</v>
      </c>
      <c r="R755" s="276">
        <f t="shared" si="658"/>
        <v>1.6249409471306382</v>
      </c>
      <c r="S755" s="686">
        <f t="shared" si="659"/>
        <v>0.86641069455809627</v>
      </c>
      <c r="T755" s="685">
        <f t="shared" si="660"/>
        <v>5.3911027785323604</v>
      </c>
      <c r="U755" s="276">
        <f t="shared" si="661"/>
        <v>3.9583401119964687</v>
      </c>
      <c r="V755" s="276">
        <f t="shared" si="662"/>
        <v>2.7409930245890912</v>
      </c>
      <c r="W755" s="276">
        <f t="shared" si="663"/>
        <v>4.4347916411817909</v>
      </c>
      <c r="X755" s="276">
        <f t="shared" si="664"/>
        <v>3.9316214014796511</v>
      </c>
      <c r="Y755" s="686">
        <f t="shared" si="665"/>
        <v>4.4264902545332969</v>
      </c>
      <c r="Z755" s="685" t="e">
        <f t="shared" si="666"/>
        <v>#DIV/0!</v>
      </c>
      <c r="AA755" s="276" t="e">
        <f t="shared" si="667"/>
        <v>#DIV/0!</v>
      </c>
      <c r="AB755" s="276" t="e">
        <f t="shared" si="668"/>
        <v>#DIV/0!</v>
      </c>
      <c r="AC755" s="276" t="e">
        <f t="shared" si="669"/>
        <v>#DIV/0!</v>
      </c>
      <c r="AD755" s="276" t="e">
        <f t="shared" si="670"/>
        <v>#DIV/0!</v>
      </c>
      <c r="AE755" s="686" t="e">
        <f t="shared" si="671"/>
        <v>#DIV/0!</v>
      </c>
      <c r="AF755" s="239"/>
      <c r="AG755" s="965" t="e">
        <f t="shared" si="642"/>
        <v>#VALUE!</v>
      </c>
      <c r="AH755" s="878" t="e">
        <f t="shared" si="643"/>
        <v>#VALUE!</v>
      </c>
      <c r="AI755" s="878" t="e">
        <f t="shared" si="644"/>
        <v>#VALUE!</v>
      </c>
      <c r="AJ755" s="878" t="e">
        <f t="shared" si="645"/>
        <v>#VALUE!</v>
      </c>
      <c r="AK755" s="878" t="e">
        <f t="shared" si="646"/>
        <v>#VALUE!</v>
      </c>
      <c r="AL755" s="966" t="e">
        <f t="shared" si="647"/>
        <v>#VALUE!</v>
      </c>
      <c r="AM755" s="239"/>
      <c r="AO755" s="685">
        <f t="shared" si="672"/>
        <v>-2.4176696540819558</v>
      </c>
      <c r="AP755" s="276">
        <f t="shared" si="673"/>
        <v>-0.36242411741558</v>
      </c>
      <c r="AQ755" s="276">
        <f t="shared" si="674"/>
        <v>-4.7035757275997705</v>
      </c>
      <c r="AR755" s="276">
        <f t="shared" si="675"/>
        <v>-1.8852064348735702</v>
      </c>
      <c r="AS755" s="276">
        <f t="shared" si="676"/>
        <v>-2.0244417676778346</v>
      </c>
      <c r="AT755" s="276">
        <f t="shared" si="677"/>
        <v>-0.50637093709359593</v>
      </c>
      <c r="AU755" s="685">
        <f t="shared" si="678"/>
        <v>0.62550081434717675</v>
      </c>
      <c r="AV755" s="276">
        <f t="shared" si="679"/>
        <v>1.8044583773765643</v>
      </c>
      <c r="AW755" s="276">
        <f t="shared" si="680"/>
        <v>1.8299791328033186</v>
      </c>
      <c r="AX755" s="276">
        <f t="shared" si="681"/>
        <v>1.0480100457206374</v>
      </c>
      <c r="AY755" s="276">
        <f t="shared" si="682"/>
        <v>1.6249409471306382</v>
      </c>
      <c r="AZ755" s="686">
        <f t="shared" si="683"/>
        <v>0.86641069455809627</v>
      </c>
      <c r="BA755" s="685">
        <f t="shared" si="684"/>
        <v>0</v>
      </c>
      <c r="BB755" s="276">
        <f t="shared" si="685"/>
        <v>0</v>
      </c>
      <c r="BC755" s="276">
        <f t="shared" si="686"/>
        <v>0</v>
      </c>
      <c r="BD755" s="276">
        <f t="shared" si="687"/>
        <v>0</v>
      </c>
      <c r="BE755" s="276">
        <f t="shared" si="688"/>
        <v>0</v>
      </c>
      <c r="BF755" s="686">
        <f t="shared" si="689"/>
        <v>0</v>
      </c>
      <c r="BG755" s="685" t="e">
        <f t="shared" si="690"/>
        <v>#DIV/0!</v>
      </c>
      <c r="BH755" s="276" t="e">
        <f t="shared" si="691"/>
        <v>#DIV/0!</v>
      </c>
      <c r="BI755" s="276" t="e">
        <f t="shared" si="692"/>
        <v>#DIV/0!</v>
      </c>
      <c r="BJ755" s="276" t="e">
        <f t="shared" si="693"/>
        <v>#DIV/0!</v>
      </c>
      <c r="BK755" s="276" t="e">
        <f t="shared" si="694"/>
        <v>#DIV/0!</v>
      </c>
      <c r="BL755" s="686" t="e">
        <f t="shared" si="695"/>
        <v>#DIV/0!</v>
      </c>
      <c r="BM755" s="239"/>
      <c r="BN755" s="965" t="e">
        <f t="shared" si="696"/>
        <v>#VALUE!</v>
      </c>
      <c r="BO755" s="878" t="e">
        <f t="shared" si="697"/>
        <v>#VALUE!</v>
      </c>
      <c r="BP755" s="878" t="e">
        <f t="shared" si="698"/>
        <v>#VALUE!</v>
      </c>
      <c r="BQ755" s="878" t="e">
        <f t="shared" si="699"/>
        <v>#VALUE!</v>
      </c>
      <c r="BR755" s="878" t="e">
        <f t="shared" si="700"/>
        <v>#VALUE!</v>
      </c>
      <c r="BS755" s="966" t="e">
        <f t="shared" si="701"/>
        <v>#VALUE!</v>
      </c>
    </row>
    <row r="756" spans="1:71">
      <c r="A756" s="284">
        <f t="shared" si="702"/>
        <v>688</v>
      </c>
      <c r="B756" s="285">
        <v>1.8346715541069332</v>
      </c>
      <c r="C756" s="285">
        <v>2.7321716679899555</v>
      </c>
      <c r="D756" s="285">
        <v>1.2433649443856236</v>
      </c>
      <c r="E756" s="285">
        <v>0.60208912105602552</v>
      </c>
      <c r="H756" s="685">
        <f t="shared" si="648"/>
        <v>0.70143771233787833</v>
      </c>
      <c r="I756" s="276">
        <f t="shared" si="649"/>
        <v>1.4871236935655012</v>
      </c>
      <c r="J756" s="276">
        <f t="shared" si="650"/>
        <v>-4.6862341888626853</v>
      </c>
      <c r="K756" s="276">
        <f t="shared" si="651"/>
        <v>0.24229328967046548</v>
      </c>
      <c r="L756" s="276">
        <f t="shared" si="652"/>
        <v>-6.4909282946804883</v>
      </c>
      <c r="M756" s="276">
        <f t="shared" si="653"/>
        <v>-0.92314714319041546</v>
      </c>
      <c r="N756" s="685">
        <f t="shared" si="654"/>
        <v>1.5250004570180871</v>
      </c>
      <c r="O756" s="276">
        <f t="shared" si="655"/>
        <v>1.3082577050524489</v>
      </c>
      <c r="P756" s="276">
        <f t="shared" si="656"/>
        <v>0.96542435726005738</v>
      </c>
      <c r="Q756" s="276">
        <f t="shared" si="657"/>
        <v>1.4745384012991318</v>
      </c>
      <c r="R756" s="276">
        <f t="shared" si="658"/>
        <v>0.89896131479440355</v>
      </c>
      <c r="S756" s="686">
        <f t="shared" si="659"/>
        <v>1.2095756305603158</v>
      </c>
      <c r="T756" s="685">
        <f t="shared" si="660"/>
        <v>4.5217286346565491</v>
      </c>
      <c r="U756" s="276">
        <f t="shared" si="661"/>
        <v>4.124151939699555</v>
      </c>
      <c r="V756" s="276">
        <f t="shared" si="662"/>
        <v>2.6658502206642432</v>
      </c>
      <c r="W756" s="276">
        <f t="shared" si="663"/>
        <v>2.8289928369423731</v>
      </c>
      <c r="X756" s="276">
        <f t="shared" si="664"/>
        <v>4.2735864815925275</v>
      </c>
      <c r="Y756" s="686">
        <f t="shared" si="665"/>
        <v>5.8564087277417247</v>
      </c>
      <c r="Z756" s="685" t="e">
        <f t="shared" si="666"/>
        <v>#DIV/0!</v>
      </c>
      <c r="AA756" s="276" t="e">
        <f t="shared" si="667"/>
        <v>#DIV/0!</v>
      </c>
      <c r="AB756" s="276" t="e">
        <f t="shared" si="668"/>
        <v>#DIV/0!</v>
      </c>
      <c r="AC756" s="276" t="e">
        <f t="shared" si="669"/>
        <v>#DIV/0!</v>
      </c>
      <c r="AD756" s="276" t="e">
        <f t="shared" si="670"/>
        <v>#DIV/0!</v>
      </c>
      <c r="AE756" s="686" t="e">
        <f t="shared" si="671"/>
        <v>#DIV/0!</v>
      </c>
      <c r="AF756" s="239"/>
      <c r="AG756" s="965" t="e">
        <f t="shared" si="642"/>
        <v>#VALUE!</v>
      </c>
      <c r="AH756" s="878" t="e">
        <f t="shared" si="643"/>
        <v>#VALUE!</v>
      </c>
      <c r="AI756" s="878" t="e">
        <f t="shared" si="644"/>
        <v>#VALUE!</v>
      </c>
      <c r="AJ756" s="878" t="e">
        <f t="shared" si="645"/>
        <v>#VALUE!</v>
      </c>
      <c r="AK756" s="878" t="e">
        <f t="shared" si="646"/>
        <v>#VALUE!</v>
      </c>
      <c r="AL756" s="966" t="e">
        <f t="shared" si="647"/>
        <v>#VALUE!</v>
      </c>
      <c r="AM756" s="239"/>
      <c r="AO756" s="685">
        <f t="shared" si="672"/>
        <v>0.70143771233787833</v>
      </c>
      <c r="AP756" s="276">
        <f t="shared" si="673"/>
        <v>1.4871236935655012</v>
      </c>
      <c r="AQ756" s="276">
        <f t="shared" si="674"/>
        <v>-4.6862341888626853</v>
      </c>
      <c r="AR756" s="276">
        <f t="shared" si="675"/>
        <v>0.24229328967046548</v>
      </c>
      <c r="AS756" s="276">
        <f t="shared" si="676"/>
        <v>-6.4909282946804883</v>
      </c>
      <c r="AT756" s="276">
        <f t="shared" si="677"/>
        <v>-0.92314714319041546</v>
      </c>
      <c r="AU756" s="685">
        <f t="shared" si="678"/>
        <v>1.5250004570180871</v>
      </c>
      <c r="AV756" s="276">
        <f t="shared" si="679"/>
        <v>1.3082577050524489</v>
      </c>
      <c r="AW756" s="276">
        <f t="shared" si="680"/>
        <v>0.96542435726005738</v>
      </c>
      <c r="AX756" s="276">
        <f t="shared" si="681"/>
        <v>1.4745384012991318</v>
      </c>
      <c r="AY756" s="276">
        <f t="shared" si="682"/>
        <v>0.89896131479440355</v>
      </c>
      <c r="AZ756" s="686">
        <f t="shared" si="683"/>
        <v>1.2095756305603158</v>
      </c>
      <c r="BA756" s="685">
        <f t="shared" si="684"/>
        <v>0</v>
      </c>
      <c r="BB756" s="276">
        <f t="shared" si="685"/>
        <v>0</v>
      </c>
      <c r="BC756" s="276">
        <f t="shared" si="686"/>
        <v>0</v>
      </c>
      <c r="BD756" s="276">
        <f t="shared" si="687"/>
        <v>0</v>
      </c>
      <c r="BE756" s="276">
        <f t="shared" si="688"/>
        <v>0</v>
      </c>
      <c r="BF756" s="686">
        <f t="shared" si="689"/>
        <v>0</v>
      </c>
      <c r="BG756" s="685" t="e">
        <f t="shared" si="690"/>
        <v>#DIV/0!</v>
      </c>
      <c r="BH756" s="276" t="e">
        <f t="shared" si="691"/>
        <v>#DIV/0!</v>
      </c>
      <c r="BI756" s="276" t="e">
        <f t="shared" si="692"/>
        <v>#DIV/0!</v>
      </c>
      <c r="BJ756" s="276" t="e">
        <f t="shared" si="693"/>
        <v>#DIV/0!</v>
      </c>
      <c r="BK756" s="276" t="e">
        <f t="shared" si="694"/>
        <v>#DIV/0!</v>
      </c>
      <c r="BL756" s="686" t="e">
        <f t="shared" si="695"/>
        <v>#DIV/0!</v>
      </c>
      <c r="BM756" s="239"/>
      <c r="BN756" s="965" t="e">
        <f t="shared" si="696"/>
        <v>#VALUE!</v>
      </c>
      <c r="BO756" s="878" t="e">
        <f t="shared" si="697"/>
        <v>#VALUE!</v>
      </c>
      <c r="BP756" s="878" t="e">
        <f t="shared" si="698"/>
        <v>#VALUE!</v>
      </c>
      <c r="BQ756" s="878" t="e">
        <f t="shared" si="699"/>
        <v>#VALUE!</v>
      </c>
      <c r="BR756" s="878" t="e">
        <f t="shared" si="700"/>
        <v>#VALUE!</v>
      </c>
      <c r="BS756" s="966" t="e">
        <f t="shared" si="701"/>
        <v>#VALUE!</v>
      </c>
    </row>
    <row r="757" spans="1:71">
      <c r="A757" s="284">
        <f t="shared" si="702"/>
        <v>689</v>
      </c>
      <c r="B757" s="285">
        <v>3.5804181414904912</v>
      </c>
      <c r="C757" s="285">
        <v>2.8997218979651778</v>
      </c>
      <c r="D757" s="285">
        <v>0.36354511862248184</v>
      </c>
      <c r="E757" s="285">
        <v>-0.81829889762727248</v>
      </c>
      <c r="H757" s="685">
        <f t="shared" si="648"/>
        <v>2.4471842997214361</v>
      </c>
      <c r="I757" s="276">
        <f t="shared" si="649"/>
        <v>-3.9195752294164476</v>
      </c>
      <c r="J757" s="276">
        <f t="shared" si="650"/>
        <v>-3.6349440471091699</v>
      </c>
      <c r="K757" s="276">
        <f t="shared" si="651"/>
        <v>-1.9413815226571187</v>
      </c>
      <c r="L757" s="276">
        <f t="shared" si="652"/>
        <v>-3.4860033292502051</v>
      </c>
      <c r="M757" s="276">
        <f t="shared" si="653"/>
        <v>-3.2131384256191948</v>
      </c>
      <c r="N757" s="685">
        <f t="shared" si="654"/>
        <v>1.6925506869933094</v>
      </c>
      <c r="O757" s="276">
        <f t="shared" si="655"/>
        <v>1.005712091926952</v>
      </c>
      <c r="P757" s="276">
        <f t="shared" si="656"/>
        <v>0.37066711280434594</v>
      </c>
      <c r="Q757" s="276">
        <f t="shared" si="657"/>
        <v>1.3453521742633672</v>
      </c>
      <c r="R757" s="276">
        <f t="shared" si="658"/>
        <v>0.67915832348168803</v>
      </c>
      <c r="S757" s="686">
        <f t="shared" si="659"/>
        <v>2.638346474926335</v>
      </c>
      <c r="T757" s="685">
        <f t="shared" si="660"/>
        <v>3.6419088088934077</v>
      </c>
      <c r="U757" s="276">
        <f t="shared" si="661"/>
        <v>4.9995107787525637</v>
      </c>
      <c r="V757" s="276">
        <f t="shared" si="662"/>
        <v>1.8891171284967037</v>
      </c>
      <c r="W757" s="276">
        <f t="shared" si="663"/>
        <v>5.6092476972338456</v>
      </c>
      <c r="X757" s="276">
        <f t="shared" si="664"/>
        <v>5.0025102715942067</v>
      </c>
      <c r="Y757" s="686">
        <f t="shared" si="665"/>
        <v>2.4252829911227116</v>
      </c>
      <c r="Z757" s="685" t="e">
        <f t="shared" si="666"/>
        <v>#DIV/0!</v>
      </c>
      <c r="AA757" s="276" t="e">
        <f t="shared" si="667"/>
        <v>#DIV/0!</v>
      </c>
      <c r="AB757" s="276" t="e">
        <f t="shared" si="668"/>
        <v>#DIV/0!</v>
      </c>
      <c r="AC757" s="276" t="e">
        <f t="shared" si="669"/>
        <v>#DIV/0!</v>
      </c>
      <c r="AD757" s="276" t="e">
        <f t="shared" si="670"/>
        <v>#DIV/0!</v>
      </c>
      <c r="AE757" s="686" t="e">
        <f t="shared" si="671"/>
        <v>#DIV/0!</v>
      </c>
      <c r="AF757" s="239"/>
      <c r="AG757" s="965" t="e">
        <f t="shared" si="642"/>
        <v>#VALUE!</v>
      </c>
      <c r="AH757" s="878" t="e">
        <f t="shared" si="643"/>
        <v>#VALUE!</v>
      </c>
      <c r="AI757" s="878" t="e">
        <f t="shared" si="644"/>
        <v>#VALUE!</v>
      </c>
      <c r="AJ757" s="878" t="e">
        <f t="shared" si="645"/>
        <v>#VALUE!</v>
      </c>
      <c r="AK757" s="878" t="e">
        <f t="shared" si="646"/>
        <v>#VALUE!</v>
      </c>
      <c r="AL757" s="966" t="e">
        <f t="shared" si="647"/>
        <v>#VALUE!</v>
      </c>
      <c r="AM757" s="239"/>
      <c r="AO757" s="685">
        <f t="shared" si="672"/>
        <v>2.4471842997214361</v>
      </c>
      <c r="AP757" s="276">
        <f t="shared" si="673"/>
        <v>-3.9195752294164476</v>
      </c>
      <c r="AQ757" s="276">
        <f t="shared" si="674"/>
        <v>-3.6349440471091699</v>
      </c>
      <c r="AR757" s="276">
        <f t="shared" si="675"/>
        <v>-1.9413815226571187</v>
      </c>
      <c r="AS757" s="276">
        <f t="shared" si="676"/>
        <v>-3.4860033292502051</v>
      </c>
      <c r="AT757" s="276">
        <f t="shared" si="677"/>
        <v>-3.2131384256191948</v>
      </c>
      <c r="AU757" s="685">
        <f t="shared" si="678"/>
        <v>1.6925506869933094</v>
      </c>
      <c r="AV757" s="276">
        <f t="shared" si="679"/>
        <v>1.005712091926952</v>
      </c>
      <c r="AW757" s="276">
        <f t="shared" si="680"/>
        <v>0.37066711280434594</v>
      </c>
      <c r="AX757" s="276">
        <f t="shared" si="681"/>
        <v>1.3453521742633672</v>
      </c>
      <c r="AY757" s="276">
        <f t="shared" si="682"/>
        <v>0.67915832348168803</v>
      </c>
      <c r="AZ757" s="686">
        <f t="shared" si="683"/>
        <v>2.638346474926335</v>
      </c>
      <c r="BA757" s="685">
        <f t="shared" si="684"/>
        <v>0</v>
      </c>
      <c r="BB757" s="276">
        <f t="shared" si="685"/>
        <v>0</v>
      </c>
      <c r="BC757" s="276">
        <f t="shared" si="686"/>
        <v>0</v>
      </c>
      <c r="BD757" s="276">
        <f t="shared" si="687"/>
        <v>0</v>
      </c>
      <c r="BE757" s="276">
        <f t="shared" si="688"/>
        <v>0</v>
      </c>
      <c r="BF757" s="686">
        <f t="shared" si="689"/>
        <v>0</v>
      </c>
      <c r="BG757" s="685" t="e">
        <f t="shared" si="690"/>
        <v>#DIV/0!</v>
      </c>
      <c r="BH757" s="276" t="e">
        <f t="shared" si="691"/>
        <v>#DIV/0!</v>
      </c>
      <c r="BI757" s="276" t="e">
        <f t="shared" si="692"/>
        <v>#DIV/0!</v>
      </c>
      <c r="BJ757" s="276" t="e">
        <f t="shared" si="693"/>
        <v>#DIV/0!</v>
      </c>
      <c r="BK757" s="276" t="e">
        <f t="shared" si="694"/>
        <v>#DIV/0!</v>
      </c>
      <c r="BL757" s="686" t="e">
        <f t="shared" si="695"/>
        <v>#DIV/0!</v>
      </c>
      <c r="BM757" s="239"/>
      <c r="BN757" s="965" t="e">
        <f t="shared" si="696"/>
        <v>#VALUE!</v>
      </c>
      <c r="BO757" s="878" t="e">
        <f t="shared" si="697"/>
        <v>#VALUE!</v>
      </c>
      <c r="BP757" s="878" t="e">
        <f t="shared" si="698"/>
        <v>#VALUE!</v>
      </c>
      <c r="BQ757" s="878" t="e">
        <f t="shared" si="699"/>
        <v>#VALUE!</v>
      </c>
      <c r="BR757" s="878" t="e">
        <f t="shared" si="700"/>
        <v>#VALUE!</v>
      </c>
      <c r="BS757" s="966" t="e">
        <f t="shared" si="701"/>
        <v>#VALUE!</v>
      </c>
    </row>
    <row r="758" spans="1:71">
      <c r="A758" s="284">
        <f t="shared" si="702"/>
        <v>690</v>
      </c>
      <c r="B758" s="285">
        <v>-1.2577037420776176</v>
      </c>
      <c r="C758" s="285">
        <v>2.8470464960840829</v>
      </c>
      <c r="D758" s="285">
        <v>1.3897682834876401</v>
      </c>
      <c r="E758" s="285">
        <v>-0.41111044534449848</v>
      </c>
      <c r="H758" s="685">
        <f t="shared" si="648"/>
        <v>-2.3909375838466724</v>
      </c>
      <c r="I758" s="276">
        <f t="shared" si="649"/>
        <v>-1.8887707048448674</v>
      </c>
      <c r="J758" s="276">
        <f t="shared" si="650"/>
        <v>-0.54111119093429561</v>
      </c>
      <c r="K758" s="276">
        <f t="shared" si="651"/>
        <v>3.5749649358702369</v>
      </c>
      <c r="L758" s="276">
        <f t="shared" si="652"/>
        <v>-0.25695128795665245</v>
      </c>
      <c r="M758" s="276">
        <f t="shared" si="653"/>
        <v>-2.8919216535041077</v>
      </c>
      <c r="N758" s="685">
        <f t="shared" si="654"/>
        <v>1.6398752851122145</v>
      </c>
      <c r="O758" s="276">
        <f t="shared" si="655"/>
        <v>1.7031770183351795</v>
      </c>
      <c r="P758" s="276">
        <f t="shared" si="656"/>
        <v>1.9986111283352181</v>
      </c>
      <c r="Q758" s="276">
        <f t="shared" si="657"/>
        <v>1.3646430486451477</v>
      </c>
      <c r="R758" s="276">
        <f t="shared" si="658"/>
        <v>0.5059355836395143</v>
      </c>
      <c r="S758" s="686">
        <f t="shared" si="659"/>
        <v>0.59724998840108001</v>
      </c>
      <c r="T758" s="685">
        <f t="shared" si="660"/>
        <v>4.668131973758566</v>
      </c>
      <c r="U758" s="276">
        <f t="shared" si="661"/>
        <v>6.7410641263144093</v>
      </c>
      <c r="V758" s="276">
        <f t="shared" si="662"/>
        <v>5.6513752658340195</v>
      </c>
      <c r="W758" s="276">
        <f t="shared" si="663"/>
        <v>7.9951225706827564</v>
      </c>
      <c r="X758" s="276">
        <f t="shared" si="664"/>
        <v>5.7877295246504339</v>
      </c>
      <c r="Y758" s="686">
        <f t="shared" si="665"/>
        <v>4.1150159615435999</v>
      </c>
      <c r="Z758" s="685" t="e">
        <f t="shared" si="666"/>
        <v>#DIV/0!</v>
      </c>
      <c r="AA758" s="276" t="e">
        <f t="shared" si="667"/>
        <v>#DIV/0!</v>
      </c>
      <c r="AB758" s="276" t="e">
        <f t="shared" si="668"/>
        <v>#DIV/0!</v>
      </c>
      <c r="AC758" s="276" t="e">
        <f t="shared" si="669"/>
        <v>#DIV/0!</v>
      </c>
      <c r="AD758" s="276" t="e">
        <f t="shared" si="670"/>
        <v>#DIV/0!</v>
      </c>
      <c r="AE758" s="686" t="e">
        <f t="shared" si="671"/>
        <v>#DIV/0!</v>
      </c>
      <c r="AF758" s="239"/>
      <c r="AG758" s="965" t="e">
        <f t="shared" si="642"/>
        <v>#VALUE!</v>
      </c>
      <c r="AH758" s="878" t="e">
        <f t="shared" si="643"/>
        <v>#VALUE!</v>
      </c>
      <c r="AI758" s="878" t="e">
        <f t="shared" si="644"/>
        <v>#VALUE!</v>
      </c>
      <c r="AJ758" s="878" t="e">
        <f t="shared" si="645"/>
        <v>#VALUE!</v>
      </c>
      <c r="AK758" s="878" t="e">
        <f t="shared" si="646"/>
        <v>#VALUE!</v>
      </c>
      <c r="AL758" s="966" t="e">
        <f t="shared" si="647"/>
        <v>#VALUE!</v>
      </c>
      <c r="AM758" s="239"/>
      <c r="AO758" s="685">
        <f t="shared" si="672"/>
        <v>-2.3909375838466724</v>
      </c>
      <c r="AP758" s="276">
        <f t="shared" si="673"/>
        <v>-1.8887707048448674</v>
      </c>
      <c r="AQ758" s="276">
        <f t="shared" si="674"/>
        <v>-0.54111119093429561</v>
      </c>
      <c r="AR758" s="276">
        <f t="shared" si="675"/>
        <v>3.5749649358702369</v>
      </c>
      <c r="AS758" s="276">
        <f t="shared" si="676"/>
        <v>-0.25695128795665245</v>
      </c>
      <c r="AT758" s="276">
        <f t="shared" si="677"/>
        <v>-2.8919216535041077</v>
      </c>
      <c r="AU758" s="685">
        <f t="shared" si="678"/>
        <v>1.6398752851122145</v>
      </c>
      <c r="AV758" s="276">
        <f t="shared" si="679"/>
        <v>1.7031770183351795</v>
      </c>
      <c r="AW758" s="276">
        <f t="shared" si="680"/>
        <v>1.9986111283352181</v>
      </c>
      <c r="AX758" s="276">
        <f t="shared" si="681"/>
        <v>1.3646430486451477</v>
      </c>
      <c r="AY758" s="276">
        <f t="shared" si="682"/>
        <v>0.5059355836395143</v>
      </c>
      <c r="AZ758" s="686">
        <f t="shared" si="683"/>
        <v>0.59724998840108001</v>
      </c>
      <c r="BA758" s="685">
        <f t="shared" si="684"/>
        <v>0</v>
      </c>
      <c r="BB758" s="276">
        <f t="shared" si="685"/>
        <v>0</v>
      </c>
      <c r="BC758" s="276">
        <f t="shared" si="686"/>
        <v>0</v>
      </c>
      <c r="BD758" s="276">
        <f t="shared" si="687"/>
        <v>0</v>
      </c>
      <c r="BE758" s="276">
        <f t="shared" si="688"/>
        <v>0</v>
      </c>
      <c r="BF758" s="686">
        <f t="shared" si="689"/>
        <v>0</v>
      </c>
      <c r="BG758" s="685" t="e">
        <f t="shared" si="690"/>
        <v>#DIV/0!</v>
      </c>
      <c r="BH758" s="276" t="e">
        <f t="shared" si="691"/>
        <v>#DIV/0!</v>
      </c>
      <c r="BI758" s="276" t="e">
        <f t="shared" si="692"/>
        <v>#DIV/0!</v>
      </c>
      <c r="BJ758" s="276" t="e">
        <f t="shared" si="693"/>
        <v>#DIV/0!</v>
      </c>
      <c r="BK758" s="276" t="e">
        <f t="shared" si="694"/>
        <v>#DIV/0!</v>
      </c>
      <c r="BL758" s="686" t="e">
        <f t="shared" si="695"/>
        <v>#DIV/0!</v>
      </c>
      <c r="BM758" s="239"/>
      <c r="BN758" s="965" t="e">
        <f t="shared" si="696"/>
        <v>#VALUE!</v>
      </c>
      <c r="BO758" s="878" t="e">
        <f t="shared" si="697"/>
        <v>#VALUE!</v>
      </c>
      <c r="BP758" s="878" t="e">
        <f t="shared" si="698"/>
        <v>#VALUE!</v>
      </c>
      <c r="BQ758" s="878" t="e">
        <f t="shared" si="699"/>
        <v>#VALUE!</v>
      </c>
      <c r="BR758" s="878" t="e">
        <f t="shared" si="700"/>
        <v>#VALUE!</v>
      </c>
      <c r="BS758" s="966" t="e">
        <f t="shared" si="701"/>
        <v>#VALUE!</v>
      </c>
    </row>
    <row r="759" spans="1:71">
      <c r="A759" s="284">
        <f t="shared" si="702"/>
        <v>691</v>
      </c>
      <c r="B759" s="285">
        <v>-1.5385713730272872</v>
      </c>
      <c r="C759" s="285">
        <v>2.5204365593193758</v>
      </c>
      <c r="D759" s="285">
        <v>0.26838192332665911</v>
      </c>
      <c r="E759" s="285">
        <v>2.5543420758880351</v>
      </c>
      <c r="H759" s="685">
        <f t="shared" si="648"/>
        <v>-2.671805214796342</v>
      </c>
      <c r="I759" s="276">
        <f t="shared" si="649"/>
        <v>-2.9511910389889819</v>
      </c>
      <c r="J759" s="276">
        <f t="shared" si="650"/>
        <v>-5.4951327530214567</v>
      </c>
      <c r="K759" s="276">
        <f t="shared" si="651"/>
        <v>-5.6845199928301442</v>
      </c>
      <c r="L759" s="276">
        <f t="shared" si="652"/>
        <v>1.3658887767349401</v>
      </c>
      <c r="M759" s="276">
        <f t="shared" si="653"/>
        <v>-1.7006083806609755</v>
      </c>
      <c r="N759" s="685">
        <f t="shared" si="654"/>
        <v>1.3132653483475074</v>
      </c>
      <c r="O759" s="276">
        <f t="shared" si="655"/>
        <v>0.3193943202258358</v>
      </c>
      <c r="P759" s="276">
        <f t="shared" si="656"/>
        <v>1.2556342733583217</v>
      </c>
      <c r="Q759" s="276">
        <f t="shared" si="657"/>
        <v>1.1108261521603098</v>
      </c>
      <c r="R759" s="276">
        <f t="shared" si="658"/>
        <v>1.4809480671992714</v>
      </c>
      <c r="S759" s="686">
        <f t="shared" si="659"/>
        <v>0.87595851446207651</v>
      </c>
      <c r="T759" s="685">
        <f t="shared" si="660"/>
        <v>3.5467456135975848</v>
      </c>
      <c r="U759" s="276">
        <f t="shared" si="661"/>
        <v>5.2706049104920556</v>
      </c>
      <c r="V759" s="276">
        <f t="shared" si="662"/>
        <v>7.0096034440744663</v>
      </c>
      <c r="W759" s="276">
        <f t="shared" si="663"/>
        <v>3.5240991020494121</v>
      </c>
      <c r="X759" s="276">
        <f t="shared" si="664"/>
        <v>3.7931945415465753</v>
      </c>
      <c r="Y759" s="686">
        <f t="shared" si="665"/>
        <v>7.0190247666103485</v>
      </c>
      <c r="Z759" s="685" t="e">
        <f t="shared" si="666"/>
        <v>#DIV/0!</v>
      </c>
      <c r="AA759" s="276" t="e">
        <f t="shared" si="667"/>
        <v>#DIV/0!</v>
      </c>
      <c r="AB759" s="276" t="e">
        <f t="shared" si="668"/>
        <v>#DIV/0!</v>
      </c>
      <c r="AC759" s="276" t="e">
        <f t="shared" si="669"/>
        <v>#DIV/0!</v>
      </c>
      <c r="AD759" s="276" t="e">
        <f t="shared" si="670"/>
        <v>#DIV/0!</v>
      </c>
      <c r="AE759" s="686" t="e">
        <f t="shared" si="671"/>
        <v>#DIV/0!</v>
      </c>
      <c r="AF759" s="239"/>
      <c r="AG759" s="965" t="e">
        <f t="shared" si="642"/>
        <v>#VALUE!</v>
      </c>
      <c r="AH759" s="878" t="e">
        <f t="shared" si="643"/>
        <v>#VALUE!</v>
      </c>
      <c r="AI759" s="878" t="e">
        <f t="shared" si="644"/>
        <v>#VALUE!</v>
      </c>
      <c r="AJ759" s="878" t="e">
        <f t="shared" si="645"/>
        <v>#VALUE!</v>
      </c>
      <c r="AK759" s="878" t="e">
        <f t="shared" si="646"/>
        <v>#VALUE!</v>
      </c>
      <c r="AL759" s="966" t="e">
        <f t="shared" si="647"/>
        <v>#VALUE!</v>
      </c>
      <c r="AM759" s="239"/>
      <c r="AO759" s="685">
        <f t="shared" si="672"/>
        <v>-2.671805214796342</v>
      </c>
      <c r="AP759" s="276">
        <f t="shared" si="673"/>
        <v>-2.9511910389889819</v>
      </c>
      <c r="AQ759" s="276">
        <f t="shared" si="674"/>
        <v>-5.4951327530214567</v>
      </c>
      <c r="AR759" s="276">
        <f t="shared" si="675"/>
        <v>-5.6845199928301442</v>
      </c>
      <c r="AS759" s="276">
        <f t="shared" si="676"/>
        <v>1.3658887767349401</v>
      </c>
      <c r="AT759" s="276">
        <f t="shared" si="677"/>
        <v>-1.7006083806609755</v>
      </c>
      <c r="AU759" s="685">
        <f t="shared" si="678"/>
        <v>1.3132653483475074</v>
      </c>
      <c r="AV759" s="276">
        <f t="shared" si="679"/>
        <v>0.3193943202258358</v>
      </c>
      <c r="AW759" s="276">
        <f t="shared" si="680"/>
        <v>1.2556342733583217</v>
      </c>
      <c r="AX759" s="276">
        <f t="shared" si="681"/>
        <v>1.1108261521603098</v>
      </c>
      <c r="AY759" s="276">
        <f t="shared" si="682"/>
        <v>1.4809480671992714</v>
      </c>
      <c r="AZ759" s="686">
        <f t="shared" si="683"/>
        <v>0.87595851446207651</v>
      </c>
      <c r="BA759" s="685">
        <f t="shared" si="684"/>
        <v>0</v>
      </c>
      <c r="BB759" s="276">
        <f t="shared" si="685"/>
        <v>0</v>
      </c>
      <c r="BC759" s="276">
        <f t="shared" si="686"/>
        <v>0</v>
      </c>
      <c r="BD759" s="276">
        <f t="shared" si="687"/>
        <v>0</v>
      </c>
      <c r="BE759" s="276">
        <f t="shared" si="688"/>
        <v>0</v>
      </c>
      <c r="BF759" s="686">
        <f t="shared" si="689"/>
        <v>0</v>
      </c>
      <c r="BG759" s="685" t="e">
        <f t="shared" si="690"/>
        <v>#DIV/0!</v>
      </c>
      <c r="BH759" s="276" t="e">
        <f t="shared" si="691"/>
        <v>#DIV/0!</v>
      </c>
      <c r="BI759" s="276" t="e">
        <f t="shared" si="692"/>
        <v>#DIV/0!</v>
      </c>
      <c r="BJ759" s="276" t="e">
        <f t="shared" si="693"/>
        <v>#DIV/0!</v>
      </c>
      <c r="BK759" s="276" t="e">
        <f t="shared" si="694"/>
        <v>#DIV/0!</v>
      </c>
      <c r="BL759" s="686" t="e">
        <f t="shared" si="695"/>
        <v>#DIV/0!</v>
      </c>
      <c r="BM759" s="239"/>
      <c r="BN759" s="965" t="e">
        <f t="shared" si="696"/>
        <v>#VALUE!</v>
      </c>
      <c r="BO759" s="878" t="e">
        <f t="shared" si="697"/>
        <v>#VALUE!</v>
      </c>
      <c r="BP759" s="878" t="e">
        <f t="shared" si="698"/>
        <v>#VALUE!</v>
      </c>
      <c r="BQ759" s="878" t="e">
        <f t="shared" si="699"/>
        <v>#VALUE!</v>
      </c>
      <c r="BR759" s="878" t="e">
        <f t="shared" si="700"/>
        <v>#VALUE!</v>
      </c>
      <c r="BS759" s="966" t="e">
        <f t="shared" si="701"/>
        <v>#VALUE!</v>
      </c>
    </row>
    <row r="760" spans="1:71">
      <c r="A760" s="284">
        <f t="shared" si="702"/>
        <v>692</v>
      </c>
      <c r="B760" s="285">
        <v>-1.6948152081281751</v>
      </c>
      <c r="C760" s="285">
        <v>1.975521791864022</v>
      </c>
      <c r="D760" s="285">
        <v>0.39567711405990447</v>
      </c>
      <c r="E760" s="285">
        <v>-2.2010708971158555</v>
      </c>
      <c r="H760" s="685">
        <f t="shared" si="648"/>
        <v>-2.8280490498972299</v>
      </c>
      <c r="I760" s="276">
        <f t="shared" si="649"/>
        <v>-2.1904658555104186</v>
      </c>
      <c r="J760" s="276">
        <f t="shared" si="650"/>
        <v>-2.7097204077388364</v>
      </c>
      <c r="K760" s="276">
        <f t="shared" si="651"/>
        <v>2.5622939537716958</v>
      </c>
      <c r="L760" s="276">
        <f t="shared" si="652"/>
        <v>-2.5333303628117463</v>
      </c>
      <c r="M760" s="276">
        <f t="shared" si="653"/>
        <v>0.94044376112377104</v>
      </c>
      <c r="N760" s="685">
        <f t="shared" si="654"/>
        <v>0.76835058089215358</v>
      </c>
      <c r="O760" s="276">
        <f t="shared" si="655"/>
        <v>0.81803205365411613</v>
      </c>
      <c r="P760" s="276">
        <f t="shared" si="656"/>
        <v>1.086654204215759</v>
      </c>
      <c r="Q760" s="276">
        <f t="shared" si="657"/>
        <v>1.5249104255931829</v>
      </c>
      <c r="R760" s="276">
        <f t="shared" si="658"/>
        <v>1.3519070799866195</v>
      </c>
      <c r="S760" s="686">
        <f t="shared" si="659"/>
        <v>1.603073657963735</v>
      </c>
      <c r="T760" s="685">
        <f t="shared" si="660"/>
        <v>3.6740408043308301</v>
      </c>
      <c r="U760" s="276">
        <f t="shared" si="661"/>
        <v>5.4503440434604942</v>
      </c>
      <c r="V760" s="276">
        <f t="shared" si="662"/>
        <v>3.7678002198809879</v>
      </c>
      <c r="W760" s="276">
        <f t="shared" si="663"/>
        <v>5.3822336089292051</v>
      </c>
      <c r="X760" s="276">
        <f t="shared" si="664"/>
        <v>3.1074791988731061</v>
      </c>
      <c r="Y760" s="686">
        <f t="shared" si="665"/>
        <v>4.1969919526965009</v>
      </c>
      <c r="Z760" s="685" t="e">
        <f t="shared" si="666"/>
        <v>#DIV/0!</v>
      </c>
      <c r="AA760" s="276" t="e">
        <f t="shared" si="667"/>
        <v>#DIV/0!</v>
      </c>
      <c r="AB760" s="276" t="e">
        <f t="shared" si="668"/>
        <v>#DIV/0!</v>
      </c>
      <c r="AC760" s="276" t="e">
        <f t="shared" si="669"/>
        <v>#DIV/0!</v>
      </c>
      <c r="AD760" s="276" t="e">
        <f t="shared" si="670"/>
        <v>#DIV/0!</v>
      </c>
      <c r="AE760" s="686" t="e">
        <f t="shared" si="671"/>
        <v>#DIV/0!</v>
      </c>
      <c r="AF760" s="239"/>
      <c r="AG760" s="965" t="e">
        <f t="shared" si="642"/>
        <v>#VALUE!</v>
      </c>
      <c r="AH760" s="878" t="e">
        <f t="shared" si="643"/>
        <v>#VALUE!</v>
      </c>
      <c r="AI760" s="878" t="e">
        <f t="shared" si="644"/>
        <v>#VALUE!</v>
      </c>
      <c r="AJ760" s="878" t="e">
        <f t="shared" si="645"/>
        <v>#VALUE!</v>
      </c>
      <c r="AK760" s="878" t="e">
        <f t="shared" si="646"/>
        <v>#VALUE!</v>
      </c>
      <c r="AL760" s="966" t="e">
        <f t="shared" si="647"/>
        <v>#VALUE!</v>
      </c>
      <c r="AM760" s="239"/>
      <c r="AO760" s="685">
        <f t="shared" si="672"/>
        <v>-2.8280490498972299</v>
      </c>
      <c r="AP760" s="276">
        <f t="shared" si="673"/>
        <v>-2.1904658555104186</v>
      </c>
      <c r="AQ760" s="276">
        <f t="shared" si="674"/>
        <v>-2.7097204077388364</v>
      </c>
      <c r="AR760" s="276">
        <f t="shared" si="675"/>
        <v>2.5622939537716958</v>
      </c>
      <c r="AS760" s="276">
        <f t="shared" si="676"/>
        <v>-2.5333303628117463</v>
      </c>
      <c r="AT760" s="276">
        <f t="shared" si="677"/>
        <v>0.94044376112377104</v>
      </c>
      <c r="AU760" s="685">
        <f t="shared" si="678"/>
        <v>0.76835058089215358</v>
      </c>
      <c r="AV760" s="276">
        <f t="shared" si="679"/>
        <v>0.81803205365411613</v>
      </c>
      <c r="AW760" s="276">
        <f t="shared" si="680"/>
        <v>1.086654204215759</v>
      </c>
      <c r="AX760" s="276">
        <f t="shared" si="681"/>
        <v>1.5249104255931829</v>
      </c>
      <c r="AY760" s="276">
        <f t="shared" si="682"/>
        <v>1.3519070799866195</v>
      </c>
      <c r="AZ760" s="686">
        <f t="shared" si="683"/>
        <v>1.603073657963735</v>
      </c>
      <c r="BA760" s="685">
        <f t="shared" si="684"/>
        <v>0</v>
      </c>
      <c r="BB760" s="276">
        <f t="shared" si="685"/>
        <v>0</v>
      </c>
      <c r="BC760" s="276">
        <f t="shared" si="686"/>
        <v>0</v>
      </c>
      <c r="BD760" s="276">
        <f t="shared" si="687"/>
        <v>0</v>
      </c>
      <c r="BE760" s="276">
        <f t="shared" si="688"/>
        <v>0</v>
      </c>
      <c r="BF760" s="686">
        <f t="shared" si="689"/>
        <v>0</v>
      </c>
      <c r="BG760" s="685" t="e">
        <f t="shared" si="690"/>
        <v>#DIV/0!</v>
      </c>
      <c r="BH760" s="276" t="e">
        <f t="shared" si="691"/>
        <v>#DIV/0!</v>
      </c>
      <c r="BI760" s="276" t="e">
        <f t="shared" si="692"/>
        <v>#DIV/0!</v>
      </c>
      <c r="BJ760" s="276" t="e">
        <f t="shared" si="693"/>
        <v>#DIV/0!</v>
      </c>
      <c r="BK760" s="276" t="e">
        <f t="shared" si="694"/>
        <v>#DIV/0!</v>
      </c>
      <c r="BL760" s="686" t="e">
        <f t="shared" si="695"/>
        <v>#DIV/0!</v>
      </c>
      <c r="BM760" s="239"/>
      <c r="BN760" s="965" t="e">
        <f t="shared" si="696"/>
        <v>#VALUE!</v>
      </c>
      <c r="BO760" s="878" t="e">
        <f t="shared" si="697"/>
        <v>#VALUE!</v>
      </c>
      <c r="BP760" s="878" t="e">
        <f t="shared" si="698"/>
        <v>#VALUE!</v>
      </c>
      <c r="BQ760" s="878" t="e">
        <f t="shared" si="699"/>
        <v>#VALUE!</v>
      </c>
      <c r="BR760" s="878" t="e">
        <f t="shared" si="700"/>
        <v>#VALUE!</v>
      </c>
      <c r="BS760" s="966" t="e">
        <f t="shared" si="701"/>
        <v>#VALUE!</v>
      </c>
    </row>
    <row r="761" spans="1:71">
      <c r="A761" s="284">
        <f t="shared" si="702"/>
        <v>693</v>
      </c>
      <c r="B761" s="285">
        <v>-1.5284131328476083</v>
      </c>
      <c r="C761" s="285">
        <v>2.016384503538851</v>
      </c>
      <c r="D761" s="285">
        <v>1.0566436013317171</v>
      </c>
      <c r="E761" s="285">
        <v>-12.22845804329706</v>
      </c>
      <c r="H761" s="685">
        <f t="shared" si="648"/>
        <v>-2.6616469746166631</v>
      </c>
      <c r="I761" s="276">
        <f t="shared" si="649"/>
        <v>-2.0631464261832129</v>
      </c>
      <c r="J761" s="276">
        <f t="shared" si="650"/>
        <v>-0.68560291430748355</v>
      </c>
      <c r="K761" s="276">
        <f t="shared" si="651"/>
        <v>-1.3273892147287512</v>
      </c>
      <c r="L761" s="276">
        <f t="shared" si="652"/>
        <v>-1.2350970376919825</v>
      </c>
      <c r="M761" s="276">
        <f t="shared" si="653"/>
        <v>0.1101592150705597</v>
      </c>
      <c r="N761" s="685">
        <f t="shared" si="654"/>
        <v>0.8092132925669826</v>
      </c>
      <c r="O761" s="276">
        <f t="shared" si="655"/>
        <v>-0.13627802469102956</v>
      </c>
      <c r="P761" s="276">
        <f t="shared" si="656"/>
        <v>1.807237253783798</v>
      </c>
      <c r="Q761" s="276">
        <f t="shared" si="657"/>
        <v>1.553178010961539</v>
      </c>
      <c r="R761" s="276">
        <f t="shared" si="658"/>
        <v>1.1627860892519248</v>
      </c>
      <c r="S761" s="686">
        <f t="shared" si="659"/>
        <v>1.1804330276739241</v>
      </c>
      <c r="T761" s="685">
        <f t="shared" si="660"/>
        <v>4.3350072916026434</v>
      </c>
      <c r="U761" s="276">
        <f t="shared" si="661"/>
        <v>6.1082083077084199</v>
      </c>
      <c r="V761" s="276">
        <f t="shared" si="662"/>
        <v>5.014013014428242</v>
      </c>
      <c r="W761" s="276">
        <f t="shared" si="663"/>
        <v>3.9966617655188692</v>
      </c>
      <c r="X761" s="276">
        <f t="shared" si="664"/>
        <v>3.8716678166164824</v>
      </c>
      <c r="Y761" s="686">
        <f t="shared" si="665"/>
        <v>6.058498920349205</v>
      </c>
      <c r="Z761" s="685" t="e">
        <f t="shared" si="666"/>
        <v>#DIV/0!</v>
      </c>
      <c r="AA761" s="276" t="e">
        <f t="shared" si="667"/>
        <v>#DIV/0!</v>
      </c>
      <c r="AB761" s="276" t="e">
        <f t="shared" si="668"/>
        <v>#DIV/0!</v>
      </c>
      <c r="AC761" s="276" t="e">
        <f t="shared" si="669"/>
        <v>#DIV/0!</v>
      </c>
      <c r="AD761" s="276" t="e">
        <f t="shared" si="670"/>
        <v>#DIV/0!</v>
      </c>
      <c r="AE761" s="686" t="e">
        <f t="shared" si="671"/>
        <v>#DIV/0!</v>
      </c>
      <c r="AF761" s="239"/>
      <c r="AG761" s="965" t="e">
        <f t="shared" si="642"/>
        <v>#VALUE!</v>
      </c>
      <c r="AH761" s="878" t="e">
        <f t="shared" si="643"/>
        <v>#VALUE!</v>
      </c>
      <c r="AI761" s="878" t="e">
        <f t="shared" si="644"/>
        <v>#VALUE!</v>
      </c>
      <c r="AJ761" s="878" t="e">
        <f t="shared" si="645"/>
        <v>#VALUE!</v>
      </c>
      <c r="AK761" s="878" t="e">
        <f t="shared" si="646"/>
        <v>#VALUE!</v>
      </c>
      <c r="AL761" s="966" t="e">
        <f t="shared" si="647"/>
        <v>#VALUE!</v>
      </c>
      <c r="AM761" s="239"/>
      <c r="AO761" s="685">
        <f t="shared" si="672"/>
        <v>-2.6616469746166631</v>
      </c>
      <c r="AP761" s="276">
        <f t="shared" si="673"/>
        <v>-2.0631464261832129</v>
      </c>
      <c r="AQ761" s="276">
        <f t="shared" si="674"/>
        <v>-0.68560291430748355</v>
      </c>
      <c r="AR761" s="276">
        <f t="shared" si="675"/>
        <v>-1.3273892147287512</v>
      </c>
      <c r="AS761" s="276">
        <f t="shared" si="676"/>
        <v>-1.2350970376919825</v>
      </c>
      <c r="AT761" s="276">
        <f t="shared" si="677"/>
        <v>0.1101592150705597</v>
      </c>
      <c r="AU761" s="685">
        <f t="shared" si="678"/>
        <v>0.8092132925669826</v>
      </c>
      <c r="AV761" s="276">
        <f t="shared" si="679"/>
        <v>-0.13627802469102956</v>
      </c>
      <c r="AW761" s="276">
        <f t="shared" si="680"/>
        <v>1.807237253783798</v>
      </c>
      <c r="AX761" s="276">
        <f t="shared" si="681"/>
        <v>1.553178010961539</v>
      </c>
      <c r="AY761" s="276">
        <f t="shared" si="682"/>
        <v>1.1627860892519248</v>
      </c>
      <c r="AZ761" s="686">
        <f t="shared" si="683"/>
        <v>1.1804330276739241</v>
      </c>
      <c r="BA761" s="685">
        <f t="shared" si="684"/>
        <v>0</v>
      </c>
      <c r="BB761" s="276">
        <f t="shared" si="685"/>
        <v>0</v>
      </c>
      <c r="BC761" s="276">
        <f t="shared" si="686"/>
        <v>0</v>
      </c>
      <c r="BD761" s="276">
        <f t="shared" si="687"/>
        <v>0</v>
      </c>
      <c r="BE761" s="276">
        <f t="shared" si="688"/>
        <v>0</v>
      </c>
      <c r="BF761" s="686">
        <f t="shared" si="689"/>
        <v>0</v>
      </c>
      <c r="BG761" s="685" t="e">
        <f t="shared" si="690"/>
        <v>#DIV/0!</v>
      </c>
      <c r="BH761" s="276" t="e">
        <f t="shared" si="691"/>
        <v>#DIV/0!</v>
      </c>
      <c r="BI761" s="276" t="e">
        <f t="shared" si="692"/>
        <v>#DIV/0!</v>
      </c>
      <c r="BJ761" s="276" t="e">
        <f t="shared" si="693"/>
        <v>#DIV/0!</v>
      </c>
      <c r="BK761" s="276" t="e">
        <f t="shared" si="694"/>
        <v>#DIV/0!</v>
      </c>
      <c r="BL761" s="686" t="e">
        <f t="shared" si="695"/>
        <v>#DIV/0!</v>
      </c>
      <c r="BM761" s="239"/>
      <c r="BN761" s="965" t="e">
        <f t="shared" si="696"/>
        <v>#VALUE!</v>
      </c>
      <c r="BO761" s="878" t="e">
        <f t="shared" si="697"/>
        <v>#VALUE!</v>
      </c>
      <c r="BP761" s="878" t="e">
        <f t="shared" si="698"/>
        <v>#VALUE!</v>
      </c>
      <c r="BQ761" s="878" t="e">
        <f t="shared" si="699"/>
        <v>#VALUE!</v>
      </c>
      <c r="BR761" s="878" t="e">
        <f t="shared" si="700"/>
        <v>#VALUE!</v>
      </c>
      <c r="BS761" s="966" t="e">
        <f t="shared" si="701"/>
        <v>#VALUE!</v>
      </c>
    </row>
    <row r="762" spans="1:71">
      <c r="A762" s="284">
        <f t="shared" si="702"/>
        <v>694</v>
      </c>
      <c r="B762" s="285">
        <v>-2.8795310634763163</v>
      </c>
      <c r="C762" s="285">
        <v>1.7383418991042081</v>
      </c>
      <c r="D762" s="285">
        <v>1.3706838292284047</v>
      </c>
      <c r="E762" s="285">
        <v>-10.857398911403019</v>
      </c>
      <c r="H762" s="685">
        <f t="shared" si="648"/>
        <v>-4.0127649052453709</v>
      </c>
      <c r="I762" s="276">
        <f t="shared" si="649"/>
        <v>0.90901890526449836</v>
      </c>
      <c r="J762" s="276">
        <f t="shared" si="650"/>
        <v>-0.35223919615160004</v>
      </c>
      <c r="K762" s="276">
        <f t="shared" si="651"/>
        <v>-4.0832146688159723</v>
      </c>
      <c r="L762" s="276">
        <f t="shared" si="652"/>
        <v>0.27089129233319875</v>
      </c>
      <c r="M762" s="276">
        <f t="shared" si="653"/>
        <v>-1.1046899720191374</v>
      </c>
      <c r="N762" s="685">
        <f t="shared" si="654"/>
        <v>0.5311706881323397</v>
      </c>
      <c r="O762" s="276">
        <f t="shared" si="655"/>
        <v>1.0937069163239739</v>
      </c>
      <c r="P762" s="276">
        <f t="shared" si="656"/>
        <v>1.7786050967077325</v>
      </c>
      <c r="Q762" s="276">
        <f t="shared" si="657"/>
        <v>1.220840355352282</v>
      </c>
      <c r="R762" s="276">
        <f t="shared" si="658"/>
        <v>1.4451568953278657</v>
      </c>
      <c r="S762" s="686">
        <f t="shared" si="659"/>
        <v>0.32740038164808927</v>
      </c>
      <c r="T762" s="685">
        <f t="shared" si="660"/>
        <v>4.6490475194993301</v>
      </c>
      <c r="U762" s="276">
        <f t="shared" si="661"/>
        <v>2.8411345666573693</v>
      </c>
      <c r="V762" s="276">
        <f t="shared" si="662"/>
        <v>5.8581656912456861</v>
      </c>
      <c r="W762" s="276">
        <f t="shared" si="663"/>
        <v>2.3749910124288136</v>
      </c>
      <c r="X762" s="276">
        <f t="shared" si="664"/>
        <v>5.3729955177502777</v>
      </c>
      <c r="Y762" s="686">
        <f t="shared" si="665"/>
        <v>6.4680353351236164</v>
      </c>
      <c r="Z762" s="685" t="e">
        <f t="shared" si="666"/>
        <v>#DIV/0!</v>
      </c>
      <c r="AA762" s="276" t="e">
        <f t="shared" si="667"/>
        <v>#DIV/0!</v>
      </c>
      <c r="AB762" s="276" t="e">
        <f t="shared" si="668"/>
        <v>#DIV/0!</v>
      </c>
      <c r="AC762" s="276" t="e">
        <f t="shared" si="669"/>
        <v>#DIV/0!</v>
      </c>
      <c r="AD762" s="276" t="e">
        <f t="shared" si="670"/>
        <v>#DIV/0!</v>
      </c>
      <c r="AE762" s="686" t="e">
        <f t="shared" si="671"/>
        <v>#DIV/0!</v>
      </c>
      <c r="AF762" s="239"/>
      <c r="AG762" s="965" t="e">
        <f t="shared" si="642"/>
        <v>#VALUE!</v>
      </c>
      <c r="AH762" s="878" t="e">
        <f t="shared" si="643"/>
        <v>#VALUE!</v>
      </c>
      <c r="AI762" s="878" t="e">
        <f t="shared" si="644"/>
        <v>#VALUE!</v>
      </c>
      <c r="AJ762" s="878" t="e">
        <f t="shared" si="645"/>
        <v>#VALUE!</v>
      </c>
      <c r="AK762" s="878" t="e">
        <f t="shared" si="646"/>
        <v>#VALUE!</v>
      </c>
      <c r="AL762" s="966" t="e">
        <f t="shared" si="647"/>
        <v>#VALUE!</v>
      </c>
      <c r="AM762" s="239"/>
      <c r="AO762" s="685">
        <f t="shared" si="672"/>
        <v>-4.0127649052453709</v>
      </c>
      <c r="AP762" s="276">
        <f t="shared" si="673"/>
        <v>0.90901890526449836</v>
      </c>
      <c r="AQ762" s="276">
        <f t="shared" si="674"/>
        <v>-0.35223919615160004</v>
      </c>
      <c r="AR762" s="276">
        <f t="shared" si="675"/>
        <v>-4.0832146688159723</v>
      </c>
      <c r="AS762" s="276">
        <f t="shared" si="676"/>
        <v>0.27089129233319875</v>
      </c>
      <c r="AT762" s="276">
        <f t="shared" si="677"/>
        <v>-1.1046899720191374</v>
      </c>
      <c r="AU762" s="685">
        <f t="shared" si="678"/>
        <v>0.5311706881323397</v>
      </c>
      <c r="AV762" s="276">
        <f t="shared" si="679"/>
        <v>1.0937069163239739</v>
      </c>
      <c r="AW762" s="276">
        <f t="shared" si="680"/>
        <v>1.7786050967077325</v>
      </c>
      <c r="AX762" s="276">
        <f t="shared" si="681"/>
        <v>1.220840355352282</v>
      </c>
      <c r="AY762" s="276">
        <f t="shared" si="682"/>
        <v>1.4451568953278657</v>
      </c>
      <c r="AZ762" s="686">
        <f t="shared" si="683"/>
        <v>0.32740038164808927</v>
      </c>
      <c r="BA762" s="685">
        <f t="shared" si="684"/>
        <v>0</v>
      </c>
      <c r="BB762" s="276">
        <f t="shared" si="685"/>
        <v>0</v>
      </c>
      <c r="BC762" s="276">
        <f t="shared" si="686"/>
        <v>0</v>
      </c>
      <c r="BD762" s="276">
        <f t="shared" si="687"/>
        <v>0</v>
      </c>
      <c r="BE762" s="276">
        <f t="shared" si="688"/>
        <v>0</v>
      </c>
      <c r="BF762" s="686">
        <f t="shared" si="689"/>
        <v>0</v>
      </c>
      <c r="BG762" s="685" t="e">
        <f t="shared" si="690"/>
        <v>#DIV/0!</v>
      </c>
      <c r="BH762" s="276" t="e">
        <f t="shared" si="691"/>
        <v>#DIV/0!</v>
      </c>
      <c r="BI762" s="276" t="e">
        <f t="shared" si="692"/>
        <v>#DIV/0!</v>
      </c>
      <c r="BJ762" s="276" t="e">
        <f t="shared" si="693"/>
        <v>#DIV/0!</v>
      </c>
      <c r="BK762" s="276" t="e">
        <f t="shared" si="694"/>
        <v>#DIV/0!</v>
      </c>
      <c r="BL762" s="686" t="e">
        <f t="shared" si="695"/>
        <v>#DIV/0!</v>
      </c>
      <c r="BM762" s="239"/>
      <c r="BN762" s="965" t="e">
        <f t="shared" si="696"/>
        <v>#VALUE!</v>
      </c>
      <c r="BO762" s="878" t="e">
        <f t="shared" si="697"/>
        <v>#VALUE!</v>
      </c>
      <c r="BP762" s="878" t="e">
        <f t="shared" si="698"/>
        <v>#VALUE!</v>
      </c>
      <c r="BQ762" s="878" t="e">
        <f t="shared" si="699"/>
        <v>#VALUE!</v>
      </c>
      <c r="BR762" s="878" t="e">
        <f t="shared" si="700"/>
        <v>#VALUE!</v>
      </c>
      <c r="BS762" s="966" t="e">
        <f t="shared" si="701"/>
        <v>#VALUE!</v>
      </c>
    </row>
    <row r="763" spans="1:71">
      <c r="A763" s="284">
        <f t="shared" si="702"/>
        <v>695</v>
      </c>
      <c r="B763" s="285">
        <v>0.10688534255280084</v>
      </c>
      <c r="C763" s="285">
        <v>2.5428740444910383</v>
      </c>
      <c r="D763" s="285">
        <v>2.2487240907169195</v>
      </c>
      <c r="E763" s="285">
        <v>1.742347400173474</v>
      </c>
      <c r="H763" s="685">
        <f t="shared" si="648"/>
        <v>-1.0263484992162539</v>
      </c>
      <c r="I763" s="276">
        <f t="shared" si="649"/>
        <v>0.64860254031139619</v>
      </c>
      <c r="J763" s="276">
        <f t="shared" si="650"/>
        <v>0.27376680627052696</v>
      </c>
      <c r="K763" s="276">
        <f t="shared" si="651"/>
        <v>-1.2783099033372332</v>
      </c>
      <c r="L763" s="276">
        <f t="shared" si="652"/>
        <v>1.8815794506312427</v>
      </c>
      <c r="M763" s="276">
        <f t="shared" si="653"/>
        <v>-3.6008401883362975</v>
      </c>
      <c r="N763" s="685">
        <f t="shared" si="654"/>
        <v>1.3357028335191699</v>
      </c>
      <c r="O763" s="276">
        <f t="shared" si="655"/>
        <v>1.1110094444431471</v>
      </c>
      <c r="P763" s="276">
        <f t="shared" si="656"/>
        <v>1.7298450418605544</v>
      </c>
      <c r="Q763" s="276">
        <f t="shared" si="657"/>
        <v>1.2152344067887813</v>
      </c>
      <c r="R763" s="276">
        <f t="shared" si="658"/>
        <v>1.3809457072082958</v>
      </c>
      <c r="S763" s="686">
        <f t="shared" si="659"/>
        <v>1.8731082800582868</v>
      </c>
      <c r="T763" s="685">
        <f t="shared" si="660"/>
        <v>5.5270877809878449</v>
      </c>
      <c r="U763" s="276">
        <f t="shared" si="661"/>
        <v>6.5885330642920454</v>
      </c>
      <c r="V763" s="276">
        <f t="shared" si="662"/>
        <v>3.8136593519088464</v>
      </c>
      <c r="W763" s="276">
        <f t="shared" si="663"/>
        <v>4.0571247438282825</v>
      </c>
      <c r="X763" s="276">
        <f t="shared" si="664"/>
        <v>4.9067485556177486</v>
      </c>
      <c r="Y763" s="686">
        <f t="shared" si="665"/>
        <v>2.0670026183133028</v>
      </c>
      <c r="Z763" s="685" t="e">
        <f t="shared" si="666"/>
        <v>#DIV/0!</v>
      </c>
      <c r="AA763" s="276" t="e">
        <f t="shared" si="667"/>
        <v>#DIV/0!</v>
      </c>
      <c r="AB763" s="276" t="e">
        <f t="shared" si="668"/>
        <v>#DIV/0!</v>
      </c>
      <c r="AC763" s="276" t="e">
        <f t="shared" si="669"/>
        <v>#DIV/0!</v>
      </c>
      <c r="AD763" s="276" t="e">
        <f t="shared" si="670"/>
        <v>#DIV/0!</v>
      </c>
      <c r="AE763" s="686" t="e">
        <f t="shared" si="671"/>
        <v>#DIV/0!</v>
      </c>
      <c r="AF763" s="239"/>
      <c r="AG763" s="965" t="e">
        <f t="shared" si="642"/>
        <v>#VALUE!</v>
      </c>
      <c r="AH763" s="878" t="e">
        <f t="shared" si="643"/>
        <v>#VALUE!</v>
      </c>
      <c r="AI763" s="878" t="e">
        <f t="shared" si="644"/>
        <v>#VALUE!</v>
      </c>
      <c r="AJ763" s="878" t="e">
        <f t="shared" si="645"/>
        <v>#VALUE!</v>
      </c>
      <c r="AK763" s="878" t="e">
        <f t="shared" si="646"/>
        <v>#VALUE!</v>
      </c>
      <c r="AL763" s="966" t="e">
        <f t="shared" si="647"/>
        <v>#VALUE!</v>
      </c>
      <c r="AM763" s="239"/>
      <c r="AO763" s="685">
        <f t="shared" si="672"/>
        <v>-1.0263484992162539</v>
      </c>
      <c r="AP763" s="276">
        <f t="shared" si="673"/>
        <v>0.64860254031139619</v>
      </c>
      <c r="AQ763" s="276">
        <f t="shared" si="674"/>
        <v>0.27376680627052696</v>
      </c>
      <c r="AR763" s="276">
        <f t="shared" si="675"/>
        <v>-1.2783099033372332</v>
      </c>
      <c r="AS763" s="276">
        <f t="shared" si="676"/>
        <v>1.8815794506312427</v>
      </c>
      <c r="AT763" s="276">
        <f t="shared" si="677"/>
        <v>-3.6008401883362975</v>
      </c>
      <c r="AU763" s="685">
        <f t="shared" si="678"/>
        <v>1.3357028335191699</v>
      </c>
      <c r="AV763" s="276">
        <f t="shared" si="679"/>
        <v>1.1110094444431471</v>
      </c>
      <c r="AW763" s="276">
        <f t="shared" si="680"/>
        <v>1.7298450418605544</v>
      </c>
      <c r="AX763" s="276">
        <f t="shared" si="681"/>
        <v>1.2152344067887813</v>
      </c>
      <c r="AY763" s="276">
        <f t="shared" si="682"/>
        <v>1.3809457072082958</v>
      </c>
      <c r="AZ763" s="686">
        <f t="shared" si="683"/>
        <v>1.8731082800582868</v>
      </c>
      <c r="BA763" s="685">
        <f t="shared" si="684"/>
        <v>0</v>
      </c>
      <c r="BB763" s="276">
        <f t="shared" si="685"/>
        <v>0</v>
      </c>
      <c r="BC763" s="276">
        <f t="shared" si="686"/>
        <v>0</v>
      </c>
      <c r="BD763" s="276">
        <f t="shared" si="687"/>
        <v>0</v>
      </c>
      <c r="BE763" s="276">
        <f t="shared" si="688"/>
        <v>0</v>
      </c>
      <c r="BF763" s="686">
        <f t="shared" si="689"/>
        <v>0</v>
      </c>
      <c r="BG763" s="685" t="e">
        <f t="shared" si="690"/>
        <v>#DIV/0!</v>
      </c>
      <c r="BH763" s="276" t="e">
        <f t="shared" si="691"/>
        <v>#DIV/0!</v>
      </c>
      <c r="BI763" s="276" t="e">
        <f t="shared" si="692"/>
        <v>#DIV/0!</v>
      </c>
      <c r="BJ763" s="276" t="e">
        <f t="shared" si="693"/>
        <v>#DIV/0!</v>
      </c>
      <c r="BK763" s="276" t="e">
        <f t="shared" si="694"/>
        <v>#DIV/0!</v>
      </c>
      <c r="BL763" s="686" t="e">
        <f t="shared" si="695"/>
        <v>#DIV/0!</v>
      </c>
      <c r="BM763" s="239"/>
      <c r="BN763" s="965" t="e">
        <f t="shared" si="696"/>
        <v>#VALUE!</v>
      </c>
      <c r="BO763" s="878" t="e">
        <f t="shared" si="697"/>
        <v>#VALUE!</v>
      </c>
      <c r="BP763" s="878" t="e">
        <f t="shared" si="698"/>
        <v>#VALUE!</v>
      </c>
      <c r="BQ763" s="878" t="e">
        <f t="shared" si="699"/>
        <v>#VALUE!</v>
      </c>
      <c r="BR763" s="878" t="e">
        <f t="shared" si="700"/>
        <v>#VALUE!</v>
      </c>
      <c r="BS763" s="966" t="e">
        <f t="shared" si="701"/>
        <v>#VALUE!</v>
      </c>
    </row>
    <row r="764" spans="1:71">
      <c r="A764" s="284">
        <f t="shared" si="702"/>
        <v>696</v>
      </c>
      <c r="B764" s="285">
        <v>2.0979819370841812</v>
      </c>
      <c r="C764" s="285">
        <v>2.8835189808991784</v>
      </c>
      <c r="D764" s="285">
        <v>-7.1793747711643707E-3</v>
      </c>
      <c r="E764" s="285">
        <v>11.275054307011029</v>
      </c>
      <c r="H764" s="685">
        <f t="shared" si="648"/>
        <v>0.9647480953151264</v>
      </c>
      <c r="I764" s="276">
        <f t="shared" si="649"/>
        <v>0.72891758623560743</v>
      </c>
      <c r="J764" s="276">
        <f t="shared" si="650"/>
        <v>-2.5808207588050491</v>
      </c>
      <c r="K764" s="276">
        <f t="shared" si="651"/>
        <v>1.7937920447980396</v>
      </c>
      <c r="L764" s="276">
        <f t="shared" si="652"/>
        <v>-4.6689608245856791</v>
      </c>
      <c r="M764" s="276">
        <f t="shared" si="653"/>
        <v>-0.63180023598395141</v>
      </c>
      <c r="N764" s="685">
        <f t="shared" si="654"/>
        <v>1.6763477699273099</v>
      </c>
      <c r="O764" s="276">
        <f t="shared" si="655"/>
        <v>1.5521982855300653</v>
      </c>
      <c r="P764" s="276">
        <f t="shared" si="656"/>
        <v>0.86401728837319136</v>
      </c>
      <c r="Q764" s="276">
        <f t="shared" si="657"/>
        <v>1.4428603767703343</v>
      </c>
      <c r="R764" s="276">
        <f t="shared" si="658"/>
        <v>1.7836251739962374</v>
      </c>
      <c r="S764" s="686">
        <f t="shared" si="659"/>
        <v>2.0594594197019447</v>
      </c>
      <c r="T764" s="685">
        <f t="shared" si="660"/>
        <v>3.2711843154997613</v>
      </c>
      <c r="U764" s="276">
        <f t="shared" si="661"/>
        <v>4.642198329620042</v>
      </c>
      <c r="V764" s="276">
        <f t="shared" si="662"/>
        <v>7.8713633831841765</v>
      </c>
      <c r="W764" s="276">
        <f t="shared" si="663"/>
        <v>5.3403603222533107</v>
      </c>
      <c r="X764" s="276">
        <f t="shared" si="664"/>
        <v>2.1426009114634716</v>
      </c>
      <c r="Y764" s="686">
        <f t="shared" si="665"/>
        <v>5.4171753492220462</v>
      </c>
      <c r="Z764" s="685" t="e">
        <f t="shared" si="666"/>
        <v>#DIV/0!</v>
      </c>
      <c r="AA764" s="276" t="e">
        <f t="shared" si="667"/>
        <v>#DIV/0!</v>
      </c>
      <c r="AB764" s="276" t="e">
        <f t="shared" si="668"/>
        <v>#DIV/0!</v>
      </c>
      <c r="AC764" s="276" t="e">
        <f t="shared" si="669"/>
        <v>#DIV/0!</v>
      </c>
      <c r="AD764" s="276" t="e">
        <f t="shared" si="670"/>
        <v>#DIV/0!</v>
      </c>
      <c r="AE764" s="686" t="e">
        <f t="shared" si="671"/>
        <v>#DIV/0!</v>
      </c>
      <c r="AF764" s="239"/>
      <c r="AG764" s="965" t="e">
        <f t="shared" si="642"/>
        <v>#VALUE!</v>
      </c>
      <c r="AH764" s="878" t="e">
        <f t="shared" si="643"/>
        <v>#VALUE!</v>
      </c>
      <c r="AI764" s="878" t="e">
        <f t="shared" si="644"/>
        <v>#VALUE!</v>
      </c>
      <c r="AJ764" s="878" t="e">
        <f t="shared" si="645"/>
        <v>#VALUE!</v>
      </c>
      <c r="AK764" s="878" t="e">
        <f t="shared" si="646"/>
        <v>#VALUE!</v>
      </c>
      <c r="AL764" s="966" t="e">
        <f t="shared" si="647"/>
        <v>#VALUE!</v>
      </c>
      <c r="AM764" s="239"/>
      <c r="AO764" s="685">
        <f t="shared" si="672"/>
        <v>0.9647480953151264</v>
      </c>
      <c r="AP764" s="276">
        <f t="shared" si="673"/>
        <v>0.72891758623560743</v>
      </c>
      <c r="AQ764" s="276">
        <f t="shared" si="674"/>
        <v>-2.5808207588050491</v>
      </c>
      <c r="AR764" s="276">
        <f t="shared" si="675"/>
        <v>1.7937920447980396</v>
      </c>
      <c r="AS764" s="276">
        <f t="shared" si="676"/>
        <v>-4.6689608245856791</v>
      </c>
      <c r="AT764" s="276">
        <f t="shared" si="677"/>
        <v>-0.63180023598395141</v>
      </c>
      <c r="AU764" s="685">
        <f t="shared" si="678"/>
        <v>1.6763477699273099</v>
      </c>
      <c r="AV764" s="276">
        <f t="shared" si="679"/>
        <v>1.5521982855300653</v>
      </c>
      <c r="AW764" s="276">
        <f t="shared" si="680"/>
        <v>0.86401728837319136</v>
      </c>
      <c r="AX764" s="276">
        <f t="shared" si="681"/>
        <v>1.4428603767703343</v>
      </c>
      <c r="AY764" s="276">
        <f t="shared" si="682"/>
        <v>1.7836251739962374</v>
      </c>
      <c r="AZ764" s="686">
        <f t="shared" si="683"/>
        <v>2.0594594197019447</v>
      </c>
      <c r="BA764" s="685">
        <f t="shared" si="684"/>
        <v>0</v>
      </c>
      <c r="BB764" s="276">
        <f t="shared" si="685"/>
        <v>0</v>
      </c>
      <c r="BC764" s="276">
        <f t="shared" si="686"/>
        <v>0</v>
      </c>
      <c r="BD764" s="276">
        <f t="shared" si="687"/>
        <v>0</v>
      </c>
      <c r="BE764" s="276">
        <f t="shared" si="688"/>
        <v>0</v>
      </c>
      <c r="BF764" s="686">
        <f t="shared" si="689"/>
        <v>0</v>
      </c>
      <c r="BG764" s="685" t="e">
        <f t="shared" si="690"/>
        <v>#DIV/0!</v>
      </c>
      <c r="BH764" s="276" t="e">
        <f t="shared" si="691"/>
        <v>#DIV/0!</v>
      </c>
      <c r="BI764" s="276" t="e">
        <f t="shared" si="692"/>
        <v>#DIV/0!</v>
      </c>
      <c r="BJ764" s="276" t="e">
        <f t="shared" si="693"/>
        <v>#DIV/0!</v>
      </c>
      <c r="BK764" s="276" t="e">
        <f t="shared" si="694"/>
        <v>#DIV/0!</v>
      </c>
      <c r="BL764" s="686" t="e">
        <f t="shared" si="695"/>
        <v>#DIV/0!</v>
      </c>
      <c r="BM764" s="239"/>
      <c r="BN764" s="965" t="e">
        <f t="shared" si="696"/>
        <v>#VALUE!</v>
      </c>
      <c r="BO764" s="878" t="e">
        <f t="shared" si="697"/>
        <v>#VALUE!</v>
      </c>
      <c r="BP764" s="878" t="e">
        <f t="shared" si="698"/>
        <v>#VALUE!</v>
      </c>
      <c r="BQ764" s="878" t="e">
        <f t="shared" si="699"/>
        <v>#VALUE!</v>
      </c>
      <c r="BR764" s="878" t="e">
        <f t="shared" si="700"/>
        <v>#VALUE!</v>
      </c>
      <c r="BS764" s="966" t="e">
        <f t="shared" si="701"/>
        <v>#VALUE!</v>
      </c>
    </row>
    <row r="765" spans="1:71">
      <c r="A765" s="284">
        <f t="shared" si="702"/>
        <v>697</v>
      </c>
      <c r="B765" s="285">
        <v>1.1464361407146462</v>
      </c>
      <c r="C765" s="285">
        <v>2.8319841947997877</v>
      </c>
      <c r="D765" s="285">
        <v>0.54700132728468276</v>
      </c>
      <c r="E765" s="285">
        <v>2.045681235044738</v>
      </c>
      <c r="H765" s="685">
        <f t="shared" si="648"/>
        <v>1.3202298945591329E-2</v>
      </c>
      <c r="I765" s="276">
        <f t="shared" si="649"/>
        <v>-2.5938288632305144</v>
      </c>
      <c r="J765" s="276">
        <f t="shared" si="650"/>
        <v>-1.335630899685851</v>
      </c>
      <c r="K765" s="276">
        <f t="shared" si="651"/>
        <v>0.61773942096030643</v>
      </c>
      <c r="L765" s="276">
        <f t="shared" si="652"/>
        <v>-8.743165320819446E-2</v>
      </c>
      <c r="M765" s="276">
        <f t="shared" si="653"/>
        <v>-1.4362284623904276</v>
      </c>
      <c r="N765" s="685">
        <f t="shared" si="654"/>
        <v>1.6248129838279193</v>
      </c>
      <c r="O765" s="276">
        <f t="shared" si="655"/>
        <v>1.2615373250340067</v>
      </c>
      <c r="P765" s="276">
        <f t="shared" si="656"/>
        <v>1.3894028921216075</v>
      </c>
      <c r="Q765" s="276">
        <f t="shared" si="657"/>
        <v>1.6335042392997161</v>
      </c>
      <c r="R765" s="276">
        <f t="shared" si="658"/>
        <v>0.48767016137655816</v>
      </c>
      <c r="S765" s="686">
        <f t="shared" si="659"/>
        <v>1.061280504107476</v>
      </c>
      <c r="T765" s="685">
        <f t="shared" si="660"/>
        <v>3.8253650175556086</v>
      </c>
      <c r="U765" s="276">
        <f t="shared" si="661"/>
        <v>5.9657418432328075</v>
      </c>
      <c r="V765" s="276">
        <f t="shared" si="662"/>
        <v>3.2484755982038491</v>
      </c>
      <c r="W765" s="276">
        <f t="shared" si="663"/>
        <v>4.0902600774746318</v>
      </c>
      <c r="X765" s="276">
        <f t="shared" si="664"/>
        <v>5.8262496436566238</v>
      </c>
      <c r="Y765" s="686">
        <f t="shared" si="665"/>
        <v>3.7631110161570822</v>
      </c>
      <c r="Z765" s="685" t="e">
        <f t="shared" si="666"/>
        <v>#DIV/0!</v>
      </c>
      <c r="AA765" s="276" t="e">
        <f t="shared" si="667"/>
        <v>#DIV/0!</v>
      </c>
      <c r="AB765" s="276" t="e">
        <f t="shared" si="668"/>
        <v>#DIV/0!</v>
      </c>
      <c r="AC765" s="276" t="e">
        <f t="shared" si="669"/>
        <v>#DIV/0!</v>
      </c>
      <c r="AD765" s="276" t="e">
        <f t="shared" si="670"/>
        <v>#DIV/0!</v>
      </c>
      <c r="AE765" s="686" t="e">
        <f t="shared" si="671"/>
        <v>#DIV/0!</v>
      </c>
      <c r="AF765" s="239"/>
      <c r="AG765" s="965" t="e">
        <f t="shared" si="642"/>
        <v>#VALUE!</v>
      </c>
      <c r="AH765" s="878" t="e">
        <f t="shared" si="643"/>
        <v>#VALUE!</v>
      </c>
      <c r="AI765" s="878" t="e">
        <f t="shared" si="644"/>
        <v>#VALUE!</v>
      </c>
      <c r="AJ765" s="878" t="e">
        <f t="shared" si="645"/>
        <v>#VALUE!</v>
      </c>
      <c r="AK765" s="878" t="e">
        <f t="shared" si="646"/>
        <v>#VALUE!</v>
      </c>
      <c r="AL765" s="966" t="e">
        <f t="shared" si="647"/>
        <v>#VALUE!</v>
      </c>
      <c r="AM765" s="239"/>
      <c r="AO765" s="685">
        <f t="shared" si="672"/>
        <v>1.3202298945591329E-2</v>
      </c>
      <c r="AP765" s="276">
        <f t="shared" si="673"/>
        <v>-2.5938288632305144</v>
      </c>
      <c r="AQ765" s="276">
        <f t="shared" si="674"/>
        <v>-1.335630899685851</v>
      </c>
      <c r="AR765" s="276">
        <f t="shared" si="675"/>
        <v>0.61773942096030643</v>
      </c>
      <c r="AS765" s="276">
        <f t="shared" si="676"/>
        <v>-8.743165320819446E-2</v>
      </c>
      <c r="AT765" s="276">
        <f t="shared" si="677"/>
        <v>-1.4362284623904276</v>
      </c>
      <c r="AU765" s="685">
        <f t="shared" si="678"/>
        <v>1.6248129838279193</v>
      </c>
      <c r="AV765" s="276">
        <f t="shared" si="679"/>
        <v>1.2615373250340067</v>
      </c>
      <c r="AW765" s="276">
        <f t="shared" si="680"/>
        <v>1.3894028921216075</v>
      </c>
      <c r="AX765" s="276">
        <f t="shared" si="681"/>
        <v>1.6335042392997161</v>
      </c>
      <c r="AY765" s="276">
        <f t="shared" si="682"/>
        <v>0.48767016137655816</v>
      </c>
      <c r="AZ765" s="686">
        <f t="shared" si="683"/>
        <v>1.061280504107476</v>
      </c>
      <c r="BA765" s="685">
        <f t="shared" si="684"/>
        <v>0</v>
      </c>
      <c r="BB765" s="276">
        <f t="shared" si="685"/>
        <v>0</v>
      </c>
      <c r="BC765" s="276">
        <f t="shared" si="686"/>
        <v>0</v>
      </c>
      <c r="BD765" s="276">
        <f t="shared" si="687"/>
        <v>0</v>
      </c>
      <c r="BE765" s="276">
        <f t="shared" si="688"/>
        <v>0</v>
      </c>
      <c r="BF765" s="686">
        <f t="shared" si="689"/>
        <v>0</v>
      </c>
      <c r="BG765" s="685" t="e">
        <f t="shared" si="690"/>
        <v>#DIV/0!</v>
      </c>
      <c r="BH765" s="276" t="e">
        <f t="shared" si="691"/>
        <v>#DIV/0!</v>
      </c>
      <c r="BI765" s="276" t="e">
        <f t="shared" si="692"/>
        <v>#DIV/0!</v>
      </c>
      <c r="BJ765" s="276" t="e">
        <f t="shared" si="693"/>
        <v>#DIV/0!</v>
      </c>
      <c r="BK765" s="276" t="e">
        <f t="shared" si="694"/>
        <v>#DIV/0!</v>
      </c>
      <c r="BL765" s="686" t="e">
        <f t="shared" si="695"/>
        <v>#DIV/0!</v>
      </c>
      <c r="BM765" s="239"/>
      <c r="BN765" s="965" t="e">
        <f t="shared" si="696"/>
        <v>#VALUE!</v>
      </c>
      <c r="BO765" s="878" t="e">
        <f t="shared" si="697"/>
        <v>#VALUE!</v>
      </c>
      <c r="BP765" s="878" t="e">
        <f t="shared" si="698"/>
        <v>#VALUE!</v>
      </c>
      <c r="BQ765" s="878" t="e">
        <f t="shared" si="699"/>
        <v>#VALUE!</v>
      </c>
      <c r="BR765" s="878" t="e">
        <f t="shared" si="700"/>
        <v>#VALUE!</v>
      </c>
      <c r="BS765" s="966" t="e">
        <f t="shared" si="701"/>
        <v>#VALUE!</v>
      </c>
    </row>
    <row r="766" spans="1:71">
      <c r="A766" s="284">
        <f t="shared" si="702"/>
        <v>698</v>
      </c>
      <c r="B766" s="285">
        <v>-4.6894193693173634</v>
      </c>
      <c r="C766" s="285">
        <v>2.1133586429022175</v>
      </c>
      <c r="D766" s="285">
        <v>1.3526954215956051</v>
      </c>
      <c r="E766" s="285">
        <v>-13.589998260076285</v>
      </c>
      <c r="H766" s="685">
        <f t="shared" si="648"/>
        <v>-5.8226532110864184</v>
      </c>
      <c r="I766" s="276">
        <f t="shared" si="649"/>
        <v>-1.3435328652633676</v>
      </c>
      <c r="J766" s="276">
        <f t="shared" si="650"/>
        <v>1.9759935914338775</v>
      </c>
      <c r="K766" s="276">
        <f t="shared" si="651"/>
        <v>1.1904513719727656</v>
      </c>
      <c r="L766" s="276">
        <f t="shared" si="652"/>
        <v>-1.943585281418859</v>
      </c>
      <c r="M766" s="276">
        <f t="shared" si="653"/>
        <v>-0.34961349485630011</v>
      </c>
      <c r="N766" s="685">
        <f t="shared" si="654"/>
        <v>0.90618743193034912</v>
      </c>
      <c r="O766" s="276">
        <f t="shared" si="655"/>
        <v>1.2317652815018605</v>
      </c>
      <c r="P766" s="276">
        <f t="shared" si="656"/>
        <v>1.3264358047256064</v>
      </c>
      <c r="Q766" s="276">
        <f t="shared" si="657"/>
        <v>1.7669123850595418</v>
      </c>
      <c r="R766" s="276">
        <f t="shared" si="658"/>
        <v>0.6076436894544206</v>
      </c>
      <c r="S766" s="686">
        <f t="shared" si="659"/>
        <v>1.3405753891616572</v>
      </c>
      <c r="T766" s="685">
        <f t="shared" si="660"/>
        <v>4.6310591118665307</v>
      </c>
      <c r="U766" s="276">
        <f t="shared" si="661"/>
        <v>3.9812407156223504</v>
      </c>
      <c r="V766" s="276">
        <f t="shared" si="662"/>
        <v>4.2572079458850229</v>
      </c>
      <c r="W766" s="276">
        <f t="shared" si="663"/>
        <v>5.2558689661181841</v>
      </c>
      <c r="X766" s="276">
        <f t="shared" si="664"/>
        <v>5.7283595903568827</v>
      </c>
      <c r="Y766" s="686">
        <f t="shared" si="665"/>
        <v>5.647259024212202</v>
      </c>
      <c r="Z766" s="685" t="e">
        <f t="shared" si="666"/>
        <v>#DIV/0!</v>
      </c>
      <c r="AA766" s="276" t="e">
        <f t="shared" si="667"/>
        <v>#DIV/0!</v>
      </c>
      <c r="AB766" s="276" t="e">
        <f t="shared" si="668"/>
        <v>#DIV/0!</v>
      </c>
      <c r="AC766" s="276" t="e">
        <f t="shared" si="669"/>
        <v>#DIV/0!</v>
      </c>
      <c r="AD766" s="276" t="e">
        <f t="shared" si="670"/>
        <v>#DIV/0!</v>
      </c>
      <c r="AE766" s="686" t="e">
        <f t="shared" si="671"/>
        <v>#DIV/0!</v>
      </c>
      <c r="AF766" s="239"/>
      <c r="AG766" s="965" t="e">
        <f t="shared" si="642"/>
        <v>#VALUE!</v>
      </c>
      <c r="AH766" s="878" t="e">
        <f t="shared" si="643"/>
        <v>#VALUE!</v>
      </c>
      <c r="AI766" s="878" t="e">
        <f t="shared" si="644"/>
        <v>#VALUE!</v>
      </c>
      <c r="AJ766" s="878" t="e">
        <f t="shared" si="645"/>
        <v>#VALUE!</v>
      </c>
      <c r="AK766" s="878" t="e">
        <f t="shared" si="646"/>
        <v>#VALUE!</v>
      </c>
      <c r="AL766" s="966" t="e">
        <f t="shared" si="647"/>
        <v>#VALUE!</v>
      </c>
      <c r="AM766" s="239"/>
      <c r="AO766" s="685">
        <f t="shared" si="672"/>
        <v>-5.8226532110864184</v>
      </c>
      <c r="AP766" s="276">
        <f t="shared" si="673"/>
        <v>-1.3435328652633676</v>
      </c>
      <c r="AQ766" s="276">
        <f t="shared" si="674"/>
        <v>1.9759935914338775</v>
      </c>
      <c r="AR766" s="276">
        <f t="shared" si="675"/>
        <v>1.1904513719727656</v>
      </c>
      <c r="AS766" s="276">
        <f t="shared" si="676"/>
        <v>-1.943585281418859</v>
      </c>
      <c r="AT766" s="276">
        <f t="shared" si="677"/>
        <v>-0.34961349485630011</v>
      </c>
      <c r="AU766" s="685">
        <f t="shared" si="678"/>
        <v>0.90618743193034912</v>
      </c>
      <c r="AV766" s="276">
        <f t="shared" si="679"/>
        <v>1.2317652815018605</v>
      </c>
      <c r="AW766" s="276">
        <f t="shared" si="680"/>
        <v>1.3264358047256064</v>
      </c>
      <c r="AX766" s="276">
        <f t="shared" si="681"/>
        <v>1.7669123850595418</v>
      </c>
      <c r="AY766" s="276">
        <f t="shared" si="682"/>
        <v>0.6076436894544206</v>
      </c>
      <c r="AZ766" s="686">
        <f t="shared" si="683"/>
        <v>1.3405753891616572</v>
      </c>
      <c r="BA766" s="685">
        <f t="shared" si="684"/>
        <v>0</v>
      </c>
      <c r="BB766" s="276">
        <f t="shared" si="685"/>
        <v>0</v>
      </c>
      <c r="BC766" s="276">
        <f t="shared" si="686"/>
        <v>0</v>
      </c>
      <c r="BD766" s="276">
        <f t="shared" si="687"/>
        <v>0</v>
      </c>
      <c r="BE766" s="276">
        <f t="shared" si="688"/>
        <v>0</v>
      </c>
      <c r="BF766" s="686">
        <f t="shared" si="689"/>
        <v>0</v>
      </c>
      <c r="BG766" s="685" t="e">
        <f t="shared" si="690"/>
        <v>#DIV/0!</v>
      </c>
      <c r="BH766" s="276" t="e">
        <f t="shared" si="691"/>
        <v>#DIV/0!</v>
      </c>
      <c r="BI766" s="276" t="e">
        <f t="shared" si="692"/>
        <v>#DIV/0!</v>
      </c>
      <c r="BJ766" s="276" t="e">
        <f t="shared" si="693"/>
        <v>#DIV/0!</v>
      </c>
      <c r="BK766" s="276" t="e">
        <f t="shared" si="694"/>
        <v>#DIV/0!</v>
      </c>
      <c r="BL766" s="686" t="e">
        <f t="shared" si="695"/>
        <v>#DIV/0!</v>
      </c>
      <c r="BM766" s="239"/>
      <c r="BN766" s="965" t="e">
        <f t="shared" si="696"/>
        <v>#VALUE!</v>
      </c>
      <c r="BO766" s="878" t="e">
        <f t="shared" si="697"/>
        <v>#VALUE!</v>
      </c>
      <c r="BP766" s="878" t="e">
        <f t="shared" si="698"/>
        <v>#VALUE!</v>
      </c>
      <c r="BQ766" s="878" t="e">
        <f t="shared" si="699"/>
        <v>#VALUE!</v>
      </c>
      <c r="BR766" s="878" t="e">
        <f t="shared" si="700"/>
        <v>#VALUE!</v>
      </c>
      <c r="BS766" s="966" t="e">
        <f t="shared" si="701"/>
        <v>#VALUE!</v>
      </c>
    </row>
    <row r="767" spans="1:71">
      <c r="A767" s="284">
        <f t="shared" si="702"/>
        <v>699</v>
      </c>
      <c r="B767" s="285">
        <v>-5.4656885917345273</v>
      </c>
      <c r="C767" s="285">
        <v>1.8870134153374645</v>
      </c>
      <c r="D767" s="285">
        <v>-0.17009205677204964</v>
      </c>
      <c r="E767" s="285">
        <v>-15.074013450941962</v>
      </c>
      <c r="H767" s="685">
        <f t="shared" si="648"/>
        <v>-6.5989224335035823</v>
      </c>
      <c r="I767" s="276">
        <f t="shared" si="649"/>
        <v>-4.2079573426447858</v>
      </c>
      <c r="J767" s="276">
        <f t="shared" si="650"/>
        <v>2.4188731059157265</v>
      </c>
      <c r="K767" s="276">
        <f t="shared" si="651"/>
        <v>-0.1548780931356295</v>
      </c>
      <c r="L767" s="276">
        <f t="shared" si="652"/>
        <v>-1.0565302439272548</v>
      </c>
      <c r="M767" s="276">
        <f t="shared" si="653"/>
        <v>-2.3781542240278628</v>
      </c>
      <c r="N767" s="685">
        <f t="shared" si="654"/>
        <v>0.67984220436559606</v>
      </c>
      <c r="O767" s="276">
        <f t="shared" si="655"/>
        <v>1.1971110548756705</v>
      </c>
      <c r="P767" s="276">
        <f t="shared" si="656"/>
        <v>2.5982424387727114</v>
      </c>
      <c r="Q767" s="276">
        <f t="shared" si="657"/>
        <v>1.5928698802195143</v>
      </c>
      <c r="R767" s="276">
        <f t="shared" si="658"/>
        <v>0.50890875762022003</v>
      </c>
      <c r="S767" s="686">
        <f t="shared" si="659"/>
        <v>1.2771869251946819</v>
      </c>
      <c r="T767" s="685">
        <f t="shared" si="660"/>
        <v>3.1082716334988763</v>
      </c>
      <c r="U767" s="276">
        <f t="shared" si="661"/>
        <v>4.5559503910511001</v>
      </c>
      <c r="V767" s="276">
        <f t="shared" si="662"/>
        <v>5.2561918779709433</v>
      </c>
      <c r="W767" s="276">
        <f t="shared" si="663"/>
        <v>6.2636659053771915</v>
      </c>
      <c r="X767" s="276">
        <f t="shared" si="664"/>
        <v>3.5945615419563839</v>
      </c>
      <c r="Y767" s="686">
        <f t="shared" si="665"/>
        <v>2.0885664558703976</v>
      </c>
      <c r="Z767" s="685" t="e">
        <f t="shared" si="666"/>
        <v>#DIV/0!</v>
      </c>
      <c r="AA767" s="276" t="e">
        <f t="shared" si="667"/>
        <v>#DIV/0!</v>
      </c>
      <c r="AB767" s="276" t="e">
        <f t="shared" si="668"/>
        <v>#DIV/0!</v>
      </c>
      <c r="AC767" s="276" t="e">
        <f t="shared" si="669"/>
        <v>#DIV/0!</v>
      </c>
      <c r="AD767" s="276" t="e">
        <f t="shared" si="670"/>
        <v>#DIV/0!</v>
      </c>
      <c r="AE767" s="686" t="e">
        <f t="shared" si="671"/>
        <v>#DIV/0!</v>
      </c>
      <c r="AF767" s="239"/>
      <c r="AG767" s="965" t="e">
        <f t="shared" si="642"/>
        <v>#VALUE!</v>
      </c>
      <c r="AH767" s="878" t="e">
        <f t="shared" si="643"/>
        <v>#VALUE!</v>
      </c>
      <c r="AI767" s="878" t="e">
        <f t="shared" si="644"/>
        <v>#VALUE!</v>
      </c>
      <c r="AJ767" s="878" t="e">
        <f t="shared" si="645"/>
        <v>#VALUE!</v>
      </c>
      <c r="AK767" s="878" t="e">
        <f t="shared" si="646"/>
        <v>#VALUE!</v>
      </c>
      <c r="AL767" s="966" t="e">
        <f t="shared" si="647"/>
        <v>#VALUE!</v>
      </c>
      <c r="AM767" s="239"/>
      <c r="AO767" s="685">
        <f t="shared" si="672"/>
        <v>-6.5989224335035823</v>
      </c>
      <c r="AP767" s="276">
        <f t="shared" si="673"/>
        <v>-4.2079573426447858</v>
      </c>
      <c r="AQ767" s="276">
        <f t="shared" si="674"/>
        <v>2.4188731059157265</v>
      </c>
      <c r="AR767" s="276">
        <f t="shared" si="675"/>
        <v>-0.1548780931356295</v>
      </c>
      <c r="AS767" s="276">
        <f t="shared" si="676"/>
        <v>-1.0565302439272548</v>
      </c>
      <c r="AT767" s="276">
        <f t="shared" si="677"/>
        <v>-2.3781542240278628</v>
      </c>
      <c r="AU767" s="685">
        <f t="shared" si="678"/>
        <v>0.67984220436559606</v>
      </c>
      <c r="AV767" s="276">
        <f t="shared" si="679"/>
        <v>1.1971110548756705</v>
      </c>
      <c r="AW767" s="276">
        <f t="shared" si="680"/>
        <v>2.5982424387727114</v>
      </c>
      <c r="AX767" s="276">
        <f t="shared" si="681"/>
        <v>1.5928698802195143</v>
      </c>
      <c r="AY767" s="276">
        <f t="shared" si="682"/>
        <v>0.50890875762022003</v>
      </c>
      <c r="AZ767" s="686">
        <f t="shared" si="683"/>
        <v>1.2771869251946819</v>
      </c>
      <c r="BA767" s="685">
        <f t="shared" si="684"/>
        <v>0</v>
      </c>
      <c r="BB767" s="276">
        <f t="shared" si="685"/>
        <v>0</v>
      </c>
      <c r="BC767" s="276">
        <f t="shared" si="686"/>
        <v>0</v>
      </c>
      <c r="BD767" s="276">
        <f t="shared" si="687"/>
        <v>0</v>
      </c>
      <c r="BE767" s="276">
        <f t="shared" si="688"/>
        <v>0</v>
      </c>
      <c r="BF767" s="686">
        <f t="shared" si="689"/>
        <v>0</v>
      </c>
      <c r="BG767" s="685" t="e">
        <f t="shared" si="690"/>
        <v>#DIV/0!</v>
      </c>
      <c r="BH767" s="276" t="e">
        <f t="shared" si="691"/>
        <v>#DIV/0!</v>
      </c>
      <c r="BI767" s="276" t="e">
        <f t="shared" si="692"/>
        <v>#DIV/0!</v>
      </c>
      <c r="BJ767" s="276" t="e">
        <f t="shared" si="693"/>
        <v>#DIV/0!</v>
      </c>
      <c r="BK767" s="276" t="e">
        <f t="shared" si="694"/>
        <v>#DIV/0!</v>
      </c>
      <c r="BL767" s="686" t="e">
        <f t="shared" si="695"/>
        <v>#DIV/0!</v>
      </c>
      <c r="BM767" s="239"/>
      <c r="BN767" s="965" t="e">
        <f t="shared" si="696"/>
        <v>#VALUE!</v>
      </c>
      <c r="BO767" s="878" t="e">
        <f t="shared" si="697"/>
        <v>#VALUE!</v>
      </c>
      <c r="BP767" s="878" t="e">
        <f t="shared" si="698"/>
        <v>#VALUE!</v>
      </c>
      <c r="BQ767" s="878" t="e">
        <f t="shared" si="699"/>
        <v>#VALUE!</v>
      </c>
      <c r="BR767" s="878" t="e">
        <f t="shared" si="700"/>
        <v>#VALUE!</v>
      </c>
      <c r="BS767" s="966" t="e">
        <f t="shared" si="701"/>
        <v>#VALUE!</v>
      </c>
    </row>
    <row r="768" spans="1:71">
      <c r="A768" s="284">
        <f t="shared" si="702"/>
        <v>700</v>
      </c>
      <c r="B768" s="285">
        <v>-0.78755846466510071</v>
      </c>
      <c r="C768" s="285">
        <v>2.4815601422851605</v>
      </c>
      <c r="D768" s="285">
        <v>1.9589878176992921</v>
      </c>
      <c r="E768" s="285">
        <v>-4.5879713112411862</v>
      </c>
      <c r="H768" s="685">
        <f t="shared" si="648"/>
        <v>-1.9207923064341554</v>
      </c>
      <c r="I768" s="276">
        <f t="shared" si="649"/>
        <v>0.76232694769479781</v>
      </c>
      <c r="J768" s="276">
        <f t="shared" si="650"/>
        <v>-5.6341354158679318</v>
      </c>
      <c r="K768" s="276">
        <f t="shared" si="651"/>
        <v>-2.3516954617155044</v>
      </c>
      <c r="L768" s="276">
        <f t="shared" si="652"/>
        <v>-3.9653633033444411</v>
      </c>
      <c r="M768" s="276">
        <f t="shared" si="653"/>
        <v>-1.3902823566201359</v>
      </c>
      <c r="N768" s="685">
        <f t="shared" si="654"/>
        <v>1.2743889313132921</v>
      </c>
      <c r="O768" s="276">
        <f t="shared" si="655"/>
        <v>2.4497184486198043</v>
      </c>
      <c r="P768" s="276">
        <f t="shared" si="656"/>
        <v>0.73996153840167289</v>
      </c>
      <c r="Q768" s="276">
        <f t="shared" si="657"/>
        <v>0.77897462897871916</v>
      </c>
      <c r="R768" s="276">
        <f t="shared" si="658"/>
        <v>1.7878507636265903</v>
      </c>
      <c r="S768" s="686">
        <f t="shared" si="659"/>
        <v>2.124890626100564</v>
      </c>
      <c r="T768" s="685">
        <f t="shared" si="660"/>
        <v>5.2373515079702182</v>
      </c>
      <c r="U768" s="276">
        <f t="shared" si="661"/>
        <v>3.394691496154457</v>
      </c>
      <c r="V768" s="276">
        <f t="shared" si="662"/>
        <v>3.9210893812706602</v>
      </c>
      <c r="W768" s="276">
        <f t="shared" si="663"/>
        <v>4.7663764775474995</v>
      </c>
      <c r="X768" s="276">
        <f t="shared" si="664"/>
        <v>3.3326244622819097</v>
      </c>
      <c r="Y768" s="686">
        <f t="shared" si="665"/>
        <v>4.8828972522135725</v>
      </c>
      <c r="Z768" s="685" t="e">
        <f t="shared" si="666"/>
        <v>#DIV/0!</v>
      </c>
      <c r="AA768" s="276" t="e">
        <f t="shared" si="667"/>
        <v>#DIV/0!</v>
      </c>
      <c r="AB768" s="276" t="e">
        <f t="shared" si="668"/>
        <v>#DIV/0!</v>
      </c>
      <c r="AC768" s="276" t="e">
        <f t="shared" si="669"/>
        <v>#DIV/0!</v>
      </c>
      <c r="AD768" s="276" t="e">
        <f t="shared" si="670"/>
        <v>#DIV/0!</v>
      </c>
      <c r="AE768" s="686" t="e">
        <f t="shared" si="671"/>
        <v>#DIV/0!</v>
      </c>
      <c r="AF768" s="239"/>
      <c r="AG768" s="965" t="e">
        <f t="shared" si="642"/>
        <v>#VALUE!</v>
      </c>
      <c r="AH768" s="878" t="e">
        <f t="shared" si="643"/>
        <v>#VALUE!</v>
      </c>
      <c r="AI768" s="878" t="e">
        <f t="shared" si="644"/>
        <v>#VALUE!</v>
      </c>
      <c r="AJ768" s="878" t="e">
        <f t="shared" si="645"/>
        <v>#VALUE!</v>
      </c>
      <c r="AK768" s="878" t="e">
        <f t="shared" si="646"/>
        <v>#VALUE!</v>
      </c>
      <c r="AL768" s="966" t="e">
        <f t="shared" si="647"/>
        <v>#VALUE!</v>
      </c>
      <c r="AM768" s="239"/>
      <c r="AO768" s="685">
        <f t="shared" si="672"/>
        <v>-1.9207923064341554</v>
      </c>
      <c r="AP768" s="276">
        <f t="shared" si="673"/>
        <v>0.76232694769479781</v>
      </c>
      <c r="AQ768" s="276">
        <f t="shared" si="674"/>
        <v>-5.6341354158679318</v>
      </c>
      <c r="AR768" s="276">
        <f t="shared" si="675"/>
        <v>-2.3516954617155044</v>
      </c>
      <c r="AS768" s="276">
        <f t="shared" si="676"/>
        <v>-3.9653633033444411</v>
      </c>
      <c r="AT768" s="276">
        <f t="shared" si="677"/>
        <v>-1.3902823566201359</v>
      </c>
      <c r="AU768" s="685">
        <f t="shared" si="678"/>
        <v>1.2743889313132921</v>
      </c>
      <c r="AV768" s="276">
        <f t="shared" si="679"/>
        <v>2.4497184486198043</v>
      </c>
      <c r="AW768" s="276">
        <f t="shared" si="680"/>
        <v>0.73996153840167289</v>
      </c>
      <c r="AX768" s="276">
        <f t="shared" si="681"/>
        <v>0.77897462897871916</v>
      </c>
      <c r="AY768" s="276">
        <f t="shared" si="682"/>
        <v>1.7878507636265903</v>
      </c>
      <c r="AZ768" s="686">
        <f t="shared" si="683"/>
        <v>2.124890626100564</v>
      </c>
      <c r="BA768" s="685">
        <f t="shared" si="684"/>
        <v>0</v>
      </c>
      <c r="BB768" s="276">
        <f t="shared" si="685"/>
        <v>0</v>
      </c>
      <c r="BC768" s="276">
        <f t="shared" si="686"/>
        <v>0</v>
      </c>
      <c r="BD768" s="276">
        <f t="shared" si="687"/>
        <v>0</v>
      </c>
      <c r="BE768" s="276">
        <f t="shared" si="688"/>
        <v>0</v>
      </c>
      <c r="BF768" s="686">
        <f t="shared" si="689"/>
        <v>0</v>
      </c>
      <c r="BG768" s="685" t="e">
        <f t="shared" si="690"/>
        <v>#DIV/0!</v>
      </c>
      <c r="BH768" s="276" t="e">
        <f t="shared" si="691"/>
        <v>#DIV/0!</v>
      </c>
      <c r="BI768" s="276" t="e">
        <f t="shared" si="692"/>
        <v>#DIV/0!</v>
      </c>
      <c r="BJ768" s="276" t="e">
        <f t="shared" si="693"/>
        <v>#DIV/0!</v>
      </c>
      <c r="BK768" s="276" t="e">
        <f t="shared" si="694"/>
        <v>#DIV/0!</v>
      </c>
      <c r="BL768" s="686" t="e">
        <f t="shared" si="695"/>
        <v>#DIV/0!</v>
      </c>
      <c r="BM768" s="239"/>
      <c r="BN768" s="965" t="e">
        <f t="shared" si="696"/>
        <v>#VALUE!</v>
      </c>
      <c r="BO768" s="878" t="e">
        <f t="shared" si="697"/>
        <v>#VALUE!</v>
      </c>
      <c r="BP768" s="878" t="e">
        <f t="shared" si="698"/>
        <v>#VALUE!</v>
      </c>
      <c r="BQ768" s="878" t="e">
        <f t="shared" si="699"/>
        <v>#VALUE!</v>
      </c>
      <c r="BR768" s="878" t="e">
        <f t="shared" si="700"/>
        <v>#VALUE!</v>
      </c>
      <c r="BS768" s="966" t="e">
        <f t="shared" si="701"/>
        <v>#VALUE!</v>
      </c>
    </row>
    <row r="769" spans="1:71">
      <c r="A769" s="284">
        <f t="shared" si="702"/>
        <v>701</v>
      </c>
      <c r="B769" s="285">
        <v>-7.4219521366525237E-2</v>
      </c>
      <c r="C769" s="285">
        <v>2.4688902597569076</v>
      </c>
      <c r="D769" s="285">
        <v>2.3034730509323431</v>
      </c>
      <c r="E769" s="285">
        <v>-1.8548955035438612</v>
      </c>
      <c r="H769" s="685">
        <f t="shared" si="648"/>
        <v>-1.2074533631355802</v>
      </c>
      <c r="I769" s="276">
        <f t="shared" si="649"/>
        <v>-2.1108872094745594</v>
      </c>
      <c r="J769" s="276">
        <f t="shared" si="650"/>
        <v>-2.7442777733031503</v>
      </c>
      <c r="K769" s="276">
        <f t="shared" si="651"/>
        <v>0.30867807558706062</v>
      </c>
      <c r="L769" s="276">
        <f t="shared" si="652"/>
        <v>0.39070978597646877</v>
      </c>
      <c r="M769" s="276">
        <f t="shared" si="653"/>
        <v>-2.7845380005475255</v>
      </c>
      <c r="N769" s="685">
        <f t="shared" si="654"/>
        <v>1.2617190487850392</v>
      </c>
      <c r="O769" s="276">
        <f t="shared" si="655"/>
        <v>1.2885062765580788</v>
      </c>
      <c r="P769" s="276">
        <f t="shared" si="656"/>
        <v>1.8025438781677703</v>
      </c>
      <c r="Q769" s="276">
        <f t="shared" si="657"/>
        <v>0.99972944811588715</v>
      </c>
      <c r="R769" s="276">
        <f t="shared" si="658"/>
        <v>1.6292568165185812</v>
      </c>
      <c r="S769" s="686">
        <f t="shared" si="659"/>
        <v>1.4986433684072853</v>
      </c>
      <c r="T769" s="685">
        <f t="shared" si="660"/>
        <v>5.5818367412032686</v>
      </c>
      <c r="U769" s="276">
        <f t="shared" si="661"/>
        <v>3.6640297491707647</v>
      </c>
      <c r="V769" s="276">
        <f t="shared" si="662"/>
        <v>4.2004162698470422</v>
      </c>
      <c r="W769" s="276">
        <f t="shared" si="663"/>
        <v>5.5032394250664938</v>
      </c>
      <c r="X769" s="276">
        <f t="shared" si="664"/>
        <v>3.538521470183686</v>
      </c>
      <c r="Y769" s="686">
        <f t="shared" si="665"/>
        <v>3.7234910597852355</v>
      </c>
      <c r="Z769" s="685" t="e">
        <f t="shared" si="666"/>
        <v>#DIV/0!</v>
      </c>
      <c r="AA769" s="276" t="e">
        <f t="shared" si="667"/>
        <v>#DIV/0!</v>
      </c>
      <c r="AB769" s="276" t="e">
        <f t="shared" si="668"/>
        <v>#DIV/0!</v>
      </c>
      <c r="AC769" s="276" t="e">
        <f t="shared" si="669"/>
        <v>#DIV/0!</v>
      </c>
      <c r="AD769" s="276" t="e">
        <f t="shared" si="670"/>
        <v>#DIV/0!</v>
      </c>
      <c r="AE769" s="686" t="e">
        <f t="shared" si="671"/>
        <v>#DIV/0!</v>
      </c>
      <c r="AF769" s="239"/>
      <c r="AG769" s="965" t="e">
        <f t="shared" si="642"/>
        <v>#VALUE!</v>
      </c>
      <c r="AH769" s="878" t="e">
        <f t="shared" si="643"/>
        <v>#VALUE!</v>
      </c>
      <c r="AI769" s="878" t="e">
        <f t="shared" si="644"/>
        <v>#VALUE!</v>
      </c>
      <c r="AJ769" s="878" t="e">
        <f t="shared" si="645"/>
        <v>#VALUE!</v>
      </c>
      <c r="AK769" s="878" t="e">
        <f t="shared" si="646"/>
        <v>#VALUE!</v>
      </c>
      <c r="AL769" s="966" t="e">
        <f t="shared" si="647"/>
        <v>#VALUE!</v>
      </c>
      <c r="AM769" s="239"/>
      <c r="AO769" s="685">
        <f t="shared" si="672"/>
        <v>-1.2074533631355802</v>
      </c>
      <c r="AP769" s="276">
        <f t="shared" si="673"/>
        <v>-2.1108872094745594</v>
      </c>
      <c r="AQ769" s="276">
        <f t="shared" si="674"/>
        <v>-2.7442777733031503</v>
      </c>
      <c r="AR769" s="276">
        <f t="shared" si="675"/>
        <v>0.30867807558706062</v>
      </c>
      <c r="AS769" s="276">
        <f t="shared" si="676"/>
        <v>0.39070978597646877</v>
      </c>
      <c r="AT769" s="276">
        <f t="shared" si="677"/>
        <v>-2.7845380005475255</v>
      </c>
      <c r="AU769" s="685">
        <f t="shared" si="678"/>
        <v>1.2617190487850392</v>
      </c>
      <c r="AV769" s="276">
        <f t="shared" si="679"/>
        <v>1.2885062765580788</v>
      </c>
      <c r="AW769" s="276">
        <f t="shared" si="680"/>
        <v>1.8025438781677703</v>
      </c>
      <c r="AX769" s="276">
        <f t="shared" si="681"/>
        <v>0.99972944811588715</v>
      </c>
      <c r="AY769" s="276">
        <f t="shared" si="682"/>
        <v>1.6292568165185812</v>
      </c>
      <c r="AZ769" s="686">
        <f t="shared" si="683"/>
        <v>1.4986433684072853</v>
      </c>
      <c r="BA769" s="685">
        <f t="shared" si="684"/>
        <v>0</v>
      </c>
      <c r="BB769" s="276">
        <f t="shared" si="685"/>
        <v>0</v>
      </c>
      <c r="BC769" s="276">
        <f t="shared" si="686"/>
        <v>0</v>
      </c>
      <c r="BD769" s="276">
        <f t="shared" si="687"/>
        <v>0</v>
      </c>
      <c r="BE769" s="276">
        <f t="shared" si="688"/>
        <v>0</v>
      </c>
      <c r="BF769" s="686">
        <f t="shared" si="689"/>
        <v>0</v>
      </c>
      <c r="BG769" s="685" t="e">
        <f t="shared" si="690"/>
        <v>#DIV/0!</v>
      </c>
      <c r="BH769" s="276" t="e">
        <f t="shared" si="691"/>
        <v>#DIV/0!</v>
      </c>
      <c r="BI769" s="276" t="e">
        <f t="shared" si="692"/>
        <v>#DIV/0!</v>
      </c>
      <c r="BJ769" s="276" t="e">
        <f t="shared" si="693"/>
        <v>#DIV/0!</v>
      </c>
      <c r="BK769" s="276" t="e">
        <f t="shared" si="694"/>
        <v>#DIV/0!</v>
      </c>
      <c r="BL769" s="686" t="e">
        <f t="shared" si="695"/>
        <v>#DIV/0!</v>
      </c>
      <c r="BM769" s="239"/>
      <c r="BN769" s="965" t="e">
        <f t="shared" si="696"/>
        <v>#VALUE!</v>
      </c>
      <c r="BO769" s="878" t="e">
        <f t="shared" si="697"/>
        <v>#VALUE!</v>
      </c>
      <c r="BP769" s="878" t="e">
        <f t="shared" si="698"/>
        <v>#VALUE!</v>
      </c>
      <c r="BQ769" s="878" t="e">
        <f t="shared" si="699"/>
        <v>#VALUE!</v>
      </c>
      <c r="BR769" s="878" t="e">
        <f t="shared" si="700"/>
        <v>#VALUE!</v>
      </c>
      <c r="BS769" s="966" t="e">
        <f t="shared" si="701"/>
        <v>#VALUE!</v>
      </c>
    </row>
    <row r="770" spans="1:71">
      <c r="A770" s="284">
        <f t="shared" si="702"/>
        <v>702</v>
      </c>
      <c r="B770" s="285">
        <v>1.0027751162560909</v>
      </c>
      <c r="C770" s="285">
        <v>2.6252191716971791</v>
      </c>
      <c r="D770" s="285">
        <v>3.6521828385033439</v>
      </c>
      <c r="E770" s="285">
        <v>3.0042818297889933</v>
      </c>
      <c r="H770" s="685">
        <f t="shared" si="648"/>
        <v>-0.13045872551296389</v>
      </c>
      <c r="I770" s="276">
        <f t="shared" si="649"/>
        <v>2.6512219516812756</v>
      </c>
      <c r="J770" s="276">
        <f t="shared" si="650"/>
        <v>-1.3601154177493899</v>
      </c>
      <c r="K770" s="276">
        <f t="shared" si="651"/>
        <v>-5.1934341348423327</v>
      </c>
      <c r="L770" s="276">
        <f t="shared" si="652"/>
        <v>5.1341005364599734E-2</v>
      </c>
      <c r="M770" s="276">
        <f t="shared" si="653"/>
        <v>0.56958523765076441</v>
      </c>
      <c r="N770" s="685">
        <f t="shared" si="654"/>
        <v>1.4180479607253107</v>
      </c>
      <c r="O770" s="276">
        <f t="shared" si="655"/>
        <v>1.8040323683691784</v>
      </c>
      <c r="P770" s="276">
        <f t="shared" si="656"/>
        <v>0.81840942776241543</v>
      </c>
      <c r="Q770" s="276">
        <f t="shared" si="657"/>
        <v>1.0992389685562249</v>
      </c>
      <c r="R770" s="276">
        <f t="shared" si="658"/>
        <v>1.7832656803915612</v>
      </c>
      <c r="S770" s="686">
        <f t="shared" si="659"/>
        <v>1.5971717337802247</v>
      </c>
      <c r="T770" s="685">
        <f t="shared" si="660"/>
        <v>6.9305465287742702</v>
      </c>
      <c r="U770" s="276">
        <f t="shared" si="661"/>
        <v>3.7811400154190746</v>
      </c>
      <c r="V770" s="276">
        <f t="shared" si="662"/>
        <v>5.4323587338116752</v>
      </c>
      <c r="W770" s="276">
        <f t="shared" si="663"/>
        <v>5.7767782771112461</v>
      </c>
      <c r="X770" s="276">
        <f t="shared" si="664"/>
        <v>6.4090378760331568</v>
      </c>
      <c r="Y770" s="686">
        <f t="shared" si="665"/>
        <v>4.429688045416925</v>
      </c>
      <c r="Z770" s="685" t="e">
        <f t="shared" si="666"/>
        <v>#DIV/0!</v>
      </c>
      <c r="AA770" s="276" t="e">
        <f t="shared" si="667"/>
        <v>#DIV/0!</v>
      </c>
      <c r="AB770" s="276" t="e">
        <f t="shared" si="668"/>
        <v>#DIV/0!</v>
      </c>
      <c r="AC770" s="276" t="e">
        <f t="shared" si="669"/>
        <v>#DIV/0!</v>
      </c>
      <c r="AD770" s="276" t="e">
        <f t="shared" si="670"/>
        <v>#DIV/0!</v>
      </c>
      <c r="AE770" s="686" t="e">
        <f t="shared" si="671"/>
        <v>#DIV/0!</v>
      </c>
      <c r="AF770" s="239"/>
      <c r="AG770" s="965" t="e">
        <f t="shared" si="642"/>
        <v>#VALUE!</v>
      </c>
      <c r="AH770" s="878" t="e">
        <f t="shared" si="643"/>
        <v>#VALUE!</v>
      </c>
      <c r="AI770" s="878" t="e">
        <f t="shared" si="644"/>
        <v>#VALUE!</v>
      </c>
      <c r="AJ770" s="878" t="e">
        <f t="shared" si="645"/>
        <v>#VALUE!</v>
      </c>
      <c r="AK770" s="878" t="e">
        <f t="shared" si="646"/>
        <v>#VALUE!</v>
      </c>
      <c r="AL770" s="966" t="e">
        <f t="shared" si="647"/>
        <v>#VALUE!</v>
      </c>
      <c r="AM770" s="239"/>
      <c r="AO770" s="685">
        <f t="shared" si="672"/>
        <v>-0.13045872551296389</v>
      </c>
      <c r="AP770" s="276">
        <f t="shared" si="673"/>
        <v>2.6512219516812756</v>
      </c>
      <c r="AQ770" s="276">
        <f t="shared" si="674"/>
        <v>-1.3601154177493899</v>
      </c>
      <c r="AR770" s="276">
        <f t="shared" si="675"/>
        <v>-5.1934341348423327</v>
      </c>
      <c r="AS770" s="276">
        <f t="shared" si="676"/>
        <v>5.1341005364599734E-2</v>
      </c>
      <c r="AT770" s="276">
        <f t="shared" si="677"/>
        <v>0.56958523765076441</v>
      </c>
      <c r="AU770" s="685">
        <f t="shared" si="678"/>
        <v>1.4180479607253107</v>
      </c>
      <c r="AV770" s="276">
        <f t="shared" si="679"/>
        <v>1.8040323683691784</v>
      </c>
      <c r="AW770" s="276">
        <f t="shared" si="680"/>
        <v>0.81840942776241543</v>
      </c>
      <c r="AX770" s="276">
        <f t="shared" si="681"/>
        <v>1.0992389685562249</v>
      </c>
      <c r="AY770" s="276">
        <f t="shared" si="682"/>
        <v>1.7832656803915612</v>
      </c>
      <c r="AZ770" s="686">
        <f t="shared" si="683"/>
        <v>1.5971717337802247</v>
      </c>
      <c r="BA770" s="685">
        <f t="shared" si="684"/>
        <v>0</v>
      </c>
      <c r="BB770" s="276">
        <f t="shared" si="685"/>
        <v>0</v>
      </c>
      <c r="BC770" s="276">
        <f t="shared" si="686"/>
        <v>0</v>
      </c>
      <c r="BD770" s="276">
        <f t="shared" si="687"/>
        <v>0</v>
      </c>
      <c r="BE770" s="276">
        <f t="shared" si="688"/>
        <v>0</v>
      </c>
      <c r="BF770" s="686">
        <f t="shared" si="689"/>
        <v>0</v>
      </c>
      <c r="BG770" s="685" t="e">
        <f t="shared" si="690"/>
        <v>#DIV/0!</v>
      </c>
      <c r="BH770" s="276" t="e">
        <f t="shared" si="691"/>
        <v>#DIV/0!</v>
      </c>
      <c r="BI770" s="276" t="e">
        <f t="shared" si="692"/>
        <v>#DIV/0!</v>
      </c>
      <c r="BJ770" s="276" t="e">
        <f t="shared" si="693"/>
        <v>#DIV/0!</v>
      </c>
      <c r="BK770" s="276" t="e">
        <f t="shared" si="694"/>
        <v>#DIV/0!</v>
      </c>
      <c r="BL770" s="686" t="e">
        <f t="shared" si="695"/>
        <v>#DIV/0!</v>
      </c>
      <c r="BM770" s="239"/>
      <c r="BN770" s="965" t="e">
        <f t="shared" si="696"/>
        <v>#VALUE!</v>
      </c>
      <c r="BO770" s="878" t="e">
        <f t="shared" si="697"/>
        <v>#VALUE!</v>
      </c>
      <c r="BP770" s="878" t="e">
        <f t="shared" si="698"/>
        <v>#VALUE!</v>
      </c>
      <c r="BQ770" s="878" t="e">
        <f t="shared" si="699"/>
        <v>#VALUE!</v>
      </c>
      <c r="BR770" s="878" t="e">
        <f t="shared" si="700"/>
        <v>#VALUE!</v>
      </c>
      <c r="BS770" s="966" t="e">
        <f t="shared" si="701"/>
        <v>#VALUE!</v>
      </c>
    </row>
    <row r="771" spans="1:71">
      <c r="A771" s="284">
        <f t="shared" si="702"/>
        <v>703</v>
      </c>
      <c r="B771" s="285">
        <v>-1.7008796191480702</v>
      </c>
      <c r="C771" s="285">
        <v>1.7988501820861278</v>
      </c>
      <c r="D771" s="285">
        <v>0.87256998341296366</v>
      </c>
      <c r="E771" s="285">
        <v>-15.913503117541227</v>
      </c>
      <c r="H771" s="685">
        <f t="shared" si="648"/>
        <v>-2.8341134609171252</v>
      </c>
      <c r="I771" s="276">
        <f t="shared" si="649"/>
        <v>-0.38962543174026532</v>
      </c>
      <c r="J771" s="276">
        <f t="shared" si="650"/>
        <v>-1.5519685543804931</v>
      </c>
      <c r="K771" s="276">
        <f t="shared" si="651"/>
        <v>-2.3169718186104555</v>
      </c>
      <c r="L771" s="276">
        <f t="shared" si="652"/>
        <v>-1.4501405868277735</v>
      </c>
      <c r="M771" s="276">
        <f t="shared" si="653"/>
        <v>-1.7841936965563803</v>
      </c>
      <c r="N771" s="685">
        <f t="shared" si="654"/>
        <v>0.59167897111425938</v>
      </c>
      <c r="O771" s="276">
        <f t="shared" si="655"/>
        <v>1.4634731458767563</v>
      </c>
      <c r="P771" s="276">
        <f t="shared" si="656"/>
        <v>0.82383287527479188</v>
      </c>
      <c r="Q771" s="276">
        <f t="shared" si="657"/>
        <v>1.2848503467074874</v>
      </c>
      <c r="R771" s="276">
        <f t="shared" si="658"/>
        <v>1.1002788937074925</v>
      </c>
      <c r="S771" s="686">
        <f t="shared" si="659"/>
        <v>1.5771510962640136</v>
      </c>
      <c r="T771" s="685">
        <f t="shared" si="660"/>
        <v>4.1509336736838893</v>
      </c>
      <c r="U771" s="276">
        <f t="shared" si="661"/>
        <v>2.5398739282639635</v>
      </c>
      <c r="V771" s="276">
        <f t="shared" si="662"/>
        <v>3.9341095904137049</v>
      </c>
      <c r="W771" s="276">
        <f t="shared" si="663"/>
        <v>5.0866572715534639</v>
      </c>
      <c r="X771" s="276">
        <f t="shared" si="664"/>
        <v>4.3772574075087078</v>
      </c>
      <c r="Y771" s="686">
        <f t="shared" si="665"/>
        <v>1.3199115642498835</v>
      </c>
      <c r="Z771" s="685" t="e">
        <f t="shared" si="666"/>
        <v>#DIV/0!</v>
      </c>
      <c r="AA771" s="276" t="e">
        <f t="shared" si="667"/>
        <v>#DIV/0!</v>
      </c>
      <c r="AB771" s="276" t="e">
        <f t="shared" si="668"/>
        <v>#DIV/0!</v>
      </c>
      <c r="AC771" s="276" t="e">
        <f t="shared" si="669"/>
        <v>#DIV/0!</v>
      </c>
      <c r="AD771" s="276" t="e">
        <f t="shared" si="670"/>
        <v>#DIV/0!</v>
      </c>
      <c r="AE771" s="686" t="e">
        <f t="shared" si="671"/>
        <v>#DIV/0!</v>
      </c>
      <c r="AF771" s="239"/>
      <c r="AG771" s="965" t="e">
        <f t="shared" si="642"/>
        <v>#VALUE!</v>
      </c>
      <c r="AH771" s="878" t="e">
        <f t="shared" si="643"/>
        <v>#VALUE!</v>
      </c>
      <c r="AI771" s="878" t="e">
        <f t="shared" si="644"/>
        <v>#VALUE!</v>
      </c>
      <c r="AJ771" s="878" t="e">
        <f t="shared" si="645"/>
        <v>#VALUE!</v>
      </c>
      <c r="AK771" s="878" t="e">
        <f t="shared" si="646"/>
        <v>#VALUE!</v>
      </c>
      <c r="AL771" s="966" t="e">
        <f t="shared" si="647"/>
        <v>#VALUE!</v>
      </c>
      <c r="AM771" s="239"/>
      <c r="AO771" s="685">
        <f t="shared" si="672"/>
        <v>-2.8341134609171252</v>
      </c>
      <c r="AP771" s="276">
        <f t="shared" si="673"/>
        <v>-0.38962543174026532</v>
      </c>
      <c r="AQ771" s="276">
        <f t="shared" si="674"/>
        <v>-1.5519685543804931</v>
      </c>
      <c r="AR771" s="276">
        <f t="shared" si="675"/>
        <v>-2.3169718186104555</v>
      </c>
      <c r="AS771" s="276">
        <f t="shared" si="676"/>
        <v>-1.4501405868277735</v>
      </c>
      <c r="AT771" s="276">
        <f t="shared" si="677"/>
        <v>-1.7841936965563803</v>
      </c>
      <c r="AU771" s="685">
        <f t="shared" si="678"/>
        <v>0.59167897111425938</v>
      </c>
      <c r="AV771" s="276">
        <f t="shared" si="679"/>
        <v>1.4634731458767563</v>
      </c>
      <c r="AW771" s="276">
        <f t="shared" si="680"/>
        <v>0.82383287527479188</v>
      </c>
      <c r="AX771" s="276">
        <f t="shared" si="681"/>
        <v>1.2848503467074874</v>
      </c>
      <c r="AY771" s="276">
        <f t="shared" si="682"/>
        <v>1.1002788937074925</v>
      </c>
      <c r="AZ771" s="686">
        <f t="shared" si="683"/>
        <v>1.5771510962640136</v>
      </c>
      <c r="BA771" s="685">
        <f t="shared" si="684"/>
        <v>0</v>
      </c>
      <c r="BB771" s="276">
        <f t="shared" si="685"/>
        <v>0</v>
      </c>
      <c r="BC771" s="276">
        <f t="shared" si="686"/>
        <v>0</v>
      </c>
      <c r="BD771" s="276">
        <f t="shared" si="687"/>
        <v>0</v>
      </c>
      <c r="BE771" s="276">
        <f t="shared" si="688"/>
        <v>0</v>
      </c>
      <c r="BF771" s="686">
        <f t="shared" si="689"/>
        <v>0</v>
      </c>
      <c r="BG771" s="685" t="e">
        <f t="shared" si="690"/>
        <v>#DIV/0!</v>
      </c>
      <c r="BH771" s="276" t="e">
        <f t="shared" si="691"/>
        <v>#DIV/0!</v>
      </c>
      <c r="BI771" s="276" t="e">
        <f t="shared" si="692"/>
        <v>#DIV/0!</v>
      </c>
      <c r="BJ771" s="276" t="e">
        <f t="shared" si="693"/>
        <v>#DIV/0!</v>
      </c>
      <c r="BK771" s="276" t="e">
        <f t="shared" si="694"/>
        <v>#DIV/0!</v>
      </c>
      <c r="BL771" s="686" t="e">
        <f t="shared" si="695"/>
        <v>#DIV/0!</v>
      </c>
      <c r="BM771" s="239"/>
      <c r="BN771" s="965" t="e">
        <f t="shared" si="696"/>
        <v>#VALUE!</v>
      </c>
      <c r="BO771" s="878" t="e">
        <f t="shared" si="697"/>
        <v>#VALUE!</v>
      </c>
      <c r="BP771" s="878" t="e">
        <f t="shared" si="698"/>
        <v>#VALUE!</v>
      </c>
      <c r="BQ771" s="878" t="e">
        <f t="shared" si="699"/>
        <v>#VALUE!</v>
      </c>
      <c r="BR771" s="878" t="e">
        <f t="shared" si="700"/>
        <v>#VALUE!</v>
      </c>
      <c r="BS771" s="966" t="e">
        <f t="shared" si="701"/>
        <v>#VALUE!</v>
      </c>
    </row>
    <row r="772" spans="1:71">
      <c r="A772" s="284">
        <f t="shared" si="702"/>
        <v>704</v>
      </c>
      <c r="B772" s="285">
        <v>0.44360989912930421</v>
      </c>
      <c r="C772" s="285">
        <v>2.9691259815099862</v>
      </c>
      <c r="D772" s="285">
        <v>-0.61277999418518658</v>
      </c>
      <c r="E772" s="285">
        <v>12.873569524494297</v>
      </c>
      <c r="H772" s="685">
        <f t="shared" si="648"/>
        <v>-0.68962394263975058</v>
      </c>
      <c r="I772" s="276">
        <f t="shared" si="649"/>
        <v>-2.2746633022957501</v>
      </c>
      <c r="J772" s="276">
        <f t="shared" si="650"/>
        <v>-0.19361588005738173</v>
      </c>
      <c r="K772" s="276">
        <f t="shared" si="651"/>
        <v>-1.2038425213706507</v>
      </c>
      <c r="L772" s="276">
        <f t="shared" si="652"/>
        <v>0.18640137762000064</v>
      </c>
      <c r="M772" s="276">
        <f t="shared" si="653"/>
        <v>1.2721097656498286</v>
      </c>
      <c r="N772" s="685">
        <f t="shared" si="654"/>
        <v>1.7619547705381178</v>
      </c>
      <c r="O772" s="276">
        <f t="shared" si="655"/>
        <v>1.6832645432086808</v>
      </c>
      <c r="P772" s="276">
        <f t="shared" si="656"/>
        <v>0.25304187645675991</v>
      </c>
      <c r="Q772" s="276">
        <f t="shared" si="657"/>
        <v>1.9163428272226544</v>
      </c>
      <c r="R772" s="276">
        <f t="shared" si="658"/>
        <v>1.4104428778558769</v>
      </c>
      <c r="S772" s="686">
        <f t="shared" si="659"/>
        <v>1.4339289158438369</v>
      </c>
      <c r="T772" s="685">
        <f t="shared" si="660"/>
        <v>2.6655836960857391</v>
      </c>
      <c r="U772" s="276">
        <f t="shared" si="661"/>
        <v>5.0642770809104078</v>
      </c>
      <c r="V772" s="276">
        <f t="shared" si="662"/>
        <v>4.2686469735484485</v>
      </c>
      <c r="W772" s="276">
        <f t="shared" si="663"/>
        <v>6.2499613840630328</v>
      </c>
      <c r="X772" s="276">
        <f t="shared" si="664"/>
        <v>5.8430603979428817</v>
      </c>
      <c r="Y772" s="686">
        <f t="shared" si="665"/>
        <v>4.8868982225023583</v>
      </c>
      <c r="Z772" s="685" t="e">
        <f t="shared" si="666"/>
        <v>#DIV/0!</v>
      </c>
      <c r="AA772" s="276" t="e">
        <f t="shared" si="667"/>
        <v>#DIV/0!</v>
      </c>
      <c r="AB772" s="276" t="e">
        <f t="shared" si="668"/>
        <v>#DIV/0!</v>
      </c>
      <c r="AC772" s="276" t="e">
        <f t="shared" si="669"/>
        <v>#DIV/0!</v>
      </c>
      <c r="AD772" s="276" t="e">
        <f t="shared" si="670"/>
        <v>#DIV/0!</v>
      </c>
      <c r="AE772" s="686" t="e">
        <f t="shared" si="671"/>
        <v>#DIV/0!</v>
      </c>
      <c r="AF772" s="239"/>
      <c r="AG772" s="965" t="e">
        <f t="shared" si="642"/>
        <v>#VALUE!</v>
      </c>
      <c r="AH772" s="878" t="e">
        <f t="shared" si="643"/>
        <v>#VALUE!</v>
      </c>
      <c r="AI772" s="878" t="e">
        <f t="shared" si="644"/>
        <v>#VALUE!</v>
      </c>
      <c r="AJ772" s="878" t="e">
        <f t="shared" si="645"/>
        <v>#VALUE!</v>
      </c>
      <c r="AK772" s="878" t="e">
        <f t="shared" si="646"/>
        <v>#VALUE!</v>
      </c>
      <c r="AL772" s="966" t="e">
        <f t="shared" si="647"/>
        <v>#VALUE!</v>
      </c>
      <c r="AM772" s="239"/>
      <c r="AO772" s="685">
        <f t="shared" si="672"/>
        <v>-0.68962394263975058</v>
      </c>
      <c r="AP772" s="276">
        <f t="shared" si="673"/>
        <v>-2.2746633022957501</v>
      </c>
      <c r="AQ772" s="276">
        <f t="shared" si="674"/>
        <v>-0.19361588005738173</v>
      </c>
      <c r="AR772" s="276">
        <f t="shared" si="675"/>
        <v>-1.2038425213706507</v>
      </c>
      <c r="AS772" s="276">
        <f t="shared" si="676"/>
        <v>0.18640137762000064</v>
      </c>
      <c r="AT772" s="276">
        <f t="shared" si="677"/>
        <v>1.2721097656498286</v>
      </c>
      <c r="AU772" s="685">
        <f t="shared" si="678"/>
        <v>1.7619547705381178</v>
      </c>
      <c r="AV772" s="276">
        <f t="shared" si="679"/>
        <v>1.6832645432086808</v>
      </c>
      <c r="AW772" s="276">
        <f t="shared" si="680"/>
        <v>0.25304187645675991</v>
      </c>
      <c r="AX772" s="276">
        <f t="shared" si="681"/>
        <v>1.9163428272226544</v>
      </c>
      <c r="AY772" s="276">
        <f t="shared" si="682"/>
        <v>1.4104428778558769</v>
      </c>
      <c r="AZ772" s="686">
        <f t="shared" si="683"/>
        <v>1.4339289158438369</v>
      </c>
      <c r="BA772" s="685">
        <f t="shared" si="684"/>
        <v>0</v>
      </c>
      <c r="BB772" s="276">
        <f t="shared" si="685"/>
        <v>0</v>
      </c>
      <c r="BC772" s="276">
        <f t="shared" si="686"/>
        <v>0</v>
      </c>
      <c r="BD772" s="276">
        <f t="shared" si="687"/>
        <v>0</v>
      </c>
      <c r="BE772" s="276">
        <f t="shared" si="688"/>
        <v>0</v>
      </c>
      <c r="BF772" s="686">
        <f t="shared" si="689"/>
        <v>0</v>
      </c>
      <c r="BG772" s="685" t="e">
        <f t="shared" si="690"/>
        <v>#DIV/0!</v>
      </c>
      <c r="BH772" s="276" t="e">
        <f t="shared" si="691"/>
        <v>#DIV/0!</v>
      </c>
      <c r="BI772" s="276" t="e">
        <f t="shared" si="692"/>
        <v>#DIV/0!</v>
      </c>
      <c r="BJ772" s="276" t="e">
        <f t="shared" si="693"/>
        <v>#DIV/0!</v>
      </c>
      <c r="BK772" s="276" t="e">
        <f t="shared" si="694"/>
        <v>#DIV/0!</v>
      </c>
      <c r="BL772" s="686" t="e">
        <f t="shared" si="695"/>
        <v>#DIV/0!</v>
      </c>
      <c r="BM772" s="239"/>
      <c r="BN772" s="965" t="e">
        <f t="shared" si="696"/>
        <v>#VALUE!</v>
      </c>
      <c r="BO772" s="878" t="e">
        <f t="shared" si="697"/>
        <v>#VALUE!</v>
      </c>
      <c r="BP772" s="878" t="e">
        <f t="shared" si="698"/>
        <v>#VALUE!</v>
      </c>
      <c r="BQ772" s="878" t="e">
        <f t="shared" si="699"/>
        <v>#VALUE!</v>
      </c>
      <c r="BR772" s="878" t="e">
        <f t="shared" si="700"/>
        <v>#VALUE!</v>
      </c>
      <c r="BS772" s="966" t="e">
        <f t="shared" si="701"/>
        <v>#VALUE!</v>
      </c>
    </row>
    <row r="773" spans="1:71">
      <c r="A773" s="284">
        <f t="shared" si="702"/>
        <v>705</v>
      </c>
      <c r="B773" s="285">
        <v>2.0228878205338465</v>
      </c>
      <c r="C773" s="285">
        <v>2.8017088910758998</v>
      </c>
      <c r="D773" s="285">
        <v>-0.13256447443479447</v>
      </c>
      <c r="E773" s="285">
        <v>2.0436890401458627</v>
      </c>
      <c r="H773" s="685">
        <f t="shared" si="648"/>
        <v>0.88965397876479169</v>
      </c>
      <c r="I773" s="276">
        <f t="shared" si="649"/>
        <v>1.5533325156354671</v>
      </c>
      <c r="J773" s="276">
        <f t="shared" si="650"/>
        <v>-0.56680770403552749</v>
      </c>
      <c r="K773" s="276">
        <f t="shared" si="651"/>
        <v>0.78627757779844965</v>
      </c>
      <c r="L773" s="276">
        <f t="shared" si="652"/>
        <v>0.13829602758766169</v>
      </c>
      <c r="M773" s="276">
        <f t="shared" si="653"/>
        <v>3.5507000024061606</v>
      </c>
      <c r="N773" s="685">
        <f t="shared" si="654"/>
        <v>1.5945376801040314</v>
      </c>
      <c r="O773" s="276">
        <f t="shared" si="655"/>
        <v>1.9282793022915452</v>
      </c>
      <c r="P773" s="276">
        <f t="shared" si="656"/>
        <v>0.83845665248450651</v>
      </c>
      <c r="Q773" s="276">
        <f t="shared" si="657"/>
        <v>1.4389916804773792</v>
      </c>
      <c r="R773" s="276">
        <f t="shared" si="658"/>
        <v>0.92644776952538277</v>
      </c>
      <c r="S773" s="686">
        <f t="shared" si="659"/>
        <v>1.5180548315865463</v>
      </c>
      <c r="T773" s="685">
        <f t="shared" si="660"/>
        <v>3.1457992158361314</v>
      </c>
      <c r="U773" s="276">
        <f t="shared" si="661"/>
        <v>4.7696741710009585</v>
      </c>
      <c r="V773" s="276">
        <f t="shared" si="662"/>
        <v>2.8260127960184453</v>
      </c>
      <c r="W773" s="276">
        <f t="shared" si="663"/>
        <v>4.2619610846308333</v>
      </c>
      <c r="X773" s="276">
        <f t="shared" si="664"/>
        <v>4.925768491458097</v>
      </c>
      <c r="Y773" s="686">
        <f t="shared" si="665"/>
        <v>3.4662091129562556</v>
      </c>
      <c r="Z773" s="685" t="e">
        <f t="shared" si="666"/>
        <v>#DIV/0!</v>
      </c>
      <c r="AA773" s="276" t="e">
        <f t="shared" si="667"/>
        <v>#DIV/0!</v>
      </c>
      <c r="AB773" s="276" t="e">
        <f t="shared" si="668"/>
        <v>#DIV/0!</v>
      </c>
      <c r="AC773" s="276" t="e">
        <f t="shared" si="669"/>
        <v>#DIV/0!</v>
      </c>
      <c r="AD773" s="276" t="e">
        <f t="shared" si="670"/>
        <v>#DIV/0!</v>
      </c>
      <c r="AE773" s="686" t="e">
        <f t="shared" si="671"/>
        <v>#DIV/0!</v>
      </c>
      <c r="AF773" s="239"/>
      <c r="AG773" s="965" t="e">
        <f t="shared" ref="AG773:AG836" si="703">S$53*(1+(T$55+N773)/100)*((1-S$62)+S$62*((1+(T$57+Z773)/100)))/(1+(T$54+H773)/100)-(T$56+T773)+T$58</f>
        <v>#VALUE!</v>
      </c>
      <c r="AH773" s="878" t="e">
        <f t="shared" ref="AH773:AH836" si="704">AG773*(1+(U$55+O773)/100)*((1-T$62)+T$62*((1+(U$57+AA773)/100)))/(1+(U$54+I773)/100)-(U$56+U773)+U$58</f>
        <v>#VALUE!</v>
      </c>
      <c r="AI773" s="878" t="e">
        <f t="shared" ref="AI773:AI836" si="705">AH773*(1+(V$55+P773)/100)*((1-U$62)+U$62*((1+(V$57+AB773)/100)))/(1+(V$54+J773)/100)-(V$56+V773)+V$58</f>
        <v>#VALUE!</v>
      </c>
      <c r="AJ773" s="878" t="e">
        <f t="shared" ref="AJ773:AJ836" si="706">AI773*(1+(W$55+Q773)/100)*((1-V$62)+V$62*((1+(W$57+AC773)/100)))/(1+(W$54+K773)/100)-(W$56+W773)+W$58</f>
        <v>#VALUE!</v>
      </c>
      <c r="AK773" s="878" t="e">
        <f t="shared" ref="AK773:AK836" si="707">AJ773*(1+(X$55+R773)/100)*((1-W$62)+W$62*((1+(X$57+AD773)/100)))/(1+(X$54+L773)/100)-(X$56+X773)+X$58</f>
        <v>#VALUE!</v>
      </c>
      <c r="AL773" s="966" t="e">
        <f t="shared" ref="AL773:AL836" si="708">AK773*(1+(Y$55+S773)/100)*((1-X$62)+X$62*((1+(Y$57+AE773)/100)))/(1+(Y$54+M773)/100)-(Y$56+Y773)+Y$58</f>
        <v>#VALUE!</v>
      </c>
      <c r="AM773" s="239"/>
      <c r="AO773" s="685">
        <f t="shared" si="672"/>
        <v>0.88965397876479169</v>
      </c>
      <c r="AP773" s="276">
        <f t="shared" si="673"/>
        <v>1.5533325156354671</v>
      </c>
      <c r="AQ773" s="276">
        <f t="shared" si="674"/>
        <v>-0.56680770403552749</v>
      </c>
      <c r="AR773" s="276">
        <f t="shared" si="675"/>
        <v>0.78627757779844965</v>
      </c>
      <c r="AS773" s="276">
        <f t="shared" si="676"/>
        <v>0.13829602758766169</v>
      </c>
      <c r="AT773" s="276">
        <f t="shared" si="677"/>
        <v>3.5507000024061606</v>
      </c>
      <c r="AU773" s="685">
        <f t="shared" si="678"/>
        <v>1.5945376801040314</v>
      </c>
      <c r="AV773" s="276">
        <f t="shared" si="679"/>
        <v>1.9282793022915452</v>
      </c>
      <c r="AW773" s="276">
        <f t="shared" si="680"/>
        <v>0.83845665248450651</v>
      </c>
      <c r="AX773" s="276">
        <f t="shared" si="681"/>
        <v>1.4389916804773792</v>
      </c>
      <c r="AY773" s="276">
        <f t="shared" si="682"/>
        <v>0.92644776952538277</v>
      </c>
      <c r="AZ773" s="686">
        <f t="shared" si="683"/>
        <v>1.5180548315865463</v>
      </c>
      <c r="BA773" s="685">
        <f t="shared" si="684"/>
        <v>0</v>
      </c>
      <c r="BB773" s="276">
        <f t="shared" si="685"/>
        <v>0</v>
      </c>
      <c r="BC773" s="276">
        <f t="shared" si="686"/>
        <v>0</v>
      </c>
      <c r="BD773" s="276">
        <f t="shared" si="687"/>
        <v>0</v>
      </c>
      <c r="BE773" s="276">
        <f t="shared" si="688"/>
        <v>0</v>
      </c>
      <c r="BF773" s="686">
        <f t="shared" si="689"/>
        <v>0</v>
      </c>
      <c r="BG773" s="685" t="e">
        <f t="shared" si="690"/>
        <v>#DIV/0!</v>
      </c>
      <c r="BH773" s="276" t="e">
        <f t="shared" si="691"/>
        <v>#DIV/0!</v>
      </c>
      <c r="BI773" s="276" t="e">
        <f t="shared" si="692"/>
        <v>#DIV/0!</v>
      </c>
      <c r="BJ773" s="276" t="e">
        <f t="shared" si="693"/>
        <v>#DIV/0!</v>
      </c>
      <c r="BK773" s="276" t="e">
        <f t="shared" si="694"/>
        <v>#DIV/0!</v>
      </c>
      <c r="BL773" s="686" t="e">
        <f t="shared" si="695"/>
        <v>#DIV/0!</v>
      </c>
      <c r="BM773" s="239"/>
      <c r="BN773" s="965" t="e">
        <f t="shared" si="696"/>
        <v>#VALUE!</v>
      </c>
      <c r="BO773" s="878" t="e">
        <f t="shared" si="697"/>
        <v>#VALUE!</v>
      </c>
      <c r="BP773" s="878" t="e">
        <f t="shared" si="698"/>
        <v>#VALUE!</v>
      </c>
      <c r="BQ773" s="878" t="e">
        <f t="shared" si="699"/>
        <v>#VALUE!</v>
      </c>
      <c r="BR773" s="878" t="e">
        <f t="shared" si="700"/>
        <v>#VALUE!</v>
      </c>
      <c r="BS773" s="966" t="e">
        <f t="shared" si="701"/>
        <v>#VALUE!</v>
      </c>
    </row>
    <row r="774" spans="1:71">
      <c r="A774" s="284">
        <f t="shared" si="702"/>
        <v>706</v>
      </c>
      <c r="B774" s="285">
        <v>1.9628874176139199</v>
      </c>
      <c r="C774" s="285">
        <v>2.8068626808475701</v>
      </c>
      <c r="D774" s="285">
        <v>-0.25000161947474409</v>
      </c>
      <c r="E774" s="285">
        <v>9.8647622898607175</v>
      </c>
      <c r="H774" s="685">
        <f t="shared" ref="H774:H837" si="709">IF($B$42="On",$B774-$D$15,0)</f>
        <v>0.8296535758448651</v>
      </c>
      <c r="I774" s="276">
        <f t="shared" ref="I774:I837" si="710">IF($B$42="On",$B1774-$D$15,0)</f>
        <v>-5.0745823262170937</v>
      </c>
      <c r="J774" s="276">
        <f t="shared" ref="J774:J837" si="711">IF($B$42="On",$B2774-$D$15,0)</f>
        <v>-0.48285340160492474</v>
      </c>
      <c r="K774" s="276">
        <f t="shared" ref="K774:K837" si="712">IF($B$42="On",$B3774-$D$15,0)</f>
        <v>0.33138626214212641</v>
      </c>
      <c r="L774" s="276">
        <f t="shared" ref="L774:L837" si="713">IF($B$42="On",$B4774-$D$15,0)</f>
        <v>0.89764785864998742</v>
      </c>
      <c r="M774" s="276">
        <f t="shared" ref="M774:M837" si="714">IF($B$42="On",$B5774-$D$15,0)</f>
        <v>-3.2510103122647669</v>
      </c>
      <c r="N774" s="685">
        <f t="shared" ref="N774:N837" si="715">IF($B$43="On",$C774-$D$16,0)</f>
        <v>1.5996914698757017</v>
      </c>
      <c r="O774" s="276">
        <f t="shared" ref="O774:O837" si="716">IF($B$43="On",$C1774-$D$16,0)</f>
        <v>1.6314675154883871</v>
      </c>
      <c r="P774" s="276">
        <f t="shared" ref="P774:P837" si="717">IF($B$43="On",$C2774-$D$16,0)</f>
        <v>1.0104493714409324</v>
      </c>
      <c r="Q774" s="276">
        <f t="shared" ref="Q774:Q837" si="718">IF($B$43="On",$C3774-$D$16,0)</f>
        <v>1.0200894489199459</v>
      </c>
      <c r="R774" s="276">
        <f t="shared" ref="R774:R837" si="719">IF($B$43="On",$C4774-$D$16,0)</f>
        <v>0.82048583548906451</v>
      </c>
      <c r="S774" s="686">
        <f t="shared" ref="S774:S837" si="720">IF($B$43="On",$C5774-$D$16,0)</f>
        <v>1.1760963263193347</v>
      </c>
      <c r="T774" s="685">
        <f t="shared" ref="T774:T837" si="721">IF($B$44="On",$D774-$D$17,0)</f>
        <v>3.0283620707961818</v>
      </c>
      <c r="U774" s="276">
        <f t="shared" ref="U774:U837" si="722">IF($B$44="On",$D1774-$D$17,0)</f>
        <v>3.0253433832972236</v>
      </c>
      <c r="V774" s="276">
        <f t="shared" ref="V774:V837" si="723">IF($B$44="On",$D2774-$D$17,0)</f>
        <v>3.9436703570988993</v>
      </c>
      <c r="W774" s="276">
        <f t="shared" ref="W774:W837" si="724">IF($B$44="On",$D3774-$D$17,0)</f>
        <v>3.2435926722154096</v>
      </c>
      <c r="X774" s="276">
        <f t="shared" ref="X774:X837" si="725">IF($B$44="On",$D4774-$D$17,0)</f>
        <v>4.1326261963547228</v>
      </c>
      <c r="Y774" s="686">
        <f t="shared" ref="Y774:Y837" si="726">IF($B$44="On",$D5774-$D$17,0)</f>
        <v>4.7808573309839542</v>
      </c>
      <c r="Z774" s="685" t="e">
        <f t="shared" ref="Z774:Z837" si="727">IF($B$45="On",$E774-$D$18,0)</f>
        <v>#DIV/0!</v>
      </c>
      <c r="AA774" s="276" t="e">
        <f t="shared" ref="AA774:AA837" si="728">IF($B$45="On",$E1774-$D$18,0)</f>
        <v>#DIV/0!</v>
      </c>
      <c r="AB774" s="276" t="e">
        <f t="shared" ref="AB774:AB837" si="729">IF($B$45="On",$E2774-$D$18,0)</f>
        <v>#DIV/0!</v>
      </c>
      <c r="AC774" s="276" t="e">
        <f t="shared" ref="AC774:AC837" si="730">IF($B$45="On",$E3774-$D$18,0)</f>
        <v>#DIV/0!</v>
      </c>
      <c r="AD774" s="276" t="e">
        <f t="shared" ref="AD774:AD837" si="731">IF($B$45="On",$E4774-$D$18,0)</f>
        <v>#DIV/0!</v>
      </c>
      <c r="AE774" s="686" t="e">
        <f t="shared" ref="AE774:AE837" si="732">IF($B$45="On",$E5774-$D$18,0)</f>
        <v>#DIV/0!</v>
      </c>
      <c r="AF774" s="239"/>
      <c r="AG774" s="965" t="e">
        <f t="shared" si="703"/>
        <v>#VALUE!</v>
      </c>
      <c r="AH774" s="878" t="e">
        <f t="shared" si="704"/>
        <v>#VALUE!</v>
      </c>
      <c r="AI774" s="878" t="e">
        <f t="shared" si="705"/>
        <v>#VALUE!</v>
      </c>
      <c r="AJ774" s="878" t="e">
        <f t="shared" si="706"/>
        <v>#VALUE!</v>
      </c>
      <c r="AK774" s="878" t="e">
        <f t="shared" si="707"/>
        <v>#VALUE!</v>
      </c>
      <c r="AL774" s="966" t="e">
        <f t="shared" si="708"/>
        <v>#VALUE!</v>
      </c>
      <c r="AM774" s="239"/>
      <c r="AO774" s="685">
        <f t="shared" ref="AO774:AO837" si="733">IF($B$42="On",MIN($B774-$D$15,$D$42),0)</f>
        <v>0.8296535758448651</v>
      </c>
      <c r="AP774" s="276">
        <f t="shared" ref="AP774:AP837" si="734">IF($B$42="On",MIN($B1774-$D$15,$D$42),0)</f>
        <v>-5.0745823262170937</v>
      </c>
      <c r="AQ774" s="276">
        <f t="shared" ref="AQ774:AQ837" si="735">IF($B$42="On",MIN($B2774-$D$15,$D$42),0)</f>
        <v>-0.48285340160492474</v>
      </c>
      <c r="AR774" s="276">
        <f t="shared" ref="AR774:AR837" si="736">IF($B$42="On",MIN($B3774-$D$15,$D$42),0)</f>
        <v>0.33138626214212641</v>
      </c>
      <c r="AS774" s="276">
        <f t="shared" ref="AS774:AS837" si="737">IF($B$42="On",MIN($B4774-$D$15,$D$42),0)</f>
        <v>0.89764785864998742</v>
      </c>
      <c r="AT774" s="276">
        <f t="shared" ref="AT774:AT837" si="738">IF($B$42="On",MIN($B5774-$D$15,$D$42),0)</f>
        <v>-3.2510103122647669</v>
      </c>
      <c r="AU774" s="685">
        <f t="shared" ref="AU774:AU837" si="739">IF($B$43="On",MAX($C774-$D$16,$D$43),0)</f>
        <v>1.5996914698757017</v>
      </c>
      <c r="AV774" s="276">
        <f t="shared" ref="AV774:AV837" si="740">IF($B$43="On",MAX($C1774-$D$16,$D$43),0)</f>
        <v>1.6314675154883871</v>
      </c>
      <c r="AW774" s="276">
        <f t="shared" ref="AW774:AW837" si="741">IF($B$43="On",MAX($C2774-$D$16,$D$43),0)</f>
        <v>1.0104493714409324</v>
      </c>
      <c r="AX774" s="276">
        <f t="shared" ref="AX774:AX837" si="742">IF($B$43="On",MAX($C3774-$D$16,$D$43),0)</f>
        <v>1.0200894489199459</v>
      </c>
      <c r="AY774" s="276">
        <f t="shared" ref="AY774:AY837" si="743">IF($B$43="On",MAX($C4774-$D$16,$D$43),0)</f>
        <v>0.82048583548906451</v>
      </c>
      <c r="AZ774" s="686">
        <f t="shared" ref="AZ774:AZ837" si="744">IF($B$43="On",MAX($C5774-$D$16,$D$43),0)</f>
        <v>1.1760963263193347</v>
      </c>
      <c r="BA774" s="685">
        <f t="shared" ref="BA774:BA837" si="745">IF($B$44="On",MIN($D774-$D$17,$D$44),0)</f>
        <v>0</v>
      </c>
      <c r="BB774" s="276">
        <f t="shared" ref="BB774:BB837" si="746">IF($B$44="On",MIN($D1774-$D$17,$D$44),0)</f>
        <v>0</v>
      </c>
      <c r="BC774" s="276">
        <f t="shared" ref="BC774:BC837" si="747">IF($B$44="On",MIN($D2774-$D$17,$D$44),0)</f>
        <v>0</v>
      </c>
      <c r="BD774" s="276">
        <f t="shared" ref="BD774:BD837" si="748">IF($B$44="On",MIN($D3774-$D$17,$D$44),0)</f>
        <v>0</v>
      </c>
      <c r="BE774" s="276">
        <f t="shared" ref="BE774:BE837" si="749">IF($B$44="On",MIN($D4774-$D$17,$D$44),0)</f>
        <v>0</v>
      </c>
      <c r="BF774" s="686">
        <f t="shared" ref="BF774:BF837" si="750">IF($B$44="On",MIN($D5774-$D$17,$D$44),0)</f>
        <v>0</v>
      </c>
      <c r="BG774" s="685" t="e">
        <f t="shared" ref="BG774:BG837" si="751">IF($B$45="On",MAX($E774-$D$18,$D$45),0)</f>
        <v>#DIV/0!</v>
      </c>
      <c r="BH774" s="276" t="e">
        <f t="shared" ref="BH774:BH837" si="752">IF($B$45="On",MAX($E1774-$D$18,$D$45),0)</f>
        <v>#DIV/0!</v>
      </c>
      <c r="BI774" s="276" t="e">
        <f t="shared" ref="BI774:BI837" si="753">IF($B$45="On",MAX($E2774-$D$18,$D$45),0)</f>
        <v>#DIV/0!</v>
      </c>
      <c r="BJ774" s="276" t="e">
        <f t="shared" ref="BJ774:BJ837" si="754">IF($B$45="On",MAX($E3774-$D$18,$D$45),0)</f>
        <v>#DIV/0!</v>
      </c>
      <c r="BK774" s="276" t="e">
        <f t="shared" ref="BK774:BK837" si="755">IF($B$45="On",MAX($E4774-$D$18,$D$45),0)</f>
        <v>#DIV/0!</v>
      </c>
      <c r="BL774" s="686" t="e">
        <f t="shared" ref="BL774:BL837" si="756">IF($B$45="On",MAX($E5774-$D$18,$D$45),0)</f>
        <v>#DIV/0!</v>
      </c>
      <c r="BM774" s="239"/>
      <c r="BN774" s="965" t="e">
        <f t="shared" ref="BN774:BN837" si="757">S$53*(1+(T$55+AU774)/100)*((1-S$62)+S$62*((1+(T$57+BG774)/100)))/(1+(T$54+AO774)/100)-(T$56+BA774)+T$58</f>
        <v>#VALUE!</v>
      </c>
      <c r="BO774" s="878" t="e">
        <f t="shared" ref="BO774:BO837" si="758">BN774*(1+(U$55+AV774)/100)*((1-T$62)+T$62*((1+(U$57+BH774)/100)))/(1+(U$54+AP774)/100)-(U$56+BB774)+U$58</f>
        <v>#VALUE!</v>
      </c>
      <c r="BP774" s="878" t="e">
        <f t="shared" ref="BP774:BP837" si="759">BO774*(1+(V$55+AW774)/100)*((1-U$62)+U$62*((1+(V$57+BI774)/100)))/(1+(V$54+AQ774)/100)-(V$56+BC774)+V$58</f>
        <v>#VALUE!</v>
      </c>
      <c r="BQ774" s="878" t="e">
        <f t="shared" ref="BQ774:BQ837" si="760">BP774*(1+(W$55+AX774)/100)*((1-V$62)+V$62*((1+(W$57+BJ774)/100)))/(1+(W$54+AR774)/100)-(W$56+BD774)+W$58</f>
        <v>#VALUE!</v>
      </c>
      <c r="BR774" s="878" t="e">
        <f t="shared" ref="BR774:BR837" si="761">BQ774*(1+(X$55+AY774)/100)*((1-W$62)+W$62*((1+(X$57+BK774)/100)))/(1+(X$54+AS774)/100)-(X$56+BE774)+X$58</f>
        <v>#VALUE!</v>
      </c>
      <c r="BS774" s="966" t="e">
        <f t="shared" ref="BS774:BS837" si="762">BR774*(1+(Y$55+AZ774)/100)*((1-X$62)+X$62*((1+(Y$57+BL774)/100)))/(1+(Y$54+AT774)/100)-(Y$56+BF774)+Y$58</f>
        <v>#VALUE!</v>
      </c>
    </row>
    <row r="775" spans="1:71">
      <c r="A775" s="284">
        <f t="shared" ref="A775:A838" si="763">A774+1</f>
        <v>707</v>
      </c>
      <c r="B775" s="285">
        <v>-1.2818499104729175</v>
      </c>
      <c r="C775" s="285">
        <v>2.6175703123465945</v>
      </c>
      <c r="D775" s="285">
        <v>3.7765060507590462</v>
      </c>
      <c r="E775" s="285">
        <v>2.0562308529433415</v>
      </c>
      <c r="H775" s="685">
        <f t="shared" si="709"/>
        <v>-2.4150837522419724</v>
      </c>
      <c r="I775" s="276">
        <f t="shared" si="710"/>
        <v>-2.7635755742816368</v>
      </c>
      <c r="J775" s="276">
        <f t="shared" si="711"/>
        <v>-1.4994173332652145</v>
      </c>
      <c r="K775" s="276">
        <f t="shared" si="712"/>
        <v>-1.2689219630086896</v>
      </c>
      <c r="L775" s="276">
        <f t="shared" si="713"/>
        <v>-1.9475881612000208</v>
      </c>
      <c r="M775" s="276">
        <f t="shared" si="714"/>
        <v>1.9446459535710201</v>
      </c>
      <c r="N775" s="685">
        <f t="shared" si="715"/>
        <v>1.4103991013747261</v>
      </c>
      <c r="O775" s="276">
        <f t="shared" si="716"/>
        <v>1.2806128638548817</v>
      </c>
      <c r="P775" s="276">
        <f t="shared" si="717"/>
        <v>2.0016177283919534</v>
      </c>
      <c r="Q775" s="276">
        <f t="shared" si="718"/>
        <v>0.58597387461594841</v>
      </c>
      <c r="R775" s="276">
        <f t="shared" si="719"/>
        <v>0.86914278670744216</v>
      </c>
      <c r="S775" s="686">
        <f t="shared" si="720"/>
        <v>1.8982600022595075</v>
      </c>
      <c r="T775" s="685">
        <f t="shared" si="721"/>
        <v>7.0548697410299717</v>
      </c>
      <c r="U775" s="276">
        <f t="shared" si="722"/>
        <v>2.1522290148054326</v>
      </c>
      <c r="V775" s="276">
        <f t="shared" si="723"/>
        <v>3.7397265560245052</v>
      </c>
      <c r="W775" s="276">
        <f t="shared" si="724"/>
        <v>5.6536708272004148</v>
      </c>
      <c r="X775" s="276">
        <f t="shared" si="725"/>
        <v>4.3858303961881413</v>
      </c>
      <c r="Y775" s="686">
        <f t="shared" si="726"/>
        <v>4.7111214859974622</v>
      </c>
      <c r="Z775" s="685" t="e">
        <f t="shared" si="727"/>
        <v>#DIV/0!</v>
      </c>
      <c r="AA775" s="276" t="e">
        <f t="shared" si="728"/>
        <v>#DIV/0!</v>
      </c>
      <c r="AB775" s="276" t="e">
        <f t="shared" si="729"/>
        <v>#DIV/0!</v>
      </c>
      <c r="AC775" s="276" t="e">
        <f t="shared" si="730"/>
        <v>#DIV/0!</v>
      </c>
      <c r="AD775" s="276" t="e">
        <f t="shared" si="731"/>
        <v>#DIV/0!</v>
      </c>
      <c r="AE775" s="686" t="e">
        <f t="shared" si="732"/>
        <v>#DIV/0!</v>
      </c>
      <c r="AF775" s="239"/>
      <c r="AG775" s="965" t="e">
        <f t="shared" si="703"/>
        <v>#VALUE!</v>
      </c>
      <c r="AH775" s="878" t="e">
        <f t="shared" si="704"/>
        <v>#VALUE!</v>
      </c>
      <c r="AI775" s="878" t="e">
        <f t="shared" si="705"/>
        <v>#VALUE!</v>
      </c>
      <c r="AJ775" s="878" t="e">
        <f t="shared" si="706"/>
        <v>#VALUE!</v>
      </c>
      <c r="AK775" s="878" t="e">
        <f t="shared" si="707"/>
        <v>#VALUE!</v>
      </c>
      <c r="AL775" s="966" t="e">
        <f t="shared" si="708"/>
        <v>#VALUE!</v>
      </c>
      <c r="AM775" s="239"/>
      <c r="AO775" s="685">
        <f t="shared" si="733"/>
        <v>-2.4150837522419724</v>
      </c>
      <c r="AP775" s="276">
        <f t="shared" si="734"/>
        <v>-2.7635755742816368</v>
      </c>
      <c r="AQ775" s="276">
        <f t="shared" si="735"/>
        <v>-1.4994173332652145</v>
      </c>
      <c r="AR775" s="276">
        <f t="shared" si="736"/>
        <v>-1.2689219630086896</v>
      </c>
      <c r="AS775" s="276">
        <f t="shared" si="737"/>
        <v>-1.9475881612000208</v>
      </c>
      <c r="AT775" s="276">
        <f t="shared" si="738"/>
        <v>1.9446459535710201</v>
      </c>
      <c r="AU775" s="685">
        <f t="shared" si="739"/>
        <v>1.4103991013747261</v>
      </c>
      <c r="AV775" s="276">
        <f t="shared" si="740"/>
        <v>1.2806128638548817</v>
      </c>
      <c r="AW775" s="276">
        <f t="shared" si="741"/>
        <v>2.0016177283919534</v>
      </c>
      <c r="AX775" s="276">
        <f t="shared" si="742"/>
        <v>0.58597387461594841</v>
      </c>
      <c r="AY775" s="276">
        <f t="shared" si="743"/>
        <v>0.86914278670744216</v>
      </c>
      <c r="AZ775" s="686">
        <f t="shared" si="744"/>
        <v>1.8982600022595075</v>
      </c>
      <c r="BA775" s="685">
        <f t="shared" si="745"/>
        <v>0</v>
      </c>
      <c r="BB775" s="276">
        <f t="shared" si="746"/>
        <v>0</v>
      </c>
      <c r="BC775" s="276">
        <f t="shared" si="747"/>
        <v>0</v>
      </c>
      <c r="BD775" s="276">
        <f t="shared" si="748"/>
        <v>0</v>
      </c>
      <c r="BE775" s="276">
        <f t="shared" si="749"/>
        <v>0</v>
      </c>
      <c r="BF775" s="686">
        <f t="shared" si="750"/>
        <v>0</v>
      </c>
      <c r="BG775" s="685" t="e">
        <f t="shared" si="751"/>
        <v>#DIV/0!</v>
      </c>
      <c r="BH775" s="276" t="e">
        <f t="shared" si="752"/>
        <v>#DIV/0!</v>
      </c>
      <c r="BI775" s="276" t="e">
        <f t="shared" si="753"/>
        <v>#DIV/0!</v>
      </c>
      <c r="BJ775" s="276" t="e">
        <f t="shared" si="754"/>
        <v>#DIV/0!</v>
      </c>
      <c r="BK775" s="276" t="e">
        <f t="shared" si="755"/>
        <v>#DIV/0!</v>
      </c>
      <c r="BL775" s="686" t="e">
        <f t="shared" si="756"/>
        <v>#DIV/0!</v>
      </c>
      <c r="BM775" s="239"/>
      <c r="BN775" s="965" t="e">
        <f t="shared" si="757"/>
        <v>#VALUE!</v>
      </c>
      <c r="BO775" s="878" t="e">
        <f t="shared" si="758"/>
        <v>#VALUE!</v>
      </c>
      <c r="BP775" s="878" t="e">
        <f t="shared" si="759"/>
        <v>#VALUE!</v>
      </c>
      <c r="BQ775" s="878" t="e">
        <f t="shared" si="760"/>
        <v>#VALUE!</v>
      </c>
      <c r="BR775" s="878" t="e">
        <f t="shared" si="761"/>
        <v>#VALUE!</v>
      </c>
      <c r="BS775" s="966" t="e">
        <f t="shared" si="762"/>
        <v>#VALUE!</v>
      </c>
    </row>
    <row r="776" spans="1:71">
      <c r="A776" s="284">
        <f t="shared" si="763"/>
        <v>708</v>
      </c>
      <c r="B776" s="285">
        <v>-1.3573272923130286</v>
      </c>
      <c r="C776" s="285">
        <v>2.6443240337338065</v>
      </c>
      <c r="D776" s="285">
        <v>1.0247662603730565</v>
      </c>
      <c r="E776" s="285">
        <v>8.0078572077060652</v>
      </c>
      <c r="H776" s="685">
        <f t="shared" si="709"/>
        <v>-2.4905611340820837</v>
      </c>
      <c r="I776" s="276">
        <f t="shared" si="710"/>
        <v>-0.76422573135906846</v>
      </c>
      <c r="J776" s="276">
        <f t="shared" si="711"/>
        <v>0.54342355100662942</v>
      </c>
      <c r="K776" s="276">
        <f t="shared" si="712"/>
        <v>-2.0442870048319484</v>
      </c>
      <c r="L776" s="276">
        <f t="shared" si="713"/>
        <v>-3.5303460810429623</v>
      </c>
      <c r="M776" s="276">
        <f t="shared" si="714"/>
        <v>-1.132701327205927</v>
      </c>
      <c r="N776" s="685">
        <f t="shared" si="715"/>
        <v>1.4371528227619381</v>
      </c>
      <c r="O776" s="276">
        <f t="shared" si="716"/>
        <v>1.4231984379522842</v>
      </c>
      <c r="P776" s="276">
        <f t="shared" si="717"/>
        <v>1.6706626662159165</v>
      </c>
      <c r="Q776" s="276">
        <f t="shared" si="718"/>
        <v>1.0310117722584382</v>
      </c>
      <c r="R776" s="276">
        <f t="shared" si="719"/>
        <v>0.59101682751961149</v>
      </c>
      <c r="S776" s="686">
        <f t="shared" si="720"/>
        <v>1.1088072204021124</v>
      </c>
      <c r="T776" s="685">
        <f t="shared" si="721"/>
        <v>4.3031299506439824</v>
      </c>
      <c r="U776" s="276">
        <f t="shared" si="722"/>
        <v>6.2031832888285088</v>
      </c>
      <c r="V776" s="276">
        <f t="shared" si="723"/>
        <v>2.0414142951865073</v>
      </c>
      <c r="W776" s="276">
        <f t="shared" si="724"/>
        <v>3.4058407360185239</v>
      </c>
      <c r="X776" s="276">
        <f t="shared" si="725"/>
        <v>4.316263476643809</v>
      </c>
      <c r="Y776" s="686">
        <f t="shared" si="726"/>
        <v>5.9620745859982502</v>
      </c>
      <c r="Z776" s="685" t="e">
        <f t="shared" si="727"/>
        <v>#DIV/0!</v>
      </c>
      <c r="AA776" s="276" t="e">
        <f t="shared" si="728"/>
        <v>#DIV/0!</v>
      </c>
      <c r="AB776" s="276" t="e">
        <f t="shared" si="729"/>
        <v>#DIV/0!</v>
      </c>
      <c r="AC776" s="276" t="e">
        <f t="shared" si="730"/>
        <v>#DIV/0!</v>
      </c>
      <c r="AD776" s="276" t="e">
        <f t="shared" si="731"/>
        <v>#DIV/0!</v>
      </c>
      <c r="AE776" s="686" t="e">
        <f t="shared" si="732"/>
        <v>#DIV/0!</v>
      </c>
      <c r="AF776" s="239"/>
      <c r="AG776" s="965" t="e">
        <f t="shared" si="703"/>
        <v>#VALUE!</v>
      </c>
      <c r="AH776" s="878" t="e">
        <f t="shared" si="704"/>
        <v>#VALUE!</v>
      </c>
      <c r="AI776" s="878" t="e">
        <f t="shared" si="705"/>
        <v>#VALUE!</v>
      </c>
      <c r="AJ776" s="878" t="e">
        <f t="shared" si="706"/>
        <v>#VALUE!</v>
      </c>
      <c r="AK776" s="878" t="e">
        <f t="shared" si="707"/>
        <v>#VALUE!</v>
      </c>
      <c r="AL776" s="966" t="e">
        <f t="shared" si="708"/>
        <v>#VALUE!</v>
      </c>
      <c r="AM776" s="239"/>
      <c r="AO776" s="685">
        <f t="shared" si="733"/>
        <v>-2.4905611340820837</v>
      </c>
      <c r="AP776" s="276">
        <f t="shared" si="734"/>
        <v>-0.76422573135906846</v>
      </c>
      <c r="AQ776" s="276">
        <f t="shared" si="735"/>
        <v>0.54342355100662942</v>
      </c>
      <c r="AR776" s="276">
        <f t="shared" si="736"/>
        <v>-2.0442870048319484</v>
      </c>
      <c r="AS776" s="276">
        <f t="shared" si="737"/>
        <v>-3.5303460810429623</v>
      </c>
      <c r="AT776" s="276">
        <f t="shared" si="738"/>
        <v>-1.132701327205927</v>
      </c>
      <c r="AU776" s="685">
        <f t="shared" si="739"/>
        <v>1.4371528227619381</v>
      </c>
      <c r="AV776" s="276">
        <f t="shared" si="740"/>
        <v>1.4231984379522842</v>
      </c>
      <c r="AW776" s="276">
        <f t="shared" si="741"/>
        <v>1.6706626662159165</v>
      </c>
      <c r="AX776" s="276">
        <f t="shared" si="742"/>
        <v>1.0310117722584382</v>
      </c>
      <c r="AY776" s="276">
        <f t="shared" si="743"/>
        <v>0.59101682751961149</v>
      </c>
      <c r="AZ776" s="686">
        <f t="shared" si="744"/>
        <v>1.1088072204021124</v>
      </c>
      <c r="BA776" s="685">
        <f t="shared" si="745"/>
        <v>0</v>
      </c>
      <c r="BB776" s="276">
        <f t="shared" si="746"/>
        <v>0</v>
      </c>
      <c r="BC776" s="276">
        <f t="shared" si="747"/>
        <v>0</v>
      </c>
      <c r="BD776" s="276">
        <f t="shared" si="748"/>
        <v>0</v>
      </c>
      <c r="BE776" s="276">
        <f t="shared" si="749"/>
        <v>0</v>
      </c>
      <c r="BF776" s="686">
        <f t="shared" si="750"/>
        <v>0</v>
      </c>
      <c r="BG776" s="685" t="e">
        <f t="shared" si="751"/>
        <v>#DIV/0!</v>
      </c>
      <c r="BH776" s="276" t="e">
        <f t="shared" si="752"/>
        <v>#DIV/0!</v>
      </c>
      <c r="BI776" s="276" t="e">
        <f t="shared" si="753"/>
        <v>#DIV/0!</v>
      </c>
      <c r="BJ776" s="276" t="e">
        <f t="shared" si="754"/>
        <v>#DIV/0!</v>
      </c>
      <c r="BK776" s="276" t="e">
        <f t="shared" si="755"/>
        <v>#DIV/0!</v>
      </c>
      <c r="BL776" s="686" t="e">
        <f t="shared" si="756"/>
        <v>#DIV/0!</v>
      </c>
      <c r="BM776" s="239"/>
      <c r="BN776" s="965" t="e">
        <f t="shared" si="757"/>
        <v>#VALUE!</v>
      </c>
      <c r="BO776" s="878" t="e">
        <f t="shared" si="758"/>
        <v>#VALUE!</v>
      </c>
      <c r="BP776" s="878" t="e">
        <f t="shared" si="759"/>
        <v>#VALUE!</v>
      </c>
      <c r="BQ776" s="878" t="e">
        <f t="shared" si="760"/>
        <v>#VALUE!</v>
      </c>
      <c r="BR776" s="878" t="e">
        <f t="shared" si="761"/>
        <v>#VALUE!</v>
      </c>
      <c r="BS776" s="966" t="e">
        <f t="shared" si="762"/>
        <v>#VALUE!</v>
      </c>
    </row>
    <row r="777" spans="1:71">
      <c r="A777" s="284">
        <f t="shared" si="763"/>
        <v>709</v>
      </c>
      <c r="B777" s="285">
        <v>3.4863483010242686</v>
      </c>
      <c r="C777" s="285">
        <v>2.9733703358226165</v>
      </c>
      <c r="D777" s="285">
        <v>2.9347610704548441</v>
      </c>
      <c r="E777" s="285">
        <v>-9.80973989634332</v>
      </c>
      <c r="H777" s="685">
        <f t="shared" si="709"/>
        <v>2.353114459255214</v>
      </c>
      <c r="I777" s="276">
        <f t="shared" si="710"/>
        <v>-0.75058353652746734</v>
      </c>
      <c r="J777" s="276">
        <f t="shared" si="711"/>
        <v>-2.3160931839351653</v>
      </c>
      <c r="K777" s="276">
        <f t="shared" si="712"/>
        <v>-5.7435892322600886</v>
      </c>
      <c r="L777" s="276">
        <f t="shared" si="713"/>
        <v>2.265380403914361</v>
      </c>
      <c r="M777" s="276">
        <f t="shared" si="714"/>
        <v>-0.6422006440048692</v>
      </c>
      <c r="N777" s="685">
        <f t="shared" si="715"/>
        <v>1.766199124850748</v>
      </c>
      <c r="O777" s="276">
        <f t="shared" si="716"/>
        <v>1.677990362036655</v>
      </c>
      <c r="P777" s="276">
        <f t="shared" si="717"/>
        <v>0.96304093971773574</v>
      </c>
      <c r="Q777" s="276">
        <f t="shared" si="718"/>
        <v>0.66422805922951977</v>
      </c>
      <c r="R777" s="276">
        <f t="shared" si="719"/>
        <v>1.5252066928032748</v>
      </c>
      <c r="S777" s="686">
        <f t="shared" si="720"/>
        <v>1.3652066538919587</v>
      </c>
      <c r="T777" s="685">
        <f t="shared" si="721"/>
        <v>6.21312476072577</v>
      </c>
      <c r="U777" s="276">
        <f t="shared" si="722"/>
        <v>6.9804709676012404</v>
      </c>
      <c r="V777" s="276">
        <f t="shared" si="723"/>
        <v>4.0898697984593477</v>
      </c>
      <c r="W777" s="276">
        <f t="shared" si="724"/>
        <v>6.3470112207403417</v>
      </c>
      <c r="X777" s="276">
        <f t="shared" si="725"/>
        <v>6.8175385446699206</v>
      </c>
      <c r="Y777" s="686">
        <f t="shared" si="726"/>
        <v>6.2169561716589019</v>
      </c>
      <c r="Z777" s="685" t="e">
        <f t="shared" si="727"/>
        <v>#DIV/0!</v>
      </c>
      <c r="AA777" s="276" t="e">
        <f t="shared" si="728"/>
        <v>#DIV/0!</v>
      </c>
      <c r="AB777" s="276" t="e">
        <f t="shared" si="729"/>
        <v>#DIV/0!</v>
      </c>
      <c r="AC777" s="276" t="e">
        <f t="shared" si="730"/>
        <v>#DIV/0!</v>
      </c>
      <c r="AD777" s="276" t="e">
        <f t="shared" si="731"/>
        <v>#DIV/0!</v>
      </c>
      <c r="AE777" s="686" t="e">
        <f t="shared" si="732"/>
        <v>#DIV/0!</v>
      </c>
      <c r="AF777" s="239"/>
      <c r="AG777" s="965" t="e">
        <f t="shared" si="703"/>
        <v>#VALUE!</v>
      </c>
      <c r="AH777" s="878" t="e">
        <f t="shared" si="704"/>
        <v>#VALUE!</v>
      </c>
      <c r="AI777" s="878" t="e">
        <f t="shared" si="705"/>
        <v>#VALUE!</v>
      </c>
      <c r="AJ777" s="878" t="e">
        <f t="shared" si="706"/>
        <v>#VALUE!</v>
      </c>
      <c r="AK777" s="878" t="e">
        <f t="shared" si="707"/>
        <v>#VALUE!</v>
      </c>
      <c r="AL777" s="966" t="e">
        <f t="shared" si="708"/>
        <v>#VALUE!</v>
      </c>
      <c r="AM777" s="239"/>
      <c r="AO777" s="685">
        <f t="shared" si="733"/>
        <v>2.353114459255214</v>
      </c>
      <c r="AP777" s="276">
        <f t="shared" si="734"/>
        <v>-0.75058353652746734</v>
      </c>
      <c r="AQ777" s="276">
        <f t="shared" si="735"/>
        <v>-2.3160931839351653</v>
      </c>
      <c r="AR777" s="276">
        <f t="shared" si="736"/>
        <v>-5.7435892322600886</v>
      </c>
      <c r="AS777" s="276">
        <f t="shared" si="737"/>
        <v>2.265380403914361</v>
      </c>
      <c r="AT777" s="276">
        <f t="shared" si="738"/>
        <v>-0.6422006440048692</v>
      </c>
      <c r="AU777" s="685">
        <f t="shared" si="739"/>
        <v>1.766199124850748</v>
      </c>
      <c r="AV777" s="276">
        <f t="shared" si="740"/>
        <v>1.677990362036655</v>
      </c>
      <c r="AW777" s="276">
        <f t="shared" si="741"/>
        <v>0.96304093971773574</v>
      </c>
      <c r="AX777" s="276">
        <f t="shared" si="742"/>
        <v>0.66422805922951977</v>
      </c>
      <c r="AY777" s="276">
        <f t="shared" si="743"/>
        <v>1.5252066928032748</v>
      </c>
      <c r="AZ777" s="686">
        <f t="shared" si="744"/>
        <v>1.3652066538919587</v>
      </c>
      <c r="BA777" s="685">
        <f t="shared" si="745"/>
        <v>0</v>
      </c>
      <c r="BB777" s="276">
        <f t="shared" si="746"/>
        <v>0</v>
      </c>
      <c r="BC777" s="276">
        <f t="shared" si="747"/>
        <v>0</v>
      </c>
      <c r="BD777" s="276">
        <f t="shared" si="748"/>
        <v>0</v>
      </c>
      <c r="BE777" s="276">
        <f t="shared" si="749"/>
        <v>0</v>
      </c>
      <c r="BF777" s="686">
        <f t="shared" si="750"/>
        <v>0</v>
      </c>
      <c r="BG777" s="685" t="e">
        <f t="shared" si="751"/>
        <v>#DIV/0!</v>
      </c>
      <c r="BH777" s="276" t="e">
        <f t="shared" si="752"/>
        <v>#DIV/0!</v>
      </c>
      <c r="BI777" s="276" t="e">
        <f t="shared" si="753"/>
        <v>#DIV/0!</v>
      </c>
      <c r="BJ777" s="276" t="e">
        <f t="shared" si="754"/>
        <v>#DIV/0!</v>
      </c>
      <c r="BK777" s="276" t="e">
        <f t="shared" si="755"/>
        <v>#DIV/0!</v>
      </c>
      <c r="BL777" s="686" t="e">
        <f t="shared" si="756"/>
        <v>#DIV/0!</v>
      </c>
      <c r="BM777" s="239"/>
      <c r="BN777" s="965" t="e">
        <f t="shared" si="757"/>
        <v>#VALUE!</v>
      </c>
      <c r="BO777" s="878" t="e">
        <f t="shared" si="758"/>
        <v>#VALUE!</v>
      </c>
      <c r="BP777" s="878" t="e">
        <f t="shared" si="759"/>
        <v>#VALUE!</v>
      </c>
      <c r="BQ777" s="878" t="e">
        <f t="shared" si="760"/>
        <v>#VALUE!</v>
      </c>
      <c r="BR777" s="878" t="e">
        <f t="shared" si="761"/>
        <v>#VALUE!</v>
      </c>
      <c r="BS777" s="966" t="e">
        <f t="shared" si="762"/>
        <v>#VALUE!</v>
      </c>
    </row>
    <row r="778" spans="1:71">
      <c r="A778" s="284">
        <f t="shared" si="763"/>
        <v>710</v>
      </c>
      <c r="B778" s="285">
        <v>-3.1798416978360988</v>
      </c>
      <c r="C778" s="285">
        <v>2.4900832299348878</v>
      </c>
      <c r="D778" s="285">
        <v>2.8903863200663094</v>
      </c>
      <c r="E778" s="285">
        <v>-6.6896492719441607</v>
      </c>
      <c r="H778" s="685">
        <f t="shared" si="709"/>
        <v>-4.3130755396051539</v>
      </c>
      <c r="I778" s="276">
        <f t="shared" si="710"/>
        <v>-2.2043352773096263</v>
      </c>
      <c r="J778" s="276">
        <f t="shared" si="711"/>
        <v>-1.9471457356391195</v>
      </c>
      <c r="K778" s="276">
        <f t="shared" si="712"/>
        <v>-1.0904113781827625</v>
      </c>
      <c r="L778" s="276">
        <f t="shared" si="713"/>
        <v>-1.9985793796779696</v>
      </c>
      <c r="M778" s="276">
        <f t="shared" si="714"/>
        <v>0.51402535715108222</v>
      </c>
      <c r="N778" s="685">
        <f t="shared" si="715"/>
        <v>1.2829120189630194</v>
      </c>
      <c r="O778" s="276">
        <f t="shared" si="716"/>
        <v>0.94218828867821203</v>
      </c>
      <c r="P778" s="276">
        <f t="shared" si="717"/>
        <v>1.2132184992878468</v>
      </c>
      <c r="Q778" s="276">
        <f t="shared" si="718"/>
        <v>1.1452195897084001</v>
      </c>
      <c r="R778" s="276">
        <f t="shared" si="719"/>
        <v>0.96662646963041765</v>
      </c>
      <c r="S778" s="686">
        <f t="shared" si="720"/>
        <v>2.2981669871538202</v>
      </c>
      <c r="T778" s="685">
        <f t="shared" si="721"/>
        <v>6.1687500103372352</v>
      </c>
      <c r="U778" s="276">
        <f t="shared" si="722"/>
        <v>4.0501509960843949</v>
      </c>
      <c r="V778" s="276">
        <f t="shared" si="723"/>
        <v>7.5140867455796254</v>
      </c>
      <c r="W778" s="276">
        <f t="shared" si="724"/>
        <v>3.4294868491149817</v>
      </c>
      <c r="X778" s="276">
        <f t="shared" si="725"/>
        <v>2.9342409688549704</v>
      </c>
      <c r="Y778" s="686">
        <f t="shared" si="726"/>
        <v>4.2258296364101531</v>
      </c>
      <c r="Z778" s="685" t="e">
        <f t="shared" si="727"/>
        <v>#DIV/0!</v>
      </c>
      <c r="AA778" s="276" t="e">
        <f t="shared" si="728"/>
        <v>#DIV/0!</v>
      </c>
      <c r="AB778" s="276" t="e">
        <f t="shared" si="729"/>
        <v>#DIV/0!</v>
      </c>
      <c r="AC778" s="276" t="e">
        <f t="shared" si="730"/>
        <v>#DIV/0!</v>
      </c>
      <c r="AD778" s="276" t="e">
        <f t="shared" si="731"/>
        <v>#DIV/0!</v>
      </c>
      <c r="AE778" s="686" t="e">
        <f t="shared" si="732"/>
        <v>#DIV/0!</v>
      </c>
      <c r="AF778" s="239"/>
      <c r="AG778" s="965" t="e">
        <f t="shared" si="703"/>
        <v>#VALUE!</v>
      </c>
      <c r="AH778" s="878" t="e">
        <f t="shared" si="704"/>
        <v>#VALUE!</v>
      </c>
      <c r="AI778" s="878" t="e">
        <f t="shared" si="705"/>
        <v>#VALUE!</v>
      </c>
      <c r="AJ778" s="878" t="e">
        <f t="shared" si="706"/>
        <v>#VALUE!</v>
      </c>
      <c r="AK778" s="878" t="e">
        <f t="shared" si="707"/>
        <v>#VALUE!</v>
      </c>
      <c r="AL778" s="966" t="e">
        <f t="shared" si="708"/>
        <v>#VALUE!</v>
      </c>
      <c r="AM778" s="239"/>
      <c r="AO778" s="685">
        <f t="shared" si="733"/>
        <v>-4.3130755396051539</v>
      </c>
      <c r="AP778" s="276">
        <f t="shared" si="734"/>
        <v>-2.2043352773096263</v>
      </c>
      <c r="AQ778" s="276">
        <f t="shared" si="735"/>
        <v>-1.9471457356391195</v>
      </c>
      <c r="AR778" s="276">
        <f t="shared" si="736"/>
        <v>-1.0904113781827625</v>
      </c>
      <c r="AS778" s="276">
        <f t="shared" si="737"/>
        <v>-1.9985793796779696</v>
      </c>
      <c r="AT778" s="276">
        <f t="shared" si="738"/>
        <v>0.51402535715108222</v>
      </c>
      <c r="AU778" s="685">
        <f t="shared" si="739"/>
        <v>1.2829120189630194</v>
      </c>
      <c r="AV778" s="276">
        <f t="shared" si="740"/>
        <v>0.94218828867821203</v>
      </c>
      <c r="AW778" s="276">
        <f t="shared" si="741"/>
        <v>1.2132184992878468</v>
      </c>
      <c r="AX778" s="276">
        <f t="shared" si="742"/>
        <v>1.1452195897084001</v>
      </c>
      <c r="AY778" s="276">
        <f t="shared" si="743"/>
        <v>0.96662646963041765</v>
      </c>
      <c r="AZ778" s="686">
        <f t="shared" si="744"/>
        <v>2.2981669871538202</v>
      </c>
      <c r="BA778" s="685">
        <f t="shared" si="745"/>
        <v>0</v>
      </c>
      <c r="BB778" s="276">
        <f t="shared" si="746"/>
        <v>0</v>
      </c>
      <c r="BC778" s="276">
        <f t="shared" si="747"/>
        <v>0</v>
      </c>
      <c r="BD778" s="276">
        <f t="shared" si="748"/>
        <v>0</v>
      </c>
      <c r="BE778" s="276">
        <f t="shared" si="749"/>
        <v>0</v>
      </c>
      <c r="BF778" s="686">
        <f t="shared" si="750"/>
        <v>0</v>
      </c>
      <c r="BG778" s="685" t="e">
        <f t="shared" si="751"/>
        <v>#DIV/0!</v>
      </c>
      <c r="BH778" s="276" t="e">
        <f t="shared" si="752"/>
        <v>#DIV/0!</v>
      </c>
      <c r="BI778" s="276" t="e">
        <f t="shared" si="753"/>
        <v>#DIV/0!</v>
      </c>
      <c r="BJ778" s="276" t="e">
        <f t="shared" si="754"/>
        <v>#DIV/0!</v>
      </c>
      <c r="BK778" s="276" t="e">
        <f t="shared" si="755"/>
        <v>#DIV/0!</v>
      </c>
      <c r="BL778" s="686" t="e">
        <f t="shared" si="756"/>
        <v>#DIV/0!</v>
      </c>
      <c r="BM778" s="239"/>
      <c r="BN778" s="965" t="e">
        <f t="shared" si="757"/>
        <v>#VALUE!</v>
      </c>
      <c r="BO778" s="878" t="e">
        <f t="shared" si="758"/>
        <v>#VALUE!</v>
      </c>
      <c r="BP778" s="878" t="e">
        <f t="shared" si="759"/>
        <v>#VALUE!</v>
      </c>
      <c r="BQ778" s="878" t="e">
        <f t="shared" si="760"/>
        <v>#VALUE!</v>
      </c>
      <c r="BR778" s="878" t="e">
        <f t="shared" si="761"/>
        <v>#VALUE!</v>
      </c>
      <c r="BS778" s="966" t="e">
        <f t="shared" si="762"/>
        <v>#VALUE!</v>
      </c>
    </row>
    <row r="779" spans="1:71">
      <c r="A779" s="284">
        <f t="shared" si="763"/>
        <v>711</v>
      </c>
      <c r="B779" s="285">
        <v>2.9938520781693847</v>
      </c>
      <c r="C779" s="285">
        <v>2.5544567161931151</v>
      </c>
      <c r="D779" s="285">
        <v>0.35552518319709159</v>
      </c>
      <c r="E779" s="285">
        <v>3.9719677161066582</v>
      </c>
      <c r="H779" s="685">
        <f t="shared" si="709"/>
        <v>1.8606182364003299</v>
      </c>
      <c r="I779" s="276">
        <f t="shared" si="710"/>
        <v>0.52215218017182963</v>
      </c>
      <c r="J779" s="276">
        <f t="shared" si="711"/>
        <v>-0.59704726570717392</v>
      </c>
      <c r="K779" s="276">
        <f t="shared" si="712"/>
        <v>1.2104056539602304</v>
      </c>
      <c r="L779" s="276">
        <f t="shared" si="713"/>
        <v>0.5517639007545414</v>
      </c>
      <c r="M779" s="276">
        <f t="shared" si="714"/>
        <v>-0.53087400971936893</v>
      </c>
      <c r="N779" s="685">
        <f t="shared" si="715"/>
        <v>1.3472855052212467</v>
      </c>
      <c r="O779" s="276">
        <f t="shared" si="716"/>
        <v>0.3638889608154634</v>
      </c>
      <c r="P779" s="276">
        <f t="shared" si="717"/>
        <v>1.4215332882410248</v>
      </c>
      <c r="Q779" s="276">
        <f t="shared" si="718"/>
        <v>1.675848829859399</v>
      </c>
      <c r="R779" s="276">
        <f t="shared" si="719"/>
        <v>1.3546837823178934</v>
      </c>
      <c r="S779" s="686">
        <f t="shared" si="720"/>
        <v>2.0068653313502187</v>
      </c>
      <c r="T779" s="685">
        <f t="shared" si="721"/>
        <v>3.6338888734680177</v>
      </c>
      <c r="U779" s="276">
        <f t="shared" si="722"/>
        <v>6.9773989797591351</v>
      </c>
      <c r="V779" s="276">
        <f t="shared" si="723"/>
        <v>5.4452006332088922</v>
      </c>
      <c r="W779" s="276">
        <f t="shared" si="724"/>
        <v>6.6081775726979464</v>
      </c>
      <c r="X779" s="276">
        <f t="shared" si="725"/>
        <v>4.7852093454380009</v>
      </c>
      <c r="Y779" s="686">
        <f t="shared" si="726"/>
        <v>6.1782974585063339</v>
      </c>
      <c r="Z779" s="685" t="e">
        <f t="shared" si="727"/>
        <v>#DIV/0!</v>
      </c>
      <c r="AA779" s="276" t="e">
        <f t="shared" si="728"/>
        <v>#DIV/0!</v>
      </c>
      <c r="AB779" s="276" t="e">
        <f t="shared" si="729"/>
        <v>#DIV/0!</v>
      </c>
      <c r="AC779" s="276" t="e">
        <f t="shared" si="730"/>
        <v>#DIV/0!</v>
      </c>
      <c r="AD779" s="276" t="e">
        <f t="shared" si="731"/>
        <v>#DIV/0!</v>
      </c>
      <c r="AE779" s="686" t="e">
        <f t="shared" si="732"/>
        <v>#DIV/0!</v>
      </c>
      <c r="AF779" s="239"/>
      <c r="AG779" s="965" t="e">
        <f t="shared" si="703"/>
        <v>#VALUE!</v>
      </c>
      <c r="AH779" s="878" t="e">
        <f t="shared" si="704"/>
        <v>#VALUE!</v>
      </c>
      <c r="AI779" s="878" t="e">
        <f t="shared" si="705"/>
        <v>#VALUE!</v>
      </c>
      <c r="AJ779" s="878" t="e">
        <f t="shared" si="706"/>
        <v>#VALUE!</v>
      </c>
      <c r="AK779" s="878" t="e">
        <f t="shared" si="707"/>
        <v>#VALUE!</v>
      </c>
      <c r="AL779" s="966" t="e">
        <f t="shared" si="708"/>
        <v>#VALUE!</v>
      </c>
      <c r="AM779" s="239"/>
      <c r="AO779" s="685">
        <f t="shared" si="733"/>
        <v>1.8606182364003299</v>
      </c>
      <c r="AP779" s="276">
        <f t="shared" si="734"/>
        <v>0.52215218017182963</v>
      </c>
      <c r="AQ779" s="276">
        <f t="shared" si="735"/>
        <v>-0.59704726570717392</v>
      </c>
      <c r="AR779" s="276">
        <f t="shared" si="736"/>
        <v>1.2104056539602304</v>
      </c>
      <c r="AS779" s="276">
        <f t="shared" si="737"/>
        <v>0.5517639007545414</v>
      </c>
      <c r="AT779" s="276">
        <f t="shared" si="738"/>
        <v>-0.53087400971936893</v>
      </c>
      <c r="AU779" s="685">
        <f t="shared" si="739"/>
        <v>1.3472855052212467</v>
      </c>
      <c r="AV779" s="276">
        <f t="shared" si="740"/>
        <v>0.3638889608154634</v>
      </c>
      <c r="AW779" s="276">
        <f t="shared" si="741"/>
        <v>1.4215332882410248</v>
      </c>
      <c r="AX779" s="276">
        <f t="shared" si="742"/>
        <v>1.675848829859399</v>
      </c>
      <c r="AY779" s="276">
        <f t="shared" si="743"/>
        <v>1.3546837823178934</v>
      </c>
      <c r="AZ779" s="686">
        <f t="shared" si="744"/>
        <v>2.0068653313502187</v>
      </c>
      <c r="BA779" s="685">
        <f t="shared" si="745"/>
        <v>0</v>
      </c>
      <c r="BB779" s="276">
        <f t="shared" si="746"/>
        <v>0</v>
      </c>
      <c r="BC779" s="276">
        <f t="shared" si="747"/>
        <v>0</v>
      </c>
      <c r="BD779" s="276">
        <f t="shared" si="748"/>
        <v>0</v>
      </c>
      <c r="BE779" s="276">
        <f t="shared" si="749"/>
        <v>0</v>
      </c>
      <c r="BF779" s="686">
        <f t="shared" si="750"/>
        <v>0</v>
      </c>
      <c r="BG779" s="685" t="e">
        <f t="shared" si="751"/>
        <v>#DIV/0!</v>
      </c>
      <c r="BH779" s="276" t="e">
        <f t="shared" si="752"/>
        <v>#DIV/0!</v>
      </c>
      <c r="BI779" s="276" t="e">
        <f t="shared" si="753"/>
        <v>#DIV/0!</v>
      </c>
      <c r="BJ779" s="276" t="e">
        <f t="shared" si="754"/>
        <v>#DIV/0!</v>
      </c>
      <c r="BK779" s="276" t="e">
        <f t="shared" si="755"/>
        <v>#DIV/0!</v>
      </c>
      <c r="BL779" s="686" t="e">
        <f t="shared" si="756"/>
        <v>#DIV/0!</v>
      </c>
      <c r="BM779" s="239"/>
      <c r="BN779" s="965" t="e">
        <f t="shared" si="757"/>
        <v>#VALUE!</v>
      </c>
      <c r="BO779" s="878" t="e">
        <f t="shared" si="758"/>
        <v>#VALUE!</v>
      </c>
      <c r="BP779" s="878" t="e">
        <f t="shared" si="759"/>
        <v>#VALUE!</v>
      </c>
      <c r="BQ779" s="878" t="e">
        <f t="shared" si="760"/>
        <v>#VALUE!</v>
      </c>
      <c r="BR779" s="878" t="e">
        <f t="shared" si="761"/>
        <v>#VALUE!</v>
      </c>
      <c r="BS779" s="966" t="e">
        <f t="shared" si="762"/>
        <v>#VALUE!</v>
      </c>
    </row>
    <row r="780" spans="1:71">
      <c r="A780" s="284">
        <f t="shared" si="763"/>
        <v>712</v>
      </c>
      <c r="B780" s="285">
        <v>-4.7920621753696357</v>
      </c>
      <c r="C780" s="285">
        <v>3.0107261547950976</v>
      </c>
      <c r="D780" s="285">
        <v>-0.41737922309319053</v>
      </c>
      <c r="E780" s="285">
        <v>3.5883426603623048</v>
      </c>
      <c r="H780" s="685">
        <f t="shared" si="709"/>
        <v>-5.9252960171386908</v>
      </c>
      <c r="I780" s="276">
        <f t="shared" si="710"/>
        <v>-2.0848785293811929</v>
      </c>
      <c r="J780" s="276">
        <f t="shared" si="711"/>
        <v>1.4352586580102253</v>
      </c>
      <c r="K780" s="276">
        <f t="shared" si="712"/>
        <v>0.59894367956731331</v>
      </c>
      <c r="L780" s="276">
        <f t="shared" si="713"/>
        <v>4.1670684449600213</v>
      </c>
      <c r="M780" s="276">
        <f t="shared" si="714"/>
        <v>-2.7151116176113232</v>
      </c>
      <c r="N780" s="685">
        <f t="shared" si="715"/>
        <v>1.8035549438232292</v>
      </c>
      <c r="O780" s="276">
        <f t="shared" si="716"/>
        <v>0.50460348631080376</v>
      </c>
      <c r="P780" s="276">
        <f t="shared" si="717"/>
        <v>0.98675276139630674</v>
      </c>
      <c r="Q780" s="276">
        <f t="shared" si="718"/>
        <v>1.4458187566838079</v>
      </c>
      <c r="R780" s="276">
        <f t="shared" si="719"/>
        <v>1.5631013948964509</v>
      </c>
      <c r="S780" s="686">
        <f t="shared" si="720"/>
        <v>1.1217266994553856</v>
      </c>
      <c r="T780" s="685">
        <f t="shared" si="721"/>
        <v>2.8609844671777354</v>
      </c>
      <c r="U780" s="276">
        <f t="shared" si="722"/>
        <v>5.603940759004054</v>
      </c>
      <c r="V780" s="276">
        <f t="shared" si="723"/>
        <v>4.9300553312717899</v>
      </c>
      <c r="W780" s="276">
        <f t="shared" si="724"/>
        <v>2.8268511826589369</v>
      </c>
      <c r="X780" s="276">
        <f t="shared" si="725"/>
        <v>5.3086572947289365</v>
      </c>
      <c r="Y780" s="686">
        <f t="shared" si="726"/>
        <v>5.3835222837718124</v>
      </c>
      <c r="Z780" s="685" t="e">
        <f t="shared" si="727"/>
        <v>#DIV/0!</v>
      </c>
      <c r="AA780" s="276" t="e">
        <f t="shared" si="728"/>
        <v>#DIV/0!</v>
      </c>
      <c r="AB780" s="276" t="e">
        <f t="shared" si="729"/>
        <v>#DIV/0!</v>
      </c>
      <c r="AC780" s="276" t="e">
        <f t="shared" si="730"/>
        <v>#DIV/0!</v>
      </c>
      <c r="AD780" s="276" t="e">
        <f t="shared" si="731"/>
        <v>#DIV/0!</v>
      </c>
      <c r="AE780" s="686" t="e">
        <f t="shared" si="732"/>
        <v>#DIV/0!</v>
      </c>
      <c r="AF780" s="239"/>
      <c r="AG780" s="965" t="e">
        <f t="shared" si="703"/>
        <v>#VALUE!</v>
      </c>
      <c r="AH780" s="878" t="e">
        <f t="shared" si="704"/>
        <v>#VALUE!</v>
      </c>
      <c r="AI780" s="878" t="e">
        <f t="shared" si="705"/>
        <v>#VALUE!</v>
      </c>
      <c r="AJ780" s="878" t="e">
        <f t="shared" si="706"/>
        <v>#VALUE!</v>
      </c>
      <c r="AK780" s="878" t="e">
        <f t="shared" si="707"/>
        <v>#VALUE!</v>
      </c>
      <c r="AL780" s="966" t="e">
        <f t="shared" si="708"/>
        <v>#VALUE!</v>
      </c>
      <c r="AM780" s="239"/>
      <c r="AO780" s="685">
        <f t="shared" si="733"/>
        <v>-5.9252960171386908</v>
      </c>
      <c r="AP780" s="276">
        <f t="shared" si="734"/>
        <v>-2.0848785293811929</v>
      </c>
      <c r="AQ780" s="276">
        <f t="shared" si="735"/>
        <v>1.4352586580102253</v>
      </c>
      <c r="AR780" s="276">
        <f t="shared" si="736"/>
        <v>0.59894367956731331</v>
      </c>
      <c r="AS780" s="276">
        <f t="shared" si="737"/>
        <v>4.1670684449600213</v>
      </c>
      <c r="AT780" s="276">
        <f t="shared" si="738"/>
        <v>-2.7151116176113232</v>
      </c>
      <c r="AU780" s="685">
        <f t="shared" si="739"/>
        <v>1.8035549438232292</v>
      </c>
      <c r="AV780" s="276">
        <f t="shared" si="740"/>
        <v>0.50460348631080376</v>
      </c>
      <c r="AW780" s="276">
        <f t="shared" si="741"/>
        <v>0.98675276139630674</v>
      </c>
      <c r="AX780" s="276">
        <f t="shared" si="742"/>
        <v>1.4458187566838079</v>
      </c>
      <c r="AY780" s="276">
        <f t="shared" si="743"/>
        <v>1.5631013948964509</v>
      </c>
      <c r="AZ780" s="686">
        <f t="shared" si="744"/>
        <v>1.1217266994553856</v>
      </c>
      <c r="BA780" s="685">
        <f t="shared" si="745"/>
        <v>0</v>
      </c>
      <c r="BB780" s="276">
        <f t="shared" si="746"/>
        <v>0</v>
      </c>
      <c r="BC780" s="276">
        <f t="shared" si="747"/>
        <v>0</v>
      </c>
      <c r="BD780" s="276">
        <f t="shared" si="748"/>
        <v>0</v>
      </c>
      <c r="BE780" s="276">
        <f t="shared" si="749"/>
        <v>0</v>
      </c>
      <c r="BF780" s="686">
        <f t="shared" si="750"/>
        <v>0</v>
      </c>
      <c r="BG780" s="685" t="e">
        <f t="shared" si="751"/>
        <v>#DIV/0!</v>
      </c>
      <c r="BH780" s="276" t="e">
        <f t="shared" si="752"/>
        <v>#DIV/0!</v>
      </c>
      <c r="BI780" s="276" t="e">
        <f t="shared" si="753"/>
        <v>#DIV/0!</v>
      </c>
      <c r="BJ780" s="276" t="e">
        <f t="shared" si="754"/>
        <v>#DIV/0!</v>
      </c>
      <c r="BK780" s="276" t="e">
        <f t="shared" si="755"/>
        <v>#DIV/0!</v>
      </c>
      <c r="BL780" s="686" t="e">
        <f t="shared" si="756"/>
        <v>#DIV/0!</v>
      </c>
      <c r="BM780" s="239"/>
      <c r="BN780" s="965" t="e">
        <f t="shared" si="757"/>
        <v>#VALUE!</v>
      </c>
      <c r="BO780" s="878" t="e">
        <f t="shared" si="758"/>
        <v>#VALUE!</v>
      </c>
      <c r="BP780" s="878" t="e">
        <f t="shared" si="759"/>
        <v>#VALUE!</v>
      </c>
      <c r="BQ780" s="878" t="e">
        <f t="shared" si="760"/>
        <v>#VALUE!</v>
      </c>
      <c r="BR780" s="878" t="e">
        <f t="shared" si="761"/>
        <v>#VALUE!</v>
      </c>
      <c r="BS780" s="966" t="e">
        <f t="shared" si="762"/>
        <v>#VALUE!</v>
      </c>
    </row>
    <row r="781" spans="1:71">
      <c r="A781" s="284">
        <f t="shared" si="763"/>
        <v>713</v>
      </c>
      <c r="B781" s="285">
        <v>-3.0277711184579532</v>
      </c>
      <c r="C781" s="285">
        <v>1.8649008499640916</v>
      </c>
      <c r="D781" s="285">
        <v>-0.19378096275360868</v>
      </c>
      <c r="E781" s="285">
        <v>-3.3440521157032088</v>
      </c>
      <c r="H781" s="685">
        <f t="shared" si="709"/>
        <v>-4.1610049602270083</v>
      </c>
      <c r="I781" s="276">
        <f t="shared" si="710"/>
        <v>-3.204546240085075</v>
      </c>
      <c r="J781" s="276">
        <f t="shared" si="711"/>
        <v>-4.0396923493243726</v>
      </c>
      <c r="K781" s="276">
        <f t="shared" si="712"/>
        <v>-4.4556593094066166</v>
      </c>
      <c r="L781" s="276">
        <f t="shared" si="713"/>
        <v>0.47250754139157825</v>
      </c>
      <c r="M781" s="276">
        <f t="shared" si="714"/>
        <v>-1.3244883068866049</v>
      </c>
      <c r="N781" s="685">
        <f t="shared" si="715"/>
        <v>0.65772963899222314</v>
      </c>
      <c r="O781" s="276">
        <f t="shared" si="716"/>
        <v>0.32481351117201873</v>
      </c>
      <c r="P781" s="276">
        <f t="shared" si="717"/>
        <v>1.433316281949556</v>
      </c>
      <c r="Q781" s="276">
        <f t="shared" si="718"/>
        <v>0.59491419329476591</v>
      </c>
      <c r="R781" s="276">
        <f t="shared" si="719"/>
        <v>1.6451224139379248</v>
      </c>
      <c r="S781" s="686">
        <f t="shared" si="720"/>
        <v>0.44037498493191252</v>
      </c>
      <c r="T781" s="685">
        <f t="shared" si="721"/>
        <v>3.0845827275173172</v>
      </c>
      <c r="U781" s="276">
        <f t="shared" si="722"/>
        <v>1.3563555784065469</v>
      </c>
      <c r="V781" s="276">
        <f t="shared" si="723"/>
        <v>2.5706716979081747</v>
      </c>
      <c r="W781" s="276">
        <f t="shared" si="724"/>
        <v>4.41165001142621</v>
      </c>
      <c r="X781" s="276">
        <f t="shared" si="725"/>
        <v>3.4356066816705164</v>
      </c>
      <c r="Y781" s="686">
        <f t="shared" si="726"/>
        <v>5.3355579977675447</v>
      </c>
      <c r="Z781" s="685" t="e">
        <f t="shared" si="727"/>
        <v>#DIV/0!</v>
      </c>
      <c r="AA781" s="276" t="e">
        <f t="shared" si="728"/>
        <v>#DIV/0!</v>
      </c>
      <c r="AB781" s="276" t="e">
        <f t="shared" si="729"/>
        <v>#DIV/0!</v>
      </c>
      <c r="AC781" s="276" t="e">
        <f t="shared" si="730"/>
        <v>#DIV/0!</v>
      </c>
      <c r="AD781" s="276" t="e">
        <f t="shared" si="731"/>
        <v>#DIV/0!</v>
      </c>
      <c r="AE781" s="686" t="e">
        <f t="shared" si="732"/>
        <v>#DIV/0!</v>
      </c>
      <c r="AF781" s="239"/>
      <c r="AG781" s="965" t="e">
        <f t="shared" si="703"/>
        <v>#VALUE!</v>
      </c>
      <c r="AH781" s="878" t="e">
        <f t="shared" si="704"/>
        <v>#VALUE!</v>
      </c>
      <c r="AI781" s="878" t="e">
        <f t="shared" si="705"/>
        <v>#VALUE!</v>
      </c>
      <c r="AJ781" s="878" t="e">
        <f t="shared" si="706"/>
        <v>#VALUE!</v>
      </c>
      <c r="AK781" s="878" t="e">
        <f t="shared" si="707"/>
        <v>#VALUE!</v>
      </c>
      <c r="AL781" s="966" t="e">
        <f t="shared" si="708"/>
        <v>#VALUE!</v>
      </c>
      <c r="AM781" s="239"/>
      <c r="AO781" s="685">
        <f t="shared" si="733"/>
        <v>-4.1610049602270083</v>
      </c>
      <c r="AP781" s="276">
        <f t="shared" si="734"/>
        <v>-3.204546240085075</v>
      </c>
      <c r="AQ781" s="276">
        <f t="shared" si="735"/>
        <v>-4.0396923493243726</v>
      </c>
      <c r="AR781" s="276">
        <f t="shared" si="736"/>
        <v>-4.4556593094066166</v>
      </c>
      <c r="AS781" s="276">
        <f t="shared" si="737"/>
        <v>0.47250754139157825</v>
      </c>
      <c r="AT781" s="276">
        <f t="shared" si="738"/>
        <v>-1.3244883068866049</v>
      </c>
      <c r="AU781" s="685">
        <f t="shared" si="739"/>
        <v>0.65772963899222314</v>
      </c>
      <c r="AV781" s="276">
        <f t="shared" si="740"/>
        <v>0.32481351117201873</v>
      </c>
      <c r="AW781" s="276">
        <f t="shared" si="741"/>
        <v>1.433316281949556</v>
      </c>
      <c r="AX781" s="276">
        <f t="shared" si="742"/>
        <v>0.59491419329476591</v>
      </c>
      <c r="AY781" s="276">
        <f t="shared" si="743"/>
        <v>1.6451224139379248</v>
      </c>
      <c r="AZ781" s="686">
        <f t="shared" si="744"/>
        <v>0.44037498493191252</v>
      </c>
      <c r="BA781" s="685">
        <f t="shared" si="745"/>
        <v>0</v>
      </c>
      <c r="BB781" s="276">
        <f t="shared" si="746"/>
        <v>0</v>
      </c>
      <c r="BC781" s="276">
        <f t="shared" si="747"/>
        <v>0</v>
      </c>
      <c r="BD781" s="276">
        <f t="shared" si="748"/>
        <v>0</v>
      </c>
      <c r="BE781" s="276">
        <f t="shared" si="749"/>
        <v>0</v>
      </c>
      <c r="BF781" s="686">
        <f t="shared" si="750"/>
        <v>0</v>
      </c>
      <c r="BG781" s="685" t="e">
        <f t="shared" si="751"/>
        <v>#DIV/0!</v>
      </c>
      <c r="BH781" s="276" t="e">
        <f t="shared" si="752"/>
        <v>#DIV/0!</v>
      </c>
      <c r="BI781" s="276" t="e">
        <f t="shared" si="753"/>
        <v>#DIV/0!</v>
      </c>
      <c r="BJ781" s="276" t="e">
        <f t="shared" si="754"/>
        <v>#DIV/0!</v>
      </c>
      <c r="BK781" s="276" t="e">
        <f t="shared" si="755"/>
        <v>#DIV/0!</v>
      </c>
      <c r="BL781" s="686" t="e">
        <f t="shared" si="756"/>
        <v>#DIV/0!</v>
      </c>
      <c r="BM781" s="239"/>
      <c r="BN781" s="965" t="e">
        <f t="shared" si="757"/>
        <v>#VALUE!</v>
      </c>
      <c r="BO781" s="878" t="e">
        <f t="shared" si="758"/>
        <v>#VALUE!</v>
      </c>
      <c r="BP781" s="878" t="e">
        <f t="shared" si="759"/>
        <v>#VALUE!</v>
      </c>
      <c r="BQ781" s="878" t="e">
        <f t="shared" si="760"/>
        <v>#VALUE!</v>
      </c>
      <c r="BR781" s="878" t="e">
        <f t="shared" si="761"/>
        <v>#VALUE!</v>
      </c>
      <c r="BS781" s="966" t="e">
        <f t="shared" si="762"/>
        <v>#VALUE!</v>
      </c>
    </row>
    <row r="782" spans="1:71">
      <c r="A782" s="284">
        <f t="shared" si="763"/>
        <v>714</v>
      </c>
      <c r="B782" s="285">
        <v>0.22093258326679088</v>
      </c>
      <c r="C782" s="285">
        <v>3.0677204081647091</v>
      </c>
      <c r="D782" s="285">
        <v>0.85569494072143004</v>
      </c>
      <c r="E782" s="285">
        <v>2.759872410786397</v>
      </c>
      <c r="H782" s="685">
        <f t="shared" si="709"/>
        <v>-0.91230125850226396</v>
      </c>
      <c r="I782" s="276">
        <f t="shared" si="710"/>
        <v>-0.2780798935518759</v>
      </c>
      <c r="J782" s="276">
        <f t="shared" si="711"/>
        <v>1.5750711317005568</v>
      </c>
      <c r="K782" s="276">
        <f t="shared" si="712"/>
        <v>-0.78493986472053856</v>
      </c>
      <c r="L782" s="276">
        <f t="shared" si="713"/>
        <v>1.3078656194450364</v>
      </c>
      <c r="M782" s="276">
        <f t="shared" si="714"/>
        <v>1.5796574487692074</v>
      </c>
      <c r="N782" s="685">
        <f t="shared" si="715"/>
        <v>1.8605491971928407</v>
      </c>
      <c r="O782" s="276">
        <f t="shared" si="716"/>
        <v>0.647638023654449</v>
      </c>
      <c r="P782" s="276">
        <f t="shared" si="717"/>
        <v>2.1249273910717514</v>
      </c>
      <c r="Q782" s="276">
        <f t="shared" si="718"/>
        <v>1.3842651766779615</v>
      </c>
      <c r="R782" s="276">
        <f t="shared" si="719"/>
        <v>2.3220441878610458</v>
      </c>
      <c r="S782" s="686">
        <f t="shared" si="720"/>
        <v>1.3016739762930813</v>
      </c>
      <c r="T782" s="685">
        <f t="shared" si="721"/>
        <v>4.1340586309923557</v>
      </c>
      <c r="U782" s="276">
        <f t="shared" si="722"/>
        <v>4.5953407741777559</v>
      </c>
      <c r="V782" s="276">
        <f t="shared" si="723"/>
        <v>4.8629827775331647</v>
      </c>
      <c r="W782" s="276">
        <f t="shared" si="724"/>
        <v>3.5680697816557818</v>
      </c>
      <c r="X782" s="276">
        <f t="shared" si="725"/>
        <v>4.1493691023415815</v>
      </c>
      <c r="Y782" s="686">
        <f t="shared" si="726"/>
        <v>3.5769570899113785</v>
      </c>
      <c r="Z782" s="685" t="e">
        <f t="shared" si="727"/>
        <v>#DIV/0!</v>
      </c>
      <c r="AA782" s="276" t="e">
        <f t="shared" si="728"/>
        <v>#DIV/0!</v>
      </c>
      <c r="AB782" s="276" t="e">
        <f t="shared" si="729"/>
        <v>#DIV/0!</v>
      </c>
      <c r="AC782" s="276" t="e">
        <f t="shared" si="730"/>
        <v>#DIV/0!</v>
      </c>
      <c r="AD782" s="276" t="e">
        <f t="shared" si="731"/>
        <v>#DIV/0!</v>
      </c>
      <c r="AE782" s="686" t="e">
        <f t="shared" si="732"/>
        <v>#DIV/0!</v>
      </c>
      <c r="AF782" s="239"/>
      <c r="AG782" s="965" t="e">
        <f t="shared" si="703"/>
        <v>#VALUE!</v>
      </c>
      <c r="AH782" s="878" t="e">
        <f t="shared" si="704"/>
        <v>#VALUE!</v>
      </c>
      <c r="AI782" s="878" t="e">
        <f t="shared" si="705"/>
        <v>#VALUE!</v>
      </c>
      <c r="AJ782" s="878" t="e">
        <f t="shared" si="706"/>
        <v>#VALUE!</v>
      </c>
      <c r="AK782" s="878" t="e">
        <f t="shared" si="707"/>
        <v>#VALUE!</v>
      </c>
      <c r="AL782" s="966" t="e">
        <f t="shared" si="708"/>
        <v>#VALUE!</v>
      </c>
      <c r="AM782" s="239"/>
      <c r="AO782" s="685">
        <f t="shared" si="733"/>
        <v>-0.91230125850226396</v>
      </c>
      <c r="AP782" s="276">
        <f t="shared" si="734"/>
        <v>-0.2780798935518759</v>
      </c>
      <c r="AQ782" s="276">
        <f t="shared" si="735"/>
        <v>1.5750711317005568</v>
      </c>
      <c r="AR782" s="276">
        <f t="shared" si="736"/>
        <v>-0.78493986472053856</v>
      </c>
      <c r="AS782" s="276">
        <f t="shared" si="737"/>
        <v>1.3078656194450364</v>
      </c>
      <c r="AT782" s="276">
        <f t="shared" si="738"/>
        <v>1.5796574487692074</v>
      </c>
      <c r="AU782" s="685">
        <f t="shared" si="739"/>
        <v>1.8605491971928407</v>
      </c>
      <c r="AV782" s="276">
        <f t="shared" si="740"/>
        <v>0.647638023654449</v>
      </c>
      <c r="AW782" s="276">
        <f t="shared" si="741"/>
        <v>2.1249273910717514</v>
      </c>
      <c r="AX782" s="276">
        <f t="shared" si="742"/>
        <v>1.3842651766779615</v>
      </c>
      <c r="AY782" s="276">
        <f t="shared" si="743"/>
        <v>2.3220441878610458</v>
      </c>
      <c r="AZ782" s="686">
        <f t="shared" si="744"/>
        <v>1.3016739762930813</v>
      </c>
      <c r="BA782" s="685">
        <f t="shared" si="745"/>
        <v>0</v>
      </c>
      <c r="BB782" s="276">
        <f t="shared" si="746"/>
        <v>0</v>
      </c>
      <c r="BC782" s="276">
        <f t="shared" si="747"/>
        <v>0</v>
      </c>
      <c r="BD782" s="276">
        <f t="shared" si="748"/>
        <v>0</v>
      </c>
      <c r="BE782" s="276">
        <f t="shared" si="749"/>
        <v>0</v>
      </c>
      <c r="BF782" s="686">
        <f t="shared" si="750"/>
        <v>0</v>
      </c>
      <c r="BG782" s="685" t="e">
        <f t="shared" si="751"/>
        <v>#DIV/0!</v>
      </c>
      <c r="BH782" s="276" t="e">
        <f t="shared" si="752"/>
        <v>#DIV/0!</v>
      </c>
      <c r="BI782" s="276" t="e">
        <f t="shared" si="753"/>
        <v>#DIV/0!</v>
      </c>
      <c r="BJ782" s="276" t="e">
        <f t="shared" si="754"/>
        <v>#DIV/0!</v>
      </c>
      <c r="BK782" s="276" t="e">
        <f t="shared" si="755"/>
        <v>#DIV/0!</v>
      </c>
      <c r="BL782" s="686" t="e">
        <f t="shared" si="756"/>
        <v>#DIV/0!</v>
      </c>
      <c r="BM782" s="239"/>
      <c r="BN782" s="965" t="e">
        <f t="shared" si="757"/>
        <v>#VALUE!</v>
      </c>
      <c r="BO782" s="878" t="e">
        <f t="shared" si="758"/>
        <v>#VALUE!</v>
      </c>
      <c r="BP782" s="878" t="e">
        <f t="shared" si="759"/>
        <v>#VALUE!</v>
      </c>
      <c r="BQ782" s="878" t="e">
        <f t="shared" si="760"/>
        <v>#VALUE!</v>
      </c>
      <c r="BR782" s="878" t="e">
        <f t="shared" si="761"/>
        <v>#VALUE!</v>
      </c>
      <c r="BS782" s="966" t="e">
        <f t="shared" si="762"/>
        <v>#VALUE!</v>
      </c>
    </row>
    <row r="783" spans="1:71">
      <c r="A783" s="284">
        <f t="shared" si="763"/>
        <v>715</v>
      </c>
      <c r="B783" s="285">
        <v>4.1095658677011926</v>
      </c>
      <c r="C783" s="285">
        <v>2.3060539625284115</v>
      </c>
      <c r="D783" s="285">
        <v>2.0909630137883699</v>
      </c>
      <c r="E783" s="285">
        <v>-27.043899822753882</v>
      </c>
      <c r="H783" s="685">
        <f t="shared" si="709"/>
        <v>2.9763320259321375</v>
      </c>
      <c r="I783" s="276">
        <f t="shared" si="710"/>
        <v>-0.39015963120935138</v>
      </c>
      <c r="J783" s="276">
        <f t="shared" si="711"/>
        <v>-3.8378854846841755</v>
      </c>
      <c r="K783" s="276">
        <f t="shared" si="712"/>
        <v>0.2812315380072361</v>
      </c>
      <c r="L783" s="276">
        <f t="shared" si="713"/>
        <v>-0.80793977972391184</v>
      </c>
      <c r="M783" s="276">
        <f t="shared" si="714"/>
        <v>-2.3345331968988781</v>
      </c>
      <c r="N783" s="685">
        <f t="shared" si="715"/>
        <v>1.0988827515565431</v>
      </c>
      <c r="O783" s="276">
        <f t="shared" si="716"/>
        <v>0.50415367075487483</v>
      </c>
      <c r="P783" s="276">
        <f t="shared" si="717"/>
        <v>1.7815220101655516</v>
      </c>
      <c r="Q783" s="276">
        <f t="shared" si="718"/>
        <v>1.6135002428420229</v>
      </c>
      <c r="R783" s="276">
        <f t="shared" si="719"/>
        <v>1.9203537682922034</v>
      </c>
      <c r="S783" s="686">
        <f t="shared" si="720"/>
        <v>0.59054499145371753</v>
      </c>
      <c r="T783" s="685">
        <f t="shared" si="721"/>
        <v>5.3693267040592954</v>
      </c>
      <c r="U783" s="276">
        <f t="shared" si="722"/>
        <v>5.0990088717566762</v>
      </c>
      <c r="V783" s="276">
        <f t="shared" si="723"/>
        <v>3.3624545920865598</v>
      </c>
      <c r="W783" s="276">
        <f t="shared" si="724"/>
        <v>4.8844935431466512</v>
      </c>
      <c r="X783" s="276">
        <f t="shared" si="725"/>
        <v>4.0788063915028765</v>
      </c>
      <c r="Y783" s="686">
        <f t="shared" si="726"/>
        <v>4.6394331644152746</v>
      </c>
      <c r="Z783" s="685" t="e">
        <f t="shared" si="727"/>
        <v>#DIV/0!</v>
      </c>
      <c r="AA783" s="276" t="e">
        <f t="shared" si="728"/>
        <v>#DIV/0!</v>
      </c>
      <c r="AB783" s="276" t="e">
        <f t="shared" si="729"/>
        <v>#DIV/0!</v>
      </c>
      <c r="AC783" s="276" t="e">
        <f t="shared" si="730"/>
        <v>#DIV/0!</v>
      </c>
      <c r="AD783" s="276" t="e">
        <f t="shared" si="731"/>
        <v>#DIV/0!</v>
      </c>
      <c r="AE783" s="686" t="e">
        <f t="shared" si="732"/>
        <v>#DIV/0!</v>
      </c>
      <c r="AF783" s="239"/>
      <c r="AG783" s="965" t="e">
        <f t="shared" si="703"/>
        <v>#VALUE!</v>
      </c>
      <c r="AH783" s="878" t="e">
        <f t="shared" si="704"/>
        <v>#VALUE!</v>
      </c>
      <c r="AI783" s="878" t="e">
        <f t="shared" si="705"/>
        <v>#VALUE!</v>
      </c>
      <c r="AJ783" s="878" t="e">
        <f t="shared" si="706"/>
        <v>#VALUE!</v>
      </c>
      <c r="AK783" s="878" t="e">
        <f t="shared" si="707"/>
        <v>#VALUE!</v>
      </c>
      <c r="AL783" s="966" t="e">
        <f t="shared" si="708"/>
        <v>#VALUE!</v>
      </c>
      <c r="AM783" s="239"/>
      <c r="AO783" s="685">
        <f t="shared" si="733"/>
        <v>2.9763320259321375</v>
      </c>
      <c r="AP783" s="276">
        <f t="shared" si="734"/>
        <v>-0.39015963120935138</v>
      </c>
      <c r="AQ783" s="276">
        <f t="shared" si="735"/>
        <v>-3.8378854846841755</v>
      </c>
      <c r="AR783" s="276">
        <f t="shared" si="736"/>
        <v>0.2812315380072361</v>
      </c>
      <c r="AS783" s="276">
        <f t="shared" si="737"/>
        <v>-0.80793977972391184</v>
      </c>
      <c r="AT783" s="276">
        <f t="shared" si="738"/>
        <v>-2.3345331968988781</v>
      </c>
      <c r="AU783" s="685">
        <f t="shared" si="739"/>
        <v>1.0988827515565431</v>
      </c>
      <c r="AV783" s="276">
        <f t="shared" si="740"/>
        <v>0.50415367075487483</v>
      </c>
      <c r="AW783" s="276">
        <f t="shared" si="741"/>
        <v>1.7815220101655516</v>
      </c>
      <c r="AX783" s="276">
        <f t="shared" si="742"/>
        <v>1.6135002428420229</v>
      </c>
      <c r="AY783" s="276">
        <f t="shared" si="743"/>
        <v>1.9203537682922034</v>
      </c>
      <c r="AZ783" s="686">
        <f t="shared" si="744"/>
        <v>0.59054499145371753</v>
      </c>
      <c r="BA783" s="685">
        <f t="shared" si="745"/>
        <v>0</v>
      </c>
      <c r="BB783" s="276">
        <f t="shared" si="746"/>
        <v>0</v>
      </c>
      <c r="BC783" s="276">
        <f t="shared" si="747"/>
        <v>0</v>
      </c>
      <c r="BD783" s="276">
        <f t="shared" si="748"/>
        <v>0</v>
      </c>
      <c r="BE783" s="276">
        <f t="shared" si="749"/>
        <v>0</v>
      </c>
      <c r="BF783" s="686">
        <f t="shared" si="750"/>
        <v>0</v>
      </c>
      <c r="BG783" s="685" t="e">
        <f t="shared" si="751"/>
        <v>#DIV/0!</v>
      </c>
      <c r="BH783" s="276" t="e">
        <f t="shared" si="752"/>
        <v>#DIV/0!</v>
      </c>
      <c r="BI783" s="276" t="e">
        <f t="shared" si="753"/>
        <v>#DIV/0!</v>
      </c>
      <c r="BJ783" s="276" t="e">
        <f t="shared" si="754"/>
        <v>#DIV/0!</v>
      </c>
      <c r="BK783" s="276" t="e">
        <f t="shared" si="755"/>
        <v>#DIV/0!</v>
      </c>
      <c r="BL783" s="686" t="e">
        <f t="shared" si="756"/>
        <v>#DIV/0!</v>
      </c>
      <c r="BM783" s="239"/>
      <c r="BN783" s="965" t="e">
        <f t="shared" si="757"/>
        <v>#VALUE!</v>
      </c>
      <c r="BO783" s="878" t="e">
        <f t="shared" si="758"/>
        <v>#VALUE!</v>
      </c>
      <c r="BP783" s="878" t="e">
        <f t="shared" si="759"/>
        <v>#VALUE!</v>
      </c>
      <c r="BQ783" s="878" t="e">
        <f t="shared" si="760"/>
        <v>#VALUE!</v>
      </c>
      <c r="BR783" s="878" t="e">
        <f t="shared" si="761"/>
        <v>#VALUE!</v>
      </c>
      <c r="BS783" s="966" t="e">
        <f t="shared" si="762"/>
        <v>#VALUE!</v>
      </c>
    </row>
    <row r="784" spans="1:71">
      <c r="A784" s="284">
        <f t="shared" si="763"/>
        <v>716</v>
      </c>
      <c r="B784" s="285">
        <v>-3.3744920549376305</v>
      </c>
      <c r="C784" s="285">
        <v>2.041838136751148</v>
      </c>
      <c r="D784" s="285">
        <v>-0.92838814118937441</v>
      </c>
      <c r="E784" s="285">
        <v>-11.828548426394162</v>
      </c>
      <c r="H784" s="685">
        <f t="shared" si="709"/>
        <v>-4.5077258967066856</v>
      </c>
      <c r="I784" s="276">
        <f t="shared" si="710"/>
        <v>-0.36284817686737902</v>
      </c>
      <c r="J784" s="276">
        <f t="shared" si="711"/>
        <v>-3.2372450823446934</v>
      </c>
      <c r="K784" s="276">
        <f t="shared" si="712"/>
        <v>2.8378225056294974</v>
      </c>
      <c r="L784" s="276">
        <f t="shared" si="713"/>
        <v>-1.8648930982626588</v>
      </c>
      <c r="M784" s="276">
        <f t="shared" si="714"/>
        <v>-1.8771042001854843</v>
      </c>
      <c r="N784" s="685">
        <f t="shared" si="715"/>
        <v>0.83466692577927959</v>
      </c>
      <c r="O784" s="276">
        <f t="shared" si="716"/>
        <v>1.4770717130151041</v>
      </c>
      <c r="P784" s="276">
        <f t="shared" si="717"/>
        <v>1.0452881873314028</v>
      </c>
      <c r="Q784" s="276">
        <f t="shared" si="718"/>
        <v>1.8182474553368386</v>
      </c>
      <c r="R784" s="276">
        <f t="shared" si="719"/>
        <v>1.0542991271923225</v>
      </c>
      <c r="S784" s="686">
        <f t="shared" si="720"/>
        <v>1.05704203015008</v>
      </c>
      <c r="T784" s="685">
        <f t="shared" si="721"/>
        <v>2.3499755490815515</v>
      </c>
      <c r="U784" s="276">
        <f t="shared" si="722"/>
        <v>5.1442548424792864</v>
      </c>
      <c r="V784" s="276">
        <f t="shared" si="723"/>
        <v>4.6857297060600178</v>
      </c>
      <c r="W784" s="276">
        <f t="shared" si="724"/>
        <v>3.2025679367004951</v>
      </c>
      <c r="X784" s="276">
        <f t="shared" si="725"/>
        <v>3.2925785262936103</v>
      </c>
      <c r="Y784" s="686">
        <f t="shared" si="726"/>
        <v>3.6889349697927054</v>
      </c>
      <c r="Z784" s="685" t="e">
        <f t="shared" si="727"/>
        <v>#DIV/0!</v>
      </c>
      <c r="AA784" s="276" t="e">
        <f t="shared" si="728"/>
        <v>#DIV/0!</v>
      </c>
      <c r="AB784" s="276" t="e">
        <f t="shared" si="729"/>
        <v>#DIV/0!</v>
      </c>
      <c r="AC784" s="276" t="e">
        <f t="shared" si="730"/>
        <v>#DIV/0!</v>
      </c>
      <c r="AD784" s="276" t="e">
        <f t="shared" si="731"/>
        <v>#DIV/0!</v>
      </c>
      <c r="AE784" s="686" t="e">
        <f t="shared" si="732"/>
        <v>#DIV/0!</v>
      </c>
      <c r="AF784" s="239"/>
      <c r="AG784" s="965" t="e">
        <f t="shared" si="703"/>
        <v>#VALUE!</v>
      </c>
      <c r="AH784" s="878" t="e">
        <f t="shared" si="704"/>
        <v>#VALUE!</v>
      </c>
      <c r="AI784" s="878" t="e">
        <f t="shared" si="705"/>
        <v>#VALUE!</v>
      </c>
      <c r="AJ784" s="878" t="e">
        <f t="shared" si="706"/>
        <v>#VALUE!</v>
      </c>
      <c r="AK784" s="878" t="e">
        <f t="shared" si="707"/>
        <v>#VALUE!</v>
      </c>
      <c r="AL784" s="966" t="e">
        <f t="shared" si="708"/>
        <v>#VALUE!</v>
      </c>
      <c r="AM784" s="239"/>
      <c r="AO784" s="685">
        <f t="shared" si="733"/>
        <v>-4.5077258967066856</v>
      </c>
      <c r="AP784" s="276">
        <f t="shared" si="734"/>
        <v>-0.36284817686737902</v>
      </c>
      <c r="AQ784" s="276">
        <f t="shared" si="735"/>
        <v>-3.2372450823446934</v>
      </c>
      <c r="AR784" s="276">
        <f t="shared" si="736"/>
        <v>2.8378225056294974</v>
      </c>
      <c r="AS784" s="276">
        <f t="shared" si="737"/>
        <v>-1.8648930982626588</v>
      </c>
      <c r="AT784" s="276">
        <f t="shared" si="738"/>
        <v>-1.8771042001854843</v>
      </c>
      <c r="AU784" s="685">
        <f t="shared" si="739"/>
        <v>0.83466692577927959</v>
      </c>
      <c r="AV784" s="276">
        <f t="shared" si="740"/>
        <v>1.4770717130151041</v>
      </c>
      <c r="AW784" s="276">
        <f t="shared" si="741"/>
        <v>1.0452881873314028</v>
      </c>
      <c r="AX784" s="276">
        <f t="shared" si="742"/>
        <v>1.8182474553368386</v>
      </c>
      <c r="AY784" s="276">
        <f t="shared" si="743"/>
        <v>1.0542991271923225</v>
      </c>
      <c r="AZ784" s="686">
        <f t="shared" si="744"/>
        <v>1.05704203015008</v>
      </c>
      <c r="BA784" s="685">
        <f t="shared" si="745"/>
        <v>0</v>
      </c>
      <c r="BB784" s="276">
        <f t="shared" si="746"/>
        <v>0</v>
      </c>
      <c r="BC784" s="276">
        <f t="shared" si="747"/>
        <v>0</v>
      </c>
      <c r="BD784" s="276">
        <f t="shared" si="748"/>
        <v>0</v>
      </c>
      <c r="BE784" s="276">
        <f t="shared" si="749"/>
        <v>0</v>
      </c>
      <c r="BF784" s="686">
        <f t="shared" si="750"/>
        <v>0</v>
      </c>
      <c r="BG784" s="685" t="e">
        <f t="shared" si="751"/>
        <v>#DIV/0!</v>
      </c>
      <c r="BH784" s="276" t="e">
        <f t="shared" si="752"/>
        <v>#DIV/0!</v>
      </c>
      <c r="BI784" s="276" t="e">
        <f t="shared" si="753"/>
        <v>#DIV/0!</v>
      </c>
      <c r="BJ784" s="276" t="e">
        <f t="shared" si="754"/>
        <v>#DIV/0!</v>
      </c>
      <c r="BK784" s="276" t="e">
        <f t="shared" si="755"/>
        <v>#DIV/0!</v>
      </c>
      <c r="BL784" s="686" t="e">
        <f t="shared" si="756"/>
        <v>#DIV/0!</v>
      </c>
      <c r="BM784" s="239"/>
      <c r="BN784" s="965" t="e">
        <f t="shared" si="757"/>
        <v>#VALUE!</v>
      </c>
      <c r="BO784" s="878" t="e">
        <f t="shared" si="758"/>
        <v>#VALUE!</v>
      </c>
      <c r="BP784" s="878" t="e">
        <f t="shared" si="759"/>
        <v>#VALUE!</v>
      </c>
      <c r="BQ784" s="878" t="e">
        <f t="shared" si="760"/>
        <v>#VALUE!</v>
      </c>
      <c r="BR784" s="878" t="e">
        <f t="shared" si="761"/>
        <v>#VALUE!</v>
      </c>
      <c r="BS784" s="966" t="e">
        <f t="shared" si="762"/>
        <v>#VALUE!</v>
      </c>
    </row>
    <row r="785" spans="1:71">
      <c r="A785" s="284">
        <f t="shared" si="763"/>
        <v>717</v>
      </c>
      <c r="B785" s="285">
        <v>1.9296911236361074</v>
      </c>
      <c r="C785" s="285">
        <v>2.7532950185665452</v>
      </c>
      <c r="D785" s="285">
        <v>3.0948135528229579</v>
      </c>
      <c r="E785" s="285">
        <v>-14.208165646100424</v>
      </c>
      <c r="H785" s="685">
        <f t="shared" si="709"/>
        <v>0.79645728186705256</v>
      </c>
      <c r="I785" s="276">
        <f t="shared" si="710"/>
        <v>-1.3766073631297571</v>
      </c>
      <c r="J785" s="276">
        <f t="shared" si="711"/>
        <v>2.5336376941117109</v>
      </c>
      <c r="K785" s="276">
        <f t="shared" si="712"/>
        <v>-3.7992108848864197</v>
      </c>
      <c r="L785" s="276">
        <f t="shared" si="713"/>
        <v>3.2662692194008081E-2</v>
      </c>
      <c r="M785" s="276">
        <f t="shared" si="714"/>
        <v>4.3452510984642059</v>
      </c>
      <c r="N785" s="685">
        <f t="shared" si="715"/>
        <v>1.5461238075946768</v>
      </c>
      <c r="O785" s="276">
        <f t="shared" si="716"/>
        <v>0.88197828112192656</v>
      </c>
      <c r="P785" s="276">
        <f t="shared" si="717"/>
        <v>2.3827297485823156</v>
      </c>
      <c r="Q785" s="276">
        <f t="shared" si="718"/>
        <v>0.84029580752664379</v>
      </c>
      <c r="R785" s="276">
        <f t="shared" si="719"/>
        <v>1.7258481622712283</v>
      </c>
      <c r="S785" s="686">
        <f t="shared" si="720"/>
        <v>1.6195602809476</v>
      </c>
      <c r="T785" s="685">
        <f t="shared" si="721"/>
        <v>6.3731772430938838</v>
      </c>
      <c r="U785" s="276">
        <f t="shared" si="722"/>
        <v>4.0949167848246342</v>
      </c>
      <c r="V785" s="276">
        <f t="shared" si="723"/>
        <v>4.9572129822422788</v>
      </c>
      <c r="W785" s="276">
        <f t="shared" si="724"/>
        <v>5.2047720053170181</v>
      </c>
      <c r="X785" s="276">
        <f t="shared" si="725"/>
        <v>6.9816380101322135</v>
      </c>
      <c r="Y785" s="686">
        <f t="shared" si="726"/>
        <v>5.5708745753215645</v>
      </c>
      <c r="Z785" s="685" t="e">
        <f t="shared" si="727"/>
        <v>#DIV/0!</v>
      </c>
      <c r="AA785" s="276" t="e">
        <f t="shared" si="728"/>
        <v>#DIV/0!</v>
      </c>
      <c r="AB785" s="276" t="e">
        <f t="shared" si="729"/>
        <v>#DIV/0!</v>
      </c>
      <c r="AC785" s="276" t="e">
        <f t="shared" si="730"/>
        <v>#DIV/0!</v>
      </c>
      <c r="AD785" s="276" t="e">
        <f t="shared" si="731"/>
        <v>#DIV/0!</v>
      </c>
      <c r="AE785" s="686" t="e">
        <f t="shared" si="732"/>
        <v>#DIV/0!</v>
      </c>
      <c r="AF785" s="239"/>
      <c r="AG785" s="965" t="e">
        <f t="shared" si="703"/>
        <v>#VALUE!</v>
      </c>
      <c r="AH785" s="878" t="e">
        <f t="shared" si="704"/>
        <v>#VALUE!</v>
      </c>
      <c r="AI785" s="878" t="e">
        <f t="shared" si="705"/>
        <v>#VALUE!</v>
      </c>
      <c r="AJ785" s="878" t="e">
        <f t="shared" si="706"/>
        <v>#VALUE!</v>
      </c>
      <c r="AK785" s="878" t="e">
        <f t="shared" si="707"/>
        <v>#VALUE!</v>
      </c>
      <c r="AL785" s="966" t="e">
        <f t="shared" si="708"/>
        <v>#VALUE!</v>
      </c>
      <c r="AM785" s="239"/>
      <c r="AO785" s="685">
        <f t="shared" si="733"/>
        <v>0.79645728186705256</v>
      </c>
      <c r="AP785" s="276">
        <f t="shared" si="734"/>
        <v>-1.3766073631297571</v>
      </c>
      <c r="AQ785" s="276">
        <f t="shared" si="735"/>
        <v>2.5336376941117109</v>
      </c>
      <c r="AR785" s="276">
        <f t="shared" si="736"/>
        <v>-3.7992108848864197</v>
      </c>
      <c r="AS785" s="276">
        <f t="shared" si="737"/>
        <v>3.2662692194008081E-2</v>
      </c>
      <c r="AT785" s="276">
        <f t="shared" si="738"/>
        <v>4.3452510984642059</v>
      </c>
      <c r="AU785" s="685">
        <f t="shared" si="739"/>
        <v>1.5461238075946768</v>
      </c>
      <c r="AV785" s="276">
        <f t="shared" si="740"/>
        <v>0.88197828112192656</v>
      </c>
      <c r="AW785" s="276">
        <f t="shared" si="741"/>
        <v>2.3827297485823156</v>
      </c>
      <c r="AX785" s="276">
        <f t="shared" si="742"/>
        <v>0.84029580752664379</v>
      </c>
      <c r="AY785" s="276">
        <f t="shared" si="743"/>
        <v>1.7258481622712283</v>
      </c>
      <c r="AZ785" s="686">
        <f t="shared" si="744"/>
        <v>1.6195602809476</v>
      </c>
      <c r="BA785" s="685">
        <f t="shared" si="745"/>
        <v>0</v>
      </c>
      <c r="BB785" s="276">
        <f t="shared" si="746"/>
        <v>0</v>
      </c>
      <c r="BC785" s="276">
        <f t="shared" si="747"/>
        <v>0</v>
      </c>
      <c r="BD785" s="276">
        <f t="shared" si="748"/>
        <v>0</v>
      </c>
      <c r="BE785" s="276">
        <f t="shared" si="749"/>
        <v>0</v>
      </c>
      <c r="BF785" s="686">
        <f t="shared" si="750"/>
        <v>0</v>
      </c>
      <c r="BG785" s="685" t="e">
        <f t="shared" si="751"/>
        <v>#DIV/0!</v>
      </c>
      <c r="BH785" s="276" t="e">
        <f t="shared" si="752"/>
        <v>#DIV/0!</v>
      </c>
      <c r="BI785" s="276" t="e">
        <f t="shared" si="753"/>
        <v>#DIV/0!</v>
      </c>
      <c r="BJ785" s="276" t="e">
        <f t="shared" si="754"/>
        <v>#DIV/0!</v>
      </c>
      <c r="BK785" s="276" t="e">
        <f t="shared" si="755"/>
        <v>#DIV/0!</v>
      </c>
      <c r="BL785" s="686" t="e">
        <f t="shared" si="756"/>
        <v>#DIV/0!</v>
      </c>
      <c r="BM785" s="239"/>
      <c r="BN785" s="965" t="e">
        <f t="shared" si="757"/>
        <v>#VALUE!</v>
      </c>
      <c r="BO785" s="878" t="e">
        <f t="shared" si="758"/>
        <v>#VALUE!</v>
      </c>
      <c r="BP785" s="878" t="e">
        <f t="shared" si="759"/>
        <v>#VALUE!</v>
      </c>
      <c r="BQ785" s="878" t="e">
        <f t="shared" si="760"/>
        <v>#VALUE!</v>
      </c>
      <c r="BR785" s="878" t="e">
        <f t="shared" si="761"/>
        <v>#VALUE!</v>
      </c>
      <c r="BS785" s="966" t="e">
        <f t="shared" si="762"/>
        <v>#VALUE!</v>
      </c>
    </row>
    <row r="786" spans="1:71">
      <c r="A786" s="284">
        <f t="shared" si="763"/>
        <v>718</v>
      </c>
      <c r="B786" s="285">
        <v>-1.1745469635653703</v>
      </c>
      <c r="C786" s="285">
        <v>2.1526298273223632</v>
      </c>
      <c r="D786" s="285">
        <v>0.65480034795276731</v>
      </c>
      <c r="E786" s="285">
        <v>-16.156313725992245</v>
      </c>
      <c r="H786" s="685">
        <f t="shared" si="709"/>
        <v>-2.3077808053344251</v>
      </c>
      <c r="I786" s="276">
        <f t="shared" si="710"/>
        <v>1.5860358615395136</v>
      </c>
      <c r="J786" s="276">
        <f t="shared" si="711"/>
        <v>-1.1426648660215419</v>
      </c>
      <c r="K786" s="276">
        <f t="shared" si="712"/>
        <v>-3.374733805663384</v>
      </c>
      <c r="L786" s="276">
        <f t="shared" si="713"/>
        <v>0.99740315033071458</v>
      </c>
      <c r="M786" s="276">
        <f t="shared" si="714"/>
        <v>2.8244878326368204</v>
      </c>
      <c r="N786" s="685">
        <f t="shared" si="715"/>
        <v>0.94545861635049477</v>
      </c>
      <c r="O786" s="276">
        <f t="shared" si="716"/>
        <v>1.5311042110241375</v>
      </c>
      <c r="P786" s="276">
        <f t="shared" si="717"/>
        <v>1.9528301939579105</v>
      </c>
      <c r="Q786" s="276">
        <f t="shared" si="718"/>
        <v>0.47956205956015419</v>
      </c>
      <c r="R786" s="276">
        <f t="shared" si="719"/>
        <v>1.2336535981650123</v>
      </c>
      <c r="S786" s="686">
        <f t="shared" si="720"/>
        <v>1.6752288201521723</v>
      </c>
      <c r="T786" s="685">
        <f t="shared" si="721"/>
        <v>3.9331640382236932</v>
      </c>
      <c r="U786" s="276">
        <f t="shared" si="722"/>
        <v>4.3324683228770819</v>
      </c>
      <c r="V786" s="276">
        <f t="shared" si="723"/>
        <v>3.538813343852282</v>
      </c>
      <c r="W786" s="276">
        <f t="shared" si="724"/>
        <v>4.2075997712089315</v>
      </c>
      <c r="X786" s="276">
        <f t="shared" si="725"/>
        <v>5.8853747378275392</v>
      </c>
      <c r="Y786" s="686">
        <f t="shared" si="726"/>
        <v>4.6556875295427469</v>
      </c>
      <c r="Z786" s="685" t="e">
        <f t="shared" si="727"/>
        <v>#DIV/0!</v>
      </c>
      <c r="AA786" s="276" t="e">
        <f t="shared" si="728"/>
        <v>#DIV/0!</v>
      </c>
      <c r="AB786" s="276" t="e">
        <f t="shared" si="729"/>
        <v>#DIV/0!</v>
      </c>
      <c r="AC786" s="276" t="e">
        <f t="shared" si="730"/>
        <v>#DIV/0!</v>
      </c>
      <c r="AD786" s="276" t="e">
        <f t="shared" si="731"/>
        <v>#DIV/0!</v>
      </c>
      <c r="AE786" s="686" t="e">
        <f t="shared" si="732"/>
        <v>#DIV/0!</v>
      </c>
      <c r="AF786" s="239"/>
      <c r="AG786" s="965" t="e">
        <f t="shared" si="703"/>
        <v>#VALUE!</v>
      </c>
      <c r="AH786" s="878" t="e">
        <f t="shared" si="704"/>
        <v>#VALUE!</v>
      </c>
      <c r="AI786" s="878" t="e">
        <f t="shared" si="705"/>
        <v>#VALUE!</v>
      </c>
      <c r="AJ786" s="878" t="e">
        <f t="shared" si="706"/>
        <v>#VALUE!</v>
      </c>
      <c r="AK786" s="878" t="e">
        <f t="shared" si="707"/>
        <v>#VALUE!</v>
      </c>
      <c r="AL786" s="966" t="e">
        <f t="shared" si="708"/>
        <v>#VALUE!</v>
      </c>
      <c r="AM786" s="239"/>
      <c r="AO786" s="685">
        <f t="shared" si="733"/>
        <v>-2.3077808053344251</v>
      </c>
      <c r="AP786" s="276">
        <f t="shared" si="734"/>
        <v>1.5860358615395136</v>
      </c>
      <c r="AQ786" s="276">
        <f t="shared" si="735"/>
        <v>-1.1426648660215419</v>
      </c>
      <c r="AR786" s="276">
        <f t="shared" si="736"/>
        <v>-3.374733805663384</v>
      </c>
      <c r="AS786" s="276">
        <f t="shared" si="737"/>
        <v>0.99740315033071458</v>
      </c>
      <c r="AT786" s="276">
        <f t="shared" si="738"/>
        <v>2.8244878326368204</v>
      </c>
      <c r="AU786" s="685">
        <f t="shared" si="739"/>
        <v>0.94545861635049477</v>
      </c>
      <c r="AV786" s="276">
        <f t="shared" si="740"/>
        <v>1.5311042110241375</v>
      </c>
      <c r="AW786" s="276">
        <f t="shared" si="741"/>
        <v>1.9528301939579105</v>
      </c>
      <c r="AX786" s="276">
        <f t="shared" si="742"/>
        <v>0.47956205956015419</v>
      </c>
      <c r="AY786" s="276">
        <f t="shared" si="743"/>
        <v>1.2336535981650123</v>
      </c>
      <c r="AZ786" s="686">
        <f t="shared" si="744"/>
        <v>1.6752288201521723</v>
      </c>
      <c r="BA786" s="685">
        <f t="shared" si="745"/>
        <v>0</v>
      </c>
      <c r="BB786" s="276">
        <f t="shared" si="746"/>
        <v>0</v>
      </c>
      <c r="BC786" s="276">
        <f t="shared" si="747"/>
        <v>0</v>
      </c>
      <c r="BD786" s="276">
        <f t="shared" si="748"/>
        <v>0</v>
      </c>
      <c r="BE786" s="276">
        <f t="shared" si="749"/>
        <v>0</v>
      </c>
      <c r="BF786" s="686">
        <f t="shared" si="750"/>
        <v>0</v>
      </c>
      <c r="BG786" s="685" t="e">
        <f t="shared" si="751"/>
        <v>#DIV/0!</v>
      </c>
      <c r="BH786" s="276" t="e">
        <f t="shared" si="752"/>
        <v>#DIV/0!</v>
      </c>
      <c r="BI786" s="276" t="e">
        <f t="shared" si="753"/>
        <v>#DIV/0!</v>
      </c>
      <c r="BJ786" s="276" t="e">
        <f t="shared" si="754"/>
        <v>#DIV/0!</v>
      </c>
      <c r="BK786" s="276" t="e">
        <f t="shared" si="755"/>
        <v>#DIV/0!</v>
      </c>
      <c r="BL786" s="686" t="e">
        <f t="shared" si="756"/>
        <v>#DIV/0!</v>
      </c>
      <c r="BM786" s="239"/>
      <c r="BN786" s="965" t="e">
        <f t="shared" si="757"/>
        <v>#VALUE!</v>
      </c>
      <c r="BO786" s="878" t="e">
        <f t="shared" si="758"/>
        <v>#VALUE!</v>
      </c>
      <c r="BP786" s="878" t="e">
        <f t="shared" si="759"/>
        <v>#VALUE!</v>
      </c>
      <c r="BQ786" s="878" t="e">
        <f t="shared" si="760"/>
        <v>#VALUE!</v>
      </c>
      <c r="BR786" s="878" t="e">
        <f t="shared" si="761"/>
        <v>#VALUE!</v>
      </c>
      <c r="BS786" s="966" t="e">
        <f t="shared" si="762"/>
        <v>#VALUE!</v>
      </c>
    </row>
    <row r="787" spans="1:71">
      <c r="A787" s="284">
        <f t="shared" si="763"/>
        <v>719</v>
      </c>
      <c r="B787" s="285">
        <v>1.2769342340294652</v>
      </c>
      <c r="C787" s="285">
        <v>3.0027833268034163</v>
      </c>
      <c r="D787" s="285">
        <v>3.2048154706495926</v>
      </c>
      <c r="E787" s="285">
        <v>-2.0245980554227656</v>
      </c>
      <c r="H787" s="685">
        <f t="shared" si="709"/>
        <v>0.14370039226041031</v>
      </c>
      <c r="I787" s="276">
        <f t="shared" si="710"/>
        <v>-3.8381753505081537</v>
      </c>
      <c r="J787" s="276">
        <f t="shared" si="711"/>
        <v>-1.6332856078565643</v>
      </c>
      <c r="K787" s="276">
        <f t="shared" si="712"/>
        <v>0.14747112438966514</v>
      </c>
      <c r="L787" s="276">
        <f t="shared" si="713"/>
        <v>-2.8122844313406477</v>
      </c>
      <c r="M787" s="276">
        <f t="shared" si="714"/>
        <v>-0.89912304976017388</v>
      </c>
      <c r="N787" s="685">
        <f t="shared" si="715"/>
        <v>1.7956121158315479</v>
      </c>
      <c r="O787" s="276">
        <f t="shared" si="716"/>
        <v>1.5383352384879172</v>
      </c>
      <c r="P787" s="276">
        <f t="shared" si="717"/>
        <v>1.5228526679158783</v>
      </c>
      <c r="Q787" s="276">
        <f t="shared" si="718"/>
        <v>2.0641386928004195</v>
      </c>
      <c r="R787" s="276">
        <f t="shared" si="719"/>
        <v>1.0151327074434995</v>
      </c>
      <c r="S787" s="686">
        <f t="shared" si="720"/>
        <v>1.1573572580149214</v>
      </c>
      <c r="T787" s="685">
        <f t="shared" si="721"/>
        <v>6.4831791609205185</v>
      </c>
      <c r="U787" s="276">
        <f t="shared" si="722"/>
        <v>4.522805742924028</v>
      </c>
      <c r="V787" s="276">
        <f t="shared" si="723"/>
        <v>1.3811322934988599</v>
      </c>
      <c r="W787" s="276">
        <f t="shared" si="724"/>
        <v>3.3317159993515437</v>
      </c>
      <c r="X787" s="276">
        <f t="shared" si="725"/>
        <v>4.0755044547891091</v>
      </c>
      <c r="Y787" s="686">
        <f t="shared" si="726"/>
        <v>5.046941280036525</v>
      </c>
      <c r="Z787" s="685" t="e">
        <f t="shared" si="727"/>
        <v>#DIV/0!</v>
      </c>
      <c r="AA787" s="276" t="e">
        <f t="shared" si="728"/>
        <v>#DIV/0!</v>
      </c>
      <c r="AB787" s="276" t="e">
        <f t="shared" si="729"/>
        <v>#DIV/0!</v>
      </c>
      <c r="AC787" s="276" t="e">
        <f t="shared" si="730"/>
        <v>#DIV/0!</v>
      </c>
      <c r="AD787" s="276" t="e">
        <f t="shared" si="731"/>
        <v>#DIV/0!</v>
      </c>
      <c r="AE787" s="686" t="e">
        <f t="shared" si="732"/>
        <v>#DIV/0!</v>
      </c>
      <c r="AF787" s="239"/>
      <c r="AG787" s="965" t="e">
        <f t="shared" si="703"/>
        <v>#VALUE!</v>
      </c>
      <c r="AH787" s="878" t="e">
        <f t="shared" si="704"/>
        <v>#VALUE!</v>
      </c>
      <c r="AI787" s="878" t="e">
        <f t="shared" si="705"/>
        <v>#VALUE!</v>
      </c>
      <c r="AJ787" s="878" t="e">
        <f t="shared" si="706"/>
        <v>#VALUE!</v>
      </c>
      <c r="AK787" s="878" t="e">
        <f t="shared" si="707"/>
        <v>#VALUE!</v>
      </c>
      <c r="AL787" s="966" t="e">
        <f t="shared" si="708"/>
        <v>#VALUE!</v>
      </c>
      <c r="AM787" s="239"/>
      <c r="AO787" s="685">
        <f t="shared" si="733"/>
        <v>0.14370039226041031</v>
      </c>
      <c r="AP787" s="276">
        <f t="shared" si="734"/>
        <v>-3.8381753505081537</v>
      </c>
      <c r="AQ787" s="276">
        <f t="shared" si="735"/>
        <v>-1.6332856078565643</v>
      </c>
      <c r="AR787" s="276">
        <f t="shared" si="736"/>
        <v>0.14747112438966514</v>
      </c>
      <c r="AS787" s="276">
        <f t="shared" si="737"/>
        <v>-2.8122844313406477</v>
      </c>
      <c r="AT787" s="276">
        <f t="shared" si="738"/>
        <v>-0.89912304976017388</v>
      </c>
      <c r="AU787" s="685">
        <f t="shared" si="739"/>
        <v>1.7956121158315479</v>
      </c>
      <c r="AV787" s="276">
        <f t="shared" si="740"/>
        <v>1.5383352384879172</v>
      </c>
      <c r="AW787" s="276">
        <f t="shared" si="741"/>
        <v>1.5228526679158783</v>
      </c>
      <c r="AX787" s="276">
        <f t="shared" si="742"/>
        <v>2.0641386928004195</v>
      </c>
      <c r="AY787" s="276">
        <f t="shared" si="743"/>
        <v>1.0151327074434995</v>
      </c>
      <c r="AZ787" s="686">
        <f t="shared" si="744"/>
        <v>1.1573572580149214</v>
      </c>
      <c r="BA787" s="685">
        <f t="shared" si="745"/>
        <v>0</v>
      </c>
      <c r="BB787" s="276">
        <f t="shared" si="746"/>
        <v>0</v>
      </c>
      <c r="BC787" s="276">
        <f t="shared" si="747"/>
        <v>0</v>
      </c>
      <c r="BD787" s="276">
        <f t="shared" si="748"/>
        <v>0</v>
      </c>
      <c r="BE787" s="276">
        <f t="shared" si="749"/>
        <v>0</v>
      </c>
      <c r="BF787" s="686">
        <f t="shared" si="750"/>
        <v>0</v>
      </c>
      <c r="BG787" s="685" t="e">
        <f t="shared" si="751"/>
        <v>#DIV/0!</v>
      </c>
      <c r="BH787" s="276" t="e">
        <f t="shared" si="752"/>
        <v>#DIV/0!</v>
      </c>
      <c r="BI787" s="276" t="e">
        <f t="shared" si="753"/>
        <v>#DIV/0!</v>
      </c>
      <c r="BJ787" s="276" t="e">
        <f t="shared" si="754"/>
        <v>#DIV/0!</v>
      </c>
      <c r="BK787" s="276" t="e">
        <f t="shared" si="755"/>
        <v>#DIV/0!</v>
      </c>
      <c r="BL787" s="686" t="e">
        <f t="shared" si="756"/>
        <v>#DIV/0!</v>
      </c>
      <c r="BM787" s="239"/>
      <c r="BN787" s="965" t="e">
        <f t="shared" si="757"/>
        <v>#VALUE!</v>
      </c>
      <c r="BO787" s="878" t="e">
        <f t="shared" si="758"/>
        <v>#VALUE!</v>
      </c>
      <c r="BP787" s="878" t="e">
        <f t="shared" si="759"/>
        <v>#VALUE!</v>
      </c>
      <c r="BQ787" s="878" t="e">
        <f t="shared" si="760"/>
        <v>#VALUE!</v>
      </c>
      <c r="BR787" s="878" t="e">
        <f t="shared" si="761"/>
        <v>#VALUE!</v>
      </c>
      <c r="BS787" s="966" t="e">
        <f t="shared" si="762"/>
        <v>#VALUE!</v>
      </c>
    </row>
    <row r="788" spans="1:71">
      <c r="A788" s="284">
        <f t="shared" si="763"/>
        <v>720</v>
      </c>
      <c r="B788" s="285">
        <v>-3.0063586312476374</v>
      </c>
      <c r="C788" s="285">
        <v>2.8059796638967596</v>
      </c>
      <c r="D788" s="285">
        <v>-1.1289252262802121</v>
      </c>
      <c r="E788" s="285">
        <v>21.231629507390476</v>
      </c>
      <c r="H788" s="685">
        <f t="shared" si="709"/>
        <v>-4.139592473016692</v>
      </c>
      <c r="I788" s="276">
        <f t="shared" si="710"/>
        <v>-0.15367758459755032</v>
      </c>
      <c r="J788" s="276">
        <f t="shared" si="711"/>
        <v>-3.7456066786611855</v>
      </c>
      <c r="K788" s="276">
        <f t="shared" si="712"/>
        <v>-1.0913824857126408</v>
      </c>
      <c r="L788" s="276">
        <f t="shared" si="713"/>
        <v>-0.77341930895716904</v>
      </c>
      <c r="M788" s="276">
        <f t="shared" si="714"/>
        <v>0.37263621711577999</v>
      </c>
      <c r="N788" s="685">
        <f t="shared" si="715"/>
        <v>1.5988084529248912</v>
      </c>
      <c r="O788" s="276">
        <f t="shared" si="716"/>
        <v>2.4859983510405623</v>
      </c>
      <c r="P788" s="276">
        <f t="shared" si="717"/>
        <v>0.43817772832362167</v>
      </c>
      <c r="Q788" s="276">
        <f t="shared" si="718"/>
        <v>1.1639100890008038</v>
      </c>
      <c r="R788" s="276">
        <f t="shared" si="719"/>
        <v>2.0599490188473464</v>
      </c>
      <c r="S788" s="686">
        <f t="shared" si="720"/>
        <v>1.1651277516603151</v>
      </c>
      <c r="T788" s="685">
        <f t="shared" si="721"/>
        <v>2.1494384639907138</v>
      </c>
      <c r="U788" s="276">
        <f t="shared" si="722"/>
        <v>1.7546625372142648</v>
      </c>
      <c r="V788" s="276">
        <f t="shared" si="723"/>
        <v>4.8290557622265595</v>
      </c>
      <c r="W788" s="276">
        <f t="shared" si="724"/>
        <v>5.0144462488386026</v>
      </c>
      <c r="X788" s="276">
        <f t="shared" si="725"/>
        <v>3.256478044062928</v>
      </c>
      <c r="Y788" s="686">
        <f t="shared" si="726"/>
        <v>4.0956422406625403</v>
      </c>
      <c r="Z788" s="685" t="e">
        <f t="shared" si="727"/>
        <v>#DIV/0!</v>
      </c>
      <c r="AA788" s="276" t="e">
        <f t="shared" si="728"/>
        <v>#DIV/0!</v>
      </c>
      <c r="AB788" s="276" t="e">
        <f t="shared" si="729"/>
        <v>#DIV/0!</v>
      </c>
      <c r="AC788" s="276" t="e">
        <f t="shared" si="730"/>
        <v>#DIV/0!</v>
      </c>
      <c r="AD788" s="276" t="e">
        <f t="shared" si="731"/>
        <v>#DIV/0!</v>
      </c>
      <c r="AE788" s="686" t="e">
        <f t="shared" si="732"/>
        <v>#DIV/0!</v>
      </c>
      <c r="AF788" s="239"/>
      <c r="AG788" s="965" t="e">
        <f t="shared" si="703"/>
        <v>#VALUE!</v>
      </c>
      <c r="AH788" s="878" t="e">
        <f t="shared" si="704"/>
        <v>#VALUE!</v>
      </c>
      <c r="AI788" s="878" t="e">
        <f t="shared" si="705"/>
        <v>#VALUE!</v>
      </c>
      <c r="AJ788" s="878" t="e">
        <f t="shared" si="706"/>
        <v>#VALUE!</v>
      </c>
      <c r="AK788" s="878" t="e">
        <f t="shared" si="707"/>
        <v>#VALUE!</v>
      </c>
      <c r="AL788" s="966" t="e">
        <f t="shared" si="708"/>
        <v>#VALUE!</v>
      </c>
      <c r="AM788" s="239"/>
      <c r="AO788" s="685">
        <f t="shared" si="733"/>
        <v>-4.139592473016692</v>
      </c>
      <c r="AP788" s="276">
        <f t="shared" si="734"/>
        <v>-0.15367758459755032</v>
      </c>
      <c r="AQ788" s="276">
        <f t="shared" si="735"/>
        <v>-3.7456066786611855</v>
      </c>
      <c r="AR788" s="276">
        <f t="shared" si="736"/>
        <v>-1.0913824857126408</v>
      </c>
      <c r="AS788" s="276">
        <f t="shared" si="737"/>
        <v>-0.77341930895716904</v>
      </c>
      <c r="AT788" s="276">
        <f t="shared" si="738"/>
        <v>0.37263621711577999</v>
      </c>
      <c r="AU788" s="685">
        <f t="shared" si="739"/>
        <v>1.5988084529248912</v>
      </c>
      <c r="AV788" s="276">
        <f t="shared" si="740"/>
        <v>2.4859983510405623</v>
      </c>
      <c r="AW788" s="276">
        <f t="shared" si="741"/>
        <v>0.43817772832362167</v>
      </c>
      <c r="AX788" s="276">
        <f t="shared" si="742"/>
        <v>1.1639100890008038</v>
      </c>
      <c r="AY788" s="276">
        <f t="shared" si="743"/>
        <v>2.0599490188473464</v>
      </c>
      <c r="AZ788" s="686">
        <f t="shared" si="744"/>
        <v>1.1651277516603151</v>
      </c>
      <c r="BA788" s="685">
        <f t="shared" si="745"/>
        <v>0</v>
      </c>
      <c r="BB788" s="276">
        <f t="shared" si="746"/>
        <v>0</v>
      </c>
      <c r="BC788" s="276">
        <f t="shared" si="747"/>
        <v>0</v>
      </c>
      <c r="BD788" s="276">
        <f t="shared" si="748"/>
        <v>0</v>
      </c>
      <c r="BE788" s="276">
        <f t="shared" si="749"/>
        <v>0</v>
      </c>
      <c r="BF788" s="686">
        <f t="shared" si="750"/>
        <v>0</v>
      </c>
      <c r="BG788" s="685" t="e">
        <f t="shared" si="751"/>
        <v>#DIV/0!</v>
      </c>
      <c r="BH788" s="276" t="e">
        <f t="shared" si="752"/>
        <v>#DIV/0!</v>
      </c>
      <c r="BI788" s="276" t="e">
        <f t="shared" si="753"/>
        <v>#DIV/0!</v>
      </c>
      <c r="BJ788" s="276" t="e">
        <f t="shared" si="754"/>
        <v>#DIV/0!</v>
      </c>
      <c r="BK788" s="276" t="e">
        <f t="shared" si="755"/>
        <v>#DIV/0!</v>
      </c>
      <c r="BL788" s="686" t="e">
        <f t="shared" si="756"/>
        <v>#DIV/0!</v>
      </c>
      <c r="BM788" s="239"/>
      <c r="BN788" s="965" t="e">
        <f t="shared" si="757"/>
        <v>#VALUE!</v>
      </c>
      <c r="BO788" s="878" t="e">
        <f t="shared" si="758"/>
        <v>#VALUE!</v>
      </c>
      <c r="BP788" s="878" t="e">
        <f t="shared" si="759"/>
        <v>#VALUE!</v>
      </c>
      <c r="BQ788" s="878" t="e">
        <f t="shared" si="760"/>
        <v>#VALUE!</v>
      </c>
      <c r="BR788" s="878" t="e">
        <f t="shared" si="761"/>
        <v>#VALUE!</v>
      </c>
      <c r="BS788" s="966" t="e">
        <f t="shared" si="762"/>
        <v>#VALUE!</v>
      </c>
    </row>
    <row r="789" spans="1:71">
      <c r="A789" s="284">
        <f t="shared" si="763"/>
        <v>721</v>
      </c>
      <c r="B789" s="285">
        <v>1.8536681616384718</v>
      </c>
      <c r="C789" s="285">
        <v>2.9186167890044312</v>
      </c>
      <c r="D789" s="285">
        <v>2.2174662899568416</v>
      </c>
      <c r="E789" s="285">
        <v>-4.1370346049017446</v>
      </c>
      <c r="H789" s="685">
        <f t="shared" si="709"/>
        <v>0.72043431986941697</v>
      </c>
      <c r="I789" s="276">
        <f t="shared" si="710"/>
        <v>0.77541727255754056</v>
      </c>
      <c r="J789" s="276">
        <f t="shared" si="711"/>
        <v>-1.534822308811622</v>
      </c>
      <c r="K789" s="276">
        <f t="shared" si="712"/>
        <v>-2.7842220338655634</v>
      </c>
      <c r="L789" s="276">
        <f t="shared" si="713"/>
        <v>-4.334408360182576</v>
      </c>
      <c r="M789" s="276">
        <f t="shared" si="714"/>
        <v>-3.0036690909181596</v>
      </c>
      <c r="N789" s="685">
        <f t="shared" si="715"/>
        <v>1.7114455780325628</v>
      </c>
      <c r="O789" s="276">
        <f t="shared" si="716"/>
        <v>1.5946271047678773</v>
      </c>
      <c r="P789" s="276">
        <f t="shared" si="717"/>
        <v>1.4482871148436887</v>
      </c>
      <c r="Q789" s="276">
        <f t="shared" si="718"/>
        <v>0.80134966508340866</v>
      </c>
      <c r="R789" s="276">
        <f t="shared" si="719"/>
        <v>1.4224158573035617</v>
      </c>
      <c r="S789" s="686">
        <f t="shared" si="720"/>
        <v>2.2211854534064059</v>
      </c>
      <c r="T789" s="685">
        <f t="shared" si="721"/>
        <v>5.4958299802277679</v>
      </c>
      <c r="U789" s="276">
        <f t="shared" si="722"/>
        <v>4.5496095250150974</v>
      </c>
      <c r="V789" s="276">
        <f t="shared" si="723"/>
        <v>2.8092485388921755</v>
      </c>
      <c r="W789" s="276">
        <f t="shared" si="724"/>
        <v>5.6645501320549734</v>
      </c>
      <c r="X789" s="276">
        <f t="shared" si="725"/>
        <v>5.6046770460227648</v>
      </c>
      <c r="Y789" s="686">
        <f t="shared" si="726"/>
        <v>2.5806758253016895</v>
      </c>
      <c r="Z789" s="685" t="e">
        <f t="shared" si="727"/>
        <v>#DIV/0!</v>
      </c>
      <c r="AA789" s="276" t="e">
        <f t="shared" si="728"/>
        <v>#DIV/0!</v>
      </c>
      <c r="AB789" s="276" t="e">
        <f t="shared" si="729"/>
        <v>#DIV/0!</v>
      </c>
      <c r="AC789" s="276" t="e">
        <f t="shared" si="730"/>
        <v>#DIV/0!</v>
      </c>
      <c r="AD789" s="276" t="e">
        <f t="shared" si="731"/>
        <v>#DIV/0!</v>
      </c>
      <c r="AE789" s="686" t="e">
        <f t="shared" si="732"/>
        <v>#DIV/0!</v>
      </c>
      <c r="AF789" s="239"/>
      <c r="AG789" s="965" t="e">
        <f t="shared" si="703"/>
        <v>#VALUE!</v>
      </c>
      <c r="AH789" s="878" t="e">
        <f t="shared" si="704"/>
        <v>#VALUE!</v>
      </c>
      <c r="AI789" s="878" t="e">
        <f t="shared" si="705"/>
        <v>#VALUE!</v>
      </c>
      <c r="AJ789" s="878" t="e">
        <f t="shared" si="706"/>
        <v>#VALUE!</v>
      </c>
      <c r="AK789" s="878" t="e">
        <f t="shared" si="707"/>
        <v>#VALUE!</v>
      </c>
      <c r="AL789" s="966" t="e">
        <f t="shared" si="708"/>
        <v>#VALUE!</v>
      </c>
      <c r="AM789" s="239"/>
      <c r="AO789" s="685">
        <f t="shared" si="733"/>
        <v>0.72043431986941697</v>
      </c>
      <c r="AP789" s="276">
        <f t="shared" si="734"/>
        <v>0.77541727255754056</v>
      </c>
      <c r="AQ789" s="276">
        <f t="shared" si="735"/>
        <v>-1.534822308811622</v>
      </c>
      <c r="AR789" s="276">
        <f t="shared" si="736"/>
        <v>-2.7842220338655634</v>
      </c>
      <c r="AS789" s="276">
        <f t="shared" si="737"/>
        <v>-4.334408360182576</v>
      </c>
      <c r="AT789" s="276">
        <f t="shared" si="738"/>
        <v>-3.0036690909181596</v>
      </c>
      <c r="AU789" s="685">
        <f t="shared" si="739"/>
        <v>1.7114455780325628</v>
      </c>
      <c r="AV789" s="276">
        <f t="shared" si="740"/>
        <v>1.5946271047678773</v>
      </c>
      <c r="AW789" s="276">
        <f t="shared" si="741"/>
        <v>1.4482871148436887</v>
      </c>
      <c r="AX789" s="276">
        <f t="shared" si="742"/>
        <v>0.80134966508340866</v>
      </c>
      <c r="AY789" s="276">
        <f t="shared" si="743"/>
        <v>1.4224158573035617</v>
      </c>
      <c r="AZ789" s="686">
        <f t="shared" si="744"/>
        <v>2.2211854534064059</v>
      </c>
      <c r="BA789" s="685">
        <f t="shared" si="745"/>
        <v>0</v>
      </c>
      <c r="BB789" s="276">
        <f t="shared" si="746"/>
        <v>0</v>
      </c>
      <c r="BC789" s="276">
        <f t="shared" si="747"/>
        <v>0</v>
      </c>
      <c r="BD789" s="276">
        <f t="shared" si="748"/>
        <v>0</v>
      </c>
      <c r="BE789" s="276">
        <f t="shared" si="749"/>
        <v>0</v>
      </c>
      <c r="BF789" s="686">
        <f t="shared" si="750"/>
        <v>0</v>
      </c>
      <c r="BG789" s="685" t="e">
        <f t="shared" si="751"/>
        <v>#DIV/0!</v>
      </c>
      <c r="BH789" s="276" t="e">
        <f t="shared" si="752"/>
        <v>#DIV/0!</v>
      </c>
      <c r="BI789" s="276" t="e">
        <f t="shared" si="753"/>
        <v>#DIV/0!</v>
      </c>
      <c r="BJ789" s="276" t="e">
        <f t="shared" si="754"/>
        <v>#DIV/0!</v>
      </c>
      <c r="BK789" s="276" t="e">
        <f t="shared" si="755"/>
        <v>#DIV/0!</v>
      </c>
      <c r="BL789" s="686" t="e">
        <f t="shared" si="756"/>
        <v>#DIV/0!</v>
      </c>
      <c r="BM789" s="239"/>
      <c r="BN789" s="965" t="e">
        <f t="shared" si="757"/>
        <v>#VALUE!</v>
      </c>
      <c r="BO789" s="878" t="e">
        <f t="shared" si="758"/>
        <v>#VALUE!</v>
      </c>
      <c r="BP789" s="878" t="e">
        <f t="shared" si="759"/>
        <v>#VALUE!</v>
      </c>
      <c r="BQ789" s="878" t="e">
        <f t="shared" si="760"/>
        <v>#VALUE!</v>
      </c>
      <c r="BR789" s="878" t="e">
        <f t="shared" si="761"/>
        <v>#VALUE!</v>
      </c>
      <c r="BS789" s="966" t="e">
        <f t="shared" si="762"/>
        <v>#VALUE!</v>
      </c>
    </row>
    <row r="790" spans="1:71">
      <c r="A790" s="284">
        <f t="shared" si="763"/>
        <v>722</v>
      </c>
      <c r="B790" s="285">
        <v>3.6199841047056127</v>
      </c>
      <c r="C790" s="285">
        <v>3.1118343017569856</v>
      </c>
      <c r="D790" s="285">
        <v>2.3877907201667745</v>
      </c>
      <c r="E790" s="285">
        <v>3.9401404918254141</v>
      </c>
      <c r="H790" s="685">
        <f t="shared" si="709"/>
        <v>2.4867502629365577</v>
      </c>
      <c r="I790" s="276">
        <f t="shared" si="710"/>
        <v>0.64327505394025786</v>
      </c>
      <c r="J790" s="276">
        <f t="shared" si="711"/>
        <v>0.71183556578667551</v>
      </c>
      <c r="K790" s="276">
        <f t="shared" si="712"/>
        <v>-1.2071740091163234</v>
      </c>
      <c r="L790" s="276">
        <f t="shared" si="713"/>
        <v>1.2133535250870693</v>
      </c>
      <c r="M790" s="276">
        <f t="shared" si="714"/>
        <v>-2.4080542829840912</v>
      </c>
      <c r="N790" s="685">
        <f t="shared" si="715"/>
        <v>1.9046630907851172</v>
      </c>
      <c r="O790" s="276">
        <f t="shared" si="716"/>
        <v>2.1181213353984747</v>
      </c>
      <c r="P790" s="276">
        <f t="shared" si="717"/>
        <v>1.3031913137439448</v>
      </c>
      <c r="Q790" s="276">
        <f t="shared" si="718"/>
        <v>1.2428985626795137</v>
      </c>
      <c r="R790" s="276">
        <f t="shared" si="719"/>
        <v>1.4681685756077385</v>
      </c>
      <c r="S790" s="686">
        <f t="shared" si="720"/>
        <v>1.2577687379675015</v>
      </c>
      <c r="T790" s="685">
        <f t="shared" si="721"/>
        <v>5.6661544104377004</v>
      </c>
      <c r="U790" s="276">
        <f t="shared" si="722"/>
        <v>4.1842853513673184</v>
      </c>
      <c r="V790" s="276">
        <f t="shared" si="723"/>
        <v>6.6139103036555706</v>
      </c>
      <c r="W790" s="276">
        <f t="shared" si="724"/>
        <v>2.8953468446003772</v>
      </c>
      <c r="X790" s="276">
        <f t="shared" si="725"/>
        <v>4.0046694652510979</v>
      </c>
      <c r="Y790" s="686">
        <f t="shared" si="726"/>
        <v>4.6386221485062604</v>
      </c>
      <c r="Z790" s="685" t="e">
        <f t="shared" si="727"/>
        <v>#DIV/0!</v>
      </c>
      <c r="AA790" s="276" t="e">
        <f t="shared" si="728"/>
        <v>#DIV/0!</v>
      </c>
      <c r="AB790" s="276" t="e">
        <f t="shared" si="729"/>
        <v>#DIV/0!</v>
      </c>
      <c r="AC790" s="276" t="e">
        <f t="shared" si="730"/>
        <v>#DIV/0!</v>
      </c>
      <c r="AD790" s="276" t="e">
        <f t="shared" si="731"/>
        <v>#DIV/0!</v>
      </c>
      <c r="AE790" s="686" t="e">
        <f t="shared" si="732"/>
        <v>#DIV/0!</v>
      </c>
      <c r="AF790" s="239"/>
      <c r="AG790" s="965" t="e">
        <f t="shared" si="703"/>
        <v>#VALUE!</v>
      </c>
      <c r="AH790" s="878" t="e">
        <f t="shared" si="704"/>
        <v>#VALUE!</v>
      </c>
      <c r="AI790" s="878" t="e">
        <f t="shared" si="705"/>
        <v>#VALUE!</v>
      </c>
      <c r="AJ790" s="878" t="e">
        <f t="shared" si="706"/>
        <v>#VALUE!</v>
      </c>
      <c r="AK790" s="878" t="e">
        <f t="shared" si="707"/>
        <v>#VALUE!</v>
      </c>
      <c r="AL790" s="966" t="e">
        <f t="shared" si="708"/>
        <v>#VALUE!</v>
      </c>
      <c r="AM790" s="239"/>
      <c r="AO790" s="685">
        <f t="shared" si="733"/>
        <v>2.4867502629365577</v>
      </c>
      <c r="AP790" s="276">
        <f t="shared" si="734"/>
        <v>0.64327505394025786</v>
      </c>
      <c r="AQ790" s="276">
        <f t="shared" si="735"/>
        <v>0.71183556578667551</v>
      </c>
      <c r="AR790" s="276">
        <f t="shared" si="736"/>
        <v>-1.2071740091163234</v>
      </c>
      <c r="AS790" s="276">
        <f t="shared" si="737"/>
        <v>1.2133535250870693</v>
      </c>
      <c r="AT790" s="276">
        <f t="shared" si="738"/>
        <v>-2.4080542829840912</v>
      </c>
      <c r="AU790" s="685">
        <f t="shared" si="739"/>
        <v>1.9046630907851172</v>
      </c>
      <c r="AV790" s="276">
        <f t="shared" si="740"/>
        <v>2.1181213353984747</v>
      </c>
      <c r="AW790" s="276">
        <f t="shared" si="741"/>
        <v>1.3031913137439448</v>
      </c>
      <c r="AX790" s="276">
        <f t="shared" si="742"/>
        <v>1.2428985626795137</v>
      </c>
      <c r="AY790" s="276">
        <f t="shared" si="743"/>
        <v>1.4681685756077385</v>
      </c>
      <c r="AZ790" s="686">
        <f t="shared" si="744"/>
        <v>1.2577687379675015</v>
      </c>
      <c r="BA790" s="685">
        <f t="shared" si="745"/>
        <v>0</v>
      </c>
      <c r="BB790" s="276">
        <f t="shared" si="746"/>
        <v>0</v>
      </c>
      <c r="BC790" s="276">
        <f t="shared" si="747"/>
        <v>0</v>
      </c>
      <c r="BD790" s="276">
        <f t="shared" si="748"/>
        <v>0</v>
      </c>
      <c r="BE790" s="276">
        <f t="shared" si="749"/>
        <v>0</v>
      </c>
      <c r="BF790" s="686">
        <f t="shared" si="750"/>
        <v>0</v>
      </c>
      <c r="BG790" s="685" t="e">
        <f t="shared" si="751"/>
        <v>#DIV/0!</v>
      </c>
      <c r="BH790" s="276" t="e">
        <f t="shared" si="752"/>
        <v>#DIV/0!</v>
      </c>
      <c r="BI790" s="276" t="e">
        <f t="shared" si="753"/>
        <v>#DIV/0!</v>
      </c>
      <c r="BJ790" s="276" t="e">
        <f t="shared" si="754"/>
        <v>#DIV/0!</v>
      </c>
      <c r="BK790" s="276" t="e">
        <f t="shared" si="755"/>
        <v>#DIV/0!</v>
      </c>
      <c r="BL790" s="686" t="e">
        <f t="shared" si="756"/>
        <v>#DIV/0!</v>
      </c>
      <c r="BM790" s="239"/>
      <c r="BN790" s="965" t="e">
        <f t="shared" si="757"/>
        <v>#VALUE!</v>
      </c>
      <c r="BO790" s="878" t="e">
        <f t="shared" si="758"/>
        <v>#VALUE!</v>
      </c>
      <c r="BP790" s="878" t="e">
        <f t="shared" si="759"/>
        <v>#VALUE!</v>
      </c>
      <c r="BQ790" s="878" t="e">
        <f t="shared" si="760"/>
        <v>#VALUE!</v>
      </c>
      <c r="BR790" s="878" t="e">
        <f t="shared" si="761"/>
        <v>#VALUE!</v>
      </c>
      <c r="BS790" s="966" t="e">
        <f t="shared" si="762"/>
        <v>#VALUE!</v>
      </c>
    </row>
    <row r="791" spans="1:71">
      <c r="A791" s="284">
        <f t="shared" si="763"/>
        <v>723</v>
      </c>
      <c r="B791" s="285">
        <v>-1.8400037304107584</v>
      </c>
      <c r="C791" s="285">
        <v>2.3769158040542409</v>
      </c>
      <c r="D791" s="285">
        <v>2.3582885387074115</v>
      </c>
      <c r="E791" s="285">
        <v>5.2305267701860245</v>
      </c>
      <c r="H791" s="685">
        <f t="shared" si="709"/>
        <v>-2.973237572179813</v>
      </c>
      <c r="I791" s="276">
        <f t="shared" si="710"/>
        <v>-4.5586456921966576</v>
      </c>
      <c r="J791" s="276">
        <f t="shared" si="711"/>
        <v>0.12394257628361194</v>
      </c>
      <c r="K791" s="276">
        <f t="shared" si="712"/>
        <v>-0.1008957377145443</v>
      </c>
      <c r="L791" s="276">
        <f t="shared" si="713"/>
        <v>0.33898428860854235</v>
      </c>
      <c r="M791" s="276">
        <f t="shared" si="714"/>
        <v>-1.4551549087855429</v>
      </c>
      <c r="N791" s="685">
        <f t="shared" si="715"/>
        <v>1.1697445930823724</v>
      </c>
      <c r="O791" s="276">
        <f t="shared" si="716"/>
        <v>1.9276746030339644</v>
      </c>
      <c r="P791" s="276">
        <f t="shared" si="717"/>
        <v>1.6293571576472623</v>
      </c>
      <c r="Q791" s="276">
        <f t="shared" si="718"/>
        <v>2.3048252387534758</v>
      </c>
      <c r="R791" s="276">
        <f t="shared" si="719"/>
        <v>1.8592424335779427</v>
      </c>
      <c r="S791" s="686">
        <f t="shared" si="720"/>
        <v>1.3226297747689075</v>
      </c>
      <c r="T791" s="685">
        <f t="shared" si="721"/>
        <v>5.6366522289783374</v>
      </c>
      <c r="U791" s="276">
        <f t="shared" si="722"/>
        <v>2.4611855843132493</v>
      </c>
      <c r="V791" s="276">
        <f t="shared" si="723"/>
        <v>5.3851840875769605</v>
      </c>
      <c r="W791" s="276">
        <f t="shared" si="724"/>
        <v>3.6208587925193898</v>
      </c>
      <c r="X791" s="276">
        <f t="shared" si="725"/>
        <v>2.9835759278024407</v>
      </c>
      <c r="Y791" s="686">
        <f t="shared" si="726"/>
        <v>4.2182493091948476</v>
      </c>
      <c r="Z791" s="685" t="e">
        <f t="shared" si="727"/>
        <v>#DIV/0!</v>
      </c>
      <c r="AA791" s="276" t="e">
        <f t="shared" si="728"/>
        <v>#DIV/0!</v>
      </c>
      <c r="AB791" s="276" t="e">
        <f t="shared" si="729"/>
        <v>#DIV/0!</v>
      </c>
      <c r="AC791" s="276" t="e">
        <f t="shared" si="730"/>
        <v>#DIV/0!</v>
      </c>
      <c r="AD791" s="276" t="e">
        <f t="shared" si="731"/>
        <v>#DIV/0!</v>
      </c>
      <c r="AE791" s="686" t="e">
        <f t="shared" si="732"/>
        <v>#DIV/0!</v>
      </c>
      <c r="AF791" s="239"/>
      <c r="AG791" s="965" t="e">
        <f t="shared" si="703"/>
        <v>#VALUE!</v>
      </c>
      <c r="AH791" s="878" t="e">
        <f t="shared" si="704"/>
        <v>#VALUE!</v>
      </c>
      <c r="AI791" s="878" t="e">
        <f t="shared" si="705"/>
        <v>#VALUE!</v>
      </c>
      <c r="AJ791" s="878" t="e">
        <f t="shared" si="706"/>
        <v>#VALUE!</v>
      </c>
      <c r="AK791" s="878" t="e">
        <f t="shared" si="707"/>
        <v>#VALUE!</v>
      </c>
      <c r="AL791" s="966" t="e">
        <f t="shared" si="708"/>
        <v>#VALUE!</v>
      </c>
      <c r="AM791" s="239"/>
      <c r="AO791" s="685">
        <f t="shared" si="733"/>
        <v>-2.973237572179813</v>
      </c>
      <c r="AP791" s="276">
        <f t="shared" si="734"/>
        <v>-4.5586456921966576</v>
      </c>
      <c r="AQ791" s="276">
        <f t="shared" si="735"/>
        <v>0.12394257628361194</v>
      </c>
      <c r="AR791" s="276">
        <f t="shared" si="736"/>
        <v>-0.1008957377145443</v>
      </c>
      <c r="AS791" s="276">
        <f t="shared" si="737"/>
        <v>0.33898428860854235</v>
      </c>
      <c r="AT791" s="276">
        <f t="shared" si="738"/>
        <v>-1.4551549087855429</v>
      </c>
      <c r="AU791" s="685">
        <f t="shared" si="739"/>
        <v>1.1697445930823724</v>
      </c>
      <c r="AV791" s="276">
        <f t="shared" si="740"/>
        <v>1.9276746030339644</v>
      </c>
      <c r="AW791" s="276">
        <f t="shared" si="741"/>
        <v>1.6293571576472623</v>
      </c>
      <c r="AX791" s="276">
        <f t="shared" si="742"/>
        <v>2.3048252387534758</v>
      </c>
      <c r="AY791" s="276">
        <f t="shared" si="743"/>
        <v>1.8592424335779427</v>
      </c>
      <c r="AZ791" s="686">
        <f t="shared" si="744"/>
        <v>1.3226297747689075</v>
      </c>
      <c r="BA791" s="685">
        <f t="shared" si="745"/>
        <v>0</v>
      </c>
      <c r="BB791" s="276">
        <f t="shared" si="746"/>
        <v>0</v>
      </c>
      <c r="BC791" s="276">
        <f t="shared" si="747"/>
        <v>0</v>
      </c>
      <c r="BD791" s="276">
        <f t="shared" si="748"/>
        <v>0</v>
      </c>
      <c r="BE791" s="276">
        <f t="shared" si="749"/>
        <v>0</v>
      </c>
      <c r="BF791" s="686">
        <f t="shared" si="750"/>
        <v>0</v>
      </c>
      <c r="BG791" s="685" t="e">
        <f t="shared" si="751"/>
        <v>#DIV/0!</v>
      </c>
      <c r="BH791" s="276" t="e">
        <f t="shared" si="752"/>
        <v>#DIV/0!</v>
      </c>
      <c r="BI791" s="276" t="e">
        <f t="shared" si="753"/>
        <v>#DIV/0!</v>
      </c>
      <c r="BJ791" s="276" t="e">
        <f t="shared" si="754"/>
        <v>#DIV/0!</v>
      </c>
      <c r="BK791" s="276" t="e">
        <f t="shared" si="755"/>
        <v>#DIV/0!</v>
      </c>
      <c r="BL791" s="686" t="e">
        <f t="shared" si="756"/>
        <v>#DIV/0!</v>
      </c>
      <c r="BM791" s="239"/>
      <c r="BN791" s="965" t="e">
        <f t="shared" si="757"/>
        <v>#VALUE!</v>
      </c>
      <c r="BO791" s="878" t="e">
        <f t="shared" si="758"/>
        <v>#VALUE!</v>
      </c>
      <c r="BP791" s="878" t="e">
        <f t="shared" si="759"/>
        <v>#VALUE!</v>
      </c>
      <c r="BQ791" s="878" t="e">
        <f t="shared" si="760"/>
        <v>#VALUE!</v>
      </c>
      <c r="BR791" s="878" t="e">
        <f t="shared" si="761"/>
        <v>#VALUE!</v>
      </c>
      <c r="BS791" s="966" t="e">
        <f t="shared" si="762"/>
        <v>#VALUE!</v>
      </c>
    </row>
    <row r="792" spans="1:71">
      <c r="A792" s="284">
        <f t="shared" si="763"/>
        <v>724</v>
      </c>
      <c r="B792" s="285">
        <v>-0.18203643812396916</v>
      </c>
      <c r="C792" s="285">
        <v>1.5895430390330514</v>
      </c>
      <c r="D792" s="285">
        <v>2.9347510177439826</v>
      </c>
      <c r="E792" s="285">
        <v>-16.209461073092413</v>
      </c>
      <c r="H792" s="685">
        <f t="shared" si="709"/>
        <v>-1.315270279893024</v>
      </c>
      <c r="I792" s="276">
        <f t="shared" si="710"/>
        <v>-2.4111014270683886</v>
      </c>
      <c r="J792" s="276">
        <f t="shared" si="711"/>
        <v>-1.2708355021818107</v>
      </c>
      <c r="K792" s="276">
        <f t="shared" si="712"/>
        <v>0.54346640322712281</v>
      </c>
      <c r="L792" s="276">
        <f t="shared" si="713"/>
        <v>-0.64847130028926347</v>
      </c>
      <c r="M792" s="276">
        <f t="shared" si="714"/>
        <v>-2.4378678031389951</v>
      </c>
      <c r="N792" s="685">
        <f t="shared" si="715"/>
        <v>0.38237182806118297</v>
      </c>
      <c r="O792" s="276">
        <f t="shared" si="716"/>
        <v>0.78559040422441595</v>
      </c>
      <c r="P792" s="276">
        <f t="shared" si="717"/>
        <v>1.0794307876198392</v>
      </c>
      <c r="Q792" s="276">
        <f t="shared" si="718"/>
        <v>1.2897446692815209</v>
      </c>
      <c r="R792" s="276">
        <f t="shared" si="719"/>
        <v>0.67321834575009221</v>
      </c>
      <c r="S792" s="686">
        <f t="shared" si="720"/>
        <v>0.77145033048041212</v>
      </c>
      <c r="T792" s="685">
        <f t="shared" si="721"/>
        <v>6.2131147080149081</v>
      </c>
      <c r="U792" s="276">
        <f t="shared" si="722"/>
        <v>3.7621562279452201</v>
      </c>
      <c r="V792" s="276">
        <f t="shared" si="723"/>
        <v>3.373493023040476</v>
      </c>
      <c r="W792" s="276">
        <f t="shared" si="724"/>
        <v>5.7101144278078415</v>
      </c>
      <c r="X792" s="276">
        <f t="shared" si="725"/>
        <v>3.2231199566876532</v>
      </c>
      <c r="Y792" s="686">
        <f t="shared" si="726"/>
        <v>6.7389438412985125</v>
      </c>
      <c r="Z792" s="685" t="e">
        <f t="shared" si="727"/>
        <v>#DIV/0!</v>
      </c>
      <c r="AA792" s="276" t="e">
        <f t="shared" si="728"/>
        <v>#DIV/0!</v>
      </c>
      <c r="AB792" s="276" t="e">
        <f t="shared" si="729"/>
        <v>#DIV/0!</v>
      </c>
      <c r="AC792" s="276" t="e">
        <f t="shared" si="730"/>
        <v>#DIV/0!</v>
      </c>
      <c r="AD792" s="276" t="e">
        <f t="shared" si="731"/>
        <v>#DIV/0!</v>
      </c>
      <c r="AE792" s="686" t="e">
        <f t="shared" si="732"/>
        <v>#DIV/0!</v>
      </c>
      <c r="AF792" s="239"/>
      <c r="AG792" s="965" t="e">
        <f t="shared" si="703"/>
        <v>#VALUE!</v>
      </c>
      <c r="AH792" s="878" t="e">
        <f t="shared" si="704"/>
        <v>#VALUE!</v>
      </c>
      <c r="AI792" s="878" t="e">
        <f t="shared" si="705"/>
        <v>#VALUE!</v>
      </c>
      <c r="AJ792" s="878" t="e">
        <f t="shared" si="706"/>
        <v>#VALUE!</v>
      </c>
      <c r="AK792" s="878" t="e">
        <f t="shared" si="707"/>
        <v>#VALUE!</v>
      </c>
      <c r="AL792" s="966" t="e">
        <f t="shared" si="708"/>
        <v>#VALUE!</v>
      </c>
      <c r="AM792" s="239"/>
      <c r="AO792" s="685">
        <f t="shared" si="733"/>
        <v>-1.315270279893024</v>
      </c>
      <c r="AP792" s="276">
        <f t="shared" si="734"/>
        <v>-2.4111014270683886</v>
      </c>
      <c r="AQ792" s="276">
        <f t="shared" si="735"/>
        <v>-1.2708355021818107</v>
      </c>
      <c r="AR792" s="276">
        <f t="shared" si="736"/>
        <v>0.54346640322712281</v>
      </c>
      <c r="AS792" s="276">
        <f t="shared" si="737"/>
        <v>-0.64847130028926347</v>
      </c>
      <c r="AT792" s="276">
        <f t="shared" si="738"/>
        <v>-2.4378678031389951</v>
      </c>
      <c r="AU792" s="685">
        <f t="shared" si="739"/>
        <v>0.38237182806118297</v>
      </c>
      <c r="AV792" s="276">
        <f t="shared" si="740"/>
        <v>0.78559040422441595</v>
      </c>
      <c r="AW792" s="276">
        <f t="shared" si="741"/>
        <v>1.0794307876198392</v>
      </c>
      <c r="AX792" s="276">
        <f t="shared" si="742"/>
        <v>1.2897446692815209</v>
      </c>
      <c r="AY792" s="276">
        <f t="shared" si="743"/>
        <v>0.67321834575009221</v>
      </c>
      <c r="AZ792" s="686">
        <f t="shared" si="744"/>
        <v>0.77145033048041212</v>
      </c>
      <c r="BA792" s="685">
        <f t="shared" si="745"/>
        <v>0</v>
      </c>
      <c r="BB792" s="276">
        <f t="shared" si="746"/>
        <v>0</v>
      </c>
      <c r="BC792" s="276">
        <f t="shared" si="747"/>
        <v>0</v>
      </c>
      <c r="BD792" s="276">
        <f t="shared" si="748"/>
        <v>0</v>
      </c>
      <c r="BE792" s="276">
        <f t="shared" si="749"/>
        <v>0</v>
      </c>
      <c r="BF792" s="686">
        <f t="shared" si="750"/>
        <v>0</v>
      </c>
      <c r="BG792" s="685" t="e">
        <f t="shared" si="751"/>
        <v>#DIV/0!</v>
      </c>
      <c r="BH792" s="276" t="e">
        <f t="shared" si="752"/>
        <v>#DIV/0!</v>
      </c>
      <c r="BI792" s="276" t="e">
        <f t="shared" si="753"/>
        <v>#DIV/0!</v>
      </c>
      <c r="BJ792" s="276" t="e">
        <f t="shared" si="754"/>
        <v>#DIV/0!</v>
      </c>
      <c r="BK792" s="276" t="e">
        <f t="shared" si="755"/>
        <v>#DIV/0!</v>
      </c>
      <c r="BL792" s="686" t="e">
        <f t="shared" si="756"/>
        <v>#DIV/0!</v>
      </c>
      <c r="BM792" s="239"/>
      <c r="BN792" s="965" t="e">
        <f t="shared" si="757"/>
        <v>#VALUE!</v>
      </c>
      <c r="BO792" s="878" t="e">
        <f t="shared" si="758"/>
        <v>#VALUE!</v>
      </c>
      <c r="BP792" s="878" t="e">
        <f t="shared" si="759"/>
        <v>#VALUE!</v>
      </c>
      <c r="BQ792" s="878" t="e">
        <f t="shared" si="760"/>
        <v>#VALUE!</v>
      </c>
      <c r="BR792" s="878" t="e">
        <f t="shared" si="761"/>
        <v>#VALUE!</v>
      </c>
      <c r="BS792" s="966" t="e">
        <f t="shared" si="762"/>
        <v>#VALUE!</v>
      </c>
    </row>
    <row r="793" spans="1:71">
      <c r="A793" s="284">
        <f t="shared" si="763"/>
        <v>725</v>
      </c>
      <c r="B793" s="285">
        <v>-1.1836391067393994</v>
      </c>
      <c r="C793" s="285">
        <v>2.7655234405068518</v>
      </c>
      <c r="D793" s="285">
        <v>1.3578461360987197</v>
      </c>
      <c r="E793" s="285">
        <v>16.022030990886126</v>
      </c>
      <c r="H793" s="685">
        <f t="shared" si="709"/>
        <v>-2.316872948508454</v>
      </c>
      <c r="I793" s="276">
        <f t="shared" si="710"/>
        <v>-3.3448170170245115</v>
      </c>
      <c r="J793" s="276">
        <f t="shared" si="711"/>
        <v>-1.6764008655244818</v>
      </c>
      <c r="K793" s="276">
        <f t="shared" si="712"/>
        <v>0.10121310793903637</v>
      </c>
      <c r="L793" s="276">
        <f t="shared" si="713"/>
        <v>1.1670863680743049</v>
      </c>
      <c r="M793" s="276">
        <f t="shared" si="714"/>
        <v>-1.043537403690586</v>
      </c>
      <c r="N793" s="685">
        <f t="shared" si="715"/>
        <v>1.5583522295349834</v>
      </c>
      <c r="O793" s="276">
        <f t="shared" si="716"/>
        <v>0.8346792225038111</v>
      </c>
      <c r="P793" s="276">
        <f t="shared" si="717"/>
        <v>0.604123926686577</v>
      </c>
      <c r="Q793" s="276">
        <f t="shared" si="718"/>
        <v>0.88807164925903392</v>
      </c>
      <c r="R793" s="276">
        <f t="shared" si="719"/>
        <v>0.96116956376020268</v>
      </c>
      <c r="S793" s="686">
        <f t="shared" si="720"/>
        <v>1.8454084525500585</v>
      </c>
      <c r="T793" s="685">
        <f t="shared" si="721"/>
        <v>4.6362098263696456</v>
      </c>
      <c r="U793" s="276">
        <f t="shared" si="722"/>
        <v>4.3004126957328586</v>
      </c>
      <c r="V793" s="276">
        <f t="shared" si="723"/>
        <v>3.5868028783568127</v>
      </c>
      <c r="W793" s="276">
        <f t="shared" si="724"/>
        <v>5.6106233361493221</v>
      </c>
      <c r="X793" s="276">
        <f t="shared" si="725"/>
        <v>2.6910982449406391</v>
      </c>
      <c r="Y793" s="686">
        <f t="shared" si="726"/>
        <v>4.5143822115357919</v>
      </c>
      <c r="Z793" s="685" t="e">
        <f t="shared" si="727"/>
        <v>#DIV/0!</v>
      </c>
      <c r="AA793" s="276" t="e">
        <f t="shared" si="728"/>
        <v>#DIV/0!</v>
      </c>
      <c r="AB793" s="276" t="e">
        <f t="shared" si="729"/>
        <v>#DIV/0!</v>
      </c>
      <c r="AC793" s="276" t="e">
        <f t="shared" si="730"/>
        <v>#DIV/0!</v>
      </c>
      <c r="AD793" s="276" t="e">
        <f t="shared" si="731"/>
        <v>#DIV/0!</v>
      </c>
      <c r="AE793" s="686" t="e">
        <f t="shared" si="732"/>
        <v>#DIV/0!</v>
      </c>
      <c r="AF793" s="239"/>
      <c r="AG793" s="965" t="e">
        <f t="shared" si="703"/>
        <v>#VALUE!</v>
      </c>
      <c r="AH793" s="878" t="e">
        <f t="shared" si="704"/>
        <v>#VALUE!</v>
      </c>
      <c r="AI793" s="878" t="e">
        <f t="shared" si="705"/>
        <v>#VALUE!</v>
      </c>
      <c r="AJ793" s="878" t="e">
        <f t="shared" si="706"/>
        <v>#VALUE!</v>
      </c>
      <c r="AK793" s="878" t="e">
        <f t="shared" si="707"/>
        <v>#VALUE!</v>
      </c>
      <c r="AL793" s="966" t="e">
        <f t="shared" si="708"/>
        <v>#VALUE!</v>
      </c>
      <c r="AM793" s="239"/>
      <c r="AO793" s="685">
        <f t="shared" si="733"/>
        <v>-2.316872948508454</v>
      </c>
      <c r="AP793" s="276">
        <f t="shared" si="734"/>
        <v>-3.3448170170245115</v>
      </c>
      <c r="AQ793" s="276">
        <f t="shared" si="735"/>
        <v>-1.6764008655244818</v>
      </c>
      <c r="AR793" s="276">
        <f t="shared" si="736"/>
        <v>0.10121310793903637</v>
      </c>
      <c r="AS793" s="276">
        <f t="shared" si="737"/>
        <v>1.1670863680743049</v>
      </c>
      <c r="AT793" s="276">
        <f t="shared" si="738"/>
        <v>-1.043537403690586</v>
      </c>
      <c r="AU793" s="685">
        <f t="shared" si="739"/>
        <v>1.5583522295349834</v>
      </c>
      <c r="AV793" s="276">
        <f t="shared" si="740"/>
        <v>0.8346792225038111</v>
      </c>
      <c r="AW793" s="276">
        <f t="shared" si="741"/>
        <v>0.604123926686577</v>
      </c>
      <c r="AX793" s="276">
        <f t="shared" si="742"/>
        <v>0.88807164925903392</v>
      </c>
      <c r="AY793" s="276">
        <f t="shared" si="743"/>
        <v>0.96116956376020268</v>
      </c>
      <c r="AZ793" s="686">
        <f t="shared" si="744"/>
        <v>1.8454084525500585</v>
      </c>
      <c r="BA793" s="685">
        <f t="shared" si="745"/>
        <v>0</v>
      </c>
      <c r="BB793" s="276">
        <f t="shared" si="746"/>
        <v>0</v>
      </c>
      <c r="BC793" s="276">
        <f t="shared" si="747"/>
        <v>0</v>
      </c>
      <c r="BD793" s="276">
        <f t="shared" si="748"/>
        <v>0</v>
      </c>
      <c r="BE793" s="276">
        <f t="shared" si="749"/>
        <v>0</v>
      </c>
      <c r="BF793" s="686">
        <f t="shared" si="750"/>
        <v>0</v>
      </c>
      <c r="BG793" s="685" t="e">
        <f t="shared" si="751"/>
        <v>#DIV/0!</v>
      </c>
      <c r="BH793" s="276" t="e">
        <f t="shared" si="752"/>
        <v>#DIV/0!</v>
      </c>
      <c r="BI793" s="276" t="e">
        <f t="shared" si="753"/>
        <v>#DIV/0!</v>
      </c>
      <c r="BJ793" s="276" t="e">
        <f t="shared" si="754"/>
        <v>#DIV/0!</v>
      </c>
      <c r="BK793" s="276" t="e">
        <f t="shared" si="755"/>
        <v>#DIV/0!</v>
      </c>
      <c r="BL793" s="686" t="e">
        <f t="shared" si="756"/>
        <v>#DIV/0!</v>
      </c>
      <c r="BM793" s="239"/>
      <c r="BN793" s="965" t="e">
        <f t="shared" si="757"/>
        <v>#VALUE!</v>
      </c>
      <c r="BO793" s="878" t="e">
        <f t="shared" si="758"/>
        <v>#VALUE!</v>
      </c>
      <c r="BP793" s="878" t="e">
        <f t="shared" si="759"/>
        <v>#VALUE!</v>
      </c>
      <c r="BQ793" s="878" t="e">
        <f t="shared" si="760"/>
        <v>#VALUE!</v>
      </c>
      <c r="BR793" s="878" t="e">
        <f t="shared" si="761"/>
        <v>#VALUE!</v>
      </c>
      <c r="BS793" s="966" t="e">
        <f t="shared" si="762"/>
        <v>#VALUE!</v>
      </c>
    </row>
    <row r="794" spans="1:71">
      <c r="A794" s="284">
        <f t="shared" si="763"/>
        <v>726</v>
      </c>
      <c r="B794" s="285">
        <v>-1.5030830417610421</v>
      </c>
      <c r="C794" s="285">
        <v>3.1811845460359836</v>
      </c>
      <c r="D794" s="285">
        <v>-0.76906981103559025</v>
      </c>
      <c r="E794" s="285">
        <v>11.866946656968794</v>
      </c>
      <c r="H794" s="685">
        <f t="shared" si="709"/>
        <v>-2.636316883530097</v>
      </c>
      <c r="I794" s="276">
        <f t="shared" si="710"/>
        <v>-0.16941399985976213</v>
      </c>
      <c r="J794" s="276">
        <f t="shared" si="711"/>
        <v>-1.9526019984256182E-2</v>
      </c>
      <c r="K794" s="276">
        <f t="shared" si="712"/>
        <v>-1.0102412413192732</v>
      </c>
      <c r="L794" s="276">
        <f t="shared" si="713"/>
        <v>0.38833995646723785</v>
      </c>
      <c r="M794" s="276">
        <f t="shared" si="714"/>
        <v>-1.7207391439154609</v>
      </c>
      <c r="N794" s="685">
        <f t="shared" si="715"/>
        <v>1.9740133350641151</v>
      </c>
      <c r="O794" s="276">
        <f t="shared" si="716"/>
        <v>1.6718671776370624</v>
      </c>
      <c r="P794" s="276">
        <f t="shared" si="717"/>
        <v>1.560396041105143</v>
      </c>
      <c r="Q794" s="276">
        <f t="shared" si="718"/>
        <v>1.6464905672785892</v>
      </c>
      <c r="R794" s="276">
        <f t="shared" si="719"/>
        <v>1.4906284183958147</v>
      </c>
      <c r="S794" s="686">
        <f t="shared" si="720"/>
        <v>2.3784364048017892</v>
      </c>
      <c r="T794" s="685">
        <f t="shared" si="721"/>
        <v>2.5092938792353356</v>
      </c>
      <c r="U794" s="276">
        <f t="shared" si="722"/>
        <v>5.7024487499955203</v>
      </c>
      <c r="V794" s="276">
        <f t="shared" si="723"/>
        <v>5.2363022304848581</v>
      </c>
      <c r="W794" s="276">
        <f t="shared" si="724"/>
        <v>4.3553647178236119</v>
      </c>
      <c r="X794" s="276">
        <f t="shared" si="725"/>
        <v>4.5431469065924794</v>
      </c>
      <c r="Y794" s="686">
        <f t="shared" si="726"/>
        <v>3.5069169786849237</v>
      </c>
      <c r="Z794" s="685" t="e">
        <f t="shared" si="727"/>
        <v>#DIV/0!</v>
      </c>
      <c r="AA794" s="276" t="e">
        <f t="shared" si="728"/>
        <v>#DIV/0!</v>
      </c>
      <c r="AB794" s="276" t="e">
        <f t="shared" si="729"/>
        <v>#DIV/0!</v>
      </c>
      <c r="AC794" s="276" t="e">
        <f t="shared" si="730"/>
        <v>#DIV/0!</v>
      </c>
      <c r="AD794" s="276" t="e">
        <f t="shared" si="731"/>
        <v>#DIV/0!</v>
      </c>
      <c r="AE794" s="686" t="e">
        <f t="shared" si="732"/>
        <v>#DIV/0!</v>
      </c>
      <c r="AF794" s="239"/>
      <c r="AG794" s="965" t="e">
        <f t="shared" si="703"/>
        <v>#VALUE!</v>
      </c>
      <c r="AH794" s="878" t="e">
        <f t="shared" si="704"/>
        <v>#VALUE!</v>
      </c>
      <c r="AI794" s="878" t="e">
        <f t="shared" si="705"/>
        <v>#VALUE!</v>
      </c>
      <c r="AJ794" s="878" t="e">
        <f t="shared" si="706"/>
        <v>#VALUE!</v>
      </c>
      <c r="AK794" s="878" t="e">
        <f t="shared" si="707"/>
        <v>#VALUE!</v>
      </c>
      <c r="AL794" s="966" t="e">
        <f t="shared" si="708"/>
        <v>#VALUE!</v>
      </c>
      <c r="AM794" s="239"/>
      <c r="AO794" s="685">
        <f t="shared" si="733"/>
        <v>-2.636316883530097</v>
      </c>
      <c r="AP794" s="276">
        <f t="shared" si="734"/>
        <v>-0.16941399985976213</v>
      </c>
      <c r="AQ794" s="276">
        <f t="shared" si="735"/>
        <v>-1.9526019984256182E-2</v>
      </c>
      <c r="AR794" s="276">
        <f t="shared" si="736"/>
        <v>-1.0102412413192732</v>
      </c>
      <c r="AS794" s="276">
        <f t="shared" si="737"/>
        <v>0.38833995646723785</v>
      </c>
      <c r="AT794" s="276">
        <f t="shared" si="738"/>
        <v>-1.7207391439154609</v>
      </c>
      <c r="AU794" s="685">
        <f t="shared" si="739"/>
        <v>1.9740133350641151</v>
      </c>
      <c r="AV794" s="276">
        <f t="shared" si="740"/>
        <v>1.6718671776370624</v>
      </c>
      <c r="AW794" s="276">
        <f t="shared" si="741"/>
        <v>1.560396041105143</v>
      </c>
      <c r="AX794" s="276">
        <f t="shared" si="742"/>
        <v>1.6464905672785892</v>
      </c>
      <c r="AY794" s="276">
        <f t="shared" si="743"/>
        <v>1.4906284183958147</v>
      </c>
      <c r="AZ794" s="686">
        <f t="shared" si="744"/>
        <v>2.3784364048017892</v>
      </c>
      <c r="BA794" s="685">
        <f t="shared" si="745"/>
        <v>0</v>
      </c>
      <c r="BB794" s="276">
        <f t="shared" si="746"/>
        <v>0</v>
      </c>
      <c r="BC794" s="276">
        <f t="shared" si="747"/>
        <v>0</v>
      </c>
      <c r="BD794" s="276">
        <f t="shared" si="748"/>
        <v>0</v>
      </c>
      <c r="BE794" s="276">
        <f t="shared" si="749"/>
        <v>0</v>
      </c>
      <c r="BF794" s="686">
        <f t="shared" si="750"/>
        <v>0</v>
      </c>
      <c r="BG794" s="685" t="e">
        <f t="shared" si="751"/>
        <v>#DIV/0!</v>
      </c>
      <c r="BH794" s="276" t="e">
        <f t="shared" si="752"/>
        <v>#DIV/0!</v>
      </c>
      <c r="BI794" s="276" t="e">
        <f t="shared" si="753"/>
        <v>#DIV/0!</v>
      </c>
      <c r="BJ794" s="276" t="e">
        <f t="shared" si="754"/>
        <v>#DIV/0!</v>
      </c>
      <c r="BK794" s="276" t="e">
        <f t="shared" si="755"/>
        <v>#DIV/0!</v>
      </c>
      <c r="BL794" s="686" t="e">
        <f t="shared" si="756"/>
        <v>#DIV/0!</v>
      </c>
      <c r="BM794" s="239"/>
      <c r="BN794" s="965" t="e">
        <f t="shared" si="757"/>
        <v>#VALUE!</v>
      </c>
      <c r="BO794" s="878" t="e">
        <f t="shared" si="758"/>
        <v>#VALUE!</v>
      </c>
      <c r="BP794" s="878" t="e">
        <f t="shared" si="759"/>
        <v>#VALUE!</v>
      </c>
      <c r="BQ794" s="878" t="e">
        <f t="shared" si="760"/>
        <v>#VALUE!</v>
      </c>
      <c r="BR794" s="878" t="e">
        <f t="shared" si="761"/>
        <v>#VALUE!</v>
      </c>
      <c r="BS794" s="966" t="e">
        <f t="shared" si="762"/>
        <v>#VALUE!</v>
      </c>
    </row>
    <row r="795" spans="1:71">
      <c r="A795" s="284">
        <f t="shared" si="763"/>
        <v>727</v>
      </c>
      <c r="B795" s="285">
        <v>1.2516749891675936</v>
      </c>
      <c r="C795" s="285">
        <v>2.4181579451449853</v>
      </c>
      <c r="D795" s="285">
        <v>1.9383661504031777</v>
      </c>
      <c r="E795" s="285">
        <v>-13.167663632908944</v>
      </c>
      <c r="H795" s="685">
        <f t="shared" si="709"/>
        <v>0.11844114739853873</v>
      </c>
      <c r="I795" s="276">
        <f t="shared" si="710"/>
        <v>-1.0549122772318811</v>
      </c>
      <c r="J795" s="276">
        <f t="shared" si="711"/>
        <v>-0.2537599675103861</v>
      </c>
      <c r="K795" s="276">
        <f t="shared" si="712"/>
        <v>2.8608841907799336</v>
      </c>
      <c r="L795" s="276">
        <f t="shared" si="713"/>
        <v>-6.8821085028440372</v>
      </c>
      <c r="M795" s="276">
        <f t="shared" si="714"/>
        <v>0.6236764271119255</v>
      </c>
      <c r="N795" s="685">
        <f t="shared" si="715"/>
        <v>1.2109867341731169</v>
      </c>
      <c r="O795" s="276">
        <f t="shared" si="716"/>
        <v>1.8004073131017788</v>
      </c>
      <c r="P795" s="276">
        <f t="shared" si="717"/>
        <v>1.4150347953662747</v>
      </c>
      <c r="Q795" s="276">
        <f t="shared" si="718"/>
        <v>1.3408187279157719</v>
      </c>
      <c r="R795" s="276">
        <f t="shared" si="719"/>
        <v>1.4164503878723529</v>
      </c>
      <c r="S795" s="686">
        <f t="shared" si="720"/>
        <v>0.9226355617476758</v>
      </c>
      <c r="T795" s="685">
        <f t="shared" si="721"/>
        <v>5.2167298406741036</v>
      </c>
      <c r="U795" s="276">
        <f t="shared" si="722"/>
        <v>5.146881551582597</v>
      </c>
      <c r="V795" s="276">
        <f t="shared" si="723"/>
        <v>4.155593901954246</v>
      </c>
      <c r="W795" s="276">
        <f t="shared" si="724"/>
        <v>6.8809177619359563</v>
      </c>
      <c r="X795" s="276">
        <f t="shared" si="725"/>
        <v>3.2673405546958301</v>
      </c>
      <c r="Y795" s="686">
        <f t="shared" si="726"/>
        <v>3.0442951705976111</v>
      </c>
      <c r="Z795" s="685" t="e">
        <f t="shared" si="727"/>
        <v>#DIV/0!</v>
      </c>
      <c r="AA795" s="276" t="e">
        <f t="shared" si="728"/>
        <v>#DIV/0!</v>
      </c>
      <c r="AB795" s="276" t="e">
        <f t="shared" si="729"/>
        <v>#DIV/0!</v>
      </c>
      <c r="AC795" s="276" t="e">
        <f t="shared" si="730"/>
        <v>#DIV/0!</v>
      </c>
      <c r="AD795" s="276" t="e">
        <f t="shared" si="731"/>
        <v>#DIV/0!</v>
      </c>
      <c r="AE795" s="686" t="e">
        <f t="shared" si="732"/>
        <v>#DIV/0!</v>
      </c>
      <c r="AF795" s="239"/>
      <c r="AG795" s="965" t="e">
        <f t="shared" si="703"/>
        <v>#VALUE!</v>
      </c>
      <c r="AH795" s="878" t="e">
        <f t="shared" si="704"/>
        <v>#VALUE!</v>
      </c>
      <c r="AI795" s="878" t="e">
        <f t="shared" si="705"/>
        <v>#VALUE!</v>
      </c>
      <c r="AJ795" s="878" t="e">
        <f t="shared" si="706"/>
        <v>#VALUE!</v>
      </c>
      <c r="AK795" s="878" t="e">
        <f t="shared" si="707"/>
        <v>#VALUE!</v>
      </c>
      <c r="AL795" s="966" t="e">
        <f t="shared" si="708"/>
        <v>#VALUE!</v>
      </c>
      <c r="AM795" s="239"/>
      <c r="AO795" s="685">
        <f t="shared" si="733"/>
        <v>0.11844114739853873</v>
      </c>
      <c r="AP795" s="276">
        <f t="shared" si="734"/>
        <v>-1.0549122772318811</v>
      </c>
      <c r="AQ795" s="276">
        <f t="shared" si="735"/>
        <v>-0.2537599675103861</v>
      </c>
      <c r="AR795" s="276">
        <f t="shared" si="736"/>
        <v>2.8608841907799336</v>
      </c>
      <c r="AS795" s="276">
        <f t="shared" si="737"/>
        <v>-6.8821085028440372</v>
      </c>
      <c r="AT795" s="276">
        <f t="shared" si="738"/>
        <v>0.6236764271119255</v>
      </c>
      <c r="AU795" s="685">
        <f t="shared" si="739"/>
        <v>1.2109867341731169</v>
      </c>
      <c r="AV795" s="276">
        <f t="shared" si="740"/>
        <v>1.8004073131017788</v>
      </c>
      <c r="AW795" s="276">
        <f t="shared" si="741"/>
        <v>1.4150347953662747</v>
      </c>
      <c r="AX795" s="276">
        <f t="shared" si="742"/>
        <v>1.3408187279157719</v>
      </c>
      <c r="AY795" s="276">
        <f t="shared" si="743"/>
        <v>1.4164503878723529</v>
      </c>
      <c r="AZ795" s="686">
        <f t="shared" si="744"/>
        <v>0.9226355617476758</v>
      </c>
      <c r="BA795" s="685">
        <f t="shared" si="745"/>
        <v>0</v>
      </c>
      <c r="BB795" s="276">
        <f t="shared" si="746"/>
        <v>0</v>
      </c>
      <c r="BC795" s="276">
        <f t="shared" si="747"/>
        <v>0</v>
      </c>
      <c r="BD795" s="276">
        <f t="shared" si="748"/>
        <v>0</v>
      </c>
      <c r="BE795" s="276">
        <f t="shared" si="749"/>
        <v>0</v>
      </c>
      <c r="BF795" s="686">
        <f t="shared" si="750"/>
        <v>0</v>
      </c>
      <c r="BG795" s="685" t="e">
        <f t="shared" si="751"/>
        <v>#DIV/0!</v>
      </c>
      <c r="BH795" s="276" t="e">
        <f t="shared" si="752"/>
        <v>#DIV/0!</v>
      </c>
      <c r="BI795" s="276" t="e">
        <f t="shared" si="753"/>
        <v>#DIV/0!</v>
      </c>
      <c r="BJ795" s="276" t="e">
        <f t="shared" si="754"/>
        <v>#DIV/0!</v>
      </c>
      <c r="BK795" s="276" t="e">
        <f t="shared" si="755"/>
        <v>#DIV/0!</v>
      </c>
      <c r="BL795" s="686" t="e">
        <f t="shared" si="756"/>
        <v>#DIV/0!</v>
      </c>
      <c r="BM795" s="239"/>
      <c r="BN795" s="965" t="e">
        <f t="shared" si="757"/>
        <v>#VALUE!</v>
      </c>
      <c r="BO795" s="878" t="e">
        <f t="shared" si="758"/>
        <v>#VALUE!</v>
      </c>
      <c r="BP795" s="878" t="e">
        <f t="shared" si="759"/>
        <v>#VALUE!</v>
      </c>
      <c r="BQ795" s="878" t="e">
        <f t="shared" si="760"/>
        <v>#VALUE!</v>
      </c>
      <c r="BR795" s="878" t="e">
        <f t="shared" si="761"/>
        <v>#VALUE!</v>
      </c>
      <c r="BS795" s="966" t="e">
        <f t="shared" si="762"/>
        <v>#VALUE!</v>
      </c>
    </row>
    <row r="796" spans="1:71">
      <c r="A796" s="284">
        <f t="shared" si="763"/>
        <v>728</v>
      </c>
      <c r="B796" s="285">
        <v>4.5554992284110911</v>
      </c>
      <c r="C796" s="285">
        <v>2.8976879911459306</v>
      </c>
      <c r="D796" s="285">
        <v>3.3074855751689052</v>
      </c>
      <c r="E796" s="285">
        <v>3.52946556186996</v>
      </c>
      <c r="H796" s="685">
        <f t="shared" si="709"/>
        <v>3.4222653866420361</v>
      </c>
      <c r="I796" s="276">
        <f t="shared" si="710"/>
        <v>-1.334032498949367</v>
      </c>
      <c r="J796" s="276">
        <f t="shared" si="711"/>
        <v>-0.96724355947012297</v>
      </c>
      <c r="K796" s="276">
        <f t="shared" si="712"/>
        <v>-1.1009640163791437</v>
      </c>
      <c r="L796" s="276">
        <f t="shared" si="713"/>
        <v>3.8265925398176064</v>
      </c>
      <c r="M796" s="276">
        <f t="shared" si="714"/>
        <v>-1.831561101332257</v>
      </c>
      <c r="N796" s="685">
        <f t="shared" si="715"/>
        <v>1.6905167801740622</v>
      </c>
      <c r="O796" s="276">
        <f t="shared" si="716"/>
        <v>1.2534115304375388</v>
      </c>
      <c r="P796" s="276">
        <f t="shared" si="717"/>
        <v>1.1573817780374529</v>
      </c>
      <c r="Q796" s="276">
        <f t="shared" si="718"/>
        <v>1.2649353099488361</v>
      </c>
      <c r="R796" s="276">
        <f t="shared" si="719"/>
        <v>1.9819972898647442</v>
      </c>
      <c r="S796" s="686">
        <f t="shared" si="720"/>
        <v>1.4928609868574172</v>
      </c>
      <c r="T796" s="685">
        <f t="shared" si="721"/>
        <v>6.5858492654398315</v>
      </c>
      <c r="U796" s="276">
        <f t="shared" si="722"/>
        <v>2.0099502889484229</v>
      </c>
      <c r="V796" s="276">
        <f t="shared" si="723"/>
        <v>3.597217969746362</v>
      </c>
      <c r="W796" s="276">
        <f t="shared" si="724"/>
        <v>5.1751402434195395</v>
      </c>
      <c r="X796" s="276">
        <f t="shared" si="725"/>
        <v>5.0572571615009121</v>
      </c>
      <c r="Y796" s="686">
        <f t="shared" si="726"/>
        <v>3.7388824654375052</v>
      </c>
      <c r="Z796" s="685" t="e">
        <f t="shared" si="727"/>
        <v>#DIV/0!</v>
      </c>
      <c r="AA796" s="276" t="e">
        <f t="shared" si="728"/>
        <v>#DIV/0!</v>
      </c>
      <c r="AB796" s="276" t="e">
        <f t="shared" si="729"/>
        <v>#DIV/0!</v>
      </c>
      <c r="AC796" s="276" t="e">
        <f t="shared" si="730"/>
        <v>#DIV/0!</v>
      </c>
      <c r="AD796" s="276" t="e">
        <f t="shared" si="731"/>
        <v>#DIV/0!</v>
      </c>
      <c r="AE796" s="686" t="e">
        <f t="shared" si="732"/>
        <v>#DIV/0!</v>
      </c>
      <c r="AF796" s="239"/>
      <c r="AG796" s="965" t="e">
        <f t="shared" si="703"/>
        <v>#VALUE!</v>
      </c>
      <c r="AH796" s="878" t="e">
        <f t="shared" si="704"/>
        <v>#VALUE!</v>
      </c>
      <c r="AI796" s="878" t="e">
        <f t="shared" si="705"/>
        <v>#VALUE!</v>
      </c>
      <c r="AJ796" s="878" t="e">
        <f t="shared" si="706"/>
        <v>#VALUE!</v>
      </c>
      <c r="AK796" s="878" t="e">
        <f t="shared" si="707"/>
        <v>#VALUE!</v>
      </c>
      <c r="AL796" s="966" t="e">
        <f t="shared" si="708"/>
        <v>#VALUE!</v>
      </c>
      <c r="AM796" s="239"/>
      <c r="AO796" s="685">
        <f t="shared" si="733"/>
        <v>3.4222653866420361</v>
      </c>
      <c r="AP796" s="276">
        <f t="shared" si="734"/>
        <v>-1.334032498949367</v>
      </c>
      <c r="AQ796" s="276">
        <f t="shared" si="735"/>
        <v>-0.96724355947012297</v>
      </c>
      <c r="AR796" s="276">
        <f t="shared" si="736"/>
        <v>-1.1009640163791437</v>
      </c>
      <c r="AS796" s="276">
        <f t="shared" si="737"/>
        <v>3.8265925398176064</v>
      </c>
      <c r="AT796" s="276">
        <f t="shared" si="738"/>
        <v>-1.831561101332257</v>
      </c>
      <c r="AU796" s="685">
        <f t="shared" si="739"/>
        <v>1.6905167801740622</v>
      </c>
      <c r="AV796" s="276">
        <f t="shared" si="740"/>
        <v>1.2534115304375388</v>
      </c>
      <c r="AW796" s="276">
        <f t="shared" si="741"/>
        <v>1.1573817780374529</v>
      </c>
      <c r="AX796" s="276">
        <f t="shared" si="742"/>
        <v>1.2649353099488361</v>
      </c>
      <c r="AY796" s="276">
        <f t="shared" si="743"/>
        <v>1.9819972898647442</v>
      </c>
      <c r="AZ796" s="686">
        <f t="shared" si="744"/>
        <v>1.4928609868574172</v>
      </c>
      <c r="BA796" s="685">
        <f t="shared" si="745"/>
        <v>0</v>
      </c>
      <c r="BB796" s="276">
        <f t="shared" si="746"/>
        <v>0</v>
      </c>
      <c r="BC796" s="276">
        <f t="shared" si="747"/>
        <v>0</v>
      </c>
      <c r="BD796" s="276">
        <f t="shared" si="748"/>
        <v>0</v>
      </c>
      <c r="BE796" s="276">
        <f t="shared" si="749"/>
        <v>0</v>
      </c>
      <c r="BF796" s="686">
        <f t="shared" si="750"/>
        <v>0</v>
      </c>
      <c r="BG796" s="685" t="e">
        <f t="shared" si="751"/>
        <v>#DIV/0!</v>
      </c>
      <c r="BH796" s="276" t="e">
        <f t="shared" si="752"/>
        <v>#DIV/0!</v>
      </c>
      <c r="BI796" s="276" t="e">
        <f t="shared" si="753"/>
        <v>#DIV/0!</v>
      </c>
      <c r="BJ796" s="276" t="e">
        <f t="shared" si="754"/>
        <v>#DIV/0!</v>
      </c>
      <c r="BK796" s="276" t="e">
        <f t="shared" si="755"/>
        <v>#DIV/0!</v>
      </c>
      <c r="BL796" s="686" t="e">
        <f t="shared" si="756"/>
        <v>#DIV/0!</v>
      </c>
      <c r="BM796" s="239"/>
      <c r="BN796" s="965" t="e">
        <f t="shared" si="757"/>
        <v>#VALUE!</v>
      </c>
      <c r="BO796" s="878" t="e">
        <f t="shared" si="758"/>
        <v>#VALUE!</v>
      </c>
      <c r="BP796" s="878" t="e">
        <f t="shared" si="759"/>
        <v>#VALUE!</v>
      </c>
      <c r="BQ796" s="878" t="e">
        <f t="shared" si="760"/>
        <v>#VALUE!</v>
      </c>
      <c r="BR796" s="878" t="e">
        <f t="shared" si="761"/>
        <v>#VALUE!</v>
      </c>
      <c r="BS796" s="966" t="e">
        <f t="shared" si="762"/>
        <v>#VALUE!</v>
      </c>
    </row>
    <row r="797" spans="1:71">
      <c r="A797" s="284">
        <f t="shared" si="763"/>
        <v>729</v>
      </c>
      <c r="B797" s="285">
        <v>1.9284109595577368</v>
      </c>
      <c r="C797" s="285">
        <v>2.7650924968863024</v>
      </c>
      <c r="D797" s="285">
        <v>0.33091875420543826</v>
      </c>
      <c r="E797" s="285">
        <v>11.385852694974574</v>
      </c>
      <c r="H797" s="685">
        <f t="shared" si="709"/>
        <v>0.79517711778868194</v>
      </c>
      <c r="I797" s="276">
        <f t="shared" si="710"/>
        <v>0.21823808371631492</v>
      </c>
      <c r="J797" s="276">
        <f t="shared" si="711"/>
        <v>2.8104328840045598</v>
      </c>
      <c r="K797" s="276">
        <f t="shared" si="712"/>
        <v>-4.4347579544763667</v>
      </c>
      <c r="L797" s="276">
        <f t="shared" si="713"/>
        <v>-4.2969259411780518</v>
      </c>
      <c r="M797" s="276">
        <f t="shared" si="714"/>
        <v>1.0006922945856396</v>
      </c>
      <c r="N797" s="685">
        <f t="shared" si="715"/>
        <v>1.557921285914434</v>
      </c>
      <c r="O797" s="276">
        <f t="shared" si="716"/>
        <v>1.2903187783825631</v>
      </c>
      <c r="P797" s="276">
        <f t="shared" si="717"/>
        <v>2.0172371865771863</v>
      </c>
      <c r="Q797" s="276">
        <f t="shared" si="718"/>
        <v>1.4488927817630601</v>
      </c>
      <c r="R797" s="276">
        <f t="shared" si="719"/>
        <v>1.1408564637267016</v>
      </c>
      <c r="S797" s="686">
        <f t="shared" si="720"/>
        <v>1.4766143583805647</v>
      </c>
      <c r="T797" s="685">
        <f t="shared" si="721"/>
        <v>3.609282444476364</v>
      </c>
      <c r="U797" s="276">
        <f t="shared" si="722"/>
        <v>4.6566191891502751</v>
      </c>
      <c r="V797" s="276">
        <f t="shared" si="723"/>
        <v>4.4402309469086321</v>
      </c>
      <c r="W797" s="276">
        <f t="shared" si="724"/>
        <v>5.3256573741677524</v>
      </c>
      <c r="X797" s="276">
        <f t="shared" si="725"/>
        <v>2.8276458125474742</v>
      </c>
      <c r="Y797" s="686">
        <f t="shared" si="726"/>
        <v>3.7564571427643401</v>
      </c>
      <c r="Z797" s="685" t="e">
        <f t="shared" si="727"/>
        <v>#DIV/0!</v>
      </c>
      <c r="AA797" s="276" t="e">
        <f t="shared" si="728"/>
        <v>#DIV/0!</v>
      </c>
      <c r="AB797" s="276" t="e">
        <f t="shared" si="729"/>
        <v>#DIV/0!</v>
      </c>
      <c r="AC797" s="276" t="e">
        <f t="shared" si="730"/>
        <v>#DIV/0!</v>
      </c>
      <c r="AD797" s="276" t="e">
        <f t="shared" si="731"/>
        <v>#DIV/0!</v>
      </c>
      <c r="AE797" s="686" t="e">
        <f t="shared" si="732"/>
        <v>#DIV/0!</v>
      </c>
      <c r="AF797" s="239"/>
      <c r="AG797" s="965" t="e">
        <f t="shared" si="703"/>
        <v>#VALUE!</v>
      </c>
      <c r="AH797" s="878" t="e">
        <f t="shared" si="704"/>
        <v>#VALUE!</v>
      </c>
      <c r="AI797" s="878" t="e">
        <f t="shared" si="705"/>
        <v>#VALUE!</v>
      </c>
      <c r="AJ797" s="878" t="e">
        <f t="shared" si="706"/>
        <v>#VALUE!</v>
      </c>
      <c r="AK797" s="878" t="e">
        <f t="shared" si="707"/>
        <v>#VALUE!</v>
      </c>
      <c r="AL797" s="966" t="e">
        <f t="shared" si="708"/>
        <v>#VALUE!</v>
      </c>
      <c r="AM797" s="239"/>
      <c r="AO797" s="685">
        <f t="shared" si="733"/>
        <v>0.79517711778868194</v>
      </c>
      <c r="AP797" s="276">
        <f t="shared" si="734"/>
        <v>0.21823808371631492</v>
      </c>
      <c r="AQ797" s="276">
        <f t="shared" si="735"/>
        <v>2.8104328840045598</v>
      </c>
      <c r="AR797" s="276">
        <f t="shared" si="736"/>
        <v>-4.4347579544763667</v>
      </c>
      <c r="AS797" s="276">
        <f t="shared" si="737"/>
        <v>-4.2969259411780518</v>
      </c>
      <c r="AT797" s="276">
        <f t="shared" si="738"/>
        <v>1.0006922945856396</v>
      </c>
      <c r="AU797" s="685">
        <f t="shared" si="739"/>
        <v>1.557921285914434</v>
      </c>
      <c r="AV797" s="276">
        <f t="shared" si="740"/>
        <v>1.2903187783825631</v>
      </c>
      <c r="AW797" s="276">
        <f t="shared" si="741"/>
        <v>2.0172371865771863</v>
      </c>
      <c r="AX797" s="276">
        <f t="shared" si="742"/>
        <v>1.4488927817630601</v>
      </c>
      <c r="AY797" s="276">
        <f t="shared" si="743"/>
        <v>1.1408564637267016</v>
      </c>
      <c r="AZ797" s="686">
        <f t="shared" si="744"/>
        <v>1.4766143583805647</v>
      </c>
      <c r="BA797" s="685">
        <f t="shared" si="745"/>
        <v>0</v>
      </c>
      <c r="BB797" s="276">
        <f t="shared" si="746"/>
        <v>0</v>
      </c>
      <c r="BC797" s="276">
        <f t="shared" si="747"/>
        <v>0</v>
      </c>
      <c r="BD797" s="276">
        <f t="shared" si="748"/>
        <v>0</v>
      </c>
      <c r="BE797" s="276">
        <f t="shared" si="749"/>
        <v>0</v>
      </c>
      <c r="BF797" s="686">
        <f t="shared" si="750"/>
        <v>0</v>
      </c>
      <c r="BG797" s="685" t="e">
        <f t="shared" si="751"/>
        <v>#DIV/0!</v>
      </c>
      <c r="BH797" s="276" t="e">
        <f t="shared" si="752"/>
        <v>#DIV/0!</v>
      </c>
      <c r="BI797" s="276" t="e">
        <f t="shared" si="753"/>
        <v>#DIV/0!</v>
      </c>
      <c r="BJ797" s="276" t="e">
        <f t="shared" si="754"/>
        <v>#DIV/0!</v>
      </c>
      <c r="BK797" s="276" t="e">
        <f t="shared" si="755"/>
        <v>#DIV/0!</v>
      </c>
      <c r="BL797" s="686" t="e">
        <f t="shared" si="756"/>
        <v>#DIV/0!</v>
      </c>
      <c r="BM797" s="239"/>
      <c r="BN797" s="965" t="e">
        <f t="shared" si="757"/>
        <v>#VALUE!</v>
      </c>
      <c r="BO797" s="878" t="e">
        <f t="shared" si="758"/>
        <v>#VALUE!</v>
      </c>
      <c r="BP797" s="878" t="e">
        <f t="shared" si="759"/>
        <v>#VALUE!</v>
      </c>
      <c r="BQ797" s="878" t="e">
        <f t="shared" si="760"/>
        <v>#VALUE!</v>
      </c>
      <c r="BR797" s="878" t="e">
        <f t="shared" si="761"/>
        <v>#VALUE!</v>
      </c>
      <c r="BS797" s="966" t="e">
        <f t="shared" si="762"/>
        <v>#VALUE!</v>
      </c>
    </row>
    <row r="798" spans="1:71">
      <c r="A798" s="284">
        <f t="shared" si="763"/>
        <v>730</v>
      </c>
      <c r="B798" s="285">
        <v>4.7105412561483637E-2</v>
      </c>
      <c r="C798" s="285">
        <v>2.6066791247363787</v>
      </c>
      <c r="D798" s="285">
        <v>1.5815401508795457E-2</v>
      </c>
      <c r="E798" s="285">
        <v>8.2076586248454291</v>
      </c>
      <c r="H798" s="685">
        <f t="shared" si="709"/>
        <v>-1.0861284292075712</v>
      </c>
      <c r="I798" s="276">
        <f t="shared" si="710"/>
        <v>-0.69072934788373108</v>
      </c>
      <c r="J798" s="276">
        <f t="shared" si="711"/>
        <v>0.10306221856091224</v>
      </c>
      <c r="K798" s="276">
        <f t="shared" si="712"/>
        <v>-0.77443561903419056</v>
      </c>
      <c r="L798" s="276">
        <f t="shared" si="713"/>
        <v>-2.9146955380125625</v>
      </c>
      <c r="M798" s="276">
        <f t="shared" si="714"/>
        <v>1.6795849747954283</v>
      </c>
      <c r="N798" s="685">
        <f t="shared" si="715"/>
        <v>1.3995079137645103</v>
      </c>
      <c r="O798" s="276">
        <f t="shared" si="716"/>
        <v>1.8341550643415807</v>
      </c>
      <c r="P798" s="276">
        <f t="shared" si="717"/>
        <v>2.1904640594312639</v>
      </c>
      <c r="Q798" s="276">
        <f t="shared" si="718"/>
        <v>1.5780187660810727</v>
      </c>
      <c r="R798" s="276">
        <f t="shared" si="719"/>
        <v>1.3961177630342829</v>
      </c>
      <c r="S798" s="686">
        <f t="shared" si="720"/>
        <v>2.0835072651514723</v>
      </c>
      <c r="T798" s="685">
        <f t="shared" si="721"/>
        <v>3.2941790917797213</v>
      </c>
      <c r="U798" s="276">
        <f t="shared" si="722"/>
        <v>3.9404267634174803</v>
      </c>
      <c r="V798" s="276">
        <f t="shared" si="723"/>
        <v>4.2233359503192567</v>
      </c>
      <c r="W798" s="276">
        <f t="shared" si="724"/>
        <v>3.972304570982244</v>
      </c>
      <c r="X798" s="276">
        <f t="shared" si="725"/>
        <v>5.509383191308066</v>
      </c>
      <c r="Y798" s="686">
        <f t="shared" si="726"/>
        <v>4.5098203842439277</v>
      </c>
      <c r="Z798" s="685" t="e">
        <f t="shared" si="727"/>
        <v>#DIV/0!</v>
      </c>
      <c r="AA798" s="276" t="e">
        <f t="shared" si="728"/>
        <v>#DIV/0!</v>
      </c>
      <c r="AB798" s="276" t="e">
        <f t="shared" si="729"/>
        <v>#DIV/0!</v>
      </c>
      <c r="AC798" s="276" t="e">
        <f t="shared" si="730"/>
        <v>#DIV/0!</v>
      </c>
      <c r="AD798" s="276" t="e">
        <f t="shared" si="731"/>
        <v>#DIV/0!</v>
      </c>
      <c r="AE798" s="686" t="e">
        <f t="shared" si="732"/>
        <v>#DIV/0!</v>
      </c>
      <c r="AF798" s="239"/>
      <c r="AG798" s="965" t="e">
        <f t="shared" si="703"/>
        <v>#VALUE!</v>
      </c>
      <c r="AH798" s="878" t="e">
        <f t="shared" si="704"/>
        <v>#VALUE!</v>
      </c>
      <c r="AI798" s="878" t="e">
        <f t="shared" si="705"/>
        <v>#VALUE!</v>
      </c>
      <c r="AJ798" s="878" t="e">
        <f t="shared" si="706"/>
        <v>#VALUE!</v>
      </c>
      <c r="AK798" s="878" t="e">
        <f t="shared" si="707"/>
        <v>#VALUE!</v>
      </c>
      <c r="AL798" s="966" t="e">
        <f t="shared" si="708"/>
        <v>#VALUE!</v>
      </c>
      <c r="AM798" s="239"/>
      <c r="AO798" s="685">
        <f t="shared" si="733"/>
        <v>-1.0861284292075712</v>
      </c>
      <c r="AP798" s="276">
        <f t="shared" si="734"/>
        <v>-0.69072934788373108</v>
      </c>
      <c r="AQ798" s="276">
        <f t="shared" si="735"/>
        <v>0.10306221856091224</v>
      </c>
      <c r="AR798" s="276">
        <f t="shared" si="736"/>
        <v>-0.77443561903419056</v>
      </c>
      <c r="AS798" s="276">
        <f t="shared" si="737"/>
        <v>-2.9146955380125625</v>
      </c>
      <c r="AT798" s="276">
        <f t="shared" si="738"/>
        <v>1.6795849747954283</v>
      </c>
      <c r="AU798" s="685">
        <f t="shared" si="739"/>
        <v>1.3995079137645103</v>
      </c>
      <c r="AV798" s="276">
        <f t="shared" si="740"/>
        <v>1.8341550643415807</v>
      </c>
      <c r="AW798" s="276">
        <f t="shared" si="741"/>
        <v>2.1904640594312639</v>
      </c>
      <c r="AX798" s="276">
        <f t="shared" si="742"/>
        <v>1.5780187660810727</v>
      </c>
      <c r="AY798" s="276">
        <f t="shared" si="743"/>
        <v>1.3961177630342829</v>
      </c>
      <c r="AZ798" s="686">
        <f t="shared" si="744"/>
        <v>2.0835072651514723</v>
      </c>
      <c r="BA798" s="685">
        <f t="shared" si="745"/>
        <v>0</v>
      </c>
      <c r="BB798" s="276">
        <f t="shared" si="746"/>
        <v>0</v>
      </c>
      <c r="BC798" s="276">
        <f t="shared" si="747"/>
        <v>0</v>
      </c>
      <c r="BD798" s="276">
        <f t="shared" si="748"/>
        <v>0</v>
      </c>
      <c r="BE798" s="276">
        <f t="shared" si="749"/>
        <v>0</v>
      </c>
      <c r="BF798" s="686">
        <f t="shared" si="750"/>
        <v>0</v>
      </c>
      <c r="BG798" s="685" t="e">
        <f t="shared" si="751"/>
        <v>#DIV/0!</v>
      </c>
      <c r="BH798" s="276" t="e">
        <f t="shared" si="752"/>
        <v>#DIV/0!</v>
      </c>
      <c r="BI798" s="276" t="e">
        <f t="shared" si="753"/>
        <v>#DIV/0!</v>
      </c>
      <c r="BJ798" s="276" t="e">
        <f t="shared" si="754"/>
        <v>#DIV/0!</v>
      </c>
      <c r="BK798" s="276" t="e">
        <f t="shared" si="755"/>
        <v>#DIV/0!</v>
      </c>
      <c r="BL798" s="686" t="e">
        <f t="shared" si="756"/>
        <v>#DIV/0!</v>
      </c>
      <c r="BM798" s="239"/>
      <c r="BN798" s="965" t="e">
        <f t="shared" si="757"/>
        <v>#VALUE!</v>
      </c>
      <c r="BO798" s="878" t="e">
        <f t="shared" si="758"/>
        <v>#VALUE!</v>
      </c>
      <c r="BP798" s="878" t="e">
        <f t="shared" si="759"/>
        <v>#VALUE!</v>
      </c>
      <c r="BQ798" s="878" t="e">
        <f t="shared" si="760"/>
        <v>#VALUE!</v>
      </c>
      <c r="BR798" s="878" t="e">
        <f t="shared" si="761"/>
        <v>#VALUE!</v>
      </c>
      <c r="BS798" s="966" t="e">
        <f t="shared" si="762"/>
        <v>#VALUE!</v>
      </c>
    </row>
    <row r="799" spans="1:71">
      <c r="A799" s="284">
        <f t="shared" si="763"/>
        <v>731</v>
      </c>
      <c r="B799" s="285">
        <v>-0.41555729472925373</v>
      </c>
      <c r="C799" s="285">
        <v>2.5538125794468569</v>
      </c>
      <c r="D799" s="285">
        <v>-1.2838324455720174</v>
      </c>
      <c r="E799" s="285">
        <v>2.2694502524708402</v>
      </c>
      <c r="H799" s="685">
        <f t="shared" si="709"/>
        <v>-1.5487911364983087</v>
      </c>
      <c r="I799" s="276">
        <f t="shared" si="710"/>
        <v>1.1963391666137151</v>
      </c>
      <c r="J799" s="276">
        <f t="shared" si="711"/>
        <v>-0.87867542289231815</v>
      </c>
      <c r="K799" s="276">
        <f t="shared" si="712"/>
        <v>1.51703157103879</v>
      </c>
      <c r="L799" s="276">
        <f t="shared" si="713"/>
        <v>-4.0045128580475682</v>
      </c>
      <c r="M799" s="276">
        <f t="shared" si="714"/>
        <v>-3.695574766126172</v>
      </c>
      <c r="N799" s="685">
        <f t="shared" si="715"/>
        <v>1.3466413684749885</v>
      </c>
      <c r="O799" s="276">
        <f t="shared" si="716"/>
        <v>1.960118364991992</v>
      </c>
      <c r="P799" s="276">
        <f t="shared" si="717"/>
        <v>1.8948416077543506</v>
      </c>
      <c r="Q799" s="276">
        <f t="shared" si="718"/>
        <v>1.4593141705482402</v>
      </c>
      <c r="R799" s="276">
        <f t="shared" si="719"/>
        <v>1.2626157464904251</v>
      </c>
      <c r="S799" s="686">
        <f t="shared" si="720"/>
        <v>1.8249259052209637</v>
      </c>
      <c r="T799" s="685">
        <f t="shared" si="721"/>
        <v>1.9945312446989085</v>
      </c>
      <c r="U799" s="276">
        <f t="shared" si="722"/>
        <v>4.3941315144291266</v>
      </c>
      <c r="V799" s="276">
        <f t="shared" si="723"/>
        <v>5.3009692321023216</v>
      </c>
      <c r="W799" s="276">
        <f t="shared" si="724"/>
        <v>3.5885383952516134</v>
      </c>
      <c r="X799" s="276">
        <f t="shared" si="725"/>
        <v>4.4302591104090787</v>
      </c>
      <c r="Y799" s="686">
        <f t="shared" si="726"/>
        <v>2.7570762872763983</v>
      </c>
      <c r="Z799" s="685" t="e">
        <f t="shared" si="727"/>
        <v>#DIV/0!</v>
      </c>
      <c r="AA799" s="276" t="e">
        <f t="shared" si="728"/>
        <v>#DIV/0!</v>
      </c>
      <c r="AB799" s="276" t="e">
        <f t="shared" si="729"/>
        <v>#DIV/0!</v>
      </c>
      <c r="AC799" s="276" t="e">
        <f t="shared" si="730"/>
        <v>#DIV/0!</v>
      </c>
      <c r="AD799" s="276" t="e">
        <f t="shared" si="731"/>
        <v>#DIV/0!</v>
      </c>
      <c r="AE799" s="686" t="e">
        <f t="shared" si="732"/>
        <v>#DIV/0!</v>
      </c>
      <c r="AF799" s="239"/>
      <c r="AG799" s="965" t="e">
        <f t="shared" si="703"/>
        <v>#VALUE!</v>
      </c>
      <c r="AH799" s="878" t="e">
        <f t="shared" si="704"/>
        <v>#VALUE!</v>
      </c>
      <c r="AI799" s="878" t="e">
        <f t="shared" si="705"/>
        <v>#VALUE!</v>
      </c>
      <c r="AJ799" s="878" t="e">
        <f t="shared" si="706"/>
        <v>#VALUE!</v>
      </c>
      <c r="AK799" s="878" t="e">
        <f t="shared" si="707"/>
        <v>#VALUE!</v>
      </c>
      <c r="AL799" s="966" t="e">
        <f t="shared" si="708"/>
        <v>#VALUE!</v>
      </c>
      <c r="AM799" s="239"/>
      <c r="AO799" s="685">
        <f t="shared" si="733"/>
        <v>-1.5487911364983087</v>
      </c>
      <c r="AP799" s="276">
        <f t="shared" si="734"/>
        <v>1.1963391666137151</v>
      </c>
      <c r="AQ799" s="276">
        <f t="shared" si="735"/>
        <v>-0.87867542289231815</v>
      </c>
      <c r="AR799" s="276">
        <f t="shared" si="736"/>
        <v>1.51703157103879</v>
      </c>
      <c r="AS799" s="276">
        <f t="shared" si="737"/>
        <v>-4.0045128580475682</v>
      </c>
      <c r="AT799" s="276">
        <f t="shared" si="738"/>
        <v>-3.695574766126172</v>
      </c>
      <c r="AU799" s="685">
        <f t="shared" si="739"/>
        <v>1.3466413684749885</v>
      </c>
      <c r="AV799" s="276">
        <f t="shared" si="740"/>
        <v>1.960118364991992</v>
      </c>
      <c r="AW799" s="276">
        <f t="shared" si="741"/>
        <v>1.8948416077543506</v>
      </c>
      <c r="AX799" s="276">
        <f t="shared" si="742"/>
        <v>1.4593141705482402</v>
      </c>
      <c r="AY799" s="276">
        <f t="shared" si="743"/>
        <v>1.2626157464904251</v>
      </c>
      <c r="AZ799" s="686">
        <f t="shared" si="744"/>
        <v>1.8249259052209637</v>
      </c>
      <c r="BA799" s="685">
        <f t="shared" si="745"/>
        <v>0</v>
      </c>
      <c r="BB799" s="276">
        <f t="shared" si="746"/>
        <v>0</v>
      </c>
      <c r="BC799" s="276">
        <f t="shared" si="747"/>
        <v>0</v>
      </c>
      <c r="BD799" s="276">
        <f t="shared" si="748"/>
        <v>0</v>
      </c>
      <c r="BE799" s="276">
        <f t="shared" si="749"/>
        <v>0</v>
      </c>
      <c r="BF799" s="686">
        <f t="shared" si="750"/>
        <v>0</v>
      </c>
      <c r="BG799" s="685" t="e">
        <f t="shared" si="751"/>
        <v>#DIV/0!</v>
      </c>
      <c r="BH799" s="276" t="e">
        <f t="shared" si="752"/>
        <v>#DIV/0!</v>
      </c>
      <c r="BI799" s="276" t="e">
        <f t="shared" si="753"/>
        <v>#DIV/0!</v>
      </c>
      <c r="BJ799" s="276" t="e">
        <f t="shared" si="754"/>
        <v>#DIV/0!</v>
      </c>
      <c r="BK799" s="276" t="e">
        <f t="shared" si="755"/>
        <v>#DIV/0!</v>
      </c>
      <c r="BL799" s="686" t="e">
        <f t="shared" si="756"/>
        <v>#DIV/0!</v>
      </c>
      <c r="BM799" s="239"/>
      <c r="BN799" s="965" t="e">
        <f t="shared" si="757"/>
        <v>#VALUE!</v>
      </c>
      <c r="BO799" s="878" t="e">
        <f t="shared" si="758"/>
        <v>#VALUE!</v>
      </c>
      <c r="BP799" s="878" t="e">
        <f t="shared" si="759"/>
        <v>#VALUE!</v>
      </c>
      <c r="BQ799" s="878" t="e">
        <f t="shared" si="760"/>
        <v>#VALUE!</v>
      </c>
      <c r="BR799" s="878" t="e">
        <f t="shared" si="761"/>
        <v>#VALUE!</v>
      </c>
      <c r="BS799" s="966" t="e">
        <f t="shared" si="762"/>
        <v>#VALUE!</v>
      </c>
    </row>
    <row r="800" spans="1:71">
      <c r="A800" s="284">
        <f t="shared" si="763"/>
        <v>732</v>
      </c>
      <c r="B800" s="285">
        <v>0.34897668287777672</v>
      </c>
      <c r="C800" s="285">
        <v>2.8366422075530213</v>
      </c>
      <c r="D800" s="285">
        <v>-1.0516192528336679</v>
      </c>
      <c r="E800" s="285">
        <v>-2.5969301965408387</v>
      </c>
      <c r="H800" s="685">
        <f t="shared" si="709"/>
        <v>-0.78425715889127812</v>
      </c>
      <c r="I800" s="276">
        <f t="shared" si="710"/>
        <v>-1.9132230906541068</v>
      </c>
      <c r="J800" s="276">
        <f t="shared" si="711"/>
        <v>1.4917628431322296</v>
      </c>
      <c r="K800" s="276">
        <f t="shared" si="712"/>
        <v>-4.4115212159791684</v>
      </c>
      <c r="L800" s="276">
        <f t="shared" si="713"/>
        <v>4.6168762088265369</v>
      </c>
      <c r="M800" s="276">
        <f t="shared" si="714"/>
        <v>-4.0326870000456827</v>
      </c>
      <c r="N800" s="685">
        <f t="shared" si="715"/>
        <v>1.6294709965811529</v>
      </c>
      <c r="O800" s="276">
        <f t="shared" si="716"/>
        <v>0.62240412720824989</v>
      </c>
      <c r="P800" s="276">
        <f t="shared" si="717"/>
        <v>2.4192441560046571</v>
      </c>
      <c r="Q800" s="276">
        <f t="shared" si="718"/>
        <v>0.70381973482772775</v>
      </c>
      <c r="R800" s="276">
        <f t="shared" si="719"/>
        <v>1.9183154186989395</v>
      </c>
      <c r="S800" s="686">
        <f t="shared" si="720"/>
        <v>1.5313985217724457</v>
      </c>
      <c r="T800" s="685">
        <f t="shared" si="721"/>
        <v>2.226744437437258</v>
      </c>
      <c r="U800" s="276">
        <f t="shared" si="722"/>
        <v>5.4601589040129461</v>
      </c>
      <c r="V800" s="276">
        <f t="shared" si="723"/>
        <v>3.2358246089987674</v>
      </c>
      <c r="W800" s="276">
        <f t="shared" si="724"/>
        <v>2.2907613892773253</v>
      </c>
      <c r="X800" s="276">
        <f t="shared" si="725"/>
        <v>5.2887795503288331</v>
      </c>
      <c r="Y800" s="686">
        <f t="shared" si="726"/>
        <v>3.566754944467514</v>
      </c>
      <c r="Z800" s="685" t="e">
        <f t="shared" si="727"/>
        <v>#DIV/0!</v>
      </c>
      <c r="AA800" s="276" t="e">
        <f t="shared" si="728"/>
        <v>#DIV/0!</v>
      </c>
      <c r="AB800" s="276" t="e">
        <f t="shared" si="729"/>
        <v>#DIV/0!</v>
      </c>
      <c r="AC800" s="276" t="e">
        <f t="shared" si="730"/>
        <v>#DIV/0!</v>
      </c>
      <c r="AD800" s="276" t="e">
        <f t="shared" si="731"/>
        <v>#DIV/0!</v>
      </c>
      <c r="AE800" s="686" t="e">
        <f t="shared" si="732"/>
        <v>#DIV/0!</v>
      </c>
      <c r="AF800" s="239"/>
      <c r="AG800" s="965" t="e">
        <f t="shared" si="703"/>
        <v>#VALUE!</v>
      </c>
      <c r="AH800" s="878" t="e">
        <f t="shared" si="704"/>
        <v>#VALUE!</v>
      </c>
      <c r="AI800" s="878" t="e">
        <f t="shared" si="705"/>
        <v>#VALUE!</v>
      </c>
      <c r="AJ800" s="878" t="e">
        <f t="shared" si="706"/>
        <v>#VALUE!</v>
      </c>
      <c r="AK800" s="878" t="e">
        <f t="shared" si="707"/>
        <v>#VALUE!</v>
      </c>
      <c r="AL800" s="966" t="e">
        <f t="shared" si="708"/>
        <v>#VALUE!</v>
      </c>
      <c r="AM800" s="239"/>
      <c r="AO800" s="685">
        <f t="shared" si="733"/>
        <v>-0.78425715889127812</v>
      </c>
      <c r="AP800" s="276">
        <f t="shared" si="734"/>
        <v>-1.9132230906541068</v>
      </c>
      <c r="AQ800" s="276">
        <f t="shared" si="735"/>
        <v>1.4917628431322296</v>
      </c>
      <c r="AR800" s="276">
        <f t="shared" si="736"/>
        <v>-4.4115212159791684</v>
      </c>
      <c r="AS800" s="276">
        <f t="shared" si="737"/>
        <v>4.6168762088265369</v>
      </c>
      <c r="AT800" s="276">
        <f t="shared" si="738"/>
        <v>-4.0326870000456827</v>
      </c>
      <c r="AU800" s="685">
        <f t="shared" si="739"/>
        <v>1.6294709965811529</v>
      </c>
      <c r="AV800" s="276">
        <f t="shared" si="740"/>
        <v>0.62240412720824989</v>
      </c>
      <c r="AW800" s="276">
        <f t="shared" si="741"/>
        <v>2.4192441560046571</v>
      </c>
      <c r="AX800" s="276">
        <f t="shared" si="742"/>
        <v>0.70381973482772775</v>
      </c>
      <c r="AY800" s="276">
        <f t="shared" si="743"/>
        <v>1.9183154186989395</v>
      </c>
      <c r="AZ800" s="686">
        <f t="shared" si="744"/>
        <v>1.5313985217724457</v>
      </c>
      <c r="BA800" s="685">
        <f t="shared" si="745"/>
        <v>0</v>
      </c>
      <c r="BB800" s="276">
        <f t="shared" si="746"/>
        <v>0</v>
      </c>
      <c r="BC800" s="276">
        <f t="shared" si="747"/>
        <v>0</v>
      </c>
      <c r="BD800" s="276">
        <f t="shared" si="748"/>
        <v>0</v>
      </c>
      <c r="BE800" s="276">
        <f t="shared" si="749"/>
        <v>0</v>
      </c>
      <c r="BF800" s="686">
        <f t="shared" si="750"/>
        <v>0</v>
      </c>
      <c r="BG800" s="685" t="e">
        <f t="shared" si="751"/>
        <v>#DIV/0!</v>
      </c>
      <c r="BH800" s="276" t="e">
        <f t="shared" si="752"/>
        <v>#DIV/0!</v>
      </c>
      <c r="BI800" s="276" t="e">
        <f t="shared" si="753"/>
        <v>#DIV/0!</v>
      </c>
      <c r="BJ800" s="276" t="e">
        <f t="shared" si="754"/>
        <v>#DIV/0!</v>
      </c>
      <c r="BK800" s="276" t="e">
        <f t="shared" si="755"/>
        <v>#DIV/0!</v>
      </c>
      <c r="BL800" s="686" t="e">
        <f t="shared" si="756"/>
        <v>#DIV/0!</v>
      </c>
      <c r="BM800" s="239"/>
      <c r="BN800" s="965" t="e">
        <f t="shared" si="757"/>
        <v>#VALUE!</v>
      </c>
      <c r="BO800" s="878" t="e">
        <f t="shared" si="758"/>
        <v>#VALUE!</v>
      </c>
      <c r="BP800" s="878" t="e">
        <f t="shared" si="759"/>
        <v>#VALUE!</v>
      </c>
      <c r="BQ800" s="878" t="e">
        <f t="shared" si="760"/>
        <v>#VALUE!</v>
      </c>
      <c r="BR800" s="878" t="e">
        <f t="shared" si="761"/>
        <v>#VALUE!</v>
      </c>
      <c r="BS800" s="966" t="e">
        <f t="shared" si="762"/>
        <v>#VALUE!</v>
      </c>
    </row>
    <row r="801" spans="1:71">
      <c r="A801" s="284">
        <f t="shared" si="763"/>
        <v>733</v>
      </c>
      <c r="B801" s="285">
        <v>0.16779092698619158</v>
      </c>
      <c r="C801" s="285">
        <v>2.2926213379779647</v>
      </c>
      <c r="D801" s="285">
        <v>2.7675552580050864</v>
      </c>
      <c r="E801" s="285">
        <v>-3.6483929400323798</v>
      </c>
      <c r="H801" s="685">
        <f t="shared" si="709"/>
        <v>-0.96544291478286326</v>
      </c>
      <c r="I801" s="276">
        <f t="shared" si="710"/>
        <v>-2.729208837029268</v>
      </c>
      <c r="J801" s="276">
        <f t="shared" si="711"/>
        <v>-0.44542555225145297</v>
      </c>
      <c r="K801" s="276">
        <f t="shared" si="712"/>
        <v>-1.369767298157138</v>
      </c>
      <c r="L801" s="276">
        <f t="shared" si="713"/>
        <v>0.68095629491502296</v>
      </c>
      <c r="M801" s="276">
        <f t="shared" si="714"/>
        <v>0.93953705163783741</v>
      </c>
      <c r="N801" s="685">
        <f t="shared" si="715"/>
        <v>1.0854501270060963</v>
      </c>
      <c r="O801" s="276">
        <f t="shared" si="716"/>
        <v>0.74653528713086081</v>
      </c>
      <c r="P801" s="276">
        <f t="shared" si="717"/>
        <v>1.379443090447366</v>
      </c>
      <c r="Q801" s="276">
        <f t="shared" si="718"/>
        <v>0.2960072415293864</v>
      </c>
      <c r="R801" s="276">
        <f t="shared" si="719"/>
        <v>1.5749159568935516</v>
      </c>
      <c r="S801" s="686">
        <f t="shared" si="720"/>
        <v>1.1399443814942758</v>
      </c>
      <c r="T801" s="685">
        <f t="shared" si="721"/>
        <v>6.0459189482760127</v>
      </c>
      <c r="U801" s="276">
        <f t="shared" si="722"/>
        <v>2.3426812763997837</v>
      </c>
      <c r="V801" s="276">
        <f t="shared" si="723"/>
        <v>4.1424107370385954</v>
      </c>
      <c r="W801" s="276">
        <f t="shared" si="724"/>
        <v>6.1097631844564804</v>
      </c>
      <c r="X801" s="276">
        <f t="shared" si="725"/>
        <v>3.962151206947981</v>
      </c>
      <c r="Y801" s="686">
        <f t="shared" si="726"/>
        <v>6.7655010792276613</v>
      </c>
      <c r="Z801" s="685" t="e">
        <f t="shared" si="727"/>
        <v>#DIV/0!</v>
      </c>
      <c r="AA801" s="276" t="e">
        <f t="shared" si="728"/>
        <v>#DIV/0!</v>
      </c>
      <c r="AB801" s="276" t="e">
        <f t="shared" si="729"/>
        <v>#DIV/0!</v>
      </c>
      <c r="AC801" s="276" t="e">
        <f t="shared" si="730"/>
        <v>#DIV/0!</v>
      </c>
      <c r="AD801" s="276" t="e">
        <f t="shared" si="731"/>
        <v>#DIV/0!</v>
      </c>
      <c r="AE801" s="686" t="e">
        <f t="shared" si="732"/>
        <v>#DIV/0!</v>
      </c>
      <c r="AF801" s="239"/>
      <c r="AG801" s="965" t="e">
        <f t="shared" si="703"/>
        <v>#VALUE!</v>
      </c>
      <c r="AH801" s="878" t="e">
        <f t="shared" si="704"/>
        <v>#VALUE!</v>
      </c>
      <c r="AI801" s="878" t="e">
        <f t="shared" si="705"/>
        <v>#VALUE!</v>
      </c>
      <c r="AJ801" s="878" t="e">
        <f t="shared" si="706"/>
        <v>#VALUE!</v>
      </c>
      <c r="AK801" s="878" t="e">
        <f t="shared" si="707"/>
        <v>#VALUE!</v>
      </c>
      <c r="AL801" s="966" t="e">
        <f t="shared" si="708"/>
        <v>#VALUE!</v>
      </c>
      <c r="AM801" s="239"/>
      <c r="AO801" s="685">
        <f t="shared" si="733"/>
        <v>-0.96544291478286326</v>
      </c>
      <c r="AP801" s="276">
        <f t="shared" si="734"/>
        <v>-2.729208837029268</v>
      </c>
      <c r="AQ801" s="276">
        <f t="shared" si="735"/>
        <v>-0.44542555225145297</v>
      </c>
      <c r="AR801" s="276">
        <f t="shared" si="736"/>
        <v>-1.369767298157138</v>
      </c>
      <c r="AS801" s="276">
        <f t="shared" si="737"/>
        <v>0.68095629491502296</v>
      </c>
      <c r="AT801" s="276">
        <f t="shared" si="738"/>
        <v>0.93953705163783741</v>
      </c>
      <c r="AU801" s="685">
        <f t="shared" si="739"/>
        <v>1.0854501270060963</v>
      </c>
      <c r="AV801" s="276">
        <f t="shared" si="740"/>
        <v>0.74653528713086081</v>
      </c>
      <c r="AW801" s="276">
        <f t="shared" si="741"/>
        <v>1.379443090447366</v>
      </c>
      <c r="AX801" s="276">
        <f t="shared" si="742"/>
        <v>0.2960072415293864</v>
      </c>
      <c r="AY801" s="276">
        <f t="shared" si="743"/>
        <v>1.5749159568935516</v>
      </c>
      <c r="AZ801" s="686">
        <f t="shared" si="744"/>
        <v>1.1399443814942758</v>
      </c>
      <c r="BA801" s="685">
        <f t="shared" si="745"/>
        <v>0</v>
      </c>
      <c r="BB801" s="276">
        <f t="shared" si="746"/>
        <v>0</v>
      </c>
      <c r="BC801" s="276">
        <f t="shared" si="747"/>
        <v>0</v>
      </c>
      <c r="BD801" s="276">
        <f t="shared" si="748"/>
        <v>0</v>
      </c>
      <c r="BE801" s="276">
        <f t="shared" si="749"/>
        <v>0</v>
      </c>
      <c r="BF801" s="686">
        <f t="shared" si="750"/>
        <v>0</v>
      </c>
      <c r="BG801" s="685" t="e">
        <f t="shared" si="751"/>
        <v>#DIV/0!</v>
      </c>
      <c r="BH801" s="276" t="e">
        <f t="shared" si="752"/>
        <v>#DIV/0!</v>
      </c>
      <c r="BI801" s="276" t="e">
        <f t="shared" si="753"/>
        <v>#DIV/0!</v>
      </c>
      <c r="BJ801" s="276" t="e">
        <f t="shared" si="754"/>
        <v>#DIV/0!</v>
      </c>
      <c r="BK801" s="276" t="e">
        <f t="shared" si="755"/>
        <v>#DIV/0!</v>
      </c>
      <c r="BL801" s="686" t="e">
        <f t="shared" si="756"/>
        <v>#DIV/0!</v>
      </c>
      <c r="BM801" s="239"/>
      <c r="BN801" s="965" t="e">
        <f t="shared" si="757"/>
        <v>#VALUE!</v>
      </c>
      <c r="BO801" s="878" t="e">
        <f t="shared" si="758"/>
        <v>#VALUE!</v>
      </c>
      <c r="BP801" s="878" t="e">
        <f t="shared" si="759"/>
        <v>#VALUE!</v>
      </c>
      <c r="BQ801" s="878" t="e">
        <f t="shared" si="760"/>
        <v>#VALUE!</v>
      </c>
      <c r="BR801" s="878" t="e">
        <f t="shared" si="761"/>
        <v>#VALUE!</v>
      </c>
      <c r="BS801" s="966" t="e">
        <f t="shared" si="762"/>
        <v>#VALUE!</v>
      </c>
    </row>
    <row r="802" spans="1:71">
      <c r="A802" s="284">
        <f t="shared" si="763"/>
        <v>734</v>
      </c>
      <c r="B802" s="285">
        <v>-3.1517760807182902</v>
      </c>
      <c r="C802" s="285">
        <v>2.4190908028636233</v>
      </c>
      <c r="D802" s="285">
        <v>0.83389725236429513</v>
      </c>
      <c r="E802" s="285">
        <v>-8.8752011660299353</v>
      </c>
      <c r="H802" s="685">
        <f t="shared" si="709"/>
        <v>-4.2850099224873448</v>
      </c>
      <c r="I802" s="276">
        <f t="shared" si="710"/>
        <v>1.0591756279334883</v>
      </c>
      <c r="J802" s="276">
        <f t="shared" si="711"/>
        <v>-1.2810660516560235</v>
      </c>
      <c r="K802" s="276">
        <f t="shared" si="712"/>
        <v>-0.76657657254671874</v>
      </c>
      <c r="L802" s="276">
        <f t="shared" si="713"/>
        <v>0.39430652533750266</v>
      </c>
      <c r="M802" s="276">
        <f t="shared" si="714"/>
        <v>-1.3686589764293926</v>
      </c>
      <c r="N802" s="685">
        <f t="shared" si="715"/>
        <v>1.2119195918917549</v>
      </c>
      <c r="O802" s="276">
        <f t="shared" si="716"/>
        <v>2.163659726875049</v>
      </c>
      <c r="P802" s="276">
        <f t="shared" si="717"/>
        <v>1.5394133923017519</v>
      </c>
      <c r="Q802" s="276">
        <f t="shared" si="718"/>
        <v>1.4124391761276274</v>
      </c>
      <c r="R802" s="276">
        <f t="shared" si="719"/>
        <v>0.60185113407281432</v>
      </c>
      <c r="S802" s="686">
        <f t="shared" si="720"/>
        <v>0.44694923768396833</v>
      </c>
      <c r="T802" s="685">
        <f t="shared" si="721"/>
        <v>4.1122609426352206</v>
      </c>
      <c r="U802" s="276">
        <f t="shared" si="722"/>
        <v>5.3737038767093654</v>
      </c>
      <c r="V802" s="276">
        <f t="shared" si="723"/>
        <v>5.5523201546518148</v>
      </c>
      <c r="W802" s="276">
        <f t="shared" si="724"/>
        <v>3.8252412702405092</v>
      </c>
      <c r="X802" s="276">
        <f t="shared" si="725"/>
        <v>4.1859462196017798</v>
      </c>
      <c r="Y802" s="686">
        <f t="shared" si="726"/>
        <v>3.8845469877121204</v>
      </c>
      <c r="Z802" s="685" t="e">
        <f t="shared" si="727"/>
        <v>#DIV/0!</v>
      </c>
      <c r="AA802" s="276" t="e">
        <f t="shared" si="728"/>
        <v>#DIV/0!</v>
      </c>
      <c r="AB802" s="276" t="e">
        <f t="shared" si="729"/>
        <v>#DIV/0!</v>
      </c>
      <c r="AC802" s="276" t="e">
        <f t="shared" si="730"/>
        <v>#DIV/0!</v>
      </c>
      <c r="AD802" s="276" t="e">
        <f t="shared" si="731"/>
        <v>#DIV/0!</v>
      </c>
      <c r="AE802" s="686" t="e">
        <f t="shared" si="732"/>
        <v>#DIV/0!</v>
      </c>
      <c r="AF802" s="239"/>
      <c r="AG802" s="965" t="e">
        <f t="shared" si="703"/>
        <v>#VALUE!</v>
      </c>
      <c r="AH802" s="878" t="e">
        <f t="shared" si="704"/>
        <v>#VALUE!</v>
      </c>
      <c r="AI802" s="878" t="e">
        <f t="shared" si="705"/>
        <v>#VALUE!</v>
      </c>
      <c r="AJ802" s="878" t="e">
        <f t="shared" si="706"/>
        <v>#VALUE!</v>
      </c>
      <c r="AK802" s="878" t="e">
        <f t="shared" si="707"/>
        <v>#VALUE!</v>
      </c>
      <c r="AL802" s="966" t="e">
        <f t="shared" si="708"/>
        <v>#VALUE!</v>
      </c>
      <c r="AM802" s="239"/>
      <c r="AO802" s="685">
        <f t="shared" si="733"/>
        <v>-4.2850099224873448</v>
      </c>
      <c r="AP802" s="276">
        <f t="shared" si="734"/>
        <v>1.0591756279334883</v>
      </c>
      <c r="AQ802" s="276">
        <f t="shared" si="735"/>
        <v>-1.2810660516560235</v>
      </c>
      <c r="AR802" s="276">
        <f t="shared" si="736"/>
        <v>-0.76657657254671874</v>
      </c>
      <c r="AS802" s="276">
        <f t="shared" si="737"/>
        <v>0.39430652533750266</v>
      </c>
      <c r="AT802" s="276">
        <f t="shared" si="738"/>
        <v>-1.3686589764293926</v>
      </c>
      <c r="AU802" s="685">
        <f t="shared" si="739"/>
        <v>1.2119195918917549</v>
      </c>
      <c r="AV802" s="276">
        <f t="shared" si="740"/>
        <v>2.163659726875049</v>
      </c>
      <c r="AW802" s="276">
        <f t="shared" si="741"/>
        <v>1.5394133923017519</v>
      </c>
      <c r="AX802" s="276">
        <f t="shared" si="742"/>
        <v>1.4124391761276274</v>
      </c>
      <c r="AY802" s="276">
        <f t="shared" si="743"/>
        <v>0.60185113407281432</v>
      </c>
      <c r="AZ802" s="686">
        <f t="shared" si="744"/>
        <v>0.44694923768396833</v>
      </c>
      <c r="BA802" s="685">
        <f t="shared" si="745"/>
        <v>0</v>
      </c>
      <c r="BB802" s="276">
        <f t="shared" si="746"/>
        <v>0</v>
      </c>
      <c r="BC802" s="276">
        <f t="shared" si="747"/>
        <v>0</v>
      </c>
      <c r="BD802" s="276">
        <f t="shared" si="748"/>
        <v>0</v>
      </c>
      <c r="BE802" s="276">
        <f t="shared" si="749"/>
        <v>0</v>
      </c>
      <c r="BF802" s="686">
        <f t="shared" si="750"/>
        <v>0</v>
      </c>
      <c r="BG802" s="685" t="e">
        <f t="shared" si="751"/>
        <v>#DIV/0!</v>
      </c>
      <c r="BH802" s="276" t="e">
        <f t="shared" si="752"/>
        <v>#DIV/0!</v>
      </c>
      <c r="BI802" s="276" t="e">
        <f t="shared" si="753"/>
        <v>#DIV/0!</v>
      </c>
      <c r="BJ802" s="276" t="e">
        <f t="shared" si="754"/>
        <v>#DIV/0!</v>
      </c>
      <c r="BK802" s="276" t="e">
        <f t="shared" si="755"/>
        <v>#DIV/0!</v>
      </c>
      <c r="BL802" s="686" t="e">
        <f t="shared" si="756"/>
        <v>#DIV/0!</v>
      </c>
      <c r="BM802" s="239"/>
      <c r="BN802" s="965" t="e">
        <f t="shared" si="757"/>
        <v>#VALUE!</v>
      </c>
      <c r="BO802" s="878" t="e">
        <f t="shared" si="758"/>
        <v>#VALUE!</v>
      </c>
      <c r="BP802" s="878" t="e">
        <f t="shared" si="759"/>
        <v>#VALUE!</v>
      </c>
      <c r="BQ802" s="878" t="e">
        <f t="shared" si="760"/>
        <v>#VALUE!</v>
      </c>
      <c r="BR802" s="878" t="e">
        <f t="shared" si="761"/>
        <v>#VALUE!</v>
      </c>
      <c r="BS802" s="966" t="e">
        <f t="shared" si="762"/>
        <v>#VALUE!</v>
      </c>
    </row>
    <row r="803" spans="1:71">
      <c r="A803" s="284">
        <f t="shared" si="763"/>
        <v>735</v>
      </c>
      <c r="B803" s="285">
        <v>-2.1588547908283511</v>
      </c>
      <c r="C803" s="285">
        <v>3.5790858662222678</v>
      </c>
      <c r="D803" s="285">
        <v>1.1767194390966178</v>
      </c>
      <c r="E803" s="285">
        <v>14.236065489785801</v>
      </c>
      <c r="H803" s="685">
        <f t="shared" si="709"/>
        <v>-3.2920886325974061</v>
      </c>
      <c r="I803" s="276">
        <f t="shared" si="710"/>
        <v>0.42328317316704278</v>
      </c>
      <c r="J803" s="276">
        <f t="shared" si="711"/>
        <v>1.6980577092912219</v>
      </c>
      <c r="K803" s="276">
        <f t="shared" si="712"/>
        <v>0.61436159105974575</v>
      </c>
      <c r="L803" s="276">
        <f t="shared" si="713"/>
        <v>-2.6869496389859409</v>
      </c>
      <c r="M803" s="276">
        <f t="shared" si="714"/>
        <v>0.27057400190228953</v>
      </c>
      <c r="N803" s="685">
        <f t="shared" si="715"/>
        <v>2.3719146552503991</v>
      </c>
      <c r="O803" s="276">
        <f t="shared" si="716"/>
        <v>1.0522953707466429</v>
      </c>
      <c r="P803" s="276">
        <f t="shared" si="717"/>
        <v>1.7003394526244262</v>
      </c>
      <c r="Q803" s="276">
        <f t="shared" si="718"/>
        <v>1.7758242591049094</v>
      </c>
      <c r="R803" s="276">
        <f t="shared" si="719"/>
        <v>1.5903522030579402</v>
      </c>
      <c r="S803" s="686">
        <f t="shared" si="720"/>
        <v>1.8049542937212075</v>
      </c>
      <c r="T803" s="685">
        <f t="shared" si="721"/>
        <v>4.4550831293675435</v>
      </c>
      <c r="U803" s="276">
        <f t="shared" si="722"/>
        <v>5.5527614982276479</v>
      </c>
      <c r="V803" s="276">
        <f t="shared" si="723"/>
        <v>6.1087379247807529</v>
      </c>
      <c r="W803" s="276">
        <f t="shared" si="724"/>
        <v>4.6161176548059437</v>
      </c>
      <c r="X803" s="276">
        <f t="shared" si="725"/>
        <v>4.3810640618992052</v>
      </c>
      <c r="Y803" s="686">
        <f t="shared" si="726"/>
        <v>4.1461459059659109</v>
      </c>
      <c r="Z803" s="685" t="e">
        <f t="shared" si="727"/>
        <v>#DIV/0!</v>
      </c>
      <c r="AA803" s="276" t="e">
        <f t="shared" si="728"/>
        <v>#DIV/0!</v>
      </c>
      <c r="AB803" s="276" t="e">
        <f t="shared" si="729"/>
        <v>#DIV/0!</v>
      </c>
      <c r="AC803" s="276" t="e">
        <f t="shared" si="730"/>
        <v>#DIV/0!</v>
      </c>
      <c r="AD803" s="276" t="e">
        <f t="shared" si="731"/>
        <v>#DIV/0!</v>
      </c>
      <c r="AE803" s="686" t="e">
        <f t="shared" si="732"/>
        <v>#DIV/0!</v>
      </c>
      <c r="AF803" s="239"/>
      <c r="AG803" s="965" t="e">
        <f t="shared" si="703"/>
        <v>#VALUE!</v>
      </c>
      <c r="AH803" s="878" t="e">
        <f t="shared" si="704"/>
        <v>#VALUE!</v>
      </c>
      <c r="AI803" s="878" t="e">
        <f t="shared" si="705"/>
        <v>#VALUE!</v>
      </c>
      <c r="AJ803" s="878" t="e">
        <f t="shared" si="706"/>
        <v>#VALUE!</v>
      </c>
      <c r="AK803" s="878" t="e">
        <f t="shared" si="707"/>
        <v>#VALUE!</v>
      </c>
      <c r="AL803" s="966" t="e">
        <f t="shared" si="708"/>
        <v>#VALUE!</v>
      </c>
      <c r="AM803" s="239"/>
      <c r="AO803" s="685">
        <f t="shared" si="733"/>
        <v>-3.2920886325974061</v>
      </c>
      <c r="AP803" s="276">
        <f t="shared" si="734"/>
        <v>0.42328317316704278</v>
      </c>
      <c r="AQ803" s="276">
        <f t="shared" si="735"/>
        <v>1.6980577092912219</v>
      </c>
      <c r="AR803" s="276">
        <f t="shared" si="736"/>
        <v>0.61436159105974575</v>
      </c>
      <c r="AS803" s="276">
        <f t="shared" si="737"/>
        <v>-2.6869496389859409</v>
      </c>
      <c r="AT803" s="276">
        <f t="shared" si="738"/>
        <v>0.27057400190228953</v>
      </c>
      <c r="AU803" s="685">
        <f t="shared" si="739"/>
        <v>2.3719146552503991</v>
      </c>
      <c r="AV803" s="276">
        <f t="shared" si="740"/>
        <v>1.0522953707466429</v>
      </c>
      <c r="AW803" s="276">
        <f t="shared" si="741"/>
        <v>1.7003394526244262</v>
      </c>
      <c r="AX803" s="276">
        <f t="shared" si="742"/>
        <v>1.7758242591049094</v>
      </c>
      <c r="AY803" s="276">
        <f t="shared" si="743"/>
        <v>1.5903522030579402</v>
      </c>
      <c r="AZ803" s="686">
        <f t="shared" si="744"/>
        <v>1.8049542937212075</v>
      </c>
      <c r="BA803" s="685">
        <f t="shared" si="745"/>
        <v>0</v>
      </c>
      <c r="BB803" s="276">
        <f t="shared" si="746"/>
        <v>0</v>
      </c>
      <c r="BC803" s="276">
        <f t="shared" si="747"/>
        <v>0</v>
      </c>
      <c r="BD803" s="276">
        <f t="shared" si="748"/>
        <v>0</v>
      </c>
      <c r="BE803" s="276">
        <f t="shared" si="749"/>
        <v>0</v>
      </c>
      <c r="BF803" s="686">
        <f t="shared" si="750"/>
        <v>0</v>
      </c>
      <c r="BG803" s="685" t="e">
        <f t="shared" si="751"/>
        <v>#DIV/0!</v>
      </c>
      <c r="BH803" s="276" t="e">
        <f t="shared" si="752"/>
        <v>#DIV/0!</v>
      </c>
      <c r="BI803" s="276" t="e">
        <f t="shared" si="753"/>
        <v>#DIV/0!</v>
      </c>
      <c r="BJ803" s="276" t="e">
        <f t="shared" si="754"/>
        <v>#DIV/0!</v>
      </c>
      <c r="BK803" s="276" t="e">
        <f t="shared" si="755"/>
        <v>#DIV/0!</v>
      </c>
      <c r="BL803" s="686" t="e">
        <f t="shared" si="756"/>
        <v>#DIV/0!</v>
      </c>
      <c r="BM803" s="239"/>
      <c r="BN803" s="965" t="e">
        <f t="shared" si="757"/>
        <v>#VALUE!</v>
      </c>
      <c r="BO803" s="878" t="e">
        <f t="shared" si="758"/>
        <v>#VALUE!</v>
      </c>
      <c r="BP803" s="878" t="e">
        <f t="shared" si="759"/>
        <v>#VALUE!</v>
      </c>
      <c r="BQ803" s="878" t="e">
        <f t="shared" si="760"/>
        <v>#VALUE!</v>
      </c>
      <c r="BR803" s="878" t="e">
        <f t="shared" si="761"/>
        <v>#VALUE!</v>
      </c>
      <c r="BS803" s="966" t="e">
        <f t="shared" si="762"/>
        <v>#VALUE!</v>
      </c>
    </row>
    <row r="804" spans="1:71">
      <c r="A804" s="284">
        <f t="shared" si="763"/>
        <v>736</v>
      </c>
      <c r="B804" s="285">
        <v>1.3505869784469928</v>
      </c>
      <c r="C804" s="285">
        <v>2.2778557200246961</v>
      </c>
      <c r="D804" s="285">
        <v>0.70187122142013003</v>
      </c>
      <c r="E804" s="285">
        <v>-8.2330333577686812</v>
      </c>
      <c r="H804" s="685">
        <f t="shared" si="709"/>
        <v>0.21735313667793799</v>
      </c>
      <c r="I804" s="276">
        <f t="shared" si="710"/>
        <v>0.80844180719891634</v>
      </c>
      <c r="J804" s="276">
        <f t="shared" si="711"/>
        <v>-3.781402218769168</v>
      </c>
      <c r="K804" s="276">
        <f t="shared" si="712"/>
        <v>-1.111249336956081</v>
      </c>
      <c r="L804" s="276">
        <f t="shared" si="713"/>
        <v>-0.38473908339609952</v>
      </c>
      <c r="M804" s="276">
        <f t="shared" si="714"/>
        <v>6.9764878260360152E-2</v>
      </c>
      <c r="N804" s="685">
        <f t="shared" si="715"/>
        <v>1.0706845090528276</v>
      </c>
      <c r="O804" s="276">
        <f t="shared" si="716"/>
        <v>1.0866896463951881</v>
      </c>
      <c r="P804" s="276">
        <f t="shared" si="717"/>
        <v>0.81343074474223775</v>
      </c>
      <c r="Q804" s="276">
        <f t="shared" si="718"/>
        <v>1.9109401654856855</v>
      </c>
      <c r="R804" s="276">
        <f t="shared" si="719"/>
        <v>1.0649969160437511</v>
      </c>
      <c r="S804" s="686">
        <f t="shared" si="720"/>
        <v>1.277806820316252</v>
      </c>
      <c r="T804" s="685">
        <f t="shared" si="721"/>
        <v>3.9802349116910558</v>
      </c>
      <c r="U804" s="276">
        <f t="shared" si="722"/>
        <v>4.9697265816427771</v>
      </c>
      <c r="V804" s="276">
        <f t="shared" si="723"/>
        <v>4.8916020790698225</v>
      </c>
      <c r="W804" s="276">
        <f t="shared" si="724"/>
        <v>3.2196051473828753</v>
      </c>
      <c r="X804" s="276">
        <f t="shared" si="725"/>
        <v>4.8733287864451871</v>
      </c>
      <c r="Y804" s="686">
        <f t="shared" si="726"/>
        <v>4.2702972809204063</v>
      </c>
      <c r="Z804" s="685" t="e">
        <f t="shared" si="727"/>
        <v>#DIV/0!</v>
      </c>
      <c r="AA804" s="276" t="e">
        <f t="shared" si="728"/>
        <v>#DIV/0!</v>
      </c>
      <c r="AB804" s="276" t="e">
        <f t="shared" si="729"/>
        <v>#DIV/0!</v>
      </c>
      <c r="AC804" s="276" t="e">
        <f t="shared" si="730"/>
        <v>#DIV/0!</v>
      </c>
      <c r="AD804" s="276" t="e">
        <f t="shared" si="731"/>
        <v>#DIV/0!</v>
      </c>
      <c r="AE804" s="686" t="e">
        <f t="shared" si="732"/>
        <v>#DIV/0!</v>
      </c>
      <c r="AF804" s="239"/>
      <c r="AG804" s="965" t="e">
        <f t="shared" si="703"/>
        <v>#VALUE!</v>
      </c>
      <c r="AH804" s="878" t="e">
        <f t="shared" si="704"/>
        <v>#VALUE!</v>
      </c>
      <c r="AI804" s="878" t="e">
        <f t="shared" si="705"/>
        <v>#VALUE!</v>
      </c>
      <c r="AJ804" s="878" t="e">
        <f t="shared" si="706"/>
        <v>#VALUE!</v>
      </c>
      <c r="AK804" s="878" t="e">
        <f t="shared" si="707"/>
        <v>#VALUE!</v>
      </c>
      <c r="AL804" s="966" t="e">
        <f t="shared" si="708"/>
        <v>#VALUE!</v>
      </c>
      <c r="AM804" s="239"/>
      <c r="AO804" s="685">
        <f t="shared" si="733"/>
        <v>0.21735313667793799</v>
      </c>
      <c r="AP804" s="276">
        <f t="shared" si="734"/>
        <v>0.80844180719891634</v>
      </c>
      <c r="AQ804" s="276">
        <f t="shared" si="735"/>
        <v>-3.781402218769168</v>
      </c>
      <c r="AR804" s="276">
        <f t="shared" si="736"/>
        <v>-1.111249336956081</v>
      </c>
      <c r="AS804" s="276">
        <f t="shared" si="737"/>
        <v>-0.38473908339609952</v>
      </c>
      <c r="AT804" s="276">
        <f t="shared" si="738"/>
        <v>6.9764878260360152E-2</v>
      </c>
      <c r="AU804" s="685">
        <f t="shared" si="739"/>
        <v>1.0706845090528276</v>
      </c>
      <c r="AV804" s="276">
        <f t="shared" si="740"/>
        <v>1.0866896463951881</v>
      </c>
      <c r="AW804" s="276">
        <f t="shared" si="741"/>
        <v>0.81343074474223775</v>
      </c>
      <c r="AX804" s="276">
        <f t="shared" si="742"/>
        <v>1.9109401654856855</v>
      </c>
      <c r="AY804" s="276">
        <f t="shared" si="743"/>
        <v>1.0649969160437511</v>
      </c>
      <c r="AZ804" s="686">
        <f t="shared" si="744"/>
        <v>1.277806820316252</v>
      </c>
      <c r="BA804" s="685">
        <f t="shared" si="745"/>
        <v>0</v>
      </c>
      <c r="BB804" s="276">
        <f t="shared" si="746"/>
        <v>0</v>
      </c>
      <c r="BC804" s="276">
        <f t="shared" si="747"/>
        <v>0</v>
      </c>
      <c r="BD804" s="276">
        <f t="shared" si="748"/>
        <v>0</v>
      </c>
      <c r="BE804" s="276">
        <f t="shared" si="749"/>
        <v>0</v>
      </c>
      <c r="BF804" s="686">
        <f t="shared" si="750"/>
        <v>0</v>
      </c>
      <c r="BG804" s="685" t="e">
        <f t="shared" si="751"/>
        <v>#DIV/0!</v>
      </c>
      <c r="BH804" s="276" t="e">
        <f t="shared" si="752"/>
        <v>#DIV/0!</v>
      </c>
      <c r="BI804" s="276" t="e">
        <f t="shared" si="753"/>
        <v>#DIV/0!</v>
      </c>
      <c r="BJ804" s="276" t="e">
        <f t="shared" si="754"/>
        <v>#DIV/0!</v>
      </c>
      <c r="BK804" s="276" t="e">
        <f t="shared" si="755"/>
        <v>#DIV/0!</v>
      </c>
      <c r="BL804" s="686" t="e">
        <f t="shared" si="756"/>
        <v>#DIV/0!</v>
      </c>
      <c r="BM804" s="239"/>
      <c r="BN804" s="965" t="e">
        <f t="shared" si="757"/>
        <v>#VALUE!</v>
      </c>
      <c r="BO804" s="878" t="e">
        <f t="shared" si="758"/>
        <v>#VALUE!</v>
      </c>
      <c r="BP804" s="878" t="e">
        <f t="shared" si="759"/>
        <v>#VALUE!</v>
      </c>
      <c r="BQ804" s="878" t="e">
        <f t="shared" si="760"/>
        <v>#VALUE!</v>
      </c>
      <c r="BR804" s="878" t="e">
        <f t="shared" si="761"/>
        <v>#VALUE!</v>
      </c>
      <c r="BS804" s="966" t="e">
        <f t="shared" si="762"/>
        <v>#VALUE!</v>
      </c>
    </row>
    <row r="805" spans="1:71">
      <c r="A805" s="284">
        <f t="shared" si="763"/>
        <v>737</v>
      </c>
      <c r="B805" s="285">
        <v>-0.90737130767952556</v>
      </c>
      <c r="C805" s="285">
        <v>2.3702920263552931</v>
      </c>
      <c r="D805" s="285">
        <v>1.6626572328154476</v>
      </c>
      <c r="E805" s="285">
        <v>2.3327928922269732</v>
      </c>
      <c r="H805" s="685">
        <f t="shared" si="709"/>
        <v>-2.0406051494485804</v>
      </c>
      <c r="I805" s="276">
        <f t="shared" si="710"/>
        <v>-4.136959516685482</v>
      </c>
      <c r="J805" s="276">
        <f t="shared" si="711"/>
        <v>-2.4823903364350337</v>
      </c>
      <c r="K805" s="276">
        <f t="shared" si="712"/>
        <v>-3.8783333914501803</v>
      </c>
      <c r="L805" s="276">
        <f t="shared" si="713"/>
        <v>-2.5422041423911077</v>
      </c>
      <c r="M805" s="276">
        <f t="shared" si="714"/>
        <v>-1.7701578006020058</v>
      </c>
      <c r="N805" s="685">
        <f t="shared" si="715"/>
        <v>1.1631208153834247</v>
      </c>
      <c r="O805" s="276">
        <f t="shared" si="716"/>
        <v>1.377741942329451</v>
      </c>
      <c r="P805" s="276">
        <f t="shared" si="717"/>
        <v>1.5795669599902158</v>
      </c>
      <c r="Q805" s="276">
        <f t="shared" si="718"/>
        <v>1.1507877608035646</v>
      </c>
      <c r="R805" s="276">
        <f t="shared" si="719"/>
        <v>1.1776204767639851</v>
      </c>
      <c r="S805" s="686">
        <f t="shared" si="720"/>
        <v>0.69241828956576468</v>
      </c>
      <c r="T805" s="685">
        <f t="shared" si="721"/>
        <v>4.9410209230863735</v>
      </c>
      <c r="U805" s="276">
        <f t="shared" si="722"/>
        <v>3.2037231625456037</v>
      </c>
      <c r="V805" s="276">
        <f t="shared" si="723"/>
        <v>4.6776396904392428</v>
      </c>
      <c r="W805" s="276">
        <f t="shared" si="724"/>
        <v>4.2307173581606614</v>
      </c>
      <c r="X805" s="276">
        <f t="shared" si="725"/>
        <v>4.211502311187318</v>
      </c>
      <c r="Y805" s="686">
        <f t="shared" si="726"/>
        <v>3.4932756336155446</v>
      </c>
      <c r="Z805" s="685" t="e">
        <f t="shared" si="727"/>
        <v>#DIV/0!</v>
      </c>
      <c r="AA805" s="276" t="e">
        <f t="shared" si="728"/>
        <v>#DIV/0!</v>
      </c>
      <c r="AB805" s="276" t="e">
        <f t="shared" si="729"/>
        <v>#DIV/0!</v>
      </c>
      <c r="AC805" s="276" t="e">
        <f t="shared" si="730"/>
        <v>#DIV/0!</v>
      </c>
      <c r="AD805" s="276" t="e">
        <f t="shared" si="731"/>
        <v>#DIV/0!</v>
      </c>
      <c r="AE805" s="686" t="e">
        <f t="shared" si="732"/>
        <v>#DIV/0!</v>
      </c>
      <c r="AF805" s="239"/>
      <c r="AG805" s="965" t="e">
        <f t="shared" si="703"/>
        <v>#VALUE!</v>
      </c>
      <c r="AH805" s="878" t="e">
        <f t="shared" si="704"/>
        <v>#VALUE!</v>
      </c>
      <c r="AI805" s="878" t="e">
        <f t="shared" si="705"/>
        <v>#VALUE!</v>
      </c>
      <c r="AJ805" s="878" t="e">
        <f t="shared" si="706"/>
        <v>#VALUE!</v>
      </c>
      <c r="AK805" s="878" t="e">
        <f t="shared" si="707"/>
        <v>#VALUE!</v>
      </c>
      <c r="AL805" s="966" t="e">
        <f t="shared" si="708"/>
        <v>#VALUE!</v>
      </c>
      <c r="AM805" s="239"/>
      <c r="AO805" s="685">
        <f t="shared" si="733"/>
        <v>-2.0406051494485804</v>
      </c>
      <c r="AP805" s="276">
        <f t="shared" si="734"/>
        <v>-4.136959516685482</v>
      </c>
      <c r="AQ805" s="276">
        <f t="shared" si="735"/>
        <v>-2.4823903364350337</v>
      </c>
      <c r="AR805" s="276">
        <f t="shared" si="736"/>
        <v>-3.8783333914501803</v>
      </c>
      <c r="AS805" s="276">
        <f t="shared" si="737"/>
        <v>-2.5422041423911077</v>
      </c>
      <c r="AT805" s="276">
        <f t="shared" si="738"/>
        <v>-1.7701578006020058</v>
      </c>
      <c r="AU805" s="685">
        <f t="shared" si="739"/>
        <v>1.1631208153834247</v>
      </c>
      <c r="AV805" s="276">
        <f t="shared" si="740"/>
        <v>1.377741942329451</v>
      </c>
      <c r="AW805" s="276">
        <f t="shared" si="741"/>
        <v>1.5795669599902158</v>
      </c>
      <c r="AX805" s="276">
        <f t="shared" si="742"/>
        <v>1.1507877608035646</v>
      </c>
      <c r="AY805" s="276">
        <f t="shared" si="743"/>
        <v>1.1776204767639851</v>
      </c>
      <c r="AZ805" s="686">
        <f t="shared" si="744"/>
        <v>0.69241828956576468</v>
      </c>
      <c r="BA805" s="685">
        <f t="shared" si="745"/>
        <v>0</v>
      </c>
      <c r="BB805" s="276">
        <f t="shared" si="746"/>
        <v>0</v>
      </c>
      <c r="BC805" s="276">
        <f t="shared" si="747"/>
        <v>0</v>
      </c>
      <c r="BD805" s="276">
        <f t="shared" si="748"/>
        <v>0</v>
      </c>
      <c r="BE805" s="276">
        <f t="shared" si="749"/>
        <v>0</v>
      </c>
      <c r="BF805" s="686">
        <f t="shared" si="750"/>
        <v>0</v>
      </c>
      <c r="BG805" s="685" t="e">
        <f t="shared" si="751"/>
        <v>#DIV/0!</v>
      </c>
      <c r="BH805" s="276" t="e">
        <f t="shared" si="752"/>
        <v>#DIV/0!</v>
      </c>
      <c r="BI805" s="276" t="e">
        <f t="shared" si="753"/>
        <v>#DIV/0!</v>
      </c>
      <c r="BJ805" s="276" t="e">
        <f t="shared" si="754"/>
        <v>#DIV/0!</v>
      </c>
      <c r="BK805" s="276" t="e">
        <f t="shared" si="755"/>
        <v>#DIV/0!</v>
      </c>
      <c r="BL805" s="686" t="e">
        <f t="shared" si="756"/>
        <v>#DIV/0!</v>
      </c>
      <c r="BM805" s="239"/>
      <c r="BN805" s="965" t="e">
        <f t="shared" si="757"/>
        <v>#VALUE!</v>
      </c>
      <c r="BO805" s="878" t="e">
        <f t="shared" si="758"/>
        <v>#VALUE!</v>
      </c>
      <c r="BP805" s="878" t="e">
        <f t="shared" si="759"/>
        <v>#VALUE!</v>
      </c>
      <c r="BQ805" s="878" t="e">
        <f t="shared" si="760"/>
        <v>#VALUE!</v>
      </c>
      <c r="BR805" s="878" t="e">
        <f t="shared" si="761"/>
        <v>#VALUE!</v>
      </c>
      <c r="BS805" s="966" t="e">
        <f t="shared" si="762"/>
        <v>#VALUE!</v>
      </c>
    </row>
    <row r="806" spans="1:71">
      <c r="A806" s="284">
        <f t="shared" si="763"/>
        <v>738</v>
      </c>
      <c r="B806" s="285">
        <v>2.2149026314931337</v>
      </c>
      <c r="C806" s="285">
        <v>2.1524982843826619</v>
      </c>
      <c r="D806" s="285">
        <v>2.6060711661213487</v>
      </c>
      <c r="E806" s="285">
        <v>-26.305177346271975</v>
      </c>
      <c r="H806" s="685">
        <f t="shared" si="709"/>
        <v>1.0816687897240789</v>
      </c>
      <c r="I806" s="276">
        <f t="shared" si="710"/>
        <v>-0.65518752097692756</v>
      </c>
      <c r="J806" s="276">
        <f t="shared" si="711"/>
        <v>-1.1942972539890804</v>
      </c>
      <c r="K806" s="276">
        <f t="shared" si="712"/>
        <v>7.5392247164093096E-2</v>
      </c>
      <c r="L806" s="276">
        <f t="shared" si="713"/>
        <v>-3.1387985953507531</v>
      </c>
      <c r="M806" s="276">
        <f t="shared" si="714"/>
        <v>-1.3447581127499642</v>
      </c>
      <c r="N806" s="685">
        <f t="shared" si="715"/>
        <v>0.94532707341079347</v>
      </c>
      <c r="O806" s="276">
        <f t="shared" si="716"/>
        <v>1.4893837676045447</v>
      </c>
      <c r="P806" s="276">
        <f t="shared" si="717"/>
        <v>1.2852378812806597</v>
      </c>
      <c r="Q806" s="276">
        <f t="shared" si="718"/>
        <v>1.1226534101803656</v>
      </c>
      <c r="R806" s="276">
        <f t="shared" si="719"/>
        <v>0.6978396469478565</v>
      </c>
      <c r="S806" s="686">
        <f t="shared" si="720"/>
        <v>1.7393194075773633</v>
      </c>
      <c r="T806" s="685">
        <f t="shared" si="721"/>
        <v>5.884434856392275</v>
      </c>
      <c r="U806" s="276">
        <f t="shared" si="722"/>
        <v>5.0226520916970916</v>
      </c>
      <c r="V806" s="276">
        <f t="shared" si="723"/>
        <v>4.5316232455311809</v>
      </c>
      <c r="W806" s="276">
        <f t="shared" si="724"/>
        <v>6.0173374822369023</v>
      </c>
      <c r="X806" s="276">
        <f t="shared" si="725"/>
        <v>4.5445023601765637</v>
      </c>
      <c r="Y806" s="686">
        <f t="shared" si="726"/>
        <v>3.2614521383312542</v>
      </c>
      <c r="Z806" s="685" t="e">
        <f t="shared" si="727"/>
        <v>#DIV/0!</v>
      </c>
      <c r="AA806" s="276" t="e">
        <f t="shared" si="728"/>
        <v>#DIV/0!</v>
      </c>
      <c r="AB806" s="276" t="e">
        <f t="shared" si="729"/>
        <v>#DIV/0!</v>
      </c>
      <c r="AC806" s="276" t="e">
        <f t="shared" si="730"/>
        <v>#DIV/0!</v>
      </c>
      <c r="AD806" s="276" t="e">
        <f t="shared" si="731"/>
        <v>#DIV/0!</v>
      </c>
      <c r="AE806" s="686" t="e">
        <f t="shared" si="732"/>
        <v>#DIV/0!</v>
      </c>
      <c r="AF806" s="239"/>
      <c r="AG806" s="965" t="e">
        <f t="shared" si="703"/>
        <v>#VALUE!</v>
      </c>
      <c r="AH806" s="878" t="e">
        <f t="shared" si="704"/>
        <v>#VALUE!</v>
      </c>
      <c r="AI806" s="878" t="e">
        <f t="shared" si="705"/>
        <v>#VALUE!</v>
      </c>
      <c r="AJ806" s="878" t="e">
        <f t="shared" si="706"/>
        <v>#VALUE!</v>
      </c>
      <c r="AK806" s="878" t="e">
        <f t="shared" si="707"/>
        <v>#VALUE!</v>
      </c>
      <c r="AL806" s="966" t="e">
        <f t="shared" si="708"/>
        <v>#VALUE!</v>
      </c>
      <c r="AM806" s="239"/>
      <c r="AO806" s="685">
        <f t="shared" si="733"/>
        <v>1.0816687897240789</v>
      </c>
      <c r="AP806" s="276">
        <f t="shared" si="734"/>
        <v>-0.65518752097692756</v>
      </c>
      <c r="AQ806" s="276">
        <f t="shared" si="735"/>
        <v>-1.1942972539890804</v>
      </c>
      <c r="AR806" s="276">
        <f t="shared" si="736"/>
        <v>7.5392247164093096E-2</v>
      </c>
      <c r="AS806" s="276">
        <f t="shared" si="737"/>
        <v>-3.1387985953507531</v>
      </c>
      <c r="AT806" s="276">
        <f t="shared" si="738"/>
        <v>-1.3447581127499642</v>
      </c>
      <c r="AU806" s="685">
        <f t="shared" si="739"/>
        <v>0.94532707341079347</v>
      </c>
      <c r="AV806" s="276">
        <f t="shared" si="740"/>
        <v>1.4893837676045447</v>
      </c>
      <c r="AW806" s="276">
        <f t="shared" si="741"/>
        <v>1.2852378812806597</v>
      </c>
      <c r="AX806" s="276">
        <f t="shared" si="742"/>
        <v>1.1226534101803656</v>
      </c>
      <c r="AY806" s="276">
        <f t="shared" si="743"/>
        <v>0.6978396469478565</v>
      </c>
      <c r="AZ806" s="686">
        <f t="shared" si="744"/>
        <v>1.7393194075773633</v>
      </c>
      <c r="BA806" s="685">
        <f t="shared" si="745"/>
        <v>0</v>
      </c>
      <c r="BB806" s="276">
        <f t="shared" si="746"/>
        <v>0</v>
      </c>
      <c r="BC806" s="276">
        <f t="shared" si="747"/>
        <v>0</v>
      </c>
      <c r="BD806" s="276">
        <f t="shared" si="748"/>
        <v>0</v>
      </c>
      <c r="BE806" s="276">
        <f t="shared" si="749"/>
        <v>0</v>
      </c>
      <c r="BF806" s="686">
        <f t="shared" si="750"/>
        <v>0</v>
      </c>
      <c r="BG806" s="685" t="e">
        <f t="shared" si="751"/>
        <v>#DIV/0!</v>
      </c>
      <c r="BH806" s="276" t="e">
        <f t="shared" si="752"/>
        <v>#DIV/0!</v>
      </c>
      <c r="BI806" s="276" t="e">
        <f t="shared" si="753"/>
        <v>#DIV/0!</v>
      </c>
      <c r="BJ806" s="276" t="e">
        <f t="shared" si="754"/>
        <v>#DIV/0!</v>
      </c>
      <c r="BK806" s="276" t="e">
        <f t="shared" si="755"/>
        <v>#DIV/0!</v>
      </c>
      <c r="BL806" s="686" t="e">
        <f t="shared" si="756"/>
        <v>#DIV/0!</v>
      </c>
      <c r="BM806" s="239"/>
      <c r="BN806" s="965" t="e">
        <f t="shared" si="757"/>
        <v>#VALUE!</v>
      </c>
      <c r="BO806" s="878" t="e">
        <f t="shared" si="758"/>
        <v>#VALUE!</v>
      </c>
      <c r="BP806" s="878" t="e">
        <f t="shared" si="759"/>
        <v>#VALUE!</v>
      </c>
      <c r="BQ806" s="878" t="e">
        <f t="shared" si="760"/>
        <v>#VALUE!</v>
      </c>
      <c r="BR806" s="878" t="e">
        <f t="shared" si="761"/>
        <v>#VALUE!</v>
      </c>
      <c r="BS806" s="966" t="e">
        <f t="shared" si="762"/>
        <v>#VALUE!</v>
      </c>
    </row>
    <row r="807" spans="1:71">
      <c r="A807" s="284">
        <f t="shared" si="763"/>
        <v>739</v>
      </c>
      <c r="B807" s="285">
        <v>-1.4107831648582276</v>
      </c>
      <c r="C807" s="285">
        <v>1.790137312790423</v>
      </c>
      <c r="D807" s="285">
        <v>0.92998719056697043</v>
      </c>
      <c r="E807" s="285">
        <v>-5.3668993654030537</v>
      </c>
      <c r="H807" s="685">
        <f t="shared" si="709"/>
        <v>-2.5440170066272825</v>
      </c>
      <c r="I807" s="276">
        <f t="shared" si="710"/>
        <v>1.8462407958947289</v>
      </c>
      <c r="J807" s="276">
        <f t="shared" si="711"/>
        <v>-1.6275513919013505</v>
      </c>
      <c r="K807" s="276">
        <f t="shared" si="712"/>
        <v>-0.33709287481005357</v>
      </c>
      <c r="L807" s="276">
        <f t="shared" si="713"/>
        <v>0.4824878377263897</v>
      </c>
      <c r="M807" s="276">
        <f t="shared" si="714"/>
        <v>1.7446349518734727</v>
      </c>
      <c r="N807" s="685">
        <f t="shared" si="715"/>
        <v>0.58296610181855457</v>
      </c>
      <c r="O807" s="276">
        <f t="shared" si="716"/>
        <v>1.17386092277099</v>
      </c>
      <c r="P807" s="276">
        <f t="shared" si="717"/>
        <v>1.5071623207550455</v>
      </c>
      <c r="Q807" s="276">
        <f t="shared" si="718"/>
        <v>1.2019573123115339</v>
      </c>
      <c r="R807" s="276">
        <f t="shared" si="719"/>
        <v>1.7901478733775293</v>
      </c>
      <c r="S807" s="686">
        <f t="shared" si="720"/>
        <v>1.1952581601175989</v>
      </c>
      <c r="T807" s="685">
        <f t="shared" si="721"/>
        <v>4.2083508808378962</v>
      </c>
      <c r="U807" s="276">
        <f t="shared" si="722"/>
        <v>6.7913451717728028</v>
      </c>
      <c r="V807" s="276">
        <f t="shared" si="723"/>
        <v>4.2929733653332809</v>
      </c>
      <c r="W807" s="276">
        <f t="shared" si="724"/>
        <v>3.7446385590744722</v>
      </c>
      <c r="X807" s="276">
        <f t="shared" si="725"/>
        <v>6.7259499682515589</v>
      </c>
      <c r="Y807" s="686">
        <f t="shared" si="726"/>
        <v>4.4175019443701764</v>
      </c>
      <c r="Z807" s="685" t="e">
        <f t="shared" si="727"/>
        <v>#DIV/0!</v>
      </c>
      <c r="AA807" s="276" t="e">
        <f t="shared" si="728"/>
        <v>#DIV/0!</v>
      </c>
      <c r="AB807" s="276" t="e">
        <f t="shared" si="729"/>
        <v>#DIV/0!</v>
      </c>
      <c r="AC807" s="276" t="e">
        <f t="shared" si="730"/>
        <v>#DIV/0!</v>
      </c>
      <c r="AD807" s="276" t="e">
        <f t="shared" si="731"/>
        <v>#DIV/0!</v>
      </c>
      <c r="AE807" s="686" t="e">
        <f t="shared" si="732"/>
        <v>#DIV/0!</v>
      </c>
      <c r="AF807" s="239"/>
      <c r="AG807" s="965" t="e">
        <f t="shared" si="703"/>
        <v>#VALUE!</v>
      </c>
      <c r="AH807" s="878" t="e">
        <f t="shared" si="704"/>
        <v>#VALUE!</v>
      </c>
      <c r="AI807" s="878" t="e">
        <f t="shared" si="705"/>
        <v>#VALUE!</v>
      </c>
      <c r="AJ807" s="878" t="e">
        <f t="shared" si="706"/>
        <v>#VALUE!</v>
      </c>
      <c r="AK807" s="878" t="e">
        <f t="shared" si="707"/>
        <v>#VALUE!</v>
      </c>
      <c r="AL807" s="966" t="e">
        <f t="shared" si="708"/>
        <v>#VALUE!</v>
      </c>
      <c r="AM807" s="239"/>
      <c r="AO807" s="685">
        <f t="shared" si="733"/>
        <v>-2.5440170066272825</v>
      </c>
      <c r="AP807" s="276">
        <f t="shared" si="734"/>
        <v>1.8462407958947289</v>
      </c>
      <c r="AQ807" s="276">
        <f t="shared" si="735"/>
        <v>-1.6275513919013505</v>
      </c>
      <c r="AR807" s="276">
        <f t="shared" si="736"/>
        <v>-0.33709287481005357</v>
      </c>
      <c r="AS807" s="276">
        <f t="shared" si="737"/>
        <v>0.4824878377263897</v>
      </c>
      <c r="AT807" s="276">
        <f t="shared" si="738"/>
        <v>1.7446349518734727</v>
      </c>
      <c r="AU807" s="685">
        <f t="shared" si="739"/>
        <v>0.58296610181855457</v>
      </c>
      <c r="AV807" s="276">
        <f t="shared" si="740"/>
        <v>1.17386092277099</v>
      </c>
      <c r="AW807" s="276">
        <f t="shared" si="741"/>
        <v>1.5071623207550455</v>
      </c>
      <c r="AX807" s="276">
        <f t="shared" si="742"/>
        <v>1.2019573123115339</v>
      </c>
      <c r="AY807" s="276">
        <f t="shared" si="743"/>
        <v>1.7901478733775293</v>
      </c>
      <c r="AZ807" s="686">
        <f t="shared" si="744"/>
        <v>1.1952581601175989</v>
      </c>
      <c r="BA807" s="685">
        <f t="shared" si="745"/>
        <v>0</v>
      </c>
      <c r="BB807" s="276">
        <f t="shared" si="746"/>
        <v>0</v>
      </c>
      <c r="BC807" s="276">
        <f t="shared" si="747"/>
        <v>0</v>
      </c>
      <c r="BD807" s="276">
        <f t="shared" si="748"/>
        <v>0</v>
      </c>
      <c r="BE807" s="276">
        <f t="shared" si="749"/>
        <v>0</v>
      </c>
      <c r="BF807" s="686">
        <f t="shared" si="750"/>
        <v>0</v>
      </c>
      <c r="BG807" s="685" t="e">
        <f t="shared" si="751"/>
        <v>#DIV/0!</v>
      </c>
      <c r="BH807" s="276" t="e">
        <f t="shared" si="752"/>
        <v>#DIV/0!</v>
      </c>
      <c r="BI807" s="276" t="e">
        <f t="shared" si="753"/>
        <v>#DIV/0!</v>
      </c>
      <c r="BJ807" s="276" t="e">
        <f t="shared" si="754"/>
        <v>#DIV/0!</v>
      </c>
      <c r="BK807" s="276" t="e">
        <f t="shared" si="755"/>
        <v>#DIV/0!</v>
      </c>
      <c r="BL807" s="686" t="e">
        <f t="shared" si="756"/>
        <v>#DIV/0!</v>
      </c>
      <c r="BM807" s="239"/>
      <c r="BN807" s="965" t="e">
        <f t="shared" si="757"/>
        <v>#VALUE!</v>
      </c>
      <c r="BO807" s="878" t="e">
        <f t="shared" si="758"/>
        <v>#VALUE!</v>
      </c>
      <c r="BP807" s="878" t="e">
        <f t="shared" si="759"/>
        <v>#VALUE!</v>
      </c>
      <c r="BQ807" s="878" t="e">
        <f t="shared" si="760"/>
        <v>#VALUE!</v>
      </c>
      <c r="BR807" s="878" t="e">
        <f t="shared" si="761"/>
        <v>#VALUE!</v>
      </c>
      <c r="BS807" s="966" t="e">
        <f t="shared" si="762"/>
        <v>#VALUE!</v>
      </c>
    </row>
    <row r="808" spans="1:71">
      <c r="A808" s="284">
        <f t="shared" si="763"/>
        <v>740</v>
      </c>
      <c r="B808" s="285">
        <v>-2.0447787192634701</v>
      </c>
      <c r="C808" s="285">
        <v>3.03485454745321</v>
      </c>
      <c r="D808" s="285">
        <v>-0.90593273761060589</v>
      </c>
      <c r="E808" s="285">
        <v>9.7395753372077465</v>
      </c>
      <c r="H808" s="685">
        <f t="shared" si="709"/>
        <v>-3.1780125610325252</v>
      </c>
      <c r="I808" s="276">
        <f t="shared" si="710"/>
        <v>-1.9357485196791839</v>
      </c>
      <c r="J808" s="276">
        <f t="shared" si="711"/>
        <v>-2.7813591189754083</v>
      </c>
      <c r="K808" s="276">
        <f t="shared" si="712"/>
        <v>-1.1275209326476734</v>
      </c>
      <c r="L808" s="276">
        <f t="shared" si="713"/>
        <v>-2.0802119829199226</v>
      </c>
      <c r="M808" s="276">
        <f t="shared" si="714"/>
        <v>-4.0472415145965233</v>
      </c>
      <c r="N808" s="685">
        <f t="shared" si="715"/>
        <v>1.8276833364813416</v>
      </c>
      <c r="O808" s="276">
        <f t="shared" si="716"/>
        <v>1.6334838806047147</v>
      </c>
      <c r="P808" s="276">
        <f t="shared" si="717"/>
        <v>1.281300161437233</v>
      </c>
      <c r="Q808" s="276">
        <f t="shared" si="718"/>
        <v>1.3442466749523885</v>
      </c>
      <c r="R808" s="276">
        <f t="shared" si="719"/>
        <v>0.94429999370977336</v>
      </c>
      <c r="S808" s="686">
        <f t="shared" si="720"/>
        <v>0.70175405084210563</v>
      </c>
      <c r="T808" s="685">
        <f t="shared" si="721"/>
        <v>2.37243095266032</v>
      </c>
      <c r="U808" s="276">
        <f t="shared" si="722"/>
        <v>3.6965458490477623</v>
      </c>
      <c r="V808" s="276">
        <f t="shared" si="723"/>
        <v>4.4063344328106009</v>
      </c>
      <c r="W808" s="276">
        <f t="shared" si="724"/>
        <v>5.0972560911319356</v>
      </c>
      <c r="X808" s="276">
        <f t="shared" si="725"/>
        <v>4.0943348438043152</v>
      </c>
      <c r="Y808" s="686">
        <f t="shared" si="726"/>
        <v>3.2489019730017823</v>
      </c>
      <c r="Z808" s="685" t="e">
        <f t="shared" si="727"/>
        <v>#DIV/0!</v>
      </c>
      <c r="AA808" s="276" t="e">
        <f t="shared" si="728"/>
        <v>#DIV/0!</v>
      </c>
      <c r="AB808" s="276" t="e">
        <f t="shared" si="729"/>
        <v>#DIV/0!</v>
      </c>
      <c r="AC808" s="276" t="e">
        <f t="shared" si="730"/>
        <v>#DIV/0!</v>
      </c>
      <c r="AD808" s="276" t="e">
        <f t="shared" si="731"/>
        <v>#DIV/0!</v>
      </c>
      <c r="AE808" s="686" t="e">
        <f t="shared" si="732"/>
        <v>#DIV/0!</v>
      </c>
      <c r="AF808" s="239"/>
      <c r="AG808" s="965" t="e">
        <f t="shared" si="703"/>
        <v>#VALUE!</v>
      </c>
      <c r="AH808" s="878" t="e">
        <f t="shared" si="704"/>
        <v>#VALUE!</v>
      </c>
      <c r="AI808" s="878" t="e">
        <f t="shared" si="705"/>
        <v>#VALUE!</v>
      </c>
      <c r="AJ808" s="878" t="e">
        <f t="shared" si="706"/>
        <v>#VALUE!</v>
      </c>
      <c r="AK808" s="878" t="e">
        <f t="shared" si="707"/>
        <v>#VALUE!</v>
      </c>
      <c r="AL808" s="966" t="e">
        <f t="shared" si="708"/>
        <v>#VALUE!</v>
      </c>
      <c r="AM808" s="239"/>
      <c r="AO808" s="685">
        <f t="shared" si="733"/>
        <v>-3.1780125610325252</v>
      </c>
      <c r="AP808" s="276">
        <f t="shared" si="734"/>
        <v>-1.9357485196791839</v>
      </c>
      <c r="AQ808" s="276">
        <f t="shared" si="735"/>
        <v>-2.7813591189754083</v>
      </c>
      <c r="AR808" s="276">
        <f t="shared" si="736"/>
        <v>-1.1275209326476734</v>
      </c>
      <c r="AS808" s="276">
        <f t="shared" si="737"/>
        <v>-2.0802119829199226</v>
      </c>
      <c r="AT808" s="276">
        <f t="shared" si="738"/>
        <v>-4.0472415145965233</v>
      </c>
      <c r="AU808" s="685">
        <f t="shared" si="739"/>
        <v>1.8276833364813416</v>
      </c>
      <c r="AV808" s="276">
        <f t="shared" si="740"/>
        <v>1.6334838806047147</v>
      </c>
      <c r="AW808" s="276">
        <f t="shared" si="741"/>
        <v>1.281300161437233</v>
      </c>
      <c r="AX808" s="276">
        <f t="shared" si="742"/>
        <v>1.3442466749523885</v>
      </c>
      <c r="AY808" s="276">
        <f t="shared" si="743"/>
        <v>0.94429999370977336</v>
      </c>
      <c r="AZ808" s="686">
        <f t="shared" si="744"/>
        <v>0.70175405084210563</v>
      </c>
      <c r="BA808" s="685">
        <f t="shared" si="745"/>
        <v>0</v>
      </c>
      <c r="BB808" s="276">
        <f t="shared" si="746"/>
        <v>0</v>
      </c>
      <c r="BC808" s="276">
        <f t="shared" si="747"/>
        <v>0</v>
      </c>
      <c r="BD808" s="276">
        <f t="shared" si="748"/>
        <v>0</v>
      </c>
      <c r="BE808" s="276">
        <f t="shared" si="749"/>
        <v>0</v>
      </c>
      <c r="BF808" s="686">
        <f t="shared" si="750"/>
        <v>0</v>
      </c>
      <c r="BG808" s="685" t="e">
        <f t="shared" si="751"/>
        <v>#DIV/0!</v>
      </c>
      <c r="BH808" s="276" t="e">
        <f t="shared" si="752"/>
        <v>#DIV/0!</v>
      </c>
      <c r="BI808" s="276" t="e">
        <f t="shared" si="753"/>
        <v>#DIV/0!</v>
      </c>
      <c r="BJ808" s="276" t="e">
        <f t="shared" si="754"/>
        <v>#DIV/0!</v>
      </c>
      <c r="BK808" s="276" t="e">
        <f t="shared" si="755"/>
        <v>#DIV/0!</v>
      </c>
      <c r="BL808" s="686" t="e">
        <f t="shared" si="756"/>
        <v>#DIV/0!</v>
      </c>
      <c r="BM808" s="239"/>
      <c r="BN808" s="965" t="e">
        <f t="shared" si="757"/>
        <v>#VALUE!</v>
      </c>
      <c r="BO808" s="878" t="e">
        <f t="shared" si="758"/>
        <v>#VALUE!</v>
      </c>
      <c r="BP808" s="878" t="e">
        <f t="shared" si="759"/>
        <v>#VALUE!</v>
      </c>
      <c r="BQ808" s="878" t="e">
        <f t="shared" si="760"/>
        <v>#VALUE!</v>
      </c>
      <c r="BR808" s="878" t="e">
        <f t="shared" si="761"/>
        <v>#VALUE!</v>
      </c>
      <c r="BS808" s="966" t="e">
        <f t="shared" si="762"/>
        <v>#VALUE!</v>
      </c>
    </row>
    <row r="809" spans="1:71">
      <c r="A809" s="284">
        <f t="shared" si="763"/>
        <v>741</v>
      </c>
      <c r="B809" s="285">
        <v>-0.19533158137393675</v>
      </c>
      <c r="C809" s="285">
        <v>2.7890694247938099</v>
      </c>
      <c r="D809" s="285">
        <v>0.61548596974143943</v>
      </c>
      <c r="E809" s="285">
        <v>-4.1048333437605589</v>
      </c>
      <c r="H809" s="685">
        <f t="shared" si="709"/>
        <v>-1.3285654231429915</v>
      </c>
      <c r="I809" s="276">
        <f t="shared" si="710"/>
        <v>0.89161392804867101</v>
      </c>
      <c r="J809" s="276">
        <f t="shared" si="711"/>
        <v>-2.1562984016401581</v>
      </c>
      <c r="K809" s="276">
        <f t="shared" si="712"/>
        <v>1.566293542127781</v>
      </c>
      <c r="L809" s="276">
        <f t="shared" si="713"/>
        <v>-1.0929766528569895</v>
      </c>
      <c r="M809" s="276">
        <f t="shared" si="714"/>
        <v>1.9923285164467808</v>
      </c>
      <c r="N809" s="685">
        <f t="shared" si="715"/>
        <v>1.5818982138219415</v>
      </c>
      <c r="O809" s="276">
        <f t="shared" si="716"/>
        <v>0.98464662297139438</v>
      </c>
      <c r="P809" s="276">
        <f t="shared" si="717"/>
        <v>0.64401090846656905</v>
      </c>
      <c r="Q809" s="276">
        <f t="shared" si="718"/>
        <v>1.3366533600679136</v>
      </c>
      <c r="R809" s="276">
        <f t="shared" si="719"/>
        <v>1.1075601550404082</v>
      </c>
      <c r="S809" s="686">
        <f t="shared" si="720"/>
        <v>1.1231727158177274</v>
      </c>
      <c r="T809" s="685">
        <f t="shared" si="721"/>
        <v>3.8938496600123651</v>
      </c>
      <c r="U809" s="276">
        <f t="shared" si="722"/>
        <v>4.9465799470790985</v>
      </c>
      <c r="V809" s="276">
        <f t="shared" si="723"/>
        <v>7.1805667668526283</v>
      </c>
      <c r="W809" s="276">
        <f t="shared" si="724"/>
        <v>5.3991404273638874</v>
      </c>
      <c r="X809" s="276">
        <f t="shared" si="725"/>
        <v>4.6093058793964712</v>
      </c>
      <c r="Y809" s="686">
        <f t="shared" si="726"/>
        <v>5.8090925950702594</v>
      </c>
      <c r="Z809" s="685" t="e">
        <f t="shared" si="727"/>
        <v>#DIV/0!</v>
      </c>
      <c r="AA809" s="276" t="e">
        <f t="shared" si="728"/>
        <v>#DIV/0!</v>
      </c>
      <c r="AB809" s="276" t="e">
        <f t="shared" si="729"/>
        <v>#DIV/0!</v>
      </c>
      <c r="AC809" s="276" t="e">
        <f t="shared" si="730"/>
        <v>#DIV/0!</v>
      </c>
      <c r="AD809" s="276" t="e">
        <f t="shared" si="731"/>
        <v>#DIV/0!</v>
      </c>
      <c r="AE809" s="686" t="e">
        <f t="shared" si="732"/>
        <v>#DIV/0!</v>
      </c>
      <c r="AF809" s="239"/>
      <c r="AG809" s="965" t="e">
        <f t="shared" si="703"/>
        <v>#VALUE!</v>
      </c>
      <c r="AH809" s="878" t="e">
        <f t="shared" si="704"/>
        <v>#VALUE!</v>
      </c>
      <c r="AI809" s="878" t="e">
        <f t="shared" si="705"/>
        <v>#VALUE!</v>
      </c>
      <c r="AJ809" s="878" t="e">
        <f t="shared" si="706"/>
        <v>#VALUE!</v>
      </c>
      <c r="AK809" s="878" t="e">
        <f t="shared" si="707"/>
        <v>#VALUE!</v>
      </c>
      <c r="AL809" s="966" t="e">
        <f t="shared" si="708"/>
        <v>#VALUE!</v>
      </c>
      <c r="AM809" s="239"/>
      <c r="AO809" s="685">
        <f t="shared" si="733"/>
        <v>-1.3285654231429915</v>
      </c>
      <c r="AP809" s="276">
        <f t="shared" si="734"/>
        <v>0.89161392804867101</v>
      </c>
      <c r="AQ809" s="276">
        <f t="shared" si="735"/>
        <v>-2.1562984016401581</v>
      </c>
      <c r="AR809" s="276">
        <f t="shared" si="736"/>
        <v>1.566293542127781</v>
      </c>
      <c r="AS809" s="276">
        <f t="shared" si="737"/>
        <v>-1.0929766528569895</v>
      </c>
      <c r="AT809" s="276">
        <f t="shared" si="738"/>
        <v>1.9923285164467808</v>
      </c>
      <c r="AU809" s="685">
        <f t="shared" si="739"/>
        <v>1.5818982138219415</v>
      </c>
      <c r="AV809" s="276">
        <f t="shared" si="740"/>
        <v>0.98464662297139438</v>
      </c>
      <c r="AW809" s="276">
        <f t="shared" si="741"/>
        <v>0.64401090846656905</v>
      </c>
      <c r="AX809" s="276">
        <f t="shared" si="742"/>
        <v>1.3366533600679136</v>
      </c>
      <c r="AY809" s="276">
        <f t="shared" si="743"/>
        <v>1.1075601550404082</v>
      </c>
      <c r="AZ809" s="686">
        <f t="shared" si="744"/>
        <v>1.1231727158177274</v>
      </c>
      <c r="BA809" s="685">
        <f t="shared" si="745"/>
        <v>0</v>
      </c>
      <c r="BB809" s="276">
        <f t="shared" si="746"/>
        <v>0</v>
      </c>
      <c r="BC809" s="276">
        <f t="shared" si="747"/>
        <v>0</v>
      </c>
      <c r="BD809" s="276">
        <f t="shared" si="748"/>
        <v>0</v>
      </c>
      <c r="BE809" s="276">
        <f t="shared" si="749"/>
        <v>0</v>
      </c>
      <c r="BF809" s="686">
        <f t="shared" si="750"/>
        <v>0</v>
      </c>
      <c r="BG809" s="685" t="e">
        <f t="shared" si="751"/>
        <v>#DIV/0!</v>
      </c>
      <c r="BH809" s="276" t="e">
        <f t="shared" si="752"/>
        <v>#DIV/0!</v>
      </c>
      <c r="BI809" s="276" t="e">
        <f t="shared" si="753"/>
        <v>#DIV/0!</v>
      </c>
      <c r="BJ809" s="276" t="e">
        <f t="shared" si="754"/>
        <v>#DIV/0!</v>
      </c>
      <c r="BK809" s="276" t="e">
        <f t="shared" si="755"/>
        <v>#DIV/0!</v>
      </c>
      <c r="BL809" s="686" t="e">
        <f t="shared" si="756"/>
        <v>#DIV/0!</v>
      </c>
      <c r="BM809" s="239"/>
      <c r="BN809" s="965" t="e">
        <f t="shared" si="757"/>
        <v>#VALUE!</v>
      </c>
      <c r="BO809" s="878" t="e">
        <f t="shared" si="758"/>
        <v>#VALUE!</v>
      </c>
      <c r="BP809" s="878" t="e">
        <f t="shared" si="759"/>
        <v>#VALUE!</v>
      </c>
      <c r="BQ809" s="878" t="e">
        <f t="shared" si="760"/>
        <v>#VALUE!</v>
      </c>
      <c r="BR809" s="878" t="e">
        <f t="shared" si="761"/>
        <v>#VALUE!</v>
      </c>
      <c r="BS809" s="966" t="e">
        <f t="shared" si="762"/>
        <v>#VALUE!</v>
      </c>
    </row>
    <row r="810" spans="1:71">
      <c r="A810" s="284">
        <f t="shared" si="763"/>
        <v>742</v>
      </c>
      <c r="B810" s="285">
        <v>0.78709630492373528</v>
      </c>
      <c r="C810" s="285">
        <v>2.6362870970748893</v>
      </c>
      <c r="D810" s="285">
        <v>1.4490942405230578</v>
      </c>
      <c r="E810" s="285">
        <v>-2.4522517278259715</v>
      </c>
      <c r="H810" s="685">
        <f t="shared" si="709"/>
        <v>-0.34613753684531956</v>
      </c>
      <c r="I810" s="276">
        <f t="shared" si="710"/>
        <v>-5.3666773534175869</v>
      </c>
      <c r="J810" s="276">
        <f t="shared" si="711"/>
        <v>0.19623599357642019</v>
      </c>
      <c r="K810" s="276">
        <f t="shared" si="712"/>
        <v>-3.1903116488177776</v>
      </c>
      <c r="L810" s="276">
        <f t="shared" si="713"/>
        <v>-2.1328954868403036</v>
      </c>
      <c r="M810" s="276">
        <f t="shared" si="714"/>
        <v>-1.6077881218235097</v>
      </c>
      <c r="N810" s="685">
        <f t="shared" si="715"/>
        <v>1.4291158861030209</v>
      </c>
      <c r="O810" s="276">
        <f t="shared" si="716"/>
        <v>0.43617448329087227</v>
      </c>
      <c r="P810" s="276">
        <f t="shared" si="717"/>
        <v>1.9266024664420243</v>
      </c>
      <c r="Q810" s="276">
        <f t="shared" si="718"/>
        <v>1.387107608888779</v>
      </c>
      <c r="R810" s="276">
        <f t="shared" si="719"/>
        <v>1.0238552250735025</v>
      </c>
      <c r="S810" s="686">
        <f t="shared" si="720"/>
        <v>1.1031570347303024</v>
      </c>
      <c r="T810" s="685">
        <f t="shared" si="721"/>
        <v>4.7274579307939835</v>
      </c>
      <c r="U810" s="276">
        <f t="shared" si="722"/>
        <v>3.9872119829014818</v>
      </c>
      <c r="V810" s="276">
        <f t="shared" si="723"/>
        <v>2.3402117744929392</v>
      </c>
      <c r="W810" s="276">
        <f t="shared" si="724"/>
        <v>3.8995575429418206</v>
      </c>
      <c r="X810" s="276">
        <f t="shared" si="725"/>
        <v>3.5520371203700805</v>
      </c>
      <c r="Y810" s="686">
        <f t="shared" si="726"/>
        <v>5.019763222085011</v>
      </c>
      <c r="Z810" s="685" t="e">
        <f t="shared" si="727"/>
        <v>#DIV/0!</v>
      </c>
      <c r="AA810" s="276" t="e">
        <f t="shared" si="728"/>
        <v>#DIV/0!</v>
      </c>
      <c r="AB810" s="276" t="e">
        <f t="shared" si="729"/>
        <v>#DIV/0!</v>
      </c>
      <c r="AC810" s="276" t="e">
        <f t="shared" si="730"/>
        <v>#DIV/0!</v>
      </c>
      <c r="AD810" s="276" t="e">
        <f t="shared" si="731"/>
        <v>#DIV/0!</v>
      </c>
      <c r="AE810" s="686" t="e">
        <f t="shared" si="732"/>
        <v>#DIV/0!</v>
      </c>
      <c r="AF810" s="239"/>
      <c r="AG810" s="965" t="e">
        <f t="shared" si="703"/>
        <v>#VALUE!</v>
      </c>
      <c r="AH810" s="878" t="e">
        <f t="shared" si="704"/>
        <v>#VALUE!</v>
      </c>
      <c r="AI810" s="878" t="e">
        <f t="shared" si="705"/>
        <v>#VALUE!</v>
      </c>
      <c r="AJ810" s="878" t="e">
        <f t="shared" si="706"/>
        <v>#VALUE!</v>
      </c>
      <c r="AK810" s="878" t="e">
        <f t="shared" si="707"/>
        <v>#VALUE!</v>
      </c>
      <c r="AL810" s="966" t="e">
        <f t="shared" si="708"/>
        <v>#VALUE!</v>
      </c>
      <c r="AM810" s="239"/>
      <c r="AO810" s="685">
        <f t="shared" si="733"/>
        <v>-0.34613753684531956</v>
      </c>
      <c r="AP810" s="276">
        <f t="shared" si="734"/>
        <v>-5.3666773534175869</v>
      </c>
      <c r="AQ810" s="276">
        <f t="shared" si="735"/>
        <v>0.19623599357642019</v>
      </c>
      <c r="AR810" s="276">
        <f t="shared" si="736"/>
        <v>-3.1903116488177776</v>
      </c>
      <c r="AS810" s="276">
        <f t="shared" si="737"/>
        <v>-2.1328954868403036</v>
      </c>
      <c r="AT810" s="276">
        <f t="shared" si="738"/>
        <v>-1.6077881218235097</v>
      </c>
      <c r="AU810" s="685">
        <f t="shared" si="739"/>
        <v>1.4291158861030209</v>
      </c>
      <c r="AV810" s="276">
        <f t="shared" si="740"/>
        <v>0.43617448329087227</v>
      </c>
      <c r="AW810" s="276">
        <f t="shared" si="741"/>
        <v>1.9266024664420243</v>
      </c>
      <c r="AX810" s="276">
        <f t="shared" si="742"/>
        <v>1.387107608888779</v>
      </c>
      <c r="AY810" s="276">
        <f t="shared" si="743"/>
        <v>1.0238552250735025</v>
      </c>
      <c r="AZ810" s="686">
        <f t="shared" si="744"/>
        <v>1.1031570347303024</v>
      </c>
      <c r="BA810" s="685">
        <f t="shared" si="745"/>
        <v>0</v>
      </c>
      <c r="BB810" s="276">
        <f t="shared" si="746"/>
        <v>0</v>
      </c>
      <c r="BC810" s="276">
        <f t="shared" si="747"/>
        <v>0</v>
      </c>
      <c r="BD810" s="276">
        <f t="shared" si="748"/>
        <v>0</v>
      </c>
      <c r="BE810" s="276">
        <f t="shared" si="749"/>
        <v>0</v>
      </c>
      <c r="BF810" s="686">
        <f t="shared" si="750"/>
        <v>0</v>
      </c>
      <c r="BG810" s="685" t="e">
        <f t="shared" si="751"/>
        <v>#DIV/0!</v>
      </c>
      <c r="BH810" s="276" t="e">
        <f t="shared" si="752"/>
        <v>#DIV/0!</v>
      </c>
      <c r="BI810" s="276" t="e">
        <f t="shared" si="753"/>
        <v>#DIV/0!</v>
      </c>
      <c r="BJ810" s="276" t="e">
        <f t="shared" si="754"/>
        <v>#DIV/0!</v>
      </c>
      <c r="BK810" s="276" t="e">
        <f t="shared" si="755"/>
        <v>#DIV/0!</v>
      </c>
      <c r="BL810" s="686" t="e">
        <f t="shared" si="756"/>
        <v>#DIV/0!</v>
      </c>
      <c r="BM810" s="239"/>
      <c r="BN810" s="965" t="e">
        <f t="shared" si="757"/>
        <v>#VALUE!</v>
      </c>
      <c r="BO810" s="878" t="e">
        <f t="shared" si="758"/>
        <v>#VALUE!</v>
      </c>
      <c r="BP810" s="878" t="e">
        <f t="shared" si="759"/>
        <v>#VALUE!</v>
      </c>
      <c r="BQ810" s="878" t="e">
        <f t="shared" si="760"/>
        <v>#VALUE!</v>
      </c>
      <c r="BR810" s="878" t="e">
        <f t="shared" si="761"/>
        <v>#VALUE!</v>
      </c>
      <c r="BS810" s="966" t="e">
        <f t="shared" si="762"/>
        <v>#VALUE!</v>
      </c>
    </row>
    <row r="811" spans="1:71">
      <c r="A811" s="284">
        <f t="shared" si="763"/>
        <v>743</v>
      </c>
      <c r="B811" s="285">
        <v>1.3612275204008539E-2</v>
      </c>
      <c r="C811" s="285">
        <v>2.5406989108958236</v>
      </c>
      <c r="D811" s="285">
        <v>1.4718210586991254</v>
      </c>
      <c r="E811" s="285">
        <v>-13.855945628895933</v>
      </c>
      <c r="H811" s="685">
        <f t="shared" si="709"/>
        <v>-1.1196215665650464</v>
      </c>
      <c r="I811" s="276">
        <f t="shared" si="710"/>
        <v>1.3178008086157311</v>
      </c>
      <c r="J811" s="276">
        <f t="shared" si="711"/>
        <v>-1.6850714638087245</v>
      </c>
      <c r="K811" s="276">
        <f t="shared" si="712"/>
        <v>-0.15887245090155677</v>
      </c>
      <c r="L811" s="276">
        <f t="shared" si="713"/>
        <v>1.5656134715604353</v>
      </c>
      <c r="M811" s="276">
        <f t="shared" si="714"/>
        <v>1.1881100659584594</v>
      </c>
      <c r="N811" s="685">
        <f t="shared" si="715"/>
        <v>1.3335276999239551</v>
      </c>
      <c r="O811" s="276">
        <f t="shared" si="716"/>
        <v>1.1236080677276357</v>
      </c>
      <c r="P811" s="276">
        <f t="shared" si="717"/>
        <v>1.0154576763363428</v>
      </c>
      <c r="Q811" s="276">
        <f t="shared" si="718"/>
        <v>0.70357923811450784</v>
      </c>
      <c r="R811" s="276">
        <f t="shared" si="719"/>
        <v>1.0606074108560704</v>
      </c>
      <c r="S811" s="686">
        <f t="shared" si="720"/>
        <v>0.69944907399512712</v>
      </c>
      <c r="T811" s="685">
        <f t="shared" si="721"/>
        <v>4.7501847489700513</v>
      </c>
      <c r="U811" s="276">
        <f t="shared" si="722"/>
        <v>4.754713328210979</v>
      </c>
      <c r="V811" s="276">
        <f t="shared" si="723"/>
        <v>5.3084780920874888</v>
      </c>
      <c r="W811" s="276">
        <f t="shared" si="724"/>
        <v>5.2176163030845224</v>
      </c>
      <c r="X811" s="276">
        <f t="shared" si="725"/>
        <v>4.8092503990035205</v>
      </c>
      <c r="Y811" s="686">
        <f t="shared" si="726"/>
        <v>6.4043342503088674</v>
      </c>
      <c r="Z811" s="685" t="e">
        <f t="shared" si="727"/>
        <v>#DIV/0!</v>
      </c>
      <c r="AA811" s="276" t="e">
        <f t="shared" si="728"/>
        <v>#DIV/0!</v>
      </c>
      <c r="AB811" s="276" t="e">
        <f t="shared" si="729"/>
        <v>#DIV/0!</v>
      </c>
      <c r="AC811" s="276" t="e">
        <f t="shared" si="730"/>
        <v>#DIV/0!</v>
      </c>
      <c r="AD811" s="276" t="e">
        <f t="shared" si="731"/>
        <v>#DIV/0!</v>
      </c>
      <c r="AE811" s="686" t="e">
        <f t="shared" si="732"/>
        <v>#DIV/0!</v>
      </c>
      <c r="AF811" s="239"/>
      <c r="AG811" s="965" t="e">
        <f t="shared" si="703"/>
        <v>#VALUE!</v>
      </c>
      <c r="AH811" s="878" t="e">
        <f t="shared" si="704"/>
        <v>#VALUE!</v>
      </c>
      <c r="AI811" s="878" t="e">
        <f t="shared" si="705"/>
        <v>#VALUE!</v>
      </c>
      <c r="AJ811" s="878" t="e">
        <f t="shared" si="706"/>
        <v>#VALUE!</v>
      </c>
      <c r="AK811" s="878" t="e">
        <f t="shared" si="707"/>
        <v>#VALUE!</v>
      </c>
      <c r="AL811" s="966" t="e">
        <f t="shared" si="708"/>
        <v>#VALUE!</v>
      </c>
      <c r="AM811" s="239"/>
      <c r="AO811" s="685">
        <f t="shared" si="733"/>
        <v>-1.1196215665650464</v>
      </c>
      <c r="AP811" s="276">
        <f t="shared" si="734"/>
        <v>1.3178008086157311</v>
      </c>
      <c r="AQ811" s="276">
        <f t="shared" si="735"/>
        <v>-1.6850714638087245</v>
      </c>
      <c r="AR811" s="276">
        <f t="shared" si="736"/>
        <v>-0.15887245090155677</v>
      </c>
      <c r="AS811" s="276">
        <f t="shared" si="737"/>
        <v>1.5656134715604353</v>
      </c>
      <c r="AT811" s="276">
        <f t="shared" si="738"/>
        <v>1.1881100659584594</v>
      </c>
      <c r="AU811" s="685">
        <f t="shared" si="739"/>
        <v>1.3335276999239551</v>
      </c>
      <c r="AV811" s="276">
        <f t="shared" si="740"/>
        <v>1.1236080677276357</v>
      </c>
      <c r="AW811" s="276">
        <f t="shared" si="741"/>
        <v>1.0154576763363428</v>
      </c>
      <c r="AX811" s="276">
        <f t="shared" si="742"/>
        <v>0.70357923811450784</v>
      </c>
      <c r="AY811" s="276">
        <f t="shared" si="743"/>
        <v>1.0606074108560704</v>
      </c>
      <c r="AZ811" s="686">
        <f t="shared" si="744"/>
        <v>0.69944907399512712</v>
      </c>
      <c r="BA811" s="685">
        <f t="shared" si="745"/>
        <v>0</v>
      </c>
      <c r="BB811" s="276">
        <f t="shared" si="746"/>
        <v>0</v>
      </c>
      <c r="BC811" s="276">
        <f t="shared" si="747"/>
        <v>0</v>
      </c>
      <c r="BD811" s="276">
        <f t="shared" si="748"/>
        <v>0</v>
      </c>
      <c r="BE811" s="276">
        <f t="shared" si="749"/>
        <v>0</v>
      </c>
      <c r="BF811" s="686">
        <f t="shared" si="750"/>
        <v>0</v>
      </c>
      <c r="BG811" s="685" t="e">
        <f t="shared" si="751"/>
        <v>#DIV/0!</v>
      </c>
      <c r="BH811" s="276" t="e">
        <f t="shared" si="752"/>
        <v>#DIV/0!</v>
      </c>
      <c r="BI811" s="276" t="e">
        <f t="shared" si="753"/>
        <v>#DIV/0!</v>
      </c>
      <c r="BJ811" s="276" t="e">
        <f t="shared" si="754"/>
        <v>#DIV/0!</v>
      </c>
      <c r="BK811" s="276" t="e">
        <f t="shared" si="755"/>
        <v>#DIV/0!</v>
      </c>
      <c r="BL811" s="686" t="e">
        <f t="shared" si="756"/>
        <v>#DIV/0!</v>
      </c>
      <c r="BM811" s="239"/>
      <c r="BN811" s="965" t="e">
        <f t="shared" si="757"/>
        <v>#VALUE!</v>
      </c>
      <c r="BO811" s="878" t="e">
        <f t="shared" si="758"/>
        <v>#VALUE!</v>
      </c>
      <c r="BP811" s="878" t="e">
        <f t="shared" si="759"/>
        <v>#VALUE!</v>
      </c>
      <c r="BQ811" s="878" t="e">
        <f t="shared" si="760"/>
        <v>#VALUE!</v>
      </c>
      <c r="BR811" s="878" t="e">
        <f t="shared" si="761"/>
        <v>#VALUE!</v>
      </c>
      <c r="BS811" s="966" t="e">
        <f t="shared" si="762"/>
        <v>#VALUE!</v>
      </c>
    </row>
    <row r="812" spans="1:71">
      <c r="A812" s="284">
        <f t="shared" si="763"/>
        <v>744</v>
      </c>
      <c r="B812" s="285">
        <v>-0.24937946950769493</v>
      </c>
      <c r="C812" s="285">
        <v>2.3164372400631592</v>
      </c>
      <c r="D812" s="285">
        <v>1.7238472098031954</v>
      </c>
      <c r="E812" s="285">
        <v>-8.4515975057536057</v>
      </c>
      <c r="H812" s="685">
        <f t="shared" si="709"/>
        <v>-1.3826133112767498</v>
      </c>
      <c r="I812" s="276">
        <f t="shared" si="710"/>
        <v>-2.934926550683314</v>
      </c>
      <c r="J812" s="276">
        <f t="shared" si="711"/>
        <v>-1.592056003260822</v>
      </c>
      <c r="K812" s="276">
        <f t="shared" si="712"/>
        <v>1.3740348367711464</v>
      </c>
      <c r="L812" s="276">
        <f t="shared" si="713"/>
        <v>-1.0591750321511084</v>
      </c>
      <c r="M812" s="276">
        <f t="shared" si="714"/>
        <v>1.4329118268526486</v>
      </c>
      <c r="N812" s="685">
        <f t="shared" si="715"/>
        <v>1.1092660290912908</v>
      </c>
      <c r="O812" s="276">
        <f t="shared" si="716"/>
        <v>1.232883662652746</v>
      </c>
      <c r="P812" s="276">
        <f t="shared" si="717"/>
        <v>1.4840347667787033</v>
      </c>
      <c r="Q812" s="276">
        <f t="shared" si="718"/>
        <v>1.4020472396286594</v>
      </c>
      <c r="R812" s="276">
        <f t="shared" si="719"/>
        <v>1.001310550227519</v>
      </c>
      <c r="S812" s="686">
        <f t="shared" si="720"/>
        <v>1.416332361756391</v>
      </c>
      <c r="T812" s="685">
        <f t="shared" si="721"/>
        <v>5.0022109000741217</v>
      </c>
      <c r="U812" s="276">
        <f t="shared" si="722"/>
        <v>5.4901670330070731</v>
      </c>
      <c r="V812" s="276">
        <f t="shared" si="723"/>
        <v>7.0581703348562428</v>
      </c>
      <c r="W812" s="276">
        <f t="shared" si="724"/>
        <v>4.5298440765058654</v>
      </c>
      <c r="X812" s="276">
        <f t="shared" si="725"/>
        <v>4.8376479732468471</v>
      </c>
      <c r="Y812" s="686">
        <f t="shared" si="726"/>
        <v>4.6387508773845223</v>
      </c>
      <c r="Z812" s="685" t="e">
        <f t="shared" si="727"/>
        <v>#DIV/0!</v>
      </c>
      <c r="AA812" s="276" t="e">
        <f t="shared" si="728"/>
        <v>#DIV/0!</v>
      </c>
      <c r="AB812" s="276" t="e">
        <f t="shared" si="729"/>
        <v>#DIV/0!</v>
      </c>
      <c r="AC812" s="276" t="e">
        <f t="shared" si="730"/>
        <v>#DIV/0!</v>
      </c>
      <c r="AD812" s="276" t="e">
        <f t="shared" si="731"/>
        <v>#DIV/0!</v>
      </c>
      <c r="AE812" s="686" t="e">
        <f t="shared" si="732"/>
        <v>#DIV/0!</v>
      </c>
      <c r="AF812" s="239"/>
      <c r="AG812" s="965" t="e">
        <f t="shared" si="703"/>
        <v>#VALUE!</v>
      </c>
      <c r="AH812" s="878" t="e">
        <f t="shared" si="704"/>
        <v>#VALUE!</v>
      </c>
      <c r="AI812" s="878" t="e">
        <f t="shared" si="705"/>
        <v>#VALUE!</v>
      </c>
      <c r="AJ812" s="878" t="e">
        <f t="shared" si="706"/>
        <v>#VALUE!</v>
      </c>
      <c r="AK812" s="878" t="e">
        <f t="shared" si="707"/>
        <v>#VALUE!</v>
      </c>
      <c r="AL812" s="966" t="e">
        <f t="shared" si="708"/>
        <v>#VALUE!</v>
      </c>
      <c r="AM812" s="239"/>
      <c r="AO812" s="685">
        <f t="shared" si="733"/>
        <v>-1.3826133112767498</v>
      </c>
      <c r="AP812" s="276">
        <f t="shared" si="734"/>
        <v>-2.934926550683314</v>
      </c>
      <c r="AQ812" s="276">
        <f t="shared" si="735"/>
        <v>-1.592056003260822</v>
      </c>
      <c r="AR812" s="276">
        <f t="shared" si="736"/>
        <v>1.3740348367711464</v>
      </c>
      <c r="AS812" s="276">
        <f t="shared" si="737"/>
        <v>-1.0591750321511084</v>
      </c>
      <c r="AT812" s="276">
        <f t="shared" si="738"/>
        <v>1.4329118268526486</v>
      </c>
      <c r="AU812" s="685">
        <f t="shared" si="739"/>
        <v>1.1092660290912908</v>
      </c>
      <c r="AV812" s="276">
        <f t="shared" si="740"/>
        <v>1.232883662652746</v>
      </c>
      <c r="AW812" s="276">
        <f t="shared" si="741"/>
        <v>1.4840347667787033</v>
      </c>
      <c r="AX812" s="276">
        <f t="shared" si="742"/>
        <v>1.4020472396286594</v>
      </c>
      <c r="AY812" s="276">
        <f t="shared" si="743"/>
        <v>1.001310550227519</v>
      </c>
      <c r="AZ812" s="686">
        <f t="shared" si="744"/>
        <v>1.416332361756391</v>
      </c>
      <c r="BA812" s="685">
        <f t="shared" si="745"/>
        <v>0</v>
      </c>
      <c r="BB812" s="276">
        <f t="shared" si="746"/>
        <v>0</v>
      </c>
      <c r="BC812" s="276">
        <f t="shared" si="747"/>
        <v>0</v>
      </c>
      <c r="BD812" s="276">
        <f t="shared" si="748"/>
        <v>0</v>
      </c>
      <c r="BE812" s="276">
        <f t="shared" si="749"/>
        <v>0</v>
      </c>
      <c r="BF812" s="686">
        <f t="shared" si="750"/>
        <v>0</v>
      </c>
      <c r="BG812" s="685" t="e">
        <f t="shared" si="751"/>
        <v>#DIV/0!</v>
      </c>
      <c r="BH812" s="276" t="e">
        <f t="shared" si="752"/>
        <v>#DIV/0!</v>
      </c>
      <c r="BI812" s="276" t="e">
        <f t="shared" si="753"/>
        <v>#DIV/0!</v>
      </c>
      <c r="BJ812" s="276" t="e">
        <f t="shared" si="754"/>
        <v>#DIV/0!</v>
      </c>
      <c r="BK812" s="276" t="e">
        <f t="shared" si="755"/>
        <v>#DIV/0!</v>
      </c>
      <c r="BL812" s="686" t="e">
        <f t="shared" si="756"/>
        <v>#DIV/0!</v>
      </c>
      <c r="BM812" s="239"/>
      <c r="BN812" s="965" t="e">
        <f t="shared" si="757"/>
        <v>#VALUE!</v>
      </c>
      <c r="BO812" s="878" t="e">
        <f t="shared" si="758"/>
        <v>#VALUE!</v>
      </c>
      <c r="BP812" s="878" t="e">
        <f t="shared" si="759"/>
        <v>#VALUE!</v>
      </c>
      <c r="BQ812" s="878" t="e">
        <f t="shared" si="760"/>
        <v>#VALUE!</v>
      </c>
      <c r="BR812" s="878" t="e">
        <f t="shared" si="761"/>
        <v>#VALUE!</v>
      </c>
      <c r="BS812" s="966" t="e">
        <f t="shared" si="762"/>
        <v>#VALUE!</v>
      </c>
    </row>
    <row r="813" spans="1:71">
      <c r="A813" s="284">
        <f t="shared" si="763"/>
        <v>745</v>
      </c>
      <c r="B813" s="285">
        <v>1.321094739642261</v>
      </c>
      <c r="C813" s="285">
        <v>2.2650563726588873</v>
      </c>
      <c r="D813" s="285">
        <v>3.6255974485754399</v>
      </c>
      <c r="E813" s="285">
        <v>-15.758840992321574</v>
      </c>
      <c r="H813" s="685">
        <f t="shared" si="709"/>
        <v>0.18786089787320615</v>
      </c>
      <c r="I813" s="276">
        <f t="shared" si="710"/>
        <v>-0.31597005547159474</v>
      </c>
      <c r="J813" s="276">
        <f t="shared" si="711"/>
        <v>-4.0019722485165596</v>
      </c>
      <c r="K813" s="276">
        <f t="shared" si="712"/>
        <v>-2.9794322620583653</v>
      </c>
      <c r="L813" s="276">
        <f t="shared" si="713"/>
        <v>-5.4460859473887835</v>
      </c>
      <c r="M813" s="276">
        <f t="shared" si="714"/>
        <v>-4.2813101338243689</v>
      </c>
      <c r="N813" s="685">
        <f t="shared" si="715"/>
        <v>1.0578851616870188</v>
      </c>
      <c r="O813" s="276">
        <f t="shared" si="716"/>
        <v>1.1621881330393691</v>
      </c>
      <c r="P813" s="276">
        <f t="shared" si="717"/>
        <v>1.5002040166474948</v>
      </c>
      <c r="Q813" s="276">
        <f t="shared" si="718"/>
        <v>0.9199511332011594</v>
      </c>
      <c r="R813" s="276">
        <f t="shared" si="719"/>
        <v>0.3793042267519624</v>
      </c>
      <c r="S813" s="686">
        <f t="shared" si="720"/>
        <v>0.89808435088071392</v>
      </c>
      <c r="T813" s="685">
        <f t="shared" si="721"/>
        <v>6.9039611388463662</v>
      </c>
      <c r="U813" s="276">
        <f t="shared" si="722"/>
        <v>4.9307208813411076</v>
      </c>
      <c r="V813" s="276">
        <f t="shared" si="723"/>
        <v>1.8649295796616188</v>
      </c>
      <c r="W813" s="276">
        <f t="shared" si="724"/>
        <v>4.616199708936227</v>
      </c>
      <c r="X813" s="276">
        <f t="shared" si="725"/>
        <v>5.0081414046254746</v>
      </c>
      <c r="Y813" s="686">
        <f t="shared" si="726"/>
        <v>3.497767726665332</v>
      </c>
      <c r="Z813" s="685" t="e">
        <f t="shared" si="727"/>
        <v>#DIV/0!</v>
      </c>
      <c r="AA813" s="276" t="e">
        <f t="shared" si="728"/>
        <v>#DIV/0!</v>
      </c>
      <c r="AB813" s="276" t="e">
        <f t="shared" si="729"/>
        <v>#DIV/0!</v>
      </c>
      <c r="AC813" s="276" t="e">
        <f t="shared" si="730"/>
        <v>#DIV/0!</v>
      </c>
      <c r="AD813" s="276" t="e">
        <f t="shared" si="731"/>
        <v>#DIV/0!</v>
      </c>
      <c r="AE813" s="686" t="e">
        <f t="shared" si="732"/>
        <v>#DIV/0!</v>
      </c>
      <c r="AF813" s="239"/>
      <c r="AG813" s="965" t="e">
        <f t="shared" si="703"/>
        <v>#VALUE!</v>
      </c>
      <c r="AH813" s="878" t="e">
        <f t="shared" si="704"/>
        <v>#VALUE!</v>
      </c>
      <c r="AI813" s="878" t="e">
        <f t="shared" si="705"/>
        <v>#VALUE!</v>
      </c>
      <c r="AJ813" s="878" t="e">
        <f t="shared" si="706"/>
        <v>#VALUE!</v>
      </c>
      <c r="AK813" s="878" t="e">
        <f t="shared" si="707"/>
        <v>#VALUE!</v>
      </c>
      <c r="AL813" s="966" t="e">
        <f t="shared" si="708"/>
        <v>#VALUE!</v>
      </c>
      <c r="AM813" s="239"/>
      <c r="AO813" s="685">
        <f t="shared" si="733"/>
        <v>0.18786089787320615</v>
      </c>
      <c r="AP813" s="276">
        <f t="shared" si="734"/>
        <v>-0.31597005547159474</v>
      </c>
      <c r="AQ813" s="276">
        <f t="shared" si="735"/>
        <v>-4.0019722485165596</v>
      </c>
      <c r="AR813" s="276">
        <f t="shared" si="736"/>
        <v>-2.9794322620583653</v>
      </c>
      <c r="AS813" s="276">
        <f t="shared" si="737"/>
        <v>-5.4460859473887835</v>
      </c>
      <c r="AT813" s="276">
        <f t="shared" si="738"/>
        <v>-4.2813101338243689</v>
      </c>
      <c r="AU813" s="685">
        <f t="shared" si="739"/>
        <v>1.0578851616870188</v>
      </c>
      <c r="AV813" s="276">
        <f t="shared" si="740"/>
        <v>1.1621881330393691</v>
      </c>
      <c r="AW813" s="276">
        <f t="shared" si="741"/>
        <v>1.5002040166474948</v>
      </c>
      <c r="AX813" s="276">
        <f t="shared" si="742"/>
        <v>0.9199511332011594</v>
      </c>
      <c r="AY813" s="276">
        <f t="shared" si="743"/>
        <v>0.3793042267519624</v>
      </c>
      <c r="AZ813" s="686">
        <f t="shared" si="744"/>
        <v>0.89808435088071392</v>
      </c>
      <c r="BA813" s="685">
        <f t="shared" si="745"/>
        <v>0</v>
      </c>
      <c r="BB813" s="276">
        <f t="shared" si="746"/>
        <v>0</v>
      </c>
      <c r="BC813" s="276">
        <f t="shared" si="747"/>
        <v>0</v>
      </c>
      <c r="BD813" s="276">
        <f t="shared" si="748"/>
        <v>0</v>
      </c>
      <c r="BE813" s="276">
        <f t="shared" si="749"/>
        <v>0</v>
      </c>
      <c r="BF813" s="686">
        <f t="shared" si="750"/>
        <v>0</v>
      </c>
      <c r="BG813" s="685" t="e">
        <f t="shared" si="751"/>
        <v>#DIV/0!</v>
      </c>
      <c r="BH813" s="276" t="e">
        <f t="shared" si="752"/>
        <v>#DIV/0!</v>
      </c>
      <c r="BI813" s="276" t="e">
        <f t="shared" si="753"/>
        <v>#DIV/0!</v>
      </c>
      <c r="BJ813" s="276" t="e">
        <f t="shared" si="754"/>
        <v>#DIV/0!</v>
      </c>
      <c r="BK813" s="276" t="e">
        <f t="shared" si="755"/>
        <v>#DIV/0!</v>
      </c>
      <c r="BL813" s="686" t="e">
        <f t="shared" si="756"/>
        <v>#DIV/0!</v>
      </c>
      <c r="BM813" s="239"/>
      <c r="BN813" s="965" t="e">
        <f t="shared" si="757"/>
        <v>#VALUE!</v>
      </c>
      <c r="BO813" s="878" t="e">
        <f t="shared" si="758"/>
        <v>#VALUE!</v>
      </c>
      <c r="BP813" s="878" t="e">
        <f t="shared" si="759"/>
        <v>#VALUE!</v>
      </c>
      <c r="BQ813" s="878" t="e">
        <f t="shared" si="760"/>
        <v>#VALUE!</v>
      </c>
      <c r="BR813" s="878" t="e">
        <f t="shared" si="761"/>
        <v>#VALUE!</v>
      </c>
      <c r="BS813" s="966" t="e">
        <f t="shared" si="762"/>
        <v>#VALUE!</v>
      </c>
    </row>
    <row r="814" spans="1:71">
      <c r="A814" s="284">
        <f t="shared" si="763"/>
        <v>746</v>
      </c>
      <c r="B814" s="285">
        <v>-1.6616155969940687</v>
      </c>
      <c r="C814" s="285">
        <v>1.8966828616748499</v>
      </c>
      <c r="D814" s="285">
        <v>1.0428958937587629</v>
      </c>
      <c r="E814" s="285">
        <v>-20.568614523624692</v>
      </c>
      <c r="H814" s="685">
        <f t="shared" si="709"/>
        <v>-2.7948494387631238</v>
      </c>
      <c r="I814" s="276">
        <f t="shared" si="710"/>
        <v>2.1974060121676695</v>
      </c>
      <c r="J814" s="276">
        <f t="shared" si="711"/>
        <v>-3.0618848403838408</v>
      </c>
      <c r="K814" s="276">
        <f t="shared" si="712"/>
        <v>-0.75084796683537891</v>
      </c>
      <c r="L814" s="276">
        <f t="shared" si="713"/>
        <v>0.86718152250604796</v>
      </c>
      <c r="M814" s="276">
        <f t="shared" si="714"/>
        <v>2.5955889119909452</v>
      </c>
      <c r="N814" s="685">
        <f t="shared" si="715"/>
        <v>0.68951165070298148</v>
      </c>
      <c r="O814" s="276">
        <f t="shared" si="716"/>
        <v>1.8745089404140047</v>
      </c>
      <c r="P814" s="276">
        <f t="shared" si="717"/>
        <v>1.5169973373451284</v>
      </c>
      <c r="Q814" s="276">
        <f t="shared" si="718"/>
        <v>1.5151515455168594</v>
      </c>
      <c r="R814" s="276">
        <f t="shared" si="719"/>
        <v>1.7811585952701237</v>
      </c>
      <c r="S814" s="686">
        <f t="shared" si="720"/>
        <v>1.4190745141049439</v>
      </c>
      <c r="T814" s="685">
        <f t="shared" si="721"/>
        <v>4.321259584029689</v>
      </c>
      <c r="U814" s="276">
        <f t="shared" si="722"/>
        <v>2.3395008989379558</v>
      </c>
      <c r="V814" s="276">
        <f t="shared" si="723"/>
        <v>4.4286454455074651</v>
      </c>
      <c r="W814" s="276">
        <f t="shared" si="724"/>
        <v>3.9422594901986159</v>
      </c>
      <c r="X814" s="276">
        <f t="shared" si="725"/>
        <v>3.5120205421212831</v>
      </c>
      <c r="Y814" s="686">
        <f t="shared" si="726"/>
        <v>5.7058675845831619</v>
      </c>
      <c r="Z814" s="685" t="e">
        <f t="shared" si="727"/>
        <v>#DIV/0!</v>
      </c>
      <c r="AA814" s="276" t="e">
        <f t="shared" si="728"/>
        <v>#DIV/0!</v>
      </c>
      <c r="AB814" s="276" t="e">
        <f t="shared" si="729"/>
        <v>#DIV/0!</v>
      </c>
      <c r="AC814" s="276" t="e">
        <f t="shared" si="730"/>
        <v>#DIV/0!</v>
      </c>
      <c r="AD814" s="276" t="e">
        <f t="shared" si="731"/>
        <v>#DIV/0!</v>
      </c>
      <c r="AE814" s="686" t="e">
        <f t="shared" si="732"/>
        <v>#DIV/0!</v>
      </c>
      <c r="AF814" s="239"/>
      <c r="AG814" s="965" t="e">
        <f t="shared" si="703"/>
        <v>#VALUE!</v>
      </c>
      <c r="AH814" s="878" t="e">
        <f t="shared" si="704"/>
        <v>#VALUE!</v>
      </c>
      <c r="AI814" s="878" t="e">
        <f t="shared" si="705"/>
        <v>#VALUE!</v>
      </c>
      <c r="AJ814" s="878" t="e">
        <f t="shared" si="706"/>
        <v>#VALUE!</v>
      </c>
      <c r="AK814" s="878" t="e">
        <f t="shared" si="707"/>
        <v>#VALUE!</v>
      </c>
      <c r="AL814" s="966" t="e">
        <f t="shared" si="708"/>
        <v>#VALUE!</v>
      </c>
      <c r="AM814" s="239"/>
      <c r="AO814" s="685">
        <f t="shared" si="733"/>
        <v>-2.7948494387631238</v>
      </c>
      <c r="AP814" s="276">
        <f t="shared" si="734"/>
        <v>2.1974060121676695</v>
      </c>
      <c r="AQ814" s="276">
        <f t="shared" si="735"/>
        <v>-3.0618848403838408</v>
      </c>
      <c r="AR814" s="276">
        <f t="shared" si="736"/>
        <v>-0.75084796683537891</v>
      </c>
      <c r="AS814" s="276">
        <f t="shared" si="737"/>
        <v>0.86718152250604796</v>
      </c>
      <c r="AT814" s="276">
        <f t="shared" si="738"/>
        <v>2.5955889119909452</v>
      </c>
      <c r="AU814" s="685">
        <f t="shared" si="739"/>
        <v>0.68951165070298148</v>
      </c>
      <c r="AV814" s="276">
        <f t="shared" si="740"/>
        <v>1.8745089404140047</v>
      </c>
      <c r="AW814" s="276">
        <f t="shared" si="741"/>
        <v>1.5169973373451284</v>
      </c>
      <c r="AX814" s="276">
        <f t="shared" si="742"/>
        <v>1.5151515455168594</v>
      </c>
      <c r="AY814" s="276">
        <f t="shared" si="743"/>
        <v>1.7811585952701237</v>
      </c>
      <c r="AZ814" s="686">
        <f t="shared" si="744"/>
        <v>1.4190745141049439</v>
      </c>
      <c r="BA814" s="685">
        <f t="shared" si="745"/>
        <v>0</v>
      </c>
      <c r="BB814" s="276">
        <f t="shared" si="746"/>
        <v>0</v>
      </c>
      <c r="BC814" s="276">
        <f t="shared" si="747"/>
        <v>0</v>
      </c>
      <c r="BD814" s="276">
        <f t="shared" si="748"/>
        <v>0</v>
      </c>
      <c r="BE814" s="276">
        <f t="shared" si="749"/>
        <v>0</v>
      </c>
      <c r="BF814" s="686">
        <f t="shared" si="750"/>
        <v>0</v>
      </c>
      <c r="BG814" s="685" t="e">
        <f t="shared" si="751"/>
        <v>#DIV/0!</v>
      </c>
      <c r="BH814" s="276" t="e">
        <f t="shared" si="752"/>
        <v>#DIV/0!</v>
      </c>
      <c r="BI814" s="276" t="e">
        <f t="shared" si="753"/>
        <v>#DIV/0!</v>
      </c>
      <c r="BJ814" s="276" t="e">
        <f t="shared" si="754"/>
        <v>#DIV/0!</v>
      </c>
      <c r="BK814" s="276" t="e">
        <f t="shared" si="755"/>
        <v>#DIV/0!</v>
      </c>
      <c r="BL814" s="686" t="e">
        <f t="shared" si="756"/>
        <v>#DIV/0!</v>
      </c>
      <c r="BM814" s="239"/>
      <c r="BN814" s="965" t="e">
        <f t="shared" si="757"/>
        <v>#VALUE!</v>
      </c>
      <c r="BO814" s="878" t="e">
        <f t="shared" si="758"/>
        <v>#VALUE!</v>
      </c>
      <c r="BP814" s="878" t="e">
        <f t="shared" si="759"/>
        <v>#VALUE!</v>
      </c>
      <c r="BQ814" s="878" t="e">
        <f t="shared" si="760"/>
        <v>#VALUE!</v>
      </c>
      <c r="BR814" s="878" t="e">
        <f t="shared" si="761"/>
        <v>#VALUE!</v>
      </c>
      <c r="BS814" s="966" t="e">
        <f t="shared" si="762"/>
        <v>#VALUE!</v>
      </c>
    </row>
    <row r="815" spans="1:71">
      <c r="A815" s="284">
        <f t="shared" si="763"/>
        <v>747</v>
      </c>
      <c r="B815" s="285">
        <v>2.5702971491274011</v>
      </c>
      <c r="C815" s="285">
        <v>2.2573007534765983</v>
      </c>
      <c r="D815" s="285">
        <v>1.1421163397670673</v>
      </c>
      <c r="E815" s="285">
        <v>-9.1390865310950744</v>
      </c>
      <c r="H815" s="685">
        <f t="shared" si="709"/>
        <v>1.4370633073583463</v>
      </c>
      <c r="I815" s="276">
        <f t="shared" si="710"/>
        <v>0.52243190868881473</v>
      </c>
      <c r="J815" s="276">
        <f t="shared" si="711"/>
        <v>-0.79452418862707685</v>
      </c>
      <c r="K815" s="276">
        <f t="shared" si="712"/>
        <v>-1.8999498893799345</v>
      </c>
      <c r="L815" s="276">
        <f t="shared" si="713"/>
        <v>-1.2035876613969649</v>
      </c>
      <c r="M815" s="276">
        <f t="shared" si="714"/>
        <v>-4.6678952822598676</v>
      </c>
      <c r="N815" s="685">
        <f t="shared" si="715"/>
        <v>1.0501295425047299</v>
      </c>
      <c r="O815" s="276">
        <f t="shared" si="716"/>
        <v>1.7642380941343141</v>
      </c>
      <c r="P815" s="276">
        <f t="shared" si="717"/>
        <v>0.98054221795056606</v>
      </c>
      <c r="Q815" s="276">
        <f t="shared" si="718"/>
        <v>1.0572761915596962</v>
      </c>
      <c r="R815" s="276">
        <f t="shared" si="719"/>
        <v>1.1543214448634618</v>
      </c>
      <c r="S815" s="686">
        <f t="shared" si="720"/>
        <v>1.6175785802940339</v>
      </c>
      <c r="T815" s="685">
        <f t="shared" si="721"/>
        <v>4.4204800300379929</v>
      </c>
      <c r="U815" s="276">
        <f t="shared" si="722"/>
        <v>2.5270344952854913</v>
      </c>
      <c r="V815" s="276">
        <f t="shared" si="723"/>
        <v>5.4256173135599717</v>
      </c>
      <c r="W815" s="276">
        <f t="shared" si="724"/>
        <v>4.4402238488017911</v>
      </c>
      <c r="X815" s="276">
        <f t="shared" si="725"/>
        <v>5.8229315408651789</v>
      </c>
      <c r="Y815" s="686">
        <f t="shared" si="726"/>
        <v>1.0866028987617633</v>
      </c>
      <c r="Z815" s="685" t="e">
        <f t="shared" si="727"/>
        <v>#DIV/0!</v>
      </c>
      <c r="AA815" s="276" t="e">
        <f t="shared" si="728"/>
        <v>#DIV/0!</v>
      </c>
      <c r="AB815" s="276" t="e">
        <f t="shared" si="729"/>
        <v>#DIV/0!</v>
      </c>
      <c r="AC815" s="276" t="e">
        <f t="shared" si="730"/>
        <v>#DIV/0!</v>
      </c>
      <c r="AD815" s="276" t="e">
        <f t="shared" si="731"/>
        <v>#DIV/0!</v>
      </c>
      <c r="AE815" s="686" t="e">
        <f t="shared" si="732"/>
        <v>#DIV/0!</v>
      </c>
      <c r="AF815" s="239"/>
      <c r="AG815" s="965" t="e">
        <f t="shared" si="703"/>
        <v>#VALUE!</v>
      </c>
      <c r="AH815" s="878" t="e">
        <f t="shared" si="704"/>
        <v>#VALUE!</v>
      </c>
      <c r="AI815" s="878" t="e">
        <f t="shared" si="705"/>
        <v>#VALUE!</v>
      </c>
      <c r="AJ815" s="878" t="e">
        <f t="shared" si="706"/>
        <v>#VALUE!</v>
      </c>
      <c r="AK815" s="878" t="e">
        <f t="shared" si="707"/>
        <v>#VALUE!</v>
      </c>
      <c r="AL815" s="966" t="e">
        <f t="shared" si="708"/>
        <v>#VALUE!</v>
      </c>
      <c r="AM815" s="239"/>
      <c r="AO815" s="685">
        <f t="shared" si="733"/>
        <v>1.4370633073583463</v>
      </c>
      <c r="AP815" s="276">
        <f t="shared" si="734"/>
        <v>0.52243190868881473</v>
      </c>
      <c r="AQ815" s="276">
        <f t="shared" si="735"/>
        <v>-0.79452418862707685</v>
      </c>
      <c r="AR815" s="276">
        <f t="shared" si="736"/>
        <v>-1.8999498893799345</v>
      </c>
      <c r="AS815" s="276">
        <f t="shared" si="737"/>
        <v>-1.2035876613969649</v>
      </c>
      <c r="AT815" s="276">
        <f t="shared" si="738"/>
        <v>-4.6678952822598676</v>
      </c>
      <c r="AU815" s="685">
        <f t="shared" si="739"/>
        <v>1.0501295425047299</v>
      </c>
      <c r="AV815" s="276">
        <f t="shared" si="740"/>
        <v>1.7642380941343141</v>
      </c>
      <c r="AW815" s="276">
        <f t="shared" si="741"/>
        <v>0.98054221795056606</v>
      </c>
      <c r="AX815" s="276">
        <f t="shared" si="742"/>
        <v>1.0572761915596962</v>
      </c>
      <c r="AY815" s="276">
        <f t="shared" si="743"/>
        <v>1.1543214448634618</v>
      </c>
      <c r="AZ815" s="686">
        <f t="shared" si="744"/>
        <v>1.6175785802940339</v>
      </c>
      <c r="BA815" s="685">
        <f t="shared" si="745"/>
        <v>0</v>
      </c>
      <c r="BB815" s="276">
        <f t="shared" si="746"/>
        <v>0</v>
      </c>
      <c r="BC815" s="276">
        <f t="shared" si="747"/>
        <v>0</v>
      </c>
      <c r="BD815" s="276">
        <f t="shared" si="748"/>
        <v>0</v>
      </c>
      <c r="BE815" s="276">
        <f t="shared" si="749"/>
        <v>0</v>
      </c>
      <c r="BF815" s="686">
        <f t="shared" si="750"/>
        <v>0</v>
      </c>
      <c r="BG815" s="685" t="e">
        <f t="shared" si="751"/>
        <v>#DIV/0!</v>
      </c>
      <c r="BH815" s="276" t="e">
        <f t="shared" si="752"/>
        <v>#DIV/0!</v>
      </c>
      <c r="BI815" s="276" t="e">
        <f t="shared" si="753"/>
        <v>#DIV/0!</v>
      </c>
      <c r="BJ815" s="276" t="e">
        <f t="shared" si="754"/>
        <v>#DIV/0!</v>
      </c>
      <c r="BK815" s="276" t="e">
        <f t="shared" si="755"/>
        <v>#DIV/0!</v>
      </c>
      <c r="BL815" s="686" t="e">
        <f t="shared" si="756"/>
        <v>#DIV/0!</v>
      </c>
      <c r="BM815" s="239"/>
      <c r="BN815" s="965" t="e">
        <f t="shared" si="757"/>
        <v>#VALUE!</v>
      </c>
      <c r="BO815" s="878" t="e">
        <f t="shared" si="758"/>
        <v>#VALUE!</v>
      </c>
      <c r="BP815" s="878" t="e">
        <f t="shared" si="759"/>
        <v>#VALUE!</v>
      </c>
      <c r="BQ815" s="878" t="e">
        <f t="shared" si="760"/>
        <v>#VALUE!</v>
      </c>
      <c r="BR815" s="878" t="e">
        <f t="shared" si="761"/>
        <v>#VALUE!</v>
      </c>
      <c r="BS815" s="966" t="e">
        <f t="shared" si="762"/>
        <v>#VALUE!</v>
      </c>
    </row>
    <row r="816" spans="1:71">
      <c r="A816" s="284">
        <f t="shared" si="763"/>
        <v>748</v>
      </c>
      <c r="B816" s="285">
        <v>-0.4849387530633999</v>
      </c>
      <c r="C816" s="285">
        <v>2.4397217897368968</v>
      </c>
      <c r="D816" s="285">
        <v>0.80110828413132862</v>
      </c>
      <c r="E816" s="285">
        <v>-14.219598481754348</v>
      </c>
      <c r="H816" s="685">
        <f t="shared" si="709"/>
        <v>-1.6181725948324548</v>
      </c>
      <c r="I816" s="276">
        <f t="shared" si="710"/>
        <v>1.2596585362646915</v>
      </c>
      <c r="J816" s="276">
        <f t="shared" si="711"/>
        <v>-2.7320354967507585</v>
      </c>
      <c r="K816" s="276">
        <f t="shared" si="712"/>
        <v>0.74525407584787917</v>
      </c>
      <c r="L816" s="276">
        <f t="shared" si="713"/>
        <v>-0.10176602580736227</v>
      </c>
      <c r="M816" s="276">
        <f t="shared" si="714"/>
        <v>-2.3366281101013988</v>
      </c>
      <c r="N816" s="685">
        <f t="shared" si="715"/>
        <v>1.2325505787650284</v>
      </c>
      <c r="O816" s="276">
        <f t="shared" si="716"/>
        <v>1.5778616953022777</v>
      </c>
      <c r="P816" s="276">
        <f t="shared" si="717"/>
        <v>0.77814836844816782</v>
      </c>
      <c r="Q816" s="276">
        <f t="shared" si="718"/>
        <v>1.1416303787286417</v>
      </c>
      <c r="R816" s="276">
        <f t="shared" si="719"/>
        <v>0.8112597440736502</v>
      </c>
      <c r="S816" s="686">
        <f t="shared" si="720"/>
        <v>1.1312610846659064</v>
      </c>
      <c r="T816" s="685">
        <f t="shared" si="721"/>
        <v>4.0794719744022547</v>
      </c>
      <c r="U816" s="276">
        <f t="shared" si="722"/>
        <v>6.1258802554353462</v>
      </c>
      <c r="V816" s="276">
        <f t="shared" si="723"/>
        <v>6.3893966066380212</v>
      </c>
      <c r="W816" s="276">
        <f t="shared" si="724"/>
        <v>4.3152029632566471</v>
      </c>
      <c r="X816" s="276">
        <f t="shared" si="725"/>
        <v>6.9805469476302582</v>
      </c>
      <c r="Y816" s="686">
        <f t="shared" si="726"/>
        <v>5.3602751411842426</v>
      </c>
      <c r="Z816" s="685" t="e">
        <f t="shared" si="727"/>
        <v>#DIV/0!</v>
      </c>
      <c r="AA816" s="276" t="e">
        <f t="shared" si="728"/>
        <v>#DIV/0!</v>
      </c>
      <c r="AB816" s="276" t="e">
        <f t="shared" si="729"/>
        <v>#DIV/0!</v>
      </c>
      <c r="AC816" s="276" t="e">
        <f t="shared" si="730"/>
        <v>#DIV/0!</v>
      </c>
      <c r="AD816" s="276" t="e">
        <f t="shared" si="731"/>
        <v>#DIV/0!</v>
      </c>
      <c r="AE816" s="686" t="e">
        <f t="shared" si="732"/>
        <v>#DIV/0!</v>
      </c>
      <c r="AF816" s="239"/>
      <c r="AG816" s="965" t="e">
        <f t="shared" si="703"/>
        <v>#VALUE!</v>
      </c>
      <c r="AH816" s="878" t="e">
        <f t="shared" si="704"/>
        <v>#VALUE!</v>
      </c>
      <c r="AI816" s="878" t="e">
        <f t="shared" si="705"/>
        <v>#VALUE!</v>
      </c>
      <c r="AJ816" s="878" t="e">
        <f t="shared" si="706"/>
        <v>#VALUE!</v>
      </c>
      <c r="AK816" s="878" t="e">
        <f t="shared" si="707"/>
        <v>#VALUE!</v>
      </c>
      <c r="AL816" s="966" t="e">
        <f t="shared" si="708"/>
        <v>#VALUE!</v>
      </c>
      <c r="AM816" s="239"/>
      <c r="AO816" s="685">
        <f t="shared" si="733"/>
        <v>-1.6181725948324548</v>
      </c>
      <c r="AP816" s="276">
        <f t="shared" si="734"/>
        <v>1.2596585362646915</v>
      </c>
      <c r="AQ816" s="276">
        <f t="shared" si="735"/>
        <v>-2.7320354967507585</v>
      </c>
      <c r="AR816" s="276">
        <f t="shared" si="736"/>
        <v>0.74525407584787917</v>
      </c>
      <c r="AS816" s="276">
        <f t="shared" si="737"/>
        <v>-0.10176602580736227</v>
      </c>
      <c r="AT816" s="276">
        <f t="shared" si="738"/>
        <v>-2.3366281101013988</v>
      </c>
      <c r="AU816" s="685">
        <f t="shared" si="739"/>
        <v>1.2325505787650284</v>
      </c>
      <c r="AV816" s="276">
        <f t="shared" si="740"/>
        <v>1.5778616953022777</v>
      </c>
      <c r="AW816" s="276">
        <f t="shared" si="741"/>
        <v>0.77814836844816782</v>
      </c>
      <c r="AX816" s="276">
        <f t="shared" si="742"/>
        <v>1.1416303787286417</v>
      </c>
      <c r="AY816" s="276">
        <f t="shared" si="743"/>
        <v>0.8112597440736502</v>
      </c>
      <c r="AZ816" s="686">
        <f t="shared" si="744"/>
        <v>1.1312610846659064</v>
      </c>
      <c r="BA816" s="685">
        <f t="shared" si="745"/>
        <v>0</v>
      </c>
      <c r="BB816" s="276">
        <f t="shared" si="746"/>
        <v>0</v>
      </c>
      <c r="BC816" s="276">
        <f t="shared" si="747"/>
        <v>0</v>
      </c>
      <c r="BD816" s="276">
        <f t="shared" si="748"/>
        <v>0</v>
      </c>
      <c r="BE816" s="276">
        <f t="shared" si="749"/>
        <v>0</v>
      </c>
      <c r="BF816" s="686">
        <f t="shared" si="750"/>
        <v>0</v>
      </c>
      <c r="BG816" s="685" t="e">
        <f t="shared" si="751"/>
        <v>#DIV/0!</v>
      </c>
      <c r="BH816" s="276" t="e">
        <f t="shared" si="752"/>
        <v>#DIV/0!</v>
      </c>
      <c r="BI816" s="276" t="e">
        <f t="shared" si="753"/>
        <v>#DIV/0!</v>
      </c>
      <c r="BJ816" s="276" t="e">
        <f t="shared" si="754"/>
        <v>#DIV/0!</v>
      </c>
      <c r="BK816" s="276" t="e">
        <f t="shared" si="755"/>
        <v>#DIV/0!</v>
      </c>
      <c r="BL816" s="686" t="e">
        <f t="shared" si="756"/>
        <v>#DIV/0!</v>
      </c>
      <c r="BM816" s="239"/>
      <c r="BN816" s="965" t="e">
        <f t="shared" si="757"/>
        <v>#VALUE!</v>
      </c>
      <c r="BO816" s="878" t="e">
        <f t="shared" si="758"/>
        <v>#VALUE!</v>
      </c>
      <c r="BP816" s="878" t="e">
        <f t="shared" si="759"/>
        <v>#VALUE!</v>
      </c>
      <c r="BQ816" s="878" t="e">
        <f t="shared" si="760"/>
        <v>#VALUE!</v>
      </c>
      <c r="BR816" s="878" t="e">
        <f t="shared" si="761"/>
        <v>#VALUE!</v>
      </c>
      <c r="BS816" s="966" t="e">
        <f t="shared" si="762"/>
        <v>#VALUE!</v>
      </c>
    </row>
    <row r="817" spans="1:71">
      <c r="A817" s="284">
        <f t="shared" si="763"/>
        <v>749</v>
      </c>
      <c r="B817" s="285">
        <v>-2.6751668705602172</v>
      </c>
      <c r="C817" s="285">
        <v>2.2196082988680894</v>
      </c>
      <c r="D817" s="285">
        <v>0.68254586633004311</v>
      </c>
      <c r="E817" s="285">
        <v>-6.3003458023199386</v>
      </c>
      <c r="H817" s="685">
        <f t="shared" si="709"/>
        <v>-3.8084007123292718</v>
      </c>
      <c r="I817" s="276">
        <f t="shared" si="710"/>
        <v>0.15663447767501393</v>
      </c>
      <c r="J817" s="276">
        <f t="shared" si="711"/>
        <v>0.59744828190347765</v>
      </c>
      <c r="K817" s="276">
        <f t="shared" si="712"/>
        <v>0.24578546017103742</v>
      </c>
      <c r="L817" s="276">
        <f t="shared" si="713"/>
        <v>-5.403447225442771</v>
      </c>
      <c r="M817" s="276">
        <f t="shared" si="714"/>
        <v>-3.6287092805431609</v>
      </c>
      <c r="N817" s="685">
        <f t="shared" si="715"/>
        <v>1.012437087896221</v>
      </c>
      <c r="O817" s="276">
        <f t="shared" si="716"/>
        <v>1.9669040407408358</v>
      </c>
      <c r="P817" s="276">
        <f t="shared" si="717"/>
        <v>1.1931962608720299</v>
      </c>
      <c r="Q817" s="276">
        <f t="shared" si="718"/>
        <v>0.89820394914740631</v>
      </c>
      <c r="R817" s="276">
        <f t="shared" si="719"/>
        <v>1.2701924274646739</v>
      </c>
      <c r="S817" s="686">
        <f t="shared" si="720"/>
        <v>1.3894557420812605</v>
      </c>
      <c r="T817" s="685">
        <f t="shared" si="721"/>
        <v>3.9609095566009689</v>
      </c>
      <c r="U817" s="276">
        <f t="shared" si="722"/>
        <v>3.2271468508249246</v>
      </c>
      <c r="V817" s="276">
        <f t="shared" si="723"/>
        <v>3.9627204091783055</v>
      </c>
      <c r="W817" s="276">
        <f t="shared" si="724"/>
        <v>5.7693205971639543</v>
      </c>
      <c r="X817" s="276">
        <f t="shared" si="725"/>
        <v>1.6822293899580796</v>
      </c>
      <c r="Y817" s="686">
        <f t="shared" si="726"/>
        <v>3.5445296461337295</v>
      </c>
      <c r="Z817" s="685" t="e">
        <f t="shared" si="727"/>
        <v>#DIV/0!</v>
      </c>
      <c r="AA817" s="276" t="e">
        <f t="shared" si="728"/>
        <v>#DIV/0!</v>
      </c>
      <c r="AB817" s="276" t="e">
        <f t="shared" si="729"/>
        <v>#DIV/0!</v>
      </c>
      <c r="AC817" s="276" t="e">
        <f t="shared" si="730"/>
        <v>#DIV/0!</v>
      </c>
      <c r="AD817" s="276" t="e">
        <f t="shared" si="731"/>
        <v>#DIV/0!</v>
      </c>
      <c r="AE817" s="686" t="e">
        <f t="shared" si="732"/>
        <v>#DIV/0!</v>
      </c>
      <c r="AF817" s="239"/>
      <c r="AG817" s="965" t="e">
        <f t="shared" si="703"/>
        <v>#VALUE!</v>
      </c>
      <c r="AH817" s="878" t="e">
        <f t="shared" si="704"/>
        <v>#VALUE!</v>
      </c>
      <c r="AI817" s="878" t="e">
        <f t="shared" si="705"/>
        <v>#VALUE!</v>
      </c>
      <c r="AJ817" s="878" t="e">
        <f t="shared" si="706"/>
        <v>#VALUE!</v>
      </c>
      <c r="AK817" s="878" t="e">
        <f t="shared" si="707"/>
        <v>#VALUE!</v>
      </c>
      <c r="AL817" s="966" t="e">
        <f t="shared" si="708"/>
        <v>#VALUE!</v>
      </c>
      <c r="AM817" s="239"/>
      <c r="AO817" s="685">
        <f t="shared" si="733"/>
        <v>-3.8084007123292718</v>
      </c>
      <c r="AP817" s="276">
        <f t="shared" si="734"/>
        <v>0.15663447767501393</v>
      </c>
      <c r="AQ817" s="276">
        <f t="shared" si="735"/>
        <v>0.59744828190347765</v>
      </c>
      <c r="AR817" s="276">
        <f t="shared" si="736"/>
        <v>0.24578546017103742</v>
      </c>
      <c r="AS817" s="276">
        <f t="shared" si="737"/>
        <v>-5.403447225442771</v>
      </c>
      <c r="AT817" s="276">
        <f t="shared" si="738"/>
        <v>-3.6287092805431609</v>
      </c>
      <c r="AU817" s="685">
        <f t="shared" si="739"/>
        <v>1.012437087896221</v>
      </c>
      <c r="AV817" s="276">
        <f t="shared" si="740"/>
        <v>1.9669040407408358</v>
      </c>
      <c r="AW817" s="276">
        <f t="shared" si="741"/>
        <v>1.1931962608720299</v>
      </c>
      <c r="AX817" s="276">
        <f t="shared" si="742"/>
        <v>0.89820394914740631</v>
      </c>
      <c r="AY817" s="276">
        <f t="shared" si="743"/>
        <v>1.2701924274646739</v>
      </c>
      <c r="AZ817" s="686">
        <f t="shared" si="744"/>
        <v>1.3894557420812605</v>
      </c>
      <c r="BA817" s="685">
        <f t="shared" si="745"/>
        <v>0</v>
      </c>
      <c r="BB817" s="276">
        <f t="shared" si="746"/>
        <v>0</v>
      </c>
      <c r="BC817" s="276">
        <f t="shared" si="747"/>
        <v>0</v>
      </c>
      <c r="BD817" s="276">
        <f t="shared" si="748"/>
        <v>0</v>
      </c>
      <c r="BE817" s="276">
        <f t="shared" si="749"/>
        <v>0</v>
      </c>
      <c r="BF817" s="686">
        <f t="shared" si="750"/>
        <v>0</v>
      </c>
      <c r="BG817" s="685" t="e">
        <f t="shared" si="751"/>
        <v>#DIV/0!</v>
      </c>
      <c r="BH817" s="276" t="e">
        <f t="shared" si="752"/>
        <v>#DIV/0!</v>
      </c>
      <c r="BI817" s="276" t="e">
        <f t="shared" si="753"/>
        <v>#DIV/0!</v>
      </c>
      <c r="BJ817" s="276" t="e">
        <f t="shared" si="754"/>
        <v>#DIV/0!</v>
      </c>
      <c r="BK817" s="276" t="e">
        <f t="shared" si="755"/>
        <v>#DIV/0!</v>
      </c>
      <c r="BL817" s="686" t="e">
        <f t="shared" si="756"/>
        <v>#DIV/0!</v>
      </c>
      <c r="BM817" s="239"/>
      <c r="BN817" s="965" t="e">
        <f t="shared" si="757"/>
        <v>#VALUE!</v>
      </c>
      <c r="BO817" s="878" t="e">
        <f t="shared" si="758"/>
        <v>#VALUE!</v>
      </c>
      <c r="BP817" s="878" t="e">
        <f t="shared" si="759"/>
        <v>#VALUE!</v>
      </c>
      <c r="BQ817" s="878" t="e">
        <f t="shared" si="760"/>
        <v>#VALUE!</v>
      </c>
      <c r="BR817" s="878" t="e">
        <f t="shared" si="761"/>
        <v>#VALUE!</v>
      </c>
      <c r="BS817" s="966" t="e">
        <f t="shared" si="762"/>
        <v>#VALUE!</v>
      </c>
    </row>
    <row r="818" spans="1:71">
      <c r="A818" s="284">
        <f t="shared" si="763"/>
        <v>750</v>
      </c>
      <c r="B818" s="285">
        <v>2.0557716236939454</v>
      </c>
      <c r="C818" s="285">
        <v>2.7056243900054695</v>
      </c>
      <c r="D818" s="285">
        <v>0.70233585309187474</v>
      </c>
      <c r="E818" s="285">
        <v>-0.55717742537849224</v>
      </c>
      <c r="H818" s="685">
        <f t="shared" si="709"/>
        <v>0.92253778192489055</v>
      </c>
      <c r="I818" s="276">
        <f t="shared" si="710"/>
        <v>-0.44290914080583632</v>
      </c>
      <c r="J818" s="276">
        <f t="shared" si="711"/>
        <v>1.0032169035267617</v>
      </c>
      <c r="K818" s="276">
        <f t="shared" si="712"/>
        <v>-2.7307400460328921</v>
      </c>
      <c r="L818" s="276">
        <f t="shared" si="713"/>
        <v>-4.3471721318154843</v>
      </c>
      <c r="M818" s="276">
        <f t="shared" si="714"/>
        <v>-0.58663905034448527</v>
      </c>
      <c r="N818" s="685">
        <f t="shared" si="715"/>
        <v>1.4984531790336011</v>
      </c>
      <c r="O818" s="276">
        <f t="shared" si="716"/>
        <v>0.71402929829664497</v>
      </c>
      <c r="P818" s="276">
        <f t="shared" si="717"/>
        <v>1.1571721198177649</v>
      </c>
      <c r="Q818" s="276">
        <f t="shared" si="718"/>
        <v>0.18161446477320609</v>
      </c>
      <c r="R818" s="276">
        <f t="shared" si="719"/>
        <v>1.7121619048927321</v>
      </c>
      <c r="S818" s="686">
        <f t="shared" si="720"/>
        <v>0.86466193952779702</v>
      </c>
      <c r="T818" s="685">
        <f t="shared" si="721"/>
        <v>3.9806995433628005</v>
      </c>
      <c r="U818" s="276">
        <f t="shared" si="722"/>
        <v>5.2012337419008965</v>
      </c>
      <c r="V818" s="276">
        <f t="shared" si="723"/>
        <v>5.1362207718153812</v>
      </c>
      <c r="W818" s="276">
        <f t="shared" si="724"/>
        <v>6.7176263447450513</v>
      </c>
      <c r="X818" s="276">
        <f t="shared" si="725"/>
        <v>4.005713656345347</v>
      </c>
      <c r="Y818" s="686">
        <f t="shared" si="726"/>
        <v>3.8591157611700848</v>
      </c>
      <c r="Z818" s="685" t="e">
        <f t="shared" si="727"/>
        <v>#DIV/0!</v>
      </c>
      <c r="AA818" s="276" t="e">
        <f t="shared" si="728"/>
        <v>#DIV/0!</v>
      </c>
      <c r="AB818" s="276" t="e">
        <f t="shared" si="729"/>
        <v>#DIV/0!</v>
      </c>
      <c r="AC818" s="276" t="e">
        <f t="shared" si="730"/>
        <v>#DIV/0!</v>
      </c>
      <c r="AD818" s="276" t="e">
        <f t="shared" si="731"/>
        <v>#DIV/0!</v>
      </c>
      <c r="AE818" s="686" t="e">
        <f t="shared" si="732"/>
        <v>#DIV/0!</v>
      </c>
      <c r="AF818" s="239"/>
      <c r="AG818" s="965" t="e">
        <f t="shared" si="703"/>
        <v>#VALUE!</v>
      </c>
      <c r="AH818" s="878" t="e">
        <f t="shared" si="704"/>
        <v>#VALUE!</v>
      </c>
      <c r="AI818" s="878" t="e">
        <f t="shared" si="705"/>
        <v>#VALUE!</v>
      </c>
      <c r="AJ818" s="878" t="e">
        <f t="shared" si="706"/>
        <v>#VALUE!</v>
      </c>
      <c r="AK818" s="878" t="e">
        <f t="shared" si="707"/>
        <v>#VALUE!</v>
      </c>
      <c r="AL818" s="966" t="e">
        <f t="shared" si="708"/>
        <v>#VALUE!</v>
      </c>
      <c r="AM818" s="239"/>
      <c r="AO818" s="685">
        <f t="shared" si="733"/>
        <v>0.92253778192489055</v>
      </c>
      <c r="AP818" s="276">
        <f t="shared" si="734"/>
        <v>-0.44290914080583632</v>
      </c>
      <c r="AQ818" s="276">
        <f t="shared" si="735"/>
        <v>1.0032169035267617</v>
      </c>
      <c r="AR818" s="276">
        <f t="shared" si="736"/>
        <v>-2.7307400460328921</v>
      </c>
      <c r="AS818" s="276">
        <f t="shared" si="737"/>
        <v>-4.3471721318154843</v>
      </c>
      <c r="AT818" s="276">
        <f t="shared" si="738"/>
        <v>-0.58663905034448527</v>
      </c>
      <c r="AU818" s="685">
        <f t="shared" si="739"/>
        <v>1.4984531790336011</v>
      </c>
      <c r="AV818" s="276">
        <f t="shared" si="740"/>
        <v>0.71402929829664497</v>
      </c>
      <c r="AW818" s="276">
        <f t="shared" si="741"/>
        <v>1.1571721198177649</v>
      </c>
      <c r="AX818" s="276">
        <f t="shared" si="742"/>
        <v>0.18161446477320609</v>
      </c>
      <c r="AY818" s="276">
        <f t="shared" si="743"/>
        <v>1.7121619048927321</v>
      </c>
      <c r="AZ818" s="686">
        <f t="shared" si="744"/>
        <v>0.86466193952779702</v>
      </c>
      <c r="BA818" s="685">
        <f t="shared" si="745"/>
        <v>0</v>
      </c>
      <c r="BB818" s="276">
        <f t="shared" si="746"/>
        <v>0</v>
      </c>
      <c r="BC818" s="276">
        <f t="shared" si="747"/>
        <v>0</v>
      </c>
      <c r="BD818" s="276">
        <f t="shared" si="748"/>
        <v>0</v>
      </c>
      <c r="BE818" s="276">
        <f t="shared" si="749"/>
        <v>0</v>
      </c>
      <c r="BF818" s="686">
        <f t="shared" si="750"/>
        <v>0</v>
      </c>
      <c r="BG818" s="685" t="e">
        <f t="shared" si="751"/>
        <v>#DIV/0!</v>
      </c>
      <c r="BH818" s="276" t="e">
        <f t="shared" si="752"/>
        <v>#DIV/0!</v>
      </c>
      <c r="BI818" s="276" t="e">
        <f t="shared" si="753"/>
        <v>#DIV/0!</v>
      </c>
      <c r="BJ818" s="276" t="e">
        <f t="shared" si="754"/>
        <v>#DIV/0!</v>
      </c>
      <c r="BK818" s="276" t="e">
        <f t="shared" si="755"/>
        <v>#DIV/0!</v>
      </c>
      <c r="BL818" s="686" t="e">
        <f t="shared" si="756"/>
        <v>#DIV/0!</v>
      </c>
      <c r="BM818" s="239"/>
      <c r="BN818" s="965" t="e">
        <f t="shared" si="757"/>
        <v>#VALUE!</v>
      </c>
      <c r="BO818" s="878" t="e">
        <f t="shared" si="758"/>
        <v>#VALUE!</v>
      </c>
      <c r="BP818" s="878" t="e">
        <f t="shared" si="759"/>
        <v>#VALUE!</v>
      </c>
      <c r="BQ818" s="878" t="e">
        <f t="shared" si="760"/>
        <v>#VALUE!</v>
      </c>
      <c r="BR818" s="878" t="e">
        <f t="shared" si="761"/>
        <v>#VALUE!</v>
      </c>
      <c r="BS818" s="966" t="e">
        <f t="shared" si="762"/>
        <v>#VALUE!</v>
      </c>
    </row>
    <row r="819" spans="1:71">
      <c r="A819" s="284">
        <f t="shared" si="763"/>
        <v>751</v>
      </c>
      <c r="B819" s="285">
        <v>1.5998893437510953</v>
      </c>
      <c r="C819" s="285">
        <v>2.8204418286570565</v>
      </c>
      <c r="D819" s="285">
        <v>2.8619824159369163</v>
      </c>
      <c r="E819" s="285">
        <v>-9.0765531367503627</v>
      </c>
      <c r="H819" s="685">
        <f t="shared" si="709"/>
        <v>0.46665550198204042</v>
      </c>
      <c r="I819" s="276">
        <f t="shared" si="710"/>
        <v>-1.9017188663443148</v>
      </c>
      <c r="J819" s="276">
        <f t="shared" si="711"/>
        <v>-0.57526500886581344</v>
      </c>
      <c r="K819" s="276">
        <f t="shared" si="712"/>
        <v>3.888430780912878</v>
      </c>
      <c r="L819" s="276">
        <f t="shared" si="713"/>
        <v>-0.64192858433174382</v>
      </c>
      <c r="M819" s="276">
        <f t="shared" si="714"/>
        <v>-0.45768249206874811</v>
      </c>
      <c r="N819" s="685">
        <f t="shared" si="715"/>
        <v>1.6132706176851881</v>
      </c>
      <c r="O819" s="276">
        <f t="shared" si="716"/>
        <v>1.1083216909463556</v>
      </c>
      <c r="P819" s="276">
        <f t="shared" si="717"/>
        <v>1.5138378355060376</v>
      </c>
      <c r="Q819" s="276">
        <f t="shared" si="718"/>
        <v>2.1127926607423975</v>
      </c>
      <c r="R819" s="276">
        <f t="shared" si="719"/>
        <v>1.4279138617016398</v>
      </c>
      <c r="S819" s="686">
        <f t="shared" si="720"/>
        <v>0.84128911644578142</v>
      </c>
      <c r="T819" s="685">
        <f t="shared" si="721"/>
        <v>6.1403461062078417</v>
      </c>
      <c r="U819" s="276">
        <f t="shared" si="722"/>
        <v>5.2254791522335724</v>
      </c>
      <c r="V819" s="276">
        <f t="shared" si="723"/>
        <v>3.3618542506767013</v>
      </c>
      <c r="W819" s="276">
        <f t="shared" si="724"/>
        <v>6.797318009693802</v>
      </c>
      <c r="X819" s="276">
        <f t="shared" si="725"/>
        <v>3.2067717666785125</v>
      </c>
      <c r="Y819" s="686">
        <f t="shared" si="726"/>
        <v>3.6112727688359643</v>
      </c>
      <c r="Z819" s="685" t="e">
        <f t="shared" si="727"/>
        <v>#DIV/0!</v>
      </c>
      <c r="AA819" s="276" t="e">
        <f t="shared" si="728"/>
        <v>#DIV/0!</v>
      </c>
      <c r="AB819" s="276" t="e">
        <f t="shared" si="729"/>
        <v>#DIV/0!</v>
      </c>
      <c r="AC819" s="276" t="e">
        <f t="shared" si="730"/>
        <v>#DIV/0!</v>
      </c>
      <c r="AD819" s="276" t="e">
        <f t="shared" si="731"/>
        <v>#DIV/0!</v>
      </c>
      <c r="AE819" s="686" t="e">
        <f t="shared" si="732"/>
        <v>#DIV/0!</v>
      </c>
      <c r="AF819" s="239"/>
      <c r="AG819" s="965" t="e">
        <f t="shared" si="703"/>
        <v>#VALUE!</v>
      </c>
      <c r="AH819" s="878" t="e">
        <f t="shared" si="704"/>
        <v>#VALUE!</v>
      </c>
      <c r="AI819" s="878" t="e">
        <f t="shared" si="705"/>
        <v>#VALUE!</v>
      </c>
      <c r="AJ819" s="878" t="e">
        <f t="shared" si="706"/>
        <v>#VALUE!</v>
      </c>
      <c r="AK819" s="878" t="e">
        <f t="shared" si="707"/>
        <v>#VALUE!</v>
      </c>
      <c r="AL819" s="966" t="e">
        <f t="shared" si="708"/>
        <v>#VALUE!</v>
      </c>
      <c r="AM819" s="239"/>
      <c r="AO819" s="685">
        <f t="shared" si="733"/>
        <v>0.46665550198204042</v>
      </c>
      <c r="AP819" s="276">
        <f t="shared" si="734"/>
        <v>-1.9017188663443148</v>
      </c>
      <c r="AQ819" s="276">
        <f t="shared" si="735"/>
        <v>-0.57526500886581344</v>
      </c>
      <c r="AR819" s="276">
        <f t="shared" si="736"/>
        <v>3.888430780912878</v>
      </c>
      <c r="AS819" s="276">
        <f t="shared" si="737"/>
        <v>-0.64192858433174382</v>
      </c>
      <c r="AT819" s="276">
        <f t="shared" si="738"/>
        <v>-0.45768249206874811</v>
      </c>
      <c r="AU819" s="685">
        <f t="shared" si="739"/>
        <v>1.6132706176851881</v>
      </c>
      <c r="AV819" s="276">
        <f t="shared" si="740"/>
        <v>1.1083216909463556</v>
      </c>
      <c r="AW819" s="276">
        <f t="shared" si="741"/>
        <v>1.5138378355060376</v>
      </c>
      <c r="AX819" s="276">
        <f t="shared" si="742"/>
        <v>2.1127926607423975</v>
      </c>
      <c r="AY819" s="276">
        <f t="shared" si="743"/>
        <v>1.4279138617016398</v>
      </c>
      <c r="AZ819" s="686">
        <f t="shared" si="744"/>
        <v>0.84128911644578142</v>
      </c>
      <c r="BA819" s="685">
        <f t="shared" si="745"/>
        <v>0</v>
      </c>
      <c r="BB819" s="276">
        <f t="shared" si="746"/>
        <v>0</v>
      </c>
      <c r="BC819" s="276">
        <f t="shared" si="747"/>
        <v>0</v>
      </c>
      <c r="BD819" s="276">
        <f t="shared" si="748"/>
        <v>0</v>
      </c>
      <c r="BE819" s="276">
        <f t="shared" si="749"/>
        <v>0</v>
      </c>
      <c r="BF819" s="686">
        <f t="shared" si="750"/>
        <v>0</v>
      </c>
      <c r="BG819" s="685" t="e">
        <f t="shared" si="751"/>
        <v>#DIV/0!</v>
      </c>
      <c r="BH819" s="276" t="e">
        <f t="shared" si="752"/>
        <v>#DIV/0!</v>
      </c>
      <c r="BI819" s="276" t="e">
        <f t="shared" si="753"/>
        <v>#DIV/0!</v>
      </c>
      <c r="BJ819" s="276" t="e">
        <f t="shared" si="754"/>
        <v>#DIV/0!</v>
      </c>
      <c r="BK819" s="276" t="e">
        <f t="shared" si="755"/>
        <v>#DIV/0!</v>
      </c>
      <c r="BL819" s="686" t="e">
        <f t="shared" si="756"/>
        <v>#DIV/0!</v>
      </c>
      <c r="BM819" s="239"/>
      <c r="BN819" s="965" t="e">
        <f t="shared" si="757"/>
        <v>#VALUE!</v>
      </c>
      <c r="BO819" s="878" t="e">
        <f t="shared" si="758"/>
        <v>#VALUE!</v>
      </c>
      <c r="BP819" s="878" t="e">
        <f t="shared" si="759"/>
        <v>#VALUE!</v>
      </c>
      <c r="BQ819" s="878" t="e">
        <f t="shared" si="760"/>
        <v>#VALUE!</v>
      </c>
      <c r="BR819" s="878" t="e">
        <f t="shared" si="761"/>
        <v>#VALUE!</v>
      </c>
      <c r="BS819" s="966" t="e">
        <f t="shared" si="762"/>
        <v>#VALUE!</v>
      </c>
    </row>
    <row r="820" spans="1:71">
      <c r="A820" s="284">
        <f t="shared" si="763"/>
        <v>752</v>
      </c>
      <c r="B820" s="285">
        <v>3.6433737992916937</v>
      </c>
      <c r="C820" s="285">
        <v>2.8703088154270437</v>
      </c>
      <c r="D820" s="285">
        <v>2.3697053077894941</v>
      </c>
      <c r="E820" s="285">
        <v>1.8272192505753568</v>
      </c>
      <c r="H820" s="685">
        <f t="shared" si="709"/>
        <v>2.5101399575226386</v>
      </c>
      <c r="I820" s="276">
        <f t="shared" si="710"/>
        <v>-0.51224345236646174</v>
      </c>
      <c r="J820" s="276">
        <f t="shared" si="711"/>
        <v>-7.2308787270379593E-2</v>
      </c>
      <c r="K820" s="276">
        <f t="shared" si="712"/>
        <v>-0.41607806329139141</v>
      </c>
      <c r="L820" s="276">
        <f t="shared" si="713"/>
        <v>1.6672541391783737</v>
      </c>
      <c r="M820" s="276">
        <f t="shared" si="714"/>
        <v>-4.0086857807611462</v>
      </c>
      <c r="N820" s="685">
        <f t="shared" si="715"/>
        <v>1.6631376044551753</v>
      </c>
      <c r="O820" s="276">
        <f t="shared" si="716"/>
        <v>0.94453139690711541</v>
      </c>
      <c r="P820" s="276">
        <f t="shared" si="717"/>
        <v>1.9828522253819709</v>
      </c>
      <c r="Q820" s="276">
        <f t="shared" si="718"/>
        <v>1.3700405621181801</v>
      </c>
      <c r="R820" s="276">
        <f t="shared" si="719"/>
        <v>1.4886373665501516</v>
      </c>
      <c r="S820" s="686">
        <f t="shared" si="720"/>
        <v>0.72477039127699006</v>
      </c>
      <c r="T820" s="685">
        <f t="shared" si="721"/>
        <v>5.6480689980604204</v>
      </c>
      <c r="U820" s="276">
        <f t="shared" si="722"/>
        <v>2.9283592016855526</v>
      </c>
      <c r="V820" s="276">
        <f t="shared" si="723"/>
        <v>4.4141476233629255</v>
      </c>
      <c r="W820" s="276">
        <f t="shared" si="724"/>
        <v>4.1695994822655376</v>
      </c>
      <c r="X820" s="276">
        <f t="shared" si="725"/>
        <v>3.2199787361133292</v>
      </c>
      <c r="Y820" s="686">
        <f t="shared" si="726"/>
        <v>3.1139128483760663</v>
      </c>
      <c r="Z820" s="685" t="e">
        <f t="shared" si="727"/>
        <v>#DIV/0!</v>
      </c>
      <c r="AA820" s="276" t="e">
        <f t="shared" si="728"/>
        <v>#DIV/0!</v>
      </c>
      <c r="AB820" s="276" t="e">
        <f t="shared" si="729"/>
        <v>#DIV/0!</v>
      </c>
      <c r="AC820" s="276" t="e">
        <f t="shared" si="730"/>
        <v>#DIV/0!</v>
      </c>
      <c r="AD820" s="276" t="e">
        <f t="shared" si="731"/>
        <v>#DIV/0!</v>
      </c>
      <c r="AE820" s="686" t="e">
        <f t="shared" si="732"/>
        <v>#DIV/0!</v>
      </c>
      <c r="AF820" s="239"/>
      <c r="AG820" s="965" t="e">
        <f t="shared" si="703"/>
        <v>#VALUE!</v>
      </c>
      <c r="AH820" s="878" t="e">
        <f t="shared" si="704"/>
        <v>#VALUE!</v>
      </c>
      <c r="AI820" s="878" t="e">
        <f t="shared" si="705"/>
        <v>#VALUE!</v>
      </c>
      <c r="AJ820" s="878" t="e">
        <f t="shared" si="706"/>
        <v>#VALUE!</v>
      </c>
      <c r="AK820" s="878" t="e">
        <f t="shared" si="707"/>
        <v>#VALUE!</v>
      </c>
      <c r="AL820" s="966" t="e">
        <f t="shared" si="708"/>
        <v>#VALUE!</v>
      </c>
      <c r="AM820" s="239"/>
      <c r="AO820" s="685">
        <f t="shared" si="733"/>
        <v>2.5101399575226386</v>
      </c>
      <c r="AP820" s="276">
        <f t="shared" si="734"/>
        <v>-0.51224345236646174</v>
      </c>
      <c r="AQ820" s="276">
        <f t="shared" si="735"/>
        <v>-7.2308787270379593E-2</v>
      </c>
      <c r="AR820" s="276">
        <f t="shared" si="736"/>
        <v>-0.41607806329139141</v>
      </c>
      <c r="AS820" s="276">
        <f t="shared" si="737"/>
        <v>1.6672541391783737</v>
      </c>
      <c r="AT820" s="276">
        <f t="shared" si="738"/>
        <v>-4.0086857807611462</v>
      </c>
      <c r="AU820" s="685">
        <f t="shared" si="739"/>
        <v>1.6631376044551753</v>
      </c>
      <c r="AV820" s="276">
        <f t="shared" si="740"/>
        <v>0.94453139690711541</v>
      </c>
      <c r="AW820" s="276">
        <f t="shared" si="741"/>
        <v>1.9828522253819709</v>
      </c>
      <c r="AX820" s="276">
        <f t="shared" si="742"/>
        <v>1.3700405621181801</v>
      </c>
      <c r="AY820" s="276">
        <f t="shared" si="743"/>
        <v>1.4886373665501516</v>
      </c>
      <c r="AZ820" s="686">
        <f t="shared" si="744"/>
        <v>0.72477039127699006</v>
      </c>
      <c r="BA820" s="685">
        <f t="shared" si="745"/>
        <v>0</v>
      </c>
      <c r="BB820" s="276">
        <f t="shared" si="746"/>
        <v>0</v>
      </c>
      <c r="BC820" s="276">
        <f t="shared" si="747"/>
        <v>0</v>
      </c>
      <c r="BD820" s="276">
        <f t="shared" si="748"/>
        <v>0</v>
      </c>
      <c r="BE820" s="276">
        <f t="shared" si="749"/>
        <v>0</v>
      </c>
      <c r="BF820" s="686">
        <f t="shared" si="750"/>
        <v>0</v>
      </c>
      <c r="BG820" s="685" t="e">
        <f t="shared" si="751"/>
        <v>#DIV/0!</v>
      </c>
      <c r="BH820" s="276" t="e">
        <f t="shared" si="752"/>
        <v>#DIV/0!</v>
      </c>
      <c r="BI820" s="276" t="e">
        <f t="shared" si="753"/>
        <v>#DIV/0!</v>
      </c>
      <c r="BJ820" s="276" t="e">
        <f t="shared" si="754"/>
        <v>#DIV/0!</v>
      </c>
      <c r="BK820" s="276" t="e">
        <f t="shared" si="755"/>
        <v>#DIV/0!</v>
      </c>
      <c r="BL820" s="686" t="e">
        <f t="shared" si="756"/>
        <v>#DIV/0!</v>
      </c>
      <c r="BM820" s="239"/>
      <c r="BN820" s="965" t="e">
        <f t="shared" si="757"/>
        <v>#VALUE!</v>
      </c>
      <c r="BO820" s="878" t="e">
        <f t="shared" si="758"/>
        <v>#VALUE!</v>
      </c>
      <c r="BP820" s="878" t="e">
        <f t="shared" si="759"/>
        <v>#VALUE!</v>
      </c>
      <c r="BQ820" s="878" t="e">
        <f t="shared" si="760"/>
        <v>#VALUE!</v>
      </c>
      <c r="BR820" s="878" t="e">
        <f t="shared" si="761"/>
        <v>#VALUE!</v>
      </c>
      <c r="BS820" s="966" t="e">
        <f t="shared" si="762"/>
        <v>#VALUE!</v>
      </c>
    </row>
    <row r="821" spans="1:71">
      <c r="A821" s="284">
        <f t="shared" si="763"/>
        <v>753</v>
      </c>
      <c r="B821" s="285">
        <v>-5.2488217422498726</v>
      </c>
      <c r="C821" s="285">
        <v>1.6134295447448266</v>
      </c>
      <c r="D821" s="285">
        <v>2.0695718543216026</v>
      </c>
      <c r="E821" s="285">
        <v>-12.180317420691791</v>
      </c>
      <c r="H821" s="685">
        <f t="shared" si="709"/>
        <v>-6.3820555840189277</v>
      </c>
      <c r="I821" s="276">
        <f t="shared" si="710"/>
        <v>-5.3342482868761971</v>
      </c>
      <c r="J821" s="276">
        <f t="shared" si="711"/>
        <v>0.54447224616298029</v>
      </c>
      <c r="K821" s="276">
        <f t="shared" si="712"/>
        <v>0.31454777860966354</v>
      </c>
      <c r="L821" s="276">
        <f t="shared" si="713"/>
        <v>0.32330833552422655</v>
      </c>
      <c r="M821" s="276">
        <f t="shared" si="714"/>
        <v>-3.3395024974004706E-2</v>
      </c>
      <c r="N821" s="685">
        <f t="shared" si="715"/>
        <v>0.40625833377295817</v>
      </c>
      <c r="O821" s="276">
        <f t="shared" si="716"/>
        <v>1.0996911848216582</v>
      </c>
      <c r="P821" s="276">
        <f t="shared" si="717"/>
        <v>1.643665390031684</v>
      </c>
      <c r="Q821" s="276">
        <f t="shared" si="718"/>
        <v>1.4560565778412584</v>
      </c>
      <c r="R821" s="276">
        <f t="shared" si="719"/>
        <v>0.92048213722092487</v>
      </c>
      <c r="S821" s="686">
        <f t="shared" si="720"/>
        <v>1.4415314763585985</v>
      </c>
      <c r="T821" s="685">
        <f t="shared" si="721"/>
        <v>5.347935544592529</v>
      </c>
      <c r="U821" s="276">
        <f t="shared" si="722"/>
        <v>4.8094986588446478</v>
      </c>
      <c r="V821" s="276">
        <f t="shared" si="723"/>
        <v>3.6781793249308681</v>
      </c>
      <c r="W821" s="276">
        <f t="shared" si="724"/>
        <v>2.9079539527726324</v>
      </c>
      <c r="X821" s="276">
        <f t="shared" si="725"/>
        <v>2.7971441233592413</v>
      </c>
      <c r="Y821" s="686">
        <f t="shared" si="726"/>
        <v>5.8193701263763113</v>
      </c>
      <c r="Z821" s="685" t="e">
        <f t="shared" si="727"/>
        <v>#DIV/0!</v>
      </c>
      <c r="AA821" s="276" t="e">
        <f t="shared" si="728"/>
        <v>#DIV/0!</v>
      </c>
      <c r="AB821" s="276" t="e">
        <f t="shared" si="729"/>
        <v>#DIV/0!</v>
      </c>
      <c r="AC821" s="276" t="e">
        <f t="shared" si="730"/>
        <v>#DIV/0!</v>
      </c>
      <c r="AD821" s="276" t="e">
        <f t="shared" si="731"/>
        <v>#DIV/0!</v>
      </c>
      <c r="AE821" s="686" t="e">
        <f t="shared" si="732"/>
        <v>#DIV/0!</v>
      </c>
      <c r="AF821" s="239"/>
      <c r="AG821" s="965" t="e">
        <f t="shared" si="703"/>
        <v>#VALUE!</v>
      </c>
      <c r="AH821" s="878" t="e">
        <f t="shared" si="704"/>
        <v>#VALUE!</v>
      </c>
      <c r="AI821" s="878" t="e">
        <f t="shared" si="705"/>
        <v>#VALUE!</v>
      </c>
      <c r="AJ821" s="878" t="e">
        <f t="shared" si="706"/>
        <v>#VALUE!</v>
      </c>
      <c r="AK821" s="878" t="e">
        <f t="shared" si="707"/>
        <v>#VALUE!</v>
      </c>
      <c r="AL821" s="966" t="e">
        <f t="shared" si="708"/>
        <v>#VALUE!</v>
      </c>
      <c r="AM821" s="239"/>
      <c r="AO821" s="685">
        <f t="shared" si="733"/>
        <v>-6.3820555840189277</v>
      </c>
      <c r="AP821" s="276">
        <f t="shared" si="734"/>
        <v>-5.3342482868761971</v>
      </c>
      <c r="AQ821" s="276">
        <f t="shared" si="735"/>
        <v>0.54447224616298029</v>
      </c>
      <c r="AR821" s="276">
        <f t="shared" si="736"/>
        <v>0.31454777860966354</v>
      </c>
      <c r="AS821" s="276">
        <f t="shared" si="737"/>
        <v>0.32330833552422655</v>
      </c>
      <c r="AT821" s="276">
        <f t="shared" si="738"/>
        <v>-3.3395024974004706E-2</v>
      </c>
      <c r="AU821" s="685">
        <f t="shared" si="739"/>
        <v>0.40625833377295817</v>
      </c>
      <c r="AV821" s="276">
        <f t="shared" si="740"/>
        <v>1.0996911848216582</v>
      </c>
      <c r="AW821" s="276">
        <f t="shared" si="741"/>
        <v>1.643665390031684</v>
      </c>
      <c r="AX821" s="276">
        <f t="shared" si="742"/>
        <v>1.4560565778412584</v>
      </c>
      <c r="AY821" s="276">
        <f t="shared" si="743"/>
        <v>0.92048213722092487</v>
      </c>
      <c r="AZ821" s="686">
        <f t="shared" si="744"/>
        <v>1.4415314763585985</v>
      </c>
      <c r="BA821" s="685">
        <f t="shared" si="745"/>
        <v>0</v>
      </c>
      <c r="BB821" s="276">
        <f t="shared" si="746"/>
        <v>0</v>
      </c>
      <c r="BC821" s="276">
        <f t="shared" si="747"/>
        <v>0</v>
      </c>
      <c r="BD821" s="276">
        <f t="shared" si="748"/>
        <v>0</v>
      </c>
      <c r="BE821" s="276">
        <f t="shared" si="749"/>
        <v>0</v>
      </c>
      <c r="BF821" s="686">
        <f t="shared" si="750"/>
        <v>0</v>
      </c>
      <c r="BG821" s="685" t="e">
        <f t="shared" si="751"/>
        <v>#DIV/0!</v>
      </c>
      <c r="BH821" s="276" t="e">
        <f t="shared" si="752"/>
        <v>#DIV/0!</v>
      </c>
      <c r="BI821" s="276" t="e">
        <f t="shared" si="753"/>
        <v>#DIV/0!</v>
      </c>
      <c r="BJ821" s="276" t="e">
        <f t="shared" si="754"/>
        <v>#DIV/0!</v>
      </c>
      <c r="BK821" s="276" t="e">
        <f t="shared" si="755"/>
        <v>#DIV/0!</v>
      </c>
      <c r="BL821" s="686" t="e">
        <f t="shared" si="756"/>
        <v>#DIV/0!</v>
      </c>
      <c r="BM821" s="239"/>
      <c r="BN821" s="965" t="e">
        <f t="shared" si="757"/>
        <v>#VALUE!</v>
      </c>
      <c r="BO821" s="878" t="e">
        <f t="shared" si="758"/>
        <v>#VALUE!</v>
      </c>
      <c r="BP821" s="878" t="e">
        <f t="shared" si="759"/>
        <v>#VALUE!</v>
      </c>
      <c r="BQ821" s="878" t="e">
        <f t="shared" si="760"/>
        <v>#VALUE!</v>
      </c>
      <c r="BR821" s="878" t="e">
        <f t="shared" si="761"/>
        <v>#VALUE!</v>
      </c>
      <c r="BS821" s="966" t="e">
        <f t="shared" si="762"/>
        <v>#VALUE!</v>
      </c>
    </row>
    <row r="822" spans="1:71">
      <c r="A822" s="284">
        <f t="shared" si="763"/>
        <v>754</v>
      </c>
      <c r="B822" s="285">
        <v>-0.91542044323242844</v>
      </c>
      <c r="C822" s="285">
        <v>2.3317070279927528</v>
      </c>
      <c r="D822" s="285">
        <v>0.91835187426884368</v>
      </c>
      <c r="E822" s="285">
        <v>-2.0998680618154593</v>
      </c>
      <c r="H822" s="685">
        <f t="shared" si="709"/>
        <v>-2.0486542850014833</v>
      </c>
      <c r="I822" s="276">
        <f t="shared" si="710"/>
        <v>-2.4741500428272669</v>
      </c>
      <c r="J822" s="276">
        <f t="shared" si="711"/>
        <v>-3.7420558832317115</v>
      </c>
      <c r="K822" s="276">
        <f t="shared" si="712"/>
        <v>-2.911470982742455</v>
      </c>
      <c r="L822" s="276">
        <f t="shared" si="713"/>
        <v>-2.340341254022535</v>
      </c>
      <c r="M822" s="276">
        <f t="shared" si="714"/>
        <v>-0.26087856812876864</v>
      </c>
      <c r="N822" s="685">
        <f t="shared" si="715"/>
        <v>1.1245358170208843</v>
      </c>
      <c r="O822" s="276">
        <f t="shared" si="716"/>
        <v>0.98854077185315625</v>
      </c>
      <c r="P822" s="276">
        <f t="shared" si="717"/>
        <v>1.1616905831305535</v>
      </c>
      <c r="Q822" s="276">
        <f t="shared" si="718"/>
        <v>0.51412903170506596</v>
      </c>
      <c r="R822" s="276">
        <f t="shared" si="719"/>
        <v>1.0508680520767373</v>
      </c>
      <c r="S822" s="686">
        <f t="shared" si="720"/>
        <v>0.8411473356140815</v>
      </c>
      <c r="T822" s="685">
        <f t="shared" si="721"/>
        <v>4.1967155645397698</v>
      </c>
      <c r="U822" s="276">
        <f t="shared" si="722"/>
        <v>3.6231354400571085</v>
      </c>
      <c r="V822" s="276">
        <f t="shared" si="723"/>
        <v>4.9927124148436022</v>
      </c>
      <c r="W822" s="276">
        <f t="shared" si="724"/>
        <v>4.1960784996075677</v>
      </c>
      <c r="X822" s="276">
        <f t="shared" si="725"/>
        <v>4.9454847042239862</v>
      </c>
      <c r="Y822" s="686">
        <f t="shared" si="726"/>
        <v>5.5937509825664353</v>
      </c>
      <c r="Z822" s="685" t="e">
        <f t="shared" si="727"/>
        <v>#DIV/0!</v>
      </c>
      <c r="AA822" s="276" t="e">
        <f t="shared" si="728"/>
        <v>#DIV/0!</v>
      </c>
      <c r="AB822" s="276" t="e">
        <f t="shared" si="729"/>
        <v>#DIV/0!</v>
      </c>
      <c r="AC822" s="276" t="e">
        <f t="shared" si="730"/>
        <v>#DIV/0!</v>
      </c>
      <c r="AD822" s="276" t="e">
        <f t="shared" si="731"/>
        <v>#DIV/0!</v>
      </c>
      <c r="AE822" s="686" t="e">
        <f t="shared" si="732"/>
        <v>#DIV/0!</v>
      </c>
      <c r="AF822" s="239"/>
      <c r="AG822" s="965" t="e">
        <f t="shared" si="703"/>
        <v>#VALUE!</v>
      </c>
      <c r="AH822" s="878" t="e">
        <f t="shared" si="704"/>
        <v>#VALUE!</v>
      </c>
      <c r="AI822" s="878" t="e">
        <f t="shared" si="705"/>
        <v>#VALUE!</v>
      </c>
      <c r="AJ822" s="878" t="e">
        <f t="shared" si="706"/>
        <v>#VALUE!</v>
      </c>
      <c r="AK822" s="878" t="e">
        <f t="shared" si="707"/>
        <v>#VALUE!</v>
      </c>
      <c r="AL822" s="966" t="e">
        <f t="shared" si="708"/>
        <v>#VALUE!</v>
      </c>
      <c r="AM822" s="239"/>
      <c r="AO822" s="685">
        <f t="shared" si="733"/>
        <v>-2.0486542850014833</v>
      </c>
      <c r="AP822" s="276">
        <f t="shared" si="734"/>
        <v>-2.4741500428272669</v>
      </c>
      <c r="AQ822" s="276">
        <f t="shared" si="735"/>
        <v>-3.7420558832317115</v>
      </c>
      <c r="AR822" s="276">
        <f t="shared" si="736"/>
        <v>-2.911470982742455</v>
      </c>
      <c r="AS822" s="276">
        <f t="shared" si="737"/>
        <v>-2.340341254022535</v>
      </c>
      <c r="AT822" s="276">
        <f t="shared" si="738"/>
        <v>-0.26087856812876864</v>
      </c>
      <c r="AU822" s="685">
        <f t="shared" si="739"/>
        <v>1.1245358170208843</v>
      </c>
      <c r="AV822" s="276">
        <f t="shared" si="740"/>
        <v>0.98854077185315625</v>
      </c>
      <c r="AW822" s="276">
        <f t="shared" si="741"/>
        <v>1.1616905831305535</v>
      </c>
      <c r="AX822" s="276">
        <f t="shared" si="742"/>
        <v>0.51412903170506596</v>
      </c>
      <c r="AY822" s="276">
        <f t="shared" si="743"/>
        <v>1.0508680520767373</v>
      </c>
      <c r="AZ822" s="686">
        <f t="shared" si="744"/>
        <v>0.8411473356140815</v>
      </c>
      <c r="BA822" s="685">
        <f t="shared" si="745"/>
        <v>0</v>
      </c>
      <c r="BB822" s="276">
        <f t="shared" si="746"/>
        <v>0</v>
      </c>
      <c r="BC822" s="276">
        <f t="shared" si="747"/>
        <v>0</v>
      </c>
      <c r="BD822" s="276">
        <f t="shared" si="748"/>
        <v>0</v>
      </c>
      <c r="BE822" s="276">
        <f t="shared" si="749"/>
        <v>0</v>
      </c>
      <c r="BF822" s="686">
        <f t="shared" si="750"/>
        <v>0</v>
      </c>
      <c r="BG822" s="685" t="e">
        <f t="shared" si="751"/>
        <v>#DIV/0!</v>
      </c>
      <c r="BH822" s="276" t="e">
        <f t="shared" si="752"/>
        <v>#DIV/0!</v>
      </c>
      <c r="BI822" s="276" t="e">
        <f t="shared" si="753"/>
        <v>#DIV/0!</v>
      </c>
      <c r="BJ822" s="276" t="e">
        <f t="shared" si="754"/>
        <v>#DIV/0!</v>
      </c>
      <c r="BK822" s="276" t="e">
        <f t="shared" si="755"/>
        <v>#DIV/0!</v>
      </c>
      <c r="BL822" s="686" t="e">
        <f t="shared" si="756"/>
        <v>#DIV/0!</v>
      </c>
      <c r="BM822" s="239"/>
      <c r="BN822" s="965" t="e">
        <f t="shared" si="757"/>
        <v>#VALUE!</v>
      </c>
      <c r="BO822" s="878" t="e">
        <f t="shared" si="758"/>
        <v>#VALUE!</v>
      </c>
      <c r="BP822" s="878" t="e">
        <f t="shared" si="759"/>
        <v>#VALUE!</v>
      </c>
      <c r="BQ822" s="878" t="e">
        <f t="shared" si="760"/>
        <v>#VALUE!</v>
      </c>
      <c r="BR822" s="878" t="e">
        <f t="shared" si="761"/>
        <v>#VALUE!</v>
      </c>
      <c r="BS822" s="966" t="e">
        <f t="shared" si="762"/>
        <v>#VALUE!</v>
      </c>
    </row>
    <row r="823" spans="1:71">
      <c r="A823" s="284">
        <f t="shared" si="763"/>
        <v>755</v>
      </c>
      <c r="B823" s="285">
        <v>0.89429071144131089</v>
      </c>
      <c r="C823" s="285">
        <v>3.3761864836081283</v>
      </c>
      <c r="D823" s="285">
        <v>1.7716904963894362</v>
      </c>
      <c r="E823" s="285">
        <v>13.458932886848679</v>
      </c>
      <c r="H823" s="685">
        <f t="shared" si="709"/>
        <v>-0.23894313032774395</v>
      </c>
      <c r="I823" s="276">
        <f t="shared" si="710"/>
        <v>-1.3403069261473486</v>
      </c>
      <c r="J823" s="276">
        <f t="shared" si="711"/>
        <v>-1.9389166602364076</v>
      </c>
      <c r="K823" s="276">
        <f t="shared" si="712"/>
        <v>-3.8234133081579582</v>
      </c>
      <c r="L823" s="276">
        <f t="shared" si="713"/>
        <v>-2.148348647997897</v>
      </c>
      <c r="M823" s="276">
        <f t="shared" si="714"/>
        <v>-2.0944749973823522</v>
      </c>
      <c r="N823" s="685">
        <f t="shared" si="715"/>
        <v>2.1690152726362601</v>
      </c>
      <c r="O823" s="276">
        <f t="shared" si="716"/>
        <v>1.6877628015113737</v>
      </c>
      <c r="P823" s="276">
        <f t="shared" si="717"/>
        <v>0.65645835404304465</v>
      </c>
      <c r="Q823" s="276">
        <f t="shared" si="718"/>
        <v>1.4067582997713763</v>
      </c>
      <c r="R823" s="276">
        <f t="shared" si="719"/>
        <v>0.56314107419814152</v>
      </c>
      <c r="S823" s="686">
        <f t="shared" si="720"/>
        <v>1.3032783023767325</v>
      </c>
      <c r="T823" s="685">
        <f t="shared" si="721"/>
        <v>5.0500541866603621</v>
      </c>
      <c r="U823" s="276">
        <f t="shared" si="722"/>
        <v>4.8194104990521689</v>
      </c>
      <c r="V823" s="276">
        <f t="shared" si="723"/>
        <v>4.0878609365561918</v>
      </c>
      <c r="W823" s="276">
        <f t="shared" si="724"/>
        <v>5.3431564883468905</v>
      </c>
      <c r="X823" s="276">
        <f t="shared" si="725"/>
        <v>3.1971728263556094</v>
      </c>
      <c r="Y823" s="686">
        <f t="shared" si="726"/>
        <v>4.6558106875976062</v>
      </c>
      <c r="Z823" s="685" t="e">
        <f t="shared" si="727"/>
        <v>#DIV/0!</v>
      </c>
      <c r="AA823" s="276" t="e">
        <f t="shared" si="728"/>
        <v>#DIV/0!</v>
      </c>
      <c r="AB823" s="276" t="e">
        <f t="shared" si="729"/>
        <v>#DIV/0!</v>
      </c>
      <c r="AC823" s="276" t="e">
        <f t="shared" si="730"/>
        <v>#DIV/0!</v>
      </c>
      <c r="AD823" s="276" t="e">
        <f t="shared" si="731"/>
        <v>#DIV/0!</v>
      </c>
      <c r="AE823" s="686" t="e">
        <f t="shared" si="732"/>
        <v>#DIV/0!</v>
      </c>
      <c r="AF823" s="239"/>
      <c r="AG823" s="965" t="e">
        <f t="shared" si="703"/>
        <v>#VALUE!</v>
      </c>
      <c r="AH823" s="878" t="e">
        <f t="shared" si="704"/>
        <v>#VALUE!</v>
      </c>
      <c r="AI823" s="878" t="e">
        <f t="shared" si="705"/>
        <v>#VALUE!</v>
      </c>
      <c r="AJ823" s="878" t="e">
        <f t="shared" si="706"/>
        <v>#VALUE!</v>
      </c>
      <c r="AK823" s="878" t="e">
        <f t="shared" si="707"/>
        <v>#VALUE!</v>
      </c>
      <c r="AL823" s="966" t="e">
        <f t="shared" si="708"/>
        <v>#VALUE!</v>
      </c>
      <c r="AM823" s="239"/>
      <c r="AO823" s="685">
        <f t="shared" si="733"/>
        <v>-0.23894313032774395</v>
      </c>
      <c r="AP823" s="276">
        <f t="shared" si="734"/>
        <v>-1.3403069261473486</v>
      </c>
      <c r="AQ823" s="276">
        <f t="shared" si="735"/>
        <v>-1.9389166602364076</v>
      </c>
      <c r="AR823" s="276">
        <f t="shared" si="736"/>
        <v>-3.8234133081579582</v>
      </c>
      <c r="AS823" s="276">
        <f t="shared" si="737"/>
        <v>-2.148348647997897</v>
      </c>
      <c r="AT823" s="276">
        <f t="shared" si="738"/>
        <v>-2.0944749973823522</v>
      </c>
      <c r="AU823" s="685">
        <f t="shared" si="739"/>
        <v>2.1690152726362601</v>
      </c>
      <c r="AV823" s="276">
        <f t="shared" si="740"/>
        <v>1.6877628015113737</v>
      </c>
      <c r="AW823" s="276">
        <f t="shared" si="741"/>
        <v>0.65645835404304465</v>
      </c>
      <c r="AX823" s="276">
        <f t="shared" si="742"/>
        <v>1.4067582997713763</v>
      </c>
      <c r="AY823" s="276">
        <f t="shared" si="743"/>
        <v>0.56314107419814152</v>
      </c>
      <c r="AZ823" s="686">
        <f t="shared" si="744"/>
        <v>1.3032783023767325</v>
      </c>
      <c r="BA823" s="685">
        <f t="shared" si="745"/>
        <v>0</v>
      </c>
      <c r="BB823" s="276">
        <f t="shared" si="746"/>
        <v>0</v>
      </c>
      <c r="BC823" s="276">
        <f t="shared" si="747"/>
        <v>0</v>
      </c>
      <c r="BD823" s="276">
        <f t="shared" si="748"/>
        <v>0</v>
      </c>
      <c r="BE823" s="276">
        <f t="shared" si="749"/>
        <v>0</v>
      </c>
      <c r="BF823" s="686">
        <f t="shared" si="750"/>
        <v>0</v>
      </c>
      <c r="BG823" s="685" t="e">
        <f t="shared" si="751"/>
        <v>#DIV/0!</v>
      </c>
      <c r="BH823" s="276" t="e">
        <f t="shared" si="752"/>
        <v>#DIV/0!</v>
      </c>
      <c r="BI823" s="276" t="e">
        <f t="shared" si="753"/>
        <v>#DIV/0!</v>
      </c>
      <c r="BJ823" s="276" t="e">
        <f t="shared" si="754"/>
        <v>#DIV/0!</v>
      </c>
      <c r="BK823" s="276" t="e">
        <f t="shared" si="755"/>
        <v>#DIV/0!</v>
      </c>
      <c r="BL823" s="686" t="e">
        <f t="shared" si="756"/>
        <v>#DIV/0!</v>
      </c>
      <c r="BM823" s="239"/>
      <c r="BN823" s="965" t="e">
        <f t="shared" si="757"/>
        <v>#VALUE!</v>
      </c>
      <c r="BO823" s="878" t="e">
        <f t="shared" si="758"/>
        <v>#VALUE!</v>
      </c>
      <c r="BP823" s="878" t="e">
        <f t="shared" si="759"/>
        <v>#VALUE!</v>
      </c>
      <c r="BQ823" s="878" t="e">
        <f t="shared" si="760"/>
        <v>#VALUE!</v>
      </c>
      <c r="BR823" s="878" t="e">
        <f t="shared" si="761"/>
        <v>#VALUE!</v>
      </c>
      <c r="BS823" s="966" t="e">
        <f t="shared" si="762"/>
        <v>#VALUE!</v>
      </c>
    </row>
    <row r="824" spans="1:71">
      <c r="A824" s="284">
        <f t="shared" si="763"/>
        <v>756</v>
      </c>
      <c r="B824" s="285">
        <v>1.2365394466958586</v>
      </c>
      <c r="C824" s="285">
        <v>2.1916622414665214</v>
      </c>
      <c r="D824" s="285">
        <v>3.1931903327770925</v>
      </c>
      <c r="E824" s="285">
        <v>-8.4385404069792767</v>
      </c>
      <c r="H824" s="685">
        <f t="shared" si="709"/>
        <v>0.10330560492680374</v>
      </c>
      <c r="I824" s="276">
        <f t="shared" si="710"/>
        <v>-0.94114383606243268</v>
      </c>
      <c r="J824" s="276">
        <f t="shared" si="711"/>
        <v>-3.7608260447214352</v>
      </c>
      <c r="K824" s="276">
        <f t="shared" si="712"/>
        <v>-4.3866042908301086</v>
      </c>
      <c r="L824" s="276">
        <f t="shared" si="713"/>
        <v>2.3950935278319871</v>
      </c>
      <c r="M824" s="276">
        <f t="shared" si="714"/>
        <v>-2.9896750826895042</v>
      </c>
      <c r="N824" s="685">
        <f t="shared" si="715"/>
        <v>0.98449103049465303</v>
      </c>
      <c r="O824" s="276">
        <f t="shared" si="716"/>
        <v>0.8355073608801924</v>
      </c>
      <c r="P824" s="276">
        <f t="shared" si="717"/>
        <v>1.2872862713489679</v>
      </c>
      <c r="Q824" s="276">
        <f t="shared" si="718"/>
        <v>1.1068609906825368</v>
      </c>
      <c r="R824" s="276">
        <f t="shared" si="719"/>
        <v>2.0825803541011672</v>
      </c>
      <c r="S824" s="686">
        <f t="shared" si="720"/>
        <v>1.1945826363219079</v>
      </c>
      <c r="T824" s="685">
        <f t="shared" si="721"/>
        <v>6.471554023048018</v>
      </c>
      <c r="U824" s="276">
        <f t="shared" si="722"/>
        <v>4.3394925231202119</v>
      </c>
      <c r="V824" s="276">
        <f t="shared" si="723"/>
        <v>2.8987597724241181</v>
      </c>
      <c r="W824" s="276">
        <f t="shared" si="724"/>
        <v>3.6284231646252256</v>
      </c>
      <c r="X824" s="276">
        <f t="shared" si="725"/>
        <v>4.5830133070191597</v>
      </c>
      <c r="Y824" s="686">
        <f t="shared" si="726"/>
        <v>3.310330182423264</v>
      </c>
      <c r="Z824" s="685" t="e">
        <f t="shared" si="727"/>
        <v>#DIV/0!</v>
      </c>
      <c r="AA824" s="276" t="e">
        <f t="shared" si="728"/>
        <v>#DIV/0!</v>
      </c>
      <c r="AB824" s="276" t="e">
        <f t="shared" si="729"/>
        <v>#DIV/0!</v>
      </c>
      <c r="AC824" s="276" t="e">
        <f t="shared" si="730"/>
        <v>#DIV/0!</v>
      </c>
      <c r="AD824" s="276" t="e">
        <f t="shared" si="731"/>
        <v>#DIV/0!</v>
      </c>
      <c r="AE824" s="686" t="e">
        <f t="shared" si="732"/>
        <v>#DIV/0!</v>
      </c>
      <c r="AF824" s="239"/>
      <c r="AG824" s="965" t="e">
        <f t="shared" si="703"/>
        <v>#VALUE!</v>
      </c>
      <c r="AH824" s="878" t="e">
        <f t="shared" si="704"/>
        <v>#VALUE!</v>
      </c>
      <c r="AI824" s="878" t="e">
        <f t="shared" si="705"/>
        <v>#VALUE!</v>
      </c>
      <c r="AJ824" s="878" t="e">
        <f t="shared" si="706"/>
        <v>#VALUE!</v>
      </c>
      <c r="AK824" s="878" t="e">
        <f t="shared" si="707"/>
        <v>#VALUE!</v>
      </c>
      <c r="AL824" s="966" t="e">
        <f t="shared" si="708"/>
        <v>#VALUE!</v>
      </c>
      <c r="AM824" s="239"/>
      <c r="AO824" s="685">
        <f t="shared" si="733"/>
        <v>0.10330560492680374</v>
      </c>
      <c r="AP824" s="276">
        <f t="shared" si="734"/>
        <v>-0.94114383606243268</v>
      </c>
      <c r="AQ824" s="276">
        <f t="shared" si="735"/>
        <v>-3.7608260447214352</v>
      </c>
      <c r="AR824" s="276">
        <f t="shared" si="736"/>
        <v>-4.3866042908301086</v>
      </c>
      <c r="AS824" s="276">
        <f t="shared" si="737"/>
        <v>2.3950935278319871</v>
      </c>
      <c r="AT824" s="276">
        <f t="shared" si="738"/>
        <v>-2.9896750826895042</v>
      </c>
      <c r="AU824" s="685">
        <f t="shared" si="739"/>
        <v>0.98449103049465303</v>
      </c>
      <c r="AV824" s="276">
        <f t="shared" si="740"/>
        <v>0.8355073608801924</v>
      </c>
      <c r="AW824" s="276">
        <f t="shared" si="741"/>
        <v>1.2872862713489679</v>
      </c>
      <c r="AX824" s="276">
        <f t="shared" si="742"/>
        <v>1.1068609906825368</v>
      </c>
      <c r="AY824" s="276">
        <f t="shared" si="743"/>
        <v>2.0825803541011672</v>
      </c>
      <c r="AZ824" s="686">
        <f t="shared" si="744"/>
        <v>1.1945826363219079</v>
      </c>
      <c r="BA824" s="685">
        <f t="shared" si="745"/>
        <v>0</v>
      </c>
      <c r="BB824" s="276">
        <f t="shared" si="746"/>
        <v>0</v>
      </c>
      <c r="BC824" s="276">
        <f t="shared" si="747"/>
        <v>0</v>
      </c>
      <c r="BD824" s="276">
        <f t="shared" si="748"/>
        <v>0</v>
      </c>
      <c r="BE824" s="276">
        <f t="shared" si="749"/>
        <v>0</v>
      </c>
      <c r="BF824" s="686">
        <f t="shared" si="750"/>
        <v>0</v>
      </c>
      <c r="BG824" s="685" t="e">
        <f t="shared" si="751"/>
        <v>#DIV/0!</v>
      </c>
      <c r="BH824" s="276" t="e">
        <f t="shared" si="752"/>
        <v>#DIV/0!</v>
      </c>
      <c r="BI824" s="276" t="e">
        <f t="shared" si="753"/>
        <v>#DIV/0!</v>
      </c>
      <c r="BJ824" s="276" t="e">
        <f t="shared" si="754"/>
        <v>#DIV/0!</v>
      </c>
      <c r="BK824" s="276" t="e">
        <f t="shared" si="755"/>
        <v>#DIV/0!</v>
      </c>
      <c r="BL824" s="686" t="e">
        <f t="shared" si="756"/>
        <v>#DIV/0!</v>
      </c>
      <c r="BM824" s="239"/>
      <c r="BN824" s="965" t="e">
        <f t="shared" si="757"/>
        <v>#VALUE!</v>
      </c>
      <c r="BO824" s="878" t="e">
        <f t="shared" si="758"/>
        <v>#VALUE!</v>
      </c>
      <c r="BP824" s="878" t="e">
        <f t="shared" si="759"/>
        <v>#VALUE!</v>
      </c>
      <c r="BQ824" s="878" t="e">
        <f t="shared" si="760"/>
        <v>#VALUE!</v>
      </c>
      <c r="BR824" s="878" t="e">
        <f t="shared" si="761"/>
        <v>#VALUE!</v>
      </c>
      <c r="BS824" s="966" t="e">
        <f t="shared" si="762"/>
        <v>#VALUE!</v>
      </c>
    </row>
    <row r="825" spans="1:71">
      <c r="A825" s="284">
        <f t="shared" si="763"/>
        <v>757</v>
      </c>
      <c r="B825" s="285">
        <v>1.6453126493360004</v>
      </c>
      <c r="C825" s="285">
        <v>2.3578347722598667</v>
      </c>
      <c r="D825" s="285">
        <v>2.7728612638758277</v>
      </c>
      <c r="E825" s="285">
        <v>-15.453678494351621</v>
      </c>
      <c r="H825" s="685">
        <f t="shared" si="709"/>
        <v>0.51207880756694557</v>
      </c>
      <c r="I825" s="276">
        <f t="shared" si="710"/>
        <v>0.84534693275021655</v>
      </c>
      <c r="J825" s="276">
        <f t="shared" si="711"/>
        <v>0.44978636895863366</v>
      </c>
      <c r="K825" s="276">
        <f t="shared" si="712"/>
        <v>2.0255377629309796</v>
      </c>
      <c r="L825" s="276">
        <f t="shared" si="713"/>
        <v>-5.3337752721697997</v>
      </c>
      <c r="M825" s="276">
        <f t="shared" si="714"/>
        <v>-4.8536341263414364</v>
      </c>
      <c r="N825" s="685">
        <f t="shared" si="715"/>
        <v>1.1506635612879983</v>
      </c>
      <c r="O825" s="276">
        <f t="shared" si="716"/>
        <v>0.94087198883704581</v>
      </c>
      <c r="P825" s="276">
        <f t="shared" si="717"/>
        <v>0.78553936386701273</v>
      </c>
      <c r="Q825" s="276">
        <f t="shared" si="718"/>
        <v>1.9067325024406576</v>
      </c>
      <c r="R825" s="276">
        <f t="shared" si="719"/>
        <v>1.1434563082004006</v>
      </c>
      <c r="S825" s="686">
        <f t="shared" si="720"/>
        <v>-0.20542352489838644</v>
      </c>
      <c r="T825" s="685">
        <f t="shared" si="721"/>
        <v>6.051224954146754</v>
      </c>
      <c r="U825" s="276">
        <f t="shared" si="722"/>
        <v>5.6904074577748815</v>
      </c>
      <c r="V825" s="276">
        <f t="shared" si="723"/>
        <v>5.7724420550837667</v>
      </c>
      <c r="W825" s="276">
        <f t="shared" si="724"/>
        <v>3.4387360277500436</v>
      </c>
      <c r="X825" s="276">
        <f t="shared" si="725"/>
        <v>4.4195331104042133</v>
      </c>
      <c r="Y825" s="686">
        <f t="shared" si="726"/>
        <v>4.1349486670990308</v>
      </c>
      <c r="Z825" s="685" t="e">
        <f t="shared" si="727"/>
        <v>#DIV/0!</v>
      </c>
      <c r="AA825" s="276" t="e">
        <f t="shared" si="728"/>
        <v>#DIV/0!</v>
      </c>
      <c r="AB825" s="276" t="e">
        <f t="shared" si="729"/>
        <v>#DIV/0!</v>
      </c>
      <c r="AC825" s="276" t="e">
        <f t="shared" si="730"/>
        <v>#DIV/0!</v>
      </c>
      <c r="AD825" s="276" t="e">
        <f t="shared" si="731"/>
        <v>#DIV/0!</v>
      </c>
      <c r="AE825" s="686" t="e">
        <f t="shared" si="732"/>
        <v>#DIV/0!</v>
      </c>
      <c r="AF825" s="239"/>
      <c r="AG825" s="965" t="e">
        <f t="shared" si="703"/>
        <v>#VALUE!</v>
      </c>
      <c r="AH825" s="878" t="e">
        <f t="shared" si="704"/>
        <v>#VALUE!</v>
      </c>
      <c r="AI825" s="878" t="e">
        <f t="shared" si="705"/>
        <v>#VALUE!</v>
      </c>
      <c r="AJ825" s="878" t="e">
        <f t="shared" si="706"/>
        <v>#VALUE!</v>
      </c>
      <c r="AK825" s="878" t="e">
        <f t="shared" si="707"/>
        <v>#VALUE!</v>
      </c>
      <c r="AL825" s="966" t="e">
        <f t="shared" si="708"/>
        <v>#VALUE!</v>
      </c>
      <c r="AM825" s="239"/>
      <c r="AO825" s="685">
        <f t="shared" si="733"/>
        <v>0.51207880756694557</v>
      </c>
      <c r="AP825" s="276">
        <f t="shared" si="734"/>
        <v>0.84534693275021655</v>
      </c>
      <c r="AQ825" s="276">
        <f t="shared" si="735"/>
        <v>0.44978636895863366</v>
      </c>
      <c r="AR825" s="276">
        <f t="shared" si="736"/>
        <v>2.0255377629309796</v>
      </c>
      <c r="AS825" s="276">
        <f t="shared" si="737"/>
        <v>-5.3337752721697997</v>
      </c>
      <c r="AT825" s="276">
        <f t="shared" si="738"/>
        <v>-4.8536341263414364</v>
      </c>
      <c r="AU825" s="685">
        <f t="shared" si="739"/>
        <v>1.1506635612879983</v>
      </c>
      <c r="AV825" s="276">
        <f t="shared" si="740"/>
        <v>0.94087198883704581</v>
      </c>
      <c r="AW825" s="276">
        <f t="shared" si="741"/>
        <v>0.78553936386701273</v>
      </c>
      <c r="AX825" s="276">
        <f t="shared" si="742"/>
        <v>1.9067325024406576</v>
      </c>
      <c r="AY825" s="276">
        <f t="shared" si="743"/>
        <v>1.1434563082004006</v>
      </c>
      <c r="AZ825" s="686">
        <f t="shared" si="744"/>
        <v>-0.20542352489838644</v>
      </c>
      <c r="BA825" s="685">
        <f t="shared" si="745"/>
        <v>0</v>
      </c>
      <c r="BB825" s="276">
        <f t="shared" si="746"/>
        <v>0</v>
      </c>
      <c r="BC825" s="276">
        <f t="shared" si="747"/>
        <v>0</v>
      </c>
      <c r="BD825" s="276">
        <f t="shared" si="748"/>
        <v>0</v>
      </c>
      <c r="BE825" s="276">
        <f t="shared" si="749"/>
        <v>0</v>
      </c>
      <c r="BF825" s="686">
        <f t="shared" si="750"/>
        <v>0</v>
      </c>
      <c r="BG825" s="685" t="e">
        <f t="shared" si="751"/>
        <v>#DIV/0!</v>
      </c>
      <c r="BH825" s="276" t="e">
        <f t="shared" si="752"/>
        <v>#DIV/0!</v>
      </c>
      <c r="BI825" s="276" t="e">
        <f t="shared" si="753"/>
        <v>#DIV/0!</v>
      </c>
      <c r="BJ825" s="276" t="e">
        <f t="shared" si="754"/>
        <v>#DIV/0!</v>
      </c>
      <c r="BK825" s="276" t="e">
        <f t="shared" si="755"/>
        <v>#DIV/0!</v>
      </c>
      <c r="BL825" s="686" t="e">
        <f t="shared" si="756"/>
        <v>#DIV/0!</v>
      </c>
      <c r="BM825" s="239"/>
      <c r="BN825" s="965" t="e">
        <f t="shared" si="757"/>
        <v>#VALUE!</v>
      </c>
      <c r="BO825" s="878" t="e">
        <f t="shared" si="758"/>
        <v>#VALUE!</v>
      </c>
      <c r="BP825" s="878" t="e">
        <f t="shared" si="759"/>
        <v>#VALUE!</v>
      </c>
      <c r="BQ825" s="878" t="e">
        <f t="shared" si="760"/>
        <v>#VALUE!</v>
      </c>
      <c r="BR825" s="878" t="e">
        <f t="shared" si="761"/>
        <v>#VALUE!</v>
      </c>
      <c r="BS825" s="966" t="e">
        <f t="shared" si="762"/>
        <v>#VALUE!</v>
      </c>
    </row>
    <row r="826" spans="1:71">
      <c r="A826" s="284">
        <f t="shared" si="763"/>
        <v>758</v>
      </c>
      <c r="B826" s="285">
        <v>0.71288106324892464</v>
      </c>
      <c r="C826" s="285">
        <v>2.4036719692625752</v>
      </c>
      <c r="D826" s="285">
        <v>0.14592113053591271</v>
      </c>
      <c r="E826" s="285">
        <v>-10.12065788186416</v>
      </c>
      <c r="H826" s="685">
        <f t="shared" si="709"/>
        <v>-0.4203527785201302</v>
      </c>
      <c r="I826" s="276">
        <f t="shared" si="710"/>
        <v>-2.0188320862691618</v>
      </c>
      <c r="J826" s="276">
        <f t="shared" si="711"/>
        <v>-2.0810828614049157</v>
      </c>
      <c r="K826" s="276">
        <f t="shared" si="712"/>
        <v>-2.2379989451834339</v>
      </c>
      <c r="L826" s="276">
        <f t="shared" si="713"/>
        <v>-1.2877630698469593</v>
      </c>
      <c r="M826" s="276">
        <f t="shared" si="714"/>
        <v>-3.8068399228371819</v>
      </c>
      <c r="N826" s="685">
        <f t="shared" si="715"/>
        <v>1.1965007582907068</v>
      </c>
      <c r="O826" s="276">
        <f t="shared" si="716"/>
        <v>1.8175170737619959</v>
      </c>
      <c r="P826" s="276">
        <f t="shared" si="717"/>
        <v>1.449374644267915</v>
      </c>
      <c r="Q826" s="276">
        <f t="shared" si="718"/>
        <v>1.3378431374044817</v>
      </c>
      <c r="R826" s="276">
        <f t="shared" si="719"/>
        <v>1.1984091308748492</v>
      </c>
      <c r="S826" s="686">
        <f t="shared" si="720"/>
        <v>0.45312636584065835</v>
      </c>
      <c r="T826" s="685">
        <f t="shared" si="721"/>
        <v>3.4242848208068386</v>
      </c>
      <c r="U826" s="276">
        <f t="shared" si="722"/>
        <v>2.8704658954916722</v>
      </c>
      <c r="V826" s="276">
        <f t="shared" si="723"/>
        <v>3.0889222591486791</v>
      </c>
      <c r="W826" s="276">
        <f t="shared" si="724"/>
        <v>3.5661811175723801</v>
      </c>
      <c r="X826" s="276">
        <f t="shared" si="725"/>
        <v>3.7263658372183608</v>
      </c>
      <c r="Y826" s="686">
        <f t="shared" si="726"/>
        <v>5.0815585365567486</v>
      </c>
      <c r="Z826" s="685" t="e">
        <f t="shared" si="727"/>
        <v>#DIV/0!</v>
      </c>
      <c r="AA826" s="276" t="e">
        <f t="shared" si="728"/>
        <v>#DIV/0!</v>
      </c>
      <c r="AB826" s="276" t="e">
        <f t="shared" si="729"/>
        <v>#DIV/0!</v>
      </c>
      <c r="AC826" s="276" t="e">
        <f t="shared" si="730"/>
        <v>#DIV/0!</v>
      </c>
      <c r="AD826" s="276" t="e">
        <f t="shared" si="731"/>
        <v>#DIV/0!</v>
      </c>
      <c r="AE826" s="686" t="e">
        <f t="shared" si="732"/>
        <v>#DIV/0!</v>
      </c>
      <c r="AF826" s="239"/>
      <c r="AG826" s="965" t="e">
        <f t="shared" si="703"/>
        <v>#VALUE!</v>
      </c>
      <c r="AH826" s="878" t="e">
        <f t="shared" si="704"/>
        <v>#VALUE!</v>
      </c>
      <c r="AI826" s="878" t="e">
        <f t="shared" si="705"/>
        <v>#VALUE!</v>
      </c>
      <c r="AJ826" s="878" t="e">
        <f t="shared" si="706"/>
        <v>#VALUE!</v>
      </c>
      <c r="AK826" s="878" t="e">
        <f t="shared" si="707"/>
        <v>#VALUE!</v>
      </c>
      <c r="AL826" s="966" t="e">
        <f t="shared" si="708"/>
        <v>#VALUE!</v>
      </c>
      <c r="AM826" s="239"/>
      <c r="AO826" s="685">
        <f t="shared" si="733"/>
        <v>-0.4203527785201302</v>
      </c>
      <c r="AP826" s="276">
        <f t="shared" si="734"/>
        <v>-2.0188320862691618</v>
      </c>
      <c r="AQ826" s="276">
        <f t="shared" si="735"/>
        <v>-2.0810828614049157</v>
      </c>
      <c r="AR826" s="276">
        <f t="shared" si="736"/>
        <v>-2.2379989451834339</v>
      </c>
      <c r="AS826" s="276">
        <f t="shared" si="737"/>
        <v>-1.2877630698469593</v>
      </c>
      <c r="AT826" s="276">
        <f t="shared" si="738"/>
        <v>-3.8068399228371819</v>
      </c>
      <c r="AU826" s="685">
        <f t="shared" si="739"/>
        <v>1.1965007582907068</v>
      </c>
      <c r="AV826" s="276">
        <f t="shared" si="740"/>
        <v>1.8175170737619959</v>
      </c>
      <c r="AW826" s="276">
        <f t="shared" si="741"/>
        <v>1.449374644267915</v>
      </c>
      <c r="AX826" s="276">
        <f t="shared" si="742"/>
        <v>1.3378431374044817</v>
      </c>
      <c r="AY826" s="276">
        <f t="shared" si="743"/>
        <v>1.1984091308748492</v>
      </c>
      <c r="AZ826" s="686">
        <f t="shared" si="744"/>
        <v>0.45312636584065835</v>
      </c>
      <c r="BA826" s="685">
        <f t="shared" si="745"/>
        <v>0</v>
      </c>
      <c r="BB826" s="276">
        <f t="shared" si="746"/>
        <v>0</v>
      </c>
      <c r="BC826" s="276">
        <f t="shared" si="747"/>
        <v>0</v>
      </c>
      <c r="BD826" s="276">
        <f t="shared" si="748"/>
        <v>0</v>
      </c>
      <c r="BE826" s="276">
        <f t="shared" si="749"/>
        <v>0</v>
      </c>
      <c r="BF826" s="686">
        <f t="shared" si="750"/>
        <v>0</v>
      </c>
      <c r="BG826" s="685" t="e">
        <f t="shared" si="751"/>
        <v>#DIV/0!</v>
      </c>
      <c r="BH826" s="276" t="e">
        <f t="shared" si="752"/>
        <v>#DIV/0!</v>
      </c>
      <c r="BI826" s="276" t="e">
        <f t="shared" si="753"/>
        <v>#DIV/0!</v>
      </c>
      <c r="BJ826" s="276" t="e">
        <f t="shared" si="754"/>
        <v>#DIV/0!</v>
      </c>
      <c r="BK826" s="276" t="e">
        <f t="shared" si="755"/>
        <v>#DIV/0!</v>
      </c>
      <c r="BL826" s="686" t="e">
        <f t="shared" si="756"/>
        <v>#DIV/0!</v>
      </c>
      <c r="BM826" s="239"/>
      <c r="BN826" s="965" t="e">
        <f t="shared" si="757"/>
        <v>#VALUE!</v>
      </c>
      <c r="BO826" s="878" t="e">
        <f t="shared" si="758"/>
        <v>#VALUE!</v>
      </c>
      <c r="BP826" s="878" t="e">
        <f t="shared" si="759"/>
        <v>#VALUE!</v>
      </c>
      <c r="BQ826" s="878" t="e">
        <f t="shared" si="760"/>
        <v>#VALUE!</v>
      </c>
      <c r="BR826" s="878" t="e">
        <f t="shared" si="761"/>
        <v>#VALUE!</v>
      </c>
      <c r="BS826" s="966" t="e">
        <f t="shared" si="762"/>
        <v>#VALUE!</v>
      </c>
    </row>
    <row r="827" spans="1:71">
      <c r="A827" s="284">
        <f t="shared" si="763"/>
        <v>759</v>
      </c>
      <c r="B827" s="285">
        <v>1.6966614216609894</v>
      </c>
      <c r="C827" s="285">
        <v>3.1109813927325392</v>
      </c>
      <c r="D827" s="285">
        <v>1.1556006831967653</v>
      </c>
      <c r="E827" s="285">
        <v>13.376922995841124</v>
      </c>
      <c r="H827" s="685">
        <f t="shared" si="709"/>
        <v>0.56342757989193459</v>
      </c>
      <c r="I827" s="276">
        <f t="shared" si="710"/>
        <v>-2.0617587749035819</v>
      </c>
      <c r="J827" s="276">
        <f t="shared" si="711"/>
        <v>-2.8112209177815402</v>
      </c>
      <c r="K827" s="276">
        <f t="shared" si="712"/>
        <v>0.98233947623373319</v>
      </c>
      <c r="L827" s="276">
        <f t="shared" si="713"/>
        <v>4.6101964180893402</v>
      </c>
      <c r="M827" s="276">
        <f t="shared" si="714"/>
        <v>-2.2573071551376422</v>
      </c>
      <c r="N827" s="685">
        <f t="shared" si="715"/>
        <v>1.9038101817606707</v>
      </c>
      <c r="O827" s="276">
        <f t="shared" si="716"/>
        <v>1.164804096009483</v>
      </c>
      <c r="P827" s="276">
        <f t="shared" si="717"/>
        <v>1.1732000943481007</v>
      </c>
      <c r="Q827" s="276">
        <f t="shared" si="718"/>
        <v>0.73040604922954544</v>
      </c>
      <c r="R827" s="276">
        <f t="shared" si="719"/>
        <v>2.4333361293719706</v>
      </c>
      <c r="S827" s="686">
        <f t="shared" si="720"/>
        <v>1.1385848668909813</v>
      </c>
      <c r="T827" s="685">
        <f t="shared" si="721"/>
        <v>4.433964373467691</v>
      </c>
      <c r="U827" s="276">
        <f t="shared" si="722"/>
        <v>4.8762052816447063</v>
      </c>
      <c r="V827" s="276">
        <f t="shared" si="723"/>
        <v>5.1399640846772137</v>
      </c>
      <c r="W827" s="276">
        <f t="shared" si="724"/>
        <v>6.1050919250087592</v>
      </c>
      <c r="X827" s="276">
        <f t="shared" si="725"/>
        <v>5.2745412223210613</v>
      </c>
      <c r="Y827" s="686">
        <f t="shared" si="726"/>
        <v>2.1979848628884184</v>
      </c>
      <c r="Z827" s="685" t="e">
        <f t="shared" si="727"/>
        <v>#DIV/0!</v>
      </c>
      <c r="AA827" s="276" t="e">
        <f t="shared" si="728"/>
        <v>#DIV/0!</v>
      </c>
      <c r="AB827" s="276" t="e">
        <f t="shared" si="729"/>
        <v>#DIV/0!</v>
      </c>
      <c r="AC827" s="276" t="e">
        <f t="shared" si="730"/>
        <v>#DIV/0!</v>
      </c>
      <c r="AD827" s="276" t="e">
        <f t="shared" si="731"/>
        <v>#DIV/0!</v>
      </c>
      <c r="AE827" s="686" t="e">
        <f t="shared" si="732"/>
        <v>#DIV/0!</v>
      </c>
      <c r="AF827" s="239"/>
      <c r="AG827" s="965" t="e">
        <f t="shared" si="703"/>
        <v>#VALUE!</v>
      </c>
      <c r="AH827" s="878" t="e">
        <f t="shared" si="704"/>
        <v>#VALUE!</v>
      </c>
      <c r="AI827" s="878" t="e">
        <f t="shared" si="705"/>
        <v>#VALUE!</v>
      </c>
      <c r="AJ827" s="878" t="e">
        <f t="shared" si="706"/>
        <v>#VALUE!</v>
      </c>
      <c r="AK827" s="878" t="e">
        <f t="shared" si="707"/>
        <v>#VALUE!</v>
      </c>
      <c r="AL827" s="966" t="e">
        <f t="shared" si="708"/>
        <v>#VALUE!</v>
      </c>
      <c r="AM827" s="239"/>
      <c r="AO827" s="685">
        <f t="shared" si="733"/>
        <v>0.56342757989193459</v>
      </c>
      <c r="AP827" s="276">
        <f t="shared" si="734"/>
        <v>-2.0617587749035819</v>
      </c>
      <c r="AQ827" s="276">
        <f t="shared" si="735"/>
        <v>-2.8112209177815402</v>
      </c>
      <c r="AR827" s="276">
        <f t="shared" si="736"/>
        <v>0.98233947623373319</v>
      </c>
      <c r="AS827" s="276">
        <f t="shared" si="737"/>
        <v>4.6101964180893402</v>
      </c>
      <c r="AT827" s="276">
        <f t="shared" si="738"/>
        <v>-2.2573071551376422</v>
      </c>
      <c r="AU827" s="685">
        <f t="shared" si="739"/>
        <v>1.9038101817606707</v>
      </c>
      <c r="AV827" s="276">
        <f t="shared" si="740"/>
        <v>1.164804096009483</v>
      </c>
      <c r="AW827" s="276">
        <f t="shared" si="741"/>
        <v>1.1732000943481007</v>
      </c>
      <c r="AX827" s="276">
        <f t="shared" si="742"/>
        <v>0.73040604922954544</v>
      </c>
      <c r="AY827" s="276">
        <f t="shared" si="743"/>
        <v>2.4333361293719706</v>
      </c>
      <c r="AZ827" s="686">
        <f t="shared" si="744"/>
        <v>1.1385848668909813</v>
      </c>
      <c r="BA827" s="685">
        <f t="shared" si="745"/>
        <v>0</v>
      </c>
      <c r="BB827" s="276">
        <f t="shared" si="746"/>
        <v>0</v>
      </c>
      <c r="BC827" s="276">
        <f t="shared" si="747"/>
        <v>0</v>
      </c>
      <c r="BD827" s="276">
        <f t="shared" si="748"/>
        <v>0</v>
      </c>
      <c r="BE827" s="276">
        <f t="shared" si="749"/>
        <v>0</v>
      </c>
      <c r="BF827" s="686">
        <f t="shared" si="750"/>
        <v>0</v>
      </c>
      <c r="BG827" s="685" t="e">
        <f t="shared" si="751"/>
        <v>#DIV/0!</v>
      </c>
      <c r="BH827" s="276" t="e">
        <f t="shared" si="752"/>
        <v>#DIV/0!</v>
      </c>
      <c r="BI827" s="276" t="e">
        <f t="shared" si="753"/>
        <v>#DIV/0!</v>
      </c>
      <c r="BJ827" s="276" t="e">
        <f t="shared" si="754"/>
        <v>#DIV/0!</v>
      </c>
      <c r="BK827" s="276" t="e">
        <f t="shared" si="755"/>
        <v>#DIV/0!</v>
      </c>
      <c r="BL827" s="686" t="e">
        <f t="shared" si="756"/>
        <v>#DIV/0!</v>
      </c>
      <c r="BM827" s="239"/>
      <c r="BN827" s="965" t="e">
        <f t="shared" si="757"/>
        <v>#VALUE!</v>
      </c>
      <c r="BO827" s="878" t="e">
        <f t="shared" si="758"/>
        <v>#VALUE!</v>
      </c>
      <c r="BP827" s="878" t="e">
        <f t="shared" si="759"/>
        <v>#VALUE!</v>
      </c>
      <c r="BQ827" s="878" t="e">
        <f t="shared" si="760"/>
        <v>#VALUE!</v>
      </c>
      <c r="BR827" s="878" t="e">
        <f t="shared" si="761"/>
        <v>#VALUE!</v>
      </c>
      <c r="BS827" s="966" t="e">
        <f t="shared" si="762"/>
        <v>#VALUE!</v>
      </c>
    </row>
    <row r="828" spans="1:71">
      <c r="A828" s="284">
        <f t="shared" si="763"/>
        <v>760</v>
      </c>
      <c r="B828" s="285">
        <v>-1.0486665867649967</v>
      </c>
      <c r="C828" s="285">
        <v>2.2046432084717802</v>
      </c>
      <c r="D828" s="285">
        <v>1.8126088386728989</v>
      </c>
      <c r="E828" s="285">
        <v>-3.3434104895224972</v>
      </c>
      <c r="H828" s="685">
        <f t="shared" si="709"/>
        <v>-2.1819004285340515</v>
      </c>
      <c r="I828" s="276">
        <f t="shared" si="710"/>
        <v>2.2363437841187475</v>
      </c>
      <c r="J828" s="276">
        <f t="shared" si="711"/>
        <v>2.2007948567293267</v>
      </c>
      <c r="K828" s="276">
        <f t="shared" si="712"/>
        <v>0.6284693753216295</v>
      </c>
      <c r="L828" s="276">
        <f t="shared" si="713"/>
        <v>-0.35203142139757182</v>
      </c>
      <c r="M828" s="276">
        <f t="shared" si="714"/>
        <v>-1.5546097767933529</v>
      </c>
      <c r="N828" s="685">
        <f t="shared" si="715"/>
        <v>0.99747199749991178</v>
      </c>
      <c r="O828" s="276">
        <f t="shared" si="716"/>
        <v>1.6280709287209183</v>
      </c>
      <c r="P828" s="276">
        <f t="shared" si="717"/>
        <v>1.2616522805515207</v>
      </c>
      <c r="Q828" s="276">
        <f t="shared" si="718"/>
        <v>1.8380453275455386</v>
      </c>
      <c r="R828" s="276">
        <f t="shared" si="719"/>
        <v>1.2509117298958305</v>
      </c>
      <c r="S828" s="686">
        <f t="shared" si="720"/>
        <v>0.75875669257760303</v>
      </c>
      <c r="T828" s="685">
        <f t="shared" si="721"/>
        <v>5.0909725289438246</v>
      </c>
      <c r="U828" s="276">
        <f t="shared" si="722"/>
        <v>5.0347316282094789</v>
      </c>
      <c r="V828" s="276">
        <f t="shared" si="723"/>
        <v>7.6214349263202656</v>
      </c>
      <c r="W828" s="276">
        <f t="shared" si="724"/>
        <v>3.8189073804967606</v>
      </c>
      <c r="X828" s="276">
        <f t="shared" si="725"/>
        <v>4.0982295818660148</v>
      </c>
      <c r="Y828" s="686">
        <f t="shared" si="726"/>
        <v>3.7972209736641469</v>
      </c>
      <c r="Z828" s="685" t="e">
        <f t="shared" si="727"/>
        <v>#DIV/0!</v>
      </c>
      <c r="AA828" s="276" t="e">
        <f t="shared" si="728"/>
        <v>#DIV/0!</v>
      </c>
      <c r="AB828" s="276" t="e">
        <f t="shared" si="729"/>
        <v>#DIV/0!</v>
      </c>
      <c r="AC828" s="276" t="e">
        <f t="shared" si="730"/>
        <v>#DIV/0!</v>
      </c>
      <c r="AD828" s="276" t="e">
        <f t="shared" si="731"/>
        <v>#DIV/0!</v>
      </c>
      <c r="AE828" s="686" t="e">
        <f t="shared" si="732"/>
        <v>#DIV/0!</v>
      </c>
      <c r="AF828" s="239"/>
      <c r="AG828" s="965" t="e">
        <f t="shared" si="703"/>
        <v>#VALUE!</v>
      </c>
      <c r="AH828" s="878" t="e">
        <f t="shared" si="704"/>
        <v>#VALUE!</v>
      </c>
      <c r="AI828" s="878" t="e">
        <f t="shared" si="705"/>
        <v>#VALUE!</v>
      </c>
      <c r="AJ828" s="878" t="e">
        <f t="shared" si="706"/>
        <v>#VALUE!</v>
      </c>
      <c r="AK828" s="878" t="e">
        <f t="shared" si="707"/>
        <v>#VALUE!</v>
      </c>
      <c r="AL828" s="966" t="e">
        <f t="shared" si="708"/>
        <v>#VALUE!</v>
      </c>
      <c r="AM828" s="239"/>
      <c r="AO828" s="685">
        <f t="shared" si="733"/>
        <v>-2.1819004285340515</v>
      </c>
      <c r="AP828" s="276">
        <f t="shared" si="734"/>
        <v>2.2363437841187475</v>
      </c>
      <c r="AQ828" s="276">
        <f t="shared" si="735"/>
        <v>2.2007948567293267</v>
      </c>
      <c r="AR828" s="276">
        <f t="shared" si="736"/>
        <v>0.6284693753216295</v>
      </c>
      <c r="AS828" s="276">
        <f t="shared" si="737"/>
        <v>-0.35203142139757182</v>
      </c>
      <c r="AT828" s="276">
        <f t="shared" si="738"/>
        <v>-1.5546097767933529</v>
      </c>
      <c r="AU828" s="685">
        <f t="shared" si="739"/>
        <v>0.99747199749991178</v>
      </c>
      <c r="AV828" s="276">
        <f t="shared" si="740"/>
        <v>1.6280709287209183</v>
      </c>
      <c r="AW828" s="276">
        <f t="shared" si="741"/>
        <v>1.2616522805515207</v>
      </c>
      <c r="AX828" s="276">
        <f t="shared" si="742"/>
        <v>1.8380453275455386</v>
      </c>
      <c r="AY828" s="276">
        <f t="shared" si="743"/>
        <v>1.2509117298958305</v>
      </c>
      <c r="AZ828" s="686">
        <f t="shared" si="744"/>
        <v>0.75875669257760303</v>
      </c>
      <c r="BA828" s="685">
        <f t="shared" si="745"/>
        <v>0</v>
      </c>
      <c r="BB828" s="276">
        <f t="shared" si="746"/>
        <v>0</v>
      </c>
      <c r="BC828" s="276">
        <f t="shared" si="747"/>
        <v>0</v>
      </c>
      <c r="BD828" s="276">
        <f t="shared" si="748"/>
        <v>0</v>
      </c>
      <c r="BE828" s="276">
        <f t="shared" si="749"/>
        <v>0</v>
      </c>
      <c r="BF828" s="686">
        <f t="shared" si="750"/>
        <v>0</v>
      </c>
      <c r="BG828" s="685" t="e">
        <f t="shared" si="751"/>
        <v>#DIV/0!</v>
      </c>
      <c r="BH828" s="276" t="e">
        <f t="shared" si="752"/>
        <v>#DIV/0!</v>
      </c>
      <c r="BI828" s="276" t="e">
        <f t="shared" si="753"/>
        <v>#DIV/0!</v>
      </c>
      <c r="BJ828" s="276" t="e">
        <f t="shared" si="754"/>
        <v>#DIV/0!</v>
      </c>
      <c r="BK828" s="276" t="e">
        <f t="shared" si="755"/>
        <v>#DIV/0!</v>
      </c>
      <c r="BL828" s="686" t="e">
        <f t="shared" si="756"/>
        <v>#DIV/0!</v>
      </c>
      <c r="BM828" s="239"/>
      <c r="BN828" s="965" t="e">
        <f t="shared" si="757"/>
        <v>#VALUE!</v>
      </c>
      <c r="BO828" s="878" t="e">
        <f t="shared" si="758"/>
        <v>#VALUE!</v>
      </c>
      <c r="BP828" s="878" t="e">
        <f t="shared" si="759"/>
        <v>#VALUE!</v>
      </c>
      <c r="BQ828" s="878" t="e">
        <f t="shared" si="760"/>
        <v>#VALUE!</v>
      </c>
      <c r="BR828" s="878" t="e">
        <f t="shared" si="761"/>
        <v>#VALUE!</v>
      </c>
      <c r="BS828" s="966" t="e">
        <f t="shared" si="762"/>
        <v>#VALUE!</v>
      </c>
    </row>
    <row r="829" spans="1:71">
      <c r="A829" s="284">
        <f t="shared" si="763"/>
        <v>761</v>
      </c>
      <c r="B829" s="285">
        <v>-3.4358035420923025</v>
      </c>
      <c r="C829" s="285">
        <v>2.1729932603613964</v>
      </c>
      <c r="D829" s="285">
        <v>-0.52724004140598746</v>
      </c>
      <c r="E829" s="285">
        <v>-9.3424578352907002</v>
      </c>
      <c r="H829" s="685">
        <f t="shared" si="709"/>
        <v>-4.5690373838613576</v>
      </c>
      <c r="I829" s="276">
        <f t="shared" si="710"/>
        <v>0.82206194324562598</v>
      </c>
      <c r="J829" s="276">
        <f t="shared" si="711"/>
        <v>-0.63146558067016523</v>
      </c>
      <c r="K829" s="276">
        <f t="shared" si="712"/>
        <v>0.78150390328379848</v>
      </c>
      <c r="L829" s="276">
        <f t="shared" si="713"/>
        <v>-4.7898796368025289</v>
      </c>
      <c r="M829" s="276">
        <f t="shared" si="714"/>
        <v>-4.544919375489112</v>
      </c>
      <c r="N829" s="685">
        <f t="shared" si="715"/>
        <v>0.96582204938952798</v>
      </c>
      <c r="O829" s="276">
        <f t="shared" si="716"/>
        <v>1.2918585395554627</v>
      </c>
      <c r="P829" s="276">
        <f t="shared" si="717"/>
        <v>1.580207984702559</v>
      </c>
      <c r="Q829" s="276">
        <f t="shared" si="718"/>
        <v>1.4614419275517843</v>
      </c>
      <c r="R829" s="276">
        <f t="shared" si="719"/>
        <v>0.99277805564300459</v>
      </c>
      <c r="S829" s="686">
        <f t="shared" si="720"/>
        <v>1.5515671293010198</v>
      </c>
      <c r="T829" s="685">
        <f t="shared" si="721"/>
        <v>2.7511236488649384</v>
      </c>
      <c r="U829" s="276">
        <f t="shared" si="722"/>
        <v>4.2485279878239588</v>
      </c>
      <c r="V829" s="276">
        <f t="shared" si="723"/>
        <v>5.6376976496240943</v>
      </c>
      <c r="W829" s="276">
        <f t="shared" si="724"/>
        <v>4.6037183290826178</v>
      </c>
      <c r="X829" s="276">
        <f t="shared" si="725"/>
        <v>2.7819413210946591</v>
      </c>
      <c r="Y829" s="686">
        <f t="shared" si="726"/>
        <v>3.8368783432972373</v>
      </c>
      <c r="Z829" s="685" t="e">
        <f t="shared" si="727"/>
        <v>#DIV/0!</v>
      </c>
      <c r="AA829" s="276" t="e">
        <f t="shared" si="728"/>
        <v>#DIV/0!</v>
      </c>
      <c r="AB829" s="276" t="e">
        <f t="shared" si="729"/>
        <v>#DIV/0!</v>
      </c>
      <c r="AC829" s="276" t="e">
        <f t="shared" si="730"/>
        <v>#DIV/0!</v>
      </c>
      <c r="AD829" s="276" t="e">
        <f t="shared" si="731"/>
        <v>#DIV/0!</v>
      </c>
      <c r="AE829" s="686" t="e">
        <f t="shared" si="732"/>
        <v>#DIV/0!</v>
      </c>
      <c r="AF829" s="239"/>
      <c r="AG829" s="965" t="e">
        <f t="shared" si="703"/>
        <v>#VALUE!</v>
      </c>
      <c r="AH829" s="878" t="e">
        <f t="shared" si="704"/>
        <v>#VALUE!</v>
      </c>
      <c r="AI829" s="878" t="e">
        <f t="shared" si="705"/>
        <v>#VALUE!</v>
      </c>
      <c r="AJ829" s="878" t="e">
        <f t="shared" si="706"/>
        <v>#VALUE!</v>
      </c>
      <c r="AK829" s="878" t="e">
        <f t="shared" si="707"/>
        <v>#VALUE!</v>
      </c>
      <c r="AL829" s="966" t="e">
        <f t="shared" si="708"/>
        <v>#VALUE!</v>
      </c>
      <c r="AM829" s="239"/>
      <c r="AO829" s="685">
        <f t="shared" si="733"/>
        <v>-4.5690373838613576</v>
      </c>
      <c r="AP829" s="276">
        <f t="shared" si="734"/>
        <v>0.82206194324562598</v>
      </c>
      <c r="AQ829" s="276">
        <f t="shared" si="735"/>
        <v>-0.63146558067016523</v>
      </c>
      <c r="AR829" s="276">
        <f t="shared" si="736"/>
        <v>0.78150390328379848</v>
      </c>
      <c r="AS829" s="276">
        <f t="shared" si="737"/>
        <v>-4.7898796368025289</v>
      </c>
      <c r="AT829" s="276">
        <f t="shared" si="738"/>
        <v>-4.544919375489112</v>
      </c>
      <c r="AU829" s="685">
        <f t="shared" si="739"/>
        <v>0.96582204938952798</v>
      </c>
      <c r="AV829" s="276">
        <f t="shared" si="740"/>
        <v>1.2918585395554627</v>
      </c>
      <c r="AW829" s="276">
        <f t="shared" si="741"/>
        <v>1.580207984702559</v>
      </c>
      <c r="AX829" s="276">
        <f t="shared" si="742"/>
        <v>1.4614419275517843</v>
      </c>
      <c r="AY829" s="276">
        <f t="shared" si="743"/>
        <v>0.99277805564300459</v>
      </c>
      <c r="AZ829" s="686">
        <f t="shared" si="744"/>
        <v>1.5515671293010198</v>
      </c>
      <c r="BA829" s="685">
        <f t="shared" si="745"/>
        <v>0</v>
      </c>
      <c r="BB829" s="276">
        <f t="shared" si="746"/>
        <v>0</v>
      </c>
      <c r="BC829" s="276">
        <f t="shared" si="747"/>
        <v>0</v>
      </c>
      <c r="BD829" s="276">
        <f t="shared" si="748"/>
        <v>0</v>
      </c>
      <c r="BE829" s="276">
        <f t="shared" si="749"/>
        <v>0</v>
      </c>
      <c r="BF829" s="686">
        <f t="shared" si="750"/>
        <v>0</v>
      </c>
      <c r="BG829" s="685" t="e">
        <f t="shared" si="751"/>
        <v>#DIV/0!</v>
      </c>
      <c r="BH829" s="276" t="e">
        <f t="shared" si="752"/>
        <v>#DIV/0!</v>
      </c>
      <c r="BI829" s="276" t="e">
        <f t="shared" si="753"/>
        <v>#DIV/0!</v>
      </c>
      <c r="BJ829" s="276" t="e">
        <f t="shared" si="754"/>
        <v>#DIV/0!</v>
      </c>
      <c r="BK829" s="276" t="e">
        <f t="shared" si="755"/>
        <v>#DIV/0!</v>
      </c>
      <c r="BL829" s="686" t="e">
        <f t="shared" si="756"/>
        <v>#DIV/0!</v>
      </c>
      <c r="BM829" s="239"/>
      <c r="BN829" s="965" t="e">
        <f t="shared" si="757"/>
        <v>#VALUE!</v>
      </c>
      <c r="BO829" s="878" t="e">
        <f t="shared" si="758"/>
        <v>#VALUE!</v>
      </c>
      <c r="BP829" s="878" t="e">
        <f t="shared" si="759"/>
        <v>#VALUE!</v>
      </c>
      <c r="BQ829" s="878" t="e">
        <f t="shared" si="760"/>
        <v>#VALUE!</v>
      </c>
      <c r="BR829" s="878" t="e">
        <f t="shared" si="761"/>
        <v>#VALUE!</v>
      </c>
      <c r="BS829" s="966" t="e">
        <f t="shared" si="762"/>
        <v>#VALUE!</v>
      </c>
    </row>
    <row r="830" spans="1:71">
      <c r="A830" s="284">
        <f t="shared" si="763"/>
        <v>762</v>
      </c>
      <c r="B830" s="285">
        <v>1.8256419302682214</v>
      </c>
      <c r="C830" s="285">
        <v>2.5309348334824358</v>
      </c>
      <c r="D830" s="285">
        <v>2.4382273133511005</v>
      </c>
      <c r="E830" s="285">
        <v>-6.0385416110703405</v>
      </c>
      <c r="H830" s="685">
        <f t="shared" si="709"/>
        <v>0.69240808849916657</v>
      </c>
      <c r="I830" s="276">
        <f t="shared" si="710"/>
        <v>3.9392946447695252</v>
      </c>
      <c r="J830" s="276">
        <f t="shared" si="711"/>
        <v>-1.8420486454856138</v>
      </c>
      <c r="K830" s="276">
        <f t="shared" si="712"/>
        <v>-5.2168845510219564</v>
      </c>
      <c r="L830" s="276">
        <f t="shared" si="713"/>
        <v>-1.9431403142497921</v>
      </c>
      <c r="M830" s="276">
        <f t="shared" si="714"/>
        <v>1.3002189436909328</v>
      </c>
      <c r="N830" s="685">
        <f t="shared" si="715"/>
        <v>1.3237636225105673</v>
      </c>
      <c r="O830" s="276">
        <f t="shared" si="716"/>
        <v>1.1152509410687694</v>
      </c>
      <c r="P830" s="276">
        <f t="shared" si="717"/>
        <v>1.2229100475767087</v>
      </c>
      <c r="Q830" s="276">
        <f t="shared" si="718"/>
        <v>1.5115712031698962</v>
      </c>
      <c r="R830" s="276">
        <f t="shared" si="719"/>
        <v>1.0498869552344126</v>
      </c>
      <c r="S830" s="686">
        <f t="shared" si="720"/>
        <v>1.5208940493017191</v>
      </c>
      <c r="T830" s="685">
        <f t="shared" si="721"/>
        <v>5.7165910036220264</v>
      </c>
      <c r="U830" s="276">
        <f t="shared" si="722"/>
        <v>4.8466215974394764</v>
      </c>
      <c r="V830" s="276">
        <f t="shared" si="723"/>
        <v>4.7716711013029673</v>
      </c>
      <c r="W830" s="276">
        <f t="shared" si="724"/>
        <v>3.4922415613106788</v>
      </c>
      <c r="X830" s="276">
        <f t="shared" si="725"/>
        <v>6.4429872230176297</v>
      </c>
      <c r="Y830" s="686">
        <f t="shared" si="726"/>
        <v>6.9686775595225257</v>
      </c>
      <c r="Z830" s="685" t="e">
        <f t="shared" si="727"/>
        <v>#DIV/0!</v>
      </c>
      <c r="AA830" s="276" t="e">
        <f t="shared" si="728"/>
        <v>#DIV/0!</v>
      </c>
      <c r="AB830" s="276" t="e">
        <f t="shared" si="729"/>
        <v>#DIV/0!</v>
      </c>
      <c r="AC830" s="276" t="e">
        <f t="shared" si="730"/>
        <v>#DIV/0!</v>
      </c>
      <c r="AD830" s="276" t="e">
        <f t="shared" si="731"/>
        <v>#DIV/0!</v>
      </c>
      <c r="AE830" s="686" t="e">
        <f t="shared" si="732"/>
        <v>#DIV/0!</v>
      </c>
      <c r="AF830" s="239"/>
      <c r="AG830" s="965" t="e">
        <f t="shared" si="703"/>
        <v>#VALUE!</v>
      </c>
      <c r="AH830" s="878" t="e">
        <f t="shared" si="704"/>
        <v>#VALUE!</v>
      </c>
      <c r="AI830" s="878" t="e">
        <f t="shared" si="705"/>
        <v>#VALUE!</v>
      </c>
      <c r="AJ830" s="878" t="e">
        <f t="shared" si="706"/>
        <v>#VALUE!</v>
      </c>
      <c r="AK830" s="878" t="e">
        <f t="shared" si="707"/>
        <v>#VALUE!</v>
      </c>
      <c r="AL830" s="966" t="e">
        <f t="shared" si="708"/>
        <v>#VALUE!</v>
      </c>
      <c r="AM830" s="239"/>
      <c r="AO830" s="685">
        <f t="shared" si="733"/>
        <v>0.69240808849916657</v>
      </c>
      <c r="AP830" s="276">
        <f t="shared" si="734"/>
        <v>3.9392946447695252</v>
      </c>
      <c r="AQ830" s="276">
        <f t="shared" si="735"/>
        <v>-1.8420486454856138</v>
      </c>
      <c r="AR830" s="276">
        <f t="shared" si="736"/>
        <v>-5.2168845510219564</v>
      </c>
      <c r="AS830" s="276">
        <f t="shared" si="737"/>
        <v>-1.9431403142497921</v>
      </c>
      <c r="AT830" s="276">
        <f t="shared" si="738"/>
        <v>1.3002189436909328</v>
      </c>
      <c r="AU830" s="685">
        <f t="shared" si="739"/>
        <v>1.3237636225105673</v>
      </c>
      <c r="AV830" s="276">
        <f t="shared" si="740"/>
        <v>1.1152509410687694</v>
      </c>
      <c r="AW830" s="276">
        <f t="shared" si="741"/>
        <v>1.2229100475767087</v>
      </c>
      <c r="AX830" s="276">
        <f t="shared" si="742"/>
        <v>1.5115712031698962</v>
      </c>
      <c r="AY830" s="276">
        <f t="shared" si="743"/>
        <v>1.0498869552344126</v>
      </c>
      <c r="AZ830" s="686">
        <f t="shared" si="744"/>
        <v>1.5208940493017191</v>
      </c>
      <c r="BA830" s="685">
        <f t="shared" si="745"/>
        <v>0</v>
      </c>
      <c r="BB830" s="276">
        <f t="shared" si="746"/>
        <v>0</v>
      </c>
      <c r="BC830" s="276">
        <f t="shared" si="747"/>
        <v>0</v>
      </c>
      <c r="BD830" s="276">
        <f t="shared" si="748"/>
        <v>0</v>
      </c>
      <c r="BE830" s="276">
        <f t="shared" si="749"/>
        <v>0</v>
      </c>
      <c r="BF830" s="686">
        <f t="shared" si="750"/>
        <v>0</v>
      </c>
      <c r="BG830" s="685" t="e">
        <f t="shared" si="751"/>
        <v>#DIV/0!</v>
      </c>
      <c r="BH830" s="276" t="e">
        <f t="shared" si="752"/>
        <v>#DIV/0!</v>
      </c>
      <c r="BI830" s="276" t="e">
        <f t="shared" si="753"/>
        <v>#DIV/0!</v>
      </c>
      <c r="BJ830" s="276" t="e">
        <f t="shared" si="754"/>
        <v>#DIV/0!</v>
      </c>
      <c r="BK830" s="276" t="e">
        <f t="shared" si="755"/>
        <v>#DIV/0!</v>
      </c>
      <c r="BL830" s="686" t="e">
        <f t="shared" si="756"/>
        <v>#DIV/0!</v>
      </c>
      <c r="BM830" s="239"/>
      <c r="BN830" s="965" t="e">
        <f t="shared" si="757"/>
        <v>#VALUE!</v>
      </c>
      <c r="BO830" s="878" t="e">
        <f t="shared" si="758"/>
        <v>#VALUE!</v>
      </c>
      <c r="BP830" s="878" t="e">
        <f t="shared" si="759"/>
        <v>#VALUE!</v>
      </c>
      <c r="BQ830" s="878" t="e">
        <f t="shared" si="760"/>
        <v>#VALUE!</v>
      </c>
      <c r="BR830" s="878" t="e">
        <f t="shared" si="761"/>
        <v>#VALUE!</v>
      </c>
      <c r="BS830" s="966" t="e">
        <f t="shared" si="762"/>
        <v>#VALUE!</v>
      </c>
    </row>
    <row r="831" spans="1:71">
      <c r="A831" s="284">
        <f t="shared" si="763"/>
        <v>763</v>
      </c>
      <c r="B831" s="285">
        <v>-1.5756462405071627</v>
      </c>
      <c r="C831" s="285">
        <v>2.2997438924903162</v>
      </c>
      <c r="D831" s="285">
        <v>2.7159693766016852</v>
      </c>
      <c r="E831" s="285">
        <v>-2.3399347307547518</v>
      </c>
      <c r="H831" s="685">
        <f t="shared" si="709"/>
        <v>-2.7088800822762176</v>
      </c>
      <c r="I831" s="276">
        <f t="shared" si="710"/>
        <v>1.5271926054289759</v>
      </c>
      <c r="J831" s="276">
        <f t="shared" si="711"/>
        <v>-2.5218852660892455</v>
      </c>
      <c r="K831" s="276">
        <f t="shared" si="712"/>
        <v>-1.1440990351109497</v>
      </c>
      <c r="L831" s="276">
        <f t="shared" si="713"/>
        <v>-0.31814921668803975</v>
      </c>
      <c r="M831" s="276">
        <f t="shared" si="714"/>
        <v>-2.8741916679755057</v>
      </c>
      <c r="N831" s="685">
        <f t="shared" si="715"/>
        <v>1.0925726815184478</v>
      </c>
      <c r="O831" s="276">
        <f t="shared" si="716"/>
        <v>1.5275333039766548</v>
      </c>
      <c r="P831" s="276">
        <f t="shared" si="717"/>
        <v>0.63871355913457073</v>
      </c>
      <c r="Q831" s="276">
        <f t="shared" si="718"/>
        <v>1.9478266280156074</v>
      </c>
      <c r="R831" s="276">
        <f t="shared" si="719"/>
        <v>1.2939501048125075</v>
      </c>
      <c r="S831" s="686">
        <f t="shared" si="720"/>
        <v>1.5695435706864218</v>
      </c>
      <c r="T831" s="685">
        <f t="shared" si="721"/>
        <v>5.9943330668726116</v>
      </c>
      <c r="U831" s="276">
        <f t="shared" si="722"/>
        <v>8.7361793638393976</v>
      </c>
      <c r="V831" s="276">
        <f t="shared" si="723"/>
        <v>5.478823945251774</v>
      </c>
      <c r="W831" s="276">
        <f t="shared" si="724"/>
        <v>4.1853970267362897</v>
      </c>
      <c r="X831" s="276">
        <f t="shared" si="725"/>
        <v>4.2859887966460315</v>
      </c>
      <c r="Y831" s="686">
        <f t="shared" si="726"/>
        <v>2.9851103775860359</v>
      </c>
      <c r="Z831" s="685" t="e">
        <f t="shared" si="727"/>
        <v>#DIV/0!</v>
      </c>
      <c r="AA831" s="276" t="e">
        <f t="shared" si="728"/>
        <v>#DIV/0!</v>
      </c>
      <c r="AB831" s="276" t="e">
        <f t="shared" si="729"/>
        <v>#DIV/0!</v>
      </c>
      <c r="AC831" s="276" t="e">
        <f t="shared" si="730"/>
        <v>#DIV/0!</v>
      </c>
      <c r="AD831" s="276" t="e">
        <f t="shared" si="731"/>
        <v>#DIV/0!</v>
      </c>
      <c r="AE831" s="686" t="e">
        <f t="shared" si="732"/>
        <v>#DIV/0!</v>
      </c>
      <c r="AF831" s="239"/>
      <c r="AG831" s="965" t="e">
        <f t="shared" si="703"/>
        <v>#VALUE!</v>
      </c>
      <c r="AH831" s="878" t="e">
        <f t="shared" si="704"/>
        <v>#VALUE!</v>
      </c>
      <c r="AI831" s="878" t="e">
        <f t="shared" si="705"/>
        <v>#VALUE!</v>
      </c>
      <c r="AJ831" s="878" t="e">
        <f t="shared" si="706"/>
        <v>#VALUE!</v>
      </c>
      <c r="AK831" s="878" t="e">
        <f t="shared" si="707"/>
        <v>#VALUE!</v>
      </c>
      <c r="AL831" s="966" t="e">
        <f t="shared" si="708"/>
        <v>#VALUE!</v>
      </c>
      <c r="AM831" s="239"/>
      <c r="AO831" s="685">
        <f t="shared" si="733"/>
        <v>-2.7088800822762176</v>
      </c>
      <c r="AP831" s="276">
        <f t="shared" si="734"/>
        <v>1.5271926054289759</v>
      </c>
      <c r="AQ831" s="276">
        <f t="shared" si="735"/>
        <v>-2.5218852660892455</v>
      </c>
      <c r="AR831" s="276">
        <f t="shared" si="736"/>
        <v>-1.1440990351109497</v>
      </c>
      <c r="AS831" s="276">
        <f t="shared" si="737"/>
        <v>-0.31814921668803975</v>
      </c>
      <c r="AT831" s="276">
        <f t="shared" si="738"/>
        <v>-2.8741916679755057</v>
      </c>
      <c r="AU831" s="685">
        <f t="shared" si="739"/>
        <v>1.0925726815184478</v>
      </c>
      <c r="AV831" s="276">
        <f t="shared" si="740"/>
        <v>1.5275333039766548</v>
      </c>
      <c r="AW831" s="276">
        <f t="shared" si="741"/>
        <v>0.63871355913457073</v>
      </c>
      <c r="AX831" s="276">
        <f t="shared" si="742"/>
        <v>1.9478266280156074</v>
      </c>
      <c r="AY831" s="276">
        <f t="shared" si="743"/>
        <v>1.2939501048125075</v>
      </c>
      <c r="AZ831" s="686">
        <f t="shared" si="744"/>
        <v>1.5695435706864218</v>
      </c>
      <c r="BA831" s="685">
        <f t="shared" si="745"/>
        <v>0</v>
      </c>
      <c r="BB831" s="276">
        <f t="shared" si="746"/>
        <v>0</v>
      </c>
      <c r="BC831" s="276">
        <f t="shared" si="747"/>
        <v>0</v>
      </c>
      <c r="BD831" s="276">
        <f t="shared" si="748"/>
        <v>0</v>
      </c>
      <c r="BE831" s="276">
        <f t="shared" si="749"/>
        <v>0</v>
      </c>
      <c r="BF831" s="686">
        <f t="shared" si="750"/>
        <v>0</v>
      </c>
      <c r="BG831" s="685" t="e">
        <f t="shared" si="751"/>
        <v>#DIV/0!</v>
      </c>
      <c r="BH831" s="276" t="e">
        <f t="shared" si="752"/>
        <v>#DIV/0!</v>
      </c>
      <c r="BI831" s="276" t="e">
        <f t="shared" si="753"/>
        <v>#DIV/0!</v>
      </c>
      <c r="BJ831" s="276" t="e">
        <f t="shared" si="754"/>
        <v>#DIV/0!</v>
      </c>
      <c r="BK831" s="276" t="e">
        <f t="shared" si="755"/>
        <v>#DIV/0!</v>
      </c>
      <c r="BL831" s="686" t="e">
        <f t="shared" si="756"/>
        <v>#DIV/0!</v>
      </c>
      <c r="BM831" s="239"/>
      <c r="BN831" s="965" t="e">
        <f t="shared" si="757"/>
        <v>#VALUE!</v>
      </c>
      <c r="BO831" s="878" t="e">
        <f t="shared" si="758"/>
        <v>#VALUE!</v>
      </c>
      <c r="BP831" s="878" t="e">
        <f t="shared" si="759"/>
        <v>#VALUE!</v>
      </c>
      <c r="BQ831" s="878" t="e">
        <f t="shared" si="760"/>
        <v>#VALUE!</v>
      </c>
      <c r="BR831" s="878" t="e">
        <f t="shared" si="761"/>
        <v>#VALUE!</v>
      </c>
      <c r="BS831" s="966" t="e">
        <f t="shared" si="762"/>
        <v>#VALUE!</v>
      </c>
    </row>
    <row r="832" spans="1:71">
      <c r="A832" s="284">
        <f t="shared" si="763"/>
        <v>764</v>
      </c>
      <c r="B832" s="285">
        <v>-2.628051843620231E-2</v>
      </c>
      <c r="C832" s="285">
        <v>1.8096816196153234</v>
      </c>
      <c r="D832" s="285">
        <v>2.5780929441199807</v>
      </c>
      <c r="E832" s="285">
        <v>-14.610868492739463</v>
      </c>
      <c r="H832" s="685">
        <f t="shared" si="709"/>
        <v>-1.1595143602052571</v>
      </c>
      <c r="I832" s="276">
        <f t="shared" si="710"/>
        <v>2.6038259247882296</v>
      </c>
      <c r="J832" s="276">
        <f t="shared" si="711"/>
        <v>-5.1026133897968906</v>
      </c>
      <c r="K832" s="276">
        <f t="shared" si="712"/>
        <v>-2.5038484046825698</v>
      </c>
      <c r="L832" s="276">
        <f t="shared" si="713"/>
        <v>-3.1913550035761986</v>
      </c>
      <c r="M832" s="276">
        <f t="shared" si="714"/>
        <v>-2.900535312997671</v>
      </c>
      <c r="N832" s="685">
        <f t="shared" si="715"/>
        <v>0.60251040864345495</v>
      </c>
      <c r="O832" s="276">
        <f t="shared" si="716"/>
        <v>1.1163447010807801</v>
      </c>
      <c r="P832" s="276">
        <f t="shared" si="717"/>
        <v>1.516050769348978</v>
      </c>
      <c r="Q832" s="276">
        <f t="shared" si="718"/>
        <v>0.68273926216846625</v>
      </c>
      <c r="R832" s="276">
        <f t="shared" si="719"/>
        <v>1.1166278941899013</v>
      </c>
      <c r="S832" s="686">
        <f t="shared" si="720"/>
        <v>1.4303870359648057</v>
      </c>
      <c r="T832" s="685">
        <f t="shared" si="721"/>
        <v>5.8564566343909066</v>
      </c>
      <c r="U832" s="276">
        <f t="shared" si="722"/>
        <v>3.6369118650106644</v>
      </c>
      <c r="V832" s="276">
        <f t="shared" si="723"/>
        <v>2.6556694744268077</v>
      </c>
      <c r="W832" s="276">
        <f t="shared" si="724"/>
        <v>3.8354840088766946</v>
      </c>
      <c r="X832" s="276">
        <f t="shared" si="725"/>
        <v>4.7939009601051001</v>
      </c>
      <c r="Y832" s="686">
        <f t="shared" si="726"/>
        <v>2.4160810447743897</v>
      </c>
      <c r="Z832" s="685" t="e">
        <f t="shared" si="727"/>
        <v>#DIV/0!</v>
      </c>
      <c r="AA832" s="276" t="e">
        <f t="shared" si="728"/>
        <v>#DIV/0!</v>
      </c>
      <c r="AB832" s="276" t="e">
        <f t="shared" si="729"/>
        <v>#DIV/0!</v>
      </c>
      <c r="AC832" s="276" t="e">
        <f t="shared" si="730"/>
        <v>#DIV/0!</v>
      </c>
      <c r="AD832" s="276" t="e">
        <f t="shared" si="731"/>
        <v>#DIV/0!</v>
      </c>
      <c r="AE832" s="686" t="e">
        <f t="shared" si="732"/>
        <v>#DIV/0!</v>
      </c>
      <c r="AF832" s="239"/>
      <c r="AG832" s="965" t="e">
        <f t="shared" si="703"/>
        <v>#VALUE!</v>
      </c>
      <c r="AH832" s="878" t="e">
        <f t="shared" si="704"/>
        <v>#VALUE!</v>
      </c>
      <c r="AI832" s="878" t="e">
        <f t="shared" si="705"/>
        <v>#VALUE!</v>
      </c>
      <c r="AJ832" s="878" t="e">
        <f t="shared" si="706"/>
        <v>#VALUE!</v>
      </c>
      <c r="AK832" s="878" t="e">
        <f t="shared" si="707"/>
        <v>#VALUE!</v>
      </c>
      <c r="AL832" s="966" t="e">
        <f t="shared" si="708"/>
        <v>#VALUE!</v>
      </c>
      <c r="AM832" s="239"/>
      <c r="AO832" s="685">
        <f t="shared" si="733"/>
        <v>-1.1595143602052571</v>
      </c>
      <c r="AP832" s="276">
        <f t="shared" si="734"/>
        <v>2.6038259247882296</v>
      </c>
      <c r="AQ832" s="276">
        <f t="shared" si="735"/>
        <v>-5.1026133897968906</v>
      </c>
      <c r="AR832" s="276">
        <f t="shared" si="736"/>
        <v>-2.5038484046825698</v>
      </c>
      <c r="AS832" s="276">
        <f t="shared" si="737"/>
        <v>-3.1913550035761986</v>
      </c>
      <c r="AT832" s="276">
        <f t="shared" si="738"/>
        <v>-2.900535312997671</v>
      </c>
      <c r="AU832" s="685">
        <f t="shared" si="739"/>
        <v>0.60251040864345495</v>
      </c>
      <c r="AV832" s="276">
        <f t="shared" si="740"/>
        <v>1.1163447010807801</v>
      </c>
      <c r="AW832" s="276">
        <f t="shared" si="741"/>
        <v>1.516050769348978</v>
      </c>
      <c r="AX832" s="276">
        <f t="shared" si="742"/>
        <v>0.68273926216846625</v>
      </c>
      <c r="AY832" s="276">
        <f t="shared" si="743"/>
        <v>1.1166278941899013</v>
      </c>
      <c r="AZ832" s="686">
        <f t="shared" si="744"/>
        <v>1.4303870359648057</v>
      </c>
      <c r="BA832" s="685">
        <f t="shared" si="745"/>
        <v>0</v>
      </c>
      <c r="BB832" s="276">
        <f t="shared" si="746"/>
        <v>0</v>
      </c>
      <c r="BC832" s="276">
        <f t="shared" si="747"/>
        <v>0</v>
      </c>
      <c r="BD832" s="276">
        <f t="shared" si="748"/>
        <v>0</v>
      </c>
      <c r="BE832" s="276">
        <f t="shared" si="749"/>
        <v>0</v>
      </c>
      <c r="BF832" s="686">
        <f t="shared" si="750"/>
        <v>0</v>
      </c>
      <c r="BG832" s="685" t="e">
        <f t="shared" si="751"/>
        <v>#DIV/0!</v>
      </c>
      <c r="BH832" s="276" t="e">
        <f t="shared" si="752"/>
        <v>#DIV/0!</v>
      </c>
      <c r="BI832" s="276" t="e">
        <f t="shared" si="753"/>
        <v>#DIV/0!</v>
      </c>
      <c r="BJ832" s="276" t="e">
        <f t="shared" si="754"/>
        <v>#DIV/0!</v>
      </c>
      <c r="BK832" s="276" t="e">
        <f t="shared" si="755"/>
        <v>#DIV/0!</v>
      </c>
      <c r="BL832" s="686" t="e">
        <f t="shared" si="756"/>
        <v>#DIV/0!</v>
      </c>
      <c r="BM832" s="239"/>
      <c r="BN832" s="965" t="e">
        <f t="shared" si="757"/>
        <v>#VALUE!</v>
      </c>
      <c r="BO832" s="878" t="e">
        <f t="shared" si="758"/>
        <v>#VALUE!</v>
      </c>
      <c r="BP832" s="878" t="e">
        <f t="shared" si="759"/>
        <v>#VALUE!</v>
      </c>
      <c r="BQ832" s="878" t="e">
        <f t="shared" si="760"/>
        <v>#VALUE!</v>
      </c>
      <c r="BR832" s="878" t="e">
        <f t="shared" si="761"/>
        <v>#VALUE!</v>
      </c>
      <c r="BS832" s="966" t="e">
        <f t="shared" si="762"/>
        <v>#VALUE!</v>
      </c>
    </row>
    <row r="833" spans="1:71">
      <c r="A833" s="284">
        <f t="shared" si="763"/>
        <v>765</v>
      </c>
      <c r="B833" s="285">
        <v>-2.1447647901839062</v>
      </c>
      <c r="C833" s="285">
        <v>2.2636616802681564</v>
      </c>
      <c r="D833" s="285">
        <v>1.4829262217948107</v>
      </c>
      <c r="E833" s="285">
        <v>-2.3703416891907643</v>
      </c>
      <c r="H833" s="685">
        <f t="shared" si="709"/>
        <v>-3.2779986319529613</v>
      </c>
      <c r="I833" s="276">
        <f t="shared" si="710"/>
        <v>-0.79187377014705129</v>
      </c>
      <c r="J833" s="276">
        <f t="shared" si="711"/>
        <v>-2.4226946114444905</v>
      </c>
      <c r="K833" s="276">
        <f t="shared" si="712"/>
        <v>-2.1383011153587859</v>
      </c>
      <c r="L833" s="276">
        <f t="shared" si="713"/>
        <v>8.5114878900991675E-2</v>
      </c>
      <c r="M833" s="276">
        <f t="shared" si="714"/>
        <v>0.65262687440458533</v>
      </c>
      <c r="N833" s="685">
        <f t="shared" si="715"/>
        <v>1.056490469296288</v>
      </c>
      <c r="O833" s="276">
        <f t="shared" si="716"/>
        <v>1.0806116326990562</v>
      </c>
      <c r="P833" s="276">
        <f t="shared" si="717"/>
        <v>1.3145978974403267</v>
      </c>
      <c r="Q833" s="276">
        <f t="shared" si="718"/>
        <v>1.3287472602415888</v>
      </c>
      <c r="R833" s="276">
        <f t="shared" si="719"/>
        <v>1.7242449070113441</v>
      </c>
      <c r="S833" s="686">
        <f t="shared" si="720"/>
        <v>1.008017459682524</v>
      </c>
      <c r="T833" s="685">
        <f t="shared" si="721"/>
        <v>4.7612899120657364</v>
      </c>
      <c r="U833" s="276">
        <f t="shared" si="722"/>
        <v>5.4879164619694762</v>
      </c>
      <c r="V833" s="276">
        <f t="shared" si="723"/>
        <v>5.7202485458623968</v>
      </c>
      <c r="W833" s="276">
        <f t="shared" si="724"/>
        <v>4.3499810496751312</v>
      </c>
      <c r="X833" s="276">
        <f t="shared" si="725"/>
        <v>4.9037157527307471</v>
      </c>
      <c r="Y833" s="686">
        <f t="shared" si="726"/>
        <v>6.6458781723377012</v>
      </c>
      <c r="Z833" s="685" t="e">
        <f t="shared" si="727"/>
        <v>#DIV/0!</v>
      </c>
      <c r="AA833" s="276" t="e">
        <f t="shared" si="728"/>
        <v>#DIV/0!</v>
      </c>
      <c r="AB833" s="276" t="e">
        <f t="shared" si="729"/>
        <v>#DIV/0!</v>
      </c>
      <c r="AC833" s="276" t="e">
        <f t="shared" si="730"/>
        <v>#DIV/0!</v>
      </c>
      <c r="AD833" s="276" t="e">
        <f t="shared" si="731"/>
        <v>#DIV/0!</v>
      </c>
      <c r="AE833" s="686" t="e">
        <f t="shared" si="732"/>
        <v>#DIV/0!</v>
      </c>
      <c r="AF833" s="239"/>
      <c r="AG833" s="965" t="e">
        <f t="shared" si="703"/>
        <v>#VALUE!</v>
      </c>
      <c r="AH833" s="878" t="e">
        <f t="shared" si="704"/>
        <v>#VALUE!</v>
      </c>
      <c r="AI833" s="878" t="e">
        <f t="shared" si="705"/>
        <v>#VALUE!</v>
      </c>
      <c r="AJ833" s="878" t="e">
        <f t="shared" si="706"/>
        <v>#VALUE!</v>
      </c>
      <c r="AK833" s="878" t="e">
        <f t="shared" si="707"/>
        <v>#VALUE!</v>
      </c>
      <c r="AL833" s="966" t="e">
        <f t="shared" si="708"/>
        <v>#VALUE!</v>
      </c>
      <c r="AM833" s="239"/>
      <c r="AO833" s="685">
        <f t="shared" si="733"/>
        <v>-3.2779986319529613</v>
      </c>
      <c r="AP833" s="276">
        <f t="shared" si="734"/>
        <v>-0.79187377014705129</v>
      </c>
      <c r="AQ833" s="276">
        <f t="shared" si="735"/>
        <v>-2.4226946114444905</v>
      </c>
      <c r="AR833" s="276">
        <f t="shared" si="736"/>
        <v>-2.1383011153587859</v>
      </c>
      <c r="AS833" s="276">
        <f t="shared" si="737"/>
        <v>8.5114878900991675E-2</v>
      </c>
      <c r="AT833" s="276">
        <f t="shared" si="738"/>
        <v>0.65262687440458533</v>
      </c>
      <c r="AU833" s="685">
        <f t="shared" si="739"/>
        <v>1.056490469296288</v>
      </c>
      <c r="AV833" s="276">
        <f t="shared" si="740"/>
        <v>1.0806116326990562</v>
      </c>
      <c r="AW833" s="276">
        <f t="shared" si="741"/>
        <v>1.3145978974403267</v>
      </c>
      <c r="AX833" s="276">
        <f t="shared" si="742"/>
        <v>1.3287472602415888</v>
      </c>
      <c r="AY833" s="276">
        <f t="shared" si="743"/>
        <v>1.7242449070113441</v>
      </c>
      <c r="AZ833" s="686">
        <f t="shared" si="744"/>
        <v>1.008017459682524</v>
      </c>
      <c r="BA833" s="685">
        <f t="shared" si="745"/>
        <v>0</v>
      </c>
      <c r="BB833" s="276">
        <f t="shared" si="746"/>
        <v>0</v>
      </c>
      <c r="BC833" s="276">
        <f t="shared" si="747"/>
        <v>0</v>
      </c>
      <c r="BD833" s="276">
        <f t="shared" si="748"/>
        <v>0</v>
      </c>
      <c r="BE833" s="276">
        <f t="shared" si="749"/>
        <v>0</v>
      </c>
      <c r="BF833" s="686">
        <f t="shared" si="750"/>
        <v>0</v>
      </c>
      <c r="BG833" s="685" t="e">
        <f t="shared" si="751"/>
        <v>#DIV/0!</v>
      </c>
      <c r="BH833" s="276" t="e">
        <f t="shared" si="752"/>
        <v>#DIV/0!</v>
      </c>
      <c r="BI833" s="276" t="e">
        <f t="shared" si="753"/>
        <v>#DIV/0!</v>
      </c>
      <c r="BJ833" s="276" t="e">
        <f t="shared" si="754"/>
        <v>#DIV/0!</v>
      </c>
      <c r="BK833" s="276" t="e">
        <f t="shared" si="755"/>
        <v>#DIV/0!</v>
      </c>
      <c r="BL833" s="686" t="e">
        <f t="shared" si="756"/>
        <v>#DIV/0!</v>
      </c>
      <c r="BM833" s="239"/>
      <c r="BN833" s="965" t="e">
        <f t="shared" si="757"/>
        <v>#VALUE!</v>
      </c>
      <c r="BO833" s="878" t="e">
        <f t="shared" si="758"/>
        <v>#VALUE!</v>
      </c>
      <c r="BP833" s="878" t="e">
        <f t="shared" si="759"/>
        <v>#VALUE!</v>
      </c>
      <c r="BQ833" s="878" t="e">
        <f t="shared" si="760"/>
        <v>#VALUE!</v>
      </c>
      <c r="BR833" s="878" t="e">
        <f t="shared" si="761"/>
        <v>#VALUE!</v>
      </c>
      <c r="BS833" s="966" t="e">
        <f t="shared" si="762"/>
        <v>#VALUE!</v>
      </c>
    </row>
    <row r="834" spans="1:71">
      <c r="A834" s="284">
        <f t="shared" si="763"/>
        <v>766</v>
      </c>
      <c r="B834" s="285">
        <v>-1.5859425871085173</v>
      </c>
      <c r="C834" s="285">
        <v>2.1595430255547465</v>
      </c>
      <c r="D834" s="285">
        <v>0.65339325986097518</v>
      </c>
      <c r="E834" s="285">
        <v>-13.82260749278197</v>
      </c>
      <c r="H834" s="685">
        <f t="shared" si="709"/>
        <v>-2.7191764288775722</v>
      </c>
      <c r="I834" s="276">
        <f t="shared" si="710"/>
        <v>-0.13915945155176224</v>
      </c>
      <c r="J834" s="276">
        <f t="shared" si="711"/>
        <v>0.5608061000368505</v>
      </c>
      <c r="K834" s="276">
        <f t="shared" si="712"/>
        <v>0.34131317015298634</v>
      </c>
      <c r="L834" s="276">
        <f t="shared" si="713"/>
        <v>-2.0711371522270983</v>
      </c>
      <c r="M834" s="276">
        <f t="shared" si="714"/>
        <v>-2.6253562130860142</v>
      </c>
      <c r="N834" s="685">
        <f t="shared" si="715"/>
        <v>0.95237181458287812</v>
      </c>
      <c r="O834" s="276">
        <f t="shared" si="716"/>
        <v>2.1152770762074589</v>
      </c>
      <c r="P834" s="276">
        <f t="shared" si="717"/>
        <v>1.1634159724726694</v>
      </c>
      <c r="Q834" s="276">
        <f t="shared" si="718"/>
        <v>0.92608524441734308</v>
      </c>
      <c r="R834" s="276">
        <f t="shared" si="719"/>
        <v>0.71777716338002673</v>
      </c>
      <c r="S834" s="686">
        <f t="shared" si="720"/>
        <v>1.2239969506054862</v>
      </c>
      <c r="T834" s="685">
        <f t="shared" si="721"/>
        <v>3.9317569501319012</v>
      </c>
      <c r="U834" s="276">
        <f t="shared" si="722"/>
        <v>4.1806395674133174</v>
      </c>
      <c r="V834" s="276">
        <f t="shared" si="723"/>
        <v>4.2190835587251376</v>
      </c>
      <c r="W834" s="276">
        <f t="shared" si="724"/>
        <v>4.0424623035241485</v>
      </c>
      <c r="X834" s="276">
        <f t="shared" si="725"/>
        <v>4.4617150386305342</v>
      </c>
      <c r="Y834" s="686">
        <f t="shared" si="726"/>
        <v>2.674498576950346</v>
      </c>
      <c r="Z834" s="685" t="e">
        <f t="shared" si="727"/>
        <v>#DIV/0!</v>
      </c>
      <c r="AA834" s="276" t="e">
        <f t="shared" si="728"/>
        <v>#DIV/0!</v>
      </c>
      <c r="AB834" s="276" t="e">
        <f t="shared" si="729"/>
        <v>#DIV/0!</v>
      </c>
      <c r="AC834" s="276" t="e">
        <f t="shared" si="730"/>
        <v>#DIV/0!</v>
      </c>
      <c r="AD834" s="276" t="e">
        <f t="shared" si="731"/>
        <v>#DIV/0!</v>
      </c>
      <c r="AE834" s="686" t="e">
        <f t="shared" si="732"/>
        <v>#DIV/0!</v>
      </c>
      <c r="AF834" s="239"/>
      <c r="AG834" s="965" t="e">
        <f t="shared" si="703"/>
        <v>#VALUE!</v>
      </c>
      <c r="AH834" s="878" t="e">
        <f t="shared" si="704"/>
        <v>#VALUE!</v>
      </c>
      <c r="AI834" s="878" t="e">
        <f t="shared" si="705"/>
        <v>#VALUE!</v>
      </c>
      <c r="AJ834" s="878" t="e">
        <f t="shared" si="706"/>
        <v>#VALUE!</v>
      </c>
      <c r="AK834" s="878" t="e">
        <f t="shared" si="707"/>
        <v>#VALUE!</v>
      </c>
      <c r="AL834" s="966" t="e">
        <f t="shared" si="708"/>
        <v>#VALUE!</v>
      </c>
      <c r="AM834" s="239"/>
      <c r="AO834" s="685">
        <f t="shared" si="733"/>
        <v>-2.7191764288775722</v>
      </c>
      <c r="AP834" s="276">
        <f t="shared" si="734"/>
        <v>-0.13915945155176224</v>
      </c>
      <c r="AQ834" s="276">
        <f t="shared" si="735"/>
        <v>0.5608061000368505</v>
      </c>
      <c r="AR834" s="276">
        <f t="shared" si="736"/>
        <v>0.34131317015298634</v>
      </c>
      <c r="AS834" s="276">
        <f t="shared" si="737"/>
        <v>-2.0711371522270983</v>
      </c>
      <c r="AT834" s="276">
        <f t="shared" si="738"/>
        <v>-2.6253562130860142</v>
      </c>
      <c r="AU834" s="685">
        <f t="shared" si="739"/>
        <v>0.95237181458287812</v>
      </c>
      <c r="AV834" s="276">
        <f t="shared" si="740"/>
        <v>2.1152770762074589</v>
      </c>
      <c r="AW834" s="276">
        <f t="shared" si="741"/>
        <v>1.1634159724726694</v>
      </c>
      <c r="AX834" s="276">
        <f t="shared" si="742"/>
        <v>0.92608524441734308</v>
      </c>
      <c r="AY834" s="276">
        <f t="shared" si="743"/>
        <v>0.71777716338002673</v>
      </c>
      <c r="AZ834" s="686">
        <f t="shared" si="744"/>
        <v>1.2239969506054862</v>
      </c>
      <c r="BA834" s="685">
        <f t="shared" si="745"/>
        <v>0</v>
      </c>
      <c r="BB834" s="276">
        <f t="shared" si="746"/>
        <v>0</v>
      </c>
      <c r="BC834" s="276">
        <f t="shared" si="747"/>
        <v>0</v>
      </c>
      <c r="BD834" s="276">
        <f t="shared" si="748"/>
        <v>0</v>
      </c>
      <c r="BE834" s="276">
        <f t="shared" si="749"/>
        <v>0</v>
      </c>
      <c r="BF834" s="686">
        <f t="shared" si="750"/>
        <v>0</v>
      </c>
      <c r="BG834" s="685" t="e">
        <f t="shared" si="751"/>
        <v>#DIV/0!</v>
      </c>
      <c r="BH834" s="276" t="e">
        <f t="shared" si="752"/>
        <v>#DIV/0!</v>
      </c>
      <c r="BI834" s="276" t="e">
        <f t="shared" si="753"/>
        <v>#DIV/0!</v>
      </c>
      <c r="BJ834" s="276" t="e">
        <f t="shared" si="754"/>
        <v>#DIV/0!</v>
      </c>
      <c r="BK834" s="276" t="e">
        <f t="shared" si="755"/>
        <v>#DIV/0!</v>
      </c>
      <c r="BL834" s="686" t="e">
        <f t="shared" si="756"/>
        <v>#DIV/0!</v>
      </c>
      <c r="BM834" s="239"/>
      <c r="BN834" s="965" t="e">
        <f t="shared" si="757"/>
        <v>#VALUE!</v>
      </c>
      <c r="BO834" s="878" t="e">
        <f t="shared" si="758"/>
        <v>#VALUE!</v>
      </c>
      <c r="BP834" s="878" t="e">
        <f t="shared" si="759"/>
        <v>#VALUE!</v>
      </c>
      <c r="BQ834" s="878" t="e">
        <f t="shared" si="760"/>
        <v>#VALUE!</v>
      </c>
      <c r="BR834" s="878" t="e">
        <f t="shared" si="761"/>
        <v>#VALUE!</v>
      </c>
      <c r="BS834" s="966" t="e">
        <f t="shared" si="762"/>
        <v>#VALUE!</v>
      </c>
    </row>
    <row r="835" spans="1:71">
      <c r="A835" s="284">
        <f t="shared" si="763"/>
        <v>767</v>
      </c>
      <c r="B835" s="285">
        <v>-0.565548086836834</v>
      </c>
      <c r="C835" s="285">
        <v>2.0640462739446157</v>
      </c>
      <c r="D835" s="285">
        <v>-0.72141954422512966</v>
      </c>
      <c r="E835" s="285">
        <v>-14.439596029643537</v>
      </c>
      <c r="H835" s="685">
        <f t="shared" si="709"/>
        <v>-1.6987819286058889</v>
      </c>
      <c r="I835" s="276">
        <f t="shared" si="710"/>
        <v>-6.1479568652725414</v>
      </c>
      <c r="J835" s="276">
        <f t="shared" si="711"/>
        <v>1.3827683048415482</v>
      </c>
      <c r="K835" s="276">
        <f t="shared" si="712"/>
        <v>2.6751022606959873</v>
      </c>
      <c r="L835" s="276">
        <f t="shared" si="713"/>
        <v>-4.8859096335285379</v>
      </c>
      <c r="M835" s="276">
        <f t="shared" si="714"/>
        <v>-7.4885706873175639E-2</v>
      </c>
      <c r="N835" s="685">
        <f t="shared" si="715"/>
        <v>0.85687506297274729</v>
      </c>
      <c r="O835" s="276">
        <f t="shared" si="716"/>
        <v>0.14313157976926338</v>
      </c>
      <c r="P835" s="276">
        <f t="shared" si="717"/>
        <v>1.4369265856910911</v>
      </c>
      <c r="Q835" s="276">
        <f t="shared" si="718"/>
        <v>2.0904236050831102</v>
      </c>
      <c r="R835" s="276">
        <f t="shared" si="719"/>
        <v>0.96496299495509175</v>
      </c>
      <c r="S835" s="686">
        <f t="shared" si="720"/>
        <v>1.2981467226903856</v>
      </c>
      <c r="T835" s="685">
        <f t="shared" si="721"/>
        <v>2.5569441460457965</v>
      </c>
      <c r="U835" s="276">
        <f t="shared" si="722"/>
        <v>1.8244855520904211</v>
      </c>
      <c r="V835" s="276">
        <f t="shared" si="723"/>
        <v>3.6280168039678404</v>
      </c>
      <c r="W835" s="276">
        <f t="shared" si="724"/>
        <v>3.0304106008036102</v>
      </c>
      <c r="X835" s="276">
        <f t="shared" si="725"/>
        <v>5.3655127770230306</v>
      </c>
      <c r="Y835" s="686">
        <f t="shared" si="726"/>
        <v>3.124529942726606</v>
      </c>
      <c r="Z835" s="685" t="e">
        <f t="shared" si="727"/>
        <v>#DIV/0!</v>
      </c>
      <c r="AA835" s="276" t="e">
        <f t="shared" si="728"/>
        <v>#DIV/0!</v>
      </c>
      <c r="AB835" s="276" t="e">
        <f t="shared" si="729"/>
        <v>#DIV/0!</v>
      </c>
      <c r="AC835" s="276" t="e">
        <f t="shared" si="730"/>
        <v>#DIV/0!</v>
      </c>
      <c r="AD835" s="276" t="e">
        <f t="shared" si="731"/>
        <v>#DIV/0!</v>
      </c>
      <c r="AE835" s="686" t="e">
        <f t="shared" si="732"/>
        <v>#DIV/0!</v>
      </c>
      <c r="AF835" s="239"/>
      <c r="AG835" s="965" t="e">
        <f t="shared" si="703"/>
        <v>#VALUE!</v>
      </c>
      <c r="AH835" s="878" t="e">
        <f t="shared" si="704"/>
        <v>#VALUE!</v>
      </c>
      <c r="AI835" s="878" t="e">
        <f t="shared" si="705"/>
        <v>#VALUE!</v>
      </c>
      <c r="AJ835" s="878" t="e">
        <f t="shared" si="706"/>
        <v>#VALUE!</v>
      </c>
      <c r="AK835" s="878" t="e">
        <f t="shared" si="707"/>
        <v>#VALUE!</v>
      </c>
      <c r="AL835" s="966" t="e">
        <f t="shared" si="708"/>
        <v>#VALUE!</v>
      </c>
      <c r="AM835" s="239"/>
      <c r="AO835" s="685">
        <f t="shared" si="733"/>
        <v>-1.6987819286058889</v>
      </c>
      <c r="AP835" s="276">
        <f t="shared" si="734"/>
        <v>-6.1479568652725414</v>
      </c>
      <c r="AQ835" s="276">
        <f t="shared" si="735"/>
        <v>1.3827683048415482</v>
      </c>
      <c r="AR835" s="276">
        <f t="shared" si="736"/>
        <v>2.6751022606959873</v>
      </c>
      <c r="AS835" s="276">
        <f t="shared" si="737"/>
        <v>-4.8859096335285379</v>
      </c>
      <c r="AT835" s="276">
        <f t="shared" si="738"/>
        <v>-7.4885706873175639E-2</v>
      </c>
      <c r="AU835" s="685">
        <f t="shared" si="739"/>
        <v>0.85687506297274729</v>
      </c>
      <c r="AV835" s="276">
        <f t="shared" si="740"/>
        <v>0.14313157976926338</v>
      </c>
      <c r="AW835" s="276">
        <f t="shared" si="741"/>
        <v>1.4369265856910911</v>
      </c>
      <c r="AX835" s="276">
        <f t="shared" si="742"/>
        <v>2.0904236050831102</v>
      </c>
      <c r="AY835" s="276">
        <f t="shared" si="743"/>
        <v>0.96496299495509175</v>
      </c>
      <c r="AZ835" s="686">
        <f t="shared" si="744"/>
        <v>1.2981467226903856</v>
      </c>
      <c r="BA835" s="685">
        <f t="shared" si="745"/>
        <v>0</v>
      </c>
      <c r="BB835" s="276">
        <f t="shared" si="746"/>
        <v>0</v>
      </c>
      <c r="BC835" s="276">
        <f t="shared" si="747"/>
        <v>0</v>
      </c>
      <c r="BD835" s="276">
        <f t="shared" si="748"/>
        <v>0</v>
      </c>
      <c r="BE835" s="276">
        <f t="shared" si="749"/>
        <v>0</v>
      </c>
      <c r="BF835" s="686">
        <f t="shared" si="750"/>
        <v>0</v>
      </c>
      <c r="BG835" s="685" t="e">
        <f t="shared" si="751"/>
        <v>#DIV/0!</v>
      </c>
      <c r="BH835" s="276" t="e">
        <f t="shared" si="752"/>
        <v>#DIV/0!</v>
      </c>
      <c r="BI835" s="276" t="e">
        <f t="shared" si="753"/>
        <v>#DIV/0!</v>
      </c>
      <c r="BJ835" s="276" t="e">
        <f t="shared" si="754"/>
        <v>#DIV/0!</v>
      </c>
      <c r="BK835" s="276" t="e">
        <f t="shared" si="755"/>
        <v>#DIV/0!</v>
      </c>
      <c r="BL835" s="686" t="e">
        <f t="shared" si="756"/>
        <v>#DIV/0!</v>
      </c>
      <c r="BM835" s="239"/>
      <c r="BN835" s="965" t="e">
        <f t="shared" si="757"/>
        <v>#VALUE!</v>
      </c>
      <c r="BO835" s="878" t="e">
        <f t="shared" si="758"/>
        <v>#VALUE!</v>
      </c>
      <c r="BP835" s="878" t="e">
        <f t="shared" si="759"/>
        <v>#VALUE!</v>
      </c>
      <c r="BQ835" s="878" t="e">
        <f t="shared" si="760"/>
        <v>#VALUE!</v>
      </c>
      <c r="BR835" s="878" t="e">
        <f t="shared" si="761"/>
        <v>#VALUE!</v>
      </c>
      <c r="BS835" s="966" t="e">
        <f t="shared" si="762"/>
        <v>#VALUE!</v>
      </c>
    </row>
    <row r="836" spans="1:71">
      <c r="A836" s="284">
        <f t="shared" si="763"/>
        <v>768</v>
      </c>
      <c r="B836" s="285">
        <v>1.8395666059962399</v>
      </c>
      <c r="C836" s="285">
        <v>2.7252985206925131</v>
      </c>
      <c r="D836" s="285">
        <v>0.97198396674033605</v>
      </c>
      <c r="E836" s="285">
        <v>11.304103105585529</v>
      </c>
      <c r="H836" s="685">
        <f t="shared" si="709"/>
        <v>0.70633276422718505</v>
      </c>
      <c r="I836" s="276">
        <f t="shared" si="710"/>
        <v>-2.0918649796872364</v>
      </c>
      <c r="J836" s="276">
        <f t="shared" si="711"/>
        <v>-4.5600640073462051</v>
      </c>
      <c r="K836" s="276">
        <f t="shared" si="712"/>
        <v>1.6648947220186436</v>
      </c>
      <c r="L836" s="276">
        <f t="shared" si="713"/>
        <v>4.7683711848557389</v>
      </c>
      <c r="M836" s="276">
        <f t="shared" si="714"/>
        <v>-1.3718471878472611</v>
      </c>
      <c r="N836" s="685">
        <f t="shared" si="715"/>
        <v>1.5181273097206447</v>
      </c>
      <c r="O836" s="276">
        <f t="shared" si="716"/>
        <v>1.6650781010067488</v>
      </c>
      <c r="P836" s="276">
        <f t="shared" si="717"/>
        <v>0.456086073525938</v>
      </c>
      <c r="Q836" s="276">
        <f t="shared" si="718"/>
        <v>2.0279807000139716</v>
      </c>
      <c r="R836" s="276">
        <f t="shared" si="719"/>
        <v>2.0020401392547669</v>
      </c>
      <c r="S836" s="686">
        <f t="shared" si="720"/>
        <v>0.87418074833406734</v>
      </c>
      <c r="T836" s="685">
        <f t="shared" si="721"/>
        <v>4.2503476570112619</v>
      </c>
      <c r="U836" s="276">
        <f t="shared" si="722"/>
        <v>3.4106710547364862</v>
      </c>
      <c r="V836" s="276">
        <f t="shared" si="723"/>
        <v>2.9778077712204105</v>
      </c>
      <c r="W836" s="276">
        <f t="shared" si="724"/>
        <v>4.9417441632689867</v>
      </c>
      <c r="X836" s="276">
        <f t="shared" si="725"/>
        <v>5.2246670380074587</v>
      </c>
      <c r="Y836" s="686">
        <f t="shared" si="726"/>
        <v>6.2679468596879531</v>
      </c>
      <c r="Z836" s="685" t="e">
        <f t="shared" si="727"/>
        <v>#DIV/0!</v>
      </c>
      <c r="AA836" s="276" t="e">
        <f t="shared" si="728"/>
        <v>#DIV/0!</v>
      </c>
      <c r="AB836" s="276" t="e">
        <f t="shared" si="729"/>
        <v>#DIV/0!</v>
      </c>
      <c r="AC836" s="276" t="e">
        <f t="shared" si="730"/>
        <v>#DIV/0!</v>
      </c>
      <c r="AD836" s="276" t="e">
        <f t="shared" si="731"/>
        <v>#DIV/0!</v>
      </c>
      <c r="AE836" s="686" t="e">
        <f t="shared" si="732"/>
        <v>#DIV/0!</v>
      </c>
      <c r="AF836" s="239"/>
      <c r="AG836" s="965" t="e">
        <f t="shared" si="703"/>
        <v>#VALUE!</v>
      </c>
      <c r="AH836" s="878" t="e">
        <f t="shared" si="704"/>
        <v>#VALUE!</v>
      </c>
      <c r="AI836" s="878" t="e">
        <f t="shared" si="705"/>
        <v>#VALUE!</v>
      </c>
      <c r="AJ836" s="878" t="e">
        <f t="shared" si="706"/>
        <v>#VALUE!</v>
      </c>
      <c r="AK836" s="878" t="e">
        <f t="shared" si="707"/>
        <v>#VALUE!</v>
      </c>
      <c r="AL836" s="966" t="e">
        <f t="shared" si="708"/>
        <v>#VALUE!</v>
      </c>
      <c r="AM836" s="239"/>
      <c r="AO836" s="685">
        <f t="shared" si="733"/>
        <v>0.70633276422718505</v>
      </c>
      <c r="AP836" s="276">
        <f t="shared" si="734"/>
        <v>-2.0918649796872364</v>
      </c>
      <c r="AQ836" s="276">
        <f t="shared" si="735"/>
        <v>-4.5600640073462051</v>
      </c>
      <c r="AR836" s="276">
        <f t="shared" si="736"/>
        <v>1.6648947220186436</v>
      </c>
      <c r="AS836" s="276">
        <f t="shared" si="737"/>
        <v>4.7683711848557389</v>
      </c>
      <c r="AT836" s="276">
        <f t="shared" si="738"/>
        <v>-1.3718471878472611</v>
      </c>
      <c r="AU836" s="685">
        <f t="shared" si="739"/>
        <v>1.5181273097206447</v>
      </c>
      <c r="AV836" s="276">
        <f t="shared" si="740"/>
        <v>1.6650781010067488</v>
      </c>
      <c r="AW836" s="276">
        <f t="shared" si="741"/>
        <v>0.456086073525938</v>
      </c>
      <c r="AX836" s="276">
        <f t="shared" si="742"/>
        <v>2.0279807000139716</v>
      </c>
      <c r="AY836" s="276">
        <f t="shared" si="743"/>
        <v>2.0020401392547669</v>
      </c>
      <c r="AZ836" s="686">
        <f t="shared" si="744"/>
        <v>0.87418074833406734</v>
      </c>
      <c r="BA836" s="685">
        <f t="shared" si="745"/>
        <v>0</v>
      </c>
      <c r="BB836" s="276">
        <f t="shared" si="746"/>
        <v>0</v>
      </c>
      <c r="BC836" s="276">
        <f t="shared" si="747"/>
        <v>0</v>
      </c>
      <c r="BD836" s="276">
        <f t="shared" si="748"/>
        <v>0</v>
      </c>
      <c r="BE836" s="276">
        <f t="shared" si="749"/>
        <v>0</v>
      </c>
      <c r="BF836" s="686">
        <f t="shared" si="750"/>
        <v>0</v>
      </c>
      <c r="BG836" s="685" t="e">
        <f t="shared" si="751"/>
        <v>#DIV/0!</v>
      </c>
      <c r="BH836" s="276" t="e">
        <f t="shared" si="752"/>
        <v>#DIV/0!</v>
      </c>
      <c r="BI836" s="276" t="e">
        <f t="shared" si="753"/>
        <v>#DIV/0!</v>
      </c>
      <c r="BJ836" s="276" t="e">
        <f t="shared" si="754"/>
        <v>#DIV/0!</v>
      </c>
      <c r="BK836" s="276" t="e">
        <f t="shared" si="755"/>
        <v>#DIV/0!</v>
      </c>
      <c r="BL836" s="686" t="e">
        <f t="shared" si="756"/>
        <v>#DIV/0!</v>
      </c>
      <c r="BM836" s="239"/>
      <c r="BN836" s="965" t="e">
        <f t="shared" si="757"/>
        <v>#VALUE!</v>
      </c>
      <c r="BO836" s="878" t="e">
        <f t="shared" si="758"/>
        <v>#VALUE!</v>
      </c>
      <c r="BP836" s="878" t="e">
        <f t="shared" si="759"/>
        <v>#VALUE!</v>
      </c>
      <c r="BQ836" s="878" t="e">
        <f t="shared" si="760"/>
        <v>#VALUE!</v>
      </c>
      <c r="BR836" s="878" t="e">
        <f t="shared" si="761"/>
        <v>#VALUE!</v>
      </c>
      <c r="BS836" s="966" t="e">
        <f t="shared" si="762"/>
        <v>#VALUE!</v>
      </c>
    </row>
    <row r="837" spans="1:71">
      <c r="A837" s="284">
        <f t="shared" si="763"/>
        <v>769</v>
      </c>
      <c r="B837" s="285">
        <v>1.1520512911044118</v>
      </c>
      <c r="C837" s="285">
        <v>3.0163988047328778</v>
      </c>
      <c r="D837" s="285">
        <v>0.72507290009173975</v>
      </c>
      <c r="E837" s="285">
        <v>8.9064212979651458</v>
      </c>
      <c r="H837" s="685">
        <f t="shared" si="709"/>
        <v>1.8817449335357006E-2</v>
      </c>
      <c r="I837" s="276">
        <f t="shared" si="710"/>
        <v>-0.44505921289472827</v>
      </c>
      <c r="J837" s="276">
        <f t="shared" si="711"/>
        <v>1.2884348521816122</v>
      </c>
      <c r="K837" s="276">
        <f t="shared" si="712"/>
        <v>1.2414390409591427</v>
      </c>
      <c r="L837" s="276">
        <f t="shared" si="713"/>
        <v>-1.9576975427080716</v>
      </c>
      <c r="M837" s="276">
        <f t="shared" si="714"/>
        <v>0.2331904718569231</v>
      </c>
      <c r="N837" s="685">
        <f t="shared" si="715"/>
        <v>1.8092275937610094</v>
      </c>
      <c r="O837" s="276">
        <f t="shared" si="716"/>
        <v>1.1856594759518806</v>
      </c>
      <c r="P837" s="276">
        <f t="shared" si="717"/>
        <v>1.015236044345708</v>
      </c>
      <c r="Q837" s="276">
        <f t="shared" si="718"/>
        <v>2.2225692704393953</v>
      </c>
      <c r="R837" s="276">
        <f t="shared" si="719"/>
        <v>1.6934407871979953</v>
      </c>
      <c r="S837" s="686">
        <f t="shared" si="720"/>
        <v>1.5768450095554487</v>
      </c>
      <c r="T837" s="685">
        <f t="shared" si="721"/>
        <v>4.0034365903626661</v>
      </c>
      <c r="U837" s="276">
        <f t="shared" si="722"/>
        <v>3.1540888694383722</v>
      </c>
      <c r="V837" s="276">
        <f t="shared" si="723"/>
        <v>4.8853066537399465</v>
      </c>
      <c r="W837" s="276">
        <f t="shared" si="724"/>
        <v>3.4822194305076701</v>
      </c>
      <c r="X837" s="276">
        <f t="shared" si="725"/>
        <v>4.1846260838045888</v>
      </c>
      <c r="Y837" s="686">
        <f t="shared" si="726"/>
        <v>5.3883561184616777</v>
      </c>
      <c r="Z837" s="685" t="e">
        <f t="shared" si="727"/>
        <v>#DIV/0!</v>
      </c>
      <c r="AA837" s="276" t="e">
        <f t="shared" si="728"/>
        <v>#DIV/0!</v>
      </c>
      <c r="AB837" s="276" t="e">
        <f t="shared" si="729"/>
        <v>#DIV/0!</v>
      </c>
      <c r="AC837" s="276" t="e">
        <f t="shared" si="730"/>
        <v>#DIV/0!</v>
      </c>
      <c r="AD837" s="276" t="e">
        <f t="shared" si="731"/>
        <v>#DIV/0!</v>
      </c>
      <c r="AE837" s="686" t="e">
        <f t="shared" si="732"/>
        <v>#DIV/0!</v>
      </c>
      <c r="AF837" s="239"/>
      <c r="AG837" s="965" t="e">
        <f t="shared" ref="AG837:AG900" si="764">S$53*(1+(T$55+N837)/100)*((1-S$62)+S$62*((1+(T$57+Z837)/100)))/(1+(T$54+H837)/100)-(T$56+T837)+T$58</f>
        <v>#VALUE!</v>
      </c>
      <c r="AH837" s="878" t="e">
        <f t="shared" ref="AH837:AH900" si="765">AG837*(1+(U$55+O837)/100)*((1-T$62)+T$62*((1+(U$57+AA837)/100)))/(1+(U$54+I837)/100)-(U$56+U837)+U$58</f>
        <v>#VALUE!</v>
      </c>
      <c r="AI837" s="878" t="e">
        <f t="shared" ref="AI837:AI900" si="766">AH837*(1+(V$55+P837)/100)*((1-U$62)+U$62*((1+(V$57+AB837)/100)))/(1+(V$54+J837)/100)-(V$56+V837)+V$58</f>
        <v>#VALUE!</v>
      </c>
      <c r="AJ837" s="878" t="e">
        <f t="shared" ref="AJ837:AJ900" si="767">AI837*(1+(W$55+Q837)/100)*((1-V$62)+V$62*((1+(W$57+AC837)/100)))/(1+(W$54+K837)/100)-(W$56+W837)+W$58</f>
        <v>#VALUE!</v>
      </c>
      <c r="AK837" s="878" t="e">
        <f t="shared" ref="AK837:AK900" si="768">AJ837*(1+(X$55+R837)/100)*((1-W$62)+W$62*((1+(X$57+AD837)/100)))/(1+(X$54+L837)/100)-(X$56+X837)+X$58</f>
        <v>#VALUE!</v>
      </c>
      <c r="AL837" s="966" t="e">
        <f t="shared" ref="AL837:AL900" si="769">AK837*(1+(Y$55+S837)/100)*((1-X$62)+X$62*((1+(Y$57+AE837)/100)))/(1+(Y$54+M837)/100)-(Y$56+Y837)+Y$58</f>
        <v>#VALUE!</v>
      </c>
      <c r="AM837" s="239"/>
      <c r="AO837" s="685">
        <f t="shared" si="733"/>
        <v>1.8817449335357006E-2</v>
      </c>
      <c r="AP837" s="276">
        <f t="shared" si="734"/>
        <v>-0.44505921289472827</v>
      </c>
      <c r="AQ837" s="276">
        <f t="shared" si="735"/>
        <v>1.2884348521816122</v>
      </c>
      <c r="AR837" s="276">
        <f t="shared" si="736"/>
        <v>1.2414390409591427</v>
      </c>
      <c r="AS837" s="276">
        <f t="shared" si="737"/>
        <v>-1.9576975427080716</v>
      </c>
      <c r="AT837" s="276">
        <f t="shared" si="738"/>
        <v>0.2331904718569231</v>
      </c>
      <c r="AU837" s="685">
        <f t="shared" si="739"/>
        <v>1.8092275937610094</v>
      </c>
      <c r="AV837" s="276">
        <f t="shared" si="740"/>
        <v>1.1856594759518806</v>
      </c>
      <c r="AW837" s="276">
        <f t="shared" si="741"/>
        <v>1.015236044345708</v>
      </c>
      <c r="AX837" s="276">
        <f t="shared" si="742"/>
        <v>2.2225692704393953</v>
      </c>
      <c r="AY837" s="276">
        <f t="shared" si="743"/>
        <v>1.6934407871979953</v>
      </c>
      <c r="AZ837" s="686">
        <f t="shared" si="744"/>
        <v>1.5768450095554487</v>
      </c>
      <c r="BA837" s="685">
        <f t="shared" si="745"/>
        <v>0</v>
      </c>
      <c r="BB837" s="276">
        <f t="shared" si="746"/>
        <v>0</v>
      </c>
      <c r="BC837" s="276">
        <f t="shared" si="747"/>
        <v>0</v>
      </c>
      <c r="BD837" s="276">
        <f t="shared" si="748"/>
        <v>0</v>
      </c>
      <c r="BE837" s="276">
        <f t="shared" si="749"/>
        <v>0</v>
      </c>
      <c r="BF837" s="686">
        <f t="shared" si="750"/>
        <v>0</v>
      </c>
      <c r="BG837" s="685" t="e">
        <f t="shared" si="751"/>
        <v>#DIV/0!</v>
      </c>
      <c r="BH837" s="276" t="e">
        <f t="shared" si="752"/>
        <v>#DIV/0!</v>
      </c>
      <c r="BI837" s="276" t="e">
        <f t="shared" si="753"/>
        <v>#DIV/0!</v>
      </c>
      <c r="BJ837" s="276" t="e">
        <f t="shared" si="754"/>
        <v>#DIV/0!</v>
      </c>
      <c r="BK837" s="276" t="e">
        <f t="shared" si="755"/>
        <v>#DIV/0!</v>
      </c>
      <c r="BL837" s="686" t="e">
        <f t="shared" si="756"/>
        <v>#DIV/0!</v>
      </c>
      <c r="BM837" s="239"/>
      <c r="BN837" s="965" t="e">
        <f t="shared" si="757"/>
        <v>#VALUE!</v>
      </c>
      <c r="BO837" s="878" t="e">
        <f t="shared" si="758"/>
        <v>#VALUE!</v>
      </c>
      <c r="BP837" s="878" t="e">
        <f t="shared" si="759"/>
        <v>#VALUE!</v>
      </c>
      <c r="BQ837" s="878" t="e">
        <f t="shared" si="760"/>
        <v>#VALUE!</v>
      </c>
      <c r="BR837" s="878" t="e">
        <f t="shared" si="761"/>
        <v>#VALUE!</v>
      </c>
      <c r="BS837" s="966" t="e">
        <f t="shared" si="762"/>
        <v>#VALUE!</v>
      </c>
    </row>
    <row r="838" spans="1:71">
      <c r="A838" s="284">
        <f t="shared" si="763"/>
        <v>770</v>
      </c>
      <c r="B838" s="285">
        <v>-0.86584083152825608</v>
      </c>
      <c r="C838" s="285">
        <v>2.6604924852054199</v>
      </c>
      <c r="D838" s="285">
        <v>1.8142733864004776</v>
      </c>
      <c r="E838" s="285">
        <v>-6.6434643081080047E-2</v>
      </c>
      <c r="H838" s="685">
        <f t="shared" ref="H838:H901" si="770">IF($B$42="On",$B838-$D$15,0)</f>
        <v>-1.999074673297311</v>
      </c>
      <c r="I838" s="276">
        <f t="shared" ref="I838:I901" si="771">IF($B$42="On",$B1838-$D$15,0)</f>
        <v>-3.7790000130252146</v>
      </c>
      <c r="J838" s="276">
        <f t="shared" ref="J838:J901" si="772">IF($B$42="On",$B2838-$D$15,0)</f>
        <v>0.57039089147088506</v>
      </c>
      <c r="K838" s="276">
        <f t="shared" ref="K838:K901" si="773">IF($B$42="On",$B3838-$D$15,0)</f>
        <v>-0.65271543610233085</v>
      </c>
      <c r="L838" s="276">
        <f t="shared" ref="L838:L901" si="774">IF($B$42="On",$B4838-$D$15,0)</f>
        <v>0.75242387034307745</v>
      </c>
      <c r="M838" s="276">
        <f t="shared" ref="M838:M901" si="775">IF($B$42="On",$B5838-$D$15,0)</f>
        <v>-0.73044684274307548</v>
      </c>
      <c r="N838" s="685">
        <f t="shared" ref="N838:N901" si="776">IF($B$43="On",$C838-$D$16,0)</f>
        <v>1.4533212742335515</v>
      </c>
      <c r="O838" s="276">
        <f t="shared" ref="O838:O901" si="777">IF($B$43="On",$C1838-$D$16,0)</f>
        <v>0.67552707254750466</v>
      </c>
      <c r="P838" s="276">
        <f t="shared" ref="P838:P901" si="778">IF($B$43="On",$C2838-$D$16,0)</f>
        <v>1.2813421291791094</v>
      </c>
      <c r="Q838" s="276">
        <f t="shared" ref="Q838:Q901" si="779">IF($B$43="On",$C3838-$D$16,0)</f>
        <v>1.7703102934324073</v>
      </c>
      <c r="R838" s="276">
        <f t="shared" ref="R838:R901" si="780">IF($B$43="On",$C4838-$D$16,0)</f>
        <v>1.7234161798680827</v>
      </c>
      <c r="S838" s="686">
        <f t="shared" ref="S838:S901" si="781">IF($B$43="On",$C5838-$D$16,0)</f>
        <v>1.40723186671262</v>
      </c>
      <c r="T838" s="685">
        <f t="shared" ref="T838:T901" si="782">IF($B$44="On",$D838-$D$17,0)</f>
        <v>5.0926370766714033</v>
      </c>
      <c r="U838" s="276">
        <f t="shared" ref="U838:U901" si="783">IF($B$44="On",$D1838-$D$17,0)</f>
        <v>3.4525772764393206</v>
      </c>
      <c r="V838" s="276">
        <f t="shared" ref="V838:V901" si="784">IF($B$44="On",$D2838-$D$17,0)</f>
        <v>5.4810620696941772</v>
      </c>
      <c r="W838" s="276">
        <f t="shared" ref="W838:W901" si="785">IF($B$44="On",$D3838-$D$17,0)</f>
        <v>5.5645637076836927</v>
      </c>
      <c r="X838" s="276">
        <f t="shared" ref="X838:X901" si="786">IF($B$44="On",$D4838-$D$17,0)</f>
        <v>4.9339041676242044</v>
      </c>
      <c r="Y838" s="686">
        <f t="shared" ref="Y838:Y901" si="787">IF($B$44="On",$D5838-$D$17,0)</f>
        <v>4.4145278558311567</v>
      </c>
      <c r="Z838" s="685" t="e">
        <f t="shared" ref="Z838:Z901" si="788">IF($B$45="On",$E838-$D$18,0)</f>
        <v>#DIV/0!</v>
      </c>
      <c r="AA838" s="276" t="e">
        <f t="shared" ref="AA838:AA901" si="789">IF($B$45="On",$E1838-$D$18,0)</f>
        <v>#DIV/0!</v>
      </c>
      <c r="AB838" s="276" t="e">
        <f t="shared" ref="AB838:AB901" si="790">IF($B$45="On",$E2838-$D$18,0)</f>
        <v>#DIV/0!</v>
      </c>
      <c r="AC838" s="276" t="e">
        <f t="shared" ref="AC838:AC901" si="791">IF($B$45="On",$E3838-$D$18,0)</f>
        <v>#DIV/0!</v>
      </c>
      <c r="AD838" s="276" t="e">
        <f t="shared" ref="AD838:AD901" si="792">IF($B$45="On",$E4838-$D$18,0)</f>
        <v>#DIV/0!</v>
      </c>
      <c r="AE838" s="686" t="e">
        <f t="shared" ref="AE838:AE901" si="793">IF($B$45="On",$E5838-$D$18,0)</f>
        <v>#DIV/0!</v>
      </c>
      <c r="AF838" s="239"/>
      <c r="AG838" s="965" t="e">
        <f t="shared" si="764"/>
        <v>#VALUE!</v>
      </c>
      <c r="AH838" s="878" t="e">
        <f t="shared" si="765"/>
        <v>#VALUE!</v>
      </c>
      <c r="AI838" s="878" t="e">
        <f t="shared" si="766"/>
        <v>#VALUE!</v>
      </c>
      <c r="AJ838" s="878" t="e">
        <f t="shared" si="767"/>
        <v>#VALUE!</v>
      </c>
      <c r="AK838" s="878" t="e">
        <f t="shared" si="768"/>
        <v>#VALUE!</v>
      </c>
      <c r="AL838" s="966" t="e">
        <f t="shared" si="769"/>
        <v>#VALUE!</v>
      </c>
      <c r="AM838" s="239"/>
      <c r="AO838" s="685">
        <f t="shared" ref="AO838:AO901" si="794">IF($B$42="On",MIN($B838-$D$15,$D$42),0)</f>
        <v>-1.999074673297311</v>
      </c>
      <c r="AP838" s="276">
        <f t="shared" ref="AP838:AP901" si="795">IF($B$42="On",MIN($B1838-$D$15,$D$42),0)</f>
        <v>-3.7790000130252146</v>
      </c>
      <c r="AQ838" s="276">
        <f t="shared" ref="AQ838:AQ901" si="796">IF($B$42="On",MIN($B2838-$D$15,$D$42),0)</f>
        <v>0.57039089147088506</v>
      </c>
      <c r="AR838" s="276">
        <f t="shared" ref="AR838:AR901" si="797">IF($B$42="On",MIN($B3838-$D$15,$D$42),0)</f>
        <v>-0.65271543610233085</v>
      </c>
      <c r="AS838" s="276">
        <f t="shared" ref="AS838:AS901" si="798">IF($B$42="On",MIN($B4838-$D$15,$D$42),0)</f>
        <v>0.75242387034307745</v>
      </c>
      <c r="AT838" s="276">
        <f t="shared" ref="AT838:AT901" si="799">IF($B$42="On",MIN($B5838-$D$15,$D$42),0)</f>
        <v>-0.73044684274307548</v>
      </c>
      <c r="AU838" s="685">
        <f t="shared" ref="AU838:AU901" si="800">IF($B$43="On",MAX($C838-$D$16,$D$43),0)</f>
        <v>1.4533212742335515</v>
      </c>
      <c r="AV838" s="276">
        <f t="shared" ref="AV838:AV901" si="801">IF($B$43="On",MAX($C1838-$D$16,$D$43),0)</f>
        <v>0.67552707254750466</v>
      </c>
      <c r="AW838" s="276">
        <f t="shared" ref="AW838:AW901" si="802">IF($B$43="On",MAX($C2838-$D$16,$D$43),0)</f>
        <v>1.2813421291791094</v>
      </c>
      <c r="AX838" s="276">
        <f t="shared" ref="AX838:AX901" si="803">IF($B$43="On",MAX($C3838-$D$16,$D$43),0)</f>
        <v>1.7703102934324073</v>
      </c>
      <c r="AY838" s="276">
        <f t="shared" ref="AY838:AY901" si="804">IF($B$43="On",MAX($C4838-$D$16,$D$43),0)</f>
        <v>1.7234161798680827</v>
      </c>
      <c r="AZ838" s="686">
        <f t="shared" ref="AZ838:AZ901" si="805">IF($B$43="On",MAX($C5838-$D$16,$D$43),0)</f>
        <v>1.40723186671262</v>
      </c>
      <c r="BA838" s="685">
        <f t="shared" ref="BA838:BA901" si="806">IF($B$44="On",MIN($D838-$D$17,$D$44),0)</f>
        <v>0</v>
      </c>
      <c r="BB838" s="276">
        <f t="shared" ref="BB838:BB901" si="807">IF($B$44="On",MIN($D1838-$D$17,$D$44),0)</f>
        <v>0</v>
      </c>
      <c r="BC838" s="276">
        <f t="shared" ref="BC838:BC901" si="808">IF($B$44="On",MIN($D2838-$D$17,$D$44),0)</f>
        <v>0</v>
      </c>
      <c r="BD838" s="276">
        <f t="shared" ref="BD838:BD901" si="809">IF($B$44="On",MIN($D3838-$D$17,$D$44),0)</f>
        <v>0</v>
      </c>
      <c r="BE838" s="276">
        <f t="shared" ref="BE838:BE901" si="810">IF($B$44="On",MIN($D4838-$D$17,$D$44),0)</f>
        <v>0</v>
      </c>
      <c r="BF838" s="686">
        <f t="shared" ref="BF838:BF901" si="811">IF($B$44="On",MIN($D5838-$D$17,$D$44),0)</f>
        <v>0</v>
      </c>
      <c r="BG838" s="685" t="e">
        <f t="shared" ref="BG838:BG901" si="812">IF($B$45="On",MAX($E838-$D$18,$D$45),0)</f>
        <v>#DIV/0!</v>
      </c>
      <c r="BH838" s="276" t="e">
        <f t="shared" ref="BH838:BH901" si="813">IF($B$45="On",MAX($E1838-$D$18,$D$45),0)</f>
        <v>#DIV/0!</v>
      </c>
      <c r="BI838" s="276" t="e">
        <f t="shared" ref="BI838:BI901" si="814">IF($B$45="On",MAX($E2838-$D$18,$D$45),0)</f>
        <v>#DIV/0!</v>
      </c>
      <c r="BJ838" s="276" t="e">
        <f t="shared" ref="BJ838:BJ901" si="815">IF($B$45="On",MAX($E3838-$D$18,$D$45),0)</f>
        <v>#DIV/0!</v>
      </c>
      <c r="BK838" s="276" t="e">
        <f t="shared" ref="BK838:BK901" si="816">IF($B$45="On",MAX($E4838-$D$18,$D$45),0)</f>
        <v>#DIV/0!</v>
      </c>
      <c r="BL838" s="686" t="e">
        <f t="shared" ref="BL838:BL901" si="817">IF($B$45="On",MAX($E5838-$D$18,$D$45),0)</f>
        <v>#DIV/0!</v>
      </c>
      <c r="BM838" s="239"/>
      <c r="BN838" s="965" t="e">
        <f t="shared" ref="BN838:BN901" si="818">S$53*(1+(T$55+AU838)/100)*((1-S$62)+S$62*((1+(T$57+BG838)/100)))/(1+(T$54+AO838)/100)-(T$56+BA838)+T$58</f>
        <v>#VALUE!</v>
      </c>
      <c r="BO838" s="878" t="e">
        <f t="shared" ref="BO838:BO901" si="819">BN838*(1+(U$55+AV838)/100)*((1-T$62)+T$62*((1+(U$57+BH838)/100)))/(1+(U$54+AP838)/100)-(U$56+BB838)+U$58</f>
        <v>#VALUE!</v>
      </c>
      <c r="BP838" s="878" t="e">
        <f t="shared" ref="BP838:BP901" si="820">BO838*(1+(V$55+AW838)/100)*((1-U$62)+U$62*((1+(V$57+BI838)/100)))/(1+(V$54+AQ838)/100)-(V$56+BC838)+V$58</f>
        <v>#VALUE!</v>
      </c>
      <c r="BQ838" s="878" t="e">
        <f t="shared" ref="BQ838:BQ901" si="821">BP838*(1+(W$55+AX838)/100)*((1-V$62)+V$62*((1+(W$57+BJ838)/100)))/(1+(W$54+AR838)/100)-(W$56+BD838)+W$58</f>
        <v>#VALUE!</v>
      </c>
      <c r="BR838" s="878" t="e">
        <f t="shared" ref="BR838:BR901" si="822">BQ838*(1+(X$55+AY838)/100)*((1-W$62)+W$62*((1+(X$57+BK838)/100)))/(1+(X$54+AS838)/100)-(X$56+BE838)+X$58</f>
        <v>#VALUE!</v>
      </c>
      <c r="BS838" s="966" t="e">
        <f t="shared" ref="BS838:BS901" si="823">BR838*(1+(Y$55+AZ838)/100)*((1-X$62)+X$62*((1+(Y$57+BL838)/100)))/(1+(Y$54+AT838)/100)-(Y$56+BF838)+Y$58</f>
        <v>#VALUE!</v>
      </c>
    </row>
    <row r="839" spans="1:71">
      <c r="A839" s="284">
        <f t="shared" ref="A839:A902" si="824">A838+1</f>
        <v>771</v>
      </c>
      <c r="B839" s="285">
        <v>-3.6797853672846879</v>
      </c>
      <c r="C839" s="285">
        <v>2.625809716094365</v>
      </c>
      <c r="D839" s="285">
        <v>2.6716747475786859</v>
      </c>
      <c r="E839" s="285">
        <v>2.0304159965239443</v>
      </c>
      <c r="H839" s="685">
        <f t="shared" si="770"/>
        <v>-4.8130192090537429</v>
      </c>
      <c r="I839" s="276">
        <f t="shared" si="771"/>
        <v>-1.5893830969343301</v>
      </c>
      <c r="J839" s="276">
        <f t="shared" si="772"/>
        <v>3.8016587292291835</v>
      </c>
      <c r="K839" s="276">
        <f t="shared" si="773"/>
        <v>0.15735686464317911</v>
      </c>
      <c r="L839" s="276">
        <f t="shared" si="774"/>
        <v>-0.55606261032201099</v>
      </c>
      <c r="M839" s="276">
        <f t="shared" si="775"/>
        <v>-2.2914921764656557</v>
      </c>
      <c r="N839" s="685">
        <f t="shared" si="776"/>
        <v>1.4186385051224966</v>
      </c>
      <c r="O839" s="276">
        <f t="shared" si="777"/>
        <v>1.6851392876333946</v>
      </c>
      <c r="P839" s="276">
        <f t="shared" si="778"/>
        <v>1.7798652015187455</v>
      </c>
      <c r="Q839" s="276">
        <f t="shared" si="779"/>
        <v>1.504360315237909</v>
      </c>
      <c r="R839" s="276">
        <f t="shared" si="780"/>
        <v>2.2480163643890902</v>
      </c>
      <c r="S839" s="686">
        <f t="shared" si="781"/>
        <v>1.1803806926992448</v>
      </c>
      <c r="T839" s="685">
        <f t="shared" si="782"/>
        <v>5.9500384378496118</v>
      </c>
      <c r="U839" s="276">
        <f t="shared" si="783"/>
        <v>4.4803488382265764</v>
      </c>
      <c r="V839" s="276">
        <f t="shared" si="784"/>
        <v>7.3927840979876951</v>
      </c>
      <c r="W839" s="276">
        <f t="shared" si="785"/>
        <v>5.4898764587011613</v>
      </c>
      <c r="X839" s="276">
        <f t="shared" si="786"/>
        <v>4.384608076738763</v>
      </c>
      <c r="Y839" s="686">
        <f t="shared" si="787"/>
        <v>6.0684413602648108</v>
      </c>
      <c r="Z839" s="685" t="e">
        <f t="shared" si="788"/>
        <v>#DIV/0!</v>
      </c>
      <c r="AA839" s="276" t="e">
        <f t="shared" si="789"/>
        <v>#DIV/0!</v>
      </c>
      <c r="AB839" s="276" t="e">
        <f t="shared" si="790"/>
        <v>#DIV/0!</v>
      </c>
      <c r="AC839" s="276" t="e">
        <f t="shared" si="791"/>
        <v>#DIV/0!</v>
      </c>
      <c r="AD839" s="276" t="e">
        <f t="shared" si="792"/>
        <v>#DIV/0!</v>
      </c>
      <c r="AE839" s="686" t="e">
        <f t="shared" si="793"/>
        <v>#DIV/0!</v>
      </c>
      <c r="AF839" s="239"/>
      <c r="AG839" s="965" t="e">
        <f t="shared" si="764"/>
        <v>#VALUE!</v>
      </c>
      <c r="AH839" s="878" t="e">
        <f t="shared" si="765"/>
        <v>#VALUE!</v>
      </c>
      <c r="AI839" s="878" t="e">
        <f t="shared" si="766"/>
        <v>#VALUE!</v>
      </c>
      <c r="AJ839" s="878" t="e">
        <f t="shared" si="767"/>
        <v>#VALUE!</v>
      </c>
      <c r="AK839" s="878" t="e">
        <f t="shared" si="768"/>
        <v>#VALUE!</v>
      </c>
      <c r="AL839" s="966" t="e">
        <f t="shared" si="769"/>
        <v>#VALUE!</v>
      </c>
      <c r="AM839" s="239"/>
      <c r="AO839" s="685">
        <f t="shared" si="794"/>
        <v>-4.8130192090537429</v>
      </c>
      <c r="AP839" s="276">
        <f t="shared" si="795"/>
        <v>-1.5893830969343301</v>
      </c>
      <c r="AQ839" s="276">
        <f t="shared" si="796"/>
        <v>3.8016587292291835</v>
      </c>
      <c r="AR839" s="276">
        <f t="shared" si="797"/>
        <v>0.15735686464317911</v>
      </c>
      <c r="AS839" s="276">
        <f t="shared" si="798"/>
        <v>-0.55606261032201099</v>
      </c>
      <c r="AT839" s="276">
        <f t="shared" si="799"/>
        <v>-2.2914921764656557</v>
      </c>
      <c r="AU839" s="685">
        <f t="shared" si="800"/>
        <v>1.4186385051224966</v>
      </c>
      <c r="AV839" s="276">
        <f t="shared" si="801"/>
        <v>1.6851392876333946</v>
      </c>
      <c r="AW839" s="276">
        <f t="shared" si="802"/>
        <v>1.7798652015187455</v>
      </c>
      <c r="AX839" s="276">
        <f t="shared" si="803"/>
        <v>1.504360315237909</v>
      </c>
      <c r="AY839" s="276">
        <f t="shared" si="804"/>
        <v>2.2480163643890902</v>
      </c>
      <c r="AZ839" s="686">
        <f t="shared" si="805"/>
        <v>1.1803806926992448</v>
      </c>
      <c r="BA839" s="685">
        <f t="shared" si="806"/>
        <v>0</v>
      </c>
      <c r="BB839" s="276">
        <f t="shared" si="807"/>
        <v>0</v>
      </c>
      <c r="BC839" s="276">
        <f t="shared" si="808"/>
        <v>0</v>
      </c>
      <c r="BD839" s="276">
        <f t="shared" si="809"/>
        <v>0</v>
      </c>
      <c r="BE839" s="276">
        <f t="shared" si="810"/>
        <v>0</v>
      </c>
      <c r="BF839" s="686">
        <f t="shared" si="811"/>
        <v>0</v>
      </c>
      <c r="BG839" s="685" t="e">
        <f t="shared" si="812"/>
        <v>#DIV/0!</v>
      </c>
      <c r="BH839" s="276" t="e">
        <f t="shared" si="813"/>
        <v>#DIV/0!</v>
      </c>
      <c r="BI839" s="276" t="e">
        <f t="shared" si="814"/>
        <v>#DIV/0!</v>
      </c>
      <c r="BJ839" s="276" t="e">
        <f t="shared" si="815"/>
        <v>#DIV/0!</v>
      </c>
      <c r="BK839" s="276" t="e">
        <f t="shared" si="816"/>
        <v>#DIV/0!</v>
      </c>
      <c r="BL839" s="686" t="e">
        <f t="shared" si="817"/>
        <v>#DIV/0!</v>
      </c>
      <c r="BM839" s="239"/>
      <c r="BN839" s="965" t="e">
        <f t="shared" si="818"/>
        <v>#VALUE!</v>
      </c>
      <c r="BO839" s="878" t="e">
        <f t="shared" si="819"/>
        <v>#VALUE!</v>
      </c>
      <c r="BP839" s="878" t="e">
        <f t="shared" si="820"/>
        <v>#VALUE!</v>
      </c>
      <c r="BQ839" s="878" t="e">
        <f t="shared" si="821"/>
        <v>#VALUE!</v>
      </c>
      <c r="BR839" s="878" t="e">
        <f t="shared" si="822"/>
        <v>#VALUE!</v>
      </c>
      <c r="BS839" s="966" t="e">
        <f t="shared" si="823"/>
        <v>#VALUE!</v>
      </c>
    </row>
    <row r="840" spans="1:71">
      <c r="A840" s="284">
        <f t="shared" si="824"/>
        <v>772</v>
      </c>
      <c r="B840" s="285">
        <v>0.63143155601190049</v>
      </c>
      <c r="C840" s="285">
        <v>2.8914661719842636</v>
      </c>
      <c r="D840" s="285">
        <v>0.48621603188551865</v>
      </c>
      <c r="E840" s="285">
        <v>1.8109065021459885</v>
      </c>
      <c r="H840" s="685">
        <f t="shared" si="770"/>
        <v>-0.50180228575715435</v>
      </c>
      <c r="I840" s="276">
        <f t="shared" si="771"/>
        <v>-3.039071747917744</v>
      </c>
      <c r="J840" s="276">
        <f t="shared" si="772"/>
        <v>-0.87719931433410503</v>
      </c>
      <c r="K840" s="276">
        <f t="shared" si="773"/>
        <v>4.3070903726186271E-2</v>
      </c>
      <c r="L840" s="276">
        <f t="shared" si="774"/>
        <v>-3.374552817998139</v>
      </c>
      <c r="M840" s="276">
        <f t="shared" si="775"/>
        <v>-3.1516536111098947</v>
      </c>
      <c r="N840" s="685">
        <f t="shared" si="776"/>
        <v>1.6842949610123952</v>
      </c>
      <c r="O840" s="276">
        <f t="shared" si="777"/>
        <v>0.50418641470994952</v>
      </c>
      <c r="P840" s="276">
        <f t="shared" si="778"/>
        <v>1.4142395537826691</v>
      </c>
      <c r="Q840" s="276">
        <f t="shared" si="779"/>
        <v>1.2644486381747753</v>
      </c>
      <c r="R840" s="276">
        <f t="shared" si="780"/>
        <v>2.5873125888304234</v>
      </c>
      <c r="S840" s="686">
        <f t="shared" si="781"/>
        <v>1.1394897465703713</v>
      </c>
      <c r="T840" s="685">
        <f t="shared" si="782"/>
        <v>3.7645797221564443</v>
      </c>
      <c r="U840" s="276">
        <f t="shared" si="783"/>
        <v>3.0544462288422123</v>
      </c>
      <c r="V840" s="276">
        <f t="shared" si="784"/>
        <v>6.0524436853173533</v>
      </c>
      <c r="W840" s="276">
        <f t="shared" si="785"/>
        <v>2.5318574277286081</v>
      </c>
      <c r="X840" s="276">
        <f t="shared" si="786"/>
        <v>2.2255434311230013</v>
      </c>
      <c r="Y840" s="686">
        <f t="shared" si="787"/>
        <v>3.4934134415063882</v>
      </c>
      <c r="Z840" s="685" t="e">
        <f t="shared" si="788"/>
        <v>#DIV/0!</v>
      </c>
      <c r="AA840" s="276" t="e">
        <f t="shared" si="789"/>
        <v>#DIV/0!</v>
      </c>
      <c r="AB840" s="276" t="e">
        <f t="shared" si="790"/>
        <v>#DIV/0!</v>
      </c>
      <c r="AC840" s="276" t="e">
        <f t="shared" si="791"/>
        <v>#DIV/0!</v>
      </c>
      <c r="AD840" s="276" t="e">
        <f t="shared" si="792"/>
        <v>#DIV/0!</v>
      </c>
      <c r="AE840" s="686" t="e">
        <f t="shared" si="793"/>
        <v>#DIV/0!</v>
      </c>
      <c r="AF840" s="239"/>
      <c r="AG840" s="965" t="e">
        <f t="shared" si="764"/>
        <v>#VALUE!</v>
      </c>
      <c r="AH840" s="878" t="e">
        <f t="shared" si="765"/>
        <v>#VALUE!</v>
      </c>
      <c r="AI840" s="878" t="e">
        <f t="shared" si="766"/>
        <v>#VALUE!</v>
      </c>
      <c r="AJ840" s="878" t="e">
        <f t="shared" si="767"/>
        <v>#VALUE!</v>
      </c>
      <c r="AK840" s="878" t="e">
        <f t="shared" si="768"/>
        <v>#VALUE!</v>
      </c>
      <c r="AL840" s="966" t="e">
        <f t="shared" si="769"/>
        <v>#VALUE!</v>
      </c>
      <c r="AM840" s="239"/>
      <c r="AO840" s="685">
        <f t="shared" si="794"/>
        <v>-0.50180228575715435</v>
      </c>
      <c r="AP840" s="276">
        <f t="shared" si="795"/>
        <v>-3.039071747917744</v>
      </c>
      <c r="AQ840" s="276">
        <f t="shared" si="796"/>
        <v>-0.87719931433410503</v>
      </c>
      <c r="AR840" s="276">
        <f t="shared" si="797"/>
        <v>4.3070903726186271E-2</v>
      </c>
      <c r="AS840" s="276">
        <f t="shared" si="798"/>
        <v>-3.374552817998139</v>
      </c>
      <c r="AT840" s="276">
        <f t="shared" si="799"/>
        <v>-3.1516536111098947</v>
      </c>
      <c r="AU840" s="685">
        <f t="shared" si="800"/>
        <v>1.6842949610123952</v>
      </c>
      <c r="AV840" s="276">
        <f t="shared" si="801"/>
        <v>0.50418641470994952</v>
      </c>
      <c r="AW840" s="276">
        <f t="shared" si="802"/>
        <v>1.4142395537826691</v>
      </c>
      <c r="AX840" s="276">
        <f t="shared" si="803"/>
        <v>1.2644486381747753</v>
      </c>
      <c r="AY840" s="276">
        <f t="shared" si="804"/>
        <v>2.5873125888304234</v>
      </c>
      <c r="AZ840" s="686">
        <f t="shared" si="805"/>
        <v>1.1394897465703713</v>
      </c>
      <c r="BA840" s="685">
        <f t="shared" si="806"/>
        <v>0</v>
      </c>
      <c r="BB840" s="276">
        <f t="shared" si="807"/>
        <v>0</v>
      </c>
      <c r="BC840" s="276">
        <f t="shared" si="808"/>
        <v>0</v>
      </c>
      <c r="BD840" s="276">
        <f t="shared" si="809"/>
        <v>0</v>
      </c>
      <c r="BE840" s="276">
        <f t="shared" si="810"/>
        <v>0</v>
      </c>
      <c r="BF840" s="686">
        <f t="shared" si="811"/>
        <v>0</v>
      </c>
      <c r="BG840" s="685" t="e">
        <f t="shared" si="812"/>
        <v>#DIV/0!</v>
      </c>
      <c r="BH840" s="276" t="e">
        <f t="shared" si="813"/>
        <v>#DIV/0!</v>
      </c>
      <c r="BI840" s="276" t="e">
        <f t="shared" si="814"/>
        <v>#DIV/0!</v>
      </c>
      <c r="BJ840" s="276" t="e">
        <f t="shared" si="815"/>
        <v>#DIV/0!</v>
      </c>
      <c r="BK840" s="276" t="e">
        <f t="shared" si="816"/>
        <v>#DIV/0!</v>
      </c>
      <c r="BL840" s="686" t="e">
        <f t="shared" si="817"/>
        <v>#DIV/0!</v>
      </c>
      <c r="BM840" s="239"/>
      <c r="BN840" s="965" t="e">
        <f t="shared" si="818"/>
        <v>#VALUE!</v>
      </c>
      <c r="BO840" s="878" t="e">
        <f t="shared" si="819"/>
        <v>#VALUE!</v>
      </c>
      <c r="BP840" s="878" t="e">
        <f t="shared" si="820"/>
        <v>#VALUE!</v>
      </c>
      <c r="BQ840" s="878" t="e">
        <f t="shared" si="821"/>
        <v>#VALUE!</v>
      </c>
      <c r="BR840" s="878" t="e">
        <f t="shared" si="822"/>
        <v>#VALUE!</v>
      </c>
      <c r="BS840" s="966" t="e">
        <f t="shared" si="823"/>
        <v>#VALUE!</v>
      </c>
    </row>
    <row r="841" spans="1:71">
      <c r="A841" s="284">
        <f t="shared" si="824"/>
        <v>773</v>
      </c>
      <c r="B841" s="285">
        <v>-0.98878509049177155</v>
      </c>
      <c r="C841" s="285">
        <v>2.1008441894227361</v>
      </c>
      <c r="D841" s="285">
        <v>-0.86581523061482635</v>
      </c>
      <c r="E841" s="285">
        <v>-6.9508346973539084</v>
      </c>
      <c r="H841" s="685">
        <f t="shared" si="770"/>
        <v>-2.1220189322608265</v>
      </c>
      <c r="I841" s="276">
        <f t="shared" si="771"/>
        <v>-3.6019622804383546</v>
      </c>
      <c r="J841" s="276">
        <f t="shared" si="772"/>
        <v>0.78396907923539239</v>
      </c>
      <c r="K841" s="276">
        <f t="shared" si="773"/>
        <v>-0.330231461840645</v>
      </c>
      <c r="L841" s="276">
        <f t="shared" si="774"/>
        <v>-1.8534266983409746</v>
      </c>
      <c r="M841" s="276">
        <f t="shared" si="775"/>
        <v>3.0662542743016861</v>
      </c>
      <c r="N841" s="685">
        <f t="shared" si="776"/>
        <v>0.89367297845086768</v>
      </c>
      <c r="O841" s="276">
        <f t="shared" si="777"/>
        <v>1.9190123657284299</v>
      </c>
      <c r="P841" s="276">
        <f t="shared" si="778"/>
        <v>1.4939155856770727</v>
      </c>
      <c r="Q841" s="276">
        <f t="shared" si="779"/>
        <v>0.98351947157619812</v>
      </c>
      <c r="R841" s="276">
        <f t="shared" si="780"/>
        <v>1.1125620708099919</v>
      </c>
      <c r="S841" s="686">
        <f t="shared" si="781"/>
        <v>2.1757487454239959</v>
      </c>
      <c r="T841" s="685">
        <f t="shared" si="782"/>
        <v>2.4125484596560995</v>
      </c>
      <c r="U841" s="276">
        <f t="shared" si="783"/>
        <v>1.9446313051886697</v>
      </c>
      <c r="V841" s="276">
        <f t="shared" si="784"/>
        <v>4.3069454998880188</v>
      </c>
      <c r="W841" s="276">
        <f t="shared" si="785"/>
        <v>3.8354225089505598</v>
      </c>
      <c r="X841" s="276">
        <f t="shared" si="786"/>
        <v>4.4486818037219082</v>
      </c>
      <c r="Y841" s="686">
        <f t="shared" si="787"/>
        <v>5.5784261403410573</v>
      </c>
      <c r="Z841" s="685" t="e">
        <f t="shared" si="788"/>
        <v>#DIV/0!</v>
      </c>
      <c r="AA841" s="276" t="e">
        <f t="shared" si="789"/>
        <v>#DIV/0!</v>
      </c>
      <c r="AB841" s="276" t="e">
        <f t="shared" si="790"/>
        <v>#DIV/0!</v>
      </c>
      <c r="AC841" s="276" t="e">
        <f t="shared" si="791"/>
        <v>#DIV/0!</v>
      </c>
      <c r="AD841" s="276" t="e">
        <f t="shared" si="792"/>
        <v>#DIV/0!</v>
      </c>
      <c r="AE841" s="686" t="e">
        <f t="shared" si="793"/>
        <v>#DIV/0!</v>
      </c>
      <c r="AF841" s="239"/>
      <c r="AG841" s="965" t="e">
        <f t="shared" si="764"/>
        <v>#VALUE!</v>
      </c>
      <c r="AH841" s="878" t="e">
        <f t="shared" si="765"/>
        <v>#VALUE!</v>
      </c>
      <c r="AI841" s="878" t="e">
        <f t="shared" si="766"/>
        <v>#VALUE!</v>
      </c>
      <c r="AJ841" s="878" t="e">
        <f t="shared" si="767"/>
        <v>#VALUE!</v>
      </c>
      <c r="AK841" s="878" t="e">
        <f t="shared" si="768"/>
        <v>#VALUE!</v>
      </c>
      <c r="AL841" s="966" t="e">
        <f t="shared" si="769"/>
        <v>#VALUE!</v>
      </c>
      <c r="AM841" s="239"/>
      <c r="AO841" s="685">
        <f t="shared" si="794"/>
        <v>-2.1220189322608265</v>
      </c>
      <c r="AP841" s="276">
        <f t="shared" si="795"/>
        <v>-3.6019622804383546</v>
      </c>
      <c r="AQ841" s="276">
        <f t="shared" si="796"/>
        <v>0.78396907923539239</v>
      </c>
      <c r="AR841" s="276">
        <f t="shared" si="797"/>
        <v>-0.330231461840645</v>
      </c>
      <c r="AS841" s="276">
        <f t="shared" si="798"/>
        <v>-1.8534266983409746</v>
      </c>
      <c r="AT841" s="276">
        <f t="shared" si="799"/>
        <v>3.0662542743016861</v>
      </c>
      <c r="AU841" s="685">
        <f t="shared" si="800"/>
        <v>0.89367297845086768</v>
      </c>
      <c r="AV841" s="276">
        <f t="shared" si="801"/>
        <v>1.9190123657284299</v>
      </c>
      <c r="AW841" s="276">
        <f t="shared" si="802"/>
        <v>1.4939155856770727</v>
      </c>
      <c r="AX841" s="276">
        <f t="shared" si="803"/>
        <v>0.98351947157619812</v>
      </c>
      <c r="AY841" s="276">
        <f t="shared" si="804"/>
        <v>1.1125620708099919</v>
      </c>
      <c r="AZ841" s="686">
        <f t="shared" si="805"/>
        <v>2.1757487454239959</v>
      </c>
      <c r="BA841" s="685">
        <f t="shared" si="806"/>
        <v>0</v>
      </c>
      <c r="BB841" s="276">
        <f t="shared" si="807"/>
        <v>0</v>
      </c>
      <c r="BC841" s="276">
        <f t="shared" si="808"/>
        <v>0</v>
      </c>
      <c r="BD841" s="276">
        <f t="shared" si="809"/>
        <v>0</v>
      </c>
      <c r="BE841" s="276">
        <f t="shared" si="810"/>
        <v>0</v>
      </c>
      <c r="BF841" s="686">
        <f t="shared" si="811"/>
        <v>0</v>
      </c>
      <c r="BG841" s="685" t="e">
        <f t="shared" si="812"/>
        <v>#DIV/0!</v>
      </c>
      <c r="BH841" s="276" t="e">
        <f t="shared" si="813"/>
        <v>#DIV/0!</v>
      </c>
      <c r="BI841" s="276" t="e">
        <f t="shared" si="814"/>
        <v>#DIV/0!</v>
      </c>
      <c r="BJ841" s="276" t="e">
        <f t="shared" si="815"/>
        <v>#DIV/0!</v>
      </c>
      <c r="BK841" s="276" t="e">
        <f t="shared" si="816"/>
        <v>#DIV/0!</v>
      </c>
      <c r="BL841" s="686" t="e">
        <f t="shared" si="817"/>
        <v>#DIV/0!</v>
      </c>
      <c r="BM841" s="239"/>
      <c r="BN841" s="965" t="e">
        <f t="shared" si="818"/>
        <v>#VALUE!</v>
      </c>
      <c r="BO841" s="878" t="e">
        <f t="shared" si="819"/>
        <v>#VALUE!</v>
      </c>
      <c r="BP841" s="878" t="e">
        <f t="shared" si="820"/>
        <v>#VALUE!</v>
      </c>
      <c r="BQ841" s="878" t="e">
        <f t="shared" si="821"/>
        <v>#VALUE!</v>
      </c>
      <c r="BR841" s="878" t="e">
        <f t="shared" si="822"/>
        <v>#VALUE!</v>
      </c>
      <c r="BS841" s="966" t="e">
        <f t="shared" si="823"/>
        <v>#VALUE!</v>
      </c>
    </row>
    <row r="842" spans="1:71">
      <c r="A842" s="284">
        <f t="shared" si="824"/>
        <v>774</v>
      </c>
      <c r="B842" s="285">
        <v>-1.4607497266189953</v>
      </c>
      <c r="C842" s="285">
        <v>2.1752073705511967</v>
      </c>
      <c r="D842" s="285">
        <v>1.334686271655136</v>
      </c>
      <c r="E842" s="285">
        <v>-3.9558823346695458</v>
      </c>
      <c r="H842" s="685">
        <f t="shared" si="770"/>
        <v>-2.5939835683880501</v>
      </c>
      <c r="I842" s="276">
        <f t="shared" si="771"/>
        <v>1.8660399924099591</v>
      </c>
      <c r="J842" s="276">
        <f t="shared" si="772"/>
        <v>-2.2272027622949304</v>
      </c>
      <c r="K842" s="276">
        <f t="shared" si="773"/>
        <v>-1.8812939836668345</v>
      </c>
      <c r="L842" s="276">
        <f t="shared" si="774"/>
        <v>0.2738323434226384</v>
      </c>
      <c r="M842" s="276">
        <f t="shared" si="775"/>
        <v>-3.6178779753877155</v>
      </c>
      <c r="N842" s="685">
        <f t="shared" si="776"/>
        <v>0.96803615957932831</v>
      </c>
      <c r="O842" s="276">
        <f t="shared" si="777"/>
        <v>1.6645690214063389</v>
      </c>
      <c r="P842" s="276">
        <f t="shared" si="778"/>
        <v>1.3574279665579698</v>
      </c>
      <c r="Q842" s="276">
        <f t="shared" si="779"/>
        <v>1.532250775769987</v>
      </c>
      <c r="R842" s="276">
        <f t="shared" si="780"/>
        <v>2.5024699201191636</v>
      </c>
      <c r="S842" s="686">
        <f t="shared" si="781"/>
        <v>0.86104680030096614</v>
      </c>
      <c r="T842" s="685">
        <f t="shared" si="782"/>
        <v>4.6130499619260616</v>
      </c>
      <c r="U842" s="276">
        <f t="shared" si="783"/>
        <v>5.2429308316326741</v>
      </c>
      <c r="V842" s="276">
        <f t="shared" si="784"/>
        <v>3.7172568695037627</v>
      </c>
      <c r="W842" s="276">
        <f t="shared" si="785"/>
        <v>3.602067033289762</v>
      </c>
      <c r="X842" s="276">
        <f t="shared" si="786"/>
        <v>2.9257629519945678</v>
      </c>
      <c r="Y842" s="686">
        <f t="shared" si="787"/>
        <v>3.5821766463867424</v>
      </c>
      <c r="Z842" s="685" t="e">
        <f t="shared" si="788"/>
        <v>#DIV/0!</v>
      </c>
      <c r="AA842" s="276" t="e">
        <f t="shared" si="789"/>
        <v>#DIV/0!</v>
      </c>
      <c r="AB842" s="276" t="e">
        <f t="shared" si="790"/>
        <v>#DIV/0!</v>
      </c>
      <c r="AC842" s="276" t="e">
        <f t="shared" si="791"/>
        <v>#DIV/0!</v>
      </c>
      <c r="AD842" s="276" t="e">
        <f t="shared" si="792"/>
        <v>#DIV/0!</v>
      </c>
      <c r="AE842" s="686" t="e">
        <f t="shared" si="793"/>
        <v>#DIV/0!</v>
      </c>
      <c r="AF842" s="239"/>
      <c r="AG842" s="965" t="e">
        <f t="shared" si="764"/>
        <v>#VALUE!</v>
      </c>
      <c r="AH842" s="878" t="e">
        <f t="shared" si="765"/>
        <v>#VALUE!</v>
      </c>
      <c r="AI842" s="878" t="e">
        <f t="shared" si="766"/>
        <v>#VALUE!</v>
      </c>
      <c r="AJ842" s="878" t="e">
        <f t="shared" si="767"/>
        <v>#VALUE!</v>
      </c>
      <c r="AK842" s="878" t="e">
        <f t="shared" si="768"/>
        <v>#VALUE!</v>
      </c>
      <c r="AL842" s="966" t="e">
        <f t="shared" si="769"/>
        <v>#VALUE!</v>
      </c>
      <c r="AM842" s="239"/>
      <c r="AO842" s="685">
        <f t="shared" si="794"/>
        <v>-2.5939835683880501</v>
      </c>
      <c r="AP842" s="276">
        <f t="shared" si="795"/>
        <v>1.8660399924099591</v>
      </c>
      <c r="AQ842" s="276">
        <f t="shared" si="796"/>
        <v>-2.2272027622949304</v>
      </c>
      <c r="AR842" s="276">
        <f t="shared" si="797"/>
        <v>-1.8812939836668345</v>
      </c>
      <c r="AS842" s="276">
        <f t="shared" si="798"/>
        <v>0.2738323434226384</v>
      </c>
      <c r="AT842" s="276">
        <f t="shared" si="799"/>
        <v>-3.6178779753877155</v>
      </c>
      <c r="AU842" s="685">
        <f t="shared" si="800"/>
        <v>0.96803615957932831</v>
      </c>
      <c r="AV842" s="276">
        <f t="shared" si="801"/>
        <v>1.6645690214063389</v>
      </c>
      <c r="AW842" s="276">
        <f t="shared" si="802"/>
        <v>1.3574279665579698</v>
      </c>
      <c r="AX842" s="276">
        <f t="shared" si="803"/>
        <v>1.532250775769987</v>
      </c>
      <c r="AY842" s="276">
        <f t="shared" si="804"/>
        <v>2.5024699201191636</v>
      </c>
      <c r="AZ842" s="686">
        <f t="shared" si="805"/>
        <v>0.86104680030096614</v>
      </c>
      <c r="BA842" s="685">
        <f t="shared" si="806"/>
        <v>0</v>
      </c>
      <c r="BB842" s="276">
        <f t="shared" si="807"/>
        <v>0</v>
      </c>
      <c r="BC842" s="276">
        <f t="shared" si="808"/>
        <v>0</v>
      </c>
      <c r="BD842" s="276">
        <f t="shared" si="809"/>
        <v>0</v>
      </c>
      <c r="BE842" s="276">
        <f t="shared" si="810"/>
        <v>0</v>
      </c>
      <c r="BF842" s="686">
        <f t="shared" si="811"/>
        <v>0</v>
      </c>
      <c r="BG842" s="685" t="e">
        <f t="shared" si="812"/>
        <v>#DIV/0!</v>
      </c>
      <c r="BH842" s="276" t="e">
        <f t="shared" si="813"/>
        <v>#DIV/0!</v>
      </c>
      <c r="BI842" s="276" t="e">
        <f t="shared" si="814"/>
        <v>#DIV/0!</v>
      </c>
      <c r="BJ842" s="276" t="e">
        <f t="shared" si="815"/>
        <v>#DIV/0!</v>
      </c>
      <c r="BK842" s="276" t="e">
        <f t="shared" si="816"/>
        <v>#DIV/0!</v>
      </c>
      <c r="BL842" s="686" t="e">
        <f t="shared" si="817"/>
        <v>#DIV/0!</v>
      </c>
      <c r="BM842" s="239"/>
      <c r="BN842" s="965" t="e">
        <f t="shared" si="818"/>
        <v>#VALUE!</v>
      </c>
      <c r="BO842" s="878" t="e">
        <f t="shared" si="819"/>
        <v>#VALUE!</v>
      </c>
      <c r="BP842" s="878" t="e">
        <f t="shared" si="820"/>
        <v>#VALUE!</v>
      </c>
      <c r="BQ842" s="878" t="e">
        <f t="shared" si="821"/>
        <v>#VALUE!</v>
      </c>
      <c r="BR842" s="878" t="e">
        <f t="shared" si="822"/>
        <v>#VALUE!</v>
      </c>
      <c r="BS842" s="966" t="e">
        <f t="shared" si="823"/>
        <v>#VALUE!</v>
      </c>
    </row>
    <row r="843" spans="1:71">
      <c r="A843" s="284">
        <f t="shared" si="824"/>
        <v>775</v>
      </c>
      <c r="B843" s="285">
        <v>-0.65557541824961751</v>
      </c>
      <c r="C843" s="285">
        <v>2.3349879111619867</v>
      </c>
      <c r="D843" s="285">
        <v>1.7939408936700232</v>
      </c>
      <c r="E843" s="285">
        <v>-4.7977523101529638</v>
      </c>
      <c r="H843" s="685">
        <f t="shared" si="770"/>
        <v>-1.7888092600186725</v>
      </c>
      <c r="I843" s="276">
        <f t="shared" si="771"/>
        <v>-0.12497190410788428</v>
      </c>
      <c r="J843" s="276">
        <f t="shared" si="772"/>
        <v>0.70148651244782045</v>
      </c>
      <c r="K843" s="276">
        <f t="shared" si="773"/>
        <v>-6.9375638944244589E-2</v>
      </c>
      <c r="L843" s="276">
        <f t="shared" si="774"/>
        <v>-2.5039293272991037</v>
      </c>
      <c r="M843" s="276">
        <f t="shared" si="775"/>
        <v>0.69356780010367181</v>
      </c>
      <c r="N843" s="685">
        <f t="shared" si="776"/>
        <v>1.1278167001901183</v>
      </c>
      <c r="O843" s="276">
        <f t="shared" si="777"/>
        <v>1.1934156424926778</v>
      </c>
      <c r="P843" s="276">
        <f t="shared" si="778"/>
        <v>1.5494202166861728</v>
      </c>
      <c r="Q843" s="276">
        <f t="shared" si="779"/>
        <v>2.0351077624990639</v>
      </c>
      <c r="R843" s="276">
        <f t="shared" si="780"/>
        <v>1.7798924110533652</v>
      </c>
      <c r="S843" s="686">
        <f t="shared" si="781"/>
        <v>0.98764377940134396</v>
      </c>
      <c r="T843" s="685">
        <f t="shared" si="782"/>
        <v>5.0723045839409489</v>
      </c>
      <c r="U843" s="276">
        <f t="shared" si="783"/>
        <v>3.0333415555112571</v>
      </c>
      <c r="V843" s="276">
        <f t="shared" si="784"/>
        <v>4.6618460086448694</v>
      </c>
      <c r="W843" s="276">
        <f t="shared" si="785"/>
        <v>3.9567789844270678</v>
      </c>
      <c r="X843" s="276">
        <f t="shared" si="786"/>
        <v>3.8757229905143369</v>
      </c>
      <c r="Y843" s="686">
        <f t="shared" si="787"/>
        <v>5.6631980573960767</v>
      </c>
      <c r="Z843" s="685" t="e">
        <f t="shared" si="788"/>
        <v>#DIV/0!</v>
      </c>
      <c r="AA843" s="276" t="e">
        <f t="shared" si="789"/>
        <v>#DIV/0!</v>
      </c>
      <c r="AB843" s="276" t="e">
        <f t="shared" si="790"/>
        <v>#DIV/0!</v>
      </c>
      <c r="AC843" s="276" t="e">
        <f t="shared" si="791"/>
        <v>#DIV/0!</v>
      </c>
      <c r="AD843" s="276" t="e">
        <f t="shared" si="792"/>
        <v>#DIV/0!</v>
      </c>
      <c r="AE843" s="686" t="e">
        <f t="shared" si="793"/>
        <v>#DIV/0!</v>
      </c>
      <c r="AF843" s="239"/>
      <c r="AG843" s="965" t="e">
        <f t="shared" si="764"/>
        <v>#VALUE!</v>
      </c>
      <c r="AH843" s="878" t="e">
        <f t="shared" si="765"/>
        <v>#VALUE!</v>
      </c>
      <c r="AI843" s="878" t="e">
        <f t="shared" si="766"/>
        <v>#VALUE!</v>
      </c>
      <c r="AJ843" s="878" t="e">
        <f t="shared" si="767"/>
        <v>#VALUE!</v>
      </c>
      <c r="AK843" s="878" t="e">
        <f t="shared" si="768"/>
        <v>#VALUE!</v>
      </c>
      <c r="AL843" s="966" t="e">
        <f t="shared" si="769"/>
        <v>#VALUE!</v>
      </c>
      <c r="AM843" s="239"/>
      <c r="AO843" s="685">
        <f t="shared" si="794"/>
        <v>-1.7888092600186725</v>
      </c>
      <c r="AP843" s="276">
        <f t="shared" si="795"/>
        <v>-0.12497190410788428</v>
      </c>
      <c r="AQ843" s="276">
        <f t="shared" si="796"/>
        <v>0.70148651244782045</v>
      </c>
      <c r="AR843" s="276">
        <f t="shared" si="797"/>
        <v>-6.9375638944244589E-2</v>
      </c>
      <c r="AS843" s="276">
        <f t="shared" si="798"/>
        <v>-2.5039293272991037</v>
      </c>
      <c r="AT843" s="276">
        <f t="shared" si="799"/>
        <v>0.69356780010367181</v>
      </c>
      <c r="AU843" s="685">
        <f t="shared" si="800"/>
        <v>1.1278167001901183</v>
      </c>
      <c r="AV843" s="276">
        <f t="shared" si="801"/>
        <v>1.1934156424926778</v>
      </c>
      <c r="AW843" s="276">
        <f t="shared" si="802"/>
        <v>1.5494202166861728</v>
      </c>
      <c r="AX843" s="276">
        <f t="shared" si="803"/>
        <v>2.0351077624990639</v>
      </c>
      <c r="AY843" s="276">
        <f t="shared" si="804"/>
        <v>1.7798924110533652</v>
      </c>
      <c r="AZ843" s="686">
        <f t="shared" si="805"/>
        <v>0.98764377940134396</v>
      </c>
      <c r="BA843" s="685">
        <f t="shared" si="806"/>
        <v>0</v>
      </c>
      <c r="BB843" s="276">
        <f t="shared" si="807"/>
        <v>0</v>
      </c>
      <c r="BC843" s="276">
        <f t="shared" si="808"/>
        <v>0</v>
      </c>
      <c r="BD843" s="276">
        <f t="shared" si="809"/>
        <v>0</v>
      </c>
      <c r="BE843" s="276">
        <f t="shared" si="810"/>
        <v>0</v>
      </c>
      <c r="BF843" s="686">
        <f t="shared" si="811"/>
        <v>0</v>
      </c>
      <c r="BG843" s="685" t="e">
        <f t="shared" si="812"/>
        <v>#DIV/0!</v>
      </c>
      <c r="BH843" s="276" t="e">
        <f t="shared" si="813"/>
        <v>#DIV/0!</v>
      </c>
      <c r="BI843" s="276" t="e">
        <f t="shared" si="814"/>
        <v>#DIV/0!</v>
      </c>
      <c r="BJ843" s="276" t="e">
        <f t="shared" si="815"/>
        <v>#DIV/0!</v>
      </c>
      <c r="BK843" s="276" t="e">
        <f t="shared" si="816"/>
        <v>#DIV/0!</v>
      </c>
      <c r="BL843" s="686" t="e">
        <f t="shared" si="817"/>
        <v>#DIV/0!</v>
      </c>
      <c r="BM843" s="239"/>
      <c r="BN843" s="965" t="e">
        <f t="shared" si="818"/>
        <v>#VALUE!</v>
      </c>
      <c r="BO843" s="878" t="e">
        <f t="shared" si="819"/>
        <v>#VALUE!</v>
      </c>
      <c r="BP843" s="878" t="e">
        <f t="shared" si="820"/>
        <v>#VALUE!</v>
      </c>
      <c r="BQ843" s="878" t="e">
        <f t="shared" si="821"/>
        <v>#VALUE!</v>
      </c>
      <c r="BR843" s="878" t="e">
        <f t="shared" si="822"/>
        <v>#VALUE!</v>
      </c>
      <c r="BS843" s="966" t="e">
        <f t="shared" si="823"/>
        <v>#VALUE!</v>
      </c>
    </row>
    <row r="844" spans="1:71">
      <c r="A844" s="284">
        <f t="shared" si="824"/>
        <v>776</v>
      </c>
      <c r="B844" s="285">
        <v>-2.6676764363631555</v>
      </c>
      <c r="C844" s="285">
        <v>2.6145952452975023</v>
      </c>
      <c r="D844" s="285">
        <v>1.6334156629374008</v>
      </c>
      <c r="E844" s="285">
        <v>-0.10797384446990987</v>
      </c>
      <c r="H844" s="685">
        <f t="shared" si="770"/>
        <v>-3.8009102781322106</v>
      </c>
      <c r="I844" s="276">
        <f t="shared" si="771"/>
        <v>-1.3962324982271588</v>
      </c>
      <c r="J844" s="276">
        <f t="shared" si="772"/>
        <v>-3.0878439024827076</v>
      </c>
      <c r="K844" s="276">
        <f t="shared" si="773"/>
        <v>0.15463266014977206</v>
      </c>
      <c r="L844" s="276">
        <f t="shared" si="774"/>
        <v>-0.32261793598818989</v>
      </c>
      <c r="M844" s="276">
        <f t="shared" si="775"/>
        <v>-4.7474853447184406</v>
      </c>
      <c r="N844" s="685">
        <f t="shared" si="776"/>
        <v>1.4074240343256339</v>
      </c>
      <c r="O844" s="276">
        <f t="shared" si="777"/>
        <v>1.5344815496630668</v>
      </c>
      <c r="P844" s="276">
        <f t="shared" si="778"/>
        <v>0.77042349620122996</v>
      </c>
      <c r="Q844" s="276">
        <f t="shared" si="779"/>
        <v>0.99011563227585397</v>
      </c>
      <c r="R844" s="276">
        <f t="shared" si="780"/>
        <v>1.6459197074069987</v>
      </c>
      <c r="S844" s="686">
        <f t="shared" si="781"/>
        <v>1.491255417907668</v>
      </c>
      <c r="T844" s="685">
        <f t="shared" si="782"/>
        <v>4.9117793532083267</v>
      </c>
      <c r="U844" s="276">
        <f t="shared" si="783"/>
        <v>2.7759586668889922</v>
      </c>
      <c r="V844" s="276">
        <f t="shared" si="784"/>
        <v>4.3628896689947902</v>
      </c>
      <c r="W844" s="276">
        <f t="shared" si="785"/>
        <v>4.6385708585033791</v>
      </c>
      <c r="X844" s="276">
        <f t="shared" si="786"/>
        <v>5.4883595559099083</v>
      </c>
      <c r="Y844" s="686">
        <f t="shared" si="787"/>
        <v>3.1165148119335147</v>
      </c>
      <c r="Z844" s="685" t="e">
        <f t="shared" si="788"/>
        <v>#DIV/0!</v>
      </c>
      <c r="AA844" s="276" t="e">
        <f t="shared" si="789"/>
        <v>#DIV/0!</v>
      </c>
      <c r="AB844" s="276" t="e">
        <f t="shared" si="790"/>
        <v>#DIV/0!</v>
      </c>
      <c r="AC844" s="276" t="e">
        <f t="shared" si="791"/>
        <v>#DIV/0!</v>
      </c>
      <c r="AD844" s="276" t="e">
        <f t="shared" si="792"/>
        <v>#DIV/0!</v>
      </c>
      <c r="AE844" s="686" t="e">
        <f t="shared" si="793"/>
        <v>#DIV/0!</v>
      </c>
      <c r="AF844" s="239"/>
      <c r="AG844" s="965" t="e">
        <f t="shared" si="764"/>
        <v>#VALUE!</v>
      </c>
      <c r="AH844" s="878" t="e">
        <f t="shared" si="765"/>
        <v>#VALUE!</v>
      </c>
      <c r="AI844" s="878" t="e">
        <f t="shared" si="766"/>
        <v>#VALUE!</v>
      </c>
      <c r="AJ844" s="878" t="e">
        <f t="shared" si="767"/>
        <v>#VALUE!</v>
      </c>
      <c r="AK844" s="878" t="e">
        <f t="shared" si="768"/>
        <v>#VALUE!</v>
      </c>
      <c r="AL844" s="966" t="e">
        <f t="shared" si="769"/>
        <v>#VALUE!</v>
      </c>
      <c r="AM844" s="239"/>
      <c r="AO844" s="685">
        <f t="shared" si="794"/>
        <v>-3.8009102781322106</v>
      </c>
      <c r="AP844" s="276">
        <f t="shared" si="795"/>
        <v>-1.3962324982271588</v>
      </c>
      <c r="AQ844" s="276">
        <f t="shared" si="796"/>
        <v>-3.0878439024827076</v>
      </c>
      <c r="AR844" s="276">
        <f t="shared" si="797"/>
        <v>0.15463266014977206</v>
      </c>
      <c r="AS844" s="276">
        <f t="shared" si="798"/>
        <v>-0.32261793598818989</v>
      </c>
      <c r="AT844" s="276">
        <f t="shared" si="799"/>
        <v>-4.7474853447184406</v>
      </c>
      <c r="AU844" s="685">
        <f t="shared" si="800"/>
        <v>1.4074240343256339</v>
      </c>
      <c r="AV844" s="276">
        <f t="shared" si="801"/>
        <v>1.5344815496630668</v>
      </c>
      <c r="AW844" s="276">
        <f t="shared" si="802"/>
        <v>0.77042349620122996</v>
      </c>
      <c r="AX844" s="276">
        <f t="shared" si="803"/>
        <v>0.99011563227585397</v>
      </c>
      <c r="AY844" s="276">
        <f t="shared" si="804"/>
        <v>1.6459197074069987</v>
      </c>
      <c r="AZ844" s="686">
        <f t="shared" si="805"/>
        <v>1.491255417907668</v>
      </c>
      <c r="BA844" s="685">
        <f t="shared" si="806"/>
        <v>0</v>
      </c>
      <c r="BB844" s="276">
        <f t="shared" si="807"/>
        <v>0</v>
      </c>
      <c r="BC844" s="276">
        <f t="shared" si="808"/>
        <v>0</v>
      </c>
      <c r="BD844" s="276">
        <f t="shared" si="809"/>
        <v>0</v>
      </c>
      <c r="BE844" s="276">
        <f t="shared" si="810"/>
        <v>0</v>
      </c>
      <c r="BF844" s="686">
        <f t="shared" si="811"/>
        <v>0</v>
      </c>
      <c r="BG844" s="685" t="e">
        <f t="shared" si="812"/>
        <v>#DIV/0!</v>
      </c>
      <c r="BH844" s="276" t="e">
        <f t="shared" si="813"/>
        <v>#DIV/0!</v>
      </c>
      <c r="BI844" s="276" t="e">
        <f t="shared" si="814"/>
        <v>#DIV/0!</v>
      </c>
      <c r="BJ844" s="276" t="e">
        <f t="shared" si="815"/>
        <v>#DIV/0!</v>
      </c>
      <c r="BK844" s="276" t="e">
        <f t="shared" si="816"/>
        <v>#DIV/0!</v>
      </c>
      <c r="BL844" s="686" t="e">
        <f t="shared" si="817"/>
        <v>#DIV/0!</v>
      </c>
      <c r="BM844" s="239"/>
      <c r="BN844" s="965" t="e">
        <f t="shared" si="818"/>
        <v>#VALUE!</v>
      </c>
      <c r="BO844" s="878" t="e">
        <f t="shared" si="819"/>
        <v>#VALUE!</v>
      </c>
      <c r="BP844" s="878" t="e">
        <f t="shared" si="820"/>
        <v>#VALUE!</v>
      </c>
      <c r="BQ844" s="878" t="e">
        <f t="shared" si="821"/>
        <v>#VALUE!</v>
      </c>
      <c r="BR844" s="878" t="e">
        <f t="shared" si="822"/>
        <v>#VALUE!</v>
      </c>
      <c r="BS844" s="966" t="e">
        <f t="shared" si="823"/>
        <v>#VALUE!</v>
      </c>
    </row>
    <row r="845" spans="1:71">
      <c r="A845" s="284">
        <f t="shared" si="824"/>
        <v>777</v>
      </c>
      <c r="B845" s="285">
        <v>-2.4035570910400641</v>
      </c>
      <c r="C845" s="285">
        <v>2.4068895139871183</v>
      </c>
      <c r="D845" s="285">
        <v>1.3186994562076251</v>
      </c>
      <c r="E845" s="285">
        <v>-9.1499518720668949</v>
      </c>
      <c r="H845" s="685">
        <f t="shared" si="770"/>
        <v>-3.5367909328091187</v>
      </c>
      <c r="I845" s="276">
        <f t="shared" si="771"/>
        <v>-4.8921282536317801</v>
      </c>
      <c r="J845" s="276">
        <f t="shared" si="772"/>
        <v>2.6643083712386639</v>
      </c>
      <c r="K845" s="276">
        <f t="shared" si="773"/>
        <v>-1.4134028638011638</v>
      </c>
      <c r="L845" s="276">
        <f t="shared" si="774"/>
        <v>-2.4872383453351077E-2</v>
      </c>
      <c r="M845" s="276">
        <f t="shared" si="775"/>
        <v>-0.2884687481692757</v>
      </c>
      <c r="N845" s="685">
        <f t="shared" si="776"/>
        <v>1.1997183030152498</v>
      </c>
      <c r="O845" s="276">
        <f t="shared" si="777"/>
        <v>0.50203103532256454</v>
      </c>
      <c r="P845" s="276">
        <f t="shared" si="778"/>
        <v>1.3432457515266207</v>
      </c>
      <c r="Q845" s="276">
        <f t="shared" si="779"/>
        <v>0.65846693598382822</v>
      </c>
      <c r="R845" s="276">
        <f t="shared" si="780"/>
        <v>1.3317546428620364</v>
      </c>
      <c r="S845" s="686">
        <f t="shared" si="781"/>
        <v>1.4759772647273601</v>
      </c>
      <c r="T845" s="685">
        <f t="shared" si="782"/>
        <v>4.5970631464785505</v>
      </c>
      <c r="U845" s="276">
        <f t="shared" si="783"/>
        <v>2.8262145790484077</v>
      </c>
      <c r="V845" s="276">
        <f t="shared" si="784"/>
        <v>5.9462265255051179</v>
      </c>
      <c r="W845" s="276">
        <f t="shared" si="785"/>
        <v>3.7722606248058153</v>
      </c>
      <c r="X845" s="276">
        <f t="shared" si="786"/>
        <v>4.1364235572854557</v>
      </c>
      <c r="Y845" s="686">
        <f t="shared" si="787"/>
        <v>4.4435769117428885</v>
      </c>
      <c r="Z845" s="685" t="e">
        <f t="shared" si="788"/>
        <v>#DIV/0!</v>
      </c>
      <c r="AA845" s="276" t="e">
        <f t="shared" si="789"/>
        <v>#DIV/0!</v>
      </c>
      <c r="AB845" s="276" t="e">
        <f t="shared" si="790"/>
        <v>#DIV/0!</v>
      </c>
      <c r="AC845" s="276" t="e">
        <f t="shared" si="791"/>
        <v>#DIV/0!</v>
      </c>
      <c r="AD845" s="276" t="e">
        <f t="shared" si="792"/>
        <v>#DIV/0!</v>
      </c>
      <c r="AE845" s="686" t="e">
        <f t="shared" si="793"/>
        <v>#DIV/0!</v>
      </c>
      <c r="AF845" s="239"/>
      <c r="AG845" s="965" t="e">
        <f t="shared" si="764"/>
        <v>#VALUE!</v>
      </c>
      <c r="AH845" s="878" t="e">
        <f t="shared" si="765"/>
        <v>#VALUE!</v>
      </c>
      <c r="AI845" s="878" t="e">
        <f t="shared" si="766"/>
        <v>#VALUE!</v>
      </c>
      <c r="AJ845" s="878" t="e">
        <f t="shared" si="767"/>
        <v>#VALUE!</v>
      </c>
      <c r="AK845" s="878" t="e">
        <f t="shared" si="768"/>
        <v>#VALUE!</v>
      </c>
      <c r="AL845" s="966" t="e">
        <f t="shared" si="769"/>
        <v>#VALUE!</v>
      </c>
      <c r="AM845" s="239"/>
      <c r="AO845" s="685">
        <f t="shared" si="794"/>
        <v>-3.5367909328091187</v>
      </c>
      <c r="AP845" s="276">
        <f t="shared" si="795"/>
        <v>-4.8921282536317801</v>
      </c>
      <c r="AQ845" s="276">
        <f t="shared" si="796"/>
        <v>2.6643083712386639</v>
      </c>
      <c r="AR845" s="276">
        <f t="shared" si="797"/>
        <v>-1.4134028638011638</v>
      </c>
      <c r="AS845" s="276">
        <f t="shared" si="798"/>
        <v>-2.4872383453351077E-2</v>
      </c>
      <c r="AT845" s="276">
        <f t="shared" si="799"/>
        <v>-0.2884687481692757</v>
      </c>
      <c r="AU845" s="685">
        <f t="shared" si="800"/>
        <v>1.1997183030152498</v>
      </c>
      <c r="AV845" s="276">
        <f t="shared" si="801"/>
        <v>0.50203103532256454</v>
      </c>
      <c r="AW845" s="276">
        <f t="shared" si="802"/>
        <v>1.3432457515266207</v>
      </c>
      <c r="AX845" s="276">
        <f t="shared" si="803"/>
        <v>0.65846693598382822</v>
      </c>
      <c r="AY845" s="276">
        <f t="shared" si="804"/>
        <v>1.3317546428620364</v>
      </c>
      <c r="AZ845" s="686">
        <f t="shared" si="805"/>
        <v>1.4759772647273601</v>
      </c>
      <c r="BA845" s="685">
        <f t="shared" si="806"/>
        <v>0</v>
      </c>
      <c r="BB845" s="276">
        <f t="shared" si="807"/>
        <v>0</v>
      </c>
      <c r="BC845" s="276">
        <f t="shared" si="808"/>
        <v>0</v>
      </c>
      <c r="BD845" s="276">
        <f t="shared" si="809"/>
        <v>0</v>
      </c>
      <c r="BE845" s="276">
        <f t="shared" si="810"/>
        <v>0</v>
      </c>
      <c r="BF845" s="686">
        <f t="shared" si="811"/>
        <v>0</v>
      </c>
      <c r="BG845" s="685" t="e">
        <f t="shared" si="812"/>
        <v>#DIV/0!</v>
      </c>
      <c r="BH845" s="276" t="e">
        <f t="shared" si="813"/>
        <v>#DIV/0!</v>
      </c>
      <c r="BI845" s="276" t="e">
        <f t="shared" si="814"/>
        <v>#DIV/0!</v>
      </c>
      <c r="BJ845" s="276" t="e">
        <f t="shared" si="815"/>
        <v>#DIV/0!</v>
      </c>
      <c r="BK845" s="276" t="e">
        <f t="shared" si="816"/>
        <v>#DIV/0!</v>
      </c>
      <c r="BL845" s="686" t="e">
        <f t="shared" si="817"/>
        <v>#DIV/0!</v>
      </c>
      <c r="BM845" s="239"/>
      <c r="BN845" s="965" t="e">
        <f t="shared" si="818"/>
        <v>#VALUE!</v>
      </c>
      <c r="BO845" s="878" t="e">
        <f t="shared" si="819"/>
        <v>#VALUE!</v>
      </c>
      <c r="BP845" s="878" t="e">
        <f t="shared" si="820"/>
        <v>#VALUE!</v>
      </c>
      <c r="BQ845" s="878" t="e">
        <f t="shared" si="821"/>
        <v>#VALUE!</v>
      </c>
      <c r="BR845" s="878" t="e">
        <f t="shared" si="822"/>
        <v>#VALUE!</v>
      </c>
      <c r="BS845" s="966" t="e">
        <f t="shared" si="823"/>
        <v>#VALUE!</v>
      </c>
    </row>
    <row r="846" spans="1:71">
      <c r="A846" s="284">
        <f t="shared" si="824"/>
        <v>778</v>
      </c>
      <c r="B846" s="285">
        <v>-2.6802529408436016</v>
      </c>
      <c r="C846" s="285">
        <v>2.6561131781063052</v>
      </c>
      <c r="D846" s="285">
        <v>-0.33000053241104332</v>
      </c>
      <c r="E846" s="285">
        <v>-5.6340892217518146E-2</v>
      </c>
      <c r="H846" s="685">
        <f t="shared" si="770"/>
        <v>-3.8134867826126566</v>
      </c>
      <c r="I846" s="276">
        <f t="shared" si="771"/>
        <v>-0.44855521312502</v>
      </c>
      <c r="J846" s="276">
        <f t="shared" si="772"/>
        <v>1.357330495407395</v>
      </c>
      <c r="K846" s="276">
        <f t="shared" si="773"/>
        <v>-2.2179914099985938</v>
      </c>
      <c r="L846" s="276">
        <f t="shared" si="774"/>
        <v>-4.1107486659585701</v>
      </c>
      <c r="M846" s="276">
        <f t="shared" si="775"/>
        <v>-1.4858920962852071</v>
      </c>
      <c r="N846" s="685">
        <f t="shared" si="776"/>
        <v>1.4489419671344368</v>
      </c>
      <c r="O846" s="276">
        <f t="shared" si="777"/>
        <v>1.3699092768490442</v>
      </c>
      <c r="P846" s="276">
        <f t="shared" si="778"/>
        <v>2.1307127164206072</v>
      </c>
      <c r="Q846" s="276">
        <f t="shared" si="779"/>
        <v>1.5362258483728553</v>
      </c>
      <c r="R846" s="276">
        <f t="shared" si="780"/>
        <v>1.0914014210710181</v>
      </c>
      <c r="S846" s="686">
        <f t="shared" si="781"/>
        <v>0.45404787896204724</v>
      </c>
      <c r="T846" s="685">
        <f t="shared" si="782"/>
        <v>2.9483631578598826</v>
      </c>
      <c r="U846" s="276">
        <f t="shared" si="783"/>
        <v>4.8642092558971921</v>
      </c>
      <c r="V846" s="276">
        <f t="shared" si="784"/>
        <v>2.7264968945113397</v>
      </c>
      <c r="W846" s="276">
        <f t="shared" si="785"/>
        <v>5.0154857377397661</v>
      </c>
      <c r="X846" s="276">
        <f t="shared" si="786"/>
        <v>2.5485163487876776</v>
      </c>
      <c r="Y846" s="686">
        <f t="shared" si="787"/>
        <v>4.6400682218081641</v>
      </c>
      <c r="Z846" s="685" t="e">
        <f t="shared" si="788"/>
        <v>#DIV/0!</v>
      </c>
      <c r="AA846" s="276" t="e">
        <f t="shared" si="789"/>
        <v>#DIV/0!</v>
      </c>
      <c r="AB846" s="276" t="e">
        <f t="shared" si="790"/>
        <v>#DIV/0!</v>
      </c>
      <c r="AC846" s="276" t="e">
        <f t="shared" si="791"/>
        <v>#DIV/0!</v>
      </c>
      <c r="AD846" s="276" t="e">
        <f t="shared" si="792"/>
        <v>#DIV/0!</v>
      </c>
      <c r="AE846" s="686" t="e">
        <f t="shared" si="793"/>
        <v>#DIV/0!</v>
      </c>
      <c r="AF846" s="239"/>
      <c r="AG846" s="965" t="e">
        <f t="shared" si="764"/>
        <v>#VALUE!</v>
      </c>
      <c r="AH846" s="878" t="e">
        <f t="shared" si="765"/>
        <v>#VALUE!</v>
      </c>
      <c r="AI846" s="878" t="e">
        <f t="shared" si="766"/>
        <v>#VALUE!</v>
      </c>
      <c r="AJ846" s="878" t="e">
        <f t="shared" si="767"/>
        <v>#VALUE!</v>
      </c>
      <c r="AK846" s="878" t="e">
        <f t="shared" si="768"/>
        <v>#VALUE!</v>
      </c>
      <c r="AL846" s="966" t="e">
        <f t="shared" si="769"/>
        <v>#VALUE!</v>
      </c>
      <c r="AM846" s="239"/>
      <c r="AO846" s="685">
        <f t="shared" si="794"/>
        <v>-3.8134867826126566</v>
      </c>
      <c r="AP846" s="276">
        <f t="shared" si="795"/>
        <v>-0.44855521312502</v>
      </c>
      <c r="AQ846" s="276">
        <f t="shared" si="796"/>
        <v>1.357330495407395</v>
      </c>
      <c r="AR846" s="276">
        <f t="shared" si="797"/>
        <v>-2.2179914099985938</v>
      </c>
      <c r="AS846" s="276">
        <f t="shared" si="798"/>
        <v>-4.1107486659585701</v>
      </c>
      <c r="AT846" s="276">
        <f t="shared" si="799"/>
        <v>-1.4858920962852071</v>
      </c>
      <c r="AU846" s="685">
        <f t="shared" si="800"/>
        <v>1.4489419671344368</v>
      </c>
      <c r="AV846" s="276">
        <f t="shared" si="801"/>
        <v>1.3699092768490442</v>
      </c>
      <c r="AW846" s="276">
        <f t="shared" si="802"/>
        <v>2.1307127164206072</v>
      </c>
      <c r="AX846" s="276">
        <f t="shared" si="803"/>
        <v>1.5362258483728553</v>
      </c>
      <c r="AY846" s="276">
        <f t="shared" si="804"/>
        <v>1.0914014210710181</v>
      </c>
      <c r="AZ846" s="686">
        <f t="shared" si="805"/>
        <v>0.45404787896204724</v>
      </c>
      <c r="BA846" s="685">
        <f t="shared" si="806"/>
        <v>0</v>
      </c>
      <c r="BB846" s="276">
        <f t="shared" si="807"/>
        <v>0</v>
      </c>
      <c r="BC846" s="276">
        <f t="shared" si="808"/>
        <v>0</v>
      </c>
      <c r="BD846" s="276">
        <f t="shared" si="809"/>
        <v>0</v>
      </c>
      <c r="BE846" s="276">
        <f t="shared" si="810"/>
        <v>0</v>
      </c>
      <c r="BF846" s="686">
        <f t="shared" si="811"/>
        <v>0</v>
      </c>
      <c r="BG846" s="685" t="e">
        <f t="shared" si="812"/>
        <v>#DIV/0!</v>
      </c>
      <c r="BH846" s="276" t="e">
        <f t="shared" si="813"/>
        <v>#DIV/0!</v>
      </c>
      <c r="BI846" s="276" t="e">
        <f t="shared" si="814"/>
        <v>#DIV/0!</v>
      </c>
      <c r="BJ846" s="276" t="e">
        <f t="shared" si="815"/>
        <v>#DIV/0!</v>
      </c>
      <c r="BK846" s="276" t="e">
        <f t="shared" si="816"/>
        <v>#DIV/0!</v>
      </c>
      <c r="BL846" s="686" t="e">
        <f t="shared" si="817"/>
        <v>#DIV/0!</v>
      </c>
      <c r="BM846" s="239"/>
      <c r="BN846" s="965" t="e">
        <f t="shared" si="818"/>
        <v>#VALUE!</v>
      </c>
      <c r="BO846" s="878" t="e">
        <f t="shared" si="819"/>
        <v>#VALUE!</v>
      </c>
      <c r="BP846" s="878" t="e">
        <f t="shared" si="820"/>
        <v>#VALUE!</v>
      </c>
      <c r="BQ846" s="878" t="e">
        <f t="shared" si="821"/>
        <v>#VALUE!</v>
      </c>
      <c r="BR846" s="878" t="e">
        <f t="shared" si="822"/>
        <v>#VALUE!</v>
      </c>
      <c r="BS846" s="966" t="e">
        <f t="shared" si="823"/>
        <v>#VALUE!</v>
      </c>
    </row>
    <row r="847" spans="1:71">
      <c r="A847" s="284">
        <f t="shared" si="824"/>
        <v>779</v>
      </c>
      <c r="B847" s="285">
        <v>-2.190707534883908</v>
      </c>
      <c r="C847" s="285">
        <v>2.7546045436740099</v>
      </c>
      <c r="D847" s="285">
        <v>1.4046226492729992</v>
      </c>
      <c r="E847" s="285">
        <v>4.9938505030892522</v>
      </c>
      <c r="H847" s="685">
        <f t="shared" si="770"/>
        <v>-3.3239413766529626</v>
      </c>
      <c r="I847" s="276">
        <f t="shared" si="771"/>
        <v>-3.4034067219387643</v>
      </c>
      <c r="J847" s="276">
        <f t="shared" si="772"/>
        <v>7.510305736035483E-2</v>
      </c>
      <c r="K847" s="276">
        <f t="shared" si="773"/>
        <v>-8.6285035687640477</v>
      </c>
      <c r="L847" s="276">
        <f t="shared" si="774"/>
        <v>1.7433248338917211</v>
      </c>
      <c r="M847" s="276">
        <f t="shared" si="775"/>
        <v>-0.6798558522831426</v>
      </c>
      <c r="N847" s="685">
        <f t="shared" si="776"/>
        <v>1.5474333327021415</v>
      </c>
      <c r="O847" s="276">
        <f t="shared" si="777"/>
        <v>1.0654543992476129</v>
      </c>
      <c r="P847" s="276">
        <f t="shared" si="778"/>
        <v>1.2809180990576203</v>
      </c>
      <c r="Q847" s="276">
        <f t="shared" si="779"/>
        <v>0.65186074572771635</v>
      </c>
      <c r="R847" s="276">
        <f t="shared" si="780"/>
        <v>1.8383164009279762</v>
      </c>
      <c r="S847" s="686">
        <f t="shared" si="781"/>
        <v>1.1682479341674366</v>
      </c>
      <c r="T847" s="685">
        <f t="shared" si="782"/>
        <v>4.6829863395439251</v>
      </c>
      <c r="U847" s="276">
        <f t="shared" si="783"/>
        <v>5.0609864622194261</v>
      </c>
      <c r="V847" s="276">
        <f t="shared" si="784"/>
        <v>5.2106624355837532</v>
      </c>
      <c r="W847" s="276">
        <f t="shared" si="785"/>
        <v>2.912522624855431</v>
      </c>
      <c r="X847" s="276">
        <f t="shared" si="786"/>
        <v>3.9400897007183078</v>
      </c>
      <c r="Y847" s="686">
        <f t="shared" si="787"/>
        <v>3.6454387725538524</v>
      </c>
      <c r="Z847" s="685" t="e">
        <f t="shared" si="788"/>
        <v>#DIV/0!</v>
      </c>
      <c r="AA847" s="276" t="e">
        <f t="shared" si="789"/>
        <v>#DIV/0!</v>
      </c>
      <c r="AB847" s="276" t="e">
        <f t="shared" si="790"/>
        <v>#DIV/0!</v>
      </c>
      <c r="AC847" s="276" t="e">
        <f t="shared" si="791"/>
        <v>#DIV/0!</v>
      </c>
      <c r="AD847" s="276" t="e">
        <f t="shared" si="792"/>
        <v>#DIV/0!</v>
      </c>
      <c r="AE847" s="686" t="e">
        <f t="shared" si="793"/>
        <v>#DIV/0!</v>
      </c>
      <c r="AF847" s="239"/>
      <c r="AG847" s="965" t="e">
        <f t="shared" si="764"/>
        <v>#VALUE!</v>
      </c>
      <c r="AH847" s="878" t="e">
        <f t="shared" si="765"/>
        <v>#VALUE!</v>
      </c>
      <c r="AI847" s="878" t="e">
        <f t="shared" si="766"/>
        <v>#VALUE!</v>
      </c>
      <c r="AJ847" s="878" t="e">
        <f t="shared" si="767"/>
        <v>#VALUE!</v>
      </c>
      <c r="AK847" s="878" t="e">
        <f t="shared" si="768"/>
        <v>#VALUE!</v>
      </c>
      <c r="AL847" s="966" t="e">
        <f t="shared" si="769"/>
        <v>#VALUE!</v>
      </c>
      <c r="AM847" s="239"/>
      <c r="AO847" s="685">
        <f t="shared" si="794"/>
        <v>-3.3239413766529626</v>
      </c>
      <c r="AP847" s="276">
        <f t="shared" si="795"/>
        <v>-3.4034067219387643</v>
      </c>
      <c r="AQ847" s="276">
        <f t="shared" si="796"/>
        <v>7.510305736035483E-2</v>
      </c>
      <c r="AR847" s="276">
        <f t="shared" si="797"/>
        <v>-8.6285035687640477</v>
      </c>
      <c r="AS847" s="276">
        <f t="shared" si="798"/>
        <v>1.7433248338917211</v>
      </c>
      <c r="AT847" s="276">
        <f t="shared" si="799"/>
        <v>-0.6798558522831426</v>
      </c>
      <c r="AU847" s="685">
        <f t="shared" si="800"/>
        <v>1.5474333327021415</v>
      </c>
      <c r="AV847" s="276">
        <f t="shared" si="801"/>
        <v>1.0654543992476129</v>
      </c>
      <c r="AW847" s="276">
        <f t="shared" si="802"/>
        <v>1.2809180990576203</v>
      </c>
      <c r="AX847" s="276">
        <f t="shared" si="803"/>
        <v>0.65186074572771635</v>
      </c>
      <c r="AY847" s="276">
        <f t="shared" si="804"/>
        <v>1.8383164009279762</v>
      </c>
      <c r="AZ847" s="686">
        <f t="shared" si="805"/>
        <v>1.1682479341674366</v>
      </c>
      <c r="BA847" s="685">
        <f t="shared" si="806"/>
        <v>0</v>
      </c>
      <c r="BB847" s="276">
        <f t="shared" si="807"/>
        <v>0</v>
      </c>
      <c r="BC847" s="276">
        <f t="shared" si="808"/>
        <v>0</v>
      </c>
      <c r="BD847" s="276">
        <f t="shared" si="809"/>
        <v>0</v>
      </c>
      <c r="BE847" s="276">
        <f t="shared" si="810"/>
        <v>0</v>
      </c>
      <c r="BF847" s="686">
        <f t="shared" si="811"/>
        <v>0</v>
      </c>
      <c r="BG847" s="685" t="e">
        <f t="shared" si="812"/>
        <v>#DIV/0!</v>
      </c>
      <c r="BH847" s="276" t="e">
        <f t="shared" si="813"/>
        <v>#DIV/0!</v>
      </c>
      <c r="BI847" s="276" t="e">
        <f t="shared" si="814"/>
        <v>#DIV/0!</v>
      </c>
      <c r="BJ847" s="276" t="e">
        <f t="shared" si="815"/>
        <v>#DIV/0!</v>
      </c>
      <c r="BK847" s="276" t="e">
        <f t="shared" si="816"/>
        <v>#DIV/0!</v>
      </c>
      <c r="BL847" s="686" t="e">
        <f t="shared" si="817"/>
        <v>#DIV/0!</v>
      </c>
      <c r="BM847" s="239"/>
      <c r="BN847" s="965" t="e">
        <f t="shared" si="818"/>
        <v>#VALUE!</v>
      </c>
      <c r="BO847" s="878" t="e">
        <f t="shared" si="819"/>
        <v>#VALUE!</v>
      </c>
      <c r="BP847" s="878" t="e">
        <f t="shared" si="820"/>
        <v>#VALUE!</v>
      </c>
      <c r="BQ847" s="878" t="e">
        <f t="shared" si="821"/>
        <v>#VALUE!</v>
      </c>
      <c r="BR847" s="878" t="e">
        <f t="shared" si="822"/>
        <v>#VALUE!</v>
      </c>
      <c r="BS847" s="966" t="e">
        <f t="shared" si="823"/>
        <v>#VALUE!</v>
      </c>
    </row>
    <row r="848" spans="1:71">
      <c r="A848" s="284">
        <f t="shared" si="824"/>
        <v>780</v>
      </c>
      <c r="B848" s="285">
        <v>1.4087227980487091</v>
      </c>
      <c r="C848" s="285">
        <v>2.0222456431441631</v>
      </c>
      <c r="D848" s="285">
        <v>2.5313381993280246</v>
      </c>
      <c r="E848" s="285">
        <v>-10.060605661796927</v>
      </c>
      <c r="H848" s="685">
        <f t="shared" si="770"/>
        <v>0.27548895627965431</v>
      </c>
      <c r="I848" s="276">
        <f t="shared" si="771"/>
        <v>-0.54387542111048526</v>
      </c>
      <c r="J848" s="276">
        <f t="shared" si="772"/>
        <v>-1.7073730187313152</v>
      </c>
      <c r="K848" s="276">
        <f t="shared" si="773"/>
        <v>-0.17943406847004884</v>
      </c>
      <c r="L848" s="276">
        <f t="shared" si="774"/>
        <v>-0.21173706095097389</v>
      </c>
      <c r="M848" s="276">
        <f t="shared" si="775"/>
        <v>-4.3729651556405118</v>
      </c>
      <c r="N848" s="685">
        <f t="shared" si="776"/>
        <v>0.81507443217229469</v>
      </c>
      <c r="O848" s="276">
        <f t="shared" si="777"/>
        <v>2.0881444072818587</v>
      </c>
      <c r="P848" s="276">
        <f t="shared" si="778"/>
        <v>0.95011334824290761</v>
      </c>
      <c r="Q848" s="276">
        <f t="shared" si="779"/>
        <v>1.5517856174088009</v>
      </c>
      <c r="R848" s="276">
        <f t="shared" si="780"/>
        <v>1.6031521164055567</v>
      </c>
      <c r="S848" s="686">
        <f t="shared" si="781"/>
        <v>0.95884894082275252</v>
      </c>
      <c r="T848" s="685">
        <f t="shared" si="782"/>
        <v>5.8097018895989505</v>
      </c>
      <c r="U848" s="276">
        <f t="shared" si="783"/>
        <v>1.8716812673209828</v>
      </c>
      <c r="V848" s="276">
        <f t="shared" si="784"/>
        <v>5.5997459960390294</v>
      </c>
      <c r="W848" s="276">
        <f t="shared" si="785"/>
        <v>6.2282332790741251</v>
      </c>
      <c r="X848" s="276">
        <f t="shared" si="786"/>
        <v>3.9152549346846701</v>
      </c>
      <c r="Y848" s="686">
        <f t="shared" si="787"/>
        <v>4.2411979341733703</v>
      </c>
      <c r="Z848" s="685" t="e">
        <f t="shared" si="788"/>
        <v>#DIV/0!</v>
      </c>
      <c r="AA848" s="276" t="e">
        <f t="shared" si="789"/>
        <v>#DIV/0!</v>
      </c>
      <c r="AB848" s="276" t="e">
        <f t="shared" si="790"/>
        <v>#DIV/0!</v>
      </c>
      <c r="AC848" s="276" t="e">
        <f t="shared" si="791"/>
        <v>#DIV/0!</v>
      </c>
      <c r="AD848" s="276" t="e">
        <f t="shared" si="792"/>
        <v>#DIV/0!</v>
      </c>
      <c r="AE848" s="686" t="e">
        <f t="shared" si="793"/>
        <v>#DIV/0!</v>
      </c>
      <c r="AF848" s="239"/>
      <c r="AG848" s="965" t="e">
        <f t="shared" si="764"/>
        <v>#VALUE!</v>
      </c>
      <c r="AH848" s="878" t="e">
        <f t="shared" si="765"/>
        <v>#VALUE!</v>
      </c>
      <c r="AI848" s="878" t="e">
        <f t="shared" si="766"/>
        <v>#VALUE!</v>
      </c>
      <c r="AJ848" s="878" t="e">
        <f t="shared" si="767"/>
        <v>#VALUE!</v>
      </c>
      <c r="AK848" s="878" t="e">
        <f t="shared" si="768"/>
        <v>#VALUE!</v>
      </c>
      <c r="AL848" s="966" t="e">
        <f t="shared" si="769"/>
        <v>#VALUE!</v>
      </c>
      <c r="AM848" s="239"/>
      <c r="AO848" s="685">
        <f t="shared" si="794"/>
        <v>0.27548895627965431</v>
      </c>
      <c r="AP848" s="276">
        <f t="shared" si="795"/>
        <v>-0.54387542111048526</v>
      </c>
      <c r="AQ848" s="276">
        <f t="shared" si="796"/>
        <v>-1.7073730187313152</v>
      </c>
      <c r="AR848" s="276">
        <f t="shared" si="797"/>
        <v>-0.17943406847004884</v>
      </c>
      <c r="AS848" s="276">
        <f t="shared" si="798"/>
        <v>-0.21173706095097389</v>
      </c>
      <c r="AT848" s="276">
        <f t="shared" si="799"/>
        <v>-4.3729651556405118</v>
      </c>
      <c r="AU848" s="685">
        <f t="shared" si="800"/>
        <v>0.81507443217229469</v>
      </c>
      <c r="AV848" s="276">
        <f t="shared" si="801"/>
        <v>2.0881444072818587</v>
      </c>
      <c r="AW848" s="276">
        <f t="shared" si="802"/>
        <v>0.95011334824290761</v>
      </c>
      <c r="AX848" s="276">
        <f t="shared" si="803"/>
        <v>1.5517856174088009</v>
      </c>
      <c r="AY848" s="276">
        <f t="shared" si="804"/>
        <v>1.6031521164055567</v>
      </c>
      <c r="AZ848" s="686">
        <f t="shared" si="805"/>
        <v>0.95884894082275252</v>
      </c>
      <c r="BA848" s="685">
        <f t="shared" si="806"/>
        <v>0</v>
      </c>
      <c r="BB848" s="276">
        <f t="shared" si="807"/>
        <v>0</v>
      </c>
      <c r="BC848" s="276">
        <f t="shared" si="808"/>
        <v>0</v>
      </c>
      <c r="BD848" s="276">
        <f t="shared" si="809"/>
        <v>0</v>
      </c>
      <c r="BE848" s="276">
        <f t="shared" si="810"/>
        <v>0</v>
      </c>
      <c r="BF848" s="686">
        <f t="shared" si="811"/>
        <v>0</v>
      </c>
      <c r="BG848" s="685" t="e">
        <f t="shared" si="812"/>
        <v>#DIV/0!</v>
      </c>
      <c r="BH848" s="276" t="e">
        <f t="shared" si="813"/>
        <v>#DIV/0!</v>
      </c>
      <c r="BI848" s="276" t="e">
        <f t="shared" si="814"/>
        <v>#DIV/0!</v>
      </c>
      <c r="BJ848" s="276" t="e">
        <f t="shared" si="815"/>
        <v>#DIV/0!</v>
      </c>
      <c r="BK848" s="276" t="e">
        <f t="shared" si="816"/>
        <v>#DIV/0!</v>
      </c>
      <c r="BL848" s="686" t="e">
        <f t="shared" si="817"/>
        <v>#DIV/0!</v>
      </c>
      <c r="BM848" s="239"/>
      <c r="BN848" s="965" t="e">
        <f t="shared" si="818"/>
        <v>#VALUE!</v>
      </c>
      <c r="BO848" s="878" t="e">
        <f t="shared" si="819"/>
        <v>#VALUE!</v>
      </c>
      <c r="BP848" s="878" t="e">
        <f t="shared" si="820"/>
        <v>#VALUE!</v>
      </c>
      <c r="BQ848" s="878" t="e">
        <f t="shared" si="821"/>
        <v>#VALUE!</v>
      </c>
      <c r="BR848" s="878" t="e">
        <f t="shared" si="822"/>
        <v>#VALUE!</v>
      </c>
      <c r="BS848" s="966" t="e">
        <f t="shared" si="823"/>
        <v>#VALUE!</v>
      </c>
    </row>
    <row r="849" spans="1:71">
      <c r="A849" s="284">
        <f t="shared" si="824"/>
        <v>781</v>
      </c>
      <c r="B849" s="285">
        <v>-4.9803979926670489E-2</v>
      </c>
      <c r="C849" s="285">
        <v>2.2003560650585445</v>
      </c>
      <c r="D849" s="285">
        <v>1.116756165036056</v>
      </c>
      <c r="E849" s="285">
        <v>-3.6871691483279094</v>
      </c>
      <c r="H849" s="685">
        <f t="shared" si="770"/>
        <v>-1.1830378216957254</v>
      </c>
      <c r="I849" s="276">
        <f t="shared" si="771"/>
        <v>-5.3964501856221441</v>
      </c>
      <c r="J849" s="276">
        <f t="shared" si="772"/>
        <v>2.1820370171217824</v>
      </c>
      <c r="K849" s="276">
        <f t="shared" si="773"/>
        <v>-0.41734317558550149</v>
      </c>
      <c r="L849" s="276">
        <f t="shared" si="774"/>
        <v>0.47417968537569943</v>
      </c>
      <c r="M849" s="276">
        <f t="shared" si="775"/>
        <v>0.67692895393176178</v>
      </c>
      <c r="N849" s="685">
        <f t="shared" si="776"/>
        <v>0.99318485408667612</v>
      </c>
      <c r="O849" s="276">
        <f t="shared" si="777"/>
        <v>2.2286059062479477</v>
      </c>
      <c r="P849" s="276">
        <f t="shared" si="778"/>
        <v>0.83481807294772259</v>
      </c>
      <c r="Q849" s="276">
        <f t="shared" si="779"/>
        <v>1.8988273848111679</v>
      </c>
      <c r="R849" s="276">
        <f t="shared" si="780"/>
        <v>1.6898695202982743</v>
      </c>
      <c r="S849" s="686">
        <f t="shared" si="781"/>
        <v>0.50477753456816776</v>
      </c>
      <c r="T849" s="685">
        <f t="shared" si="782"/>
        <v>4.3951198553069819</v>
      </c>
      <c r="U849" s="276">
        <f t="shared" si="783"/>
        <v>2.9187187993106578</v>
      </c>
      <c r="V849" s="276">
        <f t="shared" si="784"/>
        <v>4.5279175753448202</v>
      </c>
      <c r="W849" s="276">
        <f t="shared" si="785"/>
        <v>4.6778338411742286</v>
      </c>
      <c r="X849" s="276">
        <f t="shared" si="786"/>
        <v>4.8636973834954631</v>
      </c>
      <c r="Y849" s="686">
        <f t="shared" si="787"/>
        <v>5.1107993884600749</v>
      </c>
      <c r="Z849" s="685" t="e">
        <f t="shared" si="788"/>
        <v>#DIV/0!</v>
      </c>
      <c r="AA849" s="276" t="e">
        <f t="shared" si="789"/>
        <v>#DIV/0!</v>
      </c>
      <c r="AB849" s="276" t="e">
        <f t="shared" si="790"/>
        <v>#DIV/0!</v>
      </c>
      <c r="AC849" s="276" t="e">
        <f t="shared" si="791"/>
        <v>#DIV/0!</v>
      </c>
      <c r="AD849" s="276" t="e">
        <f t="shared" si="792"/>
        <v>#DIV/0!</v>
      </c>
      <c r="AE849" s="686" t="e">
        <f t="shared" si="793"/>
        <v>#DIV/0!</v>
      </c>
      <c r="AF849" s="239"/>
      <c r="AG849" s="965" t="e">
        <f t="shared" si="764"/>
        <v>#VALUE!</v>
      </c>
      <c r="AH849" s="878" t="e">
        <f t="shared" si="765"/>
        <v>#VALUE!</v>
      </c>
      <c r="AI849" s="878" t="e">
        <f t="shared" si="766"/>
        <v>#VALUE!</v>
      </c>
      <c r="AJ849" s="878" t="e">
        <f t="shared" si="767"/>
        <v>#VALUE!</v>
      </c>
      <c r="AK849" s="878" t="e">
        <f t="shared" si="768"/>
        <v>#VALUE!</v>
      </c>
      <c r="AL849" s="966" t="e">
        <f t="shared" si="769"/>
        <v>#VALUE!</v>
      </c>
      <c r="AM849" s="239"/>
      <c r="AO849" s="685">
        <f t="shared" si="794"/>
        <v>-1.1830378216957254</v>
      </c>
      <c r="AP849" s="276">
        <f t="shared" si="795"/>
        <v>-5.3964501856221441</v>
      </c>
      <c r="AQ849" s="276">
        <f t="shared" si="796"/>
        <v>2.1820370171217824</v>
      </c>
      <c r="AR849" s="276">
        <f t="shared" si="797"/>
        <v>-0.41734317558550149</v>
      </c>
      <c r="AS849" s="276">
        <f t="shared" si="798"/>
        <v>0.47417968537569943</v>
      </c>
      <c r="AT849" s="276">
        <f t="shared" si="799"/>
        <v>0.67692895393176178</v>
      </c>
      <c r="AU849" s="685">
        <f t="shared" si="800"/>
        <v>0.99318485408667612</v>
      </c>
      <c r="AV849" s="276">
        <f t="shared" si="801"/>
        <v>2.2286059062479477</v>
      </c>
      <c r="AW849" s="276">
        <f t="shared" si="802"/>
        <v>0.83481807294772259</v>
      </c>
      <c r="AX849" s="276">
        <f t="shared" si="803"/>
        <v>1.8988273848111679</v>
      </c>
      <c r="AY849" s="276">
        <f t="shared" si="804"/>
        <v>1.6898695202982743</v>
      </c>
      <c r="AZ849" s="686">
        <f t="shared" si="805"/>
        <v>0.50477753456816776</v>
      </c>
      <c r="BA849" s="685">
        <f t="shared" si="806"/>
        <v>0</v>
      </c>
      <c r="BB849" s="276">
        <f t="shared" si="807"/>
        <v>0</v>
      </c>
      <c r="BC849" s="276">
        <f t="shared" si="808"/>
        <v>0</v>
      </c>
      <c r="BD849" s="276">
        <f t="shared" si="809"/>
        <v>0</v>
      </c>
      <c r="BE849" s="276">
        <f t="shared" si="810"/>
        <v>0</v>
      </c>
      <c r="BF849" s="686">
        <f t="shared" si="811"/>
        <v>0</v>
      </c>
      <c r="BG849" s="685" t="e">
        <f t="shared" si="812"/>
        <v>#DIV/0!</v>
      </c>
      <c r="BH849" s="276" t="e">
        <f t="shared" si="813"/>
        <v>#DIV/0!</v>
      </c>
      <c r="BI849" s="276" t="e">
        <f t="shared" si="814"/>
        <v>#DIV/0!</v>
      </c>
      <c r="BJ849" s="276" t="e">
        <f t="shared" si="815"/>
        <v>#DIV/0!</v>
      </c>
      <c r="BK849" s="276" t="e">
        <f t="shared" si="816"/>
        <v>#DIV/0!</v>
      </c>
      <c r="BL849" s="686" t="e">
        <f t="shared" si="817"/>
        <v>#DIV/0!</v>
      </c>
      <c r="BM849" s="239"/>
      <c r="BN849" s="965" t="e">
        <f t="shared" si="818"/>
        <v>#VALUE!</v>
      </c>
      <c r="BO849" s="878" t="e">
        <f t="shared" si="819"/>
        <v>#VALUE!</v>
      </c>
      <c r="BP849" s="878" t="e">
        <f t="shared" si="820"/>
        <v>#VALUE!</v>
      </c>
      <c r="BQ849" s="878" t="e">
        <f t="shared" si="821"/>
        <v>#VALUE!</v>
      </c>
      <c r="BR849" s="878" t="e">
        <f t="shared" si="822"/>
        <v>#VALUE!</v>
      </c>
      <c r="BS849" s="966" t="e">
        <f t="shared" si="823"/>
        <v>#VALUE!</v>
      </c>
    </row>
    <row r="850" spans="1:71">
      <c r="A850" s="284">
        <f t="shared" si="824"/>
        <v>782</v>
      </c>
      <c r="B850" s="285">
        <v>3.4233849650345554</v>
      </c>
      <c r="C850" s="285">
        <v>2.6861667280287778</v>
      </c>
      <c r="D850" s="285">
        <v>1.9882649190860571</v>
      </c>
      <c r="E850" s="285">
        <v>-0.94351098409793588</v>
      </c>
      <c r="H850" s="685">
        <f t="shared" si="770"/>
        <v>2.2901511232655007</v>
      </c>
      <c r="I850" s="276">
        <f t="shared" si="771"/>
        <v>-0.98902281673040948</v>
      </c>
      <c r="J850" s="276">
        <f t="shared" si="772"/>
        <v>-2.0001457268056084</v>
      </c>
      <c r="K850" s="276">
        <f t="shared" si="773"/>
        <v>-1.7288425287608389</v>
      </c>
      <c r="L850" s="276">
        <f t="shared" si="774"/>
        <v>0.32279571772888227</v>
      </c>
      <c r="M850" s="276">
        <f t="shared" si="775"/>
        <v>2.2377400417904409</v>
      </c>
      <c r="N850" s="685">
        <f t="shared" si="776"/>
        <v>1.4789955170569093</v>
      </c>
      <c r="O850" s="276">
        <f t="shared" si="777"/>
        <v>1.8165176512687122</v>
      </c>
      <c r="P850" s="276">
        <f t="shared" si="778"/>
        <v>1.4034429626794978</v>
      </c>
      <c r="Q850" s="276">
        <f t="shared" si="779"/>
        <v>1.6944525754624331</v>
      </c>
      <c r="R850" s="276">
        <f t="shared" si="780"/>
        <v>1.6855291523550366</v>
      </c>
      <c r="S850" s="686">
        <f t="shared" si="781"/>
        <v>1.7061186861801418</v>
      </c>
      <c r="T850" s="685">
        <f t="shared" si="782"/>
        <v>5.2666286093569834</v>
      </c>
      <c r="U850" s="276">
        <f t="shared" si="783"/>
        <v>3.1677421031616397</v>
      </c>
      <c r="V850" s="276">
        <f t="shared" si="784"/>
        <v>3.5416226943198952</v>
      </c>
      <c r="W850" s="276">
        <f t="shared" si="785"/>
        <v>6.1497864648463043</v>
      </c>
      <c r="X850" s="276">
        <f t="shared" si="786"/>
        <v>4.8944172013326241</v>
      </c>
      <c r="Y850" s="686">
        <f t="shared" si="787"/>
        <v>3.6759417868787736</v>
      </c>
      <c r="Z850" s="685" t="e">
        <f t="shared" si="788"/>
        <v>#DIV/0!</v>
      </c>
      <c r="AA850" s="276" t="e">
        <f t="shared" si="789"/>
        <v>#DIV/0!</v>
      </c>
      <c r="AB850" s="276" t="e">
        <f t="shared" si="790"/>
        <v>#DIV/0!</v>
      </c>
      <c r="AC850" s="276" t="e">
        <f t="shared" si="791"/>
        <v>#DIV/0!</v>
      </c>
      <c r="AD850" s="276" t="e">
        <f t="shared" si="792"/>
        <v>#DIV/0!</v>
      </c>
      <c r="AE850" s="686" t="e">
        <f t="shared" si="793"/>
        <v>#DIV/0!</v>
      </c>
      <c r="AF850" s="239"/>
      <c r="AG850" s="965" t="e">
        <f t="shared" si="764"/>
        <v>#VALUE!</v>
      </c>
      <c r="AH850" s="878" t="e">
        <f t="shared" si="765"/>
        <v>#VALUE!</v>
      </c>
      <c r="AI850" s="878" t="e">
        <f t="shared" si="766"/>
        <v>#VALUE!</v>
      </c>
      <c r="AJ850" s="878" t="e">
        <f t="shared" si="767"/>
        <v>#VALUE!</v>
      </c>
      <c r="AK850" s="878" t="e">
        <f t="shared" si="768"/>
        <v>#VALUE!</v>
      </c>
      <c r="AL850" s="966" t="e">
        <f t="shared" si="769"/>
        <v>#VALUE!</v>
      </c>
      <c r="AM850" s="239"/>
      <c r="AO850" s="685">
        <f t="shared" si="794"/>
        <v>2.2901511232655007</v>
      </c>
      <c r="AP850" s="276">
        <f t="shared" si="795"/>
        <v>-0.98902281673040948</v>
      </c>
      <c r="AQ850" s="276">
        <f t="shared" si="796"/>
        <v>-2.0001457268056084</v>
      </c>
      <c r="AR850" s="276">
        <f t="shared" si="797"/>
        <v>-1.7288425287608389</v>
      </c>
      <c r="AS850" s="276">
        <f t="shared" si="798"/>
        <v>0.32279571772888227</v>
      </c>
      <c r="AT850" s="276">
        <f t="shared" si="799"/>
        <v>2.2377400417904409</v>
      </c>
      <c r="AU850" s="685">
        <f t="shared" si="800"/>
        <v>1.4789955170569093</v>
      </c>
      <c r="AV850" s="276">
        <f t="shared" si="801"/>
        <v>1.8165176512687122</v>
      </c>
      <c r="AW850" s="276">
        <f t="shared" si="802"/>
        <v>1.4034429626794978</v>
      </c>
      <c r="AX850" s="276">
        <f t="shared" si="803"/>
        <v>1.6944525754624331</v>
      </c>
      <c r="AY850" s="276">
        <f t="shared" si="804"/>
        <v>1.6855291523550366</v>
      </c>
      <c r="AZ850" s="686">
        <f t="shared" si="805"/>
        <v>1.7061186861801418</v>
      </c>
      <c r="BA850" s="685">
        <f t="shared" si="806"/>
        <v>0</v>
      </c>
      <c r="BB850" s="276">
        <f t="shared" si="807"/>
        <v>0</v>
      </c>
      <c r="BC850" s="276">
        <f t="shared" si="808"/>
        <v>0</v>
      </c>
      <c r="BD850" s="276">
        <f t="shared" si="809"/>
        <v>0</v>
      </c>
      <c r="BE850" s="276">
        <f t="shared" si="810"/>
        <v>0</v>
      </c>
      <c r="BF850" s="686">
        <f t="shared" si="811"/>
        <v>0</v>
      </c>
      <c r="BG850" s="685" t="e">
        <f t="shared" si="812"/>
        <v>#DIV/0!</v>
      </c>
      <c r="BH850" s="276" t="e">
        <f t="shared" si="813"/>
        <v>#DIV/0!</v>
      </c>
      <c r="BI850" s="276" t="e">
        <f t="shared" si="814"/>
        <v>#DIV/0!</v>
      </c>
      <c r="BJ850" s="276" t="e">
        <f t="shared" si="815"/>
        <v>#DIV/0!</v>
      </c>
      <c r="BK850" s="276" t="e">
        <f t="shared" si="816"/>
        <v>#DIV/0!</v>
      </c>
      <c r="BL850" s="686" t="e">
        <f t="shared" si="817"/>
        <v>#DIV/0!</v>
      </c>
      <c r="BM850" s="239"/>
      <c r="BN850" s="965" t="e">
        <f t="shared" si="818"/>
        <v>#VALUE!</v>
      </c>
      <c r="BO850" s="878" t="e">
        <f t="shared" si="819"/>
        <v>#VALUE!</v>
      </c>
      <c r="BP850" s="878" t="e">
        <f t="shared" si="820"/>
        <v>#VALUE!</v>
      </c>
      <c r="BQ850" s="878" t="e">
        <f t="shared" si="821"/>
        <v>#VALUE!</v>
      </c>
      <c r="BR850" s="878" t="e">
        <f t="shared" si="822"/>
        <v>#VALUE!</v>
      </c>
      <c r="BS850" s="966" t="e">
        <f t="shared" si="823"/>
        <v>#VALUE!</v>
      </c>
    </row>
    <row r="851" spans="1:71">
      <c r="A851" s="284">
        <f t="shared" si="824"/>
        <v>783</v>
      </c>
      <c r="B851" s="285">
        <v>-3.8470686072891755</v>
      </c>
      <c r="C851" s="285">
        <v>2.1822168749937898</v>
      </c>
      <c r="D851" s="285">
        <v>0.59065678859696757</v>
      </c>
      <c r="E851" s="285">
        <v>-8.6901402682825744</v>
      </c>
      <c r="H851" s="685">
        <f t="shared" si="770"/>
        <v>-4.9803024490582306</v>
      </c>
      <c r="I851" s="276">
        <f t="shared" si="771"/>
        <v>0.52195587872047233</v>
      </c>
      <c r="J851" s="276">
        <f t="shared" si="772"/>
        <v>3.9028684777992977</v>
      </c>
      <c r="K851" s="276">
        <f t="shared" si="773"/>
        <v>3.0901395440542654</v>
      </c>
      <c r="L851" s="276">
        <f t="shared" si="774"/>
        <v>-5.984287272438424</v>
      </c>
      <c r="M851" s="276">
        <f t="shared" si="775"/>
        <v>-1.5289814821969439</v>
      </c>
      <c r="N851" s="685">
        <f t="shared" si="776"/>
        <v>0.97504566402192139</v>
      </c>
      <c r="O851" s="276">
        <f t="shared" si="777"/>
        <v>2.1032424038781317</v>
      </c>
      <c r="P851" s="276">
        <f t="shared" si="778"/>
        <v>1.9622691871818458</v>
      </c>
      <c r="Q851" s="276">
        <f t="shared" si="779"/>
        <v>0.49560494069415029</v>
      </c>
      <c r="R851" s="276">
        <f t="shared" si="780"/>
        <v>0.83048076706120999</v>
      </c>
      <c r="S851" s="686">
        <f t="shared" si="781"/>
        <v>1.1133314348455776</v>
      </c>
      <c r="T851" s="685">
        <f t="shared" si="782"/>
        <v>3.8690204788678937</v>
      </c>
      <c r="U851" s="276">
        <f t="shared" si="783"/>
        <v>4.7149136552509789</v>
      </c>
      <c r="V851" s="276">
        <f t="shared" si="784"/>
        <v>5.3484839575762742</v>
      </c>
      <c r="W851" s="276">
        <f t="shared" si="785"/>
        <v>5.6939757521726753</v>
      </c>
      <c r="X851" s="276">
        <f t="shared" si="786"/>
        <v>2.9729690091238945</v>
      </c>
      <c r="Y851" s="686">
        <f t="shared" si="787"/>
        <v>4.6703415659743621</v>
      </c>
      <c r="Z851" s="685" t="e">
        <f t="shared" si="788"/>
        <v>#DIV/0!</v>
      </c>
      <c r="AA851" s="276" t="e">
        <f t="shared" si="789"/>
        <v>#DIV/0!</v>
      </c>
      <c r="AB851" s="276" t="e">
        <f t="shared" si="790"/>
        <v>#DIV/0!</v>
      </c>
      <c r="AC851" s="276" t="e">
        <f t="shared" si="791"/>
        <v>#DIV/0!</v>
      </c>
      <c r="AD851" s="276" t="e">
        <f t="shared" si="792"/>
        <v>#DIV/0!</v>
      </c>
      <c r="AE851" s="686" t="e">
        <f t="shared" si="793"/>
        <v>#DIV/0!</v>
      </c>
      <c r="AF851" s="239"/>
      <c r="AG851" s="965" t="e">
        <f t="shared" si="764"/>
        <v>#VALUE!</v>
      </c>
      <c r="AH851" s="878" t="e">
        <f t="shared" si="765"/>
        <v>#VALUE!</v>
      </c>
      <c r="AI851" s="878" t="e">
        <f t="shared" si="766"/>
        <v>#VALUE!</v>
      </c>
      <c r="AJ851" s="878" t="e">
        <f t="shared" si="767"/>
        <v>#VALUE!</v>
      </c>
      <c r="AK851" s="878" t="e">
        <f t="shared" si="768"/>
        <v>#VALUE!</v>
      </c>
      <c r="AL851" s="966" t="e">
        <f t="shared" si="769"/>
        <v>#VALUE!</v>
      </c>
      <c r="AM851" s="239"/>
      <c r="AO851" s="685">
        <f t="shared" si="794"/>
        <v>-4.9803024490582306</v>
      </c>
      <c r="AP851" s="276">
        <f t="shared" si="795"/>
        <v>0.52195587872047233</v>
      </c>
      <c r="AQ851" s="276">
        <f t="shared" si="796"/>
        <v>3.9028684777992977</v>
      </c>
      <c r="AR851" s="276">
        <f t="shared" si="797"/>
        <v>3.0901395440542654</v>
      </c>
      <c r="AS851" s="276">
        <f t="shared" si="798"/>
        <v>-5.984287272438424</v>
      </c>
      <c r="AT851" s="276">
        <f t="shared" si="799"/>
        <v>-1.5289814821969439</v>
      </c>
      <c r="AU851" s="685">
        <f t="shared" si="800"/>
        <v>0.97504566402192139</v>
      </c>
      <c r="AV851" s="276">
        <f t="shared" si="801"/>
        <v>2.1032424038781317</v>
      </c>
      <c r="AW851" s="276">
        <f t="shared" si="802"/>
        <v>1.9622691871818458</v>
      </c>
      <c r="AX851" s="276">
        <f t="shared" si="803"/>
        <v>0.49560494069415029</v>
      </c>
      <c r="AY851" s="276">
        <f t="shared" si="804"/>
        <v>0.83048076706120999</v>
      </c>
      <c r="AZ851" s="686">
        <f t="shared" si="805"/>
        <v>1.1133314348455776</v>
      </c>
      <c r="BA851" s="685">
        <f t="shared" si="806"/>
        <v>0</v>
      </c>
      <c r="BB851" s="276">
        <f t="shared" si="807"/>
        <v>0</v>
      </c>
      <c r="BC851" s="276">
        <f t="shared" si="808"/>
        <v>0</v>
      </c>
      <c r="BD851" s="276">
        <f t="shared" si="809"/>
        <v>0</v>
      </c>
      <c r="BE851" s="276">
        <f t="shared" si="810"/>
        <v>0</v>
      </c>
      <c r="BF851" s="686">
        <f t="shared" si="811"/>
        <v>0</v>
      </c>
      <c r="BG851" s="685" t="e">
        <f t="shared" si="812"/>
        <v>#DIV/0!</v>
      </c>
      <c r="BH851" s="276" t="e">
        <f t="shared" si="813"/>
        <v>#DIV/0!</v>
      </c>
      <c r="BI851" s="276" t="e">
        <f t="shared" si="814"/>
        <v>#DIV/0!</v>
      </c>
      <c r="BJ851" s="276" t="e">
        <f t="shared" si="815"/>
        <v>#DIV/0!</v>
      </c>
      <c r="BK851" s="276" t="e">
        <f t="shared" si="816"/>
        <v>#DIV/0!</v>
      </c>
      <c r="BL851" s="686" t="e">
        <f t="shared" si="817"/>
        <v>#DIV/0!</v>
      </c>
      <c r="BM851" s="239"/>
      <c r="BN851" s="965" t="e">
        <f t="shared" si="818"/>
        <v>#VALUE!</v>
      </c>
      <c r="BO851" s="878" t="e">
        <f t="shared" si="819"/>
        <v>#VALUE!</v>
      </c>
      <c r="BP851" s="878" t="e">
        <f t="shared" si="820"/>
        <v>#VALUE!</v>
      </c>
      <c r="BQ851" s="878" t="e">
        <f t="shared" si="821"/>
        <v>#VALUE!</v>
      </c>
      <c r="BR851" s="878" t="e">
        <f t="shared" si="822"/>
        <v>#VALUE!</v>
      </c>
      <c r="BS851" s="966" t="e">
        <f t="shared" si="823"/>
        <v>#VALUE!</v>
      </c>
    </row>
    <row r="852" spans="1:71">
      <c r="A852" s="284">
        <f t="shared" si="824"/>
        <v>784</v>
      </c>
      <c r="B852" s="285">
        <v>-1.7667343531531943</v>
      </c>
      <c r="C852" s="285">
        <v>1.9144493364113917</v>
      </c>
      <c r="D852" s="285">
        <v>1.3303931972262066</v>
      </c>
      <c r="E852" s="285">
        <v>-9.4567619428202949</v>
      </c>
      <c r="H852" s="685">
        <f t="shared" si="770"/>
        <v>-2.8999681949222493</v>
      </c>
      <c r="I852" s="276">
        <f t="shared" si="771"/>
        <v>-1.6048922602866074</v>
      </c>
      <c r="J852" s="276">
        <f t="shared" si="772"/>
        <v>0.63933046832830054</v>
      </c>
      <c r="K852" s="276">
        <f t="shared" si="773"/>
        <v>-1.701313373846191</v>
      </c>
      <c r="L852" s="276">
        <f t="shared" si="774"/>
        <v>-1.8029917762457215</v>
      </c>
      <c r="M852" s="276">
        <f t="shared" si="775"/>
        <v>-1.0199677074551392</v>
      </c>
      <c r="N852" s="685">
        <f t="shared" si="776"/>
        <v>0.70727812543952329</v>
      </c>
      <c r="O852" s="276">
        <f t="shared" si="777"/>
        <v>1.730002303180133</v>
      </c>
      <c r="P852" s="276">
        <f t="shared" si="778"/>
        <v>1.8593404491655703</v>
      </c>
      <c r="Q852" s="276">
        <f t="shared" si="779"/>
        <v>1.5536001520621217</v>
      </c>
      <c r="R852" s="276">
        <f t="shared" si="780"/>
        <v>0.45190404420221708</v>
      </c>
      <c r="S852" s="686">
        <f t="shared" si="781"/>
        <v>0.74190092344745362</v>
      </c>
      <c r="T852" s="685">
        <f t="shared" si="782"/>
        <v>4.6087568874971323</v>
      </c>
      <c r="U852" s="276">
        <f t="shared" si="783"/>
        <v>5.8067353577711671</v>
      </c>
      <c r="V852" s="276">
        <f t="shared" si="784"/>
        <v>4.6365534394880683</v>
      </c>
      <c r="W852" s="276">
        <f t="shared" si="785"/>
        <v>5.5271959974157205</v>
      </c>
      <c r="X852" s="276">
        <f t="shared" si="786"/>
        <v>4.9473236594608929</v>
      </c>
      <c r="Y852" s="686">
        <f t="shared" si="787"/>
        <v>3.1556474840712845</v>
      </c>
      <c r="Z852" s="685" t="e">
        <f t="shared" si="788"/>
        <v>#DIV/0!</v>
      </c>
      <c r="AA852" s="276" t="e">
        <f t="shared" si="789"/>
        <v>#DIV/0!</v>
      </c>
      <c r="AB852" s="276" t="e">
        <f t="shared" si="790"/>
        <v>#DIV/0!</v>
      </c>
      <c r="AC852" s="276" t="e">
        <f t="shared" si="791"/>
        <v>#DIV/0!</v>
      </c>
      <c r="AD852" s="276" t="e">
        <f t="shared" si="792"/>
        <v>#DIV/0!</v>
      </c>
      <c r="AE852" s="686" t="e">
        <f t="shared" si="793"/>
        <v>#DIV/0!</v>
      </c>
      <c r="AF852" s="239"/>
      <c r="AG852" s="965" t="e">
        <f t="shared" si="764"/>
        <v>#VALUE!</v>
      </c>
      <c r="AH852" s="878" t="e">
        <f t="shared" si="765"/>
        <v>#VALUE!</v>
      </c>
      <c r="AI852" s="878" t="e">
        <f t="shared" si="766"/>
        <v>#VALUE!</v>
      </c>
      <c r="AJ852" s="878" t="e">
        <f t="shared" si="767"/>
        <v>#VALUE!</v>
      </c>
      <c r="AK852" s="878" t="e">
        <f t="shared" si="768"/>
        <v>#VALUE!</v>
      </c>
      <c r="AL852" s="966" t="e">
        <f t="shared" si="769"/>
        <v>#VALUE!</v>
      </c>
      <c r="AM852" s="239"/>
      <c r="AO852" s="685">
        <f t="shared" si="794"/>
        <v>-2.8999681949222493</v>
      </c>
      <c r="AP852" s="276">
        <f t="shared" si="795"/>
        <v>-1.6048922602866074</v>
      </c>
      <c r="AQ852" s="276">
        <f t="shared" si="796"/>
        <v>0.63933046832830054</v>
      </c>
      <c r="AR852" s="276">
        <f t="shared" si="797"/>
        <v>-1.701313373846191</v>
      </c>
      <c r="AS852" s="276">
        <f t="shared" si="798"/>
        <v>-1.8029917762457215</v>
      </c>
      <c r="AT852" s="276">
        <f t="shared" si="799"/>
        <v>-1.0199677074551392</v>
      </c>
      <c r="AU852" s="685">
        <f t="shared" si="800"/>
        <v>0.70727812543952329</v>
      </c>
      <c r="AV852" s="276">
        <f t="shared" si="801"/>
        <v>1.730002303180133</v>
      </c>
      <c r="AW852" s="276">
        <f t="shared" si="802"/>
        <v>1.8593404491655703</v>
      </c>
      <c r="AX852" s="276">
        <f t="shared" si="803"/>
        <v>1.5536001520621217</v>
      </c>
      <c r="AY852" s="276">
        <f t="shared" si="804"/>
        <v>0.45190404420221708</v>
      </c>
      <c r="AZ852" s="686">
        <f t="shared" si="805"/>
        <v>0.74190092344745362</v>
      </c>
      <c r="BA852" s="685">
        <f t="shared" si="806"/>
        <v>0</v>
      </c>
      <c r="BB852" s="276">
        <f t="shared" si="807"/>
        <v>0</v>
      </c>
      <c r="BC852" s="276">
        <f t="shared" si="808"/>
        <v>0</v>
      </c>
      <c r="BD852" s="276">
        <f t="shared" si="809"/>
        <v>0</v>
      </c>
      <c r="BE852" s="276">
        <f t="shared" si="810"/>
        <v>0</v>
      </c>
      <c r="BF852" s="686">
        <f t="shared" si="811"/>
        <v>0</v>
      </c>
      <c r="BG852" s="685" t="e">
        <f t="shared" si="812"/>
        <v>#DIV/0!</v>
      </c>
      <c r="BH852" s="276" t="e">
        <f t="shared" si="813"/>
        <v>#DIV/0!</v>
      </c>
      <c r="BI852" s="276" t="e">
        <f t="shared" si="814"/>
        <v>#DIV/0!</v>
      </c>
      <c r="BJ852" s="276" t="e">
        <f t="shared" si="815"/>
        <v>#DIV/0!</v>
      </c>
      <c r="BK852" s="276" t="e">
        <f t="shared" si="816"/>
        <v>#DIV/0!</v>
      </c>
      <c r="BL852" s="686" t="e">
        <f t="shared" si="817"/>
        <v>#DIV/0!</v>
      </c>
      <c r="BM852" s="239"/>
      <c r="BN852" s="965" t="e">
        <f t="shared" si="818"/>
        <v>#VALUE!</v>
      </c>
      <c r="BO852" s="878" t="e">
        <f t="shared" si="819"/>
        <v>#VALUE!</v>
      </c>
      <c r="BP852" s="878" t="e">
        <f t="shared" si="820"/>
        <v>#VALUE!</v>
      </c>
      <c r="BQ852" s="878" t="e">
        <f t="shared" si="821"/>
        <v>#VALUE!</v>
      </c>
      <c r="BR852" s="878" t="e">
        <f t="shared" si="822"/>
        <v>#VALUE!</v>
      </c>
      <c r="BS852" s="966" t="e">
        <f t="shared" si="823"/>
        <v>#VALUE!</v>
      </c>
    </row>
    <row r="853" spans="1:71">
      <c r="A853" s="284">
        <f t="shared" si="824"/>
        <v>785</v>
      </c>
      <c r="B853" s="285">
        <v>-0.60858765023868078</v>
      </c>
      <c r="C853" s="285">
        <v>2.8297743602475243</v>
      </c>
      <c r="D853" s="285">
        <v>0.3320579964900392</v>
      </c>
      <c r="E853" s="285">
        <v>17.687608078936687</v>
      </c>
      <c r="H853" s="685">
        <f t="shared" si="770"/>
        <v>-1.7418214920077357</v>
      </c>
      <c r="I853" s="276">
        <f t="shared" si="771"/>
        <v>-2.6285504972935065</v>
      </c>
      <c r="J853" s="276">
        <f t="shared" si="772"/>
        <v>-1.2775896260408133</v>
      </c>
      <c r="K853" s="276">
        <f t="shared" si="773"/>
        <v>-4.9001481369734829</v>
      </c>
      <c r="L853" s="276">
        <f t="shared" si="774"/>
        <v>1.4654214840188338</v>
      </c>
      <c r="M853" s="276">
        <f t="shared" si="775"/>
        <v>-4.9899589665411392</v>
      </c>
      <c r="N853" s="685">
        <f t="shared" si="776"/>
        <v>1.6226031492756559</v>
      </c>
      <c r="O853" s="276">
        <f t="shared" si="777"/>
        <v>0.80638478946829317</v>
      </c>
      <c r="P853" s="276">
        <f t="shared" si="778"/>
        <v>0.95149739015395807</v>
      </c>
      <c r="Q853" s="276">
        <f t="shared" si="779"/>
        <v>1.2913371685945101</v>
      </c>
      <c r="R853" s="276">
        <f t="shared" si="780"/>
        <v>1.6518774198664212</v>
      </c>
      <c r="S853" s="686">
        <f t="shared" si="781"/>
        <v>1.1956509671088831</v>
      </c>
      <c r="T853" s="685">
        <f t="shared" si="782"/>
        <v>3.6104216867609651</v>
      </c>
      <c r="U853" s="276">
        <f t="shared" si="783"/>
        <v>3.5799620485581003</v>
      </c>
      <c r="V853" s="276">
        <f t="shared" si="784"/>
        <v>2.9450823261186594</v>
      </c>
      <c r="W853" s="276">
        <f t="shared" si="785"/>
        <v>3.69103784438148</v>
      </c>
      <c r="X853" s="276">
        <f t="shared" si="786"/>
        <v>7.0621859964464031</v>
      </c>
      <c r="Y853" s="686">
        <f t="shared" si="787"/>
        <v>5.1096656029002503</v>
      </c>
      <c r="Z853" s="685" t="e">
        <f t="shared" si="788"/>
        <v>#DIV/0!</v>
      </c>
      <c r="AA853" s="276" t="e">
        <f t="shared" si="789"/>
        <v>#DIV/0!</v>
      </c>
      <c r="AB853" s="276" t="e">
        <f t="shared" si="790"/>
        <v>#DIV/0!</v>
      </c>
      <c r="AC853" s="276" t="e">
        <f t="shared" si="791"/>
        <v>#DIV/0!</v>
      </c>
      <c r="AD853" s="276" t="e">
        <f t="shared" si="792"/>
        <v>#DIV/0!</v>
      </c>
      <c r="AE853" s="686" t="e">
        <f t="shared" si="793"/>
        <v>#DIV/0!</v>
      </c>
      <c r="AF853" s="239"/>
      <c r="AG853" s="965" t="e">
        <f t="shared" si="764"/>
        <v>#VALUE!</v>
      </c>
      <c r="AH853" s="878" t="e">
        <f t="shared" si="765"/>
        <v>#VALUE!</v>
      </c>
      <c r="AI853" s="878" t="e">
        <f t="shared" si="766"/>
        <v>#VALUE!</v>
      </c>
      <c r="AJ853" s="878" t="e">
        <f t="shared" si="767"/>
        <v>#VALUE!</v>
      </c>
      <c r="AK853" s="878" t="e">
        <f t="shared" si="768"/>
        <v>#VALUE!</v>
      </c>
      <c r="AL853" s="966" t="e">
        <f t="shared" si="769"/>
        <v>#VALUE!</v>
      </c>
      <c r="AM853" s="239"/>
      <c r="AO853" s="685">
        <f t="shared" si="794"/>
        <v>-1.7418214920077357</v>
      </c>
      <c r="AP853" s="276">
        <f t="shared" si="795"/>
        <v>-2.6285504972935065</v>
      </c>
      <c r="AQ853" s="276">
        <f t="shared" si="796"/>
        <v>-1.2775896260408133</v>
      </c>
      <c r="AR853" s="276">
        <f t="shared" si="797"/>
        <v>-4.9001481369734829</v>
      </c>
      <c r="AS853" s="276">
        <f t="shared" si="798"/>
        <v>1.4654214840188338</v>
      </c>
      <c r="AT853" s="276">
        <f t="shared" si="799"/>
        <v>-4.9899589665411392</v>
      </c>
      <c r="AU853" s="685">
        <f t="shared" si="800"/>
        <v>1.6226031492756559</v>
      </c>
      <c r="AV853" s="276">
        <f t="shared" si="801"/>
        <v>0.80638478946829317</v>
      </c>
      <c r="AW853" s="276">
        <f t="shared" si="802"/>
        <v>0.95149739015395807</v>
      </c>
      <c r="AX853" s="276">
        <f t="shared" si="803"/>
        <v>1.2913371685945101</v>
      </c>
      <c r="AY853" s="276">
        <f t="shared" si="804"/>
        <v>1.6518774198664212</v>
      </c>
      <c r="AZ853" s="686">
        <f t="shared" si="805"/>
        <v>1.1956509671088831</v>
      </c>
      <c r="BA853" s="685">
        <f t="shared" si="806"/>
        <v>0</v>
      </c>
      <c r="BB853" s="276">
        <f t="shared" si="807"/>
        <v>0</v>
      </c>
      <c r="BC853" s="276">
        <f t="shared" si="808"/>
        <v>0</v>
      </c>
      <c r="BD853" s="276">
        <f t="shared" si="809"/>
        <v>0</v>
      </c>
      <c r="BE853" s="276">
        <f t="shared" si="810"/>
        <v>0</v>
      </c>
      <c r="BF853" s="686">
        <f t="shared" si="811"/>
        <v>0</v>
      </c>
      <c r="BG853" s="685" t="e">
        <f t="shared" si="812"/>
        <v>#DIV/0!</v>
      </c>
      <c r="BH853" s="276" t="e">
        <f t="shared" si="813"/>
        <v>#DIV/0!</v>
      </c>
      <c r="BI853" s="276" t="e">
        <f t="shared" si="814"/>
        <v>#DIV/0!</v>
      </c>
      <c r="BJ853" s="276" t="e">
        <f t="shared" si="815"/>
        <v>#DIV/0!</v>
      </c>
      <c r="BK853" s="276" t="e">
        <f t="shared" si="816"/>
        <v>#DIV/0!</v>
      </c>
      <c r="BL853" s="686" t="e">
        <f t="shared" si="817"/>
        <v>#DIV/0!</v>
      </c>
      <c r="BM853" s="239"/>
      <c r="BN853" s="965" t="e">
        <f t="shared" si="818"/>
        <v>#VALUE!</v>
      </c>
      <c r="BO853" s="878" t="e">
        <f t="shared" si="819"/>
        <v>#VALUE!</v>
      </c>
      <c r="BP853" s="878" t="e">
        <f t="shared" si="820"/>
        <v>#VALUE!</v>
      </c>
      <c r="BQ853" s="878" t="e">
        <f t="shared" si="821"/>
        <v>#VALUE!</v>
      </c>
      <c r="BR853" s="878" t="e">
        <f t="shared" si="822"/>
        <v>#VALUE!</v>
      </c>
      <c r="BS853" s="966" t="e">
        <f t="shared" si="823"/>
        <v>#VALUE!</v>
      </c>
    </row>
    <row r="854" spans="1:71">
      <c r="A854" s="284">
        <f t="shared" si="824"/>
        <v>786</v>
      </c>
      <c r="B854" s="285">
        <v>-1.8064786575056704</v>
      </c>
      <c r="C854" s="285">
        <v>2.1029803721718663</v>
      </c>
      <c r="D854" s="285">
        <v>2.1713607350425805</v>
      </c>
      <c r="E854" s="285">
        <v>-6.6991338131386584</v>
      </c>
      <c r="H854" s="685">
        <f t="shared" si="770"/>
        <v>-2.9397124992747252</v>
      </c>
      <c r="I854" s="276">
        <f t="shared" si="771"/>
        <v>-1.1928660539762082</v>
      </c>
      <c r="J854" s="276">
        <f t="shared" si="772"/>
        <v>-5.2595156091983366</v>
      </c>
      <c r="K854" s="276">
        <f t="shared" si="773"/>
        <v>-0.62899082883651658</v>
      </c>
      <c r="L854" s="276">
        <f t="shared" si="774"/>
        <v>0.8492817498120655</v>
      </c>
      <c r="M854" s="276">
        <f t="shared" si="775"/>
        <v>-0.84966507850719575</v>
      </c>
      <c r="N854" s="685">
        <f t="shared" si="776"/>
        <v>0.89580916119999787</v>
      </c>
      <c r="O854" s="276">
        <f t="shared" si="777"/>
        <v>1.7660765810197676</v>
      </c>
      <c r="P854" s="276">
        <f t="shared" si="778"/>
        <v>1.0908277755388218</v>
      </c>
      <c r="Q854" s="276">
        <f t="shared" si="779"/>
        <v>0.82859926944062923</v>
      </c>
      <c r="R854" s="276">
        <f t="shared" si="780"/>
        <v>1.2476272636522461</v>
      </c>
      <c r="S854" s="686">
        <f t="shared" si="781"/>
        <v>1.5798762239725546</v>
      </c>
      <c r="T854" s="685">
        <f t="shared" si="782"/>
        <v>5.4497244253135069</v>
      </c>
      <c r="U854" s="276">
        <f t="shared" si="783"/>
        <v>4.4021148408148232</v>
      </c>
      <c r="V854" s="276">
        <f t="shared" si="784"/>
        <v>4.909473865910293</v>
      </c>
      <c r="W854" s="276">
        <f t="shared" si="785"/>
        <v>4.9936147293901811</v>
      </c>
      <c r="X854" s="276">
        <f t="shared" si="786"/>
        <v>5.2675158862015881</v>
      </c>
      <c r="Y854" s="686">
        <f t="shared" si="787"/>
        <v>6.7456429012102683</v>
      </c>
      <c r="Z854" s="685" t="e">
        <f t="shared" si="788"/>
        <v>#DIV/0!</v>
      </c>
      <c r="AA854" s="276" t="e">
        <f t="shared" si="789"/>
        <v>#DIV/0!</v>
      </c>
      <c r="AB854" s="276" t="e">
        <f t="shared" si="790"/>
        <v>#DIV/0!</v>
      </c>
      <c r="AC854" s="276" t="e">
        <f t="shared" si="791"/>
        <v>#DIV/0!</v>
      </c>
      <c r="AD854" s="276" t="e">
        <f t="shared" si="792"/>
        <v>#DIV/0!</v>
      </c>
      <c r="AE854" s="686" t="e">
        <f t="shared" si="793"/>
        <v>#DIV/0!</v>
      </c>
      <c r="AF854" s="239"/>
      <c r="AG854" s="965" t="e">
        <f t="shared" si="764"/>
        <v>#VALUE!</v>
      </c>
      <c r="AH854" s="878" t="e">
        <f t="shared" si="765"/>
        <v>#VALUE!</v>
      </c>
      <c r="AI854" s="878" t="e">
        <f t="shared" si="766"/>
        <v>#VALUE!</v>
      </c>
      <c r="AJ854" s="878" t="e">
        <f t="shared" si="767"/>
        <v>#VALUE!</v>
      </c>
      <c r="AK854" s="878" t="e">
        <f t="shared" si="768"/>
        <v>#VALUE!</v>
      </c>
      <c r="AL854" s="966" t="e">
        <f t="shared" si="769"/>
        <v>#VALUE!</v>
      </c>
      <c r="AM854" s="239"/>
      <c r="AO854" s="685">
        <f t="shared" si="794"/>
        <v>-2.9397124992747252</v>
      </c>
      <c r="AP854" s="276">
        <f t="shared" si="795"/>
        <v>-1.1928660539762082</v>
      </c>
      <c r="AQ854" s="276">
        <f t="shared" si="796"/>
        <v>-5.2595156091983366</v>
      </c>
      <c r="AR854" s="276">
        <f t="shared" si="797"/>
        <v>-0.62899082883651658</v>
      </c>
      <c r="AS854" s="276">
        <f t="shared" si="798"/>
        <v>0.8492817498120655</v>
      </c>
      <c r="AT854" s="276">
        <f t="shared" si="799"/>
        <v>-0.84966507850719575</v>
      </c>
      <c r="AU854" s="685">
        <f t="shared" si="800"/>
        <v>0.89580916119999787</v>
      </c>
      <c r="AV854" s="276">
        <f t="shared" si="801"/>
        <v>1.7660765810197676</v>
      </c>
      <c r="AW854" s="276">
        <f t="shared" si="802"/>
        <v>1.0908277755388218</v>
      </c>
      <c r="AX854" s="276">
        <f t="shared" si="803"/>
        <v>0.82859926944062923</v>
      </c>
      <c r="AY854" s="276">
        <f t="shared" si="804"/>
        <v>1.2476272636522461</v>
      </c>
      <c r="AZ854" s="686">
        <f t="shared" si="805"/>
        <v>1.5798762239725546</v>
      </c>
      <c r="BA854" s="685">
        <f t="shared" si="806"/>
        <v>0</v>
      </c>
      <c r="BB854" s="276">
        <f t="shared" si="807"/>
        <v>0</v>
      </c>
      <c r="BC854" s="276">
        <f t="shared" si="808"/>
        <v>0</v>
      </c>
      <c r="BD854" s="276">
        <f t="shared" si="809"/>
        <v>0</v>
      </c>
      <c r="BE854" s="276">
        <f t="shared" si="810"/>
        <v>0</v>
      </c>
      <c r="BF854" s="686">
        <f t="shared" si="811"/>
        <v>0</v>
      </c>
      <c r="BG854" s="685" t="e">
        <f t="shared" si="812"/>
        <v>#DIV/0!</v>
      </c>
      <c r="BH854" s="276" t="e">
        <f t="shared" si="813"/>
        <v>#DIV/0!</v>
      </c>
      <c r="BI854" s="276" t="e">
        <f t="shared" si="814"/>
        <v>#DIV/0!</v>
      </c>
      <c r="BJ854" s="276" t="e">
        <f t="shared" si="815"/>
        <v>#DIV/0!</v>
      </c>
      <c r="BK854" s="276" t="e">
        <f t="shared" si="816"/>
        <v>#DIV/0!</v>
      </c>
      <c r="BL854" s="686" t="e">
        <f t="shared" si="817"/>
        <v>#DIV/0!</v>
      </c>
      <c r="BM854" s="239"/>
      <c r="BN854" s="965" t="e">
        <f t="shared" si="818"/>
        <v>#VALUE!</v>
      </c>
      <c r="BO854" s="878" t="e">
        <f t="shared" si="819"/>
        <v>#VALUE!</v>
      </c>
      <c r="BP854" s="878" t="e">
        <f t="shared" si="820"/>
        <v>#VALUE!</v>
      </c>
      <c r="BQ854" s="878" t="e">
        <f t="shared" si="821"/>
        <v>#VALUE!</v>
      </c>
      <c r="BR854" s="878" t="e">
        <f t="shared" si="822"/>
        <v>#VALUE!</v>
      </c>
      <c r="BS854" s="966" t="e">
        <f t="shared" si="823"/>
        <v>#VALUE!</v>
      </c>
    </row>
    <row r="855" spans="1:71">
      <c r="A855" s="284">
        <f t="shared" si="824"/>
        <v>787</v>
      </c>
      <c r="B855" s="285">
        <v>1.398912514529822</v>
      </c>
      <c r="C855" s="285">
        <v>2.6150204353890292</v>
      </c>
      <c r="D855" s="285">
        <v>1.053558447463703</v>
      </c>
      <c r="E855" s="285">
        <v>-10.013956354900452</v>
      </c>
      <c r="H855" s="685">
        <f t="shared" si="770"/>
        <v>0.26567867276076718</v>
      </c>
      <c r="I855" s="276">
        <f t="shared" si="771"/>
        <v>-3.4709433612987892</v>
      </c>
      <c r="J855" s="276">
        <f t="shared" si="772"/>
        <v>-0.26892848019650351</v>
      </c>
      <c r="K855" s="276">
        <f t="shared" si="773"/>
        <v>-6.1231149084064951</v>
      </c>
      <c r="L855" s="276">
        <f t="shared" si="774"/>
        <v>-6.2059567018010009</v>
      </c>
      <c r="M855" s="276">
        <f t="shared" si="775"/>
        <v>-1.5834354453152228</v>
      </c>
      <c r="N855" s="685">
        <f t="shared" si="776"/>
        <v>1.4078492244171608</v>
      </c>
      <c r="O855" s="276">
        <f t="shared" si="777"/>
        <v>1.0304962147396435</v>
      </c>
      <c r="P855" s="276">
        <f t="shared" si="778"/>
        <v>2.1502328753122928</v>
      </c>
      <c r="Q855" s="276">
        <f t="shared" si="779"/>
        <v>0.86301271551272429</v>
      </c>
      <c r="R855" s="276">
        <f t="shared" si="780"/>
        <v>0.66968989594689621</v>
      </c>
      <c r="S855" s="686">
        <f t="shared" si="781"/>
        <v>1.1826887341937964</v>
      </c>
      <c r="T855" s="685">
        <f t="shared" si="782"/>
        <v>4.3319221377346286</v>
      </c>
      <c r="U855" s="276">
        <f t="shared" si="783"/>
        <v>4.0615322002096441</v>
      </c>
      <c r="V855" s="276">
        <f t="shared" si="784"/>
        <v>2.5567827644439491</v>
      </c>
      <c r="W855" s="276">
        <f t="shared" si="785"/>
        <v>4.0454193559994485</v>
      </c>
      <c r="X855" s="276">
        <f t="shared" si="786"/>
        <v>2.919510488367786</v>
      </c>
      <c r="Y855" s="686">
        <f t="shared" si="787"/>
        <v>4.4857244310271112</v>
      </c>
      <c r="Z855" s="685" t="e">
        <f t="shared" si="788"/>
        <v>#DIV/0!</v>
      </c>
      <c r="AA855" s="276" t="e">
        <f t="shared" si="789"/>
        <v>#DIV/0!</v>
      </c>
      <c r="AB855" s="276" t="e">
        <f t="shared" si="790"/>
        <v>#DIV/0!</v>
      </c>
      <c r="AC855" s="276" t="e">
        <f t="shared" si="791"/>
        <v>#DIV/0!</v>
      </c>
      <c r="AD855" s="276" t="e">
        <f t="shared" si="792"/>
        <v>#DIV/0!</v>
      </c>
      <c r="AE855" s="686" t="e">
        <f t="shared" si="793"/>
        <v>#DIV/0!</v>
      </c>
      <c r="AF855" s="239"/>
      <c r="AG855" s="965" t="e">
        <f t="shared" si="764"/>
        <v>#VALUE!</v>
      </c>
      <c r="AH855" s="878" t="e">
        <f t="shared" si="765"/>
        <v>#VALUE!</v>
      </c>
      <c r="AI855" s="878" t="e">
        <f t="shared" si="766"/>
        <v>#VALUE!</v>
      </c>
      <c r="AJ855" s="878" t="e">
        <f t="shared" si="767"/>
        <v>#VALUE!</v>
      </c>
      <c r="AK855" s="878" t="e">
        <f t="shared" si="768"/>
        <v>#VALUE!</v>
      </c>
      <c r="AL855" s="966" t="e">
        <f t="shared" si="769"/>
        <v>#VALUE!</v>
      </c>
      <c r="AM855" s="239"/>
      <c r="AO855" s="685">
        <f t="shared" si="794"/>
        <v>0.26567867276076718</v>
      </c>
      <c r="AP855" s="276">
        <f t="shared" si="795"/>
        <v>-3.4709433612987892</v>
      </c>
      <c r="AQ855" s="276">
        <f t="shared" si="796"/>
        <v>-0.26892848019650351</v>
      </c>
      <c r="AR855" s="276">
        <f t="shared" si="797"/>
        <v>-6.1231149084064951</v>
      </c>
      <c r="AS855" s="276">
        <f t="shared" si="798"/>
        <v>-6.2059567018010009</v>
      </c>
      <c r="AT855" s="276">
        <f t="shared" si="799"/>
        <v>-1.5834354453152228</v>
      </c>
      <c r="AU855" s="685">
        <f t="shared" si="800"/>
        <v>1.4078492244171608</v>
      </c>
      <c r="AV855" s="276">
        <f t="shared" si="801"/>
        <v>1.0304962147396435</v>
      </c>
      <c r="AW855" s="276">
        <f t="shared" si="802"/>
        <v>2.1502328753122928</v>
      </c>
      <c r="AX855" s="276">
        <f t="shared" si="803"/>
        <v>0.86301271551272429</v>
      </c>
      <c r="AY855" s="276">
        <f t="shared" si="804"/>
        <v>0.66968989594689621</v>
      </c>
      <c r="AZ855" s="686">
        <f t="shared" si="805"/>
        <v>1.1826887341937964</v>
      </c>
      <c r="BA855" s="685">
        <f t="shared" si="806"/>
        <v>0</v>
      </c>
      <c r="BB855" s="276">
        <f t="shared" si="807"/>
        <v>0</v>
      </c>
      <c r="BC855" s="276">
        <f t="shared" si="808"/>
        <v>0</v>
      </c>
      <c r="BD855" s="276">
        <f t="shared" si="809"/>
        <v>0</v>
      </c>
      <c r="BE855" s="276">
        <f t="shared" si="810"/>
        <v>0</v>
      </c>
      <c r="BF855" s="686">
        <f t="shared" si="811"/>
        <v>0</v>
      </c>
      <c r="BG855" s="685" t="e">
        <f t="shared" si="812"/>
        <v>#DIV/0!</v>
      </c>
      <c r="BH855" s="276" t="e">
        <f t="shared" si="813"/>
        <v>#DIV/0!</v>
      </c>
      <c r="BI855" s="276" t="e">
        <f t="shared" si="814"/>
        <v>#DIV/0!</v>
      </c>
      <c r="BJ855" s="276" t="e">
        <f t="shared" si="815"/>
        <v>#DIV/0!</v>
      </c>
      <c r="BK855" s="276" t="e">
        <f t="shared" si="816"/>
        <v>#DIV/0!</v>
      </c>
      <c r="BL855" s="686" t="e">
        <f t="shared" si="817"/>
        <v>#DIV/0!</v>
      </c>
      <c r="BM855" s="239"/>
      <c r="BN855" s="965" t="e">
        <f t="shared" si="818"/>
        <v>#VALUE!</v>
      </c>
      <c r="BO855" s="878" t="e">
        <f t="shared" si="819"/>
        <v>#VALUE!</v>
      </c>
      <c r="BP855" s="878" t="e">
        <f t="shared" si="820"/>
        <v>#VALUE!</v>
      </c>
      <c r="BQ855" s="878" t="e">
        <f t="shared" si="821"/>
        <v>#VALUE!</v>
      </c>
      <c r="BR855" s="878" t="e">
        <f t="shared" si="822"/>
        <v>#VALUE!</v>
      </c>
      <c r="BS855" s="966" t="e">
        <f t="shared" si="823"/>
        <v>#VALUE!</v>
      </c>
    </row>
    <row r="856" spans="1:71">
      <c r="A856" s="284">
        <f t="shared" si="824"/>
        <v>788</v>
      </c>
      <c r="B856" s="285">
        <v>-5.3489072460460294</v>
      </c>
      <c r="C856" s="285">
        <v>2.4987065733045672</v>
      </c>
      <c r="D856" s="285">
        <v>-0.14087515908356174</v>
      </c>
      <c r="E856" s="285">
        <v>4.9550202236191279</v>
      </c>
      <c r="H856" s="685">
        <f t="shared" si="770"/>
        <v>-6.4821410878150845</v>
      </c>
      <c r="I856" s="276">
        <f t="shared" si="771"/>
        <v>-1.384793939886874</v>
      </c>
      <c r="J856" s="276">
        <f t="shared" si="772"/>
        <v>-3.0235131828751229</v>
      </c>
      <c r="K856" s="276">
        <f t="shared" si="773"/>
        <v>-2.03281344538419</v>
      </c>
      <c r="L856" s="276">
        <f t="shared" si="774"/>
        <v>0.39446449377520842</v>
      </c>
      <c r="M856" s="276">
        <f t="shared" si="775"/>
        <v>-3.3620668688468331</v>
      </c>
      <c r="N856" s="685">
        <f t="shared" si="776"/>
        <v>1.2915353623326988</v>
      </c>
      <c r="O856" s="276">
        <f t="shared" si="777"/>
        <v>1.3863447984544794</v>
      </c>
      <c r="P856" s="276">
        <f t="shared" si="778"/>
        <v>1.6257741234019341</v>
      </c>
      <c r="Q856" s="276">
        <f t="shared" si="779"/>
        <v>0.72040280921153954</v>
      </c>
      <c r="R856" s="276">
        <f t="shared" si="780"/>
        <v>1.6412515891820856</v>
      </c>
      <c r="S856" s="686">
        <f t="shared" si="781"/>
        <v>1.6519813300553572</v>
      </c>
      <c r="T856" s="685">
        <f t="shared" si="782"/>
        <v>3.1374885311873641</v>
      </c>
      <c r="U856" s="276">
        <f t="shared" si="783"/>
        <v>2.3340305032901858</v>
      </c>
      <c r="V856" s="276">
        <f t="shared" si="784"/>
        <v>5.3547373464185686</v>
      </c>
      <c r="W856" s="276">
        <f t="shared" si="785"/>
        <v>5.1955242233463101</v>
      </c>
      <c r="X856" s="276">
        <f t="shared" si="786"/>
        <v>4.0654885571572841</v>
      </c>
      <c r="Y856" s="686">
        <f t="shared" si="787"/>
        <v>2.0113075818360322</v>
      </c>
      <c r="Z856" s="685" t="e">
        <f t="shared" si="788"/>
        <v>#DIV/0!</v>
      </c>
      <c r="AA856" s="276" t="e">
        <f t="shared" si="789"/>
        <v>#DIV/0!</v>
      </c>
      <c r="AB856" s="276" t="e">
        <f t="shared" si="790"/>
        <v>#DIV/0!</v>
      </c>
      <c r="AC856" s="276" t="e">
        <f t="shared" si="791"/>
        <v>#DIV/0!</v>
      </c>
      <c r="AD856" s="276" t="e">
        <f t="shared" si="792"/>
        <v>#DIV/0!</v>
      </c>
      <c r="AE856" s="686" t="e">
        <f t="shared" si="793"/>
        <v>#DIV/0!</v>
      </c>
      <c r="AF856" s="239"/>
      <c r="AG856" s="965" t="e">
        <f t="shared" si="764"/>
        <v>#VALUE!</v>
      </c>
      <c r="AH856" s="878" t="e">
        <f t="shared" si="765"/>
        <v>#VALUE!</v>
      </c>
      <c r="AI856" s="878" t="e">
        <f t="shared" si="766"/>
        <v>#VALUE!</v>
      </c>
      <c r="AJ856" s="878" t="e">
        <f t="shared" si="767"/>
        <v>#VALUE!</v>
      </c>
      <c r="AK856" s="878" t="e">
        <f t="shared" si="768"/>
        <v>#VALUE!</v>
      </c>
      <c r="AL856" s="966" t="e">
        <f t="shared" si="769"/>
        <v>#VALUE!</v>
      </c>
      <c r="AM856" s="239"/>
      <c r="AO856" s="685">
        <f t="shared" si="794"/>
        <v>-6.4821410878150845</v>
      </c>
      <c r="AP856" s="276">
        <f t="shared" si="795"/>
        <v>-1.384793939886874</v>
      </c>
      <c r="AQ856" s="276">
        <f t="shared" si="796"/>
        <v>-3.0235131828751229</v>
      </c>
      <c r="AR856" s="276">
        <f t="shared" si="797"/>
        <v>-2.03281344538419</v>
      </c>
      <c r="AS856" s="276">
        <f t="shared" si="798"/>
        <v>0.39446449377520842</v>
      </c>
      <c r="AT856" s="276">
        <f t="shared" si="799"/>
        <v>-3.3620668688468331</v>
      </c>
      <c r="AU856" s="685">
        <f t="shared" si="800"/>
        <v>1.2915353623326988</v>
      </c>
      <c r="AV856" s="276">
        <f t="shared" si="801"/>
        <v>1.3863447984544794</v>
      </c>
      <c r="AW856" s="276">
        <f t="shared" si="802"/>
        <v>1.6257741234019341</v>
      </c>
      <c r="AX856" s="276">
        <f t="shared" si="803"/>
        <v>0.72040280921153954</v>
      </c>
      <c r="AY856" s="276">
        <f t="shared" si="804"/>
        <v>1.6412515891820856</v>
      </c>
      <c r="AZ856" s="686">
        <f t="shared" si="805"/>
        <v>1.6519813300553572</v>
      </c>
      <c r="BA856" s="685">
        <f t="shared" si="806"/>
        <v>0</v>
      </c>
      <c r="BB856" s="276">
        <f t="shared" si="807"/>
        <v>0</v>
      </c>
      <c r="BC856" s="276">
        <f t="shared" si="808"/>
        <v>0</v>
      </c>
      <c r="BD856" s="276">
        <f t="shared" si="809"/>
        <v>0</v>
      </c>
      <c r="BE856" s="276">
        <f t="shared" si="810"/>
        <v>0</v>
      </c>
      <c r="BF856" s="686">
        <f t="shared" si="811"/>
        <v>0</v>
      </c>
      <c r="BG856" s="685" t="e">
        <f t="shared" si="812"/>
        <v>#DIV/0!</v>
      </c>
      <c r="BH856" s="276" t="e">
        <f t="shared" si="813"/>
        <v>#DIV/0!</v>
      </c>
      <c r="BI856" s="276" t="e">
        <f t="shared" si="814"/>
        <v>#DIV/0!</v>
      </c>
      <c r="BJ856" s="276" t="e">
        <f t="shared" si="815"/>
        <v>#DIV/0!</v>
      </c>
      <c r="BK856" s="276" t="e">
        <f t="shared" si="816"/>
        <v>#DIV/0!</v>
      </c>
      <c r="BL856" s="686" t="e">
        <f t="shared" si="817"/>
        <v>#DIV/0!</v>
      </c>
      <c r="BM856" s="239"/>
      <c r="BN856" s="965" t="e">
        <f t="shared" si="818"/>
        <v>#VALUE!</v>
      </c>
      <c r="BO856" s="878" t="e">
        <f t="shared" si="819"/>
        <v>#VALUE!</v>
      </c>
      <c r="BP856" s="878" t="e">
        <f t="shared" si="820"/>
        <v>#VALUE!</v>
      </c>
      <c r="BQ856" s="878" t="e">
        <f t="shared" si="821"/>
        <v>#VALUE!</v>
      </c>
      <c r="BR856" s="878" t="e">
        <f t="shared" si="822"/>
        <v>#VALUE!</v>
      </c>
      <c r="BS856" s="966" t="e">
        <f t="shared" si="823"/>
        <v>#VALUE!</v>
      </c>
    </row>
    <row r="857" spans="1:71">
      <c r="A857" s="284">
        <f t="shared" si="824"/>
        <v>789</v>
      </c>
      <c r="B857" s="285">
        <v>-1.0239409920302529</v>
      </c>
      <c r="C857" s="285">
        <v>3.2632452344235623</v>
      </c>
      <c r="D857" s="285">
        <v>-0.1068969748879709</v>
      </c>
      <c r="E857" s="285">
        <v>13.365489319824608</v>
      </c>
      <c r="H857" s="685">
        <f t="shared" si="770"/>
        <v>-2.1571748337993077</v>
      </c>
      <c r="I857" s="276">
        <f t="shared" si="771"/>
        <v>-4.4002637446366739</v>
      </c>
      <c r="J857" s="276">
        <f t="shared" si="772"/>
        <v>3.7405780869119916</v>
      </c>
      <c r="K857" s="276">
        <f t="shared" si="773"/>
        <v>-1.4137406850258269</v>
      </c>
      <c r="L857" s="276">
        <f t="shared" si="774"/>
        <v>-6.4129693334186291</v>
      </c>
      <c r="M857" s="276">
        <f t="shared" si="775"/>
        <v>-4.0873169957362441</v>
      </c>
      <c r="N857" s="685">
        <f t="shared" si="776"/>
        <v>2.0560740234516937</v>
      </c>
      <c r="O857" s="276">
        <f t="shared" si="777"/>
        <v>0.86755720474328224</v>
      </c>
      <c r="P857" s="276">
        <f t="shared" si="778"/>
        <v>0.97591626975030654</v>
      </c>
      <c r="Q857" s="276">
        <f t="shared" si="779"/>
        <v>1.5507395235958683</v>
      </c>
      <c r="R857" s="276">
        <f t="shared" si="780"/>
        <v>0.44305036150292332</v>
      </c>
      <c r="S857" s="686">
        <f t="shared" si="781"/>
        <v>1.3720129601028621</v>
      </c>
      <c r="T857" s="685">
        <f t="shared" si="782"/>
        <v>3.1714667153829552</v>
      </c>
      <c r="U857" s="276">
        <f t="shared" si="783"/>
        <v>5.7850229464084997</v>
      </c>
      <c r="V857" s="276">
        <f t="shared" si="784"/>
        <v>6.3701257838084668</v>
      </c>
      <c r="W857" s="276">
        <f t="shared" si="785"/>
        <v>2.9559726736752694</v>
      </c>
      <c r="X857" s="276">
        <f t="shared" si="786"/>
        <v>4.4063088390665968</v>
      </c>
      <c r="Y857" s="686">
        <f t="shared" si="787"/>
        <v>5.0937386029966687</v>
      </c>
      <c r="Z857" s="685" t="e">
        <f t="shared" si="788"/>
        <v>#DIV/0!</v>
      </c>
      <c r="AA857" s="276" t="e">
        <f t="shared" si="789"/>
        <v>#DIV/0!</v>
      </c>
      <c r="AB857" s="276" t="e">
        <f t="shared" si="790"/>
        <v>#DIV/0!</v>
      </c>
      <c r="AC857" s="276" t="e">
        <f t="shared" si="791"/>
        <v>#DIV/0!</v>
      </c>
      <c r="AD857" s="276" t="e">
        <f t="shared" si="792"/>
        <v>#DIV/0!</v>
      </c>
      <c r="AE857" s="686" t="e">
        <f t="shared" si="793"/>
        <v>#DIV/0!</v>
      </c>
      <c r="AF857" s="239"/>
      <c r="AG857" s="965" t="e">
        <f t="shared" si="764"/>
        <v>#VALUE!</v>
      </c>
      <c r="AH857" s="878" t="e">
        <f t="shared" si="765"/>
        <v>#VALUE!</v>
      </c>
      <c r="AI857" s="878" t="e">
        <f t="shared" si="766"/>
        <v>#VALUE!</v>
      </c>
      <c r="AJ857" s="878" t="e">
        <f t="shared" si="767"/>
        <v>#VALUE!</v>
      </c>
      <c r="AK857" s="878" t="e">
        <f t="shared" si="768"/>
        <v>#VALUE!</v>
      </c>
      <c r="AL857" s="966" t="e">
        <f t="shared" si="769"/>
        <v>#VALUE!</v>
      </c>
      <c r="AM857" s="239"/>
      <c r="AO857" s="685">
        <f t="shared" si="794"/>
        <v>-2.1571748337993077</v>
      </c>
      <c r="AP857" s="276">
        <f t="shared" si="795"/>
        <v>-4.4002637446366739</v>
      </c>
      <c r="AQ857" s="276">
        <f t="shared" si="796"/>
        <v>3.7405780869119916</v>
      </c>
      <c r="AR857" s="276">
        <f t="shared" si="797"/>
        <v>-1.4137406850258269</v>
      </c>
      <c r="AS857" s="276">
        <f t="shared" si="798"/>
        <v>-6.4129693334186291</v>
      </c>
      <c r="AT857" s="276">
        <f t="shared" si="799"/>
        <v>-4.0873169957362441</v>
      </c>
      <c r="AU857" s="685">
        <f t="shared" si="800"/>
        <v>2.0560740234516937</v>
      </c>
      <c r="AV857" s="276">
        <f t="shared" si="801"/>
        <v>0.86755720474328224</v>
      </c>
      <c r="AW857" s="276">
        <f t="shared" si="802"/>
        <v>0.97591626975030654</v>
      </c>
      <c r="AX857" s="276">
        <f t="shared" si="803"/>
        <v>1.5507395235958683</v>
      </c>
      <c r="AY857" s="276">
        <f t="shared" si="804"/>
        <v>0.44305036150292332</v>
      </c>
      <c r="AZ857" s="686">
        <f t="shared" si="805"/>
        <v>1.3720129601028621</v>
      </c>
      <c r="BA857" s="685">
        <f t="shared" si="806"/>
        <v>0</v>
      </c>
      <c r="BB857" s="276">
        <f t="shared" si="807"/>
        <v>0</v>
      </c>
      <c r="BC857" s="276">
        <f t="shared" si="808"/>
        <v>0</v>
      </c>
      <c r="BD857" s="276">
        <f t="shared" si="809"/>
        <v>0</v>
      </c>
      <c r="BE857" s="276">
        <f t="shared" si="810"/>
        <v>0</v>
      </c>
      <c r="BF857" s="686">
        <f t="shared" si="811"/>
        <v>0</v>
      </c>
      <c r="BG857" s="685" t="e">
        <f t="shared" si="812"/>
        <v>#DIV/0!</v>
      </c>
      <c r="BH857" s="276" t="e">
        <f t="shared" si="813"/>
        <v>#DIV/0!</v>
      </c>
      <c r="BI857" s="276" t="e">
        <f t="shared" si="814"/>
        <v>#DIV/0!</v>
      </c>
      <c r="BJ857" s="276" t="e">
        <f t="shared" si="815"/>
        <v>#DIV/0!</v>
      </c>
      <c r="BK857" s="276" t="e">
        <f t="shared" si="816"/>
        <v>#DIV/0!</v>
      </c>
      <c r="BL857" s="686" t="e">
        <f t="shared" si="817"/>
        <v>#DIV/0!</v>
      </c>
      <c r="BM857" s="239"/>
      <c r="BN857" s="965" t="e">
        <f t="shared" si="818"/>
        <v>#VALUE!</v>
      </c>
      <c r="BO857" s="878" t="e">
        <f t="shared" si="819"/>
        <v>#VALUE!</v>
      </c>
      <c r="BP857" s="878" t="e">
        <f t="shared" si="820"/>
        <v>#VALUE!</v>
      </c>
      <c r="BQ857" s="878" t="e">
        <f t="shared" si="821"/>
        <v>#VALUE!</v>
      </c>
      <c r="BR857" s="878" t="e">
        <f t="shared" si="822"/>
        <v>#VALUE!</v>
      </c>
      <c r="BS857" s="966" t="e">
        <f t="shared" si="823"/>
        <v>#VALUE!</v>
      </c>
    </row>
    <row r="858" spans="1:71">
      <c r="A858" s="284">
        <f t="shared" si="824"/>
        <v>790</v>
      </c>
      <c r="B858" s="285">
        <v>0.141469612220015</v>
      </c>
      <c r="C858" s="285">
        <v>2.4973201631817998</v>
      </c>
      <c r="D858" s="285">
        <v>1.4125434761441837</v>
      </c>
      <c r="E858" s="285">
        <v>-9.5325297793515915</v>
      </c>
      <c r="H858" s="685">
        <f t="shared" si="770"/>
        <v>-0.99176422954903987</v>
      </c>
      <c r="I858" s="276">
        <f t="shared" si="771"/>
        <v>-2.8288241815878621</v>
      </c>
      <c r="J858" s="276">
        <f t="shared" si="772"/>
        <v>-0.96326244994668353</v>
      </c>
      <c r="K858" s="276">
        <f t="shared" si="773"/>
        <v>-1.0379809096217807</v>
      </c>
      <c r="L858" s="276">
        <f t="shared" si="774"/>
        <v>-6.6701328789032646</v>
      </c>
      <c r="M858" s="276">
        <f t="shared" si="775"/>
        <v>1.5732575511744551</v>
      </c>
      <c r="N858" s="685">
        <f t="shared" si="776"/>
        <v>1.2901489522099314</v>
      </c>
      <c r="O858" s="276">
        <f t="shared" si="777"/>
        <v>1.2646283599667638</v>
      </c>
      <c r="P858" s="276">
        <f t="shared" si="778"/>
        <v>1.4149171856578955</v>
      </c>
      <c r="Q858" s="276">
        <f t="shared" si="779"/>
        <v>1.2914883215930268</v>
      </c>
      <c r="R858" s="276">
        <f t="shared" si="780"/>
        <v>8.6275750103660176E-2</v>
      </c>
      <c r="S858" s="686">
        <f t="shared" si="781"/>
        <v>1.2644552656330748</v>
      </c>
      <c r="T858" s="685">
        <f t="shared" si="782"/>
        <v>4.6909071664151094</v>
      </c>
      <c r="U858" s="276">
        <f t="shared" si="783"/>
        <v>4.1492023578994939</v>
      </c>
      <c r="V858" s="276">
        <f t="shared" si="784"/>
        <v>5.9179670573491148</v>
      </c>
      <c r="W858" s="276">
        <f t="shared" si="785"/>
        <v>3.7736975710508998</v>
      </c>
      <c r="X858" s="276">
        <f t="shared" si="786"/>
        <v>3.2248495867905143</v>
      </c>
      <c r="Y858" s="686">
        <f t="shared" si="787"/>
        <v>5.611956699092314</v>
      </c>
      <c r="Z858" s="685" t="e">
        <f t="shared" si="788"/>
        <v>#DIV/0!</v>
      </c>
      <c r="AA858" s="276" t="e">
        <f t="shared" si="789"/>
        <v>#DIV/0!</v>
      </c>
      <c r="AB858" s="276" t="e">
        <f t="shared" si="790"/>
        <v>#DIV/0!</v>
      </c>
      <c r="AC858" s="276" t="e">
        <f t="shared" si="791"/>
        <v>#DIV/0!</v>
      </c>
      <c r="AD858" s="276" t="e">
        <f t="shared" si="792"/>
        <v>#DIV/0!</v>
      </c>
      <c r="AE858" s="686" t="e">
        <f t="shared" si="793"/>
        <v>#DIV/0!</v>
      </c>
      <c r="AF858" s="239"/>
      <c r="AG858" s="965" t="e">
        <f t="shared" si="764"/>
        <v>#VALUE!</v>
      </c>
      <c r="AH858" s="878" t="e">
        <f t="shared" si="765"/>
        <v>#VALUE!</v>
      </c>
      <c r="AI858" s="878" t="e">
        <f t="shared" si="766"/>
        <v>#VALUE!</v>
      </c>
      <c r="AJ858" s="878" t="e">
        <f t="shared" si="767"/>
        <v>#VALUE!</v>
      </c>
      <c r="AK858" s="878" t="e">
        <f t="shared" si="768"/>
        <v>#VALUE!</v>
      </c>
      <c r="AL858" s="966" t="e">
        <f t="shared" si="769"/>
        <v>#VALUE!</v>
      </c>
      <c r="AM858" s="239"/>
      <c r="AO858" s="685">
        <f t="shared" si="794"/>
        <v>-0.99176422954903987</v>
      </c>
      <c r="AP858" s="276">
        <f t="shared" si="795"/>
        <v>-2.8288241815878621</v>
      </c>
      <c r="AQ858" s="276">
        <f t="shared" si="796"/>
        <v>-0.96326244994668353</v>
      </c>
      <c r="AR858" s="276">
        <f t="shared" si="797"/>
        <v>-1.0379809096217807</v>
      </c>
      <c r="AS858" s="276">
        <f t="shared" si="798"/>
        <v>-6.6701328789032646</v>
      </c>
      <c r="AT858" s="276">
        <f t="shared" si="799"/>
        <v>1.5732575511744551</v>
      </c>
      <c r="AU858" s="685">
        <f t="shared" si="800"/>
        <v>1.2901489522099314</v>
      </c>
      <c r="AV858" s="276">
        <f t="shared" si="801"/>
        <v>1.2646283599667638</v>
      </c>
      <c r="AW858" s="276">
        <f t="shared" si="802"/>
        <v>1.4149171856578955</v>
      </c>
      <c r="AX858" s="276">
        <f t="shared" si="803"/>
        <v>1.2914883215930268</v>
      </c>
      <c r="AY858" s="276">
        <f t="shared" si="804"/>
        <v>8.6275750103660176E-2</v>
      </c>
      <c r="AZ858" s="686">
        <f t="shared" si="805"/>
        <v>1.2644552656330748</v>
      </c>
      <c r="BA858" s="685">
        <f t="shared" si="806"/>
        <v>0</v>
      </c>
      <c r="BB858" s="276">
        <f t="shared" si="807"/>
        <v>0</v>
      </c>
      <c r="BC858" s="276">
        <f t="shared" si="808"/>
        <v>0</v>
      </c>
      <c r="BD858" s="276">
        <f t="shared" si="809"/>
        <v>0</v>
      </c>
      <c r="BE858" s="276">
        <f t="shared" si="810"/>
        <v>0</v>
      </c>
      <c r="BF858" s="686">
        <f t="shared" si="811"/>
        <v>0</v>
      </c>
      <c r="BG858" s="685" t="e">
        <f t="shared" si="812"/>
        <v>#DIV/0!</v>
      </c>
      <c r="BH858" s="276" t="e">
        <f t="shared" si="813"/>
        <v>#DIV/0!</v>
      </c>
      <c r="BI858" s="276" t="e">
        <f t="shared" si="814"/>
        <v>#DIV/0!</v>
      </c>
      <c r="BJ858" s="276" t="e">
        <f t="shared" si="815"/>
        <v>#DIV/0!</v>
      </c>
      <c r="BK858" s="276" t="e">
        <f t="shared" si="816"/>
        <v>#DIV/0!</v>
      </c>
      <c r="BL858" s="686" t="e">
        <f t="shared" si="817"/>
        <v>#DIV/0!</v>
      </c>
      <c r="BM858" s="239"/>
      <c r="BN858" s="965" t="e">
        <f t="shared" si="818"/>
        <v>#VALUE!</v>
      </c>
      <c r="BO858" s="878" t="e">
        <f t="shared" si="819"/>
        <v>#VALUE!</v>
      </c>
      <c r="BP858" s="878" t="e">
        <f t="shared" si="820"/>
        <v>#VALUE!</v>
      </c>
      <c r="BQ858" s="878" t="e">
        <f t="shared" si="821"/>
        <v>#VALUE!</v>
      </c>
      <c r="BR858" s="878" t="e">
        <f t="shared" si="822"/>
        <v>#VALUE!</v>
      </c>
      <c r="BS858" s="966" t="e">
        <f t="shared" si="823"/>
        <v>#VALUE!</v>
      </c>
    </row>
    <row r="859" spans="1:71">
      <c r="A859" s="284">
        <f t="shared" si="824"/>
        <v>791</v>
      </c>
      <c r="B859" s="285">
        <v>-0.53949724625176931</v>
      </c>
      <c r="C859" s="285">
        <v>2.4182343364321741</v>
      </c>
      <c r="D859" s="285">
        <v>3.5083910818871908</v>
      </c>
      <c r="E859" s="285">
        <v>-8.580003398109012</v>
      </c>
      <c r="H859" s="685">
        <f t="shared" si="770"/>
        <v>-1.6727310880208242</v>
      </c>
      <c r="I859" s="276">
        <f t="shared" si="771"/>
        <v>0.94183459933716551</v>
      </c>
      <c r="J859" s="276">
        <f t="shared" si="772"/>
        <v>-0.87638818296773247</v>
      </c>
      <c r="K859" s="276">
        <f t="shared" si="773"/>
        <v>-2.9452668891573199</v>
      </c>
      <c r="L859" s="276">
        <f t="shared" si="774"/>
        <v>1.628728452976514</v>
      </c>
      <c r="M859" s="276">
        <f t="shared" si="775"/>
        <v>1.1185218428437185</v>
      </c>
      <c r="N859" s="685">
        <f t="shared" si="776"/>
        <v>1.2110631254603057</v>
      </c>
      <c r="O859" s="276">
        <f t="shared" si="777"/>
        <v>1.2978088635788894</v>
      </c>
      <c r="P859" s="276">
        <f t="shared" si="778"/>
        <v>1.6587181291304207</v>
      </c>
      <c r="Q859" s="276">
        <f t="shared" si="779"/>
        <v>1.2240405998584818</v>
      </c>
      <c r="R859" s="276">
        <f t="shared" si="780"/>
        <v>0.64016134727733376</v>
      </c>
      <c r="S859" s="686">
        <f t="shared" si="781"/>
        <v>1.8616845759894727</v>
      </c>
      <c r="T859" s="685">
        <f t="shared" si="782"/>
        <v>6.7867547721581172</v>
      </c>
      <c r="U859" s="276">
        <f t="shared" si="783"/>
        <v>3.934397960017658</v>
      </c>
      <c r="V859" s="276">
        <f t="shared" si="784"/>
        <v>3.4064948099852246</v>
      </c>
      <c r="W859" s="276">
        <f t="shared" si="785"/>
        <v>3.1684691009235246</v>
      </c>
      <c r="X859" s="276">
        <f t="shared" si="786"/>
        <v>6.2620392849188224</v>
      </c>
      <c r="Y859" s="686">
        <f t="shared" si="787"/>
        <v>3.1822085872843031</v>
      </c>
      <c r="Z859" s="685" t="e">
        <f t="shared" si="788"/>
        <v>#DIV/0!</v>
      </c>
      <c r="AA859" s="276" t="e">
        <f t="shared" si="789"/>
        <v>#DIV/0!</v>
      </c>
      <c r="AB859" s="276" t="e">
        <f t="shared" si="790"/>
        <v>#DIV/0!</v>
      </c>
      <c r="AC859" s="276" t="e">
        <f t="shared" si="791"/>
        <v>#DIV/0!</v>
      </c>
      <c r="AD859" s="276" t="e">
        <f t="shared" si="792"/>
        <v>#DIV/0!</v>
      </c>
      <c r="AE859" s="686" t="e">
        <f t="shared" si="793"/>
        <v>#DIV/0!</v>
      </c>
      <c r="AF859" s="239"/>
      <c r="AG859" s="965" t="e">
        <f t="shared" si="764"/>
        <v>#VALUE!</v>
      </c>
      <c r="AH859" s="878" t="e">
        <f t="shared" si="765"/>
        <v>#VALUE!</v>
      </c>
      <c r="AI859" s="878" t="e">
        <f t="shared" si="766"/>
        <v>#VALUE!</v>
      </c>
      <c r="AJ859" s="878" t="e">
        <f t="shared" si="767"/>
        <v>#VALUE!</v>
      </c>
      <c r="AK859" s="878" t="e">
        <f t="shared" si="768"/>
        <v>#VALUE!</v>
      </c>
      <c r="AL859" s="966" t="e">
        <f t="shared" si="769"/>
        <v>#VALUE!</v>
      </c>
      <c r="AM859" s="239"/>
      <c r="AO859" s="685">
        <f t="shared" si="794"/>
        <v>-1.6727310880208242</v>
      </c>
      <c r="AP859" s="276">
        <f t="shared" si="795"/>
        <v>0.94183459933716551</v>
      </c>
      <c r="AQ859" s="276">
        <f t="shared" si="796"/>
        <v>-0.87638818296773247</v>
      </c>
      <c r="AR859" s="276">
        <f t="shared" si="797"/>
        <v>-2.9452668891573199</v>
      </c>
      <c r="AS859" s="276">
        <f t="shared" si="798"/>
        <v>1.628728452976514</v>
      </c>
      <c r="AT859" s="276">
        <f t="shared" si="799"/>
        <v>1.1185218428437185</v>
      </c>
      <c r="AU859" s="685">
        <f t="shared" si="800"/>
        <v>1.2110631254603057</v>
      </c>
      <c r="AV859" s="276">
        <f t="shared" si="801"/>
        <v>1.2978088635788894</v>
      </c>
      <c r="AW859" s="276">
        <f t="shared" si="802"/>
        <v>1.6587181291304207</v>
      </c>
      <c r="AX859" s="276">
        <f t="shared" si="803"/>
        <v>1.2240405998584818</v>
      </c>
      <c r="AY859" s="276">
        <f t="shared" si="804"/>
        <v>0.64016134727733376</v>
      </c>
      <c r="AZ859" s="686">
        <f t="shared" si="805"/>
        <v>1.8616845759894727</v>
      </c>
      <c r="BA859" s="685">
        <f t="shared" si="806"/>
        <v>0</v>
      </c>
      <c r="BB859" s="276">
        <f t="shared" si="807"/>
        <v>0</v>
      </c>
      <c r="BC859" s="276">
        <f t="shared" si="808"/>
        <v>0</v>
      </c>
      <c r="BD859" s="276">
        <f t="shared" si="809"/>
        <v>0</v>
      </c>
      <c r="BE859" s="276">
        <f t="shared" si="810"/>
        <v>0</v>
      </c>
      <c r="BF859" s="686">
        <f t="shared" si="811"/>
        <v>0</v>
      </c>
      <c r="BG859" s="685" t="e">
        <f t="shared" si="812"/>
        <v>#DIV/0!</v>
      </c>
      <c r="BH859" s="276" t="e">
        <f t="shared" si="813"/>
        <v>#DIV/0!</v>
      </c>
      <c r="BI859" s="276" t="e">
        <f t="shared" si="814"/>
        <v>#DIV/0!</v>
      </c>
      <c r="BJ859" s="276" t="e">
        <f t="shared" si="815"/>
        <v>#DIV/0!</v>
      </c>
      <c r="BK859" s="276" t="e">
        <f t="shared" si="816"/>
        <v>#DIV/0!</v>
      </c>
      <c r="BL859" s="686" t="e">
        <f t="shared" si="817"/>
        <v>#DIV/0!</v>
      </c>
      <c r="BM859" s="239"/>
      <c r="BN859" s="965" t="e">
        <f t="shared" si="818"/>
        <v>#VALUE!</v>
      </c>
      <c r="BO859" s="878" t="e">
        <f t="shared" si="819"/>
        <v>#VALUE!</v>
      </c>
      <c r="BP859" s="878" t="e">
        <f t="shared" si="820"/>
        <v>#VALUE!</v>
      </c>
      <c r="BQ859" s="878" t="e">
        <f t="shared" si="821"/>
        <v>#VALUE!</v>
      </c>
      <c r="BR859" s="878" t="e">
        <f t="shared" si="822"/>
        <v>#VALUE!</v>
      </c>
      <c r="BS859" s="966" t="e">
        <f t="shared" si="823"/>
        <v>#VALUE!</v>
      </c>
    </row>
    <row r="860" spans="1:71">
      <c r="A860" s="284">
        <f t="shared" si="824"/>
        <v>792</v>
      </c>
      <c r="B860" s="285">
        <v>-3.2348284895521497</v>
      </c>
      <c r="C860" s="285">
        <v>2.2903739655409252</v>
      </c>
      <c r="D860" s="285">
        <v>0.32414204834351124</v>
      </c>
      <c r="E860" s="285">
        <v>3.3593774066762108</v>
      </c>
      <c r="H860" s="685">
        <f t="shared" si="770"/>
        <v>-4.3680623313212044</v>
      </c>
      <c r="I860" s="276">
        <f t="shared" si="771"/>
        <v>0.85798263103280337</v>
      </c>
      <c r="J860" s="276">
        <f t="shared" si="772"/>
        <v>1.3053404437706082</v>
      </c>
      <c r="K860" s="276">
        <f t="shared" si="773"/>
        <v>-2.5602339764297417</v>
      </c>
      <c r="L860" s="276">
        <f t="shared" si="774"/>
        <v>-1.1535166372152712</v>
      </c>
      <c r="M860" s="276">
        <f t="shared" si="775"/>
        <v>-3.7328330415864714</v>
      </c>
      <c r="N860" s="685">
        <f t="shared" si="776"/>
        <v>1.0832027545690568</v>
      </c>
      <c r="O860" s="276">
        <f t="shared" si="777"/>
        <v>1.2460230664923901</v>
      </c>
      <c r="P860" s="276">
        <f t="shared" si="778"/>
        <v>1.4435824283259706</v>
      </c>
      <c r="Q860" s="276">
        <f t="shared" si="779"/>
        <v>0.50457616506254843</v>
      </c>
      <c r="R860" s="276">
        <f t="shared" si="780"/>
        <v>0.60586081714139817</v>
      </c>
      <c r="S860" s="686">
        <f t="shared" si="781"/>
        <v>1.346400321435383</v>
      </c>
      <c r="T860" s="685">
        <f t="shared" si="782"/>
        <v>3.602505738614437</v>
      </c>
      <c r="U860" s="276">
        <f t="shared" si="783"/>
        <v>3.1314032438562869</v>
      </c>
      <c r="V860" s="276">
        <f t="shared" si="784"/>
        <v>5.3744854891591975</v>
      </c>
      <c r="W860" s="276">
        <f t="shared" si="785"/>
        <v>1.7645418861317266</v>
      </c>
      <c r="X860" s="276">
        <f t="shared" si="786"/>
        <v>5.4413177315790371</v>
      </c>
      <c r="Y860" s="686">
        <f t="shared" si="787"/>
        <v>3.2025722131275414</v>
      </c>
      <c r="Z860" s="685" t="e">
        <f t="shared" si="788"/>
        <v>#DIV/0!</v>
      </c>
      <c r="AA860" s="276" t="e">
        <f t="shared" si="789"/>
        <v>#DIV/0!</v>
      </c>
      <c r="AB860" s="276" t="e">
        <f t="shared" si="790"/>
        <v>#DIV/0!</v>
      </c>
      <c r="AC860" s="276" t="e">
        <f t="shared" si="791"/>
        <v>#DIV/0!</v>
      </c>
      <c r="AD860" s="276" t="e">
        <f t="shared" si="792"/>
        <v>#DIV/0!</v>
      </c>
      <c r="AE860" s="686" t="e">
        <f t="shared" si="793"/>
        <v>#DIV/0!</v>
      </c>
      <c r="AF860" s="239"/>
      <c r="AG860" s="965" t="e">
        <f t="shared" si="764"/>
        <v>#VALUE!</v>
      </c>
      <c r="AH860" s="878" t="e">
        <f t="shared" si="765"/>
        <v>#VALUE!</v>
      </c>
      <c r="AI860" s="878" t="e">
        <f t="shared" si="766"/>
        <v>#VALUE!</v>
      </c>
      <c r="AJ860" s="878" t="e">
        <f t="shared" si="767"/>
        <v>#VALUE!</v>
      </c>
      <c r="AK860" s="878" t="e">
        <f t="shared" si="768"/>
        <v>#VALUE!</v>
      </c>
      <c r="AL860" s="966" t="e">
        <f t="shared" si="769"/>
        <v>#VALUE!</v>
      </c>
      <c r="AM860" s="239"/>
      <c r="AO860" s="685">
        <f t="shared" si="794"/>
        <v>-4.3680623313212044</v>
      </c>
      <c r="AP860" s="276">
        <f t="shared" si="795"/>
        <v>0.85798263103280337</v>
      </c>
      <c r="AQ860" s="276">
        <f t="shared" si="796"/>
        <v>1.3053404437706082</v>
      </c>
      <c r="AR860" s="276">
        <f t="shared" si="797"/>
        <v>-2.5602339764297417</v>
      </c>
      <c r="AS860" s="276">
        <f t="shared" si="798"/>
        <v>-1.1535166372152712</v>
      </c>
      <c r="AT860" s="276">
        <f t="shared" si="799"/>
        <v>-3.7328330415864714</v>
      </c>
      <c r="AU860" s="685">
        <f t="shared" si="800"/>
        <v>1.0832027545690568</v>
      </c>
      <c r="AV860" s="276">
        <f t="shared" si="801"/>
        <v>1.2460230664923901</v>
      </c>
      <c r="AW860" s="276">
        <f t="shared" si="802"/>
        <v>1.4435824283259706</v>
      </c>
      <c r="AX860" s="276">
        <f t="shared" si="803"/>
        <v>0.50457616506254843</v>
      </c>
      <c r="AY860" s="276">
        <f t="shared" si="804"/>
        <v>0.60586081714139817</v>
      </c>
      <c r="AZ860" s="686">
        <f t="shared" si="805"/>
        <v>1.346400321435383</v>
      </c>
      <c r="BA860" s="685">
        <f t="shared" si="806"/>
        <v>0</v>
      </c>
      <c r="BB860" s="276">
        <f t="shared" si="807"/>
        <v>0</v>
      </c>
      <c r="BC860" s="276">
        <f t="shared" si="808"/>
        <v>0</v>
      </c>
      <c r="BD860" s="276">
        <f t="shared" si="809"/>
        <v>0</v>
      </c>
      <c r="BE860" s="276">
        <f t="shared" si="810"/>
        <v>0</v>
      </c>
      <c r="BF860" s="686">
        <f t="shared" si="811"/>
        <v>0</v>
      </c>
      <c r="BG860" s="685" t="e">
        <f t="shared" si="812"/>
        <v>#DIV/0!</v>
      </c>
      <c r="BH860" s="276" t="e">
        <f t="shared" si="813"/>
        <v>#DIV/0!</v>
      </c>
      <c r="BI860" s="276" t="e">
        <f t="shared" si="814"/>
        <v>#DIV/0!</v>
      </c>
      <c r="BJ860" s="276" t="e">
        <f t="shared" si="815"/>
        <v>#DIV/0!</v>
      </c>
      <c r="BK860" s="276" t="e">
        <f t="shared" si="816"/>
        <v>#DIV/0!</v>
      </c>
      <c r="BL860" s="686" t="e">
        <f t="shared" si="817"/>
        <v>#DIV/0!</v>
      </c>
      <c r="BM860" s="239"/>
      <c r="BN860" s="965" t="e">
        <f t="shared" si="818"/>
        <v>#VALUE!</v>
      </c>
      <c r="BO860" s="878" t="e">
        <f t="shared" si="819"/>
        <v>#VALUE!</v>
      </c>
      <c r="BP860" s="878" t="e">
        <f t="shared" si="820"/>
        <v>#VALUE!</v>
      </c>
      <c r="BQ860" s="878" t="e">
        <f t="shared" si="821"/>
        <v>#VALUE!</v>
      </c>
      <c r="BR860" s="878" t="e">
        <f t="shared" si="822"/>
        <v>#VALUE!</v>
      </c>
      <c r="BS860" s="966" t="e">
        <f t="shared" si="823"/>
        <v>#VALUE!</v>
      </c>
    </row>
    <row r="861" spans="1:71">
      <c r="A861" s="284">
        <f t="shared" si="824"/>
        <v>793</v>
      </c>
      <c r="B861" s="285">
        <v>0.50131543864014327</v>
      </c>
      <c r="C861" s="285">
        <v>2.3992950153637511</v>
      </c>
      <c r="D861" s="285">
        <v>0.36229798170175798</v>
      </c>
      <c r="E861" s="285">
        <v>-11.803013706712003</v>
      </c>
      <c r="H861" s="685">
        <f t="shared" si="770"/>
        <v>-0.63191840312891157</v>
      </c>
      <c r="I861" s="276">
        <f t="shared" si="771"/>
        <v>-0.61151596866911295</v>
      </c>
      <c r="J861" s="276">
        <f t="shared" si="772"/>
        <v>0.39979826122063544</v>
      </c>
      <c r="K861" s="276">
        <f t="shared" si="773"/>
        <v>1.18795052497753</v>
      </c>
      <c r="L861" s="276">
        <f t="shared" si="774"/>
        <v>4.576190232033424</v>
      </c>
      <c r="M861" s="276">
        <f t="shared" si="775"/>
        <v>-1.9635616161080356</v>
      </c>
      <c r="N861" s="685">
        <f t="shared" si="776"/>
        <v>1.1921238043918827</v>
      </c>
      <c r="O861" s="276">
        <f t="shared" si="777"/>
        <v>0.66444187929567722</v>
      </c>
      <c r="P861" s="276">
        <f t="shared" si="778"/>
        <v>1.180978039971784</v>
      </c>
      <c r="Q861" s="276">
        <f t="shared" si="779"/>
        <v>1.3985513652774666</v>
      </c>
      <c r="R861" s="276">
        <f t="shared" si="780"/>
        <v>1.190576586247124</v>
      </c>
      <c r="S861" s="686">
        <f t="shared" si="781"/>
        <v>0.50907180077727299</v>
      </c>
      <c r="T861" s="685">
        <f t="shared" si="782"/>
        <v>3.6406616719726839</v>
      </c>
      <c r="U861" s="276">
        <f t="shared" si="783"/>
        <v>4.5516971894368359</v>
      </c>
      <c r="V861" s="276">
        <f t="shared" si="784"/>
        <v>5.2273776426767622</v>
      </c>
      <c r="W861" s="276">
        <f t="shared" si="785"/>
        <v>2.3556703349467143</v>
      </c>
      <c r="X861" s="276">
        <f t="shared" si="786"/>
        <v>6.1733312818346153</v>
      </c>
      <c r="Y861" s="686">
        <f t="shared" si="787"/>
        <v>4.3000945439153995</v>
      </c>
      <c r="Z861" s="685" t="e">
        <f t="shared" si="788"/>
        <v>#DIV/0!</v>
      </c>
      <c r="AA861" s="276" t="e">
        <f t="shared" si="789"/>
        <v>#DIV/0!</v>
      </c>
      <c r="AB861" s="276" t="e">
        <f t="shared" si="790"/>
        <v>#DIV/0!</v>
      </c>
      <c r="AC861" s="276" t="e">
        <f t="shared" si="791"/>
        <v>#DIV/0!</v>
      </c>
      <c r="AD861" s="276" t="e">
        <f t="shared" si="792"/>
        <v>#DIV/0!</v>
      </c>
      <c r="AE861" s="686" t="e">
        <f t="shared" si="793"/>
        <v>#DIV/0!</v>
      </c>
      <c r="AF861" s="239"/>
      <c r="AG861" s="965" t="e">
        <f t="shared" si="764"/>
        <v>#VALUE!</v>
      </c>
      <c r="AH861" s="878" t="e">
        <f t="shared" si="765"/>
        <v>#VALUE!</v>
      </c>
      <c r="AI861" s="878" t="e">
        <f t="shared" si="766"/>
        <v>#VALUE!</v>
      </c>
      <c r="AJ861" s="878" t="e">
        <f t="shared" si="767"/>
        <v>#VALUE!</v>
      </c>
      <c r="AK861" s="878" t="e">
        <f t="shared" si="768"/>
        <v>#VALUE!</v>
      </c>
      <c r="AL861" s="966" t="e">
        <f t="shared" si="769"/>
        <v>#VALUE!</v>
      </c>
      <c r="AM861" s="239"/>
      <c r="AO861" s="685">
        <f t="shared" si="794"/>
        <v>-0.63191840312891157</v>
      </c>
      <c r="AP861" s="276">
        <f t="shared" si="795"/>
        <v>-0.61151596866911295</v>
      </c>
      <c r="AQ861" s="276">
        <f t="shared" si="796"/>
        <v>0.39979826122063544</v>
      </c>
      <c r="AR861" s="276">
        <f t="shared" si="797"/>
        <v>1.18795052497753</v>
      </c>
      <c r="AS861" s="276">
        <f t="shared" si="798"/>
        <v>4.576190232033424</v>
      </c>
      <c r="AT861" s="276">
        <f t="shared" si="799"/>
        <v>-1.9635616161080356</v>
      </c>
      <c r="AU861" s="685">
        <f t="shared" si="800"/>
        <v>1.1921238043918827</v>
      </c>
      <c r="AV861" s="276">
        <f t="shared" si="801"/>
        <v>0.66444187929567722</v>
      </c>
      <c r="AW861" s="276">
        <f t="shared" si="802"/>
        <v>1.180978039971784</v>
      </c>
      <c r="AX861" s="276">
        <f t="shared" si="803"/>
        <v>1.3985513652774666</v>
      </c>
      <c r="AY861" s="276">
        <f t="shared" si="804"/>
        <v>1.190576586247124</v>
      </c>
      <c r="AZ861" s="686">
        <f t="shared" si="805"/>
        <v>0.50907180077727299</v>
      </c>
      <c r="BA861" s="685">
        <f t="shared" si="806"/>
        <v>0</v>
      </c>
      <c r="BB861" s="276">
        <f t="shared" si="807"/>
        <v>0</v>
      </c>
      <c r="BC861" s="276">
        <f t="shared" si="808"/>
        <v>0</v>
      </c>
      <c r="BD861" s="276">
        <f t="shared" si="809"/>
        <v>0</v>
      </c>
      <c r="BE861" s="276">
        <f t="shared" si="810"/>
        <v>0</v>
      </c>
      <c r="BF861" s="686">
        <f t="shared" si="811"/>
        <v>0</v>
      </c>
      <c r="BG861" s="685" t="e">
        <f t="shared" si="812"/>
        <v>#DIV/0!</v>
      </c>
      <c r="BH861" s="276" t="e">
        <f t="shared" si="813"/>
        <v>#DIV/0!</v>
      </c>
      <c r="BI861" s="276" t="e">
        <f t="shared" si="814"/>
        <v>#DIV/0!</v>
      </c>
      <c r="BJ861" s="276" t="e">
        <f t="shared" si="815"/>
        <v>#DIV/0!</v>
      </c>
      <c r="BK861" s="276" t="e">
        <f t="shared" si="816"/>
        <v>#DIV/0!</v>
      </c>
      <c r="BL861" s="686" t="e">
        <f t="shared" si="817"/>
        <v>#DIV/0!</v>
      </c>
      <c r="BM861" s="239"/>
      <c r="BN861" s="965" t="e">
        <f t="shared" si="818"/>
        <v>#VALUE!</v>
      </c>
      <c r="BO861" s="878" t="e">
        <f t="shared" si="819"/>
        <v>#VALUE!</v>
      </c>
      <c r="BP861" s="878" t="e">
        <f t="shared" si="820"/>
        <v>#VALUE!</v>
      </c>
      <c r="BQ861" s="878" t="e">
        <f t="shared" si="821"/>
        <v>#VALUE!</v>
      </c>
      <c r="BR861" s="878" t="e">
        <f t="shared" si="822"/>
        <v>#VALUE!</v>
      </c>
      <c r="BS861" s="966" t="e">
        <f t="shared" si="823"/>
        <v>#VALUE!</v>
      </c>
    </row>
    <row r="862" spans="1:71">
      <c r="A862" s="284">
        <f t="shared" si="824"/>
        <v>794</v>
      </c>
      <c r="B862" s="285">
        <v>-1.2447753207185424</v>
      </c>
      <c r="C862" s="285">
        <v>2.6878007357912574</v>
      </c>
      <c r="D862" s="285">
        <v>1.8544890057371544</v>
      </c>
      <c r="E862" s="285">
        <v>-3.2044057907898198</v>
      </c>
      <c r="H862" s="685">
        <f t="shared" si="770"/>
        <v>-2.3780091624875972</v>
      </c>
      <c r="I862" s="276">
        <f t="shared" si="771"/>
        <v>1.8554531000813721</v>
      </c>
      <c r="J862" s="276">
        <f t="shared" si="772"/>
        <v>3.42048809012267</v>
      </c>
      <c r="K862" s="276">
        <f t="shared" si="773"/>
        <v>-3.8962729247704821</v>
      </c>
      <c r="L862" s="276">
        <f t="shared" si="774"/>
        <v>1.306161684636266</v>
      </c>
      <c r="M862" s="276">
        <f t="shared" si="775"/>
        <v>-1.8707965227239958</v>
      </c>
      <c r="N862" s="685">
        <f t="shared" si="776"/>
        <v>1.480629524819389</v>
      </c>
      <c r="O862" s="276">
        <f t="shared" si="777"/>
        <v>1.1658859552768124</v>
      </c>
      <c r="P862" s="276">
        <f t="shared" si="778"/>
        <v>1.8413943940555628</v>
      </c>
      <c r="Q862" s="276">
        <f t="shared" si="779"/>
        <v>0.13717747553560811</v>
      </c>
      <c r="R862" s="276">
        <f t="shared" si="780"/>
        <v>1.90226634120147</v>
      </c>
      <c r="S862" s="686">
        <f t="shared" si="781"/>
        <v>1.1802572508298905</v>
      </c>
      <c r="T862" s="685">
        <f t="shared" si="782"/>
        <v>5.1328526960080803</v>
      </c>
      <c r="U862" s="276">
        <f t="shared" si="783"/>
        <v>2.6086077001380792</v>
      </c>
      <c r="V862" s="276">
        <f t="shared" si="784"/>
        <v>6.0565143122964749</v>
      </c>
      <c r="W862" s="276">
        <f t="shared" si="785"/>
        <v>6.4940055900490457</v>
      </c>
      <c r="X862" s="276">
        <f t="shared" si="786"/>
        <v>4.47734115319055</v>
      </c>
      <c r="Y862" s="686">
        <f t="shared" si="787"/>
        <v>4.8622832624852625</v>
      </c>
      <c r="Z862" s="685" t="e">
        <f t="shared" si="788"/>
        <v>#DIV/0!</v>
      </c>
      <c r="AA862" s="276" t="e">
        <f t="shared" si="789"/>
        <v>#DIV/0!</v>
      </c>
      <c r="AB862" s="276" t="e">
        <f t="shared" si="790"/>
        <v>#DIV/0!</v>
      </c>
      <c r="AC862" s="276" t="e">
        <f t="shared" si="791"/>
        <v>#DIV/0!</v>
      </c>
      <c r="AD862" s="276" t="e">
        <f t="shared" si="792"/>
        <v>#DIV/0!</v>
      </c>
      <c r="AE862" s="686" t="e">
        <f t="shared" si="793"/>
        <v>#DIV/0!</v>
      </c>
      <c r="AF862" s="239"/>
      <c r="AG862" s="965" t="e">
        <f t="shared" si="764"/>
        <v>#VALUE!</v>
      </c>
      <c r="AH862" s="878" t="e">
        <f t="shared" si="765"/>
        <v>#VALUE!</v>
      </c>
      <c r="AI862" s="878" t="e">
        <f t="shared" si="766"/>
        <v>#VALUE!</v>
      </c>
      <c r="AJ862" s="878" t="e">
        <f t="shared" si="767"/>
        <v>#VALUE!</v>
      </c>
      <c r="AK862" s="878" t="e">
        <f t="shared" si="768"/>
        <v>#VALUE!</v>
      </c>
      <c r="AL862" s="966" t="e">
        <f t="shared" si="769"/>
        <v>#VALUE!</v>
      </c>
      <c r="AM862" s="239"/>
      <c r="AO862" s="685">
        <f t="shared" si="794"/>
        <v>-2.3780091624875972</v>
      </c>
      <c r="AP862" s="276">
        <f t="shared" si="795"/>
        <v>1.8554531000813721</v>
      </c>
      <c r="AQ862" s="276">
        <f t="shared" si="796"/>
        <v>3.42048809012267</v>
      </c>
      <c r="AR862" s="276">
        <f t="shared" si="797"/>
        <v>-3.8962729247704821</v>
      </c>
      <c r="AS862" s="276">
        <f t="shared" si="798"/>
        <v>1.306161684636266</v>
      </c>
      <c r="AT862" s="276">
        <f t="shared" si="799"/>
        <v>-1.8707965227239958</v>
      </c>
      <c r="AU862" s="685">
        <f t="shared" si="800"/>
        <v>1.480629524819389</v>
      </c>
      <c r="AV862" s="276">
        <f t="shared" si="801"/>
        <v>1.1658859552768124</v>
      </c>
      <c r="AW862" s="276">
        <f t="shared" si="802"/>
        <v>1.8413943940555628</v>
      </c>
      <c r="AX862" s="276">
        <f t="shared" si="803"/>
        <v>0.13717747553560811</v>
      </c>
      <c r="AY862" s="276">
        <f t="shared" si="804"/>
        <v>1.90226634120147</v>
      </c>
      <c r="AZ862" s="686">
        <f t="shared" si="805"/>
        <v>1.1802572508298905</v>
      </c>
      <c r="BA862" s="685">
        <f t="shared" si="806"/>
        <v>0</v>
      </c>
      <c r="BB862" s="276">
        <f t="shared" si="807"/>
        <v>0</v>
      </c>
      <c r="BC862" s="276">
        <f t="shared" si="808"/>
        <v>0</v>
      </c>
      <c r="BD862" s="276">
        <f t="shared" si="809"/>
        <v>0</v>
      </c>
      <c r="BE862" s="276">
        <f t="shared" si="810"/>
        <v>0</v>
      </c>
      <c r="BF862" s="686">
        <f t="shared" si="811"/>
        <v>0</v>
      </c>
      <c r="BG862" s="685" t="e">
        <f t="shared" si="812"/>
        <v>#DIV/0!</v>
      </c>
      <c r="BH862" s="276" t="e">
        <f t="shared" si="813"/>
        <v>#DIV/0!</v>
      </c>
      <c r="BI862" s="276" t="e">
        <f t="shared" si="814"/>
        <v>#DIV/0!</v>
      </c>
      <c r="BJ862" s="276" t="e">
        <f t="shared" si="815"/>
        <v>#DIV/0!</v>
      </c>
      <c r="BK862" s="276" t="e">
        <f t="shared" si="816"/>
        <v>#DIV/0!</v>
      </c>
      <c r="BL862" s="686" t="e">
        <f t="shared" si="817"/>
        <v>#DIV/0!</v>
      </c>
      <c r="BM862" s="239"/>
      <c r="BN862" s="965" t="e">
        <f t="shared" si="818"/>
        <v>#VALUE!</v>
      </c>
      <c r="BO862" s="878" t="e">
        <f t="shared" si="819"/>
        <v>#VALUE!</v>
      </c>
      <c r="BP862" s="878" t="e">
        <f t="shared" si="820"/>
        <v>#VALUE!</v>
      </c>
      <c r="BQ862" s="878" t="e">
        <f t="shared" si="821"/>
        <v>#VALUE!</v>
      </c>
      <c r="BR862" s="878" t="e">
        <f t="shared" si="822"/>
        <v>#VALUE!</v>
      </c>
      <c r="BS862" s="966" t="e">
        <f t="shared" si="823"/>
        <v>#VALUE!</v>
      </c>
    </row>
    <row r="863" spans="1:71">
      <c r="A863" s="284">
        <f t="shared" si="824"/>
        <v>795</v>
      </c>
      <c r="B863" s="285">
        <v>1.973132830655976E-2</v>
      </c>
      <c r="C863" s="285">
        <v>2.5549682944366925</v>
      </c>
      <c r="D863" s="285">
        <v>2.9556356692003671</v>
      </c>
      <c r="E863" s="285">
        <v>-5.9869431691237018</v>
      </c>
      <c r="H863" s="685">
        <f t="shared" si="770"/>
        <v>-1.1135025134624952</v>
      </c>
      <c r="I863" s="276">
        <f t="shared" si="771"/>
        <v>-1.8238891861887652E-2</v>
      </c>
      <c r="J863" s="276">
        <f t="shared" si="772"/>
        <v>0.45669745681349516</v>
      </c>
      <c r="K863" s="276">
        <f t="shared" si="773"/>
        <v>-4.9858087295819038</v>
      </c>
      <c r="L863" s="276">
        <f t="shared" si="774"/>
        <v>-0.27684781226349453</v>
      </c>
      <c r="M863" s="276">
        <f t="shared" si="775"/>
        <v>-3.8314862820106379</v>
      </c>
      <c r="N863" s="685">
        <f t="shared" si="776"/>
        <v>1.3477970834648241</v>
      </c>
      <c r="O863" s="276">
        <f t="shared" si="777"/>
        <v>0.85568716228209074</v>
      </c>
      <c r="P863" s="276">
        <f t="shared" si="778"/>
        <v>1.8604187431564549</v>
      </c>
      <c r="Q863" s="276">
        <f t="shared" si="779"/>
        <v>1.146103292420934</v>
      </c>
      <c r="R863" s="276">
        <f t="shared" si="780"/>
        <v>1.022833315747292</v>
      </c>
      <c r="S863" s="686">
        <f t="shared" si="781"/>
        <v>1.0713374165501748</v>
      </c>
      <c r="T863" s="685">
        <f t="shared" si="782"/>
        <v>6.2339993594712926</v>
      </c>
      <c r="U863" s="276">
        <f t="shared" si="783"/>
        <v>5.0841549690076722</v>
      </c>
      <c r="V863" s="276">
        <f t="shared" si="784"/>
        <v>4.2658230983708814</v>
      </c>
      <c r="W863" s="276">
        <f t="shared" si="785"/>
        <v>3.2658305394723426</v>
      </c>
      <c r="X863" s="276">
        <f t="shared" si="786"/>
        <v>5.5261661454749031</v>
      </c>
      <c r="Y863" s="686">
        <f t="shared" si="787"/>
        <v>4.7954438374859594</v>
      </c>
      <c r="Z863" s="685" t="e">
        <f t="shared" si="788"/>
        <v>#DIV/0!</v>
      </c>
      <c r="AA863" s="276" t="e">
        <f t="shared" si="789"/>
        <v>#DIV/0!</v>
      </c>
      <c r="AB863" s="276" t="e">
        <f t="shared" si="790"/>
        <v>#DIV/0!</v>
      </c>
      <c r="AC863" s="276" t="e">
        <f t="shared" si="791"/>
        <v>#DIV/0!</v>
      </c>
      <c r="AD863" s="276" t="e">
        <f t="shared" si="792"/>
        <v>#DIV/0!</v>
      </c>
      <c r="AE863" s="686" t="e">
        <f t="shared" si="793"/>
        <v>#DIV/0!</v>
      </c>
      <c r="AF863" s="239"/>
      <c r="AG863" s="965" t="e">
        <f t="shared" si="764"/>
        <v>#VALUE!</v>
      </c>
      <c r="AH863" s="878" t="e">
        <f t="shared" si="765"/>
        <v>#VALUE!</v>
      </c>
      <c r="AI863" s="878" t="e">
        <f t="shared" si="766"/>
        <v>#VALUE!</v>
      </c>
      <c r="AJ863" s="878" t="e">
        <f t="shared" si="767"/>
        <v>#VALUE!</v>
      </c>
      <c r="AK863" s="878" t="e">
        <f t="shared" si="768"/>
        <v>#VALUE!</v>
      </c>
      <c r="AL863" s="966" t="e">
        <f t="shared" si="769"/>
        <v>#VALUE!</v>
      </c>
      <c r="AM863" s="239"/>
      <c r="AO863" s="685">
        <f t="shared" si="794"/>
        <v>-1.1135025134624952</v>
      </c>
      <c r="AP863" s="276">
        <f t="shared" si="795"/>
        <v>-1.8238891861887652E-2</v>
      </c>
      <c r="AQ863" s="276">
        <f t="shared" si="796"/>
        <v>0.45669745681349516</v>
      </c>
      <c r="AR863" s="276">
        <f t="shared" si="797"/>
        <v>-4.9858087295819038</v>
      </c>
      <c r="AS863" s="276">
        <f t="shared" si="798"/>
        <v>-0.27684781226349453</v>
      </c>
      <c r="AT863" s="276">
        <f t="shared" si="799"/>
        <v>-3.8314862820106379</v>
      </c>
      <c r="AU863" s="685">
        <f t="shared" si="800"/>
        <v>1.3477970834648241</v>
      </c>
      <c r="AV863" s="276">
        <f t="shared" si="801"/>
        <v>0.85568716228209074</v>
      </c>
      <c r="AW863" s="276">
        <f t="shared" si="802"/>
        <v>1.8604187431564549</v>
      </c>
      <c r="AX863" s="276">
        <f t="shared" si="803"/>
        <v>1.146103292420934</v>
      </c>
      <c r="AY863" s="276">
        <f t="shared" si="804"/>
        <v>1.022833315747292</v>
      </c>
      <c r="AZ863" s="686">
        <f t="shared" si="805"/>
        <v>1.0713374165501748</v>
      </c>
      <c r="BA863" s="685">
        <f t="shared" si="806"/>
        <v>0</v>
      </c>
      <c r="BB863" s="276">
        <f t="shared" si="807"/>
        <v>0</v>
      </c>
      <c r="BC863" s="276">
        <f t="shared" si="808"/>
        <v>0</v>
      </c>
      <c r="BD863" s="276">
        <f t="shared" si="809"/>
        <v>0</v>
      </c>
      <c r="BE863" s="276">
        <f t="shared" si="810"/>
        <v>0</v>
      </c>
      <c r="BF863" s="686">
        <f t="shared" si="811"/>
        <v>0</v>
      </c>
      <c r="BG863" s="685" t="e">
        <f t="shared" si="812"/>
        <v>#DIV/0!</v>
      </c>
      <c r="BH863" s="276" t="e">
        <f t="shared" si="813"/>
        <v>#DIV/0!</v>
      </c>
      <c r="BI863" s="276" t="e">
        <f t="shared" si="814"/>
        <v>#DIV/0!</v>
      </c>
      <c r="BJ863" s="276" t="e">
        <f t="shared" si="815"/>
        <v>#DIV/0!</v>
      </c>
      <c r="BK863" s="276" t="e">
        <f t="shared" si="816"/>
        <v>#DIV/0!</v>
      </c>
      <c r="BL863" s="686" t="e">
        <f t="shared" si="817"/>
        <v>#DIV/0!</v>
      </c>
      <c r="BM863" s="239"/>
      <c r="BN863" s="965" t="e">
        <f t="shared" si="818"/>
        <v>#VALUE!</v>
      </c>
      <c r="BO863" s="878" t="e">
        <f t="shared" si="819"/>
        <v>#VALUE!</v>
      </c>
      <c r="BP863" s="878" t="e">
        <f t="shared" si="820"/>
        <v>#VALUE!</v>
      </c>
      <c r="BQ863" s="878" t="e">
        <f t="shared" si="821"/>
        <v>#VALUE!</v>
      </c>
      <c r="BR863" s="878" t="e">
        <f t="shared" si="822"/>
        <v>#VALUE!</v>
      </c>
      <c r="BS863" s="966" t="e">
        <f t="shared" si="823"/>
        <v>#VALUE!</v>
      </c>
    </row>
    <row r="864" spans="1:71">
      <c r="A864" s="284">
        <f t="shared" si="824"/>
        <v>796</v>
      </c>
      <c r="B864" s="285">
        <v>0.34684810962290119</v>
      </c>
      <c r="C864" s="285">
        <v>2.134790592867911</v>
      </c>
      <c r="D864" s="285">
        <v>1.645902631444728</v>
      </c>
      <c r="E864" s="285">
        <v>-6.1487258748905997</v>
      </c>
      <c r="H864" s="685">
        <f t="shared" si="770"/>
        <v>-0.78638573214615359</v>
      </c>
      <c r="I864" s="276">
        <f t="shared" si="771"/>
        <v>0.91882190107109118</v>
      </c>
      <c r="J864" s="276">
        <f t="shared" si="772"/>
        <v>-2.2380119196970254</v>
      </c>
      <c r="K864" s="276">
        <f t="shared" si="773"/>
        <v>1.2046567276934075</v>
      </c>
      <c r="L864" s="276">
        <f t="shared" si="774"/>
        <v>-2.3672410542503632</v>
      </c>
      <c r="M864" s="276">
        <f t="shared" si="775"/>
        <v>-1.0288487606297192</v>
      </c>
      <c r="N864" s="685">
        <f t="shared" si="776"/>
        <v>0.92761938189604254</v>
      </c>
      <c r="O864" s="276">
        <f t="shared" si="777"/>
        <v>1.6619351479801472</v>
      </c>
      <c r="P864" s="276">
        <f t="shared" si="778"/>
        <v>1.1154226970220502</v>
      </c>
      <c r="Q864" s="276">
        <f t="shared" si="779"/>
        <v>2.2575328075796053</v>
      </c>
      <c r="R864" s="276">
        <f t="shared" si="780"/>
        <v>1.2191781385540394</v>
      </c>
      <c r="S864" s="686">
        <f t="shared" si="781"/>
        <v>1.4872133483731711</v>
      </c>
      <c r="T864" s="685">
        <f t="shared" si="782"/>
        <v>4.9242663217156544</v>
      </c>
      <c r="U864" s="276">
        <f t="shared" si="783"/>
        <v>6.112221919276644</v>
      </c>
      <c r="V864" s="276">
        <f t="shared" si="784"/>
        <v>3.2135400383685822</v>
      </c>
      <c r="W864" s="276">
        <f t="shared" si="785"/>
        <v>5.4066105260605628</v>
      </c>
      <c r="X864" s="276">
        <f t="shared" si="786"/>
        <v>5.5889264410638511</v>
      </c>
      <c r="Y864" s="686">
        <f t="shared" si="787"/>
        <v>4.2537134883003036</v>
      </c>
      <c r="Z864" s="685" t="e">
        <f t="shared" si="788"/>
        <v>#DIV/0!</v>
      </c>
      <c r="AA864" s="276" t="e">
        <f t="shared" si="789"/>
        <v>#DIV/0!</v>
      </c>
      <c r="AB864" s="276" t="e">
        <f t="shared" si="790"/>
        <v>#DIV/0!</v>
      </c>
      <c r="AC864" s="276" t="e">
        <f t="shared" si="791"/>
        <v>#DIV/0!</v>
      </c>
      <c r="AD864" s="276" t="e">
        <f t="shared" si="792"/>
        <v>#DIV/0!</v>
      </c>
      <c r="AE864" s="686" t="e">
        <f t="shared" si="793"/>
        <v>#DIV/0!</v>
      </c>
      <c r="AF864" s="239"/>
      <c r="AG864" s="965" t="e">
        <f t="shared" si="764"/>
        <v>#VALUE!</v>
      </c>
      <c r="AH864" s="878" t="e">
        <f t="shared" si="765"/>
        <v>#VALUE!</v>
      </c>
      <c r="AI864" s="878" t="e">
        <f t="shared" si="766"/>
        <v>#VALUE!</v>
      </c>
      <c r="AJ864" s="878" t="e">
        <f t="shared" si="767"/>
        <v>#VALUE!</v>
      </c>
      <c r="AK864" s="878" t="e">
        <f t="shared" si="768"/>
        <v>#VALUE!</v>
      </c>
      <c r="AL864" s="966" t="e">
        <f t="shared" si="769"/>
        <v>#VALUE!</v>
      </c>
      <c r="AM864" s="239"/>
      <c r="AO864" s="685">
        <f t="shared" si="794"/>
        <v>-0.78638573214615359</v>
      </c>
      <c r="AP864" s="276">
        <f t="shared" si="795"/>
        <v>0.91882190107109118</v>
      </c>
      <c r="AQ864" s="276">
        <f t="shared" si="796"/>
        <v>-2.2380119196970254</v>
      </c>
      <c r="AR864" s="276">
        <f t="shared" si="797"/>
        <v>1.2046567276934075</v>
      </c>
      <c r="AS864" s="276">
        <f t="shared" si="798"/>
        <v>-2.3672410542503632</v>
      </c>
      <c r="AT864" s="276">
        <f t="shared" si="799"/>
        <v>-1.0288487606297192</v>
      </c>
      <c r="AU864" s="685">
        <f t="shared" si="800"/>
        <v>0.92761938189604254</v>
      </c>
      <c r="AV864" s="276">
        <f t="shared" si="801"/>
        <v>1.6619351479801472</v>
      </c>
      <c r="AW864" s="276">
        <f t="shared" si="802"/>
        <v>1.1154226970220502</v>
      </c>
      <c r="AX864" s="276">
        <f t="shared" si="803"/>
        <v>2.2575328075796053</v>
      </c>
      <c r="AY864" s="276">
        <f t="shared" si="804"/>
        <v>1.2191781385540394</v>
      </c>
      <c r="AZ864" s="686">
        <f t="shared" si="805"/>
        <v>1.4872133483731711</v>
      </c>
      <c r="BA864" s="685">
        <f t="shared" si="806"/>
        <v>0</v>
      </c>
      <c r="BB864" s="276">
        <f t="shared" si="807"/>
        <v>0</v>
      </c>
      <c r="BC864" s="276">
        <f t="shared" si="808"/>
        <v>0</v>
      </c>
      <c r="BD864" s="276">
        <f t="shared" si="809"/>
        <v>0</v>
      </c>
      <c r="BE864" s="276">
        <f t="shared" si="810"/>
        <v>0</v>
      </c>
      <c r="BF864" s="686">
        <f t="shared" si="811"/>
        <v>0</v>
      </c>
      <c r="BG864" s="685" t="e">
        <f t="shared" si="812"/>
        <v>#DIV/0!</v>
      </c>
      <c r="BH864" s="276" t="e">
        <f t="shared" si="813"/>
        <v>#DIV/0!</v>
      </c>
      <c r="BI864" s="276" t="e">
        <f t="shared" si="814"/>
        <v>#DIV/0!</v>
      </c>
      <c r="BJ864" s="276" t="e">
        <f t="shared" si="815"/>
        <v>#DIV/0!</v>
      </c>
      <c r="BK864" s="276" t="e">
        <f t="shared" si="816"/>
        <v>#DIV/0!</v>
      </c>
      <c r="BL864" s="686" t="e">
        <f t="shared" si="817"/>
        <v>#DIV/0!</v>
      </c>
      <c r="BM864" s="239"/>
      <c r="BN864" s="965" t="e">
        <f t="shared" si="818"/>
        <v>#VALUE!</v>
      </c>
      <c r="BO864" s="878" t="e">
        <f t="shared" si="819"/>
        <v>#VALUE!</v>
      </c>
      <c r="BP864" s="878" t="e">
        <f t="shared" si="820"/>
        <v>#VALUE!</v>
      </c>
      <c r="BQ864" s="878" t="e">
        <f t="shared" si="821"/>
        <v>#VALUE!</v>
      </c>
      <c r="BR864" s="878" t="e">
        <f t="shared" si="822"/>
        <v>#VALUE!</v>
      </c>
      <c r="BS864" s="966" t="e">
        <f t="shared" si="823"/>
        <v>#VALUE!</v>
      </c>
    </row>
    <row r="865" spans="1:71">
      <c r="A865" s="284">
        <f t="shared" si="824"/>
        <v>797</v>
      </c>
      <c r="B865" s="285">
        <v>0.51976727656719945</v>
      </c>
      <c r="C865" s="285">
        <v>2.4805680460072068</v>
      </c>
      <c r="D865" s="285">
        <v>2.1360236384653213</v>
      </c>
      <c r="E865" s="285">
        <v>-9.5880893308948067</v>
      </c>
      <c r="H865" s="685">
        <f t="shared" si="770"/>
        <v>-0.61346656520185538</v>
      </c>
      <c r="I865" s="276">
        <f t="shared" si="771"/>
        <v>-1.7229242366794852</v>
      </c>
      <c r="J865" s="276">
        <f t="shared" si="772"/>
        <v>-1.7878349911797466</v>
      </c>
      <c r="K865" s="276">
        <f t="shared" si="773"/>
        <v>-1.8627344397947698</v>
      </c>
      <c r="L865" s="276">
        <f t="shared" si="774"/>
        <v>-4.1863096795534132</v>
      </c>
      <c r="M865" s="276">
        <f t="shared" si="775"/>
        <v>-1.5503531804196589</v>
      </c>
      <c r="N865" s="685">
        <f t="shared" si="776"/>
        <v>1.2733968350353384</v>
      </c>
      <c r="O865" s="276">
        <f t="shared" si="777"/>
        <v>1.0936050006503579</v>
      </c>
      <c r="P865" s="276">
        <f t="shared" si="778"/>
        <v>1.3609641268422055</v>
      </c>
      <c r="Q865" s="276">
        <f t="shared" si="779"/>
        <v>1.586099929777135</v>
      </c>
      <c r="R865" s="276">
        <f t="shared" si="780"/>
        <v>1.4772573612112565</v>
      </c>
      <c r="S865" s="686">
        <f t="shared" si="781"/>
        <v>1.5825043448524132</v>
      </c>
      <c r="T865" s="685">
        <f t="shared" si="782"/>
        <v>5.4143873287362467</v>
      </c>
      <c r="U865" s="276">
        <f t="shared" si="783"/>
        <v>4.6411021101352734</v>
      </c>
      <c r="V865" s="276">
        <f t="shared" si="784"/>
        <v>6.557861783309475</v>
      </c>
      <c r="W865" s="276">
        <f t="shared" si="785"/>
        <v>5.100425683925252</v>
      </c>
      <c r="X865" s="276">
        <f t="shared" si="786"/>
        <v>3.6456824882809573</v>
      </c>
      <c r="Y865" s="686">
        <f t="shared" si="787"/>
        <v>3.9575526602416802</v>
      </c>
      <c r="Z865" s="685" t="e">
        <f t="shared" si="788"/>
        <v>#DIV/0!</v>
      </c>
      <c r="AA865" s="276" t="e">
        <f t="shared" si="789"/>
        <v>#DIV/0!</v>
      </c>
      <c r="AB865" s="276" t="e">
        <f t="shared" si="790"/>
        <v>#DIV/0!</v>
      </c>
      <c r="AC865" s="276" t="e">
        <f t="shared" si="791"/>
        <v>#DIV/0!</v>
      </c>
      <c r="AD865" s="276" t="e">
        <f t="shared" si="792"/>
        <v>#DIV/0!</v>
      </c>
      <c r="AE865" s="686" t="e">
        <f t="shared" si="793"/>
        <v>#DIV/0!</v>
      </c>
      <c r="AF865" s="239"/>
      <c r="AG865" s="965" t="e">
        <f t="shared" si="764"/>
        <v>#VALUE!</v>
      </c>
      <c r="AH865" s="878" t="e">
        <f t="shared" si="765"/>
        <v>#VALUE!</v>
      </c>
      <c r="AI865" s="878" t="e">
        <f t="shared" si="766"/>
        <v>#VALUE!</v>
      </c>
      <c r="AJ865" s="878" t="e">
        <f t="shared" si="767"/>
        <v>#VALUE!</v>
      </c>
      <c r="AK865" s="878" t="e">
        <f t="shared" si="768"/>
        <v>#VALUE!</v>
      </c>
      <c r="AL865" s="966" t="e">
        <f t="shared" si="769"/>
        <v>#VALUE!</v>
      </c>
      <c r="AM865" s="239"/>
      <c r="AO865" s="685">
        <f t="shared" si="794"/>
        <v>-0.61346656520185538</v>
      </c>
      <c r="AP865" s="276">
        <f t="shared" si="795"/>
        <v>-1.7229242366794852</v>
      </c>
      <c r="AQ865" s="276">
        <f t="shared" si="796"/>
        <v>-1.7878349911797466</v>
      </c>
      <c r="AR865" s="276">
        <f t="shared" si="797"/>
        <v>-1.8627344397947698</v>
      </c>
      <c r="AS865" s="276">
        <f t="shared" si="798"/>
        <v>-4.1863096795534132</v>
      </c>
      <c r="AT865" s="276">
        <f t="shared" si="799"/>
        <v>-1.5503531804196589</v>
      </c>
      <c r="AU865" s="685">
        <f t="shared" si="800"/>
        <v>1.2733968350353384</v>
      </c>
      <c r="AV865" s="276">
        <f t="shared" si="801"/>
        <v>1.0936050006503579</v>
      </c>
      <c r="AW865" s="276">
        <f t="shared" si="802"/>
        <v>1.3609641268422055</v>
      </c>
      <c r="AX865" s="276">
        <f t="shared" si="803"/>
        <v>1.586099929777135</v>
      </c>
      <c r="AY865" s="276">
        <f t="shared" si="804"/>
        <v>1.4772573612112565</v>
      </c>
      <c r="AZ865" s="686">
        <f t="shared" si="805"/>
        <v>1.5825043448524132</v>
      </c>
      <c r="BA865" s="685">
        <f t="shared" si="806"/>
        <v>0</v>
      </c>
      <c r="BB865" s="276">
        <f t="shared" si="807"/>
        <v>0</v>
      </c>
      <c r="BC865" s="276">
        <f t="shared" si="808"/>
        <v>0</v>
      </c>
      <c r="BD865" s="276">
        <f t="shared" si="809"/>
        <v>0</v>
      </c>
      <c r="BE865" s="276">
        <f t="shared" si="810"/>
        <v>0</v>
      </c>
      <c r="BF865" s="686">
        <f t="shared" si="811"/>
        <v>0</v>
      </c>
      <c r="BG865" s="685" t="e">
        <f t="shared" si="812"/>
        <v>#DIV/0!</v>
      </c>
      <c r="BH865" s="276" t="e">
        <f t="shared" si="813"/>
        <v>#DIV/0!</v>
      </c>
      <c r="BI865" s="276" t="e">
        <f t="shared" si="814"/>
        <v>#DIV/0!</v>
      </c>
      <c r="BJ865" s="276" t="e">
        <f t="shared" si="815"/>
        <v>#DIV/0!</v>
      </c>
      <c r="BK865" s="276" t="e">
        <f t="shared" si="816"/>
        <v>#DIV/0!</v>
      </c>
      <c r="BL865" s="686" t="e">
        <f t="shared" si="817"/>
        <v>#DIV/0!</v>
      </c>
      <c r="BM865" s="239"/>
      <c r="BN865" s="965" t="e">
        <f t="shared" si="818"/>
        <v>#VALUE!</v>
      </c>
      <c r="BO865" s="878" t="e">
        <f t="shared" si="819"/>
        <v>#VALUE!</v>
      </c>
      <c r="BP865" s="878" t="e">
        <f t="shared" si="820"/>
        <v>#VALUE!</v>
      </c>
      <c r="BQ865" s="878" t="e">
        <f t="shared" si="821"/>
        <v>#VALUE!</v>
      </c>
      <c r="BR865" s="878" t="e">
        <f t="shared" si="822"/>
        <v>#VALUE!</v>
      </c>
      <c r="BS865" s="966" t="e">
        <f t="shared" si="823"/>
        <v>#VALUE!</v>
      </c>
    </row>
    <row r="866" spans="1:71">
      <c r="A866" s="284">
        <f t="shared" si="824"/>
        <v>798</v>
      </c>
      <c r="B866" s="285">
        <v>-1.4185055216123679</v>
      </c>
      <c r="C866" s="285">
        <v>2.7002676195255888</v>
      </c>
      <c r="D866" s="285">
        <v>-0.42278171737275061</v>
      </c>
      <c r="E866" s="285">
        <v>5.0623800771625067</v>
      </c>
      <c r="H866" s="685">
        <f t="shared" si="770"/>
        <v>-2.5517393633814227</v>
      </c>
      <c r="I866" s="276">
        <f t="shared" si="771"/>
        <v>-2.5916080313723246</v>
      </c>
      <c r="J866" s="276">
        <f t="shared" si="772"/>
        <v>-2.060990301083435</v>
      </c>
      <c r="K866" s="276">
        <f t="shared" si="773"/>
        <v>-2.6101030703693131</v>
      </c>
      <c r="L866" s="276">
        <f t="shared" si="774"/>
        <v>-1.8033871255426384</v>
      </c>
      <c r="M866" s="276">
        <f t="shared" si="775"/>
        <v>-1.9594984697244902</v>
      </c>
      <c r="N866" s="685">
        <f t="shared" si="776"/>
        <v>1.4930964085537204</v>
      </c>
      <c r="O866" s="276">
        <f t="shared" si="777"/>
        <v>0.95770693023653419</v>
      </c>
      <c r="P866" s="276">
        <f t="shared" si="778"/>
        <v>1.1906068604551512</v>
      </c>
      <c r="Q866" s="276">
        <f t="shared" si="779"/>
        <v>1.8662303802418758</v>
      </c>
      <c r="R866" s="276">
        <f t="shared" si="780"/>
        <v>1.0801235272442009</v>
      </c>
      <c r="S866" s="686">
        <f t="shared" si="781"/>
        <v>0.73290599535710532</v>
      </c>
      <c r="T866" s="685">
        <f t="shared" si="782"/>
        <v>2.8555819728981753</v>
      </c>
      <c r="U866" s="276">
        <f t="shared" si="783"/>
        <v>5.4188746140762429</v>
      </c>
      <c r="V866" s="276">
        <f t="shared" si="784"/>
        <v>6.0391210406246918</v>
      </c>
      <c r="W866" s="276">
        <f t="shared" si="785"/>
        <v>3.3198240294328372</v>
      </c>
      <c r="X866" s="276">
        <f t="shared" si="786"/>
        <v>5.7814210743009937</v>
      </c>
      <c r="Y866" s="686">
        <f t="shared" si="787"/>
        <v>2.8955939830809809</v>
      </c>
      <c r="Z866" s="685" t="e">
        <f t="shared" si="788"/>
        <v>#DIV/0!</v>
      </c>
      <c r="AA866" s="276" t="e">
        <f t="shared" si="789"/>
        <v>#DIV/0!</v>
      </c>
      <c r="AB866" s="276" t="e">
        <f t="shared" si="790"/>
        <v>#DIV/0!</v>
      </c>
      <c r="AC866" s="276" t="e">
        <f t="shared" si="791"/>
        <v>#DIV/0!</v>
      </c>
      <c r="AD866" s="276" t="e">
        <f t="shared" si="792"/>
        <v>#DIV/0!</v>
      </c>
      <c r="AE866" s="686" t="e">
        <f t="shared" si="793"/>
        <v>#DIV/0!</v>
      </c>
      <c r="AF866" s="239"/>
      <c r="AG866" s="965" t="e">
        <f t="shared" si="764"/>
        <v>#VALUE!</v>
      </c>
      <c r="AH866" s="878" t="e">
        <f t="shared" si="765"/>
        <v>#VALUE!</v>
      </c>
      <c r="AI866" s="878" t="e">
        <f t="shared" si="766"/>
        <v>#VALUE!</v>
      </c>
      <c r="AJ866" s="878" t="e">
        <f t="shared" si="767"/>
        <v>#VALUE!</v>
      </c>
      <c r="AK866" s="878" t="e">
        <f t="shared" si="768"/>
        <v>#VALUE!</v>
      </c>
      <c r="AL866" s="966" t="e">
        <f t="shared" si="769"/>
        <v>#VALUE!</v>
      </c>
      <c r="AM866" s="239"/>
      <c r="AO866" s="685">
        <f t="shared" si="794"/>
        <v>-2.5517393633814227</v>
      </c>
      <c r="AP866" s="276">
        <f t="shared" si="795"/>
        <v>-2.5916080313723246</v>
      </c>
      <c r="AQ866" s="276">
        <f t="shared" si="796"/>
        <v>-2.060990301083435</v>
      </c>
      <c r="AR866" s="276">
        <f t="shared" si="797"/>
        <v>-2.6101030703693131</v>
      </c>
      <c r="AS866" s="276">
        <f t="shared" si="798"/>
        <v>-1.8033871255426384</v>
      </c>
      <c r="AT866" s="276">
        <f t="shared" si="799"/>
        <v>-1.9594984697244902</v>
      </c>
      <c r="AU866" s="685">
        <f t="shared" si="800"/>
        <v>1.4930964085537204</v>
      </c>
      <c r="AV866" s="276">
        <f t="shared" si="801"/>
        <v>0.95770693023653419</v>
      </c>
      <c r="AW866" s="276">
        <f t="shared" si="802"/>
        <v>1.1906068604551512</v>
      </c>
      <c r="AX866" s="276">
        <f t="shared" si="803"/>
        <v>1.8662303802418758</v>
      </c>
      <c r="AY866" s="276">
        <f t="shared" si="804"/>
        <v>1.0801235272442009</v>
      </c>
      <c r="AZ866" s="686">
        <f t="shared" si="805"/>
        <v>0.73290599535710532</v>
      </c>
      <c r="BA866" s="685">
        <f t="shared" si="806"/>
        <v>0</v>
      </c>
      <c r="BB866" s="276">
        <f t="shared" si="807"/>
        <v>0</v>
      </c>
      <c r="BC866" s="276">
        <f t="shared" si="808"/>
        <v>0</v>
      </c>
      <c r="BD866" s="276">
        <f t="shared" si="809"/>
        <v>0</v>
      </c>
      <c r="BE866" s="276">
        <f t="shared" si="810"/>
        <v>0</v>
      </c>
      <c r="BF866" s="686">
        <f t="shared" si="811"/>
        <v>0</v>
      </c>
      <c r="BG866" s="685" t="e">
        <f t="shared" si="812"/>
        <v>#DIV/0!</v>
      </c>
      <c r="BH866" s="276" t="e">
        <f t="shared" si="813"/>
        <v>#DIV/0!</v>
      </c>
      <c r="BI866" s="276" t="e">
        <f t="shared" si="814"/>
        <v>#DIV/0!</v>
      </c>
      <c r="BJ866" s="276" t="e">
        <f t="shared" si="815"/>
        <v>#DIV/0!</v>
      </c>
      <c r="BK866" s="276" t="e">
        <f t="shared" si="816"/>
        <v>#DIV/0!</v>
      </c>
      <c r="BL866" s="686" t="e">
        <f t="shared" si="817"/>
        <v>#DIV/0!</v>
      </c>
      <c r="BM866" s="239"/>
      <c r="BN866" s="965" t="e">
        <f t="shared" si="818"/>
        <v>#VALUE!</v>
      </c>
      <c r="BO866" s="878" t="e">
        <f t="shared" si="819"/>
        <v>#VALUE!</v>
      </c>
      <c r="BP866" s="878" t="e">
        <f t="shared" si="820"/>
        <v>#VALUE!</v>
      </c>
      <c r="BQ866" s="878" t="e">
        <f t="shared" si="821"/>
        <v>#VALUE!</v>
      </c>
      <c r="BR866" s="878" t="e">
        <f t="shared" si="822"/>
        <v>#VALUE!</v>
      </c>
      <c r="BS866" s="966" t="e">
        <f t="shared" si="823"/>
        <v>#VALUE!</v>
      </c>
    </row>
    <row r="867" spans="1:71">
      <c r="A867" s="284">
        <f t="shared" si="824"/>
        <v>799</v>
      </c>
      <c r="B867" s="285">
        <v>4.3523838539021469</v>
      </c>
      <c r="C867" s="285">
        <v>2.9912640059543314</v>
      </c>
      <c r="D867" s="285">
        <v>2.2839587981643374</v>
      </c>
      <c r="E867" s="285">
        <v>9.3848650184530271</v>
      </c>
      <c r="H867" s="685">
        <f t="shared" si="770"/>
        <v>3.2191500121330918</v>
      </c>
      <c r="I867" s="276">
        <f t="shared" si="771"/>
        <v>-4.1008676431911484</v>
      </c>
      <c r="J867" s="276">
        <f t="shared" si="772"/>
        <v>0.97074235152240163</v>
      </c>
      <c r="K867" s="276">
        <f t="shared" si="773"/>
        <v>-2.1400573134551166</v>
      </c>
      <c r="L867" s="276">
        <f t="shared" si="774"/>
        <v>-2.6362401389331138</v>
      </c>
      <c r="M867" s="276">
        <f t="shared" si="775"/>
        <v>1.6949493488201954</v>
      </c>
      <c r="N867" s="685">
        <f t="shared" si="776"/>
        <v>1.784092794982463</v>
      </c>
      <c r="O867" s="276">
        <f t="shared" si="777"/>
        <v>1.8858346726778465</v>
      </c>
      <c r="P867" s="276">
        <f t="shared" si="778"/>
        <v>1.0692273735219675</v>
      </c>
      <c r="Q867" s="276">
        <f t="shared" si="779"/>
        <v>1.4997832584066557</v>
      </c>
      <c r="R867" s="276">
        <f t="shared" si="780"/>
        <v>1.1710023266088594</v>
      </c>
      <c r="S867" s="686">
        <f t="shared" si="781"/>
        <v>1.3170371585009668</v>
      </c>
      <c r="T867" s="685">
        <f t="shared" si="782"/>
        <v>5.5623224884352638</v>
      </c>
      <c r="U867" s="276">
        <f t="shared" si="783"/>
        <v>4.6264796237628865</v>
      </c>
      <c r="V867" s="276">
        <f t="shared" si="784"/>
        <v>4.98870581885941</v>
      </c>
      <c r="W867" s="276">
        <f t="shared" si="785"/>
        <v>5.1218311168302009</v>
      </c>
      <c r="X867" s="276">
        <f t="shared" si="786"/>
        <v>5.1063875192193455</v>
      </c>
      <c r="Y867" s="686">
        <f t="shared" si="787"/>
        <v>5.3986166695821822</v>
      </c>
      <c r="Z867" s="685" t="e">
        <f t="shared" si="788"/>
        <v>#DIV/0!</v>
      </c>
      <c r="AA867" s="276" t="e">
        <f t="shared" si="789"/>
        <v>#DIV/0!</v>
      </c>
      <c r="AB867" s="276" t="e">
        <f t="shared" si="790"/>
        <v>#DIV/0!</v>
      </c>
      <c r="AC867" s="276" t="e">
        <f t="shared" si="791"/>
        <v>#DIV/0!</v>
      </c>
      <c r="AD867" s="276" t="e">
        <f t="shared" si="792"/>
        <v>#DIV/0!</v>
      </c>
      <c r="AE867" s="686" t="e">
        <f t="shared" si="793"/>
        <v>#DIV/0!</v>
      </c>
      <c r="AF867" s="239"/>
      <c r="AG867" s="965" t="e">
        <f t="shared" si="764"/>
        <v>#VALUE!</v>
      </c>
      <c r="AH867" s="878" t="e">
        <f t="shared" si="765"/>
        <v>#VALUE!</v>
      </c>
      <c r="AI867" s="878" t="e">
        <f t="shared" si="766"/>
        <v>#VALUE!</v>
      </c>
      <c r="AJ867" s="878" t="e">
        <f t="shared" si="767"/>
        <v>#VALUE!</v>
      </c>
      <c r="AK867" s="878" t="e">
        <f t="shared" si="768"/>
        <v>#VALUE!</v>
      </c>
      <c r="AL867" s="966" t="e">
        <f t="shared" si="769"/>
        <v>#VALUE!</v>
      </c>
      <c r="AM867" s="239"/>
      <c r="AO867" s="685">
        <f t="shared" si="794"/>
        <v>3.2191500121330918</v>
      </c>
      <c r="AP867" s="276">
        <f t="shared" si="795"/>
        <v>-4.1008676431911484</v>
      </c>
      <c r="AQ867" s="276">
        <f t="shared" si="796"/>
        <v>0.97074235152240163</v>
      </c>
      <c r="AR867" s="276">
        <f t="shared" si="797"/>
        <v>-2.1400573134551166</v>
      </c>
      <c r="AS867" s="276">
        <f t="shared" si="798"/>
        <v>-2.6362401389331138</v>
      </c>
      <c r="AT867" s="276">
        <f t="shared" si="799"/>
        <v>1.6949493488201954</v>
      </c>
      <c r="AU867" s="685">
        <f t="shared" si="800"/>
        <v>1.784092794982463</v>
      </c>
      <c r="AV867" s="276">
        <f t="shared" si="801"/>
        <v>1.8858346726778465</v>
      </c>
      <c r="AW867" s="276">
        <f t="shared" si="802"/>
        <v>1.0692273735219675</v>
      </c>
      <c r="AX867" s="276">
        <f t="shared" si="803"/>
        <v>1.4997832584066557</v>
      </c>
      <c r="AY867" s="276">
        <f t="shared" si="804"/>
        <v>1.1710023266088594</v>
      </c>
      <c r="AZ867" s="686">
        <f t="shared" si="805"/>
        <v>1.3170371585009668</v>
      </c>
      <c r="BA867" s="685">
        <f t="shared" si="806"/>
        <v>0</v>
      </c>
      <c r="BB867" s="276">
        <f t="shared" si="807"/>
        <v>0</v>
      </c>
      <c r="BC867" s="276">
        <f t="shared" si="808"/>
        <v>0</v>
      </c>
      <c r="BD867" s="276">
        <f t="shared" si="809"/>
        <v>0</v>
      </c>
      <c r="BE867" s="276">
        <f t="shared" si="810"/>
        <v>0</v>
      </c>
      <c r="BF867" s="686">
        <f t="shared" si="811"/>
        <v>0</v>
      </c>
      <c r="BG867" s="685" t="e">
        <f t="shared" si="812"/>
        <v>#DIV/0!</v>
      </c>
      <c r="BH867" s="276" t="e">
        <f t="shared" si="813"/>
        <v>#DIV/0!</v>
      </c>
      <c r="BI867" s="276" t="e">
        <f t="shared" si="814"/>
        <v>#DIV/0!</v>
      </c>
      <c r="BJ867" s="276" t="e">
        <f t="shared" si="815"/>
        <v>#DIV/0!</v>
      </c>
      <c r="BK867" s="276" t="e">
        <f t="shared" si="816"/>
        <v>#DIV/0!</v>
      </c>
      <c r="BL867" s="686" t="e">
        <f t="shared" si="817"/>
        <v>#DIV/0!</v>
      </c>
      <c r="BM867" s="239"/>
      <c r="BN867" s="965" t="e">
        <f t="shared" si="818"/>
        <v>#VALUE!</v>
      </c>
      <c r="BO867" s="878" t="e">
        <f t="shared" si="819"/>
        <v>#VALUE!</v>
      </c>
      <c r="BP867" s="878" t="e">
        <f t="shared" si="820"/>
        <v>#VALUE!</v>
      </c>
      <c r="BQ867" s="878" t="e">
        <f t="shared" si="821"/>
        <v>#VALUE!</v>
      </c>
      <c r="BR867" s="878" t="e">
        <f t="shared" si="822"/>
        <v>#VALUE!</v>
      </c>
      <c r="BS867" s="966" t="e">
        <f t="shared" si="823"/>
        <v>#VALUE!</v>
      </c>
    </row>
    <row r="868" spans="1:71">
      <c r="A868" s="284">
        <f t="shared" si="824"/>
        <v>800</v>
      </c>
      <c r="B868" s="285">
        <v>3.1121197549007862</v>
      </c>
      <c r="C868" s="285">
        <v>2.0151882067152362</v>
      </c>
      <c r="D868" s="285">
        <v>2.4366270906085217</v>
      </c>
      <c r="E868" s="285">
        <v>-19.971825975958271</v>
      </c>
      <c r="H868" s="685">
        <f t="shared" si="770"/>
        <v>1.9788859131317313</v>
      </c>
      <c r="I868" s="276">
        <f t="shared" si="771"/>
        <v>-3.1207063976895468</v>
      </c>
      <c r="J868" s="276">
        <f t="shared" si="772"/>
        <v>0.81381109696420961</v>
      </c>
      <c r="K868" s="276">
        <f t="shared" si="773"/>
        <v>-1.2428645196036918</v>
      </c>
      <c r="L868" s="276">
        <f t="shared" si="774"/>
        <v>-0.61427180231945955</v>
      </c>
      <c r="M868" s="276">
        <f t="shared" si="775"/>
        <v>0.18865411557559053</v>
      </c>
      <c r="N868" s="685">
        <f t="shared" si="776"/>
        <v>0.80801699574336783</v>
      </c>
      <c r="O868" s="276">
        <f t="shared" si="777"/>
        <v>1.2160172920123415</v>
      </c>
      <c r="P868" s="276">
        <f t="shared" si="778"/>
        <v>1.6334293369336483</v>
      </c>
      <c r="Q868" s="276">
        <f t="shared" si="779"/>
        <v>1.5768182750752386</v>
      </c>
      <c r="R868" s="276">
        <f t="shared" si="780"/>
        <v>1.5095564749135415</v>
      </c>
      <c r="S868" s="686">
        <f t="shared" si="781"/>
        <v>1.194645536340617</v>
      </c>
      <c r="T868" s="685">
        <f t="shared" si="782"/>
        <v>5.7149907808794476</v>
      </c>
      <c r="U868" s="276">
        <f t="shared" si="783"/>
        <v>4.0522890733979064</v>
      </c>
      <c r="V868" s="276">
        <f t="shared" si="784"/>
        <v>2.6941336860013152</v>
      </c>
      <c r="W868" s="276">
        <f t="shared" si="785"/>
        <v>3.4884925404088687</v>
      </c>
      <c r="X868" s="276">
        <f t="shared" si="786"/>
        <v>3.4622044480014376</v>
      </c>
      <c r="Y868" s="686">
        <f t="shared" si="787"/>
        <v>6.5365793159061329</v>
      </c>
      <c r="Z868" s="685" t="e">
        <f t="shared" si="788"/>
        <v>#DIV/0!</v>
      </c>
      <c r="AA868" s="276" t="e">
        <f t="shared" si="789"/>
        <v>#DIV/0!</v>
      </c>
      <c r="AB868" s="276" t="e">
        <f t="shared" si="790"/>
        <v>#DIV/0!</v>
      </c>
      <c r="AC868" s="276" t="e">
        <f t="shared" si="791"/>
        <v>#DIV/0!</v>
      </c>
      <c r="AD868" s="276" t="e">
        <f t="shared" si="792"/>
        <v>#DIV/0!</v>
      </c>
      <c r="AE868" s="686" t="e">
        <f t="shared" si="793"/>
        <v>#DIV/0!</v>
      </c>
      <c r="AF868" s="239"/>
      <c r="AG868" s="965" t="e">
        <f t="shared" si="764"/>
        <v>#VALUE!</v>
      </c>
      <c r="AH868" s="878" t="e">
        <f t="shared" si="765"/>
        <v>#VALUE!</v>
      </c>
      <c r="AI868" s="878" t="e">
        <f t="shared" si="766"/>
        <v>#VALUE!</v>
      </c>
      <c r="AJ868" s="878" t="e">
        <f t="shared" si="767"/>
        <v>#VALUE!</v>
      </c>
      <c r="AK868" s="878" t="e">
        <f t="shared" si="768"/>
        <v>#VALUE!</v>
      </c>
      <c r="AL868" s="966" t="e">
        <f t="shared" si="769"/>
        <v>#VALUE!</v>
      </c>
      <c r="AM868" s="239"/>
      <c r="AO868" s="685">
        <f t="shared" si="794"/>
        <v>1.9788859131317313</v>
      </c>
      <c r="AP868" s="276">
        <f t="shared" si="795"/>
        <v>-3.1207063976895468</v>
      </c>
      <c r="AQ868" s="276">
        <f t="shared" si="796"/>
        <v>0.81381109696420961</v>
      </c>
      <c r="AR868" s="276">
        <f t="shared" si="797"/>
        <v>-1.2428645196036918</v>
      </c>
      <c r="AS868" s="276">
        <f t="shared" si="798"/>
        <v>-0.61427180231945955</v>
      </c>
      <c r="AT868" s="276">
        <f t="shared" si="799"/>
        <v>0.18865411557559053</v>
      </c>
      <c r="AU868" s="685">
        <f t="shared" si="800"/>
        <v>0.80801699574336783</v>
      </c>
      <c r="AV868" s="276">
        <f t="shared" si="801"/>
        <v>1.2160172920123415</v>
      </c>
      <c r="AW868" s="276">
        <f t="shared" si="802"/>
        <v>1.6334293369336483</v>
      </c>
      <c r="AX868" s="276">
        <f t="shared" si="803"/>
        <v>1.5768182750752386</v>
      </c>
      <c r="AY868" s="276">
        <f t="shared" si="804"/>
        <v>1.5095564749135415</v>
      </c>
      <c r="AZ868" s="686">
        <f t="shared" si="805"/>
        <v>1.194645536340617</v>
      </c>
      <c r="BA868" s="685">
        <f t="shared" si="806"/>
        <v>0</v>
      </c>
      <c r="BB868" s="276">
        <f t="shared" si="807"/>
        <v>0</v>
      </c>
      <c r="BC868" s="276">
        <f t="shared" si="808"/>
        <v>0</v>
      </c>
      <c r="BD868" s="276">
        <f t="shared" si="809"/>
        <v>0</v>
      </c>
      <c r="BE868" s="276">
        <f t="shared" si="810"/>
        <v>0</v>
      </c>
      <c r="BF868" s="686">
        <f t="shared" si="811"/>
        <v>0</v>
      </c>
      <c r="BG868" s="685" t="e">
        <f t="shared" si="812"/>
        <v>#DIV/0!</v>
      </c>
      <c r="BH868" s="276" t="e">
        <f t="shared" si="813"/>
        <v>#DIV/0!</v>
      </c>
      <c r="BI868" s="276" t="e">
        <f t="shared" si="814"/>
        <v>#DIV/0!</v>
      </c>
      <c r="BJ868" s="276" t="e">
        <f t="shared" si="815"/>
        <v>#DIV/0!</v>
      </c>
      <c r="BK868" s="276" t="e">
        <f t="shared" si="816"/>
        <v>#DIV/0!</v>
      </c>
      <c r="BL868" s="686" t="e">
        <f t="shared" si="817"/>
        <v>#DIV/0!</v>
      </c>
      <c r="BM868" s="239"/>
      <c r="BN868" s="965" t="e">
        <f t="shared" si="818"/>
        <v>#VALUE!</v>
      </c>
      <c r="BO868" s="878" t="e">
        <f t="shared" si="819"/>
        <v>#VALUE!</v>
      </c>
      <c r="BP868" s="878" t="e">
        <f t="shared" si="820"/>
        <v>#VALUE!</v>
      </c>
      <c r="BQ868" s="878" t="e">
        <f t="shared" si="821"/>
        <v>#VALUE!</v>
      </c>
      <c r="BR868" s="878" t="e">
        <f t="shared" si="822"/>
        <v>#VALUE!</v>
      </c>
      <c r="BS868" s="966" t="e">
        <f t="shared" si="823"/>
        <v>#VALUE!</v>
      </c>
    </row>
    <row r="869" spans="1:71">
      <c r="A869" s="284">
        <f t="shared" si="824"/>
        <v>801</v>
      </c>
      <c r="B869" s="285">
        <v>-6.0347001218688243</v>
      </c>
      <c r="C869" s="285">
        <v>2.681182430925281</v>
      </c>
      <c r="D869" s="285">
        <v>-0.41960582207925645</v>
      </c>
      <c r="E869" s="285">
        <v>9.9940141215356171</v>
      </c>
      <c r="H869" s="685">
        <f t="shared" si="770"/>
        <v>-7.1679339636378794</v>
      </c>
      <c r="I869" s="276">
        <f t="shared" si="771"/>
        <v>-2.0545564762144228</v>
      </c>
      <c r="J869" s="276">
        <f t="shared" si="772"/>
        <v>-1.7376739400676944</v>
      </c>
      <c r="K869" s="276">
        <f t="shared" si="773"/>
        <v>-1.5177185799178554</v>
      </c>
      <c r="L869" s="276">
        <f t="shared" si="774"/>
        <v>-1.2162510195680074</v>
      </c>
      <c r="M869" s="276">
        <f t="shared" si="775"/>
        <v>1.2097461665263978</v>
      </c>
      <c r="N869" s="685">
        <f t="shared" si="776"/>
        <v>1.4740112199534126</v>
      </c>
      <c r="O869" s="276">
        <f t="shared" si="777"/>
        <v>1.4707433889156871</v>
      </c>
      <c r="P869" s="276">
        <f t="shared" si="778"/>
        <v>1.6907295160365454</v>
      </c>
      <c r="Q869" s="276">
        <f t="shared" si="779"/>
        <v>1.204261736778377</v>
      </c>
      <c r="R869" s="276">
        <f t="shared" si="780"/>
        <v>0.63704863365868003</v>
      </c>
      <c r="S869" s="686">
        <f t="shared" si="781"/>
        <v>1.5066794443173996</v>
      </c>
      <c r="T869" s="685">
        <f t="shared" si="782"/>
        <v>2.8587578681916694</v>
      </c>
      <c r="U869" s="276">
        <f t="shared" si="783"/>
        <v>5.0584128328791786</v>
      </c>
      <c r="V869" s="276">
        <f t="shared" si="784"/>
        <v>2.2370126290527774</v>
      </c>
      <c r="W869" s="276">
        <f t="shared" si="785"/>
        <v>5.2475394733377225</v>
      </c>
      <c r="X869" s="276">
        <f t="shared" si="786"/>
        <v>4.2599086992268544</v>
      </c>
      <c r="Y869" s="686">
        <f t="shared" si="787"/>
        <v>6.4561981866503668</v>
      </c>
      <c r="Z869" s="685" t="e">
        <f t="shared" si="788"/>
        <v>#DIV/0!</v>
      </c>
      <c r="AA869" s="276" t="e">
        <f t="shared" si="789"/>
        <v>#DIV/0!</v>
      </c>
      <c r="AB869" s="276" t="e">
        <f t="shared" si="790"/>
        <v>#DIV/0!</v>
      </c>
      <c r="AC869" s="276" t="e">
        <f t="shared" si="791"/>
        <v>#DIV/0!</v>
      </c>
      <c r="AD869" s="276" t="e">
        <f t="shared" si="792"/>
        <v>#DIV/0!</v>
      </c>
      <c r="AE869" s="686" t="e">
        <f t="shared" si="793"/>
        <v>#DIV/0!</v>
      </c>
      <c r="AF869" s="239"/>
      <c r="AG869" s="965" t="e">
        <f t="shared" si="764"/>
        <v>#VALUE!</v>
      </c>
      <c r="AH869" s="878" t="e">
        <f t="shared" si="765"/>
        <v>#VALUE!</v>
      </c>
      <c r="AI869" s="878" t="e">
        <f t="shared" si="766"/>
        <v>#VALUE!</v>
      </c>
      <c r="AJ869" s="878" t="e">
        <f t="shared" si="767"/>
        <v>#VALUE!</v>
      </c>
      <c r="AK869" s="878" t="e">
        <f t="shared" si="768"/>
        <v>#VALUE!</v>
      </c>
      <c r="AL869" s="966" t="e">
        <f t="shared" si="769"/>
        <v>#VALUE!</v>
      </c>
      <c r="AM869" s="239"/>
      <c r="AO869" s="685">
        <f t="shared" si="794"/>
        <v>-7.1679339636378794</v>
      </c>
      <c r="AP869" s="276">
        <f t="shared" si="795"/>
        <v>-2.0545564762144228</v>
      </c>
      <c r="AQ869" s="276">
        <f t="shared" si="796"/>
        <v>-1.7376739400676944</v>
      </c>
      <c r="AR869" s="276">
        <f t="shared" si="797"/>
        <v>-1.5177185799178554</v>
      </c>
      <c r="AS869" s="276">
        <f t="shared" si="798"/>
        <v>-1.2162510195680074</v>
      </c>
      <c r="AT869" s="276">
        <f t="shared" si="799"/>
        <v>1.2097461665263978</v>
      </c>
      <c r="AU869" s="685">
        <f t="shared" si="800"/>
        <v>1.4740112199534126</v>
      </c>
      <c r="AV869" s="276">
        <f t="shared" si="801"/>
        <v>1.4707433889156871</v>
      </c>
      <c r="AW869" s="276">
        <f t="shared" si="802"/>
        <v>1.6907295160365454</v>
      </c>
      <c r="AX869" s="276">
        <f t="shared" si="803"/>
        <v>1.204261736778377</v>
      </c>
      <c r="AY869" s="276">
        <f t="shared" si="804"/>
        <v>0.63704863365868003</v>
      </c>
      <c r="AZ869" s="686">
        <f t="shared" si="805"/>
        <v>1.5066794443173996</v>
      </c>
      <c r="BA869" s="685">
        <f t="shared" si="806"/>
        <v>0</v>
      </c>
      <c r="BB869" s="276">
        <f t="shared" si="807"/>
        <v>0</v>
      </c>
      <c r="BC869" s="276">
        <f t="shared" si="808"/>
        <v>0</v>
      </c>
      <c r="BD869" s="276">
        <f t="shared" si="809"/>
        <v>0</v>
      </c>
      <c r="BE869" s="276">
        <f t="shared" si="810"/>
        <v>0</v>
      </c>
      <c r="BF869" s="686">
        <f t="shared" si="811"/>
        <v>0</v>
      </c>
      <c r="BG869" s="685" t="e">
        <f t="shared" si="812"/>
        <v>#DIV/0!</v>
      </c>
      <c r="BH869" s="276" t="e">
        <f t="shared" si="813"/>
        <v>#DIV/0!</v>
      </c>
      <c r="BI869" s="276" t="e">
        <f t="shared" si="814"/>
        <v>#DIV/0!</v>
      </c>
      <c r="BJ869" s="276" t="e">
        <f t="shared" si="815"/>
        <v>#DIV/0!</v>
      </c>
      <c r="BK869" s="276" t="e">
        <f t="shared" si="816"/>
        <v>#DIV/0!</v>
      </c>
      <c r="BL869" s="686" t="e">
        <f t="shared" si="817"/>
        <v>#DIV/0!</v>
      </c>
      <c r="BM869" s="239"/>
      <c r="BN869" s="965" t="e">
        <f t="shared" si="818"/>
        <v>#VALUE!</v>
      </c>
      <c r="BO869" s="878" t="e">
        <f t="shared" si="819"/>
        <v>#VALUE!</v>
      </c>
      <c r="BP869" s="878" t="e">
        <f t="shared" si="820"/>
        <v>#VALUE!</v>
      </c>
      <c r="BQ869" s="878" t="e">
        <f t="shared" si="821"/>
        <v>#VALUE!</v>
      </c>
      <c r="BR869" s="878" t="e">
        <f t="shared" si="822"/>
        <v>#VALUE!</v>
      </c>
      <c r="BS869" s="966" t="e">
        <f t="shared" si="823"/>
        <v>#VALUE!</v>
      </c>
    </row>
    <row r="870" spans="1:71">
      <c r="A870" s="284">
        <f t="shared" si="824"/>
        <v>802</v>
      </c>
      <c r="B870" s="285">
        <v>-2.8462366821880862</v>
      </c>
      <c r="C870" s="285">
        <v>1.5991934901732638</v>
      </c>
      <c r="D870" s="285">
        <v>1.7991655645093025</v>
      </c>
      <c r="E870" s="285">
        <v>-15.753801282797472</v>
      </c>
      <c r="H870" s="685">
        <f t="shared" si="770"/>
        <v>-3.9794705239571408</v>
      </c>
      <c r="I870" s="276">
        <f t="shared" si="771"/>
        <v>-2.9292262222963186</v>
      </c>
      <c r="J870" s="276">
        <f t="shared" si="772"/>
        <v>-4.8628468721735194</v>
      </c>
      <c r="K870" s="276">
        <f t="shared" si="773"/>
        <v>-2.0612285573789411</v>
      </c>
      <c r="L870" s="276">
        <f t="shared" si="774"/>
        <v>1.5422661450188955</v>
      </c>
      <c r="M870" s="276">
        <f t="shared" si="775"/>
        <v>-1.1371335321914822</v>
      </c>
      <c r="N870" s="685">
        <f t="shared" si="776"/>
        <v>0.39202227920139543</v>
      </c>
      <c r="O870" s="276">
        <f t="shared" si="777"/>
        <v>1.0706530166412265</v>
      </c>
      <c r="P870" s="276">
        <f t="shared" si="778"/>
        <v>1.2678426787724824</v>
      </c>
      <c r="Q870" s="276">
        <f t="shared" si="779"/>
        <v>1.5153979473366925</v>
      </c>
      <c r="R870" s="276">
        <f t="shared" si="780"/>
        <v>1.5402580790632319</v>
      </c>
      <c r="S870" s="686">
        <f t="shared" si="781"/>
        <v>1.6183989470334292</v>
      </c>
      <c r="T870" s="685">
        <f t="shared" si="782"/>
        <v>5.0775292547802282</v>
      </c>
      <c r="U870" s="276">
        <f t="shared" si="783"/>
        <v>4.7602113194485245</v>
      </c>
      <c r="V870" s="276">
        <f t="shared" si="784"/>
        <v>4.0991243685678587</v>
      </c>
      <c r="W870" s="276">
        <f t="shared" si="785"/>
        <v>4.0689745096817642</v>
      </c>
      <c r="X870" s="276">
        <f t="shared" si="786"/>
        <v>4.7182392266387572</v>
      </c>
      <c r="Y870" s="686">
        <f t="shared" si="787"/>
        <v>5.5152727739901284</v>
      </c>
      <c r="Z870" s="685" t="e">
        <f t="shared" si="788"/>
        <v>#DIV/0!</v>
      </c>
      <c r="AA870" s="276" t="e">
        <f t="shared" si="789"/>
        <v>#DIV/0!</v>
      </c>
      <c r="AB870" s="276" t="e">
        <f t="shared" si="790"/>
        <v>#DIV/0!</v>
      </c>
      <c r="AC870" s="276" t="e">
        <f t="shared" si="791"/>
        <v>#DIV/0!</v>
      </c>
      <c r="AD870" s="276" t="e">
        <f t="shared" si="792"/>
        <v>#DIV/0!</v>
      </c>
      <c r="AE870" s="686" t="e">
        <f t="shared" si="793"/>
        <v>#DIV/0!</v>
      </c>
      <c r="AF870" s="239"/>
      <c r="AG870" s="965" t="e">
        <f t="shared" si="764"/>
        <v>#VALUE!</v>
      </c>
      <c r="AH870" s="878" t="e">
        <f t="shared" si="765"/>
        <v>#VALUE!</v>
      </c>
      <c r="AI870" s="878" t="e">
        <f t="shared" si="766"/>
        <v>#VALUE!</v>
      </c>
      <c r="AJ870" s="878" t="e">
        <f t="shared" si="767"/>
        <v>#VALUE!</v>
      </c>
      <c r="AK870" s="878" t="e">
        <f t="shared" si="768"/>
        <v>#VALUE!</v>
      </c>
      <c r="AL870" s="966" t="e">
        <f t="shared" si="769"/>
        <v>#VALUE!</v>
      </c>
      <c r="AM870" s="239"/>
      <c r="AO870" s="685">
        <f t="shared" si="794"/>
        <v>-3.9794705239571408</v>
      </c>
      <c r="AP870" s="276">
        <f t="shared" si="795"/>
        <v>-2.9292262222963186</v>
      </c>
      <c r="AQ870" s="276">
        <f t="shared" si="796"/>
        <v>-4.8628468721735194</v>
      </c>
      <c r="AR870" s="276">
        <f t="shared" si="797"/>
        <v>-2.0612285573789411</v>
      </c>
      <c r="AS870" s="276">
        <f t="shared" si="798"/>
        <v>1.5422661450188955</v>
      </c>
      <c r="AT870" s="276">
        <f t="shared" si="799"/>
        <v>-1.1371335321914822</v>
      </c>
      <c r="AU870" s="685">
        <f t="shared" si="800"/>
        <v>0.39202227920139543</v>
      </c>
      <c r="AV870" s="276">
        <f t="shared" si="801"/>
        <v>1.0706530166412265</v>
      </c>
      <c r="AW870" s="276">
        <f t="shared" si="802"/>
        <v>1.2678426787724824</v>
      </c>
      <c r="AX870" s="276">
        <f t="shared" si="803"/>
        <v>1.5153979473366925</v>
      </c>
      <c r="AY870" s="276">
        <f t="shared" si="804"/>
        <v>1.5402580790632319</v>
      </c>
      <c r="AZ870" s="686">
        <f t="shared" si="805"/>
        <v>1.6183989470334292</v>
      </c>
      <c r="BA870" s="685">
        <f t="shared" si="806"/>
        <v>0</v>
      </c>
      <c r="BB870" s="276">
        <f t="shared" si="807"/>
        <v>0</v>
      </c>
      <c r="BC870" s="276">
        <f t="shared" si="808"/>
        <v>0</v>
      </c>
      <c r="BD870" s="276">
        <f t="shared" si="809"/>
        <v>0</v>
      </c>
      <c r="BE870" s="276">
        <f t="shared" si="810"/>
        <v>0</v>
      </c>
      <c r="BF870" s="686">
        <f t="shared" si="811"/>
        <v>0</v>
      </c>
      <c r="BG870" s="685" t="e">
        <f t="shared" si="812"/>
        <v>#DIV/0!</v>
      </c>
      <c r="BH870" s="276" t="e">
        <f t="shared" si="813"/>
        <v>#DIV/0!</v>
      </c>
      <c r="BI870" s="276" t="e">
        <f t="shared" si="814"/>
        <v>#DIV/0!</v>
      </c>
      <c r="BJ870" s="276" t="e">
        <f t="shared" si="815"/>
        <v>#DIV/0!</v>
      </c>
      <c r="BK870" s="276" t="e">
        <f t="shared" si="816"/>
        <v>#DIV/0!</v>
      </c>
      <c r="BL870" s="686" t="e">
        <f t="shared" si="817"/>
        <v>#DIV/0!</v>
      </c>
      <c r="BM870" s="239"/>
      <c r="BN870" s="965" t="e">
        <f t="shared" si="818"/>
        <v>#VALUE!</v>
      </c>
      <c r="BO870" s="878" t="e">
        <f t="shared" si="819"/>
        <v>#VALUE!</v>
      </c>
      <c r="BP870" s="878" t="e">
        <f t="shared" si="820"/>
        <v>#VALUE!</v>
      </c>
      <c r="BQ870" s="878" t="e">
        <f t="shared" si="821"/>
        <v>#VALUE!</v>
      </c>
      <c r="BR870" s="878" t="e">
        <f t="shared" si="822"/>
        <v>#VALUE!</v>
      </c>
      <c r="BS870" s="966" t="e">
        <f t="shared" si="823"/>
        <v>#VALUE!</v>
      </c>
    </row>
    <row r="871" spans="1:71">
      <c r="A871" s="284">
        <f t="shared" si="824"/>
        <v>803</v>
      </c>
      <c r="B871" s="285">
        <v>1.5762799810839045</v>
      </c>
      <c r="C871" s="285">
        <v>2.9966067999468669</v>
      </c>
      <c r="D871" s="285">
        <v>3.1541037258763787</v>
      </c>
      <c r="E871" s="285">
        <v>14.461961513896352</v>
      </c>
      <c r="H871" s="685">
        <f t="shared" si="770"/>
        <v>0.44304613931484971</v>
      </c>
      <c r="I871" s="276">
        <f t="shared" si="771"/>
        <v>-3.5485956399461696</v>
      </c>
      <c r="J871" s="276">
        <f t="shared" si="772"/>
        <v>0.5574810263783514</v>
      </c>
      <c r="K871" s="276">
        <f t="shared" si="773"/>
        <v>-3.4471596121047048</v>
      </c>
      <c r="L871" s="276">
        <f t="shared" si="774"/>
        <v>-0.20064618248877675</v>
      </c>
      <c r="M871" s="276">
        <f t="shared" si="775"/>
        <v>-4.0899760599467898</v>
      </c>
      <c r="N871" s="685">
        <f t="shared" si="776"/>
        <v>1.7894355889749984</v>
      </c>
      <c r="O871" s="276">
        <f t="shared" si="777"/>
        <v>0.66552198502711257</v>
      </c>
      <c r="P871" s="276">
        <f t="shared" si="778"/>
        <v>1.0149618352434235</v>
      </c>
      <c r="Q871" s="276">
        <f t="shared" si="779"/>
        <v>1.2800913503448534</v>
      </c>
      <c r="R871" s="276">
        <f t="shared" si="780"/>
        <v>1.1125664675101581</v>
      </c>
      <c r="S871" s="686">
        <f t="shared" si="781"/>
        <v>1.3837211558815017</v>
      </c>
      <c r="T871" s="685">
        <f t="shared" si="782"/>
        <v>6.4324674161473041</v>
      </c>
      <c r="U871" s="276">
        <f t="shared" si="783"/>
        <v>6.6635647190566125</v>
      </c>
      <c r="V871" s="276">
        <f t="shared" si="784"/>
        <v>5.6267727075766949</v>
      </c>
      <c r="W871" s="276">
        <f t="shared" si="785"/>
        <v>3.1339121615703798</v>
      </c>
      <c r="X871" s="276">
        <f t="shared" si="786"/>
        <v>3.4759396725415854</v>
      </c>
      <c r="Y871" s="686">
        <f t="shared" si="787"/>
        <v>3.5483803097903137</v>
      </c>
      <c r="Z871" s="685" t="e">
        <f t="shared" si="788"/>
        <v>#DIV/0!</v>
      </c>
      <c r="AA871" s="276" t="e">
        <f t="shared" si="789"/>
        <v>#DIV/0!</v>
      </c>
      <c r="AB871" s="276" t="e">
        <f t="shared" si="790"/>
        <v>#DIV/0!</v>
      </c>
      <c r="AC871" s="276" t="e">
        <f t="shared" si="791"/>
        <v>#DIV/0!</v>
      </c>
      <c r="AD871" s="276" t="e">
        <f t="shared" si="792"/>
        <v>#DIV/0!</v>
      </c>
      <c r="AE871" s="686" t="e">
        <f t="shared" si="793"/>
        <v>#DIV/0!</v>
      </c>
      <c r="AF871" s="239"/>
      <c r="AG871" s="965" t="e">
        <f t="shared" si="764"/>
        <v>#VALUE!</v>
      </c>
      <c r="AH871" s="878" t="e">
        <f t="shared" si="765"/>
        <v>#VALUE!</v>
      </c>
      <c r="AI871" s="878" t="e">
        <f t="shared" si="766"/>
        <v>#VALUE!</v>
      </c>
      <c r="AJ871" s="878" t="e">
        <f t="shared" si="767"/>
        <v>#VALUE!</v>
      </c>
      <c r="AK871" s="878" t="e">
        <f t="shared" si="768"/>
        <v>#VALUE!</v>
      </c>
      <c r="AL871" s="966" t="e">
        <f t="shared" si="769"/>
        <v>#VALUE!</v>
      </c>
      <c r="AM871" s="239"/>
      <c r="AO871" s="685">
        <f t="shared" si="794"/>
        <v>0.44304613931484971</v>
      </c>
      <c r="AP871" s="276">
        <f t="shared" si="795"/>
        <v>-3.5485956399461696</v>
      </c>
      <c r="AQ871" s="276">
        <f t="shared" si="796"/>
        <v>0.5574810263783514</v>
      </c>
      <c r="AR871" s="276">
        <f t="shared" si="797"/>
        <v>-3.4471596121047048</v>
      </c>
      <c r="AS871" s="276">
        <f t="shared" si="798"/>
        <v>-0.20064618248877675</v>
      </c>
      <c r="AT871" s="276">
        <f t="shared" si="799"/>
        <v>-4.0899760599467898</v>
      </c>
      <c r="AU871" s="685">
        <f t="shared" si="800"/>
        <v>1.7894355889749984</v>
      </c>
      <c r="AV871" s="276">
        <f t="shared" si="801"/>
        <v>0.66552198502711257</v>
      </c>
      <c r="AW871" s="276">
        <f t="shared" si="802"/>
        <v>1.0149618352434235</v>
      </c>
      <c r="AX871" s="276">
        <f t="shared" si="803"/>
        <v>1.2800913503448534</v>
      </c>
      <c r="AY871" s="276">
        <f t="shared" si="804"/>
        <v>1.1125664675101581</v>
      </c>
      <c r="AZ871" s="686">
        <f t="shared" si="805"/>
        <v>1.3837211558815017</v>
      </c>
      <c r="BA871" s="685">
        <f t="shared" si="806"/>
        <v>0</v>
      </c>
      <c r="BB871" s="276">
        <f t="shared" si="807"/>
        <v>0</v>
      </c>
      <c r="BC871" s="276">
        <f t="shared" si="808"/>
        <v>0</v>
      </c>
      <c r="BD871" s="276">
        <f t="shared" si="809"/>
        <v>0</v>
      </c>
      <c r="BE871" s="276">
        <f t="shared" si="810"/>
        <v>0</v>
      </c>
      <c r="BF871" s="686">
        <f t="shared" si="811"/>
        <v>0</v>
      </c>
      <c r="BG871" s="685" t="e">
        <f t="shared" si="812"/>
        <v>#DIV/0!</v>
      </c>
      <c r="BH871" s="276" t="e">
        <f t="shared" si="813"/>
        <v>#DIV/0!</v>
      </c>
      <c r="BI871" s="276" t="e">
        <f t="shared" si="814"/>
        <v>#DIV/0!</v>
      </c>
      <c r="BJ871" s="276" t="e">
        <f t="shared" si="815"/>
        <v>#DIV/0!</v>
      </c>
      <c r="BK871" s="276" t="e">
        <f t="shared" si="816"/>
        <v>#DIV/0!</v>
      </c>
      <c r="BL871" s="686" t="e">
        <f t="shared" si="817"/>
        <v>#DIV/0!</v>
      </c>
      <c r="BM871" s="239"/>
      <c r="BN871" s="965" t="e">
        <f t="shared" si="818"/>
        <v>#VALUE!</v>
      </c>
      <c r="BO871" s="878" t="e">
        <f t="shared" si="819"/>
        <v>#VALUE!</v>
      </c>
      <c r="BP871" s="878" t="e">
        <f t="shared" si="820"/>
        <v>#VALUE!</v>
      </c>
      <c r="BQ871" s="878" t="e">
        <f t="shared" si="821"/>
        <v>#VALUE!</v>
      </c>
      <c r="BR871" s="878" t="e">
        <f t="shared" si="822"/>
        <v>#VALUE!</v>
      </c>
      <c r="BS871" s="966" t="e">
        <f t="shared" si="823"/>
        <v>#VALUE!</v>
      </c>
    </row>
    <row r="872" spans="1:71">
      <c r="A872" s="284">
        <f t="shared" si="824"/>
        <v>804</v>
      </c>
      <c r="B872" s="285">
        <v>2.3583725831302416</v>
      </c>
      <c r="C872" s="285">
        <v>2.9538110192544673</v>
      </c>
      <c r="D872" s="285">
        <v>2.1095638843084741</v>
      </c>
      <c r="E872" s="285">
        <v>0.46920392687612456</v>
      </c>
      <c r="H872" s="685">
        <f t="shared" si="770"/>
        <v>1.2251387413611867</v>
      </c>
      <c r="I872" s="276">
        <f t="shared" si="771"/>
        <v>-0.54602425394591203</v>
      </c>
      <c r="J872" s="276">
        <f t="shared" si="772"/>
        <v>-4.6861072081111175</v>
      </c>
      <c r="K872" s="276">
        <f t="shared" si="773"/>
        <v>-1.3580465868681402</v>
      </c>
      <c r="L872" s="276">
        <f t="shared" si="774"/>
        <v>-1.2942046681145571</v>
      </c>
      <c r="M872" s="276">
        <f t="shared" si="775"/>
        <v>-2.5885466849071119</v>
      </c>
      <c r="N872" s="685">
        <f t="shared" si="776"/>
        <v>1.7466398082825989</v>
      </c>
      <c r="O872" s="276">
        <f t="shared" si="777"/>
        <v>0.97180147315035792</v>
      </c>
      <c r="P872" s="276">
        <f t="shared" si="778"/>
        <v>0.8893015964438058</v>
      </c>
      <c r="Q872" s="276">
        <f t="shared" si="779"/>
        <v>2.0004457640159332</v>
      </c>
      <c r="R872" s="276">
        <f t="shared" si="780"/>
        <v>1.6041359344841533</v>
      </c>
      <c r="S872" s="686">
        <f t="shared" si="781"/>
        <v>1.1972696538331473</v>
      </c>
      <c r="T872" s="685">
        <f t="shared" si="782"/>
        <v>5.3879275745794004</v>
      </c>
      <c r="U872" s="276">
        <f t="shared" si="783"/>
        <v>3.2796323506199183</v>
      </c>
      <c r="V872" s="276">
        <f t="shared" si="784"/>
        <v>3.5233912389382422</v>
      </c>
      <c r="W872" s="276">
        <f t="shared" si="785"/>
        <v>2.5211756926684874</v>
      </c>
      <c r="X872" s="276">
        <f t="shared" si="786"/>
        <v>2.3109619946164095</v>
      </c>
      <c r="Y872" s="686">
        <f t="shared" si="787"/>
        <v>2.395235525145015</v>
      </c>
      <c r="Z872" s="685" t="e">
        <f t="shared" si="788"/>
        <v>#DIV/0!</v>
      </c>
      <c r="AA872" s="276" t="e">
        <f t="shared" si="789"/>
        <v>#DIV/0!</v>
      </c>
      <c r="AB872" s="276" t="e">
        <f t="shared" si="790"/>
        <v>#DIV/0!</v>
      </c>
      <c r="AC872" s="276" t="e">
        <f t="shared" si="791"/>
        <v>#DIV/0!</v>
      </c>
      <c r="AD872" s="276" t="e">
        <f t="shared" si="792"/>
        <v>#DIV/0!</v>
      </c>
      <c r="AE872" s="686" t="e">
        <f t="shared" si="793"/>
        <v>#DIV/0!</v>
      </c>
      <c r="AF872" s="239"/>
      <c r="AG872" s="965" t="e">
        <f t="shared" si="764"/>
        <v>#VALUE!</v>
      </c>
      <c r="AH872" s="878" t="e">
        <f t="shared" si="765"/>
        <v>#VALUE!</v>
      </c>
      <c r="AI872" s="878" t="e">
        <f t="shared" si="766"/>
        <v>#VALUE!</v>
      </c>
      <c r="AJ872" s="878" t="e">
        <f t="shared" si="767"/>
        <v>#VALUE!</v>
      </c>
      <c r="AK872" s="878" t="e">
        <f t="shared" si="768"/>
        <v>#VALUE!</v>
      </c>
      <c r="AL872" s="966" t="e">
        <f t="shared" si="769"/>
        <v>#VALUE!</v>
      </c>
      <c r="AM872" s="239"/>
      <c r="AO872" s="685">
        <f t="shared" si="794"/>
        <v>1.2251387413611867</v>
      </c>
      <c r="AP872" s="276">
        <f t="shared" si="795"/>
        <v>-0.54602425394591203</v>
      </c>
      <c r="AQ872" s="276">
        <f t="shared" si="796"/>
        <v>-4.6861072081111175</v>
      </c>
      <c r="AR872" s="276">
        <f t="shared" si="797"/>
        <v>-1.3580465868681402</v>
      </c>
      <c r="AS872" s="276">
        <f t="shared" si="798"/>
        <v>-1.2942046681145571</v>
      </c>
      <c r="AT872" s="276">
        <f t="shared" si="799"/>
        <v>-2.5885466849071119</v>
      </c>
      <c r="AU872" s="685">
        <f t="shared" si="800"/>
        <v>1.7466398082825989</v>
      </c>
      <c r="AV872" s="276">
        <f t="shared" si="801"/>
        <v>0.97180147315035792</v>
      </c>
      <c r="AW872" s="276">
        <f t="shared" si="802"/>
        <v>0.8893015964438058</v>
      </c>
      <c r="AX872" s="276">
        <f t="shared" si="803"/>
        <v>2.0004457640159332</v>
      </c>
      <c r="AY872" s="276">
        <f t="shared" si="804"/>
        <v>1.6041359344841533</v>
      </c>
      <c r="AZ872" s="686">
        <f t="shared" si="805"/>
        <v>1.1972696538331473</v>
      </c>
      <c r="BA872" s="685">
        <f t="shared" si="806"/>
        <v>0</v>
      </c>
      <c r="BB872" s="276">
        <f t="shared" si="807"/>
        <v>0</v>
      </c>
      <c r="BC872" s="276">
        <f t="shared" si="808"/>
        <v>0</v>
      </c>
      <c r="BD872" s="276">
        <f t="shared" si="809"/>
        <v>0</v>
      </c>
      <c r="BE872" s="276">
        <f t="shared" si="810"/>
        <v>0</v>
      </c>
      <c r="BF872" s="686">
        <f t="shared" si="811"/>
        <v>0</v>
      </c>
      <c r="BG872" s="685" t="e">
        <f t="shared" si="812"/>
        <v>#DIV/0!</v>
      </c>
      <c r="BH872" s="276" t="e">
        <f t="shared" si="813"/>
        <v>#DIV/0!</v>
      </c>
      <c r="BI872" s="276" t="e">
        <f t="shared" si="814"/>
        <v>#DIV/0!</v>
      </c>
      <c r="BJ872" s="276" t="e">
        <f t="shared" si="815"/>
        <v>#DIV/0!</v>
      </c>
      <c r="BK872" s="276" t="e">
        <f t="shared" si="816"/>
        <v>#DIV/0!</v>
      </c>
      <c r="BL872" s="686" t="e">
        <f t="shared" si="817"/>
        <v>#DIV/0!</v>
      </c>
      <c r="BM872" s="239"/>
      <c r="BN872" s="965" t="e">
        <f t="shared" si="818"/>
        <v>#VALUE!</v>
      </c>
      <c r="BO872" s="878" t="e">
        <f t="shared" si="819"/>
        <v>#VALUE!</v>
      </c>
      <c r="BP872" s="878" t="e">
        <f t="shared" si="820"/>
        <v>#VALUE!</v>
      </c>
      <c r="BQ872" s="878" t="e">
        <f t="shared" si="821"/>
        <v>#VALUE!</v>
      </c>
      <c r="BR872" s="878" t="e">
        <f t="shared" si="822"/>
        <v>#VALUE!</v>
      </c>
      <c r="BS872" s="966" t="e">
        <f t="shared" si="823"/>
        <v>#VALUE!</v>
      </c>
    </row>
    <row r="873" spans="1:71">
      <c r="A873" s="284">
        <f t="shared" si="824"/>
        <v>805</v>
      </c>
      <c r="B873" s="285">
        <v>0.21771101119312233</v>
      </c>
      <c r="C873" s="285">
        <v>2.5647972754672548</v>
      </c>
      <c r="D873" s="285">
        <v>2.1205044607604702</v>
      </c>
      <c r="E873" s="285">
        <v>0.68969010766789518</v>
      </c>
      <c r="H873" s="685">
        <f t="shared" si="770"/>
        <v>-0.91552283057593253</v>
      </c>
      <c r="I873" s="276">
        <f t="shared" si="771"/>
        <v>-6.2181971111245078</v>
      </c>
      <c r="J873" s="276">
        <f t="shared" si="772"/>
        <v>-3.4019606417518018</v>
      </c>
      <c r="K873" s="276">
        <f t="shared" si="773"/>
        <v>-1.8837401432115923</v>
      </c>
      <c r="L873" s="276">
        <f t="shared" si="774"/>
        <v>-2.5851244270376332</v>
      </c>
      <c r="M873" s="276">
        <f t="shared" si="775"/>
        <v>1.7349024552478525</v>
      </c>
      <c r="N873" s="685">
        <f t="shared" si="776"/>
        <v>1.3576260644953864</v>
      </c>
      <c r="O873" s="276">
        <f t="shared" si="777"/>
        <v>0.5761912749797713</v>
      </c>
      <c r="P873" s="276">
        <f t="shared" si="778"/>
        <v>1.158983281514067</v>
      </c>
      <c r="Q873" s="276">
        <f t="shared" si="779"/>
        <v>1.1662958251623008</v>
      </c>
      <c r="R873" s="276">
        <f t="shared" si="780"/>
        <v>1.2773385475648589</v>
      </c>
      <c r="S873" s="686">
        <f t="shared" si="781"/>
        <v>0.733336431219336</v>
      </c>
      <c r="T873" s="685">
        <f t="shared" si="782"/>
        <v>5.3988681510313956</v>
      </c>
      <c r="U873" s="276">
        <f t="shared" si="783"/>
        <v>7.3048370683559263</v>
      </c>
      <c r="V873" s="276">
        <f t="shared" si="784"/>
        <v>4.3949554618634847</v>
      </c>
      <c r="W873" s="276">
        <f t="shared" si="785"/>
        <v>3.6703509387283475</v>
      </c>
      <c r="X873" s="276">
        <f t="shared" si="786"/>
        <v>2.1373861297659689</v>
      </c>
      <c r="Y873" s="686">
        <f t="shared" si="787"/>
        <v>5.0149624248257236</v>
      </c>
      <c r="Z873" s="685" t="e">
        <f t="shared" si="788"/>
        <v>#DIV/0!</v>
      </c>
      <c r="AA873" s="276" t="e">
        <f t="shared" si="789"/>
        <v>#DIV/0!</v>
      </c>
      <c r="AB873" s="276" t="e">
        <f t="shared" si="790"/>
        <v>#DIV/0!</v>
      </c>
      <c r="AC873" s="276" t="e">
        <f t="shared" si="791"/>
        <v>#DIV/0!</v>
      </c>
      <c r="AD873" s="276" t="e">
        <f t="shared" si="792"/>
        <v>#DIV/0!</v>
      </c>
      <c r="AE873" s="686" t="e">
        <f t="shared" si="793"/>
        <v>#DIV/0!</v>
      </c>
      <c r="AF873" s="239"/>
      <c r="AG873" s="965" t="e">
        <f t="shared" si="764"/>
        <v>#VALUE!</v>
      </c>
      <c r="AH873" s="878" t="e">
        <f t="shared" si="765"/>
        <v>#VALUE!</v>
      </c>
      <c r="AI873" s="878" t="e">
        <f t="shared" si="766"/>
        <v>#VALUE!</v>
      </c>
      <c r="AJ873" s="878" t="e">
        <f t="shared" si="767"/>
        <v>#VALUE!</v>
      </c>
      <c r="AK873" s="878" t="e">
        <f t="shared" si="768"/>
        <v>#VALUE!</v>
      </c>
      <c r="AL873" s="966" t="e">
        <f t="shared" si="769"/>
        <v>#VALUE!</v>
      </c>
      <c r="AM873" s="239"/>
      <c r="AO873" s="685">
        <f t="shared" si="794"/>
        <v>-0.91552283057593253</v>
      </c>
      <c r="AP873" s="276">
        <f t="shared" si="795"/>
        <v>-6.2181971111245078</v>
      </c>
      <c r="AQ873" s="276">
        <f t="shared" si="796"/>
        <v>-3.4019606417518018</v>
      </c>
      <c r="AR873" s="276">
        <f t="shared" si="797"/>
        <v>-1.8837401432115923</v>
      </c>
      <c r="AS873" s="276">
        <f t="shared" si="798"/>
        <v>-2.5851244270376332</v>
      </c>
      <c r="AT873" s="276">
        <f t="shared" si="799"/>
        <v>1.7349024552478525</v>
      </c>
      <c r="AU873" s="685">
        <f t="shared" si="800"/>
        <v>1.3576260644953864</v>
      </c>
      <c r="AV873" s="276">
        <f t="shared" si="801"/>
        <v>0.5761912749797713</v>
      </c>
      <c r="AW873" s="276">
        <f t="shared" si="802"/>
        <v>1.158983281514067</v>
      </c>
      <c r="AX873" s="276">
        <f t="shared" si="803"/>
        <v>1.1662958251623008</v>
      </c>
      <c r="AY873" s="276">
        <f t="shared" si="804"/>
        <v>1.2773385475648589</v>
      </c>
      <c r="AZ873" s="686">
        <f t="shared" si="805"/>
        <v>0.733336431219336</v>
      </c>
      <c r="BA873" s="685">
        <f t="shared" si="806"/>
        <v>0</v>
      </c>
      <c r="BB873" s="276">
        <f t="shared" si="807"/>
        <v>0</v>
      </c>
      <c r="BC873" s="276">
        <f t="shared" si="808"/>
        <v>0</v>
      </c>
      <c r="BD873" s="276">
        <f t="shared" si="809"/>
        <v>0</v>
      </c>
      <c r="BE873" s="276">
        <f t="shared" si="810"/>
        <v>0</v>
      </c>
      <c r="BF873" s="686">
        <f t="shared" si="811"/>
        <v>0</v>
      </c>
      <c r="BG873" s="685" t="e">
        <f t="shared" si="812"/>
        <v>#DIV/0!</v>
      </c>
      <c r="BH873" s="276" t="e">
        <f t="shared" si="813"/>
        <v>#DIV/0!</v>
      </c>
      <c r="BI873" s="276" t="e">
        <f t="shared" si="814"/>
        <v>#DIV/0!</v>
      </c>
      <c r="BJ873" s="276" t="e">
        <f t="shared" si="815"/>
        <v>#DIV/0!</v>
      </c>
      <c r="BK873" s="276" t="e">
        <f t="shared" si="816"/>
        <v>#DIV/0!</v>
      </c>
      <c r="BL873" s="686" t="e">
        <f t="shared" si="817"/>
        <v>#DIV/0!</v>
      </c>
      <c r="BM873" s="239"/>
      <c r="BN873" s="965" t="e">
        <f t="shared" si="818"/>
        <v>#VALUE!</v>
      </c>
      <c r="BO873" s="878" t="e">
        <f t="shared" si="819"/>
        <v>#VALUE!</v>
      </c>
      <c r="BP873" s="878" t="e">
        <f t="shared" si="820"/>
        <v>#VALUE!</v>
      </c>
      <c r="BQ873" s="878" t="e">
        <f t="shared" si="821"/>
        <v>#VALUE!</v>
      </c>
      <c r="BR873" s="878" t="e">
        <f t="shared" si="822"/>
        <v>#VALUE!</v>
      </c>
      <c r="BS873" s="966" t="e">
        <f t="shared" si="823"/>
        <v>#VALUE!</v>
      </c>
    </row>
    <row r="874" spans="1:71">
      <c r="A874" s="284">
        <f t="shared" si="824"/>
        <v>806</v>
      </c>
      <c r="B874" s="285">
        <v>-1.2666849996995126</v>
      </c>
      <c r="C874" s="285">
        <v>3.0180777000157151</v>
      </c>
      <c r="D874" s="285">
        <v>1.7159447243034862</v>
      </c>
      <c r="E874" s="285">
        <v>10.515488139937478</v>
      </c>
      <c r="H874" s="685">
        <f t="shared" si="770"/>
        <v>-2.3999188414685673</v>
      </c>
      <c r="I874" s="276">
        <f t="shared" si="771"/>
        <v>-4.4512360765225774</v>
      </c>
      <c r="J874" s="276">
        <f t="shared" si="772"/>
        <v>-4.4990770005356495</v>
      </c>
      <c r="K874" s="276">
        <f t="shared" si="773"/>
        <v>-0.60763555453078166</v>
      </c>
      <c r="L874" s="276">
        <f t="shared" si="774"/>
        <v>-3.7135318485976025</v>
      </c>
      <c r="M874" s="276">
        <f t="shared" si="775"/>
        <v>2.3103773213229495</v>
      </c>
      <c r="N874" s="685">
        <f t="shared" si="776"/>
        <v>1.8109064890438467</v>
      </c>
      <c r="O874" s="276">
        <f t="shared" si="777"/>
        <v>0.9910100059229261</v>
      </c>
      <c r="P874" s="276">
        <f t="shared" si="778"/>
        <v>1.4171257671931812</v>
      </c>
      <c r="Q874" s="276">
        <f t="shared" si="779"/>
        <v>1.2033439766586576</v>
      </c>
      <c r="R874" s="276">
        <f t="shared" si="780"/>
        <v>1.0411555233282008</v>
      </c>
      <c r="S874" s="686">
        <f t="shared" si="781"/>
        <v>2.0141680282814693</v>
      </c>
      <c r="T874" s="685">
        <f t="shared" si="782"/>
        <v>4.9943084145744123</v>
      </c>
      <c r="U874" s="276">
        <f t="shared" si="783"/>
        <v>3.052527159461571</v>
      </c>
      <c r="V874" s="276">
        <f t="shared" si="784"/>
        <v>4.0967447996395601</v>
      </c>
      <c r="W874" s="276">
        <f t="shared" si="785"/>
        <v>3.3384993446056885</v>
      </c>
      <c r="X874" s="276">
        <f t="shared" si="786"/>
        <v>4.3838798661188143</v>
      </c>
      <c r="Y874" s="686">
        <f t="shared" si="787"/>
        <v>3.6608785823670225</v>
      </c>
      <c r="Z874" s="685" t="e">
        <f t="shared" si="788"/>
        <v>#DIV/0!</v>
      </c>
      <c r="AA874" s="276" t="e">
        <f t="shared" si="789"/>
        <v>#DIV/0!</v>
      </c>
      <c r="AB874" s="276" t="e">
        <f t="shared" si="790"/>
        <v>#DIV/0!</v>
      </c>
      <c r="AC874" s="276" t="e">
        <f t="shared" si="791"/>
        <v>#DIV/0!</v>
      </c>
      <c r="AD874" s="276" t="e">
        <f t="shared" si="792"/>
        <v>#DIV/0!</v>
      </c>
      <c r="AE874" s="686" t="e">
        <f t="shared" si="793"/>
        <v>#DIV/0!</v>
      </c>
      <c r="AF874" s="239"/>
      <c r="AG874" s="965" t="e">
        <f t="shared" si="764"/>
        <v>#VALUE!</v>
      </c>
      <c r="AH874" s="878" t="e">
        <f t="shared" si="765"/>
        <v>#VALUE!</v>
      </c>
      <c r="AI874" s="878" t="e">
        <f t="shared" si="766"/>
        <v>#VALUE!</v>
      </c>
      <c r="AJ874" s="878" t="e">
        <f t="shared" si="767"/>
        <v>#VALUE!</v>
      </c>
      <c r="AK874" s="878" t="e">
        <f t="shared" si="768"/>
        <v>#VALUE!</v>
      </c>
      <c r="AL874" s="966" t="e">
        <f t="shared" si="769"/>
        <v>#VALUE!</v>
      </c>
      <c r="AM874" s="239"/>
      <c r="AO874" s="685">
        <f t="shared" si="794"/>
        <v>-2.3999188414685673</v>
      </c>
      <c r="AP874" s="276">
        <f t="shared" si="795"/>
        <v>-4.4512360765225774</v>
      </c>
      <c r="AQ874" s="276">
        <f t="shared" si="796"/>
        <v>-4.4990770005356495</v>
      </c>
      <c r="AR874" s="276">
        <f t="shared" si="797"/>
        <v>-0.60763555453078166</v>
      </c>
      <c r="AS874" s="276">
        <f t="shared" si="798"/>
        <v>-3.7135318485976025</v>
      </c>
      <c r="AT874" s="276">
        <f t="shared" si="799"/>
        <v>2.3103773213229495</v>
      </c>
      <c r="AU874" s="685">
        <f t="shared" si="800"/>
        <v>1.8109064890438467</v>
      </c>
      <c r="AV874" s="276">
        <f t="shared" si="801"/>
        <v>0.9910100059229261</v>
      </c>
      <c r="AW874" s="276">
        <f t="shared" si="802"/>
        <v>1.4171257671931812</v>
      </c>
      <c r="AX874" s="276">
        <f t="shared" si="803"/>
        <v>1.2033439766586576</v>
      </c>
      <c r="AY874" s="276">
        <f t="shared" si="804"/>
        <v>1.0411555233282008</v>
      </c>
      <c r="AZ874" s="686">
        <f t="shared" si="805"/>
        <v>2.0141680282814693</v>
      </c>
      <c r="BA874" s="685">
        <f t="shared" si="806"/>
        <v>0</v>
      </c>
      <c r="BB874" s="276">
        <f t="shared" si="807"/>
        <v>0</v>
      </c>
      <c r="BC874" s="276">
        <f t="shared" si="808"/>
        <v>0</v>
      </c>
      <c r="BD874" s="276">
        <f t="shared" si="809"/>
        <v>0</v>
      </c>
      <c r="BE874" s="276">
        <f t="shared" si="810"/>
        <v>0</v>
      </c>
      <c r="BF874" s="686">
        <f t="shared" si="811"/>
        <v>0</v>
      </c>
      <c r="BG874" s="685" t="e">
        <f t="shared" si="812"/>
        <v>#DIV/0!</v>
      </c>
      <c r="BH874" s="276" t="e">
        <f t="shared" si="813"/>
        <v>#DIV/0!</v>
      </c>
      <c r="BI874" s="276" t="e">
        <f t="shared" si="814"/>
        <v>#DIV/0!</v>
      </c>
      <c r="BJ874" s="276" t="e">
        <f t="shared" si="815"/>
        <v>#DIV/0!</v>
      </c>
      <c r="BK874" s="276" t="e">
        <f t="shared" si="816"/>
        <v>#DIV/0!</v>
      </c>
      <c r="BL874" s="686" t="e">
        <f t="shared" si="817"/>
        <v>#DIV/0!</v>
      </c>
      <c r="BM874" s="239"/>
      <c r="BN874" s="965" t="e">
        <f t="shared" si="818"/>
        <v>#VALUE!</v>
      </c>
      <c r="BO874" s="878" t="e">
        <f t="shared" si="819"/>
        <v>#VALUE!</v>
      </c>
      <c r="BP874" s="878" t="e">
        <f t="shared" si="820"/>
        <v>#VALUE!</v>
      </c>
      <c r="BQ874" s="878" t="e">
        <f t="shared" si="821"/>
        <v>#VALUE!</v>
      </c>
      <c r="BR874" s="878" t="e">
        <f t="shared" si="822"/>
        <v>#VALUE!</v>
      </c>
      <c r="BS874" s="966" t="e">
        <f t="shared" si="823"/>
        <v>#VALUE!</v>
      </c>
    </row>
    <row r="875" spans="1:71">
      <c r="A875" s="284">
        <f t="shared" si="824"/>
        <v>807</v>
      </c>
      <c r="B875" s="285">
        <v>2.1481320946776514</v>
      </c>
      <c r="C875" s="285">
        <v>2.5843136394482626</v>
      </c>
      <c r="D875" s="285">
        <v>2.4050990872574602</v>
      </c>
      <c r="E875" s="285">
        <v>-9.7332233474385639</v>
      </c>
      <c r="H875" s="685">
        <f t="shared" si="770"/>
        <v>1.0148982529085966</v>
      </c>
      <c r="I875" s="276">
        <f t="shared" si="771"/>
        <v>0.49752452381276724</v>
      </c>
      <c r="J875" s="276">
        <f t="shared" si="772"/>
        <v>-3.4532777777020502</v>
      </c>
      <c r="K875" s="276">
        <f t="shared" si="773"/>
        <v>-4.1812997157435765</v>
      </c>
      <c r="L875" s="276">
        <f t="shared" si="774"/>
        <v>1.7159723890255372</v>
      </c>
      <c r="M875" s="276">
        <f t="shared" si="775"/>
        <v>-2.8151386295567606</v>
      </c>
      <c r="N875" s="685">
        <f t="shared" si="776"/>
        <v>1.3771424284763942</v>
      </c>
      <c r="O875" s="276">
        <f t="shared" si="777"/>
        <v>0.87672559186121179</v>
      </c>
      <c r="P875" s="276">
        <f t="shared" si="778"/>
        <v>0.9500344900070441</v>
      </c>
      <c r="Q875" s="276">
        <f t="shared" si="779"/>
        <v>0.46365311069049242</v>
      </c>
      <c r="R875" s="276">
        <f t="shared" si="780"/>
        <v>1.7697130687514206</v>
      </c>
      <c r="S875" s="686">
        <f t="shared" si="781"/>
        <v>0.79942807045661923</v>
      </c>
      <c r="T875" s="685">
        <f t="shared" si="782"/>
        <v>5.6834627775283861</v>
      </c>
      <c r="U875" s="276">
        <f t="shared" si="783"/>
        <v>4.0980159624217976</v>
      </c>
      <c r="V875" s="276">
        <f t="shared" si="784"/>
        <v>2.1584403448098746</v>
      </c>
      <c r="W875" s="276">
        <f t="shared" si="785"/>
        <v>4.8826699599062762</v>
      </c>
      <c r="X875" s="276">
        <f t="shared" si="786"/>
        <v>4.1883784815941523</v>
      </c>
      <c r="Y875" s="686">
        <f t="shared" si="787"/>
        <v>4.3263366467130933</v>
      </c>
      <c r="Z875" s="685" t="e">
        <f t="shared" si="788"/>
        <v>#DIV/0!</v>
      </c>
      <c r="AA875" s="276" t="e">
        <f t="shared" si="789"/>
        <v>#DIV/0!</v>
      </c>
      <c r="AB875" s="276" t="e">
        <f t="shared" si="790"/>
        <v>#DIV/0!</v>
      </c>
      <c r="AC875" s="276" t="e">
        <f t="shared" si="791"/>
        <v>#DIV/0!</v>
      </c>
      <c r="AD875" s="276" t="e">
        <f t="shared" si="792"/>
        <v>#DIV/0!</v>
      </c>
      <c r="AE875" s="686" t="e">
        <f t="shared" si="793"/>
        <v>#DIV/0!</v>
      </c>
      <c r="AF875" s="239"/>
      <c r="AG875" s="965" t="e">
        <f t="shared" si="764"/>
        <v>#VALUE!</v>
      </c>
      <c r="AH875" s="878" t="e">
        <f t="shared" si="765"/>
        <v>#VALUE!</v>
      </c>
      <c r="AI875" s="878" t="e">
        <f t="shared" si="766"/>
        <v>#VALUE!</v>
      </c>
      <c r="AJ875" s="878" t="e">
        <f t="shared" si="767"/>
        <v>#VALUE!</v>
      </c>
      <c r="AK875" s="878" t="e">
        <f t="shared" si="768"/>
        <v>#VALUE!</v>
      </c>
      <c r="AL875" s="966" t="e">
        <f t="shared" si="769"/>
        <v>#VALUE!</v>
      </c>
      <c r="AM875" s="239"/>
      <c r="AO875" s="685">
        <f t="shared" si="794"/>
        <v>1.0148982529085966</v>
      </c>
      <c r="AP875" s="276">
        <f t="shared" si="795"/>
        <v>0.49752452381276724</v>
      </c>
      <c r="AQ875" s="276">
        <f t="shared" si="796"/>
        <v>-3.4532777777020502</v>
      </c>
      <c r="AR875" s="276">
        <f t="shared" si="797"/>
        <v>-4.1812997157435765</v>
      </c>
      <c r="AS875" s="276">
        <f t="shared" si="798"/>
        <v>1.7159723890255372</v>
      </c>
      <c r="AT875" s="276">
        <f t="shared" si="799"/>
        <v>-2.8151386295567606</v>
      </c>
      <c r="AU875" s="685">
        <f t="shared" si="800"/>
        <v>1.3771424284763942</v>
      </c>
      <c r="AV875" s="276">
        <f t="shared" si="801"/>
        <v>0.87672559186121179</v>
      </c>
      <c r="AW875" s="276">
        <f t="shared" si="802"/>
        <v>0.9500344900070441</v>
      </c>
      <c r="AX875" s="276">
        <f t="shared" si="803"/>
        <v>0.46365311069049242</v>
      </c>
      <c r="AY875" s="276">
        <f t="shared" si="804"/>
        <v>1.7697130687514206</v>
      </c>
      <c r="AZ875" s="686">
        <f t="shared" si="805"/>
        <v>0.79942807045661923</v>
      </c>
      <c r="BA875" s="685">
        <f t="shared" si="806"/>
        <v>0</v>
      </c>
      <c r="BB875" s="276">
        <f t="shared" si="807"/>
        <v>0</v>
      </c>
      <c r="BC875" s="276">
        <f t="shared" si="808"/>
        <v>0</v>
      </c>
      <c r="BD875" s="276">
        <f t="shared" si="809"/>
        <v>0</v>
      </c>
      <c r="BE875" s="276">
        <f t="shared" si="810"/>
        <v>0</v>
      </c>
      <c r="BF875" s="686">
        <f t="shared" si="811"/>
        <v>0</v>
      </c>
      <c r="BG875" s="685" t="e">
        <f t="shared" si="812"/>
        <v>#DIV/0!</v>
      </c>
      <c r="BH875" s="276" t="e">
        <f t="shared" si="813"/>
        <v>#DIV/0!</v>
      </c>
      <c r="BI875" s="276" t="e">
        <f t="shared" si="814"/>
        <v>#DIV/0!</v>
      </c>
      <c r="BJ875" s="276" t="e">
        <f t="shared" si="815"/>
        <v>#DIV/0!</v>
      </c>
      <c r="BK875" s="276" t="e">
        <f t="shared" si="816"/>
        <v>#DIV/0!</v>
      </c>
      <c r="BL875" s="686" t="e">
        <f t="shared" si="817"/>
        <v>#DIV/0!</v>
      </c>
      <c r="BM875" s="239"/>
      <c r="BN875" s="965" t="e">
        <f t="shared" si="818"/>
        <v>#VALUE!</v>
      </c>
      <c r="BO875" s="878" t="e">
        <f t="shared" si="819"/>
        <v>#VALUE!</v>
      </c>
      <c r="BP875" s="878" t="e">
        <f t="shared" si="820"/>
        <v>#VALUE!</v>
      </c>
      <c r="BQ875" s="878" t="e">
        <f t="shared" si="821"/>
        <v>#VALUE!</v>
      </c>
      <c r="BR875" s="878" t="e">
        <f t="shared" si="822"/>
        <v>#VALUE!</v>
      </c>
      <c r="BS875" s="966" t="e">
        <f t="shared" si="823"/>
        <v>#VALUE!</v>
      </c>
    </row>
    <row r="876" spans="1:71">
      <c r="A876" s="284">
        <f t="shared" si="824"/>
        <v>808</v>
      </c>
      <c r="B876" s="285">
        <v>3.5175091842087629</v>
      </c>
      <c r="C876" s="285">
        <v>2.7299429154244716</v>
      </c>
      <c r="D876" s="285">
        <v>2.0066560040335424</v>
      </c>
      <c r="E876" s="285">
        <v>-11.158583974182616</v>
      </c>
      <c r="H876" s="685">
        <f t="shared" si="770"/>
        <v>2.3842753424397083</v>
      </c>
      <c r="I876" s="276">
        <f t="shared" si="771"/>
        <v>-5.7323009940692842</v>
      </c>
      <c r="J876" s="276">
        <f t="shared" si="772"/>
        <v>-0.69404857399052977</v>
      </c>
      <c r="K876" s="276">
        <f t="shared" si="773"/>
        <v>0.98380737500715276</v>
      </c>
      <c r="L876" s="276">
        <f t="shared" si="774"/>
        <v>1.6645959627087323</v>
      </c>
      <c r="M876" s="276">
        <f t="shared" si="775"/>
        <v>-1.7358846483726058</v>
      </c>
      <c r="N876" s="685">
        <f t="shared" si="776"/>
        <v>1.5227717044526032</v>
      </c>
      <c r="O876" s="276">
        <f t="shared" si="777"/>
        <v>0.34842987204236153</v>
      </c>
      <c r="P876" s="276">
        <f t="shared" si="778"/>
        <v>1.182182669685196</v>
      </c>
      <c r="Q876" s="276">
        <f t="shared" si="779"/>
        <v>1.891081040115927</v>
      </c>
      <c r="R876" s="276">
        <f t="shared" si="780"/>
        <v>2.2757733407190175</v>
      </c>
      <c r="S876" s="686">
        <f t="shared" si="781"/>
        <v>1.8703607652659968</v>
      </c>
      <c r="T876" s="685">
        <f t="shared" si="782"/>
        <v>5.2850196943044683</v>
      </c>
      <c r="U876" s="276">
        <f t="shared" si="783"/>
        <v>2.4319391075077523</v>
      </c>
      <c r="V876" s="276">
        <f t="shared" si="784"/>
        <v>6.2445810954714274</v>
      </c>
      <c r="W876" s="276">
        <f t="shared" si="785"/>
        <v>6.372632374629088</v>
      </c>
      <c r="X876" s="276">
        <f t="shared" si="786"/>
        <v>5.070798200572602</v>
      </c>
      <c r="Y876" s="686">
        <f t="shared" si="787"/>
        <v>4.1543627032682302</v>
      </c>
      <c r="Z876" s="685" t="e">
        <f t="shared" si="788"/>
        <v>#DIV/0!</v>
      </c>
      <c r="AA876" s="276" t="e">
        <f t="shared" si="789"/>
        <v>#DIV/0!</v>
      </c>
      <c r="AB876" s="276" t="e">
        <f t="shared" si="790"/>
        <v>#DIV/0!</v>
      </c>
      <c r="AC876" s="276" t="e">
        <f t="shared" si="791"/>
        <v>#DIV/0!</v>
      </c>
      <c r="AD876" s="276" t="e">
        <f t="shared" si="792"/>
        <v>#DIV/0!</v>
      </c>
      <c r="AE876" s="686" t="e">
        <f t="shared" si="793"/>
        <v>#DIV/0!</v>
      </c>
      <c r="AF876" s="239"/>
      <c r="AG876" s="965" t="e">
        <f t="shared" si="764"/>
        <v>#VALUE!</v>
      </c>
      <c r="AH876" s="878" t="e">
        <f t="shared" si="765"/>
        <v>#VALUE!</v>
      </c>
      <c r="AI876" s="878" t="e">
        <f t="shared" si="766"/>
        <v>#VALUE!</v>
      </c>
      <c r="AJ876" s="878" t="e">
        <f t="shared" si="767"/>
        <v>#VALUE!</v>
      </c>
      <c r="AK876" s="878" t="e">
        <f t="shared" si="768"/>
        <v>#VALUE!</v>
      </c>
      <c r="AL876" s="966" t="e">
        <f t="shared" si="769"/>
        <v>#VALUE!</v>
      </c>
      <c r="AM876" s="239"/>
      <c r="AO876" s="685">
        <f t="shared" si="794"/>
        <v>2.3842753424397083</v>
      </c>
      <c r="AP876" s="276">
        <f t="shared" si="795"/>
        <v>-5.7323009940692842</v>
      </c>
      <c r="AQ876" s="276">
        <f t="shared" si="796"/>
        <v>-0.69404857399052977</v>
      </c>
      <c r="AR876" s="276">
        <f t="shared" si="797"/>
        <v>0.98380737500715276</v>
      </c>
      <c r="AS876" s="276">
        <f t="shared" si="798"/>
        <v>1.6645959627087323</v>
      </c>
      <c r="AT876" s="276">
        <f t="shared" si="799"/>
        <v>-1.7358846483726058</v>
      </c>
      <c r="AU876" s="685">
        <f t="shared" si="800"/>
        <v>1.5227717044526032</v>
      </c>
      <c r="AV876" s="276">
        <f t="shared" si="801"/>
        <v>0.34842987204236153</v>
      </c>
      <c r="AW876" s="276">
        <f t="shared" si="802"/>
        <v>1.182182669685196</v>
      </c>
      <c r="AX876" s="276">
        <f t="shared" si="803"/>
        <v>1.891081040115927</v>
      </c>
      <c r="AY876" s="276">
        <f t="shared" si="804"/>
        <v>2.2757733407190175</v>
      </c>
      <c r="AZ876" s="686">
        <f t="shared" si="805"/>
        <v>1.8703607652659968</v>
      </c>
      <c r="BA876" s="685">
        <f t="shared" si="806"/>
        <v>0</v>
      </c>
      <c r="BB876" s="276">
        <f t="shared" si="807"/>
        <v>0</v>
      </c>
      <c r="BC876" s="276">
        <f t="shared" si="808"/>
        <v>0</v>
      </c>
      <c r="BD876" s="276">
        <f t="shared" si="809"/>
        <v>0</v>
      </c>
      <c r="BE876" s="276">
        <f t="shared" si="810"/>
        <v>0</v>
      </c>
      <c r="BF876" s="686">
        <f t="shared" si="811"/>
        <v>0</v>
      </c>
      <c r="BG876" s="685" t="e">
        <f t="shared" si="812"/>
        <v>#DIV/0!</v>
      </c>
      <c r="BH876" s="276" t="e">
        <f t="shared" si="813"/>
        <v>#DIV/0!</v>
      </c>
      <c r="BI876" s="276" t="e">
        <f t="shared" si="814"/>
        <v>#DIV/0!</v>
      </c>
      <c r="BJ876" s="276" t="e">
        <f t="shared" si="815"/>
        <v>#DIV/0!</v>
      </c>
      <c r="BK876" s="276" t="e">
        <f t="shared" si="816"/>
        <v>#DIV/0!</v>
      </c>
      <c r="BL876" s="686" t="e">
        <f t="shared" si="817"/>
        <v>#DIV/0!</v>
      </c>
      <c r="BM876" s="239"/>
      <c r="BN876" s="965" t="e">
        <f t="shared" si="818"/>
        <v>#VALUE!</v>
      </c>
      <c r="BO876" s="878" t="e">
        <f t="shared" si="819"/>
        <v>#VALUE!</v>
      </c>
      <c r="BP876" s="878" t="e">
        <f t="shared" si="820"/>
        <v>#VALUE!</v>
      </c>
      <c r="BQ876" s="878" t="e">
        <f t="shared" si="821"/>
        <v>#VALUE!</v>
      </c>
      <c r="BR876" s="878" t="e">
        <f t="shared" si="822"/>
        <v>#VALUE!</v>
      </c>
      <c r="BS876" s="966" t="e">
        <f t="shared" si="823"/>
        <v>#VALUE!</v>
      </c>
    </row>
    <row r="877" spans="1:71">
      <c r="A877" s="284">
        <f t="shared" si="824"/>
        <v>809</v>
      </c>
      <c r="B877" s="285">
        <v>0.76448033079348299</v>
      </c>
      <c r="C877" s="285">
        <v>3.211722985890447</v>
      </c>
      <c r="D877" s="285">
        <v>0.8975150647209218</v>
      </c>
      <c r="E877" s="285">
        <v>7.1626233992727855</v>
      </c>
      <c r="H877" s="685">
        <f t="shared" si="770"/>
        <v>-0.36875351097557185</v>
      </c>
      <c r="I877" s="276">
        <f t="shared" si="771"/>
        <v>-1.9262096095311863</v>
      </c>
      <c r="J877" s="276">
        <f t="shared" si="772"/>
        <v>0.76765983797979409</v>
      </c>
      <c r="K877" s="276">
        <f t="shared" si="773"/>
        <v>-0.13741778946185301</v>
      </c>
      <c r="L877" s="276">
        <f t="shared" si="774"/>
        <v>-2.5305629030417309</v>
      </c>
      <c r="M877" s="276">
        <f t="shared" si="775"/>
        <v>2.8549847509332453</v>
      </c>
      <c r="N877" s="685">
        <f t="shared" si="776"/>
        <v>2.0045517749185784</v>
      </c>
      <c r="O877" s="276">
        <f t="shared" si="777"/>
        <v>1.1972386911319226</v>
      </c>
      <c r="P877" s="276">
        <f t="shared" si="778"/>
        <v>2.2425392247973344</v>
      </c>
      <c r="Q877" s="276">
        <f t="shared" si="779"/>
        <v>1.4829287241042939</v>
      </c>
      <c r="R877" s="276">
        <f t="shared" si="780"/>
        <v>0.83445836576808596</v>
      </c>
      <c r="S877" s="686">
        <f t="shared" si="781"/>
        <v>1.9178087760429989</v>
      </c>
      <c r="T877" s="685">
        <f t="shared" si="782"/>
        <v>4.1758787549918477</v>
      </c>
      <c r="U877" s="276">
        <f t="shared" si="783"/>
        <v>6.8071603559825995</v>
      </c>
      <c r="V877" s="276">
        <f t="shared" si="784"/>
        <v>3.6218858172482755</v>
      </c>
      <c r="W877" s="276">
        <f t="shared" si="785"/>
        <v>4.0814235328751511</v>
      </c>
      <c r="X877" s="276">
        <f t="shared" si="786"/>
        <v>5.6267326019740853</v>
      </c>
      <c r="Y877" s="686">
        <f t="shared" si="787"/>
        <v>6.7731977875030331</v>
      </c>
      <c r="Z877" s="685" t="e">
        <f t="shared" si="788"/>
        <v>#DIV/0!</v>
      </c>
      <c r="AA877" s="276" t="e">
        <f t="shared" si="789"/>
        <v>#DIV/0!</v>
      </c>
      <c r="AB877" s="276" t="e">
        <f t="shared" si="790"/>
        <v>#DIV/0!</v>
      </c>
      <c r="AC877" s="276" t="e">
        <f t="shared" si="791"/>
        <v>#DIV/0!</v>
      </c>
      <c r="AD877" s="276" t="e">
        <f t="shared" si="792"/>
        <v>#DIV/0!</v>
      </c>
      <c r="AE877" s="686" t="e">
        <f t="shared" si="793"/>
        <v>#DIV/0!</v>
      </c>
      <c r="AF877" s="239"/>
      <c r="AG877" s="965" t="e">
        <f t="shared" si="764"/>
        <v>#VALUE!</v>
      </c>
      <c r="AH877" s="878" t="e">
        <f t="shared" si="765"/>
        <v>#VALUE!</v>
      </c>
      <c r="AI877" s="878" t="e">
        <f t="shared" si="766"/>
        <v>#VALUE!</v>
      </c>
      <c r="AJ877" s="878" t="e">
        <f t="shared" si="767"/>
        <v>#VALUE!</v>
      </c>
      <c r="AK877" s="878" t="e">
        <f t="shared" si="768"/>
        <v>#VALUE!</v>
      </c>
      <c r="AL877" s="966" t="e">
        <f t="shared" si="769"/>
        <v>#VALUE!</v>
      </c>
      <c r="AM877" s="239"/>
      <c r="AO877" s="685">
        <f t="shared" si="794"/>
        <v>-0.36875351097557185</v>
      </c>
      <c r="AP877" s="276">
        <f t="shared" si="795"/>
        <v>-1.9262096095311863</v>
      </c>
      <c r="AQ877" s="276">
        <f t="shared" si="796"/>
        <v>0.76765983797979409</v>
      </c>
      <c r="AR877" s="276">
        <f t="shared" si="797"/>
        <v>-0.13741778946185301</v>
      </c>
      <c r="AS877" s="276">
        <f t="shared" si="798"/>
        <v>-2.5305629030417309</v>
      </c>
      <c r="AT877" s="276">
        <f t="shared" si="799"/>
        <v>2.8549847509332453</v>
      </c>
      <c r="AU877" s="685">
        <f t="shared" si="800"/>
        <v>2.0045517749185784</v>
      </c>
      <c r="AV877" s="276">
        <f t="shared" si="801"/>
        <v>1.1972386911319226</v>
      </c>
      <c r="AW877" s="276">
        <f t="shared" si="802"/>
        <v>2.2425392247973344</v>
      </c>
      <c r="AX877" s="276">
        <f t="shared" si="803"/>
        <v>1.4829287241042939</v>
      </c>
      <c r="AY877" s="276">
        <f t="shared" si="804"/>
        <v>0.83445836576808596</v>
      </c>
      <c r="AZ877" s="686">
        <f t="shared" si="805"/>
        <v>1.9178087760429989</v>
      </c>
      <c r="BA877" s="685">
        <f t="shared" si="806"/>
        <v>0</v>
      </c>
      <c r="BB877" s="276">
        <f t="shared" si="807"/>
        <v>0</v>
      </c>
      <c r="BC877" s="276">
        <f t="shared" si="808"/>
        <v>0</v>
      </c>
      <c r="BD877" s="276">
        <f t="shared" si="809"/>
        <v>0</v>
      </c>
      <c r="BE877" s="276">
        <f t="shared" si="810"/>
        <v>0</v>
      </c>
      <c r="BF877" s="686">
        <f t="shared" si="811"/>
        <v>0</v>
      </c>
      <c r="BG877" s="685" t="e">
        <f t="shared" si="812"/>
        <v>#DIV/0!</v>
      </c>
      <c r="BH877" s="276" t="e">
        <f t="shared" si="813"/>
        <v>#DIV/0!</v>
      </c>
      <c r="BI877" s="276" t="e">
        <f t="shared" si="814"/>
        <v>#DIV/0!</v>
      </c>
      <c r="BJ877" s="276" t="e">
        <f t="shared" si="815"/>
        <v>#DIV/0!</v>
      </c>
      <c r="BK877" s="276" t="e">
        <f t="shared" si="816"/>
        <v>#DIV/0!</v>
      </c>
      <c r="BL877" s="686" t="e">
        <f t="shared" si="817"/>
        <v>#DIV/0!</v>
      </c>
      <c r="BM877" s="239"/>
      <c r="BN877" s="965" t="e">
        <f t="shared" si="818"/>
        <v>#VALUE!</v>
      </c>
      <c r="BO877" s="878" t="e">
        <f t="shared" si="819"/>
        <v>#VALUE!</v>
      </c>
      <c r="BP877" s="878" t="e">
        <f t="shared" si="820"/>
        <v>#VALUE!</v>
      </c>
      <c r="BQ877" s="878" t="e">
        <f t="shared" si="821"/>
        <v>#VALUE!</v>
      </c>
      <c r="BR877" s="878" t="e">
        <f t="shared" si="822"/>
        <v>#VALUE!</v>
      </c>
      <c r="BS877" s="966" t="e">
        <f t="shared" si="823"/>
        <v>#VALUE!</v>
      </c>
    </row>
    <row r="878" spans="1:71">
      <c r="A878" s="284">
        <f t="shared" si="824"/>
        <v>810</v>
      </c>
      <c r="B878" s="285">
        <v>1.3140657369597302</v>
      </c>
      <c r="C878" s="285">
        <v>2.3115896105094551</v>
      </c>
      <c r="D878" s="285">
        <v>1.05779303926315</v>
      </c>
      <c r="E878" s="285">
        <v>-8.3529832476654153</v>
      </c>
      <c r="H878" s="685">
        <f t="shared" si="770"/>
        <v>0.18083189519067533</v>
      </c>
      <c r="I878" s="276">
        <f t="shared" si="771"/>
        <v>-5.8611382064014022</v>
      </c>
      <c r="J878" s="276">
        <f t="shared" si="772"/>
        <v>-0.94906193930961802</v>
      </c>
      <c r="K878" s="276">
        <f t="shared" si="773"/>
        <v>-1.1467295769731061</v>
      </c>
      <c r="L878" s="276">
        <f t="shared" si="774"/>
        <v>-5.1573629320352818</v>
      </c>
      <c r="M878" s="276">
        <f t="shared" si="775"/>
        <v>1.0980734620453243</v>
      </c>
      <c r="N878" s="685">
        <f t="shared" si="776"/>
        <v>1.1044183995375867</v>
      </c>
      <c r="O878" s="276">
        <f t="shared" si="777"/>
        <v>0.5001442370379181</v>
      </c>
      <c r="P878" s="276">
        <f t="shared" si="778"/>
        <v>1.5818491667129313</v>
      </c>
      <c r="Q878" s="276">
        <f t="shared" si="779"/>
        <v>1.4165618374378719</v>
      </c>
      <c r="R878" s="276">
        <f t="shared" si="780"/>
        <v>1.4355800357043778</v>
      </c>
      <c r="S878" s="686">
        <f t="shared" si="781"/>
        <v>1.7302529049790387</v>
      </c>
      <c r="T878" s="685">
        <f t="shared" si="782"/>
        <v>4.3361567295340757</v>
      </c>
      <c r="U878" s="276">
        <f t="shared" si="783"/>
        <v>3.8858775536442769</v>
      </c>
      <c r="V878" s="276">
        <f t="shared" si="784"/>
        <v>3.7052363861754256</v>
      </c>
      <c r="W878" s="276">
        <f t="shared" si="785"/>
        <v>3.5757323306437314</v>
      </c>
      <c r="X878" s="276">
        <f t="shared" si="786"/>
        <v>3.2574114497294646</v>
      </c>
      <c r="Y878" s="686">
        <f t="shared" si="787"/>
        <v>5.8285140822186214</v>
      </c>
      <c r="Z878" s="685" t="e">
        <f t="shared" si="788"/>
        <v>#DIV/0!</v>
      </c>
      <c r="AA878" s="276" t="e">
        <f t="shared" si="789"/>
        <v>#DIV/0!</v>
      </c>
      <c r="AB878" s="276" t="e">
        <f t="shared" si="790"/>
        <v>#DIV/0!</v>
      </c>
      <c r="AC878" s="276" t="e">
        <f t="shared" si="791"/>
        <v>#DIV/0!</v>
      </c>
      <c r="AD878" s="276" t="e">
        <f t="shared" si="792"/>
        <v>#DIV/0!</v>
      </c>
      <c r="AE878" s="686" t="e">
        <f t="shared" si="793"/>
        <v>#DIV/0!</v>
      </c>
      <c r="AF878" s="239"/>
      <c r="AG878" s="965" t="e">
        <f t="shared" si="764"/>
        <v>#VALUE!</v>
      </c>
      <c r="AH878" s="878" t="e">
        <f t="shared" si="765"/>
        <v>#VALUE!</v>
      </c>
      <c r="AI878" s="878" t="e">
        <f t="shared" si="766"/>
        <v>#VALUE!</v>
      </c>
      <c r="AJ878" s="878" t="e">
        <f t="shared" si="767"/>
        <v>#VALUE!</v>
      </c>
      <c r="AK878" s="878" t="e">
        <f t="shared" si="768"/>
        <v>#VALUE!</v>
      </c>
      <c r="AL878" s="966" t="e">
        <f t="shared" si="769"/>
        <v>#VALUE!</v>
      </c>
      <c r="AM878" s="239"/>
      <c r="AO878" s="685">
        <f t="shared" si="794"/>
        <v>0.18083189519067533</v>
      </c>
      <c r="AP878" s="276">
        <f t="shared" si="795"/>
        <v>-5.8611382064014022</v>
      </c>
      <c r="AQ878" s="276">
        <f t="shared" si="796"/>
        <v>-0.94906193930961802</v>
      </c>
      <c r="AR878" s="276">
        <f t="shared" si="797"/>
        <v>-1.1467295769731061</v>
      </c>
      <c r="AS878" s="276">
        <f t="shared" si="798"/>
        <v>-5.1573629320352818</v>
      </c>
      <c r="AT878" s="276">
        <f t="shared" si="799"/>
        <v>1.0980734620453243</v>
      </c>
      <c r="AU878" s="685">
        <f t="shared" si="800"/>
        <v>1.1044183995375867</v>
      </c>
      <c r="AV878" s="276">
        <f t="shared" si="801"/>
        <v>0.5001442370379181</v>
      </c>
      <c r="AW878" s="276">
        <f t="shared" si="802"/>
        <v>1.5818491667129313</v>
      </c>
      <c r="AX878" s="276">
        <f t="shared" si="803"/>
        <v>1.4165618374378719</v>
      </c>
      <c r="AY878" s="276">
        <f t="shared" si="804"/>
        <v>1.4355800357043778</v>
      </c>
      <c r="AZ878" s="686">
        <f t="shared" si="805"/>
        <v>1.7302529049790387</v>
      </c>
      <c r="BA878" s="685">
        <f t="shared" si="806"/>
        <v>0</v>
      </c>
      <c r="BB878" s="276">
        <f t="shared" si="807"/>
        <v>0</v>
      </c>
      <c r="BC878" s="276">
        <f t="shared" si="808"/>
        <v>0</v>
      </c>
      <c r="BD878" s="276">
        <f t="shared" si="809"/>
        <v>0</v>
      </c>
      <c r="BE878" s="276">
        <f t="shared" si="810"/>
        <v>0</v>
      </c>
      <c r="BF878" s="686">
        <f t="shared" si="811"/>
        <v>0</v>
      </c>
      <c r="BG878" s="685" t="e">
        <f t="shared" si="812"/>
        <v>#DIV/0!</v>
      </c>
      <c r="BH878" s="276" t="e">
        <f t="shared" si="813"/>
        <v>#DIV/0!</v>
      </c>
      <c r="BI878" s="276" t="e">
        <f t="shared" si="814"/>
        <v>#DIV/0!</v>
      </c>
      <c r="BJ878" s="276" t="e">
        <f t="shared" si="815"/>
        <v>#DIV/0!</v>
      </c>
      <c r="BK878" s="276" t="e">
        <f t="shared" si="816"/>
        <v>#DIV/0!</v>
      </c>
      <c r="BL878" s="686" t="e">
        <f t="shared" si="817"/>
        <v>#DIV/0!</v>
      </c>
      <c r="BM878" s="239"/>
      <c r="BN878" s="965" t="e">
        <f t="shared" si="818"/>
        <v>#VALUE!</v>
      </c>
      <c r="BO878" s="878" t="e">
        <f t="shared" si="819"/>
        <v>#VALUE!</v>
      </c>
      <c r="BP878" s="878" t="e">
        <f t="shared" si="820"/>
        <v>#VALUE!</v>
      </c>
      <c r="BQ878" s="878" t="e">
        <f t="shared" si="821"/>
        <v>#VALUE!</v>
      </c>
      <c r="BR878" s="878" t="e">
        <f t="shared" si="822"/>
        <v>#VALUE!</v>
      </c>
      <c r="BS878" s="966" t="e">
        <f t="shared" si="823"/>
        <v>#VALUE!</v>
      </c>
    </row>
    <row r="879" spans="1:71">
      <c r="A879" s="284">
        <f t="shared" si="824"/>
        <v>811</v>
      </c>
      <c r="B879" s="285">
        <v>-4.4376324625551797</v>
      </c>
      <c r="C879" s="285">
        <v>2.6341552586043382</v>
      </c>
      <c r="D879" s="285">
        <v>2.0692627601722506</v>
      </c>
      <c r="E879" s="285">
        <v>13.488946039610823</v>
      </c>
      <c r="H879" s="685">
        <f t="shared" si="770"/>
        <v>-5.5708663043242348</v>
      </c>
      <c r="I879" s="276">
        <f t="shared" si="771"/>
        <v>-1.0650893728648034</v>
      </c>
      <c r="J879" s="276">
        <f t="shared" si="772"/>
        <v>0.19024512248672876</v>
      </c>
      <c r="K879" s="276">
        <f t="shared" si="773"/>
        <v>-0.67674934735642744</v>
      </c>
      <c r="L879" s="276">
        <f t="shared" si="774"/>
        <v>-5.5832366498152668</v>
      </c>
      <c r="M879" s="276">
        <f t="shared" si="775"/>
        <v>-2.3891782856082711</v>
      </c>
      <c r="N879" s="685">
        <f t="shared" si="776"/>
        <v>1.4269840476324698</v>
      </c>
      <c r="O879" s="276">
        <f t="shared" si="777"/>
        <v>1.1413835179013907</v>
      </c>
      <c r="P879" s="276">
        <f t="shared" si="778"/>
        <v>1.667477424293988</v>
      </c>
      <c r="Q879" s="276">
        <f t="shared" si="779"/>
        <v>1.476403319495198</v>
      </c>
      <c r="R879" s="276">
        <f t="shared" si="780"/>
        <v>1.3022502793359696</v>
      </c>
      <c r="S879" s="686">
        <f t="shared" si="781"/>
        <v>0.97078488401616858</v>
      </c>
      <c r="T879" s="685">
        <f t="shared" si="782"/>
        <v>5.3476264504431761</v>
      </c>
      <c r="U879" s="276">
        <f t="shared" si="783"/>
        <v>6.1007226755757475</v>
      </c>
      <c r="V879" s="276">
        <f t="shared" si="784"/>
        <v>4.5730135615627088</v>
      </c>
      <c r="W879" s="276">
        <f t="shared" si="785"/>
        <v>4.4862312160760034</v>
      </c>
      <c r="X879" s="276">
        <f t="shared" si="786"/>
        <v>3.7105247581983467</v>
      </c>
      <c r="Y879" s="686">
        <f t="shared" si="787"/>
        <v>3.4778600437059617</v>
      </c>
      <c r="Z879" s="685" t="e">
        <f t="shared" si="788"/>
        <v>#DIV/0!</v>
      </c>
      <c r="AA879" s="276" t="e">
        <f t="shared" si="789"/>
        <v>#DIV/0!</v>
      </c>
      <c r="AB879" s="276" t="e">
        <f t="shared" si="790"/>
        <v>#DIV/0!</v>
      </c>
      <c r="AC879" s="276" t="e">
        <f t="shared" si="791"/>
        <v>#DIV/0!</v>
      </c>
      <c r="AD879" s="276" t="e">
        <f t="shared" si="792"/>
        <v>#DIV/0!</v>
      </c>
      <c r="AE879" s="686" t="e">
        <f t="shared" si="793"/>
        <v>#DIV/0!</v>
      </c>
      <c r="AF879" s="239"/>
      <c r="AG879" s="965" t="e">
        <f t="shared" si="764"/>
        <v>#VALUE!</v>
      </c>
      <c r="AH879" s="878" t="e">
        <f t="shared" si="765"/>
        <v>#VALUE!</v>
      </c>
      <c r="AI879" s="878" t="e">
        <f t="shared" si="766"/>
        <v>#VALUE!</v>
      </c>
      <c r="AJ879" s="878" t="e">
        <f t="shared" si="767"/>
        <v>#VALUE!</v>
      </c>
      <c r="AK879" s="878" t="e">
        <f t="shared" si="768"/>
        <v>#VALUE!</v>
      </c>
      <c r="AL879" s="966" t="e">
        <f t="shared" si="769"/>
        <v>#VALUE!</v>
      </c>
      <c r="AM879" s="239"/>
      <c r="AO879" s="685">
        <f t="shared" si="794"/>
        <v>-5.5708663043242348</v>
      </c>
      <c r="AP879" s="276">
        <f t="shared" si="795"/>
        <v>-1.0650893728648034</v>
      </c>
      <c r="AQ879" s="276">
        <f t="shared" si="796"/>
        <v>0.19024512248672876</v>
      </c>
      <c r="AR879" s="276">
        <f t="shared" si="797"/>
        <v>-0.67674934735642744</v>
      </c>
      <c r="AS879" s="276">
        <f t="shared" si="798"/>
        <v>-5.5832366498152668</v>
      </c>
      <c r="AT879" s="276">
        <f t="shared" si="799"/>
        <v>-2.3891782856082711</v>
      </c>
      <c r="AU879" s="685">
        <f t="shared" si="800"/>
        <v>1.4269840476324698</v>
      </c>
      <c r="AV879" s="276">
        <f t="shared" si="801"/>
        <v>1.1413835179013907</v>
      </c>
      <c r="AW879" s="276">
        <f t="shared" si="802"/>
        <v>1.667477424293988</v>
      </c>
      <c r="AX879" s="276">
        <f t="shared" si="803"/>
        <v>1.476403319495198</v>
      </c>
      <c r="AY879" s="276">
        <f t="shared" si="804"/>
        <v>1.3022502793359696</v>
      </c>
      <c r="AZ879" s="686">
        <f t="shared" si="805"/>
        <v>0.97078488401616858</v>
      </c>
      <c r="BA879" s="685">
        <f t="shared" si="806"/>
        <v>0</v>
      </c>
      <c r="BB879" s="276">
        <f t="shared" si="807"/>
        <v>0</v>
      </c>
      <c r="BC879" s="276">
        <f t="shared" si="808"/>
        <v>0</v>
      </c>
      <c r="BD879" s="276">
        <f t="shared" si="809"/>
        <v>0</v>
      </c>
      <c r="BE879" s="276">
        <f t="shared" si="810"/>
        <v>0</v>
      </c>
      <c r="BF879" s="686">
        <f t="shared" si="811"/>
        <v>0</v>
      </c>
      <c r="BG879" s="685" t="e">
        <f t="shared" si="812"/>
        <v>#DIV/0!</v>
      </c>
      <c r="BH879" s="276" t="e">
        <f t="shared" si="813"/>
        <v>#DIV/0!</v>
      </c>
      <c r="BI879" s="276" t="e">
        <f t="shared" si="814"/>
        <v>#DIV/0!</v>
      </c>
      <c r="BJ879" s="276" t="e">
        <f t="shared" si="815"/>
        <v>#DIV/0!</v>
      </c>
      <c r="BK879" s="276" t="e">
        <f t="shared" si="816"/>
        <v>#DIV/0!</v>
      </c>
      <c r="BL879" s="686" t="e">
        <f t="shared" si="817"/>
        <v>#DIV/0!</v>
      </c>
      <c r="BM879" s="239"/>
      <c r="BN879" s="965" t="e">
        <f t="shared" si="818"/>
        <v>#VALUE!</v>
      </c>
      <c r="BO879" s="878" t="e">
        <f t="shared" si="819"/>
        <v>#VALUE!</v>
      </c>
      <c r="BP879" s="878" t="e">
        <f t="shared" si="820"/>
        <v>#VALUE!</v>
      </c>
      <c r="BQ879" s="878" t="e">
        <f t="shared" si="821"/>
        <v>#VALUE!</v>
      </c>
      <c r="BR879" s="878" t="e">
        <f t="shared" si="822"/>
        <v>#VALUE!</v>
      </c>
      <c r="BS879" s="966" t="e">
        <f t="shared" si="823"/>
        <v>#VALUE!</v>
      </c>
    </row>
    <row r="880" spans="1:71">
      <c r="A880" s="284">
        <f t="shared" si="824"/>
        <v>812</v>
      </c>
      <c r="B880" s="285">
        <v>1.3336405501434487</v>
      </c>
      <c r="C880" s="285">
        <v>3.1851433214573821</v>
      </c>
      <c r="D880" s="285">
        <v>-0.34132303894618721</v>
      </c>
      <c r="E880" s="285">
        <v>5.3047565450224088</v>
      </c>
      <c r="H880" s="685">
        <f t="shared" si="770"/>
        <v>0.20040670837439389</v>
      </c>
      <c r="I880" s="276">
        <f t="shared" si="771"/>
        <v>-5.5685464013343209</v>
      </c>
      <c r="J880" s="276">
        <f t="shared" si="772"/>
        <v>1.3448144264136495</v>
      </c>
      <c r="K880" s="276">
        <f t="shared" si="773"/>
        <v>0.47275092376025696</v>
      </c>
      <c r="L880" s="276">
        <f t="shared" si="774"/>
        <v>-1.4928519040865988</v>
      </c>
      <c r="M880" s="276">
        <f t="shared" si="775"/>
        <v>-3.1844075735955215</v>
      </c>
      <c r="N880" s="685">
        <f t="shared" si="776"/>
        <v>1.9779721104855137</v>
      </c>
      <c r="O880" s="276">
        <f t="shared" si="777"/>
        <v>1.3761413711427963</v>
      </c>
      <c r="P880" s="276">
        <f t="shared" si="778"/>
        <v>0.94725871919414728</v>
      </c>
      <c r="Q880" s="276">
        <f t="shared" si="779"/>
        <v>0.93333478178200013</v>
      </c>
      <c r="R880" s="276">
        <f t="shared" si="780"/>
        <v>2.1788223645764306</v>
      </c>
      <c r="S880" s="686">
        <f t="shared" si="781"/>
        <v>1.101629074752603</v>
      </c>
      <c r="T880" s="685">
        <f t="shared" si="782"/>
        <v>2.9370406513247387</v>
      </c>
      <c r="U880" s="276">
        <f t="shared" si="783"/>
        <v>3.3330738634773516</v>
      </c>
      <c r="V880" s="276">
        <f t="shared" si="784"/>
        <v>7.2045970773505612</v>
      </c>
      <c r="W880" s="276">
        <f t="shared" si="785"/>
        <v>6.0079249219374224</v>
      </c>
      <c r="X880" s="276">
        <f t="shared" si="786"/>
        <v>2.8402432435636649</v>
      </c>
      <c r="Y880" s="686">
        <f t="shared" si="787"/>
        <v>3.5538807312592349</v>
      </c>
      <c r="Z880" s="685" t="e">
        <f t="shared" si="788"/>
        <v>#DIV/0!</v>
      </c>
      <c r="AA880" s="276" t="e">
        <f t="shared" si="789"/>
        <v>#DIV/0!</v>
      </c>
      <c r="AB880" s="276" t="e">
        <f t="shared" si="790"/>
        <v>#DIV/0!</v>
      </c>
      <c r="AC880" s="276" t="e">
        <f t="shared" si="791"/>
        <v>#DIV/0!</v>
      </c>
      <c r="AD880" s="276" t="e">
        <f t="shared" si="792"/>
        <v>#DIV/0!</v>
      </c>
      <c r="AE880" s="686" t="e">
        <f t="shared" si="793"/>
        <v>#DIV/0!</v>
      </c>
      <c r="AF880" s="239"/>
      <c r="AG880" s="965" t="e">
        <f t="shared" si="764"/>
        <v>#VALUE!</v>
      </c>
      <c r="AH880" s="878" t="e">
        <f t="shared" si="765"/>
        <v>#VALUE!</v>
      </c>
      <c r="AI880" s="878" t="e">
        <f t="shared" si="766"/>
        <v>#VALUE!</v>
      </c>
      <c r="AJ880" s="878" t="e">
        <f t="shared" si="767"/>
        <v>#VALUE!</v>
      </c>
      <c r="AK880" s="878" t="e">
        <f t="shared" si="768"/>
        <v>#VALUE!</v>
      </c>
      <c r="AL880" s="966" t="e">
        <f t="shared" si="769"/>
        <v>#VALUE!</v>
      </c>
      <c r="AM880" s="239"/>
      <c r="AO880" s="685">
        <f t="shared" si="794"/>
        <v>0.20040670837439389</v>
      </c>
      <c r="AP880" s="276">
        <f t="shared" si="795"/>
        <v>-5.5685464013343209</v>
      </c>
      <c r="AQ880" s="276">
        <f t="shared" si="796"/>
        <v>1.3448144264136495</v>
      </c>
      <c r="AR880" s="276">
        <f t="shared" si="797"/>
        <v>0.47275092376025696</v>
      </c>
      <c r="AS880" s="276">
        <f t="shared" si="798"/>
        <v>-1.4928519040865988</v>
      </c>
      <c r="AT880" s="276">
        <f t="shared" si="799"/>
        <v>-3.1844075735955215</v>
      </c>
      <c r="AU880" s="685">
        <f t="shared" si="800"/>
        <v>1.9779721104855137</v>
      </c>
      <c r="AV880" s="276">
        <f t="shared" si="801"/>
        <v>1.3761413711427963</v>
      </c>
      <c r="AW880" s="276">
        <f t="shared" si="802"/>
        <v>0.94725871919414728</v>
      </c>
      <c r="AX880" s="276">
        <f t="shared" si="803"/>
        <v>0.93333478178200013</v>
      </c>
      <c r="AY880" s="276">
        <f t="shared" si="804"/>
        <v>2.1788223645764306</v>
      </c>
      <c r="AZ880" s="686">
        <f t="shared" si="805"/>
        <v>1.101629074752603</v>
      </c>
      <c r="BA880" s="685">
        <f t="shared" si="806"/>
        <v>0</v>
      </c>
      <c r="BB880" s="276">
        <f t="shared" si="807"/>
        <v>0</v>
      </c>
      <c r="BC880" s="276">
        <f t="shared" si="808"/>
        <v>0</v>
      </c>
      <c r="BD880" s="276">
        <f t="shared" si="809"/>
        <v>0</v>
      </c>
      <c r="BE880" s="276">
        <f t="shared" si="810"/>
        <v>0</v>
      </c>
      <c r="BF880" s="686">
        <f t="shared" si="811"/>
        <v>0</v>
      </c>
      <c r="BG880" s="685" t="e">
        <f t="shared" si="812"/>
        <v>#DIV/0!</v>
      </c>
      <c r="BH880" s="276" t="e">
        <f t="shared" si="813"/>
        <v>#DIV/0!</v>
      </c>
      <c r="BI880" s="276" t="e">
        <f t="shared" si="814"/>
        <v>#DIV/0!</v>
      </c>
      <c r="BJ880" s="276" t="e">
        <f t="shared" si="815"/>
        <v>#DIV/0!</v>
      </c>
      <c r="BK880" s="276" t="e">
        <f t="shared" si="816"/>
        <v>#DIV/0!</v>
      </c>
      <c r="BL880" s="686" t="e">
        <f t="shared" si="817"/>
        <v>#DIV/0!</v>
      </c>
      <c r="BM880" s="239"/>
      <c r="BN880" s="965" t="e">
        <f t="shared" si="818"/>
        <v>#VALUE!</v>
      </c>
      <c r="BO880" s="878" t="e">
        <f t="shared" si="819"/>
        <v>#VALUE!</v>
      </c>
      <c r="BP880" s="878" t="e">
        <f t="shared" si="820"/>
        <v>#VALUE!</v>
      </c>
      <c r="BQ880" s="878" t="e">
        <f t="shared" si="821"/>
        <v>#VALUE!</v>
      </c>
      <c r="BR880" s="878" t="e">
        <f t="shared" si="822"/>
        <v>#VALUE!</v>
      </c>
      <c r="BS880" s="966" t="e">
        <f t="shared" si="823"/>
        <v>#VALUE!</v>
      </c>
    </row>
    <row r="881" spans="1:71">
      <c r="A881" s="284">
        <f t="shared" si="824"/>
        <v>813</v>
      </c>
      <c r="B881" s="285">
        <v>2.3590515542334538</v>
      </c>
      <c r="C881" s="285">
        <v>2.2426008660918209</v>
      </c>
      <c r="D881" s="285">
        <v>2.0929263243853415</v>
      </c>
      <c r="E881" s="285">
        <v>-8.7011424053827682</v>
      </c>
      <c r="H881" s="685">
        <f t="shared" si="770"/>
        <v>1.225817712464399</v>
      </c>
      <c r="I881" s="276">
        <f t="shared" si="771"/>
        <v>-2.4034021610071434</v>
      </c>
      <c r="J881" s="276">
        <f t="shared" si="772"/>
        <v>1.8713299341035665</v>
      </c>
      <c r="K881" s="276">
        <f t="shared" si="773"/>
        <v>3.6946264688330679</v>
      </c>
      <c r="L881" s="276">
        <f t="shared" si="774"/>
        <v>-5.97460226059279</v>
      </c>
      <c r="M881" s="276">
        <f t="shared" si="775"/>
        <v>1.4325440669484493</v>
      </c>
      <c r="N881" s="685">
        <f t="shared" si="776"/>
        <v>1.0354296551199524</v>
      </c>
      <c r="O881" s="276">
        <f t="shared" si="777"/>
        <v>1.027687269128142</v>
      </c>
      <c r="P881" s="276">
        <f t="shared" si="778"/>
        <v>1.79357315086873</v>
      </c>
      <c r="Q881" s="276">
        <f t="shared" si="779"/>
        <v>1.6367891540585624</v>
      </c>
      <c r="R881" s="276">
        <f t="shared" si="780"/>
        <v>0.62514971773327477</v>
      </c>
      <c r="S881" s="686">
        <f t="shared" si="781"/>
        <v>1.5873864500632109</v>
      </c>
      <c r="T881" s="685">
        <f t="shared" si="782"/>
        <v>5.3712900146562674</v>
      </c>
      <c r="U881" s="276">
        <f t="shared" si="783"/>
        <v>2.0621304044685496</v>
      </c>
      <c r="V881" s="276">
        <f t="shared" si="784"/>
        <v>4.2272307011387742</v>
      </c>
      <c r="W881" s="276">
        <f t="shared" si="785"/>
        <v>4.4087835068096179</v>
      </c>
      <c r="X881" s="276">
        <f t="shared" si="786"/>
        <v>4.8553007962947596</v>
      </c>
      <c r="Y881" s="686">
        <f t="shared" si="787"/>
        <v>5.7906595293078222</v>
      </c>
      <c r="Z881" s="685" t="e">
        <f t="shared" si="788"/>
        <v>#DIV/0!</v>
      </c>
      <c r="AA881" s="276" t="e">
        <f t="shared" si="789"/>
        <v>#DIV/0!</v>
      </c>
      <c r="AB881" s="276" t="e">
        <f t="shared" si="790"/>
        <v>#DIV/0!</v>
      </c>
      <c r="AC881" s="276" t="e">
        <f t="shared" si="791"/>
        <v>#DIV/0!</v>
      </c>
      <c r="AD881" s="276" t="e">
        <f t="shared" si="792"/>
        <v>#DIV/0!</v>
      </c>
      <c r="AE881" s="686" t="e">
        <f t="shared" si="793"/>
        <v>#DIV/0!</v>
      </c>
      <c r="AF881" s="239"/>
      <c r="AG881" s="965" t="e">
        <f t="shared" si="764"/>
        <v>#VALUE!</v>
      </c>
      <c r="AH881" s="878" t="e">
        <f t="shared" si="765"/>
        <v>#VALUE!</v>
      </c>
      <c r="AI881" s="878" t="e">
        <f t="shared" si="766"/>
        <v>#VALUE!</v>
      </c>
      <c r="AJ881" s="878" t="e">
        <f t="shared" si="767"/>
        <v>#VALUE!</v>
      </c>
      <c r="AK881" s="878" t="e">
        <f t="shared" si="768"/>
        <v>#VALUE!</v>
      </c>
      <c r="AL881" s="966" t="e">
        <f t="shared" si="769"/>
        <v>#VALUE!</v>
      </c>
      <c r="AM881" s="239"/>
      <c r="AO881" s="685">
        <f t="shared" si="794"/>
        <v>1.225817712464399</v>
      </c>
      <c r="AP881" s="276">
        <f t="shared" si="795"/>
        <v>-2.4034021610071434</v>
      </c>
      <c r="AQ881" s="276">
        <f t="shared" si="796"/>
        <v>1.8713299341035665</v>
      </c>
      <c r="AR881" s="276">
        <f t="shared" si="797"/>
        <v>3.6946264688330679</v>
      </c>
      <c r="AS881" s="276">
        <f t="shared" si="798"/>
        <v>-5.97460226059279</v>
      </c>
      <c r="AT881" s="276">
        <f t="shared" si="799"/>
        <v>1.4325440669484493</v>
      </c>
      <c r="AU881" s="685">
        <f t="shared" si="800"/>
        <v>1.0354296551199524</v>
      </c>
      <c r="AV881" s="276">
        <f t="shared" si="801"/>
        <v>1.027687269128142</v>
      </c>
      <c r="AW881" s="276">
        <f t="shared" si="802"/>
        <v>1.79357315086873</v>
      </c>
      <c r="AX881" s="276">
        <f t="shared" si="803"/>
        <v>1.6367891540585624</v>
      </c>
      <c r="AY881" s="276">
        <f t="shared" si="804"/>
        <v>0.62514971773327477</v>
      </c>
      <c r="AZ881" s="686">
        <f t="shared" si="805"/>
        <v>1.5873864500632109</v>
      </c>
      <c r="BA881" s="685">
        <f t="shared" si="806"/>
        <v>0</v>
      </c>
      <c r="BB881" s="276">
        <f t="shared" si="807"/>
        <v>0</v>
      </c>
      <c r="BC881" s="276">
        <f t="shared" si="808"/>
        <v>0</v>
      </c>
      <c r="BD881" s="276">
        <f t="shared" si="809"/>
        <v>0</v>
      </c>
      <c r="BE881" s="276">
        <f t="shared" si="810"/>
        <v>0</v>
      </c>
      <c r="BF881" s="686">
        <f t="shared" si="811"/>
        <v>0</v>
      </c>
      <c r="BG881" s="685" t="e">
        <f t="shared" si="812"/>
        <v>#DIV/0!</v>
      </c>
      <c r="BH881" s="276" t="e">
        <f t="shared" si="813"/>
        <v>#DIV/0!</v>
      </c>
      <c r="BI881" s="276" t="e">
        <f t="shared" si="814"/>
        <v>#DIV/0!</v>
      </c>
      <c r="BJ881" s="276" t="e">
        <f t="shared" si="815"/>
        <v>#DIV/0!</v>
      </c>
      <c r="BK881" s="276" t="e">
        <f t="shared" si="816"/>
        <v>#DIV/0!</v>
      </c>
      <c r="BL881" s="686" t="e">
        <f t="shared" si="817"/>
        <v>#DIV/0!</v>
      </c>
      <c r="BM881" s="239"/>
      <c r="BN881" s="965" t="e">
        <f t="shared" si="818"/>
        <v>#VALUE!</v>
      </c>
      <c r="BO881" s="878" t="e">
        <f t="shared" si="819"/>
        <v>#VALUE!</v>
      </c>
      <c r="BP881" s="878" t="e">
        <f t="shared" si="820"/>
        <v>#VALUE!</v>
      </c>
      <c r="BQ881" s="878" t="e">
        <f t="shared" si="821"/>
        <v>#VALUE!</v>
      </c>
      <c r="BR881" s="878" t="e">
        <f t="shared" si="822"/>
        <v>#VALUE!</v>
      </c>
      <c r="BS881" s="966" t="e">
        <f t="shared" si="823"/>
        <v>#VALUE!</v>
      </c>
    </row>
    <row r="882" spans="1:71">
      <c r="A882" s="284">
        <f t="shared" si="824"/>
        <v>814</v>
      </c>
      <c r="B882" s="285">
        <v>-1.592687606342563</v>
      </c>
      <c r="C882" s="285">
        <v>2.4125324350754358</v>
      </c>
      <c r="D882" s="285">
        <v>1.3227520767077854</v>
      </c>
      <c r="E882" s="285">
        <v>-14.51580039916724</v>
      </c>
      <c r="H882" s="685">
        <f t="shared" si="770"/>
        <v>-2.7259214481116176</v>
      </c>
      <c r="I882" s="276">
        <f t="shared" si="771"/>
        <v>-2.7788033554809859</v>
      </c>
      <c r="J882" s="276">
        <f t="shared" si="772"/>
        <v>-2.0216467511987029</v>
      </c>
      <c r="K882" s="276">
        <f t="shared" si="773"/>
        <v>2.1056700149659493</v>
      </c>
      <c r="L882" s="276">
        <f t="shared" si="774"/>
        <v>0.1280506517195743</v>
      </c>
      <c r="M882" s="276">
        <f t="shared" si="775"/>
        <v>4.404118302633985</v>
      </c>
      <c r="N882" s="685">
        <f t="shared" si="776"/>
        <v>1.2053612241035674</v>
      </c>
      <c r="O882" s="276">
        <f t="shared" si="777"/>
        <v>1.2353675973759286</v>
      </c>
      <c r="P882" s="276">
        <f t="shared" si="778"/>
        <v>1.3383806825696583</v>
      </c>
      <c r="Q882" s="276">
        <f t="shared" si="779"/>
        <v>1.7826053772917707</v>
      </c>
      <c r="R882" s="276">
        <f t="shared" si="780"/>
        <v>1.7059877411073769</v>
      </c>
      <c r="S882" s="686">
        <f t="shared" si="781"/>
        <v>1.9244573906385576</v>
      </c>
      <c r="T882" s="685">
        <f t="shared" si="782"/>
        <v>4.6011157669787117</v>
      </c>
      <c r="U882" s="276">
        <f t="shared" si="783"/>
        <v>5.6854398469099099</v>
      </c>
      <c r="V882" s="276">
        <f t="shared" si="784"/>
        <v>4.5706821465980907</v>
      </c>
      <c r="W882" s="276">
        <f t="shared" si="785"/>
        <v>2.1044478611172055</v>
      </c>
      <c r="X882" s="276">
        <f t="shared" si="786"/>
        <v>4.593786859094779</v>
      </c>
      <c r="Y882" s="686">
        <f t="shared" si="787"/>
        <v>6.2101193965431687</v>
      </c>
      <c r="Z882" s="685" t="e">
        <f t="shared" si="788"/>
        <v>#DIV/0!</v>
      </c>
      <c r="AA882" s="276" t="e">
        <f t="shared" si="789"/>
        <v>#DIV/0!</v>
      </c>
      <c r="AB882" s="276" t="e">
        <f t="shared" si="790"/>
        <v>#DIV/0!</v>
      </c>
      <c r="AC882" s="276" t="e">
        <f t="shared" si="791"/>
        <v>#DIV/0!</v>
      </c>
      <c r="AD882" s="276" t="e">
        <f t="shared" si="792"/>
        <v>#DIV/0!</v>
      </c>
      <c r="AE882" s="686" t="e">
        <f t="shared" si="793"/>
        <v>#DIV/0!</v>
      </c>
      <c r="AF882" s="239"/>
      <c r="AG882" s="965" t="e">
        <f t="shared" si="764"/>
        <v>#VALUE!</v>
      </c>
      <c r="AH882" s="878" t="e">
        <f t="shared" si="765"/>
        <v>#VALUE!</v>
      </c>
      <c r="AI882" s="878" t="e">
        <f t="shared" si="766"/>
        <v>#VALUE!</v>
      </c>
      <c r="AJ882" s="878" t="e">
        <f t="shared" si="767"/>
        <v>#VALUE!</v>
      </c>
      <c r="AK882" s="878" t="e">
        <f t="shared" si="768"/>
        <v>#VALUE!</v>
      </c>
      <c r="AL882" s="966" t="e">
        <f t="shared" si="769"/>
        <v>#VALUE!</v>
      </c>
      <c r="AM882" s="239"/>
      <c r="AO882" s="685">
        <f t="shared" si="794"/>
        <v>-2.7259214481116176</v>
      </c>
      <c r="AP882" s="276">
        <f t="shared" si="795"/>
        <v>-2.7788033554809859</v>
      </c>
      <c r="AQ882" s="276">
        <f t="shared" si="796"/>
        <v>-2.0216467511987029</v>
      </c>
      <c r="AR882" s="276">
        <f t="shared" si="797"/>
        <v>2.1056700149659493</v>
      </c>
      <c r="AS882" s="276">
        <f t="shared" si="798"/>
        <v>0.1280506517195743</v>
      </c>
      <c r="AT882" s="276">
        <f t="shared" si="799"/>
        <v>4.404118302633985</v>
      </c>
      <c r="AU882" s="685">
        <f t="shared" si="800"/>
        <v>1.2053612241035674</v>
      </c>
      <c r="AV882" s="276">
        <f t="shared" si="801"/>
        <v>1.2353675973759286</v>
      </c>
      <c r="AW882" s="276">
        <f t="shared" si="802"/>
        <v>1.3383806825696583</v>
      </c>
      <c r="AX882" s="276">
        <f t="shared" si="803"/>
        <v>1.7826053772917707</v>
      </c>
      <c r="AY882" s="276">
        <f t="shared" si="804"/>
        <v>1.7059877411073769</v>
      </c>
      <c r="AZ882" s="686">
        <f t="shared" si="805"/>
        <v>1.9244573906385576</v>
      </c>
      <c r="BA882" s="685">
        <f t="shared" si="806"/>
        <v>0</v>
      </c>
      <c r="BB882" s="276">
        <f t="shared" si="807"/>
        <v>0</v>
      </c>
      <c r="BC882" s="276">
        <f t="shared" si="808"/>
        <v>0</v>
      </c>
      <c r="BD882" s="276">
        <f t="shared" si="809"/>
        <v>0</v>
      </c>
      <c r="BE882" s="276">
        <f t="shared" si="810"/>
        <v>0</v>
      </c>
      <c r="BF882" s="686">
        <f t="shared" si="811"/>
        <v>0</v>
      </c>
      <c r="BG882" s="685" t="e">
        <f t="shared" si="812"/>
        <v>#DIV/0!</v>
      </c>
      <c r="BH882" s="276" t="e">
        <f t="shared" si="813"/>
        <v>#DIV/0!</v>
      </c>
      <c r="BI882" s="276" t="e">
        <f t="shared" si="814"/>
        <v>#DIV/0!</v>
      </c>
      <c r="BJ882" s="276" t="e">
        <f t="shared" si="815"/>
        <v>#DIV/0!</v>
      </c>
      <c r="BK882" s="276" t="e">
        <f t="shared" si="816"/>
        <v>#DIV/0!</v>
      </c>
      <c r="BL882" s="686" t="e">
        <f t="shared" si="817"/>
        <v>#DIV/0!</v>
      </c>
      <c r="BM882" s="239"/>
      <c r="BN882" s="965" t="e">
        <f t="shared" si="818"/>
        <v>#VALUE!</v>
      </c>
      <c r="BO882" s="878" t="e">
        <f t="shared" si="819"/>
        <v>#VALUE!</v>
      </c>
      <c r="BP882" s="878" t="e">
        <f t="shared" si="820"/>
        <v>#VALUE!</v>
      </c>
      <c r="BQ882" s="878" t="e">
        <f t="shared" si="821"/>
        <v>#VALUE!</v>
      </c>
      <c r="BR882" s="878" t="e">
        <f t="shared" si="822"/>
        <v>#VALUE!</v>
      </c>
      <c r="BS882" s="966" t="e">
        <f t="shared" si="823"/>
        <v>#VALUE!</v>
      </c>
    </row>
    <row r="883" spans="1:71">
      <c r="A883" s="284">
        <f t="shared" si="824"/>
        <v>815</v>
      </c>
      <c r="B883" s="285">
        <v>4.6145406888596936</v>
      </c>
      <c r="C883" s="285">
        <v>2.376885773072051</v>
      </c>
      <c r="D883" s="285">
        <v>1.2490315249408606</v>
      </c>
      <c r="E883" s="285">
        <v>-9.0615887801137074</v>
      </c>
      <c r="H883" s="685">
        <f t="shared" si="770"/>
        <v>3.4813068470906385</v>
      </c>
      <c r="I883" s="276">
        <f t="shared" si="771"/>
        <v>-3.4377517283202419</v>
      </c>
      <c r="J883" s="276">
        <f t="shared" si="772"/>
        <v>-5.3087296558064807</v>
      </c>
      <c r="K883" s="276">
        <f t="shared" si="773"/>
        <v>-2.1829815388755192</v>
      </c>
      <c r="L883" s="276">
        <f t="shared" si="774"/>
        <v>2.7966970069531971E-2</v>
      </c>
      <c r="M883" s="276">
        <f t="shared" si="775"/>
        <v>1.6013224811870634</v>
      </c>
      <c r="N883" s="685">
        <f t="shared" si="776"/>
        <v>1.1697145621001825</v>
      </c>
      <c r="O883" s="276">
        <f t="shared" si="777"/>
        <v>0.40810386279864086</v>
      </c>
      <c r="P883" s="276">
        <f t="shared" si="778"/>
        <v>1.5250701728374334</v>
      </c>
      <c r="Q883" s="276">
        <f t="shared" si="779"/>
        <v>1.0747864636237463</v>
      </c>
      <c r="R883" s="276">
        <f t="shared" si="780"/>
        <v>1.2700186367071653</v>
      </c>
      <c r="S883" s="686">
        <f t="shared" si="781"/>
        <v>2.0540185514336589</v>
      </c>
      <c r="T883" s="685">
        <f t="shared" si="782"/>
        <v>4.5273952152117865</v>
      </c>
      <c r="U883" s="276">
        <f t="shared" si="783"/>
        <v>4.1154656544628221</v>
      </c>
      <c r="V883" s="276">
        <f t="shared" si="784"/>
        <v>3.7152533163576349</v>
      </c>
      <c r="W883" s="276">
        <f t="shared" si="785"/>
        <v>4.547709747913073</v>
      </c>
      <c r="X883" s="276">
        <f t="shared" si="786"/>
        <v>4.1736679836593522</v>
      </c>
      <c r="Y883" s="686">
        <f t="shared" si="787"/>
        <v>4.172219501439062</v>
      </c>
      <c r="Z883" s="685" t="e">
        <f t="shared" si="788"/>
        <v>#DIV/0!</v>
      </c>
      <c r="AA883" s="276" t="e">
        <f t="shared" si="789"/>
        <v>#DIV/0!</v>
      </c>
      <c r="AB883" s="276" t="e">
        <f t="shared" si="790"/>
        <v>#DIV/0!</v>
      </c>
      <c r="AC883" s="276" t="e">
        <f t="shared" si="791"/>
        <v>#DIV/0!</v>
      </c>
      <c r="AD883" s="276" t="e">
        <f t="shared" si="792"/>
        <v>#DIV/0!</v>
      </c>
      <c r="AE883" s="686" t="e">
        <f t="shared" si="793"/>
        <v>#DIV/0!</v>
      </c>
      <c r="AF883" s="239"/>
      <c r="AG883" s="965" t="e">
        <f t="shared" si="764"/>
        <v>#VALUE!</v>
      </c>
      <c r="AH883" s="878" t="e">
        <f t="shared" si="765"/>
        <v>#VALUE!</v>
      </c>
      <c r="AI883" s="878" t="e">
        <f t="shared" si="766"/>
        <v>#VALUE!</v>
      </c>
      <c r="AJ883" s="878" t="e">
        <f t="shared" si="767"/>
        <v>#VALUE!</v>
      </c>
      <c r="AK883" s="878" t="e">
        <f t="shared" si="768"/>
        <v>#VALUE!</v>
      </c>
      <c r="AL883" s="966" t="e">
        <f t="shared" si="769"/>
        <v>#VALUE!</v>
      </c>
      <c r="AM883" s="239"/>
      <c r="AO883" s="685">
        <f t="shared" si="794"/>
        <v>3.4813068470906385</v>
      </c>
      <c r="AP883" s="276">
        <f t="shared" si="795"/>
        <v>-3.4377517283202419</v>
      </c>
      <c r="AQ883" s="276">
        <f t="shared" si="796"/>
        <v>-5.3087296558064807</v>
      </c>
      <c r="AR883" s="276">
        <f t="shared" si="797"/>
        <v>-2.1829815388755192</v>
      </c>
      <c r="AS883" s="276">
        <f t="shared" si="798"/>
        <v>2.7966970069531971E-2</v>
      </c>
      <c r="AT883" s="276">
        <f t="shared" si="799"/>
        <v>1.6013224811870634</v>
      </c>
      <c r="AU883" s="685">
        <f t="shared" si="800"/>
        <v>1.1697145621001825</v>
      </c>
      <c r="AV883" s="276">
        <f t="shared" si="801"/>
        <v>0.40810386279864086</v>
      </c>
      <c r="AW883" s="276">
        <f t="shared" si="802"/>
        <v>1.5250701728374334</v>
      </c>
      <c r="AX883" s="276">
        <f t="shared" si="803"/>
        <v>1.0747864636237463</v>
      </c>
      <c r="AY883" s="276">
        <f t="shared" si="804"/>
        <v>1.2700186367071653</v>
      </c>
      <c r="AZ883" s="686">
        <f t="shared" si="805"/>
        <v>2.0540185514336589</v>
      </c>
      <c r="BA883" s="685">
        <f t="shared" si="806"/>
        <v>0</v>
      </c>
      <c r="BB883" s="276">
        <f t="shared" si="807"/>
        <v>0</v>
      </c>
      <c r="BC883" s="276">
        <f t="shared" si="808"/>
        <v>0</v>
      </c>
      <c r="BD883" s="276">
        <f t="shared" si="809"/>
        <v>0</v>
      </c>
      <c r="BE883" s="276">
        <f t="shared" si="810"/>
        <v>0</v>
      </c>
      <c r="BF883" s="686">
        <f t="shared" si="811"/>
        <v>0</v>
      </c>
      <c r="BG883" s="685" t="e">
        <f t="shared" si="812"/>
        <v>#DIV/0!</v>
      </c>
      <c r="BH883" s="276" t="e">
        <f t="shared" si="813"/>
        <v>#DIV/0!</v>
      </c>
      <c r="BI883" s="276" t="e">
        <f t="shared" si="814"/>
        <v>#DIV/0!</v>
      </c>
      <c r="BJ883" s="276" t="e">
        <f t="shared" si="815"/>
        <v>#DIV/0!</v>
      </c>
      <c r="BK883" s="276" t="e">
        <f t="shared" si="816"/>
        <v>#DIV/0!</v>
      </c>
      <c r="BL883" s="686" t="e">
        <f t="shared" si="817"/>
        <v>#DIV/0!</v>
      </c>
      <c r="BM883" s="239"/>
      <c r="BN883" s="965" t="e">
        <f t="shared" si="818"/>
        <v>#VALUE!</v>
      </c>
      <c r="BO883" s="878" t="e">
        <f t="shared" si="819"/>
        <v>#VALUE!</v>
      </c>
      <c r="BP883" s="878" t="e">
        <f t="shared" si="820"/>
        <v>#VALUE!</v>
      </c>
      <c r="BQ883" s="878" t="e">
        <f t="shared" si="821"/>
        <v>#VALUE!</v>
      </c>
      <c r="BR883" s="878" t="e">
        <f t="shared" si="822"/>
        <v>#VALUE!</v>
      </c>
      <c r="BS883" s="966" t="e">
        <f t="shared" si="823"/>
        <v>#VALUE!</v>
      </c>
    </row>
    <row r="884" spans="1:71">
      <c r="A884" s="284">
        <f t="shared" si="824"/>
        <v>816</v>
      </c>
      <c r="B884" s="285">
        <v>2.5956378074779889</v>
      </c>
      <c r="C884" s="285">
        <v>2.9631562088138317</v>
      </c>
      <c r="D884" s="285">
        <v>1.0294933882809663</v>
      </c>
      <c r="E884" s="285">
        <v>-6.1982160263604609</v>
      </c>
      <c r="H884" s="685">
        <f t="shared" si="770"/>
        <v>1.4624039657089341</v>
      </c>
      <c r="I884" s="276">
        <f t="shared" si="771"/>
        <v>-2.3180331278039552</v>
      </c>
      <c r="J884" s="276">
        <f t="shared" si="772"/>
        <v>-2.6308694916174211</v>
      </c>
      <c r="K884" s="276">
        <f t="shared" si="773"/>
        <v>-3.7667071232348395</v>
      </c>
      <c r="L884" s="276">
        <f t="shared" si="774"/>
        <v>-2.979566334310634</v>
      </c>
      <c r="M884" s="276">
        <f t="shared" si="775"/>
        <v>-3.9414951000504503</v>
      </c>
      <c r="N884" s="685">
        <f t="shared" si="776"/>
        <v>1.7559849978419633</v>
      </c>
      <c r="O884" s="276">
        <f t="shared" si="777"/>
        <v>1.4961761488359089</v>
      </c>
      <c r="P884" s="276">
        <f t="shared" si="778"/>
        <v>0.32449542819682975</v>
      </c>
      <c r="Q884" s="276">
        <f t="shared" si="779"/>
        <v>0.37880908115073986</v>
      </c>
      <c r="R884" s="276">
        <f t="shared" si="780"/>
        <v>0.79903073020817916</v>
      </c>
      <c r="S884" s="686">
        <f t="shared" si="781"/>
        <v>1.5028950761821773</v>
      </c>
      <c r="T884" s="685">
        <f t="shared" si="782"/>
        <v>4.3078570785518924</v>
      </c>
      <c r="U884" s="276">
        <f t="shared" si="783"/>
        <v>2.051769038866714</v>
      </c>
      <c r="V884" s="276">
        <f t="shared" si="784"/>
        <v>4.7890062885212936</v>
      </c>
      <c r="W884" s="276">
        <f t="shared" si="785"/>
        <v>4.9841701342969404</v>
      </c>
      <c r="X884" s="276">
        <f t="shared" si="786"/>
        <v>4.0376105419758224</v>
      </c>
      <c r="Y884" s="686">
        <f t="shared" si="787"/>
        <v>2.5911249917009966</v>
      </c>
      <c r="Z884" s="685" t="e">
        <f t="shared" si="788"/>
        <v>#DIV/0!</v>
      </c>
      <c r="AA884" s="276" t="e">
        <f t="shared" si="789"/>
        <v>#DIV/0!</v>
      </c>
      <c r="AB884" s="276" t="e">
        <f t="shared" si="790"/>
        <v>#DIV/0!</v>
      </c>
      <c r="AC884" s="276" t="e">
        <f t="shared" si="791"/>
        <v>#DIV/0!</v>
      </c>
      <c r="AD884" s="276" t="e">
        <f t="shared" si="792"/>
        <v>#DIV/0!</v>
      </c>
      <c r="AE884" s="686" t="e">
        <f t="shared" si="793"/>
        <v>#DIV/0!</v>
      </c>
      <c r="AF884" s="239"/>
      <c r="AG884" s="965" t="e">
        <f t="shared" si="764"/>
        <v>#VALUE!</v>
      </c>
      <c r="AH884" s="878" t="e">
        <f t="shared" si="765"/>
        <v>#VALUE!</v>
      </c>
      <c r="AI884" s="878" t="e">
        <f t="shared" si="766"/>
        <v>#VALUE!</v>
      </c>
      <c r="AJ884" s="878" t="e">
        <f t="shared" si="767"/>
        <v>#VALUE!</v>
      </c>
      <c r="AK884" s="878" t="e">
        <f t="shared" si="768"/>
        <v>#VALUE!</v>
      </c>
      <c r="AL884" s="966" t="e">
        <f t="shared" si="769"/>
        <v>#VALUE!</v>
      </c>
      <c r="AM884" s="239"/>
      <c r="AO884" s="685">
        <f t="shared" si="794"/>
        <v>1.4624039657089341</v>
      </c>
      <c r="AP884" s="276">
        <f t="shared" si="795"/>
        <v>-2.3180331278039552</v>
      </c>
      <c r="AQ884" s="276">
        <f t="shared" si="796"/>
        <v>-2.6308694916174211</v>
      </c>
      <c r="AR884" s="276">
        <f t="shared" si="797"/>
        <v>-3.7667071232348395</v>
      </c>
      <c r="AS884" s="276">
        <f t="shared" si="798"/>
        <v>-2.979566334310634</v>
      </c>
      <c r="AT884" s="276">
        <f t="shared" si="799"/>
        <v>-3.9414951000504503</v>
      </c>
      <c r="AU884" s="685">
        <f t="shared" si="800"/>
        <v>1.7559849978419633</v>
      </c>
      <c r="AV884" s="276">
        <f t="shared" si="801"/>
        <v>1.4961761488359089</v>
      </c>
      <c r="AW884" s="276">
        <f t="shared" si="802"/>
        <v>0.32449542819682975</v>
      </c>
      <c r="AX884" s="276">
        <f t="shared" si="803"/>
        <v>0.37880908115073986</v>
      </c>
      <c r="AY884" s="276">
        <f t="shared" si="804"/>
        <v>0.79903073020817916</v>
      </c>
      <c r="AZ884" s="686">
        <f t="shared" si="805"/>
        <v>1.5028950761821773</v>
      </c>
      <c r="BA884" s="685">
        <f t="shared" si="806"/>
        <v>0</v>
      </c>
      <c r="BB884" s="276">
        <f t="shared" si="807"/>
        <v>0</v>
      </c>
      <c r="BC884" s="276">
        <f t="shared" si="808"/>
        <v>0</v>
      </c>
      <c r="BD884" s="276">
        <f t="shared" si="809"/>
        <v>0</v>
      </c>
      <c r="BE884" s="276">
        <f t="shared" si="810"/>
        <v>0</v>
      </c>
      <c r="BF884" s="686">
        <f t="shared" si="811"/>
        <v>0</v>
      </c>
      <c r="BG884" s="685" t="e">
        <f t="shared" si="812"/>
        <v>#DIV/0!</v>
      </c>
      <c r="BH884" s="276" t="e">
        <f t="shared" si="813"/>
        <v>#DIV/0!</v>
      </c>
      <c r="BI884" s="276" t="e">
        <f t="shared" si="814"/>
        <v>#DIV/0!</v>
      </c>
      <c r="BJ884" s="276" t="e">
        <f t="shared" si="815"/>
        <v>#DIV/0!</v>
      </c>
      <c r="BK884" s="276" t="e">
        <f t="shared" si="816"/>
        <v>#DIV/0!</v>
      </c>
      <c r="BL884" s="686" t="e">
        <f t="shared" si="817"/>
        <v>#DIV/0!</v>
      </c>
      <c r="BM884" s="239"/>
      <c r="BN884" s="965" t="e">
        <f t="shared" si="818"/>
        <v>#VALUE!</v>
      </c>
      <c r="BO884" s="878" t="e">
        <f t="shared" si="819"/>
        <v>#VALUE!</v>
      </c>
      <c r="BP884" s="878" t="e">
        <f t="shared" si="820"/>
        <v>#VALUE!</v>
      </c>
      <c r="BQ884" s="878" t="e">
        <f t="shared" si="821"/>
        <v>#VALUE!</v>
      </c>
      <c r="BR884" s="878" t="e">
        <f t="shared" si="822"/>
        <v>#VALUE!</v>
      </c>
      <c r="BS884" s="966" t="e">
        <f t="shared" si="823"/>
        <v>#VALUE!</v>
      </c>
    </row>
    <row r="885" spans="1:71">
      <c r="A885" s="284">
        <f t="shared" si="824"/>
        <v>817</v>
      </c>
      <c r="B885" s="285">
        <v>-1.5288838419989916</v>
      </c>
      <c r="C885" s="285">
        <v>2.3990925295187191</v>
      </c>
      <c r="D885" s="285">
        <v>3.7533087433717629</v>
      </c>
      <c r="E885" s="285">
        <v>-4.282650521377505</v>
      </c>
      <c r="H885" s="685">
        <f t="shared" si="770"/>
        <v>-2.6621176837680465</v>
      </c>
      <c r="I885" s="276">
        <f t="shared" si="771"/>
        <v>0.73181265161462616</v>
      </c>
      <c r="J885" s="276">
        <f t="shared" si="772"/>
        <v>-0.15056479168684112</v>
      </c>
      <c r="K885" s="276">
        <f t="shared" si="773"/>
        <v>-2.4018597538468867</v>
      </c>
      <c r="L885" s="276">
        <f t="shared" si="774"/>
        <v>1.6090348735197797</v>
      </c>
      <c r="M885" s="276">
        <f t="shared" si="775"/>
        <v>-2.8686899400736223</v>
      </c>
      <c r="N885" s="685">
        <f t="shared" si="776"/>
        <v>1.1919213185468507</v>
      </c>
      <c r="O885" s="276">
        <f t="shared" si="777"/>
        <v>1.099688392971691</v>
      </c>
      <c r="P885" s="276">
        <f t="shared" si="778"/>
        <v>1.0554891116357765</v>
      </c>
      <c r="Q885" s="276">
        <f t="shared" si="779"/>
        <v>0.9243753842880118</v>
      </c>
      <c r="R885" s="276">
        <f t="shared" si="780"/>
        <v>1.7446935119527518</v>
      </c>
      <c r="S885" s="686">
        <f t="shared" si="781"/>
        <v>2.2900526664638123</v>
      </c>
      <c r="T885" s="685">
        <f t="shared" si="782"/>
        <v>7.0316724336426883</v>
      </c>
      <c r="U885" s="276">
        <f t="shared" si="783"/>
        <v>3.8376778206755482</v>
      </c>
      <c r="V885" s="276">
        <f t="shared" si="784"/>
        <v>6.550400349215689</v>
      </c>
      <c r="W885" s="276">
        <f t="shared" si="785"/>
        <v>2.4793412471269298</v>
      </c>
      <c r="X885" s="276">
        <f t="shared" si="786"/>
        <v>4.1357712833900093</v>
      </c>
      <c r="Y885" s="686">
        <f t="shared" si="787"/>
        <v>2.3510374174433353</v>
      </c>
      <c r="Z885" s="685" t="e">
        <f t="shared" si="788"/>
        <v>#DIV/0!</v>
      </c>
      <c r="AA885" s="276" t="e">
        <f t="shared" si="789"/>
        <v>#DIV/0!</v>
      </c>
      <c r="AB885" s="276" t="e">
        <f t="shared" si="790"/>
        <v>#DIV/0!</v>
      </c>
      <c r="AC885" s="276" t="e">
        <f t="shared" si="791"/>
        <v>#DIV/0!</v>
      </c>
      <c r="AD885" s="276" t="e">
        <f t="shared" si="792"/>
        <v>#DIV/0!</v>
      </c>
      <c r="AE885" s="686" t="e">
        <f t="shared" si="793"/>
        <v>#DIV/0!</v>
      </c>
      <c r="AF885" s="239"/>
      <c r="AG885" s="965" t="e">
        <f t="shared" si="764"/>
        <v>#VALUE!</v>
      </c>
      <c r="AH885" s="878" t="e">
        <f t="shared" si="765"/>
        <v>#VALUE!</v>
      </c>
      <c r="AI885" s="878" t="e">
        <f t="shared" si="766"/>
        <v>#VALUE!</v>
      </c>
      <c r="AJ885" s="878" t="e">
        <f t="shared" si="767"/>
        <v>#VALUE!</v>
      </c>
      <c r="AK885" s="878" t="e">
        <f t="shared" si="768"/>
        <v>#VALUE!</v>
      </c>
      <c r="AL885" s="966" t="e">
        <f t="shared" si="769"/>
        <v>#VALUE!</v>
      </c>
      <c r="AM885" s="239"/>
      <c r="AO885" s="685">
        <f t="shared" si="794"/>
        <v>-2.6621176837680465</v>
      </c>
      <c r="AP885" s="276">
        <f t="shared" si="795"/>
        <v>0.73181265161462616</v>
      </c>
      <c r="AQ885" s="276">
        <f t="shared" si="796"/>
        <v>-0.15056479168684112</v>
      </c>
      <c r="AR885" s="276">
        <f t="shared" si="797"/>
        <v>-2.4018597538468867</v>
      </c>
      <c r="AS885" s="276">
        <f t="shared" si="798"/>
        <v>1.6090348735197797</v>
      </c>
      <c r="AT885" s="276">
        <f t="shared" si="799"/>
        <v>-2.8686899400736223</v>
      </c>
      <c r="AU885" s="685">
        <f t="shared" si="800"/>
        <v>1.1919213185468507</v>
      </c>
      <c r="AV885" s="276">
        <f t="shared" si="801"/>
        <v>1.099688392971691</v>
      </c>
      <c r="AW885" s="276">
        <f t="shared" si="802"/>
        <v>1.0554891116357765</v>
      </c>
      <c r="AX885" s="276">
        <f t="shared" si="803"/>
        <v>0.9243753842880118</v>
      </c>
      <c r="AY885" s="276">
        <f t="shared" si="804"/>
        <v>1.7446935119527518</v>
      </c>
      <c r="AZ885" s="686">
        <f t="shared" si="805"/>
        <v>2.2900526664638123</v>
      </c>
      <c r="BA885" s="685">
        <f t="shared" si="806"/>
        <v>0</v>
      </c>
      <c r="BB885" s="276">
        <f t="shared" si="807"/>
        <v>0</v>
      </c>
      <c r="BC885" s="276">
        <f t="shared" si="808"/>
        <v>0</v>
      </c>
      <c r="BD885" s="276">
        <f t="shared" si="809"/>
        <v>0</v>
      </c>
      <c r="BE885" s="276">
        <f t="shared" si="810"/>
        <v>0</v>
      </c>
      <c r="BF885" s="686">
        <f t="shared" si="811"/>
        <v>0</v>
      </c>
      <c r="BG885" s="685" t="e">
        <f t="shared" si="812"/>
        <v>#DIV/0!</v>
      </c>
      <c r="BH885" s="276" t="e">
        <f t="shared" si="813"/>
        <v>#DIV/0!</v>
      </c>
      <c r="BI885" s="276" t="e">
        <f t="shared" si="814"/>
        <v>#DIV/0!</v>
      </c>
      <c r="BJ885" s="276" t="e">
        <f t="shared" si="815"/>
        <v>#DIV/0!</v>
      </c>
      <c r="BK885" s="276" t="e">
        <f t="shared" si="816"/>
        <v>#DIV/0!</v>
      </c>
      <c r="BL885" s="686" t="e">
        <f t="shared" si="817"/>
        <v>#DIV/0!</v>
      </c>
      <c r="BM885" s="239"/>
      <c r="BN885" s="965" t="e">
        <f t="shared" si="818"/>
        <v>#VALUE!</v>
      </c>
      <c r="BO885" s="878" t="e">
        <f t="shared" si="819"/>
        <v>#VALUE!</v>
      </c>
      <c r="BP885" s="878" t="e">
        <f t="shared" si="820"/>
        <v>#VALUE!</v>
      </c>
      <c r="BQ885" s="878" t="e">
        <f t="shared" si="821"/>
        <v>#VALUE!</v>
      </c>
      <c r="BR885" s="878" t="e">
        <f t="shared" si="822"/>
        <v>#VALUE!</v>
      </c>
      <c r="BS885" s="966" t="e">
        <f t="shared" si="823"/>
        <v>#VALUE!</v>
      </c>
    </row>
    <row r="886" spans="1:71">
      <c r="A886" s="284">
        <f t="shared" si="824"/>
        <v>818</v>
      </c>
      <c r="B886" s="285">
        <v>-7.8192105829793439</v>
      </c>
      <c r="C886" s="285">
        <v>1.843343980361263</v>
      </c>
      <c r="D886" s="285">
        <v>-2.2404382638855154</v>
      </c>
      <c r="E886" s="285">
        <v>0.23580970701637982</v>
      </c>
      <c r="H886" s="685">
        <f t="shared" si="770"/>
        <v>-8.9524444247483981</v>
      </c>
      <c r="I886" s="276">
        <f t="shared" si="771"/>
        <v>-2.0353975220533309</v>
      </c>
      <c r="J886" s="276">
        <f t="shared" si="772"/>
        <v>-1.1115913599508571</v>
      </c>
      <c r="K886" s="276">
        <f t="shared" si="773"/>
        <v>2.1465512538249429</v>
      </c>
      <c r="L886" s="276">
        <f t="shared" si="774"/>
        <v>-2.316959286467168</v>
      </c>
      <c r="M886" s="276">
        <f t="shared" si="775"/>
        <v>-3.9213265487844664</v>
      </c>
      <c r="N886" s="685">
        <f t="shared" si="776"/>
        <v>0.6361727693893946</v>
      </c>
      <c r="O886" s="276">
        <f t="shared" si="777"/>
        <v>0.97365619516486324</v>
      </c>
      <c r="P886" s="276">
        <f t="shared" si="778"/>
        <v>1.0443972874436189</v>
      </c>
      <c r="Q886" s="276">
        <f t="shared" si="779"/>
        <v>0.39780837179364847</v>
      </c>
      <c r="R886" s="276">
        <f t="shared" si="780"/>
        <v>1.6049360518911804</v>
      </c>
      <c r="S886" s="686">
        <f t="shared" si="781"/>
        <v>0.34278951731876028</v>
      </c>
      <c r="T886" s="685">
        <f t="shared" si="782"/>
        <v>1.0379254263854105</v>
      </c>
      <c r="U886" s="276">
        <f t="shared" si="783"/>
        <v>4.0299178906809869</v>
      </c>
      <c r="V886" s="276">
        <f t="shared" si="784"/>
        <v>2.7302561163218608</v>
      </c>
      <c r="W886" s="276">
        <f t="shared" si="785"/>
        <v>4.6679369808954583</v>
      </c>
      <c r="X886" s="276">
        <f t="shared" si="786"/>
        <v>3.7990353752002823</v>
      </c>
      <c r="Y886" s="686">
        <f t="shared" si="787"/>
        <v>4.2830339087343239</v>
      </c>
      <c r="Z886" s="685" t="e">
        <f t="shared" si="788"/>
        <v>#DIV/0!</v>
      </c>
      <c r="AA886" s="276" t="e">
        <f t="shared" si="789"/>
        <v>#DIV/0!</v>
      </c>
      <c r="AB886" s="276" t="e">
        <f t="shared" si="790"/>
        <v>#DIV/0!</v>
      </c>
      <c r="AC886" s="276" t="e">
        <f t="shared" si="791"/>
        <v>#DIV/0!</v>
      </c>
      <c r="AD886" s="276" t="e">
        <f t="shared" si="792"/>
        <v>#DIV/0!</v>
      </c>
      <c r="AE886" s="686" t="e">
        <f t="shared" si="793"/>
        <v>#DIV/0!</v>
      </c>
      <c r="AF886" s="239"/>
      <c r="AG886" s="965" t="e">
        <f t="shared" si="764"/>
        <v>#VALUE!</v>
      </c>
      <c r="AH886" s="878" t="e">
        <f t="shared" si="765"/>
        <v>#VALUE!</v>
      </c>
      <c r="AI886" s="878" t="e">
        <f t="shared" si="766"/>
        <v>#VALUE!</v>
      </c>
      <c r="AJ886" s="878" t="e">
        <f t="shared" si="767"/>
        <v>#VALUE!</v>
      </c>
      <c r="AK886" s="878" t="e">
        <f t="shared" si="768"/>
        <v>#VALUE!</v>
      </c>
      <c r="AL886" s="966" t="e">
        <f t="shared" si="769"/>
        <v>#VALUE!</v>
      </c>
      <c r="AM886" s="239"/>
      <c r="AO886" s="685">
        <f t="shared" si="794"/>
        <v>-8.9524444247483981</v>
      </c>
      <c r="AP886" s="276">
        <f t="shared" si="795"/>
        <v>-2.0353975220533309</v>
      </c>
      <c r="AQ886" s="276">
        <f t="shared" si="796"/>
        <v>-1.1115913599508571</v>
      </c>
      <c r="AR886" s="276">
        <f t="shared" si="797"/>
        <v>2.1465512538249429</v>
      </c>
      <c r="AS886" s="276">
        <f t="shared" si="798"/>
        <v>-2.316959286467168</v>
      </c>
      <c r="AT886" s="276">
        <f t="shared" si="799"/>
        <v>-3.9213265487844664</v>
      </c>
      <c r="AU886" s="685">
        <f t="shared" si="800"/>
        <v>0.6361727693893946</v>
      </c>
      <c r="AV886" s="276">
        <f t="shared" si="801"/>
        <v>0.97365619516486324</v>
      </c>
      <c r="AW886" s="276">
        <f t="shared" si="802"/>
        <v>1.0443972874436189</v>
      </c>
      <c r="AX886" s="276">
        <f t="shared" si="803"/>
        <v>0.39780837179364847</v>
      </c>
      <c r="AY886" s="276">
        <f t="shared" si="804"/>
        <v>1.6049360518911804</v>
      </c>
      <c r="AZ886" s="686">
        <f t="shared" si="805"/>
        <v>0.34278951731876028</v>
      </c>
      <c r="BA886" s="685">
        <f t="shared" si="806"/>
        <v>0</v>
      </c>
      <c r="BB886" s="276">
        <f t="shared" si="807"/>
        <v>0</v>
      </c>
      <c r="BC886" s="276">
        <f t="shared" si="808"/>
        <v>0</v>
      </c>
      <c r="BD886" s="276">
        <f t="shared" si="809"/>
        <v>0</v>
      </c>
      <c r="BE886" s="276">
        <f t="shared" si="810"/>
        <v>0</v>
      </c>
      <c r="BF886" s="686">
        <f t="shared" si="811"/>
        <v>0</v>
      </c>
      <c r="BG886" s="685" t="e">
        <f t="shared" si="812"/>
        <v>#DIV/0!</v>
      </c>
      <c r="BH886" s="276" t="e">
        <f t="shared" si="813"/>
        <v>#DIV/0!</v>
      </c>
      <c r="BI886" s="276" t="e">
        <f t="shared" si="814"/>
        <v>#DIV/0!</v>
      </c>
      <c r="BJ886" s="276" t="e">
        <f t="shared" si="815"/>
        <v>#DIV/0!</v>
      </c>
      <c r="BK886" s="276" t="e">
        <f t="shared" si="816"/>
        <v>#DIV/0!</v>
      </c>
      <c r="BL886" s="686" t="e">
        <f t="shared" si="817"/>
        <v>#DIV/0!</v>
      </c>
      <c r="BM886" s="239"/>
      <c r="BN886" s="965" t="e">
        <f t="shared" si="818"/>
        <v>#VALUE!</v>
      </c>
      <c r="BO886" s="878" t="e">
        <f t="shared" si="819"/>
        <v>#VALUE!</v>
      </c>
      <c r="BP886" s="878" t="e">
        <f t="shared" si="820"/>
        <v>#VALUE!</v>
      </c>
      <c r="BQ886" s="878" t="e">
        <f t="shared" si="821"/>
        <v>#VALUE!</v>
      </c>
      <c r="BR886" s="878" t="e">
        <f t="shared" si="822"/>
        <v>#VALUE!</v>
      </c>
      <c r="BS886" s="966" t="e">
        <f t="shared" si="823"/>
        <v>#VALUE!</v>
      </c>
    </row>
    <row r="887" spans="1:71">
      <c r="A887" s="284">
        <f t="shared" si="824"/>
        <v>819</v>
      </c>
      <c r="B887" s="285">
        <v>-0.12638534006972682</v>
      </c>
      <c r="C887" s="285">
        <v>2.5931362604165957</v>
      </c>
      <c r="D887" s="285">
        <v>1.1503741309617681</v>
      </c>
      <c r="E887" s="285">
        <v>-2.0342091368461315</v>
      </c>
      <c r="H887" s="685">
        <f t="shared" si="770"/>
        <v>-1.2596191818387816</v>
      </c>
      <c r="I887" s="276">
        <f t="shared" si="771"/>
        <v>6.926128448361446E-2</v>
      </c>
      <c r="J887" s="276">
        <f t="shared" si="772"/>
        <v>-0.78084107810751524</v>
      </c>
      <c r="K887" s="276">
        <f t="shared" si="773"/>
        <v>-1.5650373700079228</v>
      </c>
      <c r="L887" s="276">
        <f t="shared" si="774"/>
        <v>-1.1301229664876025</v>
      </c>
      <c r="M887" s="276">
        <f t="shared" si="775"/>
        <v>2.5676838293463957</v>
      </c>
      <c r="N887" s="685">
        <f t="shared" si="776"/>
        <v>1.3859650494447273</v>
      </c>
      <c r="O887" s="276">
        <f t="shared" si="777"/>
        <v>0.9822940292090927</v>
      </c>
      <c r="P887" s="276">
        <f t="shared" si="778"/>
        <v>1.1243157821945367</v>
      </c>
      <c r="Q887" s="276">
        <f t="shared" si="779"/>
        <v>1.0138659289884504</v>
      </c>
      <c r="R887" s="276">
        <f t="shared" si="780"/>
        <v>1.7705182916445856</v>
      </c>
      <c r="S887" s="686">
        <f t="shared" si="781"/>
        <v>1.3471470341590341</v>
      </c>
      <c r="T887" s="685">
        <f t="shared" si="782"/>
        <v>4.4287378212326942</v>
      </c>
      <c r="U887" s="276">
        <f t="shared" si="783"/>
        <v>6.0746810038317953</v>
      </c>
      <c r="V887" s="276">
        <f t="shared" si="784"/>
        <v>5.2941549240618357</v>
      </c>
      <c r="W887" s="276">
        <f t="shared" si="785"/>
        <v>4.3881519839620013</v>
      </c>
      <c r="X887" s="276">
        <f t="shared" si="786"/>
        <v>4.728934813696239</v>
      </c>
      <c r="Y887" s="686">
        <f t="shared" si="787"/>
        <v>5.1002064805651832</v>
      </c>
      <c r="Z887" s="685" t="e">
        <f t="shared" si="788"/>
        <v>#DIV/0!</v>
      </c>
      <c r="AA887" s="276" t="e">
        <f t="shared" si="789"/>
        <v>#DIV/0!</v>
      </c>
      <c r="AB887" s="276" t="e">
        <f t="shared" si="790"/>
        <v>#DIV/0!</v>
      </c>
      <c r="AC887" s="276" t="e">
        <f t="shared" si="791"/>
        <v>#DIV/0!</v>
      </c>
      <c r="AD887" s="276" t="e">
        <f t="shared" si="792"/>
        <v>#DIV/0!</v>
      </c>
      <c r="AE887" s="686" t="e">
        <f t="shared" si="793"/>
        <v>#DIV/0!</v>
      </c>
      <c r="AF887" s="239"/>
      <c r="AG887" s="965" t="e">
        <f t="shared" si="764"/>
        <v>#VALUE!</v>
      </c>
      <c r="AH887" s="878" t="e">
        <f t="shared" si="765"/>
        <v>#VALUE!</v>
      </c>
      <c r="AI887" s="878" t="e">
        <f t="shared" si="766"/>
        <v>#VALUE!</v>
      </c>
      <c r="AJ887" s="878" t="e">
        <f t="shared" si="767"/>
        <v>#VALUE!</v>
      </c>
      <c r="AK887" s="878" t="e">
        <f t="shared" si="768"/>
        <v>#VALUE!</v>
      </c>
      <c r="AL887" s="966" t="e">
        <f t="shared" si="769"/>
        <v>#VALUE!</v>
      </c>
      <c r="AM887" s="239"/>
      <c r="AO887" s="685">
        <f t="shared" si="794"/>
        <v>-1.2596191818387816</v>
      </c>
      <c r="AP887" s="276">
        <f t="shared" si="795"/>
        <v>6.926128448361446E-2</v>
      </c>
      <c r="AQ887" s="276">
        <f t="shared" si="796"/>
        <v>-0.78084107810751524</v>
      </c>
      <c r="AR887" s="276">
        <f t="shared" si="797"/>
        <v>-1.5650373700079228</v>
      </c>
      <c r="AS887" s="276">
        <f t="shared" si="798"/>
        <v>-1.1301229664876025</v>
      </c>
      <c r="AT887" s="276">
        <f t="shared" si="799"/>
        <v>2.5676838293463957</v>
      </c>
      <c r="AU887" s="685">
        <f t="shared" si="800"/>
        <v>1.3859650494447273</v>
      </c>
      <c r="AV887" s="276">
        <f t="shared" si="801"/>
        <v>0.9822940292090927</v>
      </c>
      <c r="AW887" s="276">
        <f t="shared" si="802"/>
        <v>1.1243157821945367</v>
      </c>
      <c r="AX887" s="276">
        <f t="shared" si="803"/>
        <v>1.0138659289884504</v>
      </c>
      <c r="AY887" s="276">
        <f t="shared" si="804"/>
        <v>1.7705182916445856</v>
      </c>
      <c r="AZ887" s="686">
        <f t="shared" si="805"/>
        <v>1.3471470341590341</v>
      </c>
      <c r="BA887" s="685">
        <f t="shared" si="806"/>
        <v>0</v>
      </c>
      <c r="BB887" s="276">
        <f t="shared" si="807"/>
        <v>0</v>
      </c>
      <c r="BC887" s="276">
        <f t="shared" si="808"/>
        <v>0</v>
      </c>
      <c r="BD887" s="276">
        <f t="shared" si="809"/>
        <v>0</v>
      </c>
      <c r="BE887" s="276">
        <f t="shared" si="810"/>
        <v>0</v>
      </c>
      <c r="BF887" s="686">
        <f t="shared" si="811"/>
        <v>0</v>
      </c>
      <c r="BG887" s="685" t="e">
        <f t="shared" si="812"/>
        <v>#DIV/0!</v>
      </c>
      <c r="BH887" s="276" t="e">
        <f t="shared" si="813"/>
        <v>#DIV/0!</v>
      </c>
      <c r="BI887" s="276" t="e">
        <f t="shared" si="814"/>
        <v>#DIV/0!</v>
      </c>
      <c r="BJ887" s="276" t="e">
        <f t="shared" si="815"/>
        <v>#DIV/0!</v>
      </c>
      <c r="BK887" s="276" t="e">
        <f t="shared" si="816"/>
        <v>#DIV/0!</v>
      </c>
      <c r="BL887" s="686" t="e">
        <f t="shared" si="817"/>
        <v>#DIV/0!</v>
      </c>
      <c r="BM887" s="239"/>
      <c r="BN887" s="965" t="e">
        <f t="shared" si="818"/>
        <v>#VALUE!</v>
      </c>
      <c r="BO887" s="878" t="e">
        <f t="shared" si="819"/>
        <v>#VALUE!</v>
      </c>
      <c r="BP887" s="878" t="e">
        <f t="shared" si="820"/>
        <v>#VALUE!</v>
      </c>
      <c r="BQ887" s="878" t="e">
        <f t="shared" si="821"/>
        <v>#VALUE!</v>
      </c>
      <c r="BR887" s="878" t="e">
        <f t="shared" si="822"/>
        <v>#VALUE!</v>
      </c>
      <c r="BS887" s="966" t="e">
        <f t="shared" si="823"/>
        <v>#VALUE!</v>
      </c>
    </row>
    <row r="888" spans="1:71">
      <c r="A888" s="284">
        <f t="shared" si="824"/>
        <v>820</v>
      </c>
      <c r="B888" s="285">
        <v>0.86802410464648949</v>
      </c>
      <c r="C888" s="285">
        <v>2.5646200999517035</v>
      </c>
      <c r="D888" s="285">
        <v>3.3936027905600383</v>
      </c>
      <c r="E888" s="285">
        <v>-8.0802505014953869</v>
      </c>
      <c r="H888" s="685">
        <f t="shared" si="770"/>
        <v>-0.26520973712256535</v>
      </c>
      <c r="I888" s="276">
        <f t="shared" si="771"/>
        <v>3.3601364776190188</v>
      </c>
      <c r="J888" s="276">
        <f t="shared" si="772"/>
        <v>-3.4624759825034435</v>
      </c>
      <c r="K888" s="276">
        <f t="shared" si="773"/>
        <v>2.1386478514994431</v>
      </c>
      <c r="L888" s="276">
        <f t="shared" si="774"/>
        <v>-2.3237447173371066</v>
      </c>
      <c r="M888" s="276">
        <f t="shared" si="775"/>
        <v>-5.0147649699148689</v>
      </c>
      <c r="N888" s="685">
        <f t="shared" si="776"/>
        <v>1.3574488889798351</v>
      </c>
      <c r="O888" s="276">
        <f t="shared" si="777"/>
        <v>1.9714993844690702</v>
      </c>
      <c r="P888" s="276">
        <f t="shared" si="778"/>
        <v>1.6248340970690458</v>
      </c>
      <c r="Q888" s="276">
        <f t="shared" si="779"/>
        <v>1.9690352245977112</v>
      </c>
      <c r="R888" s="276">
        <f t="shared" si="780"/>
        <v>1.9470746923877418</v>
      </c>
      <c r="S888" s="686">
        <f t="shared" si="781"/>
        <v>1.0350975470436936</v>
      </c>
      <c r="T888" s="685">
        <f t="shared" si="782"/>
        <v>6.6719664808309638</v>
      </c>
      <c r="U888" s="276">
        <f t="shared" si="783"/>
        <v>8.4779465429395664</v>
      </c>
      <c r="V888" s="276">
        <f t="shared" si="784"/>
        <v>4.5066155848236473</v>
      </c>
      <c r="W888" s="276">
        <f t="shared" si="785"/>
        <v>2.7370355857534214</v>
      </c>
      <c r="X888" s="276">
        <f t="shared" si="786"/>
        <v>3.0259222474016076</v>
      </c>
      <c r="Y888" s="686">
        <f t="shared" si="787"/>
        <v>2.2454881625914962</v>
      </c>
      <c r="Z888" s="685" t="e">
        <f t="shared" si="788"/>
        <v>#DIV/0!</v>
      </c>
      <c r="AA888" s="276" t="e">
        <f t="shared" si="789"/>
        <v>#DIV/0!</v>
      </c>
      <c r="AB888" s="276" t="e">
        <f t="shared" si="790"/>
        <v>#DIV/0!</v>
      </c>
      <c r="AC888" s="276" t="e">
        <f t="shared" si="791"/>
        <v>#DIV/0!</v>
      </c>
      <c r="AD888" s="276" t="e">
        <f t="shared" si="792"/>
        <v>#DIV/0!</v>
      </c>
      <c r="AE888" s="686" t="e">
        <f t="shared" si="793"/>
        <v>#DIV/0!</v>
      </c>
      <c r="AF888" s="239"/>
      <c r="AG888" s="965" t="e">
        <f t="shared" si="764"/>
        <v>#VALUE!</v>
      </c>
      <c r="AH888" s="878" t="e">
        <f t="shared" si="765"/>
        <v>#VALUE!</v>
      </c>
      <c r="AI888" s="878" t="e">
        <f t="shared" si="766"/>
        <v>#VALUE!</v>
      </c>
      <c r="AJ888" s="878" t="e">
        <f t="shared" si="767"/>
        <v>#VALUE!</v>
      </c>
      <c r="AK888" s="878" t="e">
        <f t="shared" si="768"/>
        <v>#VALUE!</v>
      </c>
      <c r="AL888" s="966" t="e">
        <f t="shared" si="769"/>
        <v>#VALUE!</v>
      </c>
      <c r="AM888" s="239"/>
      <c r="AO888" s="685">
        <f t="shared" si="794"/>
        <v>-0.26520973712256535</v>
      </c>
      <c r="AP888" s="276">
        <f t="shared" si="795"/>
        <v>3.3601364776190188</v>
      </c>
      <c r="AQ888" s="276">
        <f t="shared" si="796"/>
        <v>-3.4624759825034435</v>
      </c>
      <c r="AR888" s="276">
        <f t="shared" si="797"/>
        <v>2.1386478514994431</v>
      </c>
      <c r="AS888" s="276">
        <f t="shared" si="798"/>
        <v>-2.3237447173371066</v>
      </c>
      <c r="AT888" s="276">
        <f t="shared" si="799"/>
        <v>-5.0147649699148689</v>
      </c>
      <c r="AU888" s="685">
        <f t="shared" si="800"/>
        <v>1.3574488889798351</v>
      </c>
      <c r="AV888" s="276">
        <f t="shared" si="801"/>
        <v>1.9714993844690702</v>
      </c>
      <c r="AW888" s="276">
        <f t="shared" si="802"/>
        <v>1.6248340970690458</v>
      </c>
      <c r="AX888" s="276">
        <f t="shared" si="803"/>
        <v>1.9690352245977112</v>
      </c>
      <c r="AY888" s="276">
        <f t="shared" si="804"/>
        <v>1.9470746923877418</v>
      </c>
      <c r="AZ888" s="686">
        <f t="shared" si="805"/>
        <v>1.0350975470436936</v>
      </c>
      <c r="BA888" s="685">
        <f t="shared" si="806"/>
        <v>0</v>
      </c>
      <c r="BB888" s="276">
        <f t="shared" si="807"/>
        <v>0</v>
      </c>
      <c r="BC888" s="276">
        <f t="shared" si="808"/>
        <v>0</v>
      </c>
      <c r="BD888" s="276">
        <f t="shared" si="809"/>
        <v>0</v>
      </c>
      <c r="BE888" s="276">
        <f t="shared" si="810"/>
        <v>0</v>
      </c>
      <c r="BF888" s="686">
        <f t="shared" si="811"/>
        <v>0</v>
      </c>
      <c r="BG888" s="685" t="e">
        <f t="shared" si="812"/>
        <v>#DIV/0!</v>
      </c>
      <c r="BH888" s="276" t="e">
        <f t="shared" si="813"/>
        <v>#DIV/0!</v>
      </c>
      <c r="BI888" s="276" t="e">
        <f t="shared" si="814"/>
        <v>#DIV/0!</v>
      </c>
      <c r="BJ888" s="276" t="e">
        <f t="shared" si="815"/>
        <v>#DIV/0!</v>
      </c>
      <c r="BK888" s="276" t="e">
        <f t="shared" si="816"/>
        <v>#DIV/0!</v>
      </c>
      <c r="BL888" s="686" t="e">
        <f t="shared" si="817"/>
        <v>#DIV/0!</v>
      </c>
      <c r="BM888" s="239"/>
      <c r="BN888" s="965" t="e">
        <f t="shared" si="818"/>
        <v>#VALUE!</v>
      </c>
      <c r="BO888" s="878" t="e">
        <f t="shared" si="819"/>
        <v>#VALUE!</v>
      </c>
      <c r="BP888" s="878" t="e">
        <f t="shared" si="820"/>
        <v>#VALUE!</v>
      </c>
      <c r="BQ888" s="878" t="e">
        <f t="shared" si="821"/>
        <v>#VALUE!</v>
      </c>
      <c r="BR888" s="878" t="e">
        <f t="shared" si="822"/>
        <v>#VALUE!</v>
      </c>
      <c r="BS888" s="966" t="e">
        <f t="shared" si="823"/>
        <v>#VALUE!</v>
      </c>
    </row>
    <row r="889" spans="1:71">
      <c r="A889" s="284">
        <f t="shared" si="824"/>
        <v>821</v>
      </c>
      <c r="B889" s="285">
        <v>0.73434568001197176</v>
      </c>
      <c r="C889" s="285">
        <v>3.3895817726887278</v>
      </c>
      <c r="D889" s="285">
        <v>-1.3025830442325521</v>
      </c>
      <c r="E889" s="285">
        <v>17.052946021396412</v>
      </c>
      <c r="H889" s="685">
        <f t="shared" si="770"/>
        <v>-0.39888816175708308</v>
      </c>
      <c r="I889" s="276">
        <f t="shared" si="771"/>
        <v>4.8332229498350809E-2</v>
      </c>
      <c r="J889" s="276">
        <f t="shared" si="772"/>
        <v>-1.7465705366815749</v>
      </c>
      <c r="K889" s="276">
        <f t="shared" si="773"/>
        <v>0.83201187565130486</v>
      </c>
      <c r="L889" s="276">
        <f t="shared" si="774"/>
        <v>-0.60230616046680563</v>
      </c>
      <c r="M889" s="276">
        <f t="shared" si="775"/>
        <v>-1.2861888780520823</v>
      </c>
      <c r="N889" s="685">
        <f t="shared" si="776"/>
        <v>2.1824105617168597</v>
      </c>
      <c r="O889" s="276">
        <f t="shared" si="777"/>
        <v>1.1530426841235608</v>
      </c>
      <c r="P889" s="276">
        <f t="shared" si="778"/>
        <v>0.84157832255536014</v>
      </c>
      <c r="Q889" s="276">
        <f t="shared" si="779"/>
        <v>1.322257545418138</v>
      </c>
      <c r="R889" s="276">
        <f t="shared" si="780"/>
        <v>1.8552533100748703</v>
      </c>
      <c r="S889" s="686">
        <f t="shared" si="781"/>
        <v>1.48604082498956</v>
      </c>
      <c r="T889" s="685">
        <f t="shared" si="782"/>
        <v>1.9757806460383738</v>
      </c>
      <c r="U889" s="276">
        <f t="shared" si="783"/>
        <v>5.083572331099151</v>
      </c>
      <c r="V889" s="276">
        <f t="shared" si="784"/>
        <v>4.9503939647948449</v>
      </c>
      <c r="W889" s="276">
        <f t="shared" si="785"/>
        <v>5.056271337901789</v>
      </c>
      <c r="X889" s="276">
        <f t="shared" si="786"/>
        <v>3.2406788284962484</v>
      </c>
      <c r="Y889" s="686">
        <f t="shared" si="787"/>
        <v>3.5514110866488515</v>
      </c>
      <c r="Z889" s="685" t="e">
        <f t="shared" si="788"/>
        <v>#DIV/0!</v>
      </c>
      <c r="AA889" s="276" t="e">
        <f t="shared" si="789"/>
        <v>#DIV/0!</v>
      </c>
      <c r="AB889" s="276" t="e">
        <f t="shared" si="790"/>
        <v>#DIV/0!</v>
      </c>
      <c r="AC889" s="276" t="e">
        <f t="shared" si="791"/>
        <v>#DIV/0!</v>
      </c>
      <c r="AD889" s="276" t="e">
        <f t="shared" si="792"/>
        <v>#DIV/0!</v>
      </c>
      <c r="AE889" s="686" t="e">
        <f t="shared" si="793"/>
        <v>#DIV/0!</v>
      </c>
      <c r="AF889" s="239"/>
      <c r="AG889" s="965" t="e">
        <f t="shared" si="764"/>
        <v>#VALUE!</v>
      </c>
      <c r="AH889" s="878" t="e">
        <f t="shared" si="765"/>
        <v>#VALUE!</v>
      </c>
      <c r="AI889" s="878" t="e">
        <f t="shared" si="766"/>
        <v>#VALUE!</v>
      </c>
      <c r="AJ889" s="878" t="e">
        <f t="shared" si="767"/>
        <v>#VALUE!</v>
      </c>
      <c r="AK889" s="878" t="e">
        <f t="shared" si="768"/>
        <v>#VALUE!</v>
      </c>
      <c r="AL889" s="966" t="e">
        <f t="shared" si="769"/>
        <v>#VALUE!</v>
      </c>
      <c r="AM889" s="239"/>
      <c r="AO889" s="685">
        <f t="shared" si="794"/>
        <v>-0.39888816175708308</v>
      </c>
      <c r="AP889" s="276">
        <f t="shared" si="795"/>
        <v>4.8332229498350809E-2</v>
      </c>
      <c r="AQ889" s="276">
        <f t="shared" si="796"/>
        <v>-1.7465705366815749</v>
      </c>
      <c r="AR889" s="276">
        <f t="shared" si="797"/>
        <v>0.83201187565130486</v>
      </c>
      <c r="AS889" s="276">
        <f t="shared" si="798"/>
        <v>-0.60230616046680563</v>
      </c>
      <c r="AT889" s="276">
        <f t="shared" si="799"/>
        <v>-1.2861888780520823</v>
      </c>
      <c r="AU889" s="685">
        <f t="shared" si="800"/>
        <v>2.1824105617168597</v>
      </c>
      <c r="AV889" s="276">
        <f t="shared" si="801"/>
        <v>1.1530426841235608</v>
      </c>
      <c r="AW889" s="276">
        <f t="shared" si="802"/>
        <v>0.84157832255536014</v>
      </c>
      <c r="AX889" s="276">
        <f t="shared" si="803"/>
        <v>1.322257545418138</v>
      </c>
      <c r="AY889" s="276">
        <f t="shared" si="804"/>
        <v>1.8552533100748703</v>
      </c>
      <c r="AZ889" s="686">
        <f t="shared" si="805"/>
        <v>1.48604082498956</v>
      </c>
      <c r="BA889" s="685">
        <f t="shared" si="806"/>
        <v>0</v>
      </c>
      <c r="BB889" s="276">
        <f t="shared" si="807"/>
        <v>0</v>
      </c>
      <c r="BC889" s="276">
        <f t="shared" si="808"/>
        <v>0</v>
      </c>
      <c r="BD889" s="276">
        <f t="shared" si="809"/>
        <v>0</v>
      </c>
      <c r="BE889" s="276">
        <f t="shared" si="810"/>
        <v>0</v>
      </c>
      <c r="BF889" s="686">
        <f t="shared" si="811"/>
        <v>0</v>
      </c>
      <c r="BG889" s="685" t="e">
        <f t="shared" si="812"/>
        <v>#DIV/0!</v>
      </c>
      <c r="BH889" s="276" t="e">
        <f t="shared" si="813"/>
        <v>#DIV/0!</v>
      </c>
      <c r="BI889" s="276" t="e">
        <f t="shared" si="814"/>
        <v>#DIV/0!</v>
      </c>
      <c r="BJ889" s="276" t="e">
        <f t="shared" si="815"/>
        <v>#DIV/0!</v>
      </c>
      <c r="BK889" s="276" t="e">
        <f t="shared" si="816"/>
        <v>#DIV/0!</v>
      </c>
      <c r="BL889" s="686" t="e">
        <f t="shared" si="817"/>
        <v>#DIV/0!</v>
      </c>
      <c r="BM889" s="239"/>
      <c r="BN889" s="965" t="e">
        <f t="shared" si="818"/>
        <v>#VALUE!</v>
      </c>
      <c r="BO889" s="878" t="e">
        <f t="shared" si="819"/>
        <v>#VALUE!</v>
      </c>
      <c r="BP889" s="878" t="e">
        <f t="shared" si="820"/>
        <v>#VALUE!</v>
      </c>
      <c r="BQ889" s="878" t="e">
        <f t="shared" si="821"/>
        <v>#VALUE!</v>
      </c>
      <c r="BR889" s="878" t="e">
        <f t="shared" si="822"/>
        <v>#VALUE!</v>
      </c>
      <c r="BS889" s="966" t="e">
        <f t="shared" si="823"/>
        <v>#VALUE!</v>
      </c>
    </row>
    <row r="890" spans="1:71">
      <c r="A890" s="284">
        <f t="shared" si="824"/>
        <v>822</v>
      </c>
      <c r="B890" s="285">
        <v>-0.79629490123127744</v>
      </c>
      <c r="C890" s="285">
        <v>2.6890751243887476</v>
      </c>
      <c r="D890" s="285">
        <v>-0.64216391652962468</v>
      </c>
      <c r="E890" s="285">
        <v>-4.7622433789818945</v>
      </c>
      <c r="H890" s="685">
        <f t="shared" si="770"/>
        <v>-1.9295287430003323</v>
      </c>
      <c r="I890" s="276">
        <f t="shared" si="771"/>
        <v>1.4315602093414086</v>
      </c>
      <c r="J890" s="276">
        <f t="shared" si="772"/>
        <v>-4.6632140102980397</v>
      </c>
      <c r="K890" s="276">
        <f t="shared" si="773"/>
        <v>0.30841406416810013</v>
      </c>
      <c r="L890" s="276">
        <f t="shared" si="774"/>
        <v>0.19469529154064147</v>
      </c>
      <c r="M890" s="276">
        <f t="shared" si="775"/>
        <v>-2.1840107815864815</v>
      </c>
      <c r="N890" s="685">
        <f t="shared" si="776"/>
        <v>1.4819039134168792</v>
      </c>
      <c r="O890" s="276">
        <f t="shared" si="777"/>
        <v>1.9074565841111661</v>
      </c>
      <c r="P890" s="276">
        <f t="shared" si="778"/>
        <v>0.52812956323234461</v>
      </c>
      <c r="Q890" s="276">
        <f t="shared" si="779"/>
        <v>0.96053733156862831</v>
      </c>
      <c r="R890" s="276">
        <f t="shared" si="780"/>
        <v>1.4323417046151981</v>
      </c>
      <c r="S890" s="686">
        <f t="shared" si="781"/>
        <v>1.0705767709415832</v>
      </c>
      <c r="T890" s="685">
        <f t="shared" si="782"/>
        <v>2.6361997737413012</v>
      </c>
      <c r="U890" s="276">
        <f t="shared" si="783"/>
        <v>5.1612400061717096</v>
      </c>
      <c r="V890" s="276">
        <f t="shared" si="784"/>
        <v>2.6861902314129642</v>
      </c>
      <c r="W890" s="276">
        <f t="shared" si="785"/>
        <v>5.3877977829428669</v>
      </c>
      <c r="X890" s="276">
        <f t="shared" si="786"/>
        <v>3.8128683766921796</v>
      </c>
      <c r="Y890" s="686">
        <f t="shared" si="787"/>
        <v>5.3498615128704596</v>
      </c>
      <c r="Z890" s="685" t="e">
        <f t="shared" si="788"/>
        <v>#DIV/0!</v>
      </c>
      <c r="AA890" s="276" t="e">
        <f t="shared" si="789"/>
        <v>#DIV/0!</v>
      </c>
      <c r="AB890" s="276" t="e">
        <f t="shared" si="790"/>
        <v>#DIV/0!</v>
      </c>
      <c r="AC890" s="276" t="e">
        <f t="shared" si="791"/>
        <v>#DIV/0!</v>
      </c>
      <c r="AD890" s="276" t="e">
        <f t="shared" si="792"/>
        <v>#DIV/0!</v>
      </c>
      <c r="AE890" s="686" t="e">
        <f t="shared" si="793"/>
        <v>#DIV/0!</v>
      </c>
      <c r="AF890" s="239"/>
      <c r="AG890" s="965" t="e">
        <f t="shared" si="764"/>
        <v>#VALUE!</v>
      </c>
      <c r="AH890" s="878" t="e">
        <f t="shared" si="765"/>
        <v>#VALUE!</v>
      </c>
      <c r="AI890" s="878" t="e">
        <f t="shared" si="766"/>
        <v>#VALUE!</v>
      </c>
      <c r="AJ890" s="878" t="e">
        <f t="shared" si="767"/>
        <v>#VALUE!</v>
      </c>
      <c r="AK890" s="878" t="e">
        <f t="shared" si="768"/>
        <v>#VALUE!</v>
      </c>
      <c r="AL890" s="966" t="e">
        <f t="shared" si="769"/>
        <v>#VALUE!</v>
      </c>
      <c r="AM890" s="239"/>
      <c r="AO890" s="685">
        <f t="shared" si="794"/>
        <v>-1.9295287430003323</v>
      </c>
      <c r="AP890" s="276">
        <f t="shared" si="795"/>
        <v>1.4315602093414086</v>
      </c>
      <c r="AQ890" s="276">
        <f t="shared" si="796"/>
        <v>-4.6632140102980397</v>
      </c>
      <c r="AR890" s="276">
        <f t="shared" si="797"/>
        <v>0.30841406416810013</v>
      </c>
      <c r="AS890" s="276">
        <f t="shared" si="798"/>
        <v>0.19469529154064147</v>
      </c>
      <c r="AT890" s="276">
        <f t="shared" si="799"/>
        <v>-2.1840107815864815</v>
      </c>
      <c r="AU890" s="685">
        <f t="shared" si="800"/>
        <v>1.4819039134168792</v>
      </c>
      <c r="AV890" s="276">
        <f t="shared" si="801"/>
        <v>1.9074565841111661</v>
      </c>
      <c r="AW890" s="276">
        <f t="shared" si="802"/>
        <v>0.52812956323234461</v>
      </c>
      <c r="AX890" s="276">
        <f t="shared" si="803"/>
        <v>0.96053733156862831</v>
      </c>
      <c r="AY890" s="276">
        <f t="shared" si="804"/>
        <v>1.4323417046151981</v>
      </c>
      <c r="AZ890" s="686">
        <f t="shared" si="805"/>
        <v>1.0705767709415832</v>
      </c>
      <c r="BA890" s="685">
        <f t="shared" si="806"/>
        <v>0</v>
      </c>
      <c r="BB890" s="276">
        <f t="shared" si="807"/>
        <v>0</v>
      </c>
      <c r="BC890" s="276">
        <f t="shared" si="808"/>
        <v>0</v>
      </c>
      <c r="BD890" s="276">
        <f t="shared" si="809"/>
        <v>0</v>
      </c>
      <c r="BE890" s="276">
        <f t="shared" si="810"/>
        <v>0</v>
      </c>
      <c r="BF890" s="686">
        <f t="shared" si="811"/>
        <v>0</v>
      </c>
      <c r="BG890" s="685" t="e">
        <f t="shared" si="812"/>
        <v>#DIV/0!</v>
      </c>
      <c r="BH890" s="276" t="e">
        <f t="shared" si="813"/>
        <v>#DIV/0!</v>
      </c>
      <c r="BI890" s="276" t="e">
        <f t="shared" si="814"/>
        <v>#DIV/0!</v>
      </c>
      <c r="BJ890" s="276" t="e">
        <f t="shared" si="815"/>
        <v>#DIV/0!</v>
      </c>
      <c r="BK890" s="276" t="e">
        <f t="shared" si="816"/>
        <v>#DIV/0!</v>
      </c>
      <c r="BL890" s="686" t="e">
        <f t="shared" si="817"/>
        <v>#DIV/0!</v>
      </c>
      <c r="BM890" s="239"/>
      <c r="BN890" s="965" t="e">
        <f t="shared" si="818"/>
        <v>#VALUE!</v>
      </c>
      <c r="BO890" s="878" t="e">
        <f t="shared" si="819"/>
        <v>#VALUE!</v>
      </c>
      <c r="BP890" s="878" t="e">
        <f t="shared" si="820"/>
        <v>#VALUE!</v>
      </c>
      <c r="BQ890" s="878" t="e">
        <f t="shared" si="821"/>
        <v>#VALUE!</v>
      </c>
      <c r="BR890" s="878" t="e">
        <f t="shared" si="822"/>
        <v>#VALUE!</v>
      </c>
      <c r="BS890" s="966" t="e">
        <f t="shared" si="823"/>
        <v>#VALUE!</v>
      </c>
    </row>
    <row r="891" spans="1:71">
      <c r="A891" s="284">
        <f t="shared" si="824"/>
        <v>823</v>
      </c>
      <c r="B891" s="285">
        <v>2.3575141461871012</v>
      </c>
      <c r="C891" s="285">
        <v>2.9755359878308374</v>
      </c>
      <c r="D891" s="285">
        <v>4.0448775397760235</v>
      </c>
      <c r="E891" s="285">
        <v>-0.10436969364602788</v>
      </c>
      <c r="H891" s="685">
        <f t="shared" si="770"/>
        <v>1.2242803044180464</v>
      </c>
      <c r="I891" s="276">
        <f t="shared" si="771"/>
        <v>0.80895422042950438</v>
      </c>
      <c r="J891" s="276">
        <f t="shared" si="772"/>
        <v>0.18791616564643254</v>
      </c>
      <c r="K891" s="276">
        <f t="shared" si="773"/>
        <v>-1.4919217804361162</v>
      </c>
      <c r="L891" s="276">
        <f t="shared" si="774"/>
        <v>-1.768994452741061</v>
      </c>
      <c r="M891" s="276">
        <f t="shared" si="775"/>
        <v>-0.85518087611704652</v>
      </c>
      <c r="N891" s="685">
        <f t="shared" si="776"/>
        <v>1.768364776858969</v>
      </c>
      <c r="O891" s="276">
        <f t="shared" si="777"/>
        <v>1.6277568262636801</v>
      </c>
      <c r="P891" s="276">
        <f t="shared" si="778"/>
        <v>1.0902792771061265</v>
      </c>
      <c r="Q891" s="276">
        <f t="shared" si="779"/>
        <v>0.42408250281076776</v>
      </c>
      <c r="R891" s="276">
        <f t="shared" si="780"/>
        <v>1.1156033379293271</v>
      </c>
      <c r="S891" s="686">
        <f t="shared" si="781"/>
        <v>0.63776015096328487</v>
      </c>
      <c r="T891" s="685">
        <f t="shared" si="782"/>
        <v>7.3232412300469498</v>
      </c>
      <c r="U891" s="276">
        <f t="shared" si="783"/>
        <v>1.1674221432539995</v>
      </c>
      <c r="V891" s="276">
        <f t="shared" si="784"/>
        <v>8.0687015161244968</v>
      </c>
      <c r="W891" s="276">
        <f t="shared" si="785"/>
        <v>6.2198660667110151</v>
      </c>
      <c r="X891" s="276">
        <f t="shared" si="786"/>
        <v>4.3015936909256975</v>
      </c>
      <c r="Y891" s="686">
        <f t="shared" si="787"/>
        <v>5.0203824982082956</v>
      </c>
      <c r="Z891" s="685" t="e">
        <f t="shared" si="788"/>
        <v>#DIV/0!</v>
      </c>
      <c r="AA891" s="276" t="e">
        <f t="shared" si="789"/>
        <v>#DIV/0!</v>
      </c>
      <c r="AB891" s="276" t="e">
        <f t="shared" si="790"/>
        <v>#DIV/0!</v>
      </c>
      <c r="AC891" s="276" t="e">
        <f t="shared" si="791"/>
        <v>#DIV/0!</v>
      </c>
      <c r="AD891" s="276" t="e">
        <f t="shared" si="792"/>
        <v>#DIV/0!</v>
      </c>
      <c r="AE891" s="686" t="e">
        <f t="shared" si="793"/>
        <v>#DIV/0!</v>
      </c>
      <c r="AF891" s="239"/>
      <c r="AG891" s="965" t="e">
        <f t="shared" si="764"/>
        <v>#VALUE!</v>
      </c>
      <c r="AH891" s="878" t="e">
        <f t="shared" si="765"/>
        <v>#VALUE!</v>
      </c>
      <c r="AI891" s="878" t="e">
        <f t="shared" si="766"/>
        <v>#VALUE!</v>
      </c>
      <c r="AJ891" s="878" t="e">
        <f t="shared" si="767"/>
        <v>#VALUE!</v>
      </c>
      <c r="AK891" s="878" t="e">
        <f t="shared" si="768"/>
        <v>#VALUE!</v>
      </c>
      <c r="AL891" s="966" t="e">
        <f t="shared" si="769"/>
        <v>#VALUE!</v>
      </c>
      <c r="AM891" s="239"/>
      <c r="AO891" s="685">
        <f t="shared" si="794"/>
        <v>1.2242803044180464</v>
      </c>
      <c r="AP891" s="276">
        <f t="shared" si="795"/>
        <v>0.80895422042950438</v>
      </c>
      <c r="AQ891" s="276">
        <f t="shared" si="796"/>
        <v>0.18791616564643254</v>
      </c>
      <c r="AR891" s="276">
        <f t="shared" si="797"/>
        <v>-1.4919217804361162</v>
      </c>
      <c r="AS891" s="276">
        <f t="shared" si="798"/>
        <v>-1.768994452741061</v>
      </c>
      <c r="AT891" s="276">
        <f t="shared" si="799"/>
        <v>-0.85518087611704652</v>
      </c>
      <c r="AU891" s="685">
        <f t="shared" si="800"/>
        <v>1.768364776858969</v>
      </c>
      <c r="AV891" s="276">
        <f t="shared" si="801"/>
        <v>1.6277568262636801</v>
      </c>
      <c r="AW891" s="276">
        <f t="shared" si="802"/>
        <v>1.0902792771061265</v>
      </c>
      <c r="AX891" s="276">
        <f t="shared" si="803"/>
        <v>0.42408250281076776</v>
      </c>
      <c r="AY891" s="276">
        <f t="shared" si="804"/>
        <v>1.1156033379293271</v>
      </c>
      <c r="AZ891" s="686">
        <f t="shared" si="805"/>
        <v>0.63776015096328487</v>
      </c>
      <c r="BA891" s="685">
        <f t="shared" si="806"/>
        <v>0</v>
      </c>
      <c r="BB891" s="276">
        <f t="shared" si="807"/>
        <v>0</v>
      </c>
      <c r="BC891" s="276">
        <f t="shared" si="808"/>
        <v>0</v>
      </c>
      <c r="BD891" s="276">
        <f t="shared" si="809"/>
        <v>0</v>
      </c>
      <c r="BE891" s="276">
        <f t="shared" si="810"/>
        <v>0</v>
      </c>
      <c r="BF891" s="686">
        <f t="shared" si="811"/>
        <v>0</v>
      </c>
      <c r="BG891" s="685" t="e">
        <f t="shared" si="812"/>
        <v>#DIV/0!</v>
      </c>
      <c r="BH891" s="276" t="e">
        <f t="shared" si="813"/>
        <v>#DIV/0!</v>
      </c>
      <c r="BI891" s="276" t="e">
        <f t="shared" si="814"/>
        <v>#DIV/0!</v>
      </c>
      <c r="BJ891" s="276" t="e">
        <f t="shared" si="815"/>
        <v>#DIV/0!</v>
      </c>
      <c r="BK891" s="276" t="e">
        <f t="shared" si="816"/>
        <v>#DIV/0!</v>
      </c>
      <c r="BL891" s="686" t="e">
        <f t="shared" si="817"/>
        <v>#DIV/0!</v>
      </c>
      <c r="BM891" s="239"/>
      <c r="BN891" s="965" t="e">
        <f t="shared" si="818"/>
        <v>#VALUE!</v>
      </c>
      <c r="BO891" s="878" t="e">
        <f t="shared" si="819"/>
        <v>#VALUE!</v>
      </c>
      <c r="BP891" s="878" t="e">
        <f t="shared" si="820"/>
        <v>#VALUE!</v>
      </c>
      <c r="BQ891" s="878" t="e">
        <f t="shared" si="821"/>
        <v>#VALUE!</v>
      </c>
      <c r="BR891" s="878" t="e">
        <f t="shared" si="822"/>
        <v>#VALUE!</v>
      </c>
      <c r="BS891" s="966" t="e">
        <f t="shared" si="823"/>
        <v>#VALUE!</v>
      </c>
    </row>
    <row r="892" spans="1:71">
      <c r="A892" s="284">
        <f t="shared" si="824"/>
        <v>824</v>
      </c>
      <c r="B892" s="285">
        <v>-0.42971565187089916</v>
      </c>
      <c r="C892" s="285">
        <v>2.9032965292527306</v>
      </c>
      <c r="D892" s="285">
        <v>0.68315398568254282</v>
      </c>
      <c r="E892" s="285">
        <v>3.9685475201303428</v>
      </c>
      <c r="H892" s="685">
        <f t="shared" si="770"/>
        <v>-1.5629494936399539</v>
      </c>
      <c r="I892" s="276">
        <f t="shared" si="771"/>
        <v>-3.0352971792682779</v>
      </c>
      <c r="J892" s="276">
        <f t="shared" si="772"/>
        <v>-2.6996731242684451</v>
      </c>
      <c r="K892" s="276">
        <f t="shared" si="773"/>
        <v>1.9297542906814533</v>
      </c>
      <c r="L892" s="276">
        <f t="shared" si="774"/>
        <v>-2.9485143965412535</v>
      </c>
      <c r="M892" s="276">
        <f t="shared" si="775"/>
        <v>0.55601208823138215</v>
      </c>
      <c r="N892" s="685">
        <f t="shared" si="776"/>
        <v>1.6961253182808622</v>
      </c>
      <c r="O892" s="276">
        <f t="shared" si="777"/>
        <v>1.5982630295136901</v>
      </c>
      <c r="P892" s="276">
        <f t="shared" si="778"/>
        <v>1.4105182640455125</v>
      </c>
      <c r="Q892" s="276">
        <f t="shared" si="779"/>
        <v>1.7345345104132661</v>
      </c>
      <c r="R892" s="276">
        <f t="shared" si="780"/>
        <v>1.3537044089831236</v>
      </c>
      <c r="S892" s="686">
        <f t="shared" si="781"/>
        <v>1.2936851739335993</v>
      </c>
      <c r="T892" s="685">
        <f t="shared" si="782"/>
        <v>3.9615176759534689</v>
      </c>
      <c r="U892" s="276">
        <f t="shared" si="783"/>
        <v>4.3995603966426131</v>
      </c>
      <c r="V892" s="276">
        <f t="shared" si="784"/>
        <v>1.5023425199110441</v>
      </c>
      <c r="W892" s="276">
        <f t="shared" si="785"/>
        <v>5.5491601463899833</v>
      </c>
      <c r="X892" s="276">
        <f t="shared" si="786"/>
        <v>2.7110662435108095</v>
      </c>
      <c r="Y892" s="686">
        <f t="shared" si="787"/>
        <v>4.0603143146564786</v>
      </c>
      <c r="Z892" s="685" t="e">
        <f t="shared" si="788"/>
        <v>#DIV/0!</v>
      </c>
      <c r="AA892" s="276" t="e">
        <f t="shared" si="789"/>
        <v>#DIV/0!</v>
      </c>
      <c r="AB892" s="276" t="e">
        <f t="shared" si="790"/>
        <v>#DIV/0!</v>
      </c>
      <c r="AC892" s="276" t="e">
        <f t="shared" si="791"/>
        <v>#DIV/0!</v>
      </c>
      <c r="AD892" s="276" t="e">
        <f t="shared" si="792"/>
        <v>#DIV/0!</v>
      </c>
      <c r="AE892" s="686" t="e">
        <f t="shared" si="793"/>
        <v>#DIV/0!</v>
      </c>
      <c r="AF892" s="239"/>
      <c r="AG892" s="965" t="e">
        <f t="shared" si="764"/>
        <v>#VALUE!</v>
      </c>
      <c r="AH892" s="878" t="e">
        <f t="shared" si="765"/>
        <v>#VALUE!</v>
      </c>
      <c r="AI892" s="878" t="e">
        <f t="shared" si="766"/>
        <v>#VALUE!</v>
      </c>
      <c r="AJ892" s="878" t="e">
        <f t="shared" si="767"/>
        <v>#VALUE!</v>
      </c>
      <c r="AK892" s="878" t="e">
        <f t="shared" si="768"/>
        <v>#VALUE!</v>
      </c>
      <c r="AL892" s="966" t="e">
        <f t="shared" si="769"/>
        <v>#VALUE!</v>
      </c>
      <c r="AM892" s="239"/>
      <c r="AO892" s="685">
        <f t="shared" si="794"/>
        <v>-1.5629494936399539</v>
      </c>
      <c r="AP892" s="276">
        <f t="shared" si="795"/>
        <v>-3.0352971792682779</v>
      </c>
      <c r="AQ892" s="276">
        <f t="shared" si="796"/>
        <v>-2.6996731242684451</v>
      </c>
      <c r="AR892" s="276">
        <f t="shared" si="797"/>
        <v>1.9297542906814533</v>
      </c>
      <c r="AS892" s="276">
        <f t="shared" si="798"/>
        <v>-2.9485143965412535</v>
      </c>
      <c r="AT892" s="276">
        <f t="shared" si="799"/>
        <v>0.55601208823138215</v>
      </c>
      <c r="AU892" s="685">
        <f t="shared" si="800"/>
        <v>1.6961253182808622</v>
      </c>
      <c r="AV892" s="276">
        <f t="shared" si="801"/>
        <v>1.5982630295136901</v>
      </c>
      <c r="AW892" s="276">
        <f t="shared" si="802"/>
        <v>1.4105182640455125</v>
      </c>
      <c r="AX892" s="276">
        <f t="shared" si="803"/>
        <v>1.7345345104132661</v>
      </c>
      <c r="AY892" s="276">
        <f t="shared" si="804"/>
        <v>1.3537044089831236</v>
      </c>
      <c r="AZ892" s="686">
        <f t="shared" si="805"/>
        <v>1.2936851739335993</v>
      </c>
      <c r="BA892" s="685">
        <f t="shared" si="806"/>
        <v>0</v>
      </c>
      <c r="BB892" s="276">
        <f t="shared" si="807"/>
        <v>0</v>
      </c>
      <c r="BC892" s="276">
        <f t="shared" si="808"/>
        <v>0</v>
      </c>
      <c r="BD892" s="276">
        <f t="shared" si="809"/>
        <v>0</v>
      </c>
      <c r="BE892" s="276">
        <f t="shared" si="810"/>
        <v>0</v>
      </c>
      <c r="BF892" s="686">
        <f t="shared" si="811"/>
        <v>0</v>
      </c>
      <c r="BG892" s="685" t="e">
        <f t="shared" si="812"/>
        <v>#DIV/0!</v>
      </c>
      <c r="BH892" s="276" t="e">
        <f t="shared" si="813"/>
        <v>#DIV/0!</v>
      </c>
      <c r="BI892" s="276" t="e">
        <f t="shared" si="814"/>
        <v>#DIV/0!</v>
      </c>
      <c r="BJ892" s="276" t="e">
        <f t="shared" si="815"/>
        <v>#DIV/0!</v>
      </c>
      <c r="BK892" s="276" t="e">
        <f t="shared" si="816"/>
        <v>#DIV/0!</v>
      </c>
      <c r="BL892" s="686" t="e">
        <f t="shared" si="817"/>
        <v>#DIV/0!</v>
      </c>
      <c r="BM892" s="239"/>
      <c r="BN892" s="965" t="e">
        <f t="shared" si="818"/>
        <v>#VALUE!</v>
      </c>
      <c r="BO892" s="878" t="e">
        <f t="shared" si="819"/>
        <v>#VALUE!</v>
      </c>
      <c r="BP892" s="878" t="e">
        <f t="shared" si="820"/>
        <v>#VALUE!</v>
      </c>
      <c r="BQ892" s="878" t="e">
        <f t="shared" si="821"/>
        <v>#VALUE!</v>
      </c>
      <c r="BR892" s="878" t="e">
        <f t="shared" si="822"/>
        <v>#VALUE!</v>
      </c>
      <c r="BS892" s="966" t="e">
        <f t="shared" si="823"/>
        <v>#VALUE!</v>
      </c>
    </row>
    <row r="893" spans="1:71">
      <c r="A893" s="284">
        <f t="shared" si="824"/>
        <v>825</v>
      </c>
      <c r="B893" s="285">
        <v>-2.385618192438995</v>
      </c>
      <c r="C893" s="285">
        <v>2.533060069658331</v>
      </c>
      <c r="D893" s="285">
        <v>1.5265537852890858</v>
      </c>
      <c r="E893" s="285">
        <v>-8.1786751878286541</v>
      </c>
      <c r="H893" s="685">
        <f t="shared" si="770"/>
        <v>-3.5188520342080496</v>
      </c>
      <c r="I893" s="276">
        <f t="shared" si="771"/>
        <v>-1.2188112904657284</v>
      </c>
      <c r="J893" s="276">
        <f t="shared" si="772"/>
        <v>0.68471874538857946</v>
      </c>
      <c r="K893" s="276">
        <f t="shared" si="773"/>
        <v>1.5113665074464755</v>
      </c>
      <c r="L893" s="276">
        <f t="shared" si="774"/>
        <v>-3.9969329215935261</v>
      </c>
      <c r="M893" s="276">
        <f t="shared" si="775"/>
        <v>-3.7840415897014843</v>
      </c>
      <c r="N893" s="685">
        <f t="shared" si="776"/>
        <v>1.3258888586864626</v>
      </c>
      <c r="O893" s="276">
        <f t="shared" si="777"/>
        <v>1.708539234636983</v>
      </c>
      <c r="P893" s="276">
        <f t="shared" si="778"/>
        <v>1.8726284621633</v>
      </c>
      <c r="Q893" s="276">
        <f t="shared" si="779"/>
        <v>1.6819842293392544</v>
      </c>
      <c r="R893" s="276">
        <f t="shared" si="780"/>
        <v>1.519723566190492</v>
      </c>
      <c r="S893" s="686">
        <f t="shared" si="781"/>
        <v>0.74613174056075859</v>
      </c>
      <c r="T893" s="685">
        <f t="shared" si="782"/>
        <v>4.8049174755600115</v>
      </c>
      <c r="U893" s="276">
        <f t="shared" si="783"/>
        <v>6.711120619096949</v>
      </c>
      <c r="V893" s="276">
        <f t="shared" si="784"/>
        <v>4.3241528102724383</v>
      </c>
      <c r="W893" s="276">
        <f t="shared" si="785"/>
        <v>5.6436027068530148</v>
      </c>
      <c r="X893" s="276">
        <f t="shared" si="786"/>
        <v>3.1473944143878594</v>
      </c>
      <c r="Y893" s="686">
        <f t="shared" si="787"/>
        <v>3.0695042732786062</v>
      </c>
      <c r="Z893" s="685" t="e">
        <f t="shared" si="788"/>
        <v>#DIV/0!</v>
      </c>
      <c r="AA893" s="276" t="e">
        <f t="shared" si="789"/>
        <v>#DIV/0!</v>
      </c>
      <c r="AB893" s="276" t="e">
        <f t="shared" si="790"/>
        <v>#DIV/0!</v>
      </c>
      <c r="AC893" s="276" t="e">
        <f t="shared" si="791"/>
        <v>#DIV/0!</v>
      </c>
      <c r="AD893" s="276" t="e">
        <f t="shared" si="792"/>
        <v>#DIV/0!</v>
      </c>
      <c r="AE893" s="686" t="e">
        <f t="shared" si="793"/>
        <v>#DIV/0!</v>
      </c>
      <c r="AF893" s="239"/>
      <c r="AG893" s="965" t="e">
        <f t="shared" si="764"/>
        <v>#VALUE!</v>
      </c>
      <c r="AH893" s="878" t="e">
        <f t="shared" si="765"/>
        <v>#VALUE!</v>
      </c>
      <c r="AI893" s="878" t="e">
        <f t="shared" si="766"/>
        <v>#VALUE!</v>
      </c>
      <c r="AJ893" s="878" t="e">
        <f t="shared" si="767"/>
        <v>#VALUE!</v>
      </c>
      <c r="AK893" s="878" t="e">
        <f t="shared" si="768"/>
        <v>#VALUE!</v>
      </c>
      <c r="AL893" s="966" t="e">
        <f t="shared" si="769"/>
        <v>#VALUE!</v>
      </c>
      <c r="AM893" s="239"/>
      <c r="AO893" s="685">
        <f t="shared" si="794"/>
        <v>-3.5188520342080496</v>
      </c>
      <c r="AP893" s="276">
        <f t="shared" si="795"/>
        <v>-1.2188112904657284</v>
      </c>
      <c r="AQ893" s="276">
        <f t="shared" si="796"/>
        <v>0.68471874538857946</v>
      </c>
      <c r="AR893" s="276">
        <f t="shared" si="797"/>
        <v>1.5113665074464755</v>
      </c>
      <c r="AS893" s="276">
        <f t="shared" si="798"/>
        <v>-3.9969329215935261</v>
      </c>
      <c r="AT893" s="276">
        <f t="shared" si="799"/>
        <v>-3.7840415897014843</v>
      </c>
      <c r="AU893" s="685">
        <f t="shared" si="800"/>
        <v>1.3258888586864626</v>
      </c>
      <c r="AV893" s="276">
        <f t="shared" si="801"/>
        <v>1.708539234636983</v>
      </c>
      <c r="AW893" s="276">
        <f t="shared" si="802"/>
        <v>1.8726284621633</v>
      </c>
      <c r="AX893" s="276">
        <f t="shared" si="803"/>
        <v>1.6819842293392544</v>
      </c>
      <c r="AY893" s="276">
        <f t="shared" si="804"/>
        <v>1.519723566190492</v>
      </c>
      <c r="AZ893" s="686">
        <f t="shared" si="805"/>
        <v>0.74613174056075859</v>
      </c>
      <c r="BA893" s="685">
        <f t="shared" si="806"/>
        <v>0</v>
      </c>
      <c r="BB893" s="276">
        <f t="shared" si="807"/>
        <v>0</v>
      </c>
      <c r="BC893" s="276">
        <f t="shared" si="808"/>
        <v>0</v>
      </c>
      <c r="BD893" s="276">
        <f t="shared" si="809"/>
        <v>0</v>
      </c>
      <c r="BE893" s="276">
        <f t="shared" si="810"/>
        <v>0</v>
      </c>
      <c r="BF893" s="686">
        <f t="shared" si="811"/>
        <v>0</v>
      </c>
      <c r="BG893" s="685" t="e">
        <f t="shared" si="812"/>
        <v>#DIV/0!</v>
      </c>
      <c r="BH893" s="276" t="e">
        <f t="shared" si="813"/>
        <v>#DIV/0!</v>
      </c>
      <c r="BI893" s="276" t="e">
        <f t="shared" si="814"/>
        <v>#DIV/0!</v>
      </c>
      <c r="BJ893" s="276" t="e">
        <f t="shared" si="815"/>
        <v>#DIV/0!</v>
      </c>
      <c r="BK893" s="276" t="e">
        <f t="shared" si="816"/>
        <v>#DIV/0!</v>
      </c>
      <c r="BL893" s="686" t="e">
        <f t="shared" si="817"/>
        <v>#DIV/0!</v>
      </c>
      <c r="BM893" s="239"/>
      <c r="BN893" s="965" t="e">
        <f t="shared" si="818"/>
        <v>#VALUE!</v>
      </c>
      <c r="BO893" s="878" t="e">
        <f t="shared" si="819"/>
        <v>#VALUE!</v>
      </c>
      <c r="BP893" s="878" t="e">
        <f t="shared" si="820"/>
        <v>#VALUE!</v>
      </c>
      <c r="BQ893" s="878" t="e">
        <f t="shared" si="821"/>
        <v>#VALUE!</v>
      </c>
      <c r="BR893" s="878" t="e">
        <f t="shared" si="822"/>
        <v>#VALUE!</v>
      </c>
      <c r="BS893" s="966" t="e">
        <f t="shared" si="823"/>
        <v>#VALUE!</v>
      </c>
    </row>
    <row r="894" spans="1:71">
      <c r="A894" s="284">
        <f t="shared" si="824"/>
        <v>826</v>
      </c>
      <c r="B894" s="285">
        <v>-1.1020162382220791</v>
      </c>
      <c r="C894" s="285">
        <v>2.6704854156594475</v>
      </c>
      <c r="D894" s="285">
        <v>-0.43727589357733954</v>
      </c>
      <c r="E894" s="285">
        <v>0.58334118141647062</v>
      </c>
      <c r="H894" s="685">
        <f t="shared" si="770"/>
        <v>-2.2352500799911339</v>
      </c>
      <c r="I894" s="276">
        <f t="shared" si="771"/>
        <v>1.2348968604681489</v>
      </c>
      <c r="J894" s="276">
        <f t="shared" si="772"/>
        <v>2.6529510036987416</v>
      </c>
      <c r="K894" s="276">
        <f t="shared" si="773"/>
        <v>-0.19124482401660825</v>
      </c>
      <c r="L894" s="276">
        <f t="shared" si="774"/>
        <v>-0.13892788158653302</v>
      </c>
      <c r="M894" s="276">
        <f t="shared" si="775"/>
        <v>2.0795667521224335</v>
      </c>
      <c r="N894" s="685">
        <f t="shared" si="776"/>
        <v>1.4633142046875791</v>
      </c>
      <c r="O894" s="276">
        <f t="shared" si="777"/>
        <v>1.1550240123036237</v>
      </c>
      <c r="P894" s="276">
        <f t="shared" si="778"/>
        <v>1.3870385244364052</v>
      </c>
      <c r="Q894" s="276">
        <f t="shared" si="779"/>
        <v>2.0568876223616108</v>
      </c>
      <c r="R894" s="276">
        <f t="shared" si="780"/>
        <v>1.2522107723033524</v>
      </c>
      <c r="S894" s="686">
        <f t="shared" si="781"/>
        <v>1.9836680373690523</v>
      </c>
      <c r="T894" s="685">
        <f t="shared" si="782"/>
        <v>2.8410877966935866</v>
      </c>
      <c r="U894" s="276">
        <f t="shared" si="783"/>
        <v>5.4523046982811607</v>
      </c>
      <c r="V894" s="276">
        <f t="shared" si="784"/>
        <v>5.2092979513663504</v>
      </c>
      <c r="W894" s="276">
        <f t="shared" si="785"/>
        <v>2.7265094959894913</v>
      </c>
      <c r="X894" s="276">
        <f t="shared" si="786"/>
        <v>5.6487994399071599</v>
      </c>
      <c r="Y894" s="686">
        <f t="shared" si="787"/>
        <v>4.8883456450480125</v>
      </c>
      <c r="Z894" s="685" t="e">
        <f t="shared" si="788"/>
        <v>#DIV/0!</v>
      </c>
      <c r="AA894" s="276" t="e">
        <f t="shared" si="789"/>
        <v>#DIV/0!</v>
      </c>
      <c r="AB894" s="276" t="e">
        <f t="shared" si="790"/>
        <v>#DIV/0!</v>
      </c>
      <c r="AC894" s="276" t="e">
        <f t="shared" si="791"/>
        <v>#DIV/0!</v>
      </c>
      <c r="AD894" s="276" t="e">
        <f t="shared" si="792"/>
        <v>#DIV/0!</v>
      </c>
      <c r="AE894" s="686" t="e">
        <f t="shared" si="793"/>
        <v>#DIV/0!</v>
      </c>
      <c r="AF894" s="239"/>
      <c r="AG894" s="965" t="e">
        <f t="shared" si="764"/>
        <v>#VALUE!</v>
      </c>
      <c r="AH894" s="878" t="e">
        <f t="shared" si="765"/>
        <v>#VALUE!</v>
      </c>
      <c r="AI894" s="878" t="e">
        <f t="shared" si="766"/>
        <v>#VALUE!</v>
      </c>
      <c r="AJ894" s="878" t="e">
        <f t="shared" si="767"/>
        <v>#VALUE!</v>
      </c>
      <c r="AK894" s="878" t="e">
        <f t="shared" si="768"/>
        <v>#VALUE!</v>
      </c>
      <c r="AL894" s="966" t="e">
        <f t="shared" si="769"/>
        <v>#VALUE!</v>
      </c>
      <c r="AM894" s="239"/>
      <c r="AO894" s="685">
        <f t="shared" si="794"/>
        <v>-2.2352500799911339</v>
      </c>
      <c r="AP894" s="276">
        <f t="shared" si="795"/>
        <v>1.2348968604681489</v>
      </c>
      <c r="AQ894" s="276">
        <f t="shared" si="796"/>
        <v>2.6529510036987416</v>
      </c>
      <c r="AR894" s="276">
        <f t="shared" si="797"/>
        <v>-0.19124482401660825</v>
      </c>
      <c r="AS894" s="276">
        <f t="shared" si="798"/>
        <v>-0.13892788158653302</v>
      </c>
      <c r="AT894" s="276">
        <f t="shared" si="799"/>
        <v>2.0795667521224335</v>
      </c>
      <c r="AU894" s="685">
        <f t="shared" si="800"/>
        <v>1.4633142046875791</v>
      </c>
      <c r="AV894" s="276">
        <f t="shared" si="801"/>
        <v>1.1550240123036237</v>
      </c>
      <c r="AW894" s="276">
        <f t="shared" si="802"/>
        <v>1.3870385244364052</v>
      </c>
      <c r="AX894" s="276">
        <f t="shared" si="803"/>
        <v>2.0568876223616108</v>
      </c>
      <c r="AY894" s="276">
        <f t="shared" si="804"/>
        <v>1.2522107723033524</v>
      </c>
      <c r="AZ894" s="686">
        <f t="shared" si="805"/>
        <v>1.9836680373690523</v>
      </c>
      <c r="BA894" s="685">
        <f t="shared" si="806"/>
        <v>0</v>
      </c>
      <c r="BB894" s="276">
        <f t="shared" si="807"/>
        <v>0</v>
      </c>
      <c r="BC894" s="276">
        <f t="shared" si="808"/>
        <v>0</v>
      </c>
      <c r="BD894" s="276">
        <f t="shared" si="809"/>
        <v>0</v>
      </c>
      <c r="BE894" s="276">
        <f t="shared" si="810"/>
        <v>0</v>
      </c>
      <c r="BF894" s="686">
        <f t="shared" si="811"/>
        <v>0</v>
      </c>
      <c r="BG894" s="685" t="e">
        <f t="shared" si="812"/>
        <v>#DIV/0!</v>
      </c>
      <c r="BH894" s="276" t="e">
        <f t="shared" si="813"/>
        <v>#DIV/0!</v>
      </c>
      <c r="BI894" s="276" t="e">
        <f t="shared" si="814"/>
        <v>#DIV/0!</v>
      </c>
      <c r="BJ894" s="276" t="e">
        <f t="shared" si="815"/>
        <v>#DIV/0!</v>
      </c>
      <c r="BK894" s="276" t="e">
        <f t="shared" si="816"/>
        <v>#DIV/0!</v>
      </c>
      <c r="BL894" s="686" t="e">
        <f t="shared" si="817"/>
        <v>#DIV/0!</v>
      </c>
      <c r="BM894" s="239"/>
      <c r="BN894" s="965" t="e">
        <f t="shared" si="818"/>
        <v>#VALUE!</v>
      </c>
      <c r="BO894" s="878" t="e">
        <f t="shared" si="819"/>
        <v>#VALUE!</v>
      </c>
      <c r="BP894" s="878" t="e">
        <f t="shared" si="820"/>
        <v>#VALUE!</v>
      </c>
      <c r="BQ894" s="878" t="e">
        <f t="shared" si="821"/>
        <v>#VALUE!</v>
      </c>
      <c r="BR894" s="878" t="e">
        <f t="shared" si="822"/>
        <v>#VALUE!</v>
      </c>
      <c r="BS894" s="966" t="e">
        <f t="shared" si="823"/>
        <v>#VALUE!</v>
      </c>
    </row>
    <row r="895" spans="1:71">
      <c r="A895" s="284">
        <f t="shared" si="824"/>
        <v>827</v>
      </c>
      <c r="B895" s="285">
        <v>0.46597980903066361</v>
      </c>
      <c r="C895" s="285">
        <v>3.2679561841644893</v>
      </c>
      <c r="D895" s="285">
        <v>-1.1359612747026553</v>
      </c>
      <c r="E895" s="285">
        <v>8.8340389022079471</v>
      </c>
      <c r="H895" s="685">
        <f t="shared" si="770"/>
        <v>-0.66725403273839123</v>
      </c>
      <c r="I895" s="276">
        <f t="shared" si="771"/>
        <v>-0.26697322691786296</v>
      </c>
      <c r="J895" s="276">
        <f t="shared" si="772"/>
        <v>-3.893859573205761</v>
      </c>
      <c r="K895" s="276">
        <f t="shared" si="773"/>
        <v>0.23766257135113711</v>
      </c>
      <c r="L895" s="276">
        <f t="shared" si="774"/>
        <v>0.32561167689824089</v>
      </c>
      <c r="M895" s="276">
        <f t="shared" si="775"/>
        <v>-0.58314861818409891</v>
      </c>
      <c r="N895" s="685">
        <f t="shared" si="776"/>
        <v>2.0607849731926207</v>
      </c>
      <c r="O895" s="276">
        <f t="shared" si="777"/>
        <v>1.2242845454571831</v>
      </c>
      <c r="P895" s="276">
        <f t="shared" si="778"/>
        <v>1.2361247709015137</v>
      </c>
      <c r="Q895" s="276">
        <f t="shared" si="779"/>
        <v>1.5312679241584057</v>
      </c>
      <c r="R895" s="276">
        <f t="shared" si="780"/>
        <v>0.88435188499127215</v>
      </c>
      <c r="S895" s="686">
        <f t="shared" si="781"/>
        <v>0.87920096140225179</v>
      </c>
      <c r="T895" s="685">
        <f t="shared" si="782"/>
        <v>2.1424024155682706</v>
      </c>
      <c r="U895" s="276">
        <f t="shared" si="783"/>
        <v>5.3511404331043604</v>
      </c>
      <c r="V895" s="276">
        <f t="shared" si="784"/>
        <v>3.6740968668233633</v>
      </c>
      <c r="W895" s="276">
        <f t="shared" si="785"/>
        <v>5.7127428851890194</v>
      </c>
      <c r="X895" s="276">
        <f t="shared" si="786"/>
        <v>4.6181966568767177</v>
      </c>
      <c r="Y895" s="686">
        <f t="shared" si="787"/>
        <v>4.0106375492888304</v>
      </c>
      <c r="Z895" s="685" t="e">
        <f t="shared" si="788"/>
        <v>#DIV/0!</v>
      </c>
      <c r="AA895" s="276" t="e">
        <f t="shared" si="789"/>
        <v>#DIV/0!</v>
      </c>
      <c r="AB895" s="276" t="e">
        <f t="shared" si="790"/>
        <v>#DIV/0!</v>
      </c>
      <c r="AC895" s="276" t="e">
        <f t="shared" si="791"/>
        <v>#DIV/0!</v>
      </c>
      <c r="AD895" s="276" t="e">
        <f t="shared" si="792"/>
        <v>#DIV/0!</v>
      </c>
      <c r="AE895" s="686" t="e">
        <f t="shared" si="793"/>
        <v>#DIV/0!</v>
      </c>
      <c r="AF895" s="239"/>
      <c r="AG895" s="965" t="e">
        <f t="shared" si="764"/>
        <v>#VALUE!</v>
      </c>
      <c r="AH895" s="878" t="e">
        <f t="shared" si="765"/>
        <v>#VALUE!</v>
      </c>
      <c r="AI895" s="878" t="e">
        <f t="shared" si="766"/>
        <v>#VALUE!</v>
      </c>
      <c r="AJ895" s="878" t="e">
        <f t="shared" si="767"/>
        <v>#VALUE!</v>
      </c>
      <c r="AK895" s="878" t="e">
        <f t="shared" si="768"/>
        <v>#VALUE!</v>
      </c>
      <c r="AL895" s="966" t="e">
        <f t="shared" si="769"/>
        <v>#VALUE!</v>
      </c>
      <c r="AM895" s="239"/>
      <c r="AO895" s="685">
        <f t="shared" si="794"/>
        <v>-0.66725403273839123</v>
      </c>
      <c r="AP895" s="276">
        <f t="shared" si="795"/>
        <v>-0.26697322691786296</v>
      </c>
      <c r="AQ895" s="276">
        <f t="shared" si="796"/>
        <v>-3.893859573205761</v>
      </c>
      <c r="AR895" s="276">
        <f t="shared" si="797"/>
        <v>0.23766257135113711</v>
      </c>
      <c r="AS895" s="276">
        <f t="shared" si="798"/>
        <v>0.32561167689824089</v>
      </c>
      <c r="AT895" s="276">
        <f t="shared" si="799"/>
        <v>-0.58314861818409891</v>
      </c>
      <c r="AU895" s="685">
        <f t="shared" si="800"/>
        <v>2.0607849731926207</v>
      </c>
      <c r="AV895" s="276">
        <f t="shared" si="801"/>
        <v>1.2242845454571831</v>
      </c>
      <c r="AW895" s="276">
        <f t="shared" si="802"/>
        <v>1.2361247709015137</v>
      </c>
      <c r="AX895" s="276">
        <f t="shared" si="803"/>
        <v>1.5312679241584057</v>
      </c>
      <c r="AY895" s="276">
        <f t="shared" si="804"/>
        <v>0.88435188499127215</v>
      </c>
      <c r="AZ895" s="686">
        <f t="shared" si="805"/>
        <v>0.87920096140225179</v>
      </c>
      <c r="BA895" s="685">
        <f t="shared" si="806"/>
        <v>0</v>
      </c>
      <c r="BB895" s="276">
        <f t="shared" si="807"/>
        <v>0</v>
      </c>
      <c r="BC895" s="276">
        <f t="shared" si="808"/>
        <v>0</v>
      </c>
      <c r="BD895" s="276">
        <f t="shared" si="809"/>
        <v>0</v>
      </c>
      <c r="BE895" s="276">
        <f t="shared" si="810"/>
        <v>0</v>
      </c>
      <c r="BF895" s="686">
        <f t="shared" si="811"/>
        <v>0</v>
      </c>
      <c r="BG895" s="685" t="e">
        <f t="shared" si="812"/>
        <v>#DIV/0!</v>
      </c>
      <c r="BH895" s="276" t="e">
        <f t="shared" si="813"/>
        <v>#DIV/0!</v>
      </c>
      <c r="BI895" s="276" t="e">
        <f t="shared" si="814"/>
        <v>#DIV/0!</v>
      </c>
      <c r="BJ895" s="276" t="e">
        <f t="shared" si="815"/>
        <v>#DIV/0!</v>
      </c>
      <c r="BK895" s="276" t="e">
        <f t="shared" si="816"/>
        <v>#DIV/0!</v>
      </c>
      <c r="BL895" s="686" t="e">
        <f t="shared" si="817"/>
        <v>#DIV/0!</v>
      </c>
      <c r="BM895" s="239"/>
      <c r="BN895" s="965" t="e">
        <f t="shared" si="818"/>
        <v>#VALUE!</v>
      </c>
      <c r="BO895" s="878" t="e">
        <f t="shared" si="819"/>
        <v>#VALUE!</v>
      </c>
      <c r="BP895" s="878" t="e">
        <f t="shared" si="820"/>
        <v>#VALUE!</v>
      </c>
      <c r="BQ895" s="878" t="e">
        <f t="shared" si="821"/>
        <v>#VALUE!</v>
      </c>
      <c r="BR895" s="878" t="e">
        <f t="shared" si="822"/>
        <v>#VALUE!</v>
      </c>
      <c r="BS895" s="966" t="e">
        <f t="shared" si="823"/>
        <v>#VALUE!</v>
      </c>
    </row>
    <row r="896" spans="1:71">
      <c r="A896" s="284">
        <f t="shared" si="824"/>
        <v>828</v>
      </c>
      <c r="B896" s="285">
        <v>-1.6414399716376344</v>
      </c>
      <c r="C896" s="285">
        <v>3.274935162658128</v>
      </c>
      <c r="D896" s="285">
        <v>0.54507205694630689</v>
      </c>
      <c r="E896" s="285">
        <v>14.511217003031401</v>
      </c>
      <c r="H896" s="685">
        <f t="shared" si="770"/>
        <v>-2.7746738134066895</v>
      </c>
      <c r="I896" s="276">
        <f t="shared" si="771"/>
        <v>1.1262095097487805</v>
      </c>
      <c r="J896" s="276">
        <f t="shared" si="772"/>
        <v>-0.18717300086479216</v>
      </c>
      <c r="K896" s="276">
        <f t="shared" si="773"/>
        <v>-2.4037156617140791</v>
      </c>
      <c r="L896" s="276">
        <f t="shared" si="774"/>
        <v>-1.9961579805778484</v>
      </c>
      <c r="M896" s="276">
        <f t="shared" si="775"/>
        <v>-3.8237407342401442</v>
      </c>
      <c r="N896" s="685">
        <f t="shared" si="776"/>
        <v>2.0677639516862598</v>
      </c>
      <c r="O896" s="276">
        <f t="shared" si="777"/>
        <v>1.9849850958127215</v>
      </c>
      <c r="P896" s="276">
        <f t="shared" si="778"/>
        <v>2.0735462548381411</v>
      </c>
      <c r="Q896" s="276">
        <f t="shared" si="779"/>
        <v>1.4321263230728045</v>
      </c>
      <c r="R896" s="276">
        <f t="shared" si="780"/>
        <v>1.4683767122302334</v>
      </c>
      <c r="S896" s="686">
        <f t="shared" si="781"/>
        <v>0.84727913907956176</v>
      </c>
      <c r="T896" s="685">
        <f t="shared" si="782"/>
        <v>3.8234357472172329</v>
      </c>
      <c r="U896" s="276">
        <f t="shared" si="783"/>
        <v>4.8432123286600621</v>
      </c>
      <c r="V896" s="276">
        <f t="shared" si="784"/>
        <v>5.9210254453309616</v>
      </c>
      <c r="W896" s="276">
        <f t="shared" si="785"/>
        <v>5.2030505834672729</v>
      </c>
      <c r="X896" s="276">
        <f t="shared" si="786"/>
        <v>4.7864795505565052</v>
      </c>
      <c r="Y896" s="686">
        <f t="shared" si="787"/>
        <v>3.8510903543932717</v>
      </c>
      <c r="Z896" s="685" t="e">
        <f t="shared" si="788"/>
        <v>#DIV/0!</v>
      </c>
      <c r="AA896" s="276" t="e">
        <f t="shared" si="789"/>
        <v>#DIV/0!</v>
      </c>
      <c r="AB896" s="276" t="e">
        <f t="shared" si="790"/>
        <v>#DIV/0!</v>
      </c>
      <c r="AC896" s="276" t="e">
        <f t="shared" si="791"/>
        <v>#DIV/0!</v>
      </c>
      <c r="AD896" s="276" t="e">
        <f t="shared" si="792"/>
        <v>#DIV/0!</v>
      </c>
      <c r="AE896" s="686" t="e">
        <f t="shared" si="793"/>
        <v>#DIV/0!</v>
      </c>
      <c r="AF896" s="239"/>
      <c r="AG896" s="965" t="e">
        <f t="shared" si="764"/>
        <v>#VALUE!</v>
      </c>
      <c r="AH896" s="878" t="e">
        <f t="shared" si="765"/>
        <v>#VALUE!</v>
      </c>
      <c r="AI896" s="878" t="e">
        <f t="shared" si="766"/>
        <v>#VALUE!</v>
      </c>
      <c r="AJ896" s="878" t="e">
        <f t="shared" si="767"/>
        <v>#VALUE!</v>
      </c>
      <c r="AK896" s="878" t="e">
        <f t="shared" si="768"/>
        <v>#VALUE!</v>
      </c>
      <c r="AL896" s="966" t="e">
        <f t="shared" si="769"/>
        <v>#VALUE!</v>
      </c>
      <c r="AM896" s="239"/>
      <c r="AO896" s="685">
        <f t="shared" si="794"/>
        <v>-2.7746738134066895</v>
      </c>
      <c r="AP896" s="276">
        <f t="shared" si="795"/>
        <v>1.1262095097487805</v>
      </c>
      <c r="AQ896" s="276">
        <f t="shared" si="796"/>
        <v>-0.18717300086479216</v>
      </c>
      <c r="AR896" s="276">
        <f t="shared" si="797"/>
        <v>-2.4037156617140791</v>
      </c>
      <c r="AS896" s="276">
        <f t="shared" si="798"/>
        <v>-1.9961579805778484</v>
      </c>
      <c r="AT896" s="276">
        <f t="shared" si="799"/>
        <v>-3.8237407342401442</v>
      </c>
      <c r="AU896" s="685">
        <f t="shared" si="800"/>
        <v>2.0677639516862598</v>
      </c>
      <c r="AV896" s="276">
        <f t="shared" si="801"/>
        <v>1.9849850958127215</v>
      </c>
      <c r="AW896" s="276">
        <f t="shared" si="802"/>
        <v>2.0735462548381411</v>
      </c>
      <c r="AX896" s="276">
        <f t="shared" si="803"/>
        <v>1.4321263230728045</v>
      </c>
      <c r="AY896" s="276">
        <f t="shared" si="804"/>
        <v>1.4683767122302334</v>
      </c>
      <c r="AZ896" s="686">
        <f t="shared" si="805"/>
        <v>0.84727913907956176</v>
      </c>
      <c r="BA896" s="685">
        <f t="shared" si="806"/>
        <v>0</v>
      </c>
      <c r="BB896" s="276">
        <f t="shared" si="807"/>
        <v>0</v>
      </c>
      <c r="BC896" s="276">
        <f t="shared" si="808"/>
        <v>0</v>
      </c>
      <c r="BD896" s="276">
        <f t="shared" si="809"/>
        <v>0</v>
      </c>
      <c r="BE896" s="276">
        <f t="shared" si="810"/>
        <v>0</v>
      </c>
      <c r="BF896" s="686">
        <f t="shared" si="811"/>
        <v>0</v>
      </c>
      <c r="BG896" s="685" t="e">
        <f t="shared" si="812"/>
        <v>#DIV/0!</v>
      </c>
      <c r="BH896" s="276" t="e">
        <f t="shared" si="813"/>
        <v>#DIV/0!</v>
      </c>
      <c r="BI896" s="276" t="e">
        <f t="shared" si="814"/>
        <v>#DIV/0!</v>
      </c>
      <c r="BJ896" s="276" t="e">
        <f t="shared" si="815"/>
        <v>#DIV/0!</v>
      </c>
      <c r="BK896" s="276" t="e">
        <f t="shared" si="816"/>
        <v>#DIV/0!</v>
      </c>
      <c r="BL896" s="686" t="e">
        <f t="shared" si="817"/>
        <v>#DIV/0!</v>
      </c>
      <c r="BM896" s="239"/>
      <c r="BN896" s="965" t="e">
        <f t="shared" si="818"/>
        <v>#VALUE!</v>
      </c>
      <c r="BO896" s="878" t="e">
        <f t="shared" si="819"/>
        <v>#VALUE!</v>
      </c>
      <c r="BP896" s="878" t="e">
        <f t="shared" si="820"/>
        <v>#VALUE!</v>
      </c>
      <c r="BQ896" s="878" t="e">
        <f t="shared" si="821"/>
        <v>#VALUE!</v>
      </c>
      <c r="BR896" s="878" t="e">
        <f t="shared" si="822"/>
        <v>#VALUE!</v>
      </c>
      <c r="BS896" s="966" t="e">
        <f t="shared" si="823"/>
        <v>#VALUE!</v>
      </c>
    </row>
    <row r="897" spans="1:71">
      <c r="A897" s="284">
        <f t="shared" si="824"/>
        <v>829</v>
      </c>
      <c r="B897" s="285">
        <v>-3.0817309948669078</v>
      </c>
      <c r="C897" s="285">
        <v>3.0415116923098524</v>
      </c>
      <c r="D897" s="285">
        <v>-0.30639986581235079</v>
      </c>
      <c r="E897" s="285">
        <v>1.3753542059850656</v>
      </c>
      <c r="H897" s="685">
        <f t="shared" si="770"/>
        <v>-4.2149648366359624</v>
      </c>
      <c r="I897" s="276">
        <f t="shared" si="771"/>
        <v>-2.3555436330559552</v>
      </c>
      <c r="J897" s="276">
        <f t="shared" si="772"/>
        <v>-1.710114886934019</v>
      </c>
      <c r="K897" s="276">
        <f t="shared" si="773"/>
        <v>0.58771818014614663</v>
      </c>
      <c r="L897" s="276">
        <f t="shared" si="774"/>
        <v>2.2269663232576669</v>
      </c>
      <c r="M897" s="276">
        <f t="shared" si="775"/>
        <v>-2.1979624330028233</v>
      </c>
      <c r="N897" s="685">
        <f t="shared" si="776"/>
        <v>1.834340481337984</v>
      </c>
      <c r="O897" s="276">
        <f t="shared" si="777"/>
        <v>0.60712676275528854</v>
      </c>
      <c r="P897" s="276">
        <f t="shared" si="778"/>
        <v>2.59795329432907</v>
      </c>
      <c r="Q897" s="276">
        <f t="shared" si="779"/>
        <v>1.2339136925504979</v>
      </c>
      <c r="R897" s="276">
        <f t="shared" si="780"/>
        <v>1.2690231666429195</v>
      </c>
      <c r="S897" s="686">
        <f t="shared" si="781"/>
        <v>1.0906520637227477</v>
      </c>
      <c r="T897" s="685">
        <f t="shared" si="782"/>
        <v>2.9719638244585749</v>
      </c>
      <c r="U897" s="276">
        <f t="shared" si="783"/>
        <v>5.2297126537848104</v>
      </c>
      <c r="V897" s="276">
        <f t="shared" si="784"/>
        <v>3.5408085120773394</v>
      </c>
      <c r="W897" s="276">
        <f t="shared" si="785"/>
        <v>5.8171531222954229</v>
      </c>
      <c r="X897" s="276">
        <f t="shared" si="786"/>
        <v>5.318343084114705</v>
      </c>
      <c r="Y897" s="686">
        <f t="shared" si="787"/>
        <v>2.9587420512839588</v>
      </c>
      <c r="Z897" s="685" t="e">
        <f t="shared" si="788"/>
        <v>#DIV/0!</v>
      </c>
      <c r="AA897" s="276" t="e">
        <f t="shared" si="789"/>
        <v>#DIV/0!</v>
      </c>
      <c r="AB897" s="276" t="e">
        <f t="shared" si="790"/>
        <v>#DIV/0!</v>
      </c>
      <c r="AC897" s="276" t="e">
        <f t="shared" si="791"/>
        <v>#DIV/0!</v>
      </c>
      <c r="AD897" s="276" t="e">
        <f t="shared" si="792"/>
        <v>#DIV/0!</v>
      </c>
      <c r="AE897" s="686" t="e">
        <f t="shared" si="793"/>
        <v>#DIV/0!</v>
      </c>
      <c r="AF897" s="239"/>
      <c r="AG897" s="965" t="e">
        <f t="shared" si="764"/>
        <v>#VALUE!</v>
      </c>
      <c r="AH897" s="878" t="e">
        <f t="shared" si="765"/>
        <v>#VALUE!</v>
      </c>
      <c r="AI897" s="878" t="e">
        <f t="shared" si="766"/>
        <v>#VALUE!</v>
      </c>
      <c r="AJ897" s="878" t="e">
        <f t="shared" si="767"/>
        <v>#VALUE!</v>
      </c>
      <c r="AK897" s="878" t="e">
        <f t="shared" si="768"/>
        <v>#VALUE!</v>
      </c>
      <c r="AL897" s="966" t="e">
        <f t="shared" si="769"/>
        <v>#VALUE!</v>
      </c>
      <c r="AM897" s="239"/>
      <c r="AO897" s="685">
        <f t="shared" si="794"/>
        <v>-4.2149648366359624</v>
      </c>
      <c r="AP897" s="276">
        <f t="shared" si="795"/>
        <v>-2.3555436330559552</v>
      </c>
      <c r="AQ897" s="276">
        <f t="shared" si="796"/>
        <v>-1.710114886934019</v>
      </c>
      <c r="AR897" s="276">
        <f t="shared" si="797"/>
        <v>0.58771818014614663</v>
      </c>
      <c r="AS897" s="276">
        <f t="shared" si="798"/>
        <v>2.2269663232576669</v>
      </c>
      <c r="AT897" s="276">
        <f t="shared" si="799"/>
        <v>-2.1979624330028233</v>
      </c>
      <c r="AU897" s="685">
        <f t="shared" si="800"/>
        <v>1.834340481337984</v>
      </c>
      <c r="AV897" s="276">
        <f t="shared" si="801"/>
        <v>0.60712676275528854</v>
      </c>
      <c r="AW897" s="276">
        <f t="shared" si="802"/>
        <v>2.59795329432907</v>
      </c>
      <c r="AX897" s="276">
        <f t="shared" si="803"/>
        <v>1.2339136925504979</v>
      </c>
      <c r="AY897" s="276">
        <f t="shared" si="804"/>
        <v>1.2690231666429195</v>
      </c>
      <c r="AZ897" s="686">
        <f t="shared" si="805"/>
        <v>1.0906520637227477</v>
      </c>
      <c r="BA897" s="685">
        <f t="shared" si="806"/>
        <v>0</v>
      </c>
      <c r="BB897" s="276">
        <f t="shared" si="807"/>
        <v>0</v>
      </c>
      <c r="BC897" s="276">
        <f t="shared" si="808"/>
        <v>0</v>
      </c>
      <c r="BD897" s="276">
        <f t="shared" si="809"/>
        <v>0</v>
      </c>
      <c r="BE897" s="276">
        <f t="shared" si="810"/>
        <v>0</v>
      </c>
      <c r="BF897" s="686">
        <f t="shared" si="811"/>
        <v>0</v>
      </c>
      <c r="BG897" s="685" t="e">
        <f t="shared" si="812"/>
        <v>#DIV/0!</v>
      </c>
      <c r="BH897" s="276" t="e">
        <f t="shared" si="813"/>
        <v>#DIV/0!</v>
      </c>
      <c r="BI897" s="276" t="e">
        <f t="shared" si="814"/>
        <v>#DIV/0!</v>
      </c>
      <c r="BJ897" s="276" t="e">
        <f t="shared" si="815"/>
        <v>#DIV/0!</v>
      </c>
      <c r="BK897" s="276" t="e">
        <f t="shared" si="816"/>
        <v>#DIV/0!</v>
      </c>
      <c r="BL897" s="686" t="e">
        <f t="shared" si="817"/>
        <v>#DIV/0!</v>
      </c>
      <c r="BM897" s="239"/>
      <c r="BN897" s="965" t="e">
        <f t="shared" si="818"/>
        <v>#VALUE!</v>
      </c>
      <c r="BO897" s="878" t="e">
        <f t="shared" si="819"/>
        <v>#VALUE!</v>
      </c>
      <c r="BP897" s="878" t="e">
        <f t="shared" si="820"/>
        <v>#VALUE!</v>
      </c>
      <c r="BQ897" s="878" t="e">
        <f t="shared" si="821"/>
        <v>#VALUE!</v>
      </c>
      <c r="BR897" s="878" t="e">
        <f t="shared" si="822"/>
        <v>#VALUE!</v>
      </c>
      <c r="BS897" s="966" t="e">
        <f t="shared" si="823"/>
        <v>#VALUE!</v>
      </c>
    </row>
    <row r="898" spans="1:71">
      <c r="A898" s="284">
        <f t="shared" si="824"/>
        <v>830</v>
      </c>
      <c r="B898" s="285">
        <v>0.1081477842772212</v>
      </c>
      <c r="C898" s="285">
        <v>2.639701071304748</v>
      </c>
      <c r="D898" s="285">
        <v>1.8819563644568493E-2</v>
      </c>
      <c r="E898" s="285">
        <v>-7.913341350446137</v>
      </c>
      <c r="H898" s="685">
        <f t="shared" si="770"/>
        <v>-1.0250860574918337</v>
      </c>
      <c r="I898" s="276">
        <f t="shared" si="771"/>
        <v>0.63042096795067759</v>
      </c>
      <c r="J898" s="276">
        <f t="shared" si="772"/>
        <v>-3.3690026437585479</v>
      </c>
      <c r="K898" s="276">
        <f t="shared" si="773"/>
        <v>-1.6688937972369757</v>
      </c>
      <c r="L898" s="276">
        <f t="shared" si="774"/>
        <v>0.21877356595249475</v>
      </c>
      <c r="M898" s="276">
        <f t="shared" si="775"/>
        <v>-0.74414394480964119</v>
      </c>
      <c r="N898" s="685">
        <f t="shared" si="776"/>
        <v>1.4325298603328795</v>
      </c>
      <c r="O898" s="276">
        <f t="shared" si="777"/>
        <v>0.77320574978386336</v>
      </c>
      <c r="P898" s="276">
        <f t="shared" si="778"/>
        <v>1.3042389178809277</v>
      </c>
      <c r="Q898" s="276">
        <f t="shared" si="779"/>
        <v>1.0041286883626357</v>
      </c>
      <c r="R898" s="276">
        <f t="shared" si="780"/>
        <v>1.3929320540090544</v>
      </c>
      <c r="S898" s="686">
        <f t="shared" si="781"/>
        <v>1.5151314962206885</v>
      </c>
      <c r="T898" s="685">
        <f t="shared" si="782"/>
        <v>3.2971832539154944</v>
      </c>
      <c r="U898" s="276">
        <f t="shared" si="783"/>
        <v>7.0169873398216236</v>
      </c>
      <c r="V898" s="276">
        <f t="shared" si="784"/>
        <v>3.3975319392179832</v>
      </c>
      <c r="W898" s="276">
        <f t="shared" si="785"/>
        <v>4.5825872395329332</v>
      </c>
      <c r="X898" s="276">
        <f t="shared" si="786"/>
        <v>4.0334106006242703</v>
      </c>
      <c r="Y898" s="686">
        <f t="shared" si="787"/>
        <v>5.8094158143788395</v>
      </c>
      <c r="Z898" s="685" t="e">
        <f t="shared" si="788"/>
        <v>#DIV/0!</v>
      </c>
      <c r="AA898" s="276" t="e">
        <f t="shared" si="789"/>
        <v>#DIV/0!</v>
      </c>
      <c r="AB898" s="276" t="e">
        <f t="shared" si="790"/>
        <v>#DIV/0!</v>
      </c>
      <c r="AC898" s="276" t="e">
        <f t="shared" si="791"/>
        <v>#DIV/0!</v>
      </c>
      <c r="AD898" s="276" t="e">
        <f t="shared" si="792"/>
        <v>#DIV/0!</v>
      </c>
      <c r="AE898" s="686" t="e">
        <f t="shared" si="793"/>
        <v>#DIV/0!</v>
      </c>
      <c r="AF898" s="239"/>
      <c r="AG898" s="965" t="e">
        <f t="shared" si="764"/>
        <v>#VALUE!</v>
      </c>
      <c r="AH898" s="878" t="e">
        <f t="shared" si="765"/>
        <v>#VALUE!</v>
      </c>
      <c r="AI898" s="878" t="e">
        <f t="shared" si="766"/>
        <v>#VALUE!</v>
      </c>
      <c r="AJ898" s="878" t="e">
        <f t="shared" si="767"/>
        <v>#VALUE!</v>
      </c>
      <c r="AK898" s="878" t="e">
        <f t="shared" si="768"/>
        <v>#VALUE!</v>
      </c>
      <c r="AL898" s="966" t="e">
        <f t="shared" si="769"/>
        <v>#VALUE!</v>
      </c>
      <c r="AM898" s="239"/>
      <c r="AO898" s="685">
        <f t="shared" si="794"/>
        <v>-1.0250860574918337</v>
      </c>
      <c r="AP898" s="276">
        <f t="shared" si="795"/>
        <v>0.63042096795067759</v>
      </c>
      <c r="AQ898" s="276">
        <f t="shared" si="796"/>
        <v>-3.3690026437585479</v>
      </c>
      <c r="AR898" s="276">
        <f t="shared" si="797"/>
        <v>-1.6688937972369757</v>
      </c>
      <c r="AS898" s="276">
        <f t="shared" si="798"/>
        <v>0.21877356595249475</v>
      </c>
      <c r="AT898" s="276">
        <f t="shared" si="799"/>
        <v>-0.74414394480964119</v>
      </c>
      <c r="AU898" s="685">
        <f t="shared" si="800"/>
        <v>1.4325298603328795</v>
      </c>
      <c r="AV898" s="276">
        <f t="shared" si="801"/>
        <v>0.77320574978386336</v>
      </c>
      <c r="AW898" s="276">
        <f t="shared" si="802"/>
        <v>1.3042389178809277</v>
      </c>
      <c r="AX898" s="276">
        <f t="shared" si="803"/>
        <v>1.0041286883626357</v>
      </c>
      <c r="AY898" s="276">
        <f t="shared" si="804"/>
        <v>1.3929320540090544</v>
      </c>
      <c r="AZ898" s="686">
        <f t="shared" si="805"/>
        <v>1.5151314962206885</v>
      </c>
      <c r="BA898" s="685">
        <f t="shared" si="806"/>
        <v>0</v>
      </c>
      <c r="BB898" s="276">
        <f t="shared" si="807"/>
        <v>0</v>
      </c>
      <c r="BC898" s="276">
        <f t="shared" si="808"/>
        <v>0</v>
      </c>
      <c r="BD898" s="276">
        <f t="shared" si="809"/>
        <v>0</v>
      </c>
      <c r="BE898" s="276">
        <f t="shared" si="810"/>
        <v>0</v>
      </c>
      <c r="BF898" s="686">
        <f t="shared" si="811"/>
        <v>0</v>
      </c>
      <c r="BG898" s="685" t="e">
        <f t="shared" si="812"/>
        <v>#DIV/0!</v>
      </c>
      <c r="BH898" s="276" t="e">
        <f t="shared" si="813"/>
        <v>#DIV/0!</v>
      </c>
      <c r="BI898" s="276" t="e">
        <f t="shared" si="814"/>
        <v>#DIV/0!</v>
      </c>
      <c r="BJ898" s="276" t="e">
        <f t="shared" si="815"/>
        <v>#DIV/0!</v>
      </c>
      <c r="BK898" s="276" t="e">
        <f t="shared" si="816"/>
        <v>#DIV/0!</v>
      </c>
      <c r="BL898" s="686" t="e">
        <f t="shared" si="817"/>
        <v>#DIV/0!</v>
      </c>
      <c r="BM898" s="239"/>
      <c r="BN898" s="965" t="e">
        <f t="shared" si="818"/>
        <v>#VALUE!</v>
      </c>
      <c r="BO898" s="878" t="e">
        <f t="shared" si="819"/>
        <v>#VALUE!</v>
      </c>
      <c r="BP898" s="878" t="e">
        <f t="shared" si="820"/>
        <v>#VALUE!</v>
      </c>
      <c r="BQ898" s="878" t="e">
        <f t="shared" si="821"/>
        <v>#VALUE!</v>
      </c>
      <c r="BR898" s="878" t="e">
        <f t="shared" si="822"/>
        <v>#VALUE!</v>
      </c>
      <c r="BS898" s="966" t="e">
        <f t="shared" si="823"/>
        <v>#VALUE!</v>
      </c>
    </row>
    <row r="899" spans="1:71">
      <c r="A899" s="284">
        <f t="shared" si="824"/>
        <v>831</v>
      </c>
      <c r="B899" s="285">
        <v>-1.9008079003471947</v>
      </c>
      <c r="C899" s="285">
        <v>2.244025581247346</v>
      </c>
      <c r="D899" s="285">
        <v>1.2345692470471916</v>
      </c>
      <c r="E899" s="285">
        <v>-2.965673713735975</v>
      </c>
      <c r="H899" s="685">
        <f t="shared" si="770"/>
        <v>-3.0340417421162496</v>
      </c>
      <c r="I899" s="276">
        <f t="shared" si="771"/>
        <v>-3.0567104408095105</v>
      </c>
      <c r="J899" s="276">
        <f t="shared" si="772"/>
        <v>-0.26570538173907832</v>
      </c>
      <c r="K899" s="276">
        <f t="shared" si="773"/>
        <v>-1.0330239146600839</v>
      </c>
      <c r="L899" s="276">
        <f t="shared" si="774"/>
        <v>-4.0001234182762637</v>
      </c>
      <c r="M899" s="276">
        <f t="shared" si="775"/>
        <v>-8.1683439535953326</v>
      </c>
      <c r="N899" s="685">
        <f t="shared" si="776"/>
        <v>1.0368543702754776</v>
      </c>
      <c r="O899" s="276">
        <f t="shared" si="777"/>
        <v>1.1073442767973154</v>
      </c>
      <c r="P899" s="276">
        <f t="shared" si="778"/>
        <v>0.96148648699304418</v>
      </c>
      <c r="Q899" s="276">
        <f t="shared" si="779"/>
        <v>1.541814903366834</v>
      </c>
      <c r="R899" s="276">
        <f t="shared" si="780"/>
        <v>1.1811978315350451</v>
      </c>
      <c r="S899" s="686">
        <f t="shared" si="781"/>
        <v>0.89006535740344073</v>
      </c>
      <c r="T899" s="685">
        <f t="shared" si="782"/>
        <v>4.5129329373181175</v>
      </c>
      <c r="U899" s="276">
        <f t="shared" si="783"/>
        <v>4.7209775451257272</v>
      </c>
      <c r="V899" s="276">
        <f t="shared" si="784"/>
        <v>5.3803752768610238</v>
      </c>
      <c r="W899" s="276">
        <f t="shared" si="785"/>
        <v>4.4705046998997489</v>
      </c>
      <c r="X899" s="276">
        <f t="shared" si="786"/>
        <v>1.1113908119360989</v>
      </c>
      <c r="Y899" s="686">
        <f t="shared" si="787"/>
        <v>1.7871944028555684</v>
      </c>
      <c r="Z899" s="685" t="e">
        <f t="shared" si="788"/>
        <v>#DIV/0!</v>
      </c>
      <c r="AA899" s="276" t="e">
        <f t="shared" si="789"/>
        <v>#DIV/0!</v>
      </c>
      <c r="AB899" s="276" t="e">
        <f t="shared" si="790"/>
        <v>#DIV/0!</v>
      </c>
      <c r="AC899" s="276" t="e">
        <f t="shared" si="791"/>
        <v>#DIV/0!</v>
      </c>
      <c r="AD899" s="276" t="e">
        <f t="shared" si="792"/>
        <v>#DIV/0!</v>
      </c>
      <c r="AE899" s="686" t="e">
        <f t="shared" si="793"/>
        <v>#DIV/0!</v>
      </c>
      <c r="AF899" s="239"/>
      <c r="AG899" s="965" t="e">
        <f t="shared" si="764"/>
        <v>#VALUE!</v>
      </c>
      <c r="AH899" s="878" t="e">
        <f t="shared" si="765"/>
        <v>#VALUE!</v>
      </c>
      <c r="AI899" s="878" t="e">
        <f t="shared" si="766"/>
        <v>#VALUE!</v>
      </c>
      <c r="AJ899" s="878" t="e">
        <f t="shared" si="767"/>
        <v>#VALUE!</v>
      </c>
      <c r="AK899" s="878" t="e">
        <f t="shared" si="768"/>
        <v>#VALUE!</v>
      </c>
      <c r="AL899" s="966" t="e">
        <f t="shared" si="769"/>
        <v>#VALUE!</v>
      </c>
      <c r="AM899" s="239"/>
      <c r="AO899" s="685">
        <f t="shared" si="794"/>
        <v>-3.0340417421162496</v>
      </c>
      <c r="AP899" s="276">
        <f t="shared" si="795"/>
        <v>-3.0567104408095105</v>
      </c>
      <c r="AQ899" s="276">
        <f t="shared" si="796"/>
        <v>-0.26570538173907832</v>
      </c>
      <c r="AR899" s="276">
        <f t="shared" si="797"/>
        <v>-1.0330239146600839</v>
      </c>
      <c r="AS899" s="276">
        <f t="shared" si="798"/>
        <v>-4.0001234182762637</v>
      </c>
      <c r="AT899" s="276">
        <f t="shared" si="799"/>
        <v>-8.1683439535953326</v>
      </c>
      <c r="AU899" s="685">
        <f t="shared" si="800"/>
        <v>1.0368543702754776</v>
      </c>
      <c r="AV899" s="276">
        <f t="shared" si="801"/>
        <v>1.1073442767973154</v>
      </c>
      <c r="AW899" s="276">
        <f t="shared" si="802"/>
        <v>0.96148648699304418</v>
      </c>
      <c r="AX899" s="276">
        <f t="shared" si="803"/>
        <v>1.541814903366834</v>
      </c>
      <c r="AY899" s="276">
        <f t="shared" si="804"/>
        <v>1.1811978315350451</v>
      </c>
      <c r="AZ899" s="686">
        <f t="shared" si="805"/>
        <v>0.89006535740344073</v>
      </c>
      <c r="BA899" s="685">
        <f t="shared" si="806"/>
        <v>0</v>
      </c>
      <c r="BB899" s="276">
        <f t="shared" si="807"/>
        <v>0</v>
      </c>
      <c r="BC899" s="276">
        <f t="shared" si="808"/>
        <v>0</v>
      </c>
      <c r="BD899" s="276">
        <f t="shared" si="809"/>
        <v>0</v>
      </c>
      <c r="BE899" s="276">
        <f t="shared" si="810"/>
        <v>0</v>
      </c>
      <c r="BF899" s="686">
        <f t="shared" si="811"/>
        <v>0</v>
      </c>
      <c r="BG899" s="685" t="e">
        <f t="shared" si="812"/>
        <v>#DIV/0!</v>
      </c>
      <c r="BH899" s="276" t="e">
        <f t="shared" si="813"/>
        <v>#DIV/0!</v>
      </c>
      <c r="BI899" s="276" t="e">
        <f t="shared" si="814"/>
        <v>#DIV/0!</v>
      </c>
      <c r="BJ899" s="276" t="e">
        <f t="shared" si="815"/>
        <v>#DIV/0!</v>
      </c>
      <c r="BK899" s="276" t="e">
        <f t="shared" si="816"/>
        <v>#DIV/0!</v>
      </c>
      <c r="BL899" s="686" t="e">
        <f t="shared" si="817"/>
        <v>#DIV/0!</v>
      </c>
      <c r="BM899" s="239"/>
      <c r="BN899" s="965" t="e">
        <f t="shared" si="818"/>
        <v>#VALUE!</v>
      </c>
      <c r="BO899" s="878" t="e">
        <f t="shared" si="819"/>
        <v>#VALUE!</v>
      </c>
      <c r="BP899" s="878" t="e">
        <f t="shared" si="820"/>
        <v>#VALUE!</v>
      </c>
      <c r="BQ899" s="878" t="e">
        <f t="shared" si="821"/>
        <v>#VALUE!</v>
      </c>
      <c r="BR899" s="878" t="e">
        <f t="shared" si="822"/>
        <v>#VALUE!</v>
      </c>
      <c r="BS899" s="966" t="e">
        <f t="shared" si="823"/>
        <v>#VALUE!</v>
      </c>
    </row>
    <row r="900" spans="1:71">
      <c r="A900" s="284">
        <f t="shared" si="824"/>
        <v>832</v>
      </c>
      <c r="B900" s="285">
        <v>-6.5772773351828215</v>
      </c>
      <c r="C900" s="285">
        <v>2.1758262998727624</v>
      </c>
      <c r="D900" s="285">
        <v>0.65148236829516326</v>
      </c>
      <c r="E900" s="285">
        <v>1.8641532221208927</v>
      </c>
      <c r="H900" s="685">
        <f t="shared" si="770"/>
        <v>-7.7105111769518766</v>
      </c>
      <c r="I900" s="276">
        <f t="shared" si="771"/>
        <v>-3.6881040640294591</v>
      </c>
      <c r="J900" s="276">
        <f t="shared" si="772"/>
        <v>-3.5076350808877592</v>
      </c>
      <c r="K900" s="276">
        <f t="shared" si="773"/>
        <v>-3.247957492944642</v>
      </c>
      <c r="L900" s="276">
        <f t="shared" si="774"/>
        <v>-1.5357831833876765</v>
      </c>
      <c r="M900" s="276">
        <f t="shared" si="775"/>
        <v>-4.479216633401677</v>
      </c>
      <c r="N900" s="685">
        <f t="shared" si="776"/>
        <v>0.96865508890089402</v>
      </c>
      <c r="O900" s="276">
        <f t="shared" si="777"/>
        <v>1.1168862452288184</v>
      </c>
      <c r="P900" s="276">
        <f t="shared" si="778"/>
        <v>0.43495065060224891</v>
      </c>
      <c r="Q900" s="276">
        <f t="shared" si="779"/>
        <v>1.0564803877739795</v>
      </c>
      <c r="R900" s="276">
        <f t="shared" si="780"/>
        <v>0.92828197190480233</v>
      </c>
      <c r="S900" s="686">
        <f t="shared" si="781"/>
        <v>0.99397643046295348</v>
      </c>
      <c r="T900" s="685">
        <f t="shared" si="782"/>
        <v>3.9298460585660893</v>
      </c>
      <c r="U900" s="276">
        <f t="shared" si="783"/>
        <v>4.8498120908726934</v>
      </c>
      <c r="V900" s="276">
        <f t="shared" si="784"/>
        <v>4.8064277988725985</v>
      </c>
      <c r="W900" s="276">
        <f t="shared" si="785"/>
        <v>3.7351546782750216</v>
      </c>
      <c r="X900" s="276">
        <f t="shared" si="786"/>
        <v>5.4925599997267067</v>
      </c>
      <c r="Y900" s="686">
        <f t="shared" si="787"/>
        <v>4.1867146671773892</v>
      </c>
      <c r="Z900" s="685" t="e">
        <f t="shared" si="788"/>
        <v>#DIV/0!</v>
      </c>
      <c r="AA900" s="276" t="e">
        <f t="shared" si="789"/>
        <v>#DIV/0!</v>
      </c>
      <c r="AB900" s="276" t="e">
        <f t="shared" si="790"/>
        <v>#DIV/0!</v>
      </c>
      <c r="AC900" s="276" t="e">
        <f t="shared" si="791"/>
        <v>#DIV/0!</v>
      </c>
      <c r="AD900" s="276" t="e">
        <f t="shared" si="792"/>
        <v>#DIV/0!</v>
      </c>
      <c r="AE900" s="686" t="e">
        <f t="shared" si="793"/>
        <v>#DIV/0!</v>
      </c>
      <c r="AF900" s="239"/>
      <c r="AG900" s="965" t="e">
        <f t="shared" si="764"/>
        <v>#VALUE!</v>
      </c>
      <c r="AH900" s="878" t="e">
        <f t="shared" si="765"/>
        <v>#VALUE!</v>
      </c>
      <c r="AI900" s="878" t="e">
        <f t="shared" si="766"/>
        <v>#VALUE!</v>
      </c>
      <c r="AJ900" s="878" t="e">
        <f t="shared" si="767"/>
        <v>#VALUE!</v>
      </c>
      <c r="AK900" s="878" t="e">
        <f t="shared" si="768"/>
        <v>#VALUE!</v>
      </c>
      <c r="AL900" s="966" t="e">
        <f t="shared" si="769"/>
        <v>#VALUE!</v>
      </c>
      <c r="AM900" s="239"/>
      <c r="AO900" s="685">
        <f t="shared" si="794"/>
        <v>-7.7105111769518766</v>
      </c>
      <c r="AP900" s="276">
        <f t="shared" si="795"/>
        <v>-3.6881040640294591</v>
      </c>
      <c r="AQ900" s="276">
        <f t="shared" si="796"/>
        <v>-3.5076350808877592</v>
      </c>
      <c r="AR900" s="276">
        <f t="shared" si="797"/>
        <v>-3.247957492944642</v>
      </c>
      <c r="AS900" s="276">
        <f t="shared" si="798"/>
        <v>-1.5357831833876765</v>
      </c>
      <c r="AT900" s="276">
        <f t="shared" si="799"/>
        <v>-4.479216633401677</v>
      </c>
      <c r="AU900" s="685">
        <f t="shared" si="800"/>
        <v>0.96865508890089402</v>
      </c>
      <c r="AV900" s="276">
        <f t="shared" si="801"/>
        <v>1.1168862452288184</v>
      </c>
      <c r="AW900" s="276">
        <f t="shared" si="802"/>
        <v>0.43495065060224891</v>
      </c>
      <c r="AX900" s="276">
        <f t="shared" si="803"/>
        <v>1.0564803877739795</v>
      </c>
      <c r="AY900" s="276">
        <f t="shared" si="804"/>
        <v>0.92828197190480233</v>
      </c>
      <c r="AZ900" s="686">
        <f t="shared" si="805"/>
        <v>0.99397643046295348</v>
      </c>
      <c r="BA900" s="685">
        <f t="shared" si="806"/>
        <v>0</v>
      </c>
      <c r="BB900" s="276">
        <f t="shared" si="807"/>
        <v>0</v>
      </c>
      <c r="BC900" s="276">
        <f t="shared" si="808"/>
        <v>0</v>
      </c>
      <c r="BD900" s="276">
        <f t="shared" si="809"/>
        <v>0</v>
      </c>
      <c r="BE900" s="276">
        <f t="shared" si="810"/>
        <v>0</v>
      </c>
      <c r="BF900" s="686">
        <f t="shared" si="811"/>
        <v>0</v>
      </c>
      <c r="BG900" s="685" t="e">
        <f t="shared" si="812"/>
        <v>#DIV/0!</v>
      </c>
      <c r="BH900" s="276" t="e">
        <f t="shared" si="813"/>
        <v>#DIV/0!</v>
      </c>
      <c r="BI900" s="276" t="e">
        <f t="shared" si="814"/>
        <v>#DIV/0!</v>
      </c>
      <c r="BJ900" s="276" t="e">
        <f t="shared" si="815"/>
        <v>#DIV/0!</v>
      </c>
      <c r="BK900" s="276" t="e">
        <f t="shared" si="816"/>
        <v>#DIV/0!</v>
      </c>
      <c r="BL900" s="686" t="e">
        <f t="shared" si="817"/>
        <v>#DIV/0!</v>
      </c>
      <c r="BM900" s="239"/>
      <c r="BN900" s="965" t="e">
        <f t="shared" si="818"/>
        <v>#VALUE!</v>
      </c>
      <c r="BO900" s="878" t="e">
        <f t="shared" si="819"/>
        <v>#VALUE!</v>
      </c>
      <c r="BP900" s="878" t="e">
        <f t="shared" si="820"/>
        <v>#VALUE!</v>
      </c>
      <c r="BQ900" s="878" t="e">
        <f t="shared" si="821"/>
        <v>#VALUE!</v>
      </c>
      <c r="BR900" s="878" t="e">
        <f t="shared" si="822"/>
        <v>#VALUE!</v>
      </c>
      <c r="BS900" s="966" t="e">
        <f t="shared" si="823"/>
        <v>#VALUE!</v>
      </c>
    </row>
    <row r="901" spans="1:71">
      <c r="A901" s="284">
        <f t="shared" si="824"/>
        <v>833</v>
      </c>
      <c r="B901" s="285">
        <v>-1.2228540102054568</v>
      </c>
      <c r="C901" s="285">
        <v>1.6319688770917022</v>
      </c>
      <c r="D901" s="285">
        <v>2.3178988822797817</v>
      </c>
      <c r="E901" s="285">
        <v>-12.72954142321861</v>
      </c>
      <c r="H901" s="685">
        <f t="shared" si="770"/>
        <v>-2.3560878519745119</v>
      </c>
      <c r="I901" s="276">
        <f t="shared" si="771"/>
        <v>-1.2750457962555419</v>
      </c>
      <c r="J901" s="276">
        <f t="shared" si="772"/>
        <v>-1.4827798331253015</v>
      </c>
      <c r="K901" s="276">
        <f t="shared" si="773"/>
        <v>1.0861988849982185</v>
      </c>
      <c r="L901" s="276">
        <f t="shared" si="774"/>
        <v>-4.9278996051621435</v>
      </c>
      <c r="M901" s="276">
        <f t="shared" si="775"/>
        <v>3.839701668018634</v>
      </c>
      <c r="N901" s="685">
        <f t="shared" si="776"/>
        <v>0.42479766611983383</v>
      </c>
      <c r="O901" s="276">
        <f t="shared" si="777"/>
        <v>1.6009547450918038</v>
      </c>
      <c r="P901" s="276">
        <f t="shared" si="778"/>
        <v>1.3861283801418571</v>
      </c>
      <c r="Q901" s="276">
        <f t="shared" si="779"/>
        <v>1.5417822033943744</v>
      </c>
      <c r="R901" s="276">
        <f t="shared" si="780"/>
        <v>1.4113596613836468</v>
      </c>
      <c r="S901" s="686">
        <f t="shared" si="781"/>
        <v>1.3845701406101873</v>
      </c>
      <c r="T901" s="685">
        <f t="shared" si="782"/>
        <v>5.5962625725507076</v>
      </c>
      <c r="U901" s="276">
        <f t="shared" si="783"/>
        <v>4.7226872255727503</v>
      </c>
      <c r="V901" s="276">
        <f t="shared" si="784"/>
        <v>6.5525359886664631</v>
      </c>
      <c r="W901" s="276">
        <f t="shared" si="785"/>
        <v>5.5108858637915707</v>
      </c>
      <c r="X901" s="276">
        <f t="shared" si="786"/>
        <v>5.0464226509683163</v>
      </c>
      <c r="Y901" s="686">
        <f t="shared" si="787"/>
        <v>4.9478797392585383</v>
      </c>
      <c r="Z901" s="685" t="e">
        <f t="shared" si="788"/>
        <v>#DIV/0!</v>
      </c>
      <c r="AA901" s="276" t="e">
        <f t="shared" si="789"/>
        <v>#DIV/0!</v>
      </c>
      <c r="AB901" s="276" t="e">
        <f t="shared" si="790"/>
        <v>#DIV/0!</v>
      </c>
      <c r="AC901" s="276" t="e">
        <f t="shared" si="791"/>
        <v>#DIV/0!</v>
      </c>
      <c r="AD901" s="276" t="e">
        <f t="shared" si="792"/>
        <v>#DIV/0!</v>
      </c>
      <c r="AE901" s="686" t="e">
        <f t="shared" si="793"/>
        <v>#DIV/0!</v>
      </c>
      <c r="AF901" s="239"/>
      <c r="AG901" s="965" t="e">
        <f t="shared" ref="AG901:AG964" si="825">S$53*(1+(T$55+N901)/100)*((1-S$62)+S$62*((1+(T$57+Z901)/100)))/(1+(T$54+H901)/100)-(T$56+T901)+T$58</f>
        <v>#VALUE!</v>
      </c>
      <c r="AH901" s="878" t="e">
        <f t="shared" ref="AH901:AH964" si="826">AG901*(1+(U$55+O901)/100)*((1-T$62)+T$62*((1+(U$57+AA901)/100)))/(1+(U$54+I901)/100)-(U$56+U901)+U$58</f>
        <v>#VALUE!</v>
      </c>
      <c r="AI901" s="878" t="e">
        <f t="shared" ref="AI901:AI964" si="827">AH901*(1+(V$55+P901)/100)*((1-U$62)+U$62*((1+(V$57+AB901)/100)))/(1+(V$54+J901)/100)-(V$56+V901)+V$58</f>
        <v>#VALUE!</v>
      </c>
      <c r="AJ901" s="878" t="e">
        <f t="shared" ref="AJ901:AJ964" si="828">AI901*(1+(W$55+Q901)/100)*((1-V$62)+V$62*((1+(W$57+AC901)/100)))/(1+(W$54+K901)/100)-(W$56+W901)+W$58</f>
        <v>#VALUE!</v>
      </c>
      <c r="AK901" s="878" t="e">
        <f t="shared" ref="AK901:AK964" si="829">AJ901*(1+(X$55+R901)/100)*((1-W$62)+W$62*((1+(X$57+AD901)/100)))/(1+(X$54+L901)/100)-(X$56+X901)+X$58</f>
        <v>#VALUE!</v>
      </c>
      <c r="AL901" s="966" t="e">
        <f t="shared" ref="AL901:AL964" si="830">AK901*(1+(Y$55+S901)/100)*((1-X$62)+X$62*((1+(Y$57+AE901)/100)))/(1+(Y$54+M901)/100)-(Y$56+Y901)+Y$58</f>
        <v>#VALUE!</v>
      </c>
      <c r="AM901" s="239"/>
      <c r="AO901" s="685">
        <f t="shared" si="794"/>
        <v>-2.3560878519745119</v>
      </c>
      <c r="AP901" s="276">
        <f t="shared" si="795"/>
        <v>-1.2750457962555419</v>
      </c>
      <c r="AQ901" s="276">
        <f t="shared" si="796"/>
        <v>-1.4827798331253015</v>
      </c>
      <c r="AR901" s="276">
        <f t="shared" si="797"/>
        <v>1.0861988849982185</v>
      </c>
      <c r="AS901" s="276">
        <f t="shared" si="798"/>
        <v>-4.9278996051621435</v>
      </c>
      <c r="AT901" s="276">
        <f t="shared" si="799"/>
        <v>3.839701668018634</v>
      </c>
      <c r="AU901" s="685">
        <f t="shared" si="800"/>
        <v>0.42479766611983383</v>
      </c>
      <c r="AV901" s="276">
        <f t="shared" si="801"/>
        <v>1.6009547450918038</v>
      </c>
      <c r="AW901" s="276">
        <f t="shared" si="802"/>
        <v>1.3861283801418571</v>
      </c>
      <c r="AX901" s="276">
        <f t="shared" si="803"/>
        <v>1.5417822033943744</v>
      </c>
      <c r="AY901" s="276">
        <f t="shared" si="804"/>
        <v>1.4113596613836468</v>
      </c>
      <c r="AZ901" s="686">
        <f t="shared" si="805"/>
        <v>1.3845701406101873</v>
      </c>
      <c r="BA901" s="685">
        <f t="shared" si="806"/>
        <v>0</v>
      </c>
      <c r="BB901" s="276">
        <f t="shared" si="807"/>
        <v>0</v>
      </c>
      <c r="BC901" s="276">
        <f t="shared" si="808"/>
        <v>0</v>
      </c>
      <c r="BD901" s="276">
        <f t="shared" si="809"/>
        <v>0</v>
      </c>
      <c r="BE901" s="276">
        <f t="shared" si="810"/>
        <v>0</v>
      </c>
      <c r="BF901" s="686">
        <f t="shared" si="811"/>
        <v>0</v>
      </c>
      <c r="BG901" s="685" t="e">
        <f t="shared" si="812"/>
        <v>#DIV/0!</v>
      </c>
      <c r="BH901" s="276" t="e">
        <f t="shared" si="813"/>
        <v>#DIV/0!</v>
      </c>
      <c r="BI901" s="276" t="e">
        <f t="shared" si="814"/>
        <v>#DIV/0!</v>
      </c>
      <c r="BJ901" s="276" t="e">
        <f t="shared" si="815"/>
        <v>#DIV/0!</v>
      </c>
      <c r="BK901" s="276" t="e">
        <f t="shared" si="816"/>
        <v>#DIV/0!</v>
      </c>
      <c r="BL901" s="686" t="e">
        <f t="shared" si="817"/>
        <v>#DIV/0!</v>
      </c>
      <c r="BM901" s="239"/>
      <c r="BN901" s="965" t="e">
        <f t="shared" si="818"/>
        <v>#VALUE!</v>
      </c>
      <c r="BO901" s="878" t="e">
        <f t="shared" si="819"/>
        <v>#VALUE!</v>
      </c>
      <c r="BP901" s="878" t="e">
        <f t="shared" si="820"/>
        <v>#VALUE!</v>
      </c>
      <c r="BQ901" s="878" t="e">
        <f t="shared" si="821"/>
        <v>#VALUE!</v>
      </c>
      <c r="BR901" s="878" t="e">
        <f t="shared" si="822"/>
        <v>#VALUE!</v>
      </c>
      <c r="BS901" s="966" t="e">
        <f t="shared" si="823"/>
        <v>#VALUE!</v>
      </c>
    </row>
    <row r="902" spans="1:71">
      <c r="A902" s="284">
        <f t="shared" si="824"/>
        <v>834</v>
      </c>
      <c r="B902" s="285">
        <v>3.6268117982253005</v>
      </c>
      <c r="C902" s="285">
        <v>2.0364194125283608</v>
      </c>
      <c r="D902" s="285">
        <v>0.29186062170304727</v>
      </c>
      <c r="E902" s="285">
        <v>-17.585794648250086</v>
      </c>
      <c r="H902" s="685">
        <f t="shared" ref="H902:H965" si="831">IF($B$42="On",$B902-$D$15,0)</f>
        <v>2.4935779564562459</v>
      </c>
      <c r="I902" s="276">
        <f t="shared" ref="I902:I965" si="832">IF($B$42="On",$B1902-$D$15,0)</f>
        <v>1.2398026101579982</v>
      </c>
      <c r="J902" s="276">
        <f t="shared" ref="J902:J965" si="833">IF($B$42="On",$B2902-$D$15,0)</f>
        <v>-2.6838948762666828</v>
      </c>
      <c r="K902" s="276">
        <f t="shared" ref="K902:K965" si="834">IF($B$42="On",$B3902-$D$15,0)</f>
        <v>2.3982788723056476</v>
      </c>
      <c r="L902" s="276">
        <f t="shared" ref="L902:L965" si="835">IF($B$42="On",$B4902-$D$15,0)</f>
        <v>-1.6525490572436898</v>
      </c>
      <c r="M902" s="276">
        <f t="shared" ref="M902:M965" si="836">IF($B$42="On",$B5902-$D$15,0)</f>
        <v>-0.59144891411549638</v>
      </c>
      <c r="N902" s="685">
        <f t="shared" ref="N902:N965" si="837">IF($B$43="On",$C902-$D$16,0)</f>
        <v>0.82924820155649237</v>
      </c>
      <c r="O902" s="276">
        <f t="shared" ref="O902:O965" si="838">IF($B$43="On",$C1902-$D$16,0)</f>
        <v>1.5544559505426203</v>
      </c>
      <c r="P902" s="276">
        <f t="shared" ref="P902:P965" si="839">IF($B$43="On",$C2902-$D$16,0)</f>
        <v>0.77831376300705846</v>
      </c>
      <c r="Q902" s="276">
        <f t="shared" ref="Q902:Q965" si="840">IF($B$43="On",$C3902-$D$16,0)</f>
        <v>1.8899096759861382</v>
      </c>
      <c r="R902" s="276">
        <f t="shared" ref="R902:R965" si="841">IF($B$43="On",$C4902-$D$16,0)</f>
        <v>1.0560527224546445</v>
      </c>
      <c r="S902" s="686">
        <f t="shared" ref="S902:S965" si="842">IF($B$43="On",$C5902-$D$16,0)</f>
        <v>0.95004551856086361</v>
      </c>
      <c r="T902" s="685">
        <f t="shared" ref="T902:T965" si="843">IF($B$44="On",$D902-$D$17,0)</f>
        <v>3.5702243119739734</v>
      </c>
      <c r="U902" s="276">
        <f t="shared" ref="U902:U965" si="844">IF($B$44="On",$D1902-$D$17,0)</f>
        <v>5.1157428038504431</v>
      </c>
      <c r="V902" s="276">
        <f t="shared" ref="V902:V965" si="845">IF($B$44="On",$D2902-$D$17,0)</f>
        <v>4.2248167451606262</v>
      </c>
      <c r="W902" s="276">
        <f t="shared" ref="W902:W965" si="846">IF($B$44="On",$D3902-$D$17,0)</f>
        <v>2.7368418910534604</v>
      </c>
      <c r="X902" s="276">
        <f t="shared" ref="X902:X965" si="847">IF($B$44="On",$D4902-$D$17,0)</f>
        <v>5.4914273177610902</v>
      </c>
      <c r="Y902" s="686">
        <f t="shared" ref="Y902:Y965" si="848">IF($B$44="On",$D5902-$D$17,0)</f>
        <v>5.4176208073694099</v>
      </c>
      <c r="Z902" s="685" t="e">
        <f t="shared" ref="Z902:Z965" si="849">IF($B$45="On",$E902-$D$18,0)</f>
        <v>#DIV/0!</v>
      </c>
      <c r="AA902" s="276" t="e">
        <f t="shared" ref="AA902:AA965" si="850">IF($B$45="On",$E1902-$D$18,0)</f>
        <v>#DIV/0!</v>
      </c>
      <c r="AB902" s="276" t="e">
        <f t="shared" ref="AB902:AB965" si="851">IF($B$45="On",$E2902-$D$18,0)</f>
        <v>#DIV/0!</v>
      </c>
      <c r="AC902" s="276" t="e">
        <f t="shared" ref="AC902:AC965" si="852">IF($B$45="On",$E3902-$D$18,0)</f>
        <v>#DIV/0!</v>
      </c>
      <c r="AD902" s="276" t="e">
        <f t="shared" ref="AD902:AD965" si="853">IF($B$45="On",$E4902-$D$18,0)</f>
        <v>#DIV/0!</v>
      </c>
      <c r="AE902" s="686" t="e">
        <f t="shared" ref="AE902:AE965" si="854">IF($B$45="On",$E5902-$D$18,0)</f>
        <v>#DIV/0!</v>
      </c>
      <c r="AF902" s="239"/>
      <c r="AG902" s="965" t="e">
        <f t="shared" si="825"/>
        <v>#VALUE!</v>
      </c>
      <c r="AH902" s="878" t="e">
        <f t="shared" si="826"/>
        <v>#VALUE!</v>
      </c>
      <c r="AI902" s="878" t="e">
        <f t="shared" si="827"/>
        <v>#VALUE!</v>
      </c>
      <c r="AJ902" s="878" t="e">
        <f t="shared" si="828"/>
        <v>#VALUE!</v>
      </c>
      <c r="AK902" s="878" t="e">
        <f t="shared" si="829"/>
        <v>#VALUE!</v>
      </c>
      <c r="AL902" s="966" t="e">
        <f t="shared" si="830"/>
        <v>#VALUE!</v>
      </c>
      <c r="AM902" s="239"/>
      <c r="AO902" s="685">
        <f t="shared" ref="AO902:AO965" si="855">IF($B$42="On",MIN($B902-$D$15,$D$42),0)</f>
        <v>2.4935779564562459</v>
      </c>
      <c r="AP902" s="276">
        <f t="shared" ref="AP902:AP965" si="856">IF($B$42="On",MIN($B1902-$D$15,$D$42),0)</f>
        <v>1.2398026101579982</v>
      </c>
      <c r="AQ902" s="276">
        <f t="shared" ref="AQ902:AQ965" si="857">IF($B$42="On",MIN($B2902-$D$15,$D$42),0)</f>
        <v>-2.6838948762666828</v>
      </c>
      <c r="AR902" s="276">
        <f t="shared" ref="AR902:AR965" si="858">IF($B$42="On",MIN($B3902-$D$15,$D$42),0)</f>
        <v>2.3982788723056476</v>
      </c>
      <c r="AS902" s="276">
        <f t="shared" ref="AS902:AS965" si="859">IF($B$42="On",MIN($B4902-$D$15,$D$42),0)</f>
        <v>-1.6525490572436898</v>
      </c>
      <c r="AT902" s="276">
        <f t="shared" ref="AT902:AT965" si="860">IF($B$42="On",MIN($B5902-$D$15,$D$42),0)</f>
        <v>-0.59144891411549638</v>
      </c>
      <c r="AU902" s="685">
        <f t="shared" ref="AU902:AU965" si="861">IF($B$43="On",MAX($C902-$D$16,$D$43),0)</f>
        <v>0.82924820155649237</v>
      </c>
      <c r="AV902" s="276">
        <f t="shared" ref="AV902:AV965" si="862">IF($B$43="On",MAX($C1902-$D$16,$D$43),0)</f>
        <v>1.5544559505426203</v>
      </c>
      <c r="AW902" s="276">
        <f t="shared" ref="AW902:AW965" si="863">IF($B$43="On",MAX($C2902-$D$16,$D$43),0)</f>
        <v>0.77831376300705846</v>
      </c>
      <c r="AX902" s="276">
        <f t="shared" ref="AX902:AX965" si="864">IF($B$43="On",MAX($C3902-$D$16,$D$43),0)</f>
        <v>1.8899096759861382</v>
      </c>
      <c r="AY902" s="276">
        <f t="shared" ref="AY902:AY965" si="865">IF($B$43="On",MAX($C4902-$D$16,$D$43),0)</f>
        <v>1.0560527224546445</v>
      </c>
      <c r="AZ902" s="686">
        <f t="shared" ref="AZ902:AZ965" si="866">IF($B$43="On",MAX($C5902-$D$16,$D$43),0)</f>
        <v>0.95004551856086361</v>
      </c>
      <c r="BA902" s="685">
        <f t="shared" ref="BA902:BA965" si="867">IF($B$44="On",MIN($D902-$D$17,$D$44),0)</f>
        <v>0</v>
      </c>
      <c r="BB902" s="276">
        <f t="shared" ref="BB902:BB965" si="868">IF($B$44="On",MIN($D1902-$D$17,$D$44),0)</f>
        <v>0</v>
      </c>
      <c r="BC902" s="276">
        <f t="shared" ref="BC902:BC965" si="869">IF($B$44="On",MIN($D2902-$D$17,$D$44),0)</f>
        <v>0</v>
      </c>
      <c r="BD902" s="276">
        <f t="shared" ref="BD902:BD965" si="870">IF($B$44="On",MIN($D3902-$D$17,$D$44),0)</f>
        <v>0</v>
      </c>
      <c r="BE902" s="276">
        <f t="shared" ref="BE902:BE965" si="871">IF($B$44="On",MIN($D4902-$D$17,$D$44),0)</f>
        <v>0</v>
      </c>
      <c r="BF902" s="686">
        <f t="shared" ref="BF902:BF965" si="872">IF($B$44="On",MIN($D5902-$D$17,$D$44),0)</f>
        <v>0</v>
      </c>
      <c r="BG902" s="685" t="e">
        <f t="shared" ref="BG902:BG965" si="873">IF($B$45="On",MAX($E902-$D$18,$D$45),0)</f>
        <v>#DIV/0!</v>
      </c>
      <c r="BH902" s="276" t="e">
        <f t="shared" ref="BH902:BH965" si="874">IF($B$45="On",MAX($E1902-$D$18,$D$45),0)</f>
        <v>#DIV/0!</v>
      </c>
      <c r="BI902" s="276" t="e">
        <f t="shared" ref="BI902:BI965" si="875">IF($B$45="On",MAX($E2902-$D$18,$D$45),0)</f>
        <v>#DIV/0!</v>
      </c>
      <c r="BJ902" s="276" t="e">
        <f t="shared" ref="BJ902:BJ965" si="876">IF($B$45="On",MAX($E3902-$D$18,$D$45),0)</f>
        <v>#DIV/0!</v>
      </c>
      <c r="BK902" s="276" t="e">
        <f t="shared" ref="BK902:BK965" si="877">IF($B$45="On",MAX($E4902-$D$18,$D$45),0)</f>
        <v>#DIV/0!</v>
      </c>
      <c r="BL902" s="686" t="e">
        <f t="shared" ref="BL902:BL965" si="878">IF($B$45="On",MAX($E5902-$D$18,$D$45),0)</f>
        <v>#DIV/0!</v>
      </c>
      <c r="BM902" s="239"/>
      <c r="BN902" s="965" t="e">
        <f t="shared" ref="BN902:BN965" si="879">S$53*(1+(T$55+AU902)/100)*((1-S$62)+S$62*((1+(T$57+BG902)/100)))/(1+(T$54+AO902)/100)-(T$56+BA902)+T$58</f>
        <v>#VALUE!</v>
      </c>
      <c r="BO902" s="878" t="e">
        <f t="shared" ref="BO902:BO965" si="880">BN902*(1+(U$55+AV902)/100)*((1-T$62)+T$62*((1+(U$57+BH902)/100)))/(1+(U$54+AP902)/100)-(U$56+BB902)+U$58</f>
        <v>#VALUE!</v>
      </c>
      <c r="BP902" s="878" t="e">
        <f t="shared" ref="BP902:BP965" si="881">BO902*(1+(V$55+AW902)/100)*((1-U$62)+U$62*((1+(V$57+BI902)/100)))/(1+(V$54+AQ902)/100)-(V$56+BC902)+V$58</f>
        <v>#VALUE!</v>
      </c>
      <c r="BQ902" s="878" t="e">
        <f t="shared" ref="BQ902:BQ965" si="882">BP902*(1+(W$55+AX902)/100)*((1-V$62)+V$62*((1+(W$57+BJ902)/100)))/(1+(W$54+AR902)/100)-(W$56+BD902)+W$58</f>
        <v>#VALUE!</v>
      </c>
      <c r="BR902" s="878" t="e">
        <f t="shared" ref="BR902:BR965" si="883">BQ902*(1+(X$55+AY902)/100)*((1-W$62)+W$62*((1+(X$57+BK902)/100)))/(1+(X$54+AS902)/100)-(X$56+BE902)+X$58</f>
        <v>#VALUE!</v>
      </c>
      <c r="BS902" s="966" t="e">
        <f t="shared" ref="BS902:BS965" si="884">BR902*(1+(Y$55+AZ902)/100)*((1-X$62)+X$62*((1+(Y$57+BL902)/100)))/(1+(Y$54+AT902)/100)-(Y$56+BF902)+Y$58</f>
        <v>#VALUE!</v>
      </c>
    </row>
    <row r="903" spans="1:71">
      <c r="A903" s="284">
        <f t="shared" ref="A903:A966" si="885">A902+1</f>
        <v>835</v>
      </c>
      <c r="B903" s="285">
        <v>1.4465986774266071</v>
      </c>
      <c r="C903" s="285">
        <v>2.2737624375599328</v>
      </c>
      <c r="D903" s="285">
        <v>1.9015031264798805</v>
      </c>
      <c r="E903" s="285">
        <v>-22.49094643693407</v>
      </c>
      <c r="H903" s="685">
        <f t="shared" si="831"/>
        <v>0.31336483565755224</v>
      </c>
      <c r="I903" s="276">
        <f t="shared" si="832"/>
        <v>7.0221044830976131E-2</v>
      </c>
      <c r="J903" s="276">
        <f t="shared" si="833"/>
        <v>-3.335577351400838</v>
      </c>
      <c r="K903" s="276">
        <f t="shared" si="834"/>
        <v>-1.2462996922917267</v>
      </c>
      <c r="L903" s="276">
        <f t="shared" si="835"/>
        <v>1.912197305867646</v>
      </c>
      <c r="M903" s="276">
        <f t="shared" si="836"/>
        <v>0.67387856275376024</v>
      </c>
      <c r="N903" s="685">
        <f t="shared" si="837"/>
        <v>1.0665912265880644</v>
      </c>
      <c r="O903" s="276">
        <f t="shared" si="838"/>
        <v>1.3622418670956546</v>
      </c>
      <c r="P903" s="276">
        <f t="shared" si="839"/>
        <v>-5.0098216979859833E-2</v>
      </c>
      <c r="Q903" s="276">
        <f t="shared" si="840"/>
        <v>1.0116346275165762</v>
      </c>
      <c r="R903" s="276">
        <f t="shared" si="841"/>
        <v>1.6819486395608017</v>
      </c>
      <c r="S903" s="686">
        <f t="shared" si="842"/>
        <v>1.6893514347669967</v>
      </c>
      <c r="T903" s="685">
        <f t="shared" si="843"/>
        <v>5.1798668167508062</v>
      </c>
      <c r="U903" s="276">
        <f t="shared" si="844"/>
        <v>7.2174693916955741</v>
      </c>
      <c r="V903" s="276">
        <f t="shared" si="845"/>
        <v>5.8816975757312377</v>
      </c>
      <c r="W903" s="276">
        <f t="shared" si="846"/>
        <v>5.5150408959055071</v>
      </c>
      <c r="X903" s="276">
        <f t="shared" si="847"/>
        <v>4.2692476631186986</v>
      </c>
      <c r="Y903" s="686">
        <f t="shared" si="848"/>
        <v>5.6649372807116656</v>
      </c>
      <c r="Z903" s="685" t="e">
        <f t="shared" si="849"/>
        <v>#DIV/0!</v>
      </c>
      <c r="AA903" s="276" t="e">
        <f t="shared" si="850"/>
        <v>#DIV/0!</v>
      </c>
      <c r="AB903" s="276" t="e">
        <f t="shared" si="851"/>
        <v>#DIV/0!</v>
      </c>
      <c r="AC903" s="276" t="e">
        <f t="shared" si="852"/>
        <v>#DIV/0!</v>
      </c>
      <c r="AD903" s="276" t="e">
        <f t="shared" si="853"/>
        <v>#DIV/0!</v>
      </c>
      <c r="AE903" s="686" t="e">
        <f t="shared" si="854"/>
        <v>#DIV/0!</v>
      </c>
      <c r="AF903" s="239"/>
      <c r="AG903" s="965" t="e">
        <f t="shared" si="825"/>
        <v>#VALUE!</v>
      </c>
      <c r="AH903" s="878" t="e">
        <f t="shared" si="826"/>
        <v>#VALUE!</v>
      </c>
      <c r="AI903" s="878" t="e">
        <f t="shared" si="827"/>
        <v>#VALUE!</v>
      </c>
      <c r="AJ903" s="878" t="e">
        <f t="shared" si="828"/>
        <v>#VALUE!</v>
      </c>
      <c r="AK903" s="878" t="e">
        <f t="shared" si="829"/>
        <v>#VALUE!</v>
      </c>
      <c r="AL903" s="966" t="e">
        <f t="shared" si="830"/>
        <v>#VALUE!</v>
      </c>
      <c r="AM903" s="239"/>
      <c r="AO903" s="685">
        <f t="shared" si="855"/>
        <v>0.31336483565755224</v>
      </c>
      <c r="AP903" s="276">
        <f t="shared" si="856"/>
        <v>7.0221044830976131E-2</v>
      </c>
      <c r="AQ903" s="276">
        <f t="shared" si="857"/>
        <v>-3.335577351400838</v>
      </c>
      <c r="AR903" s="276">
        <f t="shared" si="858"/>
        <v>-1.2462996922917267</v>
      </c>
      <c r="AS903" s="276">
        <f t="shared" si="859"/>
        <v>1.912197305867646</v>
      </c>
      <c r="AT903" s="276">
        <f t="shared" si="860"/>
        <v>0.67387856275376024</v>
      </c>
      <c r="AU903" s="685">
        <f t="shared" si="861"/>
        <v>1.0665912265880644</v>
      </c>
      <c r="AV903" s="276">
        <f t="shared" si="862"/>
        <v>1.3622418670956546</v>
      </c>
      <c r="AW903" s="276">
        <f t="shared" si="863"/>
        <v>-5.0098216979859833E-2</v>
      </c>
      <c r="AX903" s="276">
        <f t="shared" si="864"/>
        <v>1.0116346275165762</v>
      </c>
      <c r="AY903" s="276">
        <f t="shared" si="865"/>
        <v>1.6819486395608017</v>
      </c>
      <c r="AZ903" s="686">
        <f t="shared" si="866"/>
        <v>1.6893514347669967</v>
      </c>
      <c r="BA903" s="685">
        <f t="shared" si="867"/>
        <v>0</v>
      </c>
      <c r="BB903" s="276">
        <f t="shared" si="868"/>
        <v>0</v>
      </c>
      <c r="BC903" s="276">
        <f t="shared" si="869"/>
        <v>0</v>
      </c>
      <c r="BD903" s="276">
        <f t="shared" si="870"/>
        <v>0</v>
      </c>
      <c r="BE903" s="276">
        <f t="shared" si="871"/>
        <v>0</v>
      </c>
      <c r="BF903" s="686">
        <f t="shared" si="872"/>
        <v>0</v>
      </c>
      <c r="BG903" s="685" t="e">
        <f t="shared" si="873"/>
        <v>#DIV/0!</v>
      </c>
      <c r="BH903" s="276" t="e">
        <f t="shared" si="874"/>
        <v>#DIV/0!</v>
      </c>
      <c r="BI903" s="276" t="e">
        <f t="shared" si="875"/>
        <v>#DIV/0!</v>
      </c>
      <c r="BJ903" s="276" t="e">
        <f t="shared" si="876"/>
        <v>#DIV/0!</v>
      </c>
      <c r="BK903" s="276" t="e">
        <f t="shared" si="877"/>
        <v>#DIV/0!</v>
      </c>
      <c r="BL903" s="686" t="e">
        <f t="shared" si="878"/>
        <v>#DIV/0!</v>
      </c>
      <c r="BM903" s="239"/>
      <c r="BN903" s="965" t="e">
        <f t="shared" si="879"/>
        <v>#VALUE!</v>
      </c>
      <c r="BO903" s="878" t="e">
        <f t="shared" si="880"/>
        <v>#VALUE!</v>
      </c>
      <c r="BP903" s="878" t="e">
        <f t="shared" si="881"/>
        <v>#VALUE!</v>
      </c>
      <c r="BQ903" s="878" t="e">
        <f t="shared" si="882"/>
        <v>#VALUE!</v>
      </c>
      <c r="BR903" s="878" t="e">
        <f t="shared" si="883"/>
        <v>#VALUE!</v>
      </c>
      <c r="BS903" s="966" t="e">
        <f t="shared" si="884"/>
        <v>#VALUE!</v>
      </c>
    </row>
    <row r="904" spans="1:71">
      <c r="A904" s="284">
        <f t="shared" si="885"/>
        <v>836</v>
      </c>
      <c r="B904" s="285">
        <v>0.81822147528797717</v>
      </c>
      <c r="C904" s="285">
        <v>2.4027522019789904</v>
      </c>
      <c r="D904" s="285">
        <v>1.485290393913608</v>
      </c>
      <c r="E904" s="285">
        <v>-4.8394892059975794</v>
      </c>
      <c r="H904" s="685">
        <f t="shared" si="831"/>
        <v>-0.31501236648107767</v>
      </c>
      <c r="I904" s="276">
        <f t="shared" si="832"/>
        <v>-1.3374880968421414</v>
      </c>
      <c r="J904" s="276">
        <f t="shared" si="833"/>
        <v>1.2728047216156473</v>
      </c>
      <c r="K904" s="276">
        <f t="shared" si="834"/>
        <v>-2.7791217768398124</v>
      </c>
      <c r="L904" s="276">
        <f t="shared" si="835"/>
        <v>-2.5998721892678667</v>
      </c>
      <c r="M904" s="276">
        <f t="shared" si="836"/>
        <v>-4.2597226049703485</v>
      </c>
      <c r="N904" s="685">
        <f t="shared" si="837"/>
        <v>1.195580991007122</v>
      </c>
      <c r="O904" s="276">
        <f t="shared" si="838"/>
        <v>1.697203179191346</v>
      </c>
      <c r="P904" s="276">
        <f t="shared" si="839"/>
        <v>1.4940995107781123</v>
      </c>
      <c r="Q904" s="276">
        <f t="shared" si="840"/>
        <v>0.99964884606796534</v>
      </c>
      <c r="R904" s="276">
        <f t="shared" si="841"/>
        <v>0.96052479261448176</v>
      </c>
      <c r="S904" s="686">
        <f t="shared" si="842"/>
        <v>1.5760022711533568</v>
      </c>
      <c r="T904" s="685">
        <f t="shared" si="843"/>
        <v>4.7636540841845338</v>
      </c>
      <c r="U904" s="276">
        <f t="shared" si="844"/>
        <v>2.9173578911555622</v>
      </c>
      <c r="V904" s="276">
        <f t="shared" si="845"/>
        <v>2.9310370672017649</v>
      </c>
      <c r="W904" s="276">
        <f t="shared" si="846"/>
        <v>3.2834665002022474</v>
      </c>
      <c r="X904" s="276">
        <f t="shared" si="847"/>
        <v>3.9742377021085304</v>
      </c>
      <c r="Y904" s="686">
        <f t="shared" si="848"/>
        <v>2.4622902362081391</v>
      </c>
      <c r="Z904" s="685" t="e">
        <f t="shared" si="849"/>
        <v>#DIV/0!</v>
      </c>
      <c r="AA904" s="276" t="e">
        <f t="shared" si="850"/>
        <v>#DIV/0!</v>
      </c>
      <c r="AB904" s="276" t="e">
        <f t="shared" si="851"/>
        <v>#DIV/0!</v>
      </c>
      <c r="AC904" s="276" t="e">
        <f t="shared" si="852"/>
        <v>#DIV/0!</v>
      </c>
      <c r="AD904" s="276" t="e">
        <f t="shared" si="853"/>
        <v>#DIV/0!</v>
      </c>
      <c r="AE904" s="686" t="e">
        <f t="shared" si="854"/>
        <v>#DIV/0!</v>
      </c>
      <c r="AF904" s="239"/>
      <c r="AG904" s="965" t="e">
        <f t="shared" si="825"/>
        <v>#VALUE!</v>
      </c>
      <c r="AH904" s="878" t="e">
        <f t="shared" si="826"/>
        <v>#VALUE!</v>
      </c>
      <c r="AI904" s="878" t="e">
        <f t="shared" si="827"/>
        <v>#VALUE!</v>
      </c>
      <c r="AJ904" s="878" t="e">
        <f t="shared" si="828"/>
        <v>#VALUE!</v>
      </c>
      <c r="AK904" s="878" t="e">
        <f t="shared" si="829"/>
        <v>#VALUE!</v>
      </c>
      <c r="AL904" s="966" t="e">
        <f t="shared" si="830"/>
        <v>#VALUE!</v>
      </c>
      <c r="AM904" s="239"/>
      <c r="AO904" s="685">
        <f t="shared" si="855"/>
        <v>-0.31501236648107767</v>
      </c>
      <c r="AP904" s="276">
        <f t="shared" si="856"/>
        <v>-1.3374880968421414</v>
      </c>
      <c r="AQ904" s="276">
        <f t="shared" si="857"/>
        <v>1.2728047216156473</v>
      </c>
      <c r="AR904" s="276">
        <f t="shared" si="858"/>
        <v>-2.7791217768398124</v>
      </c>
      <c r="AS904" s="276">
        <f t="shared" si="859"/>
        <v>-2.5998721892678667</v>
      </c>
      <c r="AT904" s="276">
        <f t="shared" si="860"/>
        <v>-4.2597226049703485</v>
      </c>
      <c r="AU904" s="685">
        <f t="shared" si="861"/>
        <v>1.195580991007122</v>
      </c>
      <c r="AV904" s="276">
        <f t="shared" si="862"/>
        <v>1.697203179191346</v>
      </c>
      <c r="AW904" s="276">
        <f t="shared" si="863"/>
        <v>1.4940995107781123</v>
      </c>
      <c r="AX904" s="276">
        <f t="shared" si="864"/>
        <v>0.99964884606796534</v>
      </c>
      <c r="AY904" s="276">
        <f t="shared" si="865"/>
        <v>0.96052479261448176</v>
      </c>
      <c r="AZ904" s="686">
        <f t="shared" si="866"/>
        <v>1.5760022711533568</v>
      </c>
      <c r="BA904" s="685">
        <f t="shared" si="867"/>
        <v>0</v>
      </c>
      <c r="BB904" s="276">
        <f t="shared" si="868"/>
        <v>0</v>
      </c>
      <c r="BC904" s="276">
        <f t="shared" si="869"/>
        <v>0</v>
      </c>
      <c r="BD904" s="276">
        <f t="shared" si="870"/>
        <v>0</v>
      </c>
      <c r="BE904" s="276">
        <f t="shared" si="871"/>
        <v>0</v>
      </c>
      <c r="BF904" s="686">
        <f t="shared" si="872"/>
        <v>0</v>
      </c>
      <c r="BG904" s="685" t="e">
        <f t="shared" si="873"/>
        <v>#DIV/0!</v>
      </c>
      <c r="BH904" s="276" t="e">
        <f t="shared" si="874"/>
        <v>#DIV/0!</v>
      </c>
      <c r="BI904" s="276" t="e">
        <f t="shared" si="875"/>
        <v>#DIV/0!</v>
      </c>
      <c r="BJ904" s="276" t="e">
        <f t="shared" si="876"/>
        <v>#DIV/0!</v>
      </c>
      <c r="BK904" s="276" t="e">
        <f t="shared" si="877"/>
        <v>#DIV/0!</v>
      </c>
      <c r="BL904" s="686" t="e">
        <f t="shared" si="878"/>
        <v>#DIV/0!</v>
      </c>
      <c r="BM904" s="239"/>
      <c r="BN904" s="965" t="e">
        <f t="shared" si="879"/>
        <v>#VALUE!</v>
      </c>
      <c r="BO904" s="878" t="e">
        <f t="shared" si="880"/>
        <v>#VALUE!</v>
      </c>
      <c r="BP904" s="878" t="e">
        <f t="shared" si="881"/>
        <v>#VALUE!</v>
      </c>
      <c r="BQ904" s="878" t="e">
        <f t="shared" si="882"/>
        <v>#VALUE!</v>
      </c>
      <c r="BR904" s="878" t="e">
        <f t="shared" si="883"/>
        <v>#VALUE!</v>
      </c>
      <c r="BS904" s="966" t="e">
        <f t="shared" si="884"/>
        <v>#VALUE!</v>
      </c>
    </row>
    <row r="905" spans="1:71">
      <c r="A905" s="284">
        <f t="shared" si="885"/>
        <v>837</v>
      </c>
      <c r="B905" s="285">
        <v>1.6454048078694221</v>
      </c>
      <c r="C905" s="285">
        <v>2.7376047569595148</v>
      </c>
      <c r="D905" s="285">
        <v>2.7551243209416558</v>
      </c>
      <c r="E905" s="285">
        <v>-5.8147088258290518</v>
      </c>
      <c r="H905" s="685">
        <f t="shared" si="831"/>
        <v>0.51217096610036728</v>
      </c>
      <c r="I905" s="276">
        <f t="shared" si="832"/>
        <v>-3.3577848914199864</v>
      </c>
      <c r="J905" s="276">
        <f t="shared" si="833"/>
        <v>3.9273900398936465</v>
      </c>
      <c r="K905" s="276">
        <f t="shared" si="834"/>
        <v>-0.32470154449252431</v>
      </c>
      <c r="L905" s="276">
        <f t="shared" si="835"/>
        <v>-3.4932617807097426</v>
      </c>
      <c r="M905" s="276">
        <f t="shared" si="836"/>
        <v>-0.70840226138337548</v>
      </c>
      <c r="N905" s="685">
        <f t="shared" si="837"/>
        <v>1.5304335459876464</v>
      </c>
      <c r="O905" s="276">
        <f t="shared" si="838"/>
        <v>1.9851379025836591</v>
      </c>
      <c r="P905" s="276">
        <f t="shared" si="839"/>
        <v>1.8621809420693498</v>
      </c>
      <c r="Q905" s="276">
        <f t="shared" si="840"/>
        <v>2.0183985734447747</v>
      </c>
      <c r="R905" s="276">
        <f t="shared" si="841"/>
        <v>1.1252763796908491</v>
      </c>
      <c r="S905" s="686">
        <f t="shared" si="842"/>
        <v>1.3995850873270259</v>
      </c>
      <c r="T905" s="685">
        <f t="shared" si="843"/>
        <v>6.0334880112125813</v>
      </c>
      <c r="U905" s="276">
        <f t="shared" si="844"/>
        <v>3.3115219930489053</v>
      </c>
      <c r="V905" s="276">
        <f t="shared" si="845"/>
        <v>5.057047215108935</v>
      </c>
      <c r="W905" s="276">
        <f t="shared" si="846"/>
        <v>4.7202947562506949</v>
      </c>
      <c r="X905" s="276">
        <f t="shared" si="847"/>
        <v>6.2007736767721955</v>
      </c>
      <c r="Y905" s="686">
        <f t="shared" si="848"/>
        <v>4.0013803035202802</v>
      </c>
      <c r="Z905" s="685" t="e">
        <f t="shared" si="849"/>
        <v>#DIV/0!</v>
      </c>
      <c r="AA905" s="276" t="e">
        <f t="shared" si="850"/>
        <v>#DIV/0!</v>
      </c>
      <c r="AB905" s="276" t="e">
        <f t="shared" si="851"/>
        <v>#DIV/0!</v>
      </c>
      <c r="AC905" s="276" t="e">
        <f t="shared" si="852"/>
        <v>#DIV/0!</v>
      </c>
      <c r="AD905" s="276" t="e">
        <f t="shared" si="853"/>
        <v>#DIV/0!</v>
      </c>
      <c r="AE905" s="686" t="e">
        <f t="shared" si="854"/>
        <v>#DIV/0!</v>
      </c>
      <c r="AF905" s="239"/>
      <c r="AG905" s="965" t="e">
        <f t="shared" si="825"/>
        <v>#VALUE!</v>
      </c>
      <c r="AH905" s="878" t="e">
        <f t="shared" si="826"/>
        <v>#VALUE!</v>
      </c>
      <c r="AI905" s="878" t="e">
        <f t="shared" si="827"/>
        <v>#VALUE!</v>
      </c>
      <c r="AJ905" s="878" t="e">
        <f t="shared" si="828"/>
        <v>#VALUE!</v>
      </c>
      <c r="AK905" s="878" t="e">
        <f t="shared" si="829"/>
        <v>#VALUE!</v>
      </c>
      <c r="AL905" s="966" t="e">
        <f t="shared" si="830"/>
        <v>#VALUE!</v>
      </c>
      <c r="AM905" s="239"/>
      <c r="AO905" s="685">
        <f t="shared" si="855"/>
        <v>0.51217096610036728</v>
      </c>
      <c r="AP905" s="276">
        <f t="shared" si="856"/>
        <v>-3.3577848914199864</v>
      </c>
      <c r="AQ905" s="276">
        <f t="shared" si="857"/>
        <v>3.9273900398936465</v>
      </c>
      <c r="AR905" s="276">
        <f t="shared" si="858"/>
        <v>-0.32470154449252431</v>
      </c>
      <c r="AS905" s="276">
        <f t="shared" si="859"/>
        <v>-3.4932617807097426</v>
      </c>
      <c r="AT905" s="276">
        <f t="shared" si="860"/>
        <v>-0.70840226138337548</v>
      </c>
      <c r="AU905" s="685">
        <f t="shared" si="861"/>
        <v>1.5304335459876464</v>
      </c>
      <c r="AV905" s="276">
        <f t="shared" si="862"/>
        <v>1.9851379025836591</v>
      </c>
      <c r="AW905" s="276">
        <f t="shared" si="863"/>
        <v>1.8621809420693498</v>
      </c>
      <c r="AX905" s="276">
        <f t="shared" si="864"/>
        <v>2.0183985734447747</v>
      </c>
      <c r="AY905" s="276">
        <f t="shared" si="865"/>
        <v>1.1252763796908491</v>
      </c>
      <c r="AZ905" s="686">
        <f t="shared" si="866"/>
        <v>1.3995850873270259</v>
      </c>
      <c r="BA905" s="685">
        <f t="shared" si="867"/>
        <v>0</v>
      </c>
      <c r="BB905" s="276">
        <f t="shared" si="868"/>
        <v>0</v>
      </c>
      <c r="BC905" s="276">
        <f t="shared" si="869"/>
        <v>0</v>
      </c>
      <c r="BD905" s="276">
        <f t="shared" si="870"/>
        <v>0</v>
      </c>
      <c r="BE905" s="276">
        <f t="shared" si="871"/>
        <v>0</v>
      </c>
      <c r="BF905" s="686">
        <f t="shared" si="872"/>
        <v>0</v>
      </c>
      <c r="BG905" s="685" t="e">
        <f t="shared" si="873"/>
        <v>#DIV/0!</v>
      </c>
      <c r="BH905" s="276" t="e">
        <f t="shared" si="874"/>
        <v>#DIV/0!</v>
      </c>
      <c r="BI905" s="276" t="e">
        <f t="shared" si="875"/>
        <v>#DIV/0!</v>
      </c>
      <c r="BJ905" s="276" t="e">
        <f t="shared" si="876"/>
        <v>#DIV/0!</v>
      </c>
      <c r="BK905" s="276" t="e">
        <f t="shared" si="877"/>
        <v>#DIV/0!</v>
      </c>
      <c r="BL905" s="686" t="e">
        <f t="shared" si="878"/>
        <v>#DIV/0!</v>
      </c>
      <c r="BM905" s="239"/>
      <c r="BN905" s="965" t="e">
        <f t="shared" si="879"/>
        <v>#VALUE!</v>
      </c>
      <c r="BO905" s="878" t="e">
        <f t="shared" si="880"/>
        <v>#VALUE!</v>
      </c>
      <c r="BP905" s="878" t="e">
        <f t="shared" si="881"/>
        <v>#VALUE!</v>
      </c>
      <c r="BQ905" s="878" t="e">
        <f t="shared" si="882"/>
        <v>#VALUE!</v>
      </c>
      <c r="BR905" s="878" t="e">
        <f t="shared" si="883"/>
        <v>#VALUE!</v>
      </c>
      <c r="BS905" s="966" t="e">
        <f t="shared" si="884"/>
        <v>#VALUE!</v>
      </c>
    </row>
    <row r="906" spans="1:71">
      <c r="A906" s="284">
        <f t="shared" si="885"/>
        <v>838</v>
      </c>
      <c r="B906" s="285">
        <v>-3.0039755740148948</v>
      </c>
      <c r="C906" s="285">
        <v>2.9613718582244029</v>
      </c>
      <c r="D906" s="285">
        <v>1.8459882158804954</v>
      </c>
      <c r="E906" s="285">
        <v>4.8651815898916464</v>
      </c>
      <c r="H906" s="685">
        <f t="shared" si="831"/>
        <v>-4.1372094157839499</v>
      </c>
      <c r="I906" s="276">
        <f t="shared" si="832"/>
        <v>-0.75238445847282476</v>
      </c>
      <c r="J906" s="276">
        <f t="shared" si="833"/>
        <v>-2.5308337675076578</v>
      </c>
      <c r="K906" s="276">
        <f t="shared" si="834"/>
        <v>-0.2417944161200527</v>
      </c>
      <c r="L906" s="276">
        <f t="shared" si="835"/>
        <v>-3.8430899231437285</v>
      </c>
      <c r="M906" s="276">
        <f t="shared" si="836"/>
        <v>-1.1925345594691781</v>
      </c>
      <c r="N906" s="685">
        <f t="shared" si="837"/>
        <v>1.7542006472525344</v>
      </c>
      <c r="O906" s="276">
        <f t="shared" si="838"/>
        <v>1.938128345364371</v>
      </c>
      <c r="P906" s="276">
        <f t="shared" si="839"/>
        <v>1.2552562873587021</v>
      </c>
      <c r="Q906" s="276">
        <f t="shared" si="840"/>
        <v>1.0455848745531238</v>
      </c>
      <c r="R906" s="276">
        <f t="shared" si="841"/>
        <v>1.4358590673681995</v>
      </c>
      <c r="S906" s="686">
        <f t="shared" si="842"/>
        <v>1.7034436394101855</v>
      </c>
      <c r="T906" s="685">
        <f t="shared" si="843"/>
        <v>5.1243519061514213</v>
      </c>
      <c r="U906" s="276">
        <f t="shared" si="844"/>
        <v>5.2611864457452722</v>
      </c>
      <c r="V906" s="276">
        <f t="shared" si="845"/>
        <v>4.8506316496986939</v>
      </c>
      <c r="W906" s="276">
        <f t="shared" si="846"/>
        <v>6.6482606873452337</v>
      </c>
      <c r="X906" s="276">
        <f t="shared" si="847"/>
        <v>4.836799734489488</v>
      </c>
      <c r="Y906" s="686">
        <f t="shared" si="848"/>
        <v>7.8913674657788047</v>
      </c>
      <c r="Z906" s="685" t="e">
        <f t="shared" si="849"/>
        <v>#DIV/0!</v>
      </c>
      <c r="AA906" s="276" t="e">
        <f t="shared" si="850"/>
        <v>#DIV/0!</v>
      </c>
      <c r="AB906" s="276" t="e">
        <f t="shared" si="851"/>
        <v>#DIV/0!</v>
      </c>
      <c r="AC906" s="276" t="e">
        <f t="shared" si="852"/>
        <v>#DIV/0!</v>
      </c>
      <c r="AD906" s="276" t="e">
        <f t="shared" si="853"/>
        <v>#DIV/0!</v>
      </c>
      <c r="AE906" s="686" t="e">
        <f t="shared" si="854"/>
        <v>#DIV/0!</v>
      </c>
      <c r="AF906" s="239"/>
      <c r="AG906" s="965" t="e">
        <f t="shared" si="825"/>
        <v>#VALUE!</v>
      </c>
      <c r="AH906" s="878" t="e">
        <f t="shared" si="826"/>
        <v>#VALUE!</v>
      </c>
      <c r="AI906" s="878" t="e">
        <f t="shared" si="827"/>
        <v>#VALUE!</v>
      </c>
      <c r="AJ906" s="878" t="e">
        <f t="shared" si="828"/>
        <v>#VALUE!</v>
      </c>
      <c r="AK906" s="878" t="e">
        <f t="shared" si="829"/>
        <v>#VALUE!</v>
      </c>
      <c r="AL906" s="966" t="e">
        <f t="shared" si="830"/>
        <v>#VALUE!</v>
      </c>
      <c r="AM906" s="239"/>
      <c r="AO906" s="685">
        <f t="shared" si="855"/>
        <v>-4.1372094157839499</v>
      </c>
      <c r="AP906" s="276">
        <f t="shared" si="856"/>
        <v>-0.75238445847282476</v>
      </c>
      <c r="AQ906" s="276">
        <f t="shared" si="857"/>
        <v>-2.5308337675076578</v>
      </c>
      <c r="AR906" s="276">
        <f t="shared" si="858"/>
        <v>-0.2417944161200527</v>
      </c>
      <c r="AS906" s="276">
        <f t="shared" si="859"/>
        <v>-3.8430899231437285</v>
      </c>
      <c r="AT906" s="276">
        <f t="shared" si="860"/>
        <v>-1.1925345594691781</v>
      </c>
      <c r="AU906" s="685">
        <f t="shared" si="861"/>
        <v>1.7542006472525344</v>
      </c>
      <c r="AV906" s="276">
        <f t="shared" si="862"/>
        <v>1.938128345364371</v>
      </c>
      <c r="AW906" s="276">
        <f t="shared" si="863"/>
        <v>1.2552562873587021</v>
      </c>
      <c r="AX906" s="276">
        <f t="shared" si="864"/>
        <v>1.0455848745531238</v>
      </c>
      <c r="AY906" s="276">
        <f t="shared" si="865"/>
        <v>1.4358590673681995</v>
      </c>
      <c r="AZ906" s="686">
        <f t="shared" si="866"/>
        <v>1.7034436394101855</v>
      </c>
      <c r="BA906" s="685">
        <f t="shared" si="867"/>
        <v>0</v>
      </c>
      <c r="BB906" s="276">
        <f t="shared" si="868"/>
        <v>0</v>
      </c>
      <c r="BC906" s="276">
        <f t="shared" si="869"/>
        <v>0</v>
      </c>
      <c r="BD906" s="276">
        <f t="shared" si="870"/>
        <v>0</v>
      </c>
      <c r="BE906" s="276">
        <f t="shared" si="871"/>
        <v>0</v>
      </c>
      <c r="BF906" s="686">
        <f t="shared" si="872"/>
        <v>0</v>
      </c>
      <c r="BG906" s="685" t="e">
        <f t="shared" si="873"/>
        <v>#DIV/0!</v>
      </c>
      <c r="BH906" s="276" t="e">
        <f t="shared" si="874"/>
        <v>#DIV/0!</v>
      </c>
      <c r="BI906" s="276" t="e">
        <f t="shared" si="875"/>
        <v>#DIV/0!</v>
      </c>
      <c r="BJ906" s="276" t="e">
        <f t="shared" si="876"/>
        <v>#DIV/0!</v>
      </c>
      <c r="BK906" s="276" t="e">
        <f t="shared" si="877"/>
        <v>#DIV/0!</v>
      </c>
      <c r="BL906" s="686" t="e">
        <f t="shared" si="878"/>
        <v>#DIV/0!</v>
      </c>
      <c r="BM906" s="239"/>
      <c r="BN906" s="965" t="e">
        <f t="shared" si="879"/>
        <v>#VALUE!</v>
      </c>
      <c r="BO906" s="878" t="e">
        <f t="shared" si="880"/>
        <v>#VALUE!</v>
      </c>
      <c r="BP906" s="878" t="e">
        <f t="shared" si="881"/>
        <v>#VALUE!</v>
      </c>
      <c r="BQ906" s="878" t="e">
        <f t="shared" si="882"/>
        <v>#VALUE!</v>
      </c>
      <c r="BR906" s="878" t="e">
        <f t="shared" si="883"/>
        <v>#VALUE!</v>
      </c>
      <c r="BS906" s="966" t="e">
        <f t="shared" si="884"/>
        <v>#VALUE!</v>
      </c>
    </row>
    <row r="907" spans="1:71">
      <c r="A907" s="284">
        <f t="shared" si="885"/>
        <v>839</v>
      </c>
      <c r="B907" s="285">
        <v>-4.6599895394062765</v>
      </c>
      <c r="C907" s="285">
        <v>1.8995347292148272</v>
      </c>
      <c r="D907" s="285">
        <v>0.20667378167613171</v>
      </c>
      <c r="E907" s="285">
        <v>8.4381709907719316E-2</v>
      </c>
      <c r="H907" s="685">
        <f t="shared" si="831"/>
        <v>-5.7932233811753315</v>
      </c>
      <c r="I907" s="276">
        <f t="shared" si="832"/>
        <v>-4.7932614812604655</v>
      </c>
      <c r="J907" s="276">
        <f t="shared" si="833"/>
        <v>-1.8832897700870204</v>
      </c>
      <c r="K907" s="276">
        <f t="shared" si="834"/>
        <v>-0.79428661295794767</v>
      </c>
      <c r="L907" s="276">
        <f t="shared" si="835"/>
        <v>-3.1213630136858121</v>
      </c>
      <c r="M907" s="276">
        <f t="shared" si="836"/>
        <v>2.7017379965696993</v>
      </c>
      <c r="N907" s="685">
        <f t="shared" si="837"/>
        <v>0.69236351824295883</v>
      </c>
      <c r="O907" s="276">
        <f t="shared" si="838"/>
        <v>1.3488967481464396</v>
      </c>
      <c r="P907" s="276">
        <f t="shared" si="839"/>
        <v>0.89006005226076224</v>
      </c>
      <c r="Q907" s="276">
        <f t="shared" si="840"/>
        <v>1.4734582554814948</v>
      </c>
      <c r="R907" s="276">
        <f t="shared" si="841"/>
        <v>0.29302621676628582</v>
      </c>
      <c r="S907" s="686">
        <f t="shared" si="842"/>
        <v>1.8519514518582578</v>
      </c>
      <c r="T907" s="685">
        <f t="shared" si="843"/>
        <v>3.4850374719470576</v>
      </c>
      <c r="U907" s="276">
        <f t="shared" si="844"/>
        <v>4.9444249563641582</v>
      </c>
      <c r="V907" s="276">
        <f t="shared" si="845"/>
        <v>4.980710291711036</v>
      </c>
      <c r="W907" s="276">
        <f t="shared" si="846"/>
        <v>6.3348896348300769</v>
      </c>
      <c r="X907" s="276">
        <f t="shared" si="847"/>
        <v>5.5333216566870629</v>
      </c>
      <c r="Y907" s="686">
        <f t="shared" si="848"/>
        <v>5.6307510211657732</v>
      </c>
      <c r="Z907" s="685" t="e">
        <f t="shared" si="849"/>
        <v>#DIV/0!</v>
      </c>
      <c r="AA907" s="276" t="e">
        <f t="shared" si="850"/>
        <v>#DIV/0!</v>
      </c>
      <c r="AB907" s="276" t="e">
        <f t="shared" si="851"/>
        <v>#DIV/0!</v>
      </c>
      <c r="AC907" s="276" t="e">
        <f t="shared" si="852"/>
        <v>#DIV/0!</v>
      </c>
      <c r="AD907" s="276" t="e">
        <f t="shared" si="853"/>
        <v>#DIV/0!</v>
      </c>
      <c r="AE907" s="686" t="e">
        <f t="shared" si="854"/>
        <v>#DIV/0!</v>
      </c>
      <c r="AF907" s="239"/>
      <c r="AG907" s="965" t="e">
        <f t="shared" si="825"/>
        <v>#VALUE!</v>
      </c>
      <c r="AH907" s="878" t="e">
        <f t="shared" si="826"/>
        <v>#VALUE!</v>
      </c>
      <c r="AI907" s="878" t="e">
        <f t="shared" si="827"/>
        <v>#VALUE!</v>
      </c>
      <c r="AJ907" s="878" t="e">
        <f t="shared" si="828"/>
        <v>#VALUE!</v>
      </c>
      <c r="AK907" s="878" t="e">
        <f t="shared" si="829"/>
        <v>#VALUE!</v>
      </c>
      <c r="AL907" s="966" t="e">
        <f t="shared" si="830"/>
        <v>#VALUE!</v>
      </c>
      <c r="AM907" s="239"/>
      <c r="AO907" s="685">
        <f t="shared" si="855"/>
        <v>-5.7932233811753315</v>
      </c>
      <c r="AP907" s="276">
        <f t="shared" si="856"/>
        <v>-4.7932614812604655</v>
      </c>
      <c r="AQ907" s="276">
        <f t="shared" si="857"/>
        <v>-1.8832897700870204</v>
      </c>
      <c r="AR907" s="276">
        <f t="shared" si="858"/>
        <v>-0.79428661295794767</v>
      </c>
      <c r="AS907" s="276">
        <f t="shared" si="859"/>
        <v>-3.1213630136858121</v>
      </c>
      <c r="AT907" s="276">
        <f t="shared" si="860"/>
        <v>2.7017379965696993</v>
      </c>
      <c r="AU907" s="685">
        <f t="shared" si="861"/>
        <v>0.69236351824295883</v>
      </c>
      <c r="AV907" s="276">
        <f t="shared" si="862"/>
        <v>1.3488967481464396</v>
      </c>
      <c r="AW907" s="276">
        <f t="shared" si="863"/>
        <v>0.89006005226076224</v>
      </c>
      <c r="AX907" s="276">
        <f t="shared" si="864"/>
        <v>1.4734582554814948</v>
      </c>
      <c r="AY907" s="276">
        <f t="shared" si="865"/>
        <v>0.29302621676628582</v>
      </c>
      <c r="AZ907" s="686">
        <f t="shared" si="866"/>
        <v>1.8519514518582578</v>
      </c>
      <c r="BA907" s="685">
        <f t="shared" si="867"/>
        <v>0</v>
      </c>
      <c r="BB907" s="276">
        <f t="shared" si="868"/>
        <v>0</v>
      </c>
      <c r="BC907" s="276">
        <f t="shared" si="869"/>
        <v>0</v>
      </c>
      <c r="BD907" s="276">
        <f t="shared" si="870"/>
        <v>0</v>
      </c>
      <c r="BE907" s="276">
        <f t="shared" si="871"/>
        <v>0</v>
      </c>
      <c r="BF907" s="686">
        <f t="shared" si="872"/>
        <v>0</v>
      </c>
      <c r="BG907" s="685" t="e">
        <f t="shared" si="873"/>
        <v>#DIV/0!</v>
      </c>
      <c r="BH907" s="276" t="e">
        <f t="shared" si="874"/>
        <v>#DIV/0!</v>
      </c>
      <c r="BI907" s="276" t="e">
        <f t="shared" si="875"/>
        <v>#DIV/0!</v>
      </c>
      <c r="BJ907" s="276" t="e">
        <f t="shared" si="876"/>
        <v>#DIV/0!</v>
      </c>
      <c r="BK907" s="276" t="e">
        <f t="shared" si="877"/>
        <v>#DIV/0!</v>
      </c>
      <c r="BL907" s="686" t="e">
        <f t="shared" si="878"/>
        <v>#DIV/0!</v>
      </c>
      <c r="BM907" s="239"/>
      <c r="BN907" s="965" t="e">
        <f t="shared" si="879"/>
        <v>#VALUE!</v>
      </c>
      <c r="BO907" s="878" t="e">
        <f t="shared" si="880"/>
        <v>#VALUE!</v>
      </c>
      <c r="BP907" s="878" t="e">
        <f t="shared" si="881"/>
        <v>#VALUE!</v>
      </c>
      <c r="BQ907" s="878" t="e">
        <f t="shared" si="882"/>
        <v>#VALUE!</v>
      </c>
      <c r="BR907" s="878" t="e">
        <f t="shared" si="883"/>
        <v>#VALUE!</v>
      </c>
      <c r="BS907" s="966" t="e">
        <f t="shared" si="884"/>
        <v>#VALUE!</v>
      </c>
    </row>
    <row r="908" spans="1:71">
      <c r="A908" s="284">
        <f t="shared" si="885"/>
        <v>840</v>
      </c>
      <c r="B908" s="285">
        <v>3.4775672079937596</v>
      </c>
      <c r="C908" s="285">
        <v>3.3261139369110162</v>
      </c>
      <c r="D908" s="285">
        <v>2.2115807177642992</v>
      </c>
      <c r="E908" s="285">
        <v>11.628760200215089</v>
      </c>
      <c r="H908" s="685">
        <f t="shared" si="831"/>
        <v>2.3443333662247046</v>
      </c>
      <c r="I908" s="276">
        <f t="shared" si="832"/>
        <v>-3.7818233582687553</v>
      </c>
      <c r="J908" s="276">
        <f t="shared" si="833"/>
        <v>-4.9571981855184317</v>
      </c>
      <c r="K908" s="276">
        <f t="shared" si="834"/>
        <v>-2.3011344018651547</v>
      </c>
      <c r="L908" s="276">
        <f t="shared" si="835"/>
        <v>-1.7949367255766289</v>
      </c>
      <c r="M908" s="276">
        <f t="shared" si="836"/>
        <v>-2.1553843726378252</v>
      </c>
      <c r="N908" s="685">
        <f t="shared" si="837"/>
        <v>2.1189427259391476</v>
      </c>
      <c r="O908" s="276">
        <f t="shared" si="838"/>
        <v>1.3030009330165402</v>
      </c>
      <c r="P908" s="276">
        <f t="shared" si="839"/>
        <v>1.0891594719284681</v>
      </c>
      <c r="Q908" s="276">
        <f t="shared" si="840"/>
        <v>1.0840527698280906</v>
      </c>
      <c r="R908" s="276">
        <f t="shared" si="841"/>
        <v>0.94133763743291721</v>
      </c>
      <c r="S908" s="686">
        <f t="shared" si="842"/>
        <v>0.96645361182506329</v>
      </c>
      <c r="T908" s="685">
        <f t="shared" si="843"/>
        <v>5.4899444080352247</v>
      </c>
      <c r="U908" s="276">
        <f t="shared" si="844"/>
        <v>3.7716212659142703</v>
      </c>
      <c r="V908" s="276">
        <f t="shared" si="845"/>
        <v>5.1927770345246218</v>
      </c>
      <c r="W908" s="276">
        <f t="shared" si="846"/>
        <v>4.6390231226734748</v>
      </c>
      <c r="X908" s="276">
        <f t="shared" si="847"/>
        <v>6.1134559834751503</v>
      </c>
      <c r="Y908" s="686">
        <f t="shared" si="848"/>
        <v>4.728159408893724</v>
      </c>
      <c r="Z908" s="685" t="e">
        <f t="shared" si="849"/>
        <v>#DIV/0!</v>
      </c>
      <c r="AA908" s="276" t="e">
        <f t="shared" si="850"/>
        <v>#DIV/0!</v>
      </c>
      <c r="AB908" s="276" t="e">
        <f t="shared" si="851"/>
        <v>#DIV/0!</v>
      </c>
      <c r="AC908" s="276" t="e">
        <f t="shared" si="852"/>
        <v>#DIV/0!</v>
      </c>
      <c r="AD908" s="276" t="e">
        <f t="shared" si="853"/>
        <v>#DIV/0!</v>
      </c>
      <c r="AE908" s="686" t="e">
        <f t="shared" si="854"/>
        <v>#DIV/0!</v>
      </c>
      <c r="AF908" s="239"/>
      <c r="AG908" s="965" t="e">
        <f t="shared" si="825"/>
        <v>#VALUE!</v>
      </c>
      <c r="AH908" s="878" t="e">
        <f t="shared" si="826"/>
        <v>#VALUE!</v>
      </c>
      <c r="AI908" s="878" t="e">
        <f t="shared" si="827"/>
        <v>#VALUE!</v>
      </c>
      <c r="AJ908" s="878" t="e">
        <f t="shared" si="828"/>
        <v>#VALUE!</v>
      </c>
      <c r="AK908" s="878" t="e">
        <f t="shared" si="829"/>
        <v>#VALUE!</v>
      </c>
      <c r="AL908" s="966" t="e">
        <f t="shared" si="830"/>
        <v>#VALUE!</v>
      </c>
      <c r="AM908" s="239"/>
      <c r="AO908" s="685">
        <f t="shared" si="855"/>
        <v>2.3443333662247046</v>
      </c>
      <c r="AP908" s="276">
        <f t="shared" si="856"/>
        <v>-3.7818233582687553</v>
      </c>
      <c r="AQ908" s="276">
        <f t="shared" si="857"/>
        <v>-4.9571981855184317</v>
      </c>
      <c r="AR908" s="276">
        <f t="shared" si="858"/>
        <v>-2.3011344018651547</v>
      </c>
      <c r="AS908" s="276">
        <f t="shared" si="859"/>
        <v>-1.7949367255766289</v>
      </c>
      <c r="AT908" s="276">
        <f t="shared" si="860"/>
        <v>-2.1553843726378252</v>
      </c>
      <c r="AU908" s="685">
        <f t="shared" si="861"/>
        <v>2.1189427259391476</v>
      </c>
      <c r="AV908" s="276">
        <f t="shared" si="862"/>
        <v>1.3030009330165402</v>
      </c>
      <c r="AW908" s="276">
        <f t="shared" si="863"/>
        <v>1.0891594719284681</v>
      </c>
      <c r="AX908" s="276">
        <f t="shared" si="864"/>
        <v>1.0840527698280906</v>
      </c>
      <c r="AY908" s="276">
        <f t="shared" si="865"/>
        <v>0.94133763743291721</v>
      </c>
      <c r="AZ908" s="686">
        <f t="shared" si="866"/>
        <v>0.96645361182506329</v>
      </c>
      <c r="BA908" s="685">
        <f t="shared" si="867"/>
        <v>0</v>
      </c>
      <c r="BB908" s="276">
        <f t="shared" si="868"/>
        <v>0</v>
      </c>
      <c r="BC908" s="276">
        <f t="shared" si="869"/>
        <v>0</v>
      </c>
      <c r="BD908" s="276">
        <f t="shared" si="870"/>
        <v>0</v>
      </c>
      <c r="BE908" s="276">
        <f t="shared" si="871"/>
        <v>0</v>
      </c>
      <c r="BF908" s="686">
        <f t="shared" si="872"/>
        <v>0</v>
      </c>
      <c r="BG908" s="685" t="e">
        <f t="shared" si="873"/>
        <v>#DIV/0!</v>
      </c>
      <c r="BH908" s="276" t="e">
        <f t="shared" si="874"/>
        <v>#DIV/0!</v>
      </c>
      <c r="BI908" s="276" t="e">
        <f t="shared" si="875"/>
        <v>#DIV/0!</v>
      </c>
      <c r="BJ908" s="276" t="e">
        <f t="shared" si="876"/>
        <v>#DIV/0!</v>
      </c>
      <c r="BK908" s="276" t="e">
        <f t="shared" si="877"/>
        <v>#DIV/0!</v>
      </c>
      <c r="BL908" s="686" t="e">
        <f t="shared" si="878"/>
        <v>#DIV/0!</v>
      </c>
      <c r="BM908" s="239"/>
      <c r="BN908" s="965" t="e">
        <f t="shared" si="879"/>
        <v>#VALUE!</v>
      </c>
      <c r="BO908" s="878" t="e">
        <f t="shared" si="880"/>
        <v>#VALUE!</v>
      </c>
      <c r="BP908" s="878" t="e">
        <f t="shared" si="881"/>
        <v>#VALUE!</v>
      </c>
      <c r="BQ908" s="878" t="e">
        <f t="shared" si="882"/>
        <v>#VALUE!</v>
      </c>
      <c r="BR908" s="878" t="e">
        <f t="shared" si="883"/>
        <v>#VALUE!</v>
      </c>
      <c r="BS908" s="966" t="e">
        <f t="shared" si="884"/>
        <v>#VALUE!</v>
      </c>
    </row>
    <row r="909" spans="1:71">
      <c r="A909" s="284">
        <f t="shared" si="885"/>
        <v>841</v>
      </c>
      <c r="B909" s="285">
        <v>2.3710179911665361</v>
      </c>
      <c r="C909" s="285">
        <v>2.554518651513269</v>
      </c>
      <c r="D909" s="285">
        <v>2.5931663477944502</v>
      </c>
      <c r="E909" s="285">
        <v>-14.967239983172165</v>
      </c>
      <c r="H909" s="685">
        <f t="shared" si="831"/>
        <v>1.2377841493974813</v>
      </c>
      <c r="I909" s="276">
        <f t="shared" si="832"/>
        <v>-1.1389697290027843</v>
      </c>
      <c r="J909" s="276">
        <f t="shared" si="833"/>
        <v>-3.8993175052412345</v>
      </c>
      <c r="K909" s="276">
        <f t="shared" si="834"/>
        <v>0.23729323881968467</v>
      </c>
      <c r="L909" s="276">
        <f t="shared" si="835"/>
        <v>6.5192094845715864E-2</v>
      </c>
      <c r="M909" s="276">
        <f t="shared" si="836"/>
        <v>3.5175903661937342</v>
      </c>
      <c r="N909" s="685">
        <f t="shared" si="837"/>
        <v>1.3473474405414005</v>
      </c>
      <c r="O909" s="276">
        <f t="shared" si="838"/>
        <v>1.2370996353783645</v>
      </c>
      <c r="P909" s="276">
        <f t="shared" si="839"/>
        <v>0.67295589376451659</v>
      </c>
      <c r="Q909" s="276">
        <f t="shared" si="840"/>
        <v>1.8651959583458482</v>
      </c>
      <c r="R909" s="276">
        <f t="shared" si="841"/>
        <v>1.2441974907966837</v>
      </c>
      <c r="S909" s="686">
        <f t="shared" si="842"/>
        <v>1.5116264234385135</v>
      </c>
      <c r="T909" s="685">
        <f t="shared" si="843"/>
        <v>5.8715300380653765</v>
      </c>
      <c r="U909" s="276">
        <f t="shared" si="844"/>
        <v>3.9220517654063793</v>
      </c>
      <c r="V909" s="276">
        <f t="shared" si="845"/>
        <v>6.3118697635643599</v>
      </c>
      <c r="W909" s="276">
        <f t="shared" si="846"/>
        <v>4.3545825251561334</v>
      </c>
      <c r="X909" s="276">
        <f t="shared" si="847"/>
        <v>5.179848256841999</v>
      </c>
      <c r="Y909" s="686">
        <f t="shared" si="848"/>
        <v>2.370706627522829</v>
      </c>
      <c r="Z909" s="685" t="e">
        <f t="shared" si="849"/>
        <v>#DIV/0!</v>
      </c>
      <c r="AA909" s="276" t="e">
        <f t="shared" si="850"/>
        <v>#DIV/0!</v>
      </c>
      <c r="AB909" s="276" t="e">
        <f t="shared" si="851"/>
        <v>#DIV/0!</v>
      </c>
      <c r="AC909" s="276" t="e">
        <f t="shared" si="852"/>
        <v>#DIV/0!</v>
      </c>
      <c r="AD909" s="276" t="e">
        <f t="shared" si="853"/>
        <v>#DIV/0!</v>
      </c>
      <c r="AE909" s="686" t="e">
        <f t="shared" si="854"/>
        <v>#DIV/0!</v>
      </c>
      <c r="AF909" s="239"/>
      <c r="AG909" s="965" t="e">
        <f t="shared" si="825"/>
        <v>#VALUE!</v>
      </c>
      <c r="AH909" s="878" t="e">
        <f t="shared" si="826"/>
        <v>#VALUE!</v>
      </c>
      <c r="AI909" s="878" t="e">
        <f t="shared" si="827"/>
        <v>#VALUE!</v>
      </c>
      <c r="AJ909" s="878" t="e">
        <f t="shared" si="828"/>
        <v>#VALUE!</v>
      </c>
      <c r="AK909" s="878" t="e">
        <f t="shared" si="829"/>
        <v>#VALUE!</v>
      </c>
      <c r="AL909" s="966" t="e">
        <f t="shared" si="830"/>
        <v>#VALUE!</v>
      </c>
      <c r="AM909" s="239"/>
      <c r="AO909" s="685">
        <f t="shared" si="855"/>
        <v>1.2377841493974813</v>
      </c>
      <c r="AP909" s="276">
        <f t="shared" si="856"/>
        <v>-1.1389697290027843</v>
      </c>
      <c r="AQ909" s="276">
        <f t="shared" si="857"/>
        <v>-3.8993175052412345</v>
      </c>
      <c r="AR909" s="276">
        <f t="shared" si="858"/>
        <v>0.23729323881968467</v>
      </c>
      <c r="AS909" s="276">
        <f t="shared" si="859"/>
        <v>6.5192094845715864E-2</v>
      </c>
      <c r="AT909" s="276">
        <f t="shared" si="860"/>
        <v>3.5175903661937342</v>
      </c>
      <c r="AU909" s="685">
        <f t="shared" si="861"/>
        <v>1.3473474405414005</v>
      </c>
      <c r="AV909" s="276">
        <f t="shared" si="862"/>
        <v>1.2370996353783645</v>
      </c>
      <c r="AW909" s="276">
        <f t="shared" si="863"/>
        <v>0.67295589376451659</v>
      </c>
      <c r="AX909" s="276">
        <f t="shared" si="864"/>
        <v>1.8651959583458482</v>
      </c>
      <c r="AY909" s="276">
        <f t="shared" si="865"/>
        <v>1.2441974907966837</v>
      </c>
      <c r="AZ909" s="686">
        <f t="shared" si="866"/>
        <v>1.5116264234385135</v>
      </c>
      <c r="BA909" s="685">
        <f t="shared" si="867"/>
        <v>0</v>
      </c>
      <c r="BB909" s="276">
        <f t="shared" si="868"/>
        <v>0</v>
      </c>
      <c r="BC909" s="276">
        <f t="shared" si="869"/>
        <v>0</v>
      </c>
      <c r="BD909" s="276">
        <f t="shared" si="870"/>
        <v>0</v>
      </c>
      <c r="BE909" s="276">
        <f t="shared" si="871"/>
        <v>0</v>
      </c>
      <c r="BF909" s="686">
        <f t="shared" si="872"/>
        <v>0</v>
      </c>
      <c r="BG909" s="685" t="e">
        <f t="shared" si="873"/>
        <v>#DIV/0!</v>
      </c>
      <c r="BH909" s="276" t="e">
        <f t="shared" si="874"/>
        <v>#DIV/0!</v>
      </c>
      <c r="BI909" s="276" t="e">
        <f t="shared" si="875"/>
        <v>#DIV/0!</v>
      </c>
      <c r="BJ909" s="276" t="e">
        <f t="shared" si="876"/>
        <v>#DIV/0!</v>
      </c>
      <c r="BK909" s="276" t="e">
        <f t="shared" si="877"/>
        <v>#DIV/0!</v>
      </c>
      <c r="BL909" s="686" t="e">
        <f t="shared" si="878"/>
        <v>#DIV/0!</v>
      </c>
      <c r="BM909" s="239"/>
      <c r="BN909" s="965" t="e">
        <f t="shared" si="879"/>
        <v>#VALUE!</v>
      </c>
      <c r="BO909" s="878" t="e">
        <f t="shared" si="880"/>
        <v>#VALUE!</v>
      </c>
      <c r="BP909" s="878" t="e">
        <f t="shared" si="881"/>
        <v>#VALUE!</v>
      </c>
      <c r="BQ909" s="878" t="e">
        <f t="shared" si="882"/>
        <v>#VALUE!</v>
      </c>
      <c r="BR909" s="878" t="e">
        <f t="shared" si="883"/>
        <v>#VALUE!</v>
      </c>
      <c r="BS909" s="966" t="e">
        <f t="shared" si="884"/>
        <v>#VALUE!</v>
      </c>
    </row>
    <row r="910" spans="1:71">
      <c r="A910" s="284">
        <f t="shared" si="885"/>
        <v>842</v>
      </c>
      <c r="B910" s="285">
        <v>2.4130961824785611</v>
      </c>
      <c r="C910" s="285">
        <v>2.7063913461975333</v>
      </c>
      <c r="D910" s="285">
        <v>1.526906815005955</v>
      </c>
      <c r="E910" s="285">
        <v>-17.443407307533672</v>
      </c>
      <c r="H910" s="685">
        <f t="shared" si="831"/>
        <v>1.2798623407095062</v>
      </c>
      <c r="I910" s="276">
        <f t="shared" si="832"/>
        <v>1.2513237185988852</v>
      </c>
      <c r="J910" s="276">
        <f t="shared" si="833"/>
        <v>3.0670995411389423</v>
      </c>
      <c r="K910" s="276">
        <f t="shared" si="834"/>
        <v>-0.58742380363520241</v>
      </c>
      <c r="L910" s="276">
        <f t="shared" si="835"/>
        <v>-3.4601652649012857</v>
      </c>
      <c r="M910" s="276">
        <f t="shared" si="836"/>
        <v>0.87118955161374312</v>
      </c>
      <c r="N910" s="685">
        <f t="shared" si="837"/>
        <v>1.4992201352256649</v>
      </c>
      <c r="O910" s="276">
        <f t="shared" si="838"/>
        <v>1.3285407505016009</v>
      </c>
      <c r="P910" s="276">
        <f t="shared" si="839"/>
        <v>1.2096211103131422</v>
      </c>
      <c r="Q910" s="276">
        <f t="shared" si="840"/>
        <v>1.2473448581545996</v>
      </c>
      <c r="R910" s="276">
        <f t="shared" si="841"/>
        <v>1.5292340253912025</v>
      </c>
      <c r="S910" s="686">
        <f t="shared" si="842"/>
        <v>1.2800491362525912</v>
      </c>
      <c r="T910" s="685">
        <f t="shared" si="843"/>
        <v>4.8052705052768809</v>
      </c>
      <c r="U910" s="276">
        <f t="shared" si="844"/>
        <v>3.9710336297628759</v>
      </c>
      <c r="V910" s="276">
        <f t="shared" si="845"/>
        <v>4.4662180173577877</v>
      </c>
      <c r="W910" s="276">
        <f t="shared" si="846"/>
        <v>4.9126635545611226</v>
      </c>
      <c r="X910" s="276">
        <f t="shared" si="847"/>
        <v>6.4585000308416678</v>
      </c>
      <c r="Y910" s="686">
        <f t="shared" si="848"/>
        <v>4.4286489742446218</v>
      </c>
      <c r="Z910" s="685" t="e">
        <f t="shared" si="849"/>
        <v>#DIV/0!</v>
      </c>
      <c r="AA910" s="276" t="e">
        <f t="shared" si="850"/>
        <v>#DIV/0!</v>
      </c>
      <c r="AB910" s="276" t="e">
        <f t="shared" si="851"/>
        <v>#DIV/0!</v>
      </c>
      <c r="AC910" s="276" t="e">
        <f t="shared" si="852"/>
        <v>#DIV/0!</v>
      </c>
      <c r="AD910" s="276" t="e">
        <f t="shared" si="853"/>
        <v>#DIV/0!</v>
      </c>
      <c r="AE910" s="686" t="e">
        <f t="shared" si="854"/>
        <v>#DIV/0!</v>
      </c>
      <c r="AF910" s="239"/>
      <c r="AG910" s="965" t="e">
        <f t="shared" si="825"/>
        <v>#VALUE!</v>
      </c>
      <c r="AH910" s="878" t="e">
        <f t="shared" si="826"/>
        <v>#VALUE!</v>
      </c>
      <c r="AI910" s="878" t="e">
        <f t="shared" si="827"/>
        <v>#VALUE!</v>
      </c>
      <c r="AJ910" s="878" t="e">
        <f t="shared" si="828"/>
        <v>#VALUE!</v>
      </c>
      <c r="AK910" s="878" t="e">
        <f t="shared" si="829"/>
        <v>#VALUE!</v>
      </c>
      <c r="AL910" s="966" t="e">
        <f t="shared" si="830"/>
        <v>#VALUE!</v>
      </c>
      <c r="AM910" s="239"/>
      <c r="AO910" s="685">
        <f t="shared" si="855"/>
        <v>1.2798623407095062</v>
      </c>
      <c r="AP910" s="276">
        <f t="shared" si="856"/>
        <v>1.2513237185988852</v>
      </c>
      <c r="AQ910" s="276">
        <f t="shared" si="857"/>
        <v>3.0670995411389423</v>
      </c>
      <c r="AR910" s="276">
        <f t="shared" si="858"/>
        <v>-0.58742380363520241</v>
      </c>
      <c r="AS910" s="276">
        <f t="shared" si="859"/>
        <v>-3.4601652649012857</v>
      </c>
      <c r="AT910" s="276">
        <f t="shared" si="860"/>
        <v>0.87118955161374312</v>
      </c>
      <c r="AU910" s="685">
        <f t="shared" si="861"/>
        <v>1.4992201352256649</v>
      </c>
      <c r="AV910" s="276">
        <f t="shared" si="862"/>
        <v>1.3285407505016009</v>
      </c>
      <c r="AW910" s="276">
        <f t="shared" si="863"/>
        <v>1.2096211103131422</v>
      </c>
      <c r="AX910" s="276">
        <f t="shared" si="864"/>
        <v>1.2473448581545996</v>
      </c>
      <c r="AY910" s="276">
        <f t="shared" si="865"/>
        <v>1.5292340253912025</v>
      </c>
      <c r="AZ910" s="686">
        <f t="shared" si="866"/>
        <v>1.2800491362525912</v>
      </c>
      <c r="BA910" s="685">
        <f t="shared" si="867"/>
        <v>0</v>
      </c>
      <c r="BB910" s="276">
        <f t="shared" si="868"/>
        <v>0</v>
      </c>
      <c r="BC910" s="276">
        <f t="shared" si="869"/>
        <v>0</v>
      </c>
      <c r="BD910" s="276">
        <f t="shared" si="870"/>
        <v>0</v>
      </c>
      <c r="BE910" s="276">
        <f t="shared" si="871"/>
        <v>0</v>
      </c>
      <c r="BF910" s="686">
        <f t="shared" si="872"/>
        <v>0</v>
      </c>
      <c r="BG910" s="685" t="e">
        <f t="shared" si="873"/>
        <v>#DIV/0!</v>
      </c>
      <c r="BH910" s="276" t="e">
        <f t="shared" si="874"/>
        <v>#DIV/0!</v>
      </c>
      <c r="BI910" s="276" t="e">
        <f t="shared" si="875"/>
        <v>#DIV/0!</v>
      </c>
      <c r="BJ910" s="276" t="e">
        <f t="shared" si="876"/>
        <v>#DIV/0!</v>
      </c>
      <c r="BK910" s="276" t="e">
        <f t="shared" si="877"/>
        <v>#DIV/0!</v>
      </c>
      <c r="BL910" s="686" t="e">
        <f t="shared" si="878"/>
        <v>#DIV/0!</v>
      </c>
      <c r="BM910" s="239"/>
      <c r="BN910" s="965" t="e">
        <f t="shared" si="879"/>
        <v>#VALUE!</v>
      </c>
      <c r="BO910" s="878" t="e">
        <f t="shared" si="880"/>
        <v>#VALUE!</v>
      </c>
      <c r="BP910" s="878" t="e">
        <f t="shared" si="881"/>
        <v>#VALUE!</v>
      </c>
      <c r="BQ910" s="878" t="e">
        <f t="shared" si="882"/>
        <v>#VALUE!</v>
      </c>
      <c r="BR910" s="878" t="e">
        <f t="shared" si="883"/>
        <v>#VALUE!</v>
      </c>
      <c r="BS910" s="966" t="e">
        <f t="shared" si="884"/>
        <v>#VALUE!</v>
      </c>
    </row>
    <row r="911" spans="1:71">
      <c r="A911" s="284">
        <f t="shared" si="885"/>
        <v>843</v>
      </c>
      <c r="B911" s="285">
        <v>1.1652032634037888</v>
      </c>
      <c r="C911" s="285">
        <v>3.1053990850087065</v>
      </c>
      <c r="D911" s="285">
        <v>0.50203877732091629</v>
      </c>
      <c r="E911" s="285">
        <v>6.2395612015134532</v>
      </c>
      <c r="H911" s="685">
        <f t="shared" si="831"/>
        <v>3.196942163473393E-2</v>
      </c>
      <c r="I911" s="276">
        <f t="shared" si="832"/>
        <v>2.3140921146757938</v>
      </c>
      <c r="J911" s="276">
        <f t="shared" si="833"/>
        <v>2.3707209569082943</v>
      </c>
      <c r="K911" s="276">
        <f t="shared" si="834"/>
        <v>-3.5666968885050148</v>
      </c>
      <c r="L911" s="276">
        <f t="shared" si="835"/>
        <v>1.0792471500200194</v>
      </c>
      <c r="M911" s="276">
        <f t="shared" si="836"/>
        <v>1.0307866721454737</v>
      </c>
      <c r="N911" s="685">
        <f t="shared" si="837"/>
        <v>1.8982278740368381</v>
      </c>
      <c r="O911" s="276">
        <f t="shared" si="838"/>
        <v>1.9926826168790843</v>
      </c>
      <c r="P911" s="276">
        <f t="shared" si="839"/>
        <v>1.7608037211229981</v>
      </c>
      <c r="Q911" s="276">
        <f t="shared" si="840"/>
        <v>0.98989433590084608</v>
      </c>
      <c r="R911" s="276">
        <f t="shared" si="841"/>
        <v>1.143499824948383</v>
      </c>
      <c r="S911" s="686">
        <f t="shared" si="842"/>
        <v>2.3333293637447925</v>
      </c>
      <c r="T911" s="685">
        <f t="shared" si="843"/>
        <v>3.7804024675918422</v>
      </c>
      <c r="U911" s="276">
        <f t="shared" si="844"/>
        <v>3.233794503253177</v>
      </c>
      <c r="V911" s="276">
        <f t="shared" si="845"/>
        <v>5.2652347506425317</v>
      </c>
      <c r="W911" s="276">
        <f t="shared" si="846"/>
        <v>2.8336837875797625</v>
      </c>
      <c r="X911" s="276">
        <f t="shared" si="847"/>
        <v>6.5400502874159443</v>
      </c>
      <c r="Y911" s="686">
        <f t="shared" si="848"/>
        <v>4.0592649974686532</v>
      </c>
      <c r="Z911" s="685" t="e">
        <f t="shared" si="849"/>
        <v>#DIV/0!</v>
      </c>
      <c r="AA911" s="276" t="e">
        <f t="shared" si="850"/>
        <v>#DIV/0!</v>
      </c>
      <c r="AB911" s="276" t="e">
        <f t="shared" si="851"/>
        <v>#DIV/0!</v>
      </c>
      <c r="AC911" s="276" t="e">
        <f t="shared" si="852"/>
        <v>#DIV/0!</v>
      </c>
      <c r="AD911" s="276" t="e">
        <f t="shared" si="853"/>
        <v>#DIV/0!</v>
      </c>
      <c r="AE911" s="686" t="e">
        <f t="shared" si="854"/>
        <v>#DIV/0!</v>
      </c>
      <c r="AF911" s="239"/>
      <c r="AG911" s="965" t="e">
        <f t="shared" si="825"/>
        <v>#VALUE!</v>
      </c>
      <c r="AH911" s="878" t="e">
        <f t="shared" si="826"/>
        <v>#VALUE!</v>
      </c>
      <c r="AI911" s="878" t="e">
        <f t="shared" si="827"/>
        <v>#VALUE!</v>
      </c>
      <c r="AJ911" s="878" t="e">
        <f t="shared" si="828"/>
        <v>#VALUE!</v>
      </c>
      <c r="AK911" s="878" t="e">
        <f t="shared" si="829"/>
        <v>#VALUE!</v>
      </c>
      <c r="AL911" s="966" t="e">
        <f t="shared" si="830"/>
        <v>#VALUE!</v>
      </c>
      <c r="AM911" s="239"/>
      <c r="AO911" s="685">
        <f t="shared" si="855"/>
        <v>3.196942163473393E-2</v>
      </c>
      <c r="AP911" s="276">
        <f t="shared" si="856"/>
        <v>2.3140921146757938</v>
      </c>
      <c r="AQ911" s="276">
        <f t="shared" si="857"/>
        <v>2.3707209569082943</v>
      </c>
      <c r="AR911" s="276">
        <f t="shared" si="858"/>
        <v>-3.5666968885050148</v>
      </c>
      <c r="AS911" s="276">
        <f t="shared" si="859"/>
        <v>1.0792471500200194</v>
      </c>
      <c r="AT911" s="276">
        <f t="shared" si="860"/>
        <v>1.0307866721454737</v>
      </c>
      <c r="AU911" s="685">
        <f t="shared" si="861"/>
        <v>1.8982278740368381</v>
      </c>
      <c r="AV911" s="276">
        <f t="shared" si="862"/>
        <v>1.9926826168790843</v>
      </c>
      <c r="AW911" s="276">
        <f t="shared" si="863"/>
        <v>1.7608037211229981</v>
      </c>
      <c r="AX911" s="276">
        <f t="shared" si="864"/>
        <v>0.98989433590084608</v>
      </c>
      <c r="AY911" s="276">
        <f t="shared" si="865"/>
        <v>1.143499824948383</v>
      </c>
      <c r="AZ911" s="686">
        <f t="shared" si="866"/>
        <v>2.3333293637447925</v>
      </c>
      <c r="BA911" s="685">
        <f t="shared" si="867"/>
        <v>0</v>
      </c>
      <c r="BB911" s="276">
        <f t="shared" si="868"/>
        <v>0</v>
      </c>
      <c r="BC911" s="276">
        <f t="shared" si="869"/>
        <v>0</v>
      </c>
      <c r="BD911" s="276">
        <f t="shared" si="870"/>
        <v>0</v>
      </c>
      <c r="BE911" s="276">
        <f t="shared" si="871"/>
        <v>0</v>
      </c>
      <c r="BF911" s="686">
        <f t="shared" si="872"/>
        <v>0</v>
      </c>
      <c r="BG911" s="685" t="e">
        <f t="shared" si="873"/>
        <v>#DIV/0!</v>
      </c>
      <c r="BH911" s="276" t="e">
        <f t="shared" si="874"/>
        <v>#DIV/0!</v>
      </c>
      <c r="BI911" s="276" t="e">
        <f t="shared" si="875"/>
        <v>#DIV/0!</v>
      </c>
      <c r="BJ911" s="276" t="e">
        <f t="shared" si="876"/>
        <v>#DIV/0!</v>
      </c>
      <c r="BK911" s="276" t="e">
        <f t="shared" si="877"/>
        <v>#DIV/0!</v>
      </c>
      <c r="BL911" s="686" t="e">
        <f t="shared" si="878"/>
        <v>#DIV/0!</v>
      </c>
      <c r="BM911" s="239"/>
      <c r="BN911" s="965" t="e">
        <f t="shared" si="879"/>
        <v>#VALUE!</v>
      </c>
      <c r="BO911" s="878" t="e">
        <f t="shared" si="880"/>
        <v>#VALUE!</v>
      </c>
      <c r="BP911" s="878" t="e">
        <f t="shared" si="881"/>
        <v>#VALUE!</v>
      </c>
      <c r="BQ911" s="878" t="e">
        <f t="shared" si="882"/>
        <v>#VALUE!</v>
      </c>
      <c r="BR911" s="878" t="e">
        <f t="shared" si="883"/>
        <v>#VALUE!</v>
      </c>
      <c r="BS911" s="966" t="e">
        <f t="shared" si="884"/>
        <v>#VALUE!</v>
      </c>
    </row>
    <row r="912" spans="1:71">
      <c r="A912" s="284">
        <f t="shared" si="885"/>
        <v>844</v>
      </c>
      <c r="B912" s="285">
        <v>-0.36464195888264367</v>
      </c>
      <c r="C912" s="285">
        <v>2.367884278900136</v>
      </c>
      <c r="D912" s="285">
        <v>9.8093848124852334E-2</v>
      </c>
      <c r="E912" s="285">
        <v>3.2114226177354599E-2</v>
      </c>
      <c r="H912" s="685">
        <f t="shared" si="831"/>
        <v>-1.4978758006516986</v>
      </c>
      <c r="I912" s="276">
        <f t="shared" si="832"/>
        <v>-1.7460054464817838</v>
      </c>
      <c r="J912" s="276">
        <f t="shared" si="833"/>
        <v>-3.658911166138588</v>
      </c>
      <c r="K912" s="276">
        <f t="shared" si="834"/>
        <v>-4.2144560210623681</v>
      </c>
      <c r="L912" s="276">
        <f t="shared" si="835"/>
        <v>-1.6429671297517783</v>
      </c>
      <c r="M912" s="276">
        <f t="shared" si="836"/>
        <v>1.3626417421222421</v>
      </c>
      <c r="N912" s="685">
        <f t="shared" si="837"/>
        <v>1.1607130679282676</v>
      </c>
      <c r="O912" s="276">
        <f t="shared" si="838"/>
        <v>1.1128222049876724</v>
      </c>
      <c r="P912" s="276">
        <f t="shared" si="839"/>
        <v>1.5547037302160451</v>
      </c>
      <c r="Q912" s="276">
        <f t="shared" si="840"/>
        <v>0.48407125407590246</v>
      </c>
      <c r="R912" s="276">
        <f t="shared" si="841"/>
        <v>0.71114072589171884</v>
      </c>
      <c r="S912" s="686">
        <f t="shared" si="842"/>
        <v>1.6674148981600225</v>
      </c>
      <c r="T912" s="685">
        <f t="shared" si="843"/>
        <v>3.376457538395778</v>
      </c>
      <c r="U912" s="276">
        <f t="shared" si="844"/>
        <v>5.006347916458914</v>
      </c>
      <c r="V912" s="276">
        <f t="shared" si="845"/>
        <v>4.2767973248701647</v>
      </c>
      <c r="W912" s="276">
        <f t="shared" si="846"/>
        <v>5.6079583637322692</v>
      </c>
      <c r="X912" s="276">
        <f t="shared" si="847"/>
        <v>6.0969498171527317</v>
      </c>
      <c r="Y912" s="686">
        <f t="shared" si="848"/>
        <v>3.4633838525080192</v>
      </c>
      <c r="Z912" s="685" t="e">
        <f t="shared" si="849"/>
        <v>#DIV/0!</v>
      </c>
      <c r="AA912" s="276" t="e">
        <f t="shared" si="850"/>
        <v>#DIV/0!</v>
      </c>
      <c r="AB912" s="276" t="e">
        <f t="shared" si="851"/>
        <v>#DIV/0!</v>
      </c>
      <c r="AC912" s="276" t="e">
        <f t="shared" si="852"/>
        <v>#DIV/0!</v>
      </c>
      <c r="AD912" s="276" t="e">
        <f t="shared" si="853"/>
        <v>#DIV/0!</v>
      </c>
      <c r="AE912" s="686" t="e">
        <f t="shared" si="854"/>
        <v>#DIV/0!</v>
      </c>
      <c r="AF912" s="239"/>
      <c r="AG912" s="965" t="e">
        <f t="shared" si="825"/>
        <v>#VALUE!</v>
      </c>
      <c r="AH912" s="878" t="e">
        <f t="shared" si="826"/>
        <v>#VALUE!</v>
      </c>
      <c r="AI912" s="878" t="e">
        <f t="shared" si="827"/>
        <v>#VALUE!</v>
      </c>
      <c r="AJ912" s="878" t="e">
        <f t="shared" si="828"/>
        <v>#VALUE!</v>
      </c>
      <c r="AK912" s="878" t="e">
        <f t="shared" si="829"/>
        <v>#VALUE!</v>
      </c>
      <c r="AL912" s="966" t="e">
        <f t="shared" si="830"/>
        <v>#VALUE!</v>
      </c>
      <c r="AM912" s="239"/>
      <c r="AO912" s="685">
        <f t="shared" si="855"/>
        <v>-1.4978758006516986</v>
      </c>
      <c r="AP912" s="276">
        <f t="shared" si="856"/>
        <v>-1.7460054464817838</v>
      </c>
      <c r="AQ912" s="276">
        <f t="shared" si="857"/>
        <v>-3.658911166138588</v>
      </c>
      <c r="AR912" s="276">
        <f t="shared" si="858"/>
        <v>-4.2144560210623681</v>
      </c>
      <c r="AS912" s="276">
        <f t="shared" si="859"/>
        <v>-1.6429671297517783</v>
      </c>
      <c r="AT912" s="276">
        <f t="shared" si="860"/>
        <v>1.3626417421222421</v>
      </c>
      <c r="AU912" s="685">
        <f t="shared" si="861"/>
        <v>1.1607130679282676</v>
      </c>
      <c r="AV912" s="276">
        <f t="shared" si="862"/>
        <v>1.1128222049876724</v>
      </c>
      <c r="AW912" s="276">
        <f t="shared" si="863"/>
        <v>1.5547037302160451</v>
      </c>
      <c r="AX912" s="276">
        <f t="shared" si="864"/>
        <v>0.48407125407590246</v>
      </c>
      <c r="AY912" s="276">
        <f t="shared" si="865"/>
        <v>0.71114072589171884</v>
      </c>
      <c r="AZ912" s="686">
        <f t="shared" si="866"/>
        <v>1.6674148981600225</v>
      </c>
      <c r="BA912" s="685">
        <f t="shared" si="867"/>
        <v>0</v>
      </c>
      <c r="BB912" s="276">
        <f t="shared" si="868"/>
        <v>0</v>
      </c>
      <c r="BC912" s="276">
        <f t="shared" si="869"/>
        <v>0</v>
      </c>
      <c r="BD912" s="276">
        <f t="shared" si="870"/>
        <v>0</v>
      </c>
      <c r="BE912" s="276">
        <f t="shared" si="871"/>
        <v>0</v>
      </c>
      <c r="BF912" s="686">
        <f t="shared" si="872"/>
        <v>0</v>
      </c>
      <c r="BG912" s="685" t="e">
        <f t="shared" si="873"/>
        <v>#DIV/0!</v>
      </c>
      <c r="BH912" s="276" t="e">
        <f t="shared" si="874"/>
        <v>#DIV/0!</v>
      </c>
      <c r="BI912" s="276" t="e">
        <f t="shared" si="875"/>
        <v>#DIV/0!</v>
      </c>
      <c r="BJ912" s="276" t="e">
        <f t="shared" si="876"/>
        <v>#DIV/0!</v>
      </c>
      <c r="BK912" s="276" t="e">
        <f t="shared" si="877"/>
        <v>#DIV/0!</v>
      </c>
      <c r="BL912" s="686" t="e">
        <f t="shared" si="878"/>
        <v>#DIV/0!</v>
      </c>
      <c r="BM912" s="239"/>
      <c r="BN912" s="965" t="e">
        <f t="shared" si="879"/>
        <v>#VALUE!</v>
      </c>
      <c r="BO912" s="878" t="e">
        <f t="shared" si="880"/>
        <v>#VALUE!</v>
      </c>
      <c r="BP912" s="878" t="e">
        <f t="shared" si="881"/>
        <v>#VALUE!</v>
      </c>
      <c r="BQ912" s="878" t="e">
        <f t="shared" si="882"/>
        <v>#VALUE!</v>
      </c>
      <c r="BR912" s="878" t="e">
        <f t="shared" si="883"/>
        <v>#VALUE!</v>
      </c>
      <c r="BS912" s="966" t="e">
        <f t="shared" si="884"/>
        <v>#VALUE!</v>
      </c>
    </row>
    <row r="913" spans="1:71">
      <c r="A913" s="284">
        <f t="shared" si="885"/>
        <v>845</v>
      </c>
      <c r="B913" s="285">
        <v>-0.99136710710052134</v>
      </c>
      <c r="C913" s="285">
        <v>2.2062243619814148</v>
      </c>
      <c r="D913" s="285">
        <v>0.51236328429739875</v>
      </c>
      <c r="E913" s="285">
        <v>-20.419923596400405</v>
      </c>
      <c r="H913" s="685">
        <f t="shared" si="831"/>
        <v>-2.1246009488695763</v>
      </c>
      <c r="I913" s="276">
        <f t="shared" si="832"/>
        <v>-2.3743608659988</v>
      </c>
      <c r="J913" s="276">
        <f t="shared" si="833"/>
        <v>3.694440327405891</v>
      </c>
      <c r="K913" s="276">
        <f t="shared" si="834"/>
        <v>1.5952031027356186</v>
      </c>
      <c r="L913" s="276">
        <f t="shared" si="835"/>
        <v>-3.1271817649698668</v>
      </c>
      <c r="M913" s="276">
        <f t="shared" si="836"/>
        <v>-2.7018729473946035</v>
      </c>
      <c r="N913" s="685">
        <f t="shared" si="837"/>
        <v>0.99905315100954639</v>
      </c>
      <c r="O913" s="276">
        <f t="shared" si="838"/>
        <v>1.5150341580009721</v>
      </c>
      <c r="P913" s="276">
        <f t="shared" si="839"/>
        <v>1.3516547485569121</v>
      </c>
      <c r="Q913" s="276">
        <f t="shared" si="840"/>
        <v>0.899212307432802</v>
      </c>
      <c r="R913" s="276">
        <f t="shared" si="841"/>
        <v>0.65543223761686731</v>
      </c>
      <c r="S913" s="686">
        <f t="shared" si="842"/>
        <v>1.9072853387503768</v>
      </c>
      <c r="T913" s="685">
        <f t="shared" si="843"/>
        <v>3.7907269745683245</v>
      </c>
      <c r="U913" s="276">
        <f t="shared" si="844"/>
        <v>4.3392227720249235</v>
      </c>
      <c r="V913" s="276">
        <f t="shared" si="845"/>
        <v>5.6783985641681092</v>
      </c>
      <c r="W913" s="276">
        <f t="shared" si="846"/>
        <v>6.1066297701308283</v>
      </c>
      <c r="X913" s="276">
        <f t="shared" si="847"/>
        <v>4.432861409070032</v>
      </c>
      <c r="Y913" s="686">
        <f t="shared" si="848"/>
        <v>5.7965845972653547</v>
      </c>
      <c r="Z913" s="685" t="e">
        <f t="shared" si="849"/>
        <v>#DIV/0!</v>
      </c>
      <c r="AA913" s="276" t="e">
        <f t="shared" si="850"/>
        <v>#DIV/0!</v>
      </c>
      <c r="AB913" s="276" t="e">
        <f t="shared" si="851"/>
        <v>#DIV/0!</v>
      </c>
      <c r="AC913" s="276" t="e">
        <f t="shared" si="852"/>
        <v>#DIV/0!</v>
      </c>
      <c r="AD913" s="276" t="e">
        <f t="shared" si="853"/>
        <v>#DIV/0!</v>
      </c>
      <c r="AE913" s="686" t="e">
        <f t="shared" si="854"/>
        <v>#DIV/0!</v>
      </c>
      <c r="AF913" s="239"/>
      <c r="AG913" s="965" t="e">
        <f t="shared" si="825"/>
        <v>#VALUE!</v>
      </c>
      <c r="AH913" s="878" t="e">
        <f t="shared" si="826"/>
        <v>#VALUE!</v>
      </c>
      <c r="AI913" s="878" t="e">
        <f t="shared" si="827"/>
        <v>#VALUE!</v>
      </c>
      <c r="AJ913" s="878" t="e">
        <f t="shared" si="828"/>
        <v>#VALUE!</v>
      </c>
      <c r="AK913" s="878" t="e">
        <f t="shared" si="829"/>
        <v>#VALUE!</v>
      </c>
      <c r="AL913" s="966" t="e">
        <f t="shared" si="830"/>
        <v>#VALUE!</v>
      </c>
      <c r="AM913" s="239"/>
      <c r="AO913" s="685">
        <f t="shared" si="855"/>
        <v>-2.1246009488695763</v>
      </c>
      <c r="AP913" s="276">
        <f t="shared" si="856"/>
        <v>-2.3743608659988</v>
      </c>
      <c r="AQ913" s="276">
        <f t="shared" si="857"/>
        <v>3.694440327405891</v>
      </c>
      <c r="AR913" s="276">
        <f t="shared" si="858"/>
        <v>1.5952031027356186</v>
      </c>
      <c r="AS913" s="276">
        <f t="shared" si="859"/>
        <v>-3.1271817649698668</v>
      </c>
      <c r="AT913" s="276">
        <f t="shared" si="860"/>
        <v>-2.7018729473946035</v>
      </c>
      <c r="AU913" s="685">
        <f t="shared" si="861"/>
        <v>0.99905315100954639</v>
      </c>
      <c r="AV913" s="276">
        <f t="shared" si="862"/>
        <v>1.5150341580009721</v>
      </c>
      <c r="AW913" s="276">
        <f t="shared" si="863"/>
        <v>1.3516547485569121</v>
      </c>
      <c r="AX913" s="276">
        <f t="shared" si="864"/>
        <v>0.899212307432802</v>
      </c>
      <c r="AY913" s="276">
        <f t="shared" si="865"/>
        <v>0.65543223761686731</v>
      </c>
      <c r="AZ913" s="686">
        <f t="shared" si="866"/>
        <v>1.9072853387503768</v>
      </c>
      <c r="BA913" s="685">
        <f t="shared" si="867"/>
        <v>0</v>
      </c>
      <c r="BB913" s="276">
        <f t="shared" si="868"/>
        <v>0</v>
      </c>
      <c r="BC913" s="276">
        <f t="shared" si="869"/>
        <v>0</v>
      </c>
      <c r="BD913" s="276">
        <f t="shared" si="870"/>
        <v>0</v>
      </c>
      <c r="BE913" s="276">
        <f t="shared" si="871"/>
        <v>0</v>
      </c>
      <c r="BF913" s="686">
        <f t="shared" si="872"/>
        <v>0</v>
      </c>
      <c r="BG913" s="685" t="e">
        <f t="shared" si="873"/>
        <v>#DIV/0!</v>
      </c>
      <c r="BH913" s="276" t="e">
        <f t="shared" si="874"/>
        <v>#DIV/0!</v>
      </c>
      <c r="BI913" s="276" t="e">
        <f t="shared" si="875"/>
        <v>#DIV/0!</v>
      </c>
      <c r="BJ913" s="276" t="e">
        <f t="shared" si="876"/>
        <v>#DIV/0!</v>
      </c>
      <c r="BK913" s="276" t="e">
        <f t="shared" si="877"/>
        <v>#DIV/0!</v>
      </c>
      <c r="BL913" s="686" t="e">
        <f t="shared" si="878"/>
        <v>#DIV/0!</v>
      </c>
      <c r="BM913" s="239"/>
      <c r="BN913" s="965" t="e">
        <f t="shared" si="879"/>
        <v>#VALUE!</v>
      </c>
      <c r="BO913" s="878" t="e">
        <f t="shared" si="880"/>
        <v>#VALUE!</v>
      </c>
      <c r="BP913" s="878" t="e">
        <f t="shared" si="881"/>
        <v>#VALUE!</v>
      </c>
      <c r="BQ913" s="878" t="e">
        <f t="shared" si="882"/>
        <v>#VALUE!</v>
      </c>
      <c r="BR913" s="878" t="e">
        <f t="shared" si="883"/>
        <v>#VALUE!</v>
      </c>
      <c r="BS913" s="966" t="e">
        <f t="shared" si="884"/>
        <v>#VALUE!</v>
      </c>
    </row>
    <row r="914" spans="1:71">
      <c r="A914" s="284">
        <f t="shared" si="885"/>
        <v>846</v>
      </c>
      <c r="B914" s="285">
        <v>-2.0169138364968706</v>
      </c>
      <c r="C914" s="285">
        <v>2.9589001662964169</v>
      </c>
      <c r="D914" s="285">
        <v>-1.5318699113050891</v>
      </c>
      <c r="E914" s="285">
        <v>10.160287828000396</v>
      </c>
      <c r="H914" s="685">
        <f t="shared" si="831"/>
        <v>-3.1501476782659257</v>
      </c>
      <c r="I914" s="276">
        <f t="shared" si="832"/>
        <v>-1.6574766647190862</v>
      </c>
      <c r="J914" s="276">
        <f t="shared" si="833"/>
        <v>-0.4876909100193948</v>
      </c>
      <c r="K914" s="276">
        <f t="shared" si="834"/>
        <v>1.9923025852598142</v>
      </c>
      <c r="L914" s="276">
        <f t="shared" si="835"/>
        <v>-1.9458400575773709</v>
      </c>
      <c r="M914" s="276">
        <f t="shared" si="836"/>
        <v>-2.1413139985764715</v>
      </c>
      <c r="N914" s="685">
        <f t="shared" si="837"/>
        <v>1.7517289553245485</v>
      </c>
      <c r="O914" s="276">
        <f t="shared" si="838"/>
        <v>0.90696775558824405</v>
      </c>
      <c r="P914" s="276">
        <f t="shared" si="839"/>
        <v>0.49578717146828266</v>
      </c>
      <c r="Q914" s="276">
        <f t="shared" si="840"/>
        <v>0.9988672376975225</v>
      </c>
      <c r="R914" s="276">
        <f t="shared" si="841"/>
        <v>1.3328096248107022</v>
      </c>
      <c r="S914" s="686">
        <f t="shared" si="842"/>
        <v>1.589133884564393</v>
      </c>
      <c r="T914" s="685">
        <f t="shared" si="843"/>
        <v>1.7464937789658368</v>
      </c>
      <c r="U914" s="276">
        <f t="shared" si="844"/>
        <v>2.3618559980686764</v>
      </c>
      <c r="V914" s="276">
        <f t="shared" si="845"/>
        <v>4.9881189542674402</v>
      </c>
      <c r="W914" s="276">
        <f t="shared" si="846"/>
        <v>5.969678127369642</v>
      </c>
      <c r="X914" s="276">
        <f t="shared" si="847"/>
        <v>4.4471985991204788</v>
      </c>
      <c r="Y914" s="686">
        <f t="shared" si="848"/>
        <v>3.4716901283777464</v>
      </c>
      <c r="Z914" s="685" t="e">
        <f t="shared" si="849"/>
        <v>#DIV/0!</v>
      </c>
      <c r="AA914" s="276" t="e">
        <f t="shared" si="850"/>
        <v>#DIV/0!</v>
      </c>
      <c r="AB914" s="276" t="e">
        <f t="shared" si="851"/>
        <v>#DIV/0!</v>
      </c>
      <c r="AC914" s="276" t="e">
        <f t="shared" si="852"/>
        <v>#DIV/0!</v>
      </c>
      <c r="AD914" s="276" t="e">
        <f t="shared" si="853"/>
        <v>#DIV/0!</v>
      </c>
      <c r="AE914" s="686" t="e">
        <f t="shared" si="854"/>
        <v>#DIV/0!</v>
      </c>
      <c r="AF914" s="239"/>
      <c r="AG914" s="965" t="e">
        <f t="shared" si="825"/>
        <v>#VALUE!</v>
      </c>
      <c r="AH914" s="878" t="e">
        <f t="shared" si="826"/>
        <v>#VALUE!</v>
      </c>
      <c r="AI914" s="878" t="e">
        <f t="shared" si="827"/>
        <v>#VALUE!</v>
      </c>
      <c r="AJ914" s="878" t="e">
        <f t="shared" si="828"/>
        <v>#VALUE!</v>
      </c>
      <c r="AK914" s="878" t="e">
        <f t="shared" si="829"/>
        <v>#VALUE!</v>
      </c>
      <c r="AL914" s="966" t="e">
        <f t="shared" si="830"/>
        <v>#VALUE!</v>
      </c>
      <c r="AM914" s="239"/>
      <c r="AO914" s="685">
        <f t="shared" si="855"/>
        <v>-3.1501476782659257</v>
      </c>
      <c r="AP914" s="276">
        <f t="shared" si="856"/>
        <v>-1.6574766647190862</v>
      </c>
      <c r="AQ914" s="276">
        <f t="shared" si="857"/>
        <v>-0.4876909100193948</v>
      </c>
      <c r="AR914" s="276">
        <f t="shared" si="858"/>
        <v>1.9923025852598142</v>
      </c>
      <c r="AS914" s="276">
        <f t="shared" si="859"/>
        <v>-1.9458400575773709</v>
      </c>
      <c r="AT914" s="276">
        <f t="shared" si="860"/>
        <v>-2.1413139985764715</v>
      </c>
      <c r="AU914" s="685">
        <f t="shared" si="861"/>
        <v>1.7517289553245485</v>
      </c>
      <c r="AV914" s="276">
        <f t="shared" si="862"/>
        <v>0.90696775558824405</v>
      </c>
      <c r="AW914" s="276">
        <f t="shared" si="863"/>
        <v>0.49578717146828266</v>
      </c>
      <c r="AX914" s="276">
        <f t="shared" si="864"/>
        <v>0.9988672376975225</v>
      </c>
      <c r="AY914" s="276">
        <f t="shared" si="865"/>
        <v>1.3328096248107022</v>
      </c>
      <c r="AZ914" s="686">
        <f t="shared" si="866"/>
        <v>1.589133884564393</v>
      </c>
      <c r="BA914" s="685">
        <f t="shared" si="867"/>
        <v>0</v>
      </c>
      <c r="BB914" s="276">
        <f t="shared" si="868"/>
        <v>0</v>
      </c>
      <c r="BC914" s="276">
        <f t="shared" si="869"/>
        <v>0</v>
      </c>
      <c r="BD914" s="276">
        <f t="shared" si="870"/>
        <v>0</v>
      </c>
      <c r="BE914" s="276">
        <f t="shared" si="871"/>
        <v>0</v>
      </c>
      <c r="BF914" s="686">
        <f t="shared" si="872"/>
        <v>0</v>
      </c>
      <c r="BG914" s="685" t="e">
        <f t="shared" si="873"/>
        <v>#DIV/0!</v>
      </c>
      <c r="BH914" s="276" t="e">
        <f t="shared" si="874"/>
        <v>#DIV/0!</v>
      </c>
      <c r="BI914" s="276" t="e">
        <f t="shared" si="875"/>
        <v>#DIV/0!</v>
      </c>
      <c r="BJ914" s="276" t="e">
        <f t="shared" si="876"/>
        <v>#DIV/0!</v>
      </c>
      <c r="BK914" s="276" t="e">
        <f t="shared" si="877"/>
        <v>#DIV/0!</v>
      </c>
      <c r="BL914" s="686" t="e">
        <f t="shared" si="878"/>
        <v>#DIV/0!</v>
      </c>
      <c r="BM914" s="239"/>
      <c r="BN914" s="965" t="e">
        <f t="shared" si="879"/>
        <v>#VALUE!</v>
      </c>
      <c r="BO914" s="878" t="e">
        <f t="shared" si="880"/>
        <v>#VALUE!</v>
      </c>
      <c r="BP914" s="878" t="e">
        <f t="shared" si="881"/>
        <v>#VALUE!</v>
      </c>
      <c r="BQ914" s="878" t="e">
        <f t="shared" si="882"/>
        <v>#VALUE!</v>
      </c>
      <c r="BR914" s="878" t="e">
        <f t="shared" si="883"/>
        <v>#VALUE!</v>
      </c>
      <c r="BS914" s="966" t="e">
        <f t="shared" si="884"/>
        <v>#VALUE!</v>
      </c>
    </row>
    <row r="915" spans="1:71">
      <c r="A915" s="284">
        <f t="shared" si="885"/>
        <v>847</v>
      </c>
      <c r="B915" s="285">
        <v>-2.8337470997311125</v>
      </c>
      <c r="C915" s="285">
        <v>2.1764542253671104</v>
      </c>
      <c r="D915" s="285">
        <v>1.2201588778233399</v>
      </c>
      <c r="E915" s="285">
        <v>-3.6274699278960014</v>
      </c>
      <c r="H915" s="685">
        <f t="shared" si="831"/>
        <v>-3.9669809415001671</v>
      </c>
      <c r="I915" s="276">
        <f t="shared" si="832"/>
        <v>-0.43635785619175294</v>
      </c>
      <c r="J915" s="276">
        <f t="shared" si="833"/>
        <v>-5.2399253387367137</v>
      </c>
      <c r="K915" s="276">
        <f t="shared" si="834"/>
        <v>-2.2160737280459077</v>
      </c>
      <c r="L915" s="276">
        <f t="shared" si="835"/>
        <v>-1.7021692541400952</v>
      </c>
      <c r="M915" s="276">
        <f t="shared" si="836"/>
        <v>-1.7819553992549415</v>
      </c>
      <c r="N915" s="685">
        <f t="shared" si="837"/>
        <v>0.969283014395242</v>
      </c>
      <c r="O915" s="276">
        <f t="shared" si="838"/>
        <v>0.86929540203931688</v>
      </c>
      <c r="P915" s="276">
        <f t="shared" si="839"/>
        <v>1.6274137887994888</v>
      </c>
      <c r="Q915" s="276">
        <f t="shared" si="840"/>
        <v>0.81417234651721659</v>
      </c>
      <c r="R915" s="276">
        <f t="shared" si="841"/>
        <v>1.3643051431484354</v>
      </c>
      <c r="S915" s="686">
        <f t="shared" si="842"/>
        <v>1.2972146314603645</v>
      </c>
      <c r="T915" s="685">
        <f t="shared" si="843"/>
        <v>4.4985225680942662</v>
      </c>
      <c r="U915" s="276">
        <f t="shared" si="844"/>
        <v>5.4825796642100544</v>
      </c>
      <c r="V915" s="276">
        <f t="shared" si="845"/>
        <v>2.300626480533162</v>
      </c>
      <c r="W915" s="276">
        <f t="shared" si="846"/>
        <v>3.6876368276674261</v>
      </c>
      <c r="X915" s="276">
        <f t="shared" si="847"/>
        <v>3.4727000150933032</v>
      </c>
      <c r="Y915" s="686">
        <f t="shared" si="848"/>
        <v>5.5879021061571787</v>
      </c>
      <c r="Z915" s="685" t="e">
        <f t="shared" si="849"/>
        <v>#DIV/0!</v>
      </c>
      <c r="AA915" s="276" t="e">
        <f t="shared" si="850"/>
        <v>#DIV/0!</v>
      </c>
      <c r="AB915" s="276" t="e">
        <f t="shared" si="851"/>
        <v>#DIV/0!</v>
      </c>
      <c r="AC915" s="276" t="e">
        <f t="shared" si="852"/>
        <v>#DIV/0!</v>
      </c>
      <c r="AD915" s="276" t="e">
        <f t="shared" si="853"/>
        <v>#DIV/0!</v>
      </c>
      <c r="AE915" s="686" t="e">
        <f t="shared" si="854"/>
        <v>#DIV/0!</v>
      </c>
      <c r="AF915" s="239"/>
      <c r="AG915" s="965" t="e">
        <f t="shared" si="825"/>
        <v>#VALUE!</v>
      </c>
      <c r="AH915" s="878" t="e">
        <f t="shared" si="826"/>
        <v>#VALUE!</v>
      </c>
      <c r="AI915" s="878" t="e">
        <f t="shared" si="827"/>
        <v>#VALUE!</v>
      </c>
      <c r="AJ915" s="878" t="e">
        <f t="shared" si="828"/>
        <v>#VALUE!</v>
      </c>
      <c r="AK915" s="878" t="e">
        <f t="shared" si="829"/>
        <v>#VALUE!</v>
      </c>
      <c r="AL915" s="966" t="e">
        <f t="shared" si="830"/>
        <v>#VALUE!</v>
      </c>
      <c r="AM915" s="239"/>
      <c r="AO915" s="685">
        <f t="shared" si="855"/>
        <v>-3.9669809415001671</v>
      </c>
      <c r="AP915" s="276">
        <f t="shared" si="856"/>
        <v>-0.43635785619175294</v>
      </c>
      <c r="AQ915" s="276">
        <f t="shared" si="857"/>
        <v>-5.2399253387367137</v>
      </c>
      <c r="AR915" s="276">
        <f t="shared" si="858"/>
        <v>-2.2160737280459077</v>
      </c>
      <c r="AS915" s="276">
        <f t="shared" si="859"/>
        <v>-1.7021692541400952</v>
      </c>
      <c r="AT915" s="276">
        <f t="shared" si="860"/>
        <v>-1.7819553992549415</v>
      </c>
      <c r="AU915" s="685">
        <f t="shared" si="861"/>
        <v>0.969283014395242</v>
      </c>
      <c r="AV915" s="276">
        <f t="shared" si="862"/>
        <v>0.86929540203931688</v>
      </c>
      <c r="AW915" s="276">
        <f t="shared" si="863"/>
        <v>1.6274137887994888</v>
      </c>
      <c r="AX915" s="276">
        <f t="shared" si="864"/>
        <v>0.81417234651721659</v>
      </c>
      <c r="AY915" s="276">
        <f t="shared" si="865"/>
        <v>1.3643051431484354</v>
      </c>
      <c r="AZ915" s="686">
        <f t="shared" si="866"/>
        <v>1.2972146314603645</v>
      </c>
      <c r="BA915" s="685">
        <f t="shared" si="867"/>
        <v>0</v>
      </c>
      <c r="BB915" s="276">
        <f t="shared" si="868"/>
        <v>0</v>
      </c>
      <c r="BC915" s="276">
        <f t="shared" si="869"/>
        <v>0</v>
      </c>
      <c r="BD915" s="276">
        <f t="shared" si="870"/>
        <v>0</v>
      </c>
      <c r="BE915" s="276">
        <f t="shared" si="871"/>
        <v>0</v>
      </c>
      <c r="BF915" s="686">
        <f t="shared" si="872"/>
        <v>0</v>
      </c>
      <c r="BG915" s="685" t="e">
        <f t="shared" si="873"/>
        <v>#DIV/0!</v>
      </c>
      <c r="BH915" s="276" t="e">
        <f t="shared" si="874"/>
        <v>#DIV/0!</v>
      </c>
      <c r="BI915" s="276" t="e">
        <f t="shared" si="875"/>
        <v>#DIV/0!</v>
      </c>
      <c r="BJ915" s="276" t="e">
        <f t="shared" si="876"/>
        <v>#DIV/0!</v>
      </c>
      <c r="BK915" s="276" t="e">
        <f t="shared" si="877"/>
        <v>#DIV/0!</v>
      </c>
      <c r="BL915" s="686" t="e">
        <f t="shared" si="878"/>
        <v>#DIV/0!</v>
      </c>
      <c r="BM915" s="239"/>
      <c r="BN915" s="965" t="e">
        <f t="shared" si="879"/>
        <v>#VALUE!</v>
      </c>
      <c r="BO915" s="878" t="e">
        <f t="shared" si="880"/>
        <v>#VALUE!</v>
      </c>
      <c r="BP915" s="878" t="e">
        <f t="shared" si="881"/>
        <v>#VALUE!</v>
      </c>
      <c r="BQ915" s="878" t="e">
        <f t="shared" si="882"/>
        <v>#VALUE!</v>
      </c>
      <c r="BR915" s="878" t="e">
        <f t="shared" si="883"/>
        <v>#VALUE!</v>
      </c>
      <c r="BS915" s="966" t="e">
        <f t="shared" si="884"/>
        <v>#VALUE!</v>
      </c>
    </row>
    <row r="916" spans="1:71">
      <c r="A916" s="284">
        <f t="shared" si="885"/>
        <v>848</v>
      </c>
      <c r="B916" s="285">
        <v>3.6576851587312182</v>
      </c>
      <c r="C916" s="285">
        <v>2.3940839650715251</v>
      </c>
      <c r="D916" s="285">
        <v>3.1704487913463884</v>
      </c>
      <c r="E916" s="285">
        <v>-14.093316507042056</v>
      </c>
      <c r="H916" s="685">
        <f t="shared" si="831"/>
        <v>2.5244513169621632</v>
      </c>
      <c r="I916" s="276">
        <f t="shared" si="832"/>
        <v>-1.7750533825715329</v>
      </c>
      <c r="J916" s="276">
        <f t="shared" si="833"/>
        <v>-0.56939046432882034</v>
      </c>
      <c r="K916" s="276">
        <f t="shared" si="834"/>
        <v>-0.93606514272445906</v>
      </c>
      <c r="L916" s="276">
        <f t="shared" si="835"/>
        <v>-1.0579929396058423</v>
      </c>
      <c r="M916" s="276">
        <f t="shared" si="836"/>
        <v>-3.2004302434514038</v>
      </c>
      <c r="N916" s="685">
        <f t="shared" si="837"/>
        <v>1.1869127540996567</v>
      </c>
      <c r="O916" s="276">
        <f t="shared" si="838"/>
        <v>0.96771217512492025</v>
      </c>
      <c r="P916" s="276">
        <f t="shared" si="839"/>
        <v>1.034948075157718</v>
      </c>
      <c r="Q916" s="276">
        <f t="shared" si="840"/>
        <v>1.4482081040724706</v>
      </c>
      <c r="R916" s="276">
        <f t="shared" si="841"/>
        <v>1.2120283126981708</v>
      </c>
      <c r="S916" s="686">
        <f t="shared" si="842"/>
        <v>0.62678573797573356</v>
      </c>
      <c r="T916" s="685">
        <f t="shared" si="843"/>
        <v>6.4488124816173142</v>
      </c>
      <c r="U916" s="276">
        <f t="shared" si="844"/>
        <v>4.5434005144378258</v>
      </c>
      <c r="V916" s="276">
        <f t="shared" si="845"/>
        <v>3.8848798963566096</v>
      </c>
      <c r="W916" s="276">
        <f t="shared" si="846"/>
        <v>4.7551275488241869</v>
      </c>
      <c r="X916" s="276">
        <f t="shared" si="847"/>
        <v>6.069355680580391</v>
      </c>
      <c r="Y916" s="686">
        <f t="shared" si="848"/>
        <v>5.9745189563611536</v>
      </c>
      <c r="Z916" s="685" t="e">
        <f t="shared" si="849"/>
        <v>#DIV/0!</v>
      </c>
      <c r="AA916" s="276" t="e">
        <f t="shared" si="850"/>
        <v>#DIV/0!</v>
      </c>
      <c r="AB916" s="276" t="e">
        <f t="shared" si="851"/>
        <v>#DIV/0!</v>
      </c>
      <c r="AC916" s="276" t="e">
        <f t="shared" si="852"/>
        <v>#DIV/0!</v>
      </c>
      <c r="AD916" s="276" t="e">
        <f t="shared" si="853"/>
        <v>#DIV/0!</v>
      </c>
      <c r="AE916" s="686" t="e">
        <f t="shared" si="854"/>
        <v>#DIV/0!</v>
      </c>
      <c r="AF916" s="239"/>
      <c r="AG916" s="965" t="e">
        <f t="shared" si="825"/>
        <v>#VALUE!</v>
      </c>
      <c r="AH916" s="878" t="e">
        <f t="shared" si="826"/>
        <v>#VALUE!</v>
      </c>
      <c r="AI916" s="878" t="e">
        <f t="shared" si="827"/>
        <v>#VALUE!</v>
      </c>
      <c r="AJ916" s="878" t="e">
        <f t="shared" si="828"/>
        <v>#VALUE!</v>
      </c>
      <c r="AK916" s="878" t="e">
        <f t="shared" si="829"/>
        <v>#VALUE!</v>
      </c>
      <c r="AL916" s="966" t="e">
        <f t="shared" si="830"/>
        <v>#VALUE!</v>
      </c>
      <c r="AM916" s="239"/>
      <c r="AO916" s="685">
        <f t="shared" si="855"/>
        <v>2.5244513169621632</v>
      </c>
      <c r="AP916" s="276">
        <f t="shared" si="856"/>
        <v>-1.7750533825715329</v>
      </c>
      <c r="AQ916" s="276">
        <f t="shared" si="857"/>
        <v>-0.56939046432882034</v>
      </c>
      <c r="AR916" s="276">
        <f t="shared" si="858"/>
        <v>-0.93606514272445906</v>
      </c>
      <c r="AS916" s="276">
        <f t="shared" si="859"/>
        <v>-1.0579929396058423</v>
      </c>
      <c r="AT916" s="276">
        <f t="shared" si="860"/>
        <v>-3.2004302434514038</v>
      </c>
      <c r="AU916" s="685">
        <f t="shared" si="861"/>
        <v>1.1869127540996567</v>
      </c>
      <c r="AV916" s="276">
        <f t="shared" si="862"/>
        <v>0.96771217512492025</v>
      </c>
      <c r="AW916" s="276">
        <f t="shared" si="863"/>
        <v>1.034948075157718</v>
      </c>
      <c r="AX916" s="276">
        <f t="shared" si="864"/>
        <v>1.4482081040724706</v>
      </c>
      <c r="AY916" s="276">
        <f t="shared" si="865"/>
        <v>1.2120283126981708</v>
      </c>
      <c r="AZ916" s="686">
        <f t="shared" si="866"/>
        <v>0.62678573797573356</v>
      </c>
      <c r="BA916" s="685">
        <f t="shared" si="867"/>
        <v>0</v>
      </c>
      <c r="BB916" s="276">
        <f t="shared" si="868"/>
        <v>0</v>
      </c>
      <c r="BC916" s="276">
        <f t="shared" si="869"/>
        <v>0</v>
      </c>
      <c r="BD916" s="276">
        <f t="shared" si="870"/>
        <v>0</v>
      </c>
      <c r="BE916" s="276">
        <f t="shared" si="871"/>
        <v>0</v>
      </c>
      <c r="BF916" s="686">
        <f t="shared" si="872"/>
        <v>0</v>
      </c>
      <c r="BG916" s="685" t="e">
        <f t="shared" si="873"/>
        <v>#DIV/0!</v>
      </c>
      <c r="BH916" s="276" t="e">
        <f t="shared" si="874"/>
        <v>#DIV/0!</v>
      </c>
      <c r="BI916" s="276" t="e">
        <f t="shared" si="875"/>
        <v>#DIV/0!</v>
      </c>
      <c r="BJ916" s="276" t="e">
        <f t="shared" si="876"/>
        <v>#DIV/0!</v>
      </c>
      <c r="BK916" s="276" t="e">
        <f t="shared" si="877"/>
        <v>#DIV/0!</v>
      </c>
      <c r="BL916" s="686" t="e">
        <f t="shared" si="878"/>
        <v>#DIV/0!</v>
      </c>
      <c r="BM916" s="239"/>
      <c r="BN916" s="965" t="e">
        <f t="shared" si="879"/>
        <v>#VALUE!</v>
      </c>
      <c r="BO916" s="878" t="e">
        <f t="shared" si="880"/>
        <v>#VALUE!</v>
      </c>
      <c r="BP916" s="878" t="e">
        <f t="shared" si="881"/>
        <v>#VALUE!</v>
      </c>
      <c r="BQ916" s="878" t="e">
        <f t="shared" si="882"/>
        <v>#VALUE!</v>
      </c>
      <c r="BR916" s="878" t="e">
        <f t="shared" si="883"/>
        <v>#VALUE!</v>
      </c>
      <c r="BS916" s="966" t="e">
        <f t="shared" si="884"/>
        <v>#VALUE!</v>
      </c>
    </row>
    <row r="917" spans="1:71">
      <c r="A917" s="284">
        <f t="shared" si="885"/>
        <v>849</v>
      </c>
      <c r="B917" s="285">
        <v>3.4714725856632294</v>
      </c>
      <c r="C917" s="285">
        <v>3.6581634642754457</v>
      </c>
      <c r="D917" s="285">
        <v>1.208512515557826</v>
      </c>
      <c r="E917" s="285">
        <v>17.326217650840309</v>
      </c>
      <c r="H917" s="685">
        <f t="shared" si="831"/>
        <v>2.3382387438941743</v>
      </c>
      <c r="I917" s="276">
        <f t="shared" si="832"/>
        <v>-0.94752775933755906</v>
      </c>
      <c r="J917" s="276">
        <f t="shared" si="833"/>
        <v>-0.74880545920278208</v>
      </c>
      <c r="K917" s="276">
        <f t="shared" si="834"/>
        <v>0.34362085328984238</v>
      </c>
      <c r="L917" s="276">
        <f t="shared" si="835"/>
        <v>-2.134577483664986</v>
      </c>
      <c r="M917" s="276">
        <f t="shared" si="836"/>
        <v>-3.426781137887529</v>
      </c>
      <c r="N917" s="685">
        <f t="shared" si="837"/>
        <v>2.4509922533035775</v>
      </c>
      <c r="O917" s="276">
        <f t="shared" si="838"/>
        <v>2.2196815869408386</v>
      </c>
      <c r="P917" s="276">
        <f t="shared" si="839"/>
        <v>1.431970917946537</v>
      </c>
      <c r="Q917" s="276">
        <f t="shared" si="840"/>
        <v>1.5494525945131554</v>
      </c>
      <c r="R917" s="276">
        <f t="shared" si="841"/>
        <v>0.83046284241277868</v>
      </c>
      <c r="S917" s="686">
        <f t="shared" si="842"/>
        <v>1.1938194858447153</v>
      </c>
      <c r="T917" s="685">
        <f t="shared" si="843"/>
        <v>4.4868762058287519</v>
      </c>
      <c r="U917" s="276">
        <f t="shared" si="844"/>
        <v>5.1447332252535363</v>
      </c>
      <c r="V917" s="276">
        <f t="shared" si="845"/>
        <v>4.1285274011462221</v>
      </c>
      <c r="W917" s="276">
        <f t="shared" si="846"/>
        <v>5.3309396606558561</v>
      </c>
      <c r="X917" s="276">
        <f t="shared" si="847"/>
        <v>3.9606794741449587</v>
      </c>
      <c r="Y917" s="686">
        <f t="shared" si="848"/>
        <v>5.250834011086396</v>
      </c>
      <c r="Z917" s="685" t="e">
        <f t="shared" si="849"/>
        <v>#DIV/0!</v>
      </c>
      <c r="AA917" s="276" t="e">
        <f t="shared" si="850"/>
        <v>#DIV/0!</v>
      </c>
      <c r="AB917" s="276" t="e">
        <f t="shared" si="851"/>
        <v>#DIV/0!</v>
      </c>
      <c r="AC917" s="276" t="e">
        <f t="shared" si="852"/>
        <v>#DIV/0!</v>
      </c>
      <c r="AD917" s="276" t="e">
        <f t="shared" si="853"/>
        <v>#DIV/0!</v>
      </c>
      <c r="AE917" s="686" t="e">
        <f t="shared" si="854"/>
        <v>#DIV/0!</v>
      </c>
      <c r="AF917" s="239"/>
      <c r="AG917" s="965" t="e">
        <f t="shared" si="825"/>
        <v>#VALUE!</v>
      </c>
      <c r="AH917" s="878" t="e">
        <f t="shared" si="826"/>
        <v>#VALUE!</v>
      </c>
      <c r="AI917" s="878" t="e">
        <f t="shared" si="827"/>
        <v>#VALUE!</v>
      </c>
      <c r="AJ917" s="878" t="e">
        <f t="shared" si="828"/>
        <v>#VALUE!</v>
      </c>
      <c r="AK917" s="878" t="e">
        <f t="shared" si="829"/>
        <v>#VALUE!</v>
      </c>
      <c r="AL917" s="966" t="e">
        <f t="shared" si="830"/>
        <v>#VALUE!</v>
      </c>
      <c r="AM917" s="239"/>
      <c r="AO917" s="685">
        <f t="shared" si="855"/>
        <v>2.3382387438941743</v>
      </c>
      <c r="AP917" s="276">
        <f t="shared" si="856"/>
        <v>-0.94752775933755906</v>
      </c>
      <c r="AQ917" s="276">
        <f t="shared" si="857"/>
        <v>-0.74880545920278208</v>
      </c>
      <c r="AR917" s="276">
        <f t="shared" si="858"/>
        <v>0.34362085328984238</v>
      </c>
      <c r="AS917" s="276">
        <f t="shared" si="859"/>
        <v>-2.134577483664986</v>
      </c>
      <c r="AT917" s="276">
        <f t="shared" si="860"/>
        <v>-3.426781137887529</v>
      </c>
      <c r="AU917" s="685">
        <f t="shared" si="861"/>
        <v>2.4509922533035775</v>
      </c>
      <c r="AV917" s="276">
        <f t="shared" si="862"/>
        <v>2.2196815869408386</v>
      </c>
      <c r="AW917" s="276">
        <f t="shared" si="863"/>
        <v>1.431970917946537</v>
      </c>
      <c r="AX917" s="276">
        <f t="shared" si="864"/>
        <v>1.5494525945131554</v>
      </c>
      <c r="AY917" s="276">
        <f t="shared" si="865"/>
        <v>0.83046284241277868</v>
      </c>
      <c r="AZ917" s="686">
        <f t="shared" si="866"/>
        <v>1.1938194858447153</v>
      </c>
      <c r="BA917" s="685">
        <f t="shared" si="867"/>
        <v>0</v>
      </c>
      <c r="BB917" s="276">
        <f t="shared" si="868"/>
        <v>0</v>
      </c>
      <c r="BC917" s="276">
        <f t="shared" si="869"/>
        <v>0</v>
      </c>
      <c r="BD917" s="276">
        <f t="shared" si="870"/>
        <v>0</v>
      </c>
      <c r="BE917" s="276">
        <f t="shared" si="871"/>
        <v>0</v>
      </c>
      <c r="BF917" s="686">
        <f t="shared" si="872"/>
        <v>0</v>
      </c>
      <c r="BG917" s="685" t="e">
        <f t="shared" si="873"/>
        <v>#DIV/0!</v>
      </c>
      <c r="BH917" s="276" t="e">
        <f t="shared" si="874"/>
        <v>#DIV/0!</v>
      </c>
      <c r="BI917" s="276" t="e">
        <f t="shared" si="875"/>
        <v>#DIV/0!</v>
      </c>
      <c r="BJ917" s="276" t="e">
        <f t="shared" si="876"/>
        <v>#DIV/0!</v>
      </c>
      <c r="BK917" s="276" t="e">
        <f t="shared" si="877"/>
        <v>#DIV/0!</v>
      </c>
      <c r="BL917" s="686" t="e">
        <f t="shared" si="878"/>
        <v>#DIV/0!</v>
      </c>
      <c r="BM917" s="239"/>
      <c r="BN917" s="965" t="e">
        <f t="shared" si="879"/>
        <v>#VALUE!</v>
      </c>
      <c r="BO917" s="878" t="e">
        <f t="shared" si="880"/>
        <v>#VALUE!</v>
      </c>
      <c r="BP917" s="878" t="e">
        <f t="shared" si="881"/>
        <v>#VALUE!</v>
      </c>
      <c r="BQ917" s="878" t="e">
        <f t="shared" si="882"/>
        <v>#VALUE!</v>
      </c>
      <c r="BR917" s="878" t="e">
        <f t="shared" si="883"/>
        <v>#VALUE!</v>
      </c>
      <c r="BS917" s="966" t="e">
        <f t="shared" si="884"/>
        <v>#VALUE!</v>
      </c>
    </row>
    <row r="918" spans="1:71">
      <c r="A918" s="284">
        <f t="shared" si="885"/>
        <v>850</v>
      </c>
      <c r="B918" s="285">
        <v>-0.22769610197930668</v>
      </c>
      <c r="C918" s="285">
        <v>1.9754673882594762</v>
      </c>
      <c r="D918" s="285">
        <v>0.30301368148794916</v>
      </c>
      <c r="E918" s="285">
        <v>-17.334463137910348</v>
      </c>
      <c r="H918" s="685">
        <f t="shared" si="831"/>
        <v>-1.3609299437483615</v>
      </c>
      <c r="I918" s="276">
        <f t="shared" si="832"/>
        <v>-1.8011172916826794</v>
      </c>
      <c r="J918" s="276">
        <f t="shared" si="833"/>
        <v>-4.0975267694315809</v>
      </c>
      <c r="K918" s="276">
        <f t="shared" si="834"/>
        <v>-0.20647984630349292</v>
      </c>
      <c r="L918" s="276">
        <f t="shared" si="835"/>
        <v>-0.9021785654414648</v>
      </c>
      <c r="M918" s="276">
        <f t="shared" si="836"/>
        <v>0.44772585505510021</v>
      </c>
      <c r="N918" s="685">
        <f t="shared" si="837"/>
        <v>0.7682961772876078</v>
      </c>
      <c r="O918" s="276">
        <f t="shared" si="838"/>
        <v>1.257440860873914</v>
      </c>
      <c r="P918" s="276">
        <f t="shared" si="839"/>
        <v>0.67404515006598476</v>
      </c>
      <c r="Q918" s="276">
        <f t="shared" si="840"/>
        <v>2.0466757115078957</v>
      </c>
      <c r="R918" s="276">
        <f t="shared" si="841"/>
        <v>1.6921735342689816</v>
      </c>
      <c r="S918" s="686">
        <f t="shared" si="842"/>
        <v>1.2937539201292043</v>
      </c>
      <c r="T918" s="685">
        <f t="shared" si="843"/>
        <v>3.5813773717588751</v>
      </c>
      <c r="U918" s="276">
        <f t="shared" si="844"/>
        <v>5.0196877527661741</v>
      </c>
      <c r="V918" s="276">
        <f t="shared" si="845"/>
        <v>3.0457594229130693</v>
      </c>
      <c r="W918" s="276">
        <f t="shared" si="846"/>
        <v>3.4919987751556532</v>
      </c>
      <c r="X918" s="276">
        <f t="shared" si="847"/>
        <v>5.1235386428326573</v>
      </c>
      <c r="Y918" s="686">
        <f t="shared" si="848"/>
        <v>4.6037744800126621</v>
      </c>
      <c r="Z918" s="685" t="e">
        <f t="shared" si="849"/>
        <v>#DIV/0!</v>
      </c>
      <c r="AA918" s="276" t="e">
        <f t="shared" si="850"/>
        <v>#DIV/0!</v>
      </c>
      <c r="AB918" s="276" t="e">
        <f t="shared" si="851"/>
        <v>#DIV/0!</v>
      </c>
      <c r="AC918" s="276" t="e">
        <f t="shared" si="852"/>
        <v>#DIV/0!</v>
      </c>
      <c r="AD918" s="276" t="e">
        <f t="shared" si="853"/>
        <v>#DIV/0!</v>
      </c>
      <c r="AE918" s="686" t="e">
        <f t="shared" si="854"/>
        <v>#DIV/0!</v>
      </c>
      <c r="AF918" s="239"/>
      <c r="AG918" s="965" t="e">
        <f t="shared" si="825"/>
        <v>#VALUE!</v>
      </c>
      <c r="AH918" s="878" t="e">
        <f t="shared" si="826"/>
        <v>#VALUE!</v>
      </c>
      <c r="AI918" s="878" t="e">
        <f t="shared" si="827"/>
        <v>#VALUE!</v>
      </c>
      <c r="AJ918" s="878" t="e">
        <f t="shared" si="828"/>
        <v>#VALUE!</v>
      </c>
      <c r="AK918" s="878" t="e">
        <f t="shared" si="829"/>
        <v>#VALUE!</v>
      </c>
      <c r="AL918" s="966" t="e">
        <f t="shared" si="830"/>
        <v>#VALUE!</v>
      </c>
      <c r="AM918" s="239"/>
      <c r="AO918" s="685">
        <f t="shared" si="855"/>
        <v>-1.3609299437483615</v>
      </c>
      <c r="AP918" s="276">
        <f t="shared" si="856"/>
        <v>-1.8011172916826794</v>
      </c>
      <c r="AQ918" s="276">
        <f t="shared" si="857"/>
        <v>-4.0975267694315809</v>
      </c>
      <c r="AR918" s="276">
        <f t="shared" si="858"/>
        <v>-0.20647984630349292</v>
      </c>
      <c r="AS918" s="276">
        <f t="shared" si="859"/>
        <v>-0.9021785654414648</v>
      </c>
      <c r="AT918" s="276">
        <f t="shared" si="860"/>
        <v>0.44772585505510021</v>
      </c>
      <c r="AU918" s="685">
        <f t="shared" si="861"/>
        <v>0.7682961772876078</v>
      </c>
      <c r="AV918" s="276">
        <f t="shared" si="862"/>
        <v>1.257440860873914</v>
      </c>
      <c r="AW918" s="276">
        <f t="shared" si="863"/>
        <v>0.67404515006598476</v>
      </c>
      <c r="AX918" s="276">
        <f t="shared" si="864"/>
        <v>2.0466757115078957</v>
      </c>
      <c r="AY918" s="276">
        <f t="shared" si="865"/>
        <v>1.6921735342689816</v>
      </c>
      <c r="AZ918" s="686">
        <f t="shared" si="866"/>
        <v>1.2937539201292043</v>
      </c>
      <c r="BA918" s="685">
        <f t="shared" si="867"/>
        <v>0</v>
      </c>
      <c r="BB918" s="276">
        <f t="shared" si="868"/>
        <v>0</v>
      </c>
      <c r="BC918" s="276">
        <f t="shared" si="869"/>
        <v>0</v>
      </c>
      <c r="BD918" s="276">
        <f t="shared" si="870"/>
        <v>0</v>
      </c>
      <c r="BE918" s="276">
        <f t="shared" si="871"/>
        <v>0</v>
      </c>
      <c r="BF918" s="686">
        <f t="shared" si="872"/>
        <v>0</v>
      </c>
      <c r="BG918" s="685" t="e">
        <f t="shared" si="873"/>
        <v>#DIV/0!</v>
      </c>
      <c r="BH918" s="276" t="e">
        <f t="shared" si="874"/>
        <v>#DIV/0!</v>
      </c>
      <c r="BI918" s="276" t="e">
        <f t="shared" si="875"/>
        <v>#DIV/0!</v>
      </c>
      <c r="BJ918" s="276" t="e">
        <f t="shared" si="876"/>
        <v>#DIV/0!</v>
      </c>
      <c r="BK918" s="276" t="e">
        <f t="shared" si="877"/>
        <v>#DIV/0!</v>
      </c>
      <c r="BL918" s="686" t="e">
        <f t="shared" si="878"/>
        <v>#DIV/0!</v>
      </c>
      <c r="BM918" s="239"/>
      <c r="BN918" s="965" t="e">
        <f t="shared" si="879"/>
        <v>#VALUE!</v>
      </c>
      <c r="BO918" s="878" t="e">
        <f t="shared" si="880"/>
        <v>#VALUE!</v>
      </c>
      <c r="BP918" s="878" t="e">
        <f t="shared" si="881"/>
        <v>#VALUE!</v>
      </c>
      <c r="BQ918" s="878" t="e">
        <f t="shared" si="882"/>
        <v>#VALUE!</v>
      </c>
      <c r="BR918" s="878" t="e">
        <f t="shared" si="883"/>
        <v>#VALUE!</v>
      </c>
      <c r="BS918" s="966" t="e">
        <f t="shared" si="884"/>
        <v>#VALUE!</v>
      </c>
    </row>
    <row r="919" spans="1:71">
      <c r="A919" s="284">
        <f t="shared" si="885"/>
        <v>851</v>
      </c>
      <c r="B919" s="285">
        <v>-1.4063794493485371</v>
      </c>
      <c r="C919" s="285">
        <v>2.7434140701015868</v>
      </c>
      <c r="D919" s="285">
        <v>1.9912850572314489</v>
      </c>
      <c r="E919" s="285">
        <v>4.7680158722261297</v>
      </c>
      <c r="H919" s="685">
        <f t="shared" si="831"/>
        <v>-2.5396132911175919</v>
      </c>
      <c r="I919" s="276">
        <f t="shared" si="832"/>
        <v>0.73303623184983402</v>
      </c>
      <c r="J919" s="276">
        <f t="shared" si="833"/>
        <v>0.3573280021112597</v>
      </c>
      <c r="K919" s="276">
        <f t="shared" si="834"/>
        <v>-0.64696117347703386</v>
      </c>
      <c r="L919" s="276">
        <f t="shared" si="835"/>
        <v>0.87699334897513359</v>
      </c>
      <c r="M919" s="276">
        <f t="shared" si="836"/>
        <v>-1.5952007416259062</v>
      </c>
      <c r="N919" s="685">
        <f t="shared" si="837"/>
        <v>1.5362428591297184</v>
      </c>
      <c r="O919" s="276">
        <f t="shared" si="838"/>
        <v>1.6655439246652552</v>
      </c>
      <c r="P919" s="276">
        <f t="shared" si="839"/>
        <v>1.2839263047407095</v>
      </c>
      <c r="Q919" s="276">
        <f t="shared" si="840"/>
        <v>0.75702248346723011</v>
      </c>
      <c r="R919" s="276">
        <f t="shared" si="841"/>
        <v>1.7224864014919585</v>
      </c>
      <c r="S919" s="686">
        <f t="shared" si="842"/>
        <v>1.102276722720936</v>
      </c>
      <c r="T919" s="685">
        <f t="shared" si="843"/>
        <v>5.2696487475023748</v>
      </c>
      <c r="U919" s="276">
        <f t="shared" si="844"/>
        <v>4.4238704898828729</v>
      </c>
      <c r="V919" s="276">
        <f t="shared" si="845"/>
        <v>5.3979405439148955</v>
      </c>
      <c r="W919" s="276">
        <f t="shared" si="846"/>
        <v>4.7400110374708477</v>
      </c>
      <c r="X919" s="276">
        <f t="shared" si="847"/>
        <v>4.2027177105787183</v>
      </c>
      <c r="Y919" s="686">
        <f t="shared" si="848"/>
        <v>3.1629234081043744</v>
      </c>
      <c r="Z919" s="685" t="e">
        <f t="shared" si="849"/>
        <v>#DIV/0!</v>
      </c>
      <c r="AA919" s="276" t="e">
        <f t="shared" si="850"/>
        <v>#DIV/0!</v>
      </c>
      <c r="AB919" s="276" t="e">
        <f t="shared" si="851"/>
        <v>#DIV/0!</v>
      </c>
      <c r="AC919" s="276" t="e">
        <f t="shared" si="852"/>
        <v>#DIV/0!</v>
      </c>
      <c r="AD919" s="276" t="e">
        <f t="shared" si="853"/>
        <v>#DIV/0!</v>
      </c>
      <c r="AE919" s="686" t="e">
        <f t="shared" si="854"/>
        <v>#DIV/0!</v>
      </c>
      <c r="AF919" s="239"/>
      <c r="AG919" s="965" t="e">
        <f t="shared" si="825"/>
        <v>#VALUE!</v>
      </c>
      <c r="AH919" s="878" t="e">
        <f t="shared" si="826"/>
        <v>#VALUE!</v>
      </c>
      <c r="AI919" s="878" t="e">
        <f t="shared" si="827"/>
        <v>#VALUE!</v>
      </c>
      <c r="AJ919" s="878" t="e">
        <f t="shared" si="828"/>
        <v>#VALUE!</v>
      </c>
      <c r="AK919" s="878" t="e">
        <f t="shared" si="829"/>
        <v>#VALUE!</v>
      </c>
      <c r="AL919" s="966" t="e">
        <f t="shared" si="830"/>
        <v>#VALUE!</v>
      </c>
      <c r="AM919" s="239"/>
      <c r="AO919" s="685">
        <f t="shared" si="855"/>
        <v>-2.5396132911175919</v>
      </c>
      <c r="AP919" s="276">
        <f t="shared" si="856"/>
        <v>0.73303623184983402</v>
      </c>
      <c r="AQ919" s="276">
        <f t="shared" si="857"/>
        <v>0.3573280021112597</v>
      </c>
      <c r="AR919" s="276">
        <f t="shared" si="858"/>
        <v>-0.64696117347703386</v>
      </c>
      <c r="AS919" s="276">
        <f t="shared" si="859"/>
        <v>0.87699334897513359</v>
      </c>
      <c r="AT919" s="276">
        <f t="shared" si="860"/>
        <v>-1.5952007416259062</v>
      </c>
      <c r="AU919" s="685">
        <f t="shared" si="861"/>
        <v>1.5362428591297184</v>
      </c>
      <c r="AV919" s="276">
        <f t="shared" si="862"/>
        <v>1.6655439246652552</v>
      </c>
      <c r="AW919" s="276">
        <f t="shared" si="863"/>
        <v>1.2839263047407095</v>
      </c>
      <c r="AX919" s="276">
        <f t="shared" si="864"/>
        <v>0.75702248346723011</v>
      </c>
      <c r="AY919" s="276">
        <f t="shared" si="865"/>
        <v>1.7224864014919585</v>
      </c>
      <c r="AZ919" s="686">
        <f t="shared" si="866"/>
        <v>1.102276722720936</v>
      </c>
      <c r="BA919" s="685">
        <f t="shared" si="867"/>
        <v>0</v>
      </c>
      <c r="BB919" s="276">
        <f t="shared" si="868"/>
        <v>0</v>
      </c>
      <c r="BC919" s="276">
        <f t="shared" si="869"/>
        <v>0</v>
      </c>
      <c r="BD919" s="276">
        <f t="shared" si="870"/>
        <v>0</v>
      </c>
      <c r="BE919" s="276">
        <f t="shared" si="871"/>
        <v>0</v>
      </c>
      <c r="BF919" s="686">
        <f t="shared" si="872"/>
        <v>0</v>
      </c>
      <c r="BG919" s="685" t="e">
        <f t="shared" si="873"/>
        <v>#DIV/0!</v>
      </c>
      <c r="BH919" s="276" t="e">
        <f t="shared" si="874"/>
        <v>#DIV/0!</v>
      </c>
      <c r="BI919" s="276" t="e">
        <f t="shared" si="875"/>
        <v>#DIV/0!</v>
      </c>
      <c r="BJ919" s="276" t="e">
        <f t="shared" si="876"/>
        <v>#DIV/0!</v>
      </c>
      <c r="BK919" s="276" t="e">
        <f t="shared" si="877"/>
        <v>#DIV/0!</v>
      </c>
      <c r="BL919" s="686" t="e">
        <f t="shared" si="878"/>
        <v>#DIV/0!</v>
      </c>
      <c r="BM919" s="239"/>
      <c r="BN919" s="965" t="e">
        <f t="shared" si="879"/>
        <v>#VALUE!</v>
      </c>
      <c r="BO919" s="878" t="e">
        <f t="shared" si="880"/>
        <v>#VALUE!</v>
      </c>
      <c r="BP919" s="878" t="e">
        <f t="shared" si="881"/>
        <v>#VALUE!</v>
      </c>
      <c r="BQ919" s="878" t="e">
        <f t="shared" si="882"/>
        <v>#VALUE!</v>
      </c>
      <c r="BR919" s="878" t="e">
        <f t="shared" si="883"/>
        <v>#VALUE!</v>
      </c>
      <c r="BS919" s="966" t="e">
        <f t="shared" si="884"/>
        <v>#VALUE!</v>
      </c>
    </row>
    <row r="920" spans="1:71">
      <c r="A920" s="284">
        <f t="shared" si="885"/>
        <v>852</v>
      </c>
      <c r="B920" s="285">
        <v>-2.9928524037187119</v>
      </c>
      <c r="C920" s="285">
        <v>2.0900523854898374</v>
      </c>
      <c r="D920" s="285">
        <v>0.92674009252438228</v>
      </c>
      <c r="E920" s="285">
        <v>-0.7616985016159421</v>
      </c>
      <c r="H920" s="685">
        <f t="shared" si="831"/>
        <v>-4.1260862454877669</v>
      </c>
      <c r="I920" s="276">
        <f t="shared" si="832"/>
        <v>-2.3131774997502079</v>
      </c>
      <c r="J920" s="276">
        <f t="shared" si="833"/>
        <v>-2.4193976145106779</v>
      </c>
      <c r="K920" s="276">
        <f t="shared" si="834"/>
        <v>4.9305001507915502E-3</v>
      </c>
      <c r="L920" s="276">
        <f t="shared" si="835"/>
        <v>-3.2837088862922803E-2</v>
      </c>
      <c r="M920" s="276">
        <f t="shared" si="836"/>
        <v>-1.5559037258131745</v>
      </c>
      <c r="N920" s="685">
        <f t="shared" si="837"/>
        <v>0.88288117451796899</v>
      </c>
      <c r="O920" s="276">
        <f t="shared" si="838"/>
        <v>0.98237209514446433</v>
      </c>
      <c r="P920" s="276">
        <f t="shared" si="839"/>
        <v>0.69730166510425096</v>
      </c>
      <c r="Q920" s="276">
        <f t="shared" si="840"/>
        <v>1.2372917416803124</v>
      </c>
      <c r="R920" s="276">
        <f t="shared" si="841"/>
        <v>1.1652616643687381</v>
      </c>
      <c r="S920" s="686">
        <f t="shared" si="842"/>
        <v>0.51602388000244503</v>
      </c>
      <c r="T920" s="685">
        <f t="shared" si="843"/>
        <v>4.2051037827953079</v>
      </c>
      <c r="U920" s="276">
        <f t="shared" si="844"/>
        <v>3.5795580195570098</v>
      </c>
      <c r="V920" s="276">
        <f t="shared" si="845"/>
        <v>2.9595175356325001</v>
      </c>
      <c r="W920" s="276">
        <f t="shared" si="846"/>
        <v>5.1406815122486567</v>
      </c>
      <c r="X920" s="276">
        <f t="shared" si="847"/>
        <v>3.8775980845139042</v>
      </c>
      <c r="Y920" s="686">
        <f t="shared" si="848"/>
        <v>6.5934878289348777</v>
      </c>
      <c r="Z920" s="685" t="e">
        <f t="shared" si="849"/>
        <v>#DIV/0!</v>
      </c>
      <c r="AA920" s="276" t="e">
        <f t="shared" si="850"/>
        <v>#DIV/0!</v>
      </c>
      <c r="AB920" s="276" t="e">
        <f t="shared" si="851"/>
        <v>#DIV/0!</v>
      </c>
      <c r="AC920" s="276" t="e">
        <f t="shared" si="852"/>
        <v>#DIV/0!</v>
      </c>
      <c r="AD920" s="276" t="e">
        <f t="shared" si="853"/>
        <v>#DIV/0!</v>
      </c>
      <c r="AE920" s="686" t="e">
        <f t="shared" si="854"/>
        <v>#DIV/0!</v>
      </c>
      <c r="AF920" s="239"/>
      <c r="AG920" s="965" t="e">
        <f t="shared" si="825"/>
        <v>#VALUE!</v>
      </c>
      <c r="AH920" s="878" t="e">
        <f t="shared" si="826"/>
        <v>#VALUE!</v>
      </c>
      <c r="AI920" s="878" t="e">
        <f t="shared" si="827"/>
        <v>#VALUE!</v>
      </c>
      <c r="AJ920" s="878" t="e">
        <f t="shared" si="828"/>
        <v>#VALUE!</v>
      </c>
      <c r="AK920" s="878" t="e">
        <f t="shared" si="829"/>
        <v>#VALUE!</v>
      </c>
      <c r="AL920" s="966" t="e">
        <f t="shared" si="830"/>
        <v>#VALUE!</v>
      </c>
      <c r="AM920" s="239"/>
      <c r="AO920" s="685">
        <f t="shared" si="855"/>
        <v>-4.1260862454877669</v>
      </c>
      <c r="AP920" s="276">
        <f t="shared" si="856"/>
        <v>-2.3131774997502079</v>
      </c>
      <c r="AQ920" s="276">
        <f t="shared" si="857"/>
        <v>-2.4193976145106779</v>
      </c>
      <c r="AR920" s="276">
        <f t="shared" si="858"/>
        <v>4.9305001507915502E-3</v>
      </c>
      <c r="AS920" s="276">
        <f t="shared" si="859"/>
        <v>-3.2837088862922803E-2</v>
      </c>
      <c r="AT920" s="276">
        <f t="shared" si="860"/>
        <v>-1.5559037258131745</v>
      </c>
      <c r="AU920" s="685">
        <f t="shared" si="861"/>
        <v>0.88288117451796899</v>
      </c>
      <c r="AV920" s="276">
        <f t="shared" si="862"/>
        <v>0.98237209514446433</v>
      </c>
      <c r="AW920" s="276">
        <f t="shared" si="863"/>
        <v>0.69730166510425096</v>
      </c>
      <c r="AX920" s="276">
        <f t="shared" si="864"/>
        <v>1.2372917416803124</v>
      </c>
      <c r="AY920" s="276">
        <f t="shared" si="865"/>
        <v>1.1652616643687381</v>
      </c>
      <c r="AZ920" s="686">
        <f t="shared" si="866"/>
        <v>0.51602388000244503</v>
      </c>
      <c r="BA920" s="685">
        <f t="shared" si="867"/>
        <v>0</v>
      </c>
      <c r="BB920" s="276">
        <f t="shared" si="868"/>
        <v>0</v>
      </c>
      <c r="BC920" s="276">
        <f t="shared" si="869"/>
        <v>0</v>
      </c>
      <c r="BD920" s="276">
        <f t="shared" si="870"/>
        <v>0</v>
      </c>
      <c r="BE920" s="276">
        <f t="shared" si="871"/>
        <v>0</v>
      </c>
      <c r="BF920" s="686">
        <f t="shared" si="872"/>
        <v>0</v>
      </c>
      <c r="BG920" s="685" t="e">
        <f t="shared" si="873"/>
        <v>#DIV/0!</v>
      </c>
      <c r="BH920" s="276" t="e">
        <f t="shared" si="874"/>
        <v>#DIV/0!</v>
      </c>
      <c r="BI920" s="276" t="e">
        <f t="shared" si="875"/>
        <v>#DIV/0!</v>
      </c>
      <c r="BJ920" s="276" t="e">
        <f t="shared" si="876"/>
        <v>#DIV/0!</v>
      </c>
      <c r="BK920" s="276" t="e">
        <f t="shared" si="877"/>
        <v>#DIV/0!</v>
      </c>
      <c r="BL920" s="686" t="e">
        <f t="shared" si="878"/>
        <v>#DIV/0!</v>
      </c>
      <c r="BM920" s="239"/>
      <c r="BN920" s="965" t="e">
        <f t="shared" si="879"/>
        <v>#VALUE!</v>
      </c>
      <c r="BO920" s="878" t="e">
        <f t="shared" si="880"/>
        <v>#VALUE!</v>
      </c>
      <c r="BP920" s="878" t="e">
        <f t="shared" si="881"/>
        <v>#VALUE!</v>
      </c>
      <c r="BQ920" s="878" t="e">
        <f t="shared" si="882"/>
        <v>#VALUE!</v>
      </c>
      <c r="BR920" s="878" t="e">
        <f t="shared" si="883"/>
        <v>#VALUE!</v>
      </c>
      <c r="BS920" s="966" t="e">
        <f t="shared" si="884"/>
        <v>#VALUE!</v>
      </c>
    </row>
    <row r="921" spans="1:71">
      <c r="A921" s="284">
        <f t="shared" si="885"/>
        <v>853</v>
      </c>
      <c r="B921" s="285">
        <v>4.2551408158206676E-2</v>
      </c>
      <c r="C921" s="285">
        <v>3.2210177768646724</v>
      </c>
      <c r="D921" s="285">
        <v>-1.2027346416794304</v>
      </c>
      <c r="E921" s="285">
        <v>3.1042198492517818</v>
      </c>
      <c r="H921" s="685">
        <f t="shared" si="831"/>
        <v>-1.0906824336108483</v>
      </c>
      <c r="I921" s="276">
        <f t="shared" si="832"/>
        <v>-2.3566125093575696</v>
      </c>
      <c r="J921" s="276">
        <f t="shared" si="833"/>
        <v>-5.084607676938667</v>
      </c>
      <c r="K921" s="276">
        <f t="shared" si="834"/>
        <v>2.9844644225911212</v>
      </c>
      <c r="L921" s="276">
        <f t="shared" si="835"/>
        <v>-0.87759063299834983</v>
      </c>
      <c r="M921" s="276">
        <f t="shared" si="836"/>
        <v>-3.6478210972857434</v>
      </c>
      <c r="N921" s="685">
        <f t="shared" si="837"/>
        <v>2.0138465658928038</v>
      </c>
      <c r="O921" s="276">
        <f t="shared" si="838"/>
        <v>1.2017113932252224</v>
      </c>
      <c r="P921" s="276">
        <f t="shared" si="839"/>
        <v>0.88029609301832035</v>
      </c>
      <c r="Q921" s="276">
        <f t="shared" si="840"/>
        <v>2.0106402017807232</v>
      </c>
      <c r="R921" s="276">
        <f t="shared" si="841"/>
        <v>1.2610890963366812</v>
      </c>
      <c r="S921" s="686">
        <f t="shared" si="842"/>
        <v>1.2235165783001503</v>
      </c>
      <c r="T921" s="685">
        <f t="shared" si="843"/>
        <v>2.0756290485914954</v>
      </c>
      <c r="U921" s="276">
        <f t="shared" si="844"/>
        <v>3.6657493313998302</v>
      </c>
      <c r="V921" s="276">
        <f t="shared" si="845"/>
        <v>3.0630912308023195</v>
      </c>
      <c r="W921" s="276">
        <f t="shared" si="846"/>
        <v>3.5315696181901157</v>
      </c>
      <c r="X921" s="276">
        <f t="shared" si="847"/>
        <v>1.8619603224205794</v>
      </c>
      <c r="Y921" s="686">
        <f t="shared" si="848"/>
        <v>1.2121803644477454</v>
      </c>
      <c r="Z921" s="685" t="e">
        <f t="shared" si="849"/>
        <v>#DIV/0!</v>
      </c>
      <c r="AA921" s="276" t="e">
        <f t="shared" si="850"/>
        <v>#DIV/0!</v>
      </c>
      <c r="AB921" s="276" t="e">
        <f t="shared" si="851"/>
        <v>#DIV/0!</v>
      </c>
      <c r="AC921" s="276" t="e">
        <f t="shared" si="852"/>
        <v>#DIV/0!</v>
      </c>
      <c r="AD921" s="276" t="e">
        <f t="shared" si="853"/>
        <v>#DIV/0!</v>
      </c>
      <c r="AE921" s="686" t="e">
        <f t="shared" si="854"/>
        <v>#DIV/0!</v>
      </c>
      <c r="AF921" s="239"/>
      <c r="AG921" s="965" t="e">
        <f t="shared" si="825"/>
        <v>#VALUE!</v>
      </c>
      <c r="AH921" s="878" t="e">
        <f t="shared" si="826"/>
        <v>#VALUE!</v>
      </c>
      <c r="AI921" s="878" t="e">
        <f t="shared" si="827"/>
        <v>#VALUE!</v>
      </c>
      <c r="AJ921" s="878" t="e">
        <f t="shared" si="828"/>
        <v>#VALUE!</v>
      </c>
      <c r="AK921" s="878" t="e">
        <f t="shared" si="829"/>
        <v>#VALUE!</v>
      </c>
      <c r="AL921" s="966" t="e">
        <f t="shared" si="830"/>
        <v>#VALUE!</v>
      </c>
      <c r="AM921" s="239"/>
      <c r="AO921" s="685">
        <f t="shared" si="855"/>
        <v>-1.0906824336108483</v>
      </c>
      <c r="AP921" s="276">
        <f t="shared" si="856"/>
        <v>-2.3566125093575696</v>
      </c>
      <c r="AQ921" s="276">
        <f t="shared" si="857"/>
        <v>-5.084607676938667</v>
      </c>
      <c r="AR921" s="276">
        <f t="shared" si="858"/>
        <v>2.9844644225911212</v>
      </c>
      <c r="AS921" s="276">
        <f t="shared" si="859"/>
        <v>-0.87759063299834983</v>
      </c>
      <c r="AT921" s="276">
        <f t="shared" si="860"/>
        <v>-3.6478210972857434</v>
      </c>
      <c r="AU921" s="685">
        <f t="shared" si="861"/>
        <v>2.0138465658928038</v>
      </c>
      <c r="AV921" s="276">
        <f t="shared" si="862"/>
        <v>1.2017113932252224</v>
      </c>
      <c r="AW921" s="276">
        <f t="shared" si="863"/>
        <v>0.88029609301832035</v>
      </c>
      <c r="AX921" s="276">
        <f t="shared" si="864"/>
        <v>2.0106402017807232</v>
      </c>
      <c r="AY921" s="276">
        <f t="shared" si="865"/>
        <v>1.2610890963366812</v>
      </c>
      <c r="AZ921" s="686">
        <f t="shared" si="866"/>
        <v>1.2235165783001503</v>
      </c>
      <c r="BA921" s="685">
        <f t="shared" si="867"/>
        <v>0</v>
      </c>
      <c r="BB921" s="276">
        <f t="shared" si="868"/>
        <v>0</v>
      </c>
      <c r="BC921" s="276">
        <f t="shared" si="869"/>
        <v>0</v>
      </c>
      <c r="BD921" s="276">
        <f t="shared" si="870"/>
        <v>0</v>
      </c>
      <c r="BE921" s="276">
        <f t="shared" si="871"/>
        <v>0</v>
      </c>
      <c r="BF921" s="686">
        <f t="shared" si="872"/>
        <v>0</v>
      </c>
      <c r="BG921" s="685" t="e">
        <f t="shared" si="873"/>
        <v>#DIV/0!</v>
      </c>
      <c r="BH921" s="276" t="e">
        <f t="shared" si="874"/>
        <v>#DIV/0!</v>
      </c>
      <c r="BI921" s="276" t="e">
        <f t="shared" si="875"/>
        <v>#DIV/0!</v>
      </c>
      <c r="BJ921" s="276" t="e">
        <f t="shared" si="876"/>
        <v>#DIV/0!</v>
      </c>
      <c r="BK921" s="276" t="e">
        <f t="shared" si="877"/>
        <v>#DIV/0!</v>
      </c>
      <c r="BL921" s="686" t="e">
        <f t="shared" si="878"/>
        <v>#DIV/0!</v>
      </c>
      <c r="BM921" s="239"/>
      <c r="BN921" s="965" t="e">
        <f t="shared" si="879"/>
        <v>#VALUE!</v>
      </c>
      <c r="BO921" s="878" t="e">
        <f t="shared" si="880"/>
        <v>#VALUE!</v>
      </c>
      <c r="BP921" s="878" t="e">
        <f t="shared" si="881"/>
        <v>#VALUE!</v>
      </c>
      <c r="BQ921" s="878" t="e">
        <f t="shared" si="882"/>
        <v>#VALUE!</v>
      </c>
      <c r="BR921" s="878" t="e">
        <f t="shared" si="883"/>
        <v>#VALUE!</v>
      </c>
      <c r="BS921" s="966" t="e">
        <f t="shared" si="884"/>
        <v>#VALUE!</v>
      </c>
    </row>
    <row r="922" spans="1:71">
      <c r="A922" s="284">
        <f t="shared" si="885"/>
        <v>854</v>
      </c>
      <c r="B922" s="285">
        <v>1.7650964850323643</v>
      </c>
      <c r="C922" s="285">
        <v>2.6162939018313915</v>
      </c>
      <c r="D922" s="285">
        <v>-3.4982436833983055E-2</v>
      </c>
      <c r="E922" s="285">
        <v>-2.8058505137330316</v>
      </c>
      <c r="H922" s="685">
        <f t="shared" si="831"/>
        <v>0.63186264326330943</v>
      </c>
      <c r="I922" s="276">
        <f t="shared" si="832"/>
        <v>-7.4924727991068751E-2</v>
      </c>
      <c r="J922" s="276">
        <f t="shared" si="833"/>
        <v>1.8856163961548311</v>
      </c>
      <c r="K922" s="276">
        <f t="shared" si="834"/>
        <v>-2.3914630833783592</v>
      </c>
      <c r="L922" s="276">
        <f t="shared" si="835"/>
        <v>-4.0855454901409365</v>
      </c>
      <c r="M922" s="276">
        <f t="shared" si="836"/>
        <v>-1.7174616496291557</v>
      </c>
      <c r="N922" s="685">
        <f t="shared" si="837"/>
        <v>1.4091226908595231</v>
      </c>
      <c r="O922" s="276">
        <f t="shared" si="838"/>
        <v>1.8977041864684534</v>
      </c>
      <c r="P922" s="276">
        <f t="shared" si="839"/>
        <v>1.6511266302883307</v>
      </c>
      <c r="Q922" s="276">
        <f t="shared" si="840"/>
        <v>1.3346194756774292</v>
      </c>
      <c r="R922" s="276">
        <f t="shared" si="841"/>
        <v>1.162933574552617</v>
      </c>
      <c r="S922" s="686">
        <f t="shared" si="842"/>
        <v>0.62065714967404451</v>
      </c>
      <c r="T922" s="685">
        <f t="shared" si="843"/>
        <v>3.2433812534369428</v>
      </c>
      <c r="U922" s="276">
        <f t="shared" si="844"/>
        <v>3.6224792807102588</v>
      </c>
      <c r="V922" s="276">
        <f t="shared" si="845"/>
        <v>6.8459404632186631</v>
      </c>
      <c r="W922" s="276">
        <f t="shared" si="846"/>
        <v>3.4861340567853043</v>
      </c>
      <c r="X922" s="276">
        <f t="shared" si="847"/>
        <v>4.9214913348648892</v>
      </c>
      <c r="Y922" s="686">
        <f t="shared" si="848"/>
        <v>6.1742762157888773</v>
      </c>
      <c r="Z922" s="685" t="e">
        <f t="shared" si="849"/>
        <v>#DIV/0!</v>
      </c>
      <c r="AA922" s="276" t="e">
        <f t="shared" si="850"/>
        <v>#DIV/0!</v>
      </c>
      <c r="AB922" s="276" t="e">
        <f t="shared" si="851"/>
        <v>#DIV/0!</v>
      </c>
      <c r="AC922" s="276" t="e">
        <f t="shared" si="852"/>
        <v>#DIV/0!</v>
      </c>
      <c r="AD922" s="276" t="e">
        <f t="shared" si="853"/>
        <v>#DIV/0!</v>
      </c>
      <c r="AE922" s="686" t="e">
        <f t="shared" si="854"/>
        <v>#DIV/0!</v>
      </c>
      <c r="AF922" s="239"/>
      <c r="AG922" s="965" t="e">
        <f t="shared" si="825"/>
        <v>#VALUE!</v>
      </c>
      <c r="AH922" s="878" t="e">
        <f t="shared" si="826"/>
        <v>#VALUE!</v>
      </c>
      <c r="AI922" s="878" t="e">
        <f t="shared" si="827"/>
        <v>#VALUE!</v>
      </c>
      <c r="AJ922" s="878" t="e">
        <f t="shared" si="828"/>
        <v>#VALUE!</v>
      </c>
      <c r="AK922" s="878" t="e">
        <f t="shared" si="829"/>
        <v>#VALUE!</v>
      </c>
      <c r="AL922" s="966" t="e">
        <f t="shared" si="830"/>
        <v>#VALUE!</v>
      </c>
      <c r="AM922" s="239"/>
      <c r="AO922" s="685">
        <f t="shared" si="855"/>
        <v>0.63186264326330943</v>
      </c>
      <c r="AP922" s="276">
        <f t="shared" si="856"/>
        <v>-7.4924727991068751E-2</v>
      </c>
      <c r="AQ922" s="276">
        <f t="shared" si="857"/>
        <v>1.8856163961548311</v>
      </c>
      <c r="AR922" s="276">
        <f t="shared" si="858"/>
        <v>-2.3914630833783592</v>
      </c>
      <c r="AS922" s="276">
        <f t="shared" si="859"/>
        <v>-4.0855454901409365</v>
      </c>
      <c r="AT922" s="276">
        <f t="shared" si="860"/>
        <v>-1.7174616496291557</v>
      </c>
      <c r="AU922" s="685">
        <f t="shared" si="861"/>
        <v>1.4091226908595231</v>
      </c>
      <c r="AV922" s="276">
        <f t="shared" si="862"/>
        <v>1.8977041864684534</v>
      </c>
      <c r="AW922" s="276">
        <f t="shared" si="863"/>
        <v>1.6511266302883307</v>
      </c>
      <c r="AX922" s="276">
        <f t="shared" si="864"/>
        <v>1.3346194756774292</v>
      </c>
      <c r="AY922" s="276">
        <f t="shared" si="865"/>
        <v>1.162933574552617</v>
      </c>
      <c r="AZ922" s="686">
        <f t="shared" si="866"/>
        <v>0.62065714967404451</v>
      </c>
      <c r="BA922" s="685">
        <f t="shared" si="867"/>
        <v>0</v>
      </c>
      <c r="BB922" s="276">
        <f t="shared" si="868"/>
        <v>0</v>
      </c>
      <c r="BC922" s="276">
        <f t="shared" si="869"/>
        <v>0</v>
      </c>
      <c r="BD922" s="276">
        <f t="shared" si="870"/>
        <v>0</v>
      </c>
      <c r="BE922" s="276">
        <f t="shared" si="871"/>
        <v>0</v>
      </c>
      <c r="BF922" s="686">
        <f t="shared" si="872"/>
        <v>0</v>
      </c>
      <c r="BG922" s="685" t="e">
        <f t="shared" si="873"/>
        <v>#DIV/0!</v>
      </c>
      <c r="BH922" s="276" t="e">
        <f t="shared" si="874"/>
        <v>#DIV/0!</v>
      </c>
      <c r="BI922" s="276" t="e">
        <f t="shared" si="875"/>
        <v>#DIV/0!</v>
      </c>
      <c r="BJ922" s="276" t="e">
        <f t="shared" si="876"/>
        <v>#DIV/0!</v>
      </c>
      <c r="BK922" s="276" t="e">
        <f t="shared" si="877"/>
        <v>#DIV/0!</v>
      </c>
      <c r="BL922" s="686" t="e">
        <f t="shared" si="878"/>
        <v>#DIV/0!</v>
      </c>
      <c r="BM922" s="239"/>
      <c r="BN922" s="965" t="e">
        <f t="shared" si="879"/>
        <v>#VALUE!</v>
      </c>
      <c r="BO922" s="878" t="e">
        <f t="shared" si="880"/>
        <v>#VALUE!</v>
      </c>
      <c r="BP922" s="878" t="e">
        <f t="shared" si="881"/>
        <v>#VALUE!</v>
      </c>
      <c r="BQ922" s="878" t="e">
        <f t="shared" si="882"/>
        <v>#VALUE!</v>
      </c>
      <c r="BR922" s="878" t="e">
        <f t="shared" si="883"/>
        <v>#VALUE!</v>
      </c>
      <c r="BS922" s="966" t="e">
        <f t="shared" si="884"/>
        <v>#VALUE!</v>
      </c>
    </row>
    <row r="923" spans="1:71">
      <c r="A923" s="284">
        <f t="shared" si="885"/>
        <v>855</v>
      </c>
      <c r="B923" s="285">
        <v>0.35527209792086312</v>
      </c>
      <c r="C923" s="285">
        <v>2.7725333038775593</v>
      </c>
      <c r="D923" s="285">
        <v>1.2225508195847588</v>
      </c>
      <c r="E923" s="285">
        <v>-10.567241401623695</v>
      </c>
      <c r="H923" s="685">
        <f t="shared" si="831"/>
        <v>-0.77796174384819172</v>
      </c>
      <c r="I923" s="276">
        <f t="shared" si="832"/>
        <v>1.6430771127613795</v>
      </c>
      <c r="J923" s="276">
        <f t="shared" si="833"/>
        <v>-2.3218941181173527</v>
      </c>
      <c r="K923" s="276">
        <f t="shared" si="834"/>
        <v>-4.543621739877131</v>
      </c>
      <c r="L923" s="276">
        <f t="shared" si="835"/>
        <v>-1.377077672352784</v>
      </c>
      <c r="M923" s="276">
        <f t="shared" si="836"/>
        <v>-4.8587649841776717</v>
      </c>
      <c r="N923" s="685">
        <f t="shared" si="837"/>
        <v>1.5653620929056908</v>
      </c>
      <c r="O923" s="276">
        <f t="shared" si="838"/>
        <v>2.1012162892055466</v>
      </c>
      <c r="P923" s="276">
        <f t="shared" si="839"/>
        <v>1.0442757497108242</v>
      </c>
      <c r="Q923" s="276">
        <f t="shared" si="840"/>
        <v>0.38390883465777104</v>
      </c>
      <c r="R923" s="276">
        <f t="shared" si="841"/>
        <v>2.1298359459220002</v>
      </c>
      <c r="S923" s="686">
        <f t="shared" si="842"/>
        <v>0.92938181606753933</v>
      </c>
      <c r="T923" s="685">
        <f t="shared" si="843"/>
        <v>4.5009145098556846</v>
      </c>
      <c r="U923" s="276">
        <f t="shared" si="844"/>
        <v>2.6755097142035469</v>
      </c>
      <c r="V923" s="276">
        <f t="shared" si="845"/>
        <v>6.0145195378167902</v>
      </c>
      <c r="W923" s="276">
        <f t="shared" si="846"/>
        <v>2.5237524581101853</v>
      </c>
      <c r="X923" s="276">
        <f t="shared" si="847"/>
        <v>3.8012979775966085</v>
      </c>
      <c r="Y923" s="686">
        <f t="shared" si="848"/>
        <v>4.7940965526947998</v>
      </c>
      <c r="Z923" s="685" t="e">
        <f t="shared" si="849"/>
        <v>#DIV/0!</v>
      </c>
      <c r="AA923" s="276" t="e">
        <f t="shared" si="850"/>
        <v>#DIV/0!</v>
      </c>
      <c r="AB923" s="276" t="e">
        <f t="shared" si="851"/>
        <v>#DIV/0!</v>
      </c>
      <c r="AC923" s="276" t="e">
        <f t="shared" si="852"/>
        <v>#DIV/0!</v>
      </c>
      <c r="AD923" s="276" t="e">
        <f t="shared" si="853"/>
        <v>#DIV/0!</v>
      </c>
      <c r="AE923" s="686" t="e">
        <f t="shared" si="854"/>
        <v>#DIV/0!</v>
      </c>
      <c r="AF923" s="239"/>
      <c r="AG923" s="965" t="e">
        <f t="shared" si="825"/>
        <v>#VALUE!</v>
      </c>
      <c r="AH923" s="878" t="e">
        <f t="shared" si="826"/>
        <v>#VALUE!</v>
      </c>
      <c r="AI923" s="878" t="e">
        <f t="shared" si="827"/>
        <v>#VALUE!</v>
      </c>
      <c r="AJ923" s="878" t="e">
        <f t="shared" si="828"/>
        <v>#VALUE!</v>
      </c>
      <c r="AK923" s="878" t="e">
        <f t="shared" si="829"/>
        <v>#VALUE!</v>
      </c>
      <c r="AL923" s="966" t="e">
        <f t="shared" si="830"/>
        <v>#VALUE!</v>
      </c>
      <c r="AM923" s="239"/>
      <c r="AO923" s="685">
        <f t="shared" si="855"/>
        <v>-0.77796174384819172</v>
      </c>
      <c r="AP923" s="276">
        <f t="shared" si="856"/>
        <v>1.6430771127613795</v>
      </c>
      <c r="AQ923" s="276">
        <f t="shared" si="857"/>
        <v>-2.3218941181173527</v>
      </c>
      <c r="AR923" s="276">
        <f t="shared" si="858"/>
        <v>-4.543621739877131</v>
      </c>
      <c r="AS923" s="276">
        <f t="shared" si="859"/>
        <v>-1.377077672352784</v>
      </c>
      <c r="AT923" s="276">
        <f t="shared" si="860"/>
        <v>-4.8587649841776717</v>
      </c>
      <c r="AU923" s="685">
        <f t="shared" si="861"/>
        <v>1.5653620929056908</v>
      </c>
      <c r="AV923" s="276">
        <f t="shared" si="862"/>
        <v>2.1012162892055466</v>
      </c>
      <c r="AW923" s="276">
        <f t="shared" si="863"/>
        <v>1.0442757497108242</v>
      </c>
      <c r="AX923" s="276">
        <f t="shared" si="864"/>
        <v>0.38390883465777104</v>
      </c>
      <c r="AY923" s="276">
        <f t="shared" si="865"/>
        <v>2.1298359459220002</v>
      </c>
      <c r="AZ923" s="686">
        <f t="shared" si="866"/>
        <v>0.92938181606753933</v>
      </c>
      <c r="BA923" s="685">
        <f t="shared" si="867"/>
        <v>0</v>
      </c>
      <c r="BB923" s="276">
        <f t="shared" si="868"/>
        <v>0</v>
      </c>
      <c r="BC923" s="276">
        <f t="shared" si="869"/>
        <v>0</v>
      </c>
      <c r="BD923" s="276">
        <f t="shared" si="870"/>
        <v>0</v>
      </c>
      <c r="BE923" s="276">
        <f t="shared" si="871"/>
        <v>0</v>
      </c>
      <c r="BF923" s="686">
        <f t="shared" si="872"/>
        <v>0</v>
      </c>
      <c r="BG923" s="685" t="e">
        <f t="shared" si="873"/>
        <v>#DIV/0!</v>
      </c>
      <c r="BH923" s="276" t="e">
        <f t="shared" si="874"/>
        <v>#DIV/0!</v>
      </c>
      <c r="BI923" s="276" t="e">
        <f t="shared" si="875"/>
        <v>#DIV/0!</v>
      </c>
      <c r="BJ923" s="276" t="e">
        <f t="shared" si="876"/>
        <v>#DIV/0!</v>
      </c>
      <c r="BK923" s="276" t="e">
        <f t="shared" si="877"/>
        <v>#DIV/0!</v>
      </c>
      <c r="BL923" s="686" t="e">
        <f t="shared" si="878"/>
        <v>#DIV/0!</v>
      </c>
      <c r="BM923" s="239"/>
      <c r="BN923" s="965" t="e">
        <f t="shared" si="879"/>
        <v>#VALUE!</v>
      </c>
      <c r="BO923" s="878" t="e">
        <f t="shared" si="880"/>
        <v>#VALUE!</v>
      </c>
      <c r="BP923" s="878" t="e">
        <f t="shared" si="881"/>
        <v>#VALUE!</v>
      </c>
      <c r="BQ923" s="878" t="e">
        <f t="shared" si="882"/>
        <v>#VALUE!</v>
      </c>
      <c r="BR923" s="878" t="e">
        <f t="shared" si="883"/>
        <v>#VALUE!</v>
      </c>
      <c r="BS923" s="966" t="e">
        <f t="shared" si="884"/>
        <v>#VALUE!</v>
      </c>
    </row>
    <row r="924" spans="1:71">
      <c r="A924" s="284">
        <f t="shared" si="885"/>
        <v>856</v>
      </c>
      <c r="B924" s="285">
        <v>-2.5351610211215108</v>
      </c>
      <c r="C924" s="285">
        <v>1.6526924472160804</v>
      </c>
      <c r="D924" s="285">
        <v>-9.4247794545030406E-2</v>
      </c>
      <c r="E924" s="285">
        <v>-16.808352981050394</v>
      </c>
      <c r="H924" s="685">
        <f t="shared" si="831"/>
        <v>-3.6683948628905654</v>
      </c>
      <c r="I924" s="276">
        <f t="shared" si="832"/>
        <v>-1.3015826860663222</v>
      </c>
      <c r="J924" s="276">
        <f t="shared" si="833"/>
        <v>-0.33249293207182862</v>
      </c>
      <c r="K924" s="276">
        <f t="shared" si="834"/>
        <v>1.5919197755419952</v>
      </c>
      <c r="L924" s="276">
        <f t="shared" si="835"/>
        <v>-2.550533139168786</v>
      </c>
      <c r="M924" s="276">
        <f t="shared" si="836"/>
        <v>3.8222589570933874</v>
      </c>
      <c r="N924" s="685">
        <f t="shared" si="837"/>
        <v>0.44552123624421203</v>
      </c>
      <c r="O924" s="276">
        <f t="shared" si="838"/>
        <v>0.75072995512177143</v>
      </c>
      <c r="P924" s="276">
        <f t="shared" si="839"/>
        <v>1.7273914153422945</v>
      </c>
      <c r="Q924" s="276">
        <f t="shared" si="840"/>
        <v>1.0621062220297277</v>
      </c>
      <c r="R924" s="276">
        <f t="shared" si="841"/>
        <v>0.12743604075817738</v>
      </c>
      <c r="S924" s="686">
        <f t="shared" si="842"/>
        <v>1.9593766462712157</v>
      </c>
      <c r="T924" s="685">
        <f t="shared" si="843"/>
        <v>3.1841158957258955</v>
      </c>
      <c r="U924" s="276">
        <f t="shared" si="844"/>
        <v>5.5208481525393012</v>
      </c>
      <c r="V924" s="276">
        <f t="shared" si="845"/>
        <v>4.8314662070492087</v>
      </c>
      <c r="W924" s="276">
        <f t="shared" si="846"/>
        <v>4.6198833294106603</v>
      </c>
      <c r="X924" s="276">
        <f t="shared" si="847"/>
        <v>6.7041545821436834</v>
      </c>
      <c r="Y924" s="686">
        <f t="shared" si="848"/>
        <v>5.3258505425240834</v>
      </c>
      <c r="Z924" s="685" t="e">
        <f t="shared" si="849"/>
        <v>#DIV/0!</v>
      </c>
      <c r="AA924" s="276" t="e">
        <f t="shared" si="850"/>
        <v>#DIV/0!</v>
      </c>
      <c r="AB924" s="276" t="e">
        <f t="shared" si="851"/>
        <v>#DIV/0!</v>
      </c>
      <c r="AC924" s="276" t="e">
        <f t="shared" si="852"/>
        <v>#DIV/0!</v>
      </c>
      <c r="AD924" s="276" t="e">
        <f t="shared" si="853"/>
        <v>#DIV/0!</v>
      </c>
      <c r="AE924" s="686" t="e">
        <f t="shared" si="854"/>
        <v>#DIV/0!</v>
      </c>
      <c r="AF924" s="239"/>
      <c r="AG924" s="965" t="e">
        <f t="shared" si="825"/>
        <v>#VALUE!</v>
      </c>
      <c r="AH924" s="878" t="e">
        <f t="shared" si="826"/>
        <v>#VALUE!</v>
      </c>
      <c r="AI924" s="878" t="e">
        <f t="shared" si="827"/>
        <v>#VALUE!</v>
      </c>
      <c r="AJ924" s="878" t="e">
        <f t="shared" si="828"/>
        <v>#VALUE!</v>
      </c>
      <c r="AK924" s="878" t="e">
        <f t="shared" si="829"/>
        <v>#VALUE!</v>
      </c>
      <c r="AL924" s="966" t="e">
        <f t="shared" si="830"/>
        <v>#VALUE!</v>
      </c>
      <c r="AM924" s="239"/>
      <c r="AO924" s="685">
        <f t="shared" si="855"/>
        <v>-3.6683948628905654</v>
      </c>
      <c r="AP924" s="276">
        <f t="shared" si="856"/>
        <v>-1.3015826860663222</v>
      </c>
      <c r="AQ924" s="276">
        <f t="shared" si="857"/>
        <v>-0.33249293207182862</v>
      </c>
      <c r="AR924" s="276">
        <f t="shared" si="858"/>
        <v>1.5919197755419952</v>
      </c>
      <c r="AS924" s="276">
        <f t="shared" si="859"/>
        <v>-2.550533139168786</v>
      </c>
      <c r="AT924" s="276">
        <f t="shared" si="860"/>
        <v>3.8222589570933874</v>
      </c>
      <c r="AU924" s="685">
        <f t="shared" si="861"/>
        <v>0.44552123624421203</v>
      </c>
      <c r="AV924" s="276">
        <f t="shared" si="862"/>
        <v>0.75072995512177143</v>
      </c>
      <c r="AW924" s="276">
        <f t="shared" si="863"/>
        <v>1.7273914153422945</v>
      </c>
      <c r="AX924" s="276">
        <f t="shared" si="864"/>
        <v>1.0621062220297277</v>
      </c>
      <c r="AY924" s="276">
        <f t="shared" si="865"/>
        <v>0.12743604075817738</v>
      </c>
      <c r="AZ924" s="686">
        <f t="shared" si="866"/>
        <v>1.9593766462712157</v>
      </c>
      <c r="BA924" s="685">
        <f t="shared" si="867"/>
        <v>0</v>
      </c>
      <c r="BB924" s="276">
        <f t="shared" si="868"/>
        <v>0</v>
      </c>
      <c r="BC924" s="276">
        <f t="shared" si="869"/>
        <v>0</v>
      </c>
      <c r="BD924" s="276">
        <f t="shared" si="870"/>
        <v>0</v>
      </c>
      <c r="BE924" s="276">
        <f t="shared" si="871"/>
        <v>0</v>
      </c>
      <c r="BF924" s="686">
        <f t="shared" si="872"/>
        <v>0</v>
      </c>
      <c r="BG924" s="685" t="e">
        <f t="shared" si="873"/>
        <v>#DIV/0!</v>
      </c>
      <c r="BH924" s="276" t="e">
        <f t="shared" si="874"/>
        <v>#DIV/0!</v>
      </c>
      <c r="BI924" s="276" t="e">
        <f t="shared" si="875"/>
        <v>#DIV/0!</v>
      </c>
      <c r="BJ924" s="276" t="e">
        <f t="shared" si="876"/>
        <v>#DIV/0!</v>
      </c>
      <c r="BK924" s="276" t="e">
        <f t="shared" si="877"/>
        <v>#DIV/0!</v>
      </c>
      <c r="BL924" s="686" t="e">
        <f t="shared" si="878"/>
        <v>#DIV/0!</v>
      </c>
      <c r="BM924" s="239"/>
      <c r="BN924" s="965" t="e">
        <f t="shared" si="879"/>
        <v>#VALUE!</v>
      </c>
      <c r="BO924" s="878" t="e">
        <f t="shared" si="880"/>
        <v>#VALUE!</v>
      </c>
      <c r="BP924" s="878" t="e">
        <f t="shared" si="881"/>
        <v>#VALUE!</v>
      </c>
      <c r="BQ924" s="878" t="e">
        <f t="shared" si="882"/>
        <v>#VALUE!</v>
      </c>
      <c r="BR924" s="878" t="e">
        <f t="shared" si="883"/>
        <v>#VALUE!</v>
      </c>
      <c r="BS924" s="966" t="e">
        <f t="shared" si="884"/>
        <v>#VALUE!</v>
      </c>
    </row>
    <row r="925" spans="1:71">
      <c r="A925" s="284">
        <f t="shared" si="885"/>
        <v>857</v>
      </c>
      <c r="B925" s="285">
        <v>1.6852614170646816</v>
      </c>
      <c r="C925" s="285">
        <v>3.1669647692060403</v>
      </c>
      <c r="D925" s="285">
        <v>-1.5389342034101614</v>
      </c>
      <c r="E925" s="285">
        <v>-1.5347092881176621</v>
      </c>
      <c r="H925" s="685">
        <f t="shared" si="831"/>
        <v>0.55202757529562674</v>
      </c>
      <c r="I925" s="276">
        <f t="shared" si="832"/>
        <v>2.6478441939417952</v>
      </c>
      <c r="J925" s="276">
        <f t="shared" si="833"/>
        <v>2.0256024502528804</v>
      </c>
      <c r="K925" s="276">
        <f t="shared" si="834"/>
        <v>-2.2211143402404239</v>
      </c>
      <c r="L925" s="276">
        <f t="shared" si="835"/>
        <v>1.1213548676739784</v>
      </c>
      <c r="M925" s="276">
        <f t="shared" si="836"/>
        <v>-1.5026196225515913</v>
      </c>
      <c r="N925" s="685">
        <f t="shared" si="837"/>
        <v>1.9597935582341719</v>
      </c>
      <c r="O925" s="276">
        <f t="shared" si="838"/>
        <v>1.1011618252495639</v>
      </c>
      <c r="P925" s="276">
        <f t="shared" si="839"/>
        <v>1.2672960215475306</v>
      </c>
      <c r="Q925" s="276">
        <f t="shared" si="840"/>
        <v>1.4177321239706318</v>
      </c>
      <c r="R925" s="276">
        <f t="shared" si="841"/>
        <v>0.86402199456172446</v>
      </c>
      <c r="S925" s="686">
        <f t="shared" si="842"/>
        <v>1.4413563351839913</v>
      </c>
      <c r="T925" s="685">
        <f t="shared" si="843"/>
        <v>1.7394294868607645</v>
      </c>
      <c r="U925" s="276">
        <f t="shared" si="844"/>
        <v>4.8957882873513201</v>
      </c>
      <c r="V925" s="276">
        <f t="shared" si="845"/>
        <v>3.5761256113118645</v>
      </c>
      <c r="W925" s="276">
        <f t="shared" si="846"/>
        <v>5.4029076437654293</v>
      </c>
      <c r="X925" s="276">
        <f t="shared" si="847"/>
        <v>4.7914956964248736</v>
      </c>
      <c r="Y925" s="686">
        <f t="shared" si="848"/>
        <v>3.8948082512799256</v>
      </c>
      <c r="Z925" s="685" t="e">
        <f t="shared" si="849"/>
        <v>#DIV/0!</v>
      </c>
      <c r="AA925" s="276" t="e">
        <f t="shared" si="850"/>
        <v>#DIV/0!</v>
      </c>
      <c r="AB925" s="276" t="e">
        <f t="shared" si="851"/>
        <v>#DIV/0!</v>
      </c>
      <c r="AC925" s="276" t="e">
        <f t="shared" si="852"/>
        <v>#DIV/0!</v>
      </c>
      <c r="AD925" s="276" t="e">
        <f t="shared" si="853"/>
        <v>#DIV/0!</v>
      </c>
      <c r="AE925" s="686" t="e">
        <f t="shared" si="854"/>
        <v>#DIV/0!</v>
      </c>
      <c r="AF925" s="239"/>
      <c r="AG925" s="965" t="e">
        <f t="shared" si="825"/>
        <v>#VALUE!</v>
      </c>
      <c r="AH925" s="878" t="e">
        <f t="shared" si="826"/>
        <v>#VALUE!</v>
      </c>
      <c r="AI925" s="878" t="e">
        <f t="shared" si="827"/>
        <v>#VALUE!</v>
      </c>
      <c r="AJ925" s="878" t="e">
        <f t="shared" si="828"/>
        <v>#VALUE!</v>
      </c>
      <c r="AK925" s="878" t="e">
        <f t="shared" si="829"/>
        <v>#VALUE!</v>
      </c>
      <c r="AL925" s="966" t="e">
        <f t="shared" si="830"/>
        <v>#VALUE!</v>
      </c>
      <c r="AM925" s="239"/>
      <c r="AO925" s="685">
        <f t="shared" si="855"/>
        <v>0.55202757529562674</v>
      </c>
      <c r="AP925" s="276">
        <f t="shared" si="856"/>
        <v>2.6478441939417952</v>
      </c>
      <c r="AQ925" s="276">
        <f t="shared" si="857"/>
        <v>2.0256024502528804</v>
      </c>
      <c r="AR925" s="276">
        <f t="shared" si="858"/>
        <v>-2.2211143402404239</v>
      </c>
      <c r="AS925" s="276">
        <f t="shared" si="859"/>
        <v>1.1213548676739784</v>
      </c>
      <c r="AT925" s="276">
        <f t="shared" si="860"/>
        <v>-1.5026196225515913</v>
      </c>
      <c r="AU925" s="685">
        <f t="shared" si="861"/>
        <v>1.9597935582341719</v>
      </c>
      <c r="AV925" s="276">
        <f t="shared" si="862"/>
        <v>1.1011618252495639</v>
      </c>
      <c r="AW925" s="276">
        <f t="shared" si="863"/>
        <v>1.2672960215475306</v>
      </c>
      <c r="AX925" s="276">
        <f t="shared" si="864"/>
        <v>1.4177321239706318</v>
      </c>
      <c r="AY925" s="276">
        <f t="shared" si="865"/>
        <v>0.86402199456172446</v>
      </c>
      <c r="AZ925" s="686">
        <f t="shared" si="866"/>
        <v>1.4413563351839913</v>
      </c>
      <c r="BA925" s="685">
        <f t="shared" si="867"/>
        <v>0</v>
      </c>
      <c r="BB925" s="276">
        <f t="shared" si="868"/>
        <v>0</v>
      </c>
      <c r="BC925" s="276">
        <f t="shared" si="869"/>
        <v>0</v>
      </c>
      <c r="BD925" s="276">
        <f t="shared" si="870"/>
        <v>0</v>
      </c>
      <c r="BE925" s="276">
        <f t="shared" si="871"/>
        <v>0</v>
      </c>
      <c r="BF925" s="686">
        <f t="shared" si="872"/>
        <v>0</v>
      </c>
      <c r="BG925" s="685" t="e">
        <f t="shared" si="873"/>
        <v>#DIV/0!</v>
      </c>
      <c r="BH925" s="276" t="e">
        <f t="shared" si="874"/>
        <v>#DIV/0!</v>
      </c>
      <c r="BI925" s="276" t="e">
        <f t="shared" si="875"/>
        <v>#DIV/0!</v>
      </c>
      <c r="BJ925" s="276" t="e">
        <f t="shared" si="876"/>
        <v>#DIV/0!</v>
      </c>
      <c r="BK925" s="276" t="e">
        <f t="shared" si="877"/>
        <v>#DIV/0!</v>
      </c>
      <c r="BL925" s="686" t="e">
        <f t="shared" si="878"/>
        <v>#DIV/0!</v>
      </c>
      <c r="BM925" s="239"/>
      <c r="BN925" s="965" t="e">
        <f t="shared" si="879"/>
        <v>#VALUE!</v>
      </c>
      <c r="BO925" s="878" t="e">
        <f t="shared" si="880"/>
        <v>#VALUE!</v>
      </c>
      <c r="BP925" s="878" t="e">
        <f t="shared" si="881"/>
        <v>#VALUE!</v>
      </c>
      <c r="BQ925" s="878" t="e">
        <f t="shared" si="882"/>
        <v>#VALUE!</v>
      </c>
      <c r="BR925" s="878" t="e">
        <f t="shared" si="883"/>
        <v>#VALUE!</v>
      </c>
      <c r="BS925" s="966" t="e">
        <f t="shared" si="884"/>
        <v>#VALUE!</v>
      </c>
    </row>
    <row r="926" spans="1:71">
      <c r="A926" s="284">
        <f t="shared" si="885"/>
        <v>858</v>
      </c>
      <c r="B926" s="285">
        <v>-0.67476573887431301</v>
      </c>
      <c r="C926" s="285">
        <v>3.1185711856271205</v>
      </c>
      <c r="D926" s="285">
        <v>1.4708291501452486</v>
      </c>
      <c r="E926" s="285">
        <v>18.477090320536139</v>
      </c>
      <c r="H926" s="685">
        <f t="shared" si="831"/>
        <v>-1.8079995806433677</v>
      </c>
      <c r="I926" s="276">
        <f t="shared" si="832"/>
        <v>-2.4435024734373822</v>
      </c>
      <c r="J926" s="276">
        <f t="shared" si="833"/>
        <v>7.4468081634170815</v>
      </c>
      <c r="K926" s="276">
        <f t="shared" si="834"/>
        <v>-0.82535889356342085</v>
      </c>
      <c r="L926" s="276">
        <f t="shared" si="835"/>
        <v>-1.0983780696895056</v>
      </c>
      <c r="M926" s="276">
        <f t="shared" si="836"/>
        <v>-3.0673035470147312</v>
      </c>
      <c r="N926" s="685">
        <f t="shared" si="837"/>
        <v>1.9113999746552521</v>
      </c>
      <c r="O926" s="276">
        <f t="shared" si="838"/>
        <v>1.379337686660169</v>
      </c>
      <c r="P926" s="276">
        <f t="shared" si="839"/>
        <v>2.1693625281964009</v>
      </c>
      <c r="Q926" s="276">
        <f t="shared" si="840"/>
        <v>1.0515950124263964</v>
      </c>
      <c r="R926" s="276">
        <f t="shared" si="841"/>
        <v>1.1109387547254952</v>
      </c>
      <c r="S926" s="686">
        <f t="shared" si="842"/>
        <v>1.2028480638537162</v>
      </c>
      <c r="T926" s="685">
        <f t="shared" si="843"/>
        <v>4.7491928404161747</v>
      </c>
      <c r="U926" s="276">
        <f t="shared" si="844"/>
        <v>4.178249718971621</v>
      </c>
      <c r="V926" s="276">
        <f t="shared" si="845"/>
        <v>4.360517305352956</v>
      </c>
      <c r="W926" s="276">
        <f t="shared" si="846"/>
        <v>3.7567458985952031</v>
      </c>
      <c r="X926" s="276">
        <f t="shared" si="847"/>
        <v>3.8202615290438096</v>
      </c>
      <c r="Y926" s="686">
        <f t="shared" si="848"/>
        <v>5.0783136526353623</v>
      </c>
      <c r="Z926" s="685" t="e">
        <f t="shared" si="849"/>
        <v>#DIV/0!</v>
      </c>
      <c r="AA926" s="276" t="e">
        <f t="shared" si="850"/>
        <v>#DIV/0!</v>
      </c>
      <c r="AB926" s="276" t="e">
        <f t="shared" si="851"/>
        <v>#DIV/0!</v>
      </c>
      <c r="AC926" s="276" t="e">
        <f t="shared" si="852"/>
        <v>#DIV/0!</v>
      </c>
      <c r="AD926" s="276" t="e">
        <f t="shared" si="853"/>
        <v>#DIV/0!</v>
      </c>
      <c r="AE926" s="686" t="e">
        <f t="shared" si="854"/>
        <v>#DIV/0!</v>
      </c>
      <c r="AF926" s="239"/>
      <c r="AG926" s="965" t="e">
        <f t="shared" si="825"/>
        <v>#VALUE!</v>
      </c>
      <c r="AH926" s="878" t="e">
        <f t="shared" si="826"/>
        <v>#VALUE!</v>
      </c>
      <c r="AI926" s="878" t="e">
        <f t="shared" si="827"/>
        <v>#VALUE!</v>
      </c>
      <c r="AJ926" s="878" t="e">
        <f t="shared" si="828"/>
        <v>#VALUE!</v>
      </c>
      <c r="AK926" s="878" t="e">
        <f t="shared" si="829"/>
        <v>#VALUE!</v>
      </c>
      <c r="AL926" s="966" t="e">
        <f t="shared" si="830"/>
        <v>#VALUE!</v>
      </c>
      <c r="AM926" s="239"/>
      <c r="AO926" s="685">
        <f t="shared" si="855"/>
        <v>-1.8079995806433677</v>
      </c>
      <c r="AP926" s="276">
        <f t="shared" si="856"/>
        <v>-2.4435024734373822</v>
      </c>
      <c r="AQ926" s="276">
        <f t="shared" si="857"/>
        <v>7.4468081634170815</v>
      </c>
      <c r="AR926" s="276">
        <f t="shared" si="858"/>
        <v>-0.82535889356342085</v>
      </c>
      <c r="AS926" s="276">
        <f t="shared" si="859"/>
        <v>-1.0983780696895056</v>
      </c>
      <c r="AT926" s="276">
        <f t="shared" si="860"/>
        <v>-3.0673035470147312</v>
      </c>
      <c r="AU926" s="685">
        <f t="shared" si="861"/>
        <v>1.9113999746552521</v>
      </c>
      <c r="AV926" s="276">
        <f t="shared" si="862"/>
        <v>1.379337686660169</v>
      </c>
      <c r="AW926" s="276">
        <f t="shared" si="863"/>
        <v>2.1693625281964009</v>
      </c>
      <c r="AX926" s="276">
        <f t="shared" si="864"/>
        <v>1.0515950124263964</v>
      </c>
      <c r="AY926" s="276">
        <f t="shared" si="865"/>
        <v>1.1109387547254952</v>
      </c>
      <c r="AZ926" s="686">
        <f t="shared" si="866"/>
        <v>1.2028480638537162</v>
      </c>
      <c r="BA926" s="685">
        <f t="shared" si="867"/>
        <v>0</v>
      </c>
      <c r="BB926" s="276">
        <f t="shared" si="868"/>
        <v>0</v>
      </c>
      <c r="BC926" s="276">
        <f t="shared" si="869"/>
        <v>0</v>
      </c>
      <c r="BD926" s="276">
        <f t="shared" si="870"/>
        <v>0</v>
      </c>
      <c r="BE926" s="276">
        <f t="shared" si="871"/>
        <v>0</v>
      </c>
      <c r="BF926" s="686">
        <f t="shared" si="872"/>
        <v>0</v>
      </c>
      <c r="BG926" s="685" t="e">
        <f t="shared" si="873"/>
        <v>#DIV/0!</v>
      </c>
      <c r="BH926" s="276" t="e">
        <f t="shared" si="874"/>
        <v>#DIV/0!</v>
      </c>
      <c r="BI926" s="276" t="e">
        <f t="shared" si="875"/>
        <v>#DIV/0!</v>
      </c>
      <c r="BJ926" s="276" t="e">
        <f t="shared" si="876"/>
        <v>#DIV/0!</v>
      </c>
      <c r="BK926" s="276" t="e">
        <f t="shared" si="877"/>
        <v>#DIV/0!</v>
      </c>
      <c r="BL926" s="686" t="e">
        <f t="shared" si="878"/>
        <v>#DIV/0!</v>
      </c>
      <c r="BM926" s="239"/>
      <c r="BN926" s="965" t="e">
        <f t="shared" si="879"/>
        <v>#VALUE!</v>
      </c>
      <c r="BO926" s="878" t="e">
        <f t="shared" si="880"/>
        <v>#VALUE!</v>
      </c>
      <c r="BP926" s="878" t="e">
        <f t="shared" si="881"/>
        <v>#VALUE!</v>
      </c>
      <c r="BQ926" s="878" t="e">
        <f t="shared" si="882"/>
        <v>#VALUE!</v>
      </c>
      <c r="BR926" s="878" t="e">
        <f t="shared" si="883"/>
        <v>#VALUE!</v>
      </c>
      <c r="BS926" s="966" t="e">
        <f t="shared" si="884"/>
        <v>#VALUE!</v>
      </c>
    </row>
    <row r="927" spans="1:71">
      <c r="A927" s="284">
        <f t="shared" si="885"/>
        <v>859</v>
      </c>
      <c r="B927" s="285">
        <v>-1.9784835125112796</v>
      </c>
      <c r="C927" s="285">
        <v>1.8780716691092663</v>
      </c>
      <c r="D927" s="285">
        <v>3.4363126363115737</v>
      </c>
      <c r="E927" s="285">
        <v>-9.7383853925043855</v>
      </c>
      <c r="H927" s="685">
        <f t="shared" si="831"/>
        <v>-3.1117173542803345</v>
      </c>
      <c r="I927" s="276">
        <f t="shared" si="832"/>
        <v>-4.2468542282366091</v>
      </c>
      <c r="J927" s="276">
        <f t="shared" si="833"/>
        <v>-5.0704266469845916</v>
      </c>
      <c r="K927" s="276">
        <f t="shared" si="834"/>
        <v>-1.4634627905495008</v>
      </c>
      <c r="L927" s="276">
        <f t="shared" si="835"/>
        <v>-0.3305433247158841</v>
      </c>
      <c r="M927" s="276">
        <f t="shared" si="836"/>
        <v>-3.68891267049462</v>
      </c>
      <c r="N927" s="685">
        <f t="shared" si="837"/>
        <v>0.67090045813739785</v>
      </c>
      <c r="O927" s="276">
        <f t="shared" si="838"/>
        <v>1.1756632607177167</v>
      </c>
      <c r="P927" s="276">
        <f t="shared" si="839"/>
        <v>1.1035121765050617</v>
      </c>
      <c r="Q927" s="276">
        <f t="shared" si="840"/>
        <v>1.5007364913526857</v>
      </c>
      <c r="R927" s="276">
        <f t="shared" si="841"/>
        <v>1.5676485262738165</v>
      </c>
      <c r="S927" s="686">
        <f t="shared" si="842"/>
        <v>0.73588603124858798</v>
      </c>
      <c r="T927" s="685">
        <f t="shared" si="843"/>
        <v>6.7146763265824996</v>
      </c>
      <c r="U927" s="276">
        <f t="shared" si="844"/>
        <v>1.8055503885615507</v>
      </c>
      <c r="V927" s="276">
        <f t="shared" si="845"/>
        <v>4.0739781560807273</v>
      </c>
      <c r="W927" s="276">
        <f t="shared" si="846"/>
        <v>1.8984674107928088</v>
      </c>
      <c r="X927" s="276">
        <f t="shared" si="847"/>
        <v>5.8447330668937703</v>
      </c>
      <c r="Y927" s="686">
        <f t="shared" si="848"/>
        <v>4.7111339157258696</v>
      </c>
      <c r="Z927" s="685" t="e">
        <f t="shared" si="849"/>
        <v>#DIV/0!</v>
      </c>
      <c r="AA927" s="276" t="e">
        <f t="shared" si="850"/>
        <v>#DIV/0!</v>
      </c>
      <c r="AB927" s="276" t="e">
        <f t="shared" si="851"/>
        <v>#DIV/0!</v>
      </c>
      <c r="AC927" s="276" t="e">
        <f t="shared" si="852"/>
        <v>#DIV/0!</v>
      </c>
      <c r="AD927" s="276" t="e">
        <f t="shared" si="853"/>
        <v>#DIV/0!</v>
      </c>
      <c r="AE927" s="686" t="e">
        <f t="shared" si="854"/>
        <v>#DIV/0!</v>
      </c>
      <c r="AF927" s="239"/>
      <c r="AG927" s="965" t="e">
        <f t="shared" si="825"/>
        <v>#VALUE!</v>
      </c>
      <c r="AH927" s="878" t="e">
        <f t="shared" si="826"/>
        <v>#VALUE!</v>
      </c>
      <c r="AI927" s="878" t="e">
        <f t="shared" si="827"/>
        <v>#VALUE!</v>
      </c>
      <c r="AJ927" s="878" t="e">
        <f t="shared" si="828"/>
        <v>#VALUE!</v>
      </c>
      <c r="AK927" s="878" t="e">
        <f t="shared" si="829"/>
        <v>#VALUE!</v>
      </c>
      <c r="AL927" s="966" t="e">
        <f t="shared" si="830"/>
        <v>#VALUE!</v>
      </c>
      <c r="AM927" s="239"/>
      <c r="AO927" s="685">
        <f t="shared" si="855"/>
        <v>-3.1117173542803345</v>
      </c>
      <c r="AP927" s="276">
        <f t="shared" si="856"/>
        <v>-4.2468542282366091</v>
      </c>
      <c r="AQ927" s="276">
        <f t="shared" si="857"/>
        <v>-5.0704266469845916</v>
      </c>
      <c r="AR927" s="276">
        <f t="shared" si="858"/>
        <v>-1.4634627905495008</v>
      </c>
      <c r="AS927" s="276">
        <f t="shared" si="859"/>
        <v>-0.3305433247158841</v>
      </c>
      <c r="AT927" s="276">
        <f t="shared" si="860"/>
        <v>-3.68891267049462</v>
      </c>
      <c r="AU927" s="685">
        <f t="shared" si="861"/>
        <v>0.67090045813739785</v>
      </c>
      <c r="AV927" s="276">
        <f t="shared" si="862"/>
        <v>1.1756632607177167</v>
      </c>
      <c r="AW927" s="276">
        <f t="shared" si="863"/>
        <v>1.1035121765050617</v>
      </c>
      <c r="AX927" s="276">
        <f t="shared" si="864"/>
        <v>1.5007364913526857</v>
      </c>
      <c r="AY927" s="276">
        <f t="shared" si="865"/>
        <v>1.5676485262738165</v>
      </c>
      <c r="AZ927" s="686">
        <f t="shared" si="866"/>
        <v>0.73588603124858798</v>
      </c>
      <c r="BA927" s="685">
        <f t="shared" si="867"/>
        <v>0</v>
      </c>
      <c r="BB927" s="276">
        <f t="shared" si="868"/>
        <v>0</v>
      </c>
      <c r="BC927" s="276">
        <f t="shared" si="869"/>
        <v>0</v>
      </c>
      <c r="BD927" s="276">
        <f t="shared" si="870"/>
        <v>0</v>
      </c>
      <c r="BE927" s="276">
        <f t="shared" si="871"/>
        <v>0</v>
      </c>
      <c r="BF927" s="686">
        <f t="shared" si="872"/>
        <v>0</v>
      </c>
      <c r="BG927" s="685" t="e">
        <f t="shared" si="873"/>
        <v>#DIV/0!</v>
      </c>
      <c r="BH927" s="276" t="e">
        <f t="shared" si="874"/>
        <v>#DIV/0!</v>
      </c>
      <c r="BI927" s="276" t="e">
        <f t="shared" si="875"/>
        <v>#DIV/0!</v>
      </c>
      <c r="BJ927" s="276" t="e">
        <f t="shared" si="876"/>
        <v>#DIV/0!</v>
      </c>
      <c r="BK927" s="276" t="e">
        <f t="shared" si="877"/>
        <v>#DIV/0!</v>
      </c>
      <c r="BL927" s="686" t="e">
        <f t="shared" si="878"/>
        <v>#DIV/0!</v>
      </c>
      <c r="BM927" s="239"/>
      <c r="BN927" s="965" t="e">
        <f t="shared" si="879"/>
        <v>#VALUE!</v>
      </c>
      <c r="BO927" s="878" t="e">
        <f t="shared" si="880"/>
        <v>#VALUE!</v>
      </c>
      <c r="BP927" s="878" t="e">
        <f t="shared" si="881"/>
        <v>#VALUE!</v>
      </c>
      <c r="BQ927" s="878" t="e">
        <f t="shared" si="882"/>
        <v>#VALUE!</v>
      </c>
      <c r="BR927" s="878" t="e">
        <f t="shared" si="883"/>
        <v>#VALUE!</v>
      </c>
      <c r="BS927" s="966" t="e">
        <f t="shared" si="884"/>
        <v>#VALUE!</v>
      </c>
    </row>
    <row r="928" spans="1:71">
      <c r="A928" s="284">
        <f t="shared" si="885"/>
        <v>860</v>
      </c>
      <c r="B928" s="285">
        <v>-2.054825442713049</v>
      </c>
      <c r="C928" s="285">
        <v>1.2249927107222669</v>
      </c>
      <c r="D928" s="285">
        <v>0.77594848884588419</v>
      </c>
      <c r="E928" s="285">
        <v>-23.387961809774026</v>
      </c>
      <c r="H928" s="685">
        <f t="shared" si="831"/>
        <v>-3.1880592844821036</v>
      </c>
      <c r="I928" s="276">
        <f t="shared" si="832"/>
        <v>-1.199664600608537</v>
      </c>
      <c r="J928" s="276">
        <f t="shared" si="833"/>
        <v>-2.7243424968927621</v>
      </c>
      <c r="K928" s="276">
        <f t="shared" si="834"/>
        <v>-6.4829155740460394</v>
      </c>
      <c r="L928" s="276">
        <f t="shared" si="835"/>
        <v>0.36113476154634205</v>
      </c>
      <c r="M928" s="276">
        <f t="shared" si="836"/>
        <v>-0.58762455328365459</v>
      </c>
      <c r="N928" s="685">
        <f t="shared" si="837"/>
        <v>1.7821499750398484E-2</v>
      </c>
      <c r="O928" s="276">
        <f t="shared" si="838"/>
        <v>0.83363029475834938</v>
      </c>
      <c r="P928" s="276">
        <f t="shared" si="839"/>
        <v>1.6871122043502227</v>
      </c>
      <c r="Q928" s="276">
        <f t="shared" si="840"/>
        <v>0.85234771953755684</v>
      </c>
      <c r="R928" s="276">
        <f t="shared" si="841"/>
        <v>1.9346423021556551</v>
      </c>
      <c r="S928" s="686">
        <f t="shared" si="842"/>
        <v>1.6836791679211063</v>
      </c>
      <c r="T928" s="685">
        <f t="shared" si="843"/>
        <v>4.0543121791168097</v>
      </c>
      <c r="U928" s="276">
        <f t="shared" si="844"/>
        <v>2.8140444619562373</v>
      </c>
      <c r="V928" s="276">
        <f t="shared" si="845"/>
        <v>3.2527788826397455</v>
      </c>
      <c r="W928" s="276">
        <f t="shared" si="846"/>
        <v>3.7121089437135115</v>
      </c>
      <c r="X928" s="276">
        <f t="shared" si="847"/>
        <v>4.8713237474189253</v>
      </c>
      <c r="Y928" s="686">
        <f t="shared" si="848"/>
        <v>4.7155039500775313</v>
      </c>
      <c r="Z928" s="685" t="e">
        <f t="shared" si="849"/>
        <v>#DIV/0!</v>
      </c>
      <c r="AA928" s="276" t="e">
        <f t="shared" si="850"/>
        <v>#DIV/0!</v>
      </c>
      <c r="AB928" s="276" t="e">
        <f t="shared" si="851"/>
        <v>#DIV/0!</v>
      </c>
      <c r="AC928" s="276" t="e">
        <f t="shared" si="852"/>
        <v>#DIV/0!</v>
      </c>
      <c r="AD928" s="276" t="e">
        <f t="shared" si="853"/>
        <v>#DIV/0!</v>
      </c>
      <c r="AE928" s="686" t="e">
        <f t="shared" si="854"/>
        <v>#DIV/0!</v>
      </c>
      <c r="AF928" s="239"/>
      <c r="AG928" s="965" t="e">
        <f t="shared" si="825"/>
        <v>#VALUE!</v>
      </c>
      <c r="AH928" s="878" t="e">
        <f t="shared" si="826"/>
        <v>#VALUE!</v>
      </c>
      <c r="AI928" s="878" t="e">
        <f t="shared" si="827"/>
        <v>#VALUE!</v>
      </c>
      <c r="AJ928" s="878" t="e">
        <f t="shared" si="828"/>
        <v>#VALUE!</v>
      </c>
      <c r="AK928" s="878" t="e">
        <f t="shared" si="829"/>
        <v>#VALUE!</v>
      </c>
      <c r="AL928" s="966" t="e">
        <f t="shared" si="830"/>
        <v>#VALUE!</v>
      </c>
      <c r="AM928" s="239"/>
      <c r="AO928" s="685">
        <f t="shared" si="855"/>
        <v>-3.1880592844821036</v>
      </c>
      <c r="AP928" s="276">
        <f t="shared" si="856"/>
        <v>-1.199664600608537</v>
      </c>
      <c r="AQ928" s="276">
        <f t="shared" si="857"/>
        <v>-2.7243424968927621</v>
      </c>
      <c r="AR928" s="276">
        <f t="shared" si="858"/>
        <v>-6.4829155740460394</v>
      </c>
      <c r="AS928" s="276">
        <f t="shared" si="859"/>
        <v>0.36113476154634205</v>
      </c>
      <c r="AT928" s="276">
        <f t="shared" si="860"/>
        <v>-0.58762455328365459</v>
      </c>
      <c r="AU928" s="685">
        <f t="shared" si="861"/>
        <v>1.7821499750398484E-2</v>
      </c>
      <c r="AV928" s="276">
        <f t="shared" si="862"/>
        <v>0.83363029475834938</v>
      </c>
      <c r="AW928" s="276">
        <f t="shared" si="863"/>
        <v>1.6871122043502227</v>
      </c>
      <c r="AX928" s="276">
        <f t="shared" si="864"/>
        <v>0.85234771953755684</v>
      </c>
      <c r="AY928" s="276">
        <f t="shared" si="865"/>
        <v>1.9346423021556551</v>
      </c>
      <c r="AZ928" s="686">
        <f t="shared" si="866"/>
        <v>1.6836791679211063</v>
      </c>
      <c r="BA928" s="685">
        <f t="shared" si="867"/>
        <v>0</v>
      </c>
      <c r="BB928" s="276">
        <f t="shared" si="868"/>
        <v>0</v>
      </c>
      <c r="BC928" s="276">
        <f t="shared" si="869"/>
        <v>0</v>
      </c>
      <c r="BD928" s="276">
        <f t="shared" si="870"/>
        <v>0</v>
      </c>
      <c r="BE928" s="276">
        <f t="shared" si="871"/>
        <v>0</v>
      </c>
      <c r="BF928" s="686">
        <f t="shared" si="872"/>
        <v>0</v>
      </c>
      <c r="BG928" s="685" t="e">
        <f t="shared" si="873"/>
        <v>#DIV/0!</v>
      </c>
      <c r="BH928" s="276" t="e">
        <f t="shared" si="874"/>
        <v>#DIV/0!</v>
      </c>
      <c r="BI928" s="276" t="e">
        <f t="shared" si="875"/>
        <v>#DIV/0!</v>
      </c>
      <c r="BJ928" s="276" t="e">
        <f t="shared" si="876"/>
        <v>#DIV/0!</v>
      </c>
      <c r="BK928" s="276" t="e">
        <f t="shared" si="877"/>
        <v>#DIV/0!</v>
      </c>
      <c r="BL928" s="686" t="e">
        <f t="shared" si="878"/>
        <v>#DIV/0!</v>
      </c>
      <c r="BM928" s="239"/>
      <c r="BN928" s="965" t="e">
        <f t="shared" si="879"/>
        <v>#VALUE!</v>
      </c>
      <c r="BO928" s="878" t="e">
        <f t="shared" si="880"/>
        <v>#VALUE!</v>
      </c>
      <c r="BP928" s="878" t="e">
        <f t="shared" si="881"/>
        <v>#VALUE!</v>
      </c>
      <c r="BQ928" s="878" t="e">
        <f t="shared" si="882"/>
        <v>#VALUE!</v>
      </c>
      <c r="BR928" s="878" t="e">
        <f t="shared" si="883"/>
        <v>#VALUE!</v>
      </c>
      <c r="BS928" s="966" t="e">
        <f t="shared" si="884"/>
        <v>#VALUE!</v>
      </c>
    </row>
    <row r="929" spans="1:71">
      <c r="A929" s="284">
        <f t="shared" si="885"/>
        <v>861</v>
      </c>
      <c r="B929" s="285">
        <v>2.7629280798693485</v>
      </c>
      <c r="C929" s="285">
        <v>3.2237931010081748</v>
      </c>
      <c r="D929" s="285">
        <v>3.1151404728116749</v>
      </c>
      <c r="E929" s="285">
        <v>6.2314836594826524</v>
      </c>
      <c r="H929" s="685">
        <f t="shared" si="831"/>
        <v>1.6296942381002937</v>
      </c>
      <c r="I929" s="276">
        <f t="shared" si="832"/>
        <v>-0.14553162769890993</v>
      </c>
      <c r="J929" s="276">
        <f t="shared" si="833"/>
        <v>-3.0108369325161193</v>
      </c>
      <c r="K929" s="276">
        <f t="shared" si="834"/>
        <v>-2.4305445231158949</v>
      </c>
      <c r="L929" s="276">
        <f t="shared" si="835"/>
        <v>-1.1627359910700887</v>
      </c>
      <c r="M929" s="276">
        <f t="shared" si="836"/>
        <v>-0.30957981286571068</v>
      </c>
      <c r="N929" s="685">
        <f t="shared" si="837"/>
        <v>2.0166218900363067</v>
      </c>
      <c r="O929" s="276">
        <f t="shared" si="838"/>
        <v>1.9836329753578952</v>
      </c>
      <c r="P929" s="276">
        <f t="shared" si="839"/>
        <v>1.428727658501338</v>
      </c>
      <c r="Q929" s="276">
        <f t="shared" si="840"/>
        <v>0.63437478852203144</v>
      </c>
      <c r="R929" s="276">
        <f t="shared" si="841"/>
        <v>0.99220272378519447</v>
      </c>
      <c r="S929" s="686">
        <f t="shared" si="842"/>
        <v>1.0357361429256036</v>
      </c>
      <c r="T929" s="685">
        <f t="shared" si="843"/>
        <v>6.3935041630826008</v>
      </c>
      <c r="U929" s="276">
        <f t="shared" si="844"/>
        <v>5.7475283814025886</v>
      </c>
      <c r="V929" s="276">
        <f t="shared" si="845"/>
        <v>7.6384670726357271</v>
      </c>
      <c r="W929" s="276">
        <f t="shared" si="846"/>
        <v>5.1729728392370005</v>
      </c>
      <c r="X929" s="276">
        <f t="shared" si="847"/>
        <v>5.627689333511448</v>
      </c>
      <c r="Y929" s="686">
        <f t="shared" si="848"/>
        <v>5.0079740706036029</v>
      </c>
      <c r="Z929" s="685" t="e">
        <f t="shared" si="849"/>
        <v>#DIV/0!</v>
      </c>
      <c r="AA929" s="276" t="e">
        <f t="shared" si="850"/>
        <v>#DIV/0!</v>
      </c>
      <c r="AB929" s="276" t="e">
        <f t="shared" si="851"/>
        <v>#DIV/0!</v>
      </c>
      <c r="AC929" s="276" t="e">
        <f t="shared" si="852"/>
        <v>#DIV/0!</v>
      </c>
      <c r="AD929" s="276" t="e">
        <f t="shared" si="853"/>
        <v>#DIV/0!</v>
      </c>
      <c r="AE929" s="686" t="e">
        <f t="shared" si="854"/>
        <v>#DIV/0!</v>
      </c>
      <c r="AF929" s="239"/>
      <c r="AG929" s="965" t="e">
        <f t="shared" si="825"/>
        <v>#VALUE!</v>
      </c>
      <c r="AH929" s="878" t="e">
        <f t="shared" si="826"/>
        <v>#VALUE!</v>
      </c>
      <c r="AI929" s="878" t="e">
        <f t="shared" si="827"/>
        <v>#VALUE!</v>
      </c>
      <c r="AJ929" s="878" t="e">
        <f t="shared" si="828"/>
        <v>#VALUE!</v>
      </c>
      <c r="AK929" s="878" t="e">
        <f t="shared" si="829"/>
        <v>#VALUE!</v>
      </c>
      <c r="AL929" s="966" t="e">
        <f t="shared" si="830"/>
        <v>#VALUE!</v>
      </c>
      <c r="AM929" s="239"/>
      <c r="AO929" s="685">
        <f t="shared" si="855"/>
        <v>1.6296942381002937</v>
      </c>
      <c r="AP929" s="276">
        <f t="shared" si="856"/>
        <v>-0.14553162769890993</v>
      </c>
      <c r="AQ929" s="276">
        <f t="shared" si="857"/>
        <v>-3.0108369325161193</v>
      </c>
      <c r="AR929" s="276">
        <f t="shared" si="858"/>
        <v>-2.4305445231158949</v>
      </c>
      <c r="AS929" s="276">
        <f t="shared" si="859"/>
        <v>-1.1627359910700887</v>
      </c>
      <c r="AT929" s="276">
        <f t="shared" si="860"/>
        <v>-0.30957981286571068</v>
      </c>
      <c r="AU929" s="685">
        <f t="shared" si="861"/>
        <v>2.0166218900363067</v>
      </c>
      <c r="AV929" s="276">
        <f t="shared" si="862"/>
        <v>1.9836329753578952</v>
      </c>
      <c r="AW929" s="276">
        <f t="shared" si="863"/>
        <v>1.428727658501338</v>
      </c>
      <c r="AX929" s="276">
        <f t="shared" si="864"/>
        <v>0.63437478852203144</v>
      </c>
      <c r="AY929" s="276">
        <f t="shared" si="865"/>
        <v>0.99220272378519447</v>
      </c>
      <c r="AZ929" s="686">
        <f t="shared" si="866"/>
        <v>1.0357361429256036</v>
      </c>
      <c r="BA929" s="685">
        <f t="shared" si="867"/>
        <v>0</v>
      </c>
      <c r="BB929" s="276">
        <f t="shared" si="868"/>
        <v>0</v>
      </c>
      <c r="BC929" s="276">
        <f t="shared" si="869"/>
        <v>0</v>
      </c>
      <c r="BD929" s="276">
        <f t="shared" si="870"/>
        <v>0</v>
      </c>
      <c r="BE929" s="276">
        <f t="shared" si="871"/>
        <v>0</v>
      </c>
      <c r="BF929" s="686">
        <f t="shared" si="872"/>
        <v>0</v>
      </c>
      <c r="BG929" s="685" t="e">
        <f t="shared" si="873"/>
        <v>#DIV/0!</v>
      </c>
      <c r="BH929" s="276" t="e">
        <f t="shared" si="874"/>
        <v>#DIV/0!</v>
      </c>
      <c r="BI929" s="276" t="e">
        <f t="shared" si="875"/>
        <v>#DIV/0!</v>
      </c>
      <c r="BJ929" s="276" t="e">
        <f t="shared" si="876"/>
        <v>#DIV/0!</v>
      </c>
      <c r="BK929" s="276" t="e">
        <f t="shared" si="877"/>
        <v>#DIV/0!</v>
      </c>
      <c r="BL929" s="686" t="e">
        <f t="shared" si="878"/>
        <v>#DIV/0!</v>
      </c>
      <c r="BM929" s="239"/>
      <c r="BN929" s="965" t="e">
        <f t="shared" si="879"/>
        <v>#VALUE!</v>
      </c>
      <c r="BO929" s="878" t="e">
        <f t="shared" si="880"/>
        <v>#VALUE!</v>
      </c>
      <c r="BP929" s="878" t="e">
        <f t="shared" si="881"/>
        <v>#VALUE!</v>
      </c>
      <c r="BQ929" s="878" t="e">
        <f t="shared" si="882"/>
        <v>#VALUE!</v>
      </c>
      <c r="BR929" s="878" t="e">
        <f t="shared" si="883"/>
        <v>#VALUE!</v>
      </c>
      <c r="BS929" s="966" t="e">
        <f t="shared" si="884"/>
        <v>#VALUE!</v>
      </c>
    </row>
    <row r="930" spans="1:71">
      <c r="A930" s="284">
        <f t="shared" si="885"/>
        <v>862</v>
      </c>
      <c r="B930" s="285">
        <v>4.0453773096166469E-2</v>
      </c>
      <c r="C930" s="285">
        <v>2.5831019577830068</v>
      </c>
      <c r="D930" s="285">
        <v>0.4416383530384933</v>
      </c>
      <c r="E930" s="285">
        <v>-15.591222054576216</v>
      </c>
      <c r="H930" s="685">
        <f t="shared" si="831"/>
        <v>-1.0927800686728883</v>
      </c>
      <c r="I930" s="276">
        <f t="shared" si="832"/>
        <v>-3.4508342184801908</v>
      </c>
      <c r="J930" s="276">
        <f t="shared" si="833"/>
        <v>-1.0766488995578261</v>
      </c>
      <c r="K930" s="276">
        <f t="shared" si="834"/>
        <v>-2.8688929341787963</v>
      </c>
      <c r="L930" s="276">
        <f t="shared" si="835"/>
        <v>-0.83795880604962569</v>
      </c>
      <c r="M930" s="276">
        <f t="shared" si="836"/>
        <v>2.3532328727857399</v>
      </c>
      <c r="N930" s="685">
        <f t="shared" si="837"/>
        <v>1.3759307468111384</v>
      </c>
      <c r="O930" s="276">
        <f t="shared" si="838"/>
        <v>1.4556705506573884</v>
      </c>
      <c r="P930" s="276">
        <f t="shared" si="839"/>
        <v>1.5116144332074695</v>
      </c>
      <c r="Q930" s="276">
        <f t="shared" si="840"/>
        <v>2.3974686002672119</v>
      </c>
      <c r="R930" s="276">
        <f t="shared" si="841"/>
        <v>0.79558323626226257</v>
      </c>
      <c r="S930" s="686">
        <f t="shared" si="842"/>
        <v>2.0774550432080119</v>
      </c>
      <c r="T930" s="685">
        <f t="shared" si="843"/>
        <v>3.7200020433094192</v>
      </c>
      <c r="U930" s="276">
        <f t="shared" si="844"/>
        <v>5.0527906232682769</v>
      </c>
      <c r="V930" s="276">
        <f t="shared" si="845"/>
        <v>6.5014009401696091</v>
      </c>
      <c r="W930" s="276">
        <f t="shared" si="846"/>
        <v>3.3498571274863975</v>
      </c>
      <c r="X930" s="276">
        <f t="shared" si="847"/>
        <v>4.8877284903165208</v>
      </c>
      <c r="Y930" s="686">
        <f t="shared" si="848"/>
        <v>4.0060306111736503</v>
      </c>
      <c r="Z930" s="685" t="e">
        <f t="shared" si="849"/>
        <v>#DIV/0!</v>
      </c>
      <c r="AA930" s="276" t="e">
        <f t="shared" si="850"/>
        <v>#DIV/0!</v>
      </c>
      <c r="AB930" s="276" t="e">
        <f t="shared" si="851"/>
        <v>#DIV/0!</v>
      </c>
      <c r="AC930" s="276" t="e">
        <f t="shared" si="852"/>
        <v>#DIV/0!</v>
      </c>
      <c r="AD930" s="276" t="e">
        <f t="shared" si="853"/>
        <v>#DIV/0!</v>
      </c>
      <c r="AE930" s="686" t="e">
        <f t="shared" si="854"/>
        <v>#DIV/0!</v>
      </c>
      <c r="AF930" s="239"/>
      <c r="AG930" s="965" t="e">
        <f t="shared" si="825"/>
        <v>#VALUE!</v>
      </c>
      <c r="AH930" s="878" t="e">
        <f t="shared" si="826"/>
        <v>#VALUE!</v>
      </c>
      <c r="AI930" s="878" t="e">
        <f t="shared" si="827"/>
        <v>#VALUE!</v>
      </c>
      <c r="AJ930" s="878" t="e">
        <f t="shared" si="828"/>
        <v>#VALUE!</v>
      </c>
      <c r="AK930" s="878" t="e">
        <f t="shared" si="829"/>
        <v>#VALUE!</v>
      </c>
      <c r="AL930" s="966" t="e">
        <f t="shared" si="830"/>
        <v>#VALUE!</v>
      </c>
      <c r="AM930" s="239"/>
      <c r="AO930" s="685">
        <f t="shared" si="855"/>
        <v>-1.0927800686728883</v>
      </c>
      <c r="AP930" s="276">
        <f t="shared" si="856"/>
        <v>-3.4508342184801908</v>
      </c>
      <c r="AQ930" s="276">
        <f t="shared" si="857"/>
        <v>-1.0766488995578261</v>
      </c>
      <c r="AR930" s="276">
        <f t="shared" si="858"/>
        <v>-2.8688929341787963</v>
      </c>
      <c r="AS930" s="276">
        <f t="shared" si="859"/>
        <v>-0.83795880604962569</v>
      </c>
      <c r="AT930" s="276">
        <f t="shared" si="860"/>
        <v>2.3532328727857399</v>
      </c>
      <c r="AU930" s="685">
        <f t="shared" si="861"/>
        <v>1.3759307468111384</v>
      </c>
      <c r="AV930" s="276">
        <f t="shared" si="862"/>
        <v>1.4556705506573884</v>
      </c>
      <c r="AW930" s="276">
        <f t="shared" si="863"/>
        <v>1.5116144332074695</v>
      </c>
      <c r="AX930" s="276">
        <f t="shared" si="864"/>
        <v>2.3974686002672119</v>
      </c>
      <c r="AY930" s="276">
        <f t="shared" si="865"/>
        <v>0.79558323626226257</v>
      </c>
      <c r="AZ930" s="686">
        <f t="shared" si="866"/>
        <v>2.0774550432080119</v>
      </c>
      <c r="BA930" s="685">
        <f t="shared" si="867"/>
        <v>0</v>
      </c>
      <c r="BB930" s="276">
        <f t="shared" si="868"/>
        <v>0</v>
      </c>
      <c r="BC930" s="276">
        <f t="shared" si="869"/>
        <v>0</v>
      </c>
      <c r="BD930" s="276">
        <f t="shared" si="870"/>
        <v>0</v>
      </c>
      <c r="BE930" s="276">
        <f t="shared" si="871"/>
        <v>0</v>
      </c>
      <c r="BF930" s="686">
        <f t="shared" si="872"/>
        <v>0</v>
      </c>
      <c r="BG930" s="685" t="e">
        <f t="shared" si="873"/>
        <v>#DIV/0!</v>
      </c>
      <c r="BH930" s="276" t="e">
        <f t="shared" si="874"/>
        <v>#DIV/0!</v>
      </c>
      <c r="BI930" s="276" t="e">
        <f t="shared" si="875"/>
        <v>#DIV/0!</v>
      </c>
      <c r="BJ930" s="276" t="e">
        <f t="shared" si="876"/>
        <v>#DIV/0!</v>
      </c>
      <c r="BK930" s="276" t="e">
        <f t="shared" si="877"/>
        <v>#DIV/0!</v>
      </c>
      <c r="BL930" s="686" t="e">
        <f t="shared" si="878"/>
        <v>#DIV/0!</v>
      </c>
      <c r="BM930" s="239"/>
      <c r="BN930" s="965" t="e">
        <f t="shared" si="879"/>
        <v>#VALUE!</v>
      </c>
      <c r="BO930" s="878" t="e">
        <f t="shared" si="880"/>
        <v>#VALUE!</v>
      </c>
      <c r="BP930" s="878" t="e">
        <f t="shared" si="881"/>
        <v>#VALUE!</v>
      </c>
      <c r="BQ930" s="878" t="e">
        <f t="shared" si="882"/>
        <v>#VALUE!</v>
      </c>
      <c r="BR930" s="878" t="e">
        <f t="shared" si="883"/>
        <v>#VALUE!</v>
      </c>
      <c r="BS930" s="966" t="e">
        <f t="shared" si="884"/>
        <v>#VALUE!</v>
      </c>
    </row>
    <row r="931" spans="1:71">
      <c r="A931" s="284">
        <f t="shared" si="885"/>
        <v>863</v>
      </c>
      <c r="B931" s="285">
        <v>-0.26905389784327444</v>
      </c>
      <c r="C931" s="285">
        <v>2.3044062460526589</v>
      </c>
      <c r="D931" s="285">
        <v>0.77951846452942986</v>
      </c>
      <c r="E931" s="285">
        <v>-10.470287049691722</v>
      </c>
      <c r="H931" s="685">
        <f t="shared" si="831"/>
        <v>-1.4022877396123292</v>
      </c>
      <c r="I931" s="276">
        <f t="shared" si="832"/>
        <v>-3.9929144224592887</v>
      </c>
      <c r="J931" s="276">
        <f t="shared" si="833"/>
        <v>-3.555346715520896</v>
      </c>
      <c r="K931" s="276">
        <f t="shared" si="834"/>
        <v>-0.70584941005634605</v>
      </c>
      <c r="L931" s="276">
        <f t="shared" si="835"/>
        <v>-1.8522054310624922</v>
      </c>
      <c r="M931" s="276">
        <f t="shared" si="836"/>
        <v>0.55812168735452694</v>
      </c>
      <c r="N931" s="685">
        <f t="shared" si="837"/>
        <v>1.0972350350807905</v>
      </c>
      <c r="O931" s="276">
        <f t="shared" si="838"/>
        <v>0.51007758998698272</v>
      </c>
      <c r="P931" s="276">
        <f t="shared" si="839"/>
        <v>0.83706422293890737</v>
      </c>
      <c r="Q931" s="276">
        <f t="shared" si="840"/>
        <v>2.0736581994185075</v>
      </c>
      <c r="R931" s="276">
        <f t="shared" si="841"/>
        <v>1.0715648908196862</v>
      </c>
      <c r="S931" s="686">
        <f t="shared" si="842"/>
        <v>1.2963878884307192</v>
      </c>
      <c r="T931" s="685">
        <f t="shared" si="843"/>
        <v>4.0578821548003559</v>
      </c>
      <c r="U931" s="276">
        <f t="shared" si="844"/>
        <v>3.6021125740484328</v>
      </c>
      <c r="V931" s="276">
        <f t="shared" si="845"/>
        <v>4.5648010276174649</v>
      </c>
      <c r="W931" s="276">
        <f t="shared" si="846"/>
        <v>3.5705664637757275</v>
      </c>
      <c r="X931" s="276">
        <f t="shared" si="847"/>
        <v>6.3312543765059459</v>
      </c>
      <c r="Y931" s="686">
        <f t="shared" si="848"/>
        <v>5.4060774710581061</v>
      </c>
      <c r="Z931" s="685" t="e">
        <f t="shared" si="849"/>
        <v>#DIV/0!</v>
      </c>
      <c r="AA931" s="276" t="e">
        <f t="shared" si="850"/>
        <v>#DIV/0!</v>
      </c>
      <c r="AB931" s="276" t="e">
        <f t="shared" si="851"/>
        <v>#DIV/0!</v>
      </c>
      <c r="AC931" s="276" t="e">
        <f t="shared" si="852"/>
        <v>#DIV/0!</v>
      </c>
      <c r="AD931" s="276" t="e">
        <f t="shared" si="853"/>
        <v>#DIV/0!</v>
      </c>
      <c r="AE931" s="686" t="e">
        <f t="shared" si="854"/>
        <v>#DIV/0!</v>
      </c>
      <c r="AF931" s="239"/>
      <c r="AG931" s="965" t="e">
        <f t="shared" si="825"/>
        <v>#VALUE!</v>
      </c>
      <c r="AH931" s="878" t="e">
        <f t="shared" si="826"/>
        <v>#VALUE!</v>
      </c>
      <c r="AI931" s="878" t="e">
        <f t="shared" si="827"/>
        <v>#VALUE!</v>
      </c>
      <c r="AJ931" s="878" t="e">
        <f t="shared" si="828"/>
        <v>#VALUE!</v>
      </c>
      <c r="AK931" s="878" t="e">
        <f t="shared" si="829"/>
        <v>#VALUE!</v>
      </c>
      <c r="AL931" s="966" t="e">
        <f t="shared" si="830"/>
        <v>#VALUE!</v>
      </c>
      <c r="AM931" s="239"/>
      <c r="AO931" s="685">
        <f t="shared" si="855"/>
        <v>-1.4022877396123292</v>
      </c>
      <c r="AP931" s="276">
        <f t="shared" si="856"/>
        <v>-3.9929144224592887</v>
      </c>
      <c r="AQ931" s="276">
        <f t="shared" si="857"/>
        <v>-3.555346715520896</v>
      </c>
      <c r="AR931" s="276">
        <f t="shared" si="858"/>
        <v>-0.70584941005634605</v>
      </c>
      <c r="AS931" s="276">
        <f t="shared" si="859"/>
        <v>-1.8522054310624922</v>
      </c>
      <c r="AT931" s="276">
        <f t="shared" si="860"/>
        <v>0.55812168735452694</v>
      </c>
      <c r="AU931" s="685">
        <f t="shared" si="861"/>
        <v>1.0972350350807905</v>
      </c>
      <c r="AV931" s="276">
        <f t="shared" si="862"/>
        <v>0.51007758998698272</v>
      </c>
      <c r="AW931" s="276">
        <f t="shared" si="863"/>
        <v>0.83706422293890737</v>
      </c>
      <c r="AX931" s="276">
        <f t="shared" si="864"/>
        <v>2.0736581994185075</v>
      </c>
      <c r="AY931" s="276">
        <f t="shared" si="865"/>
        <v>1.0715648908196862</v>
      </c>
      <c r="AZ931" s="686">
        <f t="shared" si="866"/>
        <v>1.2963878884307192</v>
      </c>
      <c r="BA931" s="685">
        <f t="shared" si="867"/>
        <v>0</v>
      </c>
      <c r="BB931" s="276">
        <f t="shared" si="868"/>
        <v>0</v>
      </c>
      <c r="BC931" s="276">
        <f t="shared" si="869"/>
        <v>0</v>
      </c>
      <c r="BD931" s="276">
        <f t="shared" si="870"/>
        <v>0</v>
      </c>
      <c r="BE931" s="276">
        <f t="shared" si="871"/>
        <v>0</v>
      </c>
      <c r="BF931" s="686">
        <f t="shared" si="872"/>
        <v>0</v>
      </c>
      <c r="BG931" s="685" t="e">
        <f t="shared" si="873"/>
        <v>#DIV/0!</v>
      </c>
      <c r="BH931" s="276" t="e">
        <f t="shared" si="874"/>
        <v>#DIV/0!</v>
      </c>
      <c r="BI931" s="276" t="e">
        <f t="shared" si="875"/>
        <v>#DIV/0!</v>
      </c>
      <c r="BJ931" s="276" t="e">
        <f t="shared" si="876"/>
        <v>#DIV/0!</v>
      </c>
      <c r="BK931" s="276" t="e">
        <f t="shared" si="877"/>
        <v>#DIV/0!</v>
      </c>
      <c r="BL931" s="686" t="e">
        <f t="shared" si="878"/>
        <v>#DIV/0!</v>
      </c>
      <c r="BM931" s="239"/>
      <c r="BN931" s="965" t="e">
        <f t="shared" si="879"/>
        <v>#VALUE!</v>
      </c>
      <c r="BO931" s="878" t="e">
        <f t="shared" si="880"/>
        <v>#VALUE!</v>
      </c>
      <c r="BP931" s="878" t="e">
        <f t="shared" si="881"/>
        <v>#VALUE!</v>
      </c>
      <c r="BQ931" s="878" t="e">
        <f t="shared" si="882"/>
        <v>#VALUE!</v>
      </c>
      <c r="BR931" s="878" t="e">
        <f t="shared" si="883"/>
        <v>#VALUE!</v>
      </c>
      <c r="BS931" s="966" t="e">
        <f t="shared" si="884"/>
        <v>#VALUE!</v>
      </c>
    </row>
    <row r="932" spans="1:71">
      <c r="A932" s="284">
        <f t="shared" si="885"/>
        <v>864</v>
      </c>
      <c r="B932" s="285">
        <v>-1.1225542023346384</v>
      </c>
      <c r="C932" s="285">
        <v>2.4837301220273158</v>
      </c>
      <c r="D932" s="285">
        <v>2.2622303069149603</v>
      </c>
      <c r="E932" s="285">
        <v>4.0441950360142886</v>
      </c>
      <c r="H932" s="685">
        <f t="shared" si="831"/>
        <v>-2.255788044103693</v>
      </c>
      <c r="I932" s="276">
        <f t="shared" si="832"/>
        <v>-2.8369220085968174</v>
      </c>
      <c r="J932" s="276">
        <f t="shared" si="833"/>
        <v>1.8309411799172588</v>
      </c>
      <c r="K932" s="276">
        <f t="shared" si="834"/>
        <v>2.4432218184989125</v>
      </c>
      <c r="L932" s="276">
        <f t="shared" si="835"/>
        <v>-3.9383893155541676</v>
      </c>
      <c r="M932" s="276">
        <f t="shared" si="836"/>
        <v>0.19767245686803636</v>
      </c>
      <c r="N932" s="685">
        <f t="shared" si="837"/>
        <v>1.2765589110554474</v>
      </c>
      <c r="O932" s="276">
        <f t="shared" si="838"/>
        <v>0.57509488872512327</v>
      </c>
      <c r="P932" s="276">
        <f t="shared" si="839"/>
        <v>1.8574139107006371</v>
      </c>
      <c r="Q932" s="276">
        <f t="shared" si="840"/>
        <v>1.1396881136004426</v>
      </c>
      <c r="R932" s="276">
        <f t="shared" si="841"/>
        <v>1.631254725064861</v>
      </c>
      <c r="S932" s="686">
        <f t="shared" si="842"/>
        <v>1.2681003726987494</v>
      </c>
      <c r="T932" s="685">
        <f t="shared" si="843"/>
        <v>5.5405939971858862</v>
      </c>
      <c r="U932" s="276">
        <f t="shared" si="844"/>
        <v>3.8990382144279749</v>
      </c>
      <c r="V932" s="276">
        <f t="shared" si="845"/>
        <v>3.7978932140832424</v>
      </c>
      <c r="W932" s="276">
        <f t="shared" si="846"/>
        <v>5.3616859576796312</v>
      </c>
      <c r="X932" s="276">
        <f t="shared" si="847"/>
        <v>4.882604646509602</v>
      </c>
      <c r="Y932" s="686">
        <f t="shared" si="848"/>
        <v>5.5640816554642019</v>
      </c>
      <c r="Z932" s="685" t="e">
        <f t="shared" si="849"/>
        <v>#DIV/0!</v>
      </c>
      <c r="AA932" s="276" t="e">
        <f t="shared" si="850"/>
        <v>#DIV/0!</v>
      </c>
      <c r="AB932" s="276" t="e">
        <f t="shared" si="851"/>
        <v>#DIV/0!</v>
      </c>
      <c r="AC932" s="276" t="e">
        <f t="shared" si="852"/>
        <v>#DIV/0!</v>
      </c>
      <c r="AD932" s="276" t="e">
        <f t="shared" si="853"/>
        <v>#DIV/0!</v>
      </c>
      <c r="AE932" s="686" t="e">
        <f t="shared" si="854"/>
        <v>#DIV/0!</v>
      </c>
      <c r="AF932" s="239"/>
      <c r="AG932" s="965" t="e">
        <f t="shared" si="825"/>
        <v>#VALUE!</v>
      </c>
      <c r="AH932" s="878" t="e">
        <f t="shared" si="826"/>
        <v>#VALUE!</v>
      </c>
      <c r="AI932" s="878" t="e">
        <f t="shared" si="827"/>
        <v>#VALUE!</v>
      </c>
      <c r="AJ932" s="878" t="e">
        <f t="shared" si="828"/>
        <v>#VALUE!</v>
      </c>
      <c r="AK932" s="878" t="e">
        <f t="shared" si="829"/>
        <v>#VALUE!</v>
      </c>
      <c r="AL932" s="966" t="e">
        <f t="shared" si="830"/>
        <v>#VALUE!</v>
      </c>
      <c r="AM932" s="239"/>
      <c r="AO932" s="685">
        <f t="shared" si="855"/>
        <v>-2.255788044103693</v>
      </c>
      <c r="AP932" s="276">
        <f t="shared" si="856"/>
        <v>-2.8369220085968174</v>
      </c>
      <c r="AQ932" s="276">
        <f t="shared" si="857"/>
        <v>1.8309411799172588</v>
      </c>
      <c r="AR932" s="276">
        <f t="shared" si="858"/>
        <v>2.4432218184989125</v>
      </c>
      <c r="AS932" s="276">
        <f t="shared" si="859"/>
        <v>-3.9383893155541676</v>
      </c>
      <c r="AT932" s="276">
        <f t="shared" si="860"/>
        <v>0.19767245686803636</v>
      </c>
      <c r="AU932" s="685">
        <f t="shared" si="861"/>
        <v>1.2765589110554474</v>
      </c>
      <c r="AV932" s="276">
        <f t="shared" si="862"/>
        <v>0.57509488872512327</v>
      </c>
      <c r="AW932" s="276">
        <f t="shared" si="863"/>
        <v>1.8574139107006371</v>
      </c>
      <c r="AX932" s="276">
        <f t="shared" si="864"/>
        <v>1.1396881136004426</v>
      </c>
      <c r="AY932" s="276">
        <f t="shared" si="865"/>
        <v>1.631254725064861</v>
      </c>
      <c r="AZ932" s="686">
        <f t="shared" si="866"/>
        <v>1.2681003726987494</v>
      </c>
      <c r="BA932" s="685">
        <f t="shared" si="867"/>
        <v>0</v>
      </c>
      <c r="BB932" s="276">
        <f t="shared" si="868"/>
        <v>0</v>
      </c>
      <c r="BC932" s="276">
        <f t="shared" si="869"/>
        <v>0</v>
      </c>
      <c r="BD932" s="276">
        <f t="shared" si="870"/>
        <v>0</v>
      </c>
      <c r="BE932" s="276">
        <f t="shared" si="871"/>
        <v>0</v>
      </c>
      <c r="BF932" s="686">
        <f t="shared" si="872"/>
        <v>0</v>
      </c>
      <c r="BG932" s="685" t="e">
        <f t="shared" si="873"/>
        <v>#DIV/0!</v>
      </c>
      <c r="BH932" s="276" t="e">
        <f t="shared" si="874"/>
        <v>#DIV/0!</v>
      </c>
      <c r="BI932" s="276" t="e">
        <f t="shared" si="875"/>
        <v>#DIV/0!</v>
      </c>
      <c r="BJ932" s="276" t="e">
        <f t="shared" si="876"/>
        <v>#DIV/0!</v>
      </c>
      <c r="BK932" s="276" t="e">
        <f t="shared" si="877"/>
        <v>#DIV/0!</v>
      </c>
      <c r="BL932" s="686" t="e">
        <f t="shared" si="878"/>
        <v>#DIV/0!</v>
      </c>
      <c r="BM932" s="239"/>
      <c r="BN932" s="965" t="e">
        <f t="shared" si="879"/>
        <v>#VALUE!</v>
      </c>
      <c r="BO932" s="878" t="e">
        <f t="shared" si="880"/>
        <v>#VALUE!</v>
      </c>
      <c r="BP932" s="878" t="e">
        <f t="shared" si="881"/>
        <v>#VALUE!</v>
      </c>
      <c r="BQ932" s="878" t="e">
        <f t="shared" si="882"/>
        <v>#VALUE!</v>
      </c>
      <c r="BR932" s="878" t="e">
        <f t="shared" si="883"/>
        <v>#VALUE!</v>
      </c>
      <c r="BS932" s="966" t="e">
        <f t="shared" si="884"/>
        <v>#VALUE!</v>
      </c>
    </row>
    <row r="933" spans="1:71">
      <c r="A933" s="284">
        <f t="shared" si="885"/>
        <v>865</v>
      </c>
      <c r="B933" s="285">
        <v>-2.3400083413129589</v>
      </c>
      <c r="C933" s="285">
        <v>1.8346921437874613</v>
      </c>
      <c r="D933" s="285">
        <v>-2.0885448633164265</v>
      </c>
      <c r="E933" s="285">
        <v>-2.4534850109376545</v>
      </c>
      <c r="H933" s="685">
        <f t="shared" si="831"/>
        <v>-3.4732421830820135</v>
      </c>
      <c r="I933" s="276">
        <f t="shared" si="832"/>
        <v>-3.0393569689439932</v>
      </c>
      <c r="J933" s="276">
        <f t="shared" si="833"/>
        <v>-2.3717507258457386</v>
      </c>
      <c r="K933" s="276">
        <f t="shared" si="834"/>
        <v>-1.9996592566052751</v>
      </c>
      <c r="L933" s="276">
        <f t="shared" si="835"/>
        <v>-0.99725746955972916</v>
      </c>
      <c r="M933" s="276">
        <f t="shared" si="836"/>
        <v>-2.4646634617095531</v>
      </c>
      <c r="N933" s="685">
        <f t="shared" si="837"/>
        <v>0.62752093281559285</v>
      </c>
      <c r="O933" s="276">
        <f t="shared" si="838"/>
        <v>0.96193937899408932</v>
      </c>
      <c r="P933" s="276">
        <f t="shared" si="839"/>
        <v>1.2714467883886049</v>
      </c>
      <c r="Q933" s="276">
        <f t="shared" si="840"/>
        <v>1.8501407645952355</v>
      </c>
      <c r="R933" s="276">
        <f t="shared" si="841"/>
        <v>1.2546983291847174</v>
      </c>
      <c r="S933" s="686">
        <f t="shared" si="842"/>
        <v>2.194725402042855</v>
      </c>
      <c r="T933" s="685">
        <f t="shared" si="843"/>
        <v>1.1898188269544994</v>
      </c>
      <c r="U933" s="276">
        <f t="shared" si="844"/>
        <v>5.7609037281862756</v>
      </c>
      <c r="V933" s="276">
        <f t="shared" si="845"/>
        <v>3.4235559080173079</v>
      </c>
      <c r="W933" s="276">
        <f t="shared" si="846"/>
        <v>4.6640928292735264</v>
      </c>
      <c r="X933" s="276">
        <f t="shared" si="847"/>
        <v>3.9930054356857436</v>
      </c>
      <c r="Y933" s="686">
        <f t="shared" si="848"/>
        <v>0.96468727280065458</v>
      </c>
      <c r="Z933" s="685" t="e">
        <f t="shared" si="849"/>
        <v>#DIV/0!</v>
      </c>
      <c r="AA933" s="276" t="e">
        <f t="shared" si="850"/>
        <v>#DIV/0!</v>
      </c>
      <c r="AB933" s="276" t="e">
        <f t="shared" si="851"/>
        <v>#DIV/0!</v>
      </c>
      <c r="AC933" s="276" t="e">
        <f t="shared" si="852"/>
        <v>#DIV/0!</v>
      </c>
      <c r="AD933" s="276" t="e">
        <f t="shared" si="853"/>
        <v>#DIV/0!</v>
      </c>
      <c r="AE933" s="686" t="e">
        <f t="shared" si="854"/>
        <v>#DIV/0!</v>
      </c>
      <c r="AF933" s="239"/>
      <c r="AG933" s="965" t="e">
        <f t="shared" si="825"/>
        <v>#VALUE!</v>
      </c>
      <c r="AH933" s="878" t="e">
        <f t="shared" si="826"/>
        <v>#VALUE!</v>
      </c>
      <c r="AI933" s="878" t="e">
        <f t="shared" si="827"/>
        <v>#VALUE!</v>
      </c>
      <c r="AJ933" s="878" t="e">
        <f t="shared" si="828"/>
        <v>#VALUE!</v>
      </c>
      <c r="AK933" s="878" t="e">
        <f t="shared" si="829"/>
        <v>#VALUE!</v>
      </c>
      <c r="AL933" s="966" t="e">
        <f t="shared" si="830"/>
        <v>#VALUE!</v>
      </c>
      <c r="AM933" s="239"/>
      <c r="AO933" s="685">
        <f t="shared" si="855"/>
        <v>-3.4732421830820135</v>
      </c>
      <c r="AP933" s="276">
        <f t="shared" si="856"/>
        <v>-3.0393569689439932</v>
      </c>
      <c r="AQ933" s="276">
        <f t="shared" si="857"/>
        <v>-2.3717507258457386</v>
      </c>
      <c r="AR933" s="276">
        <f t="shared" si="858"/>
        <v>-1.9996592566052751</v>
      </c>
      <c r="AS933" s="276">
        <f t="shared" si="859"/>
        <v>-0.99725746955972916</v>
      </c>
      <c r="AT933" s="276">
        <f t="shared" si="860"/>
        <v>-2.4646634617095531</v>
      </c>
      <c r="AU933" s="685">
        <f t="shared" si="861"/>
        <v>0.62752093281559285</v>
      </c>
      <c r="AV933" s="276">
        <f t="shared" si="862"/>
        <v>0.96193937899408932</v>
      </c>
      <c r="AW933" s="276">
        <f t="shared" si="863"/>
        <v>1.2714467883886049</v>
      </c>
      <c r="AX933" s="276">
        <f t="shared" si="864"/>
        <v>1.8501407645952355</v>
      </c>
      <c r="AY933" s="276">
        <f t="shared" si="865"/>
        <v>1.2546983291847174</v>
      </c>
      <c r="AZ933" s="686">
        <f t="shared" si="866"/>
        <v>2.194725402042855</v>
      </c>
      <c r="BA933" s="685">
        <f t="shared" si="867"/>
        <v>0</v>
      </c>
      <c r="BB933" s="276">
        <f t="shared" si="868"/>
        <v>0</v>
      </c>
      <c r="BC933" s="276">
        <f t="shared" si="869"/>
        <v>0</v>
      </c>
      <c r="BD933" s="276">
        <f t="shared" si="870"/>
        <v>0</v>
      </c>
      <c r="BE933" s="276">
        <f t="shared" si="871"/>
        <v>0</v>
      </c>
      <c r="BF933" s="686">
        <f t="shared" si="872"/>
        <v>0</v>
      </c>
      <c r="BG933" s="685" t="e">
        <f t="shared" si="873"/>
        <v>#DIV/0!</v>
      </c>
      <c r="BH933" s="276" t="e">
        <f t="shared" si="874"/>
        <v>#DIV/0!</v>
      </c>
      <c r="BI933" s="276" t="e">
        <f t="shared" si="875"/>
        <v>#DIV/0!</v>
      </c>
      <c r="BJ933" s="276" t="e">
        <f t="shared" si="876"/>
        <v>#DIV/0!</v>
      </c>
      <c r="BK933" s="276" t="e">
        <f t="shared" si="877"/>
        <v>#DIV/0!</v>
      </c>
      <c r="BL933" s="686" t="e">
        <f t="shared" si="878"/>
        <v>#DIV/0!</v>
      </c>
      <c r="BM933" s="239"/>
      <c r="BN933" s="965" t="e">
        <f t="shared" si="879"/>
        <v>#VALUE!</v>
      </c>
      <c r="BO933" s="878" t="e">
        <f t="shared" si="880"/>
        <v>#VALUE!</v>
      </c>
      <c r="BP933" s="878" t="e">
        <f t="shared" si="881"/>
        <v>#VALUE!</v>
      </c>
      <c r="BQ933" s="878" t="e">
        <f t="shared" si="882"/>
        <v>#VALUE!</v>
      </c>
      <c r="BR933" s="878" t="e">
        <f t="shared" si="883"/>
        <v>#VALUE!</v>
      </c>
      <c r="BS933" s="966" t="e">
        <f t="shared" si="884"/>
        <v>#VALUE!</v>
      </c>
    </row>
    <row r="934" spans="1:71">
      <c r="A934" s="284">
        <f t="shared" si="885"/>
        <v>866</v>
      </c>
      <c r="B934" s="285">
        <v>0.95499922636745649</v>
      </c>
      <c r="C934" s="285">
        <v>3.0459871101419069</v>
      </c>
      <c r="D934" s="285">
        <v>-1.3765854934527422E-2</v>
      </c>
      <c r="E934" s="285">
        <v>1.9879598329193962</v>
      </c>
      <c r="H934" s="685">
        <f t="shared" si="831"/>
        <v>-0.17823461540159835</v>
      </c>
      <c r="I934" s="276">
        <f t="shared" si="832"/>
        <v>-2.373026389449727</v>
      </c>
      <c r="J934" s="276">
        <f t="shared" si="833"/>
        <v>-3.5128877687904767</v>
      </c>
      <c r="K934" s="276">
        <f t="shared" si="834"/>
        <v>-5.690885446981806</v>
      </c>
      <c r="L934" s="276">
        <f t="shared" si="835"/>
        <v>1.5474061086970228</v>
      </c>
      <c r="M934" s="276">
        <f t="shared" si="836"/>
        <v>-0.86144913865098549</v>
      </c>
      <c r="N934" s="685">
        <f t="shared" si="837"/>
        <v>1.8388158991700385</v>
      </c>
      <c r="O934" s="276">
        <f t="shared" si="838"/>
        <v>1.6527002372274515</v>
      </c>
      <c r="P934" s="276">
        <f t="shared" si="839"/>
        <v>1.7626679558466221</v>
      </c>
      <c r="Q934" s="276">
        <f t="shared" si="840"/>
        <v>1.247205858692088</v>
      </c>
      <c r="R934" s="276">
        <f t="shared" si="841"/>
        <v>1.2137054659771731</v>
      </c>
      <c r="S934" s="686">
        <f t="shared" si="842"/>
        <v>0.78451828630051446</v>
      </c>
      <c r="T934" s="685">
        <f t="shared" si="843"/>
        <v>3.2645978353363985</v>
      </c>
      <c r="U934" s="276">
        <f t="shared" si="844"/>
        <v>3.3568918272238273</v>
      </c>
      <c r="V934" s="276">
        <f t="shared" si="845"/>
        <v>3.1776097616396664</v>
      </c>
      <c r="W934" s="276">
        <f t="shared" si="846"/>
        <v>2.7575273988839415</v>
      </c>
      <c r="X934" s="276">
        <f t="shared" si="847"/>
        <v>4.1697989935825293</v>
      </c>
      <c r="Y934" s="686">
        <f t="shared" si="848"/>
        <v>5.2865977571858975</v>
      </c>
      <c r="Z934" s="685" t="e">
        <f t="shared" si="849"/>
        <v>#DIV/0!</v>
      </c>
      <c r="AA934" s="276" t="e">
        <f t="shared" si="850"/>
        <v>#DIV/0!</v>
      </c>
      <c r="AB934" s="276" t="e">
        <f t="shared" si="851"/>
        <v>#DIV/0!</v>
      </c>
      <c r="AC934" s="276" t="e">
        <f t="shared" si="852"/>
        <v>#DIV/0!</v>
      </c>
      <c r="AD934" s="276" t="e">
        <f t="shared" si="853"/>
        <v>#DIV/0!</v>
      </c>
      <c r="AE934" s="686" t="e">
        <f t="shared" si="854"/>
        <v>#DIV/0!</v>
      </c>
      <c r="AF934" s="239"/>
      <c r="AG934" s="965" t="e">
        <f t="shared" si="825"/>
        <v>#VALUE!</v>
      </c>
      <c r="AH934" s="878" t="e">
        <f t="shared" si="826"/>
        <v>#VALUE!</v>
      </c>
      <c r="AI934" s="878" t="e">
        <f t="shared" si="827"/>
        <v>#VALUE!</v>
      </c>
      <c r="AJ934" s="878" t="e">
        <f t="shared" si="828"/>
        <v>#VALUE!</v>
      </c>
      <c r="AK934" s="878" t="e">
        <f t="shared" si="829"/>
        <v>#VALUE!</v>
      </c>
      <c r="AL934" s="966" t="e">
        <f t="shared" si="830"/>
        <v>#VALUE!</v>
      </c>
      <c r="AM934" s="239"/>
      <c r="AO934" s="685">
        <f t="shared" si="855"/>
        <v>-0.17823461540159835</v>
      </c>
      <c r="AP934" s="276">
        <f t="shared" si="856"/>
        <v>-2.373026389449727</v>
      </c>
      <c r="AQ934" s="276">
        <f t="shared" si="857"/>
        <v>-3.5128877687904767</v>
      </c>
      <c r="AR934" s="276">
        <f t="shared" si="858"/>
        <v>-5.690885446981806</v>
      </c>
      <c r="AS934" s="276">
        <f t="shared" si="859"/>
        <v>1.5474061086970228</v>
      </c>
      <c r="AT934" s="276">
        <f t="shared" si="860"/>
        <v>-0.86144913865098549</v>
      </c>
      <c r="AU934" s="685">
        <f t="shared" si="861"/>
        <v>1.8388158991700385</v>
      </c>
      <c r="AV934" s="276">
        <f t="shared" si="862"/>
        <v>1.6527002372274515</v>
      </c>
      <c r="AW934" s="276">
        <f t="shared" si="863"/>
        <v>1.7626679558466221</v>
      </c>
      <c r="AX934" s="276">
        <f t="shared" si="864"/>
        <v>1.247205858692088</v>
      </c>
      <c r="AY934" s="276">
        <f t="shared" si="865"/>
        <v>1.2137054659771731</v>
      </c>
      <c r="AZ934" s="686">
        <f t="shared" si="866"/>
        <v>0.78451828630051446</v>
      </c>
      <c r="BA934" s="685">
        <f t="shared" si="867"/>
        <v>0</v>
      </c>
      <c r="BB934" s="276">
        <f t="shared" si="868"/>
        <v>0</v>
      </c>
      <c r="BC934" s="276">
        <f t="shared" si="869"/>
        <v>0</v>
      </c>
      <c r="BD934" s="276">
        <f t="shared" si="870"/>
        <v>0</v>
      </c>
      <c r="BE934" s="276">
        <f t="shared" si="871"/>
        <v>0</v>
      </c>
      <c r="BF934" s="686">
        <f t="shared" si="872"/>
        <v>0</v>
      </c>
      <c r="BG934" s="685" t="e">
        <f t="shared" si="873"/>
        <v>#DIV/0!</v>
      </c>
      <c r="BH934" s="276" t="e">
        <f t="shared" si="874"/>
        <v>#DIV/0!</v>
      </c>
      <c r="BI934" s="276" t="e">
        <f t="shared" si="875"/>
        <v>#DIV/0!</v>
      </c>
      <c r="BJ934" s="276" t="e">
        <f t="shared" si="876"/>
        <v>#DIV/0!</v>
      </c>
      <c r="BK934" s="276" t="e">
        <f t="shared" si="877"/>
        <v>#DIV/0!</v>
      </c>
      <c r="BL934" s="686" t="e">
        <f t="shared" si="878"/>
        <v>#DIV/0!</v>
      </c>
      <c r="BM934" s="239"/>
      <c r="BN934" s="965" t="e">
        <f t="shared" si="879"/>
        <v>#VALUE!</v>
      </c>
      <c r="BO934" s="878" t="e">
        <f t="shared" si="880"/>
        <v>#VALUE!</v>
      </c>
      <c r="BP934" s="878" t="e">
        <f t="shared" si="881"/>
        <v>#VALUE!</v>
      </c>
      <c r="BQ934" s="878" t="e">
        <f t="shared" si="882"/>
        <v>#VALUE!</v>
      </c>
      <c r="BR934" s="878" t="e">
        <f t="shared" si="883"/>
        <v>#VALUE!</v>
      </c>
      <c r="BS934" s="966" t="e">
        <f t="shared" si="884"/>
        <v>#VALUE!</v>
      </c>
    </row>
    <row r="935" spans="1:71">
      <c r="A935" s="284">
        <f t="shared" si="885"/>
        <v>867</v>
      </c>
      <c r="B935" s="285">
        <v>4.0982426208517593</v>
      </c>
      <c r="C935" s="285">
        <v>2.8123426864655201</v>
      </c>
      <c r="D935" s="285">
        <v>2.5557350670339183</v>
      </c>
      <c r="E935" s="285">
        <v>-6.3274369681982545</v>
      </c>
      <c r="H935" s="685">
        <f t="shared" si="831"/>
        <v>2.9650087790827042</v>
      </c>
      <c r="I935" s="276">
        <f t="shared" si="832"/>
        <v>-1.6939531890913995</v>
      </c>
      <c r="J935" s="276">
        <f t="shared" si="833"/>
        <v>-2.3249974469922163</v>
      </c>
      <c r="K935" s="276">
        <f t="shared" si="834"/>
        <v>0.69686374797474704</v>
      </c>
      <c r="L935" s="276">
        <f t="shared" si="835"/>
        <v>-1.698734451279845</v>
      </c>
      <c r="M935" s="276">
        <f t="shared" si="836"/>
        <v>-7.26018437927645</v>
      </c>
      <c r="N935" s="685">
        <f t="shared" si="837"/>
        <v>1.6051714754936517</v>
      </c>
      <c r="O935" s="276">
        <f t="shared" si="838"/>
        <v>0.88097620561236201</v>
      </c>
      <c r="P935" s="276">
        <f t="shared" si="839"/>
        <v>0.88092054932147845</v>
      </c>
      <c r="Q935" s="276">
        <f t="shared" si="840"/>
        <v>1.6506136406812859</v>
      </c>
      <c r="R935" s="276">
        <f t="shared" si="841"/>
        <v>1.2747586190028322</v>
      </c>
      <c r="S935" s="686">
        <f t="shared" si="842"/>
        <v>1.1455240993083062</v>
      </c>
      <c r="T935" s="685">
        <f t="shared" si="843"/>
        <v>5.8340987573048437</v>
      </c>
      <c r="U935" s="276">
        <f t="shared" si="844"/>
        <v>6.0167384001264068</v>
      </c>
      <c r="V935" s="276">
        <f t="shared" si="845"/>
        <v>4.1681959346600985</v>
      </c>
      <c r="W935" s="276">
        <f t="shared" si="846"/>
        <v>5.7511069050948995</v>
      </c>
      <c r="X935" s="276">
        <f t="shared" si="847"/>
        <v>3.0074976168143919</v>
      </c>
      <c r="Y935" s="686">
        <f t="shared" si="848"/>
        <v>4.4324826986222456</v>
      </c>
      <c r="Z935" s="685" t="e">
        <f t="shared" si="849"/>
        <v>#DIV/0!</v>
      </c>
      <c r="AA935" s="276" t="e">
        <f t="shared" si="850"/>
        <v>#DIV/0!</v>
      </c>
      <c r="AB935" s="276" t="e">
        <f t="shared" si="851"/>
        <v>#DIV/0!</v>
      </c>
      <c r="AC935" s="276" t="e">
        <f t="shared" si="852"/>
        <v>#DIV/0!</v>
      </c>
      <c r="AD935" s="276" t="e">
        <f t="shared" si="853"/>
        <v>#DIV/0!</v>
      </c>
      <c r="AE935" s="686" t="e">
        <f t="shared" si="854"/>
        <v>#DIV/0!</v>
      </c>
      <c r="AF935" s="239"/>
      <c r="AG935" s="965" t="e">
        <f t="shared" si="825"/>
        <v>#VALUE!</v>
      </c>
      <c r="AH935" s="878" t="e">
        <f t="shared" si="826"/>
        <v>#VALUE!</v>
      </c>
      <c r="AI935" s="878" t="e">
        <f t="shared" si="827"/>
        <v>#VALUE!</v>
      </c>
      <c r="AJ935" s="878" t="e">
        <f t="shared" si="828"/>
        <v>#VALUE!</v>
      </c>
      <c r="AK935" s="878" t="e">
        <f t="shared" si="829"/>
        <v>#VALUE!</v>
      </c>
      <c r="AL935" s="966" t="e">
        <f t="shared" si="830"/>
        <v>#VALUE!</v>
      </c>
      <c r="AM935" s="239"/>
      <c r="AO935" s="685">
        <f t="shared" si="855"/>
        <v>2.9650087790827042</v>
      </c>
      <c r="AP935" s="276">
        <f t="shared" si="856"/>
        <v>-1.6939531890913995</v>
      </c>
      <c r="AQ935" s="276">
        <f t="shared" si="857"/>
        <v>-2.3249974469922163</v>
      </c>
      <c r="AR935" s="276">
        <f t="shared" si="858"/>
        <v>0.69686374797474704</v>
      </c>
      <c r="AS935" s="276">
        <f t="shared" si="859"/>
        <v>-1.698734451279845</v>
      </c>
      <c r="AT935" s="276">
        <f t="shared" si="860"/>
        <v>-7.26018437927645</v>
      </c>
      <c r="AU935" s="685">
        <f t="shared" si="861"/>
        <v>1.6051714754936517</v>
      </c>
      <c r="AV935" s="276">
        <f t="shared" si="862"/>
        <v>0.88097620561236201</v>
      </c>
      <c r="AW935" s="276">
        <f t="shared" si="863"/>
        <v>0.88092054932147845</v>
      </c>
      <c r="AX935" s="276">
        <f t="shared" si="864"/>
        <v>1.6506136406812859</v>
      </c>
      <c r="AY935" s="276">
        <f t="shared" si="865"/>
        <v>1.2747586190028322</v>
      </c>
      <c r="AZ935" s="686">
        <f t="shared" si="866"/>
        <v>1.1455240993083062</v>
      </c>
      <c r="BA935" s="685">
        <f t="shared" si="867"/>
        <v>0</v>
      </c>
      <c r="BB935" s="276">
        <f t="shared" si="868"/>
        <v>0</v>
      </c>
      <c r="BC935" s="276">
        <f t="shared" si="869"/>
        <v>0</v>
      </c>
      <c r="BD935" s="276">
        <f t="shared" si="870"/>
        <v>0</v>
      </c>
      <c r="BE935" s="276">
        <f t="shared" si="871"/>
        <v>0</v>
      </c>
      <c r="BF935" s="686">
        <f t="shared" si="872"/>
        <v>0</v>
      </c>
      <c r="BG935" s="685" t="e">
        <f t="shared" si="873"/>
        <v>#DIV/0!</v>
      </c>
      <c r="BH935" s="276" t="e">
        <f t="shared" si="874"/>
        <v>#DIV/0!</v>
      </c>
      <c r="BI935" s="276" t="e">
        <f t="shared" si="875"/>
        <v>#DIV/0!</v>
      </c>
      <c r="BJ935" s="276" t="e">
        <f t="shared" si="876"/>
        <v>#DIV/0!</v>
      </c>
      <c r="BK935" s="276" t="e">
        <f t="shared" si="877"/>
        <v>#DIV/0!</v>
      </c>
      <c r="BL935" s="686" t="e">
        <f t="shared" si="878"/>
        <v>#DIV/0!</v>
      </c>
      <c r="BM935" s="239"/>
      <c r="BN935" s="965" t="e">
        <f t="shared" si="879"/>
        <v>#VALUE!</v>
      </c>
      <c r="BO935" s="878" t="e">
        <f t="shared" si="880"/>
        <v>#VALUE!</v>
      </c>
      <c r="BP935" s="878" t="e">
        <f t="shared" si="881"/>
        <v>#VALUE!</v>
      </c>
      <c r="BQ935" s="878" t="e">
        <f t="shared" si="882"/>
        <v>#VALUE!</v>
      </c>
      <c r="BR935" s="878" t="e">
        <f t="shared" si="883"/>
        <v>#VALUE!</v>
      </c>
      <c r="BS935" s="966" t="e">
        <f t="shared" si="884"/>
        <v>#VALUE!</v>
      </c>
    </row>
    <row r="936" spans="1:71">
      <c r="A936" s="284">
        <f t="shared" si="885"/>
        <v>868</v>
      </c>
      <c r="B936" s="285">
        <v>-0.80086701816153949</v>
      </c>
      <c r="C936" s="285">
        <v>2.7177185081733346</v>
      </c>
      <c r="D936" s="285">
        <v>-0.24587680463937134</v>
      </c>
      <c r="E936" s="285">
        <v>8.3666440678795961</v>
      </c>
      <c r="H936" s="685">
        <f t="shared" si="831"/>
        <v>-1.9341008599305942</v>
      </c>
      <c r="I936" s="276">
        <f t="shared" si="832"/>
        <v>-3.0795507669542235</v>
      </c>
      <c r="J936" s="276">
        <f t="shared" si="833"/>
        <v>-2.2511282367748402</v>
      </c>
      <c r="K936" s="276">
        <f t="shared" si="834"/>
        <v>-0.26861783671799544</v>
      </c>
      <c r="L936" s="276">
        <f t="shared" si="835"/>
        <v>-3.0469310792776763</v>
      </c>
      <c r="M936" s="276">
        <f t="shared" si="836"/>
        <v>-1.9933326131496703</v>
      </c>
      <c r="N936" s="685">
        <f t="shared" si="837"/>
        <v>1.5105472972014662</v>
      </c>
      <c r="O936" s="276">
        <f t="shared" si="838"/>
        <v>1.2501449179058335</v>
      </c>
      <c r="P936" s="276">
        <f t="shared" si="839"/>
        <v>1.3154129476656304</v>
      </c>
      <c r="Q936" s="276">
        <f t="shared" si="840"/>
        <v>1.7119061664970532</v>
      </c>
      <c r="R936" s="276">
        <f t="shared" si="841"/>
        <v>0.89900115980483553</v>
      </c>
      <c r="S936" s="686">
        <f t="shared" si="842"/>
        <v>1.3505744820258967</v>
      </c>
      <c r="T936" s="685">
        <f t="shared" si="843"/>
        <v>3.0324868856315543</v>
      </c>
      <c r="U936" s="276">
        <f t="shared" si="844"/>
        <v>2.5544275417246123</v>
      </c>
      <c r="V936" s="276">
        <f t="shared" si="845"/>
        <v>4.7349620948554962</v>
      </c>
      <c r="W936" s="276">
        <f t="shared" si="846"/>
        <v>4.4015511444195488</v>
      </c>
      <c r="X936" s="276">
        <f t="shared" si="847"/>
        <v>4.7202770063068122</v>
      </c>
      <c r="Y936" s="686">
        <f t="shared" si="848"/>
        <v>4.1562668452766651</v>
      </c>
      <c r="Z936" s="685" t="e">
        <f t="shared" si="849"/>
        <v>#DIV/0!</v>
      </c>
      <c r="AA936" s="276" t="e">
        <f t="shared" si="850"/>
        <v>#DIV/0!</v>
      </c>
      <c r="AB936" s="276" t="e">
        <f t="shared" si="851"/>
        <v>#DIV/0!</v>
      </c>
      <c r="AC936" s="276" t="e">
        <f t="shared" si="852"/>
        <v>#DIV/0!</v>
      </c>
      <c r="AD936" s="276" t="e">
        <f t="shared" si="853"/>
        <v>#DIV/0!</v>
      </c>
      <c r="AE936" s="686" t="e">
        <f t="shared" si="854"/>
        <v>#DIV/0!</v>
      </c>
      <c r="AF936" s="239"/>
      <c r="AG936" s="965" t="e">
        <f t="shared" si="825"/>
        <v>#VALUE!</v>
      </c>
      <c r="AH936" s="878" t="e">
        <f t="shared" si="826"/>
        <v>#VALUE!</v>
      </c>
      <c r="AI936" s="878" t="e">
        <f t="shared" si="827"/>
        <v>#VALUE!</v>
      </c>
      <c r="AJ936" s="878" t="e">
        <f t="shared" si="828"/>
        <v>#VALUE!</v>
      </c>
      <c r="AK936" s="878" t="e">
        <f t="shared" si="829"/>
        <v>#VALUE!</v>
      </c>
      <c r="AL936" s="966" t="e">
        <f t="shared" si="830"/>
        <v>#VALUE!</v>
      </c>
      <c r="AM936" s="239"/>
      <c r="AO936" s="685">
        <f t="shared" si="855"/>
        <v>-1.9341008599305942</v>
      </c>
      <c r="AP936" s="276">
        <f t="shared" si="856"/>
        <v>-3.0795507669542235</v>
      </c>
      <c r="AQ936" s="276">
        <f t="shared" si="857"/>
        <v>-2.2511282367748402</v>
      </c>
      <c r="AR936" s="276">
        <f t="shared" si="858"/>
        <v>-0.26861783671799544</v>
      </c>
      <c r="AS936" s="276">
        <f t="shared" si="859"/>
        <v>-3.0469310792776763</v>
      </c>
      <c r="AT936" s="276">
        <f t="shared" si="860"/>
        <v>-1.9933326131496703</v>
      </c>
      <c r="AU936" s="685">
        <f t="shared" si="861"/>
        <v>1.5105472972014662</v>
      </c>
      <c r="AV936" s="276">
        <f t="shared" si="862"/>
        <v>1.2501449179058335</v>
      </c>
      <c r="AW936" s="276">
        <f t="shared" si="863"/>
        <v>1.3154129476656304</v>
      </c>
      <c r="AX936" s="276">
        <f t="shared" si="864"/>
        <v>1.7119061664970532</v>
      </c>
      <c r="AY936" s="276">
        <f t="shared" si="865"/>
        <v>0.89900115980483553</v>
      </c>
      <c r="AZ936" s="686">
        <f t="shared" si="866"/>
        <v>1.3505744820258967</v>
      </c>
      <c r="BA936" s="685">
        <f t="shared" si="867"/>
        <v>0</v>
      </c>
      <c r="BB936" s="276">
        <f t="shared" si="868"/>
        <v>0</v>
      </c>
      <c r="BC936" s="276">
        <f t="shared" si="869"/>
        <v>0</v>
      </c>
      <c r="BD936" s="276">
        <f t="shared" si="870"/>
        <v>0</v>
      </c>
      <c r="BE936" s="276">
        <f t="shared" si="871"/>
        <v>0</v>
      </c>
      <c r="BF936" s="686">
        <f t="shared" si="872"/>
        <v>0</v>
      </c>
      <c r="BG936" s="685" t="e">
        <f t="shared" si="873"/>
        <v>#DIV/0!</v>
      </c>
      <c r="BH936" s="276" t="e">
        <f t="shared" si="874"/>
        <v>#DIV/0!</v>
      </c>
      <c r="BI936" s="276" t="e">
        <f t="shared" si="875"/>
        <v>#DIV/0!</v>
      </c>
      <c r="BJ936" s="276" t="e">
        <f t="shared" si="876"/>
        <v>#DIV/0!</v>
      </c>
      <c r="BK936" s="276" t="e">
        <f t="shared" si="877"/>
        <v>#DIV/0!</v>
      </c>
      <c r="BL936" s="686" t="e">
        <f t="shared" si="878"/>
        <v>#DIV/0!</v>
      </c>
      <c r="BM936" s="239"/>
      <c r="BN936" s="965" t="e">
        <f t="shared" si="879"/>
        <v>#VALUE!</v>
      </c>
      <c r="BO936" s="878" t="e">
        <f t="shared" si="880"/>
        <v>#VALUE!</v>
      </c>
      <c r="BP936" s="878" t="e">
        <f t="shared" si="881"/>
        <v>#VALUE!</v>
      </c>
      <c r="BQ936" s="878" t="e">
        <f t="shared" si="882"/>
        <v>#VALUE!</v>
      </c>
      <c r="BR936" s="878" t="e">
        <f t="shared" si="883"/>
        <v>#VALUE!</v>
      </c>
      <c r="BS936" s="966" t="e">
        <f t="shared" si="884"/>
        <v>#VALUE!</v>
      </c>
    </row>
    <row r="937" spans="1:71">
      <c r="A937" s="284">
        <f t="shared" si="885"/>
        <v>869</v>
      </c>
      <c r="B937" s="285">
        <v>-2.9100618636126634</v>
      </c>
      <c r="C937" s="285">
        <v>2.1872627609802664</v>
      </c>
      <c r="D937" s="285">
        <v>1.3883436434697223</v>
      </c>
      <c r="E937" s="285">
        <v>-2.3658577919384811</v>
      </c>
      <c r="H937" s="685">
        <f t="shared" si="831"/>
        <v>-4.043295705381718</v>
      </c>
      <c r="I937" s="276">
        <f t="shared" si="832"/>
        <v>-0.88030251295028217</v>
      </c>
      <c r="J937" s="276">
        <f t="shared" si="833"/>
        <v>-0.31495134048853013</v>
      </c>
      <c r="K937" s="276">
        <f t="shared" si="834"/>
        <v>0.22285401240178948</v>
      </c>
      <c r="L937" s="276">
        <f t="shared" si="835"/>
        <v>1.6154066728850649</v>
      </c>
      <c r="M937" s="276">
        <f t="shared" si="836"/>
        <v>2.6161470072037716</v>
      </c>
      <c r="N937" s="685">
        <f t="shared" si="837"/>
        <v>0.98009155000839798</v>
      </c>
      <c r="O937" s="276">
        <f t="shared" si="838"/>
        <v>1.8450140578772147</v>
      </c>
      <c r="P937" s="276">
        <f t="shared" si="839"/>
        <v>1.0280528891473966</v>
      </c>
      <c r="Q937" s="276">
        <f t="shared" si="840"/>
        <v>1.202275618183273</v>
      </c>
      <c r="R937" s="276">
        <f t="shared" si="841"/>
        <v>1.6191917165301477</v>
      </c>
      <c r="S937" s="686">
        <f t="shared" si="842"/>
        <v>0.80080015348275269</v>
      </c>
      <c r="T937" s="685">
        <f t="shared" si="843"/>
        <v>4.6667073337406482</v>
      </c>
      <c r="U937" s="276">
        <f t="shared" si="844"/>
        <v>2.1170839997599074</v>
      </c>
      <c r="V937" s="276">
        <f t="shared" si="845"/>
        <v>5.9227508358469034</v>
      </c>
      <c r="W937" s="276">
        <f t="shared" si="846"/>
        <v>4.9065520408520156</v>
      </c>
      <c r="X937" s="276">
        <f t="shared" si="847"/>
        <v>4.6249489942222155</v>
      </c>
      <c r="Y937" s="686">
        <f t="shared" si="848"/>
        <v>5.8442278355800585</v>
      </c>
      <c r="Z937" s="685" t="e">
        <f t="shared" si="849"/>
        <v>#DIV/0!</v>
      </c>
      <c r="AA937" s="276" t="e">
        <f t="shared" si="850"/>
        <v>#DIV/0!</v>
      </c>
      <c r="AB937" s="276" t="e">
        <f t="shared" si="851"/>
        <v>#DIV/0!</v>
      </c>
      <c r="AC937" s="276" t="e">
        <f t="shared" si="852"/>
        <v>#DIV/0!</v>
      </c>
      <c r="AD937" s="276" t="e">
        <f t="shared" si="853"/>
        <v>#DIV/0!</v>
      </c>
      <c r="AE937" s="686" t="e">
        <f t="shared" si="854"/>
        <v>#DIV/0!</v>
      </c>
      <c r="AF937" s="239"/>
      <c r="AG937" s="965" t="e">
        <f t="shared" si="825"/>
        <v>#VALUE!</v>
      </c>
      <c r="AH937" s="878" t="e">
        <f t="shared" si="826"/>
        <v>#VALUE!</v>
      </c>
      <c r="AI937" s="878" t="e">
        <f t="shared" si="827"/>
        <v>#VALUE!</v>
      </c>
      <c r="AJ937" s="878" t="e">
        <f t="shared" si="828"/>
        <v>#VALUE!</v>
      </c>
      <c r="AK937" s="878" t="e">
        <f t="shared" si="829"/>
        <v>#VALUE!</v>
      </c>
      <c r="AL937" s="966" t="e">
        <f t="shared" si="830"/>
        <v>#VALUE!</v>
      </c>
      <c r="AM937" s="239"/>
      <c r="AO937" s="685">
        <f t="shared" si="855"/>
        <v>-4.043295705381718</v>
      </c>
      <c r="AP937" s="276">
        <f t="shared" si="856"/>
        <v>-0.88030251295028217</v>
      </c>
      <c r="AQ937" s="276">
        <f t="shared" si="857"/>
        <v>-0.31495134048853013</v>
      </c>
      <c r="AR937" s="276">
        <f t="shared" si="858"/>
        <v>0.22285401240178948</v>
      </c>
      <c r="AS937" s="276">
        <f t="shared" si="859"/>
        <v>1.6154066728850649</v>
      </c>
      <c r="AT937" s="276">
        <f t="shared" si="860"/>
        <v>2.6161470072037716</v>
      </c>
      <c r="AU937" s="685">
        <f t="shared" si="861"/>
        <v>0.98009155000839798</v>
      </c>
      <c r="AV937" s="276">
        <f t="shared" si="862"/>
        <v>1.8450140578772147</v>
      </c>
      <c r="AW937" s="276">
        <f t="shared" si="863"/>
        <v>1.0280528891473966</v>
      </c>
      <c r="AX937" s="276">
        <f t="shared" si="864"/>
        <v>1.202275618183273</v>
      </c>
      <c r="AY937" s="276">
        <f t="shared" si="865"/>
        <v>1.6191917165301477</v>
      </c>
      <c r="AZ937" s="686">
        <f t="shared" si="866"/>
        <v>0.80080015348275269</v>
      </c>
      <c r="BA937" s="685">
        <f t="shared" si="867"/>
        <v>0</v>
      </c>
      <c r="BB937" s="276">
        <f t="shared" si="868"/>
        <v>0</v>
      </c>
      <c r="BC937" s="276">
        <f t="shared" si="869"/>
        <v>0</v>
      </c>
      <c r="BD937" s="276">
        <f t="shared" si="870"/>
        <v>0</v>
      </c>
      <c r="BE937" s="276">
        <f t="shared" si="871"/>
        <v>0</v>
      </c>
      <c r="BF937" s="686">
        <f t="shared" si="872"/>
        <v>0</v>
      </c>
      <c r="BG937" s="685" t="e">
        <f t="shared" si="873"/>
        <v>#DIV/0!</v>
      </c>
      <c r="BH937" s="276" t="e">
        <f t="shared" si="874"/>
        <v>#DIV/0!</v>
      </c>
      <c r="BI937" s="276" t="e">
        <f t="shared" si="875"/>
        <v>#DIV/0!</v>
      </c>
      <c r="BJ937" s="276" t="e">
        <f t="shared" si="876"/>
        <v>#DIV/0!</v>
      </c>
      <c r="BK937" s="276" t="e">
        <f t="shared" si="877"/>
        <v>#DIV/0!</v>
      </c>
      <c r="BL937" s="686" t="e">
        <f t="shared" si="878"/>
        <v>#DIV/0!</v>
      </c>
      <c r="BM937" s="239"/>
      <c r="BN937" s="965" t="e">
        <f t="shared" si="879"/>
        <v>#VALUE!</v>
      </c>
      <c r="BO937" s="878" t="e">
        <f t="shared" si="880"/>
        <v>#VALUE!</v>
      </c>
      <c r="BP937" s="878" t="e">
        <f t="shared" si="881"/>
        <v>#VALUE!</v>
      </c>
      <c r="BQ937" s="878" t="e">
        <f t="shared" si="882"/>
        <v>#VALUE!</v>
      </c>
      <c r="BR937" s="878" t="e">
        <f t="shared" si="883"/>
        <v>#VALUE!</v>
      </c>
      <c r="BS937" s="966" t="e">
        <f t="shared" si="884"/>
        <v>#VALUE!</v>
      </c>
    </row>
    <row r="938" spans="1:71">
      <c r="A938" s="284">
        <f t="shared" si="885"/>
        <v>870</v>
      </c>
      <c r="B938" s="285">
        <v>-2.1778783735205836</v>
      </c>
      <c r="C938" s="285">
        <v>1.8319123228661109</v>
      </c>
      <c r="D938" s="285">
        <v>2.3384126181092624</v>
      </c>
      <c r="E938" s="285">
        <v>-18.380033092895971</v>
      </c>
      <c r="H938" s="685">
        <f t="shared" si="831"/>
        <v>-3.3111122152896382</v>
      </c>
      <c r="I938" s="276">
        <f t="shared" si="832"/>
        <v>1.4508593946410311</v>
      </c>
      <c r="J938" s="276">
        <f t="shared" si="833"/>
        <v>-4.5267556150022594</v>
      </c>
      <c r="K938" s="276">
        <f t="shared" si="834"/>
        <v>-2.2474526309528828</v>
      </c>
      <c r="L938" s="276">
        <f t="shared" si="835"/>
        <v>-4.1052471063277904</v>
      </c>
      <c r="M938" s="276">
        <f t="shared" si="836"/>
        <v>-0.7494716607805354</v>
      </c>
      <c r="N938" s="685">
        <f t="shared" si="837"/>
        <v>0.62474111189424253</v>
      </c>
      <c r="O938" s="276">
        <f t="shared" si="838"/>
        <v>2.0246897664066443</v>
      </c>
      <c r="P938" s="276">
        <f t="shared" si="839"/>
        <v>1.2569021459106688</v>
      </c>
      <c r="Q938" s="276">
        <f t="shared" si="840"/>
        <v>1.1095945582457618</v>
      </c>
      <c r="R938" s="276">
        <f t="shared" si="841"/>
        <v>0.88402019140034516</v>
      </c>
      <c r="S938" s="686">
        <f t="shared" si="842"/>
        <v>1.6560877309662876</v>
      </c>
      <c r="T938" s="685">
        <f t="shared" si="843"/>
        <v>5.6167763083801887</v>
      </c>
      <c r="U938" s="276">
        <f t="shared" si="844"/>
        <v>5.2595530001668962</v>
      </c>
      <c r="V938" s="276">
        <f t="shared" si="845"/>
        <v>2.9985903498297795</v>
      </c>
      <c r="W938" s="276">
        <f t="shared" si="846"/>
        <v>5.2925393664703142</v>
      </c>
      <c r="X938" s="276">
        <f t="shared" si="847"/>
        <v>2.1104219188364808</v>
      </c>
      <c r="Y938" s="686">
        <f t="shared" si="848"/>
        <v>4.2871454075257596</v>
      </c>
      <c r="Z938" s="685" t="e">
        <f t="shared" si="849"/>
        <v>#DIV/0!</v>
      </c>
      <c r="AA938" s="276" t="e">
        <f t="shared" si="850"/>
        <v>#DIV/0!</v>
      </c>
      <c r="AB938" s="276" t="e">
        <f t="shared" si="851"/>
        <v>#DIV/0!</v>
      </c>
      <c r="AC938" s="276" t="e">
        <f t="shared" si="852"/>
        <v>#DIV/0!</v>
      </c>
      <c r="AD938" s="276" t="e">
        <f t="shared" si="853"/>
        <v>#DIV/0!</v>
      </c>
      <c r="AE938" s="686" t="e">
        <f t="shared" si="854"/>
        <v>#DIV/0!</v>
      </c>
      <c r="AF938" s="239"/>
      <c r="AG938" s="965" t="e">
        <f t="shared" si="825"/>
        <v>#VALUE!</v>
      </c>
      <c r="AH938" s="878" t="e">
        <f t="shared" si="826"/>
        <v>#VALUE!</v>
      </c>
      <c r="AI938" s="878" t="e">
        <f t="shared" si="827"/>
        <v>#VALUE!</v>
      </c>
      <c r="AJ938" s="878" t="e">
        <f t="shared" si="828"/>
        <v>#VALUE!</v>
      </c>
      <c r="AK938" s="878" t="e">
        <f t="shared" si="829"/>
        <v>#VALUE!</v>
      </c>
      <c r="AL938" s="966" t="e">
        <f t="shared" si="830"/>
        <v>#VALUE!</v>
      </c>
      <c r="AM938" s="239"/>
      <c r="AO938" s="685">
        <f t="shared" si="855"/>
        <v>-3.3111122152896382</v>
      </c>
      <c r="AP938" s="276">
        <f t="shared" si="856"/>
        <v>1.4508593946410311</v>
      </c>
      <c r="AQ938" s="276">
        <f t="shared" si="857"/>
        <v>-4.5267556150022594</v>
      </c>
      <c r="AR938" s="276">
        <f t="shared" si="858"/>
        <v>-2.2474526309528828</v>
      </c>
      <c r="AS938" s="276">
        <f t="shared" si="859"/>
        <v>-4.1052471063277904</v>
      </c>
      <c r="AT938" s="276">
        <f t="shared" si="860"/>
        <v>-0.7494716607805354</v>
      </c>
      <c r="AU938" s="685">
        <f t="shared" si="861"/>
        <v>0.62474111189424253</v>
      </c>
      <c r="AV938" s="276">
        <f t="shared" si="862"/>
        <v>2.0246897664066443</v>
      </c>
      <c r="AW938" s="276">
        <f t="shared" si="863"/>
        <v>1.2569021459106688</v>
      </c>
      <c r="AX938" s="276">
        <f t="shared" si="864"/>
        <v>1.1095945582457618</v>
      </c>
      <c r="AY938" s="276">
        <f t="shared" si="865"/>
        <v>0.88402019140034516</v>
      </c>
      <c r="AZ938" s="686">
        <f t="shared" si="866"/>
        <v>1.6560877309662876</v>
      </c>
      <c r="BA938" s="685">
        <f t="shared" si="867"/>
        <v>0</v>
      </c>
      <c r="BB938" s="276">
        <f t="shared" si="868"/>
        <v>0</v>
      </c>
      <c r="BC938" s="276">
        <f t="shared" si="869"/>
        <v>0</v>
      </c>
      <c r="BD938" s="276">
        <f t="shared" si="870"/>
        <v>0</v>
      </c>
      <c r="BE938" s="276">
        <f t="shared" si="871"/>
        <v>0</v>
      </c>
      <c r="BF938" s="686">
        <f t="shared" si="872"/>
        <v>0</v>
      </c>
      <c r="BG938" s="685" t="e">
        <f t="shared" si="873"/>
        <v>#DIV/0!</v>
      </c>
      <c r="BH938" s="276" t="e">
        <f t="shared" si="874"/>
        <v>#DIV/0!</v>
      </c>
      <c r="BI938" s="276" t="e">
        <f t="shared" si="875"/>
        <v>#DIV/0!</v>
      </c>
      <c r="BJ938" s="276" t="e">
        <f t="shared" si="876"/>
        <v>#DIV/0!</v>
      </c>
      <c r="BK938" s="276" t="e">
        <f t="shared" si="877"/>
        <v>#DIV/0!</v>
      </c>
      <c r="BL938" s="686" t="e">
        <f t="shared" si="878"/>
        <v>#DIV/0!</v>
      </c>
      <c r="BM938" s="239"/>
      <c r="BN938" s="965" t="e">
        <f t="shared" si="879"/>
        <v>#VALUE!</v>
      </c>
      <c r="BO938" s="878" t="e">
        <f t="shared" si="880"/>
        <v>#VALUE!</v>
      </c>
      <c r="BP938" s="878" t="e">
        <f t="shared" si="881"/>
        <v>#VALUE!</v>
      </c>
      <c r="BQ938" s="878" t="e">
        <f t="shared" si="882"/>
        <v>#VALUE!</v>
      </c>
      <c r="BR938" s="878" t="e">
        <f t="shared" si="883"/>
        <v>#VALUE!</v>
      </c>
      <c r="BS938" s="966" t="e">
        <f t="shared" si="884"/>
        <v>#VALUE!</v>
      </c>
    </row>
    <row r="939" spans="1:71">
      <c r="A939" s="284">
        <f t="shared" si="885"/>
        <v>871</v>
      </c>
      <c r="B939" s="285">
        <v>-1.904627938164259</v>
      </c>
      <c r="C939" s="285">
        <v>1.7183441916637487</v>
      </c>
      <c r="D939" s="285">
        <v>1.7988147051433578</v>
      </c>
      <c r="E939" s="285">
        <v>-23.64569209436484</v>
      </c>
      <c r="H939" s="685">
        <f t="shared" si="831"/>
        <v>-3.0378617799333139</v>
      </c>
      <c r="I939" s="276">
        <f t="shared" si="832"/>
        <v>-1.2373367686649861</v>
      </c>
      <c r="J939" s="276">
        <f t="shared" si="833"/>
        <v>-0.9323371433023171</v>
      </c>
      <c r="K939" s="276">
        <f t="shared" si="834"/>
        <v>-2.2177414619902756</v>
      </c>
      <c r="L939" s="276">
        <f t="shared" si="835"/>
        <v>0.38334924827779182</v>
      </c>
      <c r="M939" s="276">
        <f t="shared" si="836"/>
        <v>-1.1501233324189764</v>
      </c>
      <c r="N939" s="685">
        <f t="shared" si="837"/>
        <v>0.51117298069188033</v>
      </c>
      <c r="O939" s="276">
        <f t="shared" si="838"/>
        <v>1.0306020586135805</v>
      </c>
      <c r="P939" s="276">
        <f t="shared" si="839"/>
        <v>1.4064648361230823</v>
      </c>
      <c r="Q939" s="276">
        <f t="shared" si="840"/>
        <v>0.85360851049010367</v>
      </c>
      <c r="R939" s="276">
        <f t="shared" si="841"/>
        <v>1.5820754868029876</v>
      </c>
      <c r="S939" s="686">
        <f t="shared" si="842"/>
        <v>0.96331903894954451</v>
      </c>
      <c r="T939" s="685">
        <f t="shared" si="843"/>
        <v>5.0771783954142835</v>
      </c>
      <c r="U939" s="276">
        <f t="shared" si="844"/>
        <v>4.0075199453123069</v>
      </c>
      <c r="V939" s="276">
        <f t="shared" si="845"/>
        <v>4.7517523398293866</v>
      </c>
      <c r="W939" s="276">
        <f t="shared" si="846"/>
        <v>3.2320664504489014</v>
      </c>
      <c r="X939" s="276">
        <f t="shared" si="847"/>
        <v>5.4853854964208661</v>
      </c>
      <c r="Y939" s="686">
        <f t="shared" si="848"/>
        <v>4.4958733498309291</v>
      </c>
      <c r="Z939" s="685" t="e">
        <f t="shared" si="849"/>
        <v>#DIV/0!</v>
      </c>
      <c r="AA939" s="276" t="e">
        <f t="shared" si="850"/>
        <v>#DIV/0!</v>
      </c>
      <c r="AB939" s="276" t="e">
        <f t="shared" si="851"/>
        <v>#DIV/0!</v>
      </c>
      <c r="AC939" s="276" t="e">
        <f t="shared" si="852"/>
        <v>#DIV/0!</v>
      </c>
      <c r="AD939" s="276" t="e">
        <f t="shared" si="853"/>
        <v>#DIV/0!</v>
      </c>
      <c r="AE939" s="686" t="e">
        <f t="shared" si="854"/>
        <v>#DIV/0!</v>
      </c>
      <c r="AF939" s="239"/>
      <c r="AG939" s="965" t="e">
        <f t="shared" si="825"/>
        <v>#VALUE!</v>
      </c>
      <c r="AH939" s="878" t="e">
        <f t="shared" si="826"/>
        <v>#VALUE!</v>
      </c>
      <c r="AI939" s="878" t="e">
        <f t="shared" si="827"/>
        <v>#VALUE!</v>
      </c>
      <c r="AJ939" s="878" t="e">
        <f t="shared" si="828"/>
        <v>#VALUE!</v>
      </c>
      <c r="AK939" s="878" t="e">
        <f t="shared" si="829"/>
        <v>#VALUE!</v>
      </c>
      <c r="AL939" s="966" t="e">
        <f t="shared" si="830"/>
        <v>#VALUE!</v>
      </c>
      <c r="AM939" s="239"/>
      <c r="AO939" s="685">
        <f t="shared" si="855"/>
        <v>-3.0378617799333139</v>
      </c>
      <c r="AP939" s="276">
        <f t="shared" si="856"/>
        <v>-1.2373367686649861</v>
      </c>
      <c r="AQ939" s="276">
        <f t="shared" si="857"/>
        <v>-0.9323371433023171</v>
      </c>
      <c r="AR939" s="276">
        <f t="shared" si="858"/>
        <v>-2.2177414619902756</v>
      </c>
      <c r="AS939" s="276">
        <f t="shared" si="859"/>
        <v>0.38334924827779182</v>
      </c>
      <c r="AT939" s="276">
        <f t="shared" si="860"/>
        <v>-1.1501233324189764</v>
      </c>
      <c r="AU939" s="685">
        <f t="shared" si="861"/>
        <v>0.51117298069188033</v>
      </c>
      <c r="AV939" s="276">
        <f t="shared" si="862"/>
        <v>1.0306020586135805</v>
      </c>
      <c r="AW939" s="276">
        <f t="shared" si="863"/>
        <v>1.4064648361230823</v>
      </c>
      <c r="AX939" s="276">
        <f t="shared" si="864"/>
        <v>0.85360851049010367</v>
      </c>
      <c r="AY939" s="276">
        <f t="shared" si="865"/>
        <v>1.5820754868029876</v>
      </c>
      <c r="AZ939" s="686">
        <f t="shared" si="866"/>
        <v>0.96331903894954451</v>
      </c>
      <c r="BA939" s="685">
        <f t="shared" si="867"/>
        <v>0</v>
      </c>
      <c r="BB939" s="276">
        <f t="shared" si="868"/>
        <v>0</v>
      </c>
      <c r="BC939" s="276">
        <f t="shared" si="869"/>
        <v>0</v>
      </c>
      <c r="BD939" s="276">
        <f t="shared" si="870"/>
        <v>0</v>
      </c>
      <c r="BE939" s="276">
        <f t="shared" si="871"/>
        <v>0</v>
      </c>
      <c r="BF939" s="686">
        <f t="shared" si="872"/>
        <v>0</v>
      </c>
      <c r="BG939" s="685" t="e">
        <f t="shared" si="873"/>
        <v>#DIV/0!</v>
      </c>
      <c r="BH939" s="276" t="e">
        <f t="shared" si="874"/>
        <v>#DIV/0!</v>
      </c>
      <c r="BI939" s="276" t="e">
        <f t="shared" si="875"/>
        <v>#DIV/0!</v>
      </c>
      <c r="BJ939" s="276" t="e">
        <f t="shared" si="876"/>
        <v>#DIV/0!</v>
      </c>
      <c r="BK939" s="276" t="e">
        <f t="shared" si="877"/>
        <v>#DIV/0!</v>
      </c>
      <c r="BL939" s="686" t="e">
        <f t="shared" si="878"/>
        <v>#DIV/0!</v>
      </c>
      <c r="BM939" s="239"/>
      <c r="BN939" s="965" t="e">
        <f t="shared" si="879"/>
        <v>#VALUE!</v>
      </c>
      <c r="BO939" s="878" t="e">
        <f t="shared" si="880"/>
        <v>#VALUE!</v>
      </c>
      <c r="BP939" s="878" t="e">
        <f t="shared" si="881"/>
        <v>#VALUE!</v>
      </c>
      <c r="BQ939" s="878" t="e">
        <f t="shared" si="882"/>
        <v>#VALUE!</v>
      </c>
      <c r="BR939" s="878" t="e">
        <f t="shared" si="883"/>
        <v>#VALUE!</v>
      </c>
      <c r="BS939" s="966" t="e">
        <f t="shared" si="884"/>
        <v>#VALUE!</v>
      </c>
    </row>
    <row r="940" spans="1:71">
      <c r="A940" s="284">
        <f t="shared" si="885"/>
        <v>872</v>
      </c>
      <c r="B940" s="285">
        <v>1.3894394894093283</v>
      </c>
      <c r="C940" s="285">
        <v>2.1479268198855559</v>
      </c>
      <c r="D940" s="285">
        <v>2.7866012916163387</v>
      </c>
      <c r="E940" s="285">
        <v>-7.2929846996834549</v>
      </c>
      <c r="H940" s="685">
        <f t="shared" si="831"/>
        <v>0.25620564764027343</v>
      </c>
      <c r="I940" s="276">
        <f t="shared" si="832"/>
        <v>-3.9054352150588993</v>
      </c>
      <c r="J940" s="276">
        <f t="shared" si="833"/>
        <v>-0.55109788208635746</v>
      </c>
      <c r="K940" s="276">
        <f t="shared" si="834"/>
        <v>-1.2138012212181006</v>
      </c>
      <c r="L940" s="276">
        <f t="shared" si="835"/>
        <v>-1.6888286981927449</v>
      </c>
      <c r="M940" s="276">
        <f t="shared" si="836"/>
        <v>-2.8102968478266868</v>
      </c>
      <c r="N940" s="685">
        <f t="shared" si="837"/>
        <v>0.94075560891368748</v>
      </c>
      <c r="O940" s="276">
        <f t="shared" si="838"/>
        <v>1.5569040852400577</v>
      </c>
      <c r="P940" s="276">
        <f t="shared" si="839"/>
        <v>1.1327170375765403</v>
      </c>
      <c r="Q940" s="276">
        <f t="shared" si="840"/>
        <v>1.1611135843463167</v>
      </c>
      <c r="R940" s="276">
        <f t="shared" si="841"/>
        <v>1.0254793619330782</v>
      </c>
      <c r="S940" s="686">
        <f t="shared" si="842"/>
        <v>1.6283988270474981</v>
      </c>
      <c r="T940" s="685">
        <f t="shared" si="843"/>
        <v>6.0649649818872646</v>
      </c>
      <c r="U940" s="276">
        <f t="shared" si="844"/>
        <v>3.6609594124450693</v>
      </c>
      <c r="V940" s="276">
        <f t="shared" si="845"/>
        <v>2.4855028676573943</v>
      </c>
      <c r="W940" s="276">
        <f t="shared" si="846"/>
        <v>3.8709073499970694</v>
      </c>
      <c r="X940" s="276">
        <f t="shared" si="847"/>
        <v>5.5859024674791922</v>
      </c>
      <c r="Y940" s="686">
        <f t="shared" si="848"/>
        <v>3.8934449105001274</v>
      </c>
      <c r="Z940" s="685" t="e">
        <f t="shared" si="849"/>
        <v>#DIV/0!</v>
      </c>
      <c r="AA940" s="276" t="e">
        <f t="shared" si="850"/>
        <v>#DIV/0!</v>
      </c>
      <c r="AB940" s="276" t="e">
        <f t="shared" si="851"/>
        <v>#DIV/0!</v>
      </c>
      <c r="AC940" s="276" t="e">
        <f t="shared" si="852"/>
        <v>#DIV/0!</v>
      </c>
      <c r="AD940" s="276" t="e">
        <f t="shared" si="853"/>
        <v>#DIV/0!</v>
      </c>
      <c r="AE940" s="686" t="e">
        <f t="shared" si="854"/>
        <v>#DIV/0!</v>
      </c>
      <c r="AF940" s="239"/>
      <c r="AG940" s="965" t="e">
        <f t="shared" si="825"/>
        <v>#VALUE!</v>
      </c>
      <c r="AH940" s="878" t="e">
        <f t="shared" si="826"/>
        <v>#VALUE!</v>
      </c>
      <c r="AI940" s="878" t="e">
        <f t="shared" si="827"/>
        <v>#VALUE!</v>
      </c>
      <c r="AJ940" s="878" t="e">
        <f t="shared" si="828"/>
        <v>#VALUE!</v>
      </c>
      <c r="AK940" s="878" t="e">
        <f t="shared" si="829"/>
        <v>#VALUE!</v>
      </c>
      <c r="AL940" s="966" t="e">
        <f t="shared" si="830"/>
        <v>#VALUE!</v>
      </c>
      <c r="AM940" s="239"/>
      <c r="AO940" s="685">
        <f t="shared" si="855"/>
        <v>0.25620564764027343</v>
      </c>
      <c r="AP940" s="276">
        <f t="shared" si="856"/>
        <v>-3.9054352150588993</v>
      </c>
      <c r="AQ940" s="276">
        <f t="shared" si="857"/>
        <v>-0.55109788208635746</v>
      </c>
      <c r="AR940" s="276">
        <f t="shared" si="858"/>
        <v>-1.2138012212181006</v>
      </c>
      <c r="AS940" s="276">
        <f t="shared" si="859"/>
        <v>-1.6888286981927449</v>
      </c>
      <c r="AT940" s="276">
        <f t="shared" si="860"/>
        <v>-2.8102968478266868</v>
      </c>
      <c r="AU940" s="685">
        <f t="shared" si="861"/>
        <v>0.94075560891368748</v>
      </c>
      <c r="AV940" s="276">
        <f t="shared" si="862"/>
        <v>1.5569040852400577</v>
      </c>
      <c r="AW940" s="276">
        <f t="shared" si="863"/>
        <v>1.1327170375765403</v>
      </c>
      <c r="AX940" s="276">
        <f t="shared" si="864"/>
        <v>1.1611135843463167</v>
      </c>
      <c r="AY940" s="276">
        <f t="shared" si="865"/>
        <v>1.0254793619330782</v>
      </c>
      <c r="AZ940" s="686">
        <f t="shared" si="866"/>
        <v>1.6283988270474981</v>
      </c>
      <c r="BA940" s="685">
        <f t="shared" si="867"/>
        <v>0</v>
      </c>
      <c r="BB940" s="276">
        <f t="shared" si="868"/>
        <v>0</v>
      </c>
      <c r="BC940" s="276">
        <f t="shared" si="869"/>
        <v>0</v>
      </c>
      <c r="BD940" s="276">
        <f t="shared" si="870"/>
        <v>0</v>
      </c>
      <c r="BE940" s="276">
        <f t="shared" si="871"/>
        <v>0</v>
      </c>
      <c r="BF940" s="686">
        <f t="shared" si="872"/>
        <v>0</v>
      </c>
      <c r="BG940" s="685" t="e">
        <f t="shared" si="873"/>
        <v>#DIV/0!</v>
      </c>
      <c r="BH940" s="276" t="e">
        <f t="shared" si="874"/>
        <v>#DIV/0!</v>
      </c>
      <c r="BI940" s="276" t="e">
        <f t="shared" si="875"/>
        <v>#DIV/0!</v>
      </c>
      <c r="BJ940" s="276" t="e">
        <f t="shared" si="876"/>
        <v>#DIV/0!</v>
      </c>
      <c r="BK940" s="276" t="e">
        <f t="shared" si="877"/>
        <v>#DIV/0!</v>
      </c>
      <c r="BL940" s="686" t="e">
        <f t="shared" si="878"/>
        <v>#DIV/0!</v>
      </c>
      <c r="BM940" s="239"/>
      <c r="BN940" s="965" t="e">
        <f t="shared" si="879"/>
        <v>#VALUE!</v>
      </c>
      <c r="BO940" s="878" t="e">
        <f t="shared" si="880"/>
        <v>#VALUE!</v>
      </c>
      <c r="BP940" s="878" t="e">
        <f t="shared" si="881"/>
        <v>#VALUE!</v>
      </c>
      <c r="BQ940" s="878" t="e">
        <f t="shared" si="882"/>
        <v>#VALUE!</v>
      </c>
      <c r="BR940" s="878" t="e">
        <f t="shared" si="883"/>
        <v>#VALUE!</v>
      </c>
      <c r="BS940" s="966" t="e">
        <f t="shared" si="884"/>
        <v>#VALUE!</v>
      </c>
    </row>
    <row r="941" spans="1:71">
      <c r="A941" s="284">
        <f t="shared" si="885"/>
        <v>873</v>
      </c>
      <c r="B941" s="285">
        <v>-1.7596824373110176</v>
      </c>
      <c r="C941" s="285">
        <v>2.5207301747254225</v>
      </c>
      <c r="D941" s="285">
        <v>1.4883837156769917</v>
      </c>
      <c r="E941" s="285">
        <v>-6.9409182111760561</v>
      </c>
      <c r="H941" s="685">
        <f t="shared" si="831"/>
        <v>-2.8929162790800724</v>
      </c>
      <c r="I941" s="276">
        <f t="shared" si="832"/>
        <v>-0.87949015901760852</v>
      </c>
      <c r="J941" s="276">
        <f t="shared" si="833"/>
        <v>-0.97374492335127671</v>
      </c>
      <c r="K941" s="276">
        <f t="shared" si="834"/>
        <v>0.64487704321272776</v>
      </c>
      <c r="L941" s="276">
        <f t="shared" si="835"/>
        <v>0.18058274627921067</v>
      </c>
      <c r="M941" s="276">
        <f t="shared" si="836"/>
        <v>-3.0954833345877679</v>
      </c>
      <c r="N941" s="685">
        <f t="shared" si="837"/>
        <v>1.3135589637535541</v>
      </c>
      <c r="O941" s="276">
        <f t="shared" si="838"/>
        <v>0.8905675858707236</v>
      </c>
      <c r="P941" s="276">
        <f t="shared" si="839"/>
        <v>1.6991882141859553</v>
      </c>
      <c r="Q941" s="276">
        <f t="shared" si="840"/>
        <v>1.4717805781810147</v>
      </c>
      <c r="R941" s="276">
        <f t="shared" si="841"/>
        <v>1.4777492874191986</v>
      </c>
      <c r="S941" s="686">
        <f t="shared" si="842"/>
        <v>0.60137177235811978</v>
      </c>
      <c r="T941" s="685">
        <f t="shared" si="843"/>
        <v>4.7667474059479176</v>
      </c>
      <c r="U941" s="276">
        <f t="shared" si="844"/>
        <v>4.5868031106869953</v>
      </c>
      <c r="V941" s="276">
        <f t="shared" si="845"/>
        <v>4.0994527755010273</v>
      </c>
      <c r="W941" s="276">
        <f t="shared" si="846"/>
        <v>3.3771607078800656</v>
      </c>
      <c r="X941" s="276">
        <f t="shared" si="847"/>
        <v>3.843875807430535</v>
      </c>
      <c r="Y941" s="686">
        <f t="shared" si="848"/>
        <v>6.4202045405875268</v>
      </c>
      <c r="Z941" s="685" t="e">
        <f t="shared" si="849"/>
        <v>#DIV/0!</v>
      </c>
      <c r="AA941" s="276" t="e">
        <f t="shared" si="850"/>
        <v>#DIV/0!</v>
      </c>
      <c r="AB941" s="276" t="e">
        <f t="shared" si="851"/>
        <v>#DIV/0!</v>
      </c>
      <c r="AC941" s="276" t="e">
        <f t="shared" si="852"/>
        <v>#DIV/0!</v>
      </c>
      <c r="AD941" s="276" t="e">
        <f t="shared" si="853"/>
        <v>#DIV/0!</v>
      </c>
      <c r="AE941" s="686" t="e">
        <f t="shared" si="854"/>
        <v>#DIV/0!</v>
      </c>
      <c r="AF941" s="239"/>
      <c r="AG941" s="965" t="e">
        <f t="shared" si="825"/>
        <v>#VALUE!</v>
      </c>
      <c r="AH941" s="878" t="e">
        <f t="shared" si="826"/>
        <v>#VALUE!</v>
      </c>
      <c r="AI941" s="878" t="e">
        <f t="shared" si="827"/>
        <v>#VALUE!</v>
      </c>
      <c r="AJ941" s="878" t="e">
        <f t="shared" si="828"/>
        <v>#VALUE!</v>
      </c>
      <c r="AK941" s="878" t="e">
        <f t="shared" si="829"/>
        <v>#VALUE!</v>
      </c>
      <c r="AL941" s="966" t="e">
        <f t="shared" si="830"/>
        <v>#VALUE!</v>
      </c>
      <c r="AM941" s="239"/>
      <c r="AO941" s="685">
        <f t="shared" si="855"/>
        <v>-2.8929162790800724</v>
      </c>
      <c r="AP941" s="276">
        <f t="shared" si="856"/>
        <v>-0.87949015901760852</v>
      </c>
      <c r="AQ941" s="276">
        <f t="shared" si="857"/>
        <v>-0.97374492335127671</v>
      </c>
      <c r="AR941" s="276">
        <f t="shared" si="858"/>
        <v>0.64487704321272776</v>
      </c>
      <c r="AS941" s="276">
        <f t="shared" si="859"/>
        <v>0.18058274627921067</v>
      </c>
      <c r="AT941" s="276">
        <f t="shared" si="860"/>
        <v>-3.0954833345877679</v>
      </c>
      <c r="AU941" s="685">
        <f t="shared" si="861"/>
        <v>1.3135589637535541</v>
      </c>
      <c r="AV941" s="276">
        <f t="shared" si="862"/>
        <v>0.8905675858707236</v>
      </c>
      <c r="AW941" s="276">
        <f t="shared" si="863"/>
        <v>1.6991882141859553</v>
      </c>
      <c r="AX941" s="276">
        <f t="shared" si="864"/>
        <v>1.4717805781810147</v>
      </c>
      <c r="AY941" s="276">
        <f t="shared" si="865"/>
        <v>1.4777492874191986</v>
      </c>
      <c r="AZ941" s="686">
        <f t="shared" si="866"/>
        <v>0.60137177235811978</v>
      </c>
      <c r="BA941" s="685">
        <f t="shared" si="867"/>
        <v>0</v>
      </c>
      <c r="BB941" s="276">
        <f t="shared" si="868"/>
        <v>0</v>
      </c>
      <c r="BC941" s="276">
        <f t="shared" si="869"/>
        <v>0</v>
      </c>
      <c r="BD941" s="276">
        <f t="shared" si="870"/>
        <v>0</v>
      </c>
      <c r="BE941" s="276">
        <f t="shared" si="871"/>
        <v>0</v>
      </c>
      <c r="BF941" s="686">
        <f t="shared" si="872"/>
        <v>0</v>
      </c>
      <c r="BG941" s="685" t="e">
        <f t="shared" si="873"/>
        <v>#DIV/0!</v>
      </c>
      <c r="BH941" s="276" t="e">
        <f t="shared" si="874"/>
        <v>#DIV/0!</v>
      </c>
      <c r="BI941" s="276" t="e">
        <f t="shared" si="875"/>
        <v>#DIV/0!</v>
      </c>
      <c r="BJ941" s="276" t="e">
        <f t="shared" si="876"/>
        <v>#DIV/0!</v>
      </c>
      <c r="BK941" s="276" t="e">
        <f t="shared" si="877"/>
        <v>#DIV/0!</v>
      </c>
      <c r="BL941" s="686" t="e">
        <f t="shared" si="878"/>
        <v>#DIV/0!</v>
      </c>
      <c r="BM941" s="239"/>
      <c r="BN941" s="965" t="e">
        <f t="shared" si="879"/>
        <v>#VALUE!</v>
      </c>
      <c r="BO941" s="878" t="e">
        <f t="shared" si="880"/>
        <v>#VALUE!</v>
      </c>
      <c r="BP941" s="878" t="e">
        <f t="shared" si="881"/>
        <v>#VALUE!</v>
      </c>
      <c r="BQ941" s="878" t="e">
        <f t="shared" si="882"/>
        <v>#VALUE!</v>
      </c>
      <c r="BR941" s="878" t="e">
        <f t="shared" si="883"/>
        <v>#VALUE!</v>
      </c>
      <c r="BS941" s="966" t="e">
        <f t="shared" si="884"/>
        <v>#VALUE!</v>
      </c>
    </row>
    <row r="942" spans="1:71">
      <c r="A942" s="284">
        <f t="shared" si="885"/>
        <v>874</v>
      </c>
      <c r="B942" s="285">
        <v>0.16467752244733658</v>
      </c>
      <c r="C942" s="285">
        <v>3.0045056369012024</v>
      </c>
      <c r="D942" s="285">
        <v>1.7312745792866051</v>
      </c>
      <c r="E942" s="285">
        <v>9.9754702536309008</v>
      </c>
      <c r="H942" s="685">
        <f t="shared" si="831"/>
        <v>-0.96855631932171826</v>
      </c>
      <c r="I942" s="276">
        <f t="shared" si="832"/>
        <v>-0.1817307774144169</v>
      </c>
      <c r="J942" s="276">
        <f t="shared" si="833"/>
        <v>-1.5894154804264058</v>
      </c>
      <c r="K942" s="276">
        <f t="shared" si="834"/>
        <v>-0.95836147355024004</v>
      </c>
      <c r="L942" s="276">
        <f t="shared" si="835"/>
        <v>-0.64984411394116237</v>
      </c>
      <c r="M942" s="276">
        <f t="shared" si="836"/>
        <v>-1.4107102687577799</v>
      </c>
      <c r="N942" s="685">
        <f t="shared" si="837"/>
        <v>1.797334425929334</v>
      </c>
      <c r="O942" s="276">
        <f t="shared" si="838"/>
        <v>2.8989417387759833</v>
      </c>
      <c r="P942" s="276">
        <f t="shared" si="839"/>
        <v>0.88997253117853403</v>
      </c>
      <c r="Q942" s="276">
        <f t="shared" si="840"/>
        <v>1.1666759004577212</v>
      </c>
      <c r="R942" s="276">
        <f t="shared" si="841"/>
        <v>1.1983344741917576</v>
      </c>
      <c r="S942" s="686">
        <f t="shared" si="842"/>
        <v>1.5657803267399253</v>
      </c>
      <c r="T942" s="685">
        <f t="shared" si="843"/>
        <v>5.0096382695575308</v>
      </c>
      <c r="U942" s="276">
        <f t="shared" si="844"/>
        <v>2.1116839766673792</v>
      </c>
      <c r="V942" s="276">
        <f t="shared" si="845"/>
        <v>2.4273992230526402</v>
      </c>
      <c r="W942" s="276">
        <f t="shared" si="846"/>
        <v>3.3570230539067394</v>
      </c>
      <c r="X942" s="276">
        <f t="shared" si="847"/>
        <v>5.2313041017969102</v>
      </c>
      <c r="Y942" s="686">
        <f t="shared" si="848"/>
        <v>5.535209113504127</v>
      </c>
      <c r="Z942" s="685" t="e">
        <f t="shared" si="849"/>
        <v>#DIV/0!</v>
      </c>
      <c r="AA942" s="276" t="e">
        <f t="shared" si="850"/>
        <v>#DIV/0!</v>
      </c>
      <c r="AB942" s="276" t="e">
        <f t="shared" si="851"/>
        <v>#DIV/0!</v>
      </c>
      <c r="AC942" s="276" t="e">
        <f t="shared" si="852"/>
        <v>#DIV/0!</v>
      </c>
      <c r="AD942" s="276" t="e">
        <f t="shared" si="853"/>
        <v>#DIV/0!</v>
      </c>
      <c r="AE942" s="686" t="e">
        <f t="shared" si="854"/>
        <v>#DIV/0!</v>
      </c>
      <c r="AF942" s="239"/>
      <c r="AG942" s="965" t="e">
        <f t="shared" si="825"/>
        <v>#VALUE!</v>
      </c>
      <c r="AH942" s="878" t="e">
        <f t="shared" si="826"/>
        <v>#VALUE!</v>
      </c>
      <c r="AI942" s="878" t="e">
        <f t="shared" si="827"/>
        <v>#VALUE!</v>
      </c>
      <c r="AJ942" s="878" t="e">
        <f t="shared" si="828"/>
        <v>#VALUE!</v>
      </c>
      <c r="AK942" s="878" t="e">
        <f t="shared" si="829"/>
        <v>#VALUE!</v>
      </c>
      <c r="AL942" s="966" t="e">
        <f t="shared" si="830"/>
        <v>#VALUE!</v>
      </c>
      <c r="AM942" s="239"/>
      <c r="AO942" s="685">
        <f t="shared" si="855"/>
        <v>-0.96855631932171826</v>
      </c>
      <c r="AP942" s="276">
        <f t="shared" si="856"/>
        <v>-0.1817307774144169</v>
      </c>
      <c r="AQ942" s="276">
        <f t="shared" si="857"/>
        <v>-1.5894154804264058</v>
      </c>
      <c r="AR942" s="276">
        <f t="shared" si="858"/>
        <v>-0.95836147355024004</v>
      </c>
      <c r="AS942" s="276">
        <f t="shared" si="859"/>
        <v>-0.64984411394116237</v>
      </c>
      <c r="AT942" s="276">
        <f t="shared" si="860"/>
        <v>-1.4107102687577799</v>
      </c>
      <c r="AU942" s="685">
        <f t="shared" si="861"/>
        <v>1.797334425929334</v>
      </c>
      <c r="AV942" s="276">
        <f t="shared" si="862"/>
        <v>2.8989417387759833</v>
      </c>
      <c r="AW942" s="276">
        <f t="shared" si="863"/>
        <v>0.88997253117853403</v>
      </c>
      <c r="AX942" s="276">
        <f t="shared" si="864"/>
        <v>1.1666759004577212</v>
      </c>
      <c r="AY942" s="276">
        <f t="shared" si="865"/>
        <v>1.1983344741917576</v>
      </c>
      <c r="AZ942" s="686">
        <f t="shared" si="866"/>
        <v>1.5657803267399253</v>
      </c>
      <c r="BA942" s="685">
        <f t="shared" si="867"/>
        <v>0</v>
      </c>
      <c r="BB942" s="276">
        <f t="shared" si="868"/>
        <v>0</v>
      </c>
      <c r="BC942" s="276">
        <f t="shared" si="869"/>
        <v>0</v>
      </c>
      <c r="BD942" s="276">
        <f t="shared" si="870"/>
        <v>0</v>
      </c>
      <c r="BE942" s="276">
        <f t="shared" si="871"/>
        <v>0</v>
      </c>
      <c r="BF942" s="686">
        <f t="shared" si="872"/>
        <v>0</v>
      </c>
      <c r="BG942" s="685" t="e">
        <f t="shared" si="873"/>
        <v>#DIV/0!</v>
      </c>
      <c r="BH942" s="276" t="e">
        <f t="shared" si="874"/>
        <v>#DIV/0!</v>
      </c>
      <c r="BI942" s="276" t="e">
        <f t="shared" si="875"/>
        <v>#DIV/0!</v>
      </c>
      <c r="BJ942" s="276" t="e">
        <f t="shared" si="876"/>
        <v>#DIV/0!</v>
      </c>
      <c r="BK942" s="276" t="e">
        <f t="shared" si="877"/>
        <v>#DIV/0!</v>
      </c>
      <c r="BL942" s="686" t="e">
        <f t="shared" si="878"/>
        <v>#DIV/0!</v>
      </c>
      <c r="BM942" s="239"/>
      <c r="BN942" s="965" t="e">
        <f t="shared" si="879"/>
        <v>#VALUE!</v>
      </c>
      <c r="BO942" s="878" t="e">
        <f t="shared" si="880"/>
        <v>#VALUE!</v>
      </c>
      <c r="BP942" s="878" t="e">
        <f t="shared" si="881"/>
        <v>#VALUE!</v>
      </c>
      <c r="BQ942" s="878" t="e">
        <f t="shared" si="882"/>
        <v>#VALUE!</v>
      </c>
      <c r="BR942" s="878" t="e">
        <f t="shared" si="883"/>
        <v>#VALUE!</v>
      </c>
      <c r="BS942" s="966" t="e">
        <f t="shared" si="884"/>
        <v>#VALUE!</v>
      </c>
    </row>
    <row r="943" spans="1:71">
      <c r="A943" s="284">
        <f t="shared" si="885"/>
        <v>875</v>
      </c>
      <c r="B943" s="285">
        <v>-2.9691561284143466</v>
      </c>
      <c r="C943" s="285">
        <v>1.9793345552468498</v>
      </c>
      <c r="D943" s="285">
        <v>6.691063777350359E-2</v>
      </c>
      <c r="E943" s="285">
        <v>-15.362330961729675</v>
      </c>
      <c r="H943" s="685">
        <f t="shared" si="831"/>
        <v>-4.1023899701834017</v>
      </c>
      <c r="I943" s="276">
        <f t="shared" si="832"/>
        <v>-2.6163253124559782</v>
      </c>
      <c r="J943" s="276">
        <f t="shared" si="833"/>
        <v>-4.207203080436452</v>
      </c>
      <c r="K943" s="276">
        <f t="shared" si="834"/>
        <v>-1.0914097504855025</v>
      </c>
      <c r="L943" s="276">
        <f t="shared" si="835"/>
        <v>-3.0835007023447423</v>
      </c>
      <c r="M943" s="276">
        <f t="shared" si="836"/>
        <v>-2.6769574635394009</v>
      </c>
      <c r="N943" s="685">
        <f t="shared" si="837"/>
        <v>0.77216334427498134</v>
      </c>
      <c r="O943" s="276">
        <f t="shared" si="838"/>
        <v>1.8397853864676617</v>
      </c>
      <c r="P943" s="276">
        <f t="shared" si="839"/>
        <v>0.59384480883080681</v>
      </c>
      <c r="Q943" s="276">
        <f t="shared" si="840"/>
        <v>0.96984004270251067</v>
      </c>
      <c r="R943" s="276">
        <f t="shared" si="841"/>
        <v>1.6175795932560086</v>
      </c>
      <c r="S943" s="686">
        <f t="shared" si="842"/>
        <v>1.0352145502101828</v>
      </c>
      <c r="T943" s="685">
        <f t="shared" si="843"/>
        <v>3.3452743280444297</v>
      </c>
      <c r="U943" s="276">
        <f t="shared" si="844"/>
        <v>2.6281289283325497</v>
      </c>
      <c r="V943" s="276">
        <f t="shared" si="845"/>
        <v>4.1849389891290798</v>
      </c>
      <c r="W943" s="276">
        <f t="shared" si="846"/>
        <v>3.9584668605680724</v>
      </c>
      <c r="X943" s="276">
        <f t="shared" si="847"/>
        <v>3.0276113243508735</v>
      </c>
      <c r="Y943" s="686">
        <f t="shared" si="848"/>
        <v>4.3182167876805515</v>
      </c>
      <c r="Z943" s="685" t="e">
        <f t="shared" si="849"/>
        <v>#DIV/0!</v>
      </c>
      <c r="AA943" s="276" t="e">
        <f t="shared" si="850"/>
        <v>#DIV/0!</v>
      </c>
      <c r="AB943" s="276" t="e">
        <f t="shared" si="851"/>
        <v>#DIV/0!</v>
      </c>
      <c r="AC943" s="276" t="e">
        <f t="shared" si="852"/>
        <v>#DIV/0!</v>
      </c>
      <c r="AD943" s="276" t="e">
        <f t="shared" si="853"/>
        <v>#DIV/0!</v>
      </c>
      <c r="AE943" s="686" t="e">
        <f t="shared" si="854"/>
        <v>#DIV/0!</v>
      </c>
      <c r="AF943" s="239"/>
      <c r="AG943" s="965" t="e">
        <f t="shared" si="825"/>
        <v>#VALUE!</v>
      </c>
      <c r="AH943" s="878" t="e">
        <f t="shared" si="826"/>
        <v>#VALUE!</v>
      </c>
      <c r="AI943" s="878" t="e">
        <f t="shared" si="827"/>
        <v>#VALUE!</v>
      </c>
      <c r="AJ943" s="878" t="e">
        <f t="shared" si="828"/>
        <v>#VALUE!</v>
      </c>
      <c r="AK943" s="878" t="e">
        <f t="shared" si="829"/>
        <v>#VALUE!</v>
      </c>
      <c r="AL943" s="966" t="e">
        <f t="shared" si="830"/>
        <v>#VALUE!</v>
      </c>
      <c r="AM943" s="239"/>
      <c r="AO943" s="685">
        <f t="shared" si="855"/>
        <v>-4.1023899701834017</v>
      </c>
      <c r="AP943" s="276">
        <f t="shared" si="856"/>
        <v>-2.6163253124559782</v>
      </c>
      <c r="AQ943" s="276">
        <f t="shared" si="857"/>
        <v>-4.207203080436452</v>
      </c>
      <c r="AR943" s="276">
        <f t="shared" si="858"/>
        <v>-1.0914097504855025</v>
      </c>
      <c r="AS943" s="276">
        <f t="shared" si="859"/>
        <v>-3.0835007023447423</v>
      </c>
      <c r="AT943" s="276">
        <f t="shared" si="860"/>
        <v>-2.6769574635394009</v>
      </c>
      <c r="AU943" s="685">
        <f t="shared" si="861"/>
        <v>0.77216334427498134</v>
      </c>
      <c r="AV943" s="276">
        <f t="shared" si="862"/>
        <v>1.8397853864676617</v>
      </c>
      <c r="AW943" s="276">
        <f t="shared" si="863"/>
        <v>0.59384480883080681</v>
      </c>
      <c r="AX943" s="276">
        <f t="shared" si="864"/>
        <v>0.96984004270251067</v>
      </c>
      <c r="AY943" s="276">
        <f t="shared" si="865"/>
        <v>1.6175795932560086</v>
      </c>
      <c r="AZ943" s="686">
        <f t="shared" si="866"/>
        <v>1.0352145502101828</v>
      </c>
      <c r="BA943" s="685">
        <f t="shared" si="867"/>
        <v>0</v>
      </c>
      <c r="BB943" s="276">
        <f t="shared" si="868"/>
        <v>0</v>
      </c>
      <c r="BC943" s="276">
        <f t="shared" si="869"/>
        <v>0</v>
      </c>
      <c r="BD943" s="276">
        <f t="shared" si="870"/>
        <v>0</v>
      </c>
      <c r="BE943" s="276">
        <f t="shared" si="871"/>
        <v>0</v>
      </c>
      <c r="BF943" s="686">
        <f t="shared" si="872"/>
        <v>0</v>
      </c>
      <c r="BG943" s="685" t="e">
        <f t="shared" si="873"/>
        <v>#DIV/0!</v>
      </c>
      <c r="BH943" s="276" t="e">
        <f t="shared" si="874"/>
        <v>#DIV/0!</v>
      </c>
      <c r="BI943" s="276" t="e">
        <f t="shared" si="875"/>
        <v>#DIV/0!</v>
      </c>
      <c r="BJ943" s="276" t="e">
        <f t="shared" si="876"/>
        <v>#DIV/0!</v>
      </c>
      <c r="BK943" s="276" t="e">
        <f t="shared" si="877"/>
        <v>#DIV/0!</v>
      </c>
      <c r="BL943" s="686" t="e">
        <f t="shared" si="878"/>
        <v>#DIV/0!</v>
      </c>
      <c r="BM943" s="239"/>
      <c r="BN943" s="965" t="e">
        <f t="shared" si="879"/>
        <v>#VALUE!</v>
      </c>
      <c r="BO943" s="878" t="e">
        <f t="shared" si="880"/>
        <v>#VALUE!</v>
      </c>
      <c r="BP943" s="878" t="e">
        <f t="shared" si="881"/>
        <v>#VALUE!</v>
      </c>
      <c r="BQ943" s="878" t="e">
        <f t="shared" si="882"/>
        <v>#VALUE!</v>
      </c>
      <c r="BR943" s="878" t="e">
        <f t="shared" si="883"/>
        <v>#VALUE!</v>
      </c>
      <c r="BS943" s="966" t="e">
        <f t="shared" si="884"/>
        <v>#VALUE!</v>
      </c>
    </row>
    <row r="944" spans="1:71">
      <c r="A944" s="284">
        <f t="shared" si="885"/>
        <v>876</v>
      </c>
      <c r="B944" s="285">
        <v>-1.1233437097811565</v>
      </c>
      <c r="C944" s="285">
        <v>1.9485493148202928</v>
      </c>
      <c r="D944" s="285">
        <v>1.3418491126588847</v>
      </c>
      <c r="E944" s="285">
        <v>-14.579452774103018</v>
      </c>
      <c r="H944" s="685">
        <f t="shared" si="831"/>
        <v>-2.2565775515502113</v>
      </c>
      <c r="I944" s="276">
        <f t="shared" si="832"/>
        <v>-3.2712817380504475</v>
      </c>
      <c r="J944" s="276">
        <f t="shared" si="833"/>
        <v>-3.8589293370792044</v>
      </c>
      <c r="K944" s="276">
        <f t="shared" si="834"/>
        <v>-4.119450325576687</v>
      </c>
      <c r="L944" s="276">
        <f t="shared" si="835"/>
        <v>-1.8043030231506521</v>
      </c>
      <c r="M944" s="276">
        <f t="shared" si="836"/>
        <v>3.2699619516204219</v>
      </c>
      <c r="N944" s="685">
        <f t="shared" si="837"/>
        <v>0.7413781038484244</v>
      </c>
      <c r="O944" s="276">
        <f t="shared" si="838"/>
        <v>2.3070642533923182</v>
      </c>
      <c r="P944" s="276">
        <f t="shared" si="839"/>
        <v>0.86879110293104422</v>
      </c>
      <c r="Q944" s="276">
        <f t="shared" si="840"/>
        <v>0.88028095263676742</v>
      </c>
      <c r="R944" s="276">
        <f t="shared" si="841"/>
        <v>1.3742852926779563</v>
      </c>
      <c r="S944" s="686">
        <f t="shared" si="842"/>
        <v>1.7847016345882147</v>
      </c>
      <c r="T944" s="685">
        <f t="shared" si="843"/>
        <v>4.6202128029298102</v>
      </c>
      <c r="U944" s="276">
        <f t="shared" si="844"/>
        <v>4.7391184074430672</v>
      </c>
      <c r="V944" s="276">
        <f t="shared" si="845"/>
        <v>3.2550682918049896</v>
      </c>
      <c r="W944" s="276">
        <f t="shared" si="846"/>
        <v>3.9175689726335716</v>
      </c>
      <c r="X944" s="276">
        <f t="shared" si="847"/>
        <v>4.9393330181577593</v>
      </c>
      <c r="Y944" s="686">
        <f t="shared" si="848"/>
        <v>4.7474771803124964</v>
      </c>
      <c r="Z944" s="685" t="e">
        <f t="shared" si="849"/>
        <v>#DIV/0!</v>
      </c>
      <c r="AA944" s="276" t="e">
        <f t="shared" si="850"/>
        <v>#DIV/0!</v>
      </c>
      <c r="AB944" s="276" t="e">
        <f t="shared" si="851"/>
        <v>#DIV/0!</v>
      </c>
      <c r="AC944" s="276" t="e">
        <f t="shared" si="852"/>
        <v>#DIV/0!</v>
      </c>
      <c r="AD944" s="276" t="e">
        <f t="shared" si="853"/>
        <v>#DIV/0!</v>
      </c>
      <c r="AE944" s="686" t="e">
        <f t="shared" si="854"/>
        <v>#DIV/0!</v>
      </c>
      <c r="AF944" s="239"/>
      <c r="AG944" s="965" t="e">
        <f t="shared" si="825"/>
        <v>#VALUE!</v>
      </c>
      <c r="AH944" s="878" t="e">
        <f t="shared" si="826"/>
        <v>#VALUE!</v>
      </c>
      <c r="AI944" s="878" t="e">
        <f t="shared" si="827"/>
        <v>#VALUE!</v>
      </c>
      <c r="AJ944" s="878" t="e">
        <f t="shared" si="828"/>
        <v>#VALUE!</v>
      </c>
      <c r="AK944" s="878" t="e">
        <f t="shared" si="829"/>
        <v>#VALUE!</v>
      </c>
      <c r="AL944" s="966" t="e">
        <f t="shared" si="830"/>
        <v>#VALUE!</v>
      </c>
      <c r="AM944" s="239"/>
      <c r="AO944" s="685">
        <f t="shared" si="855"/>
        <v>-2.2565775515502113</v>
      </c>
      <c r="AP944" s="276">
        <f t="shared" si="856"/>
        <v>-3.2712817380504475</v>
      </c>
      <c r="AQ944" s="276">
        <f t="shared" si="857"/>
        <v>-3.8589293370792044</v>
      </c>
      <c r="AR944" s="276">
        <f t="shared" si="858"/>
        <v>-4.119450325576687</v>
      </c>
      <c r="AS944" s="276">
        <f t="shared" si="859"/>
        <v>-1.8043030231506521</v>
      </c>
      <c r="AT944" s="276">
        <f t="shared" si="860"/>
        <v>3.2699619516204219</v>
      </c>
      <c r="AU944" s="685">
        <f t="shared" si="861"/>
        <v>0.7413781038484244</v>
      </c>
      <c r="AV944" s="276">
        <f t="shared" si="862"/>
        <v>2.3070642533923182</v>
      </c>
      <c r="AW944" s="276">
        <f t="shared" si="863"/>
        <v>0.86879110293104422</v>
      </c>
      <c r="AX944" s="276">
        <f t="shared" si="864"/>
        <v>0.88028095263676742</v>
      </c>
      <c r="AY944" s="276">
        <f t="shared" si="865"/>
        <v>1.3742852926779563</v>
      </c>
      <c r="AZ944" s="686">
        <f t="shared" si="866"/>
        <v>1.7847016345882147</v>
      </c>
      <c r="BA944" s="685">
        <f t="shared" si="867"/>
        <v>0</v>
      </c>
      <c r="BB944" s="276">
        <f t="shared" si="868"/>
        <v>0</v>
      </c>
      <c r="BC944" s="276">
        <f t="shared" si="869"/>
        <v>0</v>
      </c>
      <c r="BD944" s="276">
        <f t="shared" si="870"/>
        <v>0</v>
      </c>
      <c r="BE944" s="276">
        <f t="shared" si="871"/>
        <v>0</v>
      </c>
      <c r="BF944" s="686">
        <f t="shared" si="872"/>
        <v>0</v>
      </c>
      <c r="BG944" s="685" t="e">
        <f t="shared" si="873"/>
        <v>#DIV/0!</v>
      </c>
      <c r="BH944" s="276" t="e">
        <f t="shared" si="874"/>
        <v>#DIV/0!</v>
      </c>
      <c r="BI944" s="276" t="e">
        <f t="shared" si="875"/>
        <v>#DIV/0!</v>
      </c>
      <c r="BJ944" s="276" t="e">
        <f t="shared" si="876"/>
        <v>#DIV/0!</v>
      </c>
      <c r="BK944" s="276" t="e">
        <f t="shared" si="877"/>
        <v>#DIV/0!</v>
      </c>
      <c r="BL944" s="686" t="e">
        <f t="shared" si="878"/>
        <v>#DIV/0!</v>
      </c>
      <c r="BM944" s="239"/>
      <c r="BN944" s="965" t="e">
        <f t="shared" si="879"/>
        <v>#VALUE!</v>
      </c>
      <c r="BO944" s="878" t="e">
        <f t="shared" si="880"/>
        <v>#VALUE!</v>
      </c>
      <c r="BP944" s="878" t="e">
        <f t="shared" si="881"/>
        <v>#VALUE!</v>
      </c>
      <c r="BQ944" s="878" t="e">
        <f t="shared" si="882"/>
        <v>#VALUE!</v>
      </c>
      <c r="BR944" s="878" t="e">
        <f t="shared" si="883"/>
        <v>#VALUE!</v>
      </c>
      <c r="BS944" s="966" t="e">
        <f t="shared" si="884"/>
        <v>#VALUE!</v>
      </c>
    </row>
    <row r="945" spans="1:71">
      <c r="A945" s="284">
        <f t="shared" si="885"/>
        <v>877</v>
      </c>
      <c r="B945" s="285">
        <v>0.75148656464841812</v>
      </c>
      <c r="C945" s="285">
        <v>2.4905829439817277</v>
      </c>
      <c r="D945" s="285">
        <v>2.7514258432023468</v>
      </c>
      <c r="E945" s="285">
        <v>-1.8732420279778039</v>
      </c>
      <c r="H945" s="685">
        <f t="shared" si="831"/>
        <v>-0.38174727712063672</v>
      </c>
      <c r="I945" s="276">
        <f t="shared" si="832"/>
        <v>-0.97662603991938468</v>
      </c>
      <c r="J945" s="276">
        <f t="shared" si="833"/>
        <v>3.1242653164566621</v>
      </c>
      <c r="K945" s="276">
        <f t="shared" si="834"/>
        <v>-1.2470676497729418</v>
      </c>
      <c r="L945" s="276">
        <f t="shared" si="835"/>
        <v>1.9461848274853943</v>
      </c>
      <c r="M945" s="276">
        <f t="shared" si="836"/>
        <v>1.8629106605508567</v>
      </c>
      <c r="N945" s="685">
        <f t="shared" si="837"/>
        <v>1.2834117330098593</v>
      </c>
      <c r="O945" s="276">
        <f t="shared" si="838"/>
        <v>1.4063686613118314</v>
      </c>
      <c r="P945" s="276">
        <f t="shared" si="839"/>
        <v>1.8017500234263453</v>
      </c>
      <c r="Q945" s="276">
        <f t="shared" si="840"/>
        <v>1.3123731335869071</v>
      </c>
      <c r="R945" s="276">
        <f t="shared" si="841"/>
        <v>1.4089252122367666</v>
      </c>
      <c r="S945" s="686">
        <f t="shared" si="842"/>
        <v>1.9290983897658742</v>
      </c>
      <c r="T945" s="685">
        <f t="shared" si="843"/>
        <v>6.0297895334732727</v>
      </c>
      <c r="U945" s="276">
        <f t="shared" si="844"/>
        <v>5.5143807067066097</v>
      </c>
      <c r="V945" s="276">
        <f t="shared" si="845"/>
        <v>3.3050486027202282</v>
      </c>
      <c r="W945" s="276">
        <f t="shared" si="846"/>
        <v>2.8300662842611155</v>
      </c>
      <c r="X945" s="276">
        <f t="shared" si="847"/>
        <v>6.4421150903108622</v>
      </c>
      <c r="Y945" s="686">
        <f t="shared" si="848"/>
        <v>5.1498404258255173</v>
      </c>
      <c r="Z945" s="685" t="e">
        <f t="shared" si="849"/>
        <v>#DIV/0!</v>
      </c>
      <c r="AA945" s="276" t="e">
        <f t="shared" si="850"/>
        <v>#DIV/0!</v>
      </c>
      <c r="AB945" s="276" t="e">
        <f t="shared" si="851"/>
        <v>#DIV/0!</v>
      </c>
      <c r="AC945" s="276" t="e">
        <f t="shared" si="852"/>
        <v>#DIV/0!</v>
      </c>
      <c r="AD945" s="276" t="e">
        <f t="shared" si="853"/>
        <v>#DIV/0!</v>
      </c>
      <c r="AE945" s="686" t="e">
        <f t="shared" si="854"/>
        <v>#DIV/0!</v>
      </c>
      <c r="AF945" s="239"/>
      <c r="AG945" s="965" t="e">
        <f t="shared" si="825"/>
        <v>#VALUE!</v>
      </c>
      <c r="AH945" s="878" t="e">
        <f t="shared" si="826"/>
        <v>#VALUE!</v>
      </c>
      <c r="AI945" s="878" t="e">
        <f t="shared" si="827"/>
        <v>#VALUE!</v>
      </c>
      <c r="AJ945" s="878" t="e">
        <f t="shared" si="828"/>
        <v>#VALUE!</v>
      </c>
      <c r="AK945" s="878" t="e">
        <f t="shared" si="829"/>
        <v>#VALUE!</v>
      </c>
      <c r="AL945" s="966" t="e">
        <f t="shared" si="830"/>
        <v>#VALUE!</v>
      </c>
      <c r="AM945" s="239"/>
      <c r="AO945" s="685">
        <f t="shared" si="855"/>
        <v>-0.38174727712063672</v>
      </c>
      <c r="AP945" s="276">
        <f t="shared" si="856"/>
        <v>-0.97662603991938468</v>
      </c>
      <c r="AQ945" s="276">
        <f t="shared" si="857"/>
        <v>3.1242653164566621</v>
      </c>
      <c r="AR945" s="276">
        <f t="shared" si="858"/>
        <v>-1.2470676497729418</v>
      </c>
      <c r="AS945" s="276">
        <f t="shared" si="859"/>
        <v>1.9461848274853943</v>
      </c>
      <c r="AT945" s="276">
        <f t="shared" si="860"/>
        <v>1.8629106605508567</v>
      </c>
      <c r="AU945" s="685">
        <f t="shared" si="861"/>
        <v>1.2834117330098593</v>
      </c>
      <c r="AV945" s="276">
        <f t="shared" si="862"/>
        <v>1.4063686613118314</v>
      </c>
      <c r="AW945" s="276">
        <f t="shared" si="863"/>
        <v>1.8017500234263453</v>
      </c>
      <c r="AX945" s="276">
        <f t="shared" si="864"/>
        <v>1.3123731335869071</v>
      </c>
      <c r="AY945" s="276">
        <f t="shared" si="865"/>
        <v>1.4089252122367666</v>
      </c>
      <c r="AZ945" s="686">
        <f t="shared" si="866"/>
        <v>1.9290983897658742</v>
      </c>
      <c r="BA945" s="685">
        <f t="shared" si="867"/>
        <v>0</v>
      </c>
      <c r="BB945" s="276">
        <f t="shared" si="868"/>
        <v>0</v>
      </c>
      <c r="BC945" s="276">
        <f t="shared" si="869"/>
        <v>0</v>
      </c>
      <c r="BD945" s="276">
        <f t="shared" si="870"/>
        <v>0</v>
      </c>
      <c r="BE945" s="276">
        <f t="shared" si="871"/>
        <v>0</v>
      </c>
      <c r="BF945" s="686">
        <f t="shared" si="872"/>
        <v>0</v>
      </c>
      <c r="BG945" s="685" t="e">
        <f t="shared" si="873"/>
        <v>#DIV/0!</v>
      </c>
      <c r="BH945" s="276" t="e">
        <f t="shared" si="874"/>
        <v>#DIV/0!</v>
      </c>
      <c r="BI945" s="276" t="e">
        <f t="shared" si="875"/>
        <v>#DIV/0!</v>
      </c>
      <c r="BJ945" s="276" t="e">
        <f t="shared" si="876"/>
        <v>#DIV/0!</v>
      </c>
      <c r="BK945" s="276" t="e">
        <f t="shared" si="877"/>
        <v>#DIV/0!</v>
      </c>
      <c r="BL945" s="686" t="e">
        <f t="shared" si="878"/>
        <v>#DIV/0!</v>
      </c>
      <c r="BM945" s="239"/>
      <c r="BN945" s="965" t="e">
        <f t="shared" si="879"/>
        <v>#VALUE!</v>
      </c>
      <c r="BO945" s="878" t="e">
        <f t="shared" si="880"/>
        <v>#VALUE!</v>
      </c>
      <c r="BP945" s="878" t="e">
        <f t="shared" si="881"/>
        <v>#VALUE!</v>
      </c>
      <c r="BQ945" s="878" t="e">
        <f t="shared" si="882"/>
        <v>#VALUE!</v>
      </c>
      <c r="BR945" s="878" t="e">
        <f t="shared" si="883"/>
        <v>#VALUE!</v>
      </c>
      <c r="BS945" s="966" t="e">
        <f t="shared" si="884"/>
        <v>#VALUE!</v>
      </c>
    </row>
    <row r="946" spans="1:71">
      <c r="A946" s="284">
        <f t="shared" si="885"/>
        <v>878</v>
      </c>
      <c r="B946" s="285">
        <v>2.3147910432009264</v>
      </c>
      <c r="C946" s="285">
        <v>3.0486000634417909</v>
      </c>
      <c r="D946" s="285">
        <v>2.1292861736552817</v>
      </c>
      <c r="E946" s="285">
        <v>-4.5678747947894021</v>
      </c>
      <c r="H946" s="685">
        <f t="shared" si="831"/>
        <v>1.1815572014318716</v>
      </c>
      <c r="I946" s="276">
        <f t="shared" si="832"/>
        <v>-2.0628340828637555</v>
      </c>
      <c r="J946" s="276">
        <f t="shared" si="833"/>
        <v>-3.6298418015713816</v>
      </c>
      <c r="K946" s="276">
        <f t="shared" si="834"/>
        <v>-0.83296941720752038</v>
      </c>
      <c r="L946" s="276">
        <f t="shared" si="835"/>
        <v>0.31853924695897518</v>
      </c>
      <c r="M946" s="276">
        <f t="shared" si="836"/>
        <v>-6.6122279352162652</v>
      </c>
      <c r="N946" s="685">
        <f t="shared" si="837"/>
        <v>1.8414288524699225</v>
      </c>
      <c r="O946" s="276">
        <f t="shared" si="838"/>
        <v>0.94164905825804479</v>
      </c>
      <c r="P946" s="276">
        <f t="shared" si="839"/>
        <v>0.95570425432847173</v>
      </c>
      <c r="Q946" s="276">
        <f t="shared" si="840"/>
        <v>1.9036639410524872</v>
      </c>
      <c r="R946" s="276">
        <f t="shared" si="841"/>
        <v>0.77815442847526994</v>
      </c>
      <c r="S946" s="686">
        <f t="shared" si="842"/>
        <v>1.2030006669026856</v>
      </c>
      <c r="T946" s="685">
        <f t="shared" si="843"/>
        <v>5.4076498639262081</v>
      </c>
      <c r="U946" s="276">
        <f t="shared" si="844"/>
        <v>5.8781035429720081</v>
      </c>
      <c r="V946" s="276">
        <f t="shared" si="845"/>
        <v>3.6518254320419317</v>
      </c>
      <c r="W946" s="276">
        <f t="shared" si="846"/>
        <v>4.024912689177933</v>
      </c>
      <c r="X946" s="276">
        <f t="shared" si="847"/>
        <v>4.2712524833090217</v>
      </c>
      <c r="Y946" s="686">
        <f t="shared" si="848"/>
        <v>1.8320330021741662</v>
      </c>
      <c r="Z946" s="685" t="e">
        <f t="shared" si="849"/>
        <v>#DIV/0!</v>
      </c>
      <c r="AA946" s="276" t="e">
        <f t="shared" si="850"/>
        <v>#DIV/0!</v>
      </c>
      <c r="AB946" s="276" t="e">
        <f t="shared" si="851"/>
        <v>#DIV/0!</v>
      </c>
      <c r="AC946" s="276" t="e">
        <f t="shared" si="852"/>
        <v>#DIV/0!</v>
      </c>
      <c r="AD946" s="276" t="e">
        <f t="shared" si="853"/>
        <v>#DIV/0!</v>
      </c>
      <c r="AE946" s="686" t="e">
        <f t="shared" si="854"/>
        <v>#DIV/0!</v>
      </c>
      <c r="AF946" s="239"/>
      <c r="AG946" s="965" t="e">
        <f t="shared" si="825"/>
        <v>#VALUE!</v>
      </c>
      <c r="AH946" s="878" t="e">
        <f t="shared" si="826"/>
        <v>#VALUE!</v>
      </c>
      <c r="AI946" s="878" t="e">
        <f t="shared" si="827"/>
        <v>#VALUE!</v>
      </c>
      <c r="AJ946" s="878" t="e">
        <f t="shared" si="828"/>
        <v>#VALUE!</v>
      </c>
      <c r="AK946" s="878" t="e">
        <f t="shared" si="829"/>
        <v>#VALUE!</v>
      </c>
      <c r="AL946" s="966" t="e">
        <f t="shared" si="830"/>
        <v>#VALUE!</v>
      </c>
      <c r="AM946" s="239"/>
      <c r="AO946" s="685">
        <f t="shared" si="855"/>
        <v>1.1815572014318716</v>
      </c>
      <c r="AP946" s="276">
        <f t="shared" si="856"/>
        <v>-2.0628340828637555</v>
      </c>
      <c r="AQ946" s="276">
        <f t="shared" si="857"/>
        <v>-3.6298418015713816</v>
      </c>
      <c r="AR946" s="276">
        <f t="shared" si="858"/>
        <v>-0.83296941720752038</v>
      </c>
      <c r="AS946" s="276">
        <f t="shared" si="859"/>
        <v>0.31853924695897518</v>
      </c>
      <c r="AT946" s="276">
        <f t="shared" si="860"/>
        <v>-6.6122279352162652</v>
      </c>
      <c r="AU946" s="685">
        <f t="shared" si="861"/>
        <v>1.8414288524699225</v>
      </c>
      <c r="AV946" s="276">
        <f t="shared" si="862"/>
        <v>0.94164905825804479</v>
      </c>
      <c r="AW946" s="276">
        <f t="shared" si="863"/>
        <v>0.95570425432847173</v>
      </c>
      <c r="AX946" s="276">
        <f t="shared" si="864"/>
        <v>1.9036639410524872</v>
      </c>
      <c r="AY946" s="276">
        <f t="shared" si="865"/>
        <v>0.77815442847526994</v>
      </c>
      <c r="AZ946" s="686">
        <f t="shared" si="866"/>
        <v>1.2030006669026856</v>
      </c>
      <c r="BA946" s="685">
        <f t="shared" si="867"/>
        <v>0</v>
      </c>
      <c r="BB946" s="276">
        <f t="shared" si="868"/>
        <v>0</v>
      </c>
      <c r="BC946" s="276">
        <f t="shared" si="869"/>
        <v>0</v>
      </c>
      <c r="BD946" s="276">
        <f t="shared" si="870"/>
        <v>0</v>
      </c>
      <c r="BE946" s="276">
        <f t="shared" si="871"/>
        <v>0</v>
      </c>
      <c r="BF946" s="686">
        <f t="shared" si="872"/>
        <v>0</v>
      </c>
      <c r="BG946" s="685" t="e">
        <f t="shared" si="873"/>
        <v>#DIV/0!</v>
      </c>
      <c r="BH946" s="276" t="e">
        <f t="shared" si="874"/>
        <v>#DIV/0!</v>
      </c>
      <c r="BI946" s="276" t="e">
        <f t="shared" si="875"/>
        <v>#DIV/0!</v>
      </c>
      <c r="BJ946" s="276" t="e">
        <f t="shared" si="876"/>
        <v>#DIV/0!</v>
      </c>
      <c r="BK946" s="276" t="e">
        <f t="shared" si="877"/>
        <v>#DIV/0!</v>
      </c>
      <c r="BL946" s="686" t="e">
        <f t="shared" si="878"/>
        <v>#DIV/0!</v>
      </c>
      <c r="BM946" s="239"/>
      <c r="BN946" s="965" t="e">
        <f t="shared" si="879"/>
        <v>#VALUE!</v>
      </c>
      <c r="BO946" s="878" t="e">
        <f t="shared" si="880"/>
        <v>#VALUE!</v>
      </c>
      <c r="BP946" s="878" t="e">
        <f t="shared" si="881"/>
        <v>#VALUE!</v>
      </c>
      <c r="BQ946" s="878" t="e">
        <f t="shared" si="882"/>
        <v>#VALUE!</v>
      </c>
      <c r="BR946" s="878" t="e">
        <f t="shared" si="883"/>
        <v>#VALUE!</v>
      </c>
      <c r="BS946" s="966" t="e">
        <f t="shared" si="884"/>
        <v>#VALUE!</v>
      </c>
    </row>
    <row r="947" spans="1:71">
      <c r="A947" s="284">
        <f t="shared" si="885"/>
        <v>879</v>
      </c>
      <c r="B947" s="285">
        <v>-4.1623708318836368</v>
      </c>
      <c r="C947" s="285">
        <v>2.2725951434933571</v>
      </c>
      <c r="D947" s="285">
        <v>0.45439771175603305</v>
      </c>
      <c r="E947" s="285">
        <v>-4.2980167183857461</v>
      </c>
      <c r="H947" s="685">
        <f t="shared" si="831"/>
        <v>-5.2956046736526918</v>
      </c>
      <c r="I947" s="276">
        <f t="shared" si="832"/>
        <v>-3.6812422128227036</v>
      </c>
      <c r="J947" s="276">
        <f t="shared" si="833"/>
        <v>0.64657403719269224</v>
      </c>
      <c r="K947" s="276">
        <f t="shared" si="834"/>
        <v>-0.88992433808596016</v>
      </c>
      <c r="L947" s="276">
        <f t="shared" si="835"/>
        <v>0.33158207039804033</v>
      </c>
      <c r="M947" s="276">
        <f t="shared" si="836"/>
        <v>-3.0284745985228634</v>
      </c>
      <c r="N947" s="685">
        <f t="shared" si="837"/>
        <v>1.0654239325214887</v>
      </c>
      <c r="O947" s="276">
        <f t="shared" si="838"/>
        <v>1.5438144672522458</v>
      </c>
      <c r="P947" s="276">
        <f t="shared" si="839"/>
        <v>1.421311462825799</v>
      </c>
      <c r="Q947" s="276">
        <f t="shared" si="840"/>
        <v>1.6545531475499</v>
      </c>
      <c r="R947" s="276">
        <f t="shared" si="841"/>
        <v>2.0042004580350783</v>
      </c>
      <c r="S947" s="686">
        <f t="shared" si="842"/>
        <v>1.1821357874637848</v>
      </c>
      <c r="T947" s="685">
        <f t="shared" si="843"/>
        <v>3.7327614020269588</v>
      </c>
      <c r="U947" s="276">
        <f t="shared" si="844"/>
        <v>4.5553705530248543</v>
      </c>
      <c r="V947" s="276">
        <f t="shared" si="845"/>
        <v>2.8315791512649287</v>
      </c>
      <c r="W947" s="276">
        <f t="shared" si="846"/>
        <v>4.742329453436831</v>
      </c>
      <c r="X947" s="276">
        <f t="shared" si="847"/>
        <v>4.1745638108116241</v>
      </c>
      <c r="Y947" s="686">
        <f t="shared" si="848"/>
        <v>2.6613327707450276</v>
      </c>
      <c r="Z947" s="685" t="e">
        <f t="shared" si="849"/>
        <v>#DIV/0!</v>
      </c>
      <c r="AA947" s="276" t="e">
        <f t="shared" si="850"/>
        <v>#DIV/0!</v>
      </c>
      <c r="AB947" s="276" t="e">
        <f t="shared" si="851"/>
        <v>#DIV/0!</v>
      </c>
      <c r="AC947" s="276" t="e">
        <f t="shared" si="852"/>
        <v>#DIV/0!</v>
      </c>
      <c r="AD947" s="276" t="e">
        <f t="shared" si="853"/>
        <v>#DIV/0!</v>
      </c>
      <c r="AE947" s="686" t="e">
        <f t="shared" si="854"/>
        <v>#DIV/0!</v>
      </c>
      <c r="AF947" s="239"/>
      <c r="AG947" s="965" t="e">
        <f t="shared" si="825"/>
        <v>#VALUE!</v>
      </c>
      <c r="AH947" s="878" t="e">
        <f t="shared" si="826"/>
        <v>#VALUE!</v>
      </c>
      <c r="AI947" s="878" t="e">
        <f t="shared" si="827"/>
        <v>#VALUE!</v>
      </c>
      <c r="AJ947" s="878" t="e">
        <f t="shared" si="828"/>
        <v>#VALUE!</v>
      </c>
      <c r="AK947" s="878" t="e">
        <f t="shared" si="829"/>
        <v>#VALUE!</v>
      </c>
      <c r="AL947" s="966" t="e">
        <f t="shared" si="830"/>
        <v>#VALUE!</v>
      </c>
      <c r="AM947" s="239"/>
      <c r="AO947" s="685">
        <f t="shared" si="855"/>
        <v>-5.2956046736526918</v>
      </c>
      <c r="AP947" s="276">
        <f t="shared" si="856"/>
        <v>-3.6812422128227036</v>
      </c>
      <c r="AQ947" s="276">
        <f t="shared" si="857"/>
        <v>0.64657403719269224</v>
      </c>
      <c r="AR947" s="276">
        <f t="shared" si="858"/>
        <v>-0.88992433808596016</v>
      </c>
      <c r="AS947" s="276">
        <f t="shared" si="859"/>
        <v>0.33158207039804033</v>
      </c>
      <c r="AT947" s="276">
        <f t="shared" si="860"/>
        <v>-3.0284745985228634</v>
      </c>
      <c r="AU947" s="685">
        <f t="shared" si="861"/>
        <v>1.0654239325214887</v>
      </c>
      <c r="AV947" s="276">
        <f t="shared" si="862"/>
        <v>1.5438144672522458</v>
      </c>
      <c r="AW947" s="276">
        <f t="shared" si="863"/>
        <v>1.421311462825799</v>
      </c>
      <c r="AX947" s="276">
        <f t="shared" si="864"/>
        <v>1.6545531475499</v>
      </c>
      <c r="AY947" s="276">
        <f t="shared" si="865"/>
        <v>2.0042004580350783</v>
      </c>
      <c r="AZ947" s="686">
        <f t="shared" si="866"/>
        <v>1.1821357874637848</v>
      </c>
      <c r="BA947" s="685">
        <f t="shared" si="867"/>
        <v>0</v>
      </c>
      <c r="BB947" s="276">
        <f t="shared" si="868"/>
        <v>0</v>
      </c>
      <c r="BC947" s="276">
        <f t="shared" si="869"/>
        <v>0</v>
      </c>
      <c r="BD947" s="276">
        <f t="shared" si="870"/>
        <v>0</v>
      </c>
      <c r="BE947" s="276">
        <f t="shared" si="871"/>
        <v>0</v>
      </c>
      <c r="BF947" s="686">
        <f t="shared" si="872"/>
        <v>0</v>
      </c>
      <c r="BG947" s="685" t="e">
        <f t="shared" si="873"/>
        <v>#DIV/0!</v>
      </c>
      <c r="BH947" s="276" t="e">
        <f t="shared" si="874"/>
        <v>#DIV/0!</v>
      </c>
      <c r="BI947" s="276" t="e">
        <f t="shared" si="875"/>
        <v>#DIV/0!</v>
      </c>
      <c r="BJ947" s="276" t="e">
        <f t="shared" si="876"/>
        <v>#DIV/0!</v>
      </c>
      <c r="BK947" s="276" t="e">
        <f t="shared" si="877"/>
        <v>#DIV/0!</v>
      </c>
      <c r="BL947" s="686" t="e">
        <f t="shared" si="878"/>
        <v>#DIV/0!</v>
      </c>
      <c r="BM947" s="239"/>
      <c r="BN947" s="965" t="e">
        <f t="shared" si="879"/>
        <v>#VALUE!</v>
      </c>
      <c r="BO947" s="878" t="e">
        <f t="shared" si="880"/>
        <v>#VALUE!</v>
      </c>
      <c r="BP947" s="878" t="e">
        <f t="shared" si="881"/>
        <v>#VALUE!</v>
      </c>
      <c r="BQ947" s="878" t="e">
        <f t="shared" si="882"/>
        <v>#VALUE!</v>
      </c>
      <c r="BR947" s="878" t="e">
        <f t="shared" si="883"/>
        <v>#VALUE!</v>
      </c>
      <c r="BS947" s="966" t="e">
        <f t="shared" si="884"/>
        <v>#VALUE!</v>
      </c>
    </row>
    <row r="948" spans="1:71">
      <c r="A948" s="284">
        <f t="shared" si="885"/>
        <v>880</v>
      </c>
      <c r="B948" s="285">
        <v>8.4925412554924501E-2</v>
      </c>
      <c r="C948" s="285">
        <v>1.6428779764184003</v>
      </c>
      <c r="D948" s="285">
        <v>3.2979287614131803</v>
      </c>
      <c r="E948" s="285">
        <v>-15.432433403703286</v>
      </c>
      <c r="H948" s="685">
        <f t="shared" si="831"/>
        <v>-1.0483084292141303</v>
      </c>
      <c r="I948" s="276">
        <f t="shared" si="832"/>
        <v>0.23625927082066789</v>
      </c>
      <c r="J948" s="276">
        <f t="shared" si="833"/>
        <v>-0.52176305441567228</v>
      </c>
      <c r="K948" s="276">
        <f t="shared" si="834"/>
        <v>-5.8459058569672333</v>
      </c>
      <c r="L948" s="276">
        <f t="shared" si="835"/>
        <v>-0.33072411241908328</v>
      </c>
      <c r="M948" s="276">
        <f t="shared" si="836"/>
        <v>-1.5279514386003406</v>
      </c>
      <c r="N948" s="685">
        <f t="shared" si="837"/>
        <v>0.43570676544653186</v>
      </c>
      <c r="O948" s="276">
        <f t="shared" si="838"/>
        <v>1.9752744169976679</v>
      </c>
      <c r="P948" s="276">
        <f t="shared" si="839"/>
        <v>1.4542556033907388</v>
      </c>
      <c r="Q948" s="276">
        <f t="shared" si="840"/>
        <v>1.1668489652815628</v>
      </c>
      <c r="R948" s="276">
        <f t="shared" si="841"/>
        <v>1.4262780433740716</v>
      </c>
      <c r="S948" s="686">
        <f t="shared" si="842"/>
        <v>2.1211352907068255</v>
      </c>
      <c r="T948" s="685">
        <f t="shared" si="843"/>
        <v>6.5762924516841057</v>
      </c>
      <c r="U948" s="276">
        <f t="shared" si="844"/>
        <v>2.3245129539369347</v>
      </c>
      <c r="V948" s="276">
        <f t="shared" si="845"/>
        <v>5.0352655332339964</v>
      </c>
      <c r="W948" s="276">
        <f t="shared" si="846"/>
        <v>3.6610078413839169</v>
      </c>
      <c r="X948" s="276">
        <f t="shared" si="847"/>
        <v>3.6623246554006403</v>
      </c>
      <c r="Y948" s="686">
        <f t="shared" si="848"/>
        <v>4.252611978643321</v>
      </c>
      <c r="Z948" s="685" t="e">
        <f t="shared" si="849"/>
        <v>#DIV/0!</v>
      </c>
      <c r="AA948" s="276" t="e">
        <f t="shared" si="850"/>
        <v>#DIV/0!</v>
      </c>
      <c r="AB948" s="276" t="e">
        <f t="shared" si="851"/>
        <v>#DIV/0!</v>
      </c>
      <c r="AC948" s="276" t="e">
        <f t="shared" si="852"/>
        <v>#DIV/0!</v>
      </c>
      <c r="AD948" s="276" t="e">
        <f t="shared" si="853"/>
        <v>#DIV/0!</v>
      </c>
      <c r="AE948" s="686" t="e">
        <f t="shared" si="854"/>
        <v>#DIV/0!</v>
      </c>
      <c r="AF948" s="239"/>
      <c r="AG948" s="965" t="e">
        <f t="shared" si="825"/>
        <v>#VALUE!</v>
      </c>
      <c r="AH948" s="878" t="e">
        <f t="shared" si="826"/>
        <v>#VALUE!</v>
      </c>
      <c r="AI948" s="878" t="e">
        <f t="shared" si="827"/>
        <v>#VALUE!</v>
      </c>
      <c r="AJ948" s="878" t="e">
        <f t="shared" si="828"/>
        <v>#VALUE!</v>
      </c>
      <c r="AK948" s="878" t="e">
        <f t="shared" si="829"/>
        <v>#VALUE!</v>
      </c>
      <c r="AL948" s="966" t="e">
        <f t="shared" si="830"/>
        <v>#VALUE!</v>
      </c>
      <c r="AM948" s="239"/>
      <c r="AO948" s="685">
        <f t="shared" si="855"/>
        <v>-1.0483084292141303</v>
      </c>
      <c r="AP948" s="276">
        <f t="shared" si="856"/>
        <v>0.23625927082066789</v>
      </c>
      <c r="AQ948" s="276">
        <f t="shared" si="857"/>
        <v>-0.52176305441567228</v>
      </c>
      <c r="AR948" s="276">
        <f t="shared" si="858"/>
        <v>-5.8459058569672333</v>
      </c>
      <c r="AS948" s="276">
        <f t="shared" si="859"/>
        <v>-0.33072411241908328</v>
      </c>
      <c r="AT948" s="276">
        <f t="shared" si="860"/>
        <v>-1.5279514386003406</v>
      </c>
      <c r="AU948" s="685">
        <f t="shared" si="861"/>
        <v>0.43570676544653186</v>
      </c>
      <c r="AV948" s="276">
        <f t="shared" si="862"/>
        <v>1.9752744169976679</v>
      </c>
      <c r="AW948" s="276">
        <f t="shared" si="863"/>
        <v>1.4542556033907388</v>
      </c>
      <c r="AX948" s="276">
        <f t="shared" si="864"/>
        <v>1.1668489652815628</v>
      </c>
      <c r="AY948" s="276">
        <f t="shared" si="865"/>
        <v>1.4262780433740716</v>
      </c>
      <c r="AZ948" s="686">
        <f t="shared" si="866"/>
        <v>2.1211352907068255</v>
      </c>
      <c r="BA948" s="685">
        <f t="shared" si="867"/>
        <v>0</v>
      </c>
      <c r="BB948" s="276">
        <f t="shared" si="868"/>
        <v>0</v>
      </c>
      <c r="BC948" s="276">
        <f t="shared" si="869"/>
        <v>0</v>
      </c>
      <c r="BD948" s="276">
        <f t="shared" si="870"/>
        <v>0</v>
      </c>
      <c r="BE948" s="276">
        <f t="shared" si="871"/>
        <v>0</v>
      </c>
      <c r="BF948" s="686">
        <f t="shared" si="872"/>
        <v>0</v>
      </c>
      <c r="BG948" s="685" t="e">
        <f t="shared" si="873"/>
        <v>#DIV/0!</v>
      </c>
      <c r="BH948" s="276" t="e">
        <f t="shared" si="874"/>
        <v>#DIV/0!</v>
      </c>
      <c r="BI948" s="276" t="e">
        <f t="shared" si="875"/>
        <v>#DIV/0!</v>
      </c>
      <c r="BJ948" s="276" t="e">
        <f t="shared" si="876"/>
        <v>#DIV/0!</v>
      </c>
      <c r="BK948" s="276" t="e">
        <f t="shared" si="877"/>
        <v>#DIV/0!</v>
      </c>
      <c r="BL948" s="686" t="e">
        <f t="shared" si="878"/>
        <v>#DIV/0!</v>
      </c>
      <c r="BM948" s="239"/>
      <c r="BN948" s="965" t="e">
        <f t="shared" si="879"/>
        <v>#VALUE!</v>
      </c>
      <c r="BO948" s="878" t="e">
        <f t="shared" si="880"/>
        <v>#VALUE!</v>
      </c>
      <c r="BP948" s="878" t="e">
        <f t="shared" si="881"/>
        <v>#VALUE!</v>
      </c>
      <c r="BQ948" s="878" t="e">
        <f t="shared" si="882"/>
        <v>#VALUE!</v>
      </c>
      <c r="BR948" s="878" t="e">
        <f t="shared" si="883"/>
        <v>#VALUE!</v>
      </c>
      <c r="BS948" s="966" t="e">
        <f t="shared" si="884"/>
        <v>#VALUE!</v>
      </c>
    </row>
    <row r="949" spans="1:71">
      <c r="A949" s="284">
        <f t="shared" si="885"/>
        <v>881</v>
      </c>
      <c r="B949" s="285">
        <v>4.3422262224342507</v>
      </c>
      <c r="C949" s="285">
        <v>2.2296303059358573</v>
      </c>
      <c r="D949" s="285">
        <v>2.6952348762078593</v>
      </c>
      <c r="E949" s="285">
        <v>-22.9462970216745</v>
      </c>
      <c r="H949" s="685">
        <f t="shared" si="831"/>
        <v>3.2089923806651957</v>
      </c>
      <c r="I949" s="276">
        <f t="shared" si="832"/>
        <v>-0.72679849908320238</v>
      </c>
      <c r="J949" s="276">
        <f t="shared" si="833"/>
        <v>-1.8682452698229957</v>
      </c>
      <c r="K949" s="276">
        <f t="shared" si="834"/>
        <v>-2.926586415244929</v>
      </c>
      <c r="L949" s="276">
        <f t="shared" si="835"/>
        <v>0.57703363631467686</v>
      </c>
      <c r="M949" s="276">
        <f t="shared" si="836"/>
        <v>-3.5201632034614923</v>
      </c>
      <c r="N949" s="685">
        <f t="shared" si="837"/>
        <v>1.0224590949639889</v>
      </c>
      <c r="O949" s="276">
        <f t="shared" si="838"/>
        <v>0.52730965954951969</v>
      </c>
      <c r="P949" s="276">
        <f t="shared" si="839"/>
        <v>1.5822842167058819</v>
      </c>
      <c r="Q949" s="276">
        <f t="shared" si="840"/>
        <v>0.82955153170918483</v>
      </c>
      <c r="R949" s="276">
        <f t="shared" si="841"/>
        <v>0.88922405535592719</v>
      </c>
      <c r="S949" s="686">
        <f t="shared" si="842"/>
        <v>2.0689830717927791</v>
      </c>
      <c r="T949" s="685">
        <f t="shared" si="843"/>
        <v>5.9735985664787847</v>
      </c>
      <c r="U949" s="276">
        <f t="shared" si="844"/>
        <v>4.8855755997331123</v>
      </c>
      <c r="V949" s="276">
        <f t="shared" si="845"/>
        <v>2.5874842394987474</v>
      </c>
      <c r="W949" s="276">
        <f t="shared" si="846"/>
        <v>4.0921821347144345</v>
      </c>
      <c r="X949" s="276">
        <f t="shared" si="847"/>
        <v>7.3432671861205421</v>
      </c>
      <c r="Y949" s="686">
        <f t="shared" si="848"/>
        <v>3.9000510502699517</v>
      </c>
      <c r="Z949" s="685" t="e">
        <f t="shared" si="849"/>
        <v>#DIV/0!</v>
      </c>
      <c r="AA949" s="276" t="e">
        <f t="shared" si="850"/>
        <v>#DIV/0!</v>
      </c>
      <c r="AB949" s="276" t="e">
        <f t="shared" si="851"/>
        <v>#DIV/0!</v>
      </c>
      <c r="AC949" s="276" t="e">
        <f t="shared" si="852"/>
        <v>#DIV/0!</v>
      </c>
      <c r="AD949" s="276" t="e">
        <f t="shared" si="853"/>
        <v>#DIV/0!</v>
      </c>
      <c r="AE949" s="686" t="e">
        <f t="shared" si="854"/>
        <v>#DIV/0!</v>
      </c>
      <c r="AF949" s="239"/>
      <c r="AG949" s="965" t="e">
        <f t="shared" si="825"/>
        <v>#VALUE!</v>
      </c>
      <c r="AH949" s="878" t="e">
        <f t="shared" si="826"/>
        <v>#VALUE!</v>
      </c>
      <c r="AI949" s="878" t="e">
        <f t="shared" si="827"/>
        <v>#VALUE!</v>
      </c>
      <c r="AJ949" s="878" t="e">
        <f t="shared" si="828"/>
        <v>#VALUE!</v>
      </c>
      <c r="AK949" s="878" t="e">
        <f t="shared" si="829"/>
        <v>#VALUE!</v>
      </c>
      <c r="AL949" s="966" t="e">
        <f t="shared" si="830"/>
        <v>#VALUE!</v>
      </c>
      <c r="AM949" s="239"/>
      <c r="AO949" s="685">
        <f t="shared" si="855"/>
        <v>3.2089923806651957</v>
      </c>
      <c r="AP949" s="276">
        <f t="shared" si="856"/>
        <v>-0.72679849908320238</v>
      </c>
      <c r="AQ949" s="276">
        <f t="shared" si="857"/>
        <v>-1.8682452698229957</v>
      </c>
      <c r="AR949" s="276">
        <f t="shared" si="858"/>
        <v>-2.926586415244929</v>
      </c>
      <c r="AS949" s="276">
        <f t="shared" si="859"/>
        <v>0.57703363631467686</v>
      </c>
      <c r="AT949" s="276">
        <f t="shared" si="860"/>
        <v>-3.5201632034614923</v>
      </c>
      <c r="AU949" s="685">
        <f t="shared" si="861"/>
        <v>1.0224590949639889</v>
      </c>
      <c r="AV949" s="276">
        <f t="shared" si="862"/>
        <v>0.52730965954951969</v>
      </c>
      <c r="AW949" s="276">
        <f t="shared" si="863"/>
        <v>1.5822842167058819</v>
      </c>
      <c r="AX949" s="276">
        <f t="shared" si="864"/>
        <v>0.82955153170918483</v>
      </c>
      <c r="AY949" s="276">
        <f t="shared" si="865"/>
        <v>0.88922405535592719</v>
      </c>
      <c r="AZ949" s="686">
        <f t="shared" si="866"/>
        <v>2.0689830717927791</v>
      </c>
      <c r="BA949" s="685">
        <f t="shared" si="867"/>
        <v>0</v>
      </c>
      <c r="BB949" s="276">
        <f t="shared" si="868"/>
        <v>0</v>
      </c>
      <c r="BC949" s="276">
        <f t="shared" si="869"/>
        <v>0</v>
      </c>
      <c r="BD949" s="276">
        <f t="shared" si="870"/>
        <v>0</v>
      </c>
      <c r="BE949" s="276">
        <f t="shared" si="871"/>
        <v>0</v>
      </c>
      <c r="BF949" s="686">
        <f t="shared" si="872"/>
        <v>0</v>
      </c>
      <c r="BG949" s="685" t="e">
        <f t="shared" si="873"/>
        <v>#DIV/0!</v>
      </c>
      <c r="BH949" s="276" t="e">
        <f t="shared" si="874"/>
        <v>#DIV/0!</v>
      </c>
      <c r="BI949" s="276" t="e">
        <f t="shared" si="875"/>
        <v>#DIV/0!</v>
      </c>
      <c r="BJ949" s="276" t="e">
        <f t="shared" si="876"/>
        <v>#DIV/0!</v>
      </c>
      <c r="BK949" s="276" t="e">
        <f t="shared" si="877"/>
        <v>#DIV/0!</v>
      </c>
      <c r="BL949" s="686" t="e">
        <f t="shared" si="878"/>
        <v>#DIV/0!</v>
      </c>
      <c r="BM949" s="239"/>
      <c r="BN949" s="965" t="e">
        <f t="shared" si="879"/>
        <v>#VALUE!</v>
      </c>
      <c r="BO949" s="878" t="e">
        <f t="shared" si="880"/>
        <v>#VALUE!</v>
      </c>
      <c r="BP949" s="878" t="e">
        <f t="shared" si="881"/>
        <v>#VALUE!</v>
      </c>
      <c r="BQ949" s="878" t="e">
        <f t="shared" si="882"/>
        <v>#VALUE!</v>
      </c>
      <c r="BR949" s="878" t="e">
        <f t="shared" si="883"/>
        <v>#VALUE!</v>
      </c>
      <c r="BS949" s="966" t="e">
        <f t="shared" si="884"/>
        <v>#VALUE!</v>
      </c>
    </row>
    <row r="950" spans="1:71">
      <c r="A950" s="284">
        <f t="shared" si="885"/>
        <v>882</v>
      </c>
      <c r="B950" s="285">
        <v>-4.1020869677507665</v>
      </c>
      <c r="C950" s="285">
        <v>2.2105175140644979</v>
      </c>
      <c r="D950" s="285">
        <v>-1.5130880562307478</v>
      </c>
      <c r="E950" s="285">
        <v>-3.4316142379259764</v>
      </c>
      <c r="H950" s="685">
        <f t="shared" si="831"/>
        <v>-5.2353208095198216</v>
      </c>
      <c r="I950" s="276">
        <f t="shared" si="832"/>
        <v>-1.3145985623033067</v>
      </c>
      <c r="J950" s="276">
        <f t="shared" si="833"/>
        <v>-1.8618207938127749</v>
      </c>
      <c r="K950" s="276">
        <f t="shared" si="834"/>
        <v>-0.98627556519916004</v>
      </c>
      <c r="L950" s="276">
        <f t="shared" si="835"/>
        <v>-0.26066436121872283</v>
      </c>
      <c r="M950" s="276">
        <f t="shared" si="836"/>
        <v>-3.8378000825995784</v>
      </c>
      <c r="N950" s="685">
        <f t="shared" si="837"/>
        <v>1.0033463030926295</v>
      </c>
      <c r="O950" s="276">
        <f t="shared" si="838"/>
        <v>1.0655615280546147</v>
      </c>
      <c r="P950" s="276">
        <f t="shared" si="839"/>
        <v>1.5964885045001875</v>
      </c>
      <c r="Q950" s="276">
        <f t="shared" si="840"/>
        <v>0.99724232226947751</v>
      </c>
      <c r="R950" s="276">
        <f t="shared" si="841"/>
        <v>1.5061876417652675</v>
      </c>
      <c r="S950" s="686">
        <f t="shared" si="842"/>
        <v>0.97927772807107449</v>
      </c>
      <c r="T950" s="685">
        <f t="shared" si="843"/>
        <v>1.7652756340401781</v>
      </c>
      <c r="U950" s="276">
        <f t="shared" si="844"/>
        <v>5.4203442130552606</v>
      </c>
      <c r="V950" s="276">
        <f t="shared" si="845"/>
        <v>3.1507886758033301</v>
      </c>
      <c r="W950" s="276">
        <f t="shared" si="846"/>
        <v>3.7036456234564277</v>
      </c>
      <c r="X950" s="276">
        <f t="shared" si="847"/>
        <v>7.1145305578953932</v>
      </c>
      <c r="Y950" s="686">
        <f t="shared" si="848"/>
        <v>4.7567637749431384</v>
      </c>
      <c r="Z950" s="685" t="e">
        <f t="shared" si="849"/>
        <v>#DIV/0!</v>
      </c>
      <c r="AA950" s="276" t="e">
        <f t="shared" si="850"/>
        <v>#DIV/0!</v>
      </c>
      <c r="AB950" s="276" t="e">
        <f t="shared" si="851"/>
        <v>#DIV/0!</v>
      </c>
      <c r="AC950" s="276" t="e">
        <f t="shared" si="852"/>
        <v>#DIV/0!</v>
      </c>
      <c r="AD950" s="276" t="e">
        <f t="shared" si="853"/>
        <v>#DIV/0!</v>
      </c>
      <c r="AE950" s="686" t="e">
        <f t="shared" si="854"/>
        <v>#DIV/0!</v>
      </c>
      <c r="AF950" s="239"/>
      <c r="AG950" s="965" t="e">
        <f t="shared" si="825"/>
        <v>#VALUE!</v>
      </c>
      <c r="AH950" s="878" t="e">
        <f t="shared" si="826"/>
        <v>#VALUE!</v>
      </c>
      <c r="AI950" s="878" t="e">
        <f t="shared" si="827"/>
        <v>#VALUE!</v>
      </c>
      <c r="AJ950" s="878" t="e">
        <f t="shared" si="828"/>
        <v>#VALUE!</v>
      </c>
      <c r="AK950" s="878" t="e">
        <f t="shared" si="829"/>
        <v>#VALUE!</v>
      </c>
      <c r="AL950" s="966" t="e">
        <f t="shared" si="830"/>
        <v>#VALUE!</v>
      </c>
      <c r="AM950" s="239"/>
      <c r="AO950" s="685">
        <f t="shared" si="855"/>
        <v>-5.2353208095198216</v>
      </c>
      <c r="AP950" s="276">
        <f t="shared" si="856"/>
        <v>-1.3145985623033067</v>
      </c>
      <c r="AQ950" s="276">
        <f t="shared" si="857"/>
        <v>-1.8618207938127749</v>
      </c>
      <c r="AR950" s="276">
        <f t="shared" si="858"/>
        <v>-0.98627556519916004</v>
      </c>
      <c r="AS950" s="276">
        <f t="shared" si="859"/>
        <v>-0.26066436121872283</v>
      </c>
      <c r="AT950" s="276">
        <f t="shared" si="860"/>
        <v>-3.8378000825995784</v>
      </c>
      <c r="AU950" s="685">
        <f t="shared" si="861"/>
        <v>1.0033463030926295</v>
      </c>
      <c r="AV950" s="276">
        <f t="shared" si="862"/>
        <v>1.0655615280546147</v>
      </c>
      <c r="AW950" s="276">
        <f t="shared" si="863"/>
        <v>1.5964885045001875</v>
      </c>
      <c r="AX950" s="276">
        <f t="shared" si="864"/>
        <v>0.99724232226947751</v>
      </c>
      <c r="AY950" s="276">
        <f t="shared" si="865"/>
        <v>1.5061876417652675</v>
      </c>
      <c r="AZ950" s="686">
        <f t="shared" si="866"/>
        <v>0.97927772807107449</v>
      </c>
      <c r="BA950" s="685">
        <f t="shared" si="867"/>
        <v>0</v>
      </c>
      <c r="BB950" s="276">
        <f t="shared" si="868"/>
        <v>0</v>
      </c>
      <c r="BC950" s="276">
        <f t="shared" si="869"/>
        <v>0</v>
      </c>
      <c r="BD950" s="276">
        <f t="shared" si="870"/>
        <v>0</v>
      </c>
      <c r="BE950" s="276">
        <f t="shared" si="871"/>
        <v>0</v>
      </c>
      <c r="BF950" s="686">
        <f t="shared" si="872"/>
        <v>0</v>
      </c>
      <c r="BG950" s="685" t="e">
        <f t="shared" si="873"/>
        <v>#DIV/0!</v>
      </c>
      <c r="BH950" s="276" t="e">
        <f t="shared" si="874"/>
        <v>#DIV/0!</v>
      </c>
      <c r="BI950" s="276" t="e">
        <f t="shared" si="875"/>
        <v>#DIV/0!</v>
      </c>
      <c r="BJ950" s="276" t="e">
        <f t="shared" si="876"/>
        <v>#DIV/0!</v>
      </c>
      <c r="BK950" s="276" t="e">
        <f t="shared" si="877"/>
        <v>#DIV/0!</v>
      </c>
      <c r="BL950" s="686" t="e">
        <f t="shared" si="878"/>
        <v>#DIV/0!</v>
      </c>
      <c r="BM950" s="239"/>
      <c r="BN950" s="965" t="e">
        <f t="shared" si="879"/>
        <v>#VALUE!</v>
      </c>
      <c r="BO950" s="878" t="e">
        <f t="shared" si="880"/>
        <v>#VALUE!</v>
      </c>
      <c r="BP950" s="878" t="e">
        <f t="shared" si="881"/>
        <v>#VALUE!</v>
      </c>
      <c r="BQ950" s="878" t="e">
        <f t="shared" si="882"/>
        <v>#VALUE!</v>
      </c>
      <c r="BR950" s="878" t="e">
        <f t="shared" si="883"/>
        <v>#VALUE!</v>
      </c>
      <c r="BS950" s="966" t="e">
        <f t="shared" si="884"/>
        <v>#VALUE!</v>
      </c>
    </row>
    <row r="951" spans="1:71">
      <c r="A951" s="284">
        <f t="shared" si="885"/>
        <v>883</v>
      </c>
      <c r="B951" s="285">
        <v>-0.74603313591503495</v>
      </c>
      <c r="C951" s="285">
        <v>2.876905142157117</v>
      </c>
      <c r="D951" s="285">
        <v>0.68621944596919915</v>
      </c>
      <c r="E951" s="285">
        <v>-5.1014477850836375</v>
      </c>
      <c r="H951" s="685">
        <f t="shared" si="831"/>
        <v>-1.8792669776840898</v>
      </c>
      <c r="I951" s="276">
        <f t="shared" si="832"/>
        <v>1.7470461601435019</v>
      </c>
      <c r="J951" s="276">
        <f t="shared" si="833"/>
        <v>-2.5994179192513913</v>
      </c>
      <c r="K951" s="276">
        <f t="shared" si="834"/>
        <v>-3.005921908881795</v>
      </c>
      <c r="L951" s="276">
        <f t="shared" si="835"/>
        <v>0.27161219519557456</v>
      </c>
      <c r="M951" s="276">
        <f t="shared" si="836"/>
        <v>-2.2910026372010899</v>
      </c>
      <c r="N951" s="685">
        <f t="shared" si="837"/>
        <v>1.6697339311852486</v>
      </c>
      <c r="O951" s="276">
        <f t="shared" si="838"/>
        <v>1.118408874075447</v>
      </c>
      <c r="P951" s="276">
        <f t="shared" si="839"/>
        <v>0.92527319560851784</v>
      </c>
      <c r="Q951" s="276">
        <f t="shared" si="840"/>
        <v>1.2569850022543385</v>
      </c>
      <c r="R951" s="276">
        <f t="shared" si="841"/>
        <v>1.73284210557565</v>
      </c>
      <c r="S951" s="686">
        <f t="shared" si="842"/>
        <v>1.404960601019279</v>
      </c>
      <c r="T951" s="685">
        <f t="shared" si="843"/>
        <v>3.9645831362401251</v>
      </c>
      <c r="U951" s="276">
        <f t="shared" si="844"/>
        <v>3.679654605555065</v>
      </c>
      <c r="V951" s="276">
        <f t="shared" si="845"/>
        <v>4.4599259197440411</v>
      </c>
      <c r="W951" s="276">
        <f t="shared" si="846"/>
        <v>1.3618959111018367</v>
      </c>
      <c r="X951" s="276">
        <f t="shared" si="847"/>
        <v>6.1307211027191597</v>
      </c>
      <c r="Y951" s="686">
        <f t="shared" si="848"/>
        <v>6.4190034959602373</v>
      </c>
      <c r="Z951" s="685" t="e">
        <f t="shared" si="849"/>
        <v>#DIV/0!</v>
      </c>
      <c r="AA951" s="276" t="e">
        <f t="shared" si="850"/>
        <v>#DIV/0!</v>
      </c>
      <c r="AB951" s="276" t="e">
        <f t="shared" si="851"/>
        <v>#DIV/0!</v>
      </c>
      <c r="AC951" s="276" t="e">
        <f t="shared" si="852"/>
        <v>#DIV/0!</v>
      </c>
      <c r="AD951" s="276" t="e">
        <f t="shared" si="853"/>
        <v>#DIV/0!</v>
      </c>
      <c r="AE951" s="686" t="e">
        <f t="shared" si="854"/>
        <v>#DIV/0!</v>
      </c>
      <c r="AF951" s="239"/>
      <c r="AG951" s="965" t="e">
        <f t="shared" si="825"/>
        <v>#VALUE!</v>
      </c>
      <c r="AH951" s="878" t="e">
        <f t="shared" si="826"/>
        <v>#VALUE!</v>
      </c>
      <c r="AI951" s="878" t="e">
        <f t="shared" si="827"/>
        <v>#VALUE!</v>
      </c>
      <c r="AJ951" s="878" t="e">
        <f t="shared" si="828"/>
        <v>#VALUE!</v>
      </c>
      <c r="AK951" s="878" t="e">
        <f t="shared" si="829"/>
        <v>#VALUE!</v>
      </c>
      <c r="AL951" s="966" t="e">
        <f t="shared" si="830"/>
        <v>#VALUE!</v>
      </c>
      <c r="AM951" s="239"/>
      <c r="AO951" s="685">
        <f t="shared" si="855"/>
        <v>-1.8792669776840898</v>
      </c>
      <c r="AP951" s="276">
        <f t="shared" si="856"/>
        <v>1.7470461601435019</v>
      </c>
      <c r="AQ951" s="276">
        <f t="shared" si="857"/>
        <v>-2.5994179192513913</v>
      </c>
      <c r="AR951" s="276">
        <f t="shared" si="858"/>
        <v>-3.005921908881795</v>
      </c>
      <c r="AS951" s="276">
        <f t="shared" si="859"/>
        <v>0.27161219519557456</v>
      </c>
      <c r="AT951" s="276">
        <f t="shared" si="860"/>
        <v>-2.2910026372010899</v>
      </c>
      <c r="AU951" s="685">
        <f t="shared" si="861"/>
        <v>1.6697339311852486</v>
      </c>
      <c r="AV951" s="276">
        <f t="shared" si="862"/>
        <v>1.118408874075447</v>
      </c>
      <c r="AW951" s="276">
        <f t="shared" si="863"/>
        <v>0.92527319560851784</v>
      </c>
      <c r="AX951" s="276">
        <f t="shared" si="864"/>
        <v>1.2569850022543385</v>
      </c>
      <c r="AY951" s="276">
        <f t="shared" si="865"/>
        <v>1.73284210557565</v>
      </c>
      <c r="AZ951" s="686">
        <f t="shared" si="866"/>
        <v>1.404960601019279</v>
      </c>
      <c r="BA951" s="685">
        <f t="shared" si="867"/>
        <v>0</v>
      </c>
      <c r="BB951" s="276">
        <f t="shared" si="868"/>
        <v>0</v>
      </c>
      <c r="BC951" s="276">
        <f t="shared" si="869"/>
        <v>0</v>
      </c>
      <c r="BD951" s="276">
        <f t="shared" si="870"/>
        <v>0</v>
      </c>
      <c r="BE951" s="276">
        <f t="shared" si="871"/>
        <v>0</v>
      </c>
      <c r="BF951" s="686">
        <f t="shared" si="872"/>
        <v>0</v>
      </c>
      <c r="BG951" s="685" t="e">
        <f t="shared" si="873"/>
        <v>#DIV/0!</v>
      </c>
      <c r="BH951" s="276" t="e">
        <f t="shared" si="874"/>
        <v>#DIV/0!</v>
      </c>
      <c r="BI951" s="276" t="e">
        <f t="shared" si="875"/>
        <v>#DIV/0!</v>
      </c>
      <c r="BJ951" s="276" t="e">
        <f t="shared" si="876"/>
        <v>#DIV/0!</v>
      </c>
      <c r="BK951" s="276" t="e">
        <f t="shared" si="877"/>
        <v>#DIV/0!</v>
      </c>
      <c r="BL951" s="686" t="e">
        <f t="shared" si="878"/>
        <v>#DIV/0!</v>
      </c>
      <c r="BM951" s="239"/>
      <c r="BN951" s="965" t="e">
        <f t="shared" si="879"/>
        <v>#VALUE!</v>
      </c>
      <c r="BO951" s="878" t="e">
        <f t="shared" si="880"/>
        <v>#VALUE!</v>
      </c>
      <c r="BP951" s="878" t="e">
        <f t="shared" si="881"/>
        <v>#VALUE!</v>
      </c>
      <c r="BQ951" s="878" t="e">
        <f t="shared" si="882"/>
        <v>#VALUE!</v>
      </c>
      <c r="BR951" s="878" t="e">
        <f t="shared" si="883"/>
        <v>#VALUE!</v>
      </c>
      <c r="BS951" s="966" t="e">
        <f t="shared" si="884"/>
        <v>#VALUE!</v>
      </c>
    </row>
    <row r="952" spans="1:71">
      <c r="A952" s="284">
        <f t="shared" si="885"/>
        <v>884</v>
      </c>
      <c r="B952" s="285">
        <v>0.55763725839059053</v>
      </c>
      <c r="C952" s="285">
        <v>2.2189085242916846</v>
      </c>
      <c r="D952" s="285">
        <v>2.7355013628960432</v>
      </c>
      <c r="E952" s="285">
        <v>-6.7813748185232381</v>
      </c>
      <c r="H952" s="685">
        <f t="shared" si="831"/>
        <v>-0.57559658337846431</v>
      </c>
      <c r="I952" s="276">
        <f t="shared" si="832"/>
        <v>-2.2062332925308255</v>
      </c>
      <c r="J952" s="276">
        <f t="shared" si="833"/>
        <v>-4.2363297594968268</v>
      </c>
      <c r="K952" s="276">
        <f t="shared" si="834"/>
        <v>-3.2458162535241799</v>
      </c>
      <c r="L952" s="276">
        <f t="shared" si="835"/>
        <v>-6.3186249183482035</v>
      </c>
      <c r="M952" s="276">
        <f t="shared" si="836"/>
        <v>2.9047255717235929</v>
      </c>
      <c r="N952" s="685">
        <f t="shared" si="837"/>
        <v>1.0117373133198162</v>
      </c>
      <c r="O952" s="276">
        <f t="shared" si="838"/>
        <v>0.98689628616526437</v>
      </c>
      <c r="P952" s="276">
        <f t="shared" si="839"/>
        <v>1.6350771071791959</v>
      </c>
      <c r="Q952" s="276">
        <f t="shared" si="840"/>
        <v>1.1116718828359595</v>
      </c>
      <c r="R952" s="276">
        <f t="shared" si="841"/>
        <v>2.401662354565345</v>
      </c>
      <c r="S952" s="686">
        <f t="shared" si="842"/>
        <v>2.0677863983978728</v>
      </c>
      <c r="T952" s="685">
        <f t="shared" si="843"/>
        <v>6.0138650531669686</v>
      </c>
      <c r="U952" s="276">
        <f t="shared" si="844"/>
        <v>5.4796004309242257</v>
      </c>
      <c r="V952" s="276">
        <f t="shared" si="845"/>
        <v>2.7091415170483857</v>
      </c>
      <c r="W952" s="276">
        <f t="shared" si="846"/>
        <v>1.9873874679362808</v>
      </c>
      <c r="X952" s="276">
        <f t="shared" si="847"/>
        <v>0.86207755809688402</v>
      </c>
      <c r="Y952" s="686">
        <f t="shared" si="848"/>
        <v>3.2075571153802325</v>
      </c>
      <c r="Z952" s="685" t="e">
        <f t="shared" si="849"/>
        <v>#DIV/0!</v>
      </c>
      <c r="AA952" s="276" t="e">
        <f t="shared" si="850"/>
        <v>#DIV/0!</v>
      </c>
      <c r="AB952" s="276" t="e">
        <f t="shared" si="851"/>
        <v>#DIV/0!</v>
      </c>
      <c r="AC952" s="276" t="e">
        <f t="shared" si="852"/>
        <v>#DIV/0!</v>
      </c>
      <c r="AD952" s="276" t="e">
        <f t="shared" si="853"/>
        <v>#DIV/0!</v>
      </c>
      <c r="AE952" s="686" t="e">
        <f t="shared" si="854"/>
        <v>#DIV/0!</v>
      </c>
      <c r="AF952" s="239"/>
      <c r="AG952" s="965" t="e">
        <f t="shared" si="825"/>
        <v>#VALUE!</v>
      </c>
      <c r="AH952" s="878" t="e">
        <f t="shared" si="826"/>
        <v>#VALUE!</v>
      </c>
      <c r="AI952" s="878" t="e">
        <f t="shared" si="827"/>
        <v>#VALUE!</v>
      </c>
      <c r="AJ952" s="878" t="e">
        <f t="shared" si="828"/>
        <v>#VALUE!</v>
      </c>
      <c r="AK952" s="878" t="e">
        <f t="shared" si="829"/>
        <v>#VALUE!</v>
      </c>
      <c r="AL952" s="966" t="e">
        <f t="shared" si="830"/>
        <v>#VALUE!</v>
      </c>
      <c r="AM952" s="239"/>
      <c r="AO952" s="685">
        <f t="shared" si="855"/>
        <v>-0.57559658337846431</v>
      </c>
      <c r="AP952" s="276">
        <f t="shared" si="856"/>
        <v>-2.2062332925308255</v>
      </c>
      <c r="AQ952" s="276">
        <f t="shared" si="857"/>
        <v>-4.2363297594968268</v>
      </c>
      <c r="AR952" s="276">
        <f t="shared" si="858"/>
        <v>-3.2458162535241799</v>
      </c>
      <c r="AS952" s="276">
        <f t="shared" si="859"/>
        <v>-6.3186249183482035</v>
      </c>
      <c r="AT952" s="276">
        <f t="shared" si="860"/>
        <v>2.9047255717235929</v>
      </c>
      <c r="AU952" s="685">
        <f t="shared" si="861"/>
        <v>1.0117373133198162</v>
      </c>
      <c r="AV952" s="276">
        <f t="shared" si="862"/>
        <v>0.98689628616526437</v>
      </c>
      <c r="AW952" s="276">
        <f t="shared" si="863"/>
        <v>1.6350771071791959</v>
      </c>
      <c r="AX952" s="276">
        <f t="shared" si="864"/>
        <v>1.1116718828359595</v>
      </c>
      <c r="AY952" s="276">
        <f t="shared" si="865"/>
        <v>2.401662354565345</v>
      </c>
      <c r="AZ952" s="686">
        <f t="shared" si="866"/>
        <v>2.0677863983978728</v>
      </c>
      <c r="BA952" s="685">
        <f t="shared" si="867"/>
        <v>0</v>
      </c>
      <c r="BB952" s="276">
        <f t="shared" si="868"/>
        <v>0</v>
      </c>
      <c r="BC952" s="276">
        <f t="shared" si="869"/>
        <v>0</v>
      </c>
      <c r="BD952" s="276">
        <f t="shared" si="870"/>
        <v>0</v>
      </c>
      <c r="BE952" s="276">
        <f t="shared" si="871"/>
        <v>0</v>
      </c>
      <c r="BF952" s="686">
        <f t="shared" si="872"/>
        <v>0</v>
      </c>
      <c r="BG952" s="685" t="e">
        <f t="shared" si="873"/>
        <v>#DIV/0!</v>
      </c>
      <c r="BH952" s="276" t="e">
        <f t="shared" si="874"/>
        <v>#DIV/0!</v>
      </c>
      <c r="BI952" s="276" t="e">
        <f t="shared" si="875"/>
        <v>#DIV/0!</v>
      </c>
      <c r="BJ952" s="276" t="e">
        <f t="shared" si="876"/>
        <v>#DIV/0!</v>
      </c>
      <c r="BK952" s="276" t="e">
        <f t="shared" si="877"/>
        <v>#DIV/0!</v>
      </c>
      <c r="BL952" s="686" t="e">
        <f t="shared" si="878"/>
        <v>#DIV/0!</v>
      </c>
      <c r="BM952" s="239"/>
      <c r="BN952" s="965" t="e">
        <f t="shared" si="879"/>
        <v>#VALUE!</v>
      </c>
      <c r="BO952" s="878" t="e">
        <f t="shared" si="880"/>
        <v>#VALUE!</v>
      </c>
      <c r="BP952" s="878" t="e">
        <f t="shared" si="881"/>
        <v>#VALUE!</v>
      </c>
      <c r="BQ952" s="878" t="e">
        <f t="shared" si="882"/>
        <v>#VALUE!</v>
      </c>
      <c r="BR952" s="878" t="e">
        <f t="shared" si="883"/>
        <v>#VALUE!</v>
      </c>
      <c r="BS952" s="966" t="e">
        <f t="shared" si="884"/>
        <v>#VALUE!</v>
      </c>
    </row>
    <row r="953" spans="1:71">
      <c r="A953" s="284">
        <f t="shared" si="885"/>
        <v>885</v>
      </c>
      <c r="B953" s="285">
        <v>-2.0903919148697541</v>
      </c>
      <c r="C953" s="285">
        <v>2.1009095007721701</v>
      </c>
      <c r="D953" s="285">
        <v>0.6485604912921481</v>
      </c>
      <c r="E953" s="285">
        <v>-8.643853110009605</v>
      </c>
      <c r="H953" s="685">
        <f t="shared" si="831"/>
        <v>-3.2236257566388087</v>
      </c>
      <c r="I953" s="276">
        <f t="shared" si="832"/>
        <v>-1.3839464992172765</v>
      </c>
      <c r="J953" s="276">
        <f t="shared" si="833"/>
        <v>-1.8481430733188402</v>
      </c>
      <c r="K953" s="276">
        <f t="shared" si="834"/>
        <v>-2.4827857579591623</v>
      </c>
      <c r="L953" s="276">
        <f t="shared" si="835"/>
        <v>-0.72806864904926172</v>
      </c>
      <c r="M953" s="276">
        <f t="shared" si="836"/>
        <v>-2.3409718570494631</v>
      </c>
      <c r="N953" s="685">
        <f t="shared" si="837"/>
        <v>0.89373828980030168</v>
      </c>
      <c r="O953" s="276">
        <f t="shared" si="838"/>
        <v>1.2725636707294694</v>
      </c>
      <c r="P953" s="276">
        <f t="shared" si="839"/>
        <v>1.089608359686763</v>
      </c>
      <c r="Q953" s="276">
        <f t="shared" si="840"/>
        <v>1.644131638805191</v>
      </c>
      <c r="R953" s="276">
        <f t="shared" si="841"/>
        <v>1.4852995076715498</v>
      </c>
      <c r="S953" s="686">
        <f t="shared" si="842"/>
        <v>0.79856120204321601</v>
      </c>
      <c r="T953" s="685">
        <f t="shared" si="843"/>
        <v>3.926924181563074</v>
      </c>
      <c r="U953" s="276">
        <f t="shared" si="844"/>
        <v>2.6124220100367639</v>
      </c>
      <c r="V953" s="276">
        <f t="shared" si="845"/>
        <v>4.6117193268140682</v>
      </c>
      <c r="W953" s="276">
        <f t="shared" si="846"/>
        <v>4.0162641621689783</v>
      </c>
      <c r="X953" s="276">
        <f t="shared" si="847"/>
        <v>3.7250562909847793</v>
      </c>
      <c r="Y953" s="686">
        <f t="shared" si="848"/>
        <v>5.0272436775818621</v>
      </c>
      <c r="Z953" s="685" t="e">
        <f t="shared" si="849"/>
        <v>#DIV/0!</v>
      </c>
      <c r="AA953" s="276" t="e">
        <f t="shared" si="850"/>
        <v>#DIV/0!</v>
      </c>
      <c r="AB953" s="276" t="e">
        <f t="shared" si="851"/>
        <v>#DIV/0!</v>
      </c>
      <c r="AC953" s="276" t="e">
        <f t="shared" si="852"/>
        <v>#DIV/0!</v>
      </c>
      <c r="AD953" s="276" t="e">
        <f t="shared" si="853"/>
        <v>#DIV/0!</v>
      </c>
      <c r="AE953" s="686" t="e">
        <f t="shared" si="854"/>
        <v>#DIV/0!</v>
      </c>
      <c r="AF953" s="239"/>
      <c r="AG953" s="965" t="e">
        <f t="shared" si="825"/>
        <v>#VALUE!</v>
      </c>
      <c r="AH953" s="878" t="e">
        <f t="shared" si="826"/>
        <v>#VALUE!</v>
      </c>
      <c r="AI953" s="878" t="e">
        <f t="shared" si="827"/>
        <v>#VALUE!</v>
      </c>
      <c r="AJ953" s="878" t="e">
        <f t="shared" si="828"/>
        <v>#VALUE!</v>
      </c>
      <c r="AK953" s="878" t="e">
        <f t="shared" si="829"/>
        <v>#VALUE!</v>
      </c>
      <c r="AL953" s="966" t="e">
        <f t="shared" si="830"/>
        <v>#VALUE!</v>
      </c>
      <c r="AM953" s="239"/>
      <c r="AO953" s="685">
        <f t="shared" si="855"/>
        <v>-3.2236257566388087</v>
      </c>
      <c r="AP953" s="276">
        <f t="shared" si="856"/>
        <v>-1.3839464992172765</v>
      </c>
      <c r="AQ953" s="276">
        <f t="shared" si="857"/>
        <v>-1.8481430733188402</v>
      </c>
      <c r="AR953" s="276">
        <f t="shared" si="858"/>
        <v>-2.4827857579591623</v>
      </c>
      <c r="AS953" s="276">
        <f t="shared" si="859"/>
        <v>-0.72806864904926172</v>
      </c>
      <c r="AT953" s="276">
        <f t="shared" si="860"/>
        <v>-2.3409718570494631</v>
      </c>
      <c r="AU953" s="685">
        <f t="shared" si="861"/>
        <v>0.89373828980030168</v>
      </c>
      <c r="AV953" s="276">
        <f t="shared" si="862"/>
        <v>1.2725636707294694</v>
      </c>
      <c r="AW953" s="276">
        <f t="shared" si="863"/>
        <v>1.089608359686763</v>
      </c>
      <c r="AX953" s="276">
        <f t="shared" si="864"/>
        <v>1.644131638805191</v>
      </c>
      <c r="AY953" s="276">
        <f t="shared" si="865"/>
        <v>1.4852995076715498</v>
      </c>
      <c r="AZ953" s="686">
        <f t="shared" si="866"/>
        <v>0.79856120204321601</v>
      </c>
      <c r="BA953" s="685">
        <f t="shared" si="867"/>
        <v>0</v>
      </c>
      <c r="BB953" s="276">
        <f t="shared" si="868"/>
        <v>0</v>
      </c>
      <c r="BC953" s="276">
        <f t="shared" si="869"/>
        <v>0</v>
      </c>
      <c r="BD953" s="276">
        <f t="shared" si="870"/>
        <v>0</v>
      </c>
      <c r="BE953" s="276">
        <f t="shared" si="871"/>
        <v>0</v>
      </c>
      <c r="BF953" s="686">
        <f t="shared" si="872"/>
        <v>0</v>
      </c>
      <c r="BG953" s="685" t="e">
        <f t="shared" si="873"/>
        <v>#DIV/0!</v>
      </c>
      <c r="BH953" s="276" t="e">
        <f t="shared" si="874"/>
        <v>#DIV/0!</v>
      </c>
      <c r="BI953" s="276" t="e">
        <f t="shared" si="875"/>
        <v>#DIV/0!</v>
      </c>
      <c r="BJ953" s="276" t="e">
        <f t="shared" si="876"/>
        <v>#DIV/0!</v>
      </c>
      <c r="BK953" s="276" t="e">
        <f t="shared" si="877"/>
        <v>#DIV/0!</v>
      </c>
      <c r="BL953" s="686" t="e">
        <f t="shared" si="878"/>
        <v>#DIV/0!</v>
      </c>
      <c r="BM953" s="239"/>
      <c r="BN953" s="965" t="e">
        <f t="shared" si="879"/>
        <v>#VALUE!</v>
      </c>
      <c r="BO953" s="878" t="e">
        <f t="shared" si="880"/>
        <v>#VALUE!</v>
      </c>
      <c r="BP953" s="878" t="e">
        <f t="shared" si="881"/>
        <v>#VALUE!</v>
      </c>
      <c r="BQ953" s="878" t="e">
        <f t="shared" si="882"/>
        <v>#VALUE!</v>
      </c>
      <c r="BR953" s="878" t="e">
        <f t="shared" si="883"/>
        <v>#VALUE!</v>
      </c>
      <c r="BS953" s="966" t="e">
        <f t="shared" si="884"/>
        <v>#VALUE!</v>
      </c>
    </row>
    <row r="954" spans="1:71">
      <c r="A954" s="284">
        <f t="shared" si="885"/>
        <v>886</v>
      </c>
      <c r="B954" s="285">
        <v>-0.56510846965184081</v>
      </c>
      <c r="C954" s="285">
        <v>3.0839728878766337</v>
      </c>
      <c r="D954" s="285">
        <v>-0.54406854571045793</v>
      </c>
      <c r="E954" s="285">
        <v>11.111342607294159</v>
      </c>
      <c r="H954" s="685">
        <f t="shared" si="831"/>
        <v>-1.6983423114208955</v>
      </c>
      <c r="I954" s="276">
        <f t="shared" si="832"/>
        <v>-1.5884698565146462</v>
      </c>
      <c r="J954" s="276">
        <f t="shared" si="833"/>
        <v>-3.5803895513078672</v>
      </c>
      <c r="K954" s="276">
        <f t="shared" si="834"/>
        <v>-1.8437465668192639</v>
      </c>
      <c r="L954" s="276">
        <f t="shared" si="835"/>
        <v>-4.5064831220703718</v>
      </c>
      <c r="M954" s="276">
        <f t="shared" si="836"/>
        <v>3.8125692060322214</v>
      </c>
      <c r="N954" s="685">
        <f t="shared" si="837"/>
        <v>1.8768016769047653</v>
      </c>
      <c r="O954" s="276">
        <f t="shared" si="838"/>
        <v>1.2454036598760811</v>
      </c>
      <c r="P954" s="276">
        <f t="shared" si="839"/>
        <v>1.093053857530409</v>
      </c>
      <c r="Q954" s="276">
        <f t="shared" si="840"/>
        <v>1.848247321775186</v>
      </c>
      <c r="R954" s="276">
        <f t="shared" si="841"/>
        <v>1.0374188358989465</v>
      </c>
      <c r="S954" s="686">
        <f t="shared" si="842"/>
        <v>1.4365315762426267</v>
      </c>
      <c r="T954" s="685">
        <f t="shared" si="843"/>
        <v>2.734295144560468</v>
      </c>
      <c r="U954" s="276">
        <f t="shared" si="844"/>
        <v>4.3862145435848783</v>
      </c>
      <c r="V954" s="276">
        <f t="shared" si="845"/>
        <v>5.421882018463009</v>
      </c>
      <c r="W954" s="276">
        <f t="shared" si="846"/>
        <v>5.7429857601203693</v>
      </c>
      <c r="X954" s="276">
        <f t="shared" si="847"/>
        <v>4.5479455192189109</v>
      </c>
      <c r="Y954" s="686">
        <f t="shared" si="848"/>
        <v>6.2724429680771516</v>
      </c>
      <c r="Z954" s="685" t="e">
        <f t="shared" si="849"/>
        <v>#DIV/0!</v>
      </c>
      <c r="AA954" s="276" t="e">
        <f t="shared" si="850"/>
        <v>#DIV/0!</v>
      </c>
      <c r="AB954" s="276" t="e">
        <f t="shared" si="851"/>
        <v>#DIV/0!</v>
      </c>
      <c r="AC954" s="276" t="e">
        <f t="shared" si="852"/>
        <v>#DIV/0!</v>
      </c>
      <c r="AD954" s="276" t="e">
        <f t="shared" si="853"/>
        <v>#DIV/0!</v>
      </c>
      <c r="AE954" s="686" t="e">
        <f t="shared" si="854"/>
        <v>#DIV/0!</v>
      </c>
      <c r="AF954" s="239"/>
      <c r="AG954" s="965" t="e">
        <f t="shared" si="825"/>
        <v>#VALUE!</v>
      </c>
      <c r="AH954" s="878" t="e">
        <f t="shared" si="826"/>
        <v>#VALUE!</v>
      </c>
      <c r="AI954" s="878" t="e">
        <f t="shared" si="827"/>
        <v>#VALUE!</v>
      </c>
      <c r="AJ954" s="878" t="e">
        <f t="shared" si="828"/>
        <v>#VALUE!</v>
      </c>
      <c r="AK954" s="878" t="e">
        <f t="shared" si="829"/>
        <v>#VALUE!</v>
      </c>
      <c r="AL954" s="966" t="e">
        <f t="shared" si="830"/>
        <v>#VALUE!</v>
      </c>
      <c r="AM954" s="239"/>
      <c r="AO954" s="685">
        <f t="shared" si="855"/>
        <v>-1.6983423114208955</v>
      </c>
      <c r="AP954" s="276">
        <f t="shared" si="856"/>
        <v>-1.5884698565146462</v>
      </c>
      <c r="AQ954" s="276">
        <f t="shared" si="857"/>
        <v>-3.5803895513078672</v>
      </c>
      <c r="AR954" s="276">
        <f t="shared" si="858"/>
        <v>-1.8437465668192639</v>
      </c>
      <c r="AS954" s="276">
        <f t="shared" si="859"/>
        <v>-4.5064831220703718</v>
      </c>
      <c r="AT954" s="276">
        <f t="shared" si="860"/>
        <v>3.8125692060322214</v>
      </c>
      <c r="AU954" s="685">
        <f t="shared" si="861"/>
        <v>1.8768016769047653</v>
      </c>
      <c r="AV954" s="276">
        <f t="shared" si="862"/>
        <v>1.2454036598760811</v>
      </c>
      <c r="AW954" s="276">
        <f t="shared" si="863"/>
        <v>1.093053857530409</v>
      </c>
      <c r="AX954" s="276">
        <f t="shared" si="864"/>
        <v>1.848247321775186</v>
      </c>
      <c r="AY954" s="276">
        <f t="shared" si="865"/>
        <v>1.0374188358989465</v>
      </c>
      <c r="AZ954" s="686">
        <f t="shared" si="866"/>
        <v>1.4365315762426267</v>
      </c>
      <c r="BA954" s="685">
        <f t="shared" si="867"/>
        <v>0</v>
      </c>
      <c r="BB954" s="276">
        <f t="shared" si="868"/>
        <v>0</v>
      </c>
      <c r="BC954" s="276">
        <f t="shared" si="869"/>
        <v>0</v>
      </c>
      <c r="BD954" s="276">
        <f t="shared" si="870"/>
        <v>0</v>
      </c>
      <c r="BE954" s="276">
        <f t="shared" si="871"/>
        <v>0</v>
      </c>
      <c r="BF954" s="686">
        <f t="shared" si="872"/>
        <v>0</v>
      </c>
      <c r="BG954" s="685" t="e">
        <f t="shared" si="873"/>
        <v>#DIV/0!</v>
      </c>
      <c r="BH954" s="276" t="e">
        <f t="shared" si="874"/>
        <v>#DIV/0!</v>
      </c>
      <c r="BI954" s="276" t="e">
        <f t="shared" si="875"/>
        <v>#DIV/0!</v>
      </c>
      <c r="BJ954" s="276" t="e">
        <f t="shared" si="876"/>
        <v>#DIV/0!</v>
      </c>
      <c r="BK954" s="276" t="e">
        <f t="shared" si="877"/>
        <v>#DIV/0!</v>
      </c>
      <c r="BL954" s="686" t="e">
        <f t="shared" si="878"/>
        <v>#DIV/0!</v>
      </c>
      <c r="BM954" s="239"/>
      <c r="BN954" s="965" t="e">
        <f t="shared" si="879"/>
        <v>#VALUE!</v>
      </c>
      <c r="BO954" s="878" t="e">
        <f t="shared" si="880"/>
        <v>#VALUE!</v>
      </c>
      <c r="BP954" s="878" t="e">
        <f t="shared" si="881"/>
        <v>#VALUE!</v>
      </c>
      <c r="BQ954" s="878" t="e">
        <f t="shared" si="882"/>
        <v>#VALUE!</v>
      </c>
      <c r="BR954" s="878" t="e">
        <f t="shared" si="883"/>
        <v>#VALUE!</v>
      </c>
      <c r="BS954" s="966" t="e">
        <f t="shared" si="884"/>
        <v>#VALUE!</v>
      </c>
    </row>
    <row r="955" spans="1:71">
      <c r="A955" s="284">
        <f t="shared" si="885"/>
        <v>887</v>
      </c>
      <c r="B955" s="285">
        <v>4.2108427902953842</v>
      </c>
      <c r="C955" s="285">
        <v>2.8508754942737951</v>
      </c>
      <c r="D955" s="285">
        <v>2.6441479967046129</v>
      </c>
      <c r="E955" s="285">
        <v>0.15072846435651988</v>
      </c>
      <c r="H955" s="685">
        <f t="shared" si="831"/>
        <v>3.0776089485263292</v>
      </c>
      <c r="I955" s="276">
        <f t="shared" si="832"/>
        <v>-3.5789073195655599</v>
      </c>
      <c r="J955" s="276">
        <f t="shared" si="833"/>
        <v>-6.4675310844631202</v>
      </c>
      <c r="K955" s="276">
        <f t="shared" si="834"/>
        <v>0.81577020134818534</v>
      </c>
      <c r="L955" s="276">
        <f t="shared" si="835"/>
        <v>-3.8160127369553036</v>
      </c>
      <c r="M955" s="276">
        <f t="shared" si="836"/>
        <v>-2.0118746265338956</v>
      </c>
      <c r="N955" s="685">
        <f t="shared" si="837"/>
        <v>1.6437042833019266</v>
      </c>
      <c r="O955" s="276">
        <f t="shared" si="838"/>
        <v>-0.17862073508090415</v>
      </c>
      <c r="P955" s="276">
        <f t="shared" si="839"/>
        <v>1.6997102209280122</v>
      </c>
      <c r="Q955" s="276">
        <f t="shared" si="840"/>
        <v>1.3961413334948027</v>
      </c>
      <c r="R955" s="276">
        <f t="shared" si="841"/>
        <v>1.2176981057497891</v>
      </c>
      <c r="S955" s="686">
        <f t="shared" si="842"/>
        <v>0.67551736063930856</v>
      </c>
      <c r="T955" s="685">
        <f t="shared" si="843"/>
        <v>5.9225116869755388</v>
      </c>
      <c r="U955" s="276">
        <f t="shared" si="844"/>
        <v>5.3530818696944529</v>
      </c>
      <c r="V955" s="276">
        <f t="shared" si="845"/>
        <v>3.8369948207811122</v>
      </c>
      <c r="W955" s="276">
        <f t="shared" si="846"/>
        <v>5.4817842342097922</v>
      </c>
      <c r="X955" s="276">
        <f t="shared" si="847"/>
        <v>3.5692167808046911</v>
      </c>
      <c r="Y955" s="686">
        <f t="shared" si="848"/>
        <v>2.280940592312414</v>
      </c>
      <c r="Z955" s="685" t="e">
        <f t="shared" si="849"/>
        <v>#DIV/0!</v>
      </c>
      <c r="AA955" s="276" t="e">
        <f t="shared" si="850"/>
        <v>#DIV/0!</v>
      </c>
      <c r="AB955" s="276" t="e">
        <f t="shared" si="851"/>
        <v>#DIV/0!</v>
      </c>
      <c r="AC955" s="276" t="e">
        <f t="shared" si="852"/>
        <v>#DIV/0!</v>
      </c>
      <c r="AD955" s="276" t="e">
        <f t="shared" si="853"/>
        <v>#DIV/0!</v>
      </c>
      <c r="AE955" s="686" t="e">
        <f t="shared" si="854"/>
        <v>#DIV/0!</v>
      </c>
      <c r="AF955" s="239"/>
      <c r="AG955" s="965" t="e">
        <f t="shared" si="825"/>
        <v>#VALUE!</v>
      </c>
      <c r="AH955" s="878" t="e">
        <f t="shared" si="826"/>
        <v>#VALUE!</v>
      </c>
      <c r="AI955" s="878" t="e">
        <f t="shared" si="827"/>
        <v>#VALUE!</v>
      </c>
      <c r="AJ955" s="878" t="e">
        <f t="shared" si="828"/>
        <v>#VALUE!</v>
      </c>
      <c r="AK955" s="878" t="e">
        <f t="shared" si="829"/>
        <v>#VALUE!</v>
      </c>
      <c r="AL955" s="966" t="e">
        <f t="shared" si="830"/>
        <v>#VALUE!</v>
      </c>
      <c r="AM955" s="239"/>
      <c r="AO955" s="685">
        <f t="shared" si="855"/>
        <v>3.0776089485263292</v>
      </c>
      <c r="AP955" s="276">
        <f t="shared" si="856"/>
        <v>-3.5789073195655599</v>
      </c>
      <c r="AQ955" s="276">
        <f t="shared" si="857"/>
        <v>-6.4675310844631202</v>
      </c>
      <c r="AR955" s="276">
        <f t="shared" si="858"/>
        <v>0.81577020134818534</v>
      </c>
      <c r="AS955" s="276">
        <f t="shared" si="859"/>
        <v>-3.8160127369553036</v>
      </c>
      <c r="AT955" s="276">
        <f t="shared" si="860"/>
        <v>-2.0118746265338956</v>
      </c>
      <c r="AU955" s="685">
        <f t="shared" si="861"/>
        <v>1.6437042833019266</v>
      </c>
      <c r="AV955" s="276">
        <f t="shared" si="862"/>
        <v>-0.17862073508090415</v>
      </c>
      <c r="AW955" s="276">
        <f t="shared" si="863"/>
        <v>1.6997102209280122</v>
      </c>
      <c r="AX955" s="276">
        <f t="shared" si="864"/>
        <v>1.3961413334948027</v>
      </c>
      <c r="AY955" s="276">
        <f t="shared" si="865"/>
        <v>1.2176981057497891</v>
      </c>
      <c r="AZ955" s="686">
        <f t="shared" si="866"/>
        <v>0.67551736063930856</v>
      </c>
      <c r="BA955" s="685">
        <f t="shared" si="867"/>
        <v>0</v>
      </c>
      <c r="BB955" s="276">
        <f t="shared" si="868"/>
        <v>0</v>
      </c>
      <c r="BC955" s="276">
        <f t="shared" si="869"/>
        <v>0</v>
      </c>
      <c r="BD955" s="276">
        <f t="shared" si="870"/>
        <v>0</v>
      </c>
      <c r="BE955" s="276">
        <f t="shared" si="871"/>
        <v>0</v>
      </c>
      <c r="BF955" s="686">
        <f t="shared" si="872"/>
        <v>0</v>
      </c>
      <c r="BG955" s="685" t="e">
        <f t="shared" si="873"/>
        <v>#DIV/0!</v>
      </c>
      <c r="BH955" s="276" t="e">
        <f t="shared" si="874"/>
        <v>#DIV/0!</v>
      </c>
      <c r="BI955" s="276" t="e">
        <f t="shared" si="875"/>
        <v>#DIV/0!</v>
      </c>
      <c r="BJ955" s="276" t="e">
        <f t="shared" si="876"/>
        <v>#DIV/0!</v>
      </c>
      <c r="BK955" s="276" t="e">
        <f t="shared" si="877"/>
        <v>#DIV/0!</v>
      </c>
      <c r="BL955" s="686" t="e">
        <f t="shared" si="878"/>
        <v>#DIV/0!</v>
      </c>
      <c r="BM955" s="239"/>
      <c r="BN955" s="965" t="e">
        <f t="shared" si="879"/>
        <v>#VALUE!</v>
      </c>
      <c r="BO955" s="878" t="e">
        <f t="shared" si="880"/>
        <v>#VALUE!</v>
      </c>
      <c r="BP955" s="878" t="e">
        <f t="shared" si="881"/>
        <v>#VALUE!</v>
      </c>
      <c r="BQ955" s="878" t="e">
        <f t="shared" si="882"/>
        <v>#VALUE!</v>
      </c>
      <c r="BR955" s="878" t="e">
        <f t="shared" si="883"/>
        <v>#VALUE!</v>
      </c>
      <c r="BS955" s="966" t="e">
        <f t="shared" si="884"/>
        <v>#VALUE!</v>
      </c>
    </row>
    <row r="956" spans="1:71">
      <c r="A956" s="284">
        <f t="shared" si="885"/>
        <v>888</v>
      </c>
      <c r="B956" s="285">
        <v>2.4327257651737225E-2</v>
      </c>
      <c r="C956" s="285">
        <v>2.3174890279519764</v>
      </c>
      <c r="D956" s="285">
        <v>2.4253937933621845</v>
      </c>
      <c r="E956" s="285">
        <v>-2.0760551393783264</v>
      </c>
      <c r="H956" s="685">
        <f t="shared" si="831"/>
        <v>-1.1089065841173176</v>
      </c>
      <c r="I956" s="276">
        <f t="shared" si="832"/>
        <v>-1.2104738997876074</v>
      </c>
      <c r="J956" s="276">
        <f t="shared" si="833"/>
        <v>-1.1105921528509122</v>
      </c>
      <c r="K956" s="276">
        <f t="shared" si="834"/>
        <v>1.1359689583693935</v>
      </c>
      <c r="L956" s="276">
        <f t="shared" si="835"/>
        <v>-1.5034424192540241</v>
      </c>
      <c r="M956" s="276">
        <f t="shared" si="836"/>
        <v>-0.70138577640524302</v>
      </c>
      <c r="N956" s="685">
        <f t="shared" si="837"/>
        <v>1.110317816980108</v>
      </c>
      <c r="O956" s="276">
        <f t="shared" si="838"/>
        <v>1.3925571524217653</v>
      </c>
      <c r="P956" s="276">
        <f t="shared" si="839"/>
        <v>1.4895652913308053</v>
      </c>
      <c r="Q956" s="276">
        <f t="shared" si="840"/>
        <v>1.6558552428669138</v>
      </c>
      <c r="R956" s="276">
        <f t="shared" si="841"/>
        <v>1.0357745640841605</v>
      </c>
      <c r="S956" s="686">
        <f t="shared" si="842"/>
        <v>1.6938746144989472</v>
      </c>
      <c r="T956" s="685">
        <f t="shared" si="843"/>
        <v>5.70375748363311</v>
      </c>
      <c r="U956" s="276">
        <f t="shared" si="844"/>
        <v>4.0770490144187557</v>
      </c>
      <c r="V956" s="276">
        <f t="shared" si="845"/>
        <v>5.0813498956641689</v>
      </c>
      <c r="W956" s="276">
        <f t="shared" si="846"/>
        <v>4.2851603153840507</v>
      </c>
      <c r="X956" s="276">
        <f t="shared" si="847"/>
        <v>3.8050652888583185</v>
      </c>
      <c r="Y956" s="686">
        <f t="shared" si="848"/>
        <v>6.3148986306517134</v>
      </c>
      <c r="Z956" s="685" t="e">
        <f t="shared" si="849"/>
        <v>#DIV/0!</v>
      </c>
      <c r="AA956" s="276" t="e">
        <f t="shared" si="850"/>
        <v>#DIV/0!</v>
      </c>
      <c r="AB956" s="276" t="e">
        <f t="shared" si="851"/>
        <v>#DIV/0!</v>
      </c>
      <c r="AC956" s="276" t="e">
        <f t="shared" si="852"/>
        <v>#DIV/0!</v>
      </c>
      <c r="AD956" s="276" t="e">
        <f t="shared" si="853"/>
        <v>#DIV/0!</v>
      </c>
      <c r="AE956" s="686" t="e">
        <f t="shared" si="854"/>
        <v>#DIV/0!</v>
      </c>
      <c r="AF956" s="239"/>
      <c r="AG956" s="965" t="e">
        <f t="shared" si="825"/>
        <v>#VALUE!</v>
      </c>
      <c r="AH956" s="878" t="e">
        <f t="shared" si="826"/>
        <v>#VALUE!</v>
      </c>
      <c r="AI956" s="878" t="e">
        <f t="shared" si="827"/>
        <v>#VALUE!</v>
      </c>
      <c r="AJ956" s="878" t="e">
        <f t="shared" si="828"/>
        <v>#VALUE!</v>
      </c>
      <c r="AK956" s="878" t="e">
        <f t="shared" si="829"/>
        <v>#VALUE!</v>
      </c>
      <c r="AL956" s="966" t="e">
        <f t="shared" si="830"/>
        <v>#VALUE!</v>
      </c>
      <c r="AM956" s="239"/>
      <c r="AO956" s="685">
        <f t="shared" si="855"/>
        <v>-1.1089065841173176</v>
      </c>
      <c r="AP956" s="276">
        <f t="shared" si="856"/>
        <v>-1.2104738997876074</v>
      </c>
      <c r="AQ956" s="276">
        <f t="shared" si="857"/>
        <v>-1.1105921528509122</v>
      </c>
      <c r="AR956" s="276">
        <f t="shared" si="858"/>
        <v>1.1359689583693935</v>
      </c>
      <c r="AS956" s="276">
        <f t="shared" si="859"/>
        <v>-1.5034424192540241</v>
      </c>
      <c r="AT956" s="276">
        <f t="shared" si="860"/>
        <v>-0.70138577640524302</v>
      </c>
      <c r="AU956" s="685">
        <f t="shared" si="861"/>
        <v>1.110317816980108</v>
      </c>
      <c r="AV956" s="276">
        <f t="shared" si="862"/>
        <v>1.3925571524217653</v>
      </c>
      <c r="AW956" s="276">
        <f t="shared" si="863"/>
        <v>1.4895652913308053</v>
      </c>
      <c r="AX956" s="276">
        <f t="shared" si="864"/>
        <v>1.6558552428669138</v>
      </c>
      <c r="AY956" s="276">
        <f t="shared" si="865"/>
        <v>1.0357745640841605</v>
      </c>
      <c r="AZ956" s="686">
        <f t="shared" si="866"/>
        <v>1.6938746144989472</v>
      </c>
      <c r="BA956" s="685">
        <f t="shared" si="867"/>
        <v>0</v>
      </c>
      <c r="BB956" s="276">
        <f t="shared" si="868"/>
        <v>0</v>
      </c>
      <c r="BC956" s="276">
        <f t="shared" si="869"/>
        <v>0</v>
      </c>
      <c r="BD956" s="276">
        <f t="shared" si="870"/>
        <v>0</v>
      </c>
      <c r="BE956" s="276">
        <f t="shared" si="871"/>
        <v>0</v>
      </c>
      <c r="BF956" s="686">
        <f t="shared" si="872"/>
        <v>0</v>
      </c>
      <c r="BG956" s="685" t="e">
        <f t="shared" si="873"/>
        <v>#DIV/0!</v>
      </c>
      <c r="BH956" s="276" t="e">
        <f t="shared" si="874"/>
        <v>#DIV/0!</v>
      </c>
      <c r="BI956" s="276" t="e">
        <f t="shared" si="875"/>
        <v>#DIV/0!</v>
      </c>
      <c r="BJ956" s="276" t="e">
        <f t="shared" si="876"/>
        <v>#DIV/0!</v>
      </c>
      <c r="BK956" s="276" t="e">
        <f t="shared" si="877"/>
        <v>#DIV/0!</v>
      </c>
      <c r="BL956" s="686" t="e">
        <f t="shared" si="878"/>
        <v>#DIV/0!</v>
      </c>
      <c r="BM956" s="239"/>
      <c r="BN956" s="965" t="e">
        <f t="shared" si="879"/>
        <v>#VALUE!</v>
      </c>
      <c r="BO956" s="878" t="e">
        <f t="shared" si="880"/>
        <v>#VALUE!</v>
      </c>
      <c r="BP956" s="878" t="e">
        <f t="shared" si="881"/>
        <v>#VALUE!</v>
      </c>
      <c r="BQ956" s="878" t="e">
        <f t="shared" si="882"/>
        <v>#VALUE!</v>
      </c>
      <c r="BR956" s="878" t="e">
        <f t="shared" si="883"/>
        <v>#VALUE!</v>
      </c>
      <c r="BS956" s="966" t="e">
        <f t="shared" si="884"/>
        <v>#VALUE!</v>
      </c>
    </row>
    <row r="957" spans="1:71">
      <c r="A957" s="284">
        <f t="shared" si="885"/>
        <v>889</v>
      </c>
      <c r="B957" s="285">
        <v>0.71940206333115087</v>
      </c>
      <c r="C957" s="285">
        <v>3.0299438346319367</v>
      </c>
      <c r="D957" s="285">
        <v>3.4802552324165514E-2</v>
      </c>
      <c r="E957" s="285">
        <v>4.4636109206518721</v>
      </c>
      <c r="H957" s="685">
        <f t="shared" si="831"/>
        <v>-0.41383177843790397</v>
      </c>
      <c r="I957" s="276">
        <f t="shared" si="832"/>
        <v>-4.5276854357420575</v>
      </c>
      <c r="J957" s="276">
        <f t="shared" si="833"/>
        <v>-1.6694042122174471</v>
      </c>
      <c r="K957" s="276">
        <f t="shared" si="834"/>
        <v>-2.3034666040647807</v>
      </c>
      <c r="L957" s="276">
        <f t="shared" si="835"/>
        <v>-0.11378398211967844</v>
      </c>
      <c r="M957" s="276">
        <f t="shared" si="836"/>
        <v>-1.737161995016004</v>
      </c>
      <c r="N957" s="685">
        <f t="shared" si="837"/>
        <v>1.8227726236600683</v>
      </c>
      <c r="O957" s="276">
        <f t="shared" si="838"/>
        <v>1.2745569296234402</v>
      </c>
      <c r="P957" s="276">
        <f t="shared" si="839"/>
        <v>1.0562081133428898</v>
      </c>
      <c r="Q957" s="276">
        <f t="shared" si="840"/>
        <v>1.532891231938607</v>
      </c>
      <c r="R957" s="276">
        <f t="shared" si="841"/>
        <v>1.4676866588511979</v>
      </c>
      <c r="S957" s="686">
        <f t="shared" si="842"/>
        <v>1.974368507281359</v>
      </c>
      <c r="T957" s="685">
        <f t="shared" si="843"/>
        <v>3.3131662425950914</v>
      </c>
      <c r="U957" s="276">
        <f t="shared" si="844"/>
        <v>2.6852751843564171</v>
      </c>
      <c r="V957" s="276">
        <f t="shared" si="845"/>
        <v>2.727653922958849</v>
      </c>
      <c r="W957" s="276">
        <f t="shared" si="846"/>
        <v>4.6819191078709945</v>
      </c>
      <c r="X957" s="276">
        <f t="shared" si="847"/>
        <v>6.0741767693981377</v>
      </c>
      <c r="Y957" s="686">
        <f t="shared" si="848"/>
        <v>3.6590579032203157</v>
      </c>
      <c r="Z957" s="685" t="e">
        <f t="shared" si="849"/>
        <v>#DIV/0!</v>
      </c>
      <c r="AA957" s="276" t="e">
        <f t="shared" si="850"/>
        <v>#DIV/0!</v>
      </c>
      <c r="AB957" s="276" t="e">
        <f t="shared" si="851"/>
        <v>#DIV/0!</v>
      </c>
      <c r="AC957" s="276" t="e">
        <f t="shared" si="852"/>
        <v>#DIV/0!</v>
      </c>
      <c r="AD957" s="276" t="e">
        <f t="shared" si="853"/>
        <v>#DIV/0!</v>
      </c>
      <c r="AE957" s="686" t="e">
        <f t="shared" si="854"/>
        <v>#DIV/0!</v>
      </c>
      <c r="AF957" s="239"/>
      <c r="AG957" s="965" t="e">
        <f t="shared" si="825"/>
        <v>#VALUE!</v>
      </c>
      <c r="AH957" s="878" t="e">
        <f t="shared" si="826"/>
        <v>#VALUE!</v>
      </c>
      <c r="AI957" s="878" t="e">
        <f t="shared" si="827"/>
        <v>#VALUE!</v>
      </c>
      <c r="AJ957" s="878" t="e">
        <f t="shared" si="828"/>
        <v>#VALUE!</v>
      </c>
      <c r="AK957" s="878" t="e">
        <f t="shared" si="829"/>
        <v>#VALUE!</v>
      </c>
      <c r="AL957" s="966" t="e">
        <f t="shared" si="830"/>
        <v>#VALUE!</v>
      </c>
      <c r="AM957" s="239"/>
      <c r="AO957" s="685">
        <f t="shared" si="855"/>
        <v>-0.41383177843790397</v>
      </c>
      <c r="AP957" s="276">
        <f t="shared" si="856"/>
        <v>-4.5276854357420575</v>
      </c>
      <c r="AQ957" s="276">
        <f t="shared" si="857"/>
        <v>-1.6694042122174471</v>
      </c>
      <c r="AR957" s="276">
        <f t="shared" si="858"/>
        <v>-2.3034666040647807</v>
      </c>
      <c r="AS957" s="276">
        <f t="shared" si="859"/>
        <v>-0.11378398211967844</v>
      </c>
      <c r="AT957" s="276">
        <f t="shared" si="860"/>
        <v>-1.737161995016004</v>
      </c>
      <c r="AU957" s="685">
        <f t="shared" si="861"/>
        <v>1.8227726236600683</v>
      </c>
      <c r="AV957" s="276">
        <f t="shared" si="862"/>
        <v>1.2745569296234402</v>
      </c>
      <c r="AW957" s="276">
        <f t="shared" si="863"/>
        <v>1.0562081133428898</v>
      </c>
      <c r="AX957" s="276">
        <f t="shared" si="864"/>
        <v>1.532891231938607</v>
      </c>
      <c r="AY957" s="276">
        <f t="shared" si="865"/>
        <v>1.4676866588511979</v>
      </c>
      <c r="AZ957" s="686">
        <f t="shared" si="866"/>
        <v>1.974368507281359</v>
      </c>
      <c r="BA957" s="685">
        <f t="shared" si="867"/>
        <v>0</v>
      </c>
      <c r="BB957" s="276">
        <f t="shared" si="868"/>
        <v>0</v>
      </c>
      <c r="BC957" s="276">
        <f t="shared" si="869"/>
        <v>0</v>
      </c>
      <c r="BD957" s="276">
        <f t="shared" si="870"/>
        <v>0</v>
      </c>
      <c r="BE957" s="276">
        <f t="shared" si="871"/>
        <v>0</v>
      </c>
      <c r="BF957" s="686">
        <f t="shared" si="872"/>
        <v>0</v>
      </c>
      <c r="BG957" s="685" t="e">
        <f t="shared" si="873"/>
        <v>#DIV/0!</v>
      </c>
      <c r="BH957" s="276" t="e">
        <f t="shared" si="874"/>
        <v>#DIV/0!</v>
      </c>
      <c r="BI957" s="276" t="e">
        <f t="shared" si="875"/>
        <v>#DIV/0!</v>
      </c>
      <c r="BJ957" s="276" t="e">
        <f t="shared" si="876"/>
        <v>#DIV/0!</v>
      </c>
      <c r="BK957" s="276" t="e">
        <f t="shared" si="877"/>
        <v>#DIV/0!</v>
      </c>
      <c r="BL957" s="686" t="e">
        <f t="shared" si="878"/>
        <v>#DIV/0!</v>
      </c>
      <c r="BM957" s="239"/>
      <c r="BN957" s="965" t="e">
        <f t="shared" si="879"/>
        <v>#VALUE!</v>
      </c>
      <c r="BO957" s="878" t="e">
        <f t="shared" si="880"/>
        <v>#VALUE!</v>
      </c>
      <c r="BP957" s="878" t="e">
        <f t="shared" si="881"/>
        <v>#VALUE!</v>
      </c>
      <c r="BQ957" s="878" t="e">
        <f t="shared" si="882"/>
        <v>#VALUE!</v>
      </c>
      <c r="BR957" s="878" t="e">
        <f t="shared" si="883"/>
        <v>#VALUE!</v>
      </c>
      <c r="BS957" s="966" t="e">
        <f t="shared" si="884"/>
        <v>#VALUE!</v>
      </c>
    </row>
    <row r="958" spans="1:71">
      <c r="A958" s="284">
        <f t="shared" si="885"/>
        <v>890</v>
      </c>
      <c r="B958" s="285">
        <v>0.58645065473994318</v>
      </c>
      <c r="C958" s="285">
        <v>1.8555005054987506</v>
      </c>
      <c r="D958" s="285">
        <v>2.3043435845608728</v>
      </c>
      <c r="E958" s="285">
        <v>-9.2553676586463371</v>
      </c>
      <c r="H958" s="685">
        <f t="shared" si="831"/>
        <v>-0.54678318702911166</v>
      </c>
      <c r="I958" s="276">
        <f t="shared" si="832"/>
        <v>0.76591867437228256</v>
      </c>
      <c r="J958" s="276">
        <f t="shared" si="833"/>
        <v>-5.814392708749053</v>
      </c>
      <c r="K958" s="276">
        <f t="shared" si="834"/>
        <v>-5.735967020990687</v>
      </c>
      <c r="L958" s="276">
        <f t="shared" si="835"/>
        <v>-4.6735552653669821</v>
      </c>
      <c r="M958" s="276">
        <f t="shared" si="836"/>
        <v>0.22494589307624135</v>
      </c>
      <c r="N958" s="685">
        <f t="shared" si="837"/>
        <v>0.64832929452688215</v>
      </c>
      <c r="O958" s="276">
        <f t="shared" si="838"/>
        <v>1.6994698710188547</v>
      </c>
      <c r="P958" s="276">
        <f t="shared" si="839"/>
        <v>0.19276073663697457</v>
      </c>
      <c r="Q958" s="276">
        <f t="shared" si="840"/>
        <v>0.55407790701499304</v>
      </c>
      <c r="R958" s="276">
        <f t="shared" si="841"/>
        <v>1.626016098753303</v>
      </c>
      <c r="S958" s="686">
        <f t="shared" si="842"/>
        <v>1.8192978932092101</v>
      </c>
      <c r="T958" s="685">
        <f t="shared" si="843"/>
        <v>5.5827072748317992</v>
      </c>
      <c r="U958" s="276">
        <f t="shared" si="844"/>
        <v>4.3258863195943231</v>
      </c>
      <c r="V958" s="276">
        <f t="shared" si="845"/>
        <v>4.8907376084852032</v>
      </c>
      <c r="W958" s="276">
        <f t="shared" si="846"/>
        <v>2.0561376322052873</v>
      </c>
      <c r="X958" s="276">
        <f t="shared" si="847"/>
        <v>5.3912358060579741</v>
      </c>
      <c r="Y958" s="686">
        <f t="shared" si="848"/>
        <v>5.7930235013696159</v>
      </c>
      <c r="Z958" s="685" t="e">
        <f t="shared" si="849"/>
        <v>#DIV/0!</v>
      </c>
      <c r="AA958" s="276" t="e">
        <f t="shared" si="850"/>
        <v>#DIV/0!</v>
      </c>
      <c r="AB958" s="276" t="e">
        <f t="shared" si="851"/>
        <v>#DIV/0!</v>
      </c>
      <c r="AC958" s="276" t="e">
        <f t="shared" si="852"/>
        <v>#DIV/0!</v>
      </c>
      <c r="AD958" s="276" t="e">
        <f t="shared" si="853"/>
        <v>#DIV/0!</v>
      </c>
      <c r="AE958" s="686" t="e">
        <f t="shared" si="854"/>
        <v>#DIV/0!</v>
      </c>
      <c r="AF958" s="239"/>
      <c r="AG958" s="965" t="e">
        <f t="shared" si="825"/>
        <v>#VALUE!</v>
      </c>
      <c r="AH958" s="878" t="e">
        <f t="shared" si="826"/>
        <v>#VALUE!</v>
      </c>
      <c r="AI958" s="878" t="e">
        <f t="shared" si="827"/>
        <v>#VALUE!</v>
      </c>
      <c r="AJ958" s="878" t="e">
        <f t="shared" si="828"/>
        <v>#VALUE!</v>
      </c>
      <c r="AK958" s="878" t="e">
        <f t="shared" si="829"/>
        <v>#VALUE!</v>
      </c>
      <c r="AL958" s="966" t="e">
        <f t="shared" si="830"/>
        <v>#VALUE!</v>
      </c>
      <c r="AM958" s="239"/>
      <c r="AO958" s="685">
        <f t="shared" si="855"/>
        <v>-0.54678318702911166</v>
      </c>
      <c r="AP958" s="276">
        <f t="shared" si="856"/>
        <v>0.76591867437228256</v>
      </c>
      <c r="AQ958" s="276">
        <f t="shared" si="857"/>
        <v>-5.814392708749053</v>
      </c>
      <c r="AR958" s="276">
        <f t="shared" si="858"/>
        <v>-5.735967020990687</v>
      </c>
      <c r="AS958" s="276">
        <f t="shared" si="859"/>
        <v>-4.6735552653669821</v>
      </c>
      <c r="AT958" s="276">
        <f t="shared" si="860"/>
        <v>0.22494589307624135</v>
      </c>
      <c r="AU958" s="685">
        <f t="shared" si="861"/>
        <v>0.64832929452688215</v>
      </c>
      <c r="AV958" s="276">
        <f t="shared" si="862"/>
        <v>1.6994698710188547</v>
      </c>
      <c r="AW958" s="276">
        <f t="shared" si="863"/>
        <v>0.19276073663697457</v>
      </c>
      <c r="AX958" s="276">
        <f t="shared" si="864"/>
        <v>0.55407790701499304</v>
      </c>
      <c r="AY958" s="276">
        <f t="shared" si="865"/>
        <v>1.626016098753303</v>
      </c>
      <c r="AZ958" s="686">
        <f t="shared" si="866"/>
        <v>1.8192978932092101</v>
      </c>
      <c r="BA958" s="685">
        <f t="shared" si="867"/>
        <v>0</v>
      </c>
      <c r="BB958" s="276">
        <f t="shared" si="868"/>
        <v>0</v>
      </c>
      <c r="BC958" s="276">
        <f t="shared" si="869"/>
        <v>0</v>
      </c>
      <c r="BD958" s="276">
        <f t="shared" si="870"/>
        <v>0</v>
      </c>
      <c r="BE958" s="276">
        <f t="shared" si="871"/>
        <v>0</v>
      </c>
      <c r="BF958" s="686">
        <f t="shared" si="872"/>
        <v>0</v>
      </c>
      <c r="BG958" s="685" t="e">
        <f t="shared" si="873"/>
        <v>#DIV/0!</v>
      </c>
      <c r="BH958" s="276" t="e">
        <f t="shared" si="874"/>
        <v>#DIV/0!</v>
      </c>
      <c r="BI958" s="276" t="e">
        <f t="shared" si="875"/>
        <v>#DIV/0!</v>
      </c>
      <c r="BJ958" s="276" t="e">
        <f t="shared" si="876"/>
        <v>#DIV/0!</v>
      </c>
      <c r="BK958" s="276" t="e">
        <f t="shared" si="877"/>
        <v>#DIV/0!</v>
      </c>
      <c r="BL958" s="686" t="e">
        <f t="shared" si="878"/>
        <v>#DIV/0!</v>
      </c>
      <c r="BM958" s="239"/>
      <c r="BN958" s="965" t="e">
        <f t="shared" si="879"/>
        <v>#VALUE!</v>
      </c>
      <c r="BO958" s="878" t="e">
        <f t="shared" si="880"/>
        <v>#VALUE!</v>
      </c>
      <c r="BP958" s="878" t="e">
        <f t="shared" si="881"/>
        <v>#VALUE!</v>
      </c>
      <c r="BQ958" s="878" t="e">
        <f t="shared" si="882"/>
        <v>#VALUE!</v>
      </c>
      <c r="BR958" s="878" t="e">
        <f t="shared" si="883"/>
        <v>#VALUE!</v>
      </c>
      <c r="BS958" s="966" t="e">
        <f t="shared" si="884"/>
        <v>#VALUE!</v>
      </c>
    </row>
    <row r="959" spans="1:71">
      <c r="A959" s="284">
        <f t="shared" si="885"/>
        <v>891</v>
      </c>
      <c r="B959" s="285">
        <v>-1.293324934127168</v>
      </c>
      <c r="C959" s="285">
        <v>2.9780882769948853</v>
      </c>
      <c r="D959" s="285">
        <v>-0.30868021717336269</v>
      </c>
      <c r="E959" s="285">
        <v>11.635835771453277</v>
      </c>
      <c r="H959" s="685">
        <f t="shared" si="831"/>
        <v>-2.4265587758962228</v>
      </c>
      <c r="I959" s="276">
        <f t="shared" si="832"/>
        <v>-2.3572786268764609</v>
      </c>
      <c r="J959" s="276">
        <f t="shared" si="833"/>
        <v>-2.0680365380964911</v>
      </c>
      <c r="K959" s="276">
        <f t="shared" si="834"/>
        <v>-0.42456125112073395</v>
      </c>
      <c r="L959" s="276">
        <f t="shared" si="835"/>
        <v>-3.2418278420064945</v>
      </c>
      <c r="M959" s="276">
        <f t="shared" si="836"/>
        <v>3.3093567449015593E-2</v>
      </c>
      <c r="N959" s="685">
        <f t="shared" si="837"/>
        <v>1.7709170660230169</v>
      </c>
      <c r="O959" s="276">
        <f t="shared" si="838"/>
        <v>1.5653816246427701</v>
      </c>
      <c r="P959" s="276">
        <f t="shared" si="839"/>
        <v>0.89948151793300357</v>
      </c>
      <c r="Q959" s="276">
        <f t="shared" si="840"/>
        <v>1.9753562748207181</v>
      </c>
      <c r="R959" s="276">
        <f t="shared" si="841"/>
        <v>0.8675941010786421</v>
      </c>
      <c r="S959" s="686">
        <f t="shared" si="842"/>
        <v>0.54298186620568267</v>
      </c>
      <c r="T959" s="685">
        <f t="shared" si="843"/>
        <v>2.9696834730975632</v>
      </c>
      <c r="U959" s="276">
        <f t="shared" si="844"/>
        <v>2.8402889707604739</v>
      </c>
      <c r="V959" s="276">
        <f t="shared" si="845"/>
        <v>5.2928439967152041</v>
      </c>
      <c r="W959" s="276">
        <f t="shared" si="846"/>
        <v>6.1085854412321243</v>
      </c>
      <c r="X959" s="276">
        <f t="shared" si="847"/>
        <v>2.9272111579939191</v>
      </c>
      <c r="Y959" s="686">
        <f t="shared" si="848"/>
        <v>7.0632818709543912</v>
      </c>
      <c r="Z959" s="685" t="e">
        <f t="shared" si="849"/>
        <v>#DIV/0!</v>
      </c>
      <c r="AA959" s="276" t="e">
        <f t="shared" si="850"/>
        <v>#DIV/0!</v>
      </c>
      <c r="AB959" s="276" t="e">
        <f t="shared" si="851"/>
        <v>#DIV/0!</v>
      </c>
      <c r="AC959" s="276" t="e">
        <f t="shared" si="852"/>
        <v>#DIV/0!</v>
      </c>
      <c r="AD959" s="276" t="e">
        <f t="shared" si="853"/>
        <v>#DIV/0!</v>
      </c>
      <c r="AE959" s="686" t="e">
        <f t="shared" si="854"/>
        <v>#DIV/0!</v>
      </c>
      <c r="AF959" s="239"/>
      <c r="AG959" s="965" t="e">
        <f t="shared" si="825"/>
        <v>#VALUE!</v>
      </c>
      <c r="AH959" s="878" t="e">
        <f t="shared" si="826"/>
        <v>#VALUE!</v>
      </c>
      <c r="AI959" s="878" t="e">
        <f t="shared" si="827"/>
        <v>#VALUE!</v>
      </c>
      <c r="AJ959" s="878" t="e">
        <f t="shared" si="828"/>
        <v>#VALUE!</v>
      </c>
      <c r="AK959" s="878" t="e">
        <f t="shared" si="829"/>
        <v>#VALUE!</v>
      </c>
      <c r="AL959" s="966" t="e">
        <f t="shared" si="830"/>
        <v>#VALUE!</v>
      </c>
      <c r="AM959" s="239"/>
      <c r="AO959" s="685">
        <f t="shared" si="855"/>
        <v>-2.4265587758962228</v>
      </c>
      <c r="AP959" s="276">
        <f t="shared" si="856"/>
        <v>-2.3572786268764609</v>
      </c>
      <c r="AQ959" s="276">
        <f t="shared" si="857"/>
        <v>-2.0680365380964911</v>
      </c>
      <c r="AR959" s="276">
        <f t="shared" si="858"/>
        <v>-0.42456125112073395</v>
      </c>
      <c r="AS959" s="276">
        <f t="shared" si="859"/>
        <v>-3.2418278420064945</v>
      </c>
      <c r="AT959" s="276">
        <f t="shared" si="860"/>
        <v>3.3093567449015593E-2</v>
      </c>
      <c r="AU959" s="685">
        <f t="shared" si="861"/>
        <v>1.7709170660230169</v>
      </c>
      <c r="AV959" s="276">
        <f t="shared" si="862"/>
        <v>1.5653816246427701</v>
      </c>
      <c r="AW959" s="276">
        <f t="shared" si="863"/>
        <v>0.89948151793300357</v>
      </c>
      <c r="AX959" s="276">
        <f t="shared" si="864"/>
        <v>1.9753562748207181</v>
      </c>
      <c r="AY959" s="276">
        <f t="shared" si="865"/>
        <v>0.8675941010786421</v>
      </c>
      <c r="AZ959" s="686">
        <f t="shared" si="866"/>
        <v>0.54298186620568267</v>
      </c>
      <c r="BA959" s="685">
        <f t="shared" si="867"/>
        <v>0</v>
      </c>
      <c r="BB959" s="276">
        <f t="shared" si="868"/>
        <v>0</v>
      </c>
      <c r="BC959" s="276">
        <f t="shared" si="869"/>
        <v>0</v>
      </c>
      <c r="BD959" s="276">
        <f t="shared" si="870"/>
        <v>0</v>
      </c>
      <c r="BE959" s="276">
        <f t="shared" si="871"/>
        <v>0</v>
      </c>
      <c r="BF959" s="686">
        <f t="shared" si="872"/>
        <v>0</v>
      </c>
      <c r="BG959" s="685" t="e">
        <f t="shared" si="873"/>
        <v>#DIV/0!</v>
      </c>
      <c r="BH959" s="276" t="e">
        <f t="shared" si="874"/>
        <v>#DIV/0!</v>
      </c>
      <c r="BI959" s="276" t="e">
        <f t="shared" si="875"/>
        <v>#DIV/0!</v>
      </c>
      <c r="BJ959" s="276" t="e">
        <f t="shared" si="876"/>
        <v>#DIV/0!</v>
      </c>
      <c r="BK959" s="276" t="e">
        <f t="shared" si="877"/>
        <v>#DIV/0!</v>
      </c>
      <c r="BL959" s="686" t="e">
        <f t="shared" si="878"/>
        <v>#DIV/0!</v>
      </c>
      <c r="BM959" s="239"/>
      <c r="BN959" s="965" t="e">
        <f t="shared" si="879"/>
        <v>#VALUE!</v>
      </c>
      <c r="BO959" s="878" t="e">
        <f t="shared" si="880"/>
        <v>#VALUE!</v>
      </c>
      <c r="BP959" s="878" t="e">
        <f t="shared" si="881"/>
        <v>#VALUE!</v>
      </c>
      <c r="BQ959" s="878" t="e">
        <f t="shared" si="882"/>
        <v>#VALUE!</v>
      </c>
      <c r="BR959" s="878" t="e">
        <f t="shared" si="883"/>
        <v>#VALUE!</v>
      </c>
      <c r="BS959" s="966" t="e">
        <f t="shared" si="884"/>
        <v>#VALUE!</v>
      </c>
    </row>
    <row r="960" spans="1:71">
      <c r="A960" s="284">
        <f t="shared" si="885"/>
        <v>892</v>
      </c>
      <c r="B960" s="285">
        <v>-0.87130879091525959</v>
      </c>
      <c r="C960" s="285">
        <v>3.5011253306016075</v>
      </c>
      <c r="D960" s="285">
        <v>0.40415711458676995</v>
      </c>
      <c r="E960" s="285">
        <v>18.342791986813086</v>
      </c>
      <c r="H960" s="685">
        <f t="shared" si="831"/>
        <v>-2.0045426326843145</v>
      </c>
      <c r="I960" s="276">
        <f t="shared" si="832"/>
        <v>-3.0341957629232068</v>
      </c>
      <c r="J960" s="276">
        <f t="shared" si="833"/>
        <v>-1.1696990596230012</v>
      </c>
      <c r="K960" s="276">
        <f t="shared" si="834"/>
        <v>-2.934380003678112</v>
      </c>
      <c r="L960" s="276">
        <f t="shared" si="835"/>
        <v>3.2675212338036674</v>
      </c>
      <c r="M960" s="276">
        <f t="shared" si="836"/>
        <v>-0.5146374210892205</v>
      </c>
      <c r="N960" s="685">
        <f t="shared" si="837"/>
        <v>2.2939541196297393</v>
      </c>
      <c r="O960" s="276">
        <f t="shared" si="838"/>
        <v>0.86861232014391621</v>
      </c>
      <c r="P960" s="276">
        <f t="shared" si="839"/>
        <v>1.5781752843262786</v>
      </c>
      <c r="Q960" s="276">
        <f t="shared" si="840"/>
        <v>1.0413458921110206</v>
      </c>
      <c r="R960" s="276">
        <f t="shared" si="841"/>
        <v>1.4786703637577985</v>
      </c>
      <c r="S960" s="686">
        <f t="shared" si="842"/>
        <v>0.74360943902222165</v>
      </c>
      <c r="T960" s="685">
        <f t="shared" si="843"/>
        <v>3.6825208048576958</v>
      </c>
      <c r="U960" s="276">
        <f t="shared" si="844"/>
        <v>4.408644036260374</v>
      </c>
      <c r="V960" s="276">
        <f t="shared" si="845"/>
        <v>2.2887449690568955</v>
      </c>
      <c r="W960" s="276">
        <f t="shared" si="846"/>
        <v>5.8890163084963518</v>
      </c>
      <c r="X960" s="276">
        <f t="shared" si="847"/>
        <v>4.1475866786725248</v>
      </c>
      <c r="Y960" s="686">
        <f t="shared" si="848"/>
        <v>6.0978263597958691</v>
      </c>
      <c r="Z960" s="685" t="e">
        <f t="shared" si="849"/>
        <v>#DIV/0!</v>
      </c>
      <c r="AA960" s="276" t="e">
        <f t="shared" si="850"/>
        <v>#DIV/0!</v>
      </c>
      <c r="AB960" s="276" t="e">
        <f t="shared" si="851"/>
        <v>#DIV/0!</v>
      </c>
      <c r="AC960" s="276" t="e">
        <f t="shared" si="852"/>
        <v>#DIV/0!</v>
      </c>
      <c r="AD960" s="276" t="e">
        <f t="shared" si="853"/>
        <v>#DIV/0!</v>
      </c>
      <c r="AE960" s="686" t="e">
        <f t="shared" si="854"/>
        <v>#DIV/0!</v>
      </c>
      <c r="AF960" s="239"/>
      <c r="AG960" s="965" t="e">
        <f t="shared" si="825"/>
        <v>#VALUE!</v>
      </c>
      <c r="AH960" s="878" t="e">
        <f t="shared" si="826"/>
        <v>#VALUE!</v>
      </c>
      <c r="AI960" s="878" t="e">
        <f t="shared" si="827"/>
        <v>#VALUE!</v>
      </c>
      <c r="AJ960" s="878" t="e">
        <f t="shared" si="828"/>
        <v>#VALUE!</v>
      </c>
      <c r="AK960" s="878" t="e">
        <f t="shared" si="829"/>
        <v>#VALUE!</v>
      </c>
      <c r="AL960" s="966" t="e">
        <f t="shared" si="830"/>
        <v>#VALUE!</v>
      </c>
      <c r="AM960" s="239"/>
      <c r="AO960" s="685">
        <f t="shared" si="855"/>
        <v>-2.0045426326843145</v>
      </c>
      <c r="AP960" s="276">
        <f t="shared" si="856"/>
        <v>-3.0341957629232068</v>
      </c>
      <c r="AQ960" s="276">
        <f t="shared" si="857"/>
        <v>-1.1696990596230012</v>
      </c>
      <c r="AR960" s="276">
        <f t="shared" si="858"/>
        <v>-2.934380003678112</v>
      </c>
      <c r="AS960" s="276">
        <f t="shared" si="859"/>
        <v>3.2675212338036674</v>
      </c>
      <c r="AT960" s="276">
        <f t="shared" si="860"/>
        <v>-0.5146374210892205</v>
      </c>
      <c r="AU960" s="685">
        <f t="shared" si="861"/>
        <v>2.2939541196297393</v>
      </c>
      <c r="AV960" s="276">
        <f t="shared" si="862"/>
        <v>0.86861232014391621</v>
      </c>
      <c r="AW960" s="276">
        <f t="shared" si="863"/>
        <v>1.5781752843262786</v>
      </c>
      <c r="AX960" s="276">
        <f t="shared" si="864"/>
        <v>1.0413458921110206</v>
      </c>
      <c r="AY960" s="276">
        <f t="shared" si="865"/>
        <v>1.4786703637577985</v>
      </c>
      <c r="AZ960" s="686">
        <f t="shared" si="866"/>
        <v>0.74360943902222165</v>
      </c>
      <c r="BA960" s="685">
        <f t="shared" si="867"/>
        <v>0</v>
      </c>
      <c r="BB960" s="276">
        <f t="shared" si="868"/>
        <v>0</v>
      </c>
      <c r="BC960" s="276">
        <f t="shared" si="869"/>
        <v>0</v>
      </c>
      <c r="BD960" s="276">
        <f t="shared" si="870"/>
        <v>0</v>
      </c>
      <c r="BE960" s="276">
        <f t="shared" si="871"/>
        <v>0</v>
      </c>
      <c r="BF960" s="686">
        <f t="shared" si="872"/>
        <v>0</v>
      </c>
      <c r="BG960" s="685" t="e">
        <f t="shared" si="873"/>
        <v>#DIV/0!</v>
      </c>
      <c r="BH960" s="276" t="e">
        <f t="shared" si="874"/>
        <v>#DIV/0!</v>
      </c>
      <c r="BI960" s="276" t="e">
        <f t="shared" si="875"/>
        <v>#DIV/0!</v>
      </c>
      <c r="BJ960" s="276" t="e">
        <f t="shared" si="876"/>
        <v>#DIV/0!</v>
      </c>
      <c r="BK960" s="276" t="e">
        <f t="shared" si="877"/>
        <v>#DIV/0!</v>
      </c>
      <c r="BL960" s="686" t="e">
        <f t="shared" si="878"/>
        <v>#DIV/0!</v>
      </c>
      <c r="BM960" s="239"/>
      <c r="BN960" s="965" t="e">
        <f t="shared" si="879"/>
        <v>#VALUE!</v>
      </c>
      <c r="BO960" s="878" t="e">
        <f t="shared" si="880"/>
        <v>#VALUE!</v>
      </c>
      <c r="BP960" s="878" t="e">
        <f t="shared" si="881"/>
        <v>#VALUE!</v>
      </c>
      <c r="BQ960" s="878" t="e">
        <f t="shared" si="882"/>
        <v>#VALUE!</v>
      </c>
      <c r="BR960" s="878" t="e">
        <f t="shared" si="883"/>
        <v>#VALUE!</v>
      </c>
      <c r="BS960" s="966" t="e">
        <f t="shared" si="884"/>
        <v>#VALUE!</v>
      </c>
    </row>
    <row r="961" spans="1:71">
      <c r="A961" s="284">
        <f t="shared" si="885"/>
        <v>893</v>
      </c>
      <c r="B961" s="285">
        <v>2.2844139874631479</v>
      </c>
      <c r="C961" s="285">
        <v>3.0795153992909015</v>
      </c>
      <c r="D961" s="285">
        <v>2.1152744775929526</v>
      </c>
      <c r="E961" s="285">
        <v>1.7298025233936234</v>
      </c>
      <c r="H961" s="685">
        <f t="shared" si="831"/>
        <v>1.1511801456940931</v>
      </c>
      <c r="I961" s="276">
        <f t="shared" si="832"/>
        <v>-3.0696908715094704</v>
      </c>
      <c r="J961" s="276">
        <f t="shared" si="833"/>
        <v>6.754026292152604E-3</v>
      </c>
      <c r="K961" s="276">
        <f t="shared" si="834"/>
        <v>-1.0389741173152516</v>
      </c>
      <c r="L961" s="276">
        <f t="shared" si="835"/>
        <v>0.83486502347706981</v>
      </c>
      <c r="M961" s="276">
        <f t="shared" si="836"/>
        <v>-0.55003706892550519</v>
      </c>
      <c r="N961" s="685">
        <f t="shared" si="837"/>
        <v>1.872344188319033</v>
      </c>
      <c r="O961" s="276">
        <f t="shared" si="838"/>
        <v>0.85476797134483307</v>
      </c>
      <c r="P961" s="276">
        <f t="shared" si="839"/>
        <v>1.137347753657769</v>
      </c>
      <c r="Q961" s="276">
        <f t="shared" si="840"/>
        <v>1.7355202240040668</v>
      </c>
      <c r="R961" s="276">
        <f t="shared" si="841"/>
        <v>0.91771236023705938</v>
      </c>
      <c r="S961" s="686">
        <f t="shared" si="842"/>
        <v>0.69355062104989362</v>
      </c>
      <c r="T961" s="685">
        <f t="shared" si="843"/>
        <v>5.3936381678638785</v>
      </c>
      <c r="U961" s="276">
        <f t="shared" si="844"/>
        <v>4.7913798161649774</v>
      </c>
      <c r="V961" s="276">
        <f t="shared" si="845"/>
        <v>4.8107848683408863</v>
      </c>
      <c r="W961" s="276">
        <f t="shared" si="846"/>
        <v>5.4227229757580799</v>
      </c>
      <c r="X961" s="276">
        <f t="shared" si="847"/>
        <v>6.006837027923412</v>
      </c>
      <c r="Y961" s="686">
        <f t="shared" si="848"/>
        <v>5.4358143921326096</v>
      </c>
      <c r="Z961" s="685" t="e">
        <f t="shared" si="849"/>
        <v>#DIV/0!</v>
      </c>
      <c r="AA961" s="276" t="e">
        <f t="shared" si="850"/>
        <v>#DIV/0!</v>
      </c>
      <c r="AB961" s="276" t="e">
        <f t="shared" si="851"/>
        <v>#DIV/0!</v>
      </c>
      <c r="AC961" s="276" t="e">
        <f t="shared" si="852"/>
        <v>#DIV/0!</v>
      </c>
      <c r="AD961" s="276" t="e">
        <f t="shared" si="853"/>
        <v>#DIV/0!</v>
      </c>
      <c r="AE961" s="686" t="e">
        <f t="shared" si="854"/>
        <v>#DIV/0!</v>
      </c>
      <c r="AF961" s="239"/>
      <c r="AG961" s="965" t="e">
        <f t="shared" si="825"/>
        <v>#VALUE!</v>
      </c>
      <c r="AH961" s="878" t="e">
        <f t="shared" si="826"/>
        <v>#VALUE!</v>
      </c>
      <c r="AI961" s="878" t="e">
        <f t="shared" si="827"/>
        <v>#VALUE!</v>
      </c>
      <c r="AJ961" s="878" t="e">
        <f t="shared" si="828"/>
        <v>#VALUE!</v>
      </c>
      <c r="AK961" s="878" t="e">
        <f t="shared" si="829"/>
        <v>#VALUE!</v>
      </c>
      <c r="AL961" s="966" t="e">
        <f t="shared" si="830"/>
        <v>#VALUE!</v>
      </c>
      <c r="AM961" s="239"/>
      <c r="AO961" s="685">
        <f t="shared" si="855"/>
        <v>1.1511801456940931</v>
      </c>
      <c r="AP961" s="276">
        <f t="shared" si="856"/>
        <v>-3.0696908715094704</v>
      </c>
      <c r="AQ961" s="276">
        <f t="shared" si="857"/>
        <v>6.754026292152604E-3</v>
      </c>
      <c r="AR961" s="276">
        <f t="shared" si="858"/>
        <v>-1.0389741173152516</v>
      </c>
      <c r="AS961" s="276">
        <f t="shared" si="859"/>
        <v>0.83486502347706981</v>
      </c>
      <c r="AT961" s="276">
        <f t="shared" si="860"/>
        <v>-0.55003706892550519</v>
      </c>
      <c r="AU961" s="685">
        <f t="shared" si="861"/>
        <v>1.872344188319033</v>
      </c>
      <c r="AV961" s="276">
        <f t="shared" si="862"/>
        <v>0.85476797134483307</v>
      </c>
      <c r="AW961" s="276">
        <f t="shared" si="863"/>
        <v>1.137347753657769</v>
      </c>
      <c r="AX961" s="276">
        <f t="shared" si="864"/>
        <v>1.7355202240040668</v>
      </c>
      <c r="AY961" s="276">
        <f t="shared" si="865"/>
        <v>0.91771236023705938</v>
      </c>
      <c r="AZ961" s="686">
        <f t="shared" si="866"/>
        <v>0.69355062104989362</v>
      </c>
      <c r="BA961" s="685">
        <f t="shared" si="867"/>
        <v>0</v>
      </c>
      <c r="BB961" s="276">
        <f t="shared" si="868"/>
        <v>0</v>
      </c>
      <c r="BC961" s="276">
        <f t="shared" si="869"/>
        <v>0</v>
      </c>
      <c r="BD961" s="276">
        <f t="shared" si="870"/>
        <v>0</v>
      </c>
      <c r="BE961" s="276">
        <f t="shared" si="871"/>
        <v>0</v>
      </c>
      <c r="BF961" s="686">
        <f t="shared" si="872"/>
        <v>0</v>
      </c>
      <c r="BG961" s="685" t="e">
        <f t="shared" si="873"/>
        <v>#DIV/0!</v>
      </c>
      <c r="BH961" s="276" t="e">
        <f t="shared" si="874"/>
        <v>#DIV/0!</v>
      </c>
      <c r="BI961" s="276" t="e">
        <f t="shared" si="875"/>
        <v>#DIV/0!</v>
      </c>
      <c r="BJ961" s="276" t="e">
        <f t="shared" si="876"/>
        <v>#DIV/0!</v>
      </c>
      <c r="BK961" s="276" t="e">
        <f t="shared" si="877"/>
        <v>#DIV/0!</v>
      </c>
      <c r="BL961" s="686" t="e">
        <f t="shared" si="878"/>
        <v>#DIV/0!</v>
      </c>
      <c r="BM961" s="239"/>
      <c r="BN961" s="965" t="e">
        <f t="shared" si="879"/>
        <v>#VALUE!</v>
      </c>
      <c r="BO961" s="878" t="e">
        <f t="shared" si="880"/>
        <v>#VALUE!</v>
      </c>
      <c r="BP961" s="878" t="e">
        <f t="shared" si="881"/>
        <v>#VALUE!</v>
      </c>
      <c r="BQ961" s="878" t="e">
        <f t="shared" si="882"/>
        <v>#VALUE!</v>
      </c>
      <c r="BR961" s="878" t="e">
        <f t="shared" si="883"/>
        <v>#VALUE!</v>
      </c>
      <c r="BS961" s="966" t="e">
        <f t="shared" si="884"/>
        <v>#VALUE!</v>
      </c>
    </row>
    <row r="962" spans="1:71">
      <c r="A962" s="284">
        <f t="shared" si="885"/>
        <v>894</v>
      </c>
      <c r="B962" s="285">
        <v>-4.2575248222503363</v>
      </c>
      <c r="C962" s="285">
        <v>2.280469887196908</v>
      </c>
      <c r="D962" s="285">
        <v>-2.073741547706327</v>
      </c>
      <c r="E962" s="285">
        <v>-7.3325273367253789</v>
      </c>
      <c r="H962" s="685">
        <f t="shared" si="831"/>
        <v>-5.3907586640193914</v>
      </c>
      <c r="I962" s="276">
        <f t="shared" si="832"/>
        <v>2.5544530633770259</v>
      </c>
      <c r="J962" s="276">
        <f t="shared" si="833"/>
        <v>-0.4645218758205969</v>
      </c>
      <c r="K962" s="276">
        <f t="shared" si="834"/>
        <v>0.36337349190279888</v>
      </c>
      <c r="L962" s="276">
        <f t="shared" si="835"/>
        <v>-2.1288711039340815</v>
      </c>
      <c r="M962" s="276">
        <f t="shared" si="836"/>
        <v>2.337622863510485</v>
      </c>
      <c r="N962" s="685">
        <f t="shared" si="837"/>
        <v>1.0732986762250396</v>
      </c>
      <c r="O962" s="276">
        <f t="shared" si="838"/>
        <v>1.3724171582779283</v>
      </c>
      <c r="P962" s="276">
        <f t="shared" si="839"/>
        <v>2.174401571456773</v>
      </c>
      <c r="Q962" s="276">
        <f t="shared" si="840"/>
        <v>2.0806842083528565</v>
      </c>
      <c r="R962" s="276">
        <f t="shared" si="841"/>
        <v>1.45789597716797</v>
      </c>
      <c r="S962" s="686">
        <f t="shared" si="842"/>
        <v>1.293009444692262</v>
      </c>
      <c r="T962" s="685">
        <f t="shared" si="843"/>
        <v>1.2046221425645989</v>
      </c>
      <c r="U962" s="276">
        <f t="shared" si="844"/>
        <v>4.9234998847410987</v>
      </c>
      <c r="V962" s="276">
        <f t="shared" si="845"/>
        <v>3.5121532558784114</v>
      </c>
      <c r="W962" s="276">
        <f t="shared" si="846"/>
        <v>4.382665290905706</v>
      </c>
      <c r="X962" s="276">
        <f t="shared" si="847"/>
        <v>4.8862385024832351</v>
      </c>
      <c r="Y962" s="686">
        <f t="shared" si="848"/>
        <v>5.53995493552131</v>
      </c>
      <c r="Z962" s="685" t="e">
        <f t="shared" si="849"/>
        <v>#DIV/0!</v>
      </c>
      <c r="AA962" s="276" t="e">
        <f t="shared" si="850"/>
        <v>#DIV/0!</v>
      </c>
      <c r="AB962" s="276" t="e">
        <f t="shared" si="851"/>
        <v>#DIV/0!</v>
      </c>
      <c r="AC962" s="276" t="e">
        <f t="shared" si="852"/>
        <v>#DIV/0!</v>
      </c>
      <c r="AD962" s="276" t="e">
        <f t="shared" si="853"/>
        <v>#DIV/0!</v>
      </c>
      <c r="AE962" s="686" t="e">
        <f t="shared" si="854"/>
        <v>#DIV/0!</v>
      </c>
      <c r="AF962" s="239"/>
      <c r="AG962" s="965" t="e">
        <f t="shared" si="825"/>
        <v>#VALUE!</v>
      </c>
      <c r="AH962" s="878" t="e">
        <f t="shared" si="826"/>
        <v>#VALUE!</v>
      </c>
      <c r="AI962" s="878" t="e">
        <f t="shared" si="827"/>
        <v>#VALUE!</v>
      </c>
      <c r="AJ962" s="878" t="e">
        <f t="shared" si="828"/>
        <v>#VALUE!</v>
      </c>
      <c r="AK962" s="878" t="e">
        <f t="shared" si="829"/>
        <v>#VALUE!</v>
      </c>
      <c r="AL962" s="966" t="e">
        <f t="shared" si="830"/>
        <v>#VALUE!</v>
      </c>
      <c r="AM962" s="239"/>
      <c r="AO962" s="685">
        <f t="shared" si="855"/>
        <v>-5.3907586640193914</v>
      </c>
      <c r="AP962" s="276">
        <f t="shared" si="856"/>
        <v>2.5544530633770259</v>
      </c>
      <c r="AQ962" s="276">
        <f t="shared" si="857"/>
        <v>-0.4645218758205969</v>
      </c>
      <c r="AR962" s="276">
        <f t="shared" si="858"/>
        <v>0.36337349190279888</v>
      </c>
      <c r="AS962" s="276">
        <f t="shared" si="859"/>
        <v>-2.1288711039340815</v>
      </c>
      <c r="AT962" s="276">
        <f t="shared" si="860"/>
        <v>2.337622863510485</v>
      </c>
      <c r="AU962" s="685">
        <f t="shared" si="861"/>
        <v>1.0732986762250396</v>
      </c>
      <c r="AV962" s="276">
        <f t="shared" si="862"/>
        <v>1.3724171582779283</v>
      </c>
      <c r="AW962" s="276">
        <f t="shared" si="863"/>
        <v>2.174401571456773</v>
      </c>
      <c r="AX962" s="276">
        <f t="shared" si="864"/>
        <v>2.0806842083528565</v>
      </c>
      <c r="AY962" s="276">
        <f t="shared" si="865"/>
        <v>1.45789597716797</v>
      </c>
      <c r="AZ962" s="686">
        <f t="shared" si="866"/>
        <v>1.293009444692262</v>
      </c>
      <c r="BA962" s="685">
        <f t="shared" si="867"/>
        <v>0</v>
      </c>
      <c r="BB962" s="276">
        <f t="shared" si="868"/>
        <v>0</v>
      </c>
      <c r="BC962" s="276">
        <f t="shared" si="869"/>
        <v>0</v>
      </c>
      <c r="BD962" s="276">
        <f t="shared" si="870"/>
        <v>0</v>
      </c>
      <c r="BE962" s="276">
        <f t="shared" si="871"/>
        <v>0</v>
      </c>
      <c r="BF962" s="686">
        <f t="shared" si="872"/>
        <v>0</v>
      </c>
      <c r="BG962" s="685" t="e">
        <f t="shared" si="873"/>
        <v>#DIV/0!</v>
      </c>
      <c r="BH962" s="276" t="e">
        <f t="shared" si="874"/>
        <v>#DIV/0!</v>
      </c>
      <c r="BI962" s="276" t="e">
        <f t="shared" si="875"/>
        <v>#DIV/0!</v>
      </c>
      <c r="BJ962" s="276" t="e">
        <f t="shared" si="876"/>
        <v>#DIV/0!</v>
      </c>
      <c r="BK962" s="276" t="e">
        <f t="shared" si="877"/>
        <v>#DIV/0!</v>
      </c>
      <c r="BL962" s="686" t="e">
        <f t="shared" si="878"/>
        <v>#DIV/0!</v>
      </c>
      <c r="BM962" s="239"/>
      <c r="BN962" s="965" t="e">
        <f t="shared" si="879"/>
        <v>#VALUE!</v>
      </c>
      <c r="BO962" s="878" t="e">
        <f t="shared" si="880"/>
        <v>#VALUE!</v>
      </c>
      <c r="BP962" s="878" t="e">
        <f t="shared" si="881"/>
        <v>#VALUE!</v>
      </c>
      <c r="BQ962" s="878" t="e">
        <f t="shared" si="882"/>
        <v>#VALUE!</v>
      </c>
      <c r="BR962" s="878" t="e">
        <f t="shared" si="883"/>
        <v>#VALUE!</v>
      </c>
      <c r="BS962" s="966" t="e">
        <f t="shared" si="884"/>
        <v>#VALUE!</v>
      </c>
    </row>
    <row r="963" spans="1:71">
      <c r="A963" s="284">
        <f t="shared" si="885"/>
        <v>895</v>
      </c>
      <c r="B963" s="285">
        <v>2.7341159316678523</v>
      </c>
      <c r="C963" s="285">
        <v>2.4753757515902368</v>
      </c>
      <c r="D963" s="285">
        <v>0.90322525244154317</v>
      </c>
      <c r="E963" s="285">
        <v>-3.6995448513700961</v>
      </c>
      <c r="H963" s="685">
        <f t="shared" si="831"/>
        <v>1.6008820898987974</v>
      </c>
      <c r="I963" s="276">
        <f t="shared" si="832"/>
        <v>-5.0107418180975536</v>
      </c>
      <c r="J963" s="276">
        <f t="shared" si="833"/>
        <v>-0.23076305071747194</v>
      </c>
      <c r="K963" s="276">
        <f t="shared" si="834"/>
        <v>3.4689987176841761</v>
      </c>
      <c r="L963" s="276">
        <f t="shared" si="835"/>
        <v>-5.8094086999282597</v>
      </c>
      <c r="M963" s="276">
        <f t="shared" si="836"/>
        <v>2.5521005047065115E-2</v>
      </c>
      <c r="N963" s="685">
        <f t="shared" si="837"/>
        <v>1.2682045406183684</v>
      </c>
      <c r="O963" s="276">
        <f t="shared" si="838"/>
        <v>0.50121993393411812</v>
      </c>
      <c r="P963" s="276">
        <f t="shared" si="839"/>
        <v>1.0027721280828599</v>
      </c>
      <c r="Q963" s="276">
        <f t="shared" si="840"/>
        <v>1.872318654205871</v>
      </c>
      <c r="R963" s="276">
        <f t="shared" si="841"/>
        <v>0.76346331355424657</v>
      </c>
      <c r="S963" s="686">
        <f t="shared" si="842"/>
        <v>1.1646954201424877</v>
      </c>
      <c r="T963" s="685">
        <f t="shared" si="843"/>
        <v>4.1815889427124695</v>
      </c>
      <c r="U963" s="276">
        <f t="shared" si="844"/>
        <v>3.6154533705417462</v>
      </c>
      <c r="V963" s="276">
        <f t="shared" si="845"/>
        <v>5.2903084182658411</v>
      </c>
      <c r="W963" s="276">
        <f t="shared" si="846"/>
        <v>5.2877863375294494</v>
      </c>
      <c r="X963" s="276">
        <f t="shared" si="847"/>
        <v>3.307961391342443</v>
      </c>
      <c r="Y963" s="686">
        <f t="shared" si="848"/>
        <v>7.4616062506606582</v>
      </c>
      <c r="Z963" s="685" t="e">
        <f t="shared" si="849"/>
        <v>#DIV/0!</v>
      </c>
      <c r="AA963" s="276" t="e">
        <f t="shared" si="850"/>
        <v>#DIV/0!</v>
      </c>
      <c r="AB963" s="276" t="e">
        <f t="shared" si="851"/>
        <v>#DIV/0!</v>
      </c>
      <c r="AC963" s="276" t="e">
        <f t="shared" si="852"/>
        <v>#DIV/0!</v>
      </c>
      <c r="AD963" s="276" t="e">
        <f t="shared" si="853"/>
        <v>#DIV/0!</v>
      </c>
      <c r="AE963" s="686" t="e">
        <f t="shared" si="854"/>
        <v>#DIV/0!</v>
      </c>
      <c r="AF963" s="239"/>
      <c r="AG963" s="965" t="e">
        <f t="shared" si="825"/>
        <v>#VALUE!</v>
      </c>
      <c r="AH963" s="878" t="e">
        <f t="shared" si="826"/>
        <v>#VALUE!</v>
      </c>
      <c r="AI963" s="878" t="e">
        <f t="shared" si="827"/>
        <v>#VALUE!</v>
      </c>
      <c r="AJ963" s="878" t="e">
        <f t="shared" si="828"/>
        <v>#VALUE!</v>
      </c>
      <c r="AK963" s="878" t="e">
        <f t="shared" si="829"/>
        <v>#VALUE!</v>
      </c>
      <c r="AL963" s="966" t="e">
        <f t="shared" si="830"/>
        <v>#VALUE!</v>
      </c>
      <c r="AM963" s="239"/>
      <c r="AO963" s="685">
        <f t="shared" si="855"/>
        <v>1.6008820898987974</v>
      </c>
      <c r="AP963" s="276">
        <f t="shared" si="856"/>
        <v>-5.0107418180975536</v>
      </c>
      <c r="AQ963" s="276">
        <f t="shared" si="857"/>
        <v>-0.23076305071747194</v>
      </c>
      <c r="AR963" s="276">
        <f t="shared" si="858"/>
        <v>3.4689987176841761</v>
      </c>
      <c r="AS963" s="276">
        <f t="shared" si="859"/>
        <v>-5.8094086999282597</v>
      </c>
      <c r="AT963" s="276">
        <f t="shared" si="860"/>
        <v>2.5521005047065115E-2</v>
      </c>
      <c r="AU963" s="685">
        <f t="shared" si="861"/>
        <v>1.2682045406183684</v>
      </c>
      <c r="AV963" s="276">
        <f t="shared" si="862"/>
        <v>0.50121993393411812</v>
      </c>
      <c r="AW963" s="276">
        <f t="shared" si="863"/>
        <v>1.0027721280828599</v>
      </c>
      <c r="AX963" s="276">
        <f t="shared" si="864"/>
        <v>1.872318654205871</v>
      </c>
      <c r="AY963" s="276">
        <f t="shared" si="865"/>
        <v>0.76346331355424657</v>
      </c>
      <c r="AZ963" s="686">
        <f t="shared" si="866"/>
        <v>1.1646954201424877</v>
      </c>
      <c r="BA963" s="685">
        <f t="shared" si="867"/>
        <v>0</v>
      </c>
      <c r="BB963" s="276">
        <f t="shared" si="868"/>
        <v>0</v>
      </c>
      <c r="BC963" s="276">
        <f t="shared" si="869"/>
        <v>0</v>
      </c>
      <c r="BD963" s="276">
        <f t="shared" si="870"/>
        <v>0</v>
      </c>
      <c r="BE963" s="276">
        <f t="shared" si="871"/>
        <v>0</v>
      </c>
      <c r="BF963" s="686">
        <f t="shared" si="872"/>
        <v>0</v>
      </c>
      <c r="BG963" s="685" t="e">
        <f t="shared" si="873"/>
        <v>#DIV/0!</v>
      </c>
      <c r="BH963" s="276" t="e">
        <f t="shared" si="874"/>
        <v>#DIV/0!</v>
      </c>
      <c r="BI963" s="276" t="e">
        <f t="shared" si="875"/>
        <v>#DIV/0!</v>
      </c>
      <c r="BJ963" s="276" t="e">
        <f t="shared" si="876"/>
        <v>#DIV/0!</v>
      </c>
      <c r="BK963" s="276" t="e">
        <f t="shared" si="877"/>
        <v>#DIV/0!</v>
      </c>
      <c r="BL963" s="686" t="e">
        <f t="shared" si="878"/>
        <v>#DIV/0!</v>
      </c>
      <c r="BM963" s="239"/>
      <c r="BN963" s="965" t="e">
        <f t="shared" si="879"/>
        <v>#VALUE!</v>
      </c>
      <c r="BO963" s="878" t="e">
        <f t="shared" si="880"/>
        <v>#VALUE!</v>
      </c>
      <c r="BP963" s="878" t="e">
        <f t="shared" si="881"/>
        <v>#VALUE!</v>
      </c>
      <c r="BQ963" s="878" t="e">
        <f t="shared" si="882"/>
        <v>#VALUE!</v>
      </c>
      <c r="BR963" s="878" t="e">
        <f t="shared" si="883"/>
        <v>#VALUE!</v>
      </c>
      <c r="BS963" s="966" t="e">
        <f t="shared" si="884"/>
        <v>#VALUE!</v>
      </c>
    </row>
    <row r="964" spans="1:71">
      <c r="A964" s="284">
        <f t="shared" si="885"/>
        <v>896</v>
      </c>
      <c r="B964" s="285">
        <v>0.69904293700250442</v>
      </c>
      <c r="C964" s="285">
        <v>2.5547633653658095</v>
      </c>
      <c r="D964" s="285">
        <v>2.6438973765282272</v>
      </c>
      <c r="E964" s="285">
        <v>-13.491751934101258</v>
      </c>
      <c r="H964" s="685">
        <f t="shared" si="831"/>
        <v>-0.43419090476655042</v>
      </c>
      <c r="I964" s="276">
        <f t="shared" si="832"/>
        <v>0.128558992543651</v>
      </c>
      <c r="J964" s="276">
        <f t="shared" si="833"/>
        <v>1.0017314934013477E-2</v>
      </c>
      <c r="K964" s="276">
        <f t="shared" si="834"/>
        <v>0.34804972942401413</v>
      </c>
      <c r="L964" s="276">
        <f t="shared" si="835"/>
        <v>-0.91738533132481093</v>
      </c>
      <c r="M964" s="276">
        <f t="shared" si="836"/>
        <v>-4.9106652332588512</v>
      </c>
      <c r="N964" s="685">
        <f t="shared" si="837"/>
        <v>1.3475921543939411</v>
      </c>
      <c r="O964" s="276">
        <f t="shared" si="838"/>
        <v>1.0327771093438491</v>
      </c>
      <c r="P964" s="276">
        <f t="shared" si="839"/>
        <v>1.2839691713701209</v>
      </c>
      <c r="Q964" s="276">
        <f t="shared" si="840"/>
        <v>1.2743117170272857</v>
      </c>
      <c r="R964" s="276">
        <f t="shared" si="841"/>
        <v>1.614895668383326</v>
      </c>
      <c r="S964" s="686">
        <f t="shared" si="842"/>
        <v>1.4174343815495163</v>
      </c>
      <c r="T964" s="685">
        <f t="shared" si="843"/>
        <v>5.9222610667991535</v>
      </c>
      <c r="U964" s="276">
        <f t="shared" si="844"/>
        <v>4.5469972685401459</v>
      </c>
      <c r="V964" s="276">
        <f t="shared" si="845"/>
        <v>3.1710779131233306</v>
      </c>
      <c r="W964" s="276">
        <f t="shared" si="846"/>
        <v>5.5999680951357504</v>
      </c>
      <c r="X964" s="276">
        <f t="shared" si="847"/>
        <v>4.794459220760964</v>
      </c>
      <c r="Y964" s="686">
        <f t="shared" si="848"/>
        <v>4.258756552382577</v>
      </c>
      <c r="Z964" s="685" t="e">
        <f t="shared" si="849"/>
        <v>#DIV/0!</v>
      </c>
      <c r="AA964" s="276" t="e">
        <f t="shared" si="850"/>
        <v>#DIV/0!</v>
      </c>
      <c r="AB964" s="276" t="e">
        <f t="shared" si="851"/>
        <v>#DIV/0!</v>
      </c>
      <c r="AC964" s="276" t="e">
        <f t="shared" si="852"/>
        <v>#DIV/0!</v>
      </c>
      <c r="AD964" s="276" t="e">
        <f t="shared" si="853"/>
        <v>#DIV/0!</v>
      </c>
      <c r="AE964" s="686" t="e">
        <f t="shared" si="854"/>
        <v>#DIV/0!</v>
      </c>
      <c r="AF964" s="239"/>
      <c r="AG964" s="965" t="e">
        <f t="shared" si="825"/>
        <v>#VALUE!</v>
      </c>
      <c r="AH964" s="878" t="e">
        <f t="shared" si="826"/>
        <v>#VALUE!</v>
      </c>
      <c r="AI964" s="878" t="e">
        <f t="shared" si="827"/>
        <v>#VALUE!</v>
      </c>
      <c r="AJ964" s="878" t="e">
        <f t="shared" si="828"/>
        <v>#VALUE!</v>
      </c>
      <c r="AK964" s="878" t="e">
        <f t="shared" si="829"/>
        <v>#VALUE!</v>
      </c>
      <c r="AL964" s="966" t="e">
        <f t="shared" si="830"/>
        <v>#VALUE!</v>
      </c>
      <c r="AM964" s="239"/>
      <c r="AO964" s="685">
        <f t="shared" si="855"/>
        <v>-0.43419090476655042</v>
      </c>
      <c r="AP964" s="276">
        <f t="shared" si="856"/>
        <v>0.128558992543651</v>
      </c>
      <c r="AQ964" s="276">
        <f t="shared" si="857"/>
        <v>1.0017314934013477E-2</v>
      </c>
      <c r="AR964" s="276">
        <f t="shared" si="858"/>
        <v>0.34804972942401413</v>
      </c>
      <c r="AS964" s="276">
        <f t="shared" si="859"/>
        <v>-0.91738533132481093</v>
      </c>
      <c r="AT964" s="276">
        <f t="shared" si="860"/>
        <v>-4.9106652332588512</v>
      </c>
      <c r="AU964" s="685">
        <f t="shared" si="861"/>
        <v>1.3475921543939411</v>
      </c>
      <c r="AV964" s="276">
        <f t="shared" si="862"/>
        <v>1.0327771093438491</v>
      </c>
      <c r="AW964" s="276">
        <f t="shared" si="863"/>
        <v>1.2839691713701209</v>
      </c>
      <c r="AX964" s="276">
        <f t="shared" si="864"/>
        <v>1.2743117170272857</v>
      </c>
      <c r="AY964" s="276">
        <f t="shared" si="865"/>
        <v>1.614895668383326</v>
      </c>
      <c r="AZ964" s="686">
        <f t="shared" si="866"/>
        <v>1.4174343815495163</v>
      </c>
      <c r="BA964" s="685">
        <f t="shared" si="867"/>
        <v>0</v>
      </c>
      <c r="BB964" s="276">
        <f t="shared" si="868"/>
        <v>0</v>
      </c>
      <c r="BC964" s="276">
        <f t="shared" si="869"/>
        <v>0</v>
      </c>
      <c r="BD964" s="276">
        <f t="shared" si="870"/>
        <v>0</v>
      </c>
      <c r="BE964" s="276">
        <f t="shared" si="871"/>
        <v>0</v>
      </c>
      <c r="BF964" s="686">
        <f t="shared" si="872"/>
        <v>0</v>
      </c>
      <c r="BG964" s="685" t="e">
        <f t="shared" si="873"/>
        <v>#DIV/0!</v>
      </c>
      <c r="BH964" s="276" t="e">
        <f t="shared" si="874"/>
        <v>#DIV/0!</v>
      </c>
      <c r="BI964" s="276" t="e">
        <f t="shared" si="875"/>
        <v>#DIV/0!</v>
      </c>
      <c r="BJ964" s="276" t="e">
        <f t="shared" si="876"/>
        <v>#DIV/0!</v>
      </c>
      <c r="BK964" s="276" t="e">
        <f t="shared" si="877"/>
        <v>#DIV/0!</v>
      </c>
      <c r="BL964" s="686" t="e">
        <f t="shared" si="878"/>
        <v>#DIV/0!</v>
      </c>
      <c r="BM964" s="239"/>
      <c r="BN964" s="965" t="e">
        <f t="shared" si="879"/>
        <v>#VALUE!</v>
      </c>
      <c r="BO964" s="878" t="e">
        <f t="shared" si="880"/>
        <v>#VALUE!</v>
      </c>
      <c r="BP964" s="878" t="e">
        <f t="shared" si="881"/>
        <v>#VALUE!</v>
      </c>
      <c r="BQ964" s="878" t="e">
        <f t="shared" si="882"/>
        <v>#VALUE!</v>
      </c>
      <c r="BR964" s="878" t="e">
        <f t="shared" si="883"/>
        <v>#VALUE!</v>
      </c>
      <c r="BS964" s="966" t="e">
        <f t="shared" si="884"/>
        <v>#VALUE!</v>
      </c>
    </row>
    <row r="965" spans="1:71">
      <c r="A965" s="284">
        <f t="shared" si="885"/>
        <v>897</v>
      </c>
      <c r="B965" s="285">
        <v>-1.3357741262686964</v>
      </c>
      <c r="C965" s="285">
        <v>2.5725422892486498</v>
      </c>
      <c r="D965" s="285">
        <v>2.1385857174211496</v>
      </c>
      <c r="E965" s="285">
        <v>1.078615129256701</v>
      </c>
      <c r="H965" s="685">
        <f t="shared" si="831"/>
        <v>-2.4690079680377512</v>
      </c>
      <c r="I965" s="276">
        <f t="shared" si="832"/>
        <v>3.2907006202211813</v>
      </c>
      <c r="J965" s="276">
        <f t="shared" si="833"/>
        <v>-1.1646780795875944</v>
      </c>
      <c r="K965" s="276">
        <f t="shared" si="834"/>
        <v>-0.37630780981877654</v>
      </c>
      <c r="L965" s="276">
        <f t="shared" si="835"/>
        <v>-0.78117061385909459</v>
      </c>
      <c r="M965" s="276">
        <f t="shared" si="836"/>
        <v>0.69280510364305625</v>
      </c>
      <c r="N965" s="685">
        <f t="shared" si="837"/>
        <v>1.3653710782767814</v>
      </c>
      <c r="O965" s="276">
        <f t="shared" si="838"/>
        <v>2.2365240600356531</v>
      </c>
      <c r="P965" s="276">
        <f t="shared" si="839"/>
        <v>1.43490705065932</v>
      </c>
      <c r="Q965" s="276">
        <f t="shared" si="840"/>
        <v>1.4985971527520656</v>
      </c>
      <c r="R965" s="276">
        <f t="shared" si="841"/>
        <v>1.6674772699381737</v>
      </c>
      <c r="S965" s="686">
        <f t="shared" si="842"/>
        <v>1.0236851460550749</v>
      </c>
      <c r="T965" s="685">
        <f t="shared" si="843"/>
        <v>5.4169494076920754</v>
      </c>
      <c r="U965" s="276">
        <f t="shared" si="844"/>
        <v>3.6709642893116134</v>
      </c>
      <c r="V965" s="276">
        <f t="shared" si="845"/>
        <v>6.4632899719355699</v>
      </c>
      <c r="W965" s="276">
        <f t="shared" si="846"/>
        <v>5.3894680783580622</v>
      </c>
      <c r="X965" s="276">
        <f t="shared" si="847"/>
        <v>5.1695013317787319</v>
      </c>
      <c r="Y965" s="686">
        <f t="shared" si="848"/>
        <v>4.2897926827364739</v>
      </c>
      <c r="Z965" s="685" t="e">
        <f t="shared" si="849"/>
        <v>#DIV/0!</v>
      </c>
      <c r="AA965" s="276" t="e">
        <f t="shared" si="850"/>
        <v>#DIV/0!</v>
      </c>
      <c r="AB965" s="276" t="e">
        <f t="shared" si="851"/>
        <v>#DIV/0!</v>
      </c>
      <c r="AC965" s="276" t="e">
        <f t="shared" si="852"/>
        <v>#DIV/0!</v>
      </c>
      <c r="AD965" s="276" t="e">
        <f t="shared" si="853"/>
        <v>#DIV/0!</v>
      </c>
      <c r="AE965" s="686" t="e">
        <f t="shared" si="854"/>
        <v>#DIV/0!</v>
      </c>
      <c r="AF965" s="239"/>
      <c r="AG965" s="965" t="e">
        <f t="shared" ref="AG965:AG1028" si="886">S$53*(1+(T$55+N965)/100)*((1-S$62)+S$62*((1+(T$57+Z965)/100)))/(1+(T$54+H965)/100)-(T$56+T965)+T$58</f>
        <v>#VALUE!</v>
      </c>
      <c r="AH965" s="878" t="e">
        <f t="shared" ref="AH965:AH1028" si="887">AG965*(1+(U$55+O965)/100)*((1-T$62)+T$62*((1+(U$57+AA965)/100)))/(1+(U$54+I965)/100)-(U$56+U965)+U$58</f>
        <v>#VALUE!</v>
      </c>
      <c r="AI965" s="878" t="e">
        <f t="shared" ref="AI965:AI1028" si="888">AH965*(1+(V$55+P965)/100)*((1-U$62)+U$62*((1+(V$57+AB965)/100)))/(1+(V$54+J965)/100)-(V$56+V965)+V$58</f>
        <v>#VALUE!</v>
      </c>
      <c r="AJ965" s="878" t="e">
        <f t="shared" ref="AJ965:AJ1028" si="889">AI965*(1+(W$55+Q965)/100)*((1-V$62)+V$62*((1+(W$57+AC965)/100)))/(1+(W$54+K965)/100)-(W$56+W965)+W$58</f>
        <v>#VALUE!</v>
      </c>
      <c r="AK965" s="878" t="e">
        <f t="shared" ref="AK965:AK1028" si="890">AJ965*(1+(X$55+R965)/100)*((1-W$62)+W$62*((1+(X$57+AD965)/100)))/(1+(X$54+L965)/100)-(X$56+X965)+X$58</f>
        <v>#VALUE!</v>
      </c>
      <c r="AL965" s="966" t="e">
        <f t="shared" ref="AL965:AL1028" si="891">AK965*(1+(Y$55+S965)/100)*((1-X$62)+X$62*((1+(Y$57+AE965)/100)))/(1+(Y$54+M965)/100)-(Y$56+Y965)+Y$58</f>
        <v>#VALUE!</v>
      </c>
      <c r="AM965" s="239"/>
      <c r="AO965" s="685">
        <f t="shared" si="855"/>
        <v>-2.4690079680377512</v>
      </c>
      <c r="AP965" s="276">
        <f t="shared" si="856"/>
        <v>3.2907006202211813</v>
      </c>
      <c r="AQ965" s="276">
        <f t="shared" si="857"/>
        <v>-1.1646780795875944</v>
      </c>
      <c r="AR965" s="276">
        <f t="shared" si="858"/>
        <v>-0.37630780981877654</v>
      </c>
      <c r="AS965" s="276">
        <f t="shared" si="859"/>
        <v>-0.78117061385909459</v>
      </c>
      <c r="AT965" s="276">
        <f t="shared" si="860"/>
        <v>0.69280510364305625</v>
      </c>
      <c r="AU965" s="685">
        <f t="shared" si="861"/>
        <v>1.3653710782767814</v>
      </c>
      <c r="AV965" s="276">
        <f t="shared" si="862"/>
        <v>2.2365240600356531</v>
      </c>
      <c r="AW965" s="276">
        <f t="shared" si="863"/>
        <v>1.43490705065932</v>
      </c>
      <c r="AX965" s="276">
        <f t="shared" si="864"/>
        <v>1.4985971527520656</v>
      </c>
      <c r="AY965" s="276">
        <f t="shared" si="865"/>
        <v>1.6674772699381737</v>
      </c>
      <c r="AZ965" s="686">
        <f t="shared" si="866"/>
        <v>1.0236851460550749</v>
      </c>
      <c r="BA965" s="685">
        <f t="shared" si="867"/>
        <v>0</v>
      </c>
      <c r="BB965" s="276">
        <f t="shared" si="868"/>
        <v>0</v>
      </c>
      <c r="BC965" s="276">
        <f t="shared" si="869"/>
        <v>0</v>
      </c>
      <c r="BD965" s="276">
        <f t="shared" si="870"/>
        <v>0</v>
      </c>
      <c r="BE965" s="276">
        <f t="shared" si="871"/>
        <v>0</v>
      </c>
      <c r="BF965" s="686">
        <f t="shared" si="872"/>
        <v>0</v>
      </c>
      <c r="BG965" s="685" t="e">
        <f t="shared" si="873"/>
        <v>#DIV/0!</v>
      </c>
      <c r="BH965" s="276" t="e">
        <f t="shared" si="874"/>
        <v>#DIV/0!</v>
      </c>
      <c r="BI965" s="276" t="e">
        <f t="shared" si="875"/>
        <v>#DIV/0!</v>
      </c>
      <c r="BJ965" s="276" t="e">
        <f t="shared" si="876"/>
        <v>#DIV/0!</v>
      </c>
      <c r="BK965" s="276" t="e">
        <f t="shared" si="877"/>
        <v>#DIV/0!</v>
      </c>
      <c r="BL965" s="686" t="e">
        <f t="shared" si="878"/>
        <v>#DIV/0!</v>
      </c>
      <c r="BM965" s="239"/>
      <c r="BN965" s="965" t="e">
        <f t="shared" si="879"/>
        <v>#VALUE!</v>
      </c>
      <c r="BO965" s="878" t="e">
        <f t="shared" si="880"/>
        <v>#VALUE!</v>
      </c>
      <c r="BP965" s="878" t="e">
        <f t="shared" si="881"/>
        <v>#VALUE!</v>
      </c>
      <c r="BQ965" s="878" t="e">
        <f t="shared" si="882"/>
        <v>#VALUE!</v>
      </c>
      <c r="BR965" s="878" t="e">
        <f t="shared" si="883"/>
        <v>#VALUE!</v>
      </c>
      <c r="BS965" s="966" t="e">
        <f t="shared" si="884"/>
        <v>#VALUE!</v>
      </c>
    </row>
    <row r="966" spans="1:71">
      <c r="A966" s="284">
        <f t="shared" si="885"/>
        <v>898</v>
      </c>
      <c r="B966" s="285">
        <v>0.48008944165520007</v>
      </c>
      <c r="C966" s="285">
        <v>2.5209192025368505</v>
      </c>
      <c r="D966" s="285">
        <v>-7.1179337022788447E-2</v>
      </c>
      <c r="E966" s="285">
        <v>-7.2697307768176582</v>
      </c>
      <c r="H966" s="685">
        <f t="shared" ref="H966:H1029" si="892">IF($B$42="On",$B966-$D$15,0)</f>
        <v>-0.65314440011385477</v>
      </c>
      <c r="I966" s="276">
        <f t="shared" ref="I966:I1029" si="893">IF($B$42="On",$B1966-$D$15,0)</f>
        <v>1.0009896134031735</v>
      </c>
      <c r="J966" s="276">
        <f t="shared" ref="J966:J1029" si="894">IF($B$42="On",$B2966-$D$15,0)</f>
        <v>-1.3795507605200641</v>
      </c>
      <c r="K966" s="276">
        <f t="shared" ref="K966:K1029" si="895">IF($B$42="On",$B3966-$D$15,0)</f>
        <v>-1.5855823974815448</v>
      </c>
      <c r="L966" s="276">
        <f t="shared" ref="L966:L1029" si="896">IF($B$42="On",$B4966-$D$15,0)</f>
        <v>-0.90063513936385575</v>
      </c>
      <c r="M966" s="276">
        <f t="shared" ref="M966:M1029" si="897">IF($B$42="On",$B5966-$D$15,0)</f>
        <v>-0.70903230261607941</v>
      </c>
      <c r="N966" s="685">
        <f t="shared" ref="N966:N1029" si="898">IF($B$43="On",$C966-$D$16,0)</f>
        <v>1.3137479915649821</v>
      </c>
      <c r="O966" s="276">
        <f t="shared" ref="O966:O1029" si="899">IF($B$43="On",$C1966-$D$16,0)</f>
        <v>1.1881177605436213</v>
      </c>
      <c r="P966" s="276">
        <f t="shared" ref="P966:P1029" si="900">IF($B$43="On",$C2966-$D$16,0)</f>
        <v>1.8961552019600976</v>
      </c>
      <c r="Q966" s="276">
        <f t="shared" ref="Q966:Q1029" si="901">IF($B$43="On",$C3966-$D$16,0)</f>
        <v>1.2663098873591971</v>
      </c>
      <c r="R966" s="276">
        <f t="shared" ref="R966:R1029" si="902">IF($B$43="On",$C4966-$D$16,0)</f>
        <v>1.5525866376805493</v>
      </c>
      <c r="S966" s="686">
        <f t="shared" ref="S966:S1029" si="903">IF($B$43="On",$C5966-$D$16,0)</f>
        <v>0.71741243641799168</v>
      </c>
      <c r="T966" s="685">
        <f t="shared" ref="T966:T1029" si="904">IF($B$44="On",$D966-$D$17,0)</f>
        <v>3.2071843532481372</v>
      </c>
      <c r="U966" s="276">
        <f t="shared" ref="U966:U1029" si="905">IF($B$44="On",$D1966-$D$17,0)</f>
        <v>3.7794889845086077</v>
      </c>
      <c r="V966" s="276">
        <f t="shared" ref="V966:V1029" si="906">IF($B$44="On",$D2966-$D$17,0)</f>
        <v>3.9197812941783106</v>
      </c>
      <c r="W966" s="276">
        <f t="shared" ref="W966:W1029" si="907">IF($B$44="On",$D3966-$D$17,0)</f>
        <v>5.3156705388928405</v>
      </c>
      <c r="X966" s="276">
        <f t="shared" ref="X966:X1029" si="908">IF($B$44="On",$D4966-$D$17,0)</f>
        <v>5.3613531595530848</v>
      </c>
      <c r="Y966" s="686">
        <f t="shared" ref="Y966:Y1029" si="909">IF($B$44="On",$D5966-$D$17,0)</f>
        <v>5.4401400328563625</v>
      </c>
      <c r="Z966" s="685" t="e">
        <f t="shared" ref="Z966:Z1029" si="910">IF($B$45="On",$E966-$D$18,0)</f>
        <v>#DIV/0!</v>
      </c>
      <c r="AA966" s="276" t="e">
        <f t="shared" ref="AA966:AA1029" si="911">IF($B$45="On",$E1966-$D$18,0)</f>
        <v>#DIV/0!</v>
      </c>
      <c r="AB966" s="276" t="e">
        <f t="shared" ref="AB966:AB1029" si="912">IF($B$45="On",$E2966-$D$18,0)</f>
        <v>#DIV/0!</v>
      </c>
      <c r="AC966" s="276" t="e">
        <f t="shared" ref="AC966:AC1029" si="913">IF($B$45="On",$E3966-$D$18,0)</f>
        <v>#DIV/0!</v>
      </c>
      <c r="AD966" s="276" t="e">
        <f t="shared" ref="AD966:AD1029" si="914">IF($B$45="On",$E4966-$D$18,0)</f>
        <v>#DIV/0!</v>
      </c>
      <c r="AE966" s="686" t="e">
        <f t="shared" ref="AE966:AE1029" si="915">IF($B$45="On",$E5966-$D$18,0)</f>
        <v>#DIV/0!</v>
      </c>
      <c r="AF966" s="239"/>
      <c r="AG966" s="965" t="e">
        <f t="shared" si="886"/>
        <v>#VALUE!</v>
      </c>
      <c r="AH966" s="878" t="e">
        <f t="shared" si="887"/>
        <v>#VALUE!</v>
      </c>
      <c r="AI966" s="878" t="e">
        <f t="shared" si="888"/>
        <v>#VALUE!</v>
      </c>
      <c r="AJ966" s="878" t="e">
        <f t="shared" si="889"/>
        <v>#VALUE!</v>
      </c>
      <c r="AK966" s="878" t="e">
        <f t="shared" si="890"/>
        <v>#VALUE!</v>
      </c>
      <c r="AL966" s="966" t="e">
        <f t="shared" si="891"/>
        <v>#VALUE!</v>
      </c>
      <c r="AM966" s="239"/>
      <c r="AO966" s="685">
        <f t="shared" ref="AO966:AO1029" si="916">IF($B$42="On",MIN($B966-$D$15,$D$42),0)</f>
        <v>-0.65314440011385477</v>
      </c>
      <c r="AP966" s="276">
        <f t="shared" ref="AP966:AP1029" si="917">IF($B$42="On",MIN($B1966-$D$15,$D$42),0)</f>
        <v>1.0009896134031735</v>
      </c>
      <c r="AQ966" s="276">
        <f t="shared" ref="AQ966:AQ1029" si="918">IF($B$42="On",MIN($B2966-$D$15,$D$42),0)</f>
        <v>-1.3795507605200641</v>
      </c>
      <c r="AR966" s="276">
        <f t="shared" ref="AR966:AR1029" si="919">IF($B$42="On",MIN($B3966-$D$15,$D$42),0)</f>
        <v>-1.5855823974815448</v>
      </c>
      <c r="AS966" s="276">
        <f t="shared" ref="AS966:AS1029" si="920">IF($B$42="On",MIN($B4966-$D$15,$D$42),0)</f>
        <v>-0.90063513936385575</v>
      </c>
      <c r="AT966" s="276">
        <f t="shared" ref="AT966:AT1029" si="921">IF($B$42="On",MIN($B5966-$D$15,$D$42),0)</f>
        <v>-0.70903230261607941</v>
      </c>
      <c r="AU966" s="685">
        <f t="shared" ref="AU966:AU1029" si="922">IF($B$43="On",MAX($C966-$D$16,$D$43),0)</f>
        <v>1.3137479915649821</v>
      </c>
      <c r="AV966" s="276">
        <f t="shared" ref="AV966:AV1029" si="923">IF($B$43="On",MAX($C1966-$D$16,$D$43),0)</f>
        <v>1.1881177605436213</v>
      </c>
      <c r="AW966" s="276">
        <f t="shared" ref="AW966:AW1029" si="924">IF($B$43="On",MAX($C2966-$D$16,$D$43),0)</f>
        <v>1.8961552019600976</v>
      </c>
      <c r="AX966" s="276">
        <f t="shared" ref="AX966:AX1029" si="925">IF($B$43="On",MAX($C3966-$D$16,$D$43),0)</f>
        <v>1.2663098873591971</v>
      </c>
      <c r="AY966" s="276">
        <f t="shared" ref="AY966:AY1029" si="926">IF($B$43="On",MAX($C4966-$D$16,$D$43),0)</f>
        <v>1.5525866376805493</v>
      </c>
      <c r="AZ966" s="686">
        <f t="shared" ref="AZ966:AZ1029" si="927">IF($B$43="On",MAX($C5966-$D$16,$D$43),0)</f>
        <v>0.71741243641799168</v>
      </c>
      <c r="BA966" s="685">
        <f t="shared" ref="BA966:BA1029" si="928">IF($B$44="On",MIN($D966-$D$17,$D$44),0)</f>
        <v>0</v>
      </c>
      <c r="BB966" s="276">
        <f t="shared" ref="BB966:BB1029" si="929">IF($B$44="On",MIN($D1966-$D$17,$D$44),0)</f>
        <v>0</v>
      </c>
      <c r="BC966" s="276">
        <f t="shared" ref="BC966:BC1029" si="930">IF($B$44="On",MIN($D2966-$D$17,$D$44),0)</f>
        <v>0</v>
      </c>
      <c r="BD966" s="276">
        <f t="shared" ref="BD966:BD1029" si="931">IF($B$44="On",MIN($D3966-$D$17,$D$44),0)</f>
        <v>0</v>
      </c>
      <c r="BE966" s="276">
        <f t="shared" ref="BE966:BE1029" si="932">IF($B$44="On",MIN($D4966-$D$17,$D$44),0)</f>
        <v>0</v>
      </c>
      <c r="BF966" s="686">
        <f t="shared" ref="BF966:BF1029" si="933">IF($B$44="On",MIN($D5966-$D$17,$D$44),0)</f>
        <v>0</v>
      </c>
      <c r="BG966" s="685" t="e">
        <f t="shared" ref="BG966:BG1029" si="934">IF($B$45="On",MAX($E966-$D$18,$D$45),0)</f>
        <v>#DIV/0!</v>
      </c>
      <c r="BH966" s="276" t="e">
        <f t="shared" ref="BH966:BH1029" si="935">IF($B$45="On",MAX($E1966-$D$18,$D$45),0)</f>
        <v>#DIV/0!</v>
      </c>
      <c r="BI966" s="276" t="e">
        <f t="shared" ref="BI966:BI1029" si="936">IF($B$45="On",MAX($E2966-$D$18,$D$45),0)</f>
        <v>#DIV/0!</v>
      </c>
      <c r="BJ966" s="276" t="e">
        <f t="shared" ref="BJ966:BJ1029" si="937">IF($B$45="On",MAX($E3966-$D$18,$D$45),0)</f>
        <v>#DIV/0!</v>
      </c>
      <c r="BK966" s="276" t="e">
        <f t="shared" ref="BK966:BK1029" si="938">IF($B$45="On",MAX($E4966-$D$18,$D$45),0)</f>
        <v>#DIV/0!</v>
      </c>
      <c r="BL966" s="686" t="e">
        <f t="shared" ref="BL966:BL1029" si="939">IF($B$45="On",MAX($E5966-$D$18,$D$45),0)</f>
        <v>#DIV/0!</v>
      </c>
      <c r="BM966" s="239"/>
      <c r="BN966" s="965" t="e">
        <f t="shared" ref="BN966:BN1029" si="940">S$53*(1+(T$55+AU966)/100)*((1-S$62)+S$62*((1+(T$57+BG966)/100)))/(1+(T$54+AO966)/100)-(T$56+BA966)+T$58</f>
        <v>#VALUE!</v>
      </c>
      <c r="BO966" s="878" t="e">
        <f t="shared" ref="BO966:BO1029" si="941">BN966*(1+(U$55+AV966)/100)*((1-T$62)+T$62*((1+(U$57+BH966)/100)))/(1+(U$54+AP966)/100)-(U$56+BB966)+U$58</f>
        <v>#VALUE!</v>
      </c>
      <c r="BP966" s="878" t="e">
        <f t="shared" ref="BP966:BP1029" si="942">BO966*(1+(V$55+AW966)/100)*((1-U$62)+U$62*((1+(V$57+BI966)/100)))/(1+(V$54+AQ966)/100)-(V$56+BC966)+V$58</f>
        <v>#VALUE!</v>
      </c>
      <c r="BQ966" s="878" t="e">
        <f t="shared" ref="BQ966:BQ1029" si="943">BP966*(1+(W$55+AX966)/100)*((1-V$62)+V$62*((1+(W$57+BJ966)/100)))/(1+(W$54+AR966)/100)-(W$56+BD966)+W$58</f>
        <v>#VALUE!</v>
      </c>
      <c r="BR966" s="878" t="e">
        <f t="shared" ref="BR966:BR1029" si="944">BQ966*(1+(X$55+AY966)/100)*((1-W$62)+W$62*((1+(X$57+BK966)/100)))/(1+(X$54+AS966)/100)-(X$56+BE966)+X$58</f>
        <v>#VALUE!</v>
      </c>
      <c r="BS966" s="966" t="e">
        <f t="shared" ref="BS966:BS1029" si="945">BR966*(1+(Y$55+AZ966)/100)*((1-X$62)+X$62*((1+(Y$57+BL966)/100)))/(1+(Y$54+AT966)/100)-(Y$56+BF966)+Y$58</f>
        <v>#VALUE!</v>
      </c>
    </row>
    <row r="967" spans="1:71">
      <c r="A967" s="284">
        <f t="shared" ref="A967:A1030" si="946">A966+1</f>
        <v>899</v>
      </c>
      <c r="B967" s="285">
        <v>-0.74460874679888134</v>
      </c>
      <c r="C967" s="285">
        <v>2.4541884684324242</v>
      </c>
      <c r="D967" s="285">
        <v>1.6420950816193796</v>
      </c>
      <c r="E967" s="285">
        <v>-3.541862121310575</v>
      </c>
      <c r="H967" s="685">
        <f t="shared" si="892"/>
        <v>-1.8778425885679362</v>
      </c>
      <c r="I967" s="276">
        <f t="shared" si="893"/>
        <v>0.62683642956141283</v>
      </c>
      <c r="J967" s="276">
        <f t="shared" si="894"/>
        <v>0.26820056500735356</v>
      </c>
      <c r="K967" s="276">
        <f t="shared" si="895"/>
        <v>1.0638956077434674</v>
      </c>
      <c r="L967" s="276">
        <f t="shared" si="896"/>
        <v>1.0875524127950651</v>
      </c>
      <c r="M967" s="276">
        <f t="shared" si="897"/>
        <v>1.3666485640676107</v>
      </c>
      <c r="N967" s="685">
        <f t="shared" si="898"/>
        <v>1.2470172574605558</v>
      </c>
      <c r="O967" s="276">
        <f t="shared" si="899"/>
        <v>1.531173368950786</v>
      </c>
      <c r="P967" s="276">
        <f t="shared" si="900"/>
        <v>1.5316660937729194</v>
      </c>
      <c r="Q967" s="276">
        <f t="shared" si="901"/>
        <v>1.0065670222415204</v>
      </c>
      <c r="R967" s="276">
        <f t="shared" si="902"/>
        <v>1.739100844212053</v>
      </c>
      <c r="S967" s="686">
        <f t="shared" si="903"/>
        <v>1.7519758372664838</v>
      </c>
      <c r="T967" s="685">
        <f t="shared" si="904"/>
        <v>4.9204587718903054</v>
      </c>
      <c r="U967" s="276">
        <f t="shared" si="905"/>
        <v>5.1348713647725246</v>
      </c>
      <c r="V967" s="276">
        <f t="shared" si="906"/>
        <v>7.1002692544617201</v>
      </c>
      <c r="W967" s="276">
        <f t="shared" si="907"/>
        <v>1.8579125107770174</v>
      </c>
      <c r="X967" s="276">
        <f t="shared" si="908"/>
        <v>5.2940111424904712</v>
      </c>
      <c r="Y967" s="686">
        <f t="shared" si="909"/>
        <v>4.7173610991629058</v>
      </c>
      <c r="Z967" s="685" t="e">
        <f t="shared" si="910"/>
        <v>#DIV/0!</v>
      </c>
      <c r="AA967" s="276" t="e">
        <f t="shared" si="911"/>
        <v>#DIV/0!</v>
      </c>
      <c r="AB967" s="276" t="e">
        <f t="shared" si="912"/>
        <v>#DIV/0!</v>
      </c>
      <c r="AC967" s="276" t="e">
        <f t="shared" si="913"/>
        <v>#DIV/0!</v>
      </c>
      <c r="AD967" s="276" t="e">
        <f t="shared" si="914"/>
        <v>#DIV/0!</v>
      </c>
      <c r="AE967" s="686" t="e">
        <f t="shared" si="915"/>
        <v>#DIV/0!</v>
      </c>
      <c r="AF967" s="239"/>
      <c r="AG967" s="965" t="e">
        <f t="shared" si="886"/>
        <v>#VALUE!</v>
      </c>
      <c r="AH967" s="878" t="e">
        <f t="shared" si="887"/>
        <v>#VALUE!</v>
      </c>
      <c r="AI967" s="878" t="e">
        <f t="shared" si="888"/>
        <v>#VALUE!</v>
      </c>
      <c r="AJ967" s="878" t="e">
        <f t="shared" si="889"/>
        <v>#VALUE!</v>
      </c>
      <c r="AK967" s="878" t="e">
        <f t="shared" si="890"/>
        <v>#VALUE!</v>
      </c>
      <c r="AL967" s="966" t="e">
        <f t="shared" si="891"/>
        <v>#VALUE!</v>
      </c>
      <c r="AM967" s="239"/>
      <c r="AO967" s="685">
        <f t="shared" si="916"/>
        <v>-1.8778425885679362</v>
      </c>
      <c r="AP967" s="276">
        <f t="shared" si="917"/>
        <v>0.62683642956141283</v>
      </c>
      <c r="AQ967" s="276">
        <f t="shared" si="918"/>
        <v>0.26820056500735356</v>
      </c>
      <c r="AR967" s="276">
        <f t="shared" si="919"/>
        <v>1.0638956077434674</v>
      </c>
      <c r="AS967" s="276">
        <f t="shared" si="920"/>
        <v>1.0875524127950651</v>
      </c>
      <c r="AT967" s="276">
        <f t="shared" si="921"/>
        <v>1.3666485640676107</v>
      </c>
      <c r="AU967" s="685">
        <f t="shared" si="922"/>
        <v>1.2470172574605558</v>
      </c>
      <c r="AV967" s="276">
        <f t="shared" si="923"/>
        <v>1.531173368950786</v>
      </c>
      <c r="AW967" s="276">
        <f t="shared" si="924"/>
        <v>1.5316660937729194</v>
      </c>
      <c r="AX967" s="276">
        <f t="shared" si="925"/>
        <v>1.0065670222415204</v>
      </c>
      <c r="AY967" s="276">
        <f t="shared" si="926"/>
        <v>1.739100844212053</v>
      </c>
      <c r="AZ967" s="686">
        <f t="shared" si="927"/>
        <v>1.7519758372664838</v>
      </c>
      <c r="BA967" s="685">
        <f t="shared" si="928"/>
        <v>0</v>
      </c>
      <c r="BB967" s="276">
        <f t="shared" si="929"/>
        <v>0</v>
      </c>
      <c r="BC967" s="276">
        <f t="shared" si="930"/>
        <v>0</v>
      </c>
      <c r="BD967" s="276">
        <f t="shared" si="931"/>
        <v>0</v>
      </c>
      <c r="BE967" s="276">
        <f t="shared" si="932"/>
        <v>0</v>
      </c>
      <c r="BF967" s="686">
        <f t="shared" si="933"/>
        <v>0</v>
      </c>
      <c r="BG967" s="685" t="e">
        <f t="shared" si="934"/>
        <v>#DIV/0!</v>
      </c>
      <c r="BH967" s="276" t="e">
        <f t="shared" si="935"/>
        <v>#DIV/0!</v>
      </c>
      <c r="BI967" s="276" t="e">
        <f t="shared" si="936"/>
        <v>#DIV/0!</v>
      </c>
      <c r="BJ967" s="276" t="e">
        <f t="shared" si="937"/>
        <v>#DIV/0!</v>
      </c>
      <c r="BK967" s="276" t="e">
        <f t="shared" si="938"/>
        <v>#DIV/0!</v>
      </c>
      <c r="BL967" s="686" t="e">
        <f t="shared" si="939"/>
        <v>#DIV/0!</v>
      </c>
      <c r="BM967" s="239"/>
      <c r="BN967" s="965" t="e">
        <f t="shared" si="940"/>
        <v>#VALUE!</v>
      </c>
      <c r="BO967" s="878" t="e">
        <f t="shared" si="941"/>
        <v>#VALUE!</v>
      </c>
      <c r="BP967" s="878" t="e">
        <f t="shared" si="942"/>
        <v>#VALUE!</v>
      </c>
      <c r="BQ967" s="878" t="e">
        <f t="shared" si="943"/>
        <v>#VALUE!</v>
      </c>
      <c r="BR967" s="878" t="e">
        <f t="shared" si="944"/>
        <v>#VALUE!</v>
      </c>
      <c r="BS967" s="966" t="e">
        <f t="shared" si="945"/>
        <v>#VALUE!</v>
      </c>
    </row>
    <row r="968" spans="1:71">
      <c r="A968" s="284">
        <f t="shared" si="946"/>
        <v>900</v>
      </c>
      <c r="B968" s="285">
        <v>2.2793098525037938</v>
      </c>
      <c r="C968" s="285">
        <v>3.2896956761647482</v>
      </c>
      <c r="D968" s="285">
        <v>-0.17403702590807857</v>
      </c>
      <c r="E968" s="285">
        <v>6.6232074393741982</v>
      </c>
      <c r="H968" s="685">
        <f t="shared" si="892"/>
        <v>1.146076010734739</v>
      </c>
      <c r="I968" s="276">
        <f t="shared" si="893"/>
        <v>0.3637473946034655</v>
      </c>
      <c r="J968" s="276">
        <f t="shared" si="894"/>
        <v>-3.8407211188425565</v>
      </c>
      <c r="K968" s="276">
        <f t="shared" si="895"/>
        <v>-1.9079581824001566</v>
      </c>
      <c r="L968" s="276">
        <f t="shared" si="896"/>
        <v>0.5136084853898315</v>
      </c>
      <c r="M968" s="276">
        <f t="shared" si="897"/>
        <v>-1.3098846725458075</v>
      </c>
      <c r="N968" s="685">
        <f t="shared" si="898"/>
        <v>2.08252446519288</v>
      </c>
      <c r="O968" s="276">
        <f t="shared" si="899"/>
        <v>1.6891436589086164</v>
      </c>
      <c r="P968" s="276">
        <f t="shared" si="900"/>
        <v>1.0210436976846788</v>
      </c>
      <c r="Q968" s="276">
        <f t="shared" si="901"/>
        <v>1.6838650931270147</v>
      </c>
      <c r="R968" s="276">
        <f t="shared" si="902"/>
        <v>1.7433603911695477</v>
      </c>
      <c r="S968" s="686">
        <f t="shared" si="903"/>
        <v>1.3031254586576291</v>
      </c>
      <c r="T968" s="685">
        <f t="shared" si="904"/>
        <v>3.1043266643628473</v>
      </c>
      <c r="U968" s="276">
        <f t="shared" si="905"/>
        <v>4.9965368861796904</v>
      </c>
      <c r="V968" s="276">
        <f t="shared" si="906"/>
        <v>5.267842893974513</v>
      </c>
      <c r="W968" s="276">
        <f t="shared" si="907"/>
        <v>2.8534444292936936</v>
      </c>
      <c r="X968" s="276">
        <f t="shared" si="908"/>
        <v>5.808520621315612</v>
      </c>
      <c r="Y968" s="686">
        <f t="shared" si="909"/>
        <v>2.8665579513371853</v>
      </c>
      <c r="Z968" s="685" t="e">
        <f t="shared" si="910"/>
        <v>#DIV/0!</v>
      </c>
      <c r="AA968" s="276" t="e">
        <f t="shared" si="911"/>
        <v>#DIV/0!</v>
      </c>
      <c r="AB968" s="276" t="e">
        <f t="shared" si="912"/>
        <v>#DIV/0!</v>
      </c>
      <c r="AC968" s="276" t="e">
        <f t="shared" si="913"/>
        <v>#DIV/0!</v>
      </c>
      <c r="AD968" s="276" t="e">
        <f t="shared" si="914"/>
        <v>#DIV/0!</v>
      </c>
      <c r="AE968" s="686" t="e">
        <f t="shared" si="915"/>
        <v>#DIV/0!</v>
      </c>
      <c r="AF968" s="239"/>
      <c r="AG968" s="965" t="e">
        <f t="shared" si="886"/>
        <v>#VALUE!</v>
      </c>
      <c r="AH968" s="878" t="e">
        <f t="shared" si="887"/>
        <v>#VALUE!</v>
      </c>
      <c r="AI968" s="878" t="e">
        <f t="shared" si="888"/>
        <v>#VALUE!</v>
      </c>
      <c r="AJ968" s="878" t="e">
        <f t="shared" si="889"/>
        <v>#VALUE!</v>
      </c>
      <c r="AK968" s="878" t="e">
        <f t="shared" si="890"/>
        <v>#VALUE!</v>
      </c>
      <c r="AL968" s="966" t="e">
        <f t="shared" si="891"/>
        <v>#VALUE!</v>
      </c>
      <c r="AM968" s="239"/>
      <c r="AO968" s="685">
        <f t="shared" si="916"/>
        <v>1.146076010734739</v>
      </c>
      <c r="AP968" s="276">
        <f t="shared" si="917"/>
        <v>0.3637473946034655</v>
      </c>
      <c r="AQ968" s="276">
        <f t="shared" si="918"/>
        <v>-3.8407211188425565</v>
      </c>
      <c r="AR968" s="276">
        <f t="shared" si="919"/>
        <v>-1.9079581824001566</v>
      </c>
      <c r="AS968" s="276">
        <f t="shared" si="920"/>
        <v>0.5136084853898315</v>
      </c>
      <c r="AT968" s="276">
        <f t="shared" si="921"/>
        <v>-1.3098846725458075</v>
      </c>
      <c r="AU968" s="685">
        <f t="shared" si="922"/>
        <v>2.08252446519288</v>
      </c>
      <c r="AV968" s="276">
        <f t="shared" si="923"/>
        <v>1.6891436589086164</v>
      </c>
      <c r="AW968" s="276">
        <f t="shared" si="924"/>
        <v>1.0210436976846788</v>
      </c>
      <c r="AX968" s="276">
        <f t="shared" si="925"/>
        <v>1.6838650931270147</v>
      </c>
      <c r="AY968" s="276">
        <f t="shared" si="926"/>
        <v>1.7433603911695477</v>
      </c>
      <c r="AZ968" s="686">
        <f t="shared" si="927"/>
        <v>1.3031254586576291</v>
      </c>
      <c r="BA968" s="685">
        <f t="shared" si="928"/>
        <v>0</v>
      </c>
      <c r="BB968" s="276">
        <f t="shared" si="929"/>
        <v>0</v>
      </c>
      <c r="BC968" s="276">
        <f t="shared" si="930"/>
        <v>0</v>
      </c>
      <c r="BD968" s="276">
        <f t="shared" si="931"/>
        <v>0</v>
      </c>
      <c r="BE968" s="276">
        <f t="shared" si="932"/>
        <v>0</v>
      </c>
      <c r="BF968" s="686">
        <f t="shared" si="933"/>
        <v>0</v>
      </c>
      <c r="BG968" s="685" t="e">
        <f t="shared" si="934"/>
        <v>#DIV/0!</v>
      </c>
      <c r="BH968" s="276" t="e">
        <f t="shared" si="935"/>
        <v>#DIV/0!</v>
      </c>
      <c r="BI968" s="276" t="e">
        <f t="shared" si="936"/>
        <v>#DIV/0!</v>
      </c>
      <c r="BJ968" s="276" t="e">
        <f t="shared" si="937"/>
        <v>#DIV/0!</v>
      </c>
      <c r="BK968" s="276" t="e">
        <f t="shared" si="938"/>
        <v>#DIV/0!</v>
      </c>
      <c r="BL968" s="686" t="e">
        <f t="shared" si="939"/>
        <v>#DIV/0!</v>
      </c>
      <c r="BM968" s="239"/>
      <c r="BN968" s="965" t="e">
        <f t="shared" si="940"/>
        <v>#VALUE!</v>
      </c>
      <c r="BO968" s="878" t="e">
        <f t="shared" si="941"/>
        <v>#VALUE!</v>
      </c>
      <c r="BP968" s="878" t="e">
        <f t="shared" si="942"/>
        <v>#VALUE!</v>
      </c>
      <c r="BQ968" s="878" t="e">
        <f t="shared" si="943"/>
        <v>#VALUE!</v>
      </c>
      <c r="BR968" s="878" t="e">
        <f t="shared" si="944"/>
        <v>#VALUE!</v>
      </c>
      <c r="BS968" s="966" t="e">
        <f t="shared" si="945"/>
        <v>#VALUE!</v>
      </c>
    </row>
    <row r="969" spans="1:71">
      <c r="A969" s="284">
        <f t="shared" si="946"/>
        <v>901</v>
      </c>
      <c r="B969" s="285">
        <v>-1.6482868609654249</v>
      </c>
      <c r="C969" s="285">
        <v>2.0459305242990107</v>
      </c>
      <c r="D969" s="285">
        <v>1.7252423485764765</v>
      </c>
      <c r="E969" s="285">
        <v>-0.16309707123415995</v>
      </c>
      <c r="H969" s="685">
        <f t="shared" si="892"/>
        <v>-2.7815207027344799</v>
      </c>
      <c r="I969" s="276">
        <f t="shared" si="893"/>
        <v>0.2897548977262232</v>
      </c>
      <c r="J969" s="276">
        <f t="shared" si="894"/>
        <v>-4.0030035624465308</v>
      </c>
      <c r="K969" s="276">
        <f t="shared" si="895"/>
        <v>-2.4882051610944664</v>
      </c>
      <c r="L969" s="276">
        <f t="shared" si="896"/>
        <v>-5.0173202182577086</v>
      </c>
      <c r="M969" s="276">
        <f t="shared" si="897"/>
        <v>1.1269289598185999</v>
      </c>
      <c r="N969" s="685">
        <f t="shared" si="898"/>
        <v>0.83875931332714226</v>
      </c>
      <c r="O969" s="276">
        <f t="shared" si="899"/>
        <v>2.1753611882084103</v>
      </c>
      <c r="P969" s="276">
        <f t="shared" si="900"/>
        <v>1.1581158297180691</v>
      </c>
      <c r="Q969" s="276">
        <f t="shared" si="901"/>
        <v>0.47158245622658979</v>
      </c>
      <c r="R969" s="276">
        <f t="shared" si="902"/>
        <v>0.96668020570000102</v>
      </c>
      <c r="S969" s="686">
        <f t="shared" si="903"/>
        <v>0.83330403311244683</v>
      </c>
      <c r="T969" s="685">
        <f t="shared" si="904"/>
        <v>5.0036060388474022</v>
      </c>
      <c r="U969" s="276">
        <f t="shared" si="905"/>
        <v>4.341429695566676</v>
      </c>
      <c r="V969" s="276">
        <f t="shared" si="906"/>
        <v>5.2099216462795308</v>
      </c>
      <c r="W969" s="276">
        <f t="shared" si="907"/>
        <v>3.9098164459577633</v>
      </c>
      <c r="X969" s="276">
        <f t="shared" si="908"/>
        <v>3.6787777894393145</v>
      </c>
      <c r="Y969" s="686">
        <f t="shared" si="909"/>
        <v>5.3552250183758527</v>
      </c>
      <c r="Z969" s="685" t="e">
        <f t="shared" si="910"/>
        <v>#DIV/0!</v>
      </c>
      <c r="AA969" s="276" t="e">
        <f t="shared" si="911"/>
        <v>#DIV/0!</v>
      </c>
      <c r="AB969" s="276" t="e">
        <f t="shared" si="912"/>
        <v>#DIV/0!</v>
      </c>
      <c r="AC969" s="276" t="e">
        <f t="shared" si="913"/>
        <v>#DIV/0!</v>
      </c>
      <c r="AD969" s="276" t="e">
        <f t="shared" si="914"/>
        <v>#DIV/0!</v>
      </c>
      <c r="AE969" s="686" t="e">
        <f t="shared" si="915"/>
        <v>#DIV/0!</v>
      </c>
      <c r="AF969" s="239"/>
      <c r="AG969" s="965" t="e">
        <f t="shared" si="886"/>
        <v>#VALUE!</v>
      </c>
      <c r="AH969" s="878" t="e">
        <f t="shared" si="887"/>
        <v>#VALUE!</v>
      </c>
      <c r="AI969" s="878" t="e">
        <f t="shared" si="888"/>
        <v>#VALUE!</v>
      </c>
      <c r="AJ969" s="878" t="e">
        <f t="shared" si="889"/>
        <v>#VALUE!</v>
      </c>
      <c r="AK969" s="878" t="e">
        <f t="shared" si="890"/>
        <v>#VALUE!</v>
      </c>
      <c r="AL969" s="966" t="e">
        <f t="shared" si="891"/>
        <v>#VALUE!</v>
      </c>
      <c r="AM969" s="239"/>
      <c r="AO969" s="685">
        <f t="shared" si="916"/>
        <v>-2.7815207027344799</v>
      </c>
      <c r="AP969" s="276">
        <f t="shared" si="917"/>
        <v>0.2897548977262232</v>
      </c>
      <c r="AQ969" s="276">
        <f t="shared" si="918"/>
        <v>-4.0030035624465308</v>
      </c>
      <c r="AR969" s="276">
        <f t="shared" si="919"/>
        <v>-2.4882051610944664</v>
      </c>
      <c r="AS969" s="276">
        <f t="shared" si="920"/>
        <v>-5.0173202182577086</v>
      </c>
      <c r="AT969" s="276">
        <f t="shared" si="921"/>
        <v>1.1269289598185999</v>
      </c>
      <c r="AU969" s="685">
        <f t="shared" si="922"/>
        <v>0.83875931332714226</v>
      </c>
      <c r="AV969" s="276">
        <f t="shared" si="923"/>
        <v>2.1753611882084103</v>
      </c>
      <c r="AW969" s="276">
        <f t="shared" si="924"/>
        <v>1.1581158297180691</v>
      </c>
      <c r="AX969" s="276">
        <f t="shared" si="925"/>
        <v>0.47158245622658979</v>
      </c>
      <c r="AY969" s="276">
        <f t="shared" si="926"/>
        <v>0.96668020570000102</v>
      </c>
      <c r="AZ969" s="686">
        <f t="shared" si="927"/>
        <v>0.83330403311244683</v>
      </c>
      <c r="BA969" s="685">
        <f t="shared" si="928"/>
        <v>0</v>
      </c>
      <c r="BB969" s="276">
        <f t="shared" si="929"/>
        <v>0</v>
      </c>
      <c r="BC969" s="276">
        <f t="shared" si="930"/>
        <v>0</v>
      </c>
      <c r="BD969" s="276">
        <f t="shared" si="931"/>
        <v>0</v>
      </c>
      <c r="BE969" s="276">
        <f t="shared" si="932"/>
        <v>0</v>
      </c>
      <c r="BF969" s="686">
        <f t="shared" si="933"/>
        <v>0</v>
      </c>
      <c r="BG969" s="685" t="e">
        <f t="shared" si="934"/>
        <v>#DIV/0!</v>
      </c>
      <c r="BH969" s="276" t="e">
        <f t="shared" si="935"/>
        <v>#DIV/0!</v>
      </c>
      <c r="BI969" s="276" t="e">
        <f t="shared" si="936"/>
        <v>#DIV/0!</v>
      </c>
      <c r="BJ969" s="276" t="e">
        <f t="shared" si="937"/>
        <v>#DIV/0!</v>
      </c>
      <c r="BK969" s="276" t="e">
        <f t="shared" si="938"/>
        <v>#DIV/0!</v>
      </c>
      <c r="BL969" s="686" t="e">
        <f t="shared" si="939"/>
        <v>#DIV/0!</v>
      </c>
      <c r="BM969" s="239"/>
      <c r="BN969" s="965" t="e">
        <f t="shared" si="940"/>
        <v>#VALUE!</v>
      </c>
      <c r="BO969" s="878" t="e">
        <f t="shared" si="941"/>
        <v>#VALUE!</v>
      </c>
      <c r="BP969" s="878" t="e">
        <f t="shared" si="942"/>
        <v>#VALUE!</v>
      </c>
      <c r="BQ969" s="878" t="e">
        <f t="shared" si="943"/>
        <v>#VALUE!</v>
      </c>
      <c r="BR969" s="878" t="e">
        <f t="shared" si="944"/>
        <v>#VALUE!</v>
      </c>
      <c r="BS969" s="966" t="e">
        <f t="shared" si="945"/>
        <v>#VALUE!</v>
      </c>
    </row>
    <row r="970" spans="1:71">
      <c r="A970" s="284">
        <f t="shared" si="946"/>
        <v>902</v>
      </c>
      <c r="B970" s="285">
        <v>0.20515584629550537</v>
      </c>
      <c r="C970" s="285">
        <v>2.6523802345068925</v>
      </c>
      <c r="D970" s="285">
        <v>2.0197334922892467</v>
      </c>
      <c r="E970" s="285">
        <v>5.2885349288072252</v>
      </c>
      <c r="H970" s="685">
        <f t="shared" si="892"/>
        <v>-0.92807799547354941</v>
      </c>
      <c r="I970" s="276">
        <f t="shared" si="893"/>
        <v>-2.6690721271235072</v>
      </c>
      <c r="J970" s="276">
        <f t="shared" si="894"/>
        <v>1.2063007595483393</v>
      </c>
      <c r="K970" s="276">
        <f t="shared" si="895"/>
        <v>-5.1409427590937327</v>
      </c>
      <c r="L970" s="276">
        <f t="shared" si="896"/>
        <v>0.75367254573461828</v>
      </c>
      <c r="M970" s="276">
        <f t="shared" si="897"/>
        <v>0.31347317070931613</v>
      </c>
      <c r="N970" s="685">
        <f t="shared" si="898"/>
        <v>1.4452090235350241</v>
      </c>
      <c r="O970" s="276">
        <f t="shared" si="899"/>
        <v>0.82973511064109728</v>
      </c>
      <c r="P970" s="276">
        <f t="shared" si="900"/>
        <v>1.45661115288655</v>
      </c>
      <c r="Q970" s="276">
        <f t="shared" si="901"/>
        <v>0.50127708186333986</v>
      </c>
      <c r="R970" s="276">
        <f t="shared" si="902"/>
        <v>1.1813863661430413</v>
      </c>
      <c r="S970" s="686">
        <f t="shared" si="903"/>
        <v>0.73920223032028809</v>
      </c>
      <c r="T970" s="685">
        <f t="shared" si="904"/>
        <v>5.2980971825601726</v>
      </c>
      <c r="U970" s="276">
        <f t="shared" si="905"/>
        <v>4.9659993736020072</v>
      </c>
      <c r="V970" s="276">
        <f t="shared" si="906"/>
        <v>4.752744442034512</v>
      </c>
      <c r="W970" s="276">
        <f t="shared" si="907"/>
        <v>3.7004917387548395</v>
      </c>
      <c r="X970" s="276">
        <f t="shared" si="908"/>
        <v>5.4464221537935806</v>
      </c>
      <c r="Y970" s="686">
        <f t="shared" si="909"/>
        <v>5.0673973234803409</v>
      </c>
      <c r="Z970" s="685" t="e">
        <f t="shared" si="910"/>
        <v>#DIV/0!</v>
      </c>
      <c r="AA970" s="276" t="e">
        <f t="shared" si="911"/>
        <v>#DIV/0!</v>
      </c>
      <c r="AB970" s="276" t="e">
        <f t="shared" si="912"/>
        <v>#DIV/0!</v>
      </c>
      <c r="AC970" s="276" t="e">
        <f t="shared" si="913"/>
        <v>#DIV/0!</v>
      </c>
      <c r="AD970" s="276" t="e">
        <f t="shared" si="914"/>
        <v>#DIV/0!</v>
      </c>
      <c r="AE970" s="686" t="e">
        <f t="shared" si="915"/>
        <v>#DIV/0!</v>
      </c>
      <c r="AF970" s="239"/>
      <c r="AG970" s="965" t="e">
        <f t="shared" si="886"/>
        <v>#VALUE!</v>
      </c>
      <c r="AH970" s="878" t="e">
        <f t="shared" si="887"/>
        <v>#VALUE!</v>
      </c>
      <c r="AI970" s="878" t="e">
        <f t="shared" si="888"/>
        <v>#VALUE!</v>
      </c>
      <c r="AJ970" s="878" t="e">
        <f t="shared" si="889"/>
        <v>#VALUE!</v>
      </c>
      <c r="AK970" s="878" t="e">
        <f t="shared" si="890"/>
        <v>#VALUE!</v>
      </c>
      <c r="AL970" s="966" t="e">
        <f t="shared" si="891"/>
        <v>#VALUE!</v>
      </c>
      <c r="AM970" s="239"/>
      <c r="AO970" s="685">
        <f t="shared" si="916"/>
        <v>-0.92807799547354941</v>
      </c>
      <c r="AP970" s="276">
        <f t="shared" si="917"/>
        <v>-2.6690721271235072</v>
      </c>
      <c r="AQ970" s="276">
        <f t="shared" si="918"/>
        <v>1.2063007595483393</v>
      </c>
      <c r="AR970" s="276">
        <f t="shared" si="919"/>
        <v>-5.1409427590937327</v>
      </c>
      <c r="AS970" s="276">
        <f t="shared" si="920"/>
        <v>0.75367254573461828</v>
      </c>
      <c r="AT970" s="276">
        <f t="shared" si="921"/>
        <v>0.31347317070931613</v>
      </c>
      <c r="AU970" s="685">
        <f t="shared" si="922"/>
        <v>1.4452090235350241</v>
      </c>
      <c r="AV970" s="276">
        <f t="shared" si="923"/>
        <v>0.82973511064109728</v>
      </c>
      <c r="AW970" s="276">
        <f t="shared" si="924"/>
        <v>1.45661115288655</v>
      </c>
      <c r="AX970" s="276">
        <f t="shared" si="925"/>
        <v>0.50127708186333986</v>
      </c>
      <c r="AY970" s="276">
        <f t="shared" si="926"/>
        <v>1.1813863661430413</v>
      </c>
      <c r="AZ970" s="686">
        <f t="shared" si="927"/>
        <v>0.73920223032028809</v>
      </c>
      <c r="BA970" s="685">
        <f t="shared" si="928"/>
        <v>0</v>
      </c>
      <c r="BB970" s="276">
        <f t="shared" si="929"/>
        <v>0</v>
      </c>
      <c r="BC970" s="276">
        <f t="shared" si="930"/>
        <v>0</v>
      </c>
      <c r="BD970" s="276">
        <f t="shared" si="931"/>
        <v>0</v>
      </c>
      <c r="BE970" s="276">
        <f t="shared" si="932"/>
        <v>0</v>
      </c>
      <c r="BF970" s="686">
        <f t="shared" si="933"/>
        <v>0</v>
      </c>
      <c r="BG970" s="685" t="e">
        <f t="shared" si="934"/>
        <v>#DIV/0!</v>
      </c>
      <c r="BH970" s="276" t="e">
        <f t="shared" si="935"/>
        <v>#DIV/0!</v>
      </c>
      <c r="BI970" s="276" t="e">
        <f t="shared" si="936"/>
        <v>#DIV/0!</v>
      </c>
      <c r="BJ970" s="276" t="e">
        <f t="shared" si="937"/>
        <v>#DIV/0!</v>
      </c>
      <c r="BK970" s="276" t="e">
        <f t="shared" si="938"/>
        <v>#DIV/0!</v>
      </c>
      <c r="BL970" s="686" t="e">
        <f t="shared" si="939"/>
        <v>#DIV/0!</v>
      </c>
      <c r="BM970" s="239"/>
      <c r="BN970" s="965" t="e">
        <f t="shared" si="940"/>
        <v>#VALUE!</v>
      </c>
      <c r="BO970" s="878" t="e">
        <f t="shared" si="941"/>
        <v>#VALUE!</v>
      </c>
      <c r="BP970" s="878" t="e">
        <f t="shared" si="942"/>
        <v>#VALUE!</v>
      </c>
      <c r="BQ970" s="878" t="e">
        <f t="shared" si="943"/>
        <v>#VALUE!</v>
      </c>
      <c r="BR970" s="878" t="e">
        <f t="shared" si="944"/>
        <v>#VALUE!</v>
      </c>
      <c r="BS970" s="966" t="e">
        <f t="shared" si="945"/>
        <v>#VALUE!</v>
      </c>
    </row>
    <row r="971" spans="1:71">
      <c r="A971" s="284">
        <f t="shared" si="946"/>
        <v>903</v>
      </c>
      <c r="B971" s="285">
        <v>2.4813938988160098</v>
      </c>
      <c r="C971" s="285">
        <v>2.6789737040668555</v>
      </c>
      <c r="D971" s="285">
        <v>0.77330940882503696</v>
      </c>
      <c r="E971" s="285">
        <v>1.5582352520832958</v>
      </c>
      <c r="H971" s="685">
        <f t="shared" si="892"/>
        <v>1.348160057046955</v>
      </c>
      <c r="I971" s="276">
        <f t="shared" si="893"/>
        <v>0.6330692264496327</v>
      </c>
      <c r="J971" s="276">
        <f t="shared" si="894"/>
        <v>0.97503568756972814</v>
      </c>
      <c r="K971" s="276">
        <f t="shared" si="895"/>
        <v>-3.8008311661920571</v>
      </c>
      <c r="L971" s="276">
        <f t="shared" si="896"/>
        <v>-2.3118122759463193</v>
      </c>
      <c r="M971" s="276">
        <f t="shared" si="897"/>
        <v>-1.8069779331573499</v>
      </c>
      <c r="N971" s="685">
        <f t="shared" si="898"/>
        <v>1.4718024930949871</v>
      </c>
      <c r="O971" s="276">
        <f t="shared" si="899"/>
        <v>1.517513044561962</v>
      </c>
      <c r="P971" s="276">
        <f t="shared" si="900"/>
        <v>2.1940904627373587</v>
      </c>
      <c r="Q971" s="276">
        <f t="shared" si="901"/>
        <v>0.78393079059088677</v>
      </c>
      <c r="R971" s="276">
        <f t="shared" si="902"/>
        <v>1.5060887121309705</v>
      </c>
      <c r="S971" s="686">
        <f t="shared" si="903"/>
        <v>1.366416155888418</v>
      </c>
      <c r="T971" s="685">
        <f t="shared" si="904"/>
        <v>4.0516730990959626</v>
      </c>
      <c r="U971" s="276">
        <f t="shared" si="905"/>
        <v>5.7453749412262631</v>
      </c>
      <c r="V971" s="276">
        <f t="shared" si="906"/>
        <v>4.2574801197584584</v>
      </c>
      <c r="W971" s="276">
        <f t="shared" si="907"/>
        <v>3.089960944946581</v>
      </c>
      <c r="X971" s="276">
        <f t="shared" si="908"/>
        <v>6.2265847977851569</v>
      </c>
      <c r="Y971" s="686">
        <f t="shared" si="909"/>
        <v>4.5643884818489315</v>
      </c>
      <c r="Z971" s="685" t="e">
        <f t="shared" si="910"/>
        <v>#DIV/0!</v>
      </c>
      <c r="AA971" s="276" t="e">
        <f t="shared" si="911"/>
        <v>#DIV/0!</v>
      </c>
      <c r="AB971" s="276" t="e">
        <f t="shared" si="912"/>
        <v>#DIV/0!</v>
      </c>
      <c r="AC971" s="276" t="e">
        <f t="shared" si="913"/>
        <v>#DIV/0!</v>
      </c>
      <c r="AD971" s="276" t="e">
        <f t="shared" si="914"/>
        <v>#DIV/0!</v>
      </c>
      <c r="AE971" s="686" t="e">
        <f t="shared" si="915"/>
        <v>#DIV/0!</v>
      </c>
      <c r="AF971" s="239"/>
      <c r="AG971" s="965" t="e">
        <f t="shared" si="886"/>
        <v>#VALUE!</v>
      </c>
      <c r="AH971" s="878" t="e">
        <f t="shared" si="887"/>
        <v>#VALUE!</v>
      </c>
      <c r="AI971" s="878" t="e">
        <f t="shared" si="888"/>
        <v>#VALUE!</v>
      </c>
      <c r="AJ971" s="878" t="e">
        <f t="shared" si="889"/>
        <v>#VALUE!</v>
      </c>
      <c r="AK971" s="878" t="e">
        <f t="shared" si="890"/>
        <v>#VALUE!</v>
      </c>
      <c r="AL971" s="966" t="e">
        <f t="shared" si="891"/>
        <v>#VALUE!</v>
      </c>
      <c r="AM971" s="239"/>
      <c r="AO971" s="685">
        <f t="shared" si="916"/>
        <v>1.348160057046955</v>
      </c>
      <c r="AP971" s="276">
        <f t="shared" si="917"/>
        <v>0.6330692264496327</v>
      </c>
      <c r="AQ971" s="276">
        <f t="shared" si="918"/>
        <v>0.97503568756972814</v>
      </c>
      <c r="AR971" s="276">
        <f t="shared" si="919"/>
        <v>-3.8008311661920571</v>
      </c>
      <c r="AS971" s="276">
        <f t="shared" si="920"/>
        <v>-2.3118122759463193</v>
      </c>
      <c r="AT971" s="276">
        <f t="shared" si="921"/>
        <v>-1.8069779331573499</v>
      </c>
      <c r="AU971" s="685">
        <f t="shared" si="922"/>
        <v>1.4718024930949871</v>
      </c>
      <c r="AV971" s="276">
        <f t="shared" si="923"/>
        <v>1.517513044561962</v>
      </c>
      <c r="AW971" s="276">
        <f t="shared" si="924"/>
        <v>2.1940904627373587</v>
      </c>
      <c r="AX971" s="276">
        <f t="shared" si="925"/>
        <v>0.78393079059088677</v>
      </c>
      <c r="AY971" s="276">
        <f t="shared" si="926"/>
        <v>1.5060887121309705</v>
      </c>
      <c r="AZ971" s="686">
        <f t="shared" si="927"/>
        <v>1.366416155888418</v>
      </c>
      <c r="BA971" s="685">
        <f t="shared" si="928"/>
        <v>0</v>
      </c>
      <c r="BB971" s="276">
        <f t="shared" si="929"/>
        <v>0</v>
      </c>
      <c r="BC971" s="276">
        <f t="shared" si="930"/>
        <v>0</v>
      </c>
      <c r="BD971" s="276">
        <f t="shared" si="931"/>
        <v>0</v>
      </c>
      <c r="BE971" s="276">
        <f t="shared" si="932"/>
        <v>0</v>
      </c>
      <c r="BF971" s="686">
        <f t="shared" si="933"/>
        <v>0</v>
      </c>
      <c r="BG971" s="685" t="e">
        <f t="shared" si="934"/>
        <v>#DIV/0!</v>
      </c>
      <c r="BH971" s="276" t="e">
        <f t="shared" si="935"/>
        <v>#DIV/0!</v>
      </c>
      <c r="BI971" s="276" t="e">
        <f t="shared" si="936"/>
        <v>#DIV/0!</v>
      </c>
      <c r="BJ971" s="276" t="e">
        <f t="shared" si="937"/>
        <v>#DIV/0!</v>
      </c>
      <c r="BK971" s="276" t="e">
        <f t="shared" si="938"/>
        <v>#DIV/0!</v>
      </c>
      <c r="BL971" s="686" t="e">
        <f t="shared" si="939"/>
        <v>#DIV/0!</v>
      </c>
      <c r="BM971" s="239"/>
      <c r="BN971" s="965" t="e">
        <f t="shared" si="940"/>
        <v>#VALUE!</v>
      </c>
      <c r="BO971" s="878" t="e">
        <f t="shared" si="941"/>
        <v>#VALUE!</v>
      </c>
      <c r="BP971" s="878" t="e">
        <f t="shared" si="942"/>
        <v>#VALUE!</v>
      </c>
      <c r="BQ971" s="878" t="e">
        <f t="shared" si="943"/>
        <v>#VALUE!</v>
      </c>
      <c r="BR971" s="878" t="e">
        <f t="shared" si="944"/>
        <v>#VALUE!</v>
      </c>
      <c r="BS971" s="966" t="e">
        <f t="shared" si="945"/>
        <v>#VALUE!</v>
      </c>
    </row>
    <row r="972" spans="1:71">
      <c r="A972" s="284">
        <f t="shared" si="946"/>
        <v>904</v>
      </c>
      <c r="B972" s="285">
        <v>-1.4842508301859194</v>
      </c>
      <c r="C972" s="285">
        <v>1.5373810408972501</v>
      </c>
      <c r="D972" s="285">
        <v>2.0863509360408306</v>
      </c>
      <c r="E972" s="285">
        <v>-18.407482565958187</v>
      </c>
      <c r="H972" s="685">
        <f t="shared" si="892"/>
        <v>-2.6174846719549745</v>
      </c>
      <c r="I972" s="276">
        <f t="shared" si="893"/>
        <v>1.3824587461335087</v>
      </c>
      <c r="J972" s="276">
        <f t="shared" si="894"/>
        <v>2.0000798015421326</v>
      </c>
      <c r="K972" s="276">
        <f t="shared" si="895"/>
        <v>-1.6127844023030324</v>
      </c>
      <c r="L972" s="276">
        <f t="shared" si="896"/>
        <v>-1.7947307381924003</v>
      </c>
      <c r="M972" s="276">
        <f t="shared" si="897"/>
        <v>-3.8908531100161907</v>
      </c>
      <c r="N972" s="685">
        <f t="shared" si="898"/>
        <v>0.33020982992538173</v>
      </c>
      <c r="O972" s="276">
        <f t="shared" si="899"/>
        <v>2.2175885280529739</v>
      </c>
      <c r="P972" s="276">
        <f t="shared" si="900"/>
        <v>1.6768131454300332</v>
      </c>
      <c r="Q972" s="276">
        <f t="shared" si="901"/>
        <v>0.89125797286830344</v>
      </c>
      <c r="R972" s="276">
        <f t="shared" si="902"/>
        <v>1.546206231846065</v>
      </c>
      <c r="S972" s="686">
        <f t="shared" si="903"/>
        <v>0.80680482169557011</v>
      </c>
      <c r="T972" s="685">
        <f t="shared" si="904"/>
        <v>5.3647146263117564</v>
      </c>
      <c r="U972" s="276">
        <f t="shared" si="905"/>
        <v>7.2612401993916622</v>
      </c>
      <c r="V972" s="276">
        <f t="shared" si="906"/>
        <v>6.2867724011877861</v>
      </c>
      <c r="W972" s="276">
        <f t="shared" si="907"/>
        <v>4.828714748052052</v>
      </c>
      <c r="X972" s="276">
        <f t="shared" si="908"/>
        <v>4.179690628384547</v>
      </c>
      <c r="Y972" s="686">
        <f t="shared" si="909"/>
        <v>5.5229787891213249</v>
      </c>
      <c r="Z972" s="685" t="e">
        <f t="shared" si="910"/>
        <v>#DIV/0!</v>
      </c>
      <c r="AA972" s="276" t="e">
        <f t="shared" si="911"/>
        <v>#DIV/0!</v>
      </c>
      <c r="AB972" s="276" t="e">
        <f t="shared" si="912"/>
        <v>#DIV/0!</v>
      </c>
      <c r="AC972" s="276" t="e">
        <f t="shared" si="913"/>
        <v>#DIV/0!</v>
      </c>
      <c r="AD972" s="276" t="e">
        <f t="shared" si="914"/>
        <v>#DIV/0!</v>
      </c>
      <c r="AE972" s="686" t="e">
        <f t="shared" si="915"/>
        <v>#DIV/0!</v>
      </c>
      <c r="AF972" s="239"/>
      <c r="AG972" s="965" t="e">
        <f t="shared" si="886"/>
        <v>#VALUE!</v>
      </c>
      <c r="AH972" s="878" t="e">
        <f t="shared" si="887"/>
        <v>#VALUE!</v>
      </c>
      <c r="AI972" s="878" t="e">
        <f t="shared" si="888"/>
        <v>#VALUE!</v>
      </c>
      <c r="AJ972" s="878" t="e">
        <f t="shared" si="889"/>
        <v>#VALUE!</v>
      </c>
      <c r="AK972" s="878" t="e">
        <f t="shared" si="890"/>
        <v>#VALUE!</v>
      </c>
      <c r="AL972" s="966" t="e">
        <f t="shared" si="891"/>
        <v>#VALUE!</v>
      </c>
      <c r="AM972" s="239"/>
      <c r="AO972" s="685">
        <f t="shared" si="916"/>
        <v>-2.6174846719549745</v>
      </c>
      <c r="AP972" s="276">
        <f t="shared" si="917"/>
        <v>1.3824587461335087</v>
      </c>
      <c r="AQ972" s="276">
        <f t="shared" si="918"/>
        <v>2.0000798015421326</v>
      </c>
      <c r="AR972" s="276">
        <f t="shared" si="919"/>
        <v>-1.6127844023030324</v>
      </c>
      <c r="AS972" s="276">
        <f t="shared" si="920"/>
        <v>-1.7947307381924003</v>
      </c>
      <c r="AT972" s="276">
        <f t="shared" si="921"/>
        <v>-3.8908531100161907</v>
      </c>
      <c r="AU972" s="685">
        <f t="shared" si="922"/>
        <v>0.33020982992538173</v>
      </c>
      <c r="AV972" s="276">
        <f t="shared" si="923"/>
        <v>2.2175885280529739</v>
      </c>
      <c r="AW972" s="276">
        <f t="shared" si="924"/>
        <v>1.6768131454300332</v>
      </c>
      <c r="AX972" s="276">
        <f t="shared" si="925"/>
        <v>0.89125797286830344</v>
      </c>
      <c r="AY972" s="276">
        <f t="shared" si="926"/>
        <v>1.546206231846065</v>
      </c>
      <c r="AZ972" s="686">
        <f t="shared" si="927"/>
        <v>0.80680482169557011</v>
      </c>
      <c r="BA972" s="685">
        <f t="shared" si="928"/>
        <v>0</v>
      </c>
      <c r="BB972" s="276">
        <f t="shared" si="929"/>
        <v>0</v>
      </c>
      <c r="BC972" s="276">
        <f t="shared" si="930"/>
        <v>0</v>
      </c>
      <c r="BD972" s="276">
        <f t="shared" si="931"/>
        <v>0</v>
      </c>
      <c r="BE972" s="276">
        <f t="shared" si="932"/>
        <v>0</v>
      </c>
      <c r="BF972" s="686">
        <f t="shared" si="933"/>
        <v>0</v>
      </c>
      <c r="BG972" s="685" t="e">
        <f t="shared" si="934"/>
        <v>#DIV/0!</v>
      </c>
      <c r="BH972" s="276" t="e">
        <f t="shared" si="935"/>
        <v>#DIV/0!</v>
      </c>
      <c r="BI972" s="276" t="e">
        <f t="shared" si="936"/>
        <v>#DIV/0!</v>
      </c>
      <c r="BJ972" s="276" t="e">
        <f t="shared" si="937"/>
        <v>#DIV/0!</v>
      </c>
      <c r="BK972" s="276" t="e">
        <f t="shared" si="938"/>
        <v>#DIV/0!</v>
      </c>
      <c r="BL972" s="686" t="e">
        <f t="shared" si="939"/>
        <v>#DIV/0!</v>
      </c>
      <c r="BM972" s="239"/>
      <c r="BN972" s="965" t="e">
        <f t="shared" si="940"/>
        <v>#VALUE!</v>
      </c>
      <c r="BO972" s="878" t="e">
        <f t="shared" si="941"/>
        <v>#VALUE!</v>
      </c>
      <c r="BP972" s="878" t="e">
        <f t="shared" si="942"/>
        <v>#VALUE!</v>
      </c>
      <c r="BQ972" s="878" t="e">
        <f t="shared" si="943"/>
        <v>#VALUE!</v>
      </c>
      <c r="BR972" s="878" t="e">
        <f t="shared" si="944"/>
        <v>#VALUE!</v>
      </c>
      <c r="BS972" s="966" t="e">
        <f t="shared" si="945"/>
        <v>#VALUE!</v>
      </c>
    </row>
    <row r="973" spans="1:71">
      <c r="A973" s="284">
        <f t="shared" si="946"/>
        <v>905</v>
      </c>
      <c r="B973" s="285">
        <v>2.0125674967030363</v>
      </c>
      <c r="C973" s="285">
        <v>2.6924054453910702</v>
      </c>
      <c r="D973" s="285">
        <v>-0.22022947019251826</v>
      </c>
      <c r="E973" s="285">
        <v>-3.1556739048082276</v>
      </c>
      <c r="H973" s="685">
        <f t="shared" si="892"/>
        <v>0.87933365493398141</v>
      </c>
      <c r="I973" s="276">
        <f t="shared" si="893"/>
        <v>8.5323825057412872E-2</v>
      </c>
      <c r="J973" s="276">
        <f t="shared" si="894"/>
        <v>-0.83443357548484043</v>
      </c>
      <c r="K973" s="276">
        <f t="shared" si="895"/>
        <v>-1.5447161019753408</v>
      </c>
      <c r="L973" s="276">
        <f t="shared" si="896"/>
        <v>0.24710257574328054</v>
      </c>
      <c r="M973" s="276">
        <f t="shared" si="897"/>
        <v>-0.67115786282829248</v>
      </c>
      <c r="N973" s="685">
        <f t="shared" si="898"/>
        <v>1.4852342344192018</v>
      </c>
      <c r="O973" s="276">
        <f t="shared" si="899"/>
        <v>1.1671202210089227</v>
      </c>
      <c r="P973" s="276">
        <f t="shared" si="900"/>
        <v>1.3985381517169329</v>
      </c>
      <c r="Q973" s="276">
        <f t="shared" si="901"/>
        <v>1.4293976717487593</v>
      </c>
      <c r="R973" s="276">
        <f t="shared" si="902"/>
        <v>0.48769968966191901</v>
      </c>
      <c r="S973" s="686">
        <f t="shared" si="903"/>
        <v>0.6089059259656715</v>
      </c>
      <c r="T973" s="685">
        <f t="shared" si="904"/>
        <v>3.0581342200784078</v>
      </c>
      <c r="U973" s="276">
        <f t="shared" si="905"/>
        <v>4.8198763580393011</v>
      </c>
      <c r="V973" s="276">
        <f t="shared" si="906"/>
        <v>4.9368949446439814</v>
      </c>
      <c r="W973" s="276">
        <f t="shared" si="907"/>
        <v>5.8364176669689929</v>
      </c>
      <c r="X973" s="276">
        <f t="shared" si="908"/>
        <v>4.5509722417392657</v>
      </c>
      <c r="Y973" s="686">
        <f t="shared" si="909"/>
        <v>7.1998071576745133</v>
      </c>
      <c r="Z973" s="685" t="e">
        <f t="shared" si="910"/>
        <v>#DIV/0!</v>
      </c>
      <c r="AA973" s="276" t="e">
        <f t="shared" si="911"/>
        <v>#DIV/0!</v>
      </c>
      <c r="AB973" s="276" t="e">
        <f t="shared" si="912"/>
        <v>#DIV/0!</v>
      </c>
      <c r="AC973" s="276" t="e">
        <f t="shared" si="913"/>
        <v>#DIV/0!</v>
      </c>
      <c r="AD973" s="276" t="e">
        <f t="shared" si="914"/>
        <v>#DIV/0!</v>
      </c>
      <c r="AE973" s="686" t="e">
        <f t="shared" si="915"/>
        <v>#DIV/0!</v>
      </c>
      <c r="AF973" s="239"/>
      <c r="AG973" s="965" t="e">
        <f t="shared" si="886"/>
        <v>#VALUE!</v>
      </c>
      <c r="AH973" s="878" t="e">
        <f t="shared" si="887"/>
        <v>#VALUE!</v>
      </c>
      <c r="AI973" s="878" t="e">
        <f t="shared" si="888"/>
        <v>#VALUE!</v>
      </c>
      <c r="AJ973" s="878" t="e">
        <f t="shared" si="889"/>
        <v>#VALUE!</v>
      </c>
      <c r="AK973" s="878" t="e">
        <f t="shared" si="890"/>
        <v>#VALUE!</v>
      </c>
      <c r="AL973" s="966" t="e">
        <f t="shared" si="891"/>
        <v>#VALUE!</v>
      </c>
      <c r="AM973" s="239"/>
      <c r="AO973" s="685">
        <f t="shared" si="916"/>
        <v>0.87933365493398141</v>
      </c>
      <c r="AP973" s="276">
        <f t="shared" si="917"/>
        <v>8.5323825057412872E-2</v>
      </c>
      <c r="AQ973" s="276">
        <f t="shared" si="918"/>
        <v>-0.83443357548484043</v>
      </c>
      <c r="AR973" s="276">
        <f t="shared" si="919"/>
        <v>-1.5447161019753408</v>
      </c>
      <c r="AS973" s="276">
        <f t="shared" si="920"/>
        <v>0.24710257574328054</v>
      </c>
      <c r="AT973" s="276">
        <f t="shared" si="921"/>
        <v>-0.67115786282829248</v>
      </c>
      <c r="AU973" s="685">
        <f t="shared" si="922"/>
        <v>1.4852342344192018</v>
      </c>
      <c r="AV973" s="276">
        <f t="shared" si="923"/>
        <v>1.1671202210089227</v>
      </c>
      <c r="AW973" s="276">
        <f t="shared" si="924"/>
        <v>1.3985381517169329</v>
      </c>
      <c r="AX973" s="276">
        <f t="shared" si="925"/>
        <v>1.4293976717487593</v>
      </c>
      <c r="AY973" s="276">
        <f t="shared" si="926"/>
        <v>0.48769968966191901</v>
      </c>
      <c r="AZ973" s="686">
        <f t="shared" si="927"/>
        <v>0.6089059259656715</v>
      </c>
      <c r="BA973" s="685">
        <f t="shared" si="928"/>
        <v>0</v>
      </c>
      <c r="BB973" s="276">
        <f t="shared" si="929"/>
        <v>0</v>
      </c>
      <c r="BC973" s="276">
        <f t="shared" si="930"/>
        <v>0</v>
      </c>
      <c r="BD973" s="276">
        <f t="shared" si="931"/>
        <v>0</v>
      </c>
      <c r="BE973" s="276">
        <f t="shared" si="932"/>
        <v>0</v>
      </c>
      <c r="BF973" s="686">
        <f t="shared" si="933"/>
        <v>0</v>
      </c>
      <c r="BG973" s="685" t="e">
        <f t="shared" si="934"/>
        <v>#DIV/0!</v>
      </c>
      <c r="BH973" s="276" t="e">
        <f t="shared" si="935"/>
        <v>#DIV/0!</v>
      </c>
      <c r="BI973" s="276" t="e">
        <f t="shared" si="936"/>
        <v>#DIV/0!</v>
      </c>
      <c r="BJ973" s="276" t="e">
        <f t="shared" si="937"/>
        <v>#DIV/0!</v>
      </c>
      <c r="BK973" s="276" t="e">
        <f t="shared" si="938"/>
        <v>#DIV/0!</v>
      </c>
      <c r="BL973" s="686" t="e">
        <f t="shared" si="939"/>
        <v>#DIV/0!</v>
      </c>
      <c r="BM973" s="239"/>
      <c r="BN973" s="965" t="e">
        <f t="shared" si="940"/>
        <v>#VALUE!</v>
      </c>
      <c r="BO973" s="878" t="e">
        <f t="shared" si="941"/>
        <v>#VALUE!</v>
      </c>
      <c r="BP973" s="878" t="e">
        <f t="shared" si="942"/>
        <v>#VALUE!</v>
      </c>
      <c r="BQ973" s="878" t="e">
        <f t="shared" si="943"/>
        <v>#VALUE!</v>
      </c>
      <c r="BR973" s="878" t="e">
        <f t="shared" si="944"/>
        <v>#VALUE!</v>
      </c>
      <c r="BS973" s="966" t="e">
        <f t="shared" si="945"/>
        <v>#VALUE!</v>
      </c>
    </row>
    <row r="974" spans="1:71">
      <c r="A974" s="284">
        <f t="shared" si="946"/>
        <v>906</v>
      </c>
      <c r="B974" s="285">
        <v>4.2923323029733762</v>
      </c>
      <c r="C974" s="285">
        <v>3.1303957184000462</v>
      </c>
      <c r="D974" s="285">
        <v>0.73132015622805324</v>
      </c>
      <c r="E974" s="285">
        <v>15.125885712021187</v>
      </c>
      <c r="H974" s="685">
        <f t="shared" si="892"/>
        <v>3.1590984612043211</v>
      </c>
      <c r="I974" s="276">
        <f t="shared" si="893"/>
        <v>-5.0091231236077896</v>
      </c>
      <c r="J974" s="276">
        <f t="shared" si="894"/>
        <v>-2.9286584306642736</v>
      </c>
      <c r="K974" s="276">
        <f t="shared" si="895"/>
        <v>-1.6763896279428838</v>
      </c>
      <c r="L974" s="276">
        <f t="shared" si="896"/>
        <v>-2.6609614021820978</v>
      </c>
      <c r="M974" s="276">
        <f t="shared" si="897"/>
        <v>-0.83916426528780308</v>
      </c>
      <c r="N974" s="685">
        <f t="shared" si="898"/>
        <v>1.9232245074281777</v>
      </c>
      <c r="O974" s="276">
        <f t="shared" si="899"/>
        <v>0.76548463293002911</v>
      </c>
      <c r="P974" s="276">
        <f t="shared" si="900"/>
        <v>0.7761126680702215</v>
      </c>
      <c r="Q974" s="276">
        <f t="shared" si="901"/>
        <v>0.7452864954320817</v>
      </c>
      <c r="R974" s="276">
        <f t="shared" si="902"/>
        <v>0.70106149823721164</v>
      </c>
      <c r="S974" s="686">
        <f t="shared" si="903"/>
        <v>1.23912885889142</v>
      </c>
      <c r="T974" s="685">
        <f t="shared" si="904"/>
        <v>4.0096838464989792</v>
      </c>
      <c r="U974" s="276">
        <f t="shared" si="905"/>
        <v>3.2837574864456691</v>
      </c>
      <c r="V974" s="276">
        <f t="shared" si="906"/>
        <v>4.9930252281031215</v>
      </c>
      <c r="W974" s="276">
        <f t="shared" si="907"/>
        <v>5.7628022373132124</v>
      </c>
      <c r="X974" s="276">
        <f t="shared" si="908"/>
        <v>6.1512444735814</v>
      </c>
      <c r="Y974" s="686">
        <f t="shared" si="909"/>
        <v>3.3310160829141067</v>
      </c>
      <c r="Z974" s="685" t="e">
        <f t="shared" si="910"/>
        <v>#DIV/0!</v>
      </c>
      <c r="AA974" s="276" t="e">
        <f t="shared" si="911"/>
        <v>#DIV/0!</v>
      </c>
      <c r="AB974" s="276" t="e">
        <f t="shared" si="912"/>
        <v>#DIV/0!</v>
      </c>
      <c r="AC974" s="276" t="e">
        <f t="shared" si="913"/>
        <v>#DIV/0!</v>
      </c>
      <c r="AD974" s="276" t="e">
        <f t="shared" si="914"/>
        <v>#DIV/0!</v>
      </c>
      <c r="AE974" s="686" t="e">
        <f t="shared" si="915"/>
        <v>#DIV/0!</v>
      </c>
      <c r="AF974" s="239"/>
      <c r="AG974" s="965" t="e">
        <f t="shared" si="886"/>
        <v>#VALUE!</v>
      </c>
      <c r="AH974" s="878" t="e">
        <f t="shared" si="887"/>
        <v>#VALUE!</v>
      </c>
      <c r="AI974" s="878" t="e">
        <f t="shared" si="888"/>
        <v>#VALUE!</v>
      </c>
      <c r="AJ974" s="878" t="e">
        <f t="shared" si="889"/>
        <v>#VALUE!</v>
      </c>
      <c r="AK974" s="878" t="e">
        <f t="shared" si="890"/>
        <v>#VALUE!</v>
      </c>
      <c r="AL974" s="966" t="e">
        <f t="shared" si="891"/>
        <v>#VALUE!</v>
      </c>
      <c r="AM974" s="239"/>
      <c r="AO974" s="685">
        <f t="shared" si="916"/>
        <v>3.1590984612043211</v>
      </c>
      <c r="AP974" s="276">
        <f t="shared" si="917"/>
        <v>-5.0091231236077896</v>
      </c>
      <c r="AQ974" s="276">
        <f t="shared" si="918"/>
        <v>-2.9286584306642736</v>
      </c>
      <c r="AR974" s="276">
        <f t="shared" si="919"/>
        <v>-1.6763896279428838</v>
      </c>
      <c r="AS974" s="276">
        <f t="shared" si="920"/>
        <v>-2.6609614021820978</v>
      </c>
      <c r="AT974" s="276">
        <f t="shared" si="921"/>
        <v>-0.83916426528780308</v>
      </c>
      <c r="AU974" s="685">
        <f t="shared" si="922"/>
        <v>1.9232245074281777</v>
      </c>
      <c r="AV974" s="276">
        <f t="shared" si="923"/>
        <v>0.76548463293002911</v>
      </c>
      <c r="AW974" s="276">
        <f t="shared" si="924"/>
        <v>0.7761126680702215</v>
      </c>
      <c r="AX974" s="276">
        <f t="shared" si="925"/>
        <v>0.7452864954320817</v>
      </c>
      <c r="AY974" s="276">
        <f t="shared" si="926"/>
        <v>0.70106149823721164</v>
      </c>
      <c r="AZ974" s="686">
        <f t="shared" si="927"/>
        <v>1.23912885889142</v>
      </c>
      <c r="BA974" s="685">
        <f t="shared" si="928"/>
        <v>0</v>
      </c>
      <c r="BB974" s="276">
        <f t="shared" si="929"/>
        <v>0</v>
      </c>
      <c r="BC974" s="276">
        <f t="shared" si="930"/>
        <v>0</v>
      </c>
      <c r="BD974" s="276">
        <f t="shared" si="931"/>
        <v>0</v>
      </c>
      <c r="BE974" s="276">
        <f t="shared" si="932"/>
        <v>0</v>
      </c>
      <c r="BF974" s="686">
        <f t="shared" si="933"/>
        <v>0</v>
      </c>
      <c r="BG974" s="685" t="e">
        <f t="shared" si="934"/>
        <v>#DIV/0!</v>
      </c>
      <c r="BH974" s="276" t="e">
        <f t="shared" si="935"/>
        <v>#DIV/0!</v>
      </c>
      <c r="BI974" s="276" t="e">
        <f t="shared" si="936"/>
        <v>#DIV/0!</v>
      </c>
      <c r="BJ974" s="276" t="e">
        <f t="shared" si="937"/>
        <v>#DIV/0!</v>
      </c>
      <c r="BK974" s="276" t="e">
        <f t="shared" si="938"/>
        <v>#DIV/0!</v>
      </c>
      <c r="BL974" s="686" t="e">
        <f t="shared" si="939"/>
        <v>#DIV/0!</v>
      </c>
      <c r="BM974" s="239"/>
      <c r="BN974" s="965" t="e">
        <f t="shared" si="940"/>
        <v>#VALUE!</v>
      </c>
      <c r="BO974" s="878" t="e">
        <f t="shared" si="941"/>
        <v>#VALUE!</v>
      </c>
      <c r="BP974" s="878" t="e">
        <f t="shared" si="942"/>
        <v>#VALUE!</v>
      </c>
      <c r="BQ974" s="878" t="e">
        <f t="shared" si="943"/>
        <v>#VALUE!</v>
      </c>
      <c r="BR974" s="878" t="e">
        <f t="shared" si="944"/>
        <v>#VALUE!</v>
      </c>
      <c r="BS974" s="966" t="e">
        <f t="shared" si="945"/>
        <v>#VALUE!</v>
      </c>
    </row>
    <row r="975" spans="1:71">
      <c r="A975" s="284">
        <f t="shared" si="946"/>
        <v>907</v>
      </c>
      <c r="B975" s="285">
        <v>-8.2109688315053456E-2</v>
      </c>
      <c r="C975" s="285">
        <v>2.5122993008375349</v>
      </c>
      <c r="D975" s="285">
        <v>1.0221639486995111</v>
      </c>
      <c r="E975" s="285">
        <v>-3.8445546209231933</v>
      </c>
      <c r="H975" s="685">
        <f t="shared" si="892"/>
        <v>-1.2153435300841082</v>
      </c>
      <c r="I975" s="276">
        <f t="shared" si="893"/>
        <v>-1.2104975140177587</v>
      </c>
      <c r="J975" s="276">
        <f t="shared" si="894"/>
        <v>3.3277008484433424</v>
      </c>
      <c r="K975" s="276">
        <f t="shared" si="895"/>
        <v>-0.51548759428707192</v>
      </c>
      <c r="L975" s="276">
        <f t="shared" si="896"/>
        <v>1.3601925788063618</v>
      </c>
      <c r="M975" s="276">
        <f t="shared" si="897"/>
        <v>-0.26464140571813499</v>
      </c>
      <c r="N975" s="685">
        <f t="shared" si="898"/>
        <v>1.3051280898656665</v>
      </c>
      <c r="O975" s="276">
        <f t="shared" si="899"/>
        <v>1.2622611972560815</v>
      </c>
      <c r="P975" s="276">
        <f t="shared" si="900"/>
        <v>2.5784222913819841</v>
      </c>
      <c r="Q975" s="276">
        <f t="shared" si="901"/>
        <v>1.3890014598714335</v>
      </c>
      <c r="R975" s="276">
        <f t="shared" si="902"/>
        <v>2.2396828259569563</v>
      </c>
      <c r="S975" s="686">
        <f t="shared" si="903"/>
        <v>1.2987467744831871</v>
      </c>
      <c r="T975" s="685">
        <f t="shared" si="904"/>
        <v>4.3005276389704372</v>
      </c>
      <c r="U975" s="276">
        <f t="shared" si="905"/>
        <v>4.2196956718683598</v>
      </c>
      <c r="V975" s="276">
        <f t="shared" si="906"/>
        <v>2.7755431385848484</v>
      </c>
      <c r="W975" s="276">
        <f t="shared" si="907"/>
        <v>4.3558333243535658</v>
      </c>
      <c r="X975" s="276">
        <f t="shared" si="908"/>
        <v>4.4571625969861097</v>
      </c>
      <c r="Y975" s="686">
        <f t="shared" si="909"/>
        <v>5.1660855644968091</v>
      </c>
      <c r="Z975" s="685" t="e">
        <f t="shared" si="910"/>
        <v>#DIV/0!</v>
      </c>
      <c r="AA975" s="276" t="e">
        <f t="shared" si="911"/>
        <v>#DIV/0!</v>
      </c>
      <c r="AB975" s="276" t="e">
        <f t="shared" si="912"/>
        <v>#DIV/0!</v>
      </c>
      <c r="AC975" s="276" t="e">
        <f t="shared" si="913"/>
        <v>#DIV/0!</v>
      </c>
      <c r="AD975" s="276" t="e">
        <f t="shared" si="914"/>
        <v>#DIV/0!</v>
      </c>
      <c r="AE975" s="686" t="e">
        <f t="shared" si="915"/>
        <v>#DIV/0!</v>
      </c>
      <c r="AF975" s="239"/>
      <c r="AG975" s="965" t="e">
        <f t="shared" si="886"/>
        <v>#VALUE!</v>
      </c>
      <c r="AH975" s="878" t="e">
        <f t="shared" si="887"/>
        <v>#VALUE!</v>
      </c>
      <c r="AI975" s="878" t="e">
        <f t="shared" si="888"/>
        <v>#VALUE!</v>
      </c>
      <c r="AJ975" s="878" t="e">
        <f t="shared" si="889"/>
        <v>#VALUE!</v>
      </c>
      <c r="AK975" s="878" t="e">
        <f t="shared" si="890"/>
        <v>#VALUE!</v>
      </c>
      <c r="AL975" s="966" t="e">
        <f t="shared" si="891"/>
        <v>#VALUE!</v>
      </c>
      <c r="AM975" s="239"/>
      <c r="AO975" s="685">
        <f t="shared" si="916"/>
        <v>-1.2153435300841082</v>
      </c>
      <c r="AP975" s="276">
        <f t="shared" si="917"/>
        <v>-1.2104975140177587</v>
      </c>
      <c r="AQ975" s="276">
        <f t="shared" si="918"/>
        <v>3.3277008484433424</v>
      </c>
      <c r="AR975" s="276">
        <f t="shared" si="919"/>
        <v>-0.51548759428707192</v>
      </c>
      <c r="AS975" s="276">
        <f t="shared" si="920"/>
        <v>1.3601925788063618</v>
      </c>
      <c r="AT975" s="276">
        <f t="shared" si="921"/>
        <v>-0.26464140571813499</v>
      </c>
      <c r="AU975" s="685">
        <f t="shared" si="922"/>
        <v>1.3051280898656665</v>
      </c>
      <c r="AV975" s="276">
        <f t="shared" si="923"/>
        <v>1.2622611972560815</v>
      </c>
      <c r="AW975" s="276">
        <f t="shared" si="924"/>
        <v>2.5784222913819841</v>
      </c>
      <c r="AX975" s="276">
        <f t="shared" si="925"/>
        <v>1.3890014598714335</v>
      </c>
      <c r="AY975" s="276">
        <f t="shared" si="926"/>
        <v>2.2396828259569563</v>
      </c>
      <c r="AZ975" s="686">
        <f t="shared" si="927"/>
        <v>1.2987467744831871</v>
      </c>
      <c r="BA975" s="685">
        <f t="shared" si="928"/>
        <v>0</v>
      </c>
      <c r="BB975" s="276">
        <f t="shared" si="929"/>
        <v>0</v>
      </c>
      <c r="BC975" s="276">
        <f t="shared" si="930"/>
        <v>0</v>
      </c>
      <c r="BD975" s="276">
        <f t="shared" si="931"/>
        <v>0</v>
      </c>
      <c r="BE975" s="276">
        <f t="shared" si="932"/>
        <v>0</v>
      </c>
      <c r="BF975" s="686">
        <f t="shared" si="933"/>
        <v>0</v>
      </c>
      <c r="BG975" s="685" t="e">
        <f t="shared" si="934"/>
        <v>#DIV/0!</v>
      </c>
      <c r="BH975" s="276" t="e">
        <f t="shared" si="935"/>
        <v>#DIV/0!</v>
      </c>
      <c r="BI975" s="276" t="e">
        <f t="shared" si="936"/>
        <v>#DIV/0!</v>
      </c>
      <c r="BJ975" s="276" t="e">
        <f t="shared" si="937"/>
        <v>#DIV/0!</v>
      </c>
      <c r="BK975" s="276" t="e">
        <f t="shared" si="938"/>
        <v>#DIV/0!</v>
      </c>
      <c r="BL975" s="686" t="e">
        <f t="shared" si="939"/>
        <v>#DIV/0!</v>
      </c>
      <c r="BM975" s="239"/>
      <c r="BN975" s="965" t="e">
        <f t="shared" si="940"/>
        <v>#VALUE!</v>
      </c>
      <c r="BO975" s="878" t="e">
        <f t="shared" si="941"/>
        <v>#VALUE!</v>
      </c>
      <c r="BP975" s="878" t="e">
        <f t="shared" si="942"/>
        <v>#VALUE!</v>
      </c>
      <c r="BQ975" s="878" t="e">
        <f t="shared" si="943"/>
        <v>#VALUE!</v>
      </c>
      <c r="BR975" s="878" t="e">
        <f t="shared" si="944"/>
        <v>#VALUE!</v>
      </c>
      <c r="BS975" s="966" t="e">
        <f t="shared" si="945"/>
        <v>#VALUE!</v>
      </c>
    </row>
    <row r="976" spans="1:71">
      <c r="A976" s="284">
        <f t="shared" si="946"/>
        <v>908</v>
      </c>
      <c r="B976" s="285">
        <v>-2.8119415304389195</v>
      </c>
      <c r="C976" s="285">
        <v>2.0158976398054724</v>
      </c>
      <c r="D976" s="285">
        <v>0.45144847320569925</v>
      </c>
      <c r="E976" s="285">
        <v>-3.8660681586421668</v>
      </c>
      <c r="H976" s="685">
        <f t="shared" si="892"/>
        <v>-3.9451753722079745</v>
      </c>
      <c r="I976" s="276">
        <f t="shared" si="893"/>
        <v>-4.6432205431771143</v>
      </c>
      <c r="J976" s="276">
        <f t="shared" si="894"/>
        <v>-3.1592353537917965</v>
      </c>
      <c r="K976" s="276">
        <f t="shared" si="895"/>
        <v>-4.484628895964911</v>
      </c>
      <c r="L976" s="276">
        <f t="shared" si="896"/>
        <v>-3.7182507995648377</v>
      </c>
      <c r="M976" s="276">
        <f t="shared" si="897"/>
        <v>1.3828688273667329</v>
      </c>
      <c r="N976" s="685">
        <f t="shared" si="898"/>
        <v>0.80872642883360402</v>
      </c>
      <c r="O976" s="276">
        <f t="shared" si="899"/>
        <v>0.90396866921194285</v>
      </c>
      <c r="P976" s="276">
        <f t="shared" si="900"/>
        <v>1.3262155469745001</v>
      </c>
      <c r="Q976" s="276">
        <f t="shared" si="901"/>
        <v>0.96541207860825806</v>
      </c>
      <c r="R976" s="276">
        <f t="shared" si="902"/>
        <v>0.84714702730445768</v>
      </c>
      <c r="S976" s="686">
        <f t="shared" si="903"/>
        <v>1.4376232056055145</v>
      </c>
      <c r="T976" s="685">
        <f t="shared" si="904"/>
        <v>3.729812163476625</v>
      </c>
      <c r="U976" s="276">
        <f t="shared" si="905"/>
        <v>2.1906737826435951</v>
      </c>
      <c r="V976" s="276">
        <f t="shared" si="906"/>
        <v>5.9772783030412988</v>
      </c>
      <c r="W976" s="276">
        <f t="shared" si="907"/>
        <v>3.5429157075188709</v>
      </c>
      <c r="X976" s="276">
        <f t="shared" si="908"/>
        <v>3.8401665923242412</v>
      </c>
      <c r="Y976" s="686">
        <f t="shared" si="909"/>
        <v>3.9306776706649975</v>
      </c>
      <c r="Z976" s="685" t="e">
        <f t="shared" si="910"/>
        <v>#DIV/0!</v>
      </c>
      <c r="AA976" s="276" t="e">
        <f t="shared" si="911"/>
        <v>#DIV/0!</v>
      </c>
      <c r="AB976" s="276" t="e">
        <f t="shared" si="912"/>
        <v>#DIV/0!</v>
      </c>
      <c r="AC976" s="276" t="e">
        <f t="shared" si="913"/>
        <v>#DIV/0!</v>
      </c>
      <c r="AD976" s="276" t="e">
        <f t="shared" si="914"/>
        <v>#DIV/0!</v>
      </c>
      <c r="AE976" s="686" t="e">
        <f t="shared" si="915"/>
        <v>#DIV/0!</v>
      </c>
      <c r="AF976" s="239"/>
      <c r="AG976" s="965" t="e">
        <f t="shared" si="886"/>
        <v>#VALUE!</v>
      </c>
      <c r="AH976" s="878" t="e">
        <f t="shared" si="887"/>
        <v>#VALUE!</v>
      </c>
      <c r="AI976" s="878" t="e">
        <f t="shared" si="888"/>
        <v>#VALUE!</v>
      </c>
      <c r="AJ976" s="878" t="e">
        <f t="shared" si="889"/>
        <v>#VALUE!</v>
      </c>
      <c r="AK976" s="878" t="e">
        <f t="shared" si="890"/>
        <v>#VALUE!</v>
      </c>
      <c r="AL976" s="966" t="e">
        <f t="shared" si="891"/>
        <v>#VALUE!</v>
      </c>
      <c r="AM976" s="239"/>
      <c r="AO976" s="685">
        <f t="shared" si="916"/>
        <v>-3.9451753722079745</v>
      </c>
      <c r="AP976" s="276">
        <f t="shared" si="917"/>
        <v>-4.6432205431771143</v>
      </c>
      <c r="AQ976" s="276">
        <f t="shared" si="918"/>
        <v>-3.1592353537917965</v>
      </c>
      <c r="AR976" s="276">
        <f t="shared" si="919"/>
        <v>-4.484628895964911</v>
      </c>
      <c r="AS976" s="276">
        <f t="shared" si="920"/>
        <v>-3.7182507995648377</v>
      </c>
      <c r="AT976" s="276">
        <f t="shared" si="921"/>
        <v>1.3828688273667329</v>
      </c>
      <c r="AU976" s="685">
        <f t="shared" si="922"/>
        <v>0.80872642883360402</v>
      </c>
      <c r="AV976" s="276">
        <f t="shared" si="923"/>
        <v>0.90396866921194285</v>
      </c>
      <c r="AW976" s="276">
        <f t="shared" si="924"/>
        <v>1.3262155469745001</v>
      </c>
      <c r="AX976" s="276">
        <f t="shared" si="925"/>
        <v>0.96541207860825806</v>
      </c>
      <c r="AY976" s="276">
        <f t="shared" si="926"/>
        <v>0.84714702730445768</v>
      </c>
      <c r="AZ976" s="686">
        <f t="shared" si="927"/>
        <v>1.4376232056055145</v>
      </c>
      <c r="BA976" s="685">
        <f t="shared" si="928"/>
        <v>0</v>
      </c>
      <c r="BB976" s="276">
        <f t="shared" si="929"/>
        <v>0</v>
      </c>
      <c r="BC976" s="276">
        <f t="shared" si="930"/>
        <v>0</v>
      </c>
      <c r="BD976" s="276">
        <f t="shared" si="931"/>
        <v>0</v>
      </c>
      <c r="BE976" s="276">
        <f t="shared" si="932"/>
        <v>0</v>
      </c>
      <c r="BF976" s="686">
        <f t="shared" si="933"/>
        <v>0</v>
      </c>
      <c r="BG976" s="685" t="e">
        <f t="shared" si="934"/>
        <v>#DIV/0!</v>
      </c>
      <c r="BH976" s="276" t="e">
        <f t="shared" si="935"/>
        <v>#DIV/0!</v>
      </c>
      <c r="BI976" s="276" t="e">
        <f t="shared" si="936"/>
        <v>#DIV/0!</v>
      </c>
      <c r="BJ976" s="276" t="e">
        <f t="shared" si="937"/>
        <v>#DIV/0!</v>
      </c>
      <c r="BK976" s="276" t="e">
        <f t="shared" si="938"/>
        <v>#DIV/0!</v>
      </c>
      <c r="BL976" s="686" t="e">
        <f t="shared" si="939"/>
        <v>#DIV/0!</v>
      </c>
      <c r="BM976" s="239"/>
      <c r="BN976" s="965" t="e">
        <f t="shared" si="940"/>
        <v>#VALUE!</v>
      </c>
      <c r="BO976" s="878" t="e">
        <f t="shared" si="941"/>
        <v>#VALUE!</v>
      </c>
      <c r="BP976" s="878" t="e">
        <f t="shared" si="942"/>
        <v>#VALUE!</v>
      </c>
      <c r="BQ976" s="878" t="e">
        <f t="shared" si="943"/>
        <v>#VALUE!</v>
      </c>
      <c r="BR976" s="878" t="e">
        <f t="shared" si="944"/>
        <v>#VALUE!</v>
      </c>
      <c r="BS976" s="966" t="e">
        <f t="shared" si="945"/>
        <v>#VALUE!</v>
      </c>
    </row>
    <row r="977" spans="1:71">
      <c r="A977" s="284">
        <f t="shared" si="946"/>
        <v>909</v>
      </c>
      <c r="B977" s="285">
        <v>-0.27054027096878458</v>
      </c>
      <c r="C977" s="285">
        <v>2.241098496702091</v>
      </c>
      <c r="D977" s="285">
        <v>1.7862551498326309</v>
      </c>
      <c r="E977" s="285">
        <v>-13.164795496752593</v>
      </c>
      <c r="H977" s="685">
        <f t="shared" si="892"/>
        <v>-1.4037741127378394</v>
      </c>
      <c r="I977" s="276">
        <f t="shared" si="893"/>
        <v>0.53290040395692184</v>
      </c>
      <c r="J977" s="276">
        <f t="shared" si="894"/>
        <v>-1.3386636718567353</v>
      </c>
      <c r="K977" s="276">
        <f t="shared" si="895"/>
        <v>-3.1321811773760344</v>
      </c>
      <c r="L977" s="276">
        <f t="shared" si="896"/>
        <v>-2.9937178043880923</v>
      </c>
      <c r="M977" s="276">
        <f t="shared" si="897"/>
        <v>3.1126294825536984</v>
      </c>
      <c r="N977" s="685">
        <f t="shared" si="898"/>
        <v>1.0339272857302226</v>
      </c>
      <c r="O977" s="276">
        <f t="shared" si="899"/>
        <v>0.69386481273783263</v>
      </c>
      <c r="P977" s="276">
        <f t="shared" si="900"/>
        <v>0.72333882303836616</v>
      </c>
      <c r="Q977" s="276">
        <f t="shared" si="901"/>
        <v>1.1046013415575475</v>
      </c>
      <c r="R977" s="276">
        <f t="shared" si="902"/>
        <v>1.9379863939970885</v>
      </c>
      <c r="S977" s="686">
        <f t="shared" si="903"/>
        <v>0.69698291731418638</v>
      </c>
      <c r="T977" s="685">
        <f t="shared" si="904"/>
        <v>5.0646188401035568</v>
      </c>
      <c r="U977" s="276">
        <f t="shared" si="905"/>
        <v>4.461040506475527</v>
      </c>
      <c r="V977" s="276">
        <f t="shared" si="906"/>
        <v>4.7844199996738022</v>
      </c>
      <c r="W977" s="276">
        <f t="shared" si="907"/>
        <v>4.8081106913062763</v>
      </c>
      <c r="X977" s="276">
        <f t="shared" si="908"/>
        <v>4.0987428642078241</v>
      </c>
      <c r="Y977" s="686">
        <f t="shared" si="909"/>
        <v>4.2235314971576399</v>
      </c>
      <c r="Z977" s="685" t="e">
        <f t="shared" si="910"/>
        <v>#DIV/0!</v>
      </c>
      <c r="AA977" s="276" t="e">
        <f t="shared" si="911"/>
        <v>#DIV/0!</v>
      </c>
      <c r="AB977" s="276" t="e">
        <f t="shared" si="912"/>
        <v>#DIV/0!</v>
      </c>
      <c r="AC977" s="276" t="e">
        <f t="shared" si="913"/>
        <v>#DIV/0!</v>
      </c>
      <c r="AD977" s="276" t="e">
        <f t="shared" si="914"/>
        <v>#DIV/0!</v>
      </c>
      <c r="AE977" s="686" t="e">
        <f t="shared" si="915"/>
        <v>#DIV/0!</v>
      </c>
      <c r="AF977" s="239"/>
      <c r="AG977" s="965" t="e">
        <f t="shared" si="886"/>
        <v>#VALUE!</v>
      </c>
      <c r="AH977" s="878" t="e">
        <f t="shared" si="887"/>
        <v>#VALUE!</v>
      </c>
      <c r="AI977" s="878" t="e">
        <f t="shared" si="888"/>
        <v>#VALUE!</v>
      </c>
      <c r="AJ977" s="878" t="e">
        <f t="shared" si="889"/>
        <v>#VALUE!</v>
      </c>
      <c r="AK977" s="878" t="e">
        <f t="shared" si="890"/>
        <v>#VALUE!</v>
      </c>
      <c r="AL977" s="966" t="e">
        <f t="shared" si="891"/>
        <v>#VALUE!</v>
      </c>
      <c r="AM977" s="239"/>
      <c r="AO977" s="685">
        <f t="shared" si="916"/>
        <v>-1.4037741127378394</v>
      </c>
      <c r="AP977" s="276">
        <f t="shared" si="917"/>
        <v>0.53290040395692184</v>
      </c>
      <c r="AQ977" s="276">
        <f t="shared" si="918"/>
        <v>-1.3386636718567353</v>
      </c>
      <c r="AR977" s="276">
        <f t="shared" si="919"/>
        <v>-3.1321811773760344</v>
      </c>
      <c r="AS977" s="276">
        <f t="shared" si="920"/>
        <v>-2.9937178043880923</v>
      </c>
      <c r="AT977" s="276">
        <f t="shared" si="921"/>
        <v>3.1126294825536984</v>
      </c>
      <c r="AU977" s="685">
        <f t="shared" si="922"/>
        <v>1.0339272857302226</v>
      </c>
      <c r="AV977" s="276">
        <f t="shared" si="923"/>
        <v>0.69386481273783263</v>
      </c>
      <c r="AW977" s="276">
        <f t="shared" si="924"/>
        <v>0.72333882303836616</v>
      </c>
      <c r="AX977" s="276">
        <f t="shared" si="925"/>
        <v>1.1046013415575475</v>
      </c>
      <c r="AY977" s="276">
        <f t="shared" si="926"/>
        <v>1.9379863939970885</v>
      </c>
      <c r="AZ977" s="686">
        <f t="shared" si="927"/>
        <v>0.69698291731418638</v>
      </c>
      <c r="BA977" s="685">
        <f t="shared" si="928"/>
        <v>0</v>
      </c>
      <c r="BB977" s="276">
        <f t="shared" si="929"/>
        <v>0</v>
      </c>
      <c r="BC977" s="276">
        <f t="shared" si="930"/>
        <v>0</v>
      </c>
      <c r="BD977" s="276">
        <f t="shared" si="931"/>
        <v>0</v>
      </c>
      <c r="BE977" s="276">
        <f t="shared" si="932"/>
        <v>0</v>
      </c>
      <c r="BF977" s="686">
        <f t="shared" si="933"/>
        <v>0</v>
      </c>
      <c r="BG977" s="685" t="e">
        <f t="shared" si="934"/>
        <v>#DIV/0!</v>
      </c>
      <c r="BH977" s="276" t="e">
        <f t="shared" si="935"/>
        <v>#DIV/0!</v>
      </c>
      <c r="BI977" s="276" t="e">
        <f t="shared" si="936"/>
        <v>#DIV/0!</v>
      </c>
      <c r="BJ977" s="276" t="e">
        <f t="shared" si="937"/>
        <v>#DIV/0!</v>
      </c>
      <c r="BK977" s="276" t="e">
        <f t="shared" si="938"/>
        <v>#DIV/0!</v>
      </c>
      <c r="BL977" s="686" t="e">
        <f t="shared" si="939"/>
        <v>#DIV/0!</v>
      </c>
      <c r="BM977" s="239"/>
      <c r="BN977" s="965" t="e">
        <f t="shared" si="940"/>
        <v>#VALUE!</v>
      </c>
      <c r="BO977" s="878" t="e">
        <f t="shared" si="941"/>
        <v>#VALUE!</v>
      </c>
      <c r="BP977" s="878" t="e">
        <f t="shared" si="942"/>
        <v>#VALUE!</v>
      </c>
      <c r="BQ977" s="878" t="e">
        <f t="shared" si="943"/>
        <v>#VALUE!</v>
      </c>
      <c r="BR977" s="878" t="e">
        <f t="shared" si="944"/>
        <v>#VALUE!</v>
      </c>
      <c r="BS977" s="966" t="e">
        <f t="shared" si="945"/>
        <v>#VALUE!</v>
      </c>
    </row>
    <row r="978" spans="1:71">
      <c r="A978" s="284">
        <f t="shared" si="946"/>
        <v>910</v>
      </c>
      <c r="B978" s="285">
        <v>-1.5502999789437675</v>
      </c>
      <c r="C978" s="285">
        <v>2.6222729048128426</v>
      </c>
      <c r="D978" s="285">
        <v>0.65094284445918282</v>
      </c>
      <c r="E978" s="285">
        <v>16.450730562611245</v>
      </c>
      <c r="H978" s="685">
        <f t="shared" si="892"/>
        <v>-2.6835338207128223</v>
      </c>
      <c r="I978" s="276">
        <f t="shared" si="893"/>
        <v>-1.5424424314961334</v>
      </c>
      <c r="J978" s="276">
        <f t="shared" si="894"/>
        <v>3.4306349352526135</v>
      </c>
      <c r="K978" s="276">
        <f t="shared" si="895"/>
        <v>1.2593580430392246</v>
      </c>
      <c r="L978" s="276">
        <f t="shared" si="896"/>
        <v>-1.9112372866337104</v>
      </c>
      <c r="M978" s="276">
        <f t="shared" si="897"/>
        <v>-1.4154649931804404</v>
      </c>
      <c r="N978" s="685">
        <f t="shared" si="898"/>
        <v>1.4151016938409742</v>
      </c>
      <c r="O978" s="276">
        <f t="shared" si="899"/>
        <v>1.6456074305035659</v>
      </c>
      <c r="P978" s="276">
        <f t="shared" si="900"/>
        <v>1.1735752471964249</v>
      </c>
      <c r="Q978" s="276">
        <f t="shared" si="901"/>
        <v>1.5954302536657596</v>
      </c>
      <c r="R978" s="276">
        <f t="shared" si="902"/>
        <v>1.6844297445320977</v>
      </c>
      <c r="S978" s="686">
        <f t="shared" si="903"/>
        <v>1.9859267792171049</v>
      </c>
      <c r="T978" s="685">
        <f t="shared" si="904"/>
        <v>3.9293065347301086</v>
      </c>
      <c r="U978" s="276">
        <f t="shared" si="905"/>
        <v>4.1298859494385631</v>
      </c>
      <c r="V978" s="276">
        <f t="shared" si="906"/>
        <v>3.9055235402453938</v>
      </c>
      <c r="W978" s="276">
        <f t="shared" si="907"/>
        <v>4.3651213779521569</v>
      </c>
      <c r="X978" s="276">
        <f t="shared" si="908"/>
        <v>2.4266702928614925</v>
      </c>
      <c r="Y978" s="686">
        <f t="shared" si="909"/>
        <v>3.6575015527925867</v>
      </c>
      <c r="Z978" s="685" t="e">
        <f t="shared" si="910"/>
        <v>#DIV/0!</v>
      </c>
      <c r="AA978" s="276" t="e">
        <f t="shared" si="911"/>
        <v>#DIV/0!</v>
      </c>
      <c r="AB978" s="276" t="e">
        <f t="shared" si="912"/>
        <v>#DIV/0!</v>
      </c>
      <c r="AC978" s="276" t="e">
        <f t="shared" si="913"/>
        <v>#DIV/0!</v>
      </c>
      <c r="AD978" s="276" t="e">
        <f t="shared" si="914"/>
        <v>#DIV/0!</v>
      </c>
      <c r="AE978" s="686" t="e">
        <f t="shared" si="915"/>
        <v>#DIV/0!</v>
      </c>
      <c r="AF978" s="239"/>
      <c r="AG978" s="965" t="e">
        <f t="shared" si="886"/>
        <v>#VALUE!</v>
      </c>
      <c r="AH978" s="878" t="e">
        <f t="shared" si="887"/>
        <v>#VALUE!</v>
      </c>
      <c r="AI978" s="878" t="e">
        <f t="shared" si="888"/>
        <v>#VALUE!</v>
      </c>
      <c r="AJ978" s="878" t="e">
        <f t="shared" si="889"/>
        <v>#VALUE!</v>
      </c>
      <c r="AK978" s="878" t="e">
        <f t="shared" si="890"/>
        <v>#VALUE!</v>
      </c>
      <c r="AL978" s="966" t="e">
        <f t="shared" si="891"/>
        <v>#VALUE!</v>
      </c>
      <c r="AM978" s="239"/>
      <c r="AO978" s="685">
        <f t="shared" si="916"/>
        <v>-2.6835338207128223</v>
      </c>
      <c r="AP978" s="276">
        <f t="shared" si="917"/>
        <v>-1.5424424314961334</v>
      </c>
      <c r="AQ978" s="276">
        <f t="shared" si="918"/>
        <v>3.4306349352526135</v>
      </c>
      <c r="AR978" s="276">
        <f t="shared" si="919"/>
        <v>1.2593580430392246</v>
      </c>
      <c r="AS978" s="276">
        <f t="shared" si="920"/>
        <v>-1.9112372866337104</v>
      </c>
      <c r="AT978" s="276">
        <f t="shared" si="921"/>
        <v>-1.4154649931804404</v>
      </c>
      <c r="AU978" s="685">
        <f t="shared" si="922"/>
        <v>1.4151016938409742</v>
      </c>
      <c r="AV978" s="276">
        <f t="shared" si="923"/>
        <v>1.6456074305035659</v>
      </c>
      <c r="AW978" s="276">
        <f t="shared" si="924"/>
        <v>1.1735752471964249</v>
      </c>
      <c r="AX978" s="276">
        <f t="shared" si="925"/>
        <v>1.5954302536657596</v>
      </c>
      <c r="AY978" s="276">
        <f t="shared" si="926"/>
        <v>1.6844297445320977</v>
      </c>
      <c r="AZ978" s="686">
        <f t="shared" si="927"/>
        <v>1.9859267792171049</v>
      </c>
      <c r="BA978" s="685">
        <f t="shared" si="928"/>
        <v>0</v>
      </c>
      <c r="BB978" s="276">
        <f t="shared" si="929"/>
        <v>0</v>
      </c>
      <c r="BC978" s="276">
        <f t="shared" si="930"/>
        <v>0</v>
      </c>
      <c r="BD978" s="276">
        <f t="shared" si="931"/>
        <v>0</v>
      </c>
      <c r="BE978" s="276">
        <f t="shared" si="932"/>
        <v>0</v>
      </c>
      <c r="BF978" s="686">
        <f t="shared" si="933"/>
        <v>0</v>
      </c>
      <c r="BG978" s="685" t="e">
        <f t="shared" si="934"/>
        <v>#DIV/0!</v>
      </c>
      <c r="BH978" s="276" t="e">
        <f t="shared" si="935"/>
        <v>#DIV/0!</v>
      </c>
      <c r="BI978" s="276" t="e">
        <f t="shared" si="936"/>
        <v>#DIV/0!</v>
      </c>
      <c r="BJ978" s="276" t="e">
        <f t="shared" si="937"/>
        <v>#DIV/0!</v>
      </c>
      <c r="BK978" s="276" t="e">
        <f t="shared" si="938"/>
        <v>#DIV/0!</v>
      </c>
      <c r="BL978" s="686" t="e">
        <f t="shared" si="939"/>
        <v>#DIV/0!</v>
      </c>
      <c r="BM978" s="239"/>
      <c r="BN978" s="965" t="e">
        <f t="shared" si="940"/>
        <v>#VALUE!</v>
      </c>
      <c r="BO978" s="878" t="e">
        <f t="shared" si="941"/>
        <v>#VALUE!</v>
      </c>
      <c r="BP978" s="878" t="e">
        <f t="shared" si="942"/>
        <v>#VALUE!</v>
      </c>
      <c r="BQ978" s="878" t="e">
        <f t="shared" si="943"/>
        <v>#VALUE!</v>
      </c>
      <c r="BR978" s="878" t="e">
        <f t="shared" si="944"/>
        <v>#VALUE!</v>
      </c>
      <c r="BS978" s="966" t="e">
        <f t="shared" si="945"/>
        <v>#VALUE!</v>
      </c>
    </row>
    <row r="979" spans="1:71">
      <c r="A979" s="284">
        <f t="shared" si="946"/>
        <v>911</v>
      </c>
      <c r="B979" s="285">
        <v>-4.3229617294211149</v>
      </c>
      <c r="C979" s="285">
        <v>2.3819904792812197</v>
      </c>
      <c r="D979" s="285">
        <v>3.4121373528598382</v>
      </c>
      <c r="E979" s="285">
        <v>12.272148854052201</v>
      </c>
      <c r="H979" s="685">
        <f t="shared" si="892"/>
        <v>-5.45619557119017</v>
      </c>
      <c r="I979" s="276">
        <f t="shared" si="893"/>
        <v>0.30380270081847316</v>
      </c>
      <c r="J979" s="276">
        <f t="shared" si="894"/>
        <v>-1.9744008367352746</v>
      </c>
      <c r="K979" s="276">
        <f t="shared" si="895"/>
        <v>2.0936066497411758</v>
      </c>
      <c r="L979" s="276">
        <f t="shared" si="896"/>
        <v>-2.8470766776391629</v>
      </c>
      <c r="M979" s="276">
        <f t="shared" si="897"/>
        <v>-3.9614978975258435</v>
      </c>
      <c r="N979" s="685">
        <f t="shared" si="898"/>
        <v>1.1748192683093512</v>
      </c>
      <c r="O979" s="276">
        <f t="shared" si="899"/>
        <v>1.721734224569383</v>
      </c>
      <c r="P979" s="276">
        <f t="shared" si="900"/>
        <v>1.529386130765783</v>
      </c>
      <c r="Q979" s="276">
        <f t="shared" si="901"/>
        <v>0.77538892364525336</v>
      </c>
      <c r="R979" s="276">
        <f t="shared" si="902"/>
        <v>0.82694830452702894</v>
      </c>
      <c r="S979" s="686">
        <f t="shared" si="903"/>
        <v>1.6994204387153478</v>
      </c>
      <c r="T979" s="685">
        <f t="shared" si="904"/>
        <v>6.6905010431307641</v>
      </c>
      <c r="U979" s="276">
        <f t="shared" si="905"/>
        <v>2.7963303025223274</v>
      </c>
      <c r="V979" s="276">
        <f t="shared" si="906"/>
        <v>5.4972303033423398</v>
      </c>
      <c r="W979" s="276">
        <f t="shared" si="907"/>
        <v>5.6189072777072893</v>
      </c>
      <c r="X979" s="276">
        <f t="shared" si="908"/>
        <v>3.4275096968305245</v>
      </c>
      <c r="Y979" s="686">
        <f t="shared" si="909"/>
        <v>3.6089130596716439</v>
      </c>
      <c r="Z979" s="685" t="e">
        <f t="shared" si="910"/>
        <v>#DIV/0!</v>
      </c>
      <c r="AA979" s="276" t="e">
        <f t="shared" si="911"/>
        <v>#DIV/0!</v>
      </c>
      <c r="AB979" s="276" t="e">
        <f t="shared" si="912"/>
        <v>#DIV/0!</v>
      </c>
      <c r="AC979" s="276" t="e">
        <f t="shared" si="913"/>
        <v>#DIV/0!</v>
      </c>
      <c r="AD979" s="276" t="e">
        <f t="shared" si="914"/>
        <v>#DIV/0!</v>
      </c>
      <c r="AE979" s="686" t="e">
        <f t="shared" si="915"/>
        <v>#DIV/0!</v>
      </c>
      <c r="AF979" s="239"/>
      <c r="AG979" s="965" t="e">
        <f t="shared" si="886"/>
        <v>#VALUE!</v>
      </c>
      <c r="AH979" s="878" t="e">
        <f t="shared" si="887"/>
        <v>#VALUE!</v>
      </c>
      <c r="AI979" s="878" t="e">
        <f t="shared" si="888"/>
        <v>#VALUE!</v>
      </c>
      <c r="AJ979" s="878" t="e">
        <f t="shared" si="889"/>
        <v>#VALUE!</v>
      </c>
      <c r="AK979" s="878" t="e">
        <f t="shared" si="890"/>
        <v>#VALUE!</v>
      </c>
      <c r="AL979" s="966" t="e">
        <f t="shared" si="891"/>
        <v>#VALUE!</v>
      </c>
      <c r="AM979" s="239"/>
      <c r="AO979" s="685">
        <f t="shared" si="916"/>
        <v>-5.45619557119017</v>
      </c>
      <c r="AP979" s="276">
        <f t="shared" si="917"/>
        <v>0.30380270081847316</v>
      </c>
      <c r="AQ979" s="276">
        <f t="shared" si="918"/>
        <v>-1.9744008367352746</v>
      </c>
      <c r="AR979" s="276">
        <f t="shared" si="919"/>
        <v>2.0936066497411758</v>
      </c>
      <c r="AS979" s="276">
        <f t="shared" si="920"/>
        <v>-2.8470766776391629</v>
      </c>
      <c r="AT979" s="276">
        <f t="shared" si="921"/>
        <v>-3.9614978975258435</v>
      </c>
      <c r="AU979" s="685">
        <f t="shared" si="922"/>
        <v>1.1748192683093512</v>
      </c>
      <c r="AV979" s="276">
        <f t="shared" si="923"/>
        <v>1.721734224569383</v>
      </c>
      <c r="AW979" s="276">
        <f t="shared" si="924"/>
        <v>1.529386130765783</v>
      </c>
      <c r="AX979" s="276">
        <f t="shared" si="925"/>
        <v>0.77538892364525336</v>
      </c>
      <c r="AY979" s="276">
        <f t="shared" si="926"/>
        <v>0.82694830452702894</v>
      </c>
      <c r="AZ979" s="686">
        <f t="shared" si="927"/>
        <v>1.6994204387153478</v>
      </c>
      <c r="BA979" s="685">
        <f t="shared" si="928"/>
        <v>0</v>
      </c>
      <c r="BB979" s="276">
        <f t="shared" si="929"/>
        <v>0</v>
      </c>
      <c r="BC979" s="276">
        <f t="shared" si="930"/>
        <v>0</v>
      </c>
      <c r="BD979" s="276">
        <f t="shared" si="931"/>
        <v>0</v>
      </c>
      <c r="BE979" s="276">
        <f t="shared" si="932"/>
        <v>0</v>
      </c>
      <c r="BF979" s="686">
        <f t="shared" si="933"/>
        <v>0</v>
      </c>
      <c r="BG979" s="685" t="e">
        <f t="shared" si="934"/>
        <v>#DIV/0!</v>
      </c>
      <c r="BH979" s="276" t="e">
        <f t="shared" si="935"/>
        <v>#DIV/0!</v>
      </c>
      <c r="BI979" s="276" t="e">
        <f t="shared" si="936"/>
        <v>#DIV/0!</v>
      </c>
      <c r="BJ979" s="276" t="e">
        <f t="shared" si="937"/>
        <v>#DIV/0!</v>
      </c>
      <c r="BK979" s="276" t="e">
        <f t="shared" si="938"/>
        <v>#DIV/0!</v>
      </c>
      <c r="BL979" s="686" t="e">
        <f t="shared" si="939"/>
        <v>#DIV/0!</v>
      </c>
      <c r="BM979" s="239"/>
      <c r="BN979" s="965" t="e">
        <f t="shared" si="940"/>
        <v>#VALUE!</v>
      </c>
      <c r="BO979" s="878" t="e">
        <f t="shared" si="941"/>
        <v>#VALUE!</v>
      </c>
      <c r="BP979" s="878" t="e">
        <f t="shared" si="942"/>
        <v>#VALUE!</v>
      </c>
      <c r="BQ979" s="878" t="e">
        <f t="shared" si="943"/>
        <v>#VALUE!</v>
      </c>
      <c r="BR979" s="878" t="e">
        <f t="shared" si="944"/>
        <v>#VALUE!</v>
      </c>
      <c r="BS979" s="966" t="e">
        <f t="shared" si="945"/>
        <v>#VALUE!</v>
      </c>
    </row>
    <row r="980" spans="1:71">
      <c r="A980" s="284">
        <f t="shared" si="946"/>
        <v>912</v>
      </c>
      <c r="B980" s="285">
        <v>3.6266223247587415</v>
      </c>
      <c r="C980" s="285">
        <v>3.0281931109590916</v>
      </c>
      <c r="D980" s="285">
        <v>2.9066670618010058</v>
      </c>
      <c r="E980" s="285">
        <v>-3.7294064883772808</v>
      </c>
      <c r="H980" s="685">
        <f t="shared" si="892"/>
        <v>2.4933884829896868</v>
      </c>
      <c r="I980" s="276">
        <f t="shared" si="893"/>
        <v>-1.3837300432944633</v>
      </c>
      <c r="J980" s="276">
        <f t="shared" si="894"/>
        <v>-3.2759184768225369E-2</v>
      </c>
      <c r="K980" s="276">
        <f t="shared" si="895"/>
        <v>-2.5020800324670152</v>
      </c>
      <c r="L980" s="276">
        <f t="shared" si="896"/>
        <v>-1.2463180906822757</v>
      </c>
      <c r="M980" s="276">
        <f t="shared" si="897"/>
        <v>-2.122057759269774</v>
      </c>
      <c r="N980" s="685">
        <f t="shared" si="898"/>
        <v>1.8210218999872232</v>
      </c>
      <c r="O980" s="276">
        <f t="shared" si="899"/>
        <v>1.6628047954195651</v>
      </c>
      <c r="P980" s="276">
        <f t="shared" si="900"/>
        <v>1.8377899413536702</v>
      </c>
      <c r="Q980" s="276">
        <f t="shared" si="901"/>
        <v>1.0766562761412624</v>
      </c>
      <c r="R980" s="276">
        <f t="shared" si="902"/>
        <v>1.3556554506585228</v>
      </c>
      <c r="S980" s="686">
        <f t="shared" si="903"/>
        <v>1.0334069026333064</v>
      </c>
      <c r="T980" s="685">
        <f t="shared" si="904"/>
        <v>6.1850307520719312</v>
      </c>
      <c r="U980" s="276">
        <f t="shared" si="905"/>
        <v>5.6970984815317482</v>
      </c>
      <c r="V980" s="276">
        <f t="shared" si="906"/>
        <v>5.845532845326308</v>
      </c>
      <c r="W980" s="276">
        <f t="shared" si="907"/>
        <v>5.7163781322591101</v>
      </c>
      <c r="X980" s="276">
        <f t="shared" si="908"/>
        <v>6.5993543339862395</v>
      </c>
      <c r="Y980" s="686">
        <f t="shared" si="909"/>
        <v>2.564830837489938</v>
      </c>
      <c r="Z980" s="685" t="e">
        <f t="shared" si="910"/>
        <v>#DIV/0!</v>
      </c>
      <c r="AA980" s="276" t="e">
        <f t="shared" si="911"/>
        <v>#DIV/0!</v>
      </c>
      <c r="AB980" s="276" t="e">
        <f t="shared" si="912"/>
        <v>#DIV/0!</v>
      </c>
      <c r="AC980" s="276" t="e">
        <f t="shared" si="913"/>
        <v>#DIV/0!</v>
      </c>
      <c r="AD980" s="276" t="e">
        <f t="shared" si="914"/>
        <v>#DIV/0!</v>
      </c>
      <c r="AE980" s="686" t="e">
        <f t="shared" si="915"/>
        <v>#DIV/0!</v>
      </c>
      <c r="AF980" s="239"/>
      <c r="AG980" s="965" t="e">
        <f t="shared" si="886"/>
        <v>#VALUE!</v>
      </c>
      <c r="AH980" s="878" t="e">
        <f t="shared" si="887"/>
        <v>#VALUE!</v>
      </c>
      <c r="AI980" s="878" t="e">
        <f t="shared" si="888"/>
        <v>#VALUE!</v>
      </c>
      <c r="AJ980" s="878" t="e">
        <f t="shared" si="889"/>
        <v>#VALUE!</v>
      </c>
      <c r="AK980" s="878" t="e">
        <f t="shared" si="890"/>
        <v>#VALUE!</v>
      </c>
      <c r="AL980" s="966" t="e">
        <f t="shared" si="891"/>
        <v>#VALUE!</v>
      </c>
      <c r="AM980" s="239"/>
      <c r="AO980" s="685">
        <f t="shared" si="916"/>
        <v>2.4933884829896868</v>
      </c>
      <c r="AP980" s="276">
        <f t="shared" si="917"/>
        <v>-1.3837300432944633</v>
      </c>
      <c r="AQ980" s="276">
        <f t="shared" si="918"/>
        <v>-3.2759184768225369E-2</v>
      </c>
      <c r="AR980" s="276">
        <f t="shared" si="919"/>
        <v>-2.5020800324670152</v>
      </c>
      <c r="AS980" s="276">
        <f t="shared" si="920"/>
        <v>-1.2463180906822757</v>
      </c>
      <c r="AT980" s="276">
        <f t="shared" si="921"/>
        <v>-2.122057759269774</v>
      </c>
      <c r="AU980" s="685">
        <f t="shared" si="922"/>
        <v>1.8210218999872232</v>
      </c>
      <c r="AV980" s="276">
        <f t="shared" si="923"/>
        <v>1.6628047954195651</v>
      </c>
      <c r="AW980" s="276">
        <f t="shared" si="924"/>
        <v>1.8377899413536702</v>
      </c>
      <c r="AX980" s="276">
        <f t="shared" si="925"/>
        <v>1.0766562761412624</v>
      </c>
      <c r="AY980" s="276">
        <f t="shared" si="926"/>
        <v>1.3556554506585228</v>
      </c>
      <c r="AZ980" s="686">
        <f t="shared" si="927"/>
        <v>1.0334069026333064</v>
      </c>
      <c r="BA980" s="685">
        <f t="shared" si="928"/>
        <v>0</v>
      </c>
      <c r="BB980" s="276">
        <f t="shared" si="929"/>
        <v>0</v>
      </c>
      <c r="BC980" s="276">
        <f t="shared" si="930"/>
        <v>0</v>
      </c>
      <c r="BD980" s="276">
        <f t="shared" si="931"/>
        <v>0</v>
      </c>
      <c r="BE980" s="276">
        <f t="shared" si="932"/>
        <v>0</v>
      </c>
      <c r="BF980" s="686">
        <f t="shared" si="933"/>
        <v>0</v>
      </c>
      <c r="BG980" s="685" t="e">
        <f t="shared" si="934"/>
        <v>#DIV/0!</v>
      </c>
      <c r="BH980" s="276" t="e">
        <f t="shared" si="935"/>
        <v>#DIV/0!</v>
      </c>
      <c r="BI980" s="276" t="e">
        <f t="shared" si="936"/>
        <v>#DIV/0!</v>
      </c>
      <c r="BJ980" s="276" t="e">
        <f t="shared" si="937"/>
        <v>#DIV/0!</v>
      </c>
      <c r="BK980" s="276" t="e">
        <f t="shared" si="938"/>
        <v>#DIV/0!</v>
      </c>
      <c r="BL980" s="686" t="e">
        <f t="shared" si="939"/>
        <v>#DIV/0!</v>
      </c>
      <c r="BM980" s="239"/>
      <c r="BN980" s="965" t="e">
        <f t="shared" si="940"/>
        <v>#VALUE!</v>
      </c>
      <c r="BO980" s="878" t="e">
        <f t="shared" si="941"/>
        <v>#VALUE!</v>
      </c>
      <c r="BP980" s="878" t="e">
        <f t="shared" si="942"/>
        <v>#VALUE!</v>
      </c>
      <c r="BQ980" s="878" t="e">
        <f t="shared" si="943"/>
        <v>#VALUE!</v>
      </c>
      <c r="BR980" s="878" t="e">
        <f t="shared" si="944"/>
        <v>#VALUE!</v>
      </c>
      <c r="BS980" s="966" t="e">
        <f t="shared" si="945"/>
        <v>#VALUE!</v>
      </c>
    </row>
    <row r="981" spans="1:71">
      <c r="A981" s="284">
        <f t="shared" si="946"/>
        <v>913</v>
      </c>
      <c r="B981" s="285">
        <v>4.1711814833216874</v>
      </c>
      <c r="C981" s="285">
        <v>2.6807526786820048</v>
      </c>
      <c r="D981" s="285">
        <v>1.2144419993264139</v>
      </c>
      <c r="E981" s="285">
        <v>-6.7213295984810291</v>
      </c>
      <c r="H981" s="685">
        <f t="shared" si="892"/>
        <v>3.0379476415526323</v>
      </c>
      <c r="I981" s="276">
        <f t="shared" si="893"/>
        <v>-4.2283513119659295</v>
      </c>
      <c r="J981" s="276">
        <f t="shared" si="894"/>
        <v>-3.9721383928325684</v>
      </c>
      <c r="K981" s="276">
        <f t="shared" si="895"/>
        <v>-0.77864844346540218</v>
      </c>
      <c r="L981" s="276">
        <f t="shared" si="896"/>
        <v>-0.40462065278262416</v>
      </c>
      <c r="M981" s="276">
        <f t="shared" si="897"/>
        <v>-2.6432970939014369</v>
      </c>
      <c r="N981" s="685">
        <f t="shared" si="898"/>
        <v>1.4735814677101364</v>
      </c>
      <c r="O981" s="276">
        <f t="shared" si="899"/>
        <v>1.5139760512704081</v>
      </c>
      <c r="P981" s="276">
        <f t="shared" si="900"/>
        <v>1.1377039311229036</v>
      </c>
      <c r="Q981" s="276">
        <f t="shared" si="901"/>
        <v>0.94780364860487176</v>
      </c>
      <c r="R981" s="276">
        <f t="shared" si="902"/>
        <v>1.5904290545961868</v>
      </c>
      <c r="S981" s="686">
        <f t="shared" si="903"/>
        <v>1.1089693402744583</v>
      </c>
      <c r="T981" s="685">
        <f t="shared" si="904"/>
        <v>4.4928056895973398</v>
      </c>
      <c r="U981" s="276">
        <f t="shared" si="905"/>
        <v>4.0935091597725064</v>
      </c>
      <c r="V981" s="276">
        <f t="shared" si="906"/>
        <v>3.8588911271647088</v>
      </c>
      <c r="W981" s="276">
        <f t="shared" si="907"/>
        <v>5.5750383227049101</v>
      </c>
      <c r="X981" s="276">
        <f t="shared" si="908"/>
        <v>4.5458825519957005</v>
      </c>
      <c r="Y981" s="686">
        <f t="shared" si="909"/>
        <v>6.4793688995179597</v>
      </c>
      <c r="Z981" s="685" t="e">
        <f t="shared" si="910"/>
        <v>#DIV/0!</v>
      </c>
      <c r="AA981" s="276" t="e">
        <f t="shared" si="911"/>
        <v>#DIV/0!</v>
      </c>
      <c r="AB981" s="276" t="e">
        <f t="shared" si="912"/>
        <v>#DIV/0!</v>
      </c>
      <c r="AC981" s="276" t="e">
        <f t="shared" si="913"/>
        <v>#DIV/0!</v>
      </c>
      <c r="AD981" s="276" t="e">
        <f t="shared" si="914"/>
        <v>#DIV/0!</v>
      </c>
      <c r="AE981" s="686" t="e">
        <f t="shared" si="915"/>
        <v>#DIV/0!</v>
      </c>
      <c r="AF981" s="239"/>
      <c r="AG981" s="965" t="e">
        <f t="shared" si="886"/>
        <v>#VALUE!</v>
      </c>
      <c r="AH981" s="878" t="e">
        <f t="shared" si="887"/>
        <v>#VALUE!</v>
      </c>
      <c r="AI981" s="878" t="e">
        <f t="shared" si="888"/>
        <v>#VALUE!</v>
      </c>
      <c r="AJ981" s="878" t="e">
        <f t="shared" si="889"/>
        <v>#VALUE!</v>
      </c>
      <c r="AK981" s="878" t="e">
        <f t="shared" si="890"/>
        <v>#VALUE!</v>
      </c>
      <c r="AL981" s="966" t="e">
        <f t="shared" si="891"/>
        <v>#VALUE!</v>
      </c>
      <c r="AM981" s="239"/>
      <c r="AO981" s="685">
        <f t="shared" si="916"/>
        <v>3.0379476415526323</v>
      </c>
      <c r="AP981" s="276">
        <f t="shared" si="917"/>
        <v>-4.2283513119659295</v>
      </c>
      <c r="AQ981" s="276">
        <f t="shared" si="918"/>
        <v>-3.9721383928325684</v>
      </c>
      <c r="AR981" s="276">
        <f t="shared" si="919"/>
        <v>-0.77864844346540218</v>
      </c>
      <c r="AS981" s="276">
        <f t="shared" si="920"/>
        <v>-0.40462065278262416</v>
      </c>
      <c r="AT981" s="276">
        <f t="shared" si="921"/>
        <v>-2.6432970939014369</v>
      </c>
      <c r="AU981" s="685">
        <f t="shared" si="922"/>
        <v>1.4735814677101364</v>
      </c>
      <c r="AV981" s="276">
        <f t="shared" si="923"/>
        <v>1.5139760512704081</v>
      </c>
      <c r="AW981" s="276">
        <f t="shared" si="924"/>
        <v>1.1377039311229036</v>
      </c>
      <c r="AX981" s="276">
        <f t="shared" si="925"/>
        <v>0.94780364860487176</v>
      </c>
      <c r="AY981" s="276">
        <f t="shared" si="926"/>
        <v>1.5904290545961868</v>
      </c>
      <c r="AZ981" s="686">
        <f t="shared" si="927"/>
        <v>1.1089693402744583</v>
      </c>
      <c r="BA981" s="685">
        <f t="shared" si="928"/>
        <v>0</v>
      </c>
      <c r="BB981" s="276">
        <f t="shared" si="929"/>
        <v>0</v>
      </c>
      <c r="BC981" s="276">
        <f t="shared" si="930"/>
        <v>0</v>
      </c>
      <c r="BD981" s="276">
        <f t="shared" si="931"/>
        <v>0</v>
      </c>
      <c r="BE981" s="276">
        <f t="shared" si="932"/>
        <v>0</v>
      </c>
      <c r="BF981" s="686">
        <f t="shared" si="933"/>
        <v>0</v>
      </c>
      <c r="BG981" s="685" t="e">
        <f t="shared" si="934"/>
        <v>#DIV/0!</v>
      </c>
      <c r="BH981" s="276" t="e">
        <f t="shared" si="935"/>
        <v>#DIV/0!</v>
      </c>
      <c r="BI981" s="276" t="e">
        <f t="shared" si="936"/>
        <v>#DIV/0!</v>
      </c>
      <c r="BJ981" s="276" t="e">
        <f t="shared" si="937"/>
        <v>#DIV/0!</v>
      </c>
      <c r="BK981" s="276" t="e">
        <f t="shared" si="938"/>
        <v>#DIV/0!</v>
      </c>
      <c r="BL981" s="686" t="e">
        <f t="shared" si="939"/>
        <v>#DIV/0!</v>
      </c>
      <c r="BM981" s="239"/>
      <c r="BN981" s="965" t="e">
        <f t="shared" si="940"/>
        <v>#VALUE!</v>
      </c>
      <c r="BO981" s="878" t="e">
        <f t="shared" si="941"/>
        <v>#VALUE!</v>
      </c>
      <c r="BP981" s="878" t="e">
        <f t="shared" si="942"/>
        <v>#VALUE!</v>
      </c>
      <c r="BQ981" s="878" t="e">
        <f t="shared" si="943"/>
        <v>#VALUE!</v>
      </c>
      <c r="BR981" s="878" t="e">
        <f t="shared" si="944"/>
        <v>#VALUE!</v>
      </c>
      <c r="BS981" s="966" t="e">
        <f t="shared" si="945"/>
        <v>#VALUE!</v>
      </c>
    </row>
    <row r="982" spans="1:71">
      <c r="A982" s="284">
        <f t="shared" si="946"/>
        <v>914</v>
      </c>
      <c r="B982" s="285">
        <v>1.7824125359028717</v>
      </c>
      <c r="C982" s="285">
        <v>2.3933200090365152</v>
      </c>
      <c r="D982" s="285">
        <v>2.2003975844713812</v>
      </c>
      <c r="E982" s="285">
        <v>-7.6172019045180974</v>
      </c>
      <c r="H982" s="685">
        <f t="shared" si="892"/>
        <v>0.6491786941338169</v>
      </c>
      <c r="I982" s="276">
        <f t="shared" si="893"/>
        <v>-0.89068367668033466</v>
      </c>
      <c r="J982" s="276">
        <f t="shared" si="894"/>
        <v>-2.9732625410123417</v>
      </c>
      <c r="K982" s="276">
        <f t="shared" si="895"/>
        <v>7.161060574303546E-3</v>
      </c>
      <c r="L982" s="276">
        <f t="shared" si="896"/>
        <v>-1.0289872100268318</v>
      </c>
      <c r="M982" s="276">
        <f t="shared" si="897"/>
        <v>-1.3246186437373213</v>
      </c>
      <c r="N982" s="685">
        <f t="shared" si="898"/>
        <v>1.1861487980646468</v>
      </c>
      <c r="O982" s="276">
        <f t="shared" si="899"/>
        <v>1.0995745237163221</v>
      </c>
      <c r="P982" s="276">
        <f t="shared" si="900"/>
        <v>1.5837456778788501</v>
      </c>
      <c r="Q982" s="276">
        <f t="shared" si="901"/>
        <v>0.69794708731693222</v>
      </c>
      <c r="R982" s="276">
        <f t="shared" si="902"/>
        <v>1.2621613626056056</v>
      </c>
      <c r="S982" s="686">
        <f t="shared" si="903"/>
        <v>1.6377162533988077</v>
      </c>
      <c r="T982" s="685">
        <f t="shared" si="904"/>
        <v>5.4787612747423076</v>
      </c>
      <c r="U982" s="276">
        <f t="shared" si="905"/>
        <v>4.4274035820338522</v>
      </c>
      <c r="V982" s="276">
        <f t="shared" si="906"/>
        <v>2.4736107548362711</v>
      </c>
      <c r="W982" s="276">
        <f t="shared" si="907"/>
        <v>5.2317650120041055</v>
      </c>
      <c r="X982" s="276">
        <f t="shared" si="908"/>
        <v>3.4446784193900006</v>
      </c>
      <c r="Y982" s="686">
        <f t="shared" si="909"/>
        <v>2.4388072011784594</v>
      </c>
      <c r="Z982" s="685" t="e">
        <f t="shared" si="910"/>
        <v>#DIV/0!</v>
      </c>
      <c r="AA982" s="276" t="e">
        <f t="shared" si="911"/>
        <v>#DIV/0!</v>
      </c>
      <c r="AB982" s="276" t="e">
        <f t="shared" si="912"/>
        <v>#DIV/0!</v>
      </c>
      <c r="AC982" s="276" t="e">
        <f t="shared" si="913"/>
        <v>#DIV/0!</v>
      </c>
      <c r="AD982" s="276" t="e">
        <f t="shared" si="914"/>
        <v>#DIV/0!</v>
      </c>
      <c r="AE982" s="686" t="e">
        <f t="shared" si="915"/>
        <v>#DIV/0!</v>
      </c>
      <c r="AF982" s="239"/>
      <c r="AG982" s="965" t="e">
        <f t="shared" si="886"/>
        <v>#VALUE!</v>
      </c>
      <c r="AH982" s="878" t="e">
        <f t="shared" si="887"/>
        <v>#VALUE!</v>
      </c>
      <c r="AI982" s="878" t="e">
        <f t="shared" si="888"/>
        <v>#VALUE!</v>
      </c>
      <c r="AJ982" s="878" t="e">
        <f t="shared" si="889"/>
        <v>#VALUE!</v>
      </c>
      <c r="AK982" s="878" t="e">
        <f t="shared" si="890"/>
        <v>#VALUE!</v>
      </c>
      <c r="AL982" s="966" t="e">
        <f t="shared" si="891"/>
        <v>#VALUE!</v>
      </c>
      <c r="AM982" s="239"/>
      <c r="AO982" s="685">
        <f t="shared" si="916"/>
        <v>0.6491786941338169</v>
      </c>
      <c r="AP982" s="276">
        <f t="shared" si="917"/>
        <v>-0.89068367668033466</v>
      </c>
      <c r="AQ982" s="276">
        <f t="shared" si="918"/>
        <v>-2.9732625410123417</v>
      </c>
      <c r="AR982" s="276">
        <f t="shared" si="919"/>
        <v>7.161060574303546E-3</v>
      </c>
      <c r="AS982" s="276">
        <f t="shared" si="920"/>
        <v>-1.0289872100268318</v>
      </c>
      <c r="AT982" s="276">
        <f t="shared" si="921"/>
        <v>-1.3246186437373213</v>
      </c>
      <c r="AU982" s="685">
        <f t="shared" si="922"/>
        <v>1.1861487980646468</v>
      </c>
      <c r="AV982" s="276">
        <f t="shared" si="923"/>
        <v>1.0995745237163221</v>
      </c>
      <c r="AW982" s="276">
        <f t="shared" si="924"/>
        <v>1.5837456778788501</v>
      </c>
      <c r="AX982" s="276">
        <f t="shared" si="925"/>
        <v>0.69794708731693222</v>
      </c>
      <c r="AY982" s="276">
        <f t="shared" si="926"/>
        <v>1.2621613626056056</v>
      </c>
      <c r="AZ982" s="686">
        <f t="shared" si="927"/>
        <v>1.6377162533988077</v>
      </c>
      <c r="BA982" s="685">
        <f t="shared" si="928"/>
        <v>0</v>
      </c>
      <c r="BB982" s="276">
        <f t="shared" si="929"/>
        <v>0</v>
      </c>
      <c r="BC982" s="276">
        <f t="shared" si="930"/>
        <v>0</v>
      </c>
      <c r="BD982" s="276">
        <f t="shared" si="931"/>
        <v>0</v>
      </c>
      <c r="BE982" s="276">
        <f t="shared" si="932"/>
        <v>0</v>
      </c>
      <c r="BF982" s="686">
        <f t="shared" si="933"/>
        <v>0</v>
      </c>
      <c r="BG982" s="685" t="e">
        <f t="shared" si="934"/>
        <v>#DIV/0!</v>
      </c>
      <c r="BH982" s="276" t="e">
        <f t="shared" si="935"/>
        <v>#DIV/0!</v>
      </c>
      <c r="BI982" s="276" t="e">
        <f t="shared" si="936"/>
        <v>#DIV/0!</v>
      </c>
      <c r="BJ982" s="276" t="e">
        <f t="shared" si="937"/>
        <v>#DIV/0!</v>
      </c>
      <c r="BK982" s="276" t="e">
        <f t="shared" si="938"/>
        <v>#DIV/0!</v>
      </c>
      <c r="BL982" s="686" t="e">
        <f t="shared" si="939"/>
        <v>#DIV/0!</v>
      </c>
      <c r="BM982" s="239"/>
      <c r="BN982" s="965" t="e">
        <f t="shared" si="940"/>
        <v>#VALUE!</v>
      </c>
      <c r="BO982" s="878" t="e">
        <f t="shared" si="941"/>
        <v>#VALUE!</v>
      </c>
      <c r="BP982" s="878" t="e">
        <f t="shared" si="942"/>
        <v>#VALUE!</v>
      </c>
      <c r="BQ982" s="878" t="e">
        <f t="shared" si="943"/>
        <v>#VALUE!</v>
      </c>
      <c r="BR982" s="878" t="e">
        <f t="shared" si="944"/>
        <v>#VALUE!</v>
      </c>
      <c r="BS982" s="966" t="e">
        <f t="shared" si="945"/>
        <v>#VALUE!</v>
      </c>
    </row>
    <row r="983" spans="1:71">
      <c r="A983" s="284">
        <f t="shared" si="946"/>
        <v>915</v>
      </c>
      <c r="B983" s="285">
        <v>1.3717461790714249</v>
      </c>
      <c r="C983" s="285">
        <v>3.0066499651336067</v>
      </c>
      <c r="D983" s="285">
        <v>2.3910869359818312</v>
      </c>
      <c r="E983" s="285">
        <v>10.475873655716933</v>
      </c>
      <c r="H983" s="685">
        <f t="shared" si="892"/>
        <v>0.23851233730237009</v>
      </c>
      <c r="I983" s="276">
        <f t="shared" si="893"/>
        <v>-1.6576762874852859</v>
      </c>
      <c r="J983" s="276">
        <f t="shared" si="894"/>
        <v>-4.7399909040501891</v>
      </c>
      <c r="K983" s="276">
        <f t="shared" si="895"/>
        <v>-2.5355417169639294</v>
      </c>
      <c r="L983" s="276">
        <f t="shared" si="896"/>
        <v>-0.52918345802907329</v>
      </c>
      <c r="M983" s="276">
        <f t="shared" si="897"/>
        <v>1.8415920845830325E-2</v>
      </c>
      <c r="N983" s="685">
        <f t="shared" si="898"/>
        <v>1.7994787541617383</v>
      </c>
      <c r="O983" s="276">
        <f t="shared" si="899"/>
        <v>0.7979348620815172</v>
      </c>
      <c r="P983" s="276">
        <f t="shared" si="900"/>
        <v>1.0246551153550418</v>
      </c>
      <c r="Q983" s="276">
        <f t="shared" si="901"/>
        <v>1.1004703690634792</v>
      </c>
      <c r="R983" s="276">
        <f t="shared" si="902"/>
        <v>1.1478552753250442</v>
      </c>
      <c r="S983" s="686">
        <f t="shared" si="903"/>
        <v>1.7505855757602899</v>
      </c>
      <c r="T983" s="685">
        <f t="shared" si="904"/>
        <v>5.6694506262527575</v>
      </c>
      <c r="U983" s="276">
        <f t="shared" si="905"/>
        <v>4.8919967704757923</v>
      </c>
      <c r="V983" s="276">
        <f t="shared" si="906"/>
        <v>2.5912633258461293</v>
      </c>
      <c r="W983" s="276">
        <f t="shared" si="907"/>
        <v>4.8195815896565826</v>
      </c>
      <c r="X983" s="276">
        <f t="shared" si="908"/>
        <v>2.5120685644752228</v>
      </c>
      <c r="Y983" s="686">
        <f t="shared" si="909"/>
        <v>5.3611211852807035</v>
      </c>
      <c r="Z983" s="685" t="e">
        <f t="shared" si="910"/>
        <v>#DIV/0!</v>
      </c>
      <c r="AA983" s="276" t="e">
        <f t="shared" si="911"/>
        <v>#DIV/0!</v>
      </c>
      <c r="AB983" s="276" t="e">
        <f t="shared" si="912"/>
        <v>#DIV/0!</v>
      </c>
      <c r="AC983" s="276" t="e">
        <f t="shared" si="913"/>
        <v>#DIV/0!</v>
      </c>
      <c r="AD983" s="276" t="e">
        <f t="shared" si="914"/>
        <v>#DIV/0!</v>
      </c>
      <c r="AE983" s="686" t="e">
        <f t="shared" si="915"/>
        <v>#DIV/0!</v>
      </c>
      <c r="AF983" s="239"/>
      <c r="AG983" s="965" t="e">
        <f t="shared" si="886"/>
        <v>#VALUE!</v>
      </c>
      <c r="AH983" s="878" t="e">
        <f t="shared" si="887"/>
        <v>#VALUE!</v>
      </c>
      <c r="AI983" s="878" t="e">
        <f t="shared" si="888"/>
        <v>#VALUE!</v>
      </c>
      <c r="AJ983" s="878" t="e">
        <f t="shared" si="889"/>
        <v>#VALUE!</v>
      </c>
      <c r="AK983" s="878" t="e">
        <f t="shared" si="890"/>
        <v>#VALUE!</v>
      </c>
      <c r="AL983" s="966" t="e">
        <f t="shared" si="891"/>
        <v>#VALUE!</v>
      </c>
      <c r="AM983" s="239"/>
      <c r="AO983" s="685">
        <f t="shared" si="916"/>
        <v>0.23851233730237009</v>
      </c>
      <c r="AP983" s="276">
        <f t="shared" si="917"/>
        <v>-1.6576762874852859</v>
      </c>
      <c r="AQ983" s="276">
        <f t="shared" si="918"/>
        <v>-4.7399909040501891</v>
      </c>
      <c r="AR983" s="276">
        <f t="shared" si="919"/>
        <v>-2.5355417169639294</v>
      </c>
      <c r="AS983" s="276">
        <f t="shared" si="920"/>
        <v>-0.52918345802907329</v>
      </c>
      <c r="AT983" s="276">
        <f t="shared" si="921"/>
        <v>1.8415920845830325E-2</v>
      </c>
      <c r="AU983" s="685">
        <f t="shared" si="922"/>
        <v>1.7994787541617383</v>
      </c>
      <c r="AV983" s="276">
        <f t="shared" si="923"/>
        <v>0.7979348620815172</v>
      </c>
      <c r="AW983" s="276">
        <f t="shared" si="924"/>
        <v>1.0246551153550418</v>
      </c>
      <c r="AX983" s="276">
        <f t="shared" si="925"/>
        <v>1.1004703690634792</v>
      </c>
      <c r="AY983" s="276">
        <f t="shared" si="926"/>
        <v>1.1478552753250442</v>
      </c>
      <c r="AZ983" s="686">
        <f t="shared" si="927"/>
        <v>1.7505855757602899</v>
      </c>
      <c r="BA983" s="685">
        <f t="shared" si="928"/>
        <v>0</v>
      </c>
      <c r="BB983" s="276">
        <f t="shared" si="929"/>
        <v>0</v>
      </c>
      <c r="BC983" s="276">
        <f t="shared" si="930"/>
        <v>0</v>
      </c>
      <c r="BD983" s="276">
        <f t="shared" si="931"/>
        <v>0</v>
      </c>
      <c r="BE983" s="276">
        <f t="shared" si="932"/>
        <v>0</v>
      </c>
      <c r="BF983" s="686">
        <f t="shared" si="933"/>
        <v>0</v>
      </c>
      <c r="BG983" s="685" t="e">
        <f t="shared" si="934"/>
        <v>#DIV/0!</v>
      </c>
      <c r="BH983" s="276" t="e">
        <f t="shared" si="935"/>
        <v>#DIV/0!</v>
      </c>
      <c r="BI983" s="276" t="e">
        <f t="shared" si="936"/>
        <v>#DIV/0!</v>
      </c>
      <c r="BJ983" s="276" t="e">
        <f t="shared" si="937"/>
        <v>#DIV/0!</v>
      </c>
      <c r="BK983" s="276" t="e">
        <f t="shared" si="938"/>
        <v>#DIV/0!</v>
      </c>
      <c r="BL983" s="686" t="e">
        <f t="shared" si="939"/>
        <v>#DIV/0!</v>
      </c>
      <c r="BM983" s="239"/>
      <c r="BN983" s="965" t="e">
        <f t="shared" si="940"/>
        <v>#VALUE!</v>
      </c>
      <c r="BO983" s="878" t="e">
        <f t="shared" si="941"/>
        <v>#VALUE!</v>
      </c>
      <c r="BP983" s="878" t="e">
        <f t="shared" si="942"/>
        <v>#VALUE!</v>
      </c>
      <c r="BQ983" s="878" t="e">
        <f t="shared" si="943"/>
        <v>#VALUE!</v>
      </c>
      <c r="BR983" s="878" t="e">
        <f t="shared" si="944"/>
        <v>#VALUE!</v>
      </c>
      <c r="BS983" s="966" t="e">
        <f t="shared" si="945"/>
        <v>#VALUE!</v>
      </c>
    </row>
    <row r="984" spans="1:71">
      <c r="A984" s="284">
        <f t="shared" si="946"/>
        <v>916</v>
      </c>
      <c r="B984" s="285">
        <v>-0.65991511426576577</v>
      </c>
      <c r="C984" s="285">
        <v>2.5800797356231828</v>
      </c>
      <c r="D984" s="285">
        <v>1.2301688864463063</v>
      </c>
      <c r="E984" s="285">
        <v>6.4415386217969353</v>
      </c>
      <c r="H984" s="685">
        <f t="shared" si="892"/>
        <v>-1.7931489560348206</v>
      </c>
      <c r="I984" s="276">
        <f t="shared" si="893"/>
        <v>-3.3605052342627513</v>
      </c>
      <c r="J984" s="276">
        <f t="shared" si="894"/>
        <v>1.9700980665959393</v>
      </c>
      <c r="K984" s="276">
        <f t="shared" si="895"/>
        <v>0.80202059312410312</v>
      </c>
      <c r="L984" s="276">
        <f t="shared" si="896"/>
        <v>2.0800133661602338</v>
      </c>
      <c r="M984" s="276">
        <f t="shared" si="897"/>
        <v>-1.3474964907286224</v>
      </c>
      <c r="N984" s="685">
        <f t="shared" si="898"/>
        <v>1.3729085246513144</v>
      </c>
      <c r="O984" s="276">
        <f t="shared" si="899"/>
        <v>1.3803385362344505</v>
      </c>
      <c r="P984" s="276">
        <f t="shared" si="900"/>
        <v>0.96767999854631426</v>
      </c>
      <c r="Q984" s="276">
        <f t="shared" si="901"/>
        <v>1.1848154088402556</v>
      </c>
      <c r="R984" s="276">
        <f t="shared" si="902"/>
        <v>2.15820700621616</v>
      </c>
      <c r="S984" s="686">
        <f t="shared" si="903"/>
        <v>1.918688216159105</v>
      </c>
      <c r="T984" s="685">
        <f t="shared" si="904"/>
        <v>4.508532576717232</v>
      </c>
      <c r="U984" s="276">
        <f t="shared" si="905"/>
        <v>2.9492280867661362</v>
      </c>
      <c r="V984" s="276">
        <f t="shared" si="906"/>
        <v>4.8870690356490645</v>
      </c>
      <c r="W984" s="276">
        <f t="shared" si="907"/>
        <v>5.9262837850998338</v>
      </c>
      <c r="X984" s="276">
        <f t="shared" si="908"/>
        <v>4.2476856747697997</v>
      </c>
      <c r="Y984" s="686">
        <f t="shared" si="909"/>
        <v>3.738065516065229</v>
      </c>
      <c r="Z984" s="685" t="e">
        <f t="shared" si="910"/>
        <v>#DIV/0!</v>
      </c>
      <c r="AA984" s="276" t="e">
        <f t="shared" si="911"/>
        <v>#DIV/0!</v>
      </c>
      <c r="AB984" s="276" t="e">
        <f t="shared" si="912"/>
        <v>#DIV/0!</v>
      </c>
      <c r="AC984" s="276" t="e">
        <f t="shared" si="913"/>
        <v>#DIV/0!</v>
      </c>
      <c r="AD984" s="276" t="e">
        <f t="shared" si="914"/>
        <v>#DIV/0!</v>
      </c>
      <c r="AE984" s="686" t="e">
        <f t="shared" si="915"/>
        <v>#DIV/0!</v>
      </c>
      <c r="AF984" s="239"/>
      <c r="AG984" s="965" t="e">
        <f t="shared" si="886"/>
        <v>#VALUE!</v>
      </c>
      <c r="AH984" s="878" t="e">
        <f t="shared" si="887"/>
        <v>#VALUE!</v>
      </c>
      <c r="AI984" s="878" t="e">
        <f t="shared" si="888"/>
        <v>#VALUE!</v>
      </c>
      <c r="AJ984" s="878" t="e">
        <f t="shared" si="889"/>
        <v>#VALUE!</v>
      </c>
      <c r="AK984" s="878" t="e">
        <f t="shared" si="890"/>
        <v>#VALUE!</v>
      </c>
      <c r="AL984" s="966" t="e">
        <f t="shared" si="891"/>
        <v>#VALUE!</v>
      </c>
      <c r="AM984" s="239"/>
      <c r="AO984" s="685">
        <f t="shared" si="916"/>
        <v>-1.7931489560348206</v>
      </c>
      <c r="AP984" s="276">
        <f t="shared" si="917"/>
        <v>-3.3605052342627513</v>
      </c>
      <c r="AQ984" s="276">
        <f t="shared" si="918"/>
        <v>1.9700980665959393</v>
      </c>
      <c r="AR984" s="276">
        <f t="shared" si="919"/>
        <v>0.80202059312410312</v>
      </c>
      <c r="AS984" s="276">
        <f t="shared" si="920"/>
        <v>2.0800133661602338</v>
      </c>
      <c r="AT984" s="276">
        <f t="shared" si="921"/>
        <v>-1.3474964907286224</v>
      </c>
      <c r="AU984" s="685">
        <f t="shared" si="922"/>
        <v>1.3729085246513144</v>
      </c>
      <c r="AV984" s="276">
        <f t="shared" si="923"/>
        <v>1.3803385362344505</v>
      </c>
      <c r="AW984" s="276">
        <f t="shared" si="924"/>
        <v>0.96767999854631426</v>
      </c>
      <c r="AX984" s="276">
        <f t="shared" si="925"/>
        <v>1.1848154088402556</v>
      </c>
      <c r="AY984" s="276">
        <f t="shared" si="926"/>
        <v>2.15820700621616</v>
      </c>
      <c r="AZ984" s="686">
        <f t="shared" si="927"/>
        <v>1.918688216159105</v>
      </c>
      <c r="BA984" s="685">
        <f t="shared" si="928"/>
        <v>0</v>
      </c>
      <c r="BB984" s="276">
        <f t="shared" si="929"/>
        <v>0</v>
      </c>
      <c r="BC984" s="276">
        <f t="shared" si="930"/>
        <v>0</v>
      </c>
      <c r="BD984" s="276">
        <f t="shared" si="931"/>
        <v>0</v>
      </c>
      <c r="BE984" s="276">
        <f t="shared" si="932"/>
        <v>0</v>
      </c>
      <c r="BF984" s="686">
        <f t="shared" si="933"/>
        <v>0</v>
      </c>
      <c r="BG984" s="685" t="e">
        <f t="shared" si="934"/>
        <v>#DIV/0!</v>
      </c>
      <c r="BH984" s="276" t="e">
        <f t="shared" si="935"/>
        <v>#DIV/0!</v>
      </c>
      <c r="BI984" s="276" t="e">
        <f t="shared" si="936"/>
        <v>#DIV/0!</v>
      </c>
      <c r="BJ984" s="276" t="e">
        <f t="shared" si="937"/>
        <v>#DIV/0!</v>
      </c>
      <c r="BK984" s="276" t="e">
        <f t="shared" si="938"/>
        <v>#DIV/0!</v>
      </c>
      <c r="BL984" s="686" t="e">
        <f t="shared" si="939"/>
        <v>#DIV/0!</v>
      </c>
      <c r="BM984" s="239"/>
      <c r="BN984" s="965" t="e">
        <f t="shared" si="940"/>
        <v>#VALUE!</v>
      </c>
      <c r="BO984" s="878" t="e">
        <f t="shared" si="941"/>
        <v>#VALUE!</v>
      </c>
      <c r="BP984" s="878" t="e">
        <f t="shared" si="942"/>
        <v>#VALUE!</v>
      </c>
      <c r="BQ984" s="878" t="e">
        <f t="shared" si="943"/>
        <v>#VALUE!</v>
      </c>
      <c r="BR984" s="878" t="e">
        <f t="shared" si="944"/>
        <v>#VALUE!</v>
      </c>
      <c r="BS984" s="966" t="e">
        <f t="shared" si="945"/>
        <v>#VALUE!</v>
      </c>
    </row>
    <row r="985" spans="1:71">
      <c r="A985" s="284">
        <f t="shared" si="946"/>
        <v>917</v>
      </c>
      <c r="B985" s="285">
        <v>-6.6730573896530254</v>
      </c>
      <c r="C985" s="285">
        <v>1.2508262585129208</v>
      </c>
      <c r="D985" s="285">
        <v>-0.86672119547211812</v>
      </c>
      <c r="E985" s="285">
        <v>-20.493960872428747</v>
      </c>
      <c r="H985" s="685">
        <f t="shared" si="892"/>
        <v>-7.8062912314220805</v>
      </c>
      <c r="I985" s="276">
        <f t="shared" si="893"/>
        <v>1.7141106417022318</v>
      </c>
      <c r="J985" s="276">
        <f t="shared" si="894"/>
        <v>-0.95006578215608928</v>
      </c>
      <c r="K985" s="276">
        <f t="shared" si="895"/>
        <v>-1.2232280690083974</v>
      </c>
      <c r="L985" s="276">
        <f t="shared" si="896"/>
        <v>-3.4025251296451531</v>
      </c>
      <c r="M985" s="276">
        <f t="shared" si="897"/>
        <v>-4.482320817741039</v>
      </c>
      <c r="N985" s="685">
        <f t="shared" si="898"/>
        <v>4.3655047541052427E-2</v>
      </c>
      <c r="O985" s="276">
        <f t="shared" si="899"/>
        <v>1.7013674550360951</v>
      </c>
      <c r="P985" s="276">
        <f t="shared" si="900"/>
        <v>1.4806032378967691</v>
      </c>
      <c r="Q985" s="276">
        <f t="shared" si="901"/>
        <v>1.3321531616449482</v>
      </c>
      <c r="R985" s="276">
        <f t="shared" si="902"/>
        <v>1.7159628301694265</v>
      </c>
      <c r="S985" s="686">
        <f t="shared" si="903"/>
        <v>0.81674979239574053</v>
      </c>
      <c r="T985" s="685">
        <f t="shared" si="904"/>
        <v>2.4116424947988078</v>
      </c>
      <c r="U985" s="276">
        <f t="shared" si="905"/>
        <v>5.9406214480128945</v>
      </c>
      <c r="V985" s="276">
        <f t="shared" si="906"/>
        <v>5.020327158467782</v>
      </c>
      <c r="W985" s="276">
        <f t="shared" si="907"/>
        <v>5.9703510069958607</v>
      </c>
      <c r="X985" s="276">
        <f t="shared" si="908"/>
        <v>5.1032295475918428</v>
      </c>
      <c r="Y985" s="686">
        <f t="shared" si="909"/>
        <v>2.6561059680769206</v>
      </c>
      <c r="Z985" s="685" t="e">
        <f t="shared" si="910"/>
        <v>#DIV/0!</v>
      </c>
      <c r="AA985" s="276" t="e">
        <f t="shared" si="911"/>
        <v>#DIV/0!</v>
      </c>
      <c r="AB985" s="276" t="e">
        <f t="shared" si="912"/>
        <v>#DIV/0!</v>
      </c>
      <c r="AC985" s="276" t="e">
        <f t="shared" si="913"/>
        <v>#DIV/0!</v>
      </c>
      <c r="AD985" s="276" t="e">
        <f t="shared" si="914"/>
        <v>#DIV/0!</v>
      </c>
      <c r="AE985" s="686" t="e">
        <f t="shared" si="915"/>
        <v>#DIV/0!</v>
      </c>
      <c r="AF985" s="239"/>
      <c r="AG985" s="965" t="e">
        <f t="shared" si="886"/>
        <v>#VALUE!</v>
      </c>
      <c r="AH985" s="878" t="e">
        <f t="shared" si="887"/>
        <v>#VALUE!</v>
      </c>
      <c r="AI985" s="878" t="e">
        <f t="shared" si="888"/>
        <v>#VALUE!</v>
      </c>
      <c r="AJ985" s="878" t="e">
        <f t="shared" si="889"/>
        <v>#VALUE!</v>
      </c>
      <c r="AK985" s="878" t="e">
        <f t="shared" si="890"/>
        <v>#VALUE!</v>
      </c>
      <c r="AL985" s="966" t="e">
        <f t="shared" si="891"/>
        <v>#VALUE!</v>
      </c>
      <c r="AM985" s="239"/>
      <c r="AO985" s="685">
        <f t="shared" si="916"/>
        <v>-7.8062912314220805</v>
      </c>
      <c r="AP985" s="276">
        <f t="shared" si="917"/>
        <v>1.7141106417022318</v>
      </c>
      <c r="AQ985" s="276">
        <f t="shared" si="918"/>
        <v>-0.95006578215608928</v>
      </c>
      <c r="AR985" s="276">
        <f t="shared" si="919"/>
        <v>-1.2232280690083974</v>
      </c>
      <c r="AS985" s="276">
        <f t="shared" si="920"/>
        <v>-3.4025251296451531</v>
      </c>
      <c r="AT985" s="276">
        <f t="shared" si="921"/>
        <v>-4.482320817741039</v>
      </c>
      <c r="AU985" s="685">
        <f t="shared" si="922"/>
        <v>4.3655047541052427E-2</v>
      </c>
      <c r="AV985" s="276">
        <f t="shared" si="923"/>
        <v>1.7013674550360951</v>
      </c>
      <c r="AW985" s="276">
        <f t="shared" si="924"/>
        <v>1.4806032378967691</v>
      </c>
      <c r="AX985" s="276">
        <f t="shared" si="925"/>
        <v>1.3321531616449482</v>
      </c>
      <c r="AY985" s="276">
        <f t="shared" si="926"/>
        <v>1.7159628301694265</v>
      </c>
      <c r="AZ985" s="686">
        <f t="shared" si="927"/>
        <v>0.81674979239574053</v>
      </c>
      <c r="BA985" s="685">
        <f t="shared" si="928"/>
        <v>0</v>
      </c>
      <c r="BB985" s="276">
        <f t="shared" si="929"/>
        <v>0</v>
      </c>
      <c r="BC985" s="276">
        <f t="shared" si="930"/>
        <v>0</v>
      </c>
      <c r="BD985" s="276">
        <f t="shared" si="931"/>
        <v>0</v>
      </c>
      <c r="BE985" s="276">
        <f t="shared" si="932"/>
        <v>0</v>
      </c>
      <c r="BF985" s="686">
        <f t="shared" si="933"/>
        <v>0</v>
      </c>
      <c r="BG985" s="685" t="e">
        <f t="shared" si="934"/>
        <v>#DIV/0!</v>
      </c>
      <c r="BH985" s="276" t="e">
        <f t="shared" si="935"/>
        <v>#DIV/0!</v>
      </c>
      <c r="BI985" s="276" t="e">
        <f t="shared" si="936"/>
        <v>#DIV/0!</v>
      </c>
      <c r="BJ985" s="276" t="e">
        <f t="shared" si="937"/>
        <v>#DIV/0!</v>
      </c>
      <c r="BK985" s="276" t="e">
        <f t="shared" si="938"/>
        <v>#DIV/0!</v>
      </c>
      <c r="BL985" s="686" t="e">
        <f t="shared" si="939"/>
        <v>#DIV/0!</v>
      </c>
      <c r="BM985" s="239"/>
      <c r="BN985" s="965" t="e">
        <f t="shared" si="940"/>
        <v>#VALUE!</v>
      </c>
      <c r="BO985" s="878" t="e">
        <f t="shared" si="941"/>
        <v>#VALUE!</v>
      </c>
      <c r="BP985" s="878" t="e">
        <f t="shared" si="942"/>
        <v>#VALUE!</v>
      </c>
      <c r="BQ985" s="878" t="e">
        <f t="shared" si="943"/>
        <v>#VALUE!</v>
      </c>
      <c r="BR985" s="878" t="e">
        <f t="shared" si="944"/>
        <v>#VALUE!</v>
      </c>
      <c r="BS985" s="966" t="e">
        <f t="shared" si="945"/>
        <v>#VALUE!</v>
      </c>
    </row>
    <row r="986" spans="1:71">
      <c r="A986" s="284">
        <f t="shared" si="946"/>
        <v>918</v>
      </c>
      <c r="B986" s="285">
        <v>1.2587624975645775</v>
      </c>
      <c r="C986" s="285">
        <v>2.8742670426016059</v>
      </c>
      <c r="D986" s="285">
        <v>0.20413363792973915</v>
      </c>
      <c r="E986" s="285">
        <v>2.1048245192194321</v>
      </c>
      <c r="H986" s="685">
        <f t="shared" si="892"/>
        <v>0.12552865579552264</v>
      </c>
      <c r="I986" s="276">
        <f t="shared" si="893"/>
        <v>-2.1705232620973565</v>
      </c>
      <c r="J986" s="276">
        <f t="shared" si="894"/>
        <v>0.41271117230994281</v>
      </c>
      <c r="K986" s="276">
        <f t="shared" si="895"/>
        <v>-5.3574102232032335</v>
      </c>
      <c r="L986" s="276">
        <f t="shared" si="896"/>
        <v>-2.119238242437353</v>
      </c>
      <c r="M986" s="276">
        <f t="shared" si="897"/>
        <v>0.83415375068312936</v>
      </c>
      <c r="N986" s="685">
        <f t="shared" si="898"/>
        <v>1.6670958316297375</v>
      </c>
      <c r="O986" s="276">
        <f t="shared" si="899"/>
        <v>1.370176312069437</v>
      </c>
      <c r="P986" s="276">
        <f t="shared" si="900"/>
        <v>1.5820410843323229</v>
      </c>
      <c r="Q986" s="276">
        <f t="shared" si="901"/>
        <v>1.8264957700555915</v>
      </c>
      <c r="R986" s="276">
        <f t="shared" si="902"/>
        <v>0.66618505247873094</v>
      </c>
      <c r="S986" s="686">
        <f t="shared" si="903"/>
        <v>1.6275487885934907</v>
      </c>
      <c r="T986" s="685">
        <f t="shared" si="904"/>
        <v>3.4824973282006653</v>
      </c>
      <c r="U986" s="276">
        <f t="shared" si="905"/>
        <v>3.5041965534114783</v>
      </c>
      <c r="V986" s="276">
        <f t="shared" si="906"/>
        <v>4.5945746849704632</v>
      </c>
      <c r="W986" s="276">
        <f t="shared" si="907"/>
        <v>4.6495155663956682</v>
      </c>
      <c r="X986" s="276">
        <f t="shared" si="908"/>
        <v>3.2581914783066783</v>
      </c>
      <c r="Y986" s="686">
        <f t="shared" si="909"/>
        <v>2.1089058652102359</v>
      </c>
      <c r="Z986" s="685" t="e">
        <f t="shared" si="910"/>
        <v>#DIV/0!</v>
      </c>
      <c r="AA986" s="276" t="e">
        <f t="shared" si="911"/>
        <v>#DIV/0!</v>
      </c>
      <c r="AB986" s="276" t="e">
        <f t="shared" si="912"/>
        <v>#DIV/0!</v>
      </c>
      <c r="AC986" s="276" t="e">
        <f t="shared" si="913"/>
        <v>#DIV/0!</v>
      </c>
      <c r="AD986" s="276" t="e">
        <f t="shared" si="914"/>
        <v>#DIV/0!</v>
      </c>
      <c r="AE986" s="686" t="e">
        <f t="shared" si="915"/>
        <v>#DIV/0!</v>
      </c>
      <c r="AF986" s="239"/>
      <c r="AG986" s="965" t="e">
        <f t="shared" si="886"/>
        <v>#VALUE!</v>
      </c>
      <c r="AH986" s="878" t="e">
        <f t="shared" si="887"/>
        <v>#VALUE!</v>
      </c>
      <c r="AI986" s="878" t="e">
        <f t="shared" si="888"/>
        <v>#VALUE!</v>
      </c>
      <c r="AJ986" s="878" t="e">
        <f t="shared" si="889"/>
        <v>#VALUE!</v>
      </c>
      <c r="AK986" s="878" t="e">
        <f t="shared" si="890"/>
        <v>#VALUE!</v>
      </c>
      <c r="AL986" s="966" t="e">
        <f t="shared" si="891"/>
        <v>#VALUE!</v>
      </c>
      <c r="AM986" s="239"/>
      <c r="AO986" s="685">
        <f t="shared" si="916"/>
        <v>0.12552865579552264</v>
      </c>
      <c r="AP986" s="276">
        <f t="shared" si="917"/>
        <v>-2.1705232620973565</v>
      </c>
      <c r="AQ986" s="276">
        <f t="shared" si="918"/>
        <v>0.41271117230994281</v>
      </c>
      <c r="AR986" s="276">
        <f t="shared" si="919"/>
        <v>-5.3574102232032335</v>
      </c>
      <c r="AS986" s="276">
        <f t="shared" si="920"/>
        <v>-2.119238242437353</v>
      </c>
      <c r="AT986" s="276">
        <f t="shared" si="921"/>
        <v>0.83415375068312936</v>
      </c>
      <c r="AU986" s="685">
        <f t="shared" si="922"/>
        <v>1.6670958316297375</v>
      </c>
      <c r="AV986" s="276">
        <f t="shared" si="923"/>
        <v>1.370176312069437</v>
      </c>
      <c r="AW986" s="276">
        <f t="shared" si="924"/>
        <v>1.5820410843323229</v>
      </c>
      <c r="AX986" s="276">
        <f t="shared" si="925"/>
        <v>1.8264957700555915</v>
      </c>
      <c r="AY986" s="276">
        <f t="shared" si="926"/>
        <v>0.66618505247873094</v>
      </c>
      <c r="AZ986" s="686">
        <f t="shared" si="927"/>
        <v>1.6275487885934907</v>
      </c>
      <c r="BA986" s="685">
        <f t="shared" si="928"/>
        <v>0</v>
      </c>
      <c r="BB986" s="276">
        <f t="shared" si="929"/>
        <v>0</v>
      </c>
      <c r="BC986" s="276">
        <f t="shared" si="930"/>
        <v>0</v>
      </c>
      <c r="BD986" s="276">
        <f t="shared" si="931"/>
        <v>0</v>
      </c>
      <c r="BE986" s="276">
        <f t="shared" si="932"/>
        <v>0</v>
      </c>
      <c r="BF986" s="686">
        <f t="shared" si="933"/>
        <v>0</v>
      </c>
      <c r="BG986" s="685" t="e">
        <f t="shared" si="934"/>
        <v>#DIV/0!</v>
      </c>
      <c r="BH986" s="276" t="e">
        <f t="shared" si="935"/>
        <v>#DIV/0!</v>
      </c>
      <c r="BI986" s="276" t="e">
        <f t="shared" si="936"/>
        <v>#DIV/0!</v>
      </c>
      <c r="BJ986" s="276" t="e">
        <f t="shared" si="937"/>
        <v>#DIV/0!</v>
      </c>
      <c r="BK986" s="276" t="e">
        <f t="shared" si="938"/>
        <v>#DIV/0!</v>
      </c>
      <c r="BL986" s="686" t="e">
        <f t="shared" si="939"/>
        <v>#DIV/0!</v>
      </c>
      <c r="BM986" s="239"/>
      <c r="BN986" s="965" t="e">
        <f t="shared" si="940"/>
        <v>#VALUE!</v>
      </c>
      <c r="BO986" s="878" t="e">
        <f t="shared" si="941"/>
        <v>#VALUE!</v>
      </c>
      <c r="BP986" s="878" t="e">
        <f t="shared" si="942"/>
        <v>#VALUE!</v>
      </c>
      <c r="BQ986" s="878" t="e">
        <f t="shared" si="943"/>
        <v>#VALUE!</v>
      </c>
      <c r="BR986" s="878" t="e">
        <f t="shared" si="944"/>
        <v>#VALUE!</v>
      </c>
      <c r="BS986" s="966" t="e">
        <f t="shared" si="945"/>
        <v>#VALUE!</v>
      </c>
    </row>
    <row r="987" spans="1:71">
      <c r="A987" s="284">
        <f t="shared" si="946"/>
        <v>919</v>
      </c>
      <c r="B987" s="285">
        <v>-0.9784048497519483</v>
      </c>
      <c r="C987" s="285">
        <v>2.2357643498005029</v>
      </c>
      <c r="D987" s="285">
        <v>-9.7999142490459157E-3</v>
      </c>
      <c r="E987" s="285">
        <v>-0.7902093705686779</v>
      </c>
      <c r="H987" s="685">
        <f t="shared" si="892"/>
        <v>-2.1116386915210033</v>
      </c>
      <c r="I987" s="276">
        <f t="shared" si="893"/>
        <v>4.6778275464603345</v>
      </c>
      <c r="J987" s="276">
        <f t="shared" si="894"/>
        <v>-1.4887193155013621</v>
      </c>
      <c r="K987" s="276">
        <f t="shared" si="895"/>
        <v>-1.0366307746906966</v>
      </c>
      <c r="L987" s="276">
        <f t="shared" si="896"/>
        <v>-1.9427858714761861</v>
      </c>
      <c r="M987" s="276">
        <f t="shared" si="897"/>
        <v>-1.0287087217387345</v>
      </c>
      <c r="N987" s="685">
        <f t="shared" si="898"/>
        <v>1.0285931388286345</v>
      </c>
      <c r="O987" s="276">
        <f t="shared" si="899"/>
        <v>1.5625914653990047</v>
      </c>
      <c r="P987" s="276">
        <f t="shared" si="900"/>
        <v>0.91425440265944169</v>
      </c>
      <c r="Q987" s="276">
        <f t="shared" si="901"/>
        <v>1.0423216804428261</v>
      </c>
      <c r="R987" s="276">
        <f t="shared" si="902"/>
        <v>0.82352684429043221</v>
      </c>
      <c r="S987" s="686">
        <f t="shared" si="903"/>
        <v>1.7666905110532654</v>
      </c>
      <c r="T987" s="685">
        <f t="shared" si="904"/>
        <v>3.26856377602188</v>
      </c>
      <c r="U987" s="276">
        <f t="shared" si="905"/>
        <v>5.6054932318804944</v>
      </c>
      <c r="V987" s="276">
        <f t="shared" si="906"/>
        <v>4.4739682727625008</v>
      </c>
      <c r="W987" s="276">
        <f t="shared" si="907"/>
        <v>2.5319031470394417</v>
      </c>
      <c r="X987" s="276">
        <f t="shared" si="908"/>
        <v>2.3867109603105212</v>
      </c>
      <c r="Y987" s="686">
        <f t="shared" si="909"/>
        <v>4.0822217091160633</v>
      </c>
      <c r="Z987" s="685" t="e">
        <f t="shared" si="910"/>
        <v>#DIV/0!</v>
      </c>
      <c r="AA987" s="276" t="e">
        <f t="shared" si="911"/>
        <v>#DIV/0!</v>
      </c>
      <c r="AB987" s="276" t="e">
        <f t="shared" si="912"/>
        <v>#DIV/0!</v>
      </c>
      <c r="AC987" s="276" t="e">
        <f t="shared" si="913"/>
        <v>#DIV/0!</v>
      </c>
      <c r="AD987" s="276" t="e">
        <f t="shared" si="914"/>
        <v>#DIV/0!</v>
      </c>
      <c r="AE987" s="686" t="e">
        <f t="shared" si="915"/>
        <v>#DIV/0!</v>
      </c>
      <c r="AF987" s="239"/>
      <c r="AG987" s="965" t="e">
        <f t="shared" si="886"/>
        <v>#VALUE!</v>
      </c>
      <c r="AH987" s="878" t="e">
        <f t="shared" si="887"/>
        <v>#VALUE!</v>
      </c>
      <c r="AI987" s="878" t="e">
        <f t="shared" si="888"/>
        <v>#VALUE!</v>
      </c>
      <c r="AJ987" s="878" t="e">
        <f t="shared" si="889"/>
        <v>#VALUE!</v>
      </c>
      <c r="AK987" s="878" t="e">
        <f t="shared" si="890"/>
        <v>#VALUE!</v>
      </c>
      <c r="AL987" s="966" t="e">
        <f t="shared" si="891"/>
        <v>#VALUE!</v>
      </c>
      <c r="AM987" s="239"/>
      <c r="AO987" s="685">
        <f t="shared" si="916"/>
        <v>-2.1116386915210033</v>
      </c>
      <c r="AP987" s="276">
        <f t="shared" si="917"/>
        <v>4.6778275464603345</v>
      </c>
      <c r="AQ987" s="276">
        <f t="shared" si="918"/>
        <v>-1.4887193155013621</v>
      </c>
      <c r="AR987" s="276">
        <f t="shared" si="919"/>
        <v>-1.0366307746906966</v>
      </c>
      <c r="AS987" s="276">
        <f t="shared" si="920"/>
        <v>-1.9427858714761861</v>
      </c>
      <c r="AT987" s="276">
        <f t="shared" si="921"/>
        <v>-1.0287087217387345</v>
      </c>
      <c r="AU987" s="685">
        <f t="shared" si="922"/>
        <v>1.0285931388286345</v>
      </c>
      <c r="AV987" s="276">
        <f t="shared" si="923"/>
        <v>1.5625914653990047</v>
      </c>
      <c r="AW987" s="276">
        <f t="shared" si="924"/>
        <v>0.91425440265944169</v>
      </c>
      <c r="AX987" s="276">
        <f t="shared" si="925"/>
        <v>1.0423216804428261</v>
      </c>
      <c r="AY987" s="276">
        <f t="shared" si="926"/>
        <v>0.82352684429043221</v>
      </c>
      <c r="AZ987" s="686">
        <f t="shared" si="927"/>
        <v>1.7666905110532654</v>
      </c>
      <c r="BA987" s="685">
        <f t="shared" si="928"/>
        <v>0</v>
      </c>
      <c r="BB987" s="276">
        <f t="shared" si="929"/>
        <v>0</v>
      </c>
      <c r="BC987" s="276">
        <f t="shared" si="930"/>
        <v>0</v>
      </c>
      <c r="BD987" s="276">
        <f t="shared" si="931"/>
        <v>0</v>
      </c>
      <c r="BE987" s="276">
        <f t="shared" si="932"/>
        <v>0</v>
      </c>
      <c r="BF987" s="686">
        <f t="shared" si="933"/>
        <v>0</v>
      </c>
      <c r="BG987" s="685" t="e">
        <f t="shared" si="934"/>
        <v>#DIV/0!</v>
      </c>
      <c r="BH987" s="276" t="e">
        <f t="shared" si="935"/>
        <v>#DIV/0!</v>
      </c>
      <c r="BI987" s="276" t="e">
        <f t="shared" si="936"/>
        <v>#DIV/0!</v>
      </c>
      <c r="BJ987" s="276" t="e">
        <f t="shared" si="937"/>
        <v>#DIV/0!</v>
      </c>
      <c r="BK987" s="276" t="e">
        <f t="shared" si="938"/>
        <v>#DIV/0!</v>
      </c>
      <c r="BL987" s="686" t="e">
        <f t="shared" si="939"/>
        <v>#DIV/0!</v>
      </c>
      <c r="BM987" s="239"/>
      <c r="BN987" s="965" t="e">
        <f t="shared" si="940"/>
        <v>#VALUE!</v>
      </c>
      <c r="BO987" s="878" t="e">
        <f t="shared" si="941"/>
        <v>#VALUE!</v>
      </c>
      <c r="BP987" s="878" t="e">
        <f t="shared" si="942"/>
        <v>#VALUE!</v>
      </c>
      <c r="BQ987" s="878" t="e">
        <f t="shared" si="943"/>
        <v>#VALUE!</v>
      </c>
      <c r="BR987" s="878" t="e">
        <f t="shared" si="944"/>
        <v>#VALUE!</v>
      </c>
      <c r="BS987" s="966" t="e">
        <f t="shared" si="945"/>
        <v>#VALUE!</v>
      </c>
    </row>
    <row r="988" spans="1:71">
      <c r="A988" s="284">
        <f t="shared" si="946"/>
        <v>920</v>
      </c>
      <c r="B988" s="285">
        <v>1.8928264241346386</v>
      </c>
      <c r="C988" s="285">
        <v>2.6681599324243876</v>
      </c>
      <c r="D988" s="285">
        <v>0.47852542067159298</v>
      </c>
      <c r="E988" s="285">
        <v>-0.2171274456917156</v>
      </c>
      <c r="H988" s="685">
        <f t="shared" si="892"/>
        <v>0.7595925823655838</v>
      </c>
      <c r="I988" s="276">
        <f t="shared" si="893"/>
        <v>2.0263215107146326</v>
      </c>
      <c r="J988" s="276">
        <f t="shared" si="894"/>
        <v>1.1829792572025999</v>
      </c>
      <c r="K988" s="276">
        <f t="shared" si="895"/>
        <v>-0.79177156262905823</v>
      </c>
      <c r="L988" s="276">
        <f t="shared" si="896"/>
        <v>-3.0684873400134238</v>
      </c>
      <c r="M988" s="276">
        <f t="shared" si="897"/>
        <v>-0.74341890259992682</v>
      </c>
      <c r="N988" s="685">
        <f t="shared" si="898"/>
        <v>1.4609887214525192</v>
      </c>
      <c r="O988" s="276">
        <f t="shared" si="899"/>
        <v>1.8969242618165632</v>
      </c>
      <c r="P988" s="276">
        <f t="shared" si="900"/>
        <v>1.621359464468801</v>
      </c>
      <c r="Q988" s="276">
        <f t="shared" si="901"/>
        <v>1.8306024388124331</v>
      </c>
      <c r="R988" s="276">
        <f t="shared" si="902"/>
        <v>0.67362789112255972</v>
      </c>
      <c r="S988" s="686">
        <f t="shared" si="903"/>
        <v>1.8472885898779718</v>
      </c>
      <c r="T988" s="685">
        <f t="shared" si="904"/>
        <v>3.7568891109425189</v>
      </c>
      <c r="U988" s="276">
        <f t="shared" si="905"/>
        <v>7.1591920416003312</v>
      </c>
      <c r="V988" s="276">
        <f t="shared" si="906"/>
        <v>5.8642864277698479</v>
      </c>
      <c r="W988" s="276">
        <f t="shared" si="907"/>
        <v>4.7005227747183111</v>
      </c>
      <c r="X988" s="276">
        <f t="shared" si="908"/>
        <v>4.0940386721418545</v>
      </c>
      <c r="Y988" s="686">
        <f t="shared" si="909"/>
        <v>4.8600733308644397</v>
      </c>
      <c r="Z988" s="685" t="e">
        <f t="shared" si="910"/>
        <v>#DIV/0!</v>
      </c>
      <c r="AA988" s="276" t="e">
        <f t="shared" si="911"/>
        <v>#DIV/0!</v>
      </c>
      <c r="AB988" s="276" t="e">
        <f t="shared" si="912"/>
        <v>#DIV/0!</v>
      </c>
      <c r="AC988" s="276" t="e">
        <f t="shared" si="913"/>
        <v>#DIV/0!</v>
      </c>
      <c r="AD988" s="276" t="e">
        <f t="shared" si="914"/>
        <v>#DIV/0!</v>
      </c>
      <c r="AE988" s="686" t="e">
        <f t="shared" si="915"/>
        <v>#DIV/0!</v>
      </c>
      <c r="AF988" s="239"/>
      <c r="AG988" s="965" t="e">
        <f t="shared" si="886"/>
        <v>#VALUE!</v>
      </c>
      <c r="AH988" s="878" t="e">
        <f t="shared" si="887"/>
        <v>#VALUE!</v>
      </c>
      <c r="AI988" s="878" t="e">
        <f t="shared" si="888"/>
        <v>#VALUE!</v>
      </c>
      <c r="AJ988" s="878" t="e">
        <f t="shared" si="889"/>
        <v>#VALUE!</v>
      </c>
      <c r="AK988" s="878" t="e">
        <f t="shared" si="890"/>
        <v>#VALUE!</v>
      </c>
      <c r="AL988" s="966" t="e">
        <f t="shared" si="891"/>
        <v>#VALUE!</v>
      </c>
      <c r="AM988" s="239"/>
      <c r="AO988" s="685">
        <f t="shared" si="916"/>
        <v>0.7595925823655838</v>
      </c>
      <c r="AP988" s="276">
        <f t="shared" si="917"/>
        <v>2.0263215107146326</v>
      </c>
      <c r="AQ988" s="276">
        <f t="shared" si="918"/>
        <v>1.1829792572025999</v>
      </c>
      <c r="AR988" s="276">
        <f t="shared" si="919"/>
        <v>-0.79177156262905823</v>
      </c>
      <c r="AS988" s="276">
        <f t="shared" si="920"/>
        <v>-3.0684873400134238</v>
      </c>
      <c r="AT988" s="276">
        <f t="shared" si="921"/>
        <v>-0.74341890259992682</v>
      </c>
      <c r="AU988" s="685">
        <f t="shared" si="922"/>
        <v>1.4609887214525192</v>
      </c>
      <c r="AV988" s="276">
        <f t="shared" si="923"/>
        <v>1.8969242618165632</v>
      </c>
      <c r="AW988" s="276">
        <f t="shared" si="924"/>
        <v>1.621359464468801</v>
      </c>
      <c r="AX988" s="276">
        <f t="shared" si="925"/>
        <v>1.8306024388124331</v>
      </c>
      <c r="AY988" s="276">
        <f t="shared" si="926"/>
        <v>0.67362789112255972</v>
      </c>
      <c r="AZ988" s="686">
        <f t="shared" si="927"/>
        <v>1.8472885898779718</v>
      </c>
      <c r="BA988" s="685">
        <f t="shared" si="928"/>
        <v>0</v>
      </c>
      <c r="BB988" s="276">
        <f t="shared" si="929"/>
        <v>0</v>
      </c>
      <c r="BC988" s="276">
        <f t="shared" si="930"/>
        <v>0</v>
      </c>
      <c r="BD988" s="276">
        <f t="shared" si="931"/>
        <v>0</v>
      </c>
      <c r="BE988" s="276">
        <f t="shared" si="932"/>
        <v>0</v>
      </c>
      <c r="BF988" s="686">
        <f t="shared" si="933"/>
        <v>0</v>
      </c>
      <c r="BG988" s="685" t="e">
        <f t="shared" si="934"/>
        <v>#DIV/0!</v>
      </c>
      <c r="BH988" s="276" t="e">
        <f t="shared" si="935"/>
        <v>#DIV/0!</v>
      </c>
      <c r="BI988" s="276" t="e">
        <f t="shared" si="936"/>
        <v>#DIV/0!</v>
      </c>
      <c r="BJ988" s="276" t="e">
        <f t="shared" si="937"/>
        <v>#DIV/0!</v>
      </c>
      <c r="BK988" s="276" t="e">
        <f t="shared" si="938"/>
        <v>#DIV/0!</v>
      </c>
      <c r="BL988" s="686" t="e">
        <f t="shared" si="939"/>
        <v>#DIV/0!</v>
      </c>
      <c r="BM988" s="239"/>
      <c r="BN988" s="965" t="e">
        <f t="shared" si="940"/>
        <v>#VALUE!</v>
      </c>
      <c r="BO988" s="878" t="e">
        <f t="shared" si="941"/>
        <v>#VALUE!</v>
      </c>
      <c r="BP988" s="878" t="e">
        <f t="shared" si="942"/>
        <v>#VALUE!</v>
      </c>
      <c r="BQ988" s="878" t="e">
        <f t="shared" si="943"/>
        <v>#VALUE!</v>
      </c>
      <c r="BR988" s="878" t="e">
        <f t="shared" si="944"/>
        <v>#VALUE!</v>
      </c>
      <c r="BS988" s="966" t="e">
        <f t="shared" si="945"/>
        <v>#VALUE!</v>
      </c>
    </row>
    <row r="989" spans="1:71">
      <c r="A989" s="284">
        <f t="shared" si="946"/>
        <v>921</v>
      </c>
      <c r="B989" s="285">
        <v>0.16093642564507377</v>
      </c>
      <c r="C989" s="285">
        <v>2.4317420284176339</v>
      </c>
      <c r="D989" s="285">
        <v>2.0475486319990233</v>
      </c>
      <c r="E989" s="285">
        <v>-2.7187236396823291</v>
      </c>
      <c r="H989" s="685">
        <f t="shared" si="892"/>
        <v>-0.97229741612398102</v>
      </c>
      <c r="I989" s="276">
        <f t="shared" si="893"/>
        <v>2.6912262764242847</v>
      </c>
      <c r="J989" s="276">
        <f t="shared" si="894"/>
        <v>0.28022052273589182</v>
      </c>
      <c r="K989" s="276">
        <f t="shared" si="895"/>
        <v>-1.845450299247245</v>
      </c>
      <c r="L989" s="276">
        <f t="shared" si="896"/>
        <v>0.67289890273244102</v>
      </c>
      <c r="M989" s="276">
        <f t="shared" si="897"/>
        <v>-2.5520482211898003</v>
      </c>
      <c r="N989" s="685">
        <f t="shared" si="898"/>
        <v>1.2245708174457655</v>
      </c>
      <c r="O989" s="276">
        <f t="shared" si="899"/>
        <v>2.169173290803398</v>
      </c>
      <c r="P989" s="276">
        <f t="shared" si="900"/>
        <v>1.4661167477723598</v>
      </c>
      <c r="Q989" s="276">
        <f t="shared" si="901"/>
        <v>1.3822412801010511</v>
      </c>
      <c r="R989" s="276">
        <f t="shared" si="902"/>
        <v>2.7411678709728164</v>
      </c>
      <c r="S989" s="686">
        <f t="shared" si="903"/>
        <v>1.1174613693575701</v>
      </c>
      <c r="T989" s="685">
        <f t="shared" si="904"/>
        <v>5.3259123222699492</v>
      </c>
      <c r="U989" s="276">
        <f t="shared" si="905"/>
        <v>4.3622169094574694</v>
      </c>
      <c r="V989" s="276">
        <f t="shared" si="906"/>
        <v>5.1787733101218008</v>
      </c>
      <c r="W989" s="276">
        <f t="shared" si="907"/>
        <v>5.7653378728661746</v>
      </c>
      <c r="X989" s="276">
        <f t="shared" si="908"/>
        <v>2.7867686582979809</v>
      </c>
      <c r="Y989" s="686">
        <f t="shared" si="909"/>
        <v>4.153396519013258</v>
      </c>
      <c r="Z989" s="685" t="e">
        <f t="shared" si="910"/>
        <v>#DIV/0!</v>
      </c>
      <c r="AA989" s="276" t="e">
        <f t="shared" si="911"/>
        <v>#DIV/0!</v>
      </c>
      <c r="AB989" s="276" t="e">
        <f t="shared" si="912"/>
        <v>#DIV/0!</v>
      </c>
      <c r="AC989" s="276" t="e">
        <f t="shared" si="913"/>
        <v>#DIV/0!</v>
      </c>
      <c r="AD989" s="276" t="e">
        <f t="shared" si="914"/>
        <v>#DIV/0!</v>
      </c>
      <c r="AE989" s="686" t="e">
        <f t="shared" si="915"/>
        <v>#DIV/0!</v>
      </c>
      <c r="AF989" s="239"/>
      <c r="AG989" s="965" t="e">
        <f t="shared" si="886"/>
        <v>#VALUE!</v>
      </c>
      <c r="AH989" s="878" t="e">
        <f t="shared" si="887"/>
        <v>#VALUE!</v>
      </c>
      <c r="AI989" s="878" t="e">
        <f t="shared" si="888"/>
        <v>#VALUE!</v>
      </c>
      <c r="AJ989" s="878" t="e">
        <f t="shared" si="889"/>
        <v>#VALUE!</v>
      </c>
      <c r="AK989" s="878" t="e">
        <f t="shared" si="890"/>
        <v>#VALUE!</v>
      </c>
      <c r="AL989" s="966" t="e">
        <f t="shared" si="891"/>
        <v>#VALUE!</v>
      </c>
      <c r="AM989" s="239"/>
      <c r="AO989" s="685">
        <f t="shared" si="916"/>
        <v>-0.97229741612398102</v>
      </c>
      <c r="AP989" s="276">
        <f t="shared" si="917"/>
        <v>2.6912262764242847</v>
      </c>
      <c r="AQ989" s="276">
        <f t="shared" si="918"/>
        <v>0.28022052273589182</v>
      </c>
      <c r="AR989" s="276">
        <f t="shared" si="919"/>
        <v>-1.845450299247245</v>
      </c>
      <c r="AS989" s="276">
        <f t="shared" si="920"/>
        <v>0.67289890273244102</v>
      </c>
      <c r="AT989" s="276">
        <f t="shared" si="921"/>
        <v>-2.5520482211898003</v>
      </c>
      <c r="AU989" s="685">
        <f t="shared" si="922"/>
        <v>1.2245708174457655</v>
      </c>
      <c r="AV989" s="276">
        <f t="shared" si="923"/>
        <v>2.169173290803398</v>
      </c>
      <c r="AW989" s="276">
        <f t="shared" si="924"/>
        <v>1.4661167477723598</v>
      </c>
      <c r="AX989" s="276">
        <f t="shared" si="925"/>
        <v>1.3822412801010511</v>
      </c>
      <c r="AY989" s="276">
        <f t="shared" si="926"/>
        <v>2.7411678709728164</v>
      </c>
      <c r="AZ989" s="686">
        <f t="shared" si="927"/>
        <v>1.1174613693575701</v>
      </c>
      <c r="BA989" s="685">
        <f t="shared" si="928"/>
        <v>0</v>
      </c>
      <c r="BB989" s="276">
        <f t="shared" si="929"/>
        <v>0</v>
      </c>
      <c r="BC989" s="276">
        <f t="shared" si="930"/>
        <v>0</v>
      </c>
      <c r="BD989" s="276">
        <f t="shared" si="931"/>
        <v>0</v>
      </c>
      <c r="BE989" s="276">
        <f t="shared" si="932"/>
        <v>0</v>
      </c>
      <c r="BF989" s="686">
        <f t="shared" si="933"/>
        <v>0</v>
      </c>
      <c r="BG989" s="685" t="e">
        <f t="shared" si="934"/>
        <v>#DIV/0!</v>
      </c>
      <c r="BH989" s="276" t="e">
        <f t="shared" si="935"/>
        <v>#DIV/0!</v>
      </c>
      <c r="BI989" s="276" t="e">
        <f t="shared" si="936"/>
        <v>#DIV/0!</v>
      </c>
      <c r="BJ989" s="276" t="e">
        <f t="shared" si="937"/>
        <v>#DIV/0!</v>
      </c>
      <c r="BK989" s="276" t="e">
        <f t="shared" si="938"/>
        <v>#DIV/0!</v>
      </c>
      <c r="BL989" s="686" t="e">
        <f t="shared" si="939"/>
        <v>#DIV/0!</v>
      </c>
      <c r="BM989" s="239"/>
      <c r="BN989" s="965" t="e">
        <f t="shared" si="940"/>
        <v>#VALUE!</v>
      </c>
      <c r="BO989" s="878" t="e">
        <f t="shared" si="941"/>
        <v>#VALUE!</v>
      </c>
      <c r="BP989" s="878" t="e">
        <f t="shared" si="942"/>
        <v>#VALUE!</v>
      </c>
      <c r="BQ989" s="878" t="e">
        <f t="shared" si="943"/>
        <v>#VALUE!</v>
      </c>
      <c r="BR989" s="878" t="e">
        <f t="shared" si="944"/>
        <v>#VALUE!</v>
      </c>
      <c r="BS989" s="966" t="e">
        <f t="shared" si="945"/>
        <v>#VALUE!</v>
      </c>
    </row>
    <row r="990" spans="1:71">
      <c r="A990" s="284">
        <f t="shared" si="946"/>
        <v>922</v>
      </c>
      <c r="B990" s="285">
        <v>0.65950684873169163</v>
      </c>
      <c r="C990" s="285">
        <v>2.247249034658295</v>
      </c>
      <c r="D990" s="285">
        <v>1.2930433084715711</v>
      </c>
      <c r="E990" s="285">
        <v>-1.8178026125398978</v>
      </c>
      <c r="H990" s="685">
        <f t="shared" si="892"/>
        <v>-0.47372699303736321</v>
      </c>
      <c r="I990" s="276">
        <f t="shared" si="893"/>
        <v>2.2122431052727096</v>
      </c>
      <c r="J990" s="276">
        <f t="shared" si="894"/>
        <v>-1.9072284718220818</v>
      </c>
      <c r="K990" s="276">
        <f t="shared" si="895"/>
        <v>-2.8815930310742282</v>
      </c>
      <c r="L990" s="276">
        <f t="shared" si="896"/>
        <v>-1.3898436366259106</v>
      </c>
      <c r="M990" s="276">
        <f t="shared" si="897"/>
        <v>-2.1600814294810178</v>
      </c>
      <c r="N990" s="685">
        <f t="shared" si="898"/>
        <v>1.0400778236864265</v>
      </c>
      <c r="O990" s="276">
        <f t="shared" si="899"/>
        <v>2.2301082647235289</v>
      </c>
      <c r="P990" s="276">
        <f t="shared" si="900"/>
        <v>0.56930979744236443</v>
      </c>
      <c r="Q990" s="276">
        <f t="shared" si="901"/>
        <v>1.0007471658085392</v>
      </c>
      <c r="R990" s="276">
        <f t="shared" si="902"/>
        <v>1.5665614657505087</v>
      </c>
      <c r="S990" s="686">
        <f t="shared" si="903"/>
        <v>0.81584483518564332</v>
      </c>
      <c r="T990" s="685">
        <f t="shared" si="904"/>
        <v>4.5714069987424972</v>
      </c>
      <c r="U990" s="276">
        <f t="shared" si="905"/>
        <v>3.9042878381204584</v>
      </c>
      <c r="V990" s="276">
        <f t="shared" si="906"/>
        <v>4.7101274854516006</v>
      </c>
      <c r="W990" s="276">
        <f t="shared" si="907"/>
        <v>2.643188982396107</v>
      </c>
      <c r="X990" s="276">
        <f t="shared" si="908"/>
        <v>4.8309141999232317</v>
      </c>
      <c r="Y990" s="686">
        <f t="shared" si="909"/>
        <v>2.9189916218072907</v>
      </c>
      <c r="Z990" s="685" t="e">
        <f t="shared" si="910"/>
        <v>#DIV/0!</v>
      </c>
      <c r="AA990" s="276" t="e">
        <f t="shared" si="911"/>
        <v>#DIV/0!</v>
      </c>
      <c r="AB990" s="276" t="e">
        <f t="shared" si="912"/>
        <v>#DIV/0!</v>
      </c>
      <c r="AC990" s="276" t="e">
        <f t="shared" si="913"/>
        <v>#DIV/0!</v>
      </c>
      <c r="AD990" s="276" t="e">
        <f t="shared" si="914"/>
        <v>#DIV/0!</v>
      </c>
      <c r="AE990" s="686" t="e">
        <f t="shared" si="915"/>
        <v>#DIV/0!</v>
      </c>
      <c r="AF990" s="239"/>
      <c r="AG990" s="965" t="e">
        <f t="shared" si="886"/>
        <v>#VALUE!</v>
      </c>
      <c r="AH990" s="878" t="e">
        <f t="shared" si="887"/>
        <v>#VALUE!</v>
      </c>
      <c r="AI990" s="878" t="e">
        <f t="shared" si="888"/>
        <v>#VALUE!</v>
      </c>
      <c r="AJ990" s="878" t="e">
        <f t="shared" si="889"/>
        <v>#VALUE!</v>
      </c>
      <c r="AK990" s="878" t="e">
        <f t="shared" si="890"/>
        <v>#VALUE!</v>
      </c>
      <c r="AL990" s="966" t="e">
        <f t="shared" si="891"/>
        <v>#VALUE!</v>
      </c>
      <c r="AM990" s="239"/>
      <c r="AO990" s="685">
        <f t="shared" si="916"/>
        <v>-0.47372699303736321</v>
      </c>
      <c r="AP990" s="276">
        <f t="shared" si="917"/>
        <v>2.2122431052727096</v>
      </c>
      <c r="AQ990" s="276">
        <f t="shared" si="918"/>
        <v>-1.9072284718220818</v>
      </c>
      <c r="AR990" s="276">
        <f t="shared" si="919"/>
        <v>-2.8815930310742282</v>
      </c>
      <c r="AS990" s="276">
        <f t="shared" si="920"/>
        <v>-1.3898436366259106</v>
      </c>
      <c r="AT990" s="276">
        <f t="shared" si="921"/>
        <v>-2.1600814294810178</v>
      </c>
      <c r="AU990" s="685">
        <f t="shared" si="922"/>
        <v>1.0400778236864265</v>
      </c>
      <c r="AV990" s="276">
        <f t="shared" si="923"/>
        <v>2.2301082647235289</v>
      </c>
      <c r="AW990" s="276">
        <f t="shared" si="924"/>
        <v>0.56930979744236443</v>
      </c>
      <c r="AX990" s="276">
        <f t="shared" si="925"/>
        <v>1.0007471658085392</v>
      </c>
      <c r="AY990" s="276">
        <f t="shared" si="926"/>
        <v>1.5665614657505087</v>
      </c>
      <c r="AZ990" s="686">
        <f t="shared" si="927"/>
        <v>0.81584483518564332</v>
      </c>
      <c r="BA990" s="685">
        <f t="shared" si="928"/>
        <v>0</v>
      </c>
      <c r="BB990" s="276">
        <f t="shared" si="929"/>
        <v>0</v>
      </c>
      <c r="BC990" s="276">
        <f t="shared" si="930"/>
        <v>0</v>
      </c>
      <c r="BD990" s="276">
        <f t="shared" si="931"/>
        <v>0</v>
      </c>
      <c r="BE990" s="276">
        <f t="shared" si="932"/>
        <v>0</v>
      </c>
      <c r="BF990" s="686">
        <f t="shared" si="933"/>
        <v>0</v>
      </c>
      <c r="BG990" s="685" t="e">
        <f t="shared" si="934"/>
        <v>#DIV/0!</v>
      </c>
      <c r="BH990" s="276" t="e">
        <f t="shared" si="935"/>
        <v>#DIV/0!</v>
      </c>
      <c r="BI990" s="276" t="e">
        <f t="shared" si="936"/>
        <v>#DIV/0!</v>
      </c>
      <c r="BJ990" s="276" t="e">
        <f t="shared" si="937"/>
        <v>#DIV/0!</v>
      </c>
      <c r="BK990" s="276" t="e">
        <f t="shared" si="938"/>
        <v>#DIV/0!</v>
      </c>
      <c r="BL990" s="686" t="e">
        <f t="shared" si="939"/>
        <v>#DIV/0!</v>
      </c>
      <c r="BM990" s="239"/>
      <c r="BN990" s="965" t="e">
        <f t="shared" si="940"/>
        <v>#VALUE!</v>
      </c>
      <c r="BO990" s="878" t="e">
        <f t="shared" si="941"/>
        <v>#VALUE!</v>
      </c>
      <c r="BP990" s="878" t="e">
        <f t="shared" si="942"/>
        <v>#VALUE!</v>
      </c>
      <c r="BQ990" s="878" t="e">
        <f t="shared" si="943"/>
        <v>#VALUE!</v>
      </c>
      <c r="BR990" s="878" t="e">
        <f t="shared" si="944"/>
        <v>#VALUE!</v>
      </c>
      <c r="BS990" s="966" t="e">
        <f t="shared" si="945"/>
        <v>#VALUE!</v>
      </c>
    </row>
    <row r="991" spans="1:71">
      <c r="A991" s="284">
        <f t="shared" si="946"/>
        <v>923</v>
      </c>
      <c r="B991" s="285">
        <v>0.20268358289944147</v>
      </c>
      <c r="C991" s="285">
        <v>3.2618044168002061</v>
      </c>
      <c r="D991" s="285">
        <v>0.89495458335535805</v>
      </c>
      <c r="E991" s="285">
        <v>15.003173282607637</v>
      </c>
      <c r="H991" s="685">
        <f t="shared" si="892"/>
        <v>-0.9305502588696134</v>
      </c>
      <c r="I991" s="276">
        <f t="shared" si="893"/>
        <v>-2.7081168755989973</v>
      </c>
      <c r="J991" s="276">
        <f t="shared" si="894"/>
        <v>-3.6992217575129107</v>
      </c>
      <c r="K991" s="276">
        <f t="shared" si="895"/>
        <v>-1.493172246026746</v>
      </c>
      <c r="L991" s="276">
        <f t="shared" si="896"/>
        <v>0.51968704772117902</v>
      </c>
      <c r="M991" s="276">
        <f t="shared" si="897"/>
        <v>-1.229210220839704</v>
      </c>
      <c r="N991" s="685">
        <f t="shared" si="898"/>
        <v>2.0546332058283374</v>
      </c>
      <c r="O991" s="276">
        <f t="shared" si="899"/>
        <v>1.1381910169063778</v>
      </c>
      <c r="P991" s="276">
        <f t="shared" si="900"/>
        <v>1.5855879063793445</v>
      </c>
      <c r="Q991" s="276">
        <f t="shared" si="901"/>
        <v>0.70555288851452147</v>
      </c>
      <c r="R991" s="276">
        <f t="shared" si="902"/>
        <v>1.5593551566100163</v>
      </c>
      <c r="S991" s="686">
        <f t="shared" si="903"/>
        <v>1.4690687380106155</v>
      </c>
      <c r="T991" s="685">
        <f t="shared" si="904"/>
        <v>4.1733182736262844</v>
      </c>
      <c r="U991" s="276">
        <f t="shared" si="905"/>
        <v>5.4615711321377116</v>
      </c>
      <c r="V991" s="276">
        <f t="shared" si="906"/>
        <v>2.8384361867254704</v>
      </c>
      <c r="W991" s="276">
        <f t="shared" si="907"/>
        <v>2.6774258603977108</v>
      </c>
      <c r="X991" s="276">
        <f t="shared" si="908"/>
        <v>6.0583308381397369</v>
      </c>
      <c r="Y991" s="686">
        <f t="shared" si="909"/>
        <v>5.1291292473912975</v>
      </c>
      <c r="Z991" s="685" t="e">
        <f t="shared" si="910"/>
        <v>#DIV/0!</v>
      </c>
      <c r="AA991" s="276" t="e">
        <f t="shared" si="911"/>
        <v>#DIV/0!</v>
      </c>
      <c r="AB991" s="276" t="e">
        <f t="shared" si="912"/>
        <v>#DIV/0!</v>
      </c>
      <c r="AC991" s="276" t="e">
        <f t="shared" si="913"/>
        <v>#DIV/0!</v>
      </c>
      <c r="AD991" s="276" t="e">
        <f t="shared" si="914"/>
        <v>#DIV/0!</v>
      </c>
      <c r="AE991" s="686" t="e">
        <f t="shared" si="915"/>
        <v>#DIV/0!</v>
      </c>
      <c r="AF991" s="239"/>
      <c r="AG991" s="965" t="e">
        <f t="shared" si="886"/>
        <v>#VALUE!</v>
      </c>
      <c r="AH991" s="878" t="e">
        <f t="shared" si="887"/>
        <v>#VALUE!</v>
      </c>
      <c r="AI991" s="878" t="e">
        <f t="shared" si="888"/>
        <v>#VALUE!</v>
      </c>
      <c r="AJ991" s="878" t="e">
        <f t="shared" si="889"/>
        <v>#VALUE!</v>
      </c>
      <c r="AK991" s="878" t="e">
        <f t="shared" si="890"/>
        <v>#VALUE!</v>
      </c>
      <c r="AL991" s="966" t="e">
        <f t="shared" si="891"/>
        <v>#VALUE!</v>
      </c>
      <c r="AM991" s="239"/>
      <c r="AO991" s="685">
        <f t="shared" si="916"/>
        <v>-0.9305502588696134</v>
      </c>
      <c r="AP991" s="276">
        <f t="shared" si="917"/>
        <v>-2.7081168755989973</v>
      </c>
      <c r="AQ991" s="276">
        <f t="shared" si="918"/>
        <v>-3.6992217575129107</v>
      </c>
      <c r="AR991" s="276">
        <f t="shared" si="919"/>
        <v>-1.493172246026746</v>
      </c>
      <c r="AS991" s="276">
        <f t="shared" si="920"/>
        <v>0.51968704772117902</v>
      </c>
      <c r="AT991" s="276">
        <f t="shared" si="921"/>
        <v>-1.229210220839704</v>
      </c>
      <c r="AU991" s="685">
        <f t="shared" si="922"/>
        <v>2.0546332058283374</v>
      </c>
      <c r="AV991" s="276">
        <f t="shared" si="923"/>
        <v>1.1381910169063778</v>
      </c>
      <c r="AW991" s="276">
        <f t="shared" si="924"/>
        <v>1.5855879063793445</v>
      </c>
      <c r="AX991" s="276">
        <f t="shared" si="925"/>
        <v>0.70555288851452147</v>
      </c>
      <c r="AY991" s="276">
        <f t="shared" si="926"/>
        <v>1.5593551566100163</v>
      </c>
      <c r="AZ991" s="686">
        <f t="shared" si="927"/>
        <v>1.4690687380106155</v>
      </c>
      <c r="BA991" s="685">
        <f t="shared" si="928"/>
        <v>0</v>
      </c>
      <c r="BB991" s="276">
        <f t="shared" si="929"/>
        <v>0</v>
      </c>
      <c r="BC991" s="276">
        <f t="shared" si="930"/>
        <v>0</v>
      </c>
      <c r="BD991" s="276">
        <f t="shared" si="931"/>
        <v>0</v>
      </c>
      <c r="BE991" s="276">
        <f t="shared" si="932"/>
        <v>0</v>
      </c>
      <c r="BF991" s="686">
        <f t="shared" si="933"/>
        <v>0</v>
      </c>
      <c r="BG991" s="685" t="e">
        <f t="shared" si="934"/>
        <v>#DIV/0!</v>
      </c>
      <c r="BH991" s="276" t="e">
        <f t="shared" si="935"/>
        <v>#DIV/0!</v>
      </c>
      <c r="BI991" s="276" t="e">
        <f t="shared" si="936"/>
        <v>#DIV/0!</v>
      </c>
      <c r="BJ991" s="276" t="e">
        <f t="shared" si="937"/>
        <v>#DIV/0!</v>
      </c>
      <c r="BK991" s="276" t="e">
        <f t="shared" si="938"/>
        <v>#DIV/0!</v>
      </c>
      <c r="BL991" s="686" t="e">
        <f t="shared" si="939"/>
        <v>#DIV/0!</v>
      </c>
      <c r="BM991" s="239"/>
      <c r="BN991" s="965" t="e">
        <f t="shared" si="940"/>
        <v>#VALUE!</v>
      </c>
      <c r="BO991" s="878" t="e">
        <f t="shared" si="941"/>
        <v>#VALUE!</v>
      </c>
      <c r="BP991" s="878" t="e">
        <f t="shared" si="942"/>
        <v>#VALUE!</v>
      </c>
      <c r="BQ991" s="878" t="e">
        <f t="shared" si="943"/>
        <v>#VALUE!</v>
      </c>
      <c r="BR991" s="878" t="e">
        <f t="shared" si="944"/>
        <v>#VALUE!</v>
      </c>
      <c r="BS991" s="966" t="e">
        <f t="shared" si="945"/>
        <v>#VALUE!</v>
      </c>
    </row>
    <row r="992" spans="1:71">
      <c r="A992" s="284">
        <f t="shared" si="946"/>
        <v>924</v>
      </c>
      <c r="B992" s="285">
        <v>-2.8116416836136686</v>
      </c>
      <c r="C992" s="285">
        <v>2.2478466044194092</v>
      </c>
      <c r="D992" s="285">
        <v>1.2220302787444282</v>
      </c>
      <c r="E992" s="285">
        <v>-13.584496840728583</v>
      </c>
      <c r="H992" s="685">
        <f t="shared" si="892"/>
        <v>-3.9448755253827237</v>
      </c>
      <c r="I992" s="276">
        <f t="shared" si="893"/>
        <v>3.2900935007156669</v>
      </c>
      <c r="J992" s="276">
        <f t="shared" si="894"/>
        <v>-1.6244235517521981</v>
      </c>
      <c r="K992" s="276">
        <f t="shared" si="895"/>
        <v>-3.0744300819624479</v>
      </c>
      <c r="L992" s="276">
        <f t="shared" si="896"/>
        <v>-1.320878624318238</v>
      </c>
      <c r="M992" s="276">
        <f t="shared" si="897"/>
        <v>-2.1522917981110847</v>
      </c>
      <c r="N992" s="685">
        <f t="shared" si="898"/>
        <v>1.0406753934475408</v>
      </c>
      <c r="O992" s="276">
        <f t="shared" si="899"/>
        <v>1.8779014755744192</v>
      </c>
      <c r="P992" s="276">
        <f t="shared" si="900"/>
        <v>1.7258090661682297</v>
      </c>
      <c r="Q992" s="276">
        <f t="shared" si="901"/>
        <v>0.6170964971605708</v>
      </c>
      <c r="R992" s="276">
        <f t="shared" si="902"/>
        <v>0.84100951722045925</v>
      </c>
      <c r="S992" s="686">
        <f t="shared" si="903"/>
        <v>0.43031006145303774</v>
      </c>
      <c r="T992" s="685">
        <f t="shared" si="904"/>
        <v>4.500393969015354</v>
      </c>
      <c r="U992" s="276">
        <f t="shared" si="905"/>
        <v>5.1032923803636887</v>
      </c>
      <c r="V992" s="276">
        <f t="shared" si="906"/>
        <v>3.8890507565721979</v>
      </c>
      <c r="W992" s="276">
        <f t="shared" si="907"/>
        <v>3.9268729337976334</v>
      </c>
      <c r="X992" s="276">
        <f t="shared" si="908"/>
        <v>4.6428598519142099</v>
      </c>
      <c r="Y992" s="686">
        <f t="shared" si="909"/>
        <v>5.892978073328317</v>
      </c>
      <c r="Z992" s="685" t="e">
        <f t="shared" si="910"/>
        <v>#DIV/0!</v>
      </c>
      <c r="AA992" s="276" t="e">
        <f t="shared" si="911"/>
        <v>#DIV/0!</v>
      </c>
      <c r="AB992" s="276" t="e">
        <f t="shared" si="912"/>
        <v>#DIV/0!</v>
      </c>
      <c r="AC992" s="276" t="e">
        <f t="shared" si="913"/>
        <v>#DIV/0!</v>
      </c>
      <c r="AD992" s="276" t="e">
        <f t="shared" si="914"/>
        <v>#DIV/0!</v>
      </c>
      <c r="AE992" s="686" t="e">
        <f t="shared" si="915"/>
        <v>#DIV/0!</v>
      </c>
      <c r="AF992" s="239"/>
      <c r="AG992" s="965" t="e">
        <f t="shared" si="886"/>
        <v>#VALUE!</v>
      </c>
      <c r="AH992" s="878" t="e">
        <f t="shared" si="887"/>
        <v>#VALUE!</v>
      </c>
      <c r="AI992" s="878" t="e">
        <f t="shared" si="888"/>
        <v>#VALUE!</v>
      </c>
      <c r="AJ992" s="878" t="e">
        <f t="shared" si="889"/>
        <v>#VALUE!</v>
      </c>
      <c r="AK992" s="878" t="e">
        <f t="shared" si="890"/>
        <v>#VALUE!</v>
      </c>
      <c r="AL992" s="966" t="e">
        <f t="shared" si="891"/>
        <v>#VALUE!</v>
      </c>
      <c r="AM992" s="239"/>
      <c r="AO992" s="685">
        <f t="shared" si="916"/>
        <v>-3.9448755253827237</v>
      </c>
      <c r="AP992" s="276">
        <f t="shared" si="917"/>
        <v>3.2900935007156669</v>
      </c>
      <c r="AQ992" s="276">
        <f t="shared" si="918"/>
        <v>-1.6244235517521981</v>
      </c>
      <c r="AR992" s="276">
        <f t="shared" si="919"/>
        <v>-3.0744300819624479</v>
      </c>
      <c r="AS992" s="276">
        <f t="shared" si="920"/>
        <v>-1.320878624318238</v>
      </c>
      <c r="AT992" s="276">
        <f t="shared" si="921"/>
        <v>-2.1522917981110847</v>
      </c>
      <c r="AU992" s="685">
        <f t="shared" si="922"/>
        <v>1.0406753934475408</v>
      </c>
      <c r="AV992" s="276">
        <f t="shared" si="923"/>
        <v>1.8779014755744192</v>
      </c>
      <c r="AW992" s="276">
        <f t="shared" si="924"/>
        <v>1.7258090661682297</v>
      </c>
      <c r="AX992" s="276">
        <f t="shared" si="925"/>
        <v>0.6170964971605708</v>
      </c>
      <c r="AY992" s="276">
        <f t="shared" si="926"/>
        <v>0.84100951722045925</v>
      </c>
      <c r="AZ992" s="686">
        <f t="shared" si="927"/>
        <v>0.43031006145303774</v>
      </c>
      <c r="BA992" s="685">
        <f t="shared" si="928"/>
        <v>0</v>
      </c>
      <c r="BB992" s="276">
        <f t="shared" si="929"/>
        <v>0</v>
      </c>
      <c r="BC992" s="276">
        <f t="shared" si="930"/>
        <v>0</v>
      </c>
      <c r="BD992" s="276">
        <f t="shared" si="931"/>
        <v>0</v>
      </c>
      <c r="BE992" s="276">
        <f t="shared" si="932"/>
        <v>0</v>
      </c>
      <c r="BF992" s="686">
        <f t="shared" si="933"/>
        <v>0</v>
      </c>
      <c r="BG992" s="685" t="e">
        <f t="shared" si="934"/>
        <v>#DIV/0!</v>
      </c>
      <c r="BH992" s="276" t="e">
        <f t="shared" si="935"/>
        <v>#DIV/0!</v>
      </c>
      <c r="BI992" s="276" t="e">
        <f t="shared" si="936"/>
        <v>#DIV/0!</v>
      </c>
      <c r="BJ992" s="276" t="e">
        <f t="shared" si="937"/>
        <v>#DIV/0!</v>
      </c>
      <c r="BK992" s="276" t="e">
        <f t="shared" si="938"/>
        <v>#DIV/0!</v>
      </c>
      <c r="BL992" s="686" t="e">
        <f t="shared" si="939"/>
        <v>#DIV/0!</v>
      </c>
      <c r="BM992" s="239"/>
      <c r="BN992" s="965" t="e">
        <f t="shared" si="940"/>
        <v>#VALUE!</v>
      </c>
      <c r="BO992" s="878" t="e">
        <f t="shared" si="941"/>
        <v>#VALUE!</v>
      </c>
      <c r="BP992" s="878" t="e">
        <f t="shared" si="942"/>
        <v>#VALUE!</v>
      </c>
      <c r="BQ992" s="878" t="e">
        <f t="shared" si="943"/>
        <v>#VALUE!</v>
      </c>
      <c r="BR992" s="878" t="e">
        <f t="shared" si="944"/>
        <v>#VALUE!</v>
      </c>
      <c r="BS992" s="966" t="e">
        <f t="shared" si="945"/>
        <v>#VALUE!</v>
      </c>
    </row>
    <row r="993" spans="1:71">
      <c r="A993" s="284">
        <f t="shared" si="946"/>
        <v>925</v>
      </c>
      <c r="B993" s="285">
        <v>-1.1270127965929313</v>
      </c>
      <c r="C993" s="285">
        <v>3.5378596952804831</v>
      </c>
      <c r="D993" s="285">
        <v>1.8858965541465478</v>
      </c>
      <c r="E993" s="285">
        <v>17.392032373689197</v>
      </c>
      <c r="H993" s="685">
        <f t="shared" si="892"/>
        <v>-2.2602466383619859</v>
      </c>
      <c r="I993" s="276">
        <f t="shared" si="893"/>
        <v>1.9434143737266136</v>
      </c>
      <c r="J993" s="276">
        <f t="shared" si="894"/>
        <v>1.4928126499911774</v>
      </c>
      <c r="K993" s="276">
        <f t="shared" si="895"/>
        <v>-0.91459488340649819</v>
      </c>
      <c r="L993" s="276">
        <f t="shared" si="896"/>
        <v>1.2689859356986188E-2</v>
      </c>
      <c r="M993" s="276">
        <f t="shared" si="897"/>
        <v>-5.7079866526277208</v>
      </c>
      <c r="N993" s="685">
        <f t="shared" si="898"/>
        <v>2.3306884843086149</v>
      </c>
      <c r="O993" s="276">
        <f t="shared" si="899"/>
        <v>1.3048001173219672</v>
      </c>
      <c r="P993" s="276">
        <f t="shared" si="900"/>
        <v>1.6469633009842652</v>
      </c>
      <c r="Q993" s="276">
        <f t="shared" si="901"/>
        <v>0.77667186321838666</v>
      </c>
      <c r="R993" s="276">
        <f t="shared" si="902"/>
        <v>0.97301168709107588</v>
      </c>
      <c r="S993" s="686">
        <f t="shared" si="903"/>
        <v>0.59945580183387626</v>
      </c>
      <c r="T993" s="685">
        <f t="shared" si="904"/>
        <v>5.1642602444174734</v>
      </c>
      <c r="U993" s="276">
        <f t="shared" si="905"/>
        <v>3.3261018149188866</v>
      </c>
      <c r="V993" s="276">
        <f t="shared" si="906"/>
        <v>3.6348955356653807</v>
      </c>
      <c r="W993" s="276">
        <f t="shared" si="907"/>
        <v>6.5458509975751689</v>
      </c>
      <c r="X993" s="276">
        <f t="shared" si="908"/>
        <v>4.8828275134802874</v>
      </c>
      <c r="Y993" s="686">
        <f t="shared" si="909"/>
        <v>4.2318412831963048</v>
      </c>
      <c r="Z993" s="685" t="e">
        <f t="shared" si="910"/>
        <v>#DIV/0!</v>
      </c>
      <c r="AA993" s="276" t="e">
        <f t="shared" si="911"/>
        <v>#DIV/0!</v>
      </c>
      <c r="AB993" s="276" t="e">
        <f t="shared" si="912"/>
        <v>#DIV/0!</v>
      </c>
      <c r="AC993" s="276" t="e">
        <f t="shared" si="913"/>
        <v>#DIV/0!</v>
      </c>
      <c r="AD993" s="276" t="e">
        <f t="shared" si="914"/>
        <v>#DIV/0!</v>
      </c>
      <c r="AE993" s="686" t="e">
        <f t="shared" si="915"/>
        <v>#DIV/0!</v>
      </c>
      <c r="AF993" s="239"/>
      <c r="AG993" s="965" t="e">
        <f t="shared" si="886"/>
        <v>#VALUE!</v>
      </c>
      <c r="AH993" s="878" t="e">
        <f t="shared" si="887"/>
        <v>#VALUE!</v>
      </c>
      <c r="AI993" s="878" t="e">
        <f t="shared" si="888"/>
        <v>#VALUE!</v>
      </c>
      <c r="AJ993" s="878" t="e">
        <f t="shared" si="889"/>
        <v>#VALUE!</v>
      </c>
      <c r="AK993" s="878" t="e">
        <f t="shared" si="890"/>
        <v>#VALUE!</v>
      </c>
      <c r="AL993" s="966" t="e">
        <f t="shared" si="891"/>
        <v>#VALUE!</v>
      </c>
      <c r="AM993" s="239"/>
      <c r="AO993" s="685">
        <f t="shared" si="916"/>
        <v>-2.2602466383619859</v>
      </c>
      <c r="AP993" s="276">
        <f t="shared" si="917"/>
        <v>1.9434143737266136</v>
      </c>
      <c r="AQ993" s="276">
        <f t="shared" si="918"/>
        <v>1.4928126499911774</v>
      </c>
      <c r="AR993" s="276">
        <f t="shared" si="919"/>
        <v>-0.91459488340649819</v>
      </c>
      <c r="AS993" s="276">
        <f t="shared" si="920"/>
        <v>1.2689859356986188E-2</v>
      </c>
      <c r="AT993" s="276">
        <f t="shared" si="921"/>
        <v>-5.7079866526277208</v>
      </c>
      <c r="AU993" s="685">
        <f t="shared" si="922"/>
        <v>2.3306884843086149</v>
      </c>
      <c r="AV993" s="276">
        <f t="shared" si="923"/>
        <v>1.3048001173219672</v>
      </c>
      <c r="AW993" s="276">
        <f t="shared" si="924"/>
        <v>1.6469633009842652</v>
      </c>
      <c r="AX993" s="276">
        <f t="shared" si="925"/>
        <v>0.77667186321838666</v>
      </c>
      <c r="AY993" s="276">
        <f t="shared" si="926"/>
        <v>0.97301168709107588</v>
      </c>
      <c r="AZ993" s="686">
        <f t="shared" si="927"/>
        <v>0.59945580183387626</v>
      </c>
      <c r="BA993" s="685">
        <f t="shared" si="928"/>
        <v>0</v>
      </c>
      <c r="BB993" s="276">
        <f t="shared" si="929"/>
        <v>0</v>
      </c>
      <c r="BC993" s="276">
        <f t="shared" si="930"/>
        <v>0</v>
      </c>
      <c r="BD993" s="276">
        <f t="shared" si="931"/>
        <v>0</v>
      </c>
      <c r="BE993" s="276">
        <f t="shared" si="932"/>
        <v>0</v>
      </c>
      <c r="BF993" s="686">
        <f t="shared" si="933"/>
        <v>0</v>
      </c>
      <c r="BG993" s="685" t="e">
        <f t="shared" si="934"/>
        <v>#DIV/0!</v>
      </c>
      <c r="BH993" s="276" t="e">
        <f t="shared" si="935"/>
        <v>#DIV/0!</v>
      </c>
      <c r="BI993" s="276" t="e">
        <f t="shared" si="936"/>
        <v>#DIV/0!</v>
      </c>
      <c r="BJ993" s="276" t="e">
        <f t="shared" si="937"/>
        <v>#DIV/0!</v>
      </c>
      <c r="BK993" s="276" t="e">
        <f t="shared" si="938"/>
        <v>#DIV/0!</v>
      </c>
      <c r="BL993" s="686" t="e">
        <f t="shared" si="939"/>
        <v>#DIV/0!</v>
      </c>
      <c r="BM993" s="239"/>
      <c r="BN993" s="965" t="e">
        <f t="shared" si="940"/>
        <v>#VALUE!</v>
      </c>
      <c r="BO993" s="878" t="e">
        <f t="shared" si="941"/>
        <v>#VALUE!</v>
      </c>
      <c r="BP993" s="878" t="e">
        <f t="shared" si="942"/>
        <v>#VALUE!</v>
      </c>
      <c r="BQ993" s="878" t="e">
        <f t="shared" si="943"/>
        <v>#VALUE!</v>
      </c>
      <c r="BR993" s="878" t="e">
        <f t="shared" si="944"/>
        <v>#VALUE!</v>
      </c>
      <c r="BS993" s="966" t="e">
        <f t="shared" si="945"/>
        <v>#VALUE!</v>
      </c>
    </row>
    <row r="994" spans="1:71">
      <c r="A994" s="284">
        <f t="shared" si="946"/>
        <v>926</v>
      </c>
      <c r="B994" s="285">
        <v>-2.3732310533610264</v>
      </c>
      <c r="C994" s="285">
        <v>2.7219941401960677</v>
      </c>
      <c r="D994" s="285">
        <v>-1.0260563483559055</v>
      </c>
      <c r="E994" s="285">
        <v>5.9273627124918775</v>
      </c>
      <c r="H994" s="685">
        <f t="shared" si="892"/>
        <v>-3.5064648951300814</v>
      </c>
      <c r="I994" s="276">
        <f t="shared" si="893"/>
        <v>-0.81429432344291142</v>
      </c>
      <c r="J994" s="276">
        <f t="shared" si="894"/>
        <v>-2.5632827522530759</v>
      </c>
      <c r="K994" s="276">
        <f t="shared" si="895"/>
        <v>-0.50026366433370095</v>
      </c>
      <c r="L994" s="276">
        <f t="shared" si="896"/>
        <v>-5.7265613202868435</v>
      </c>
      <c r="M994" s="276">
        <f t="shared" si="897"/>
        <v>1.1718956092978579</v>
      </c>
      <c r="N994" s="685">
        <f t="shared" si="898"/>
        <v>1.5148229292241993</v>
      </c>
      <c r="O994" s="276">
        <f t="shared" si="899"/>
        <v>1.4958833936093889</v>
      </c>
      <c r="P994" s="276">
        <f t="shared" si="900"/>
        <v>1.5516600766494661</v>
      </c>
      <c r="Q994" s="276">
        <f t="shared" si="901"/>
        <v>0.7879655344868659</v>
      </c>
      <c r="R994" s="276">
        <f t="shared" si="902"/>
        <v>0.57528759657883799</v>
      </c>
      <c r="S994" s="686">
        <f t="shared" si="903"/>
        <v>2.0843072596120713</v>
      </c>
      <c r="T994" s="685">
        <f t="shared" si="904"/>
        <v>2.2523073419150204</v>
      </c>
      <c r="U994" s="276">
        <f t="shared" si="905"/>
        <v>3.3151503319978981</v>
      </c>
      <c r="V994" s="276">
        <f t="shared" si="906"/>
        <v>2.4419004337235459</v>
      </c>
      <c r="W994" s="276">
        <f t="shared" si="907"/>
        <v>5.1547954564162417</v>
      </c>
      <c r="X994" s="276">
        <f t="shared" si="908"/>
        <v>6.2237907270049995</v>
      </c>
      <c r="Y994" s="686">
        <f t="shared" si="909"/>
        <v>4.948942316949049</v>
      </c>
      <c r="Z994" s="685" t="e">
        <f t="shared" si="910"/>
        <v>#DIV/0!</v>
      </c>
      <c r="AA994" s="276" t="e">
        <f t="shared" si="911"/>
        <v>#DIV/0!</v>
      </c>
      <c r="AB994" s="276" t="e">
        <f t="shared" si="912"/>
        <v>#DIV/0!</v>
      </c>
      <c r="AC994" s="276" t="e">
        <f t="shared" si="913"/>
        <v>#DIV/0!</v>
      </c>
      <c r="AD994" s="276" t="e">
        <f t="shared" si="914"/>
        <v>#DIV/0!</v>
      </c>
      <c r="AE994" s="686" t="e">
        <f t="shared" si="915"/>
        <v>#DIV/0!</v>
      </c>
      <c r="AF994" s="239"/>
      <c r="AG994" s="965" t="e">
        <f t="shared" si="886"/>
        <v>#VALUE!</v>
      </c>
      <c r="AH994" s="878" t="e">
        <f t="shared" si="887"/>
        <v>#VALUE!</v>
      </c>
      <c r="AI994" s="878" t="e">
        <f t="shared" si="888"/>
        <v>#VALUE!</v>
      </c>
      <c r="AJ994" s="878" t="e">
        <f t="shared" si="889"/>
        <v>#VALUE!</v>
      </c>
      <c r="AK994" s="878" t="e">
        <f t="shared" si="890"/>
        <v>#VALUE!</v>
      </c>
      <c r="AL994" s="966" t="e">
        <f t="shared" si="891"/>
        <v>#VALUE!</v>
      </c>
      <c r="AM994" s="239"/>
      <c r="AO994" s="685">
        <f t="shared" si="916"/>
        <v>-3.5064648951300814</v>
      </c>
      <c r="AP994" s="276">
        <f t="shared" si="917"/>
        <v>-0.81429432344291142</v>
      </c>
      <c r="AQ994" s="276">
        <f t="shared" si="918"/>
        <v>-2.5632827522530759</v>
      </c>
      <c r="AR994" s="276">
        <f t="shared" si="919"/>
        <v>-0.50026366433370095</v>
      </c>
      <c r="AS994" s="276">
        <f t="shared" si="920"/>
        <v>-5.7265613202868435</v>
      </c>
      <c r="AT994" s="276">
        <f t="shared" si="921"/>
        <v>1.1718956092978579</v>
      </c>
      <c r="AU994" s="685">
        <f t="shared" si="922"/>
        <v>1.5148229292241993</v>
      </c>
      <c r="AV994" s="276">
        <f t="shared" si="923"/>
        <v>1.4958833936093889</v>
      </c>
      <c r="AW994" s="276">
        <f t="shared" si="924"/>
        <v>1.5516600766494661</v>
      </c>
      <c r="AX994" s="276">
        <f t="shared" si="925"/>
        <v>0.7879655344868659</v>
      </c>
      <c r="AY994" s="276">
        <f t="shared" si="926"/>
        <v>0.57528759657883799</v>
      </c>
      <c r="AZ994" s="686">
        <f t="shared" si="927"/>
        <v>2.0843072596120713</v>
      </c>
      <c r="BA994" s="685">
        <f t="shared" si="928"/>
        <v>0</v>
      </c>
      <c r="BB994" s="276">
        <f t="shared" si="929"/>
        <v>0</v>
      </c>
      <c r="BC994" s="276">
        <f t="shared" si="930"/>
        <v>0</v>
      </c>
      <c r="BD994" s="276">
        <f t="shared" si="931"/>
        <v>0</v>
      </c>
      <c r="BE994" s="276">
        <f t="shared" si="932"/>
        <v>0</v>
      </c>
      <c r="BF994" s="686">
        <f t="shared" si="933"/>
        <v>0</v>
      </c>
      <c r="BG994" s="685" t="e">
        <f t="shared" si="934"/>
        <v>#DIV/0!</v>
      </c>
      <c r="BH994" s="276" t="e">
        <f t="shared" si="935"/>
        <v>#DIV/0!</v>
      </c>
      <c r="BI994" s="276" t="e">
        <f t="shared" si="936"/>
        <v>#DIV/0!</v>
      </c>
      <c r="BJ994" s="276" t="e">
        <f t="shared" si="937"/>
        <v>#DIV/0!</v>
      </c>
      <c r="BK994" s="276" t="e">
        <f t="shared" si="938"/>
        <v>#DIV/0!</v>
      </c>
      <c r="BL994" s="686" t="e">
        <f t="shared" si="939"/>
        <v>#DIV/0!</v>
      </c>
      <c r="BM994" s="239"/>
      <c r="BN994" s="965" t="e">
        <f t="shared" si="940"/>
        <v>#VALUE!</v>
      </c>
      <c r="BO994" s="878" t="e">
        <f t="shared" si="941"/>
        <v>#VALUE!</v>
      </c>
      <c r="BP994" s="878" t="e">
        <f t="shared" si="942"/>
        <v>#VALUE!</v>
      </c>
      <c r="BQ994" s="878" t="e">
        <f t="shared" si="943"/>
        <v>#VALUE!</v>
      </c>
      <c r="BR994" s="878" t="e">
        <f t="shared" si="944"/>
        <v>#VALUE!</v>
      </c>
      <c r="BS994" s="966" t="e">
        <f t="shared" si="945"/>
        <v>#VALUE!</v>
      </c>
    </row>
    <row r="995" spans="1:71">
      <c r="A995" s="284">
        <f t="shared" si="946"/>
        <v>927</v>
      </c>
      <c r="B995" s="285">
        <v>-3.0930080154098509</v>
      </c>
      <c r="C995" s="285">
        <v>2.7209861600858898</v>
      </c>
      <c r="D995" s="285">
        <v>0.43182962293115845</v>
      </c>
      <c r="E995" s="285">
        <v>-1.6700369693052761</v>
      </c>
      <c r="H995" s="685">
        <f t="shared" si="892"/>
        <v>-4.2262418571789055</v>
      </c>
      <c r="I995" s="276">
        <f t="shared" si="893"/>
        <v>-1.0552441052376285</v>
      </c>
      <c r="J995" s="276">
        <f t="shared" si="894"/>
        <v>0.50831753555858894</v>
      </c>
      <c r="K995" s="276">
        <f t="shared" si="895"/>
        <v>-1.0638382031674662</v>
      </c>
      <c r="L995" s="276">
        <f t="shared" si="896"/>
        <v>-1.2819543066997208</v>
      </c>
      <c r="M995" s="276">
        <f t="shared" si="897"/>
        <v>-3.3887323911335621</v>
      </c>
      <c r="N995" s="685">
        <f t="shared" si="898"/>
        <v>1.5138149491140214</v>
      </c>
      <c r="O995" s="276">
        <f t="shared" si="899"/>
        <v>1.4018788657008272</v>
      </c>
      <c r="P995" s="276">
        <f t="shared" si="900"/>
        <v>1.5084251351944153</v>
      </c>
      <c r="Q995" s="276">
        <f t="shared" si="901"/>
        <v>1.3609354509816123</v>
      </c>
      <c r="R995" s="276">
        <f t="shared" si="902"/>
        <v>1.3381357472606659</v>
      </c>
      <c r="S995" s="686">
        <f t="shared" si="903"/>
        <v>1.1961366333521226</v>
      </c>
      <c r="T995" s="685">
        <f t="shared" si="904"/>
        <v>3.7101933132020841</v>
      </c>
      <c r="U995" s="276">
        <f t="shared" si="905"/>
        <v>3.3197056512266347</v>
      </c>
      <c r="V995" s="276">
        <f t="shared" si="906"/>
        <v>6.0945214481131185</v>
      </c>
      <c r="W995" s="276">
        <f t="shared" si="907"/>
        <v>3.2907335223206671</v>
      </c>
      <c r="X995" s="276">
        <f t="shared" si="908"/>
        <v>5.8426627935530089</v>
      </c>
      <c r="Y995" s="686">
        <f t="shared" si="909"/>
        <v>3.3779373278690312</v>
      </c>
      <c r="Z995" s="685" t="e">
        <f t="shared" si="910"/>
        <v>#DIV/0!</v>
      </c>
      <c r="AA995" s="276" t="e">
        <f t="shared" si="911"/>
        <v>#DIV/0!</v>
      </c>
      <c r="AB995" s="276" t="e">
        <f t="shared" si="912"/>
        <v>#DIV/0!</v>
      </c>
      <c r="AC995" s="276" t="e">
        <f t="shared" si="913"/>
        <v>#DIV/0!</v>
      </c>
      <c r="AD995" s="276" t="e">
        <f t="shared" si="914"/>
        <v>#DIV/0!</v>
      </c>
      <c r="AE995" s="686" t="e">
        <f t="shared" si="915"/>
        <v>#DIV/0!</v>
      </c>
      <c r="AF995" s="239"/>
      <c r="AG995" s="965" t="e">
        <f t="shared" si="886"/>
        <v>#VALUE!</v>
      </c>
      <c r="AH995" s="878" t="e">
        <f t="shared" si="887"/>
        <v>#VALUE!</v>
      </c>
      <c r="AI995" s="878" t="e">
        <f t="shared" si="888"/>
        <v>#VALUE!</v>
      </c>
      <c r="AJ995" s="878" t="e">
        <f t="shared" si="889"/>
        <v>#VALUE!</v>
      </c>
      <c r="AK995" s="878" t="e">
        <f t="shared" si="890"/>
        <v>#VALUE!</v>
      </c>
      <c r="AL995" s="966" t="e">
        <f t="shared" si="891"/>
        <v>#VALUE!</v>
      </c>
      <c r="AM995" s="239"/>
      <c r="AO995" s="685">
        <f t="shared" si="916"/>
        <v>-4.2262418571789055</v>
      </c>
      <c r="AP995" s="276">
        <f t="shared" si="917"/>
        <v>-1.0552441052376285</v>
      </c>
      <c r="AQ995" s="276">
        <f t="shared" si="918"/>
        <v>0.50831753555858894</v>
      </c>
      <c r="AR995" s="276">
        <f t="shared" si="919"/>
        <v>-1.0638382031674662</v>
      </c>
      <c r="AS995" s="276">
        <f t="shared" si="920"/>
        <v>-1.2819543066997208</v>
      </c>
      <c r="AT995" s="276">
        <f t="shared" si="921"/>
        <v>-3.3887323911335621</v>
      </c>
      <c r="AU995" s="685">
        <f t="shared" si="922"/>
        <v>1.5138149491140214</v>
      </c>
      <c r="AV995" s="276">
        <f t="shared" si="923"/>
        <v>1.4018788657008272</v>
      </c>
      <c r="AW995" s="276">
        <f t="shared" si="924"/>
        <v>1.5084251351944153</v>
      </c>
      <c r="AX995" s="276">
        <f t="shared" si="925"/>
        <v>1.3609354509816123</v>
      </c>
      <c r="AY995" s="276">
        <f t="shared" si="926"/>
        <v>1.3381357472606659</v>
      </c>
      <c r="AZ995" s="686">
        <f t="shared" si="927"/>
        <v>1.1961366333521226</v>
      </c>
      <c r="BA995" s="685">
        <f t="shared" si="928"/>
        <v>0</v>
      </c>
      <c r="BB995" s="276">
        <f t="shared" si="929"/>
        <v>0</v>
      </c>
      <c r="BC995" s="276">
        <f t="shared" si="930"/>
        <v>0</v>
      </c>
      <c r="BD995" s="276">
        <f t="shared" si="931"/>
        <v>0</v>
      </c>
      <c r="BE995" s="276">
        <f t="shared" si="932"/>
        <v>0</v>
      </c>
      <c r="BF995" s="686">
        <f t="shared" si="933"/>
        <v>0</v>
      </c>
      <c r="BG995" s="685" t="e">
        <f t="shared" si="934"/>
        <v>#DIV/0!</v>
      </c>
      <c r="BH995" s="276" t="e">
        <f t="shared" si="935"/>
        <v>#DIV/0!</v>
      </c>
      <c r="BI995" s="276" t="e">
        <f t="shared" si="936"/>
        <v>#DIV/0!</v>
      </c>
      <c r="BJ995" s="276" t="e">
        <f t="shared" si="937"/>
        <v>#DIV/0!</v>
      </c>
      <c r="BK995" s="276" t="e">
        <f t="shared" si="938"/>
        <v>#DIV/0!</v>
      </c>
      <c r="BL995" s="686" t="e">
        <f t="shared" si="939"/>
        <v>#DIV/0!</v>
      </c>
      <c r="BM995" s="239"/>
      <c r="BN995" s="965" t="e">
        <f t="shared" si="940"/>
        <v>#VALUE!</v>
      </c>
      <c r="BO995" s="878" t="e">
        <f t="shared" si="941"/>
        <v>#VALUE!</v>
      </c>
      <c r="BP995" s="878" t="e">
        <f t="shared" si="942"/>
        <v>#VALUE!</v>
      </c>
      <c r="BQ995" s="878" t="e">
        <f t="shared" si="943"/>
        <v>#VALUE!</v>
      </c>
      <c r="BR995" s="878" t="e">
        <f t="shared" si="944"/>
        <v>#VALUE!</v>
      </c>
      <c r="BS995" s="966" t="e">
        <f t="shared" si="945"/>
        <v>#VALUE!</v>
      </c>
    </row>
    <row r="996" spans="1:71">
      <c r="A996" s="284">
        <f t="shared" si="946"/>
        <v>928</v>
      </c>
      <c r="B996" s="285">
        <v>2.1056455814369865</v>
      </c>
      <c r="C996" s="285">
        <v>2.3616782885137706</v>
      </c>
      <c r="D996" s="285">
        <v>2.6377337537492327</v>
      </c>
      <c r="E996" s="285">
        <v>-6.9883307785654036</v>
      </c>
      <c r="H996" s="685">
        <f t="shared" si="892"/>
        <v>0.97241173966793171</v>
      </c>
      <c r="I996" s="276">
        <f t="shared" si="893"/>
        <v>-3.8036679774834843</v>
      </c>
      <c r="J996" s="276">
        <f t="shared" si="894"/>
        <v>0.40949570256312673</v>
      </c>
      <c r="K996" s="276">
        <f t="shared" si="895"/>
        <v>-3.2932252326843683</v>
      </c>
      <c r="L996" s="276">
        <f t="shared" si="896"/>
        <v>1.7242567202932741</v>
      </c>
      <c r="M996" s="276">
        <f t="shared" si="897"/>
        <v>-4.4673423733987185</v>
      </c>
      <c r="N996" s="685">
        <f t="shared" si="898"/>
        <v>1.1545070775419022</v>
      </c>
      <c r="O996" s="276">
        <f t="shared" si="899"/>
        <v>1.2075518806396814</v>
      </c>
      <c r="P996" s="276">
        <f t="shared" si="900"/>
        <v>1.1553405008848416</v>
      </c>
      <c r="Q996" s="276">
        <f t="shared" si="901"/>
        <v>1.0798414441638327</v>
      </c>
      <c r="R996" s="276">
        <f t="shared" si="902"/>
        <v>1.1122013307484513</v>
      </c>
      <c r="S996" s="686">
        <f t="shared" si="903"/>
        <v>0.41914888252267057</v>
      </c>
      <c r="T996" s="685">
        <f t="shared" si="904"/>
        <v>5.9160974440201581</v>
      </c>
      <c r="U996" s="276">
        <f t="shared" si="905"/>
        <v>4.2602665865921736</v>
      </c>
      <c r="V996" s="276">
        <f t="shared" si="906"/>
        <v>3.9049282533012768</v>
      </c>
      <c r="W996" s="276">
        <f t="shared" si="907"/>
        <v>1.7699780518023687</v>
      </c>
      <c r="X996" s="276">
        <f t="shared" si="908"/>
        <v>5.1330661288261714</v>
      </c>
      <c r="Y996" s="686">
        <f t="shared" si="909"/>
        <v>4.5580899156260886</v>
      </c>
      <c r="Z996" s="685" t="e">
        <f t="shared" si="910"/>
        <v>#DIV/0!</v>
      </c>
      <c r="AA996" s="276" t="e">
        <f t="shared" si="911"/>
        <v>#DIV/0!</v>
      </c>
      <c r="AB996" s="276" t="e">
        <f t="shared" si="912"/>
        <v>#DIV/0!</v>
      </c>
      <c r="AC996" s="276" t="e">
        <f t="shared" si="913"/>
        <v>#DIV/0!</v>
      </c>
      <c r="AD996" s="276" t="e">
        <f t="shared" si="914"/>
        <v>#DIV/0!</v>
      </c>
      <c r="AE996" s="686" t="e">
        <f t="shared" si="915"/>
        <v>#DIV/0!</v>
      </c>
      <c r="AF996" s="239"/>
      <c r="AG996" s="965" t="e">
        <f t="shared" si="886"/>
        <v>#VALUE!</v>
      </c>
      <c r="AH996" s="878" t="e">
        <f t="shared" si="887"/>
        <v>#VALUE!</v>
      </c>
      <c r="AI996" s="878" t="e">
        <f t="shared" si="888"/>
        <v>#VALUE!</v>
      </c>
      <c r="AJ996" s="878" t="e">
        <f t="shared" si="889"/>
        <v>#VALUE!</v>
      </c>
      <c r="AK996" s="878" t="e">
        <f t="shared" si="890"/>
        <v>#VALUE!</v>
      </c>
      <c r="AL996" s="966" t="e">
        <f t="shared" si="891"/>
        <v>#VALUE!</v>
      </c>
      <c r="AM996" s="239"/>
      <c r="AO996" s="685">
        <f t="shared" si="916"/>
        <v>0.97241173966793171</v>
      </c>
      <c r="AP996" s="276">
        <f t="shared" si="917"/>
        <v>-3.8036679774834843</v>
      </c>
      <c r="AQ996" s="276">
        <f t="shared" si="918"/>
        <v>0.40949570256312673</v>
      </c>
      <c r="AR996" s="276">
        <f t="shared" si="919"/>
        <v>-3.2932252326843683</v>
      </c>
      <c r="AS996" s="276">
        <f t="shared" si="920"/>
        <v>1.7242567202932741</v>
      </c>
      <c r="AT996" s="276">
        <f t="shared" si="921"/>
        <v>-4.4673423733987185</v>
      </c>
      <c r="AU996" s="685">
        <f t="shared" si="922"/>
        <v>1.1545070775419022</v>
      </c>
      <c r="AV996" s="276">
        <f t="shared" si="923"/>
        <v>1.2075518806396814</v>
      </c>
      <c r="AW996" s="276">
        <f t="shared" si="924"/>
        <v>1.1553405008848416</v>
      </c>
      <c r="AX996" s="276">
        <f t="shared" si="925"/>
        <v>1.0798414441638327</v>
      </c>
      <c r="AY996" s="276">
        <f t="shared" si="926"/>
        <v>1.1122013307484513</v>
      </c>
      <c r="AZ996" s="686">
        <f t="shared" si="927"/>
        <v>0.41914888252267057</v>
      </c>
      <c r="BA996" s="685">
        <f t="shared" si="928"/>
        <v>0</v>
      </c>
      <c r="BB996" s="276">
        <f t="shared" si="929"/>
        <v>0</v>
      </c>
      <c r="BC996" s="276">
        <f t="shared" si="930"/>
        <v>0</v>
      </c>
      <c r="BD996" s="276">
        <f t="shared" si="931"/>
        <v>0</v>
      </c>
      <c r="BE996" s="276">
        <f t="shared" si="932"/>
        <v>0</v>
      </c>
      <c r="BF996" s="686">
        <f t="shared" si="933"/>
        <v>0</v>
      </c>
      <c r="BG996" s="685" t="e">
        <f t="shared" si="934"/>
        <v>#DIV/0!</v>
      </c>
      <c r="BH996" s="276" t="e">
        <f t="shared" si="935"/>
        <v>#DIV/0!</v>
      </c>
      <c r="BI996" s="276" t="e">
        <f t="shared" si="936"/>
        <v>#DIV/0!</v>
      </c>
      <c r="BJ996" s="276" t="e">
        <f t="shared" si="937"/>
        <v>#DIV/0!</v>
      </c>
      <c r="BK996" s="276" t="e">
        <f t="shared" si="938"/>
        <v>#DIV/0!</v>
      </c>
      <c r="BL996" s="686" t="e">
        <f t="shared" si="939"/>
        <v>#DIV/0!</v>
      </c>
      <c r="BM996" s="239"/>
      <c r="BN996" s="965" t="e">
        <f t="shared" si="940"/>
        <v>#VALUE!</v>
      </c>
      <c r="BO996" s="878" t="e">
        <f t="shared" si="941"/>
        <v>#VALUE!</v>
      </c>
      <c r="BP996" s="878" t="e">
        <f t="shared" si="942"/>
        <v>#VALUE!</v>
      </c>
      <c r="BQ996" s="878" t="e">
        <f t="shared" si="943"/>
        <v>#VALUE!</v>
      </c>
      <c r="BR996" s="878" t="e">
        <f t="shared" si="944"/>
        <v>#VALUE!</v>
      </c>
      <c r="BS996" s="966" t="e">
        <f t="shared" si="945"/>
        <v>#VALUE!</v>
      </c>
    </row>
    <row r="997" spans="1:71">
      <c r="A997" s="284">
        <f t="shared" si="946"/>
        <v>929</v>
      </c>
      <c r="B997" s="285">
        <v>0.51341232185267849</v>
      </c>
      <c r="C997" s="285">
        <v>2.8140412826569428</v>
      </c>
      <c r="D997" s="285">
        <v>-0.14147279869528684</v>
      </c>
      <c r="E997" s="285">
        <v>-0.41154714407982596</v>
      </c>
      <c r="H997" s="685">
        <f t="shared" si="892"/>
        <v>-0.61982151991637635</v>
      </c>
      <c r="I997" s="276">
        <f t="shared" si="893"/>
        <v>-2.4871010284077886</v>
      </c>
      <c r="J997" s="276">
        <f t="shared" si="894"/>
        <v>1.5483536427642319</v>
      </c>
      <c r="K997" s="276">
        <f t="shared" si="895"/>
        <v>-2.3148972275944644</v>
      </c>
      <c r="L997" s="276">
        <f t="shared" si="896"/>
        <v>-0.9322256711164526</v>
      </c>
      <c r="M997" s="276">
        <f t="shared" si="897"/>
        <v>-3.9565740016881286</v>
      </c>
      <c r="N997" s="685">
        <f t="shared" si="898"/>
        <v>1.6068700716850743</v>
      </c>
      <c r="O997" s="276">
        <f t="shared" si="899"/>
        <v>1.1149003010156429</v>
      </c>
      <c r="P997" s="276">
        <f t="shared" si="900"/>
        <v>0.65664748795879091</v>
      </c>
      <c r="Q997" s="276">
        <f t="shared" si="901"/>
        <v>0.69176865498646811</v>
      </c>
      <c r="R997" s="276">
        <f t="shared" si="902"/>
        <v>1.6342248786207023</v>
      </c>
      <c r="S997" s="686">
        <f t="shared" si="903"/>
        <v>1.1174370736085126</v>
      </c>
      <c r="T997" s="685">
        <f t="shared" si="904"/>
        <v>3.1368908915756393</v>
      </c>
      <c r="U997" s="276">
        <f t="shared" si="905"/>
        <v>3.2474431501986429</v>
      </c>
      <c r="V997" s="276">
        <f t="shared" si="906"/>
        <v>5.6174442187545974</v>
      </c>
      <c r="W997" s="276">
        <f t="shared" si="907"/>
        <v>4.3921748873046944</v>
      </c>
      <c r="X997" s="276">
        <f t="shared" si="908"/>
        <v>2.82115442917436</v>
      </c>
      <c r="Y997" s="686">
        <f t="shared" si="909"/>
        <v>4.7129114259471621</v>
      </c>
      <c r="Z997" s="685" t="e">
        <f t="shared" si="910"/>
        <v>#DIV/0!</v>
      </c>
      <c r="AA997" s="276" t="e">
        <f t="shared" si="911"/>
        <v>#DIV/0!</v>
      </c>
      <c r="AB997" s="276" t="e">
        <f t="shared" si="912"/>
        <v>#DIV/0!</v>
      </c>
      <c r="AC997" s="276" t="e">
        <f t="shared" si="913"/>
        <v>#DIV/0!</v>
      </c>
      <c r="AD997" s="276" t="e">
        <f t="shared" si="914"/>
        <v>#DIV/0!</v>
      </c>
      <c r="AE997" s="686" t="e">
        <f t="shared" si="915"/>
        <v>#DIV/0!</v>
      </c>
      <c r="AF997" s="239"/>
      <c r="AG997" s="965" t="e">
        <f t="shared" si="886"/>
        <v>#VALUE!</v>
      </c>
      <c r="AH997" s="878" t="e">
        <f t="shared" si="887"/>
        <v>#VALUE!</v>
      </c>
      <c r="AI997" s="878" t="e">
        <f t="shared" si="888"/>
        <v>#VALUE!</v>
      </c>
      <c r="AJ997" s="878" t="e">
        <f t="shared" si="889"/>
        <v>#VALUE!</v>
      </c>
      <c r="AK997" s="878" t="e">
        <f t="shared" si="890"/>
        <v>#VALUE!</v>
      </c>
      <c r="AL997" s="966" t="e">
        <f t="shared" si="891"/>
        <v>#VALUE!</v>
      </c>
      <c r="AM997" s="239"/>
      <c r="AO997" s="685">
        <f t="shared" si="916"/>
        <v>-0.61982151991637635</v>
      </c>
      <c r="AP997" s="276">
        <f t="shared" si="917"/>
        <v>-2.4871010284077886</v>
      </c>
      <c r="AQ997" s="276">
        <f t="shared" si="918"/>
        <v>1.5483536427642319</v>
      </c>
      <c r="AR997" s="276">
        <f t="shared" si="919"/>
        <v>-2.3148972275944644</v>
      </c>
      <c r="AS997" s="276">
        <f t="shared" si="920"/>
        <v>-0.9322256711164526</v>
      </c>
      <c r="AT997" s="276">
        <f t="shared" si="921"/>
        <v>-3.9565740016881286</v>
      </c>
      <c r="AU997" s="685">
        <f t="shared" si="922"/>
        <v>1.6068700716850743</v>
      </c>
      <c r="AV997" s="276">
        <f t="shared" si="923"/>
        <v>1.1149003010156429</v>
      </c>
      <c r="AW997" s="276">
        <f t="shared" si="924"/>
        <v>0.65664748795879091</v>
      </c>
      <c r="AX997" s="276">
        <f t="shared" si="925"/>
        <v>0.69176865498646811</v>
      </c>
      <c r="AY997" s="276">
        <f t="shared" si="926"/>
        <v>1.6342248786207023</v>
      </c>
      <c r="AZ997" s="686">
        <f t="shared" si="927"/>
        <v>1.1174370736085126</v>
      </c>
      <c r="BA997" s="685">
        <f t="shared" si="928"/>
        <v>0</v>
      </c>
      <c r="BB997" s="276">
        <f t="shared" si="929"/>
        <v>0</v>
      </c>
      <c r="BC997" s="276">
        <f t="shared" si="930"/>
        <v>0</v>
      </c>
      <c r="BD997" s="276">
        <f t="shared" si="931"/>
        <v>0</v>
      </c>
      <c r="BE997" s="276">
        <f t="shared" si="932"/>
        <v>0</v>
      </c>
      <c r="BF997" s="686">
        <f t="shared" si="933"/>
        <v>0</v>
      </c>
      <c r="BG997" s="685" t="e">
        <f t="shared" si="934"/>
        <v>#DIV/0!</v>
      </c>
      <c r="BH997" s="276" t="e">
        <f t="shared" si="935"/>
        <v>#DIV/0!</v>
      </c>
      <c r="BI997" s="276" t="e">
        <f t="shared" si="936"/>
        <v>#DIV/0!</v>
      </c>
      <c r="BJ997" s="276" t="e">
        <f t="shared" si="937"/>
        <v>#DIV/0!</v>
      </c>
      <c r="BK997" s="276" t="e">
        <f t="shared" si="938"/>
        <v>#DIV/0!</v>
      </c>
      <c r="BL997" s="686" t="e">
        <f t="shared" si="939"/>
        <v>#DIV/0!</v>
      </c>
      <c r="BM997" s="239"/>
      <c r="BN997" s="965" t="e">
        <f t="shared" si="940"/>
        <v>#VALUE!</v>
      </c>
      <c r="BO997" s="878" t="e">
        <f t="shared" si="941"/>
        <v>#VALUE!</v>
      </c>
      <c r="BP997" s="878" t="e">
        <f t="shared" si="942"/>
        <v>#VALUE!</v>
      </c>
      <c r="BQ997" s="878" t="e">
        <f t="shared" si="943"/>
        <v>#VALUE!</v>
      </c>
      <c r="BR997" s="878" t="e">
        <f t="shared" si="944"/>
        <v>#VALUE!</v>
      </c>
      <c r="BS997" s="966" t="e">
        <f t="shared" si="945"/>
        <v>#VALUE!</v>
      </c>
    </row>
    <row r="998" spans="1:71">
      <c r="A998" s="284">
        <f t="shared" si="946"/>
        <v>930</v>
      </c>
      <c r="B998" s="285">
        <v>-0.59428597209385436</v>
      </c>
      <c r="C998" s="285">
        <v>2.3979850991831664</v>
      </c>
      <c r="D998" s="285">
        <v>1.8673514728426346</v>
      </c>
      <c r="E998" s="285">
        <v>-0.13603255677411941</v>
      </c>
      <c r="H998" s="685">
        <f t="shared" si="892"/>
        <v>-1.7275198138629091</v>
      </c>
      <c r="I998" s="276">
        <f t="shared" si="893"/>
        <v>2.505060924179964</v>
      </c>
      <c r="J998" s="276">
        <f t="shared" si="894"/>
        <v>-1.6045066879096255</v>
      </c>
      <c r="K998" s="276">
        <f t="shared" si="895"/>
        <v>-0.65004827126344344</v>
      </c>
      <c r="L998" s="276">
        <f t="shared" si="896"/>
        <v>-0.4336951534071315</v>
      </c>
      <c r="M998" s="276">
        <f t="shared" si="897"/>
        <v>2.2871130794966472</v>
      </c>
      <c r="N998" s="685">
        <f t="shared" si="898"/>
        <v>1.190813888211298</v>
      </c>
      <c r="O998" s="276">
        <f t="shared" si="899"/>
        <v>1.7976018262045101</v>
      </c>
      <c r="P998" s="276">
        <f t="shared" si="900"/>
        <v>1.3168773996119454</v>
      </c>
      <c r="Q998" s="276">
        <f t="shared" si="901"/>
        <v>0.97543424598439388</v>
      </c>
      <c r="R998" s="276">
        <f t="shared" si="902"/>
        <v>0.64608468055282953</v>
      </c>
      <c r="S998" s="686">
        <f t="shared" si="903"/>
        <v>1.6204519994236188</v>
      </c>
      <c r="T998" s="685">
        <f t="shared" si="904"/>
        <v>5.1457151631135609</v>
      </c>
      <c r="U998" s="276">
        <f t="shared" si="905"/>
        <v>4.9363473517593484</v>
      </c>
      <c r="V998" s="276">
        <f t="shared" si="906"/>
        <v>2.8379127907677169</v>
      </c>
      <c r="W998" s="276">
        <f t="shared" si="907"/>
        <v>2.9418118340731567</v>
      </c>
      <c r="X998" s="276">
        <f t="shared" si="908"/>
        <v>5.8557187309523488</v>
      </c>
      <c r="Y998" s="686">
        <f t="shared" si="909"/>
        <v>4.0627268074872696</v>
      </c>
      <c r="Z998" s="685" t="e">
        <f t="shared" si="910"/>
        <v>#DIV/0!</v>
      </c>
      <c r="AA998" s="276" t="e">
        <f t="shared" si="911"/>
        <v>#DIV/0!</v>
      </c>
      <c r="AB998" s="276" t="e">
        <f t="shared" si="912"/>
        <v>#DIV/0!</v>
      </c>
      <c r="AC998" s="276" t="e">
        <f t="shared" si="913"/>
        <v>#DIV/0!</v>
      </c>
      <c r="AD998" s="276" t="e">
        <f t="shared" si="914"/>
        <v>#DIV/0!</v>
      </c>
      <c r="AE998" s="686" t="e">
        <f t="shared" si="915"/>
        <v>#DIV/0!</v>
      </c>
      <c r="AF998" s="239"/>
      <c r="AG998" s="965" t="e">
        <f t="shared" si="886"/>
        <v>#VALUE!</v>
      </c>
      <c r="AH998" s="878" t="e">
        <f t="shared" si="887"/>
        <v>#VALUE!</v>
      </c>
      <c r="AI998" s="878" t="e">
        <f t="shared" si="888"/>
        <v>#VALUE!</v>
      </c>
      <c r="AJ998" s="878" t="e">
        <f t="shared" si="889"/>
        <v>#VALUE!</v>
      </c>
      <c r="AK998" s="878" t="e">
        <f t="shared" si="890"/>
        <v>#VALUE!</v>
      </c>
      <c r="AL998" s="966" t="e">
        <f t="shared" si="891"/>
        <v>#VALUE!</v>
      </c>
      <c r="AM998" s="239"/>
      <c r="AO998" s="685">
        <f t="shared" si="916"/>
        <v>-1.7275198138629091</v>
      </c>
      <c r="AP998" s="276">
        <f t="shared" si="917"/>
        <v>2.505060924179964</v>
      </c>
      <c r="AQ998" s="276">
        <f t="shared" si="918"/>
        <v>-1.6045066879096255</v>
      </c>
      <c r="AR998" s="276">
        <f t="shared" si="919"/>
        <v>-0.65004827126344344</v>
      </c>
      <c r="AS998" s="276">
        <f t="shared" si="920"/>
        <v>-0.4336951534071315</v>
      </c>
      <c r="AT998" s="276">
        <f t="shared" si="921"/>
        <v>2.2871130794966472</v>
      </c>
      <c r="AU998" s="685">
        <f t="shared" si="922"/>
        <v>1.190813888211298</v>
      </c>
      <c r="AV998" s="276">
        <f t="shared" si="923"/>
        <v>1.7976018262045101</v>
      </c>
      <c r="AW998" s="276">
        <f t="shared" si="924"/>
        <v>1.3168773996119454</v>
      </c>
      <c r="AX998" s="276">
        <f t="shared" si="925"/>
        <v>0.97543424598439388</v>
      </c>
      <c r="AY998" s="276">
        <f t="shared" si="926"/>
        <v>0.64608468055282953</v>
      </c>
      <c r="AZ998" s="686">
        <f t="shared" si="927"/>
        <v>1.6204519994236188</v>
      </c>
      <c r="BA998" s="685">
        <f t="shared" si="928"/>
        <v>0</v>
      </c>
      <c r="BB998" s="276">
        <f t="shared" si="929"/>
        <v>0</v>
      </c>
      <c r="BC998" s="276">
        <f t="shared" si="930"/>
        <v>0</v>
      </c>
      <c r="BD998" s="276">
        <f t="shared" si="931"/>
        <v>0</v>
      </c>
      <c r="BE998" s="276">
        <f t="shared" si="932"/>
        <v>0</v>
      </c>
      <c r="BF998" s="686">
        <f t="shared" si="933"/>
        <v>0</v>
      </c>
      <c r="BG998" s="685" t="e">
        <f t="shared" si="934"/>
        <v>#DIV/0!</v>
      </c>
      <c r="BH998" s="276" t="e">
        <f t="shared" si="935"/>
        <v>#DIV/0!</v>
      </c>
      <c r="BI998" s="276" t="e">
        <f t="shared" si="936"/>
        <v>#DIV/0!</v>
      </c>
      <c r="BJ998" s="276" t="e">
        <f t="shared" si="937"/>
        <v>#DIV/0!</v>
      </c>
      <c r="BK998" s="276" t="e">
        <f t="shared" si="938"/>
        <v>#DIV/0!</v>
      </c>
      <c r="BL998" s="686" t="e">
        <f t="shared" si="939"/>
        <v>#DIV/0!</v>
      </c>
      <c r="BM998" s="239"/>
      <c r="BN998" s="965" t="e">
        <f t="shared" si="940"/>
        <v>#VALUE!</v>
      </c>
      <c r="BO998" s="878" t="e">
        <f t="shared" si="941"/>
        <v>#VALUE!</v>
      </c>
      <c r="BP998" s="878" t="e">
        <f t="shared" si="942"/>
        <v>#VALUE!</v>
      </c>
      <c r="BQ998" s="878" t="e">
        <f t="shared" si="943"/>
        <v>#VALUE!</v>
      </c>
      <c r="BR998" s="878" t="e">
        <f t="shared" si="944"/>
        <v>#VALUE!</v>
      </c>
      <c r="BS998" s="966" t="e">
        <f t="shared" si="945"/>
        <v>#VALUE!</v>
      </c>
    </row>
    <row r="999" spans="1:71">
      <c r="A999" s="284">
        <f t="shared" si="946"/>
        <v>931</v>
      </c>
      <c r="B999" s="285">
        <v>2.1769531273091403</v>
      </c>
      <c r="C999" s="285">
        <v>2.1588856764408932</v>
      </c>
      <c r="D999" s="285">
        <v>3.1378755480235574</v>
      </c>
      <c r="E999" s="285">
        <v>-28.495533553180575</v>
      </c>
      <c r="H999" s="685">
        <f t="shared" si="892"/>
        <v>1.0437192855400854</v>
      </c>
      <c r="I999" s="276">
        <f t="shared" si="893"/>
        <v>-0.91109349081782798</v>
      </c>
      <c r="J999" s="276">
        <f t="shared" si="894"/>
        <v>1.8475076404549491</v>
      </c>
      <c r="K999" s="276">
        <f t="shared" si="895"/>
        <v>-1.2622342993413669</v>
      </c>
      <c r="L999" s="276">
        <f t="shared" si="896"/>
        <v>3.8235197051439593</v>
      </c>
      <c r="M999" s="276">
        <f t="shared" si="897"/>
        <v>-2.8778554568999133</v>
      </c>
      <c r="N999" s="685">
        <f t="shared" si="898"/>
        <v>0.95171446546902483</v>
      </c>
      <c r="O999" s="276">
        <f t="shared" si="899"/>
        <v>1.1684893168339465</v>
      </c>
      <c r="P999" s="276">
        <f t="shared" si="900"/>
        <v>0.85052197372612892</v>
      </c>
      <c r="Q999" s="276">
        <f t="shared" si="901"/>
        <v>1.6616502487888727</v>
      </c>
      <c r="R999" s="276">
        <f t="shared" si="902"/>
        <v>1.4045198810007677</v>
      </c>
      <c r="S999" s="686">
        <f t="shared" si="903"/>
        <v>1.3447791084050504</v>
      </c>
      <c r="T999" s="685">
        <f t="shared" si="904"/>
        <v>6.4162392382944837</v>
      </c>
      <c r="U999" s="276">
        <f t="shared" si="905"/>
        <v>4.8786686960238059</v>
      </c>
      <c r="V999" s="276">
        <f t="shared" si="906"/>
        <v>6.2391010458265388</v>
      </c>
      <c r="W999" s="276">
        <f t="shared" si="907"/>
        <v>5.1377325838865513</v>
      </c>
      <c r="X999" s="276">
        <f t="shared" si="908"/>
        <v>4.7858113607331347</v>
      </c>
      <c r="Y999" s="686">
        <f t="shared" si="909"/>
        <v>5.3031630271578649</v>
      </c>
      <c r="Z999" s="685" t="e">
        <f t="shared" si="910"/>
        <v>#DIV/0!</v>
      </c>
      <c r="AA999" s="276" t="e">
        <f t="shared" si="911"/>
        <v>#DIV/0!</v>
      </c>
      <c r="AB999" s="276" t="e">
        <f t="shared" si="912"/>
        <v>#DIV/0!</v>
      </c>
      <c r="AC999" s="276" t="e">
        <f t="shared" si="913"/>
        <v>#DIV/0!</v>
      </c>
      <c r="AD999" s="276" t="e">
        <f t="shared" si="914"/>
        <v>#DIV/0!</v>
      </c>
      <c r="AE999" s="686" t="e">
        <f t="shared" si="915"/>
        <v>#DIV/0!</v>
      </c>
      <c r="AF999" s="239"/>
      <c r="AG999" s="965" t="e">
        <f t="shared" si="886"/>
        <v>#VALUE!</v>
      </c>
      <c r="AH999" s="878" t="e">
        <f t="shared" si="887"/>
        <v>#VALUE!</v>
      </c>
      <c r="AI999" s="878" t="e">
        <f t="shared" si="888"/>
        <v>#VALUE!</v>
      </c>
      <c r="AJ999" s="878" t="e">
        <f t="shared" si="889"/>
        <v>#VALUE!</v>
      </c>
      <c r="AK999" s="878" t="e">
        <f t="shared" si="890"/>
        <v>#VALUE!</v>
      </c>
      <c r="AL999" s="966" t="e">
        <f t="shared" si="891"/>
        <v>#VALUE!</v>
      </c>
      <c r="AM999" s="239"/>
      <c r="AO999" s="685">
        <f t="shared" si="916"/>
        <v>1.0437192855400854</v>
      </c>
      <c r="AP999" s="276">
        <f t="shared" si="917"/>
        <v>-0.91109349081782798</v>
      </c>
      <c r="AQ999" s="276">
        <f t="shared" si="918"/>
        <v>1.8475076404549491</v>
      </c>
      <c r="AR999" s="276">
        <f t="shared" si="919"/>
        <v>-1.2622342993413669</v>
      </c>
      <c r="AS999" s="276">
        <f t="shared" si="920"/>
        <v>3.8235197051439593</v>
      </c>
      <c r="AT999" s="276">
        <f t="shared" si="921"/>
        <v>-2.8778554568999133</v>
      </c>
      <c r="AU999" s="685">
        <f t="shared" si="922"/>
        <v>0.95171446546902483</v>
      </c>
      <c r="AV999" s="276">
        <f t="shared" si="923"/>
        <v>1.1684893168339465</v>
      </c>
      <c r="AW999" s="276">
        <f t="shared" si="924"/>
        <v>0.85052197372612892</v>
      </c>
      <c r="AX999" s="276">
        <f t="shared" si="925"/>
        <v>1.6616502487888727</v>
      </c>
      <c r="AY999" s="276">
        <f t="shared" si="926"/>
        <v>1.4045198810007677</v>
      </c>
      <c r="AZ999" s="686">
        <f t="shared" si="927"/>
        <v>1.3447791084050504</v>
      </c>
      <c r="BA999" s="685">
        <f t="shared" si="928"/>
        <v>0</v>
      </c>
      <c r="BB999" s="276">
        <f t="shared" si="929"/>
        <v>0</v>
      </c>
      <c r="BC999" s="276">
        <f t="shared" si="930"/>
        <v>0</v>
      </c>
      <c r="BD999" s="276">
        <f t="shared" si="931"/>
        <v>0</v>
      </c>
      <c r="BE999" s="276">
        <f t="shared" si="932"/>
        <v>0</v>
      </c>
      <c r="BF999" s="686">
        <f t="shared" si="933"/>
        <v>0</v>
      </c>
      <c r="BG999" s="685" t="e">
        <f t="shared" si="934"/>
        <v>#DIV/0!</v>
      </c>
      <c r="BH999" s="276" t="e">
        <f t="shared" si="935"/>
        <v>#DIV/0!</v>
      </c>
      <c r="BI999" s="276" t="e">
        <f t="shared" si="936"/>
        <v>#DIV/0!</v>
      </c>
      <c r="BJ999" s="276" t="e">
        <f t="shared" si="937"/>
        <v>#DIV/0!</v>
      </c>
      <c r="BK999" s="276" t="e">
        <f t="shared" si="938"/>
        <v>#DIV/0!</v>
      </c>
      <c r="BL999" s="686" t="e">
        <f t="shared" si="939"/>
        <v>#DIV/0!</v>
      </c>
      <c r="BM999" s="239"/>
      <c r="BN999" s="965" t="e">
        <f t="shared" si="940"/>
        <v>#VALUE!</v>
      </c>
      <c r="BO999" s="878" t="e">
        <f t="shared" si="941"/>
        <v>#VALUE!</v>
      </c>
      <c r="BP999" s="878" t="e">
        <f t="shared" si="942"/>
        <v>#VALUE!</v>
      </c>
      <c r="BQ999" s="878" t="e">
        <f t="shared" si="943"/>
        <v>#VALUE!</v>
      </c>
      <c r="BR999" s="878" t="e">
        <f t="shared" si="944"/>
        <v>#VALUE!</v>
      </c>
      <c r="BS999" s="966" t="e">
        <f t="shared" si="945"/>
        <v>#VALUE!</v>
      </c>
    </row>
    <row r="1000" spans="1:71">
      <c r="A1000" s="284">
        <f t="shared" si="946"/>
        <v>932</v>
      </c>
      <c r="B1000" s="285">
        <v>-0.78178804236380928</v>
      </c>
      <c r="C1000" s="285">
        <v>2.0675377536434305</v>
      </c>
      <c r="D1000" s="285">
        <v>1.6647855215182645</v>
      </c>
      <c r="E1000" s="285">
        <v>1.62122913488041</v>
      </c>
      <c r="H1000" s="685">
        <f t="shared" si="892"/>
        <v>-1.9150218841328641</v>
      </c>
      <c r="I1000" s="276">
        <f t="shared" si="893"/>
        <v>-1.6074511590851708</v>
      </c>
      <c r="J1000" s="276">
        <f t="shared" si="894"/>
        <v>3.1769076299343046</v>
      </c>
      <c r="K1000" s="276">
        <f t="shared" si="895"/>
        <v>0.98145604782269324</v>
      </c>
      <c r="L1000" s="276">
        <f t="shared" si="896"/>
        <v>-1.1869721097519133</v>
      </c>
      <c r="M1000" s="276">
        <f t="shared" si="897"/>
        <v>-1.5164387835977928</v>
      </c>
      <c r="N1000" s="685">
        <f t="shared" si="898"/>
        <v>0.8603665426715621</v>
      </c>
      <c r="O1000" s="276">
        <f t="shared" si="899"/>
        <v>1.2671923668791762</v>
      </c>
      <c r="P1000" s="276">
        <f t="shared" si="900"/>
        <v>1.1094449199403609</v>
      </c>
      <c r="Q1000" s="276">
        <f t="shared" si="901"/>
        <v>2.1815367083779558</v>
      </c>
      <c r="R1000" s="276">
        <f t="shared" si="902"/>
        <v>1.670064628207762</v>
      </c>
      <c r="S1000" s="686">
        <f t="shared" si="903"/>
        <v>1.9812397012663963</v>
      </c>
      <c r="T1000" s="685">
        <f t="shared" si="904"/>
        <v>4.9431492117891906</v>
      </c>
      <c r="U1000" s="276">
        <f t="shared" si="905"/>
        <v>4.2558581753246534</v>
      </c>
      <c r="V1000" s="276">
        <f t="shared" si="906"/>
        <v>5.8714081505911224</v>
      </c>
      <c r="W1000" s="276">
        <f t="shared" si="907"/>
        <v>2.9697476095981745</v>
      </c>
      <c r="X1000" s="276">
        <f t="shared" si="908"/>
        <v>3.3048709226784228</v>
      </c>
      <c r="Y1000" s="686">
        <f t="shared" si="909"/>
        <v>2.6710273395980493</v>
      </c>
      <c r="Z1000" s="685" t="e">
        <f t="shared" si="910"/>
        <v>#DIV/0!</v>
      </c>
      <c r="AA1000" s="276" t="e">
        <f t="shared" si="911"/>
        <v>#DIV/0!</v>
      </c>
      <c r="AB1000" s="276" t="e">
        <f t="shared" si="912"/>
        <v>#DIV/0!</v>
      </c>
      <c r="AC1000" s="276" t="e">
        <f t="shared" si="913"/>
        <v>#DIV/0!</v>
      </c>
      <c r="AD1000" s="276" t="e">
        <f t="shared" si="914"/>
        <v>#DIV/0!</v>
      </c>
      <c r="AE1000" s="686" t="e">
        <f t="shared" si="915"/>
        <v>#DIV/0!</v>
      </c>
      <c r="AF1000" s="239"/>
      <c r="AG1000" s="965" t="e">
        <f t="shared" si="886"/>
        <v>#VALUE!</v>
      </c>
      <c r="AH1000" s="878" t="e">
        <f t="shared" si="887"/>
        <v>#VALUE!</v>
      </c>
      <c r="AI1000" s="878" t="e">
        <f t="shared" si="888"/>
        <v>#VALUE!</v>
      </c>
      <c r="AJ1000" s="878" t="e">
        <f t="shared" si="889"/>
        <v>#VALUE!</v>
      </c>
      <c r="AK1000" s="878" t="e">
        <f t="shared" si="890"/>
        <v>#VALUE!</v>
      </c>
      <c r="AL1000" s="966" t="e">
        <f t="shared" si="891"/>
        <v>#VALUE!</v>
      </c>
      <c r="AM1000" s="239"/>
      <c r="AO1000" s="685">
        <f t="shared" si="916"/>
        <v>-1.9150218841328641</v>
      </c>
      <c r="AP1000" s="276">
        <f t="shared" si="917"/>
        <v>-1.6074511590851708</v>
      </c>
      <c r="AQ1000" s="276">
        <f t="shared" si="918"/>
        <v>3.1769076299343046</v>
      </c>
      <c r="AR1000" s="276">
        <f t="shared" si="919"/>
        <v>0.98145604782269324</v>
      </c>
      <c r="AS1000" s="276">
        <f t="shared" si="920"/>
        <v>-1.1869721097519133</v>
      </c>
      <c r="AT1000" s="276">
        <f t="shared" si="921"/>
        <v>-1.5164387835977928</v>
      </c>
      <c r="AU1000" s="685">
        <f t="shared" si="922"/>
        <v>0.8603665426715621</v>
      </c>
      <c r="AV1000" s="276">
        <f t="shared" si="923"/>
        <v>1.2671923668791762</v>
      </c>
      <c r="AW1000" s="276">
        <f t="shared" si="924"/>
        <v>1.1094449199403609</v>
      </c>
      <c r="AX1000" s="276">
        <f t="shared" si="925"/>
        <v>2.1815367083779558</v>
      </c>
      <c r="AY1000" s="276">
        <f t="shared" si="926"/>
        <v>1.670064628207762</v>
      </c>
      <c r="AZ1000" s="686">
        <f t="shared" si="927"/>
        <v>1.9812397012663963</v>
      </c>
      <c r="BA1000" s="685">
        <f t="shared" si="928"/>
        <v>0</v>
      </c>
      <c r="BB1000" s="276">
        <f t="shared" si="929"/>
        <v>0</v>
      </c>
      <c r="BC1000" s="276">
        <f t="shared" si="930"/>
        <v>0</v>
      </c>
      <c r="BD1000" s="276">
        <f t="shared" si="931"/>
        <v>0</v>
      </c>
      <c r="BE1000" s="276">
        <f t="shared" si="932"/>
        <v>0</v>
      </c>
      <c r="BF1000" s="686">
        <f t="shared" si="933"/>
        <v>0</v>
      </c>
      <c r="BG1000" s="685" t="e">
        <f t="shared" si="934"/>
        <v>#DIV/0!</v>
      </c>
      <c r="BH1000" s="276" t="e">
        <f t="shared" si="935"/>
        <v>#DIV/0!</v>
      </c>
      <c r="BI1000" s="276" t="e">
        <f t="shared" si="936"/>
        <v>#DIV/0!</v>
      </c>
      <c r="BJ1000" s="276" t="e">
        <f t="shared" si="937"/>
        <v>#DIV/0!</v>
      </c>
      <c r="BK1000" s="276" t="e">
        <f t="shared" si="938"/>
        <v>#DIV/0!</v>
      </c>
      <c r="BL1000" s="686" t="e">
        <f t="shared" si="939"/>
        <v>#DIV/0!</v>
      </c>
      <c r="BM1000" s="239"/>
      <c r="BN1000" s="965" t="e">
        <f t="shared" si="940"/>
        <v>#VALUE!</v>
      </c>
      <c r="BO1000" s="878" t="e">
        <f t="shared" si="941"/>
        <v>#VALUE!</v>
      </c>
      <c r="BP1000" s="878" t="e">
        <f t="shared" si="942"/>
        <v>#VALUE!</v>
      </c>
      <c r="BQ1000" s="878" t="e">
        <f t="shared" si="943"/>
        <v>#VALUE!</v>
      </c>
      <c r="BR1000" s="878" t="e">
        <f t="shared" si="944"/>
        <v>#VALUE!</v>
      </c>
      <c r="BS1000" s="966" t="e">
        <f t="shared" si="945"/>
        <v>#VALUE!</v>
      </c>
    </row>
    <row r="1001" spans="1:71">
      <c r="A1001" s="284">
        <f t="shared" si="946"/>
        <v>933</v>
      </c>
      <c r="B1001" s="285">
        <v>3.1580724242408911</v>
      </c>
      <c r="C1001" s="285">
        <v>2.7990496246216328</v>
      </c>
      <c r="D1001" s="285">
        <v>1.6019228725164818</v>
      </c>
      <c r="E1001" s="285">
        <v>10.488446411710168</v>
      </c>
      <c r="H1001" s="685">
        <f t="shared" si="892"/>
        <v>2.024838582471836</v>
      </c>
      <c r="I1001" s="276">
        <f t="shared" si="893"/>
        <v>-1.2665172018484643</v>
      </c>
      <c r="J1001" s="276">
        <f t="shared" si="894"/>
        <v>1.7722481554097447</v>
      </c>
      <c r="K1001" s="276">
        <f t="shared" si="895"/>
        <v>-1.9149370541807351</v>
      </c>
      <c r="L1001" s="276">
        <f t="shared" si="896"/>
        <v>0.72956298167150901</v>
      </c>
      <c r="M1001" s="276">
        <f t="shared" si="897"/>
        <v>-0.15602887686116873</v>
      </c>
      <c r="N1001" s="685">
        <f t="shared" si="898"/>
        <v>1.5918784136497643</v>
      </c>
      <c r="O1001" s="276">
        <f t="shared" si="899"/>
        <v>0.83288309246459824</v>
      </c>
      <c r="P1001" s="276">
        <f t="shared" si="900"/>
        <v>1.2665066564967844</v>
      </c>
      <c r="Q1001" s="276">
        <f t="shared" si="901"/>
        <v>0.31571972471103704</v>
      </c>
      <c r="R1001" s="276">
        <f t="shared" si="902"/>
        <v>1.4141979284818766</v>
      </c>
      <c r="S1001" s="686">
        <f t="shared" si="903"/>
        <v>1.0656057590101662</v>
      </c>
      <c r="T1001" s="685">
        <f t="shared" si="904"/>
        <v>4.8802865627874077</v>
      </c>
      <c r="U1001" s="276">
        <f t="shared" si="905"/>
        <v>5.5944247307337136</v>
      </c>
      <c r="V1001" s="276">
        <f t="shared" si="906"/>
        <v>3.3955846089164026</v>
      </c>
      <c r="W1001" s="276">
        <f t="shared" si="907"/>
        <v>5.6011125804866957</v>
      </c>
      <c r="X1001" s="276">
        <f t="shared" si="908"/>
        <v>5.4968284470453117</v>
      </c>
      <c r="Y1001" s="686">
        <f t="shared" si="909"/>
        <v>4.1670488025558745</v>
      </c>
      <c r="Z1001" s="685" t="e">
        <f t="shared" si="910"/>
        <v>#DIV/0!</v>
      </c>
      <c r="AA1001" s="276" t="e">
        <f t="shared" si="911"/>
        <v>#DIV/0!</v>
      </c>
      <c r="AB1001" s="276" t="e">
        <f t="shared" si="912"/>
        <v>#DIV/0!</v>
      </c>
      <c r="AC1001" s="276" t="e">
        <f t="shared" si="913"/>
        <v>#DIV/0!</v>
      </c>
      <c r="AD1001" s="276" t="e">
        <f t="shared" si="914"/>
        <v>#DIV/0!</v>
      </c>
      <c r="AE1001" s="686" t="e">
        <f t="shared" si="915"/>
        <v>#DIV/0!</v>
      </c>
      <c r="AF1001" s="239"/>
      <c r="AG1001" s="965" t="e">
        <f t="shared" si="886"/>
        <v>#VALUE!</v>
      </c>
      <c r="AH1001" s="878" t="e">
        <f t="shared" si="887"/>
        <v>#VALUE!</v>
      </c>
      <c r="AI1001" s="878" t="e">
        <f t="shared" si="888"/>
        <v>#VALUE!</v>
      </c>
      <c r="AJ1001" s="878" t="e">
        <f t="shared" si="889"/>
        <v>#VALUE!</v>
      </c>
      <c r="AK1001" s="878" t="e">
        <f t="shared" si="890"/>
        <v>#VALUE!</v>
      </c>
      <c r="AL1001" s="966" t="e">
        <f t="shared" si="891"/>
        <v>#VALUE!</v>
      </c>
      <c r="AM1001" s="239"/>
      <c r="AO1001" s="685">
        <f t="shared" si="916"/>
        <v>2.024838582471836</v>
      </c>
      <c r="AP1001" s="276">
        <f t="shared" si="917"/>
        <v>-1.2665172018484643</v>
      </c>
      <c r="AQ1001" s="276">
        <f t="shared" si="918"/>
        <v>1.7722481554097447</v>
      </c>
      <c r="AR1001" s="276">
        <f t="shared" si="919"/>
        <v>-1.9149370541807351</v>
      </c>
      <c r="AS1001" s="276">
        <f t="shared" si="920"/>
        <v>0.72956298167150901</v>
      </c>
      <c r="AT1001" s="276">
        <f t="shared" si="921"/>
        <v>-0.15602887686116873</v>
      </c>
      <c r="AU1001" s="685">
        <f t="shared" si="922"/>
        <v>1.5918784136497643</v>
      </c>
      <c r="AV1001" s="276">
        <f t="shared" si="923"/>
        <v>0.83288309246459824</v>
      </c>
      <c r="AW1001" s="276">
        <f t="shared" si="924"/>
        <v>1.2665066564967844</v>
      </c>
      <c r="AX1001" s="276">
        <f t="shared" si="925"/>
        <v>0.31571972471103704</v>
      </c>
      <c r="AY1001" s="276">
        <f t="shared" si="926"/>
        <v>1.4141979284818766</v>
      </c>
      <c r="AZ1001" s="686">
        <f t="shared" si="927"/>
        <v>1.0656057590101662</v>
      </c>
      <c r="BA1001" s="685">
        <f t="shared" si="928"/>
        <v>0</v>
      </c>
      <c r="BB1001" s="276">
        <f t="shared" si="929"/>
        <v>0</v>
      </c>
      <c r="BC1001" s="276">
        <f t="shared" si="930"/>
        <v>0</v>
      </c>
      <c r="BD1001" s="276">
        <f t="shared" si="931"/>
        <v>0</v>
      </c>
      <c r="BE1001" s="276">
        <f t="shared" si="932"/>
        <v>0</v>
      </c>
      <c r="BF1001" s="686">
        <f t="shared" si="933"/>
        <v>0</v>
      </c>
      <c r="BG1001" s="685" t="e">
        <f t="shared" si="934"/>
        <v>#DIV/0!</v>
      </c>
      <c r="BH1001" s="276" t="e">
        <f t="shared" si="935"/>
        <v>#DIV/0!</v>
      </c>
      <c r="BI1001" s="276" t="e">
        <f t="shared" si="936"/>
        <v>#DIV/0!</v>
      </c>
      <c r="BJ1001" s="276" t="e">
        <f t="shared" si="937"/>
        <v>#DIV/0!</v>
      </c>
      <c r="BK1001" s="276" t="e">
        <f t="shared" si="938"/>
        <v>#DIV/0!</v>
      </c>
      <c r="BL1001" s="686" t="e">
        <f t="shared" si="939"/>
        <v>#DIV/0!</v>
      </c>
      <c r="BM1001" s="239"/>
      <c r="BN1001" s="965" t="e">
        <f t="shared" si="940"/>
        <v>#VALUE!</v>
      </c>
      <c r="BO1001" s="878" t="e">
        <f t="shared" si="941"/>
        <v>#VALUE!</v>
      </c>
      <c r="BP1001" s="878" t="e">
        <f t="shared" si="942"/>
        <v>#VALUE!</v>
      </c>
      <c r="BQ1001" s="878" t="e">
        <f t="shared" si="943"/>
        <v>#VALUE!</v>
      </c>
      <c r="BR1001" s="878" t="e">
        <f t="shared" si="944"/>
        <v>#VALUE!</v>
      </c>
      <c r="BS1001" s="966" t="e">
        <f t="shared" si="945"/>
        <v>#VALUE!</v>
      </c>
    </row>
    <row r="1002" spans="1:71">
      <c r="A1002" s="284">
        <f t="shared" si="946"/>
        <v>934</v>
      </c>
      <c r="B1002" s="285">
        <v>-0.4320156272861288</v>
      </c>
      <c r="C1002" s="285">
        <v>2.0052958135715162</v>
      </c>
      <c r="D1002" s="285">
        <v>-0.31886747426029771</v>
      </c>
      <c r="E1002" s="285">
        <v>-6.3768273166200498</v>
      </c>
      <c r="H1002" s="685">
        <f t="shared" si="892"/>
        <v>-1.5652494690551837</v>
      </c>
      <c r="I1002" s="276">
        <f t="shared" si="893"/>
        <v>-2.736219294937869</v>
      </c>
      <c r="J1002" s="276">
        <f t="shared" si="894"/>
        <v>-0.90774493554227331</v>
      </c>
      <c r="K1002" s="276">
        <f t="shared" si="895"/>
        <v>-2.1212823932732388</v>
      </c>
      <c r="L1002" s="276">
        <f t="shared" si="896"/>
        <v>-0.82367494094920746</v>
      </c>
      <c r="M1002" s="276">
        <f t="shared" si="897"/>
        <v>-2.2024959860855677</v>
      </c>
      <c r="N1002" s="685">
        <f t="shared" si="898"/>
        <v>0.79812460259964779</v>
      </c>
      <c r="O1002" s="276">
        <f t="shared" si="899"/>
        <v>0.96120069536863828</v>
      </c>
      <c r="P1002" s="276">
        <f t="shared" si="900"/>
        <v>1.4163269356461721</v>
      </c>
      <c r="Q1002" s="276">
        <f t="shared" si="901"/>
        <v>1.3089021208589247</v>
      </c>
      <c r="R1002" s="276">
        <f t="shared" si="902"/>
        <v>0.13960244294929569</v>
      </c>
      <c r="S1002" s="686">
        <f t="shared" si="903"/>
        <v>0.98182545259201492</v>
      </c>
      <c r="T1002" s="685">
        <f t="shared" si="904"/>
        <v>2.9594962160106282</v>
      </c>
      <c r="U1002" s="276">
        <f t="shared" si="905"/>
        <v>4.488211685731164</v>
      </c>
      <c r="V1002" s="276">
        <f t="shared" si="906"/>
        <v>4.2413733296023386</v>
      </c>
      <c r="W1002" s="276">
        <f t="shared" si="907"/>
        <v>3.4771764000630094</v>
      </c>
      <c r="X1002" s="276">
        <f t="shared" si="908"/>
        <v>6.2840777956329248</v>
      </c>
      <c r="Y1002" s="686">
        <f t="shared" si="909"/>
        <v>5.882840327680098</v>
      </c>
      <c r="Z1002" s="685" t="e">
        <f t="shared" si="910"/>
        <v>#DIV/0!</v>
      </c>
      <c r="AA1002" s="276" t="e">
        <f t="shared" si="911"/>
        <v>#DIV/0!</v>
      </c>
      <c r="AB1002" s="276" t="e">
        <f t="shared" si="912"/>
        <v>#DIV/0!</v>
      </c>
      <c r="AC1002" s="276" t="e">
        <f t="shared" si="913"/>
        <v>#DIV/0!</v>
      </c>
      <c r="AD1002" s="276" t="e">
        <f t="shared" si="914"/>
        <v>#DIV/0!</v>
      </c>
      <c r="AE1002" s="686" t="e">
        <f t="shared" si="915"/>
        <v>#DIV/0!</v>
      </c>
      <c r="AF1002" s="239"/>
      <c r="AG1002" s="965" t="e">
        <f t="shared" si="886"/>
        <v>#VALUE!</v>
      </c>
      <c r="AH1002" s="878" t="e">
        <f t="shared" si="887"/>
        <v>#VALUE!</v>
      </c>
      <c r="AI1002" s="878" t="e">
        <f t="shared" si="888"/>
        <v>#VALUE!</v>
      </c>
      <c r="AJ1002" s="878" t="e">
        <f t="shared" si="889"/>
        <v>#VALUE!</v>
      </c>
      <c r="AK1002" s="878" t="e">
        <f t="shared" si="890"/>
        <v>#VALUE!</v>
      </c>
      <c r="AL1002" s="966" t="e">
        <f t="shared" si="891"/>
        <v>#VALUE!</v>
      </c>
      <c r="AM1002" s="239"/>
      <c r="AO1002" s="685">
        <f t="shared" si="916"/>
        <v>-1.5652494690551837</v>
      </c>
      <c r="AP1002" s="276">
        <f t="shared" si="917"/>
        <v>-2.736219294937869</v>
      </c>
      <c r="AQ1002" s="276">
        <f t="shared" si="918"/>
        <v>-0.90774493554227331</v>
      </c>
      <c r="AR1002" s="276">
        <f t="shared" si="919"/>
        <v>-2.1212823932732388</v>
      </c>
      <c r="AS1002" s="276">
        <f t="shared" si="920"/>
        <v>-0.82367494094920746</v>
      </c>
      <c r="AT1002" s="276">
        <f t="shared" si="921"/>
        <v>-2.2024959860855677</v>
      </c>
      <c r="AU1002" s="685">
        <f t="shared" si="922"/>
        <v>0.79812460259964779</v>
      </c>
      <c r="AV1002" s="276">
        <f t="shared" si="923"/>
        <v>0.96120069536863828</v>
      </c>
      <c r="AW1002" s="276">
        <f t="shared" si="924"/>
        <v>1.4163269356461721</v>
      </c>
      <c r="AX1002" s="276">
        <f t="shared" si="925"/>
        <v>1.3089021208589247</v>
      </c>
      <c r="AY1002" s="276">
        <f t="shared" si="926"/>
        <v>0.13960244294929569</v>
      </c>
      <c r="AZ1002" s="686">
        <f t="shared" si="927"/>
        <v>0.98182545259201492</v>
      </c>
      <c r="BA1002" s="685">
        <f t="shared" si="928"/>
        <v>0</v>
      </c>
      <c r="BB1002" s="276">
        <f t="shared" si="929"/>
        <v>0</v>
      </c>
      <c r="BC1002" s="276">
        <f t="shared" si="930"/>
        <v>0</v>
      </c>
      <c r="BD1002" s="276">
        <f t="shared" si="931"/>
        <v>0</v>
      </c>
      <c r="BE1002" s="276">
        <f t="shared" si="932"/>
        <v>0</v>
      </c>
      <c r="BF1002" s="686">
        <f t="shared" si="933"/>
        <v>0</v>
      </c>
      <c r="BG1002" s="685" t="e">
        <f t="shared" si="934"/>
        <v>#DIV/0!</v>
      </c>
      <c r="BH1002" s="276" t="e">
        <f t="shared" si="935"/>
        <v>#DIV/0!</v>
      </c>
      <c r="BI1002" s="276" t="e">
        <f t="shared" si="936"/>
        <v>#DIV/0!</v>
      </c>
      <c r="BJ1002" s="276" t="e">
        <f t="shared" si="937"/>
        <v>#DIV/0!</v>
      </c>
      <c r="BK1002" s="276" t="e">
        <f t="shared" si="938"/>
        <v>#DIV/0!</v>
      </c>
      <c r="BL1002" s="686" t="e">
        <f t="shared" si="939"/>
        <v>#DIV/0!</v>
      </c>
      <c r="BM1002" s="239"/>
      <c r="BN1002" s="965" t="e">
        <f t="shared" si="940"/>
        <v>#VALUE!</v>
      </c>
      <c r="BO1002" s="878" t="e">
        <f t="shared" si="941"/>
        <v>#VALUE!</v>
      </c>
      <c r="BP1002" s="878" t="e">
        <f t="shared" si="942"/>
        <v>#VALUE!</v>
      </c>
      <c r="BQ1002" s="878" t="e">
        <f t="shared" si="943"/>
        <v>#VALUE!</v>
      </c>
      <c r="BR1002" s="878" t="e">
        <f t="shared" si="944"/>
        <v>#VALUE!</v>
      </c>
      <c r="BS1002" s="966" t="e">
        <f t="shared" si="945"/>
        <v>#VALUE!</v>
      </c>
    </row>
    <row r="1003" spans="1:71">
      <c r="A1003" s="284">
        <f t="shared" si="946"/>
        <v>935</v>
      </c>
      <c r="B1003" s="285">
        <v>-2.0588133670426401</v>
      </c>
      <c r="C1003" s="285">
        <v>1.9486172640754735</v>
      </c>
      <c r="D1003" s="285">
        <v>0.62898251364041924</v>
      </c>
      <c r="E1003" s="285">
        <v>-13.775519939483733</v>
      </c>
      <c r="H1003" s="685">
        <f t="shared" si="892"/>
        <v>-3.1920472088116947</v>
      </c>
      <c r="I1003" s="276">
        <f t="shared" si="893"/>
        <v>-5.1807947825858962</v>
      </c>
      <c r="J1003" s="276">
        <f t="shared" si="894"/>
        <v>-8.392432754660538</v>
      </c>
      <c r="K1003" s="276">
        <f t="shared" si="895"/>
        <v>-0.22227984844534288</v>
      </c>
      <c r="L1003" s="276">
        <f t="shared" si="896"/>
        <v>-1.5234609958946679</v>
      </c>
      <c r="M1003" s="276">
        <f t="shared" si="897"/>
        <v>-3.7475123440024003</v>
      </c>
      <c r="N1003" s="685">
        <f t="shared" si="898"/>
        <v>0.74144605310360512</v>
      </c>
      <c r="O1003" s="276">
        <f t="shared" si="899"/>
        <v>1.3313311616863499</v>
      </c>
      <c r="P1003" s="276">
        <f t="shared" si="900"/>
        <v>1.1450867027753791</v>
      </c>
      <c r="Q1003" s="276">
        <f t="shared" si="901"/>
        <v>1.6260583083492433</v>
      </c>
      <c r="R1003" s="276">
        <f t="shared" si="902"/>
        <v>1.5227937595410335</v>
      </c>
      <c r="S1003" s="686">
        <f t="shared" si="903"/>
        <v>1.7531770912680067</v>
      </c>
      <c r="T1003" s="685">
        <f t="shared" si="904"/>
        <v>3.9073462039113451</v>
      </c>
      <c r="U1003" s="276">
        <f t="shared" si="905"/>
        <v>4.752151591495716</v>
      </c>
      <c r="V1003" s="276">
        <f t="shared" si="906"/>
        <v>3.1119544242023638</v>
      </c>
      <c r="W1003" s="276">
        <f t="shared" si="907"/>
        <v>4.5054765540801309</v>
      </c>
      <c r="X1003" s="276">
        <f t="shared" si="908"/>
        <v>3.6444465243730977</v>
      </c>
      <c r="Y1003" s="686">
        <f t="shared" si="909"/>
        <v>4.8067497327901627</v>
      </c>
      <c r="Z1003" s="685" t="e">
        <f t="shared" si="910"/>
        <v>#DIV/0!</v>
      </c>
      <c r="AA1003" s="276" t="e">
        <f t="shared" si="911"/>
        <v>#DIV/0!</v>
      </c>
      <c r="AB1003" s="276" t="e">
        <f t="shared" si="912"/>
        <v>#DIV/0!</v>
      </c>
      <c r="AC1003" s="276" t="e">
        <f t="shared" si="913"/>
        <v>#DIV/0!</v>
      </c>
      <c r="AD1003" s="276" t="e">
        <f t="shared" si="914"/>
        <v>#DIV/0!</v>
      </c>
      <c r="AE1003" s="686" t="e">
        <f t="shared" si="915"/>
        <v>#DIV/0!</v>
      </c>
      <c r="AF1003" s="239"/>
      <c r="AG1003" s="965" t="e">
        <f t="shared" si="886"/>
        <v>#VALUE!</v>
      </c>
      <c r="AH1003" s="878" t="e">
        <f t="shared" si="887"/>
        <v>#VALUE!</v>
      </c>
      <c r="AI1003" s="878" t="e">
        <f t="shared" si="888"/>
        <v>#VALUE!</v>
      </c>
      <c r="AJ1003" s="878" t="e">
        <f t="shared" si="889"/>
        <v>#VALUE!</v>
      </c>
      <c r="AK1003" s="878" t="e">
        <f t="shared" si="890"/>
        <v>#VALUE!</v>
      </c>
      <c r="AL1003" s="966" t="e">
        <f t="shared" si="891"/>
        <v>#VALUE!</v>
      </c>
      <c r="AM1003" s="239"/>
      <c r="AO1003" s="685">
        <f t="shared" si="916"/>
        <v>-3.1920472088116947</v>
      </c>
      <c r="AP1003" s="276">
        <f t="shared" si="917"/>
        <v>-5.1807947825858962</v>
      </c>
      <c r="AQ1003" s="276">
        <f t="shared" si="918"/>
        <v>-8.392432754660538</v>
      </c>
      <c r="AR1003" s="276">
        <f t="shared" si="919"/>
        <v>-0.22227984844534288</v>
      </c>
      <c r="AS1003" s="276">
        <f t="shared" si="920"/>
        <v>-1.5234609958946679</v>
      </c>
      <c r="AT1003" s="276">
        <f t="shared" si="921"/>
        <v>-3.7475123440024003</v>
      </c>
      <c r="AU1003" s="685">
        <f t="shared" si="922"/>
        <v>0.74144605310360512</v>
      </c>
      <c r="AV1003" s="276">
        <f t="shared" si="923"/>
        <v>1.3313311616863499</v>
      </c>
      <c r="AW1003" s="276">
        <f t="shared" si="924"/>
        <v>1.1450867027753791</v>
      </c>
      <c r="AX1003" s="276">
        <f t="shared" si="925"/>
        <v>1.6260583083492433</v>
      </c>
      <c r="AY1003" s="276">
        <f t="shared" si="926"/>
        <v>1.5227937595410335</v>
      </c>
      <c r="AZ1003" s="686">
        <f t="shared" si="927"/>
        <v>1.7531770912680067</v>
      </c>
      <c r="BA1003" s="685">
        <f t="shared" si="928"/>
        <v>0</v>
      </c>
      <c r="BB1003" s="276">
        <f t="shared" si="929"/>
        <v>0</v>
      </c>
      <c r="BC1003" s="276">
        <f t="shared" si="930"/>
        <v>0</v>
      </c>
      <c r="BD1003" s="276">
        <f t="shared" si="931"/>
        <v>0</v>
      </c>
      <c r="BE1003" s="276">
        <f t="shared" si="932"/>
        <v>0</v>
      </c>
      <c r="BF1003" s="686">
        <f t="shared" si="933"/>
        <v>0</v>
      </c>
      <c r="BG1003" s="685" t="e">
        <f t="shared" si="934"/>
        <v>#DIV/0!</v>
      </c>
      <c r="BH1003" s="276" t="e">
        <f t="shared" si="935"/>
        <v>#DIV/0!</v>
      </c>
      <c r="BI1003" s="276" t="e">
        <f t="shared" si="936"/>
        <v>#DIV/0!</v>
      </c>
      <c r="BJ1003" s="276" t="e">
        <f t="shared" si="937"/>
        <v>#DIV/0!</v>
      </c>
      <c r="BK1003" s="276" t="e">
        <f t="shared" si="938"/>
        <v>#DIV/0!</v>
      </c>
      <c r="BL1003" s="686" t="e">
        <f t="shared" si="939"/>
        <v>#DIV/0!</v>
      </c>
      <c r="BM1003" s="239"/>
      <c r="BN1003" s="965" t="e">
        <f t="shared" si="940"/>
        <v>#VALUE!</v>
      </c>
      <c r="BO1003" s="878" t="e">
        <f t="shared" si="941"/>
        <v>#VALUE!</v>
      </c>
      <c r="BP1003" s="878" t="e">
        <f t="shared" si="942"/>
        <v>#VALUE!</v>
      </c>
      <c r="BQ1003" s="878" t="e">
        <f t="shared" si="943"/>
        <v>#VALUE!</v>
      </c>
      <c r="BR1003" s="878" t="e">
        <f t="shared" si="944"/>
        <v>#VALUE!</v>
      </c>
      <c r="BS1003" s="966" t="e">
        <f t="shared" si="945"/>
        <v>#VALUE!</v>
      </c>
    </row>
    <row r="1004" spans="1:71">
      <c r="A1004" s="284">
        <f t="shared" si="946"/>
        <v>936</v>
      </c>
      <c r="B1004" s="285">
        <v>0.58939151126616518</v>
      </c>
      <c r="C1004" s="285">
        <v>3.492757980032041</v>
      </c>
      <c r="D1004" s="285">
        <v>0.22499226797765925</v>
      </c>
      <c r="E1004" s="285">
        <v>20.773579113840551</v>
      </c>
      <c r="H1004" s="685">
        <f t="shared" si="892"/>
        <v>-0.54384233050288966</v>
      </c>
      <c r="I1004" s="276">
        <f t="shared" si="893"/>
        <v>-1.8636253814976573</v>
      </c>
      <c r="J1004" s="276">
        <f t="shared" si="894"/>
        <v>-2.0079681925582245</v>
      </c>
      <c r="K1004" s="276">
        <f t="shared" si="895"/>
        <v>0.58482795767394324</v>
      </c>
      <c r="L1004" s="276">
        <f t="shared" si="896"/>
        <v>-2.8992846255523763</v>
      </c>
      <c r="M1004" s="276">
        <f t="shared" si="897"/>
        <v>2.6666148713489486</v>
      </c>
      <c r="N1004" s="685">
        <f t="shared" si="898"/>
        <v>2.2855867690601723</v>
      </c>
      <c r="O1004" s="276">
        <f t="shared" si="899"/>
        <v>1.7390320223867157</v>
      </c>
      <c r="P1004" s="276">
        <f t="shared" si="900"/>
        <v>0.42236895407280395</v>
      </c>
      <c r="Q1004" s="276">
        <f t="shared" si="901"/>
        <v>1.5997688378806527</v>
      </c>
      <c r="R1004" s="276">
        <f t="shared" si="902"/>
        <v>1.6591149713161955</v>
      </c>
      <c r="S1004" s="686">
        <f t="shared" si="903"/>
        <v>0.92157669199196524</v>
      </c>
      <c r="T1004" s="685">
        <f t="shared" si="904"/>
        <v>3.5033559582485854</v>
      </c>
      <c r="U1004" s="276">
        <f t="shared" si="905"/>
        <v>3.9702129698239323</v>
      </c>
      <c r="V1004" s="276">
        <f t="shared" si="906"/>
        <v>4.7195895393678287</v>
      </c>
      <c r="W1004" s="276">
        <f t="shared" si="907"/>
        <v>4.3846229959604273</v>
      </c>
      <c r="X1004" s="276">
        <f t="shared" si="908"/>
        <v>3.5785356013412368</v>
      </c>
      <c r="Y1004" s="686">
        <f t="shared" si="909"/>
        <v>5.1732222406319091</v>
      </c>
      <c r="Z1004" s="685" t="e">
        <f t="shared" si="910"/>
        <v>#DIV/0!</v>
      </c>
      <c r="AA1004" s="276" t="e">
        <f t="shared" si="911"/>
        <v>#DIV/0!</v>
      </c>
      <c r="AB1004" s="276" t="e">
        <f t="shared" si="912"/>
        <v>#DIV/0!</v>
      </c>
      <c r="AC1004" s="276" t="e">
        <f t="shared" si="913"/>
        <v>#DIV/0!</v>
      </c>
      <c r="AD1004" s="276" t="e">
        <f t="shared" si="914"/>
        <v>#DIV/0!</v>
      </c>
      <c r="AE1004" s="686" t="e">
        <f t="shared" si="915"/>
        <v>#DIV/0!</v>
      </c>
      <c r="AF1004" s="239"/>
      <c r="AG1004" s="965" t="e">
        <f t="shared" si="886"/>
        <v>#VALUE!</v>
      </c>
      <c r="AH1004" s="878" t="e">
        <f t="shared" si="887"/>
        <v>#VALUE!</v>
      </c>
      <c r="AI1004" s="878" t="e">
        <f t="shared" si="888"/>
        <v>#VALUE!</v>
      </c>
      <c r="AJ1004" s="878" t="e">
        <f t="shared" si="889"/>
        <v>#VALUE!</v>
      </c>
      <c r="AK1004" s="878" t="e">
        <f t="shared" si="890"/>
        <v>#VALUE!</v>
      </c>
      <c r="AL1004" s="966" t="e">
        <f t="shared" si="891"/>
        <v>#VALUE!</v>
      </c>
      <c r="AM1004" s="239"/>
      <c r="AO1004" s="685">
        <f t="shared" si="916"/>
        <v>-0.54384233050288966</v>
      </c>
      <c r="AP1004" s="276">
        <f t="shared" si="917"/>
        <v>-1.8636253814976573</v>
      </c>
      <c r="AQ1004" s="276">
        <f t="shared" si="918"/>
        <v>-2.0079681925582245</v>
      </c>
      <c r="AR1004" s="276">
        <f t="shared" si="919"/>
        <v>0.58482795767394324</v>
      </c>
      <c r="AS1004" s="276">
        <f t="shared" si="920"/>
        <v>-2.8992846255523763</v>
      </c>
      <c r="AT1004" s="276">
        <f t="shared" si="921"/>
        <v>2.6666148713489486</v>
      </c>
      <c r="AU1004" s="685">
        <f t="shared" si="922"/>
        <v>2.2855867690601723</v>
      </c>
      <c r="AV1004" s="276">
        <f t="shared" si="923"/>
        <v>1.7390320223867157</v>
      </c>
      <c r="AW1004" s="276">
        <f t="shared" si="924"/>
        <v>0.42236895407280395</v>
      </c>
      <c r="AX1004" s="276">
        <f t="shared" si="925"/>
        <v>1.5997688378806527</v>
      </c>
      <c r="AY1004" s="276">
        <f t="shared" si="926"/>
        <v>1.6591149713161955</v>
      </c>
      <c r="AZ1004" s="686">
        <f t="shared" si="927"/>
        <v>0.92157669199196524</v>
      </c>
      <c r="BA1004" s="685">
        <f t="shared" si="928"/>
        <v>0</v>
      </c>
      <c r="BB1004" s="276">
        <f t="shared" si="929"/>
        <v>0</v>
      </c>
      <c r="BC1004" s="276">
        <f t="shared" si="930"/>
        <v>0</v>
      </c>
      <c r="BD1004" s="276">
        <f t="shared" si="931"/>
        <v>0</v>
      </c>
      <c r="BE1004" s="276">
        <f t="shared" si="932"/>
        <v>0</v>
      </c>
      <c r="BF1004" s="686">
        <f t="shared" si="933"/>
        <v>0</v>
      </c>
      <c r="BG1004" s="685" t="e">
        <f t="shared" si="934"/>
        <v>#DIV/0!</v>
      </c>
      <c r="BH1004" s="276" t="e">
        <f t="shared" si="935"/>
        <v>#DIV/0!</v>
      </c>
      <c r="BI1004" s="276" t="e">
        <f t="shared" si="936"/>
        <v>#DIV/0!</v>
      </c>
      <c r="BJ1004" s="276" t="e">
        <f t="shared" si="937"/>
        <v>#DIV/0!</v>
      </c>
      <c r="BK1004" s="276" t="e">
        <f t="shared" si="938"/>
        <v>#DIV/0!</v>
      </c>
      <c r="BL1004" s="686" t="e">
        <f t="shared" si="939"/>
        <v>#DIV/0!</v>
      </c>
      <c r="BM1004" s="239"/>
      <c r="BN1004" s="965" t="e">
        <f t="shared" si="940"/>
        <v>#VALUE!</v>
      </c>
      <c r="BO1004" s="878" t="e">
        <f t="shared" si="941"/>
        <v>#VALUE!</v>
      </c>
      <c r="BP1004" s="878" t="e">
        <f t="shared" si="942"/>
        <v>#VALUE!</v>
      </c>
      <c r="BQ1004" s="878" t="e">
        <f t="shared" si="943"/>
        <v>#VALUE!</v>
      </c>
      <c r="BR1004" s="878" t="e">
        <f t="shared" si="944"/>
        <v>#VALUE!</v>
      </c>
      <c r="BS1004" s="966" t="e">
        <f t="shared" si="945"/>
        <v>#VALUE!</v>
      </c>
    </row>
    <row r="1005" spans="1:71">
      <c r="A1005" s="284">
        <f t="shared" si="946"/>
        <v>937</v>
      </c>
      <c r="B1005" s="285">
        <v>-1.0932526452067495</v>
      </c>
      <c r="C1005" s="285">
        <v>2.6565304399900498</v>
      </c>
      <c r="D1005" s="285">
        <v>1.5556926014131442</v>
      </c>
      <c r="E1005" s="285">
        <v>-12.446729815245801</v>
      </c>
      <c r="H1005" s="685">
        <f t="shared" si="892"/>
        <v>-2.2264864869758041</v>
      </c>
      <c r="I1005" s="276">
        <f t="shared" si="893"/>
        <v>2.7966013785516051</v>
      </c>
      <c r="J1005" s="276">
        <f t="shared" si="894"/>
        <v>-0.35724675300459008</v>
      </c>
      <c r="K1005" s="276">
        <f t="shared" si="895"/>
        <v>-1.5805405844657368</v>
      </c>
      <c r="L1005" s="276">
        <f t="shared" si="896"/>
        <v>-0.94631922499627508</v>
      </c>
      <c r="M1005" s="276">
        <f t="shared" si="897"/>
        <v>7.7995921796641499E-2</v>
      </c>
      <c r="N1005" s="685">
        <f t="shared" si="898"/>
        <v>1.4493592290181814</v>
      </c>
      <c r="O1005" s="276">
        <f t="shared" si="899"/>
        <v>1.8750693376685816</v>
      </c>
      <c r="P1005" s="276">
        <f t="shared" si="900"/>
        <v>1.9647208167995747</v>
      </c>
      <c r="Q1005" s="276">
        <f t="shared" si="901"/>
        <v>1.7730963130747475</v>
      </c>
      <c r="R1005" s="276">
        <f t="shared" si="902"/>
        <v>1.229136762864379</v>
      </c>
      <c r="S1005" s="686">
        <f t="shared" si="903"/>
        <v>1.503247727417224</v>
      </c>
      <c r="T1005" s="685">
        <f t="shared" si="904"/>
        <v>4.8340562916840701</v>
      </c>
      <c r="U1005" s="276">
        <f t="shared" si="905"/>
        <v>5.0534325908719637</v>
      </c>
      <c r="V1005" s="276">
        <f t="shared" si="906"/>
        <v>4.1020214540169526</v>
      </c>
      <c r="W1005" s="276">
        <f t="shared" si="907"/>
        <v>2.9717367881118424</v>
      </c>
      <c r="X1005" s="276">
        <f t="shared" si="908"/>
        <v>3.4650513274018238</v>
      </c>
      <c r="Y1005" s="686">
        <f t="shared" si="909"/>
        <v>3.4703496533714269</v>
      </c>
      <c r="Z1005" s="685" t="e">
        <f t="shared" si="910"/>
        <v>#DIV/0!</v>
      </c>
      <c r="AA1005" s="276" t="e">
        <f t="shared" si="911"/>
        <v>#DIV/0!</v>
      </c>
      <c r="AB1005" s="276" t="e">
        <f t="shared" si="912"/>
        <v>#DIV/0!</v>
      </c>
      <c r="AC1005" s="276" t="e">
        <f t="shared" si="913"/>
        <v>#DIV/0!</v>
      </c>
      <c r="AD1005" s="276" t="e">
        <f t="shared" si="914"/>
        <v>#DIV/0!</v>
      </c>
      <c r="AE1005" s="686" t="e">
        <f t="shared" si="915"/>
        <v>#DIV/0!</v>
      </c>
      <c r="AF1005" s="239"/>
      <c r="AG1005" s="965" t="e">
        <f t="shared" si="886"/>
        <v>#VALUE!</v>
      </c>
      <c r="AH1005" s="878" t="e">
        <f t="shared" si="887"/>
        <v>#VALUE!</v>
      </c>
      <c r="AI1005" s="878" t="e">
        <f t="shared" si="888"/>
        <v>#VALUE!</v>
      </c>
      <c r="AJ1005" s="878" t="e">
        <f t="shared" si="889"/>
        <v>#VALUE!</v>
      </c>
      <c r="AK1005" s="878" t="e">
        <f t="shared" si="890"/>
        <v>#VALUE!</v>
      </c>
      <c r="AL1005" s="966" t="e">
        <f t="shared" si="891"/>
        <v>#VALUE!</v>
      </c>
      <c r="AM1005" s="239"/>
      <c r="AO1005" s="685">
        <f t="shared" si="916"/>
        <v>-2.2264864869758041</v>
      </c>
      <c r="AP1005" s="276">
        <f t="shared" si="917"/>
        <v>2.7966013785516051</v>
      </c>
      <c r="AQ1005" s="276">
        <f t="shared" si="918"/>
        <v>-0.35724675300459008</v>
      </c>
      <c r="AR1005" s="276">
        <f t="shared" si="919"/>
        <v>-1.5805405844657368</v>
      </c>
      <c r="AS1005" s="276">
        <f t="shared" si="920"/>
        <v>-0.94631922499627508</v>
      </c>
      <c r="AT1005" s="276">
        <f t="shared" si="921"/>
        <v>7.7995921796641499E-2</v>
      </c>
      <c r="AU1005" s="685">
        <f t="shared" si="922"/>
        <v>1.4493592290181814</v>
      </c>
      <c r="AV1005" s="276">
        <f t="shared" si="923"/>
        <v>1.8750693376685816</v>
      </c>
      <c r="AW1005" s="276">
        <f t="shared" si="924"/>
        <v>1.9647208167995747</v>
      </c>
      <c r="AX1005" s="276">
        <f t="shared" si="925"/>
        <v>1.7730963130747475</v>
      </c>
      <c r="AY1005" s="276">
        <f t="shared" si="926"/>
        <v>1.229136762864379</v>
      </c>
      <c r="AZ1005" s="686">
        <f t="shared" si="927"/>
        <v>1.503247727417224</v>
      </c>
      <c r="BA1005" s="685">
        <f t="shared" si="928"/>
        <v>0</v>
      </c>
      <c r="BB1005" s="276">
        <f t="shared" si="929"/>
        <v>0</v>
      </c>
      <c r="BC1005" s="276">
        <f t="shared" si="930"/>
        <v>0</v>
      </c>
      <c r="BD1005" s="276">
        <f t="shared" si="931"/>
        <v>0</v>
      </c>
      <c r="BE1005" s="276">
        <f t="shared" si="932"/>
        <v>0</v>
      </c>
      <c r="BF1005" s="686">
        <f t="shared" si="933"/>
        <v>0</v>
      </c>
      <c r="BG1005" s="685" t="e">
        <f t="shared" si="934"/>
        <v>#DIV/0!</v>
      </c>
      <c r="BH1005" s="276" t="e">
        <f t="shared" si="935"/>
        <v>#DIV/0!</v>
      </c>
      <c r="BI1005" s="276" t="e">
        <f t="shared" si="936"/>
        <v>#DIV/0!</v>
      </c>
      <c r="BJ1005" s="276" t="e">
        <f t="shared" si="937"/>
        <v>#DIV/0!</v>
      </c>
      <c r="BK1005" s="276" t="e">
        <f t="shared" si="938"/>
        <v>#DIV/0!</v>
      </c>
      <c r="BL1005" s="686" t="e">
        <f t="shared" si="939"/>
        <v>#DIV/0!</v>
      </c>
      <c r="BM1005" s="239"/>
      <c r="BN1005" s="965" t="e">
        <f t="shared" si="940"/>
        <v>#VALUE!</v>
      </c>
      <c r="BO1005" s="878" t="e">
        <f t="shared" si="941"/>
        <v>#VALUE!</v>
      </c>
      <c r="BP1005" s="878" t="e">
        <f t="shared" si="942"/>
        <v>#VALUE!</v>
      </c>
      <c r="BQ1005" s="878" t="e">
        <f t="shared" si="943"/>
        <v>#VALUE!</v>
      </c>
      <c r="BR1005" s="878" t="e">
        <f t="shared" si="944"/>
        <v>#VALUE!</v>
      </c>
      <c r="BS1005" s="966" t="e">
        <f t="shared" si="945"/>
        <v>#VALUE!</v>
      </c>
    </row>
    <row r="1006" spans="1:71">
      <c r="A1006" s="284">
        <f t="shared" si="946"/>
        <v>938</v>
      </c>
      <c r="B1006" s="285">
        <v>-2.893978618240165</v>
      </c>
      <c r="C1006" s="285">
        <v>2.433515786916141</v>
      </c>
      <c r="D1006" s="285">
        <v>-1.2806760368175114</v>
      </c>
      <c r="E1006" s="285">
        <v>-1.9413361791285091</v>
      </c>
      <c r="H1006" s="685">
        <f t="shared" si="892"/>
        <v>-4.0272124600092196</v>
      </c>
      <c r="I1006" s="276">
        <f t="shared" si="893"/>
        <v>0.44847810721508785</v>
      </c>
      <c r="J1006" s="276">
        <f t="shared" si="894"/>
        <v>0.2993737378647654</v>
      </c>
      <c r="K1006" s="276">
        <f t="shared" si="895"/>
        <v>-4.4095666981605381</v>
      </c>
      <c r="L1006" s="276">
        <f t="shared" si="896"/>
        <v>1.9053350304674355</v>
      </c>
      <c r="M1006" s="276">
        <f t="shared" si="897"/>
        <v>-5.6815308072565074E-2</v>
      </c>
      <c r="N1006" s="685">
        <f t="shared" si="898"/>
        <v>1.2263445759442726</v>
      </c>
      <c r="O1006" s="276">
        <f t="shared" si="899"/>
        <v>1.9329242566785323</v>
      </c>
      <c r="P1006" s="276">
        <f t="shared" si="900"/>
        <v>1.9069808636057386</v>
      </c>
      <c r="Q1006" s="276">
        <f t="shared" si="901"/>
        <v>0.5807628636954576</v>
      </c>
      <c r="R1006" s="276">
        <f t="shared" si="902"/>
        <v>1.5262999579585037</v>
      </c>
      <c r="S1006" s="686">
        <f t="shared" si="903"/>
        <v>1.9597036199299833</v>
      </c>
      <c r="T1006" s="685">
        <f t="shared" si="904"/>
        <v>1.9976876534534145</v>
      </c>
      <c r="U1006" s="276">
        <f t="shared" si="905"/>
        <v>4.9828425166656833</v>
      </c>
      <c r="V1006" s="276">
        <f t="shared" si="906"/>
        <v>3.1609410523349175</v>
      </c>
      <c r="W1006" s="276">
        <f t="shared" si="907"/>
        <v>4.5244741465167166</v>
      </c>
      <c r="X1006" s="276">
        <f t="shared" si="908"/>
        <v>5.1317021343698759</v>
      </c>
      <c r="Y1006" s="686">
        <f t="shared" si="909"/>
        <v>3.8522181546599334</v>
      </c>
      <c r="Z1006" s="685" t="e">
        <f t="shared" si="910"/>
        <v>#DIV/0!</v>
      </c>
      <c r="AA1006" s="276" t="e">
        <f t="shared" si="911"/>
        <v>#DIV/0!</v>
      </c>
      <c r="AB1006" s="276" t="e">
        <f t="shared" si="912"/>
        <v>#DIV/0!</v>
      </c>
      <c r="AC1006" s="276" t="e">
        <f t="shared" si="913"/>
        <v>#DIV/0!</v>
      </c>
      <c r="AD1006" s="276" t="e">
        <f t="shared" si="914"/>
        <v>#DIV/0!</v>
      </c>
      <c r="AE1006" s="686" t="e">
        <f t="shared" si="915"/>
        <v>#DIV/0!</v>
      </c>
      <c r="AF1006" s="239"/>
      <c r="AG1006" s="965" t="e">
        <f t="shared" si="886"/>
        <v>#VALUE!</v>
      </c>
      <c r="AH1006" s="878" t="e">
        <f t="shared" si="887"/>
        <v>#VALUE!</v>
      </c>
      <c r="AI1006" s="878" t="e">
        <f t="shared" si="888"/>
        <v>#VALUE!</v>
      </c>
      <c r="AJ1006" s="878" t="e">
        <f t="shared" si="889"/>
        <v>#VALUE!</v>
      </c>
      <c r="AK1006" s="878" t="e">
        <f t="shared" si="890"/>
        <v>#VALUE!</v>
      </c>
      <c r="AL1006" s="966" t="e">
        <f t="shared" si="891"/>
        <v>#VALUE!</v>
      </c>
      <c r="AM1006" s="239"/>
      <c r="AO1006" s="685">
        <f t="shared" si="916"/>
        <v>-4.0272124600092196</v>
      </c>
      <c r="AP1006" s="276">
        <f t="shared" si="917"/>
        <v>0.44847810721508785</v>
      </c>
      <c r="AQ1006" s="276">
        <f t="shared" si="918"/>
        <v>0.2993737378647654</v>
      </c>
      <c r="AR1006" s="276">
        <f t="shared" si="919"/>
        <v>-4.4095666981605381</v>
      </c>
      <c r="AS1006" s="276">
        <f t="shared" si="920"/>
        <v>1.9053350304674355</v>
      </c>
      <c r="AT1006" s="276">
        <f t="shared" si="921"/>
        <v>-5.6815308072565074E-2</v>
      </c>
      <c r="AU1006" s="685">
        <f t="shared" si="922"/>
        <v>1.2263445759442726</v>
      </c>
      <c r="AV1006" s="276">
        <f t="shared" si="923"/>
        <v>1.9329242566785323</v>
      </c>
      <c r="AW1006" s="276">
        <f t="shared" si="924"/>
        <v>1.9069808636057386</v>
      </c>
      <c r="AX1006" s="276">
        <f t="shared" si="925"/>
        <v>0.5807628636954576</v>
      </c>
      <c r="AY1006" s="276">
        <f t="shared" si="926"/>
        <v>1.5262999579585037</v>
      </c>
      <c r="AZ1006" s="686">
        <f t="shared" si="927"/>
        <v>1.9597036199299833</v>
      </c>
      <c r="BA1006" s="685">
        <f t="shared" si="928"/>
        <v>0</v>
      </c>
      <c r="BB1006" s="276">
        <f t="shared" si="929"/>
        <v>0</v>
      </c>
      <c r="BC1006" s="276">
        <f t="shared" si="930"/>
        <v>0</v>
      </c>
      <c r="BD1006" s="276">
        <f t="shared" si="931"/>
        <v>0</v>
      </c>
      <c r="BE1006" s="276">
        <f t="shared" si="932"/>
        <v>0</v>
      </c>
      <c r="BF1006" s="686">
        <f t="shared" si="933"/>
        <v>0</v>
      </c>
      <c r="BG1006" s="685" t="e">
        <f t="shared" si="934"/>
        <v>#DIV/0!</v>
      </c>
      <c r="BH1006" s="276" t="e">
        <f t="shared" si="935"/>
        <v>#DIV/0!</v>
      </c>
      <c r="BI1006" s="276" t="e">
        <f t="shared" si="936"/>
        <v>#DIV/0!</v>
      </c>
      <c r="BJ1006" s="276" t="e">
        <f t="shared" si="937"/>
        <v>#DIV/0!</v>
      </c>
      <c r="BK1006" s="276" t="e">
        <f t="shared" si="938"/>
        <v>#DIV/0!</v>
      </c>
      <c r="BL1006" s="686" t="e">
        <f t="shared" si="939"/>
        <v>#DIV/0!</v>
      </c>
      <c r="BM1006" s="239"/>
      <c r="BN1006" s="965" t="e">
        <f t="shared" si="940"/>
        <v>#VALUE!</v>
      </c>
      <c r="BO1006" s="878" t="e">
        <f t="shared" si="941"/>
        <v>#VALUE!</v>
      </c>
      <c r="BP1006" s="878" t="e">
        <f t="shared" si="942"/>
        <v>#VALUE!</v>
      </c>
      <c r="BQ1006" s="878" t="e">
        <f t="shared" si="943"/>
        <v>#VALUE!</v>
      </c>
      <c r="BR1006" s="878" t="e">
        <f t="shared" si="944"/>
        <v>#VALUE!</v>
      </c>
      <c r="BS1006" s="966" t="e">
        <f t="shared" si="945"/>
        <v>#VALUE!</v>
      </c>
    </row>
    <row r="1007" spans="1:71">
      <c r="A1007" s="284">
        <f t="shared" si="946"/>
        <v>939</v>
      </c>
      <c r="B1007" s="285">
        <v>-1.2715651192801034</v>
      </c>
      <c r="C1007" s="285">
        <v>2.6426499358703874</v>
      </c>
      <c r="D1007" s="285">
        <v>0.56029249724071961</v>
      </c>
      <c r="E1007" s="285">
        <v>-5.0441381871324067</v>
      </c>
      <c r="H1007" s="685">
        <f t="shared" si="892"/>
        <v>-2.404798961049158</v>
      </c>
      <c r="I1007" s="276">
        <f t="shared" si="893"/>
        <v>0.10423900258732544</v>
      </c>
      <c r="J1007" s="276">
        <f t="shared" si="894"/>
        <v>0.78633561961499643</v>
      </c>
      <c r="K1007" s="276">
        <f t="shared" si="895"/>
        <v>-1.9403912553670288</v>
      </c>
      <c r="L1007" s="276">
        <f t="shared" si="896"/>
        <v>-1.914702528055312</v>
      </c>
      <c r="M1007" s="276">
        <f t="shared" si="897"/>
        <v>-3.8283141305202344</v>
      </c>
      <c r="N1007" s="685">
        <f t="shared" si="898"/>
        <v>1.435478724898519</v>
      </c>
      <c r="O1007" s="276">
        <f t="shared" si="899"/>
        <v>1.1898361021200861</v>
      </c>
      <c r="P1007" s="276">
        <f t="shared" si="900"/>
        <v>1.2368576516266521</v>
      </c>
      <c r="Q1007" s="276">
        <f t="shared" si="901"/>
        <v>1.1388032694284196</v>
      </c>
      <c r="R1007" s="276">
        <f t="shared" si="902"/>
        <v>1.4630462860200362</v>
      </c>
      <c r="S1007" s="686">
        <f t="shared" si="903"/>
        <v>1.0090652091978172</v>
      </c>
      <c r="T1007" s="685">
        <f t="shared" si="904"/>
        <v>3.8386561875116456</v>
      </c>
      <c r="U1007" s="276">
        <f t="shared" si="905"/>
        <v>3.9397137457880715</v>
      </c>
      <c r="V1007" s="276">
        <f t="shared" si="906"/>
        <v>5.9925908015920228</v>
      </c>
      <c r="W1007" s="276">
        <f t="shared" si="907"/>
        <v>6.3036367554041615</v>
      </c>
      <c r="X1007" s="276">
        <f t="shared" si="908"/>
        <v>3.4133707335178269</v>
      </c>
      <c r="Y1007" s="686">
        <f t="shared" si="909"/>
        <v>2.8988443205054377</v>
      </c>
      <c r="Z1007" s="685" t="e">
        <f t="shared" si="910"/>
        <v>#DIV/0!</v>
      </c>
      <c r="AA1007" s="276" t="e">
        <f t="shared" si="911"/>
        <v>#DIV/0!</v>
      </c>
      <c r="AB1007" s="276" t="e">
        <f t="shared" si="912"/>
        <v>#DIV/0!</v>
      </c>
      <c r="AC1007" s="276" t="e">
        <f t="shared" si="913"/>
        <v>#DIV/0!</v>
      </c>
      <c r="AD1007" s="276" t="e">
        <f t="shared" si="914"/>
        <v>#DIV/0!</v>
      </c>
      <c r="AE1007" s="686" t="e">
        <f t="shared" si="915"/>
        <v>#DIV/0!</v>
      </c>
      <c r="AF1007" s="239"/>
      <c r="AG1007" s="965" t="e">
        <f t="shared" si="886"/>
        <v>#VALUE!</v>
      </c>
      <c r="AH1007" s="878" t="e">
        <f t="shared" si="887"/>
        <v>#VALUE!</v>
      </c>
      <c r="AI1007" s="878" t="e">
        <f t="shared" si="888"/>
        <v>#VALUE!</v>
      </c>
      <c r="AJ1007" s="878" t="e">
        <f t="shared" si="889"/>
        <v>#VALUE!</v>
      </c>
      <c r="AK1007" s="878" t="e">
        <f t="shared" si="890"/>
        <v>#VALUE!</v>
      </c>
      <c r="AL1007" s="966" t="e">
        <f t="shared" si="891"/>
        <v>#VALUE!</v>
      </c>
      <c r="AM1007" s="239"/>
      <c r="AO1007" s="685">
        <f t="shared" si="916"/>
        <v>-2.404798961049158</v>
      </c>
      <c r="AP1007" s="276">
        <f t="shared" si="917"/>
        <v>0.10423900258732544</v>
      </c>
      <c r="AQ1007" s="276">
        <f t="shared" si="918"/>
        <v>0.78633561961499643</v>
      </c>
      <c r="AR1007" s="276">
        <f t="shared" si="919"/>
        <v>-1.9403912553670288</v>
      </c>
      <c r="AS1007" s="276">
        <f t="shared" si="920"/>
        <v>-1.914702528055312</v>
      </c>
      <c r="AT1007" s="276">
        <f t="shared" si="921"/>
        <v>-3.8283141305202344</v>
      </c>
      <c r="AU1007" s="685">
        <f t="shared" si="922"/>
        <v>1.435478724898519</v>
      </c>
      <c r="AV1007" s="276">
        <f t="shared" si="923"/>
        <v>1.1898361021200861</v>
      </c>
      <c r="AW1007" s="276">
        <f t="shared" si="924"/>
        <v>1.2368576516266521</v>
      </c>
      <c r="AX1007" s="276">
        <f t="shared" si="925"/>
        <v>1.1388032694284196</v>
      </c>
      <c r="AY1007" s="276">
        <f t="shared" si="926"/>
        <v>1.4630462860200362</v>
      </c>
      <c r="AZ1007" s="686">
        <f t="shared" si="927"/>
        <v>1.0090652091978172</v>
      </c>
      <c r="BA1007" s="685">
        <f t="shared" si="928"/>
        <v>0</v>
      </c>
      <c r="BB1007" s="276">
        <f t="shared" si="929"/>
        <v>0</v>
      </c>
      <c r="BC1007" s="276">
        <f t="shared" si="930"/>
        <v>0</v>
      </c>
      <c r="BD1007" s="276">
        <f t="shared" si="931"/>
        <v>0</v>
      </c>
      <c r="BE1007" s="276">
        <f t="shared" si="932"/>
        <v>0</v>
      </c>
      <c r="BF1007" s="686">
        <f t="shared" si="933"/>
        <v>0</v>
      </c>
      <c r="BG1007" s="685" t="e">
        <f t="shared" si="934"/>
        <v>#DIV/0!</v>
      </c>
      <c r="BH1007" s="276" t="e">
        <f t="shared" si="935"/>
        <v>#DIV/0!</v>
      </c>
      <c r="BI1007" s="276" t="e">
        <f t="shared" si="936"/>
        <v>#DIV/0!</v>
      </c>
      <c r="BJ1007" s="276" t="e">
        <f t="shared" si="937"/>
        <v>#DIV/0!</v>
      </c>
      <c r="BK1007" s="276" t="e">
        <f t="shared" si="938"/>
        <v>#DIV/0!</v>
      </c>
      <c r="BL1007" s="686" t="e">
        <f t="shared" si="939"/>
        <v>#DIV/0!</v>
      </c>
      <c r="BM1007" s="239"/>
      <c r="BN1007" s="965" t="e">
        <f t="shared" si="940"/>
        <v>#VALUE!</v>
      </c>
      <c r="BO1007" s="878" t="e">
        <f t="shared" si="941"/>
        <v>#VALUE!</v>
      </c>
      <c r="BP1007" s="878" t="e">
        <f t="shared" si="942"/>
        <v>#VALUE!</v>
      </c>
      <c r="BQ1007" s="878" t="e">
        <f t="shared" si="943"/>
        <v>#VALUE!</v>
      </c>
      <c r="BR1007" s="878" t="e">
        <f t="shared" si="944"/>
        <v>#VALUE!</v>
      </c>
      <c r="BS1007" s="966" t="e">
        <f t="shared" si="945"/>
        <v>#VALUE!</v>
      </c>
    </row>
    <row r="1008" spans="1:71">
      <c r="A1008" s="284">
        <f t="shared" si="946"/>
        <v>940</v>
      </c>
      <c r="B1008" s="285">
        <v>-0.39616026765778267</v>
      </c>
      <c r="C1008" s="285">
        <v>1.8155325423987554</v>
      </c>
      <c r="D1008" s="285">
        <v>0.14097760632313983</v>
      </c>
      <c r="E1008" s="285">
        <v>-13.276451425158866</v>
      </c>
      <c r="H1008" s="685">
        <f t="shared" si="892"/>
        <v>-1.5293941094268375</v>
      </c>
      <c r="I1008" s="276">
        <f t="shared" si="893"/>
        <v>-0.55795791677815021</v>
      </c>
      <c r="J1008" s="276">
        <f t="shared" si="894"/>
        <v>0.47376829906047768</v>
      </c>
      <c r="K1008" s="276">
        <f t="shared" si="895"/>
        <v>-1.9445340422996407</v>
      </c>
      <c r="L1008" s="276">
        <f t="shared" si="896"/>
        <v>-1.2695114546650783</v>
      </c>
      <c r="M1008" s="276">
        <f t="shared" si="897"/>
        <v>-0.9941623303346645</v>
      </c>
      <c r="N1008" s="685">
        <f t="shared" si="898"/>
        <v>0.60836133142688698</v>
      </c>
      <c r="O1008" s="276">
        <f t="shared" si="899"/>
        <v>1.4074397454926755</v>
      </c>
      <c r="P1008" s="276">
        <f t="shared" si="900"/>
        <v>1.3223092434950983</v>
      </c>
      <c r="Q1008" s="276">
        <f t="shared" si="901"/>
        <v>1.1065538731687805</v>
      </c>
      <c r="R1008" s="276">
        <f t="shared" si="902"/>
        <v>1.755359776555445</v>
      </c>
      <c r="S1008" s="686">
        <f t="shared" si="903"/>
        <v>1.594105168495785</v>
      </c>
      <c r="T1008" s="685">
        <f t="shared" si="904"/>
        <v>3.4193412965940659</v>
      </c>
      <c r="U1008" s="276">
        <f t="shared" si="905"/>
        <v>4.4147700652273727</v>
      </c>
      <c r="V1008" s="276">
        <f t="shared" si="906"/>
        <v>3.5882287921474769</v>
      </c>
      <c r="W1008" s="276">
        <f t="shared" si="907"/>
        <v>6.548257645105533</v>
      </c>
      <c r="X1008" s="276">
        <f t="shared" si="908"/>
        <v>4.9927719861176021</v>
      </c>
      <c r="Y1008" s="686">
        <f t="shared" si="909"/>
        <v>5.0500085281246694</v>
      </c>
      <c r="Z1008" s="685" t="e">
        <f t="shared" si="910"/>
        <v>#DIV/0!</v>
      </c>
      <c r="AA1008" s="276" t="e">
        <f t="shared" si="911"/>
        <v>#DIV/0!</v>
      </c>
      <c r="AB1008" s="276" t="e">
        <f t="shared" si="912"/>
        <v>#DIV/0!</v>
      </c>
      <c r="AC1008" s="276" t="e">
        <f t="shared" si="913"/>
        <v>#DIV/0!</v>
      </c>
      <c r="AD1008" s="276" t="e">
        <f t="shared" si="914"/>
        <v>#DIV/0!</v>
      </c>
      <c r="AE1008" s="686" t="e">
        <f t="shared" si="915"/>
        <v>#DIV/0!</v>
      </c>
      <c r="AF1008" s="239"/>
      <c r="AG1008" s="965" t="e">
        <f t="shared" si="886"/>
        <v>#VALUE!</v>
      </c>
      <c r="AH1008" s="878" t="e">
        <f t="shared" si="887"/>
        <v>#VALUE!</v>
      </c>
      <c r="AI1008" s="878" t="e">
        <f t="shared" si="888"/>
        <v>#VALUE!</v>
      </c>
      <c r="AJ1008" s="878" t="e">
        <f t="shared" si="889"/>
        <v>#VALUE!</v>
      </c>
      <c r="AK1008" s="878" t="e">
        <f t="shared" si="890"/>
        <v>#VALUE!</v>
      </c>
      <c r="AL1008" s="966" t="e">
        <f t="shared" si="891"/>
        <v>#VALUE!</v>
      </c>
      <c r="AM1008" s="239"/>
      <c r="AO1008" s="685">
        <f t="shared" si="916"/>
        <v>-1.5293941094268375</v>
      </c>
      <c r="AP1008" s="276">
        <f t="shared" si="917"/>
        <v>-0.55795791677815021</v>
      </c>
      <c r="AQ1008" s="276">
        <f t="shared" si="918"/>
        <v>0.47376829906047768</v>
      </c>
      <c r="AR1008" s="276">
        <f t="shared" si="919"/>
        <v>-1.9445340422996407</v>
      </c>
      <c r="AS1008" s="276">
        <f t="shared" si="920"/>
        <v>-1.2695114546650783</v>
      </c>
      <c r="AT1008" s="276">
        <f t="shared" si="921"/>
        <v>-0.9941623303346645</v>
      </c>
      <c r="AU1008" s="685">
        <f t="shared" si="922"/>
        <v>0.60836133142688698</v>
      </c>
      <c r="AV1008" s="276">
        <f t="shared" si="923"/>
        <v>1.4074397454926755</v>
      </c>
      <c r="AW1008" s="276">
        <f t="shared" si="924"/>
        <v>1.3223092434950983</v>
      </c>
      <c r="AX1008" s="276">
        <f t="shared" si="925"/>
        <v>1.1065538731687805</v>
      </c>
      <c r="AY1008" s="276">
        <f t="shared" si="926"/>
        <v>1.755359776555445</v>
      </c>
      <c r="AZ1008" s="686">
        <f t="shared" si="927"/>
        <v>1.594105168495785</v>
      </c>
      <c r="BA1008" s="685">
        <f t="shared" si="928"/>
        <v>0</v>
      </c>
      <c r="BB1008" s="276">
        <f t="shared" si="929"/>
        <v>0</v>
      </c>
      <c r="BC1008" s="276">
        <f t="shared" si="930"/>
        <v>0</v>
      </c>
      <c r="BD1008" s="276">
        <f t="shared" si="931"/>
        <v>0</v>
      </c>
      <c r="BE1008" s="276">
        <f t="shared" si="932"/>
        <v>0</v>
      </c>
      <c r="BF1008" s="686">
        <f t="shared" si="933"/>
        <v>0</v>
      </c>
      <c r="BG1008" s="685" t="e">
        <f t="shared" si="934"/>
        <v>#DIV/0!</v>
      </c>
      <c r="BH1008" s="276" t="e">
        <f t="shared" si="935"/>
        <v>#DIV/0!</v>
      </c>
      <c r="BI1008" s="276" t="e">
        <f t="shared" si="936"/>
        <v>#DIV/0!</v>
      </c>
      <c r="BJ1008" s="276" t="e">
        <f t="shared" si="937"/>
        <v>#DIV/0!</v>
      </c>
      <c r="BK1008" s="276" t="e">
        <f t="shared" si="938"/>
        <v>#DIV/0!</v>
      </c>
      <c r="BL1008" s="686" t="e">
        <f t="shared" si="939"/>
        <v>#DIV/0!</v>
      </c>
      <c r="BM1008" s="239"/>
      <c r="BN1008" s="965" t="e">
        <f t="shared" si="940"/>
        <v>#VALUE!</v>
      </c>
      <c r="BO1008" s="878" t="e">
        <f t="shared" si="941"/>
        <v>#VALUE!</v>
      </c>
      <c r="BP1008" s="878" t="e">
        <f t="shared" si="942"/>
        <v>#VALUE!</v>
      </c>
      <c r="BQ1008" s="878" t="e">
        <f t="shared" si="943"/>
        <v>#VALUE!</v>
      </c>
      <c r="BR1008" s="878" t="e">
        <f t="shared" si="944"/>
        <v>#VALUE!</v>
      </c>
      <c r="BS1008" s="966" t="e">
        <f t="shared" si="945"/>
        <v>#VALUE!</v>
      </c>
    </row>
    <row r="1009" spans="1:71">
      <c r="A1009" s="284">
        <f t="shared" si="946"/>
        <v>941</v>
      </c>
      <c r="B1009" s="285">
        <v>-1.2844246167740647</v>
      </c>
      <c r="C1009" s="285">
        <v>2.7582884489978539</v>
      </c>
      <c r="D1009" s="285">
        <v>1.4867074116421231</v>
      </c>
      <c r="E1009" s="285">
        <v>1.6810578037931383</v>
      </c>
      <c r="H1009" s="685">
        <f t="shared" si="892"/>
        <v>-2.4176584585431193</v>
      </c>
      <c r="I1009" s="276">
        <f t="shared" si="893"/>
        <v>1.2928827632246869</v>
      </c>
      <c r="J1009" s="276">
        <f t="shared" si="894"/>
        <v>2.9293495334215187</v>
      </c>
      <c r="K1009" s="276">
        <f t="shared" si="895"/>
        <v>-2.2491023766203702</v>
      </c>
      <c r="L1009" s="276">
        <f t="shared" si="896"/>
        <v>-2.1179011685020477</v>
      </c>
      <c r="M1009" s="276">
        <f t="shared" si="897"/>
        <v>-0.79865308378319966</v>
      </c>
      <c r="N1009" s="685">
        <f t="shared" si="898"/>
        <v>1.5511172380259854</v>
      </c>
      <c r="O1009" s="276">
        <f t="shared" si="899"/>
        <v>1.9359650621885114</v>
      </c>
      <c r="P1009" s="276">
        <f t="shared" si="900"/>
        <v>1.126310806047637</v>
      </c>
      <c r="Q1009" s="276">
        <f t="shared" si="901"/>
        <v>0.99377571990666236</v>
      </c>
      <c r="R1009" s="276">
        <f t="shared" si="902"/>
        <v>1.0610156296282887</v>
      </c>
      <c r="S1009" s="686">
        <f t="shared" si="903"/>
        <v>0.83815279625497019</v>
      </c>
      <c r="T1009" s="685">
        <f t="shared" si="904"/>
        <v>4.7650711019130494</v>
      </c>
      <c r="U1009" s="276">
        <f t="shared" si="905"/>
        <v>4.9837260307980209</v>
      </c>
      <c r="V1009" s="276">
        <f t="shared" si="906"/>
        <v>5.8434128154950518</v>
      </c>
      <c r="W1009" s="276">
        <f t="shared" si="907"/>
        <v>5.251029167072927</v>
      </c>
      <c r="X1009" s="276">
        <f t="shared" si="908"/>
        <v>6.0950433444299392</v>
      </c>
      <c r="Y1009" s="686">
        <f t="shared" si="909"/>
        <v>5.5154183190614781</v>
      </c>
      <c r="Z1009" s="685" t="e">
        <f t="shared" si="910"/>
        <v>#DIV/0!</v>
      </c>
      <c r="AA1009" s="276" t="e">
        <f t="shared" si="911"/>
        <v>#DIV/0!</v>
      </c>
      <c r="AB1009" s="276" t="e">
        <f t="shared" si="912"/>
        <v>#DIV/0!</v>
      </c>
      <c r="AC1009" s="276" t="e">
        <f t="shared" si="913"/>
        <v>#DIV/0!</v>
      </c>
      <c r="AD1009" s="276" t="e">
        <f t="shared" si="914"/>
        <v>#DIV/0!</v>
      </c>
      <c r="AE1009" s="686" t="e">
        <f t="shared" si="915"/>
        <v>#DIV/0!</v>
      </c>
      <c r="AF1009" s="239"/>
      <c r="AG1009" s="965" t="e">
        <f t="shared" si="886"/>
        <v>#VALUE!</v>
      </c>
      <c r="AH1009" s="878" t="e">
        <f t="shared" si="887"/>
        <v>#VALUE!</v>
      </c>
      <c r="AI1009" s="878" t="e">
        <f t="shared" si="888"/>
        <v>#VALUE!</v>
      </c>
      <c r="AJ1009" s="878" t="e">
        <f t="shared" si="889"/>
        <v>#VALUE!</v>
      </c>
      <c r="AK1009" s="878" t="e">
        <f t="shared" si="890"/>
        <v>#VALUE!</v>
      </c>
      <c r="AL1009" s="966" t="e">
        <f t="shared" si="891"/>
        <v>#VALUE!</v>
      </c>
      <c r="AM1009" s="239"/>
      <c r="AO1009" s="685">
        <f t="shared" si="916"/>
        <v>-2.4176584585431193</v>
      </c>
      <c r="AP1009" s="276">
        <f t="shared" si="917"/>
        <v>1.2928827632246869</v>
      </c>
      <c r="AQ1009" s="276">
        <f t="shared" si="918"/>
        <v>2.9293495334215187</v>
      </c>
      <c r="AR1009" s="276">
        <f t="shared" si="919"/>
        <v>-2.2491023766203702</v>
      </c>
      <c r="AS1009" s="276">
        <f t="shared" si="920"/>
        <v>-2.1179011685020477</v>
      </c>
      <c r="AT1009" s="276">
        <f t="shared" si="921"/>
        <v>-0.79865308378319966</v>
      </c>
      <c r="AU1009" s="685">
        <f t="shared" si="922"/>
        <v>1.5511172380259854</v>
      </c>
      <c r="AV1009" s="276">
        <f t="shared" si="923"/>
        <v>1.9359650621885114</v>
      </c>
      <c r="AW1009" s="276">
        <f t="shared" si="924"/>
        <v>1.126310806047637</v>
      </c>
      <c r="AX1009" s="276">
        <f t="shared" si="925"/>
        <v>0.99377571990666236</v>
      </c>
      <c r="AY1009" s="276">
        <f t="shared" si="926"/>
        <v>1.0610156296282887</v>
      </c>
      <c r="AZ1009" s="686">
        <f t="shared" si="927"/>
        <v>0.83815279625497019</v>
      </c>
      <c r="BA1009" s="685">
        <f t="shared" si="928"/>
        <v>0</v>
      </c>
      <c r="BB1009" s="276">
        <f t="shared" si="929"/>
        <v>0</v>
      </c>
      <c r="BC1009" s="276">
        <f t="shared" si="930"/>
        <v>0</v>
      </c>
      <c r="BD1009" s="276">
        <f t="shared" si="931"/>
        <v>0</v>
      </c>
      <c r="BE1009" s="276">
        <f t="shared" si="932"/>
        <v>0</v>
      </c>
      <c r="BF1009" s="686">
        <f t="shared" si="933"/>
        <v>0</v>
      </c>
      <c r="BG1009" s="685" t="e">
        <f t="shared" si="934"/>
        <v>#DIV/0!</v>
      </c>
      <c r="BH1009" s="276" t="e">
        <f t="shared" si="935"/>
        <v>#DIV/0!</v>
      </c>
      <c r="BI1009" s="276" t="e">
        <f t="shared" si="936"/>
        <v>#DIV/0!</v>
      </c>
      <c r="BJ1009" s="276" t="e">
        <f t="shared" si="937"/>
        <v>#DIV/0!</v>
      </c>
      <c r="BK1009" s="276" t="e">
        <f t="shared" si="938"/>
        <v>#DIV/0!</v>
      </c>
      <c r="BL1009" s="686" t="e">
        <f t="shared" si="939"/>
        <v>#DIV/0!</v>
      </c>
      <c r="BM1009" s="239"/>
      <c r="BN1009" s="965" t="e">
        <f t="shared" si="940"/>
        <v>#VALUE!</v>
      </c>
      <c r="BO1009" s="878" t="e">
        <f t="shared" si="941"/>
        <v>#VALUE!</v>
      </c>
      <c r="BP1009" s="878" t="e">
        <f t="shared" si="942"/>
        <v>#VALUE!</v>
      </c>
      <c r="BQ1009" s="878" t="e">
        <f t="shared" si="943"/>
        <v>#VALUE!</v>
      </c>
      <c r="BR1009" s="878" t="e">
        <f t="shared" si="944"/>
        <v>#VALUE!</v>
      </c>
      <c r="BS1009" s="966" t="e">
        <f t="shared" si="945"/>
        <v>#VALUE!</v>
      </c>
    </row>
    <row r="1010" spans="1:71">
      <c r="A1010" s="284">
        <f t="shared" si="946"/>
        <v>942</v>
      </c>
      <c r="B1010" s="285">
        <v>2.0706395927340311</v>
      </c>
      <c r="C1010" s="285">
        <v>2.3140638403489104</v>
      </c>
      <c r="D1010" s="285">
        <v>-3.1236490555028862E-3</v>
      </c>
      <c r="E1010" s="285">
        <v>-4.2917884192751998</v>
      </c>
      <c r="H1010" s="685">
        <f t="shared" si="892"/>
        <v>0.93740575096497625</v>
      </c>
      <c r="I1010" s="276">
        <f t="shared" si="893"/>
        <v>-3.5039823132423553</v>
      </c>
      <c r="J1010" s="276">
        <f t="shared" si="894"/>
        <v>-2.9192261757435087</v>
      </c>
      <c r="K1010" s="276">
        <f t="shared" si="895"/>
        <v>-0.37551739526421368</v>
      </c>
      <c r="L1010" s="276">
        <f t="shared" si="896"/>
        <v>2.9470441033218266</v>
      </c>
      <c r="M1010" s="276">
        <f t="shared" si="897"/>
        <v>1.1986658686680289</v>
      </c>
      <c r="N1010" s="685">
        <f t="shared" si="898"/>
        <v>1.106892629377042</v>
      </c>
      <c r="O1010" s="276">
        <f t="shared" si="899"/>
        <v>1.1294332776644944</v>
      </c>
      <c r="P1010" s="276">
        <f t="shared" si="900"/>
        <v>1.5775856489106299</v>
      </c>
      <c r="Q1010" s="276">
        <f t="shared" si="901"/>
        <v>2.2411902813094997</v>
      </c>
      <c r="R1010" s="276">
        <f t="shared" si="902"/>
        <v>1.7307750113021318</v>
      </c>
      <c r="S1010" s="686">
        <f t="shared" si="903"/>
        <v>1.2450524517601196</v>
      </c>
      <c r="T1010" s="685">
        <f t="shared" si="904"/>
        <v>3.2752400412154232</v>
      </c>
      <c r="U1010" s="276">
        <f t="shared" si="905"/>
        <v>5.5735507772954742</v>
      </c>
      <c r="V1010" s="276">
        <f t="shared" si="906"/>
        <v>1.8204476264238889</v>
      </c>
      <c r="W1010" s="276">
        <f t="shared" si="907"/>
        <v>3.2446592479401719</v>
      </c>
      <c r="X1010" s="276">
        <f t="shared" si="908"/>
        <v>4.8007908145349383</v>
      </c>
      <c r="Y1010" s="686">
        <f t="shared" si="909"/>
        <v>6.3773760132109016</v>
      </c>
      <c r="Z1010" s="685" t="e">
        <f t="shared" si="910"/>
        <v>#DIV/0!</v>
      </c>
      <c r="AA1010" s="276" t="e">
        <f t="shared" si="911"/>
        <v>#DIV/0!</v>
      </c>
      <c r="AB1010" s="276" t="e">
        <f t="shared" si="912"/>
        <v>#DIV/0!</v>
      </c>
      <c r="AC1010" s="276" t="e">
        <f t="shared" si="913"/>
        <v>#DIV/0!</v>
      </c>
      <c r="AD1010" s="276" t="e">
        <f t="shared" si="914"/>
        <v>#DIV/0!</v>
      </c>
      <c r="AE1010" s="686" t="e">
        <f t="shared" si="915"/>
        <v>#DIV/0!</v>
      </c>
      <c r="AF1010" s="239"/>
      <c r="AG1010" s="965" t="e">
        <f t="shared" si="886"/>
        <v>#VALUE!</v>
      </c>
      <c r="AH1010" s="878" t="e">
        <f t="shared" si="887"/>
        <v>#VALUE!</v>
      </c>
      <c r="AI1010" s="878" t="e">
        <f t="shared" si="888"/>
        <v>#VALUE!</v>
      </c>
      <c r="AJ1010" s="878" t="e">
        <f t="shared" si="889"/>
        <v>#VALUE!</v>
      </c>
      <c r="AK1010" s="878" t="e">
        <f t="shared" si="890"/>
        <v>#VALUE!</v>
      </c>
      <c r="AL1010" s="966" t="e">
        <f t="shared" si="891"/>
        <v>#VALUE!</v>
      </c>
      <c r="AM1010" s="239"/>
      <c r="AO1010" s="685">
        <f t="shared" si="916"/>
        <v>0.93740575096497625</v>
      </c>
      <c r="AP1010" s="276">
        <f t="shared" si="917"/>
        <v>-3.5039823132423553</v>
      </c>
      <c r="AQ1010" s="276">
        <f t="shared" si="918"/>
        <v>-2.9192261757435087</v>
      </c>
      <c r="AR1010" s="276">
        <f t="shared" si="919"/>
        <v>-0.37551739526421368</v>
      </c>
      <c r="AS1010" s="276">
        <f t="shared" si="920"/>
        <v>2.9470441033218266</v>
      </c>
      <c r="AT1010" s="276">
        <f t="shared" si="921"/>
        <v>1.1986658686680289</v>
      </c>
      <c r="AU1010" s="685">
        <f t="shared" si="922"/>
        <v>1.106892629377042</v>
      </c>
      <c r="AV1010" s="276">
        <f t="shared" si="923"/>
        <v>1.1294332776644944</v>
      </c>
      <c r="AW1010" s="276">
        <f t="shared" si="924"/>
        <v>1.5775856489106299</v>
      </c>
      <c r="AX1010" s="276">
        <f t="shared" si="925"/>
        <v>2.2411902813094997</v>
      </c>
      <c r="AY1010" s="276">
        <f t="shared" si="926"/>
        <v>1.7307750113021318</v>
      </c>
      <c r="AZ1010" s="686">
        <f t="shared" si="927"/>
        <v>1.2450524517601196</v>
      </c>
      <c r="BA1010" s="685">
        <f t="shared" si="928"/>
        <v>0</v>
      </c>
      <c r="BB1010" s="276">
        <f t="shared" si="929"/>
        <v>0</v>
      </c>
      <c r="BC1010" s="276">
        <f t="shared" si="930"/>
        <v>0</v>
      </c>
      <c r="BD1010" s="276">
        <f t="shared" si="931"/>
        <v>0</v>
      </c>
      <c r="BE1010" s="276">
        <f t="shared" si="932"/>
        <v>0</v>
      </c>
      <c r="BF1010" s="686">
        <f t="shared" si="933"/>
        <v>0</v>
      </c>
      <c r="BG1010" s="685" t="e">
        <f t="shared" si="934"/>
        <v>#DIV/0!</v>
      </c>
      <c r="BH1010" s="276" t="e">
        <f t="shared" si="935"/>
        <v>#DIV/0!</v>
      </c>
      <c r="BI1010" s="276" t="e">
        <f t="shared" si="936"/>
        <v>#DIV/0!</v>
      </c>
      <c r="BJ1010" s="276" t="e">
        <f t="shared" si="937"/>
        <v>#DIV/0!</v>
      </c>
      <c r="BK1010" s="276" t="e">
        <f t="shared" si="938"/>
        <v>#DIV/0!</v>
      </c>
      <c r="BL1010" s="686" t="e">
        <f t="shared" si="939"/>
        <v>#DIV/0!</v>
      </c>
      <c r="BM1010" s="239"/>
      <c r="BN1010" s="965" t="e">
        <f t="shared" si="940"/>
        <v>#VALUE!</v>
      </c>
      <c r="BO1010" s="878" t="e">
        <f t="shared" si="941"/>
        <v>#VALUE!</v>
      </c>
      <c r="BP1010" s="878" t="e">
        <f t="shared" si="942"/>
        <v>#VALUE!</v>
      </c>
      <c r="BQ1010" s="878" t="e">
        <f t="shared" si="943"/>
        <v>#VALUE!</v>
      </c>
      <c r="BR1010" s="878" t="e">
        <f t="shared" si="944"/>
        <v>#VALUE!</v>
      </c>
      <c r="BS1010" s="966" t="e">
        <f t="shared" si="945"/>
        <v>#VALUE!</v>
      </c>
    </row>
    <row r="1011" spans="1:71">
      <c r="A1011" s="284">
        <f t="shared" si="946"/>
        <v>943</v>
      </c>
      <c r="B1011" s="285">
        <v>4.0658075189534379</v>
      </c>
      <c r="C1011" s="285">
        <v>2.827594329795426</v>
      </c>
      <c r="D1011" s="285">
        <v>1.3018013344317181</v>
      </c>
      <c r="E1011" s="285">
        <v>1.1388203307282034</v>
      </c>
      <c r="H1011" s="685">
        <f t="shared" si="892"/>
        <v>2.9325736771843829</v>
      </c>
      <c r="I1011" s="276">
        <f t="shared" si="893"/>
        <v>-0.53032989468192082</v>
      </c>
      <c r="J1011" s="276">
        <f t="shared" si="894"/>
        <v>0.93422640289625769</v>
      </c>
      <c r="K1011" s="276">
        <f t="shared" si="895"/>
        <v>-2.7848423994198956</v>
      </c>
      <c r="L1011" s="276">
        <f t="shared" si="896"/>
        <v>4.4812406692869162</v>
      </c>
      <c r="M1011" s="276">
        <f t="shared" si="897"/>
        <v>4.7082817520248792</v>
      </c>
      <c r="N1011" s="685">
        <f t="shared" si="898"/>
        <v>1.6204231188235576</v>
      </c>
      <c r="O1011" s="276">
        <f t="shared" si="899"/>
        <v>1.698338617345075</v>
      </c>
      <c r="P1011" s="276">
        <f t="shared" si="900"/>
        <v>1.4065855234856104</v>
      </c>
      <c r="Q1011" s="276">
        <f t="shared" si="901"/>
        <v>0.73898733271424244</v>
      </c>
      <c r="R1011" s="276">
        <f t="shared" si="902"/>
        <v>2.2164489541011125</v>
      </c>
      <c r="S1011" s="686">
        <f t="shared" si="903"/>
        <v>1.9242248795157153</v>
      </c>
      <c r="T1011" s="685">
        <f t="shared" si="904"/>
        <v>4.5801650247026444</v>
      </c>
      <c r="U1011" s="276">
        <f t="shared" si="905"/>
        <v>4.5710721797207263</v>
      </c>
      <c r="V1011" s="276">
        <f t="shared" si="906"/>
        <v>6.141543509971136</v>
      </c>
      <c r="W1011" s="276">
        <f t="shared" si="907"/>
        <v>3.8093060859319383</v>
      </c>
      <c r="X1011" s="276">
        <f t="shared" si="908"/>
        <v>3.5543089751548278</v>
      </c>
      <c r="Y1011" s="686">
        <f t="shared" si="909"/>
        <v>5.7273619037892995</v>
      </c>
      <c r="Z1011" s="685" t="e">
        <f t="shared" si="910"/>
        <v>#DIV/0!</v>
      </c>
      <c r="AA1011" s="276" t="e">
        <f t="shared" si="911"/>
        <v>#DIV/0!</v>
      </c>
      <c r="AB1011" s="276" t="e">
        <f t="shared" si="912"/>
        <v>#DIV/0!</v>
      </c>
      <c r="AC1011" s="276" t="e">
        <f t="shared" si="913"/>
        <v>#DIV/0!</v>
      </c>
      <c r="AD1011" s="276" t="e">
        <f t="shared" si="914"/>
        <v>#DIV/0!</v>
      </c>
      <c r="AE1011" s="686" t="e">
        <f t="shared" si="915"/>
        <v>#DIV/0!</v>
      </c>
      <c r="AF1011" s="239"/>
      <c r="AG1011" s="965" t="e">
        <f t="shared" si="886"/>
        <v>#VALUE!</v>
      </c>
      <c r="AH1011" s="878" t="e">
        <f t="shared" si="887"/>
        <v>#VALUE!</v>
      </c>
      <c r="AI1011" s="878" t="e">
        <f t="shared" si="888"/>
        <v>#VALUE!</v>
      </c>
      <c r="AJ1011" s="878" t="e">
        <f t="shared" si="889"/>
        <v>#VALUE!</v>
      </c>
      <c r="AK1011" s="878" t="e">
        <f t="shared" si="890"/>
        <v>#VALUE!</v>
      </c>
      <c r="AL1011" s="966" t="e">
        <f t="shared" si="891"/>
        <v>#VALUE!</v>
      </c>
      <c r="AM1011" s="239"/>
      <c r="AO1011" s="685">
        <f t="shared" si="916"/>
        <v>2.9325736771843829</v>
      </c>
      <c r="AP1011" s="276">
        <f t="shared" si="917"/>
        <v>-0.53032989468192082</v>
      </c>
      <c r="AQ1011" s="276">
        <f t="shared" si="918"/>
        <v>0.93422640289625769</v>
      </c>
      <c r="AR1011" s="276">
        <f t="shared" si="919"/>
        <v>-2.7848423994198956</v>
      </c>
      <c r="AS1011" s="276">
        <f t="shared" si="920"/>
        <v>4.4812406692869162</v>
      </c>
      <c r="AT1011" s="276">
        <f t="shared" si="921"/>
        <v>4.7082817520248792</v>
      </c>
      <c r="AU1011" s="685">
        <f t="shared" si="922"/>
        <v>1.6204231188235576</v>
      </c>
      <c r="AV1011" s="276">
        <f t="shared" si="923"/>
        <v>1.698338617345075</v>
      </c>
      <c r="AW1011" s="276">
        <f t="shared" si="924"/>
        <v>1.4065855234856104</v>
      </c>
      <c r="AX1011" s="276">
        <f t="shared" si="925"/>
        <v>0.73898733271424244</v>
      </c>
      <c r="AY1011" s="276">
        <f t="shared" si="926"/>
        <v>2.2164489541011125</v>
      </c>
      <c r="AZ1011" s="686">
        <f t="shared" si="927"/>
        <v>1.9242248795157153</v>
      </c>
      <c r="BA1011" s="685">
        <f t="shared" si="928"/>
        <v>0</v>
      </c>
      <c r="BB1011" s="276">
        <f t="shared" si="929"/>
        <v>0</v>
      </c>
      <c r="BC1011" s="276">
        <f t="shared" si="930"/>
        <v>0</v>
      </c>
      <c r="BD1011" s="276">
        <f t="shared" si="931"/>
        <v>0</v>
      </c>
      <c r="BE1011" s="276">
        <f t="shared" si="932"/>
        <v>0</v>
      </c>
      <c r="BF1011" s="686">
        <f t="shared" si="933"/>
        <v>0</v>
      </c>
      <c r="BG1011" s="685" t="e">
        <f t="shared" si="934"/>
        <v>#DIV/0!</v>
      </c>
      <c r="BH1011" s="276" t="e">
        <f t="shared" si="935"/>
        <v>#DIV/0!</v>
      </c>
      <c r="BI1011" s="276" t="e">
        <f t="shared" si="936"/>
        <v>#DIV/0!</v>
      </c>
      <c r="BJ1011" s="276" t="e">
        <f t="shared" si="937"/>
        <v>#DIV/0!</v>
      </c>
      <c r="BK1011" s="276" t="e">
        <f t="shared" si="938"/>
        <v>#DIV/0!</v>
      </c>
      <c r="BL1011" s="686" t="e">
        <f t="shared" si="939"/>
        <v>#DIV/0!</v>
      </c>
      <c r="BM1011" s="239"/>
      <c r="BN1011" s="965" t="e">
        <f t="shared" si="940"/>
        <v>#VALUE!</v>
      </c>
      <c r="BO1011" s="878" t="e">
        <f t="shared" si="941"/>
        <v>#VALUE!</v>
      </c>
      <c r="BP1011" s="878" t="e">
        <f t="shared" si="942"/>
        <v>#VALUE!</v>
      </c>
      <c r="BQ1011" s="878" t="e">
        <f t="shared" si="943"/>
        <v>#VALUE!</v>
      </c>
      <c r="BR1011" s="878" t="e">
        <f t="shared" si="944"/>
        <v>#VALUE!</v>
      </c>
      <c r="BS1011" s="966" t="e">
        <f t="shared" si="945"/>
        <v>#VALUE!</v>
      </c>
    </row>
    <row r="1012" spans="1:71">
      <c r="A1012" s="284">
        <f t="shared" si="946"/>
        <v>944</v>
      </c>
      <c r="B1012" s="285">
        <v>0.8414499170367099</v>
      </c>
      <c r="C1012" s="285">
        <v>2.5428612510922632</v>
      </c>
      <c r="D1012" s="285">
        <v>1.137494367842667</v>
      </c>
      <c r="E1012" s="285">
        <v>2.8735799348685096</v>
      </c>
      <c r="H1012" s="685">
        <f t="shared" si="892"/>
        <v>-0.29178392473234493</v>
      </c>
      <c r="I1012" s="276">
        <f t="shared" si="893"/>
        <v>-1.3355045546112345</v>
      </c>
      <c r="J1012" s="276">
        <f t="shared" si="894"/>
        <v>-1.0140130216684171</v>
      </c>
      <c r="K1012" s="276">
        <f t="shared" si="895"/>
        <v>-1.3255938999205443</v>
      </c>
      <c r="L1012" s="276">
        <f t="shared" si="896"/>
        <v>0.23362957444767152</v>
      </c>
      <c r="M1012" s="276">
        <f t="shared" si="897"/>
        <v>-3.5897120037354933</v>
      </c>
      <c r="N1012" s="685">
        <f t="shared" si="898"/>
        <v>1.3356900401203948</v>
      </c>
      <c r="O1012" s="276">
        <f t="shared" si="899"/>
        <v>1.1738466818228417</v>
      </c>
      <c r="P1012" s="276">
        <f t="shared" si="900"/>
        <v>1.3757173191676741</v>
      </c>
      <c r="Q1012" s="276">
        <f t="shared" si="901"/>
        <v>1.8993154936379095</v>
      </c>
      <c r="R1012" s="276">
        <f t="shared" si="902"/>
        <v>1.4975937292638732</v>
      </c>
      <c r="S1012" s="686">
        <f t="shared" si="903"/>
        <v>0.37297601796718527</v>
      </c>
      <c r="T1012" s="685">
        <f t="shared" si="904"/>
        <v>4.4158580581135931</v>
      </c>
      <c r="U1012" s="276">
        <f t="shared" si="905"/>
        <v>7.1067560444015605</v>
      </c>
      <c r="V1012" s="276">
        <f t="shared" si="906"/>
        <v>6.2813417199258126</v>
      </c>
      <c r="W1012" s="276">
        <f t="shared" si="907"/>
        <v>3.26751849923413</v>
      </c>
      <c r="X1012" s="276">
        <f t="shared" si="908"/>
        <v>7.272232389881701</v>
      </c>
      <c r="Y1012" s="686">
        <f t="shared" si="909"/>
        <v>4.9853543307323065</v>
      </c>
      <c r="Z1012" s="685" t="e">
        <f t="shared" si="910"/>
        <v>#DIV/0!</v>
      </c>
      <c r="AA1012" s="276" t="e">
        <f t="shared" si="911"/>
        <v>#DIV/0!</v>
      </c>
      <c r="AB1012" s="276" t="e">
        <f t="shared" si="912"/>
        <v>#DIV/0!</v>
      </c>
      <c r="AC1012" s="276" t="e">
        <f t="shared" si="913"/>
        <v>#DIV/0!</v>
      </c>
      <c r="AD1012" s="276" t="e">
        <f t="shared" si="914"/>
        <v>#DIV/0!</v>
      </c>
      <c r="AE1012" s="686" t="e">
        <f t="shared" si="915"/>
        <v>#DIV/0!</v>
      </c>
      <c r="AF1012" s="239"/>
      <c r="AG1012" s="965" t="e">
        <f t="shared" si="886"/>
        <v>#VALUE!</v>
      </c>
      <c r="AH1012" s="878" t="e">
        <f t="shared" si="887"/>
        <v>#VALUE!</v>
      </c>
      <c r="AI1012" s="878" t="e">
        <f t="shared" si="888"/>
        <v>#VALUE!</v>
      </c>
      <c r="AJ1012" s="878" t="e">
        <f t="shared" si="889"/>
        <v>#VALUE!</v>
      </c>
      <c r="AK1012" s="878" t="e">
        <f t="shared" si="890"/>
        <v>#VALUE!</v>
      </c>
      <c r="AL1012" s="966" t="e">
        <f t="shared" si="891"/>
        <v>#VALUE!</v>
      </c>
      <c r="AM1012" s="239"/>
      <c r="AO1012" s="685">
        <f t="shared" si="916"/>
        <v>-0.29178392473234493</v>
      </c>
      <c r="AP1012" s="276">
        <f t="shared" si="917"/>
        <v>-1.3355045546112345</v>
      </c>
      <c r="AQ1012" s="276">
        <f t="shared" si="918"/>
        <v>-1.0140130216684171</v>
      </c>
      <c r="AR1012" s="276">
        <f t="shared" si="919"/>
        <v>-1.3255938999205443</v>
      </c>
      <c r="AS1012" s="276">
        <f t="shared" si="920"/>
        <v>0.23362957444767152</v>
      </c>
      <c r="AT1012" s="276">
        <f t="shared" si="921"/>
        <v>-3.5897120037354933</v>
      </c>
      <c r="AU1012" s="685">
        <f t="shared" si="922"/>
        <v>1.3356900401203948</v>
      </c>
      <c r="AV1012" s="276">
        <f t="shared" si="923"/>
        <v>1.1738466818228417</v>
      </c>
      <c r="AW1012" s="276">
        <f t="shared" si="924"/>
        <v>1.3757173191676741</v>
      </c>
      <c r="AX1012" s="276">
        <f t="shared" si="925"/>
        <v>1.8993154936379095</v>
      </c>
      <c r="AY1012" s="276">
        <f t="shared" si="926"/>
        <v>1.4975937292638732</v>
      </c>
      <c r="AZ1012" s="686">
        <f t="shared" si="927"/>
        <v>0.37297601796718527</v>
      </c>
      <c r="BA1012" s="685">
        <f t="shared" si="928"/>
        <v>0</v>
      </c>
      <c r="BB1012" s="276">
        <f t="shared" si="929"/>
        <v>0</v>
      </c>
      <c r="BC1012" s="276">
        <f t="shared" si="930"/>
        <v>0</v>
      </c>
      <c r="BD1012" s="276">
        <f t="shared" si="931"/>
        <v>0</v>
      </c>
      <c r="BE1012" s="276">
        <f t="shared" si="932"/>
        <v>0</v>
      </c>
      <c r="BF1012" s="686">
        <f t="shared" si="933"/>
        <v>0</v>
      </c>
      <c r="BG1012" s="685" t="e">
        <f t="shared" si="934"/>
        <v>#DIV/0!</v>
      </c>
      <c r="BH1012" s="276" t="e">
        <f t="shared" si="935"/>
        <v>#DIV/0!</v>
      </c>
      <c r="BI1012" s="276" t="e">
        <f t="shared" si="936"/>
        <v>#DIV/0!</v>
      </c>
      <c r="BJ1012" s="276" t="e">
        <f t="shared" si="937"/>
        <v>#DIV/0!</v>
      </c>
      <c r="BK1012" s="276" t="e">
        <f t="shared" si="938"/>
        <v>#DIV/0!</v>
      </c>
      <c r="BL1012" s="686" t="e">
        <f t="shared" si="939"/>
        <v>#DIV/0!</v>
      </c>
      <c r="BM1012" s="239"/>
      <c r="BN1012" s="965" t="e">
        <f t="shared" si="940"/>
        <v>#VALUE!</v>
      </c>
      <c r="BO1012" s="878" t="e">
        <f t="shared" si="941"/>
        <v>#VALUE!</v>
      </c>
      <c r="BP1012" s="878" t="e">
        <f t="shared" si="942"/>
        <v>#VALUE!</v>
      </c>
      <c r="BQ1012" s="878" t="e">
        <f t="shared" si="943"/>
        <v>#VALUE!</v>
      </c>
      <c r="BR1012" s="878" t="e">
        <f t="shared" si="944"/>
        <v>#VALUE!</v>
      </c>
      <c r="BS1012" s="966" t="e">
        <f t="shared" si="945"/>
        <v>#VALUE!</v>
      </c>
    </row>
    <row r="1013" spans="1:71">
      <c r="A1013" s="284">
        <f t="shared" si="946"/>
        <v>945</v>
      </c>
      <c r="B1013" s="285">
        <v>-1.6128327326730683</v>
      </c>
      <c r="C1013" s="285">
        <v>2.1675058319653679</v>
      </c>
      <c r="D1013" s="285">
        <v>0.95136590976294921</v>
      </c>
      <c r="E1013" s="285">
        <v>-9.1397545247520391</v>
      </c>
      <c r="H1013" s="685">
        <f t="shared" si="892"/>
        <v>-2.7460665744421231</v>
      </c>
      <c r="I1013" s="276">
        <f t="shared" si="893"/>
        <v>-2.0212279197470853</v>
      </c>
      <c r="J1013" s="276">
        <f t="shared" si="894"/>
        <v>5.4765229077955881</v>
      </c>
      <c r="K1013" s="276">
        <f t="shared" si="895"/>
        <v>-4.7485059129972953</v>
      </c>
      <c r="L1013" s="276">
        <f t="shared" si="896"/>
        <v>-2.2799125164356453</v>
      </c>
      <c r="M1013" s="276">
        <f t="shared" si="897"/>
        <v>0.8610292652499234</v>
      </c>
      <c r="N1013" s="685">
        <f t="shared" si="898"/>
        <v>0.96033462099349953</v>
      </c>
      <c r="O1013" s="276">
        <f t="shared" si="899"/>
        <v>2.0534298589020619</v>
      </c>
      <c r="P1013" s="276">
        <f t="shared" si="900"/>
        <v>1.4661742022727327</v>
      </c>
      <c r="Q1013" s="276">
        <f t="shared" si="901"/>
        <v>1.8433860717441242E-2</v>
      </c>
      <c r="R1013" s="276">
        <f t="shared" si="902"/>
        <v>1.5783570079210809</v>
      </c>
      <c r="S1013" s="686">
        <f t="shared" si="903"/>
        <v>2.0034579766467422</v>
      </c>
      <c r="T1013" s="685">
        <f t="shared" si="904"/>
        <v>4.2297296000338749</v>
      </c>
      <c r="U1013" s="276">
        <f t="shared" si="905"/>
        <v>5.1191883641888216</v>
      </c>
      <c r="V1013" s="276">
        <f t="shared" si="906"/>
        <v>4.3375629824402857</v>
      </c>
      <c r="W1013" s="276">
        <f t="shared" si="907"/>
        <v>7.3706315644062101</v>
      </c>
      <c r="X1013" s="276">
        <f t="shared" si="908"/>
        <v>0.4914980427971285</v>
      </c>
      <c r="Y1013" s="686">
        <f t="shared" si="909"/>
        <v>5.5087338376533959</v>
      </c>
      <c r="Z1013" s="685" t="e">
        <f t="shared" si="910"/>
        <v>#DIV/0!</v>
      </c>
      <c r="AA1013" s="276" t="e">
        <f t="shared" si="911"/>
        <v>#DIV/0!</v>
      </c>
      <c r="AB1013" s="276" t="e">
        <f t="shared" si="912"/>
        <v>#DIV/0!</v>
      </c>
      <c r="AC1013" s="276" t="e">
        <f t="shared" si="913"/>
        <v>#DIV/0!</v>
      </c>
      <c r="AD1013" s="276" t="e">
        <f t="shared" si="914"/>
        <v>#DIV/0!</v>
      </c>
      <c r="AE1013" s="686" t="e">
        <f t="shared" si="915"/>
        <v>#DIV/0!</v>
      </c>
      <c r="AF1013" s="239"/>
      <c r="AG1013" s="965" t="e">
        <f t="shared" si="886"/>
        <v>#VALUE!</v>
      </c>
      <c r="AH1013" s="878" t="e">
        <f t="shared" si="887"/>
        <v>#VALUE!</v>
      </c>
      <c r="AI1013" s="878" t="e">
        <f t="shared" si="888"/>
        <v>#VALUE!</v>
      </c>
      <c r="AJ1013" s="878" t="e">
        <f t="shared" si="889"/>
        <v>#VALUE!</v>
      </c>
      <c r="AK1013" s="878" t="e">
        <f t="shared" si="890"/>
        <v>#VALUE!</v>
      </c>
      <c r="AL1013" s="966" t="e">
        <f t="shared" si="891"/>
        <v>#VALUE!</v>
      </c>
      <c r="AM1013" s="239"/>
      <c r="AO1013" s="685">
        <f t="shared" si="916"/>
        <v>-2.7460665744421231</v>
      </c>
      <c r="AP1013" s="276">
        <f t="shared" si="917"/>
        <v>-2.0212279197470853</v>
      </c>
      <c r="AQ1013" s="276">
        <f t="shared" si="918"/>
        <v>5.4765229077955881</v>
      </c>
      <c r="AR1013" s="276">
        <f t="shared" si="919"/>
        <v>-4.7485059129972953</v>
      </c>
      <c r="AS1013" s="276">
        <f t="shared" si="920"/>
        <v>-2.2799125164356453</v>
      </c>
      <c r="AT1013" s="276">
        <f t="shared" si="921"/>
        <v>0.8610292652499234</v>
      </c>
      <c r="AU1013" s="685">
        <f t="shared" si="922"/>
        <v>0.96033462099349953</v>
      </c>
      <c r="AV1013" s="276">
        <f t="shared" si="923"/>
        <v>2.0534298589020619</v>
      </c>
      <c r="AW1013" s="276">
        <f t="shared" si="924"/>
        <v>1.4661742022727327</v>
      </c>
      <c r="AX1013" s="276">
        <f t="shared" si="925"/>
        <v>1.8433860717441242E-2</v>
      </c>
      <c r="AY1013" s="276">
        <f t="shared" si="926"/>
        <v>1.5783570079210809</v>
      </c>
      <c r="AZ1013" s="686">
        <f t="shared" si="927"/>
        <v>2.0034579766467422</v>
      </c>
      <c r="BA1013" s="685">
        <f t="shared" si="928"/>
        <v>0</v>
      </c>
      <c r="BB1013" s="276">
        <f t="shared" si="929"/>
        <v>0</v>
      </c>
      <c r="BC1013" s="276">
        <f t="shared" si="930"/>
        <v>0</v>
      </c>
      <c r="BD1013" s="276">
        <f t="shared" si="931"/>
        <v>0</v>
      </c>
      <c r="BE1013" s="276">
        <f t="shared" si="932"/>
        <v>0</v>
      </c>
      <c r="BF1013" s="686">
        <f t="shared" si="933"/>
        <v>0</v>
      </c>
      <c r="BG1013" s="685" t="e">
        <f t="shared" si="934"/>
        <v>#DIV/0!</v>
      </c>
      <c r="BH1013" s="276" t="e">
        <f t="shared" si="935"/>
        <v>#DIV/0!</v>
      </c>
      <c r="BI1013" s="276" t="e">
        <f t="shared" si="936"/>
        <v>#DIV/0!</v>
      </c>
      <c r="BJ1013" s="276" t="e">
        <f t="shared" si="937"/>
        <v>#DIV/0!</v>
      </c>
      <c r="BK1013" s="276" t="e">
        <f t="shared" si="938"/>
        <v>#DIV/0!</v>
      </c>
      <c r="BL1013" s="686" t="e">
        <f t="shared" si="939"/>
        <v>#DIV/0!</v>
      </c>
      <c r="BM1013" s="239"/>
      <c r="BN1013" s="965" t="e">
        <f t="shared" si="940"/>
        <v>#VALUE!</v>
      </c>
      <c r="BO1013" s="878" t="e">
        <f t="shared" si="941"/>
        <v>#VALUE!</v>
      </c>
      <c r="BP1013" s="878" t="e">
        <f t="shared" si="942"/>
        <v>#VALUE!</v>
      </c>
      <c r="BQ1013" s="878" t="e">
        <f t="shared" si="943"/>
        <v>#VALUE!</v>
      </c>
      <c r="BR1013" s="878" t="e">
        <f t="shared" si="944"/>
        <v>#VALUE!</v>
      </c>
      <c r="BS1013" s="966" t="e">
        <f t="shared" si="945"/>
        <v>#VALUE!</v>
      </c>
    </row>
    <row r="1014" spans="1:71">
      <c r="A1014" s="284">
        <f t="shared" si="946"/>
        <v>946</v>
      </c>
      <c r="B1014" s="285">
        <v>3.6832686513417929</v>
      </c>
      <c r="C1014" s="285">
        <v>2.5197943610679308</v>
      </c>
      <c r="D1014" s="285">
        <v>2.6095488270794238</v>
      </c>
      <c r="E1014" s="285">
        <v>-14.204538805678986</v>
      </c>
      <c r="H1014" s="685">
        <f t="shared" si="892"/>
        <v>2.5500348095727379</v>
      </c>
      <c r="I1014" s="276">
        <f t="shared" si="893"/>
        <v>-6.400389910943689</v>
      </c>
      <c r="J1014" s="276">
        <f t="shared" si="894"/>
        <v>-1.859782760842901</v>
      </c>
      <c r="K1014" s="276">
        <f t="shared" si="895"/>
        <v>-1.4043714075965654</v>
      </c>
      <c r="L1014" s="276">
        <f t="shared" si="896"/>
        <v>2.7131357521368225</v>
      </c>
      <c r="M1014" s="276">
        <f t="shared" si="897"/>
        <v>-0.72155171170448207</v>
      </c>
      <c r="N1014" s="685">
        <f t="shared" si="898"/>
        <v>1.3126231500960623</v>
      </c>
      <c r="O1014" s="276">
        <f t="shared" si="899"/>
        <v>0.36066934378570714</v>
      </c>
      <c r="P1014" s="276">
        <f t="shared" si="900"/>
        <v>1.0993628465871035</v>
      </c>
      <c r="Q1014" s="276">
        <f t="shared" si="901"/>
        <v>1.3195297121253395</v>
      </c>
      <c r="R1014" s="276">
        <f t="shared" si="902"/>
        <v>1.6854637173481783</v>
      </c>
      <c r="S1014" s="686">
        <f t="shared" si="903"/>
        <v>0.87647266458965167</v>
      </c>
      <c r="T1014" s="685">
        <f t="shared" si="904"/>
        <v>5.8879125173503493</v>
      </c>
      <c r="U1014" s="276">
        <f t="shared" si="905"/>
        <v>2.8397661830669843</v>
      </c>
      <c r="V1014" s="276">
        <f t="shared" si="906"/>
        <v>5.4631981464294297</v>
      </c>
      <c r="W1014" s="276">
        <f t="shared" si="907"/>
        <v>6.3151346969416835</v>
      </c>
      <c r="X1014" s="276">
        <f t="shared" si="908"/>
        <v>4.8686543762132137</v>
      </c>
      <c r="Y1014" s="686">
        <f t="shared" si="909"/>
        <v>2.9104702114323366</v>
      </c>
      <c r="Z1014" s="685" t="e">
        <f t="shared" si="910"/>
        <v>#DIV/0!</v>
      </c>
      <c r="AA1014" s="276" t="e">
        <f t="shared" si="911"/>
        <v>#DIV/0!</v>
      </c>
      <c r="AB1014" s="276" t="e">
        <f t="shared" si="912"/>
        <v>#DIV/0!</v>
      </c>
      <c r="AC1014" s="276" t="e">
        <f t="shared" si="913"/>
        <v>#DIV/0!</v>
      </c>
      <c r="AD1014" s="276" t="e">
        <f t="shared" si="914"/>
        <v>#DIV/0!</v>
      </c>
      <c r="AE1014" s="686" t="e">
        <f t="shared" si="915"/>
        <v>#DIV/0!</v>
      </c>
      <c r="AF1014" s="239"/>
      <c r="AG1014" s="965" t="e">
        <f t="shared" si="886"/>
        <v>#VALUE!</v>
      </c>
      <c r="AH1014" s="878" t="e">
        <f t="shared" si="887"/>
        <v>#VALUE!</v>
      </c>
      <c r="AI1014" s="878" t="e">
        <f t="shared" si="888"/>
        <v>#VALUE!</v>
      </c>
      <c r="AJ1014" s="878" t="e">
        <f t="shared" si="889"/>
        <v>#VALUE!</v>
      </c>
      <c r="AK1014" s="878" t="e">
        <f t="shared" si="890"/>
        <v>#VALUE!</v>
      </c>
      <c r="AL1014" s="966" t="e">
        <f t="shared" si="891"/>
        <v>#VALUE!</v>
      </c>
      <c r="AM1014" s="239"/>
      <c r="AO1014" s="685">
        <f t="shared" si="916"/>
        <v>2.5500348095727379</v>
      </c>
      <c r="AP1014" s="276">
        <f t="shared" si="917"/>
        <v>-6.400389910943689</v>
      </c>
      <c r="AQ1014" s="276">
        <f t="shared" si="918"/>
        <v>-1.859782760842901</v>
      </c>
      <c r="AR1014" s="276">
        <f t="shared" si="919"/>
        <v>-1.4043714075965654</v>
      </c>
      <c r="AS1014" s="276">
        <f t="shared" si="920"/>
        <v>2.7131357521368225</v>
      </c>
      <c r="AT1014" s="276">
        <f t="shared" si="921"/>
        <v>-0.72155171170448207</v>
      </c>
      <c r="AU1014" s="685">
        <f t="shared" si="922"/>
        <v>1.3126231500960623</v>
      </c>
      <c r="AV1014" s="276">
        <f t="shared" si="923"/>
        <v>0.36066934378570714</v>
      </c>
      <c r="AW1014" s="276">
        <f t="shared" si="924"/>
        <v>1.0993628465871035</v>
      </c>
      <c r="AX1014" s="276">
        <f t="shared" si="925"/>
        <v>1.3195297121253395</v>
      </c>
      <c r="AY1014" s="276">
        <f t="shared" si="926"/>
        <v>1.6854637173481783</v>
      </c>
      <c r="AZ1014" s="686">
        <f t="shared" si="927"/>
        <v>0.87647266458965167</v>
      </c>
      <c r="BA1014" s="685">
        <f t="shared" si="928"/>
        <v>0</v>
      </c>
      <c r="BB1014" s="276">
        <f t="shared" si="929"/>
        <v>0</v>
      </c>
      <c r="BC1014" s="276">
        <f t="shared" si="930"/>
        <v>0</v>
      </c>
      <c r="BD1014" s="276">
        <f t="shared" si="931"/>
        <v>0</v>
      </c>
      <c r="BE1014" s="276">
        <f t="shared" si="932"/>
        <v>0</v>
      </c>
      <c r="BF1014" s="686">
        <f t="shared" si="933"/>
        <v>0</v>
      </c>
      <c r="BG1014" s="685" t="e">
        <f t="shared" si="934"/>
        <v>#DIV/0!</v>
      </c>
      <c r="BH1014" s="276" t="e">
        <f t="shared" si="935"/>
        <v>#DIV/0!</v>
      </c>
      <c r="BI1014" s="276" t="e">
        <f t="shared" si="936"/>
        <v>#DIV/0!</v>
      </c>
      <c r="BJ1014" s="276" t="e">
        <f t="shared" si="937"/>
        <v>#DIV/0!</v>
      </c>
      <c r="BK1014" s="276" t="e">
        <f t="shared" si="938"/>
        <v>#DIV/0!</v>
      </c>
      <c r="BL1014" s="686" t="e">
        <f t="shared" si="939"/>
        <v>#DIV/0!</v>
      </c>
      <c r="BM1014" s="239"/>
      <c r="BN1014" s="965" t="e">
        <f t="shared" si="940"/>
        <v>#VALUE!</v>
      </c>
      <c r="BO1014" s="878" t="e">
        <f t="shared" si="941"/>
        <v>#VALUE!</v>
      </c>
      <c r="BP1014" s="878" t="e">
        <f t="shared" si="942"/>
        <v>#VALUE!</v>
      </c>
      <c r="BQ1014" s="878" t="e">
        <f t="shared" si="943"/>
        <v>#VALUE!</v>
      </c>
      <c r="BR1014" s="878" t="e">
        <f t="shared" si="944"/>
        <v>#VALUE!</v>
      </c>
      <c r="BS1014" s="966" t="e">
        <f t="shared" si="945"/>
        <v>#VALUE!</v>
      </c>
    </row>
    <row r="1015" spans="1:71">
      <c r="A1015" s="284">
        <f t="shared" si="946"/>
        <v>947</v>
      </c>
      <c r="B1015" s="285">
        <v>-3.1469183400278364</v>
      </c>
      <c r="C1015" s="285">
        <v>3.0586710901309107</v>
      </c>
      <c r="D1015" s="285">
        <v>0.41495653171610436</v>
      </c>
      <c r="E1015" s="285">
        <v>22.932339101213994</v>
      </c>
      <c r="H1015" s="685">
        <f t="shared" si="892"/>
        <v>-4.2801521817968915</v>
      </c>
      <c r="I1015" s="276">
        <f t="shared" si="893"/>
        <v>-0.7667182290497957</v>
      </c>
      <c r="J1015" s="276">
        <f t="shared" si="894"/>
        <v>-2.0470745483797295</v>
      </c>
      <c r="K1015" s="276">
        <f t="shared" si="895"/>
        <v>0.46544088350644541</v>
      </c>
      <c r="L1015" s="276">
        <f t="shared" si="896"/>
        <v>-0.11936108015291635</v>
      </c>
      <c r="M1015" s="276">
        <f t="shared" si="897"/>
        <v>-5.3985215103743895</v>
      </c>
      <c r="N1015" s="685">
        <f t="shared" si="898"/>
        <v>1.8514998791590422</v>
      </c>
      <c r="O1015" s="276">
        <f t="shared" si="899"/>
        <v>1.2145709185199374</v>
      </c>
      <c r="P1015" s="276">
        <f t="shared" si="900"/>
        <v>2.0812238947249053</v>
      </c>
      <c r="Q1015" s="276">
        <f t="shared" si="901"/>
        <v>1.2686564981152635</v>
      </c>
      <c r="R1015" s="276">
        <f t="shared" si="902"/>
        <v>1.4689960784990499</v>
      </c>
      <c r="S1015" s="686">
        <f t="shared" si="903"/>
        <v>1.3386069132846148</v>
      </c>
      <c r="T1015" s="685">
        <f t="shared" si="904"/>
        <v>3.6933202219870305</v>
      </c>
      <c r="U1015" s="276">
        <f t="shared" si="905"/>
        <v>4.3742302300715803</v>
      </c>
      <c r="V1015" s="276">
        <f t="shared" si="906"/>
        <v>3.1889017035574385</v>
      </c>
      <c r="W1015" s="276">
        <f t="shared" si="907"/>
        <v>4.4088359706540814</v>
      </c>
      <c r="X1015" s="276">
        <f t="shared" si="908"/>
        <v>6.5344513028587876</v>
      </c>
      <c r="Y1015" s="686">
        <f t="shared" si="909"/>
        <v>2.4002195005051425</v>
      </c>
      <c r="Z1015" s="685" t="e">
        <f t="shared" si="910"/>
        <v>#DIV/0!</v>
      </c>
      <c r="AA1015" s="276" t="e">
        <f t="shared" si="911"/>
        <v>#DIV/0!</v>
      </c>
      <c r="AB1015" s="276" t="e">
        <f t="shared" si="912"/>
        <v>#DIV/0!</v>
      </c>
      <c r="AC1015" s="276" t="e">
        <f t="shared" si="913"/>
        <v>#DIV/0!</v>
      </c>
      <c r="AD1015" s="276" t="e">
        <f t="shared" si="914"/>
        <v>#DIV/0!</v>
      </c>
      <c r="AE1015" s="686" t="e">
        <f t="shared" si="915"/>
        <v>#DIV/0!</v>
      </c>
      <c r="AF1015" s="239"/>
      <c r="AG1015" s="965" t="e">
        <f t="shared" si="886"/>
        <v>#VALUE!</v>
      </c>
      <c r="AH1015" s="878" t="e">
        <f t="shared" si="887"/>
        <v>#VALUE!</v>
      </c>
      <c r="AI1015" s="878" t="e">
        <f t="shared" si="888"/>
        <v>#VALUE!</v>
      </c>
      <c r="AJ1015" s="878" t="e">
        <f t="shared" si="889"/>
        <v>#VALUE!</v>
      </c>
      <c r="AK1015" s="878" t="e">
        <f t="shared" si="890"/>
        <v>#VALUE!</v>
      </c>
      <c r="AL1015" s="966" t="e">
        <f t="shared" si="891"/>
        <v>#VALUE!</v>
      </c>
      <c r="AM1015" s="239"/>
      <c r="AO1015" s="685">
        <f t="shared" si="916"/>
        <v>-4.2801521817968915</v>
      </c>
      <c r="AP1015" s="276">
        <f t="shared" si="917"/>
        <v>-0.7667182290497957</v>
      </c>
      <c r="AQ1015" s="276">
        <f t="shared" si="918"/>
        <v>-2.0470745483797295</v>
      </c>
      <c r="AR1015" s="276">
        <f t="shared" si="919"/>
        <v>0.46544088350644541</v>
      </c>
      <c r="AS1015" s="276">
        <f t="shared" si="920"/>
        <v>-0.11936108015291635</v>
      </c>
      <c r="AT1015" s="276">
        <f t="shared" si="921"/>
        <v>-5.3985215103743895</v>
      </c>
      <c r="AU1015" s="685">
        <f t="shared" si="922"/>
        <v>1.8514998791590422</v>
      </c>
      <c r="AV1015" s="276">
        <f t="shared" si="923"/>
        <v>1.2145709185199374</v>
      </c>
      <c r="AW1015" s="276">
        <f t="shared" si="924"/>
        <v>2.0812238947249053</v>
      </c>
      <c r="AX1015" s="276">
        <f t="shared" si="925"/>
        <v>1.2686564981152635</v>
      </c>
      <c r="AY1015" s="276">
        <f t="shared" si="926"/>
        <v>1.4689960784990499</v>
      </c>
      <c r="AZ1015" s="686">
        <f t="shared" si="927"/>
        <v>1.3386069132846148</v>
      </c>
      <c r="BA1015" s="685">
        <f t="shared" si="928"/>
        <v>0</v>
      </c>
      <c r="BB1015" s="276">
        <f t="shared" si="929"/>
        <v>0</v>
      </c>
      <c r="BC1015" s="276">
        <f t="shared" si="930"/>
        <v>0</v>
      </c>
      <c r="BD1015" s="276">
        <f t="shared" si="931"/>
        <v>0</v>
      </c>
      <c r="BE1015" s="276">
        <f t="shared" si="932"/>
        <v>0</v>
      </c>
      <c r="BF1015" s="686">
        <f t="shared" si="933"/>
        <v>0</v>
      </c>
      <c r="BG1015" s="685" t="e">
        <f t="shared" si="934"/>
        <v>#DIV/0!</v>
      </c>
      <c r="BH1015" s="276" t="e">
        <f t="shared" si="935"/>
        <v>#DIV/0!</v>
      </c>
      <c r="BI1015" s="276" t="e">
        <f t="shared" si="936"/>
        <v>#DIV/0!</v>
      </c>
      <c r="BJ1015" s="276" t="e">
        <f t="shared" si="937"/>
        <v>#DIV/0!</v>
      </c>
      <c r="BK1015" s="276" t="e">
        <f t="shared" si="938"/>
        <v>#DIV/0!</v>
      </c>
      <c r="BL1015" s="686" t="e">
        <f t="shared" si="939"/>
        <v>#DIV/0!</v>
      </c>
      <c r="BM1015" s="239"/>
      <c r="BN1015" s="965" t="e">
        <f t="shared" si="940"/>
        <v>#VALUE!</v>
      </c>
      <c r="BO1015" s="878" t="e">
        <f t="shared" si="941"/>
        <v>#VALUE!</v>
      </c>
      <c r="BP1015" s="878" t="e">
        <f t="shared" si="942"/>
        <v>#VALUE!</v>
      </c>
      <c r="BQ1015" s="878" t="e">
        <f t="shared" si="943"/>
        <v>#VALUE!</v>
      </c>
      <c r="BR1015" s="878" t="e">
        <f t="shared" si="944"/>
        <v>#VALUE!</v>
      </c>
      <c r="BS1015" s="966" t="e">
        <f t="shared" si="945"/>
        <v>#VALUE!</v>
      </c>
    </row>
    <row r="1016" spans="1:71">
      <c r="A1016" s="284">
        <f t="shared" si="946"/>
        <v>948</v>
      </c>
      <c r="B1016" s="285">
        <v>-0.72314424602769456</v>
      </c>
      <c r="C1016" s="285">
        <v>2.8331203929253448</v>
      </c>
      <c r="D1016" s="285">
        <v>2.9212299870686573</v>
      </c>
      <c r="E1016" s="285">
        <v>-1.8353861408478007</v>
      </c>
      <c r="H1016" s="685">
        <f t="shared" si="892"/>
        <v>-1.8563780877967493</v>
      </c>
      <c r="I1016" s="276">
        <f t="shared" si="893"/>
        <v>-1.3720620623387523</v>
      </c>
      <c r="J1016" s="276">
        <f t="shared" si="894"/>
        <v>-1.1091333589338321</v>
      </c>
      <c r="K1016" s="276">
        <f t="shared" si="895"/>
        <v>-0.3395501970961482</v>
      </c>
      <c r="L1016" s="276">
        <f t="shared" si="896"/>
        <v>-0.31590092812609305</v>
      </c>
      <c r="M1016" s="276">
        <f t="shared" si="897"/>
        <v>-2.6820391384630922</v>
      </c>
      <c r="N1016" s="685">
        <f t="shared" si="898"/>
        <v>1.6259491819534764</v>
      </c>
      <c r="O1016" s="276">
        <f t="shared" si="899"/>
        <v>1.1534640636120883</v>
      </c>
      <c r="P1016" s="276">
        <f t="shared" si="900"/>
        <v>1.7487769317503454</v>
      </c>
      <c r="Q1016" s="276">
        <f t="shared" si="901"/>
        <v>1.1161713027100684</v>
      </c>
      <c r="R1016" s="276">
        <f t="shared" si="902"/>
        <v>1.0869753995313991</v>
      </c>
      <c r="S1016" s="686">
        <f t="shared" si="903"/>
        <v>1.2711664417449022</v>
      </c>
      <c r="T1016" s="685">
        <f t="shared" si="904"/>
        <v>6.1995936773395837</v>
      </c>
      <c r="U1016" s="276">
        <f t="shared" si="905"/>
        <v>4.8344299788005323</v>
      </c>
      <c r="V1016" s="276">
        <f t="shared" si="906"/>
        <v>3.3983092637147085</v>
      </c>
      <c r="W1016" s="276">
        <f t="shared" si="907"/>
        <v>4.953405376024886</v>
      </c>
      <c r="X1016" s="276">
        <f t="shared" si="908"/>
        <v>3.6701562773053094</v>
      </c>
      <c r="Y1016" s="686">
        <f t="shared" si="909"/>
        <v>5.681334855474244</v>
      </c>
      <c r="Z1016" s="685" t="e">
        <f t="shared" si="910"/>
        <v>#DIV/0!</v>
      </c>
      <c r="AA1016" s="276" t="e">
        <f t="shared" si="911"/>
        <v>#DIV/0!</v>
      </c>
      <c r="AB1016" s="276" t="e">
        <f t="shared" si="912"/>
        <v>#DIV/0!</v>
      </c>
      <c r="AC1016" s="276" t="e">
        <f t="shared" si="913"/>
        <v>#DIV/0!</v>
      </c>
      <c r="AD1016" s="276" t="e">
        <f t="shared" si="914"/>
        <v>#DIV/0!</v>
      </c>
      <c r="AE1016" s="686" t="e">
        <f t="shared" si="915"/>
        <v>#DIV/0!</v>
      </c>
      <c r="AF1016" s="239"/>
      <c r="AG1016" s="965" t="e">
        <f t="shared" si="886"/>
        <v>#VALUE!</v>
      </c>
      <c r="AH1016" s="878" t="e">
        <f t="shared" si="887"/>
        <v>#VALUE!</v>
      </c>
      <c r="AI1016" s="878" t="e">
        <f t="shared" si="888"/>
        <v>#VALUE!</v>
      </c>
      <c r="AJ1016" s="878" t="e">
        <f t="shared" si="889"/>
        <v>#VALUE!</v>
      </c>
      <c r="AK1016" s="878" t="e">
        <f t="shared" si="890"/>
        <v>#VALUE!</v>
      </c>
      <c r="AL1016" s="966" t="e">
        <f t="shared" si="891"/>
        <v>#VALUE!</v>
      </c>
      <c r="AM1016" s="239"/>
      <c r="AO1016" s="685">
        <f t="shared" si="916"/>
        <v>-1.8563780877967493</v>
      </c>
      <c r="AP1016" s="276">
        <f t="shared" si="917"/>
        <v>-1.3720620623387523</v>
      </c>
      <c r="AQ1016" s="276">
        <f t="shared" si="918"/>
        <v>-1.1091333589338321</v>
      </c>
      <c r="AR1016" s="276">
        <f t="shared" si="919"/>
        <v>-0.3395501970961482</v>
      </c>
      <c r="AS1016" s="276">
        <f t="shared" si="920"/>
        <v>-0.31590092812609305</v>
      </c>
      <c r="AT1016" s="276">
        <f t="shared" si="921"/>
        <v>-2.6820391384630922</v>
      </c>
      <c r="AU1016" s="685">
        <f t="shared" si="922"/>
        <v>1.6259491819534764</v>
      </c>
      <c r="AV1016" s="276">
        <f t="shared" si="923"/>
        <v>1.1534640636120883</v>
      </c>
      <c r="AW1016" s="276">
        <f t="shared" si="924"/>
        <v>1.7487769317503454</v>
      </c>
      <c r="AX1016" s="276">
        <f t="shared" si="925"/>
        <v>1.1161713027100684</v>
      </c>
      <c r="AY1016" s="276">
        <f t="shared" si="926"/>
        <v>1.0869753995313991</v>
      </c>
      <c r="AZ1016" s="686">
        <f t="shared" si="927"/>
        <v>1.2711664417449022</v>
      </c>
      <c r="BA1016" s="685">
        <f t="shared" si="928"/>
        <v>0</v>
      </c>
      <c r="BB1016" s="276">
        <f t="shared" si="929"/>
        <v>0</v>
      </c>
      <c r="BC1016" s="276">
        <f t="shared" si="930"/>
        <v>0</v>
      </c>
      <c r="BD1016" s="276">
        <f t="shared" si="931"/>
        <v>0</v>
      </c>
      <c r="BE1016" s="276">
        <f t="shared" si="932"/>
        <v>0</v>
      </c>
      <c r="BF1016" s="686">
        <f t="shared" si="933"/>
        <v>0</v>
      </c>
      <c r="BG1016" s="685" t="e">
        <f t="shared" si="934"/>
        <v>#DIV/0!</v>
      </c>
      <c r="BH1016" s="276" t="e">
        <f t="shared" si="935"/>
        <v>#DIV/0!</v>
      </c>
      <c r="BI1016" s="276" t="e">
        <f t="shared" si="936"/>
        <v>#DIV/0!</v>
      </c>
      <c r="BJ1016" s="276" t="e">
        <f t="shared" si="937"/>
        <v>#DIV/0!</v>
      </c>
      <c r="BK1016" s="276" t="e">
        <f t="shared" si="938"/>
        <v>#DIV/0!</v>
      </c>
      <c r="BL1016" s="686" t="e">
        <f t="shared" si="939"/>
        <v>#DIV/0!</v>
      </c>
      <c r="BM1016" s="239"/>
      <c r="BN1016" s="965" t="e">
        <f t="shared" si="940"/>
        <v>#VALUE!</v>
      </c>
      <c r="BO1016" s="878" t="e">
        <f t="shared" si="941"/>
        <v>#VALUE!</v>
      </c>
      <c r="BP1016" s="878" t="e">
        <f t="shared" si="942"/>
        <v>#VALUE!</v>
      </c>
      <c r="BQ1016" s="878" t="e">
        <f t="shared" si="943"/>
        <v>#VALUE!</v>
      </c>
      <c r="BR1016" s="878" t="e">
        <f t="shared" si="944"/>
        <v>#VALUE!</v>
      </c>
      <c r="BS1016" s="966" t="e">
        <f t="shared" si="945"/>
        <v>#VALUE!</v>
      </c>
    </row>
    <row r="1017" spans="1:71">
      <c r="A1017" s="284">
        <f t="shared" si="946"/>
        <v>949</v>
      </c>
      <c r="B1017" s="285">
        <v>-1.1381375146838164</v>
      </c>
      <c r="C1017" s="285">
        <v>2.0368818982759405</v>
      </c>
      <c r="D1017" s="285">
        <v>0.58203920642333251</v>
      </c>
      <c r="E1017" s="285">
        <v>2.5010515709903856</v>
      </c>
      <c r="H1017" s="685">
        <f t="shared" si="892"/>
        <v>-2.271371356452871</v>
      </c>
      <c r="I1017" s="276">
        <f t="shared" si="893"/>
        <v>-2.1366411575207591</v>
      </c>
      <c r="J1017" s="276">
        <f t="shared" si="894"/>
        <v>0.57306600422407361</v>
      </c>
      <c r="K1017" s="276">
        <f t="shared" si="895"/>
        <v>-1.8502691369949127</v>
      </c>
      <c r="L1017" s="276">
        <f t="shared" si="896"/>
        <v>-0.91790932601473496</v>
      </c>
      <c r="M1017" s="276">
        <f t="shared" si="897"/>
        <v>1.9538403230436214</v>
      </c>
      <c r="N1017" s="685">
        <f t="shared" si="898"/>
        <v>0.82971068730407205</v>
      </c>
      <c r="O1017" s="276">
        <f t="shared" si="899"/>
        <v>0.77170266622084238</v>
      </c>
      <c r="P1017" s="276">
        <f t="shared" si="900"/>
        <v>1.8412723083221036</v>
      </c>
      <c r="Q1017" s="276">
        <f t="shared" si="901"/>
        <v>1.4765318565212999</v>
      </c>
      <c r="R1017" s="276">
        <f t="shared" si="902"/>
        <v>1.0393713007159169</v>
      </c>
      <c r="S1017" s="686">
        <f t="shared" si="903"/>
        <v>0.95379808567958135</v>
      </c>
      <c r="T1017" s="685">
        <f t="shared" si="904"/>
        <v>3.8604028966942585</v>
      </c>
      <c r="U1017" s="276">
        <f t="shared" si="905"/>
        <v>6.5172461585041104</v>
      </c>
      <c r="V1017" s="276">
        <f t="shared" si="906"/>
        <v>2.9404924487093931</v>
      </c>
      <c r="W1017" s="276">
        <f t="shared" si="907"/>
        <v>3.0923648308830765</v>
      </c>
      <c r="X1017" s="276">
        <f t="shared" si="908"/>
        <v>4.9956790759405845</v>
      </c>
      <c r="Y1017" s="686">
        <f t="shared" si="909"/>
        <v>5.7068944120013754</v>
      </c>
      <c r="Z1017" s="685" t="e">
        <f t="shared" si="910"/>
        <v>#DIV/0!</v>
      </c>
      <c r="AA1017" s="276" t="e">
        <f t="shared" si="911"/>
        <v>#DIV/0!</v>
      </c>
      <c r="AB1017" s="276" t="e">
        <f t="shared" si="912"/>
        <v>#DIV/0!</v>
      </c>
      <c r="AC1017" s="276" t="e">
        <f t="shared" si="913"/>
        <v>#DIV/0!</v>
      </c>
      <c r="AD1017" s="276" t="e">
        <f t="shared" si="914"/>
        <v>#DIV/0!</v>
      </c>
      <c r="AE1017" s="686" t="e">
        <f t="shared" si="915"/>
        <v>#DIV/0!</v>
      </c>
      <c r="AF1017" s="239"/>
      <c r="AG1017" s="965" t="e">
        <f t="shared" si="886"/>
        <v>#VALUE!</v>
      </c>
      <c r="AH1017" s="878" t="e">
        <f t="shared" si="887"/>
        <v>#VALUE!</v>
      </c>
      <c r="AI1017" s="878" t="e">
        <f t="shared" si="888"/>
        <v>#VALUE!</v>
      </c>
      <c r="AJ1017" s="878" t="e">
        <f t="shared" si="889"/>
        <v>#VALUE!</v>
      </c>
      <c r="AK1017" s="878" t="e">
        <f t="shared" si="890"/>
        <v>#VALUE!</v>
      </c>
      <c r="AL1017" s="966" t="e">
        <f t="shared" si="891"/>
        <v>#VALUE!</v>
      </c>
      <c r="AM1017" s="239"/>
      <c r="AO1017" s="685">
        <f t="shared" si="916"/>
        <v>-2.271371356452871</v>
      </c>
      <c r="AP1017" s="276">
        <f t="shared" si="917"/>
        <v>-2.1366411575207591</v>
      </c>
      <c r="AQ1017" s="276">
        <f t="shared" si="918"/>
        <v>0.57306600422407361</v>
      </c>
      <c r="AR1017" s="276">
        <f t="shared" si="919"/>
        <v>-1.8502691369949127</v>
      </c>
      <c r="AS1017" s="276">
        <f t="shared" si="920"/>
        <v>-0.91790932601473496</v>
      </c>
      <c r="AT1017" s="276">
        <f t="shared" si="921"/>
        <v>1.9538403230436214</v>
      </c>
      <c r="AU1017" s="685">
        <f t="shared" si="922"/>
        <v>0.82971068730407205</v>
      </c>
      <c r="AV1017" s="276">
        <f t="shared" si="923"/>
        <v>0.77170266622084238</v>
      </c>
      <c r="AW1017" s="276">
        <f t="shared" si="924"/>
        <v>1.8412723083221036</v>
      </c>
      <c r="AX1017" s="276">
        <f t="shared" si="925"/>
        <v>1.4765318565212999</v>
      </c>
      <c r="AY1017" s="276">
        <f t="shared" si="926"/>
        <v>1.0393713007159169</v>
      </c>
      <c r="AZ1017" s="686">
        <f t="shared" si="927"/>
        <v>0.95379808567958135</v>
      </c>
      <c r="BA1017" s="685">
        <f t="shared" si="928"/>
        <v>0</v>
      </c>
      <c r="BB1017" s="276">
        <f t="shared" si="929"/>
        <v>0</v>
      </c>
      <c r="BC1017" s="276">
        <f t="shared" si="930"/>
        <v>0</v>
      </c>
      <c r="BD1017" s="276">
        <f t="shared" si="931"/>
        <v>0</v>
      </c>
      <c r="BE1017" s="276">
        <f t="shared" si="932"/>
        <v>0</v>
      </c>
      <c r="BF1017" s="686">
        <f t="shared" si="933"/>
        <v>0</v>
      </c>
      <c r="BG1017" s="685" t="e">
        <f t="shared" si="934"/>
        <v>#DIV/0!</v>
      </c>
      <c r="BH1017" s="276" t="e">
        <f t="shared" si="935"/>
        <v>#DIV/0!</v>
      </c>
      <c r="BI1017" s="276" t="e">
        <f t="shared" si="936"/>
        <v>#DIV/0!</v>
      </c>
      <c r="BJ1017" s="276" t="e">
        <f t="shared" si="937"/>
        <v>#DIV/0!</v>
      </c>
      <c r="BK1017" s="276" t="e">
        <f t="shared" si="938"/>
        <v>#DIV/0!</v>
      </c>
      <c r="BL1017" s="686" t="e">
        <f t="shared" si="939"/>
        <v>#DIV/0!</v>
      </c>
      <c r="BM1017" s="239"/>
      <c r="BN1017" s="965" t="e">
        <f t="shared" si="940"/>
        <v>#VALUE!</v>
      </c>
      <c r="BO1017" s="878" t="e">
        <f t="shared" si="941"/>
        <v>#VALUE!</v>
      </c>
      <c r="BP1017" s="878" t="e">
        <f t="shared" si="942"/>
        <v>#VALUE!</v>
      </c>
      <c r="BQ1017" s="878" t="e">
        <f t="shared" si="943"/>
        <v>#VALUE!</v>
      </c>
      <c r="BR1017" s="878" t="e">
        <f t="shared" si="944"/>
        <v>#VALUE!</v>
      </c>
      <c r="BS1017" s="966" t="e">
        <f t="shared" si="945"/>
        <v>#VALUE!</v>
      </c>
    </row>
    <row r="1018" spans="1:71">
      <c r="A1018" s="284">
        <f t="shared" si="946"/>
        <v>950</v>
      </c>
      <c r="B1018" s="285">
        <v>0.36563939192871114</v>
      </c>
      <c r="C1018" s="285">
        <v>1.9252232894424506</v>
      </c>
      <c r="D1018" s="285">
        <v>2.8097143179192821</v>
      </c>
      <c r="E1018" s="285">
        <v>-3.6285178073378179</v>
      </c>
      <c r="H1018" s="685">
        <f t="shared" si="892"/>
        <v>-0.76759444984034375</v>
      </c>
      <c r="I1018" s="276">
        <f t="shared" si="893"/>
        <v>-3.068286466010818</v>
      </c>
      <c r="J1018" s="276">
        <f t="shared" si="894"/>
        <v>-0.58664386204234598</v>
      </c>
      <c r="K1018" s="276">
        <f t="shared" si="895"/>
        <v>1.2893878777686509</v>
      </c>
      <c r="L1018" s="276">
        <f t="shared" si="896"/>
        <v>-3.8818376339842047</v>
      </c>
      <c r="M1018" s="276">
        <f t="shared" si="897"/>
        <v>-0.19497624588763218</v>
      </c>
      <c r="N1018" s="685">
        <f t="shared" si="898"/>
        <v>0.71805207847058217</v>
      </c>
      <c r="O1018" s="276">
        <f t="shared" si="899"/>
        <v>1.6902205690710248</v>
      </c>
      <c r="P1018" s="276">
        <f t="shared" si="900"/>
        <v>1.3378542147492991</v>
      </c>
      <c r="Q1018" s="276">
        <f t="shared" si="901"/>
        <v>1.5614340989693318</v>
      </c>
      <c r="R1018" s="276">
        <f t="shared" si="902"/>
        <v>1.8322099050885312</v>
      </c>
      <c r="S1018" s="686">
        <f t="shared" si="903"/>
        <v>2.1468582725121443</v>
      </c>
      <c r="T1018" s="685">
        <f t="shared" si="904"/>
        <v>6.0880780081902079</v>
      </c>
      <c r="U1018" s="276">
        <f t="shared" si="905"/>
        <v>3.83191852151118</v>
      </c>
      <c r="V1018" s="276">
        <f t="shared" si="906"/>
        <v>6.0495214741259034</v>
      </c>
      <c r="W1018" s="276">
        <f t="shared" si="907"/>
        <v>5.019237874077076</v>
      </c>
      <c r="X1018" s="276">
        <f t="shared" si="908"/>
        <v>2.9987463541799482</v>
      </c>
      <c r="Y1018" s="686">
        <f t="shared" si="909"/>
        <v>2.6437740158177294</v>
      </c>
      <c r="Z1018" s="685" t="e">
        <f t="shared" si="910"/>
        <v>#DIV/0!</v>
      </c>
      <c r="AA1018" s="276" t="e">
        <f t="shared" si="911"/>
        <v>#DIV/0!</v>
      </c>
      <c r="AB1018" s="276" t="e">
        <f t="shared" si="912"/>
        <v>#DIV/0!</v>
      </c>
      <c r="AC1018" s="276" t="e">
        <f t="shared" si="913"/>
        <v>#DIV/0!</v>
      </c>
      <c r="AD1018" s="276" t="e">
        <f t="shared" si="914"/>
        <v>#DIV/0!</v>
      </c>
      <c r="AE1018" s="686" t="e">
        <f t="shared" si="915"/>
        <v>#DIV/0!</v>
      </c>
      <c r="AF1018" s="239"/>
      <c r="AG1018" s="965" t="e">
        <f t="shared" si="886"/>
        <v>#VALUE!</v>
      </c>
      <c r="AH1018" s="878" t="e">
        <f t="shared" si="887"/>
        <v>#VALUE!</v>
      </c>
      <c r="AI1018" s="878" t="e">
        <f t="shared" si="888"/>
        <v>#VALUE!</v>
      </c>
      <c r="AJ1018" s="878" t="e">
        <f t="shared" si="889"/>
        <v>#VALUE!</v>
      </c>
      <c r="AK1018" s="878" t="e">
        <f t="shared" si="890"/>
        <v>#VALUE!</v>
      </c>
      <c r="AL1018" s="966" t="e">
        <f t="shared" si="891"/>
        <v>#VALUE!</v>
      </c>
      <c r="AM1018" s="239"/>
      <c r="AO1018" s="685">
        <f t="shared" si="916"/>
        <v>-0.76759444984034375</v>
      </c>
      <c r="AP1018" s="276">
        <f t="shared" si="917"/>
        <v>-3.068286466010818</v>
      </c>
      <c r="AQ1018" s="276">
        <f t="shared" si="918"/>
        <v>-0.58664386204234598</v>
      </c>
      <c r="AR1018" s="276">
        <f t="shared" si="919"/>
        <v>1.2893878777686509</v>
      </c>
      <c r="AS1018" s="276">
        <f t="shared" si="920"/>
        <v>-3.8818376339842047</v>
      </c>
      <c r="AT1018" s="276">
        <f t="shared" si="921"/>
        <v>-0.19497624588763218</v>
      </c>
      <c r="AU1018" s="685">
        <f t="shared" si="922"/>
        <v>0.71805207847058217</v>
      </c>
      <c r="AV1018" s="276">
        <f t="shared" si="923"/>
        <v>1.6902205690710248</v>
      </c>
      <c r="AW1018" s="276">
        <f t="shared" si="924"/>
        <v>1.3378542147492991</v>
      </c>
      <c r="AX1018" s="276">
        <f t="shared" si="925"/>
        <v>1.5614340989693318</v>
      </c>
      <c r="AY1018" s="276">
        <f t="shared" si="926"/>
        <v>1.8322099050885312</v>
      </c>
      <c r="AZ1018" s="686">
        <f t="shared" si="927"/>
        <v>2.1468582725121443</v>
      </c>
      <c r="BA1018" s="685">
        <f t="shared" si="928"/>
        <v>0</v>
      </c>
      <c r="BB1018" s="276">
        <f t="shared" si="929"/>
        <v>0</v>
      </c>
      <c r="BC1018" s="276">
        <f t="shared" si="930"/>
        <v>0</v>
      </c>
      <c r="BD1018" s="276">
        <f t="shared" si="931"/>
        <v>0</v>
      </c>
      <c r="BE1018" s="276">
        <f t="shared" si="932"/>
        <v>0</v>
      </c>
      <c r="BF1018" s="686">
        <f t="shared" si="933"/>
        <v>0</v>
      </c>
      <c r="BG1018" s="685" t="e">
        <f t="shared" si="934"/>
        <v>#DIV/0!</v>
      </c>
      <c r="BH1018" s="276" t="e">
        <f t="shared" si="935"/>
        <v>#DIV/0!</v>
      </c>
      <c r="BI1018" s="276" t="e">
        <f t="shared" si="936"/>
        <v>#DIV/0!</v>
      </c>
      <c r="BJ1018" s="276" t="e">
        <f t="shared" si="937"/>
        <v>#DIV/0!</v>
      </c>
      <c r="BK1018" s="276" t="e">
        <f t="shared" si="938"/>
        <v>#DIV/0!</v>
      </c>
      <c r="BL1018" s="686" t="e">
        <f t="shared" si="939"/>
        <v>#DIV/0!</v>
      </c>
      <c r="BM1018" s="239"/>
      <c r="BN1018" s="965" t="e">
        <f t="shared" si="940"/>
        <v>#VALUE!</v>
      </c>
      <c r="BO1018" s="878" t="e">
        <f t="shared" si="941"/>
        <v>#VALUE!</v>
      </c>
      <c r="BP1018" s="878" t="e">
        <f t="shared" si="942"/>
        <v>#VALUE!</v>
      </c>
      <c r="BQ1018" s="878" t="e">
        <f t="shared" si="943"/>
        <v>#VALUE!</v>
      </c>
      <c r="BR1018" s="878" t="e">
        <f t="shared" si="944"/>
        <v>#VALUE!</v>
      </c>
      <c r="BS1018" s="966" t="e">
        <f t="shared" si="945"/>
        <v>#VALUE!</v>
      </c>
    </row>
    <row r="1019" spans="1:71">
      <c r="A1019" s="284">
        <f t="shared" si="946"/>
        <v>951</v>
      </c>
      <c r="B1019" s="285">
        <v>0.15349286749203506</v>
      </c>
      <c r="C1019" s="285">
        <v>3.3863193426230724</v>
      </c>
      <c r="D1019" s="285">
        <v>-4.4500894489996057E-2</v>
      </c>
      <c r="E1019" s="285">
        <v>9.5463968272730995</v>
      </c>
      <c r="H1019" s="685">
        <f t="shared" si="892"/>
        <v>-0.97974097427701978</v>
      </c>
      <c r="I1019" s="276">
        <f t="shared" si="893"/>
        <v>-1.7975501991920304</v>
      </c>
      <c r="J1019" s="276">
        <f t="shared" si="894"/>
        <v>-2.381859603539727</v>
      </c>
      <c r="K1019" s="276">
        <f t="shared" si="895"/>
        <v>-2.2842627863439597</v>
      </c>
      <c r="L1019" s="276">
        <f t="shared" si="896"/>
        <v>-5.4622989955204648E-2</v>
      </c>
      <c r="M1019" s="276">
        <f t="shared" si="897"/>
        <v>-0.36864607196173327</v>
      </c>
      <c r="N1019" s="685">
        <f t="shared" si="898"/>
        <v>2.1791481316512042</v>
      </c>
      <c r="O1019" s="276">
        <f t="shared" si="899"/>
        <v>1.2638764240273666</v>
      </c>
      <c r="P1019" s="276">
        <f t="shared" si="900"/>
        <v>1.0688033417901981</v>
      </c>
      <c r="Q1019" s="276">
        <f t="shared" si="901"/>
        <v>1.4424348010744248</v>
      </c>
      <c r="R1019" s="276">
        <f t="shared" si="902"/>
        <v>2.1492836619121292</v>
      </c>
      <c r="S1019" s="686">
        <f t="shared" si="903"/>
        <v>1.2919728017116101</v>
      </c>
      <c r="T1019" s="685">
        <f t="shared" si="904"/>
        <v>3.2338627957809298</v>
      </c>
      <c r="U1019" s="276">
        <f t="shared" si="905"/>
        <v>3.9164938866131211</v>
      </c>
      <c r="V1019" s="276">
        <f t="shared" si="906"/>
        <v>3.4355295588308392</v>
      </c>
      <c r="W1019" s="276">
        <f t="shared" si="907"/>
        <v>4.4071845129828295</v>
      </c>
      <c r="X1019" s="276">
        <f t="shared" si="908"/>
        <v>4.0785030755047362</v>
      </c>
      <c r="Y1019" s="686">
        <f t="shared" si="909"/>
        <v>3.2563265108364523</v>
      </c>
      <c r="Z1019" s="685" t="e">
        <f t="shared" si="910"/>
        <v>#DIV/0!</v>
      </c>
      <c r="AA1019" s="276" t="e">
        <f t="shared" si="911"/>
        <v>#DIV/0!</v>
      </c>
      <c r="AB1019" s="276" t="e">
        <f t="shared" si="912"/>
        <v>#DIV/0!</v>
      </c>
      <c r="AC1019" s="276" t="e">
        <f t="shared" si="913"/>
        <v>#DIV/0!</v>
      </c>
      <c r="AD1019" s="276" t="e">
        <f t="shared" si="914"/>
        <v>#DIV/0!</v>
      </c>
      <c r="AE1019" s="686" t="e">
        <f t="shared" si="915"/>
        <v>#DIV/0!</v>
      </c>
      <c r="AF1019" s="239"/>
      <c r="AG1019" s="965" t="e">
        <f t="shared" si="886"/>
        <v>#VALUE!</v>
      </c>
      <c r="AH1019" s="878" t="e">
        <f t="shared" si="887"/>
        <v>#VALUE!</v>
      </c>
      <c r="AI1019" s="878" t="e">
        <f t="shared" si="888"/>
        <v>#VALUE!</v>
      </c>
      <c r="AJ1019" s="878" t="e">
        <f t="shared" si="889"/>
        <v>#VALUE!</v>
      </c>
      <c r="AK1019" s="878" t="e">
        <f t="shared" si="890"/>
        <v>#VALUE!</v>
      </c>
      <c r="AL1019" s="966" t="e">
        <f t="shared" si="891"/>
        <v>#VALUE!</v>
      </c>
      <c r="AM1019" s="239"/>
      <c r="AO1019" s="685">
        <f t="shared" si="916"/>
        <v>-0.97974097427701978</v>
      </c>
      <c r="AP1019" s="276">
        <f t="shared" si="917"/>
        <v>-1.7975501991920304</v>
      </c>
      <c r="AQ1019" s="276">
        <f t="shared" si="918"/>
        <v>-2.381859603539727</v>
      </c>
      <c r="AR1019" s="276">
        <f t="shared" si="919"/>
        <v>-2.2842627863439597</v>
      </c>
      <c r="AS1019" s="276">
        <f t="shared" si="920"/>
        <v>-5.4622989955204648E-2</v>
      </c>
      <c r="AT1019" s="276">
        <f t="shared" si="921"/>
        <v>-0.36864607196173327</v>
      </c>
      <c r="AU1019" s="685">
        <f t="shared" si="922"/>
        <v>2.1791481316512042</v>
      </c>
      <c r="AV1019" s="276">
        <f t="shared" si="923"/>
        <v>1.2638764240273666</v>
      </c>
      <c r="AW1019" s="276">
        <f t="shared" si="924"/>
        <v>1.0688033417901981</v>
      </c>
      <c r="AX1019" s="276">
        <f t="shared" si="925"/>
        <v>1.4424348010744248</v>
      </c>
      <c r="AY1019" s="276">
        <f t="shared" si="926"/>
        <v>2.1492836619121292</v>
      </c>
      <c r="AZ1019" s="686">
        <f t="shared" si="927"/>
        <v>1.2919728017116101</v>
      </c>
      <c r="BA1019" s="685">
        <f t="shared" si="928"/>
        <v>0</v>
      </c>
      <c r="BB1019" s="276">
        <f t="shared" si="929"/>
        <v>0</v>
      </c>
      <c r="BC1019" s="276">
        <f t="shared" si="930"/>
        <v>0</v>
      </c>
      <c r="BD1019" s="276">
        <f t="shared" si="931"/>
        <v>0</v>
      </c>
      <c r="BE1019" s="276">
        <f t="shared" si="932"/>
        <v>0</v>
      </c>
      <c r="BF1019" s="686">
        <f t="shared" si="933"/>
        <v>0</v>
      </c>
      <c r="BG1019" s="685" t="e">
        <f t="shared" si="934"/>
        <v>#DIV/0!</v>
      </c>
      <c r="BH1019" s="276" t="e">
        <f t="shared" si="935"/>
        <v>#DIV/0!</v>
      </c>
      <c r="BI1019" s="276" t="e">
        <f t="shared" si="936"/>
        <v>#DIV/0!</v>
      </c>
      <c r="BJ1019" s="276" t="e">
        <f t="shared" si="937"/>
        <v>#DIV/0!</v>
      </c>
      <c r="BK1019" s="276" t="e">
        <f t="shared" si="938"/>
        <v>#DIV/0!</v>
      </c>
      <c r="BL1019" s="686" t="e">
        <f t="shared" si="939"/>
        <v>#DIV/0!</v>
      </c>
      <c r="BM1019" s="239"/>
      <c r="BN1019" s="965" t="e">
        <f t="shared" si="940"/>
        <v>#VALUE!</v>
      </c>
      <c r="BO1019" s="878" t="e">
        <f t="shared" si="941"/>
        <v>#VALUE!</v>
      </c>
      <c r="BP1019" s="878" t="e">
        <f t="shared" si="942"/>
        <v>#VALUE!</v>
      </c>
      <c r="BQ1019" s="878" t="e">
        <f t="shared" si="943"/>
        <v>#VALUE!</v>
      </c>
      <c r="BR1019" s="878" t="e">
        <f t="shared" si="944"/>
        <v>#VALUE!</v>
      </c>
      <c r="BS1019" s="966" t="e">
        <f t="shared" si="945"/>
        <v>#VALUE!</v>
      </c>
    </row>
    <row r="1020" spans="1:71">
      <c r="A1020" s="284">
        <f t="shared" si="946"/>
        <v>952</v>
      </c>
      <c r="B1020" s="285">
        <v>-2.9242031276729064</v>
      </c>
      <c r="C1020" s="285">
        <v>2.8907807083862895</v>
      </c>
      <c r="D1020" s="285">
        <v>0.22430491331534275</v>
      </c>
      <c r="E1020" s="285">
        <v>-3.1940528739977831</v>
      </c>
      <c r="H1020" s="685">
        <f t="shared" si="892"/>
        <v>-4.0574369694419614</v>
      </c>
      <c r="I1020" s="276">
        <f t="shared" si="893"/>
        <v>-5.9797136268721891</v>
      </c>
      <c r="J1020" s="276">
        <f t="shared" si="894"/>
        <v>1.1414415120064294</v>
      </c>
      <c r="K1020" s="276">
        <f t="shared" si="895"/>
        <v>1.6933840120046215</v>
      </c>
      <c r="L1020" s="276">
        <f t="shared" si="896"/>
        <v>-0.89391157546153743</v>
      </c>
      <c r="M1020" s="276">
        <f t="shared" si="897"/>
        <v>0.51259847870302355</v>
      </c>
      <c r="N1020" s="685">
        <f t="shared" si="898"/>
        <v>1.6836094974144211</v>
      </c>
      <c r="O1020" s="276">
        <f t="shared" si="899"/>
        <v>1.0027438773830999</v>
      </c>
      <c r="P1020" s="276">
        <f t="shared" si="900"/>
        <v>1.9326928948976121</v>
      </c>
      <c r="Q1020" s="276">
        <f t="shared" si="901"/>
        <v>1.8614870121193785</v>
      </c>
      <c r="R1020" s="276">
        <f t="shared" si="902"/>
        <v>1.528919547023351</v>
      </c>
      <c r="S1020" s="686">
        <f t="shared" si="903"/>
        <v>1.5519412108907755</v>
      </c>
      <c r="T1020" s="685">
        <f t="shared" si="904"/>
        <v>3.5026686035862689</v>
      </c>
      <c r="U1020" s="276">
        <f t="shared" si="905"/>
        <v>2.3472591670729313</v>
      </c>
      <c r="V1020" s="276">
        <f t="shared" si="906"/>
        <v>7.4843730422674</v>
      </c>
      <c r="W1020" s="276">
        <f t="shared" si="907"/>
        <v>5.4229417090693204</v>
      </c>
      <c r="X1020" s="276">
        <f t="shared" si="908"/>
        <v>6.2109324901004221</v>
      </c>
      <c r="Y1020" s="686">
        <f t="shared" si="909"/>
        <v>6.4696299902172818</v>
      </c>
      <c r="Z1020" s="685" t="e">
        <f t="shared" si="910"/>
        <v>#DIV/0!</v>
      </c>
      <c r="AA1020" s="276" t="e">
        <f t="shared" si="911"/>
        <v>#DIV/0!</v>
      </c>
      <c r="AB1020" s="276" t="e">
        <f t="shared" si="912"/>
        <v>#DIV/0!</v>
      </c>
      <c r="AC1020" s="276" t="e">
        <f t="shared" si="913"/>
        <v>#DIV/0!</v>
      </c>
      <c r="AD1020" s="276" t="e">
        <f t="shared" si="914"/>
        <v>#DIV/0!</v>
      </c>
      <c r="AE1020" s="686" t="e">
        <f t="shared" si="915"/>
        <v>#DIV/0!</v>
      </c>
      <c r="AF1020" s="239"/>
      <c r="AG1020" s="965" t="e">
        <f t="shared" si="886"/>
        <v>#VALUE!</v>
      </c>
      <c r="AH1020" s="878" t="e">
        <f t="shared" si="887"/>
        <v>#VALUE!</v>
      </c>
      <c r="AI1020" s="878" t="e">
        <f t="shared" si="888"/>
        <v>#VALUE!</v>
      </c>
      <c r="AJ1020" s="878" t="e">
        <f t="shared" si="889"/>
        <v>#VALUE!</v>
      </c>
      <c r="AK1020" s="878" t="e">
        <f t="shared" si="890"/>
        <v>#VALUE!</v>
      </c>
      <c r="AL1020" s="966" t="e">
        <f t="shared" si="891"/>
        <v>#VALUE!</v>
      </c>
      <c r="AM1020" s="239"/>
      <c r="AO1020" s="685">
        <f t="shared" si="916"/>
        <v>-4.0574369694419614</v>
      </c>
      <c r="AP1020" s="276">
        <f t="shared" si="917"/>
        <v>-5.9797136268721891</v>
      </c>
      <c r="AQ1020" s="276">
        <f t="shared" si="918"/>
        <v>1.1414415120064294</v>
      </c>
      <c r="AR1020" s="276">
        <f t="shared" si="919"/>
        <v>1.6933840120046215</v>
      </c>
      <c r="AS1020" s="276">
        <f t="shared" si="920"/>
        <v>-0.89391157546153743</v>
      </c>
      <c r="AT1020" s="276">
        <f t="shared" si="921"/>
        <v>0.51259847870302355</v>
      </c>
      <c r="AU1020" s="685">
        <f t="shared" si="922"/>
        <v>1.6836094974144211</v>
      </c>
      <c r="AV1020" s="276">
        <f t="shared" si="923"/>
        <v>1.0027438773830999</v>
      </c>
      <c r="AW1020" s="276">
        <f t="shared" si="924"/>
        <v>1.9326928948976121</v>
      </c>
      <c r="AX1020" s="276">
        <f t="shared" si="925"/>
        <v>1.8614870121193785</v>
      </c>
      <c r="AY1020" s="276">
        <f t="shared" si="926"/>
        <v>1.528919547023351</v>
      </c>
      <c r="AZ1020" s="686">
        <f t="shared" si="927"/>
        <v>1.5519412108907755</v>
      </c>
      <c r="BA1020" s="685">
        <f t="shared" si="928"/>
        <v>0</v>
      </c>
      <c r="BB1020" s="276">
        <f t="shared" si="929"/>
        <v>0</v>
      </c>
      <c r="BC1020" s="276">
        <f t="shared" si="930"/>
        <v>0</v>
      </c>
      <c r="BD1020" s="276">
        <f t="shared" si="931"/>
        <v>0</v>
      </c>
      <c r="BE1020" s="276">
        <f t="shared" si="932"/>
        <v>0</v>
      </c>
      <c r="BF1020" s="686">
        <f t="shared" si="933"/>
        <v>0</v>
      </c>
      <c r="BG1020" s="685" t="e">
        <f t="shared" si="934"/>
        <v>#DIV/0!</v>
      </c>
      <c r="BH1020" s="276" t="e">
        <f t="shared" si="935"/>
        <v>#DIV/0!</v>
      </c>
      <c r="BI1020" s="276" t="e">
        <f t="shared" si="936"/>
        <v>#DIV/0!</v>
      </c>
      <c r="BJ1020" s="276" t="e">
        <f t="shared" si="937"/>
        <v>#DIV/0!</v>
      </c>
      <c r="BK1020" s="276" t="e">
        <f t="shared" si="938"/>
        <v>#DIV/0!</v>
      </c>
      <c r="BL1020" s="686" t="e">
        <f t="shared" si="939"/>
        <v>#DIV/0!</v>
      </c>
      <c r="BM1020" s="239"/>
      <c r="BN1020" s="965" t="e">
        <f t="shared" si="940"/>
        <v>#VALUE!</v>
      </c>
      <c r="BO1020" s="878" t="e">
        <f t="shared" si="941"/>
        <v>#VALUE!</v>
      </c>
      <c r="BP1020" s="878" t="e">
        <f t="shared" si="942"/>
        <v>#VALUE!</v>
      </c>
      <c r="BQ1020" s="878" t="e">
        <f t="shared" si="943"/>
        <v>#VALUE!</v>
      </c>
      <c r="BR1020" s="878" t="e">
        <f t="shared" si="944"/>
        <v>#VALUE!</v>
      </c>
      <c r="BS1020" s="966" t="e">
        <f t="shared" si="945"/>
        <v>#VALUE!</v>
      </c>
    </row>
    <row r="1021" spans="1:71">
      <c r="A1021" s="284">
        <f t="shared" si="946"/>
        <v>953</v>
      </c>
      <c r="B1021" s="285">
        <v>1.2756109613336142</v>
      </c>
      <c r="C1021" s="285">
        <v>2.9227691975845893</v>
      </c>
      <c r="D1021" s="285">
        <v>2.4122187623797817</v>
      </c>
      <c r="E1021" s="285">
        <v>2.38205723105099</v>
      </c>
      <c r="H1021" s="685">
        <f t="shared" si="892"/>
        <v>0.14237711956455934</v>
      </c>
      <c r="I1021" s="276">
        <f t="shared" si="893"/>
        <v>-3.5217889638776301</v>
      </c>
      <c r="J1021" s="276">
        <f t="shared" si="894"/>
        <v>-0.68784118593514165</v>
      </c>
      <c r="K1021" s="276">
        <f t="shared" si="895"/>
        <v>1.8114646779108352</v>
      </c>
      <c r="L1021" s="276">
        <f t="shared" si="896"/>
        <v>-0.42033816311597327</v>
      </c>
      <c r="M1021" s="276">
        <f t="shared" si="897"/>
        <v>-2.3659321260818129</v>
      </c>
      <c r="N1021" s="685">
        <f t="shared" si="898"/>
        <v>1.7155979866127209</v>
      </c>
      <c r="O1021" s="276">
        <f t="shared" si="899"/>
        <v>1.6717508299747108</v>
      </c>
      <c r="P1021" s="276">
        <f t="shared" si="900"/>
        <v>1.6997606744839826</v>
      </c>
      <c r="Q1021" s="276">
        <f t="shared" si="901"/>
        <v>1.4562590739156354</v>
      </c>
      <c r="R1021" s="276">
        <f t="shared" si="902"/>
        <v>1.6678136836756143</v>
      </c>
      <c r="S1021" s="686">
        <f t="shared" si="903"/>
        <v>8.5548781483518299E-2</v>
      </c>
      <c r="T1021" s="685">
        <f t="shared" si="904"/>
        <v>5.6905824526507072</v>
      </c>
      <c r="U1021" s="276">
        <f t="shared" si="905"/>
        <v>4.1319030993382828</v>
      </c>
      <c r="V1021" s="276">
        <f t="shared" si="906"/>
        <v>5.6223765456740242</v>
      </c>
      <c r="W1021" s="276">
        <f t="shared" si="907"/>
        <v>6.3823101904104895</v>
      </c>
      <c r="X1021" s="276">
        <f t="shared" si="908"/>
        <v>2.8251460740945742</v>
      </c>
      <c r="Y1021" s="686">
        <f t="shared" si="909"/>
        <v>6.0999419040089951</v>
      </c>
      <c r="Z1021" s="685" t="e">
        <f t="shared" si="910"/>
        <v>#DIV/0!</v>
      </c>
      <c r="AA1021" s="276" t="e">
        <f t="shared" si="911"/>
        <v>#DIV/0!</v>
      </c>
      <c r="AB1021" s="276" t="e">
        <f t="shared" si="912"/>
        <v>#DIV/0!</v>
      </c>
      <c r="AC1021" s="276" t="e">
        <f t="shared" si="913"/>
        <v>#DIV/0!</v>
      </c>
      <c r="AD1021" s="276" t="e">
        <f t="shared" si="914"/>
        <v>#DIV/0!</v>
      </c>
      <c r="AE1021" s="686" t="e">
        <f t="shared" si="915"/>
        <v>#DIV/0!</v>
      </c>
      <c r="AF1021" s="239"/>
      <c r="AG1021" s="965" t="e">
        <f t="shared" si="886"/>
        <v>#VALUE!</v>
      </c>
      <c r="AH1021" s="878" t="e">
        <f t="shared" si="887"/>
        <v>#VALUE!</v>
      </c>
      <c r="AI1021" s="878" t="e">
        <f t="shared" si="888"/>
        <v>#VALUE!</v>
      </c>
      <c r="AJ1021" s="878" t="e">
        <f t="shared" si="889"/>
        <v>#VALUE!</v>
      </c>
      <c r="AK1021" s="878" t="e">
        <f t="shared" si="890"/>
        <v>#VALUE!</v>
      </c>
      <c r="AL1021" s="966" t="e">
        <f t="shared" si="891"/>
        <v>#VALUE!</v>
      </c>
      <c r="AM1021" s="239"/>
      <c r="AO1021" s="685">
        <f t="shared" si="916"/>
        <v>0.14237711956455934</v>
      </c>
      <c r="AP1021" s="276">
        <f t="shared" si="917"/>
        <v>-3.5217889638776301</v>
      </c>
      <c r="AQ1021" s="276">
        <f t="shared" si="918"/>
        <v>-0.68784118593514165</v>
      </c>
      <c r="AR1021" s="276">
        <f t="shared" si="919"/>
        <v>1.8114646779108352</v>
      </c>
      <c r="AS1021" s="276">
        <f t="shared" si="920"/>
        <v>-0.42033816311597327</v>
      </c>
      <c r="AT1021" s="276">
        <f t="shared" si="921"/>
        <v>-2.3659321260818129</v>
      </c>
      <c r="AU1021" s="685">
        <f t="shared" si="922"/>
        <v>1.7155979866127209</v>
      </c>
      <c r="AV1021" s="276">
        <f t="shared" si="923"/>
        <v>1.6717508299747108</v>
      </c>
      <c r="AW1021" s="276">
        <f t="shared" si="924"/>
        <v>1.6997606744839826</v>
      </c>
      <c r="AX1021" s="276">
        <f t="shared" si="925"/>
        <v>1.4562590739156354</v>
      </c>
      <c r="AY1021" s="276">
        <f t="shared" si="926"/>
        <v>1.6678136836756143</v>
      </c>
      <c r="AZ1021" s="686">
        <f t="shared" si="927"/>
        <v>8.5548781483518299E-2</v>
      </c>
      <c r="BA1021" s="685">
        <f t="shared" si="928"/>
        <v>0</v>
      </c>
      <c r="BB1021" s="276">
        <f t="shared" si="929"/>
        <v>0</v>
      </c>
      <c r="BC1021" s="276">
        <f t="shared" si="930"/>
        <v>0</v>
      </c>
      <c r="BD1021" s="276">
        <f t="shared" si="931"/>
        <v>0</v>
      </c>
      <c r="BE1021" s="276">
        <f t="shared" si="932"/>
        <v>0</v>
      </c>
      <c r="BF1021" s="686">
        <f t="shared" si="933"/>
        <v>0</v>
      </c>
      <c r="BG1021" s="685" t="e">
        <f t="shared" si="934"/>
        <v>#DIV/0!</v>
      </c>
      <c r="BH1021" s="276" t="e">
        <f t="shared" si="935"/>
        <v>#DIV/0!</v>
      </c>
      <c r="BI1021" s="276" t="e">
        <f t="shared" si="936"/>
        <v>#DIV/0!</v>
      </c>
      <c r="BJ1021" s="276" t="e">
        <f t="shared" si="937"/>
        <v>#DIV/0!</v>
      </c>
      <c r="BK1021" s="276" t="e">
        <f t="shared" si="938"/>
        <v>#DIV/0!</v>
      </c>
      <c r="BL1021" s="686" t="e">
        <f t="shared" si="939"/>
        <v>#DIV/0!</v>
      </c>
      <c r="BM1021" s="239"/>
      <c r="BN1021" s="965" t="e">
        <f t="shared" si="940"/>
        <v>#VALUE!</v>
      </c>
      <c r="BO1021" s="878" t="e">
        <f t="shared" si="941"/>
        <v>#VALUE!</v>
      </c>
      <c r="BP1021" s="878" t="e">
        <f t="shared" si="942"/>
        <v>#VALUE!</v>
      </c>
      <c r="BQ1021" s="878" t="e">
        <f t="shared" si="943"/>
        <v>#VALUE!</v>
      </c>
      <c r="BR1021" s="878" t="e">
        <f t="shared" si="944"/>
        <v>#VALUE!</v>
      </c>
      <c r="BS1021" s="966" t="e">
        <f t="shared" si="945"/>
        <v>#VALUE!</v>
      </c>
    </row>
    <row r="1022" spans="1:71">
      <c r="A1022" s="284">
        <f t="shared" si="946"/>
        <v>954</v>
      </c>
      <c r="B1022" s="285">
        <v>1.6573651666752294</v>
      </c>
      <c r="C1022" s="285">
        <v>3.2302412524953579</v>
      </c>
      <c r="D1022" s="285">
        <v>2.3469459414373057</v>
      </c>
      <c r="E1022" s="285">
        <v>14.190469356726023</v>
      </c>
      <c r="H1022" s="685">
        <f t="shared" si="892"/>
        <v>0.52413132490617453</v>
      </c>
      <c r="I1022" s="276">
        <f t="shared" si="893"/>
        <v>-4.8807818948796617</v>
      </c>
      <c r="J1022" s="276">
        <f t="shared" si="894"/>
        <v>-1.9080971889467622</v>
      </c>
      <c r="K1022" s="276">
        <f t="shared" si="895"/>
        <v>-2.2008564654778686</v>
      </c>
      <c r="L1022" s="276">
        <f t="shared" si="896"/>
        <v>-3.051870174244498</v>
      </c>
      <c r="M1022" s="276">
        <f t="shared" si="897"/>
        <v>-2.1916619011912322</v>
      </c>
      <c r="N1022" s="685">
        <f t="shared" si="898"/>
        <v>2.0230700415234892</v>
      </c>
      <c r="O1022" s="276">
        <f t="shared" si="899"/>
        <v>0.91425594951250289</v>
      </c>
      <c r="P1022" s="276">
        <f t="shared" si="900"/>
        <v>1.8334001032966116</v>
      </c>
      <c r="Q1022" s="276">
        <f t="shared" si="901"/>
        <v>1.4948163525089309</v>
      </c>
      <c r="R1022" s="276">
        <f t="shared" si="902"/>
        <v>2.1866231775888902</v>
      </c>
      <c r="S1022" s="686">
        <f t="shared" si="903"/>
        <v>0.50758824841486105</v>
      </c>
      <c r="T1022" s="685">
        <f t="shared" si="904"/>
        <v>5.6253096317082321</v>
      </c>
      <c r="U1022" s="276">
        <f t="shared" si="905"/>
        <v>5.1506029363455035</v>
      </c>
      <c r="V1022" s="276">
        <f t="shared" si="906"/>
        <v>2.7943190765289314</v>
      </c>
      <c r="W1022" s="276">
        <f t="shared" si="907"/>
        <v>3.7834359373387469</v>
      </c>
      <c r="X1022" s="276">
        <f t="shared" si="908"/>
        <v>2.8676676098962681</v>
      </c>
      <c r="Y1022" s="686">
        <f t="shared" si="909"/>
        <v>3.7522223412129088</v>
      </c>
      <c r="Z1022" s="685" t="e">
        <f t="shared" si="910"/>
        <v>#DIV/0!</v>
      </c>
      <c r="AA1022" s="276" t="e">
        <f t="shared" si="911"/>
        <v>#DIV/0!</v>
      </c>
      <c r="AB1022" s="276" t="e">
        <f t="shared" si="912"/>
        <v>#DIV/0!</v>
      </c>
      <c r="AC1022" s="276" t="e">
        <f t="shared" si="913"/>
        <v>#DIV/0!</v>
      </c>
      <c r="AD1022" s="276" t="e">
        <f t="shared" si="914"/>
        <v>#DIV/0!</v>
      </c>
      <c r="AE1022" s="686" t="e">
        <f t="shared" si="915"/>
        <v>#DIV/0!</v>
      </c>
      <c r="AF1022" s="239"/>
      <c r="AG1022" s="965" t="e">
        <f t="shared" si="886"/>
        <v>#VALUE!</v>
      </c>
      <c r="AH1022" s="878" t="e">
        <f t="shared" si="887"/>
        <v>#VALUE!</v>
      </c>
      <c r="AI1022" s="878" t="e">
        <f t="shared" si="888"/>
        <v>#VALUE!</v>
      </c>
      <c r="AJ1022" s="878" t="e">
        <f t="shared" si="889"/>
        <v>#VALUE!</v>
      </c>
      <c r="AK1022" s="878" t="e">
        <f t="shared" si="890"/>
        <v>#VALUE!</v>
      </c>
      <c r="AL1022" s="966" t="e">
        <f t="shared" si="891"/>
        <v>#VALUE!</v>
      </c>
      <c r="AM1022" s="239"/>
      <c r="AO1022" s="685">
        <f t="shared" si="916"/>
        <v>0.52413132490617453</v>
      </c>
      <c r="AP1022" s="276">
        <f t="shared" si="917"/>
        <v>-4.8807818948796617</v>
      </c>
      <c r="AQ1022" s="276">
        <f t="shared" si="918"/>
        <v>-1.9080971889467622</v>
      </c>
      <c r="AR1022" s="276">
        <f t="shared" si="919"/>
        <v>-2.2008564654778686</v>
      </c>
      <c r="AS1022" s="276">
        <f t="shared" si="920"/>
        <v>-3.051870174244498</v>
      </c>
      <c r="AT1022" s="276">
        <f t="shared" si="921"/>
        <v>-2.1916619011912322</v>
      </c>
      <c r="AU1022" s="685">
        <f t="shared" si="922"/>
        <v>2.0230700415234892</v>
      </c>
      <c r="AV1022" s="276">
        <f t="shared" si="923"/>
        <v>0.91425594951250289</v>
      </c>
      <c r="AW1022" s="276">
        <f t="shared" si="924"/>
        <v>1.8334001032966116</v>
      </c>
      <c r="AX1022" s="276">
        <f t="shared" si="925"/>
        <v>1.4948163525089309</v>
      </c>
      <c r="AY1022" s="276">
        <f t="shared" si="926"/>
        <v>2.1866231775888902</v>
      </c>
      <c r="AZ1022" s="686">
        <f t="shared" si="927"/>
        <v>0.50758824841486105</v>
      </c>
      <c r="BA1022" s="685">
        <f t="shared" si="928"/>
        <v>0</v>
      </c>
      <c r="BB1022" s="276">
        <f t="shared" si="929"/>
        <v>0</v>
      </c>
      <c r="BC1022" s="276">
        <f t="shared" si="930"/>
        <v>0</v>
      </c>
      <c r="BD1022" s="276">
        <f t="shared" si="931"/>
        <v>0</v>
      </c>
      <c r="BE1022" s="276">
        <f t="shared" si="932"/>
        <v>0</v>
      </c>
      <c r="BF1022" s="686">
        <f t="shared" si="933"/>
        <v>0</v>
      </c>
      <c r="BG1022" s="685" t="e">
        <f t="shared" si="934"/>
        <v>#DIV/0!</v>
      </c>
      <c r="BH1022" s="276" t="e">
        <f t="shared" si="935"/>
        <v>#DIV/0!</v>
      </c>
      <c r="BI1022" s="276" t="e">
        <f t="shared" si="936"/>
        <v>#DIV/0!</v>
      </c>
      <c r="BJ1022" s="276" t="e">
        <f t="shared" si="937"/>
        <v>#DIV/0!</v>
      </c>
      <c r="BK1022" s="276" t="e">
        <f t="shared" si="938"/>
        <v>#DIV/0!</v>
      </c>
      <c r="BL1022" s="686" t="e">
        <f t="shared" si="939"/>
        <v>#DIV/0!</v>
      </c>
      <c r="BM1022" s="239"/>
      <c r="BN1022" s="965" t="e">
        <f t="shared" si="940"/>
        <v>#VALUE!</v>
      </c>
      <c r="BO1022" s="878" t="e">
        <f t="shared" si="941"/>
        <v>#VALUE!</v>
      </c>
      <c r="BP1022" s="878" t="e">
        <f t="shared" si="942"/>
        <v>#VALUE!</v>
      </c>
      <c r="BQ1022" s="878" t="e">
        <f t="shared" si="943"/>
        <v>#VALUE!</v>
      </c>
      <c r="BR1022" s="878" t="e">
        <f t="shared" si="944"/>
        <v>#VALUE!</v>
      </c>
      <c r="BS1022" s="966" t="e">
        <f t="shared" si="945"/>
        <v>#VALUE!</v>
      </c>
    </row>
    <row r="1023" spans="1:71">
      <c r="A1023" s="284">
        <f t="shared" si="946"/>
        <v>955</v>
      </c>
      <c r="B1023" s="285">
        <v>-2.7854190313418576</v>
      </c>
      <c r="C1023" s="285">
        <v>2.3116809725097269</v>
      </c>
      <c r="D1023" s="285">
        <v>0.96421672766484956</v>
      </c>
      <c r="E1023" s="285">
        <v>-4.2216721321046968</v>
      </c>
      <c r="H1023" s="685">
        <f t="shared" si="892"/>
        <v>-3.9186528731109123</v>
      </c>
      <c r="I1023" s="276">
        <f t="shared" si="893"/>
        <v>1.4401260174630603</v>
      </c>
      <c r="J1023" s="276">
        <f t="shared" si="894"/>
        <v>-2.8688533745794409</v>
      </c>
      <c r="K1023" s="276">
        <f t="shared" si="895"/>
        <v>0.36700612822168321</v>
      </c>
      <c r="L1023" s="276">
        <f t="shared" si="896"/>
        <v>-1.8548225449902214</v>
      </c>
      <c r="M1023" s="276">
        <f t="shared" si="897"/>
        <v>-8.3328074436475497E-2</v>
      </c>
      <c r="N1023" s="685">
        <f t="shared" si="898"/>
        <v>1.1045097615378585</v>
      </c>
      <c r="O1023" s="276">
        <f t="shared" si="899"/>
        <v>1.7950284159063739</v>
      </c>
      <c r="P1023" s="276">
        <f t="shared" si="900"/>
        <v>1.1910078964757458</v>
      </c>
      <c r="Q1023" s="276">
        <f t="shared" si="901"/>
        <v>1.2832790503923708</v>
      </c>
      <c r="R1023" s="276">
        <f t="shared" si="902"/>
        <v>1.1492477906356651</v>
      </c>
      <c r="S1023" s="686">
        <f t="shared" si="903"/>
        <v>1.3913244055047513</v>
      </c>
      <c r="T1023" s="685">
        <f t="shared" si="904"/>
        <v>4.2425804179357751</v>
      </c>
      <c r="U1023" s="276">
        <f t="shared" si="905"/>
        <v>5.4180093018033393</v>
      </c>
      <c r="V1023" s="276">
        <f t="shared" si="906"/>
        <v>3.982450998551113</v>
      </c>
      <c r="W1023" s="276">
        <f t="shared" si="907"/>
        <v>5.4893483937032244</v>
      </c>
      <c r="X1023" s="276">
        <f t="shared" si="908"/>
        <v>5.6488345716141009</v>
      </c>
      <c r="Y1023" s="686">
        <f t="shared" si="909"/>
        <v>4.6942423694602757</v>
      </c>
      <c r="Z1023" s="685" t="e">
        <f t="shared" si="910"/>
        <v>#DIV/0!</v>
      </c>
      <c r="AA1023" s="276" t="e">
        <f t="shared" si="911"/>
        <v>#DIV/0!</v>
      </c>
      <c r="AB1023" s="276" t="e">
        <f t="shared" si="912"/>
        <v>#DIV/0!</v>
      </c>
      <c r="AC1023" s="276" t="e">
        <f t="shared" si="913"/>
        <v>#DIV/0!</v>
      </c>
      <c r="AD1023" s="276" t="e">
        <f t="shared" si="914"/>
        <v>#DIV/0!</v>
      </c>
      <c r="AE1023" s="686" t="e">
        <f t="shared" si="915"/>
        <v>#DIV/0!</v>
      </c>
      <c r="AF1023" s="239"/>
      <c r="AG1023" s="965" t="e">
        <f t="shared" si="886"/>
        <v>#VALUE!</v>
      </c>
      <c r="AH1023" s="878" t="e">
        <f t="shared" si="887"/>
        <v>#VALUE!</v>
      </c>
      <c r="AI1023" s="878" t="e">
        <f t="shared" si="888"/>
        <v>#VALUE!</v>
      </c>
      <c r="AJ1023" s="878" t="e">
        <f t="shared" si="889"/>
        <v>#VALUE!</v>
      </c>
      <c r="AK1023" s="878" t="e">
        <f t="shared" si="890"/>
        <v>#VALUE!</v>
      </c>
      <c r="AL1023" s="966" t="e">
        <f t="shared" si="891"/>
        <v>#VALUE!</v>
      </c>
      <c r="AM1023" s="239"/>
      <c r="AO1023" s="685">
        <f t="shared" si="916"/>
        <v>-3.9186528731109123</v>
      </c>
      <c r="AP1023" s="276">
        <f t="shared" si="917"/>
        <v>1.4401260174630603</v>
      </c>
      <c r="AQ1023" s="276">
        <f t="shared" si="918"/>
        <v>-2.8688533745794409</v>
      </c>
      <c r="AR1023" s="276">
        <f t="shared" si="919"/>
        <v>0.36700612822168321</v>
      </c>
      <c r="AS1023" s="276">
        <f t="shared" si="920"/>
        <v>-1.8548225449902214</v>
      </c>
      <c r="AT1023" s="276">
        <f t="shared" si="921"/>
        <v>-8.3328074436475497E-2</v>
      </c>
      <c r="AU1023" s="685">
        <f t="shared" si="922"/>
        <v>1.1045097615378585</v>
      </c>
      <c r="AV1023" s="276">
        <f t="shared" si="923"/>
        <v>1.7950284159063739</v>
      </c>
      <c r="AW1023" s="276">
        <f t="shared" si="924"/>
        <v>1.1910078964757458</v>
      </c>
      <c r="AX1023" s="276">
        <f t="shared" si="925"/>
        <v>1.2832790503923708</v>
      </c>
      <c r="AY1023" s="276">
        <f t="shared" si="926"/>
        <v>1.1492477906356651</v>
      </c>
      <c r="AZ1023" s="686">
        <f t="shared" si="927"/>
        <v>1.3913244055047513</v>
      </c>
      <c r="BA1023" s="685">
        <f t="shared" si="928"/>
        <v>0</v>
      </c>
      <c r="BB1023" s="276">
        <f t="shared" si="929"/>
        <v>0</v>
      </c>
      <c r="BC1023" s="276">
        <f t="shared" si="930"/>
        <v>0</v>
      </c>
      <c r="BD1023" s="276">
        <f t="shared" si="931"/>
        <v>0</v>
      </c>
      <c r="BE1023" s="276">
        <f t="shared" si="932"/>
        <v>0</v>
      </c>
      <c r="BF1023" s="686">
        <f t="shared" si="933"/>
        <v>0</v>
      </c>
      <c r="BG1023" s="685" t="e">
        <f t="shared" si="934"/>
        <v>#DIV/0!</v>
      </c>
      <c r="BH1023" s="276" t="e">
        <f t="shared" si="935"/>
        <v>#DIV/0!</v>
      </c>
      <c r="BI1023" s="276" t="e">
        <f t="shared" si="936"/>
        <v>#DIV/0!</v>
      </c>
      <c r="BJ1023" s="276" t="e">
        <f t="shared" si="937"/>
        <v>#DIV/0!</v>
      </c>
      <c r="BK1023" s="276" t="e">
        <f t="shared" si="938"/>
        <v>#DIV/0!</v>
      </c>
      <c r="BL1023" s="686" t="e">
        <f t="shared" si="939"/>
        <v>#DIV/0!</v>
      </c>
      <c r="BM1023" s="239"/>
      <c r="BN1023" s="965" t="e">
        <f t="shared" si="940"/>
        <v>#VALUE!</v>
      </c>
      <c r="BO1023" s="878" t="e">
        <f t="shared" si="941"/>
        <v>#VALUE!</v>
      </c>
      <c r="BP1023" s="878" t="e">
        <f t="shared" si="942"/>
        <v>#VALUE!</v>
      </c>
      <c r="BQ1023" s="878" t="e">
        <f t="shared" si="943"/>
        <v>#VALUE!</v>
      </c>
      <c r="BR1023" s="878" t="e">
        <f t="shared" si="944"/>
        <v>#VALUE!</v>
      </c>
      <c r="BS1023" s="966" t="e">
        <f t="shared" si="945"/>
        <v>#VALUE!</v>
      </c>
    </row>
    <row r="1024" spans="1:71">
      <c r="A1024" s="284">
        <f t="shared" si="946"/>
        <v>956</v>
      </c>
      <c r="B1024" s="285">
        <v>1.0561776337043161</v>
      </c>
      <c r="C1024" s="285">
        <v>1.7774502875196418</v>
      </c>
      <c r="D1024" s="285">
        <v>3.4055985953343275</v>
      </c>
      <c r="E1024" s="285">
        <v>-24.764474683819284</v>
      </c>
      <c r="H1024" s="685">
        <f t="shared" si="892"/>
        <v>-7.7056208064738785E-2</v>
      </c>
      <c r="I1024" s="276">
        <f t="shared" si="893"/>
        <v>-2.3703480596020094</v>
      </c>
      <c r="J1024" s="276">
        <f t="shared" si="894"/>
        <v>1.4037087277020925</v>
      </c>
      <c r="K1024" s="276">
        <f t="shared" si="895"/>
        <v>-5.6644298003145543</v>
      </c>
      <c r="L1024" s="276">
        <f t="shared" si="896"/>
        <v>-2.2155910085296742</v>
      </c>
      <c r="M1024" s="276">
        <f t="shared" si="897"/>
        <v>-2.6469428702615785</v>
      </c>
      <c r="N1024" s="685">
        <f t="shared" si="898"/>
        <v>0.57027907654777343</v>
      </c>
      <c r="O1024" s="276">
        <f t="shared" si="899"/>
        <v>1.3705442373279693</v>
      </c>
      <c r="P1024" s="276">
        <f t="shared" si="900"/>
        <v>2.2810543936733838</v>
      </c>
      <c r="Q1024" s="276">
        <f t="shared" si="901"/>
        <v>1.3040642484576515</v>
      </c>
      <c r="R1024" s="276">
        <f t="shared" si="902"/>
        <v>1.0774011401013615</v>
      </c>
      <c r="S1024" s="686">
        <f t="shared" si="903"/>
        <v>1.6616102053049919</v>
      </c>
      <c r="T1024" s="685">
        <f t="shared" si="904"/>
        <v>6.6839622856052534</v>
      </c>
      <c r="U1024" s="276">
        <f t="shared" si="905"/>
        <v>2.4749785676205529</v>
      </c>
      <c r="V1024" s="276">
        <f t="shared" si="906"/>
        <v>2.8296943032279689</v>
      </c>
      <c r="W1024" s="276">
        <f t="shared" si="907"/>
        <v>3.3221806017265783</v>
      </c>
      <c r="X1024" s="276">
        <f t="shared" si="908"/>
        <v>4.8587100283352793</v>
      </c>
      <c r="Y1024" s="686">
        <f t="shared" si="909"/>
        <v>4.4413507546364848</v>
      </c>
      <c r="Z1024" s="685" t="e">
        <f t="shared" si="910"/>
        <v>#DIV/0!</v>
      </c>
      <c r="AA1024" s="276" t="e">
        <f t="shared" si="911"/>
        <v>#DIV/0!</v>
      </c>
      <c r="AB1024" s="276" t="e">
        <f t="shared" si="912"/>
        <v>#DIV/0!</v>
      </c>
      <c r="AC1024" s="276" t="e">
        <f t="shared" si="913"/>
        <v>#DIV/0!</v>
      </c>
      <c r="AD1024" s="276" t="e">
        <f t="shared" si="914"/>
        <v>#DIV/0!</v>
      </c>
      <c r="AE1024" s="686" t="e">
        <f t="shared" si="915"/>
        <v>#DIV/0!</v>
      </c>
      <c r="AF1024" s="239"/>
      <c r="AG1024" s="965" t="e">
        <f t="shared" si="886"/>
        <v>#VALUE!</v>
      </c>
      <c r="AH1024" s="878" t="e">
        <f t="shared" si="887"/>
        <v>#VALUE!</v>
      </c>
      <c r="AI1024" s="878" t="e">
        <f t="shared" si="888"/>
        <v>#VALUE!</v>
      </c>
      <c r="AJ1024" s="878" t="e">
        <f t="shared" si="889"/>
        <v>#VALUE!</v>
      </c>
      <c r="AK1024" s="878" t="e">
        <f t="shared" si="890"/>
        <v>#VALUE!</v>
      </c>
      <c r="AL1024" s="966" t="e">
        <f t="shared" si="891"/>
        <v>#VALUE!</v>
      </c>
      <c r="AM1024" s="239"/>
      <c r="AO1024" s="685">
        <f t="shared" si="916"/>
        <v>-7.7056208064738785E-2</v>
      </c>
      <c r="AP1024" s="276">
        <f t="shared" si="917"/>
        <v>-2.3703480596020094</v>
      </c>
      <c r="AQ1024" s="276">
        <f t="shared" si="918"/>
        <v>1.4037087277020925</v>
      </c>
      <c r="AR1024" s="276">
        <f t="shared" si="919"/>
        <v>-5.6644298003145543</v>
      </c>
      <c r="AS1024" s="276">
        <f t="shared" si="920"/>
        <v>-2.2155910085296742</v>
      </c>
      <c r="AT1024" s="276">
        <f t="shared" si="921"/>
        <v>-2.6469428702615785</v>
      </c>
      <c r="AU1024" s="685">
        <f t="shared" si="922"/>
        <v>0.57027907654777343</v>
      </c>
      <c r="AV1024" s="276">
        <f t="shared" si="923"/>
        <v>1.3705442373279693</v>
      </c>
      <c r="AW1024" s="276">
        <f t="shared" si="924"/>
        <v>2.2810543936733838</v>
      </c>
      <c r="AX1024" s="276">
        <f t="shared" si="925"/>
        <v>1.3040642484576515</v>
      </c>
      <c r="AY1024" s="276">
        <f t="shared" si="926"/>
        <v>1.0774011401013615</v>
      </c>
      <c r="AZ1024" s="686">
        <f t="shared" si="927"/>
        <v>1.6616102053049919</v>
      </c>
      <c r="BA1024" s="685">
        <f t="shared" si="928"/>
        <v>0</v>
      </c>
      <c r="BB1024" s="276">
        <f t="shared" si="929"/>
        <v>0</v>
      </c>
      <c r="BC1024" s="276">
        <f t="shared" si="930"/>
        <v>0</v>
      </c>
      <c r="BD1024" s="276">
        <f t="shared" si="931"/>
        <v>0</v>
      </c>
      <c r="BE1024" s="276">
        <f t="shared" si="932"/>
        <v>0</v>
      </c>
      <c r="BF1024" s="686">
        <f t="shared" si="933"/>
        <v>0</v>
      </c>
      <c r="BG1024" s="685" t="e">
        <f t="shared" si="934"/>
        <v>#DIV/0!</v>
      </c>
      <c r="BH1024" s="276" t="e">
        <f t="shared" si="935"/>
        <v>#DIV/0!</v>
      </c>
      <c r="BI1024" s="276" t="e">
        <f t="shared" si="936"/>
        <v>#DIV/0!</v>
      </c>
      <c r="BJ1024" s="276" t="e">
        <f t="shared" si="937"/>
        <v>#DIV/0!</v>
      </c>
      <c r="BK1024" s="276" t="e">
        <f t="shared" si="938"/>
        <v>#DIV/0!</v>
      </c>
      <c r="BL1024" s="686" t="e">
        <f t="shared" si="939"/>
        <v>#DIV/0!</v>
      </c>
      <c r="BM1024" s="239"/>
      <c r="BN1024" s="965" t="e">
        <f t="shared" si="940"/>
        <v>#VALUE!</v>
      </c>
      <c r="BO1024" s="878" t="e">
        <f t="shared" si="941"/>
        <v>#VALUE!</v>
      </c>
      <c r="BP1024" s="878" t="e">
        <f t="shared" si="942"/>
        <v>#VALUE!</v>
      </c>
      <c r="BQ1024" s="878" t="e">
        <f t="shared" si="943"/>
        <v>#VALUE!</v>
      </c>
      <c r="BR1024" s="878" t="e">
        <f t="shared" si="944"/>
        <v>#VALUE!</v>
      </c>
      <c r="BS1024" s="966" t="e">
        <f t="shared" si="945"/>
        <v>#VALUE!</v>
      </c>
    </row>
    <row r="1025" spans="1:71">
      <c r="A1025" s="284">
        <f t="shared" si="946"/>
        <v>957</v>
      </c>
      <c r="B1025" s="285">
        <v>-1.5042488738863566</v>
      </c>
      <c r="C1025" s="285">
        <v>2.7073215231392687</v>
      </c>
      <c r="D1025" s="285">
        <v>-0.2799555489064951</v>
      </c>
      <c r="E1025" s="285">
        <v>5.7471470387391967</v>
      </c>
      <c r="H1025" s="685">
        <f t="shared" si="892"/>
        <v>-2.6374827156554117</v>
      </c>
      <c r="I1025" s="276">
        <f t="shared" si="893"/>
        <v>-2.3000707664068614</v>
      </c>
      <c r="J1025" s="276">
        <f t="shared" si="894"/>
        <v>-4.4615602072067988</v>
      </c>
      <c r="K1025" s="276">
        <f t="shared" si="895"/>
        <v>0.9818489867839213</v>
      </c>
      <c r="L1025" s="276">
        <f t="shared" si="896"/>
        <v>3.8004425885226985</v>
      </c>
      <c r="M1025" s="276">
        <f t="shared" si="897"/>
        <v>1.6904987862649146</v>
      </c>
      <c r="N1025" s="685">
        <f t="shared" si="898"/>
        <v>1.5001503121674002</v>
      </c>
      <c r="O1025" s="276">
        <f t="shared" si="899"/>
        <v>1.0343121695722048</v>
      </c>
      <c r="P1025" s="276">
        <f t="shared" si="900"/>
        <v>1.3480484764802381</v>
      </c>
      <c r="Q1025" s="276">
        <f t="shared" si="901"/>
        <v>2.0069683869211925</v>
      </c>
      <c r="R1025" s="276">
        <f t="shared" si="902"/>
        <v>1.1409384622635372</v>
      </c>
      <c r="S1025" s="686">
        <f t="shared" si="903"/>
        <v>1.4840759325181512</v>
      </c>
      <c r="T1025" s="685">
        <f t="shared" si="904"/>
        <v>2.9984081413644308</v>
      </c>
      <c r="U1025" s="276">
        <f t="shared" si="905"/>
        <v>5.2305534443770894</v>
      </c>
      <c r="V1025" s="276">
        <f t="shared" si="906"/>
        <v>4.3122681760390975</v>
      </c>
      <c r="W1025" s="276">
        <f t="shared" si="907"/>
        <v>4.4002870069532296</v>
      </c>
      <c r="X1025" s="276">
        <f t="shared" si="908"/>
        <v>6.8483876371206609</v>
      </c>
      <c r="Y1025" s="686">
        <f t="shared" si="909"/>
        <v>4.6710544229506503</v>
      </c>
      <c r="Z1025" s="685" t="e">
        <f t="shared" si="910"/>
        <v>#DIV/0!</v>
      </c>
      <c r="AA1025" s="276" t="e">
        <f t="shared" si="911"/>
        <v>#DIV/0!</v>
      </c>
      <c r="AB1025" s="276" t="e">
        <f t="shared" si="912"/>
        <v>#DIV/0!</v>
      </c>
      <c r="AC1025" s="276" t="e">
        <f t="shared" si="913"/>
        <v>#DIV/0!</v>
      </c>
      <c r="AD1025" s="276" t="e">
        <f t="shared" si="914"/>
        <v>#DIV/0!</v>
      </c>
      <c r="AE1025" s="686" t="e">
        <f t="shared" si="915"/>
        <v>#DIV/0!</v>
      </c>
      <c r="AF1025" s="239"/>
      <c r="AG1025" s="965" t="e">
        <f t="shared" si="886"/>
        <v>#VALUE!</v>
      </c>
      <c r="AH1025" s="878" t="e">
        <f t="shared" si="887"/>
        <v>#VALUE!</v>
      </c>
      <c r="AI1025" s="878" t="e">
        <f t="shared" si="888"/>
        <v>#VALUE!</v>
      </c>
      <c r="AJ1025" s="878" t="e">
        <f t="shared" si="889"/>
        <v>#VALUE!</v>
      </c>
      <c r="AK1025" s="878" t="e">
        <f t="shared" si="890"/>
        <v>#VALUE!</v>
      </c>
      <c r="AL1025" s="966" t="e">
        <f t="shared" si="891"/>
        <v>#VALUE!</v>
      </c>
      <c r="AM1025" s="239"/>
      <c r="AO1025" s="685">
        <f t="shared" si="916"/>
        <v>-2.6374827156554117</v>
      </c>
      <c r="AP1025" s="276">
        <f t="shared" si="917"/>
        <v>-2.3000707664068614</v>
      </c>
      <c r="AQ1025" s="276">
        <f t="shared" si="918"/>
        <v>-4.4615602072067988</v>
      </c>
      <c r="AR1025" s="276">
        <f t="shared" si="919"/>
        <v>0.9818489867839213</v>
      </c>
      <c r="AS1025" s="276">
        <f t="shared" si="920"/>
        <v>3.8004425885226985</v>
      </c>
      <c r="AT1025" s="276">
        <f t="shared" si="921"/>
        <v>1.6904987862649146</v>
      </c>
      <c r="AU1025" s="685">
        <f t="shared" si="922"/>
        <v>1.5001503121674002</v>
      </c>
      <c r="AV1025" s="276">
        <f t="shared" si="923"/>
        <v>1.0343121695722048</v>
      </c>
      <c r="AW1025" s="276">
        <f t="shared" si="924"/>
        <v>1.3480484764802381</v>
      </c>
      <c r="AX1025" s="276">
        <f t="shared" si="925"/>
        <v>2.0069683869211925</v>
      </c>
      <c r="AY1025" s="276">
        <f t="shared" si="926"/>
        <v>1.1409384622635372</v>
      </c>
      <c r="AZ1025" s="686">
        <f t="shared" si="927"/>
        <v>1.4840759325181512</v>
      </c>
      <c r="BA1025" s="685">
        <f t="shared" si="928"/>
        <v>0</v>
      </c>
      <c r="BB1025" s="276">
        <f t="shared" si="929"/>
        <v>0</v>
      </c>
      <c r="BC1025" s="276">
        <f t="shared" si="930"/>
        <v>0</v>
      </c>
      <c r="BD1025" s="276">
        <f t="shared" si="931"/>
        <v>0</v>
      </c>
      <c r="BE1025" s="276">
        <f t="shared" si="932"/>
        <v>0</v>
      </c>
      <c r="BF1025" s="686">
        <f t="shared" si="933"/>
        <v>0</v>
      </c>
      <c r="BG1025" s="685" t="e">
        <f t="shared" si="934"/>
        <v>#DIV/0!</v>
      </c>
      <c r="BH1025" s="276" t="e">
        <f t="shared" si="935"/>
        <v>#DIV/0!</v>
      </c>
      <c r="BI1025" s="276" t="e">
        <f t="shared" si="936"/>
        <v>#DIV/0!</v>
      </c>
      <c r="BJ1025" s="276" t="e">
        <f t="shared" si="937"/>
        <v>#DIV/0!</v>
      </c>
      <c r="BK1025" s="276" t="e">
        <f t="shared" si="938"/>
        <v>#DIV/0!</v>
      </c>
      <c r="BL1025" s="686" t="e">
        <f t="shared" si="939"/>
        <v>#DIV/0!</v>
      </c>
      <c r="BM1025" s="239"/>
      <c r="BN1025" s="965" t="e">
        <f t="shared" si="940"/>
        <v>#VALUE!</v>
      </c>
      <c r="BO1025" s="878" t="e">
        <f t="shared" si="941"/>
        <v>#VALUE!</v>
      </c>
      <c r="BP1025" s="878" t="e">
        <f t="shared" si="942"/>
        <v>#VALUE!</v>
      </c>
      <c r="BQ1025" s="878" t="e">
        <f t="shared" si="943"/>
        <v>#VALUE!</v>
      </c>
      <c r="BR1025" s="878" t="e">
        <f t="shared" si="944"/>
        <v>#VALUE!</v>
      </c>
      <c r="BS1025" s="966" t="e">
        <f t="shared" si="945"/>
        <v>#VALUE!</v>
      </c>
    </row>
    <row r="1026" spans="1:71">
      <c r="A1026" s="284">
        <f t="shared" si="946"/>
        <v>958</v>
      </c>
      <c r="B1026" s="285">
        <v>-0.780645262152459</v>
      </c>
      <c r="C1026" s="285">
        <v>2.1084215468780152</v>
      </c>
      <c r="D1026" s="285">
        <v>2.5071848292972732</v>
      </c>
      <c r="E1026" s="285">
        <v>-5.6970847051844338</v>
      </c>
      <c r="H1026" s="685">
        <f t="shared" si="892"/>
        <v>-1.9138791039215137</v>
      </c>
      <c r="I1026" s="276">
        <f t="shared" si="893"/>
        <v>0.44719285857279822</v>
      </c>
      <c r="J1026" s="276">
        <f t="shared" si="894"/>
        <v>-0.21710246784267739</v>
      </c>
      <c r="K1026" s="276">
        <f t="shared" si="895"/>
        <v>1.5728490954264907</v>
      </c>
      <c r="L1026" s="276">
        <f t="shared" si="896"/>
        <v>-2.4557498429509899</v>
      </c>
      <c r="M1026" s="276">
        <f t="shared" si="897"/>
        <v>0.55668538233354736</v>
      </c>
      <c r="N1026" s="685">
        <f t="shared" si="898"/>
        <v>0.90125033590614678</v>
      </c>
      <c r="O1026" s="276">
        <f t="shared" si="899"/>
        <v>1.3499139322574234</v>
      </c>
      <c r="P1026" s="276">
        <f t="shared" si="900"/>
        <v>1.9492254402551901</v>
      </c>
      <c r="Q1026" s="276">
        <f t="shared" si="901"/>
        <v>2.0417874546882997</v>
      </c>
      <c r="R1026" s="276">
        <f t="shared" si="902"/>
        <v>0.78282572292975483</v>
      </c>
      <c r="S1026" s="686">
        <f t="shared" si="903"/>
        <v>0.97851584593714347</v>
      </c>
      <c r="T1026" s="685">
        <f t="shared" si="904"/>
        <v>5.7855485195681986</v>
      </c>
      <c r="U1026" s="276">
        <f t="shared" si="905"/>
        <v>5.0822687563646927</v>
      </c>
      <c r="V1026" s="276">
        <f t="shared" si="906"/>
        <v>4.3075324556827352</v>
      </c>
      <c r="W1026" s="276">
        <f t="shared" si="907"/>
        <v>4.3504474215285178</v>
      </c>
      <c r="X1026" s="276">
        <f t="shared" si="908"/>
        <v>4.0491344996370895</v>
      </c>
      <c r="Y1026" s="686">
        <f t="shared" si="909"/>
        <v>5.0121435920641879</v>
      </c>
      <c r="Z1026" s="685" t="e">
        <f t="shared" si="910"/>
        <v>#DIV/0!</v>
      </c>
      <c r="AA1026" s="276" t="e">
        <f t="shared" si="911"/>
        <v>#DIV/0!</v>
      </c>
      <c r="AB1026" s="276" t="e">
        <f t="shared" si="912"/>
        <v>#DIV/0!</v>
      </c>
      <c r="AC1026" s="276" t="e">
        <f t="shared" si="913"/>
        <v>#DIV/0!</v>
      </c>
      <c r="AD1026" s="276" t="e">
        <f t="shared" si="914"/>
        <v>#DIV/0!</v>
      </c>
      <c r="AE1026" s="686" t="e">
        <f t="shared" si="915"/>
        <v>#DIV/0!</v>
      </c>
      <c r="AF1026" s="239"/>
      <c r="AG1026" s="965" t="e">
        <f t="shared" si="886"/>
        <v>#VALUE!</v>
      </c>
      <c r="AH1026" s="878" t="e">
        <f t="shared" si="887"/>
        <v>#VALUE!</v>
      </c>
      <c r="AI1026" s="878" t="e">
        <f t="shared" si="888"/>
        <v>#VALUE!</v>
      </c>
      <c r="AJ1026" s="878" t="e">
        <f t="shared" si="889"/>
        <v>#VALUE!</v>
      </c>
      <c r="AK1026" s="878" t="e">
        <f t="shared" si="890"/>
        <v>#VALUE!</v>
      </c>
      <c r="AL1026" s="966" t="e">
        <f t="shared" si="891"/>
        <v>#VALUE!</v>
      </c>
      <c r="AM1026" s="239"/>
      <c r="AO1026" s="685">
        <f t="shared" si="916"/>
        <v>-1.9138791039215137</v>
      </c>
      <c r="AP1026" s="276">
        <f t="shared" si="917"/>
        <v>0.44719285857279822</v>
      </c>
      <c r="AQ1026" s="276">
        <f t="shared" si="918"/>
        <v>-0.21710246784267739</v>
      </c>
      <c r="AR1026" s="276">
        <f t="shared" si="919"/>
        <v>1.5728490954264907</v>
      </c>
      <c r="AS1026" s="276">
        <f t="shared" si="920"/>
        <v>-2.4557498429509899</v>
      </c>
      <c r="AT1026" s="276">
        <f t="shared" si="921"/>
        <v>0.55668538233354736</v>
      </c>
      <c r="AU1026" s="685">
        <f t="shared" si="922"/>
        <v>0.90125033590614678</v>
      </c>
      <c r="AV1026" s="276">
        <f t="shared" si="923"/>
        <v>1.3499139322574234</v>
      </c>
      <c r="AW1026" s="276">
        <f t="shared" si="924"/>
        <v>1.9492254402551901</v>
      </c>
      <c r="AX1026" s="276">
        <f t="shared" si="925"/>
        <v>2.0417874546882997</v>
      </c>
      <c r="AY1026" s="276">
        <f t="shared" si="926"/>
        <v>0.78282572292975483</v>
      </c>
      <c r="AZ1026" s="686">
        <f t="shared" si="927"/>
        <v>0.97851584593714347</v>
      </c>
      <c r="BA1026" s="685">
        <f t="shared" si="928"/>
        <v>0</v>
      </c>
      <c r="BB1026" s="276">
        <f t="shared" si="929"/>
        <v>0</v>
      </c>
      <c r="BC1026" s="276">
        <f t="shared" si="930"/>
        <v>0</v>
      </c>
      <c r="BD1026" s="276">
        <f t="shared" si="931"/>
        <v>0</v>
      </c>
      <c r="BE1026" s="276">
        <f t="shared" si="932"/>
        <v>0</v>
      </c>
      <c r="BF1026" s="686">
        <f t="shared" si="933"/>
        <v>0</v>
      </c>
      <c r="BG1026" s="685" t="e">
        <f t="shared" si="934"/>
        <v>#DIV/0!</v>
      </c>
      <c r="BH1026" s="276" t="e">
        <f t="shared" si="935"/>
        <v>#DIV/0!</v>
      </c>
      <c r="BI1026" s="276" t="e">
        <f t="shared" si="936"/>
        <v>#DIV/0!</v>
      </c>
      <c r="BJ1026" s="276" t="e">
        <f t="shared" si="937"/>
        <v>#DIV/0!</v>
      </c>
      <c r="BK1026" s="276" t="e">
        <f t="shared" si="938"/>
        <v>#DIV/0!</v>
      </c>
      <c r="BL1026" s="686" t="e">
        <f t="shared" si="939"/>
        <v>#DIV/0!</v>
      </c>
      <c r="BM1026" s="239"/>
      <c r="BN1026" s="965" t="e">
        <f t="shared" si="940"/>
        <v>#VALUE!</v>
      </c>
      <c r="BO1026" s="878" t="e">
        <f t="shared" si="941"/>
        <v>#VALUE!</v>
      </c>
      <c r="BP1026" s="878" t="e">
        <f t="shared" si="942"/>
        <v>#VALUE!</v>
      </c>
      <c r="BQ1026" s="878" t="e">
        <f t="shared" si="943"/>
        <v>#VALUE!</v>
      </c>
      <c r="BR1026" s="878" t="e">
        <f t="shared" si="944"/>
        <v>#VALUE!</v>
      </c>
      <c r="BS1026" s="966" t="e">
        <f t="shared" si="945"/>
        <v>#VALUE!</v>
      </c>
    </row>
    <row r="1027" spans="1:71">
      <c r="A1027" s="284">
        <f t="shared" si="946"/>
        <v>959</v>
      </c>
      <c r="B1027" s="285">
        <v>-0.84975883025013477</v>
      </c>
      <c r="C1027" s="285">
        <v>2.3566481758935476</v>
      </c>
      <c r="D1027" s="285">
        <v>3.3615294033802967</v>
      </c>
      <c r="E1027" s="285">
        <v>-14.990452145576054</v>
      </c>
      <c r="H1027" s="685">
        <f t="shared" si="892"/>
        <v>-1.9829926720191895</v>
      </c>
      <c r="I1027" s="276">
        <f t="shared" si="893"/>
        <v>-2.4228645351388183</v>
      </c>
      <c r="J1027" s="276">
        <f t="shared" si="894"/>
        <v>-1.8512064255662839</v>
      </c>
      <c r="K1027" s="276">
        <f t="shared" si="895"/>
        <v>-3.3075494141648738</v>
      </c>
      <c r="L1027" s="276">
        <f t="shared" si="896"/>
        <v>-1.1690830097696352</v>
      </c>
      <c r="M1027" s="276">
        <f t="shared" si="897"/>
        <v>-1.2750919128997606</v>
      </c>
      <c r="N1027" s="685">
        <f t="shared" si="898"/>
        <v>1.1494769649216792</v>
      </c>
      <c r="O1027" s="276">
        <f t="shared" si="899"/>
        <v>0.59137633327449035</v>
      </c>
      <c r="P1027" s="276">
        <f t="shared" si="900"/>
        <v>0.86828222131616628</v>
      </c>
      <c r="Q1027" s="276">
        <f t="shared" si="901"/>
        <v>1.7859542944816835</v>
      </c>
      <c r="R1027" s="276">
        <f t="shared" si="902"/>
        <v>1.1656784067256811</v>
      </c>
      <c r="S1027" s="686">
        <f t="shared" si="903"/>
        <v>1.0262652387005142</v>
      </c>
      <c r="T1027" s="685">
        <f t="shared" si="904"/>
        <v>6.6398930936512226</v>
      </c>
      <c r="U1027" s="276">
        <f t="shared" si="905"/>
        <v>4.7841953941934214</v>
      </c>
      <c r="V1027" s="276">
        <f t="shared" si="906"/>
        <v>3.9334077951445896</v>
      </c>
      <c r="W1027" s="276">
        <f t="shared" si="907"/>
        <v>5.4533014047993564</v>
      </c>
      <c r="X1027" s="276">
        <f t="shared" si="908"/>
        <v>2.4971594353341482</v>
      </c>
      <c r="Y1027" s="686">
        <f t="shared" si="909"/>
        <v>4.966699594961991</v>
      </c>
      <c r="Z1027" s="685" t="e">
        <f t="shared" si="910"/>
        <v>#DIV/0!</v>
      </c>
      <c r="AA1027" s="276" t="e">
        <f t="shared" si="911"/>
        <v>#DIV/0!</v>
      </c>
      <c r="AB1027" s="276" t="e">
        <f t="shared" si="912"/>
        <v>#DIV/0!</v>
      </c>
      <c r="AC1027" s="276" t="e">
        <f t="shared" si="913"/>
        <v>#DIV/0!</v>
      </c>
      <c r="AD1027" s="276" t="e">
        <f t="shared" si="914"/>
        <v>#DIV/0!</v>
      </c>
      <c r="AE1027" s="686" t="e">
        <f t="shared" si="915"/>
        <v>#DIV/0!</v>
      </c>
      <c r="AF1027" s="239"/>
      <c r="AG1027" s="965" t="e">
        <f t="shared" si="886"/>
        <v>#VALUE!</v>
      </c>
      <c r="AH1027" s="878" t="e">
        <f t="shared" si="887"/>
        <v>#VALUE!</v>
      </c>
      <c r="AI1027" s="878" t="e">
        <f t="shared" si="888"/>
        <v>#VALUE!</v>
      </c>
      <c r="AJ1027" s="878" t="e">
        <f t="shared" si="889"/>
        <v>#VALUE!</v>
      </c>
      <c r="AK1027" s="878" t="e">
        <f t="shared" si="890"/>
        <v>#VALUE!</v>
      </c>
      <c r="AL1027" s="966" t="e">
        <f t="shared" si="891"/>
        <v>#VALUE!</v>
      </c>
      <c r="AM1027" s="239"/>
      <c r="AO1027" s="685">
        <f t="shared" si="916"/>
        <v>-1.9829926720191895</v>
      </c>
      <c r="AP1027" s="276">
        <f t="shared" si="917"/>
        <v>-2.4228645351388183</v>
      </c>
      <c r="AQ1027" s="276">
        <f t="shared" si="918"/>
        <v>-1.8512064255662839</v>
      </c>
      <c r="AR1027" s="276">
        <f t="shared" si="919"/>
        <v>-3.3075494141648738</v>
      </c>
      <c r="AS1027" s="276">
        <f t="shared" si="920"/>
        <v>-1.1690830097696352</v>
      </c>
      <c r="AT1027" s="276">
        <f t="shared" si="921"/>
        <v>-1.2750919128997606</v>
      </c>
      <c r="AU1027" s="685">
        <f t="shared" si="922"/>
        <v>1.1494769649216792</v>
      </c>
      <c r="AV1027" s="276">
        <f t="shared" si="923"/>
        <v>0.59137633327449035</v>
      </c>
      <c r="AW1027" s="276">
        <f t="shared" si="924"/>
        <v>0.86828222131616628</v>
      </c>
      <c r="AX1027" s="276">
        <f t="shared" si="925"/>
        <v>1.7859542944816835</v>
      </c>
      <c r="AY1027" s="276">
        <f t="shared" si="926"/>
        <v>1.1656784067256811</v>
      </c>
      <c r="AZ1027" s="686">
        <f t="shared" si="927"/>
        <v>1.0262652387005142</v>
      </c>
      <c r="BA1027" s="685">
        <f t="shared" si="928"/>
        <v>0</v>
      </c>
      <c r="BB1027" s="276">
        <f t="shared" si="929"/>
        <v>0</v>
      </c>
      <c r="BC1027" s="276">
        <f t="shared" si="930"/>
        <v>0</v>
      </c>
      <c r="BD1027" s="276">
        <f t="shared" si="931"/>
        <v>0</v>
      </c>
      <c r="BE1027" s="276">
        <f t="shared" si="932"/>
        <v>0</v>
      </c>
      <c r="BF1027" s="686">
        <f t="shared" si="933"/>
        <v>0</v>
      </c>
      <c r="BG1027" s="685" t="e">
        <f t="shared" si="934"/>
        <v>#DIV/0!</v>
      </c>
      <c r="BH1027" s="276" t="e">
        <f t="shared" si="935"/>
        <v>#DIV/0!</v>
      </c>
      <c r="BI1027" s="276" t="e">
        <f t="shared" si="936"/>
        <v>#DIV/0!</v>
      </c>
      <c r="BJ1027" s="276" t="e">
        <f t="shared" si="937"/>
        <v>#DIV/0!</v>
      </c>
      <c r="BK1027" s="276" t="e">
        <f t="shared" si="938"/>
        <v>#DIV/0!</v>
      </c>
      <c r="BL1027" s="686" t="e">
        <f t="shared" si="939"/>
        <v>#DIV/0!</v>
      </c>
      <c r="BM1027" s="239"/>
      <c r="BN1027" s="965" t="e">
        <f t="shared" si="940"/>
        <v>#VALUE!</v>
      </c>
      <c r="BO1027" s="878" t="e">
        <f t="shared" si="941"/>
        <v>#VALUE!</v>
      </c>
      <c r="BP1027" s="878" t="e">
        <f t="shared" si="942"/>
        <v>#VALUE!</v>
      </c>
      <c r="BQ1027" s="878" t="e">
        <f t="shared" si="943"/>
        <v>#VALUE!</v>
      </c>
      <c r="BR1027" s="878" t="e">
        <f t="shared" si="944"/>
        <v>#VALUE!</v>
      </c>
      <c r="BS1027" s="966" t="e">
        <f t="shared" si="945"/>
        <v>#VALUE!</v>
      </c>
    </row>
    <row r="1028" spans="1:71">
      <c r="A1028" s="284">
        <f t="shared" si="946"/>
        <v>960</v>
      </c>
      <c r="B1028" s="285">
        <v>3.0790587387275874</v>
      </c>
      <c r="C1028" s="285">
        <v>3.2040793148929043</v>
      </c>
      <c r="D1028" s="285">
        <v>1.0860998255156895</v>
      </c>
      <c r="E1028" s="285">
        <v>14.227184092042801</v>
      </c>
      <c r="H1028" s="685">
        <f t="shared" si="892"/>
        <v>1.9458248969585326</v>
      </c>
      <c r="I1028" s="276">
        <f t="shared" si="893"/>
        <v>-2.6791235371113542</v>
      </c>
      <c r="J1028" s="276">
        <f t="shared" si="894"/>
        <v>-2.3732075704663398</v>
      </c>
      <c r="K1028" s="276">
        <f t="shared" si="895"/>
        <v>-1.5919949100542237</v>
      </c>
      <c r="L1028" s="276">
        <f t="shared" si="896"/>
        <v>-3.9767580700409688</v>
      </c>
      <c r="M1028" s="276">
        <f t="shared" si="897"/>
        <v>0.85792286532169748</v>
      </c>
      <c r="N1028" s="685">
        <f t="shared" si="898"/>
        <v>1.9969081039210359</v>
      </c>
      <c r="O1028" s="276">
        <f t="shared" si="899"/>
        <v>0.67496044279439693</v>
      </c>
      <c r="P1028" s="276">
        <f t="shared" si="900"/>
        <v>1.4486351174329155</v>
      </c>
      <c r="Q1028" s="276">
        <f t="shared" si="901"/>
        <v>2.1409415392135518</v>
      </c>
      <c r="R1028" s="276">
        <f t="shared" si="902"/>
        <v>1.1617393792812056</v>
      </c>
      <c r="S1028" s="686">
        <f t="shared" si="903"/>
        <v>1.4675147328510072</v>
      </c>
      <c r="T1028" s="685">
        <f t="shared" si="904"/>
        <v>4.3644635157866158</v>
      </c>
      <c r="U1028" s="276">
        <f t="shared" si="905"/>
        <v>2.6204672256711294</v>
      </c>
      <c r="V1028" s="276">
        <f t="shared" si="906"/>
        <v>3.9367388437544157</v>
      </c>
      <c r="W1028" s="276">
        <f t="shared" si="907"/>
        <v>2.9020032424249029</v>
      </c>
      <c r="X1028" s="276">
        <f t="shared" si="908"/>
        <v>3.7381505805457262</v>
      </c>
      <c r="Y1028" s="686">
        <f t="shared" si="909"/>
        <v>4.5100947635647355</v>
      </c>
      <c r="Z1028" s="685" t="e">
        <f t="shared" si="910"/>
        <v>#DIV/0!</v>
      </c>
      <c r="AA1028" s="276" t="e">
        <f t="shared" si="911"/>
        <v>#DIV/0!</v>
      </c>
      <c r="AB1028" s="276" t="e">
        <f t="shared" si="912"/>
        <v>#DIV/0!</v>
      </c>
      <c r="AC1028" s="276" t="e">
        <f t="shared" si="913"/>
        <v>#DIV/0!</v>
      </c>
      <c r="AD1028" s="276" t="e">
        <f t="shared" si="914"/>
        <v>#DIV/0!</v>
      </c>
      <c r="AE1028" s="686" t="e">
        <f t="shared" si="915"/>
        <v>#DIV/0!</v>
      </c>
      <c r="AF1028" s="239"/>
      <c r="AG1028" s="965" t="e">
        <f t="shared" si="886"/>
        <v>#VALUE!</v>
      </c>
      <c r="AH1028" s="878" t="e">
        <f t="shared" si="887"/>
        <v>#VALUE!</v>
      </c>
      <c r="AI1028" s="878" t="e">
        <f t="shared" si="888"/>
        <v>#VALUE!</v>
      </c>
      <c r="AJ1028" s="878" t="e">
        <f t="shared" si="889"/>
        <v>#VALUE!</v>
      </c>
      <c r="AK1028" s="878" t="e">
        <f t="shared" si="890"/>
        <v>#VALUE!</v>
      </c>
      <c r="AL1028" s="966" t="e">
        <f t="shared" si="891"/>
        <v>#VALUE!</v>
      </c>
      <c r="AM1028" s="239"/>
      <c r="AO1028" s="685">
        <f t="shared" si="916"/>
        <v>1.9458248969585326</v>
      </c>
      <c r="AP1028" s="276">
        <f t="shared" si="917"/>
        <v>-2.6791235371113542</v>
      </c>
      <c r="AQ1028" s="276">
        <f t="shared" si="918"/>
        <v>-2.3732075704663398</v>
      </c>
      <c r="AR1028" s="276">
        <f t="shared" si="919"/>
        <v>-1.5919949100542237</v>
      </c>
      <c r="AS1028" s="276">
        <f t="shared" si="920"/>
        <v>-3.9767580700409688</v>
      </c>
      <c r="AT1028" s="276">
        <f t="shared" si="921"/>
        <v>0.85792286532169748</v>
      </c>
      <c r="AU1028" s="685">
        <f t="shared" si="922"/>
        <v>1.9969081039210359</v>
      </c>
      <c r="AV1028" s="276">
        <f t="shared" si="923"/>
        <v>0.67496044279439693</v>
      </c>
      <c r="AW1028" s="276">
        <f t="shared" si="924"/>
        <v>1.4486351174329155</v>
      </c>
      <c r="AX1028" s="276">
        <f t="shared" si="925"/>
        <v>2.1409415392135518</v>
      </c>
      <c r="AY1028" s="276">
        <f t="shared" si="926"/>
        <v>1.1617393792812056</v>
      </c>
      <c r="AZ1028" s="686">
        <f t="shared" si="927"/>
        <v>1.4675147328510072</v>
      </c>
      <c r="BA1028" s="685">
        <f t="shared" si="928"/>
        <v>0</v>
      </c>
      <c r="BB1028" s="276">
        <f t="shared" si="929"/>
        <v>0</v>
      </c>
      <c r="BC1028" s="276">
        <f t="shared" si="930"/>
        <v>0</v>
      </c>
      <c r="BD1028" s="276">
        <f t="shared" si="931"/>
        <v>0</v>
      </c>
      <c r="BE1028" s="276">
        <f t="shared" si="932"/>
        <v>0</v>
      </c>
      <c r="BF1028" s="686">
        <f t="shared" si="933"/>
        <v>0</v>
      </c>
      <c r="BG1028" s="685" t="e">
        <f t="shared" si="934"/>
        <v>#DIV/0!</v>
      </c>
      <c r="BH1028" s="276" t="e">
        <f t="shared" si="935"/>
        <v>#DIV/0!</v>
      </c>
      <c r="BI1028" s="276" t="e">
        <f t="shared" si="936"/>
        <v>#DIV/0!</v>
      </c>
      <c r="BJ1028" s="276" t="e">
        <f t="shared" si="937"/>
        <v>#DIV/0!</v>
      </c>
      <c r="BK1028" s="276" t="e">
        <f t="shared" si="938"/>
        <v>#DIV/0!</v>
      </c>
      <c r="BL1028" s="686" t="e">
        <f t="shared" si="939"/>
        <v>#DIV/0!</v>
      </c>
      <c r="BM1028" s="239"/>
      <c r="BN1028" s="965" t="e">
        <f t="shared" si="940"/>
        <v>#VALUE!</v>
      </c>
      <c r="BO1028" s="878" t="e">
        <f t="shared" si="941"/>
        <v>#VALUE!</v>
      </c>
      <c r="BP1028" s="878" t="e">
        <f t="shared" si="942"/>
        <v>#VALUE!</v>
      </c>
      <c r="BQ1028" s="878" t="e">
        <f t="shared" si="943"/>
        <v>#VALUE!</v>
      </c>
      <c r="BR1028" s="878" t="e">
        <f t="shared" si="944"/>
        <v>#VALUE!</v>
      </c>
      <c r="BS1028" s="966" t="e">
        <f t="shared" si="945"/>
        <v>#VALUE!</v>
      </c>
    </row>
    <row r="1029" spans="1:71">
      <c r="A1029" s="284">
        <f t="shared" si="946"/>
        <v>961</v>
      </c>
      <c r="B1029" s="285">
        <v>1.1445462451783326</v>
      </c>
      <c r="C1029" s="285">
        <v>3.6944146494871926</v>
      </c>
      <c r="D1029" s="285">
        <v>-0.40818206767641385</v>
      </c>
      <c r="E1029" s="285">
        <v>20.845929037415669</v>
      </c>
      <c r="H1029" s="685">
        <f t="shared" si="892"/>
        <v>1.1312403409277749E-2</v>
      </c>
      <c r="I1029" s="276">
        <f t="shared" si="893"/>
        <v>-0.75266800723183325</v>
      </c>
      <c r="J1029" s="276">
        <f t="shared" si="894"/>
        <v>0.35722246616842424</v>
      </c>
      <c r="K1029" s="276">
        <f t="shared" si="895"/>
        <v>-0.63826462479677959</v>
      </c>
      <c r="L1029" s="276">
        <f t="shared" si="896"/>
        <v>-2.2580292484567206</v>
      </c>
      <c r="M1029" s="276">
        <f t="shared" si="897"/>
        <v>-3.614020693143229</v>
      </c>
      <c r="N1029" s="685">
        <f t="shared" si="898"/>
        <v>2.4872434385153239</v>
      </c>
      <c r="O1029" s="276">
        <f t="shared" si="899"/>
        <v>1.1084327472951989</v>
      </c>
      <c r="P1029" s="276">
        <f t="shared" si="900"/>
        <v>0.84727705772820694</v>
      </c>
      <c r="Q1029" s="276">
        <f t="shared" si="901"/>
        <v>1.1800530990957301</v>
      </c>
      <c r="R1029" s="276">
        <f t="shared" si="902"/>
        <v>1.5779163930618954</v>
      </c>
      <c r="S1029" s="686">
        <f t="shared" si="903"/>
        <v>1.5544307725117641</v>
      </c>
      <c r="T1029" s="685">
        <f t="shared" si="904"/>
        <v>2.870181622594512</v>
      </c>
      <c r="U1029" s="276">
        <f t="shared" si="905"/>
        <v>3.7789408883307378</v>
      </c>
      <c r="V1029" s="276">
        <f t="shared" si="906"/>
        <v>4.6960349121483942</v>
      </c>
      <c r="W1029" s="276">
        <f t="shared" si="907"/>
        <v>4.1700916535663328</v>
      </c>
      <c r="X1029" s="276">
        <f t="shared" si="908"/>
        <v>5.8058132676753864</v>
      </c>
      <c r="Y1029" s="686">
        <f t="shared" si="909"/>
        <v>2.7733915964363218</v>
      </c>
      <c r="Z1029" s="685" t="e">
        <f t="shared" si="910"/>
        <v>#DIV/0!</v>
      </c>
      <c r="AA1029" s="276" t="e">
        <f t="shared" si="911"/>
        <v>#DIV/0!</v>
      </c>
      <c r="AB1029" s="276" t="e">
        <f t="shared" si="912"/>
        <v>#DIV/0!</v>
      </c>
      <c r="AC1029" s="276" t="e">
        <f t="shared" si="913"/>
        <v>#DIV/0!</v>
      </c>
      <c r="AD1029" s="276" t="e">
        <f t="shared" si="914"/>
        <v>#DIV/0!</v>
      </c>
      <c r="AE1029" s="686" t="e">
        <f t="shared" si="915"/>
        <v>#DIV/0!</v>
      </c>
      <c r="AF1029" s="239"/>
      <c r="AG1029" s="965" t="e">
        <f t="shared" ref="AG1029:AG1068" si="947">S$53*(1+(T$55+N1029)/100)*((1-S$62)+S$62*((1+(T$57+Z1029)/100)))/(1+(T$54+H1029)/100)-(T$56+T1029)+T$58</f>
        <v>#VALUE!</v>
      </c>
      <c r="AH1029" s="878" t="e">
        <f t="shared" ref="AH1029:AH1068" si="948">AG1029*(1+(U$55+O1029)/100)*((1-T$62)+T$62*((1+(U$57+AA1029)/100)))/(1+(U$54+I1029)/100)-(U$56+U1029)+U$58</f>
        <v>#VALUE!</v>
      </c>
      <c r="AI1029" s="878" t="e">
        <f t="shared" ref="AI1029:AI1068" si="949">AH1029*(1+(V$55+P1029)/100)*((1-U$62)+U$62*((1+(V$57+AB1029)/100)))/(1+(V$54+J1029)/100)-(V$56+V1029)+V$58</f>
        <v>#VALUE!</v>
      </c>
      <c r="AJ1029" s="878" t="e">
        <f t="shared" ref="AJ1029:AJ1068" si="950">AI1029*(1+(W$55+Q1029)/100)*((1-V$62)+V$62*((1+(W$57+AC1029)/100)))/(1+(W$54+K1029)/100)-(W$56+W1029)+W$58</f>
        <v>#VALUE!</v>
      </c>
      <c r="AK1029" s="878" t="e">
        <f t="shared" ref="AK1029:AK1068" si="951">AJ1029*(1+(X$55+R1029)/100)*((1-W$62)+W$62*((1+(X$57+AD1029)/100)))/(1+(X$54+L1029)/100)-(X$56+X1029)+X$58</f>
        <v>#VALUE!</v>
      </c>
      <c r="AL1029" s="966" t="e">
        <f t="shared" ref="AL1029:AL1068" si="952">AK1029*(1+(Y$55+S1029)/100)*((1-X$62)+X$62*((1+(Y$57+AE1029)/100)))/(1+(Y$54+M1029)/100)-(Y$56+Y1029)+Y$58</f>
        <v>#VALUE!</v>
      </c>
      <c r="AM1029" s="239"/>
      <c r="AO1029" s="685">
        <f t="shared" si="916"/>
        <v>1.1312403409277749E-2</v>
      </c>
      <c r="AP1029" s="276">
        <f t="shared" si="917"/>
        <v>-0.75266800723183325</v>
      </c>
      <c r="AQ1029" s="276">
        <f t="shared" si="918"/>
        <v>0.35722246616842424</v>
      </c>
      <c r="AR1029" s="276">
        <f t="shared" si="919"/>
        <v>-0.63826462479677959</v>
      </c>
      <c r="AS1029" s="276">
        <f t="shared" si="920"/>
        <v>-2.2580292484567206</v>
      </c>
      <c r="AT1029" s="276">
        <f t="shared" si="921"/>
        <v>-3.614020693143229</v>
      </c>
      <c r="AU1029" s="685">
        <f t="shared" si="922"/>
        <v>2.4872434385153239</v>
      </c>
      <c r="AV1029" s="276">
        <f t="shared" si="923"/>
        <v>1.1084327472951989</v>
      </c>
      <c r="AW1029" s="276">
        <f t="shared" si="924"/>
        <v>0.84727705772820694</v>
      </c>
      <c r="AX1029" s="276">
        <f t="shared" si="925"/>
        <v>1.1800530990957301</v>
      </c>
      <c r="AY1029" s="276">
        <f t="shared" si="926"/>
        <v>1.5779163930618954</v>
      </c>
      <c r="AZ1029" s="686">
        <f t="shared" si="927"/>
        <v>1.5544307725117641</v>
      </c>
      <c r="BA1029" s="685">
        <f t="shared" si="928"/>
        <v>0</v>
      </c>
      <c r="BB1029" s="276">
        <f t="shared" si="929"/>
        <v>0</v>
      </c>
      <c r="BC1029" s="276">
        <f t="shared" si="930"/>
        <v>0</v>
      </c>
      <c r="BD1029" s="276">
        <f t="shared" si="931"/>
        <v>0</v>
      </c>
      <c r="BE1029" s="276">
        <f t="shared" si="932"/>
        <v>0</v>
      </c>
      <c r="BF1029" s="686">
        <f t="shared" si="933"/>
        <v>0</v>
      </c>
      <c r="BG1029" s="685" t="e">
        <f t="shared" si="934"/>
        <v>#DIV/0!</v>
      </c>
      <c r="BH1029" s="276" t="e">
        <f t="shared" si="935"/>
        <v>#DIV/0!</v>
      </c>
      <c r="BI1029" s="276" t="e">
        <f t="shared" si="936"/>
        <v>#DIV/0!</v>
      </c>
      <c r="BJ1029" s="276" t="e">
        <f t="shared" si="937"/>
        <v>#DIV/0!</v>
      </c>
      <c r="BK1029" s="276" t="e">
        <f t="shared" si="938"/>
        <v>#DIV/0!</v>
      </c>
      <c r="BL1029" s="686" t="e">
        <f t="shared" si="939"/>
        <v>#DIV/0!</v>
      </c>
      <c r="BM1029" s="239"/>
      <c r="BN1029" s="965" t="e">
        <f t="shared" si="940"/>
        <v>#VALUE!</v>
      </c>
      <c r="BO1029" s="878" t="e">
        <f t="shared" si="941"/>
        <v>#VALUE!</v>
      </c>
      <c r="BP1029" s="878" t="e">
        <f t="shared" si="942"/>
        <v>#VALUE!</v>
      </c>
      <c r="BQ1029" s="878" t="e">
        <f t="shared" si="943"/>
        <v>#VALUE!</v>
      </c>
      <c r="BR1029" s="878" t="e">
        <f t="shared" si="944"/>
        <v>#VALUE!</v>
      </c>
      <c r="BS1029" s="966" t="e">
        <f t="shared" si="945"/>
        <v>#VALUE!</v>
      </c>
    </row>
    <row r="1030" spans="1:71">
      <c r="A1030" s="284">
        <f t="shared" si="946"/>
        <v>962</v>
      </c>
      <c r="B1030" s="285">
        <v>-0.67226232167621025</v>
      </c>
      <c r="C1030" s="285">
        <v>2.6935669012296284</v>
      </c>
      <c r="D1030" s="285">
        <v>1.2782990394794276</v>
      </c>
      <c r="E1030" s="285">
        <v>-6.8343383742317174</v>
      </c>
      <c r="H1030" s="685">
        <f t="shared" ref="H1030:H1068" si="953">IF($B$42="On",$B1030-$D$15,0)</f>
        <v>-1.8054961634452651</v>
      </c>
      <c r="I1030" s="276">
        <f t="shared" ref="I1030:I1068" si="954">IF($B$42="On",$B2030-$D$15,0)</f>
        <v>-1.9458139864718318</v>
      </c>
      <c r="J1030" s="276">
        <f t="shared" ref="J1030:J1068" si="955">IF($B$42="On",$B3030-$D$15,0)</f>
        <v>-0.45035172821221747</v>
      </c>
      <c r="K1030" s="276">
        <f t="shared" ref="K1030:K1068" si="956">IF($B$42="On",$B4030-$D$15,0)</f>
        <v>-2.0720184793870216</v>
      </c>
      <c r="L1030" s="276">
        <f t="shared" ref="L1030:L1068" si="957">IF($B$42="On",$B5030-$D$15,0)</f>
        <v>0.47768816059648023</v>
      </c>
      <c r="M1030" s="276">
        <f t="shared" ref="M1030:M1068" si="958">IF($B$42="On",$B6030-$D$15,0)</f>
        <v>1.3475519358861419</v>
      </c>
      <c r="N1030" s="685">
        <f t="shared" ref="N1030:N1068" si="959">IF($B$43="On",$C1030-$D$16,0)</f>
        <v>1.48639569025776</v>
      </c>
      <c r="O1030" s="276">
        <f t="shared" ref="O1030:O1068" si="960">IF($B$43="On",$C2030-$D$16,0)</f>
        <v>1.3109906749694928</v>
      </c>
      <c r="P1030" s="276">
        <f t="shared" ref="P1030:P1068" si="961">IF($B$43="On",$C3030-$D$16,0)</f>
        <v>2.0865800267642589</v>
      </c>
      <c r="Q1030" s="276">
        <f t="shared" ref="Q1030:Q1068" si="962">IF($B$43="On",$C4030-$D$16,0)</f>
        <v>1.3455323036586504</v>
      </c>
      <c r="R1030" s="276">
        <f t="shared" ref="R1030:R1068" si="963">IF($B$43="On",$C5030-$D$16,0)</f>
        <v>0.95944546326555291</v>
      </c>
      <c r="S1030" s="686">
        <f t="shared" ref="S1030:S1068" si="964">IF($B$43="On",$C6030-$D$16,0)</f>
        <v>1.7511152392129732</v>
      </c>
      <c r="T1030" s="685">
        <f t="shared" ref="T1030:T1068" si="965">IF($B$44="On",$D1030-$D$17,0)</f>
        <v>4.5566627297503537</v>
      </c>
      <c r="U1030" s="276">
        <f t="shared" ref="U1030:U1068" si="966">IF($B$44="On",$D2030-$D$17,0)</f>
        <v>3.3040617475474665</v>
      </c>
      <c r="V1030" s="276">
        <f t="shared" ref="V1030:V1068" si="967">IF($B$44="On",$D3030-$D$17,0)</f>
        <v>3.0184989913124971</v>
      </c>
      <c r="W1030" s="276">
        <f t="shared" ref="W1030:W1068" si="968">IF($B$44="On",$D4030-$D$17,0)</f>
        <v>1.9260908404930777</v>
      </c>
      <c r="X1030" s="276">
        <f t="shared" ref="X1030:X1068" si="969">IF($B$44="On",$D5030-$D$17,0)</f>
        <v>5.0514741123434082</v>
      </c>
      <c r="Y1030" s="686">
        <f t="shared" ref="Y1030:Y1068" si="970">IF($B$44="On",$D6030-$D$17,0)</f>
        <v>5.3206408775879162</v>
      </c>
      <c r="Z1030" s="685" t="e">
        <f t="shared" ref="Z1030:Z1068" si="971">IF($B$45="On",$E1030-$D$18,0)</f>
        <v>#DIV/0!</v>
      </c>
      <c r="AA1030" s="276" t="e">
        <f t="shared" ref="AA1030:AA1068" si="972">IF($B$45="On",$E2030-$D$18,0)</f>
        <v>#DIV/0!</v>
      </c>
      <c r="AB1030" s="276" t="e">
        <f t="shared" ref="AB1030:AB1068" si="973">IF($B$45="On",$E3030-$D$18,0)</f>
        <v>#DIV/0!</v>
      </c>
      <c r="AC1030" s="276" t="e">
        <f t="shared" ref="AC1030:AC1068" si="974">IF($B$45="On",$E4030-$D$18,0)</f>
        <v>#DIV/0!</v>
      </c>
      <c r="AD1030" s="276" t="e">
        <f t="shared" ref="AD1030:AD1068" si="975">IF($B$45="On",$E5030-$D$18,0)</f>
        <v>#DIV/0!</v>
      </c>
      <c r="AE1030" s="686" t="e">
        <f t="shared" ref="AE1030:AE1068" si="976">IF($B$45="On",$E6030-$D$18,0)</f>
        <v>#DIV/0!</v>
      </c>
      <c r="AF1030" s="239"/>
      <c r="AG1030" s="965" t="e">
        <f t="shared" si="947"/>
        <v>#VALUE!</v>
      </c>
      <c r="AH1030" s="878" t="e">
        <f t="shared" si="948"/>
        <v>#VALUE!</v>
      </c>
      <c r="AI1030" s="878" t="e">
        <f t="shared" si="949"/>
        <v>#VALUE!</v>
      </c>
      <c r="AJ1030" s="878" t="e">
        <f t="shared" si="950"/>
        <v>#VALUE!</v>
      </c>
      <c r="AK1030" s="878" t="e">
        <f t="shared" si="951"/>
        <v>#VALUE!</v>
      </c>
      <c r="AL1030" s="966" t="e">
        <f t="shared" si="952"/>
        <v>#VALUE!</v>
      </c>
      <c r="AM1030" s="239"/>
      <c r="AO1030" s="685">
        <f t="shared" ref="AO1030:AO1068" si="977">IF($B$42="On",MIN($B1030-$D$15,$D$42),0)</f>
        <v>-1.8054961634452651</v>
      </c>
      <c r="AP1030" s="276">
        <f t="shared" ref="AP1030:AP1068" si="978">IF($B$42="On",MIN($B2030-$D$15,$D$42),0)</f>
        <v>-1.9458139864718318</v>
      </c>
      <c r="AQ1030" s="276">
        <f t="shared" ref="AQ1030:AQ1068" si="979">IF($B$42="On",MIN($B3030-$D$15,$D$42),0)</f>
        <v>-0.45035172821221747</v>
      </c>
      <c r="AR1030" s="276">
        <f t="shared" ref="AR1030:AR1068" si="980">IF($B$42="On",MIN($B4030-$D$15,$D$42),0)</f>
        <v>-2.0720184793870216</v>
      </c>
      <c r="AS1030" s="276">
        <f t="shared" ref="AS1030:AS1068" si="981">IF($B$42="On",MIN($B5030-$D$15,$D$42),0)</f>
        <v>0.47768816059648023</v>
      </c>
      <c r="AT1030" s="276">
        <f t="shared" ref="AT1030:AT1068" si="982">IF($B$42="On",MIN($B6030-$D$15,$D$42),0)</f>
        <v>1.3475519358861419</v>
      </c>
      <c r="AU1030" s="685">
        <f t="shared" ref="AU1030:AU1068" si="983">IF($B$43="On",MAX($C1030-$D$16,$D$43),0)</f>
        <v>1.48639569025776</v>
      </c>
      <c r="AV1030" s="276">
        <f t="shared" ref="AV1030:AV1068" si="984">IF($B$43="On",MAX($C2030-$D$16,$D$43),0)</f>
        <v>1.3109906749694928</v>
      </c>
      <c r="AW1030" s="276">
        <f t="shared" ref="AW1030:AW1068" si="985">IF($B$43="On",MAX($C3030-$D$16,$D$43),0)</f>
        <v>2.0865800267642589</v>
      </c>
      <c r="AX1030" s="276">
        <f t="shared" ref="AX1030:AX1068" si="986">IF($B$43="On",MAX($C4030-$D$16,$D$43),0)</f>
        <v>1.3455323036586504</v>
      </c>
      <c r="AY1030" s="276">
        <f t="shared" ref="AY1030:AY1068" si="987">IF($B$43="On",MAX($C5030-$D$16,$D$43),0)</f>
        <v>0.95944546326555291</v>
      </c>
      <c r="AZ1030" s="686">
        <f t="shared" ref="AZ1030:AZ1068" si="988">IF($B$43="On",MAX($C6030-$D$16,$D$43),0)</f>
        <v>1.7511152392129732</v>
      </c>
      <c r="BA1030" s="685">
        <f t="shared" ref="BA1030:BA1068" si="989">IF($B$44="On",MIN($D1030-$D$17,$D$44),0)</f>
        <v>0</v>
      </c>
      <c r="BB1030" s="276">
        <f t="shared" ref="BB1030:BB1068" si="990">IF($B$44="On",MIN($D2030-$D$17,$D$44),0)</f>
        <v>0</v>
      </c>
      <c r="BC1030" s="276">
        <f t="shared" ref="BC1030:BC1068" si="991">IF($B$44="On",MIN($D3030-$D$17,$D$44),0)</f>
        <v>0</v>
      </c>
      <c r="BD1030" s="276">
        <f t="shared" ref="BD1030:BD1068" si="992">IF($B$44="On",MIN($D4030-$D$17,$D$44),0)</f>
        <v>0</v>
      </c>
      <c r="BE1030" s="276">
        <f t="shared" ref="BE1030:BE1068" si="993">IF($B$44="On",MIN($D5030-$D$17,$D$44),0)</f>
        <v>0</v>
      </c>
      <c r="BF1030" s="686">
        <f t="shared" ref="BF1030:BF1068" si="994">IF($B$44="On",MIN($D6030-$D$17,$D$44),0)</f>
        <v>0</v>
      </c>
      <c r="BG1030" s="685" t="e">
        <f t="shared" ref="BG1030:BG1068" si="995">IF($B$45="On",MAX($E1030-$D$18,$D$45),0)</f>
        <v>#DIV/0!</v>
      </c>
      <c r="BH1030" s="276" t="e">
        <f t="shared" ref="BH1030:BH1068" si="996">IF($B$45="On",MAX($E2030-$D$18,$D$45),0)</f>
        <v>#DIV/0!</v>
      </c>
      <c r="BI1030" s="276" t="e">
        <f t="shared" ref="BI1030:BI1068" si="997">IF($B$45="On",MAX($E3030-$D$18,$D$45),0)</f>
        <v>#DIV/0!</v>
      </c>
      <c r="BJ1030" s="276" t="e">
        <f t="shared" ref="BJ1030:BJ1068" si="998">IF($B$45="On",MAX($E4030-$D$18,$D$45),0)</f>
        <v>#DIV/0!</v>
      </c>
      <c r="BK1030" s="276" t="e">
        <f t="shared" ref="BK1030:BK1068" si="999">IF($B$45="On",MAX($E5030-$D$18,$D$45),0)</f>
        <v>#DIV/0!</v>
      </c>
      <c r="BL1030" s="686" t="e">
        <f t="shared" ref="BL1030:BL1068" si="1000">IF($B$45="On",MAX($E6030-$D$18,$D$45),0)</f>
        <v>#DIV/0!</v>
      </c>
      <c r="BM1030" s="239"/>
      <c r="BN1030" s="965" t="e">
        <f t="shared" ref="BN1030:BN1068" si="1001">S$53*(1+(T$55+AU1030)/100)*((1-S$62)+S$62*((1+(T$57+BG1030)/100)))/(1+(T$54+AO1030)/100)-(T$56+BA1030)+T$58</f>
        <v>#VALUE!</v>
      </c>
      <c r="BO1030" s="878" t="e">
        <f t="shared" ref="BO1030:BO1068" si="1002">BN1030*(1+(U$55+AV1030)/100)*((1-T$62)+T$62*((1+(U$57+BH1030)/100)))/(1+(U$54+AP1030)/100)-(U$56+BB1030)+U$58</f>
        <v>#VALUE!</v>
      </c>
      <c r="BP1030" s="878" t="e">
        <f t="shared" ref="BP1030:BP1068" si="1003">BO1030*(1+(V$55+AW1030)/100)*((1-U$62)+U$62*((1+(V$57+BI1030)/100)))/(1+(V$54+AQ1030)/100)-(V$56+BC1030)+V$58</f>
        <v>#VALUE!</v>
      </c>
      <c r="BQ1030" s="878" t="e">
        <f t="shared" ref="BQ1030:BQ1068" si="1004">BP1030*(1+(W$55+AX1030)/100)*((1-V$62)+V$62*((1+(W$57+BJ1030)/100)))/(1+(W$54+AR1030)/100)-(W$56+BD1030)+W$58</f>
        <v>#VALUE!</v>
      </c>
      <c r="BR1030" s="878" t="e">
        <f t="shared" ref="BR1030:BR1068" si="1005">BQ1030*(1+(X$55+AY1030)/100)*((1-W$62)+W$62*((1+(X$57+BK1030)/100)))/(1+(X$54+AS1030)/100)-(X$56+BE1030)+X$58</f>
        <v>#VALUE!</v>
      </c>
      <c r="BS1030" s="966" t="e">
        <f t="shared" ref="BS1030:BS1068" si="1006">BR1030*(1+(Y$55+AZ1030)/100)*((1-X$62)+X$62*((1+(Y$57+BL1030)/100)))/(1+(Y$54+AT1030)/100)-(Y$56+BF1030)+Y$58</f>
        <v>#VALUE!</v>
      </c>
    </row>
    <row r="1031" spans="1:71">
      <c r="A1031" s="284">
        <f t="shared" ref="A1031:A1094" si="1007">A1030+1</f>
        <v>963</v>
      </c>
      <c r="B1031" s="285">
        <v>1.8725363865213904</v>
      </c>
      <c r="C1031" s="285">
        <v>2.2558549835026995</v>
      </c>
      <c r="D1031" s="285">
        <v>0.87258342626313401</v>
      </c>
      <c r="E1031" s="285">
        <v>-12.985820762318779</v>
      </c>
      <c r="H1031" s="685">
        <f t="shared" si="953"/>
        <v>0.73930254475233559</v>
      </c>
      <c r="I1031" s="276">
        <f t="shared" si="954"/>
        <v>-2.9458487338862667</v>
      </c>
      <c r="J1031" s="276">
        <f t="shared" si="955"/>
        <v>-1.4477896899331522</v>
      </c>
      <c r="K1031" s="276">
        <f t="shared" si="956"/>
        <v>7.5594986030080191E-2</v>
      </c>
      <c r="L1031" s="276">
        <f t="shared" si="957"/>
        <v>0.23924049305278339</v>
      </c>
      <c r="M1031" s="276">
        <f t="shared" si="958"/>
        <v>0.59856331985095967</v>
      </c>
      <c r="N1031" s="685">
        <f t="shared" si="959"/>
        <v>1.0486837725308311</v>
      </c>
      <c r="O1031" s="276">
        <f t="shared" si="960"/>
        <v>1.0163524669794948</v>
      </c>
      <c r="P1031" s="276">
        <f t="shared" si="961"/>
        <v>0.93195187067404794</v>
      </c>
      <c r="Q1031" s="276">
        <f t="shared" si="962"/>
        <v>0.77844222180937339</v>
      </c>
      <c r="R1031" s="276">
        <f t="shared" si="963"/>
        <v>1.6263802087508032</v>
      </c>
      <c r="S1031" s="686">
        <f t="shared" si="964"/>
        <v>1.978676601899594</v>
      </c>
      <c r="T1031" s="685">
        <f t="shared" si="965"/>
        <v>4.1509471165340601</v>
      </c>
      <c r="U1031" s="276">
        <f t="shared" si="966"/>
        <v>4.4277312099773889</v>
      </c>
      <c r="V1031" s="276">
        <f t="shared" si="967"/>
        <v>4.5415286692405878</v>
      </c>
      <c r="W1031" s="276">
        <f t="shared" si="968"/>
        <v>3.7724328454636269</v>
      </c>
      <c r="X1031" s="276">
        <f t="shared" si="969"/>
        <v>5.6228512710498091</v>
      </c>
      <c r="Y1031" s="686">
        <f t="shared" si="970"/>
        <v>5.2612976963093159</v>
      </c>
      <c r="Z1031" s="685" t="e">
        <f t="shared" si="971"/>
        <v>#DIV/0!</v>
      </c>
      <c r="AA1031" s="276" t="e">
        <f t="shared" si="972"/>
        <v>#DIV/0!</v>
      </c>
      <c r="AB1031" s="276" t="e">
        <f t="shared" si="973"/>
        <v>#DIV/0!</v>
      </c>
      <c r="AC1031" s="276" t="e">
        <f t="shared" si="974"/>
        <v>#DIV/0!</v>
      </c>
      <c r="AD1031" s="276" t="e">
        <f t="shared" si="975"/>
        <v>#DIV/0!</v>
      </c>
      <c r="AE1031" s="686" t="e">
        <f t="shared" si="976"/>
        <v>#DIV/0!</v>
      </c>
      <c r="AF1031" s="239"/>
      <c r="AG1031" s="965" t="e">
        <f t="shared" si="947"/>
        <v>#VALUE!</v>
      </c>
      <c r="AH1031" s="878" t="e">
        <f t="shared" si="948"/>
        <v>#VALUE!</v>
      </c>
      <c r="AI1031" s="878" t="e">
        <f t="shared" si="949"/>
        <v>#VALUE!</v>
      </c>
      <c r="AJ1031" s="878" t="e">
        <f t="shared" si="950"/>
        <v>#VALUE!</v>
      </c>
      <c r="AK1031" s="878" t="e">
        <f t="shared" si="951"/>
        <v>#VALUE!</v>
      </c>
      <c r="AL1031" s="966" t="e">
        <f t="shared" si="952"/>
        <v>#VALUE!</v>
      </c>
      <c r="AM1031" s="239"/>
      <c r="AO1031" s="685">
        <f t="shared" si="977"/>
        <v>0.73930254475233559</v>
      </c>
      <c r="AP1031" s="276">
        <f t="shared" si="978"/>
        <v>-2.9458487338862667</v>
      </c>
      <c r="AQ1031" s="276">
        <f t="shared" si="979"/>
        <v>-1.4477896899331522</v>
      </c>
      <c r="AR1031" s="276">
        <f t="shared" si="980"/>
        <v>7.5594986030080191E-2</v>
      </c>
      <c r="AS1031" s="276">
        <f t="shared" si="981"/>
        <v>0.23924049305278339</v>
      </c>
      <c r="AT1031" s="276">
        <f t="shared" si="982"/>
        <v>0.59856331985095967</v>
      </c>
      <c r="AU1031" s="685">
        <f t="shared" si="983"/>
        <v>1.0486837725308311</v>
      </c>
      <c r="AV1031" s="276">
        <f t="shared" si="984"/>
        <v>1.0163524669794948</v>
      </c>
      <c r="AW1031" s="276">
        <f t="shared" si="985"/>
        <v>0.93195187067404794</v>
      </c>
      <c r="AX1031" s="276">
        <f t="shared" si="986"/>
        <v>0.77844222180937339</v>
      </c>
      <c r="AY1031" s="276">
        <f t="shared" si="987"/>
        <v>1.6263802087508032</v>
      </c>
      <c r="AZ1031" s="686">
        <f t="shared" si="988"/>
        <v>1.978676601899594</v>
      </c>
      <c r="BA1031" s="685">
        <f t="shared" si="989"/>
        <v>0</v>
      </c>
      <c r="BB1031" s="276">
        <f t="shared" si="990"/>
        <v>0</v>
      </c>
      <c r="BC1031" s="276">
        <f t="shared" si="991"/>
        <v>0</v>
      </c>
      <c r="BD1031" s="276">
        <f t="shared" si="992"/>
        <v>0</v>
      </c>
      <c r="BE1031" s="276">
        <f t="shared" si="993"/>
        <v>0</v>
      </c>
      <c r="BF1031" s="686">
        <f t="shared" si="994"/>
        <v>0</v>
      </c>
      <c r="BG1031" s="685" t="e">
        <f t="shared" si="995"/>
        <v>#DIV/0!</v>
      </c>
      <c r="BH1031" s="276" t="e">
        <f t="shared" si="996"/>
        <v>#DIV/0!</v>
      </c>
      <c r="BI1031" s="276" t="e">
        <f t="shared" si="997"/>
        <v>#DIV/0!</v>
      </c>
      <c r="BJ1031" s="276" t="e">
        <f t="shared" si="998"/>
        <v>#DIV/0!</v>
      </c>
      <c r="BK1031" s="276" t="e">
        <f t="shared" si="999"/>
        <v>#DIV/0!</v>
      </c>
      <c r="BL1031" s="686" t="e">
        <f t="shared" si="1000"/>
        <v>#DIV/0!</v>
      </c>
      <c r="BM1031" s="239"/>
      <c r="BN1031" s="965" t="e">
        <f t="shared" si="1001"/>
        <v>#VALUE!</v>
      </c>
      <c r="BO1031" s="878" t="e">
        <f t="shared" si="1002"/>
        <v>#VALUE!</v>
      </c>
      <c r="BP1031" s="878" t="e">
        <f t="shared" si="1003"/>
        <v>#VALUE!</v>
      </c>
      <c r="BQ1031" s="878" t="e">
        <f t="shared" si="1004"/>
        <v>#VALUE!</v>
      </c>
      <c r="BR1031" s="878" t="e">
        <f t="shared" si="1005"/>
        <v>#VALUE!</v>
      </c>
      <c r="BS1031" s="966" t="e">
        <f t="shared" si="1006"/>
        <v>#VALUE!</v>
      </c>
    </row>
    <row r="1032" spans="1:71">
      <c r="A1032" s="284">
        <f t="shared" si="1007"/>
        <v>964</v>
      </c>
      <c r="B1032" s="285">
        <v>0.41325882595499985</v>
      </c>
      <c r="C1032" s="285">
        <v>2.2899037167619323</v>
      </c>
      <c r="D1032" s="285">
        <v>1.9980517128326512</v>
      </c>
      <c r="E1032" s="285">
        <v>-0.11807221953996239</v>
      </c>
      <c r="H1032" s="685">
        <f t="shared" si="953"/>
        <v>-0.71997501581405499</v>
      </c>
      <c r="I1032" s="276">
        <f t="shared" si="954"/>
        <v>-4.0777368193125678</v>
      </c>
      <c r="J1032" s="276">
        <f t="shared" si="955"/>
        <v>2.8293190215016928</v>
      </c>
      <c r="K1032" s="276">
        <f t="shared" si="956"/>
        <v>0.79857775523052243</v>
      </c>
      <c r="L1032" s="276">
        <f t="shared" si="957"/>
        <v>0.26979146469349669</v>
      </c>
      <c r="M1032" s="276">
        <f t="shared" si="958"/>
        <v>0.55185828774938872</v>
      </c>
      <c r="N1032" s="685">
        <f t="shared" si="959"/>
        <v>1.0827325057900639</v>
      </c>
      <c r="O1032" s="276">
        <f t="shared" si="960"/>
        <v>0.92850962213179877</v>
      </c>
      <c r="P1032" s="276">
        <f t="shared" si="961"/>
        <v>1.5965370606105533</v>
      </c>
      <c r="Q1032" s="276">
        <f t="shared" si="962"/>
        <v>1.1330846089230386</v>
      </c>
      <c r="R1032" s="276">
        <f t="shared" si="963"/>
        <v>1.4249772533400866</v>
      </c>
      <c r="S1032" s="686">
        <f t="shared" si="964"/>
        <v>1.4508286499963179</v>
      </c>
      <c r="T1032" s="685">
        <f t="shared" si="965"/>
        <v>5.2764154031035773</v>
      </c>
      <c r="U1032" s="276">
        <f t="shared" si="966"/>
        <v>5.6416721144943933</v>
      </c>
      <c r="V1032" s="276">
        <f t="shared" si="967"/>
        <v>5.3382563789230542</v>
      </c>
      <c r="W1032" s="276">
        <f t="shared" si="968"/>
        <v>3.2268392815285161</v>
      </c>
      <c r="X1032" s="276">
        <f t="shared" si="969"/>
        <v>5.9148948719533951</v>
      </c>
      <c r="Y1032" s="686">
        <f t="shared" si="970"/>
        <v>3.8300682692350092</v>
      </c>
      <c r="Z1032" s="685" t="e">
        <f t="shared" si="971"/>
        <v>#DIV/0!</v>
      </c>
      <c r="AA1032" s="276" t="e">
        <f t="shared" si="972"/>
        <v>#DIV/0!</v>
      </c>
      <c r="AB1032" s="276" t="e">
        <f t="shared" si="973"/>
        <v>#DIV/0!</v>
      </c>
      <c r="AC1032" s="276" t="e">
        <f t="shared" si="974"/>
        <v>#DIV/0!</v>
      </c>
      <c r="AD1032" s="276" t="e">
        <f t="shared" si="975"/>
        <v>#DIV/0!</v>
      </c>
      <c r="AE1032" s="686" t="e">
        <f t="shared" si="976"/>
        <v>#DIV/0!</v>
      </c>
      <c r="AF1032" s="239"/>
      <c r="AG1032" s="965" t="e">
        <f t="shared" si="947"/>
        <v>#VALUE!</v>
      </c>
      <c r="AH1032" s="878" t="e">
        <f t="shared" si="948"/>
        <v>#VALUE!</v>
      </c>
      <c r="AI1032" s="878" t="e">
        <f t="shared" si="949"/>
        <v>#VALUE!</v>
      </c>
      <c r="AJ1032" s="878" t="e">
        <f t="shared" si="950"/>
        <v>#VALUE!</v>
      </c>
      <c r="AK1032" s="878" t="e">
        <f t="shared" si="951"/>
        <v>#VALUE!</v>
      </c>
      <c r="AL1032" s="966" t="e">
        <f t="shared" si="952"/>
        <v>#VALUE!</v>
      </c>
      <c r="AM1032" s="239"/>
      <c r="AO1032" s="685">
        <f t="shared" si="977"/>
        <v>-0.71997501581405499</v>
      </c>
      <c r="AP1032" s="276">
        <f t="shared" si="978"/>
        <v>-4.0777368193125678</v>
      </c>
      <c r="AQ1032" s="276">
        <f t="shared" si="979"/>
        <v>2.8293190215016928</v>
      </c>
      <c r="AR1032" s="276">
        <f t="shared" si="980"/>
        <v>0.79857775523052243</v>
      </c>
      <c r="AS1032" s="276">
        <f t="shared" si="981"/>
        <v>0.26979146469349669</v>
      </c>
      <c r="AT1032" s="276">
        <f t="shared" si="982"/>
        <v>0.55185828774938872</v>
      </c>
      <c r="AU1032" s="685">
        <f t="shared" si="983"/>
        <v>1.0827325057900639</v>
      </c>
      <c r="AV1032" s="276">
        <f t="shared" si="984"/>
        <v>0.92850962213179877</v>
      </c>
      <c r="AW1032" s="276">
        <f t="shared" si="985"/>
        <v>1.5965370606105533</v>
      </c>
      <c r="AX1032" s="276">
        <f t="shared" si="986"/>
        <v>1.1330846089230386</v>
      </c>
      <c r="AY1032" s="276">
        <f t="shared" si="987"/>
        <v>1.4249772533400866</v>
      </c>
      <c r="AZ1032" s="686">
        <f t="shared" si="988"/>
        <v>1.4508286499963179</v>
      </c>
      <c r="BA1032" s="685">
        <f t="shared" si="989"/>
        <v>0</v>
      </c>
      <c r="BB1032" s="276">
        <f t="shared" si="990"/>
        <v>0</v>
      </c>
      <c r="BC1032" s="276">
        <f t="shared" si="991"/>
        <v>0</v>
      </c>
      <c r="BD1032" s="276">
        <f t="shared" si="992"/>
        <v>0</v>
      </c>
      <c r="BE1032" s="276">
        <f t="shared" si="993"/>
        <v>0</v>
      </c>
      <c r="BF1032" s="686">
        <f t="shared" si="994"/>
        <v>0</v>
      </c>
      <c r="BG1032" s="685" t="e">
        <f t="shared" si="995"/>
        <v>#DIV/0!</v>
      </c>
      <c r="BH1032" s="276" t="e">
        <f t="shared" si="996"/>
        <v>#DIV/0!</v>
      </c>
      <c r="BI1032" s="276" t="e">
        <f t="shared" si="997"/>
        <v>#DIV/0!</v>
      </c>
      <c r="BJ1032" s="276" t="e">
        <f t="shared" si="998"/>
        <v>#DIV/0!</v>
      </c>
      <c r="BK1032" s="276" t="e">
        <f t="shared" si="999"/>
        <v>#DIV/0!</v>
      </c>
      <c r="BL1032" s="686" t="e">
        <f t="shared" si="1000"/>
        <v>#DIV/0!</v>
      </c>
      <c r="BM1032" s="239"/>
      <c r="BN1032" s="965" t="e">
        <f t="shared" si="1001"/>
        <v>#VALUE!</v>
      </c>
      <c r="BO1032" s="878" t="e">
        <f t="shared" si="1002"/>
        <v>#VALUE!</v>
      </c>
      <c r="BP1032" s="878" t="e">
        <f t="shared" si="1003"/>
        <v>#VALUE!</v>
      </c>
      <c r="BQ1032" s="878" t="e">
        <f t="shared" si="1004"/>
        <v>#VALUE!</v>
      </c>
      <c r="BR1032" s="878" t="e">
        <f t="shared" si="1005"/>
        <v>#VALUE!</v>
      </c>
      <c r="BS1032" s="966" t="e">
        <f t="shared" si="1006"/>
        <v>#VALUE!</v>
      </c>
    </row>
    <row r="1033" spans="1:71">
      <c r="A1033" s="284">
        <f t="shared" si="1007"/>
        <v>965</v>
      </c>
      <c r="B1033" s="285">
        <v>-0.78316216181523435</v>
      </c>
      <c r="C1033" s="285">
        <v>3.6005244885965619</v>
      </c>
      <c r="D1033" s="285">
        <v>0.81958470601880329</v>
      </c>
      <c r="E1033" s="285">
        <v>14.616763176680628</v>
      </c>
      <c r="H1033" s="685">
        <f t="shared" si="953"/>
        <v>-1.9163960035842891</v>
      </c>
      <c r="I1033" s="276">
        <f t="shared" si="954"/>
        <v>-3.1458450273157395</v>
      </c>
      <c r="J1033" s="276">
        <f t="shared" si="955"/>
        <v>-4.5062054361339916</v>
      </c>
      <c r="K1033" s="276">
        <f t="shared" si="956"/>
        <v>3.2527448630713982</v>
      </c>
      <c r="L1033" s="276">
        <f t="shared" si="957"/>
        <v>0.93316728325987142</v>
      </c>
      <c r="M1033" s="276">
        <f t="shared" si="958"/>
        <v>-1.8334293616807917</v>
      </c>
      <c r="N1033" s="685">
        <f t="shared" si="959"/>
        <v>2.3933532776246933</v>
      </c>
      <c r="O1033" s="276">
        <f t="shared" si="960"/>
        <v>1.8949322539228215</v>
      </c>
      <c r="P1033" s="276">
        <f t="shared" si="961"/>
        <v>0.31983864509625204</v>
      </c>
      <c r="Q1033" s="276">
        <f t="shared" si="962"/>
        <v>1.1599996144030988</v>
      </c>
      <c r="R1033" s="276">
        <f t="shared" si="963"/>
        <v>1.9039494760561186</v>
      </c>
      <c r="S1033" s="686">
        <f t="shared" si="964"/>
        <v>1.2929117378465194</v>
      </c>
      <c r="T1033" s="685">
        <f t="shared" si="965"/>
        <v>4.0979483962897287</v>
      </c>
      <c r="U1033" s="276">
        <f t="shared" si="966"/>
        <v>3.9316871693423496</v>
      </c>
      <c r="V1033" s="276">
        <f t="shared" si="967"/>
        <v>2.6055653503890879</v>
      </c>
      <c r="W1033" s="276">
        <f t="shared" si="968"/>
        <v>5.185786717318484</v>
      </c>
      <c r="X1033" s="276">
        <f t="shared" si="969"/>
        <v>4.0676908588012157</v>
      </c>
      <c r="Y1033" s="686">
        <f t="shared" si="970"/>
        <v>5.0287147668292915</v>
      </c>
      <c r="Z1033" s="685" t="e">
        <f t="shared" si="971"/>
        <v>#DIV/0!</v>
      </c>
      <c r="AA1033" s="276" t="e">
        <f t="shared" si="972"/>
        <v>#DIV/0!</v>
      </c>
      <c r="AB1033" s="276" t="e">
        <f t="shared" si="973"/>
        <v>#DIV/0!</v>
      </c>
      <c r="AC1033" s="276" t="e">
        <f t="shared" si="974"/>
        <v>#DIV/0!</v>
      </c>
      <c r="AD1033" s="276" t="e">
        <f t="shared" si="975"/>
        <v>#DIV/0!</v>
      </c>
      <c r="AE1033" s="686" t="e">
        <f t="shared" si="976"/>
        <v>#DIV/0!</v>
      </c>
      <c r="AF1033" s="239"/>
      <c r="AG1033" s="965" t="e">
        <f t="shared" si="947"/>
        <v>#VALUE!</v>
      </c>
      <c r="AH1033" s="878" t="e">
        <f t="shared" si="948"/>
        <v>#VALUE!</v>
      </c>
      <c r="AI1033" s="878" t="e">
        <f t="shared" si="949"/>
        <v>#VALUE!</v>
      </c>
      <c r="AJ1033" s="878" t="e">
        <f t="shared" si="950"/>
        <v>#VALUE!</v>
      </c>
      <c r="AK1033" s="878" t="e">
        <f t="shared" si="951"/>
        <v>#VALUE!</v>
      </c>
      <c r="AL1033" s="966" t="e">
        <f t="shared" si="952"/>
        <v>#VALUE!</v>
      </c>
      <c r="AM1033" s="239"/>
      <c r="AO1033" s="685">
        <f t="shared" si="977"/>
        <v>-1.9163960035842891</v>
      </c>
      <c r="AP1033" s="276">
        <f t="shared" si="978"/>
        <v>-3.1458450273157395</v>
      </c>
      <c r="AQ1033" s="276">
        <f t="shared" si="979"/>
        <v>-4.5062054361339916</v>
      </c>
      <c r="AR1033" s="276">
        <f t="shared" si="980"/>
        <v>3.2527448630713982</v>
      </c>
      <c r="AS1033" s="276">
        <f t="shared" si="981"/>
        <v>0.93316728325987142</v>
      </c>
      <c r="AT1033" s="276">
        <f t="shared" si="982"/>
        <v>-1.8334293616807917</v>
      </c>
      <c r="AU1033" s="685">
        <f t="shared" si="983"/>
        <v>2.3933532776246933</v>
      </c>
      <c r="AV1033" s="276">
        <f t="shared" si="984"/>
        <v>1.8949322539228215</v>
      </c>
      <c r="AW1033" s="276">
        <f t="shared" si="985"/>
        <v>0.31983864509625204</v>
      </c>
      <c r="AX1033" s="276">
        <f t="shared" si="986"/>
        <v>1.1599996144030988</v>
      </c>
      <c r="AY1033" s="276">
        <f t="shared" si="987"/>
        <v>1.9039494760561186</v>
      </c>
      <c r="AZ1033" s="686">
        <f t="shared" si="988"/>
        <v>1.2929117378465194</v>
      </c>
      <c r="BA1033" s="685">
        <f t="shared" si="989"/>
        <v>0</v>
      </c>
      <c r="BB1033" s="276">
        <f t="shared" si="990"/>
        <v>0</v>
      </c>
      <c r="BC1033" s="276">
        <f t="shared" si="991"/>
        <v>0</v>
      </c>
      <c r="BD1033" s="276">
        <f t="shared" si="992"/>
        <v>0</v>
      </c>
      <c r="BE1033" s="276">
        <f t="shared" si="993"/>
        <v>0</v>
      </c>
      <c r="BF1033" s="686">
        <f t="shared" si="994"/>
        <v>0</v>
      </c>
      <c r="BG1033" s="685" t="e">
        <f t="shared" si="995"/>
        <v>#DIV/0!</v>
      </c>
      <c r="BH1033" s="276" t="e">
        <f t="shared" si="996"/>
        <v>#DIV/0!</v>
      </c>
      <c r="BI1033" s="276" t="e">
        <f t="shared" si="997"/>
        <v>#DIV/0!</v>
      </c>
      <c r="BJ1033" s="276" t="e">
        <f t="shared" si="998"/>
        <v>#DIV/0!</v>
      </c>
      <c r="BK1033" s="276" t="e">
        <f t="shared" si="999"/>
        <v>#DIV/0!</v>
      </c>
      <c r="BL1033" s="686" t="e">
        <f t="shared" si="1000"/>
        <v>#DIV/0!</v>
      </c>
      <c r="BM1033" s="239"/>
      <c r="BN1033" s="965" t="e">
        <f t="shared" si="1001"/>
        <v>#VALUE!</v>
      </c>
      <c r="BO1033" s="878" t="e">
        <f t="shared" si="1002"/>
        <v>#VALUE!</v>
      </c>
      <c r="BP1033" s="878" t="e">
        <f t="shared" si="1003"/>
        <v>#VALUE!</v>
      </c>
      <c r="BQ1033" s="878" t="e">
        <f t="shared" si="1004"/>
        <v>#VALUE!</v>
      </c>
      <c r="BR1033" s="878" t="e">
        <f t="shared" si="1005"/>
        <v>#VALUE!</v>
      </c>
      <c r="BS1033" s="966" t="e">
        <f t="shared" si="1006"/>
        <v>#VALUE!</v>
      </c>
    </row>
    <row r="1034" spans="1:71">
      <c r="A1034" s="284">
        <f t="shared" si="1007"/>
        <v>966</v>
      </c>
      <c r="B1034" s="285">
        <v>-1.3089983107454475</v>
      </c>
      <c r="C1034" s="285">
        <v>1.7729560314673796</v>
      </c>
      <c r="D1034" s="285">
        <v>1.5552976244076191</v>
      </c>
      <c r="E1034" s="285">
        <v>-19.117028013865959</v>
      </c>
      <c r="H1034" s="685">
        <f t="shared" si="953"/>
        <v>-2.4422321525145021</v>
      </c>
      <c r="I1034" s="276">
        <f t="shared" si="954"/>
        <v>-0.37016548391015136</v>
      </c>
      <c r="J1034" s="276">
        <f t="shared" si="955"/>
        <v>3.2247879646175663</v>
      </c>
      <c r="K1034" s="276">
        <f t="shared" si="956"/>
        <v>1.7694239810249661</v>
      </c>
      <c r="L1034" s="276">
        <f t="shared" si="957"/>
        <v>-2.8763544079937642E-2</v>
      </c>
      <c r="M1034" s="276">
        <f t="shared" si="958"/>
        <v>-1.9180883132652236</v>
      </c>
      <c r="N1034" s="685">
        <f t="shared" si="959"/>
        <v>0.56578482049551115</v>
      </c>
      <c r="O1034" s="276">
        <f t="shared" si="960"/>
        <v>1.3260779375064276</v>
      </c>
      <c r="P1034" s="276">
        <f t="shared" si="961"/>
        <v>2.0395318482633416</v>
      </c>
      <c r="Q1034" s="276">
        <f t="shared" si="962"/>
        <v>1.5285025641448626</v>
      </c>
      <c r="R1034" s="276">
        <f t="shared" si="963"/>
        <v>1.3652936176054224</v>
      </c>
      <c r="S1034" s="686">
        <f t="shared" si="964"/>
        <v>1.4928507823790944</v>
      </c>
      <c r="T1034" s="685">
        <f t="shared" si="965"/>
        <v>4.8336613146785448</v>
      </c>
      <c r="U1034" s="276">
        <f t="shared" si="966"/>
        <v>4.308746208467344</v>
      </c>
      <c r="V1034" s="276">
        <f t="shared" si="967"/>
        <v>3.5853353998703161</v>
      </c>
      <c r="W1034" s="276">
        <f t="shared" si="968"/>
        <v>3.7117064102309025</v>
      </c>
      <c r="X1034" s="276">
        <f t="shared" si="969"/>
        <v>3.2264899530823916</v>
      </c>
      <c r="Y1034" s="686">
        <f t="shared" si="970"/>
        <v>5.7949264241730489</v>
      </c>
      <c r="Z1034" s="685" t="e">
        <f t="shared" si="971"/>
        <v>#DIV/0!</v>
      </c>
      <c r="AA1034" s="276" t="e">
        <f t="shared" si="972"/>
        <v>#DIV/0!</v>
      </c>
      <c r="AB1034" s="276" t="e">
        <f t="shared" si="973"/>
        <v>#DIV/0!</v>
      </c>
      <c r="AC1034" s="276" t="e">
        <f t="shared" si="974"/>
        <v>#DIV/0!</v>
      </c>
      <c r="AD1034" s="276" t="e">
        <f t="shared" si="975"/>
        <v>#DIV/0!</v>
      </c>
      <c r="AE1034" s="686" t="e">
        <f t="shared" si="976"/>
        <v>#DIV/0!</v>
      </c>
      <c r="AF1034" s="239"/>
      <c r="AG1034" s="965" t="e">
        <f t="shared" si="947"/>
        <v>#VALUE!</v>
      </c>
      <c r="AH1034" s="878" t="e">
        <f t="shared" si="948"/>
        <v>#VALUE!</v>
      </c>
      <c r="AI1034" s="878" t="e">
        <f t="shared" si="949"/>
        <v>#VALUE!</v>
      </c>
      <c r="AJ1034" s="878" t="e">
        <f t="shared" si="950"/>
        <v>#VALUE!</v>
      </c>
      <c r="AK1034" s="878" t="e">
        <f t="shared" si="951"/>
        <v>#VALUE!</v>
      </c>
      <c r="AL1034" s="966" t="e">
        <f t="shared" si="952"/>
        <v>#VALUE!</v>
      </c>
      <c r="AM1034" s="239"/>
      <c r="AO1034" s="685">
        <f t="shared" si="977"/>
        <v>-2.4422321525145021</v>
      </c>
      <c r="AP1034" s="276">
        <f t="shared" si="978"/>
        <v>-0.37016548391015136</v>
      </c>
      <c r="AQ1034" s="276">
        <f t="shared" si="979"/>
        <v>3.2247879646175663</v>
      </c>
      <c r="AR1034" s="276">
        <f t="shared" si="980"/>
        <v>1.7694239810249661</v>
      </c>
      <c r="AS1034" s="276">
        <f t="shared" si="981"/>
        <v>-2.8763544079937642E-2</v>
      </c>
      <c r="AT1034" s="276">
        <f t="shared" si="982"/>
        <v>-1.9180883132652236</v>
      </c>
      <c r="AU1034" s="685">
        <f t="shared" si="983"/>
        <v>0.56578482049551115</v>
      </c>
      <c r="AV1034" s="276">
        <f t="shared" si="984"/>
        <v>1.3260779375064276</v>
      </c>
      <c r="AW1034" s="276">
        <f t="shared" si="985"/>
        <v>2.0395318482633416</v>
      </c>
      <c r="AX1034" s="276">
        <f t="shared" si="986"/>
        <v>1.5285025641448626</v>
      </c>
      <c r="AY1034" s="276">
        <f t="shared" si="987"/>
        <v>1.3652936176054224</v>
      </c>
      <c r="AZ1034" s="686">
        <f t="shared" si="988"/>
        <v>1.4928507823790944</v>
      </c>
      <c r="BA1034" s="685">
        <f t="shared" si="989"/>
        <v>0</v>
      </c>
      <c r="BB1034" s="276">
        <f t="shared" si="990"/>
        <v>0</v>
      </c>
      <c r="BC1034" s="276">
        <f t="shared" si="991"/>
        <v>0</v>
      </c>
      <c r="BD1034" s="276">
        <f t="shared" si="992"/>
        <v>0</v>
      </c>
      <c r="BE1034" s="276">
        <f t="shared" si="993"/>
        <v>0</v>
      </c>
      <c r="BF1034" s="686">
        <f t="shared" si="994"/>
        <v>0</v>
      </c>
      <c r="BG1034" s="685" t="e">
        <f t="shared" si="995"/>
        <v>#DIV/0!</v>
      </c>
      <c r="BH1034" s="276" t="e">
        <f t="shared" si="996"/>
        <v>#DIV/0!</v>
      </c>
      <c r="BI1034" s="276" t="e">
        <f t="shared" si="997"/>
        <v>#DIV/0!</v>
      </c>
      <c r="BJ1034" s="276" t="e">
        <f t="shared" si="998"/>
        <v>#DIV/0!</v>
      </c>
      <c r="BK1034" s="276" t="e">
        <f t="shared" si="999"/>
        <v>#DIV/0!</v>
      </c>
      <c r="BL1034" s="686" t="e">
        <f t="shared" si="1000"/>
        <v>#DIV/0!</v>
      </c>
      <c r="BM1034" s="239"/>
      <c r="BN1034" s="965" t="e">
        <f t="shared" si="1001"/>
        <v>#VALUE!</v>
      </c>
      <c r="BO1034" s="878" t="e">
        <f t="shared" si="1002"/>
        <v>#VALUE!</v>
      </c>
      <c r="BP1034" s="878" t="e">
        <f t="shared" si="1003"/>
        <v>#VALUE!</v>
      </c>
      <c r="BQ1034" s="878" t="e">
        <f t="shared" si="1004"/>
        <v>#VALUE!</v>
      </c>
      <c r="BR1034" s="878" t="e">
        <f t="shared" si="1005"/>
        <v>#VALUE!</v>
      </c>
      <c r="BS1034" s="966" t="e">
        <f t="shared" si="1006"/>
        <v>#VALUE!</v>
      </c>
    </row>
    <row r="1035" spans="1:71">
      <c r="A1035" s="284">
        <f t="shared" si="1007"/>
        <v>967</v>
      </c>
      <c r="B1035" s="285">
        <v>-0.50445149121538202</v>
      </c>
      <c r="C1035" s="285">
        <v>1.8935068217332791</v>
      </c>
      <c r="D1035" s="285">
        <v>1.5195669590177794</v>
      </c>
      <c r="E1035" s="285">
        <v>-14.958183719452773</v>
      </c>
      <c r="H1035" s="685">
        <f t="shared" si="953"/>
        <v>-1.6376853329844367</v>
      </c>
      <c r="I1035" s="276">
        <f t="shared" si="954"/>
        <v>2.9031098230364307</v>
      </c>
      <c r="J1035" s="276">
        <f t="shared" si="955"/>
        <v>-4.9708866328753647</v>
      </c>
      <c r="K1035" s="276">
        <f t="shared" si="956"/>
        <v>-1.1764806049818979</v>
      </c>
      <c r="L1035" s="276">
        <f t="shared" si="957"/>
        <v>-4.9004300191422097</v>
      </c>
      <c r="M1035" s="276">
        <f t="shared" si="958"/>
        <v>-1.7608338956307188</v>
      </c>
      <c r="N1035" s="685">
        <f t="shared" si="959"/>
        <v>0.6863356107614107</v>
      </c>
      <c r="O1035" s="276">
        <f t="shared" si="960"/>
        <v>1.6283900486130751</v>
      </c>
      <c r="P1035" s="276">
        <f t="shared" si="961"/>
        <v>1.5324309574890995</v>
      </c>
      <c r="Q1035" s="276">
        <f t="shared" si="962"/>
        <v>0.93308392163702991</v>
      </c>
      <c r="R1035" s="276">
        <f t="shared" si="963"/>
        <v>1.5974118827158483</v>
      </c>
      <c r="S1035" s="686">
        <f t="shared" si="964"/>
        <v>1.2381572175037585</v>
      </c>
      <c r="T1035" s="685">
        <f t="shared" si="965"/>
        <v>4.7979306492887055</v>
      </c>
      <c r="U1035" s="276">
        <f t="shared" si="966"/>
        <v>5.9941749537194582</v>
      </c>
      <c r="V1035" s="276">
        <f t="shared" si="967"/>
        <v>2.5230757045771499</v>
      </c>
      <c r="W1035" s="276">
        <f t="shared" si="968"/>
        <v>6.7598588875552155</v>
      </c>
      <c r="X1035" s="276">
        <f t="shared" si="969"/>
        <v>4.1209510328274739</v>
      </c>
      <c r="Y1035" s="686">
        <f t="shared" si="970"/>
        <v>2.5322248124508406</v>
      </c>
      <c r="Z1035" s="685" t="e">
        <f t="shared" si="971"/>
        <v>#DIV/0!</v>
      </c>
      <c r="AA1035" s="276" t="e">
        <f t="shared" si="972"/>
        <v>#DIV/0!</v>
      </c>
      <c r="AB1035" s="276" t="e">
        <f t="shared" si="973"/>
        <v>#DIV/0!</v>
      </c>
      <c r="AC1035" s="276" t="e">
        <f t="shared" si="974"/>
        <v>#DIV/0!</v>
      </c>
      <c r="AD1035" s="276" t="e">
        <f t="shared" si="975"/>
        <v>#DIV/0!</v>
      </c>
      <c r="AE1035" s="686" t="e">
        <f t="shared" si="976"/>
        <v>#DIV/0!</v>
      </c>
      <c r="AF1035" s="239"/>
      <c r="AG1035" s="965" t="e">
        <f t="shared" si="947"/>
        <v>#VALUE!</v>
      </c>
      <c r="AH1035" s="878" t="e">
        <f t="shared" si="948"/>
        <v>#VALUE!</v>
      </c>
      <c r="AI1035" s="878" t="e">
        <f t="shared" si="949"/>
        <v>#VALUE!</v>
      </c>
      <c r="AJ1035" s="878" t="e">
        <f t="shared" si="950"/>
        <v>#VALUE!</v>
      </c>
      <c r="AK1035" s="878" t="e">
        <f t="shared" si="951"/>
        <v>#VALUE!</v>
      </c>
      <c r="AL1035" s="966" t="e">
        <f t="shared" si="952"/>
        <v>#VALUE!</v>
      </c>
      <c r="AM1035" s="239"/>
      <c r="AO1035" s="685">
        <f t="shared" si="977"/>
        <v>-1.6376853329844367</v>
      </c>
      <c r="AP1035" s="276">
        <f t="shared" si="978"/>
        <v>2.9031098230364307</v>
      </c>
      <c r="AQ1035" s="276">
        <f t="shared" si="979"/>
        <v>-4.9708866328753647</v>
      </c>
      <c r="AR1035" s="276">
        <f t="shared" si="980"/>
        <v>-1.1764806049818979</v>
      </c>
      <c r="AS1035" s="276">
        <f t="shared" si="981"/>
        <v>-4.9004300191422097</v>
      </c>
      <c r="AT1035" s="276">
        <f t="shared" si="982"/>
        <v>-1.7608338956307188</v>
      </c>
      <c r="AU1035" s="685">
        <f t="shared" si="983"/>
        <v>0.6863356107614107</v>
      </c>
      <c r="AV1035" s="276">
        <f t="shared" si="984"/>
        <v>1.6283900486130751</v>
      </c>
      <c r="AW1035" s="276">
        <f t="shared" si="985"/>
        <v>1.5324309574890995</v>
      </c>
      <c r="AX1035" s="276">
        <f t="shared" si="986"/>
        <v>0.93308392163702991</v>
      </c>
      <c r="AY1035" s="276">
        <f t="shared" si="987"/>
        <v>1.5974118827158483</v>
      </c>
      <c r="AZ1035" s="686">
        <f t="shared" si="988"/>
        <v>1.2381572175037585</v>
      </c>
      <c r="BA1035" s="685">
        <f t="shared" si="989"/>
        <v>0</v>
      </c>
      <c r="BB1035" s="276">
        <f t="shared" si="990"/>
        <v>0</v>
      </c>
      <c r="BC1035" s="276">
        <f t="shared" si="991"/>
        <v>0</v>
      </c>
      <c r="BD1035" s="276">
        <f t="shared" si="992"/>
        <v>0</v>
      </c>
      <c r="BE1035" s="276">
        <f t="shared" si="993"/>
        <v>0</v>
      </c>
      <c r="BF1035" s="686">
        <f t="shared" si="994"/>
        <v>0</v>
      </c>
      <c r="BG1035" s="685" t="e">
        <f t="shared" si="995"/>
        <v>#DIV/0!</v>
      </c>
      <c r="BH1035" s="276" t="e">
        <f t="shared" si="996"/>
        <v>#DIV/0!</v>
      </c>
      <c r="BI1035" s="276" t="e">
        <f t="shared" si="997"/>
        <v>#DIV/0!</v>
      </c>
      <c r="BJ1035" s="276" t="e">
        <f t="shared" si="998"/>
        <v>#DIV/0!</v>
      </c>
      <c r="BK1035" s="276" t="e">
        <f t="shared" si="999"/>
        <v>#DIV/0!</v>
      </c>
      <c r="BL1035" s="686" t="e">
        <f t="shared" si="1000"/>
        <v>#DIV/0!</v>
      </c>
      <c r="BM1035" s="239"/>
      <c r="BN1035" s="965" t="e">
        <f t="shared" si="1001"/>
        <v>#VALUE!</v>
      </c>
      <c r="BO1035" s="878" t="e">
        <f t="shared" si="1002"/>
        <v>#VALUE!</v>
      </c>
      <c r="BP1035" s="878" t="e">
        <f t="shared" si="1003"/>
        <v>#VALUE!</v>
      </c>
      <c r="BQ1035" s="878" t="e">
        <f t="shared" si="1004"/>
        <v>#VALUE!</v>
      </c>
      <c r="BR1035" s="878" t="e">
        <f t="shared" si="1005"/>
        <v>#VALUE!</v>
      </c>
      <c r="BS1035" s="966" t="e">
        <f t="shared" si="1006"/>
        <v>#VALUE!</v>
      </c>
    </row>
    <row r="1036" spans="1:71">
      <c r="A1036" s="284">
        <f t="shared" si="1007"/>
        <v>968</v>
      </c>
      <c r="B1036" s="285">
        <v>-0.84795240998817967</v>
      </c>
      <c r="C1036" s="285">
        <v>2.2601008380050587</v>
      </c>
      <c r="D1036" s="285">
        <v>1.2682839838348321</v>
      </c>
      <c r="E1036" s="285">
        <v>-12.501857022308769</v>
      </c>
      <c r="H1036" s="685">
        <f t="shared" si="953"/>
        <v>-1.9811862517572345</v>
      </c>
      <c r="I1036" s="276">
        <f t="shared" si="954"/>
        <v>-4.2031387334675827</v>
      </c>
      <c r="J1036" s="276">
        <f t="shared" si="955"/>
        <v>-4.9760816404722084</v>
      </c>
      <c r="K1036" s="276">
        <f t="shared" si="956"/>
        <v>-1.8739186838160662</v>
      </c>
      <c r="L1036" s="276">
        <f t="shared" si="957"/>
        <v>-3.5912869614950242</v>
      </c>
      <c r="M1036" s="276">
        <f t="shared" si="958"/>
        <v>0.86132683390582798</v>
      </c>
      <c r="N1036" s="685">
        <f t="shared" si="959"/>
        <v>1.0529296270331903</v>
      </c>
      <c r="O1036" s="276">
        <f t="shared" si="960"/>
        <v>1.1101113205000341</v>
      </c>
      <c r="P1036" s="276">
        <f t="shared" si="961"/>
        <v>1.0835633267706337</v>
      </c>
      <c r="Q1036" s="276">
        <f t="shared" si="962"/>
        <v>0.69005967482184194</v>
      </c>
      <c r="R1036" s="276">
        <f t="shared" si="963"/>
        <v>0.97158802323132343</v>
      </c>
      <c r="S1036" s="686">
        <f t="shared" si="964"/>
        <v>1.9970295790249215</v>
      </c>
      <c r="T1036" s="685">
        <f t="shared" si="965"/>
        <v>4.546647674105758</v>
      </c>
      <c r="U1036" s="276">
        <f t="shared" si="966"/>
        <v>3.8164699967459694</v>
      </c>
      <c r="V1036" s="276">
        <f t="shared" si="967"/>
        <v>4.4273359198722915</v>
      </c>
      <c r="W1036" s="276">
        <f t="shared" si="968"/>
        <v>3.2721627858886508</v>
      </c>
      <c r="X1036" s="276">
        <f t="shared" si="969"/>
        <v>3.6413202091475103</v>
      </c>
      <c r="Y1036" s="686">
        <f t="shared" si="970"/>
        <v>4.3366329151750831</v>
      </c>
      <c r="Z1036" s="685" t="e">
        <f t="shared" si="971"/>
        <v>#DIV/0!</v>
      </c>
      <c r="AA1036" s="276" t="e">
        <f t="shared" si="972"/>
        <v>#DIV/0!</v>
      </c>
      <c r="AB1036" s="276" t="e">
        <f t="shared" si="973"/>
        <v>#DIV/0!</v>
      </c>
      <c r="AC1036" s="276" t="e">
        <f t="shared" si="974"/>
        <v>#DIV/0!</v>
      </c>
      <c r="AD1036" s="276" t="e">
        <f t="shared" si="975"/>
        <v>#DIV/0!</v>
      </c>
      <c r="AE1036" s="686" t="e">
        <f t="shared" si="976"/>
        <v>#DIV/0!</v>
      </c>
      <c r="AF1036" s="239"/>
      <c r="AG1036" s="965" t="e">
        <f t="shared" si="947"/>
        <v>#VALUE!</v>
      </c>
      <c r="AH1036" s="878" t="e">
        <f t="shared" si="948"/>
        <v>#VALUE!</v>
      </c>
      <c r="AI1036" s="878" t="e">
        <f t="shared" si="949"/>
        <v>#VALUE!</v>
      </c>
      <c r="AJ1036" s="878" t="e">
        <f t="shared" si="950"/>
        <v>#VALUE!</v>
      </c>
      <c r="AK1036" s="878" t="e">
        <f t="shared" si="951"/>
        <v>#VALUE!</v>
      </c>
      <c r="AL1036" s="966" t="e">
        <f t="shared" si="952"/>
        <v>#VALUE!</v>
      </c>
      <c r="AM1036" s="239"/>
      <c r="AO1036" s="685">
        <f t="shared" si="977"/>
        <v>-1.9811862517572345</v>
      </c>
      <c r="AP1036" s="276">
        <f t="shared" si="978"/>
        <v>-4.2031387334675827</v>
      </c>
      <c r="AQ1036" s="276">
        <f t="shared" si="979"/>
        <v>-4.9760816404722084</v>
      </c>
      <c r="AR1036" s="276">
        <f t="shared" si="980"/>
        <v>-1.8739186838160662</v>
      </c>
      <c r="AS1036" s="276">
        <f t="shared" si="981"/>
        <v>-3.5912869614950242</v>
      </c>
      <c r="AT1036" s="276">
        <f t="shared" si="982"/>
        <v>0.86132683390582798</v>
      </c>
      <c r="AU1036" s="685">
        <f t="shared" si="983"/>
        <v>1.0529296270331903</v>
      </c>
      <c r="AV1036" s="276">
        <f t="shared" si="984"/>
        <v>1.1101113205000341</v>
      </c>
      <c r="AW1036" s="276">
        <f t="shared" si="985"/>
        <v>1.0835633267706337</v>
      </c>
      <c r="AX1036" s="276">
        <f t="shared" si="986"/>
        <v>0.69005967482184194</v>
      </c>
      <c r="AY1036" s="276">
        <f t="shared" si="987"/>
        <v>0.97158802323132343</v>
      </c>
      <c r="AZ1036" s="686">
        <f t="shared" si="988"/>
        <v>1.9970295790249215</v>
      </c>
      <c r="BA1036" s="685">
        <f t="shared" si="989"/>
        <v>0</v>
      </c>
      <c r="BB1036" s="276">
        <f t="shared" si="990"/>
        <v>0</v>
      </c>
      <c r="BC1036" s="276">
        <f t="shared" si="991"/>
        <v>0</v>
      </c>
      <c r="BD1036" s="276">
        <f t="shared" si="992"/>
        <v>0</v>
      </c>
      <c r="BE1036" s="276">
        <f t="shared" si="993"/>
        <v>0</v>
      </c>
      <c r="BF1036" s="686">
        <f t="shared" si="994"/>
        <v>0</v>
      </c>
      <c r="BG1036" s="685" t="e">
        <f t="shared" si="995"/>
        <v>#DIV/0!</v>
      </c>
      <c r="BH1036" s="276" t="e">
        <f t="shared" si="996"/>
        <v>#DIV/0!</v>
      </c>
      <c r="BI1036" s="276" t="e">
        <f t="shared" si="997"/>
        <v>#DIV/0!</v>
      </c>
      <c r="BJ1036" s="276" t="e">
        <f t="shared" si="998"/>
        <v>#DIV/0!</v>
      </c>
      <c r="BK1036" s="276" t="e">
        <f t="shared" si="999"/>
        <v>#DIV/0!</v>
      </c>
      <c r="BL1036" s="686" t="e">
        <f t="shared" si="1000"/>
        <v>#DIV/0!</v>
      </c>
      <c r="BM1036" s="239"/>
      <c r="BN1036" s="965" t="e">
        <f t="shared" si="1001"/>
        <v>#VALUE!</v>
      </c>
      <c r="BO1036" s="878" t="e">
        <f t="shared" si="1002"/>
        <v>#VALUE!</v>
      </c>
      <c r="BP1036" s="878" t="e">
        <f t="shared" si="1003"/>
        <v>#VALUE!</v>
      </c>
      <c r="BQ1036" s="878" t="e">
        <f t="shared" si="1004"/>
        <v>#VALUE!</v>
      </c>
      <c r="BR1036" s="878" t="e">
        <f t="shared" si="1005"/>
        <v>#VALUE!</v>
      </c>
      <c r="BS1036" s="966" t="e">
        <f t="shared" si="1006"/>
        <v>#VALUE!</v>
      </c>
    </row>
    <row r="1037" spans="1:71">
      <c r="A1037" s="284">
        <f t="shared" si="1007"/>
        <v>969</v>
      </c>
      <c r="B1037" s="285">
        <v>3.0440393455129406</v>
      </c>
      <c r="C1037" s="285">
        <v>3.5795568738334671</v>
      </c>
      <c r="D1037" s="285">
        <v>1.0993851356125626</v>
      </c>
      <c r="E1037" s="285">
        <v>7.1312028783397352</v>
      </c>
      <c r="H1037" s="685">
        <f t="shared" si="953"/>
        <v>1.9108055037438858</v>
      </c>
      <c r="I1037" s="276">
        <f t="shared" si="954"/>
        <v>-1.0020208087011437</v>
      </c>
      <c r="J1037" s="276">
        <f t="shared" si="955"/>
        <v>1.5639461869051428</v>
      </c>
      <c r="K1037" s="276">
        <f t="shared" si="956"/>
        <v>-0.35743386140609568</v>
      </c>
      <c r="L1037" s="276">
        <f t="shared" si="957"/>
        <v>-6.126340279737752</v>
      </c>
      <c r="M1037" s="276">
        <f t="shared" si="958"/>
        <v>1.6757489524836922</v>
      </c>
      <c r="N1037" s="685">
        <f t="shared" si="959"/>
        <v>2.3723856628615989</v>
      </c>
      <c r="O1037" s="276">
        <f t="shared" si="960"/>
        <v>1.2778666606111144</v>
      </c>
      <c r="P1037" s="276">
        <f t="shared" si="961"/>
        <v>1.436133149932578</v>
      </c>
      <c r="Q1037" s="276">
        <f t="shared" si="962"/>
        <v>0.77326915913769834</v>
      </c>
      <c r="R1037" s="276">
        <f t="shared" si="963"/>
        <v>1.6466353441655255</v>
      </c>
      <c r="S1037" s="686">
        <f t="shared" si="964"/>
        <v>0.51127276911717723</v>
      </c>
      <c r="T1037" s="685">
        <f t="shared" si="965"/>
        <v>4.3777488258834882</v>
      </c>
      <c r="U1037" s="276">
        <f t="shared" si="966"/>
        <v>4.8711940154540097</v>
      </c>
      <c r="V1037" s="276">
        <f t="shared" si="967"/>
        <v>4.7032271828190346</v>
      </c>
      <c r="W1037" s="276">
        <f t="shared" si="968"/>
        <v>4.2035271245739967</v>
      </c>
      <c r="X1037" s="276">
        <f t="shared" si="969"/>
        <v>1.3286087772422088</v>
      </c>
      <c r="Y1037" s="686">
        <f t="shared" si="970"/>
        <v>6.4863907558602776</v>
      </c>
      <c r="Z1037" s="685" t="e">
        <f t="shared" si="971"/>
        <v>#DIV/0!</v>
      </c>
      <c r="AA1037" s="276" t="e">
        <f t="shared" si="972"/>
        <v>#DIV/0!</v>
      </c>
      <c r="AB1037" s="276" t="e">
        <f t="shared" si="973"/>
        <v>#DIV/0!</v>
      </c>
      <c r="AC1037" s="276" t="e">
        <f t="shared" si="974"/>
        <v>#DIV/0!</v>
      </c>
      <c r="AD1037" s="276" t="e">
        <f t="shared" si="975"/>
        <v>#DIV/0!</v>
      </c>
      <c r="AE1037" s="686" t="e">
        <f t="shared" si="976"/>
        <v>#DIV/0!</v>
      </c>
      <c r="AF1037" s="239"/>
      <c r="AG1037" s="965" t="e">
        <f t="shared" si="947"/>
        <v>#VALUE!</v>
      </c>
      <c r="AH1037" s="878" t="e">
        <f t="shared" si="948"/>
        <v>#VALUE!</v>
      </c>
      <c r="AI1037" s="878" t="e">
        <f t="shared" si="949"/>
        <v>#VALUE!</v>
      </c>
      <c r="AJ1037" s="878" t="e">
        <f t="shared" si="950"/>
        <v>#VALUE!</v>
      </c>
      <c r="AK1037" s="878" t="e">
        <f t="shared" si="951"/>
        <v>#VALUE!</v>
      </c>
      <c r="AL1037" s="966" t="e">
        <f t="shared" si="952"/>
        <v>#VALUE!</v>
      </c>
      <c r="AM1037" s="239"/>
      <c r="AO1037" s="685">
        <f t="shared" si="977"/>
        <v>1.9108055037438858</v>
      </c>
      <c r="AP1037" s="276">
        <f t="shared" si="978"/>
        <v>-1.0020208087011437</v>
      </c>
      <c r="AQ1037" s="276">
        <f t="shared" si="979"/>
        <v>1.5639461869051428</v>
      </c>
      <c r="AR1037" s="276">
        <f t="shared" si="980"/>
        <v>-0.35743386140609568</v>
      </c>
      <c r="AS1037" s="276">
        <f t="shared" si="981"/>
        <v>-6.126340279737752</v>
      </c>
      <c r="AT1037" s="276">
        <f t="shared" si="982"/>
        <v>1.6757489524836922</v>
      </c>
      <c r="AU1037" s="685">
        <f t="shared" si="983"/>
        <v>2.3723856628615989</v>
      </c>
      <c r="AV1037" s="276">
        <f t="shared" si="984"/>
        <v>1.2778666606111144</v>
      </c>
      <c r="AW1037" s="276">
        <f t="shared" si="985"/>
        <v>1.436133149932578</v>
      </c>
      <c r="AX1037" s="276">
        <f t="shared" si="986"/>
        <v>0.77326915913769834</v>
      </c>
      <c r="AY1037" s="276">
        <f t="shared" si="987"/>
        <v>1.6466353441655255</v>
      </c>
      <c r="AZ1037" s="686">
        <f t="shared" si="988"/>
        <v>0.51127276911717723</v>
      </c>
      <c r="BA1037" s="685">
        <f t="shared" si="989"/>
        <v>0</v>
      </c>
      <c r="BB1037" s="276">
        <f t="shared" si="990"/>
        <v>0</v>
      </c>
      <c r="BC1037" s="276">
        <f t="shared" si="991"/>
        <v>0</v>
      </c>
      <c r="BD1037" s="276">
        <f t="shared" si="992"/>
        <v>0</v>
      </c>
      <c r="BE1037" s="276">
        <f t="shared" si="993"/>
        <v>0</v>
      </c>
      <c r="BF1037" s="686">
        <f t="shared" si="994"/>
        <v>0</v>
      </c>
      <c r="BG1037" s="685" t="e">
        <f t="shared" si="995"/>
        <v>#DIV/0!</v>
      </c>
      <c r="BH1037" s="276" t="e">
        <f t="shared" si="996"/>
        <v>#DIV/0!</v>
      </c>
      <c r="BI1037" s="276" t="e">
        <f t="shared" si="997"/>
        <v>#DIV/0!</v>
      </c>
      <c r="BJ1037" s="276" t="e">
        <f t="shared" si="998"/>
        <v>#DIV/0!</v>
      </c>
      <c r="BK1037" s="276" t="e">
        <f t="shared" si="999"/>
        <v>#DIV/0!</v>
      </c>
      <c r="BL1037" s="686" t="e">
        <f t="shared" si="1000"/>
        <v>#DIV/0!</v>
      </c>
      <c r="BM1037" s="239"/>
      <c r="BN1037" s="965" t="e">
        <f t="shared" si="1001"/>
        <v>#VALUE!</v>
      </c>
      <c r="BO1037" s="878" t="e">
        <f t="shared" si="1002"/>
        <v>#VALUE!</v>
      </c>
      <c r="BP1037" s="878" t="e">
        <f t="shared" si="1003"/>
        <v>#VALUE!</v>
      </c>
      <c r="BQ1037" s="878" t="e">
        <f t="shared" si="1004"/>
        <v>#VALUE!</v>
      </c>
      <c r="BR1037" s="878" t="e">
        <f t="shared" si="1005"/>
        <v>#VALUE!</v>
      </c>
      <c r="BS1037" s="966" t="e">
        <f t="shared" si="1006"/>
        <v>#VALUE!</v>
      </c>
    </row>
    <row r="1038" spans="1:71">
      <c r="A1038" s="284">
        <f t="shared" si="1007"/>
        <v>970</v>
      </c>
      <c r="B1038" s="285">
        <v>-3.7777493224464878</v>
      </c>
      <c r="C1038" s="285">
        <v>2.1885995314474957</v>
      </c>
      <c r="D1038" s="285">
        <v>0.83642730243870167</v>
      </c>
      <c r="E1038" s="285">
        <v>7.6299045023989578</v>
      </c>
      <c r="H1038" s="685">
        <f t="shared" si="953"/>
        <v>-4.9109831642155424</v>
      </c>
      <c r="I1038" s="276">
        <f t="shared" si="954"/>
        <v>-5.1753655077920193</v>
      </c>
      <c r="J1038" s="276">
        <f t="shared" si="955"/>
        <v>1.9251869281932932</v>
      </c>
      <c r="K1038" s="276">
        <f t="shared" si="956"/>
        <v>-2.7565598520319092</v>
      </c>
      <c r="L1038" s="276">
        <f t="shared" si="957"/>
        <v>-3.1000476712331744</v>
      </c>
      <c r="M1038" s="276">
        <f t="shared" si="958"/>
        <v>-4.9908076273514839</v>
      </c>
      <c r="N1038" s="685">
        <f t="shared" si="959"/>
        <v>0.98142832047562734</v>
      </c>
      <c r="O1038" s="276">
        <f t="shared" si="960"/>
        <v>0.71305060053608993</v>
      </c>
      <c r="P1038" s="276">
        <f t="shared" si="961"/>
        <v>1.562107294560892</v>
      </c>
      <c r="Q1038" s="276">
        <f t="shared" si="962"/>
        <v>1.161275482995771</v>
      </c>
      <c r="R1038" s="276">
        <f t="shared" si="963"/>
        <v>1.4053951806006457</v>
      </c>
      <c r="S1038" s="686">
        <f t="shared" si="964"/>
        <v>0.90110697375768489</v>
      </c>
      <c r="T1038" s="685">
        <f t="shared" si="965"/>
        <v>4.1147909927096276</v>
      </c>
      <c r="U1038" s="276">
        <f t="shared" si="966"/>
        <v>3.5910217475603421</v>
      </c>
      <c r="V1038" s="276">
        <f t="shared" si="967"/>
        <v>4.8750352295087662</v>
      </c>
      <c r="W1038" s="276">
        <f t="shared" si="968"/>
        <v>5.418860222261797</v>
      </c>
      <c r="X1038" s="276">
        <f t="shared" si="969"/>
        <v>2.5254642740034536</v>
      </c>
      <c r="Y1038" s="686">
        <f t="shared" si="970"/>
        <v>4.0068823156392988</v>
      </c>
      <c r="Z1038" s="685" t="e">
        <f t="shared" si="971"/>
        <v>#DIV/0!</v>
      </c>
      <c r="AA1038" s="276" t="e">
        <f t="shared" si="972"/>
        <v>#DIV/0!</v>
      </c>
      <c r="AB1038" s="276" t="e">
        <f t="shared" si="973"/>
        <v>#DIV/0!</v>
      </c>
      <c r="AC1038" s="276" t="e">
        <f t="shared" si="974"/>
        <v>#DIV/0!</v>
      </c>
      <c r="AD1038" s="276" t="e">
        <f t="shared" si="975"/>
        <v>#DIV/0!</v>
      </c>
      <c r="AE1038" s="686" t="e">
        <f t="shared" si="976"/>
        <v>#DIV/0!</v>
      </c>
      <c r="AF1038" s="239"/>
      <c r="AG1038" s="965" t="e">
        <f t="shared" si="947"/>
        <v>#VALUE!</v>
      </c>
      <c r="AH1038" s="878" t="e">
        <f t="shared" si="948"/>
        <v>#VALUE!</v>
      </c>
      <c r="AI1038" s="878" t="e">
        <f t="shared" si="949"/>
        <v>#VALUE!</v>
      </c>
      <c r="AJ1038" s="878" t="e">
        <f t="shared" si="950"/>
        <v>#VALUE!</v>
      </c>
      <c r="AK1038" s="878" t="e">
        <f t="shared" si="951"/>
        <v>#VALUE!</v>
      </c>
      <c r="AL1038" s="966" t="e">
        <f t="shared" si="952"/>
        <v>#VALUE!</v>
      </c>
      <c r="AM1038" s="239"/>
      <c r="AO1038" s="685">
        <f t="shared" si="977"/>
        <v>-4.9109831642155424</v>
      </c>
      <c r="AP1038" s="276">
        <f t="shared" si="978"/>
        <v>-5.1753655077920193</v>
      </c>
      <c r="AQ1038" s="276">
        <f t="shared" si="979"/>
        <v>1.9251869281932932</v>
      </c>
      <c r="AR1038" s="276">
        <f t="shared" si="980"/>
        <v>-2.7565598520319092</v>
      </c>
      <c r="AS1038" s="276">
        <f t="shared" si="981"/>
        <v>-3.1000476712331744</v>
      </c>
      <c r="AT1038" s="276">
        <f t="shared" si="982"/>
        <v>-4.9908076273514839</v>
      </c>
      <c r="AU1038" s="685">
        <f t="shared" si="983"/>
        <v>0.98142832047562734</v>
      </c>
      <c r="AV1038" s="276">
        <f t="shared" si="984"/>
        <v>0.71305060053608993</v>
      </c>
      <c r="AW1038" s="276">
        <f t="shared" si="985"/>
        <v>1.562107294560892</v>
      </c>
      <c r="AX1038" s="276">
        <f t="shared" si="986"/>
        <v>1.161275482995771</v>
      </c>
      <c r="AY1038" s="276">
        <f t="shared" si="987"/>
        <v>1.4053951806006457</v>
      </c>
      <c r="AZ1038" s="686">
        <f t="shared" si="988"/>
        <v>0.90110697375768489</v>
      </c>
      <c r="BA1038" s="685">
        <f t="shared" si="989"/>
        <v>0</v>
      </c>
      <c r="BB1038" s="276">
        <f t="shared" si="990"/>
        <v>0</v>
      </c>
      <c r="BC1038" s="276">
        <f t="shared" si="991"/>
        <v>0</v>
      </c>
      <c r="BD1038" s="276">
        <f t="shared" si="992"/>
        <v>0</v>
      </c>
      <c r="BE1038" s="276">
        <f t="shared" si="993"/>
        <v>0</v>
      </c>
      <c r="BF1038" s="686">
        <f t="shared" si="994"/>
        <v>0</v>
      </c>
      <c r="BG1038" s="685" t="e">
        <f t="shared" si="995"/>
        <v>#DIV/0!</v>
      </c>
      <c r="BH1038" s="276" t="e">
        <f t="shared" si="996"/>
        <v>#DIV/0!</v>
      </c>
      <c r="BI1038" s="276" t="e">
        <f t="shared" si="997"/>
        <v>#DIV/0!</v>
      </c>
      <c r="BJ1038" s="276" t="e">
        <f t="shared" si="998"/>
        <v>#DIV/0!</v>
      </c>
      <c r="BK1038" s="276" t="e">
        <f t="shared" si="999"/>
        <v>#DIV/0!</v>
      </c>
      <c r="BL1038" s="686" t="e">
        <f t="shared" si="1000"/>
        <v>#DIV/0!</v>
      </c>
      <c r="BM1038" s="239"/>
      <c r="BN1038" s="965" t="e">
        <f t="shared" si="1001"/>
        <v>#VALUE!</v>
      </c>
      <c r="BO1038" s="878" t="e">
        <f t="shared" si="1002"/>
        <v>#VALUE!</v>
      </c>
      <c r="BP1038" s="878" t="e">
        <f t="shared" si="1003"/>
        <v>#VALUE!</v>
      </c>
      <c r="BQ1038" s="878" t="e">
        <f t="shared" si="1004"/>
        <v>#VALUE!</v>
      </c>
      <c r="BR1038" s="878" t="e">
        <f t="shared" si="1005"/>
        <v>#VALUE!</v>
      </c>
      <c r="BS1038" s="966" t="e">
        <f t="shared" si="1006"/>
        <v>#VALUE!</v>
      </c>
    </row>
    <row r="1039" spans="1:71">
      <c r="A1039" s="284">
        <f t="shared" si="1007"/>
        <v>971</v>
      </c>
      <c r="B1039" s="285">
        <v>-0.49491033793449246</v>
      </c>
      <c r="C1039" s="285">
        <v>2.1052664547765954</v>
      </c>
      <c r="D1039" s="285">
        <v>2.5557675362217549</v>
      </c>
      <c r="E1039" s="285">
        <v>-4.2721678903942077</v>
      </c>
      <c r="H1039" s="685">
        <f t="shared" si="953"/>
        <v>-1.6281441797035474</v>
      </c>
      <c r="I1039" s="276">
        <f t="shared" si="954"/>
        <v>-4.7981329212107378</v>
      </c>
      <c r="J1039" s="276">
        <f t="shared" si="955"/>
        <v>-3.7954305074660386</v>
      </c>
      <c r="K1039" s="276">
        <f t="shared" si="956"/>
        <v>0.70555318258597466</v>
      </c>
      <c r="L1039" s="276">
        <f t="shared" si="957"/>
        <v>-1.1240080508785022</v>
      </c>
      <c r="M1039" s="276">
        <f t="shared" si="958"/>
        <v>-2.8605159502767092</v>
      </c>
      <c r="N1039" s="685">
        <f t="shared" si="959"/>
        <v>0.89809524380472694</v>
      </c>
      <c r="O1039" s="276">
        <f t="shared" si="960"/>
        <v>0.96234875025702027</v>
      </c>
      <c r="P1039" s="276">
        <f t="shared" si="961"/>
        <v>1.2474500739855372</v>
      </c>
      <c r="Q1039" s="276">
        <f t="shared" si="962"/>
        <v>2.0852347351183589</v>
      </c>
      <c r="R1039" s="276">
        <f t="shared" si="963"/>
        <v>1.2752144019887275</v>
      </c>
      <c r="S1039" s="686">
        <f t="shared" si="964"/>
        <v>0.32624072703006446</v>
      </c>
      <c r="T1039" s="685">
        <f t="shared" si="965"/>
        <v>5.8341312264926808</v>
      </c>
      <c r="U1039" s="276">
        <f t="shared" si="966"/>
        <v>2.6537117849521197</v>
      </c>
      <c r="V1039" s="276">
        <f t="shared" si="967"/>
        <v>3.7771382115052683</v>
      </c>
      <c r="W1039" s="276">
        <f t="shared" si="968"/>
        <v>4.0867978783539911</v>
      </c>
      <c r="X1039" s="276">
        <f t="shared" si="969"/>
        <v>6.208263624823898</v>
      </c>
      <c r="Y1039" s="686">
        <f t="shared" si="970"/>
        <v>6.6392503996047765</v>
      </c>
      <c r="Z1039" s="685" t="e">
        <f t="shared" si="971"/>
        <v>#DIV/0!</v>
      </c>
      <c r="AA1039" s="276" t="e">
        <f t="shared" si="972"/>
        <v>#DIV/0!</v>
      </c>
      <c r="AB1039" s="276" t="e">
        <f t="shared" si="973"/>
        <v>#DIV/0!</v>
      </c>
      <c r="AC1039" s="276" t="e">
        <f t="shared" si="974"/>
        <v>#DIV/0!</v>
      </c>
      <c r="AD1039" s="276" t="e">
        <f t="shared" si="975"/>
        <v>#DIV/0!</v>
      </c>
      <c r="AE1039" s="686" t="e">
        <f t="shared" si="976"/>
        <v>#DIV/0!</v>
      </c>
      <c r="AF1039" s="239"/>
      <c r="AG1039" s="965" t="e">
        <f t="shared" si="947"/>
        <v>#VALUE!</v>
      </c>
      <c r="AH1039" s="878" t="e">
        <f t="shared" si="948"/>
        <v>#VALUE!</v>
      </c>
      <c r="AI1039" s="878" t="e">
        <f t="shared" si="949"/>
        <v>#VALUE!</v>
      </c>
      <c r="AJ1039" s="878" t="e">
        <f t="shared" si="950"/>
        <v>#VALUE!</v>
      </c>
      <c r="AK1039" s="878" t="e">
        <f t="shared" si="951"/>
        <v>#VALUE!</v>
      </c>
      <c r="AL1039" s="966" t="e">
        <f t="shared" si="952"/>
        <v>#VALUE!</v>
      </c>
      <c r="AM1039" s="239"/>
      <c r="AO1039" s="685">
        <f t="shared" si="977"/>
        <v>-1.6281441797035474</v>
      </c>
      <c r="AP1039" s="276">
        <f t="shared" si="978"/>
        <v>-4.7981329212107378</v>
      </c>
      <c r="AQ1039" s="276">
        <f t="shared" si="979"/>
        <v>-3.7954305074660386</v>
      </c>
      <c r="AR1039" s="276">
        <f t="shared" si="980"/>
        <v>0.70555318258597466</v>
      </c>
      <c r="AS1039" s="276">
        <f t="shared" si="981"/>
        <v>-1.1240080508785022</v>
      </c>
      <c r="AT1039" s="276">
        <f t="shared" si="982"/>
        <v>-2.8605159502767092</v>
      </c>
      <c r="AU1039" s="685">
        <f t="shared" si="983"/>
        <v>0.89809524380472694</v>
      </c>
      <c r="AV1039" s="276">
        <f t="shared" si="984"/>
        <v>0.96234875025702027</v>
      </c>
      <c r="AW1039" s="276">
        <f t="shared" si="985"/>
        <v>1.2474500739855372</v>
      </c>
      <c r="AX1039" s="276">
        <f t="shared" si="986"/>
        <v>2.0852347351183589</v>
      </c>
      <c r="AY1039" s="276">
        <f t="shared" si="987"/>
        <v>1.2752144019887275</v>
      </c>
      <c r="AZ1039" s="686">
        <f t="shared" si="988"/>
        <v>0.32624072703006446</v>
      </c>
      <c r="BA1039" s="685">
        <f t="shared" si="989"/>
        <v>0</v>
      </c>
      <c r="BB1039" s="276">
        <f t="shared" si="990"/>
        <v>0</v>
      </c>
      <c r="BC1039" s="276">
        <f t="shared" si="991"/>
        <v>0</v>
      </c>
      <c r="BD1039" s="276">
        <f t="shared" si="992"/>
        <v>0</v>
      </c>
      <c r="BE1039" s="276">
        <f t="shared" si="993"/>
        <v>0</v>
      </c>
      <c r="BF1039" s="686">
        <f t="shared" si="994"/>
        <v>0</v>
      </c>
      <c r="BG1039" s="685" t="e">
        <f t="shared" si="995"/>
        <v>#DIV/0!</v>
      </c>
      <c r="BH1039" s="276" t="e">
        <f t="shared" si="996"/>
        <v>#DIV/0!</v>
      </c>
      <c r="BI1039" s="276" t="e">
        <f t="shared" si="997"/>
        <v>#DIV/0!</v>
      </c>
      <c r="BJ1039" s="276" t="e">
        <f t="shared" si="998"/>
        <v>#DIV/0!</v>
      </c>
      <c r="BK1039" s="276" t="e">
        <f t="shared" si="999"/>
        <v>#DIV/0!</v>
      </c>
      <c r="BL1039" s="686" t="e">
        <f t="shared" si="1000"/>
        <v>#DIV/0!</v>
      </c>
      <c r="BM1039" s="239"/>
      <c r="BN1039" s="965" t="e">
        <f t="shared" si="1001"/>
        <v>#VALUE!</v>
      </c>
      <c r="BO1039" s="878" t="e">
        <f t="shared" si="1002"/>
        <v>#VALUE!</v>
      </c>
      <c r="BP1039" s="878" t="e">
        <f t="shared" si="1003"/>
        <v>#VALUE!</v>
      </c>
      <c r="BQ1039" s="878" t="e">
        <f t="shared" si="1004"/>
        <v>#VALUE!</v>
      </c>
      <c r="BR1039" s="878" t="e">
        <f t="shared" si="1005"/>
        <v>#VALUE!</v>
      </c>
      <c r="BS1039" s="966" t="e">
        <f t="shared" si="1006"/>
        <v>#VALUE!</v>
      </c>
    </row>
    <row r="1040" spans="1:71">
      <c r="A1040" s="284">
        <f t="shared" si="1007"/>
        <v>972</v>
      </c>
      <c r="B1040" s="285">
        <v>-1.1717449640208759</v>
      </c>
      <c r="C1040" s="285">
        <v>1.515349547829492</v>
      </c>
      <c r="D1040" s="285">
        <v>2.4091809482954738</v>
      </c>
      <c r="E1040" s="285">
        <v>-20.837073909527351</v>
      </c>
      <c r="H1040" s="685">
        <f t="shared" si="953"/>
        <v>-2.304978805789931</v>
      </c>
      <c r="I1040" s="276">
        <f t="shared" si="954"/>
        <v>-0.49732036353505793</v>
      </c>
      <c r="J1040" s="276">
        <f t="shared" si="955"/>
        <v>3.2048053069940092</v>
      </c>
      <c r="K1040" s="276">
        <f t="shared" si="956"/>
        <v>-3.4523439400458296</v>
      </c>
      <c r="L1040" s="276">
        <f t="shared" si="957"/>
        <v>-1.3996373294907596</v>
      </c>
      <c r="M1040" s="276">
        <f t="shared" si="958"/>
        <v>0.19629170969227738</v>
      </c>
      <c r="N1040" s="685">
        <f t="shared" si="959"/>
        <v>0.30817833685762364</v>
      </c>
      <c r="O1040" s="276">
        <f t="shared" si="960"/>
        <v>1.750269812425896</v>
      </c>
      <c r="P1040" s="276">
        <f t="shared" si="961"/>
        <v>2.409272725805554</v>
      </c>
      <c r="Q1040" s="276">
        <f t="shared" si="962"/>
        <v>1.2767389386202252</v>
      </c>
      <c r="R1040" s="276">
        <f t="shared" si="963"/>
        <v>1.5593509514198642</v>
      </c>
      <c r="S1040" s="686">
        <f t="shared" si="964"/>
        <v>1.463924343404561</v>
      </c>
      <c r="T1040" s="685">
        <f t="shared" si="965"/>
        <v>5.6875446385663997</v>
      </c>
      <c r="U1040" s="276">
        <f t="shared" si="966"/>
        <v>4.4554051489299011</v>
      </c>
      <c r="V1040" s="276">
        <f t="shared" si="967"/>
        <v>5.7230991252552954</v>
      </c>
      <c r="W1040" s="276">
        <f t="shared" si="968"/>
        <v>4.9752479951938255</v>
      </c>
      <c r="X1040" s="276">
        <f t="shared" si="969"/>
        <v>4.6175130229639443</v>
      </c>
      <c r="Y1040" s="686">
        <f t="shared" si="970"/>
        <v>3.6479759145277733</v>
      </c>
      <c r="Z1040" s="685" t="e">
        <f t="shared" si="971"/>
        <v>#DIV/0!</v>
      </c>
      <c r="AA1040" s="276" t="e">
        <f t="shared" si="972"/>
        <v>#DIV/0!</v>
      </c>
      <c r="AB1040" s="276" t="e">
        <f t="shared" si="973"/>
        <v>#DIV/0!</v>
      </c>
      <c r="AC1040" s="276" t="e">
        <f t="shared" si="974"/>
        <v>#DIV/0!</v>
      </c>
      <c r="AD1040" s="276" t="e">
        <f t="shared" si="975"/>
        <v>#DIV/0!</v>
      </c>
      <c r="AE1040" s="686" t="e">
        <f t="shared" si="976"/>
        <v>#DIV/0!</v>
      </c>
      <c r="AF1040" s="239"/>
      <c r="AG1040" s="965" t="e">
        <f t="shared" si="947"/>
        <v>#VALUE!</v>
      </c>
      <c r="AH1040" s="878" t="e">
        <f t="shared" si="948"/>
        <v>#VALUE!</v>
      </c>
      <c r="AI1040" s="878" t="e">
        <f t="shared" si="949"/>
        <v>#VALUE!</v>
      </c>
      <c r="AJ1040" s="878" t="e">
        <f t="shared" si="950"/>
        <v>#VALUE!</v>
      </c>
      <c r="AK1040" s="878" t="e">
        <f t="shared" si="951"/>
        <v>#VALUE!</v>
      </c>
      <c r="AL1040" s="966" t="e">
        <f t="shared" si="952"/>
        <v>#VALUE!</v>
      </c>
      <c r="AM1040" s="239"/>
      <c r="AO1040" s="685">
        <f t="shared" si="977"/>
        <v>-2.304978805789931</v>
      </c>
      <c r="AP1040" s="276">
        <f t="shared" si="978"/>
        <v>-0.49732036353505793</v>
      </c>
      <c r="AQ1040" s="276">
        <f t="shared" si="979"/>
        <v>3.2048053069940092</v>
      </c>
      <c r="AR1040" s="276">
        <f t="shared" si="980"/>
        <v>-3.4523439400458296</v>
      </c>
      <c r="AS1040" s="276">
        <f t="shared" si="981"/>
        <v>-1.3996373294907596</v>
      </c>
      <c r="AT1040" s="276">
        <f t="shared" si="982"/>
        <v>0.19629170969227738</v>
      </c>
      <c r="AU1040" s="685">
        <f t="shared" si="983"/>
        <v>0.30817833685762364</v>
      </c>
      <c r="AV1040" s="276">
        <f t="shared" si="984"/>
        <v>1.750269812425896</v>
      </c>
      <c r="AW1040" s="276">
        <f t="shared" si="985"/>
        <v>2.409272725805554</v>
      </c>
      <c r="AX1040" s="276">
        <f t="shared" si="986"/>
        <v>1.2767389386202252</v>
      </c>
      <c r="AY1040" s="276">
        <f t="shared" si="987"/>
        <v>1.5593509514198642</v>
      </c>
      <c r="AZ1040" s="686">
        <f t="shared" si="988"/>
        <v>1.463924343404561</v>
      </c>
      <c r="BA1040" s="685">
        <f t="shared" si="989"/>
        <v>0</v>
      </c>
      <c r="BB1040" s="276">
        <f t="shared" si="990"/>
        <v>0</v>
      </c>
      <c r="BC1040" s="276">
        <f t="shared" si="991"/>
        <v>0</v>
      </c>
      <c r="BD1040" s="276">
        <f t="shared" si="992"/>
        <v>0</v>
      </c>
      <c r="BE1040" s="276">
        <f t="shared" si="993"/>
        <v>0</v>
      </c>
      <c r="BF1040" s="686">
        <f t="shared" si="994"/>
        <v>0</v>
      </c>
      <c r="BG1040" s="685" t="e">
        <f t="shared" si="995"/>
        <v>#DIV/0!</v>
      </c>
      <c r="BH1040" s="276" t="e">
        <f t="shared" si="996"/>
        <v>#DIV/0!</v>
      </c>
      <c r="BI1040" s="276" t="e">
        <f t="shared" si="997"/>
        <v>#DIV/0!</v>
      </c>
      <c r="BJ1040" s="276" t="e">
        <f t="shared" si="998"/>
        <v>#DIV/0!</v>
      </c>
      <c r="BK1040" s="276" t="e">
        <f t="shared" si="999"/>
        <v>#DIV/0!</v>
      </c>
      <c r="BL1040" s="686" t="e">
        <f t="shared" si="1000"/>
        <v>#DIV/0!</v>
      </c>
      <c r="BM1040" s="239"/>
      <c r="BN1040" s="965" t="e">
        <f t="shared" si="1001"/>
        <v>#VALUE!</v>
      </c>
      <c r="BO1040" s="878" t="e">
        <f t="shared" si="1002"/>
        <v>#VALUE!</v>
      </c>
      <c r="BP1040" s="878" t="e">
        <f t="shared" si="1003"/>
        <v>#VALUE!</v>
      </c>
      <c r="BQ1040" s="878" t="e">
        <f t="shared" si="1004"/>
        <v>#VALUE!</v>
      </c>
      <c r="BR1040" s="878" t="e">
        <f t="shared" si="1005"/>
        <v>#VALUE!</v>
      </c>
      <c r="BS1040" s="966" t="e">
        <f t="shared" si="1006"/>
        <v>#VALUE!</v>
      </c>
    </row>
    <row r="1041" spans="1:71">
      <c r="A1041" s="284">
        <f t="shared" si="1007"/>
        <v>973</v>
      </c>
      <c r="B1041" s="285">
        <v>1.6527310182164225</v>
      </c>
      <c r="C1041" s="285">
        <v>2.2277132262455002</v>
      </c>
      <c r="D1041" s="285">
        <v>3.2611878721869001</v>
      </c>
      <c r="E1041" s="285">
        <v>-11.686298070496671</v>
      </c>
      <c r="H1041" s="685">
        <f t="shared" si="953"/>
        <v>0.5194971764473677</v>
      </c>
      <c r="I1041" s="276">
        <f t="shared" si="954"/>
        <v>0.42571435862688611</v>
      </c>
      <c r="J1041" s="276">
        <f t="shared" si="955"/>
        <v>1.1129297702633549</v>
      </c>
      <c r="K1041" s="276">
        <f t="shared" si="956"/>
        <v>3.2141640963168312</v>
      </c>
      <c r="L1041" s="276">
        <f t="shared" si="957"/>
        <v>-2.8678653614980654</v>
      </c>
      <c r="M1041" s="276">
        <f t="shared" si="958"/>
        <v>-2.7853865746805209</v>
      </c>
      <c r="N1041" s="685">
        <f t="shared" si="959"/>
        <v>1.0205420152736318</v>
      </c>
      <c r="O1041" s="276">
        <f t="shared" si="960"/>
        <v>1.6276014381001407</v>
      </c>
      <c r="P1041" s="276">
        <f t="shared" si="961"/>
        <v>1.881459057757368</v>
      </c>
      <c r="Q1041" s="276">
        <f t="shared" si="962"/>
        <v>1.2430026907910119</v>
      </c>
      <c r="R1041" s="276">
        <f t="shared" si="963"/>
        <v>0.71991432986096493</v>
      </c>
      <c r="S1041" s="686">
        <f t="shared" si="964"/>
        <v>0.95466931031821001</v>
      </c>
      <c r="T1041" s="685">
        <f t="shared" si="965"/>
        <v>6.5395515624578255</v>
      </c>
      <c r="U1041" s="276">
        <f t="shared" si="966"/>
        <v>5.284869991543335</v>
      </c>
      <c r="V1041" s="276">
        <f t="shared" si="967"/>
        <v>6.6706481035152585</v>
      </c>
      <c r="W1041" s="276">
        <f t="shared" si="968"/>
        <v>4.2909746174513534</v>
      </c>
      <c r="X1041" s="276">
        <f t="shared" si="969"/>
        <v>5.6352468627249559</v>
      </c>
      <c r="Y1041" s="686">
        <f t="shared" si="970"/>
        <v>3.5627884149327613</v>
      </c>
      <c r="Z1041" s="685" t="e">
        <f t="shared" si="971"/>
        <v>#DIV/0!</v>
      </c>
      <c r="AA1041" s="276" t="e">
        <f t="shared" si="972"/>
        <v>#DIV/0!</v>
      </c>
      <c r="AB1041" s="276" t="e">
        <f t="shared" si="973"/>
        <v>#DIV/0!</v>
      </c>
      <c r="AC1041" s="276" t="e">
        <f t="shared" si="974"/>
        <v>#DIV/0!</v>
      </c>
      <c r="AD1041" s="276" t="e">
        <f t="shared" si="975"/>
        <v>#DIV/0!</v>
      </c>
      <c r="AE1041" s="686" t="e">
        <f t="shared" si="976"/>
        <v>#DIV/0!</v>
      </c>
      <c r="AF1041" s="239"/>
      <c r="AG1041" s="965" t="e">
        <f t="shared" si="947"/>
        <v>#VALUE!</v>
      </c>
      <c r="AH1041" s="878" t="e">
        <f t="shared" si="948"/>
        <v>#VALUE!</v>
      </c>
      <c r="AI1041" s="878" t="e">
        <f t="shared" si="949"/>
        <v>#VALUE!</v>
      </c>
      <c r="AJ1041" s="878" t="e">
        <f t="shared" si="950"/>
        <v>#VALUE!</v>
      </c>
      <c r="AK1041" s="878" t="e">
        <f t="shared" si="951"/>
        <v>#VALUE!</v>
      </c>
      <c r="AL1041" s="966" t="e">
        <f t="shared" si="952"/>
        <v>#VALUE!</v>
      </c>
      <c r="AM1041" s="239"/>
      <c r="AO1041" s="685">
        <f t="shared" si="977"/>
        <v>0.5194971764473677</v>
      </c>
      <c r="AP1041" s="276">
        <f t="shared" si="978"/>
        <v>0.42571435862688611</v>
      </c>
      <c r="AQ1041" s="276">
        <f t="shared" si="979"/>
        <v>1.1129297702633549</v>
      </c>
      <c r="AR1041" s="276">
        <f t="shared" si="980"/>
        <v>3.2141640963168312</v>
      </c>
      <c r="AS1041" s="276">
        <f t="shared" si="981"/>
        <v>-2.8678653614980654</v>
      </c>
      <c r="AT1041" s="276">
        <f t="shared" si="982"/>
        <v>-2.7853865746805209</v>
      </c>
      <c r="AU1041" s="685">
        <f t="shared" si="983"/>
        <v>1.0205420152736318</v>
      </c>
      <c r="AV1041" s="276">
        <f t="shared" si="984"/>
        <v>1.6276014381001407</v>
      </c>
      <c r="AW1041" s="276">
        <f t="shared" si="985"/>
        <v>1.881459057757368</v>
      </c>
      <c r="AX1041" s="276">
        <f t="shared" si="986"/>
        <v>1.2430026907910119</v>
      </c>
      <c r="AY1041" s="276">
        <f t="shared" si="987"/>
        <v>0.71991432986096493</v>
      </c>
      <c r="AZ1041" s="686">
        <f t="shared" si="988"/>
        <v>0.95466931031821001</v>
      </c>
      <c r="BA1041" s="685">
        <f t="shared" si="989"/>
        <v>0</v>
      </c>
      <c r="BB1041" s="276">
        <f t="shared" si="990"/>
        <v>0</v>
      </c>
      <c r="BC1041" s="276">
        <f t="shared" si="991"/>
        <v>0</v>
      </c>
      <c r="BD1041" s="276">
        <f t="shared" si="992"/>
        <v>0</v>
      </c>
      <c r="BE1041" s="276">
        <f t="shared" si="993"/>
        <v>0</v>
      </c>
      <c r="BF1041" s="686">
        <f t="shared" si="994"/>
        <v>0</v>
      </c>
      <c r="BG1041" s="685" t="e">
        <f t="shared" si="995"/>
        <v>#DIV/0!</v>
      </c>
      <c r="BH1041" s="276" t="e">
        <f t="shared" si="996"/>
        <v>#DIV/0!</v>
      </c>
      <c r="BI1041" s="276" t="e">
        <f t="shared" si="997"/>
        <v>#DIV/0!</v>
      </c>
      <c r="BJ1041" s="276" t="e">
        <f t="shared" si="998"/>
        <v>#DIV/0!</v>
      </c>
      <c r="BK1041" s="276" t="e">
        <f t="shared" si="999"/>
        <v>#DIV/0!</v>
      </c>
      <c r="BL1041" s="686" t="e">
        <f t="shared" si="1000"/>
        <v>#DIV/0!</v>
      </c>
      <c r="BM1041" s="239"/>
      <c r="BN1041" s="965" t="e">
        <f t="shared" si="1001"/>
        <v>#VALUE!</v>
      </c>
      <c r="BO1041" s="878" t="e">
        <f t="shared" si="1002"/>
        <v>#VALUE!</v>
      </c>
      <c r="BP1041" s="878" t="e">
        <f t="shared" si="1003"/>
        <v>#VALUE!</v>
      </c>
      <c r="BQ1041" s="878" t="e">
        <f t="shared" si="1004"/>
        <v>#VALUE!</v>
      </c>
      <c r="BR1041" s="878" t="e">
        <f t="shared" si="1005"/>
        <v>#VALUE!</v>
      </c>
      <c r="BS1041" s="966" t="e">
        <f t="shared" si="1006"/>
        <v>#VALUE!</v>
      </c>
    </row>
    <row r="1042" spans="1:71">
      <c r="A1042" s="284">
        <f t="shared" si="1007"/>
        <v>974</v>
      </c>
      <c r="B1042" s="285">
        <v>-1.4660959085004885</v>
      </c>
      <c r="C1042" s="285">
        <v>2.1220605419792022</v>
      </c>
      <c r="D1042" s="285">
        <v>0.95205240048924233</v>
      </c>
      <c r="E1042" s="285">
        <v>-16.375996013228214</v>
      </c>
      <c r="H1042" s="685">
        <f t="shared" si="953"/>
        <v>-2.5993297502695434</v>
      </c>
      <c r="I1042" s="276">
        <f t="shared" si="954"/>
        <v>2.6804529229490281</v>
      </c>
      <c r="J1042" s="276">
        <f t="shared" si="955"/>
        <v>0.51596090064615097</v>
      </c>
      <c r="K1042" s="276">
        <f t="shared" si="956"/>
        <v>-1.0713366357938159</v>
      </c>
      <c r="L1042" s="276">
        <f t="shared" si="957"/>
        <v>2.5818903208242698</v>
      </c>
      <c r="M1042" s="276">
        <f t="shared" si="958"/>
        <v>-1.2266604237219145</v>
      </c>
      <c r="N1042" s="685">
        <f t="shared" si="959"/>
        <v>0.91488933100733383</v>
      </c>
      <c r="O1042" s="276">
        <f t="shared" si="960"/>
        <v>1.1547282528162801</v>
      </c>
      <c r="P1042" s="276">
        <f t="shared" si="961"/>
        <v>1.024238118757874</v>
      </c>
      <c r="Q1042" s="276">
        <f t="shared" si="962"/>
        <v>1.5741620615324854</v>
      </c>
      <c r="R1042" s="276">
        <f t="shared" si="963"/>
        <v>1.4985501481083354</v>
      </c>
      <c r="S1042" s="686">
        <f t="shared" si="964"/>
        <v>1.2196925383261068</v>
      </c>
      <c r="T1042" s="685">
        <f t="shared" si="965"/>
        <v>4.2304160907601682</v>
      </c>
      <c r="U1042" s="276">
        <f t="shared" si="966"/>
        <v>7.7975857675345974</v>
      </c>
      <c r="V1042" s="276">
        <f t="shared" si="967"/>
        <v>4.3992191566197771</v>
      </c>
      <c r="W1042" s="276">
        <f t="shared" si="968"/>
        <v>4.3696620468201788</v>
      </c>
      <c r="X1042" s="276">
        <f t="shared" si="969"/>
        <v>5.2482322532324579</v>
      </c>
      <c r="Y1042" s="686">
        <f t="shared" si="970"/>
        <v>3.9365154830568558</v>
      </c>
      <c r="Z1042" s="685" t="e">
        <f t="shared" si="971"/>
        <v>#DIV/0!</v>
      </c>
      <c r="AA1042" s="276" t="e">
        <f t="shared" si="972"/>
        <v>#DIV/0!</v>
      </c>
      <c r="AB1042" s="276" t="e">
        <f t="shared" si="973"/>
        <v>#DIV/0!</v>
      </c>
      <c r="AC1042" s="276" t="e">
        <f t="shared" si="974"/>
        <v>#DIV/0!</v>
      </c>
      <c r="AD1042" s="276" t="e">
        <f t="shared" si="975"/>
        <v>#DIV/0!</v>
      </c>
      <c r="AE1042" s="686" t="e">
        <f t="shared" si="976"/>
        <v>#DIV/0!</v>
      </c>
      <c r="AF1042" s="239"/>
      <c r="AG1042" s="965" t="e">
        <f t="shared" si="947"/>
        <v>#VALUE!</v>
      </c>
      <c r="AH1042" s="878" t="e">
        <f t="shared" si="948"/>
        <v>#VALUE!</v>
      </c>
      <c r="AI1042" s="878" t="e">
        <f t="shared" si="949"/>
        <v>#VALUE!</v>
      </c>
      <c r="AJ1042" s="878" t="e">
        <f t="shared" si="950"/>
        <v>#VALUE!</v>
      </c>
      <c r="AK1042" s="878" t="e">
        <f t="shared" si="951"/>
        <v>#VALUE!</v>
      </c>
      <c r="AL1042" s="966" t="e">
        <f t="shared" si="952"/>
        <v>#VALUE!</v>
      </c>
      <c r="AM1042" s="239"/>
      <c r="AO1042" s="685">
        <f t="shared" si="977"/>
        <v>-2.5993297502695434</v>
      </c>
      <c r="AP1042" s="276">
        <f t="shared" si="978"/>
        <v>2.6804529229490281</v>
      </c>
      <c r="AQ1042" s="276">
        <f t="shared" si="979"/>
        <v>0.51596090064615097</v>
      </c>
      <c r="AR1042" s="276">
        <f t="shared" si="980"/>
        <v>-1.0713366357938159</v>
      </c>
      <c r="AS1042" s="276">
        <f t="shared" si="981"/>
        <v>2.5818903208242698</v>
      </c>
      <c r="AT1042" s="276">
        <f t="shared" si="982"/>
        <v>-1.2266604237219145</v>
      </c>
      <c r="AU1042" s="685">
        <f t="shared" si="983"/>
        <v>0.91488933100733383</v>
      </c>
      <c r="AV1042" s="276">
        <f t="shared" si="984"/>
        <v>1.1547282528162801</v>
      </c>
      <c r="AW1042" s="276">
        <f t="shared" si="985"/>
        <v>1.024238118757874</v>
      </c>
      <c r="AX1042" s="276">
        <f t="shared" si="986"/>
        <v>1.5741620615324854</v>
      </c>
      <c r="AY1042" s="276">
        <f t="shared" si="987"/>
        <v>1.4985501481083354</v>
      </c>
      <c r="AZ1042" s="686">
        <f t="shared" si="988"/>
        <v>1.2196925383261068</v>
      </c>
      <c r="BA1042" s="685">
        <f t="shared" si="989"/>
        <v>0</v>
      </c>
      <c r="BB1042" s="276">
        <f t="shared" si="990"/>
        <v>0</v>
      </c>
      <c r="BC1042" s="276">
        <f t="shared" si="991"/>
        <v>0</v>
      </c>
      <c r="BD1042" s="276">
        <f t="shared" si="992"/>
        <v>0</v>
      </c>
      <c r="BE1042" s="276">
        <f t="shared" si="993"/>
        <v>0</v>
      </c>
      <c r="BF1042" s="686">
        <f t="shared" si="994"/>
        <v>0</v>
      </c>
      <c r="BG1042" s="685" t="e">
        <f t="shared" si="995"/>
        <v>#DIV/0!</v>
      </c>
      <c r="BH1042" s="276" t="e">
        <f t="shared" si="996"/>
        <v>#DIV/0!</v>
      </c>
      <c r="BI1042" s="276" t="e">
        <f t="shared" si="997"/>
        <v>#DIV/0!</v>
      </c>
      <c r="BJ1042" s="276" t="e">
        <f t="shared" si="998"/>
        <v>#DIV/0!</v>
      </c>
      <c r="BK1042" s="276" t="e">
        <f t="shared" si="999"/>
        <v>#DIV/0!</v>
      </c>
      <c r="BL1042" s="686" t="e">
        <f t="shared" si="1000"/>
        <v>#DIV/0!</v>
      </c>
      <c r="BM1042" s="239"/>
      <c r="BN1042" s="965" t="e">
        <f t="shared" si="1001"/>
        <v>#VALUE!</v>
      </c>
      <c r="BO1042" s="878" t="e">
        <f t="shared" si="1002"/>
        <v>#VALUE!</v>
      </c>
      <c r="BP1042" s="878" t="e">
        <f t="shared" si="1003"/>
        <v>#VALUE!</v>
      </c>
      <c r="BQ1042" s="878" t="e">
        <f t="shared" si="1004"/>
        <v>#VALUE!</v>
      </c>
      <c r="BR1042" s="878" t="e">
        <f t="shared" si="1005"/>
        <v>#VALUE!</v>
      </c>
      <c r="BS1042" s="966" t="e">
        <f t="shared" si="1006"/>
        <v>#VALUE!</v>
      </c>
    </row>
    <row r="1043" spans="1:71">
      <c r="A1043" s="284">
        <f t="shared" si="1007"/>
        <v>975</v>
      </c>
      <c r="B1043" s="285">
        <v>1.34313672617637</v>
      </c>
      <c r="C1043" s="285">
        <v>2.8620477158296289</v>
      </c>
      <c r="D1043" s="285">
        <v>1.92346480037574</v>
      </c>
      <c r="E1043" s="285">
        <v>-1.0845483155284807</v>
      </c>
      <c r="H1043" s="685">
        <f t="shared" si="953"/>
        <v>0.20990288440731519</v>
      </c>
      <c r="I1043" s="276">
        <f t="shared" si="954"/>
        <v>-0.79133940659070001</v>
      </c>
      <c r="J1043" s="276">
        <f t="shared" si="955"/>
        <v>-2.7369732292283375</v>
      </c>
      <c r="K1043" s="276">
        <f t="shared" si="956"/>
        <v>0.66902237700853484</v>
      </c>
      <c r="L1043" s="276">
        <f t="shared" si="957"/>
        <v>-1.1707802360081687</v>
      </c>
      <c r="M1043" s="276">
        <f t="shared" si="958"/>
        <v>1.0338683257529924</v>
      </c>
      <c r="N1043" s="685">
        <f t="shared" si="959"/>
        <v>1.6548765048577605</v>
      </c>
      <c r="O1043" s="276">
        <f t="shared" si="960"/>
        <v>0.648158590860757</v>
      </c>
      <c r="P1043" s="276">
        <f t="shared" si="961"/>
        <v>1.2848646072653207</v>
      </c>
      <c r="Q1043" s="276">
        <f t="shared" si="962"/>
        <v>1.6363353366281232</v>
      </c>
      <c r="R1043" s="276">
        <f t="shared" si="963"/>
        <v>1.4220317396831701</v>
      </c>
      <c r="S1043" s="686">
        <f t="shared" si="964"/>
        <v>1.6122057812994208</v>
      </c>
      <c r="T1043" s="685">
        <f t="shared" si="965"/>
        <v>5.2018284906466654</v>
      </c>
      <c r="U1043" s="276">
        <f t="shared" si="966"/>
        <v>4.0797447315763202</v>
      </c>
      <c r="V1043" s="276">
        <f t="shared" si="967"/>
        <v>3.3046975355662225</v>
      </c>
      <c r="W1043" s="276">
        <f t="shared" si="968"/>
        <v>4.4414712735023736</v>
      </c>
      <c r="X1043" s="276">
        <f t="shared" si="969"/>
        <v>3.5202306937973828</v>
      </c>
      <c r="Y1043" s="686">
        <f t="shared" si="970"/>
        <v>5.6834954456998172</v>
      </c>
      <c r="Z1043" s="685" t="e">
        <f t="shared" si="971"/>
        <v>#DIV/0!</v>
      </c>
      <c r="AA1043" s="276" t="e">
        <f t="shared" si="972"/>
        <v>#DIV/0!</v>
      </c>
      <c r="AB1043" s="276" t="e">
        <f t="shared" si="973"/>
        <v>#DIV/0!</v>
      </c>
      <c r="AC1043" s="276" t="e">
        <f t="shared" si="974"/>
        <v>#DIV/0!</v>
      </c>
      <c r="AD1043" s="276" t="e">
        <f t="shared" si="975"/>
        <v>#DIV/0!</v>
      </c>
      <c r="AE1043" s="686" t="e">
        <f t="shared" si="976"/>
        <v>#DIV/0!</v>
      </c>
      <c r="AF1043" s="239"/>
      <c r="AG1043" s="965" t="e">
        <f t="shared" si="947"/>
        <v>#VALUE!</v>
      </c>
      <c r="AH1043" s="878" t="e">
        <f t="shared" si="948"/>
        <v>#VALUE!</v>
      </c>
      <c r="AI1043" s="878" t="e">
        <f t="shared" si="949"/>
        <v>#VALUE!</v>
      </c>
      <c r="AJ1043" s="878" t="e">
        <f t="shared" si="950"/>
        <v>#VALUE!</v>
      </c>
      <c r="AK1043" s="878" t="e">
        <f t="shared" si="951"/>
        <v>#VALUE!</v>
      </c>
      <c r="AL1043" s="966" t="e">
        <f t="shared" si="952"/>
        <v>#VALUE!</v>
      </c>
      <c r="AM1043" s="239"/>
      <c r="AO1043" s="685">
        <f t="shared" si="977"/>
        <v>0.20990288440731519</v>
      </c>
      <c r="AP1043" s="276">
        <f t="shared" si="978"/>
        <v>-0.79133940659070001</v>
      </c>
      <c r="AQ1043" s="276">
        <f t="shared" si="979"/>
        <v>-2.7369732292283375</v>
      </c>
      <c r="AR1043" s="276">
        <f t="shared" si="980"/>
        <v>0.66902237700853484</v>
      </c>
      <c r="AS1043" s="276">
        <f t="shared" si="981"/>
        <v>-1.1707802360081687</v>
      </c>
      <c r="AT1043" s="276">
        <f t="shared" si="982"/>
        <v>1.0338683257529924</v>
      </c>
      <c r="AU1043" s="685">
        <f t="shared" si="983"/>
        <v>1.6548765048577605</v>
      </c>
      <c r="AV1043" s="276">
        <f t="shared" si="984"/>
        <v>0.648158590860757</v>
      </c>
      <c r="AW1043" s="276">
        <f t="shared" si="985"/>
        <v>1.2848646072653207</v>
      </c>
      <c r="AX1043" s="276">
        <f t="shared" si="986"/>
        <v>1.6363353366281232</v>
      </c>
      <c r="AY1043" s="276">
        <f t="shared" si="987"/>
        <v>1.4220317396831701</v>
      </c>
      <c r="AZ1043" s="686">
        <f t="shared" si="988"/>
        <v>1.6122057812994208</v>
      </c>
      <c r="BA1043" s="685">
        <f t="shared" si="989"/>
        <v>0</v>
      </c>
      <c r="BB1043" s="276">
        <f t="shared" si="990"/>
        <v>0</v>
      </c>
      <c r="BC1043" s="276">
        <f t="shared" si="991"/>
        <v>0</v>
      </c>
      <c r="BD1043" s="276">
        <f t="shared" si="992"/>
        <v>0</v>
      </c>
      <c r="BE1043" s="276">
        <f t="shared" si="993"/>
        <v>0</v>
      </c>
      <c r="BF1043" s="686">
        <f t="shared" si="994"/>
        <v>0</v>
      </c>
      <c r="BG1043" s="685" t="e">
        <f t="shared" si="995"/>
        <v>#DIV/0!</v>
      </c>
      <c r="BH1043" s="276" t="e">
        <f t="shared" si="996"/>
        <v>#DIV/0!</v>
      </c>
      <c r="BI1043" s="276" t="e">
        <f t="shared" si="997"/>
        <v>#DIV/0!</v>
      </c>
      <c r="BJ1043" s="276" t="e">
        <f t="shared" si="998"/>
        <v>#DIV/0!</v>
      </c>
      <c r="BK1043" s="276" t="e">
        <f t="shared" si="999"/>
        <v>#DIV/0!</v>
      </c>
      <c r="BL1043" s="686" t="e">
        <f t="shared" si="1000"/>
        <v>#DIV/0!</v>
      </c>
      <c r="BM1043" s="239"/>
      <c r="BN1043" s="965" t="e">
        <f t="shared" si="1001"/>
        <v>#VALUE!</v>
      </c>
      <c r="BO1043" s="878" t="e">
        <f t="shared" si="1002"/>
        <v>#VALUE!</v>
      </c>
      <c r="BP1043" s="878" t="e">
        <f t="shared" si="1003"/>
        <v>#VALUE!</v>
      </c>
      <c r="BQ1043" s="878" t="e">
        <f t="shared" si="1004"/>
        <v>#VALUE!</v>
      </c>
      <c r="BR1043" s="878" t="e">
        <f t="shared" si="1005"/>
        <v>#VALUE!</v>
      </c>
      <c r="BS1043" s="966" t="e">
        <f t="shared" si="1006"/>
        <v>#VALUE!</v>
      </c>
    </row>
    <row r="1044" spans="1:71">
      <c r="A1044" s="284">
        <f t="shared" si="1007"/>
        <v>976</v>
      </c>
      <c r="B1044" s="285">
        <v>1.9894671523590453</v>
      </c>
      <c r="C1044" s="285">
        <v>2.5873209910643777</v>
      </c>
      <c r="D1044" s="285">
        <v>1.2949080941245985</v>
      </c>
      <c r="E1044" s="285">
        <v>-6.4942489001542576</v>
      </c>
      <c r="H1044" s="685">
        <f t="shared" si="953"/>
        <v>0.85623331058999042</v>
      </c>
      <c r="I1044" s="276">
        <f t="shared" si="954"/>
        <v>1.1066446195715673</v>
      </c>
      <c r="J1044" s="276">
        <f t="shared" si="955"/>
        <v>-1.4684697336240258</v>
      </c>
      <c r="K1044" s="276">
        <f t="shared" si="956"/>
        <v>2.4057428611294283</v>
      </c>
      <c r="L1044" s="276">
        <f t="shared" si="957"/>
        <v>2.3599126239256254</v>
      </c>
      <c r="M1044" s="276">
        <f t="shared" si="958"/>
        <v>1.1086844526907631</v>
      </c>
      <c r="N1044" s="685">
        <f t="shared" si="959"/>
        <v>1.3801497800925093</v>
      </c>
      <c r="O1044" s="276">
        <f t="shared" si="960"/>
        <v>1.0374840813316413</v>
      </c>
      <c r="P1044" s="276">
        <f t="shared" si="961"/>
        <v>1.361968109219849</v>
      </c>
      <c r="Q1044" s="276">
        <f t="shared" si="962"/>
        <v>2.2367886234562562</v>
      </c>
      <c r="R1044" s="276">
        <f t="shared" si="963"/>
        <v>2.2135149248201893</v>
      </c>
      <c r="S1044" s="686">
        <f t="shared" si="964"/>
        <v>1.0924583897893825</v>
      </c>
      <c r="T1044" s="685">
        <f t="shared" si="965"/>
        <v>4.5732717843955246</v>
      </c>
      <c r="U1044" s="276">
        <f t="shared" si="966"/>
        <v>5.0018325116214797</v>
      </c>
      <c r="V1044" s="276">
        <f t="shared" si="967"/>
        <v>4.2811213064758018</v>
      </c>
      <c r="W1044" s="276">
        <f t="shared" si="968"/>
        <v>4.4014246867410973</v>
      </c>
      <c r="X1044" s="276">
        <f t="shared" si="969"/>
        <v>3.3546634316652719</v>
      </c>
      <c r="Y1044" s="686">
        <f t="shared" si="970"/>
        <v>5.7173708741090206</v>
      </c>
      <c r="Z1044" s="685" t="e">
        <f t="shared" si="971"/>
        <v>#DIV/0!</v>
      </c>
      <c r="AA1044" s="276" t="e">
        <f t="shared" si="972"/>
        <v>#DIV/0!</v>
      </c>
      <c r="AB1044" s="276" t="e">
        <f t="shared" si="973"/>
        <v>#DIV/0!</v>
      </c>
      <c r="AC1044" s="276" t="e">
        <f t="shared" si="974"/>
        <v>#DIV/0!</v>
      </c>
      <c r="AD1044" s="276" t="e">
        <f t="shared" si="975"/>
        <v>#DIV/0!</v>
      </c>
      <c r="AE1044" s="686" t="e">
        <f t="shared" si="976"/>
        <v>#DIV/0!</v>
      </c>
      <c r="AF1044" s="239"/>
      <c r="AG1044" s="965" t="e">
        <f t="shared" si="947"/>
        <v>#VALUE!</v>
      </c>
      <c r="AH1044" s="878" t="e">
        <f t="shared" si="948"/>
        <v>#VALUE!</v>
      </c>
      <c r="AI1044" s="878" t="e">
        <f t="shared" si="949"/>
        <v>#VALUE!</v>
      </c>
      <c r="AJ1044" s="878" t="e">
        <f t="shared" si="950"/>
        <v>#VALUE!</v>
      </c>
      <c r="AK1044" s="878" t="e">
        <f t="shared" si="951"/>
        <v>#VALUE!</v>
      </c>
      <c r="AL1044" s="966" t="e">
        <f t="shared" si="952"/>
        <v>#VALUE!</v>
      </c>
      <c r="AM1044" s="239"/>
      <c r="AO1044" s="685">
        <f t="shared" si="977"/>
        <v>0.85623331058999042</v>
      </c>
      <c r="AP1044" s="276">
        <f t="shared" si="978"/>
        <v>1.1066446195715673</v>
      </c>
      <c r="AQ1044" s="276">
        <f t="shared" si="979"/>
        <v>-1.4684697336240258</v>
      </c>
      <c r="AR1044" s="276">
        <f t="shared" si="980"/>
        <v>2.4057428611294283</v>
      </c>
      <c r="AS1044" s="276">
        <f t="shared" si="981"/>
        <v>2.3599126239256254</v>
      </c>
      <c r="AT1044" s="276">
        <f t="shared" si="982"/>
        <v>1.1086844526907631</v>
      </c>
      <c r="AU1044" s="685">
        <f t="shared" si="983"/>
        <v>1.3801497800925093</v>
      </c>
      <c r="AV1044" s="276">
        <f t="shared" si="984"/>
        <v>1.0374840813316413</v>
      </c>
      <c r="AW1044" s="276">
        <f t="shared" si="985"/>
        <v>1.361968109219849</v>
      </c>
      <c r="AX1044" s="276">
        <f t="shared" si="986"/>
        <v>2.2367886234562562</v>
      </c>
      <c r="AY1044" s="276">
        <f t="shared" si="987"/>
        <v>2.2135149248201893</v>
      </c>
      <c r="AZ1044" s="686">
        <f t="shared" si="988"/>
        <v>1.0924583897893825</v>
      </c>
      <c r="BA1044" s="685">
        <f t="shared" si="989"/>
        <v>0</v>
      </c>
      <c r="BB1044" s="276">
        <f t="shared" si="990"/>
        <v>0</v>
      </c>
      <c r="BC1044" s="276">
        <f t="shared" si="991"/>
        <v>0</v>
      </c>
      <c r="BD1044" s="276">
        <f t="shared" si="992"/>
        <v>0</v>
      </c>
      <c r="BE1044" s="276">
        <f t="shared" si="993"/>
        <v>0</v>
      </c>
      <c r="BF1044" s="686">
        <f t="shared" si="994"/>
        <v>0</v>
      </c>
      <c r="BG1044" s="685" t="e">
        <f t="shared" si="995"/>
        <v>#DIV/0!</v>
      </c>
      <c r="BH1044" s="276" t="e">
        <f t="shared" si="996"/>
        <v>#DIV/0!</v>
      </c>
      <c r="BI1044" s="276" t="e">
        <f t="shared" si="997"/>
        <v>#DIV/0!</v>
      </c>
      <c r="BJ1044" s="276" t="e">
        <f t="shared" si="998"/>
        <v>#DIV/0!</v>
      </c>
      <c r="BK1044" s="276" t="e">
        <f t="shared" si="999"/>
        <v>#DIV/0!</v>
      </c>
      <c r="BL1044" s="686" t="e">
        <f t="shared" si="1000"/>
        <v>#DIV/0!</v>
      </c>
      <c r="BM1044" s="239"/>
      <c r="BN1044" s="965" t="e">
        <f t="shared" si="1001"/>
        <v>#VALUE!</v>
      </c>
      <c r="BO1044" s="878" t="e">
        <f t="shared" si="1002"/>
        <v>#VALUE!</v>
      </c>
      <c r="BP1044" s="878" t="e">
        <f t="shared" si="1003"/>
        <v>#VALUE!</v>
      </c>
      <c r="BQ1044" s="878" t="e">
        <f t="shared" si="1004"/>
        <v>#VALUE!</v>
      </c>
      <c r="BR1044" s="878" t="e">
        <f t="shared" si="1005"/>
        <v>#VALUE!</v>
      </c>
      <c r="BS1044" s="966" t="e">
        <f t="shared" si="1006"/>
        <v>#VALUE!</v>
      </c>
    </row>
    <row r="1045" spans="1:71">
      <c r="A1045" s="284">
        <f t="shared" si="1007"/>
        <v>977</v>
      </c>
      <c r="B1045" s="285">
        <v>0.96438202809096041</v>
      </c>
      <c r="C1045" s="285">
        <v>2.7175116287424443</v>
      </c>
      <c r="D1045" s="285">
        <v>0.68272757604110856</v>
      </c>
      <c r="E1045" s="285">
        <v>4.7894338118590696</v>
      </c>
      <c r="H1045" s="685">
        <f t="shared" si="953"/>
        <v>-0.16885181367809443</v>
      </c>
      <c r="I1045" s="276">
        <f t="shared" si="954"/>
        <v>-9.5547257305156119E-2</v>
      </c>
      <c r="J1045" s="276">
        <f t="shared" si="955"/>
        <v>-3.3899613977894054</v>
      </c>
      <c r="K1045" s="276">
        <f t="shared" si="956"/>
        <v>0.29065530838361364</v>
      </c>
      <c r="L1045" s="276">
        <f t="shared" si="957"/>
        <v>-1.0954019930981265</v>
      </c>
      <c r="M1045" s="276">
        <f t="shared" si="958"/>
        <v>2.0262326362712928</v>
      </c>
      <c r="N1045" s="685">
        <f t="shared" si="959"/>
        <v>1.5103404177705759</v>
      </c>
      <c r="O1045" s="276">
        <f t="shared" si="960"/>
        <v>0.68635921961162549</v>
      </c>
      <c r="P1045" s="276">
        <f t="shared" si="961"/>
        <v>1.0544101677952542</v>
      </c>
      <c r="Q1045" s="276">
        <f t="shared" si="962"/>
        <v>1.2475936228651785</v>
      </c>
      <c r="R1045" s="276">
        <f t="shared" si="963"/>
        <v>1.9280976241362511</v>
      </c>
      <c r="S1045" s="686">
        <f t="shared" si="964"/>
        <v>1.3406293846091428</v>
      </c>
      <c r="T1045" s="685">
        <f t="shared" si="965"/>
        <v>3.9610912663120343</v>
      </c>
      <c r="U1045" s="276">
        <f t="shared" si="966"/>
        <v>4.1573826403165492</v>
      </c>
      <c r="V1045" s="276">
        <f t="shared" si="967"/>
        <v>3.6262088247479141</v>
      </c>
      <c r="W1045" s="276">
        <f t="shared" si="968"/>
        <v>2.4586548290140442</v>
      </c>
      <c r="X1045" s="276">
        <f t="shared" si="969"/>
        <v>3.8784155488153544</v>
      </c>
      <c r="Y1045" s="686">
        <f t="shared" si="970"/>
        <v>5.8981883983048213</v>
      </c>
      <c r="Z1045" s="685" t="e">
        <f t="shared" si="971"/>
        <v>#DIV/0!</v>
      </c>
      <c r="AA1045" s="276" t="e">
        <f t="shared" si="972"/>
        <v>#DIV/0!</v>
      </c>
      <c r="AB1045" s="276" t="e">
        <f t="shared" si="973"/>
        <v>#DIV/0!</v>
      </c>
      <c r="AC1045" s="276" t="e">
        <f t="shared" si="974"/>
        <v>#DIV/0!</v>
      </c>
      <c r="AD1045" s="276" t="e">
        <f t="shared" si="975"/>
        <v>#DIV/0!</v>
      </c>
      <c r="AE1045" s="686" t="e">
        <f t="shared" si="976"/>
        <v>#DIV/0!</v>
      </c>
      <c r="AF1045" s="239"/>
      <c r="AG1045" s="965" t="e">
        <f t="shared" si="947"/>
        <v>#VALUE!</v>
      </c>
      <c r="AH1045" s="878" t="e">
        <f t="shared" si="948"/>
        <v>#VALUE!</v>
      </c>
      <c r="AI1045" s="878" t="e">
        <f t="shared" si="949"/>
        <v>#VALUE!</v>
      </c>
      <c r="AJ1045" s="878" t="e">
        <f t="shared" si="950"/>
        <v>#VALUE!</v>
      </c>
      <c r="AK1045" s="878" t="e">
        <f t="shared" si="951"/>
        <v>#VALUE!</v>
      </c>
      <c r="AL1045" s="966" t="e">
        <f t="shared" si="952"/>
        <v>#VALUE!</v>
      </c>
      <c r="AM1045" s="239"/>
      <c r="AO1045" s="685">
        <f t="shared" si="977"/>
        <v>-0.16885181367809443</v>
      </c>
      <c r="AP1045" s="276">
        <f t="shared" si="978"/>
        <v>-9.5547257305156119E-2</v>
      </c>
      <c r="AQ1045" s="276">
        <f t="shared" si="979"/>
        <v>-3.3899613977894054</v>
      </c>
      <c r="AR1045" s="276">
        <f t="shared" si="980"/>
        <v>0.29065530838361364</v>
      </c>
      <c r="AS1045" s="276">
        <f t="shared" si="981"/>
        <v>-1.0954019930981265</v>
      </c>
      <c r="AT1045" s="276">
        <f t="shared" si="982"/>
        <v>2.0262326362712928</v>
      </c>
      <c r="AU1045" s="685">
        <f t="shared" si="983"/>
        <v>1.5103404177705759</v>
      </c>
      <c r="AV1045" s="276">
        <f t="shared" si="984"/>
        <v>0.68635921961162549</v>
      </c>
      <c r="AW1045" s="276">
        <f t="shared" si="985"/>
        <v>1.0544101677952542</v>
      </c>
      <c r="AX1045" s="276">
        <f t="shared" si="986"/>
        <v>1.2475936228651785</v>
      </c>
      <c r="AY1045" s="276">
        <f t="shared" si="987"/>
        <v>1.9280976241362511</v>
      </c>
      <c r="AZ1045" s="686">
        <f t="shared" si="988"/>
        <v>1.3406293846091428</v>
      </c>
      <c r="BA1045" s="685">
        <f t="shared" si="989"/>
        <v>0</v>
      </c>
      <c r="BB1045" s="276">
        <f t="shared" si="990"/>
        <v>0</v>
      </c>
      <c r="BC1045" s="276">
        <f t="shared" si="991"/>
        <v>0</v>
      </c>
      <c r="BD1045" s="276">
        <f t="shared" si="992"/>
        <v>0</v>
      </c>
      <c r="BE1045" s="276">
        <f t="shared" si="993"/>
        <v>0</v>
      </c>
      <c r="BF1045" s="686">
        <f t="shared" si="994"/>
        <v>0</v>
      </c>
      <c r="BG1045" s="685" t="e">
        <f t="shared" si="995"/>
        <v>#DIV/0!</v>
      </c>
      <c r="BH1045" s="276" t="e">
        <f t="shared" si="996"/>
        <v>#DIV/0!</v>
      </c>
      <c r="BI1045" s="276" t="e">
        <f t="shared" si="997"/>
        <v>#DIV/0!</v>
      </c>
      <c r="BJ1045" s="276" t="e">
        <f t="shared" si="998"/>
        <v>#DIV/0!</v>
      </c>
      <c r="BK1045" s="276" t="e">
        <f t="shared" si="999"/>
        <v>#DIV/0!</v>
      </c>
      <c r="BL1045" s="686" t="e">
        <f t="shared" si="1000"/>
        <v>#DIV/0!</v>
      </c>
      <c r="BM1045" s="239"/>
      <c r="BN1045" s="965" t="e">
        <f t="shared" si="1001"/>
        <v>#VALUE!</v>
      </c>
      <c r="BO1045" s="878" t="e">
        <f t="shared" si="1002"/>
        <v>#VALUE!</v>
      </c>
      <c r="BP1045" s="878" t="e">
        <f t="shared" si="1003"/>
        <v>#VALUE!</v>
      </c>
      <c r="BQ1045" s="878" t="e">
        <f t="shared" si="1004"/>
        <v>#VALUE!</v>
      </c>
      <c r="BR1045" s="878" t="e">
        <f t="shared" si="1005"/>
        <v>#VALUE!</v>
      </c>
      <c r="BS1045" s="966" t="e">
        <f t="shared" si="1006"/>
        <v>#VALUE!</v>
      </c>
    </row>
    <row r="1046" spans="1:71">
      <c r="A1046" s="284">
        <f t="shared" si="1007"/>
        <v>978</v>
      </c>
      <c r="B1046" s="285">
        <v>-4.5630438035808343</v>
      </c>
      <c r="C1046" s="285">
        <v>2.0393834410095049</v>
      </c>
      <c r="D1046" s="285">
        <v>-0.84188371322740974</v>
      </c>
      <c r="E1046" s="285">
        <v>-1.0346106517130225</v>
      </c>
      <c r="H1046" s="685">
        <f t="shared" si="953"/>
        <v>-5.6962776453498893</v>
      </c>
      <c r="I1046" s="276">
        <f t="shared" si="954"/>
        <v>0.73351667808219223</v>
      </c>
      <c r="J1046" s="276">
        <f t="shared" si="955"/>
        <v>-2.3268958052149795</v>
      </c>
      <c r="K1046" s="276">
        <f t="shared" si="956"/>
        <v>-1.311495935207746</v>
      </c>
      <c r="L1046" s="276">
        <f t="shared" si="957"/>
        <v>-1.4058589845935332E-2</v>
      </c>
      <c r="M1046" s="276">
        <f t="shared" si="958"/>
        <v>-0.32658002511125039</v>
      </c>
      <c r="N1046" s="685">
        <f t="shared" si="959"/>
        <v>0.83221223003763645</v>
      </c>
      <c r="O1046" s="276">
        <f t="shared" si="960"/>
        <v>1.4471769001181725</v>
      </c>
      <c r="P1046" s="276">
        <f t="shared" si="961"/>
        <v>1.5786835555908392</v>
      </c>
      <c r="Q1046" s="276">
        <f t="shared" si="962"/>
        <v>1.553733463028659</v>
      </c>
      <c r="R1046" s="276">
        <f t="shared" si="963"/>
        <v>1.0336790534538742</v>
      </c>
      <c r="S1046" s="686">
        <f t="shared" si="964"/>
        <v>1.0379525833788474</v>
      </c>
      <c r="T1046" s="685">
        <f t="shared" si="965"/>
        <v>2.4364799770435162</v>
      </c>
      <c r="U1046" s="276">
        <f t="shared" si="966"/>
        <v>3.9271387286308781</v>
      </c>
      <c r="V1046" s="276">
        <f t="shared" si="967"/>
        <v>4.3198556095751126</v>
      </c>
      <c r="W1046" s="276">
        <f t="shared" si="968"/>
        <v>3.6084207434274411</v>
      </c>
      <c r="X1046" s="276">
        <f t="shared" si="969"/>
        <v>5.7858759962356388</v>
      </c>
      <c r="Y1046" s="686">
        <f t="shared" si="970"/>
        <v>5.8898530329978378</v>
      </c>
      <c r="Z1046" s="685" t="e">
        <f t="shared" si="971"/>
        <v>#DIV/0!</v>
      </c>
      <c r="AA1046" s="276" t="e">
        <f t="shared" si="972"/>
        <v>#DIV/0!</v>
      </c>
      <c r="AB1046" s="276" t="e">
        <f t="shared" si="973"/>
        <v>#DIV/0!</v>
      </c>
      <c r="AC1046" s="276" t="e">
        <f t="shared" si="974"/>
        <v>#DIV/0!</v>
      </c>
      <c r="AD1046" s="276" t="e">
        <f t="shared" si="975"/>
        <v>#DIV/0!</v>
      </c>
      <c r="AE1046" s="686" t="e">
        <f t="shared" si="976"/>
        <v>#DIV/0!</v>
      </c>
      <c r="AF1046" s="239"/>
      <c r="AG1046" s="965" t="e">
        <f t="shared" si="947"/>
        <v>#VALUE!</v>
      </c>
      <c r="AH1046" s="878" t="e">
        <f t="shared" si="948"/>
        <v>#VALUE!</v>
      </c>
      <c r="AI1046" s="878" t="e">
        <f t="shared" si="949"/>
        <v>#VALUE!</v>
      </c>
      <c r="AJ1046" s="878" t="e">
        <f t="shared" si="950"/>
        <v>#VALUE!</v>
      </c>
      <c r="AK1046" s="878" t="e">
        <f t="shared" si="951"/>
        <v>#VALUE!</v>
      </c>
      <c r="AL1046" s="966" t="e">
        <f t="shared" si="952"/>
        <v>#VALUE!</v>
      </c>
      <c r="AM1046" s="239"/>
      <c r="AO1046" s="685">
        <f t="shared" si="977"/>
        <v>-5.6962776453498893</v>
      </c>
      <c r="AP1046" s="276">
        <f t="shared" si="978"/>
        <v>0.73351667808219223</v>
      </c>
      <c r="AQ1046" s="276">
        <f t="shared" si="979"/>
        <v>-2.3268958052149795</v>
      </c>
      <c r="AR1046" s="276">
        <f t="shared" si="980"/>
        <v>-1.311495935207746</v>
      </c>
      <c r="AS1046" s="276">
        <f t="shared" si="981"/>
        <v>-1.4058589845935332E-2</v>
      </c>
      <c r="AT1046" s="276">
        <f t="shared" si="982"/>
        <v>-0.32658002511125039</v>
      </c>
      <c r="AU1046" s="685">
        <f t="shared" si="983"/>
        <v>0.83221223003763645</v>
      </c>
      <c r="AV1046" s="276">
        <f t="shared" si="984"/>
        <v>1.4471769001181725</v>
      </c>
      <c r="AW1046" s="276">
        <f t="shared" si="985"/>
        <v>1.5786835555908392</v>
      </c>
      <c r="AX1046" s="276">
        <f t="shared" si="986"/>
        <v>1.553733463028659</v>
      </c>
      <c r="AY1046" s="276">
        <f t="shared" si="987"/>
        <v>1.0336790534538742</v>
      </c>
      <c r="AZ1046" s="686">
        <f t="shared" si="988"/>
        <v>1.0379525833788474</v>
      </c>
      <c r="BA1046" s="685">
        <f t="shared" si="989"/>
        <v>0</v>
      </c>
      <c r="BB1046" s="276">
        <f t="shared" si="990"/>
        <v>0</v>
      </c>
      <c r="BC1046" s="276">
        <f t="shared" si="991"/>
        <v>0</v>
      </c>
      <c r="BD1046" s="276">
        <f t="shared" si="992"/>
        <v>0</v>
      </c>
      <c r="BE1046" s="276">
        <f t="shared" si="993"/>
        <v>0</v>
      </c>
      <c r="BF1046" s="686">
        <f t="shared" si="994"/>
        <v>0</v>
      </c>
      <c r="BG1046" s="685" t="e">
        <f t="shared" si="995"/>
        <v>#DIV/0!</v>
      </c>
      <c r="BH1046" s="276" t="e">
        <f t="shared" si="996"/>
        <v>#DIV/0!</v>
      </c>
      <c r="BI1046" s="276" t="e">
        <f t="shared" si="997"/>
        <v>#DIV/0!</v>
      </c>
      <c r="BJ1046" s="276" t="e">
        <f t="shared" si="998"/>
        <v>#DIV/0!</v>
      </c>
      <c r="BK1046" s="276" t="e">
        <f t="shared" si="999"/>
        <v>#DIV/0!</v>
      </c>
      <c r="BL1046" s="686" t="e">
        <f t="shared" si="1000"/>
        <v>#DIV/0!</v>
      </c>
      <c r="BM1046" s="239"/>
      <c r="BN1046" s="965" t="e">
        <f t="shared" si="1001"/>
        <v>#VALUE!</v>
      </c>
      <c r="BO1046" s="878" t="e">
        <f t="shared" si="1002"/>
        <v>#VALUE!</v>
      </c>
      <c r="BP1046" s="878" t="e">
        <f t="shared" si="1003"/>
        <v>#VALUE!</v>
      </c>
      <c r="BQ1046" s="878" t="e">
        <f t="shared" si="1004"/>
        <v>#VALUE!</v>
      </c>
      <c r="BR1046" s="878" t="e">
        <f t="shared" si="1005"/>
        <v>#VALUE!</v>
      </c>
      <c r="BS1046" s="966" t="e">
        <f t="shared" si="1006"/>
        <v>#VALUE!</v>
      </c>
    </row>
    <row r="1047" spans="1:71">
      <c r="A1047" s="284">
        <f t="shared" si="1007"/>
        <v>979</v>
      </c>
      <c r="B1047" s="285">
        <v>3.5590649252777875</v>
      </c>
      <c r="C1047" s="285">
        <v>2.5586274548647645</v>
      </c>
      <c r="D1047" s="285">
        <v>-0.60407153858082774</v>
      </c>
      <c r="E1047" s="285">
        <v>-19.38399834837664</v>
      </c>
      <c r="H1047" s="685">
        <f t="shared" si="953"/>
        <v>2.4258310835087329</v>
      </c>
      <c r="I1047" s="276">
        <f t="shared" si="954"/>
        <v>-2.62845311940732</v>
      </c>
      <c r="J1047" s="276">
        <f t="shared" si="955"/>
        <v>-0.6364453322745165</v>
      </c>
      <c r="K1047" s="276">
        <f t="shared" si="956"/>
        <v>1.8150890650187195</v>
      </c>
      <c r="L1047" s="276">
        <f t="shared" si="957"/>
        <v>-1.0275441667508107</v>
      </c>
      <c r="M1047" s="276">
        <f t="shared" si="958"/>
        <v>-5.8141568241702037</v>
      </c>
      <c r="N1047" s="685">
        <f t="shared" si="959"/>
        <v>1.3514562438928961</v>
      </c>
      <c r="O1047" s="276">
        <f t="shared" si="960"/>
        <v>1.1685438144329072</v>
      </c>
      <c r="P1047" s="276">
        <f t="shared" si="961"/>
        <v>1.5196218214379418</v>
      </c>
      <c r="Q1047" s="276">
        <f t="shared" si="962"/>
        <v>1.1653977555283499</v>
      </c>
      <c r="R1047" s="276">
        <f t="shared" si="963"/>
        <v>1.6267062688015186</v>
      </c>
      <c r="S1047" s="686">
        <f t="shared" si="964"/>
        <v>0.73067051458104149</v>
      </c>
      <c r="T1047" s="685">
        <f t="shared" si="965"/>
        <v>2.6742921516900982</v>
      </c>
      <c r="U1047" s="276">
        <f t="shared" si="966"/>
        <v>4.2244957825056488</v>
      </c>
      <c r="V1047" s="276">
        <f t="shared" si="967"/>
        <v>2.8924316468886668</v>
      </c>
      <c r="W1047" s="276">
        <f t="shared" si="968"/>
        <v>6.4840126628261849</v>
      </c>
      <c r="X1047" s="276">
        <f t="shared" si="969"/>
        <v>4.6370140622719545</v>
      </c>
      <c r="Y1047" s="686">
        <f t="shared" si="970"/>
        <v>5.4778090223081755</v>
      </c>
      <c r="Z1047" s="685" t="e">
        <f t="shared" si="971"/>
        <v>#DIV/0!</v>
      </c>
      <c r="AA1047" s="276" t="e">
        <f t="shared" si="972"/>
        <v>#DIV/0!</v>
      </c>
      <c r="AB1047" s="276" t="e">
        <f t="shared" si="973"/>
        <v>#DIV/0!</v>
      </c>
      <c r="AC1047" s="276" t="e">
        <f t="shared" si="974"/>
        <v>#DIV/0!</v>
      </c>
      <c r="AD1047" s="276" t="e">
        <f t="shared" si="975"/>
        <v>#DIV/0!</v>
      </c>
      <c r="AE1047" s="686" t="e">
        <f t="shared" si="976"/>
        <v>#DIV/0!</v>
      </c>
      <c r="AF1047" s="239"/>
      <c r="AG1047" s="965" t="e">
        <f t="shared" si="947"/>
        <v>#VALUE!</v>
      </c>
      <c r="AH1047" s="878" t="e">
        <f t="shared" si="948"/>
        <v>#VALUE!</v>
      </c>
      <c r="AI1047" s="878" t="e">
        <f t="shared" si="949"/>
        <v>#VALUE!</v>
      </c>
      <c r="AJ1047" s="878" t="e">
        <f t="shared" si="950"/>
        <v>#VALUE!</v>
      </c>
      <c r="AK1047" s="878" t="e">
        <f t="shared" si="951"/>
        <v>#VALUE!</v>
      </c>
      <c r="AL1047" s="966" t="e">
        <f t="shared" si="952"/>
        <v>#VALUE!</v>
      </c>
      <c r="AM1047" s="239"/>
      <c r="AO1047" s="685">
        <f t="shared" si="977"/>
        <v>2.4258310835087329</v>
      </c>
      <c r="AP1047" s="276">
        <f t="shared" si="978"/>
        <v>-2.62845311940732</v>
      </c>
      <c r="AQ1047" s="276">
        <f t="shared" si="979"/>
        <v>-0.6364453322745165</v>
      </c>
      <c r="AR1047" s="276">
        <f t="shared" si="980"/>
        <v>1.8150890650187195</v>
      </c>
      <c r="AS1047" s="276">
        <f t="shared" si="981"/>
        <v>-1.0275441667508107</v>
      </c>
      <c r="AT1047" s="276">
        <f t="shared" si="982"/>
        <v>-5.8141568241702037</v>
      </c>
      <c r="AU1047" s="685">
        <f t="shared" si="983"/>
        <v>1.3514562438928961</v>
      </c>
      <c r="AV1047" s="276">
        <f t="shared" si="984"/>
        <v>1.1685438144329072</v>
      </c>
      <c r="AW1047" s="276">
        <f t="shared" si="985"/>
        <v>1.5196218214379418</v>
      </c>
      <c r="AX1047" s="276">
        <f t="shared" si="986"/>
        <v>1.1653977555283499</v>
      </c>
      <c r="AY1047" s="276">
        <f t="shared" si="987"/>
        <v>1.6267062688015186</v>
      </c>
      <c r="AZ1047" s="686">
        <f t="shared" si="988"/>
        <v>0.73067051458104149</v>
      </c>
      <c r="BA1047" s="685">
        <f t="shared" si="989"/>
        <v>0</v>
      </c>
      <c r="BB1047" s="276">
        <f t="shared" si="990"/>
        <v>0</v>
      </c>
      <c r="BC1047" s="276">
        <f t="shared" si="991"/>
        <v>0</v>
      </c>
      <c r="BD1047" s="276">
        <f t="shared" si="992"/>
        <v>0</v>
      </c>
      <c r="BE1047" s="276">
        <f t="shared" si="993"/>
        <v>0</v>
      </c>
      <c r="BF1047" s="686">
        <f t="shared" si="994"/>
        <v>0</v>
      </c>
      <c r="BG1047" s="685" t="e">
        <f t="shared" si="995"/>
        <v>#DIV/0!</v>
      </c>
      <c r="BH1047" s="276" t="e">
        <f t="shared" si="996"/>
        <v>#DIV/0!</v>
      </c>
      <c r="BI1047" s="276" t="e">
        <f t="shared" si="997"/>
        <v>#DIV/0!</v>
      </c>
      <c r="BJ1047" s="276" t="e">
        <f t="shared" si="998"/>
        <v>#DIV/0!</v>
      </c>
      <c r="BK1047" s="276" t="e">
        <f t="shared" si="999"/>
        <v>#DIV/0!</v>
      </c>
      <c r="BL1047" s="686" t="e">
        <f t="shared" si="1000"/>
        <v>#DIV/0!</v>
      </c>
      <c r="BM1047" s="239"/>
      <c r="BN1047" s="965" t="e">
        <f t="shared" si="1001"/>
        <v>#VALUE!</v>
      </c>
      <c r="BO1047" s="878" t="e">
        <f t="shared" si="1002"/>
        <v>#VALUE!</v>
      </c>
      <c r="BP1047" s="878" t="e">
        <f t="shared" si="1003"/>
        <v>#VALUE!</v>
      </c>
      <c r="BQ1047" s="878" t="e">
        <f t="shared" si="1004"/>
        <v>#VALUE!</v>
      </c>
      <c r="BR1047" s="878" t="e">
        <f t="shared" si="1005"/>
        <v>#VALUE!</v>
      </c>
      <c r="BS1047" s="966" t="e">
        <f t="shared" si="1006"/>
        <v>#VALUE!</v>
      </c>
    </row>
    <row r="1048" spans="1:71">
      <c r="A1048" s="284">
        <f t="shared" si="1007"/>
        <v>980</v>
      </c>
      <c r="B1048" s="285">
        <v>4.7348794556118117</v>
      </c>
      <c r="C1048" s="285">
        <v>2.7122626301701493</v>
      </c>
      <c r="D1048" s="285">
        <v>0.97671678955247454</v>
      </c>
      <c r="E1048" s="285">
        <v>-5.5994609854625796</v>
      </c>
      <c r="H1048" s="685">
        <f t="shared" si="953"/>
        <v>3.6016456138427566</v>
      </c>
      <c r="I1048" s="276">
        <f t="shared" si="954"/>
        <v>5.323804559850692</v>
      </c>
      <c r="J1048" s="276">
        <f t="shared" si="955"/>
        <v>1.8339082072347306</v>
      </c>
      <c r="K1048" s="276">
        <f t="shared" si="956"/>
        <v>-0.2911600943260263</v>
      </c>
      <c r="L1048" s="276">
        <f t="shared" si="957"/>
        <v>1.7430153222840625</v>
      </c>
      <c r="M1048" s="276">
        <f t="shared" si="958"/>
        <v>-3.3245271973154527</v>
      </c>
      <c r="N1048" s="685">
        <f t="shared" si="959"/>
        <v>1.5050914191982809</v>
      </c>
      <c r="O1048" s="276">
        <f t="shared" si="960"/>
        <v>2.1792109781240097</v>
      </c>
      <c r="P1048" s="276">
        <f t="shared" si="961"/>
        <v>1.2150689694317631</v>
      </c>
      <c r="Q1048" s="276">
        <f t="shared" si="962"/>
        <v>1.1764607527386175</v>
      </c>
      <c r="R1048" s="276">
        <f t="shared" si="963"/>
        <v>1.4189566856844158</v>
      </c>
      <c r="S1048" s="686">
        <f t="shared" si="964"/>
        <v>1.1612131427627463</v>
      </c>
      <c r="T1048" s="685">
        <f t="shared" si="965"/>
        <v>4.2550804798234001</v>
      </c>
      <c r="U1048" s="276">
        <f t="shared" si="966"/>
        <v>4.5660084738882087</v>
      </c>
      <c r="V1048" s="276">
        <f t="shared" si="967"/>
        <v>6.0114084098353135</v>
      </c>
      <c r="W1048" s="276">
        <f t="shared" si="968"/>
        <v>4.9151816604261827</v>
      </c>
      <c r="X1048" s="276">
        <f t="shared" si="969"/>
        <v>5.7742307350898106</v>
      </c>
      <c r="Y1048" s="686">
        <f t="shared" si="970"/>
        <v>2.9329692357888728</v>
      </c>
      <c r="Z1048" s="685" t="e">
        <f t="shared" si="971"/>
        <v>#DIV/0!</v>
      </c>
      <c r="AA1048" s="276" t="e">
        <f t="shared" si="972"/>
        <v>#DIV/0!</v>
      </c>
      <c r="AB1048" s="276" t="e">
        <f t="shared" si="973"/>
        <v>#DIV/0!</v>
      </c>
      <c r="AC1048" s="276" t="e">
        <f t="shared" si="974"/>
        <v>#DIV/0!</v>
      </c>
      <c r="AD1048" s="276" t="e">
        <f t="shared" si="975"/>
        <v>#DIV/0!</v>
      </c>
      <c r="AE1048" s="686" t="e">
        <f t="shared" si="976"/>
        <v>#DIV/0!</v>
      </c>
      <c r="AF1048" s="239"/>
      <c r="AG1048" s="965" t="e">
        <f t="shared" si="947"/>
        <v>#VALUE!</v>
      </c>
      <c r="AH1048" s="878" t="e">
        <f t="shared" si="948"/>
        <v>#VALUE!</v>
      </c>
      <c r="AI1048" s="878" t="e">
        <f t="shared" si="949"/>
        <v>#VALUE!</v>
      </c>
      <c r="AJ1048" s="878" t="e">
        <f t="shared" si="950"/>
        <v>#VALUE!</v>
      </c>
      <c r="AK1048" s="878" t="e">
        <f t="shared" si="951"/>
        <v>#VALUE!</v>
      </c>
      <c r="AL1048" s="966" t="e">
        <f t="shared" si="952"/>
        <v>#VALUE!</v>
      </c>
      <c r="AM1048" s="239"/>
      <c r="AO1048" s="685">
        <f t="shared" si="977"/>
        <v>3.6016456138427566</v>
      </c>
      <c r="AP1048" s="276">
        <f t="shared" si="978"/>
        <v>5.323804559850692</v>
      </c>
      <c r="AQ1048" s="276">
        <f t="shared" si="979"/>
        <v>1.8339082072347306</v>
      </c>
      <c r="AR1048" s="276">
        <f t="shared" si="980"/>
        <v>-0.2911600943260263</v>
      </c>
      <c r="AS1048" s="276">
        <f t="shared" si="981"/>
        <v>1.7430153222840625</v>
      </c>
      <c r="AT1048" s="276">
        <f t="shared" si="982"/>
        <v>-3.3245271973154527</v>
      </c>
      <c r="AU1048" s="685">
        <f t="shared" si="983"/>
        <v>1.5050914191982809</v>
      </c>
      <c r="AV1048" s="276">
        <f t="shared" si="984"/>
        <v>2.1792109781240097</v>
      </c>
      <c r="AW1048" s="276">
        <f t="shared" si="985"/>
        <v>1.2150689694317631</v>
      </c>
      <c r="AX1048" s="276">
        <f t="shared" si="986"/>
        <v>1.1764607527386175</v>
      </c>
      <c r="AY1048" s="276">
        <f t="shared" si="987"/>
        <v>1.4189566856844158</v>
      </c>
      <c r="AZ1048" s="686">
        <f t="shared" si="988"/>
        <v>1.1612131427627463</v>
      </c>
      <c r="BA1048" s="685">
        <f t="shared" si="989"/>
        <v>0</v>
      </c>
      <c r="BB1048" s="276">
        <f t="shared" si="990"/>
        <v>0</v>
      </c>
      <c r="BC1048" s="276">
        <f t="shared" si="991"/>
        <v>0</v>
      </c>
      <c r="BD1048" s="276">
        <f t="shared" si="992"/>
        <v>0</v>
      </c>
      <c r="BE1048" s="276">
        <f t="shared" si="993"/>
        <v>0</v>
      </c>
      <c r="BF1048" s="686">
        <f t="shared" si="994"/>
        <v>0</v>
      </c>
      <c r="BG1048" s="685" t="e">
        <f t="shared" si="995"/>
        <v>#DIV/0!</v>
      </c>
      <c r="BH1048" s="276" t="e">
        <f t="shared" si="996"/>
        <v>#DIV/0!</v>
      </c>
      <c r="BI1048" s="276" t="e">
        <f t="shared" si="997"/>
        <v>#DIV/0!</v>
      </c>
      <c r="BJ1048" s="276" t="e">
        <f t="shared" si="998"/>
        <v>#DIV/0!</v>
      </c>
      <c r="BK1048" s="276" t="e">
        <f t="shared" si="999"/>
        <v>#DIV/0!</v>
      </c>
      <c r="BL1048" s="686" t="e">
        <f t="shared" si="1000"/>
        <v>#DIV/0!</v>
      </c>
      <c r="BM1048" s="239"/>
      <c r="BN1048" s="965" t="e">
        <f t="shared" si="1001"/>
        <v>#VALUE!</v>
      </c>
      <c r="BO1048" s="878" t="e">
        <f t="shared" si="1002"/>
        <v>#VALUE!</v>
      </c>
      <c r="BP1048" s="878" t="e">
        <f t="shared" si="1003"/>
        <v>#VALUE!</v>
      </c>
      <c r="BQ1048" s="878" t="e">
        <f t="shared" si="1004"/>
        <v>#VALUE!</v>
      </c>
      <c r="BR1048" s="878" t="e">
        <f t="shared" si="1005"/>
        <v>#VALUE!</v>
      </c>
      <c r="BS1048" s="966" t="e">
        <f t="shared" si="1006"/>
        <v>#VALUE!</v>
      </c>
    </row>
    <row r="1049" spans="1:71">
      <c r="A1049" s="284">
        <f t="shared" si="1007"/>
        <v>981</v>
      </c>
      <c r="B1049" s="285">
        <v>-1.3338411861070545</v>
      </c>
      <c r="C1049" s="285">
        <v>2.9360145391815902</v>
      </c>
      <c r="D1049" s="285">
        <v>1.8254027760655351</v>
      </c>
      <c r="E1049" s="285">
        <v>7.5557548764840483</v>
      </c>
      <c r="H1049" s="685">
        <f t="shared" si="953"/>
        <v>-2.4670750278761093</v>
      </c>
      <c r="I1049" s="276">
        <f t="shared" si="954"/>
        <v>0.63514725001203987</v>
      </c>
      <c r="J1049" s="276">
        <f t="shared" si="955"/>
        <v>-1.2680814007844954</v>
      </c>
      <c r="K1049" s="276">
        <f t="shared" si="956"/>
        <v>-0.640665550301599</v>
      </c>
      <c r="L1049" s="276">
        <f t="shared" si="957"/>
        <v>0.97733539967927752</v>
      </c>
      <c r="M1049" s="276">
        <f t="shared" si="958"/>
        <v>-1.1397275316531321</v>
      </c>
      <c r="N1049" s="685">
        <f t="shared" si="959"/>
        <v>1.7288433282097218</v>
      </c>
      <c r="O1049" s="276">
        <f t="shared" si="960"/>
        <v>1.4255106793705801</v>
      </c>
      <c r="P1049" s="276">
        <f t="shared" si="961"/>
        <v>1.5254786049514835</v>
      </c>
      <c r="Q1049" s="276">
        <f t="shared" si="962"/>
        <v>0.92248631212764942</v>
      </c>
      <c r="R1049" s="276">
        <f t="shared" si="963"/>
        <v>0.981315540374194</v>
      </c>
      <c r="S1049" s="686">
        <f t="shared" si="964"/>
        <v>0.96478056965378989</v>
      </c>
      <c r="T1049" s="685">
        <f t="shared" si="965"/>
        <v>5.1037664663364612</v>
      </c>
      <c r="U1049" s="276">
        <f t="shared" si="966"/>
        <v>4.247505163709925</v>
      </c>
      <c r="V1049" s="276">
        <f t="shared" si="967"/>
        <v>4.4481739202095492</v>
      </c>
      <c r="W1049" s="276">
        <f t="shared" si="968"/>
        <v>5.3297829511280153</v>
      </c>
      <c r="X1049" s="276">
        <f t="shared" si="969"/>
        <v>4.6414245000854333</v>
      </c>
      <c r="Y1049" s="686">
        <f t="shared" si="970"/>
        <v>6.7804798333187666</v>
      </c>
      <c r="Z1049" s="685" t="e">
        <f t="shared" si="971"/>
        <v>#DIV/0!</v>
      </c>
      <c r="AA1049" s="276" t="e">
        <f t="shared" si="972"/>
        <v>#DIV/0!</v>
      </c>
      <c r="AB1049" s="276" t="e">
        <f t="shared" si="973"/>
        <v>#DIV/0!</v>
      </c>
      <c r="AC1049" s="276" t="e">
        <f t="shared" si="974"/>
        <v>#DIV/0!</v>
      </c>
      <c r="AD1049" s="276" t="e">
        <f t="shared" si="975"/>
        <v>#DIV/0!</v>
      </c>
      <c r="AE1049" s="686" t="e">
        <f t="shared" si="976"/>
        <v>#DIV/0!</v>
      </c>
      <c r="AF1049" s="239"/>
      <c r="AG1049" s="965" t="e">
        <f t="shared" si="947"/>
        <v>#VALUE!</v>
      </c>
      <c r="AH1049" s="878" t="e">
        <f t="shared" si="948"/>
        <v>#VALUE!</v>
      </c>
      <c r="AI1049" s="878" t="e">
        <f t="shared" si="949"/>
        <v>#VALUE!</v>
      </c>
      <c r="AJ1049" s="878" t="e">
        <f t="shared" si="950"/>
        <v>#VALUE!</v>
      </c>
      <c r="AK1049" s="878" t="e">
        <f t="shared" si="951"/>
        <v>#VALUE!</v>
      </c>
      <c r="AL1049" s="966" t="e">
        <f t="shared" si="952"/>
        <v>#VALUE!</v>
      </c>
      <c r="AM1049" s="239"/>
      <c r="AO1049" s="685">
        <f t="shared" si="977"/>
        <v>-2.4670750278761093</v>
      </c>
      <c r="AP1049" s="276">
        <f t="shared" si="978"/>
        <v>0.63514725001203987</v>
      </c>
      <c r="AQ1049" s="276">
        <f t="shared" si="979"/>
        <v>-1.2680814007844954</v>
      </c>
      <c r="AR1049" s="276">
        <f t="shared" si="980"/>
        <v>-0.640665550301599</v>
      </c>
      <c r="AS1049" s="276">
        <f t="shared" si="981"/>
        <v>0.97733539967927752</v>
      </c>
      <c r="AT1049" s="276">
        <f t="shared" si="982"/>
        <v>-1.1397275316531321</v>
      </c>
      <c r="AU1049" s="685">
        <f t="shared" si="983"/>
        <v>1.7288433282097218</v>
      </c>
      <c r="AV1049" s="276">
        <f t="shared" si="984"/>
        <v>1.4255106793705801</v>
      </c>
      <c r="AW1049" s="276">
        <f t="shared" si="985"/>
        <v>1.5254786049514835</v>
      </c>
      <c r="AX1049" s="276">
        <f t="shared" si="986"/>
        <v>0.92248631212764942</v>
      </c>
      <c r="AY1049" s="276">
        <f t="shared" si="987"/>
        <v>0.981315540374194</v>
      </c>
      <c r="AZ1049" s="686">
        <f t="shared" si="988"/>
        <v>0.96478056965378989</v>
      </c>
      <c r="BA1049" s="685">
        <f t="shared" si="989"/>
        <v>0</v>
      </c>
      <c r="BB1049" s="276">
        <f t="shared" si="990"/>
        <v>0</v>
      </c>
      <c r="BC1049" s="276">
        <f t="shared" si="991"/>
        <v>0</v>
      </c>
      <c r="BD1049" s="276">
        <f t="shared" si="992"/>
        <v>0</v>
      </c>
      <c r="BE1049" s="276">
        <f t="shared" si="993"/>
        <v>0</v>
      </c>
      <c r="BF1049" s="686">
        <f t="shared" si="994"/>
        <v>0</v>
      </c>
      <c r="BG1049" s="685" t="e">
        <f t="shared" si="995"/>
        <v>#DIV/0!</v>
      </c>
      <c r="BH1049" s="276" t="e">
        <f t="shared" si="996"/>
        <v>#DIV/0!</v>
      </c>
      <c r="BI1049" s="276" t="e">
        <f t="shared" si="997"/>
        <v>#DIV/0!</v>
      </c>
      <c r="BJ1049" s="276" t="e">
        <f t="shared" si="998"/>
        <v>#DIV/0!</v>
      </c>
      <c r="BK1049" s="276" t="e">
        <f t="shared" si="999"/>
        <v>#DIV/0!</v>
      </c>
      <c r="BL1049" s="686" t="e">
        <f t="shared" si="1000"/>
        <v>#DIV/0!</v>
      </c>
      <c r="BM1049" s="239"/>
      <c r="BN1049" s="965" t="e">
        <f t="shared" si="1001"/>
        <v>#VALUE!</v>
      </c>
      <c r="BO1049" s="878" t="e">
        <f t="shared" si="1002"/>
        <v>#VALUE!</v>
      </c>
      <c r="BP1049" s="878" t="e">
        <f t="shared" si="1003"/>
        <v>#VALUE!</v>
      </c>
      <c r="BQ1049" s="878" t="e">
        <f t="shared" si="1004"/>
        <v>#VALUE!</v>
      </c>
      <c r="BR1049" s="878" t="e">
        <f t="shared" si="1005"/>
        <v>#VALUE!</v>
      </c>
      <c r="BS1049" s="966" t="e">
        <f t="shared" si="1006"/>
        <v>#VALUE!</v>
      </c>
    </row>
    <row r="1050" spans="1:71">
      <c r="A1050" s="284">
        <f t="shared" si="1007"/>
        <v>982</v>
      </c>
      <c r="B1050" s="285">
        <v>-1.1142181797259549</v>
      </c>
      <c r="C1050" s="285">
        <v>2.2977996692068285</v>
      </c>
      <c r="D1050" s="285">
        <v>1.9875998972230129</v>
      </c>
      <c r="E1050" s="285">
        <v>-14.024982552001459</v>
      </c>
      <c r="H1050" s="685">
        <f t="shared" si="953"/>
        <v>-2.2474520214950098</v>
      </c>
      <c r="I1050" s="276">
        <f t="shared" si="954"/>
        <v>-1.0445236882921278</v>
      </c>
      <c r="J1050" s="276">
        <f t="shared" si="955"/>
        <v>-3.1759535132456529</v>
      </c>
      <c r="K1050" s="276">
        <f t="shared" si="956"/>
        <v>3.2415329222606815</v>
      </c>
      <c r="L1050" s="276">
        <f t="shared" si="957"/>
        <v>-2.9939373583560913</v>
      </c>
      <c r="M1050" s="276">
        <f t="shared" si="958"/>
        <v>-2.2023239602574209</v>
      </c>
      <c r="N1050" s="685">
        <f t="shared" si="959"/>
        <v>1.0906284582349601</v>
      </c>
      <c r="O1050" s="276">
        <f t="shared" si="960"/>
        <v>1.3531344788559883</v>
      </c>
      <c r="P1050" s="276">
        <f t="shared" si="961"/>
        <v>1.3258625957257204</v>
      </c>
      <c r="Q1050" s="276">
        <f t="shared" si="962"/>
        <v>1.5261578093733663</v>
      </c>
      <c r="R1050" s="276">
        <f t="shared" si="963"/>
        <v>1.2149857781347666</v>
      </c>
      <c r="S1050" s="686">
        <f t="shared" si="964"/>
        <v>0.88029932200548155</v>
      </c>
      <c r="T1050" s="685">
        <f t="shared" si="965"/>
        <v>5.265963587493939</v>
      </c>
      <c r="U1050" s="276">
        <f t="shared" si="966"/>
        <v>4.9920471198287713</v>
      </c>
      <c r="V1050" s="276">
        <f t="shared" si="967"/>
        <v>6.3631125478738326</v>
      </c>
      <c r="W1050" s="276">
        <f t="shared" si="968"/>
        <v>6.6905913002780455</v>
      </c>
      <c r="X1050" s="276">
        <f t="shared" si="969"/>
        <v>4.1968319028056174</v>
      </c>
      <c r="Y1050" s="686">
        <f t="shared" si="970"/>
        <v>4.1850668063466898</v>
      </c>
      <c r="Z1050" s="685" t="e">
        <f t="shared" si="971"/>
        <v>#DIV/0!</v>
      </c>
      <c r="AA1050" s="276" t="e">
        <f t="shared" si="972"/>
        <v>#DIV/0!</v>
      </c>
      <c r="AB1050" s="276" t="e">
        <f t="shared" si="973"/>
        <v>#DIV/0!</v>
      </c>
      <c r="AC1050" s="276" t="e">
        <f t="shared" si="974"/>
        <v>#DIV/0!</v>
      </c>
      <c r="AD1050" s="276" t="e">
        <f t="shared" si="975"/>
        <v>#DIV/0!</v>
      </c>
      <c r="AE1050" s="686" t="e">
        <f t="shared" si="976"/>
        <v>#DIV/0!</v>
      </c>
      <c r="AF1050" s="239"/>
      <c r="AG1050" s="965" t="e">
        <f t="shared" si="947"/>
        <v>#VALUE!</v>
      </c>
      <c r="AH1050" s="878" t="e">
        <f t="shared" si="948"/>
        <v>#VALUE!</v>
      </c>
      <c r="AI1050" s="878" t="e">
        <f t="shared" si="949"/>
        <v>#VALUE!</v>
      </c>
      <c r="AJ1050" s="878" t="e">
        <f t="shared" si="950"/>
        <v>#VALUE!</v>
      </c>
      <c r="AK1050" s="878" t="e">
        <f t="shared" si="951"/>
        <v>#VALUE!</v>
      </c>
      <c r="AL1050" s="966" t="e">
        <f t="shared" si="952"/>
        <v>#VALUE!</v>
      </c>
      <c r="AM1050" s="239"/>
      <c r="AO1050" s="685">
        <f t="shared" si="977"/>
        <v>-2.2474520214950098</v>
      </c>
      <c r="AP1050" s="276">
        <f t="shared" si="978"/>
        <v>-1.0445236882921278</v>
      </c>
      <c r="AQ1050" s="276">
        <f t="shared" si="979"/>
        <v>-3.1759535132456529</v>
      </c>
      <c r="AR1050" s="276">
        <f t="shared" si="980"/>
        <v>3.2415329222606815</v>
      </c>
      <c r="AS1050" s="276">
        <f t="shared" si="981"/>
        <v>-2.9939373583560913</v>
      </c>
      <c r="AT1050" s="276">
        <f t="shared" si="982"/>
        <v>-2.2023239602574209</v>
      </c>
      <c r="AU1050" s="685">
        <f t="shared" si="983"/>
        <v>1.0906284582349601</v>
      </c>
      <c r="AV1050" s="276">
        <f t="shared" si="984"/>
        <v>1.3531344788559883</v>
      </c>
      <c r="AW1050" s="276">
        <f t="shared" si="985"/>
        <v>1.3258625957257204</v>
      </c>
      <c r="AX1050" s="276">
        <f t="shared" si="986"/>
        <v>1.5261578093733663</v>
      </c>
      <c r="AY1050" s="276">
        <f t="shared" si="987"/>
        <v>1.2149857781347666</v>
      </c>
      <c r="AZ1050" s="686">
        <f t="shared" si="988"/>
        <v>0.88029932200548155</v>
      </c>
      <c r="BA1050" s="685">
        <f t="shared" si="989"/>
        <v>0</v>
      </c>
      <c r="BB1050" s="276">
        <f t="shared" si="990"/>
        <v>0</v>
      </c>
      <c r="BC1050" s="276">
        <f t="shared" si="991"/>
        <v>0</v>
      </c>
      <c r="BD1050" s="276">
        <f t="shared" si="992"/>
        <v>0</v>
      </c>
      <c r="BE1050" s="276">
        <f t="shared" si="993"/>
        <v>0</v>
      </c>
      <c r="BF1050" s="686">
        <f t="shared" si="994"/>
        <v>0</v>
      </c>
      <c r="BG1050" s="685" t="e">
        <f t="shared" si="995"/>
        <v>#DIV/0!</v>
      </c>
      <c r="BH1050" s="276" t="e">
        <f t="shared" si="996"/>
        <v>#DIV/0!</v>
      </c>
      <c r="BI1050" s="276" t="e">
        <f t="shared" si="997"/>
        <v>#DIV/0!</v>
      </c>
      <c r="BJ1050" s="276" t="e">
        <f t="shared" si="998"/>
        <v>#DIV/0!</v>
      </c>
      <c r="BK1050" s="276" t="e">
        <f t="shared" si="999"/>
        <v>#DIV/0!</v>
      </c>
      <c r="BL1050" s="686" t="e">
        <f t="shared" si="1000"/>
        <v>#DIV/0!</v>
      </c>
      <c r="BM1050" s="239"/>
      <c r="BN1050" s="965" t="e">
        <f t="shared" si="1001"/>
        <v>#VALUE!</v>
      </c>
      <c r="BO1050" s="878" t="e">
        <f t="shared" si="1002"/>
        <v>#VALUE!</v>
      </c>
      <c r="BP1050" s="878" t="e">
        <f t="shared" si="1003"/>
        <v>#VALUE!</v>
      </c>
      <c r="BQ1050" s="878" t="e">
        <f t="shared" si="1004"/>
        <v>#VALUE!</v>
      </c>
      <c r="BR1050" s="878" t="e">
        <f t="shared" si="1005"/>
        <v>#VALUE!</v>
      </c>
      <c r="BS1050" s="966" t="e">
        <f t="shared" si="1006"/>
        <v>#VALUE!</v>
      </c>
    </row>
    <row r="1051" spans="1:71">
      <c r="A1051" s="284">
        <f t="shared" si="1007"/>
        <v>983</v>
      </c>
      <c r="B1051" s="285">
        <v>-4.7734647795916905</v>
      </c>
      <c r="C1051" s="285">
        <v>2.2743904465022267</v>
      </c>
      <c r="D1051" s="285">
        <v>1.5803769366608358</v>
      </c>
      <c r="E1051" s="285">
        <v>-10.695057904221596</v>
      </c>
      <c r="H1051" s="685">
        <f t="shared" si="953"/>
        <v>-5.9066986213607455</v>
      </c>
      <c r="I1051" s="276">
        <f t="shared" si="954"/>
        <v>-1.2405978709472354E-2</v>
      </c>
      <c r="J1051" s="276">
        <f t="shared" si="955"/>
        <v>-1.4238264161153797</v>
      </c>
      <c r="K1051" s="276">
        <f t="shared" si="956"/>
        <v>-1.3405997154951517</v>
      </c>
      <c r="L1051" s="276">
        <f t="shared" si="957"/>
        <v>-2.0925772442258541</v>
      </c>
      <c r="M1051" s="276">
        <f t="shared" si="958"/>
        <v>-4.6318912782288564</v>
      </c>
      <c r="N1051" s="685">
        <f t="shared" si="959"/>
        <v>1.0672192355303582</v>
      </c>
      <c r="O1051" s="276">
        <f t="shared" si="960"/>
        <v>0.47692025129096893</v>
      </c>
      <c r="P1051" s="276">
        <f t="shared" si="961"/>
        <v>1.2050204504298019</v>
      </c>
      <c r="Q1051" s="276">
        <f t="shared" si="962"/>
        <v>1.1146013059494113</v>
      </c>
      <c r="R1051" s="276">
        <f t="shared" si="963"/>
        <v>1.2816538404863238</v>
      </c>
      <c r="S1051" s="686">
        <f t="shared" si="964"/>
        <v>0.58739066553694474</v>
      </c>
      <c r="T1051" s="685">
        <f t="shared" si="965"/>
        <v>4.8587406269317617</v>
      </c>
      <c r="U1051" s="276">
        <f t="shared" si="966"/>
        <v>6.8013101352171876</v>
      </c>
      <c r="V1051" s="276">
        <f t="shared" si="967"/>
        <v>4.4917087397258868</v>
      </c>
      <c r="W1051" s="276">
        <f t="shared" si="968"/>
        <v>5.1441359431796299</v>
      </c>
      <c r="X1051" s="276">
        <f t="shared" si="969"/>
        <v>3.8116192779119435</v>
      </c>
      <c r="Y1051" s="686">
        <f t="shared" si="970"/>
        <v>4.7322633886031316</v>
      </c>
      <c r="Z1051" s="685" t="e">
        <f t="shared" si="971"/>
        <v>#DIV/0!</v>
      </c>
      <c r="AA1051" s="276" t="e">
        <f t="shared" si="972"/>
        <v>#DIV/0!</v>
      </c>
      <c r="AB1051" s="276" t="e">
        <f t="shared" si="973"/>
        <v>#DIV/0!</v>
      </c>
      <c r="AC1051" s="276" t="e">
        <f t="shared" si="974"/>
        <v>#DIV/0!</v>
      </c>
      <c r="AD1051" s="276" t="e">
        <f t="shared" si="975"/>
        <v>#DIV/0!</v>
      </c>
      <c r="AE1051" s="686" t="e">
        <f t="shared" si="976"/>
        <v>#DIV/0!</v>
      </c>
      <c r="AF1051" s="239"/>
      <c r="AG1051" s="965" t="e">
        <f t="shared" si="947"/>
        <v>#VALUE!</v>
      </c>
      <c r="AH1051" s="878" t="e">
        <f t="shared" si="948"/>
        <v>#VALUE!</v>
      </c>
      <c r="AI1051" s="878" t="e">
        <f t="shared" si="949"/>
        <v>#VALUE!</v>
      </c>
      <c r="AJ1051" s="878" t="e">
        <f t="shared" si="950"/>
        <v>#VALUE!</v>
      </c>
      <c r="AK1051" s="878" t="e">
        <f t="shared" si="951"/>
        <v>#VALUE!</v>
      </c>
      <c r="AL1051" s="966" t="e">
        <f t="shared" si="952"/>
        <v>#VALUE!</v>
      </c>
      <c r="AM1051" s="239"/>
      <c r="AO1051" s="685">
        <f t="shared" si="977"/>
        <v>-5.9066986213607455</v>
      </c>
      <c r="AP1051" s="276">
        <f t="shared" si="978"/>
        <v>-1.2405978709472354E-2</v>
      </c>
      <c r="AQ1051" s="276">
        <f t="shared" si="979"/>
        <v>-1.4238264161153797</v>
      </c>
      <c r="AR1051" s="276">
        <f t="shared" si="980"/>
        <v>-1.3405997154951517</v>
      </c>
      <c r="AS1051" s="276">
        <f t="shared" si="981"/>
        <v>-2.0925772442258541</v>
      </c>
      <c r="AT1051" s="276">
        <f t="shared" si="982"/>
        <v>-4.6318912782288564</v>
      </c>
      <c r="AU1051" s="685">
        <f t="shared" si="983"/>
        <v>1.0672192355303582</v>
      </c>
      <c r="AV1051" s="276">
        <f t="shared" si="984"/>
        <v>0.47692025129096893</v>
      </c>
      <c r="AW1051" s="276">
        <f t="shared" si="985"/>
        <v>1.2050204504298019</v>
      </c>
      <c r="AX1051" s="276">
        <f t="shared" si="986"/>
        <v>1.1146013059494113</v>
      </c>
      <c r="AY1051" s="276">
        <f t="shared" si="987"/>
        <v>1.2816538404863238</v>
      </c>
      <c r="AZ1051" s="686">
        <f t="shared" si="988"/>
        <v>0.58739066553694474</v>
      </c>
      <c r="BA1051" s="685">
        <f t="shared" si="989"/>
        <v>0</v>
      </c>
      <c r="BB1051" s="276">
        <f t="shared" si="990"/>
        <v>0</v>
      </c>
      <c r="BC1051" s="276">
        <f t="shared" si="991"/>
        <v>0</v>
      </c>
      <c r="BD1051" s="276">
        <f t="shared" si="992"/>
        <v>0</v>
      </c>
      <c r="BE1051" s="276">
        <f t="shared" si="993"/>
        <v>0</v>
      </c>
      <c r="BF1051" s="686">
        <f t="shared" si="994"/>
        <v>0</v>
      </c>
      <c r="BG1051" s="685" t="e">
        <f t="shared" si="995"/>
        <v>#DIV/0!</v>
      </c>
      <c r="BH1051" s="276" t="e">
        <f t="shared" si="996"/>
        <v>#DIV/0!</v>
      </c>
      <c r="BI1051" s="276" t="e">
        <f t="shared" si="997"/>
        <v>#DIV/0!</v>
      </c>
      <c r="BJ1051" s="276" t="e">
        <f t="shared" si="998"/>
        <v>#DIV/0!</v>
      </c>
      <c r="BK1051" s="276" t="e">
        <f t="shared" si="999"/>
        <v>#DIV/0!</v>
      </c>
      <c r="BL1051" s="686" t="e">
        <f t="shared" si="1000"/>
        <v>#DIV/0!</v>
      </c>
      <c r="BM1051" s="239"/>
      <c r="BN1051" s="965" t="e">
        <f t="shared" si="1001"/>
        <v>#VALUE!</v>
      </c>
      <c r="BO1051" s="878" t="e">
        <f t="shared" si="1002"/>
        <v>#VALUE!</v>
      </c>
      <c r="BP1051" s="878" t="e">
        <f t="shared" si="1003"/>
        <v>#VALUE!</v>
      </c>
      <c r="BQ1051" s="878" t="e">
        <f t="shared" si="1004"/>
        <v>#VALUE!</v>
      </c>
      <c r="BR1051" s="878" t="e">
        <f t="shared" si="1005"/>
        <v>#VALUE!</v>
      </c>
      <c r="BS1051" s="966" t="e">
        <f t="shared" si="1006"/>
        <v>#VALUE!</v>
      </c>
    </row>
    <row r="1052" spans="1:71">
      <c r="A1052" s="284">
        <f t="shared" si="1007"/>
        <v>984</v>
      </c>
      <c r="B1052" s="285">
        <v>-0.77148094384815402</v>
      </c>
      <c r="C1052" s="285">
        <v>2.8072463150074518</v>
      </c>
      <c r="D1052" s="285">
        <v>5.8478941020409847E-2</v>
      </c>
      <c r="E1052" s="285">
        <v>8.0970633967829357</v>
      </c>
      <c r="H1052" s="685">
        <f t="shared" si="953"/>
        <v>-1.9047147856172089</v>
      </c>
      <c r="I1052" s="276">
        <f t="shared" si="954"/>
        <v>-1.9580116129247034</v>
      </c>
      <c r="J1052" s="276">
        <f t="shared" si="955"/>
        <v>-2.5101210354854331</v>
      </c>
      <c r="K1052" s="276">
        <f t="shared" si="956"/>
        <v>-2.4631087251011383</v>
      </c>
      <c r="L1052" s="276">
        <f t="shared" si="957"/>
        <v>-1.176225693071083</v>
      </c>
      <c r="M1052" s="276">
        <f t="shared" si="958"/>
        <v>-1.0929565979025955</v>
      </c>
      <c r="N1052" s="685">
        <f t="shared" si="959"/>
        <v>1.6000751040355834</v>
      </c>
      <c r="O1052" s="276">
        <f t="shared" si="960"/>
        <v>0.72908922059555326</v>
      </c>
      <c r="P1052" s="276">
        <f t="shared" si="961"/>
        <v>0.26443587420374559</v>
      </c>
      <c r="Q1052" s="276">
        <f t="shared" si="962"/>
        <v>1.3110194984482637</v>
      </c>
      <c r="R1052" s="276">
        <f t="shared" si="963"/>
        <v>0.83470018632221143</v>
      </c>
      <c r="S1052" s="686">
        <f t="shared" si="964"/>
        <v>1.0408838004446943</v>
      </c>
      <c r="T1052" s="685">
        <f t="shared" si="965"/>
        <v>3.3368426312913355</v>
      </c>
      <c r="U1052" s="276">
        <f t="shared" si="966"/>
        <v>3.6388944357410726</v>
      </c>
      <c r="V1052" s="276">
        <f t="shared" si="967"/>
        <v>5.8311299308309357</v>
      </c>
      <c r="W1052" s="276">
        <f t="shared" si="968"/>
        <v>3.7297012442613706</v>
      </c>
      <c r="X1052" s="276">
        <f t="shared" si="969"/>
        <v>5.6177429791836282</v>
      </c>
      <c r="Y1052" s="686">
        <f t="shared" si="970"/>
        <v>6.8830889107153297</v>
      </c>
      <c r="Z1052" s="685" t="e">
        <f t="shared" si="971"/>
        <v>#DIV/0!</v>
      </c>
      <c r="AA1052" s="276" t="e">
        <f t="shared" si="972"/>
        <v>#DIV/0!</v>
      </c>
      <c r="AB1052" s="276" t="e">
        <f t="shared" si="973"/>
        <v>#DIV/0!</v>
      </c>
      <c r="AC1052" s="276" t="e">
        <f t="shared" si="974"/>
        <v>#DIV/0!</v>
      </c>
      <c r="AD1052" s="276" t="e">
        <f t="shared" si="975"/>
        <v>#DIV/0!</v>
      </c>
      <c r="AE1052" s="686" t="e">
        <f t="shared" si="976"/>
        <v>#DIV/0!</v>
      </c>
      <c r="AF1052" s="239"/>
      <c r="AG1052" s="965" t="e">
        <f t="shared" si="947"/>
        <v>#VALUE!</v>
      </c>
      <c r="AH1052" s="878" t="e">
        <f t="shared" si="948"/>
        <v>#VALUE!</v>
      </c>
      <c r="AI1052" s="878" t="e">
        <f t="shared" si="949"/>
        <v>#VALUE!</v>
      </c>
      <c r="AJ1052" s="878" t="e">
        <f t="shared" si="950"/>
        <v>#VALUE!</v>
      </c>
      <c r="AK1052" s="878" t="e">
        <f t="shared" si="951"/>
        <v>#VALUE!</v>
      </c>
      <c r="AL1052" s="966" t="e">
        <f t="shared" si="952"/>
        <v>#VALUE!</v>
      </c>
      <c r="AM1052" s="239"/>
      <c r="AO1052" s="685">
        <f t="shared" si="977"/>
        <v>-1.9047147856172089</v>
      </c>
      <c r="AP1052" s="276">
        <f t="shared" si="978"/>
        <v>-1.9580116129247034</v>
      </c>
      <c r="AQ1052" s="276">
        <f t="shared" si="979"/>
        <v>-2.5101210354854331</v>
      </c>
      <c r="AR1052" s="276">
        <f t="shared" si="980"/>
        <v>-2.4631087251011383</v>
      </c>
      <c r="AS1052" s="276">
        <f t="shared" si="981"/>
        <v>-1.176225693071083</v>
      </c>
      <c r="AT1052" s="276">
        <f t="shared" si="982"/>
        <v>-1.0929565979025955</v>
      </c>
      <c r="AU1052" s="685">
        <f t="shared" si="983"/>
        <v>1.6000751040355834</v>
      </c>
      <c r="AV1052" s="276">
        <f t="shared" si="984"/>
        <v>0.72908922059555326</v>
      </c>
      <c r="AW1052" s="276">
        <f t="shared" si="985"/>
        <v>0.26443587420374559</v>
      </c>
      <c r="AX1052" s="276">
        <f t="shared" si="986"/>
        <v>1.3110194984482637</v>
      </c>
      <c r="AY1052" s="276">
        <f t="shared" si="987"/>
        <v>0.83470018632221143</v>
      </c>
      <c r="AZ1052" s="686">
        <f t="shared" si="988"/>
        <v>1.0408838004446943</v>
      </c>
      <c r="BA1052" s="685">
        <f t="shared" si="989"/>
        <v>0</v>
      </c>
      <c r="BB1052" s="276">
        <f t="shared" si="990"/>
        <v>0</v>
      </c>
      <c r="BC1052" s="276">
        <f t="shared" si="991"/>
        <v>0</v>
      </c>
      <c r="BD1052" s="276">
        <f t="shared" si="992"/>
        <v>0</v>
      </c>
      <c r="BE1052" s="276">
        <f t="shared" si="993"/>
        <v>0</v>
      </c>
      <c r="BF1052" s="686">
        <f t="shared" si="994"/>
        <v>0</v>
      </c>
      <c r="BG1052" s="685" t="e">
        <f t="shared" si="995"/>
        <v>#DIV/0!</v>
      </c>
      <c r="BH1052" s="276" t="e">
        <f t="shared" si="996"/>
        <v>#DIV/0!</v>
      </c>
      <c r="BI1052" s="276" t="e">
        <f t="shared" si="997"/>
        <v>#DIV/0!</v>
      </c>
      <c r="BJ1052" s="276" t="e">
        <f t="shared" si="998"/>
        <v>#DIV/0!</v>
      </c>
      <c r="BK1052" s="276" t="e">
        <f t="shared" si="999"/>
        <v>#DIV/0!</v>
      </c>
      <c r="BL1052" s="686" t="e">
        <f t="shared" si="1000"/>
        <v>#DIV/0!</v>
      </c>
      <c r="BM1052" s="239"/>
      <c r="BN1052" s="965" t="e">
        <f t="shared" si="1001"/>
        <v>#VALUE!</v>
      </c>
      <c r="BO1052" s="878" t="e">
        <f t="shared" si="1002"/>
        <v>#VALUE!</v>
      </c>
      <c r="BP1052" s="878" t="e">
        <f t="shared" si="1003"/>
        <v>#VALUE!</v>
      </c>
      <c r="BQ1052" s="878" t="e">
        <f t="shared" si="1004"/>
        <v>#VALUE!</v>
      </c>
      <c r="BR1052" s="878" t="e">
        <f t="shared" si="1005"/>
        <v>#VALUE!</v>
      </c>
      <c r="BS1052" s="966" t="e">
        <f t="shared" si="1006"/>
        <v>#VALUE!</v>
      </c>
    </row>
    <row r="1053" spans="1:71">
      <c r="A1053" s="284">
        <f t="shared" si="1007"/>
        <v>985</v>
      </c>
      <c r="B1053" s="285">
        <v>1.4737525143188119</v>
      </c>
      <c r="C1053" s="285">
        <v>3.2886008235583</v>
      </c>
      <c r="D1053" s="285">
        <v>1.3996976202216582</v>
      </c>
      <c r="E1053" s="285">
        <v>11.427375091419913</v>
      </c>
      <c r="H1053" s="685">
        <f t="shared" si="953"/>
        <v>0.3405186725497571</v>
      </c>
      <c r="I1053" s="276">
        <f t="shared" si="954"/>
        <v>1.3243499179851257</v>
      </c>
      <c r="J1053" s="276">
        <f t="shared" si="955"/>
        <v>-2.2504562443668181</v>
      </c>
      <c r="K1053" s="276">
        <f t="shared" si="956"/>
        <v>0.39376550840752045</v>
      </c>
      <c r="L1053" s="276">
        <f t="shared" si="957"/>
        <v>0.28714988445022094</v>
      </c>
      <c r="M1053" s="276">
        <f t="shared" si="958"/>
        <v>0.39552279253178946</v>
      </c>
      <c r="N1053" s="685">
        <f t="shared" si="959"/>
        <v>2.0814296125864313</v>
      </c>
      <c r="O1053" s="276">
        <f t="shared" si="960"/>
        <v>1.2099306963617817</v>
      </c>
      <c r="P1053" s="276">
        <f t="shared" si="961"/>
        <v>0.74667704534131185</v>
      </c>
      <c r="Q1053" s="276">
        <f t="shared" si="962"/>
        <v>2.0447192552678697</v>
      </c>
      <c r="R1053" s="276">
        <f t="shared" si="963"/>
        <v>0.75386028207254063</v>
      </c>
      <c r="S1053" s="686">
        <f t="shared" si="964"/>
        <v>1.8080124257347505</v>
      </c>
      <c r="T1053" s="685">
        <f t="shared" si="965"/>
        <v>4.6780613104925841</v>
      </c>
      <c r="U1053" s="276">
        <f t="shared" si="966"/>
        <v>2.4844145957789792</v>
      </c>
      <c r="V1053" s="276">
        <f t="shared" si="967"/>
        <v>4.2660854101554948</v>
      </c>
      <c r="W1053" s="276">
        <f t="shared" si="968"/>
        <v>4.7112870158588915</v>
      </c>
      <c r="X1053" s="276">
        <f t="shared" si="969"/>
        <v>4.8763869992749527</v>
      </c>
      <c r="Y1053" s="686">
        <f t="shared" si="970"/>
        <v>4.1724719431698096</v>
      </c>
      <c r="Z1053" s="685" t="e">
        <f t="shared" si="971"/>
        <v>#DIV/0!</v>
      </c>
      <c r="AA1053" s="276" t="e">
        <f t="shared" si="972"/>
        <v>#DIV/0!</v>
      </c>
      <c r="AB1053" s="276" t="e">
        <f t="shared" si="973"/>
        <v>#DIV/0!</v>
      </c>
      <c r="AC1053" s="276" t="e">
        <f t="shared" si="974"/>
        <v>#DIV/0!</v>
      </c>
      <c r="AD1053" s="276" t="e">
        <f t="shared" si="975"/>
        <v>#DIV/0!</v>
      </c>
      <c r="AE1053" s="686" t="e">
        <f t="shared" si="976"/>
        <v>#DIV/0!</v>
      </c>
      <c r="AF1053" s="239"/>
      <c r="AG1053" s="965" t="e">
        <f t="shared" si="947"/>
        <v>#VALUE!</v>
      </c>
      <c r="AH1053" s="878" t="e">
        <f t="shared" si="948"/>
        <v>#VALUE!</v>
      </c>
      <c r="AI1053" s="878" t="e">
        <f t="shared" si="949"/>
        <v>#VALUE!</v>
      </c>
      <c r="AJ1053" s="878" t="e">
        <f t="shared" si="950"/>
        <v>#VALUE!</v>
      </c>
      <c r="AK1053" s="878" t="e">
        <f t="shared" si="951"/>
        <v>#VALUE!</v>
      </c>
      <c r="AL1053" s="966" t="e">
        <f t="shared" si="952"/>
        <v>#VALUE!</v>
      </c>
      <c r="AM1053" s="239"/>
      <c r="AO1053" s="685">
        <f t="shared" si="977"/>
        <v>0.3405186725497571</v>
      </c>
      <c r="AP1053" s="276">
        <f t="shared" si="978"/>
        <v>1.3243499179851257</v>
      </c>
      <c r="AQ1053" s="276">
        <f t="shared" si="979"/>
        <v>-2.2504562443668181</v>
      </c>
      <c r="AR1053" s="276">
        <f t="shared" si="980"/>
        <v>0.39376550840752045</v>
      </c>
      <c r="AS1053" s="276">
        <f t="shared" si="981"/>
        <v>0.28714988445022094</v>
      </c>
      <c r="AT1053" s="276">
        <f t="shared" si="982"/>
        <v>0.39552279253178946</v>
      </c>
      <c r="AU1053" s="685">
        <f t="shared" si="983"/>
        <v>2.0814296125864313</v>
      </c>
      <c r="AV1053" s="276">
        <f t="shared" si="984"/>
        <v>1.2099306963617817</v>
      </c>
      <c r="AW1053" s="276">
        <f t="shared" si="985"/>
        <v>0.74667704534131185</v>
      </c>
      <c r="AX1053" s="276">
        <f t="shared" si="986"/>
        <v>2.0447192552678697</v>
      </c>
      <c r="AY1053" s="276">
        <f t="shared" si="987"/>
        <v>0.75386028207254063</v>
      </c>
      <c r="AZ1053" s="686">
        <f t="shared" si="988"/>
        <v>1.8080124257347505</v>
      </c>
      <c r="BA1053" s="685">
        <f t="shared" si="989"/>
        <v>0</v>
      </c>
      <c r="BB1053" s="276">
        <f t="shared" si="990"/>
        <v>0</v>
      </c>
      <c r="BC1053" s="276">
        <f t="shared" si="991"/>
        <v>0</v>
      </c>
      <c r="BD1053" s="276">
        <f t="shared" si="992"/>
        <v>0</v>
      </c>
      <c r="BE1053" s="276">
        <f t="shared" si="993"/>
        <v>0</v>
      </c>
      <c r="BF1053" s="686">
        <f t="shared" si="994"/>
        <v>0</v>
      </c>
      <c r="BG1053" s="685" t="e">
        <f t="shared" si="995"/>
        <v>#DIV/0!</v>
      </c>
      <c r="BH1053" s="276" t="e">
        <f t="shared" si="996"/>
        <v>#DIV/0!</v>
      </c>
      <c r="BI1053" s="276" t="e">
        <f t="shared" si="997"/>
        <v>#DIV/0!</v>
      </c>
      <c r="BJ1053" s="276" t="e">
        <f t="shared" si="998"/>
        <v>#DIV/0!</v>
      </c>
      <c r="BK1053" s="276" t="e">
        <f t="shared" si="999"/>
        <v>#DIV/0!</v>
      </c>
      <c r="BL1053" s="686" t="e">
        <f t="shared" si="1000"/>
        <v>#DIV/0!</v>
      </c>
      <c r="BM1053" s="239"/>
      <c r="BN1053" s="965" t="e">
        <f t="shared" si="1001"/>
        <v>#VALUE!</v>
      </c>
      <c r="BO1053" s="878" t="e">
        <f t="shared" si="1002"/>
        <v>#VALUE!</v>
      </c>
      <c r="BP1053" s="878" t="e">
        <f t="shared" si="1003"/>
        <v>#VALUE!</v>
      </c>
      <c r="BQ1053" s="878" t="e">
        <f t="shared" si="1004"/>
        <v>#VALUE!</v>
      </c>
      <c r="BR1053" s="878" t="e">
        <f t="shared" si="1005"/>
        <v>#VALUE!</v>
      </c>
      <c r="BS1053" s="966" t="e">
        <f t="shared" si="1006"/>
        <v>#VALUE!</v>
      </c>
    </row>
    <row r="1054" spans="1:71">
      <c r="A1054" s="284">
        <f t="shared" si="1007"/>
        <v>986</v>
      </c>
      <c r="B1054" s="285">
        <v>2.162336740212877</v>
      </c>
      <c r="C1054" s="285">
        <v>2.3913074892036441</v>
      </c>
      <c r="D1054" s="285">
        <v>1.1468997864540227</v>
      </c>
      <c r="E1054" s="285">
        <v>-8.4691592058333924</v>
      </c>
      <c r="H1054" s="685">
        <f t="shared" si="953"/>
        <v>1.0291028984438222</v>
      </c>
      <c r="I1054" s="276">
        <f t="shared" si="954"/>
        <v>-1.3175194858207318</v>
      </c>
      <c r="J1054" s="276">
        <f t="shared" si="955"/>
        <v>-1.4047756508364284</v>
      </c>
      <c r="K1054" s="276">
        <f t="shared" si="956"/>
        <v>-0.80824397324769004</v>
      </c>
      <c r="L1054" s="276">
        <f t="shared" si="957"/>
        <v>1.8383547063281143</v>
      </c>
      <c r="M1054" s="276">
        <f t="shared" si="958"/>
        <v>-0.99547431556336718</v>
      </c>
      <c r="N1054" s="685">
        <f t="shared" si="959"/>
        <v>1.1841362782317757</v>
      </c>
      <c r="O1054" s="276">
        <f t="shared" si="960"/>
        <v>1.7065119350837026</v>
      </c>
      <c r="P1054" s="276">
        <f t="shared" si="961"/>
        <v>0.85828182567596634</v>
      </c>
      <c r="Q1054" s="276">
        <f t="shared" si="962"/>
        <v>1.0437224550803437</v>
      </c>
      <c r="R1054" s="276">
        <f t="shared" si="963"/>
        <v>1.3742538648640819</v>
      </c>
      <c r="S1054" s="686">
        <f t="shared" si="964"/>
        <v>1.0678510404818418</v>
      </c>
      <c r="T1054" s="685">
        <f t="shared" si="965"/>
        <v>4.4252634767249486</v>
      </c>
      <c r="U1054" s="276">
        <f t="shared" si="966"/>
        <v>3.0118210692755509</v>
      </c>
      <c r="V1054" s="276">
        <f t="shared" si="967"/>
        <v>4.454463601149838</v>
      </c>
      <c r="W1054" s="276">
        <f t="shared" si="968"/>
        <v>2.6516941304889565</v>
      </c>
      <c r="X1054" s="276">
        <f t="shared" si="969"/>
        <v>5.4873352161383924</v>
      </c>
      <c r="Y1054" s="686">
        <f t="shared" si="970"/>
        <v>6.1328130919167805</v>
      </c>
      <c r="Z1054" s="685" t="e">
        <f t="shared" si="971"/>
        <v>#DIV/0!</v>
      </c>
      <c r="AA1054" s="276" t="e">
        <f t="shared" si="972"/>
        <v>#DIV/0!</v>
      </c>
      <c r="AB1054" s="276" t="e">
        <f t="shared" si="973"/>
        <v>#DIV/0!</v>
      </c>
      <c r="AC1054" s="276" t="e">
        <f t="shared" si="974"/>
        <v>#DIV/0!</v>
      </c>
      <c r="AD1054" s="276" t="e">
        <f t="shared" si="975"/>
        <v>#DIV/0!</v>
      </c>
      <c r="AE1054" s="686" t="e">
        <f t="shared" si="976"/>
        <v>#DIV/0!</v>
      </c>
      <c r="AF1054" s="239"/>
      <c r="AG1054" s="965" t="e">
        <f t="shared" si="947"/>
        <v>#VALUE!</v>
      </c>
      <c r="AH1054" s="878" t="e">
        <f t="shared" si="948"/>
        <v>#VALUE!</v>
      </c>
      <c r="AI1054" s="878" t="e">
        <f t="shared" si="949"/>
        <v>#VALUE!</v>
      </c>
      <c r="AJ1054" s="878" t="e">
        <f t="shared" si="950"/>
        <v>#VALUE!</v>
      </c>
      <c r="AK1054" s="878" t="e">
        <f t="shared" si="951"/>
        <v>#VALUE!</v>
      </c>
      <c r="AL1054" s="966" t="e">
        <f t="shared" si="952"/>
        <v>#VALUE!</v>
      </c>
      <c r="AM1054" s="239"/>
      <c r="AO1054" s="685">
        <f t="shared" si="977"/>
        <v>1.0291028984438222</v>
      </c>
      <c r="AP1054" s="276">
        <f t="shared" si="978"/>
        <v>-1.3175194858207318</v>
      </c>
      <c r="AQ1054" s="276">
        <f t="shared" si="979"/>
        <v>-1.4047756508364284</v>
      </c>
      <c r="AR1054" s="276">
        <f t="shared" si="980"/>
        <v>-0.80824397324769004</v>
      </c>
      <c r="AS1054" s="276">
        <f t="shared" si="981"/>
        <v>1.8383547063281143</v>
      </c>
      <c r="AT1054" s="276">
        <f t="shared" si="982"/>
        <v>-0.99547431556336718</v>
      </c>
      <c r="AU1054" s="685">
        <f t="shared" si="983"/>
        <v>1.1841362782317757</v>
      </c>
      <c r="AV1054" s="276">
        <f t="shared" si="984"/>
        <v>1.7065119350837026</v>
      </c>
      <c r="AW1054" s="276">
        <f t="shared" si="985"/>
        <v>0.85828182567596634</v>
      </c>
      <c r="AX1054" s="276">
        <f t="shared" si="986"/>
        <v>1.0437224550803437</v>
      </c>
      <c r="AY1054" s="276">
        <f t="shared" si="987"/>
        <v>1.3742538648640819</v>
      </c>
      <c r="AZ1054" s="686">
        <f t="shared" si="988"/>
        <v>1.0678510404818418</v>
      </c>
      <c r="BA1054" s="685">
        <f t="shared" si="989"/>
        <v>0</v>
      </c>
      <c r="BB1054" s="276">
        <f t="shared" si="990"/>
        <v>0</v>
      </c>
      <c r="BC1054" s="276">
        <f t="shared" si="991"/>
        <v>0</v>
      </c>
      <c r="BD1054" s="276">
        <f t="shared" si="992"/>
        <v>0</v>
      </c>
      <c r="BE1054" s="276">
        <f t="shared" si="993"/>
        <v>0</v>
      </c>
      <c r="BF1054" s="686">
        <f t="shared" si="994"/>
        <v>0</v>
      </c>
      <c r="BG1054" s="685" t="e">
        <f t="shared" si="995"/>
        <v>#DIV/0!</v>
      </c>
      <c r="BH1054" s="276" t="e">
        <f t="shared" si="996"/>
        <v>#DIV/0!</v>
      </c>
      <c r="BI1054" s="276" t="e">
        <f t="shared" si="997"/>
        <v>#DIV/0!</v>
      </c>
      <c r="BJ1054" s="276" t="e">
        <f t="shared" si="998"/>
        <v>#DIV/0!</v>
      </c>
      <c r="BK1054" s="276" t="e">
        <f t="shared" si="999"/>
        <v>#DIV/0!</v>
      </c>
      <c r="BL1054" s="686" t="e">
        <f t="shared" si="1000"/>
        <v>#DIV/0!</v>
      </c>
      <c r="BM1054" s="239"/>
      <c r="BN1054" s="965" t="e">
        <f t="shared" si="1001"/>
        <v>#VALUE!</v>
      </c>
      <c r="BO1054" s="878" t="e">
        <f t="shared" si="1002"/>
        <v>#VALUE!</v>
      </c>
      <c r="BP1054" s="878" t="e">
        <f t="shared" si="1003"/>
        <v>#VALUE!</v>
      </c>
      <c r="BQ1054" s="878" t="e">
        <f t="shared" si="1004"/>
        <v>#VALUE!</v>
      </c>
      <c r="BR1054" s="878" t="e">
        <f t="shared" si="1005"/>
        <v>#VALUE!</v>
      </c>
      <c r="BS1054" s="966" t="e">
        <f t="shared" si="1006"/>
        <v>#VALUE!</v>
      </c>
    </row>
    <row r="1055" spans="1:71">
      <c r="A1055" s="284">
        <f t="shared" si="1007"/>
        <v>987</v>
      </c>
      <c r="B1055" s="285">
        <v>-1.4316581546899478</v>
      </c>
      <c r="C1055" s="285">
        <v>2.1671421369653059</v>
      </c>
      <c r="D1055" s="285">
        <v>0.6317534855309952</v>
      </c>
      <c r="E1055" s="285">
        <v>-7.4719773018633493</v>
      </c>
      <c r="H1055" s="685">
        <f t="shared" si="953"/>
        <v>-2.5648919964590027</v>
      </c>
      <c r="I1055" s="276">
        <f t="shared" si="954"/>
        <v>0.83218029969139051</v>
      </c>
      <c r="J1055" s="276">
        <f t="shared" si="955"/>
        <v>0.83597043245000768</v>
      </c>
      <c r="K1055" s="276">
        <f t="shared" si="956"/>
        <v>9.2271658525474143E-2</v>
      </c>
      <c r="L1055" s="276">
        <f t="shared" si="957"/>
        <v>-4.2920720899820965</v>
      </c>
      <c r="M1055" s="276">
        <f t="shared" si="958"/>
        <v>-3.9338630599591236</v>
      </c>
      <c r="N1055" s="685">
        <f t="shared" si="959"/>
        <v>0.95997092599343747</v>
      </c>
      <c r="O1055" s="276">
        <f t="shared" si="960"/>
        <v>1.065135935276224</v>
      </c>
      <c r="P1055" s="276">
        <f t="shared" si="961"/>
        <v>1.3091740174802309</v>
      </c>
      <c r="Q1055" s="276">
        <f t="shared" si="962"/>
        <v>1.9735375302796736</v>
      </c>
      <c r="R1055" s="276">
        <f t="shared" si="963"/>
        <v>0.86840194581528762</v>
      </c>
      <c r="S1055" s="686">
        <f t="shared" si="964"/>
        <v>0.48055751649625811</v>
      </c>
      <c r="T1055" s="685">
        <f t="shared" si="965"/>
        <v>3.9101171758019211</v>
      </c>
      <c r="U1055" s="276">
        <f t="shared" si="966"/>
        <v>4.8008512492997184</v>
      </c>
      <c r="V1055" s="276">
        <f t="shared" si="967"/>
        <v>4.3253863054078359</v>
      </c>
      <c r="W1055" s="276">
        <f t="shared" si="968"/>
        <v>4.6857398189173587</v>
      </c>
      <c r="X1055" s="276">
        <f t="shared" si="969"/>
        <v>3.768236797672146</v>
      </c>
      <c r="Y1055" s="686">
        <f t="shared" si="970"/>
        <v>4.9016132467330022</v>
      </c>
      <c r="Z1055" s="685" t="e">
        <f t="shared" si="971"/>
        <v>#DIV/0!</v>
      </c>
      <c r="AA1055" s="276" t="e">
        <f t="shared" si="972"/>
        <v>#DIV/0!</v>
      </c>
      <c r="AB1055" s="276" t="e">
        <f t="shared" si="973"/>
        <v>#DIV/0!</v>
      </c>
      <c r="AC1055" s="276" t="e">
        <f t="shared" si="974"/>
        <v>#DIV/0!</v>
      </c>
      <c r="AD1055" s="276" t="e">
        <f t="shared" si="975"/>
        <v>#DIV/0!</v>
      </c>
      <c r="AE1055" s="686" t="e">
        <f t="shared" si="976"/>
        <v>#DIV/0!</v>
      </c>
      <c r="AF1055" s="239"/>
      <c r="AG1055" s="965" t="e">
        <f t="shared" si="947"/>
        <v>#VALUE!</v>
      </c>
      <c r="AH1055" s="878" t="e">
        <f t="shared" si="948"/>
        <v>#VALUE!</v>
      </c>
      <c r="AI1055" s="878" t="e">
        <f t="shared" si="949"/>
        <v>#VALUE!</v>
      </c>
      <c r="AJ1055" s="878" t="e">
        <f t="shared" si="950"/>
        <v>#VALUE!</v>
      </c>
      <c r="AK1055" s="878" t="e">
        <f t="shared" si="951"/>
        <v>#VALUE!</v>
      </c>
      <c r="AL1055" s="966" t="e">
        <f t="shared" si="952"/>
        <v>#VALUE!</v>
      </c>
      <c r="AM1055" s="239"/>
      <c r="AO1055" s="685">
        <f t="shared" si="977"/>
        <v>-2.5648919964590027</v>
      </c>
      <c r="AP1055" s="276">
        <f t="shared" si="978"/>
        <v>0.83218029969139051</v>
      </c>
      <c r="AQ1055" s="276">
        <f t="shared" si="979"/>
        <v>0.83597043245000768</v>
      </c>
      <c r="AR1055" s="276">
        <f t="shared" si="980"/>
        <v>9.2271658525474143E-2</v>
      </c>
      <c r="AS1055" s="276">
        <f t="shared" si="981"/>
        <v>-4.2920720899820965</v>
      </c>
      <c r="AT1055" s="276">
        <f t="shared" si="982"/>
        <v>-3.9338630599591236</v>
      </c>
      <c r="AU1055" s="685">
        <f t="shared" si="983"/>
        <v>0.95997092599343747</v>
      </c>
      <c r="AV1055" s="276">
        <f t="shared" si="984"/>
        <v>1.065135935276224</v>
      </c>
      <c r="AW1055" s="276">
        <f t="shared" si="985"/>
        <v>1.3091740174802309</v>
      </c>
      <c r="AX1055" s="276">
        <f t="shared" si="986"/>
        <v>1.9735375302796736</v>
      </c>
      <c r="AY1055" s="276">
        <f t="shared" si="987"/>
        <v>0.86840194581528762</v>
      </c>
      <c r="AZ1055" s="686">
        <f t="shared" si="988"/>
        <v>0.48055751649625811</v>
      </c>
      <c r="BA1055" s="685">
        <f t="shared" si="989"/>
        <v>0</v>
      </c>
      <c r="BB1055" s="276">
        <f t="shared" si="990"/>
        <v>0</v>
      </c>
      <c r="BC1055" s="276">
        <f t="shared" si="991"/>
        <v>0</v>
      </c>
      <c r="BD1055" s="276">
        <f t="shared" si="992"/>
        <v>0</v>
      </c>
      <c r="BE1055" s="276">
        <f t="shared" si="993"/>
        <v>0</v>
      </c>
      <c r="BF1055" s="686">
        <f t="shared" si="994"/>
        <v>0</v>
      </c>
      <c r="BG1055" s="685" t="e">
        <f t="shared" si="995"/>
        <v>#DIV/0!</v>
      </c>
      <c r="BH1055" s="276" t="e">
        <f t="shared" si="996"/>
        <v>#DIV/0!</v>
      </c>
      <c r="BI1055" s="276" t="e">
        <f t="shared" si="997"/>
        <v>#DIV/0!</v>
      </c>
      <c r="BJ1055" s="276" t="e">
        <f t="shared" si="998"/>
        <v>#DIV/0!</v>
      </c>
      <c r="BK1055" s="276" t="e">
        <f t="shared" si="999"/>
        <v>#DIV/0!</v>
      </c>
      <c r="BL1055" s="686" t="e">
        <f t="shared" si="1000"/>
        <v>#DIV/0!</v>
      </c>
      <c r="BM1055" s="239"/>
      <c r="BN1055" s="965" t="e">
        <f t="shared" si="1001"/>
        <v>#VALUE!</v>
      </c>
      <c r="BO1055" s="878" t="e">
        <f t="shared" si="1002"/>
        <v>#VALUE!</v>
      </c>
      <c r="BP1055" s="878" t="e">
        <f t="shared" si="1003"/>
        <v>#VALUE!</v>
      </c>
      <c r="BQ1055" s="878" t="e">
        <f t="shared" si="1004"/>
        <v>#VALUE!</v>
      </c>
      <c r="BR1055" s="878" t="e">
        <f t="shared" si="1005"/>
        <v>#VALUE!</v>
      </c>
      <c r="BS1055" s="966" t="e">
        <f t="shared" si="1006"/>
        <v>#VALUE!</v>
      </c>
    </row>
    <row r="1056" spans="1:71">
      <c r="A1056" s="284">
        <f t="shared" si="1007"/>
        <v>988</v>
      </c>
      <c r="B1056" s="285">
        <v>-3.2501774275908377</v>
      </c>
      <c r="C1056" s="285">
        <v>2.5753669834528612</v>
      </c>
      <c r="D1056" s="285">
        <v>-0.62954895727059168</v>
      </c>
      <c r="E1056" s="285">
        <v>16.739724656192568</v>
      </c>
      <c r="H1056" s="685">
        <f t="shared" si="953"/>
        <v>-4.3834112693598923</v>
      </c>
      <c r="I1056" s="276">
        <f t="shared" si="954"/>
        <v>2.6587247477218083</v>
      </c>
      <c r="J1056" s="276">
        <f t="shared" si="955"/>
        <v>-3.0308448246354232</v>
      </c>
      <c r="K1056" s="276">
        <f t="shared" si="956"/>
        <v>-0.51204967484984276</v>
      </c>
      <c r="L1056" s="276">
        <f t="shared" si="957"/>
        <v>1.6180944639861015</v>
      </c>
      <c r="M1056" s="276">
        <f t="shared" si="958"/>
        <v>-1.2595831274653999</v>
      </c>
      <c r="N1056" s="685">
        <f t="shared" si="959"/>
        <v>1.3681957724809928</v>
      </c>
      <c r="O1056" s="276">
        <f t="shared" si="960"/>
        <v>1.7382549150326614</v>
      </c>
      <c r="P1056" s="276">
        <f t="shared" si="961"/>
        <v>1.4291915729704072</v>
      </c>
      <c r="Q1056" s="276">
        <f t="shared" si="962"/>
        <v>0.70707869361356934</v>
      </c>
      <c r="R1056" s="276">
        <f t="shared" si="963"/>
        <v>1.3059955238375707</v>
      </c>
      <c r="S1056" s="686">
        <f t="shared" si="964"/>
        <v>1.0979834714950953</v>
      </c>
      <c r="T1056" s="685">
        <f t="shared" si="965"/>
        <v>2.648814733000334</v>
      </c>
      <c r="U1056" s="276">
        <f t="shared" si="966"/>
        <v>4.5947793812917901</v>
      </c>
      <c r="V1056" s="276">
        <f t="shared" si="967"/>
        <v>4.3540245135732683</v>
      </c>
      <c r="W1056" s="276">
        <f t="shared" si="968"/>
        <v>4.3956796605702255</v>
      </c>
      <c r="X1056" s="276">
        <f t="shared" si="969"/>
        <v>3.9711797888908613</v>
      </c>
      <c r="Y1056" s="686">
        <f t="shared" si="970"/>
        <v>2.7966461300410366</v>
      </c>
      <c r="Z1056" s="685" t="e">
        <f t="shared" si="971"/>
        <v>#DIV/0!</v>
      </c>
      <c r="AA1056" s="276" t="e">
        <f t="shared" si="972"/>
        <v>#DIV/0!</v>
      </c>
      <c r="AB1056" s="276" t="e">
        <f t="shared" si="973"/>
        <v>#DIV/0!</v>
      </c>
      <c r="AC1056" s="276" t="e">
        <f t="shared" si="974"/>
        <v>#DIV/0!</v>
      </c>
      <c r="AD1056" s="276" t="e">
        <f t="shared" si="975"/>
        <v>#DIV/0!</v>
      </c>
      <c r="AE1056" s="686" t="e">
        <f t="shared" si="976"/>
        <v>#DIV/0!</v>
      </c>
      <c r="AF1056" s="239"/>
      <c r="AG1056" s="965" t="e">
        <f t="shared" si="947"/>
        <v>#VALUE!</v>
      </c>
      <c r="AH1056" s="878" t="e">
        <f t="shared" si="948"/>
        <v>#VALUE!</v>
      </c>
      <c r="AI1056" s="878" t="e">
        <f t="shared" si="949"/>
        <v>#VALUE!</v>
      </c>
      <c r="AJ1056" s="878" t="e">
        <f t="shared" si="950"/>
        <v>#VALUE!</v>
      </c>
      <c r="AK1056" s="878" t="e">
        <f t="shared" si="951"/>
        <v>#VALUE!</v>
      </c>
      <c r="AL1056" s="966" t="e">
        <f t="shared" si="952"/>
        <v>#VALUE!</v>
      </c>
      <c r="AM1056" s="239"/>
      <c r="AO1056" s="685">
        <f t="shared" si="977"/>
        <v>-4.3834112693598923</v>
      </c>
      <c r="AP1056" s="276">
        <f t="shared" si="978"/>
        <v>2.6587247477218083</v>
      </c>
      <c r="AQ1056" s="276">
        <f t="shared" si="979"/>
        <v>-3.0308448246354232</v>
      </c>
      <c r="AR1056" s="276">
        <f t="shared" si="980"/>
        <v>-0.51204967484984276</v>
      </c>
      <c r="AS1056" s="276">
        <f t="shared" si="981"/>
        <v>1.6180944639861015</v>
      </c>
      <c r="AT1056" s="276">
        <f t="shared" si="982"/>
        <v>-1.2595831274653999</v>
      </c>
      <c r="AU1056" s="685">
        <f t="shared" si="983"/>
        <v>1.3681957724809928</v>
      </c>
      <c r="AV1056" s="276">
        <f t="shared" si="984"/>
        <v>1.7382549150326614</v>
      </c>
      <c r="AW1056" s="276">
        <f t="shared" si="985"/>
        <v>1.4291915729704072</v>
      </c>
      <c r="AX1056" s="276">
        <f t="shared" si="986"/>
        <v>0.70707869361356934</v>
      </c>
      <c r="AY1056" s="276">
        <f t="shared" si="987"/>
        <v>1.3059955238375707</v>
      </c>
      <c r="AZ1056" s="686">
        <f t="shared" si="988"/>
        <v>1.0979834714950953</v>
      </c>
      <c r="BA1056" s="685">
        <f t="shared" si="989"/>
        <v>0</v>
      </c>
      <c r="BB1056" s="276">
        <f t="shared" si="990"/>
        <v>0</v>
      </c>
      <c r="BC1056" s="276">
        <f t="shared" si="991"/>
        <v>0</v>
      </c>
      <c r="BD1056" s="276">
        <f t="shared" si="992"/>
        <v>0</v>
      </c>
      <c r="BE1056" s="276">
        <f t="shared" si="993"/>
        <v>0</v>
      </c>
      <c r="BF1056" s="686">
        <f t="shared" si="994"/>
        <v>0</v>
      </c>
      <c r="BG1056" s="685" t="e">
        <f t="shared" si="995"/>
        <v>#DIV/0!</v>
      </c>
      <c r="BH1056" s="276" t="e">
        <f t="shared" si="996"/>
        <v>#DIV/0!</v>
      </c>
      <c r="BI1056" s="276" t="e">
        <f t="shared" si="997"/>
        <v>#DIV/0!</v>
      </c>
      <c r="BJ1056" s="276" t="e">
        <f t="shared" si="998"/>
        <v>#DIV/0!</v>
      </c>
      <c r="BK1056" s="276" t="e">
        <f t="shared" si="999"/>
        <v>#DIV/0!</v>
      </c>
      <c r="BL1056" s="686" t="e">
        <f t="shared" si="1000"/>
        <v>#DIV/0!</v>
      </c>
      <c r="BM1056" s="239"/>
      <c r="BN1056" s="965" t="e">
        <f t="shared" si="1001"/>
        <v>#VALUE!</v>
      </c>
      <c r="BO1056" s="878" t="e">
        <f t="shared" si="1002"/>
        <v>#VALUE!</v>
      </c>
      <c r="BP1056" s="878" t="e">
        <f t="shared" si="1003"/>
        <v>#VALUE!</v>
      </c>
      <c r="BQ1056" s="878" t="e">
        <f t="shared" si="1004"/>
        <v>#VALUE!</v>
      </c>
      <c r="BR1056" s="878" t="e">
        <f t="shared" si="1005"/>
        <v>#VALUE!</v>
      </c>
      <c r="BS1056" s="966" t="e">
        <f t="shared" si="1006"/>
        <v>#VALUE!</v>
      </c>
    </row>
    <row r="1057" spans="1:71">
      <c r="A1057" s="284">
        <f t="shared" si="1007"/>
        <v>989</v>
      </c>
      <c r="B1057" s="285">
        <v>1.3096299796311728</v>
      </c>
      <c r="C1057" s="285">
        <v>2.3809279023031267</v>
      </c>
      <c r="D1057" s="285">
        <v>0.38395251986054446</v>
      </c>
      <c r="E1057" s="285">
        <v>-7.0386503861723284</v>
      </c>
      <c r="H1057" s="685">
        <f t="shared" si="953"/>
        <v>0.17639613786211794</v>
      </c>
      <c r="I1057" s="276">
        <f t="shared" si="954"/>
        <v>3.0661600468062886</v>
      </c>
      <c r="J1057" s="276">
        <f t="shared" si="955"/>
        <v>-3.2180441843232801</v>
      </c>
      <c r="K1057" s="276">
        <f t="shared" si="956"/>
        <v>4.5313767789981805</v>
      </c>
      <c r="L1057" s="276">
        <f t="shared" si="957"/>
        <v>0.86253227317027692</v>
      </c>
      <c r="M1057" s="276">
        <f t="shared" si="958"/>
        <v>0.28472376983819081</v>
      </c>
      <c r="N1057" s="685">
        <f t="shared" si="959"/>
        <v>1.1737566913312583</v>
      </c>
      <c r="O1057" s="276">
        <f t="shared" si="960"/>
        <v>2.5420402925730636</v>
      </c>
      <c r="P1057" s="276">
        <f t="shared" si="961"/>
        <v>1.1333577886150537</v>
      </c>
      <c r="Q1057" s="276">
        <f t="shared" si="962"/>
        <v>1.8618278113633779</v>
      </c>
      <c r="R1057" s="276">
        <f t="shared" si="963"/>
        <v>1.1883797836619061</v>
      </c>
      <c r="S1057" s="686">
        <f t="shared" si="964"/>
        <v>1.1852970678049399</v>
      </c>
      <c r="T1057" s="685">
        <f t="shared" si="965"/>
        <v>3.6623162101314701</v>
      </c>
      <c r="U1057" s="276">
        <f t="shared" si="966"/>
        <v>4.3756339640830273</v>
      </c>
      <c r="V1057" s="276">
        <f t="shared" si="967"/>
        <v>3.6869103459981716</v>
      </c>
      <c r="W1057" s="276">
        <f t="shared" si="968"/>
        <v>3.6509959166798809</v>
      </c>
      <c r="X1057" s="276">
        <f t="shared" si="969"/>
        <v>5.4274337151609879</v>
      </c>
      <c r="Y1057" s="686">
        <f t="shared" si="970"/>
        <v>3.7713917026373776</v>
      </c>
      <c r="Z1057" s="685" t="e">
        <f t="shared" si="971"/>
        <v>#DIV/0!</v>
      </c>
      <c r="AA1057" s="276" t="e">
        <f t="shared" si="972"/>
        <v>#DIV/0!</v>
      </c>
      <c r="AB1057" s="276" t="e">
        <f t="shared" si="973"/>
        <v>#DIV/0!</v>
      </c>
      <c r="AC1057" s="276" t="e">
        <f t="shared" si="974"/>
        <v>#DIV/0!</v>
      </c>
      <c r="AD1057" s="276" t="e">
        <f t="shared" si="975"/>
        <v>#DIV/0!</v>
      </c>
      <c r="AE1057" s="686" t="e">
        <f t="shared" si="976"/>
        <v>#DIV/0!</v>
      </c>
      <c r="AF1057" s="239"/>
      <c r="AG1057" s="965" t="e">
        <f t="shared" si="947"/>
        <v>#VALUE!</v>
      </c>
      <c r="AH1057" s="878" t="e">
        <f t="shared" si="948"/>
        <v>#VALUE!</v>
      </c>
      <c r="AI1057" s="878" t="e">
        <f t="shared" si="949"/>
        <v>#VALUE!</v>
      </c>
      <c r="AJ1057" s="878" t="e">
        <f t="shared" si="950"/>
        <v>#VALUE!</v>
      </c>
      <c r="AK1057" s="878" t="e">
        <f t="shared" si="951"/>
        <v>#VALUE!</v>
      </c>
      <c r="AL1057" s="966" t="e">
        <f t="shared" si="952"/>
        <v>#VALUE!</v>
      </c>
      <c r="AM1057" s="239"/>
      <c r="AO1057" s="685">
        <f t="shared" si="977"/>
        <v>0.17639613786211794</v>
      </c>
      <c r="AP1057" s="276">
        <f t="shared" si="978"/>
        <v>3.0661600468062886</v>
      </c>
      <c r="AQ1057" s="276">
        <f t="shared" si="979"/>
        <v>-3.2180441843232801</v>
      </c>
      <c r="AR1057" s="276">
        <f t="shared" si="980"/>
        <v>4.5313767789981805</v>
      </c>
      <c r="AS1057" s="276">
        <f t="shared" si="981"/>
        <v>0.86253227317027692</v>
      </c>
      <c r="AT1057" s="276">
        <f t="shared" si="982"/>
        <v>0.28472376983819081</v>
      </c>
      <c r="AU1057" s="685">
        <f t="shared" si="983"/>
        <v>1.1737566913312583</v>
      </c>
      <c r="AV1057" s="276">
        <f t="shared" si="984"/>
        <v>2.5420402925730636</v>
      </c>
      <c r="AW1057" s="276">
        <f t="shared" si="985"/>
        <v>1.1333577886150537</v>
      </c>
      <c r="AX1057" s="276">
        <f t="shared" si="986"/>
        <v>1.8618278113633779</v>
      </c>
      <c r="AY1057" s="276">
        <f t="shared" si="987"/>
        <v>1.1883797836619061</v>
      </c>
      <c r="AZ1057" s="686">
        <f t="shared" si="988"/>
        <v>1.1852970678049399</v>
      </c>
      <c r="BA1057" s="685">
        <f t="shared" si="989"/>
        <v>0</v>
      </c>
      <c r="BB1057" s="276">
        <f t="shared" si="990"/>
        <v>0</v>
      </c>
      <c r="BC1057" s="276">
        <f t="shared" si="991"/>
        <v>0</v>
      </c>
      <c r="BD1057" s="276">
        <f t="shared" si="992"/>
        <v>0</v>
      </c>
      <c r="BE1057" s="276">
        <f t="shared" si="993"/>
        <v>0</v>
      </c>
      <c r="BF1057" s="686">
        <f t="shared" si="994"/>
        <v>0</v>
      </c>
      <c r="BG1057" s="685" t="e">
        <f t="shared" si="995"/>
        <v>#DIV/0!</v>
      </c>
      <c r="BH1057" s="276" t="e">
        <f t="shared" si="996"/>
        <v>#DIV/0!</v>
      </c>
      <c r="BI1057" s="276" t="e">
        <f t="shared" si="997"/>
        <v>#DIV/0!</v>
      </c>
      <c r="BJ1057" s="276" t="e">
        <f t="shared" si="998"/>
        <v>#DIV/0!</v>
      </c>
      <c r="BK1057" s="276" t="e">
        <f t="shared" si="999"/>
        <v>#DIV/0!</v>
      </c>
      <c r="BL1057" s="686" t="e">
        <f t="shared" si="1000"/>
        <v>#DIV/0!</v>
      </c>
      <c r="BM1057" s="239"/>
      <c r="BN1057" s="965" t="e">
        <f t="shared" si="1001"/>
        <v>#VALUE!</v>
      </c>
      <c r="BO1057" s="878" t="e">
        <f t="shared" si="1002"/>
        <v>#VALUE!</v>
      </c>
      <c r="BP1057" s="878" t="e">
        <f t="shared" si="1003"/>
        <v>#VALUE!</v>
      </c>
      <c r="BQ1057" s="878" t="e">
        <f t="shared" si="1004"/>
        <v>#VALUE!</v>
      </c>
      <c r="BR1057" s="878" t="e">
        <f t="shared" si="1005"/>
        <v>#VALUE!</v>
      </c>
      <c r="BS1057" s="966" t="e">
        <f t="shared" si="1006"/>
        <v>#VALUE!</v>
      </c>
    </row>
    <row r="1058" spans="1:71">
      <c r="A1058" s="284">
        <f t="shared" si="1007"/>
        <v>990</v>
      </c>
      <c r="B1058" s="285">
        <v>0.20907704796218918</v>
      </c>
      <c r="C1058" s="285">
        <v>2.5375941147253585</v>
      </c>
      <c r="D1058" s="285">
        <v>2.062863466283992</v>
      </c>
      <c r="E1058" s="285">
        <v>-8.3213195811029372</v>
      </c>
      <c r="H1058" s="685">
        <f t="shared" si="953"/>
        <v>-0.92415679380686566</v>
      </c>
      <c r="I1058" s="276">
        <f t="shared" si="954"/>
        <v>-2.6569643823795115</v>
      </c>
      <c r="J1058" s="276">
        <f t="shared" si="955"/>
        <v>-2.6652476717235967</v>
      </c>
      <c r="K1058" s="276">
        <f t="shared" si="956"/>
        <v>-4.4507911887797906</v>
      </c>
      <c r="L1058" s="276">
        <f t="shared" si="957"/>
        <v>-2.3669855856550863</v>
      </c>
      <c r="M1058" s="276">
        <f t="shared" si="958"/>
        <v>2.0009619391480511</v>
      </c>
      <c r="N1058" s="685">
        <f t="shared" si="959"/>
        <v>1.33042290375349</v>
      </c>
      <c r="O1058" s="276">
        <f t="shared" si="960"/>
        <v>1.164280329903139</v>
      </c>
      <c r="P1058" s="276">
        <f t="shared" si="961"/>
        <v>1.6448778205565702</v>
      </c>
      <c r="Q1058" s="276">
        <f t="shared" si="962"/>
        <v>1.2234208734124683</v>
      </c>
      <c r="R1058" s="276">
        <f t="shared" si="963"/>
        <v>0.94672231440719457</v>
      </c>
      <c r="S1058" s="686">
        <f t="shared" si="964"/>
        <v>1.6166130688630191</v>
      </c>
      <c r="T1058" s="685">
        <f t="shared" si="965"/>
        <v>5.3412271565549183</v>
      </c>
      <c r="U1058" s="276">
        <f t="shared" si="966"/>
        <v>5.0771576281539943</v>
      </c>
      <c r="V1058" s="276">
        <f t="shared" si="967"/>
        <v>4.8076048474846509</v>
      </c>
      <c r="W1058" s="276">
        <f t="shared" si="968"/>
        <v>4.6800356086862624</v>
      </c>
      <c r="X1058" s="276">
        <f t="shared" si="969"/>
        <v>6.080446728495728</v>
      </c>
      <c r="Y1058" s="686">
        <f t="shared" si="970"/>
        <v>5.8515786656426592</v>
      </c>
      <c r="Z1058" s="685" t="e">
        <f t="shared" si="971"/>
        <v>#DIV/0!</v>
      </c>
      <c r="AA1058" s="276" t="e">
        <f t="shared" si="972"/>
        <v>#DIV/0!</v>
      </c>
      <c r="AB1058" s="276" t="e">
        <f t="shared" si="973"/>
        <v>#DIV/0!</v>
      </c>
      <c r="AC1058" s="276" t="e">
        <f t="shared" si="974"/>
        <v>#DIV/0!</v>
      </c>
      <c r="AD1058" s="276" t="e">
        <f t="shared" si="975"/>
        <v>#DIV/0!</v>
      </c>
      <c r="AE1058" s="686" t="e">
        <f t="shared" si="976"/>
        <v>#DIV/0!</v>
      </c>
      <c r="AF1058" s="239"/>
      <c r="AG1058" s="965" t="e">
        <f t="shared" si="947"/>
        <v>#VALUE!</v>
      </c>
      <c r="AH1058" s="878" t="e">
        <f t="shared" si="948"/>
        <v>#VALUE!</v>
      </c>
      <c r="AI1058" s="878" t="e">
        <f t="shared" si="949"/>
        <v>#VALUE!</v>
      </c>
      <c r="AJ1058" s="878" t="e">
        <f t="shared" si="950"/>
        <v>#VALUE!</v>
      </c>
      <c r="AK1058" s="878" t="e">
        <f t="shared" si="951"/>
        <v>#VALUE!</v>
      </c>
      <c r="AL1058" s="966" t="e">
        <f t="shared" si="952"/>
        <v>#VALUE!</v>
      </c>
      <c r="AM1058" s="239"/>
      <c r="AO1058" s="685">
        <f t="shared" si="977"/>
        <v>-0.92415679380686566</v>
      </c>
      <c r="AP1058" s="276">
        <f t="shared" si="978"/>
        <v>-2.6569643823795115</v>
      </c>
      <c r="AQ1058" s="276">
        <f t="shared" si="979"/>
        <v>-2.6652476717235967</v>
      </c>
      <c r="AR1058" s="276">
        <f t="shared" si="980"/>
        <v>-4.4507911887797906</v>
      </c>
      <c r="AS1058" s="276">
        <f t="shared" si="981"/>
        <v>-2.3669855856550863</v>
      </c>
      <c r="AT1058" s="276">
        <f t="shared" si="982"/>
        <v>2.0009619391480511</v>
      </c>
      <c r="AU1058" s="685">
        <f t="shared" si="983"/>
        <v>1.33042290375349</v>
      </c>
      <c r="AV1058" s="276">
        <f t="shared" si="984"/>
        <v>1.164280329903139</v>
      </c>
      <c r="AW1058" s="276">
        <f t="shared" si="985"/>
        <v>1.6448778205565702</v>
      </c>
      <c r="AX1058" s="276">
        <f t="shared" si="986"/>
        <v>1.2234208734124683</v>
      </c>
      <c r="AY1058" s="276">
        <f t="shared" si="987"/>
        <v>0.94672231440719457</v>
      </c>
      <c r="AZ1058" s="686">
        <f t="shared" si="988"/>
        <v>1.6166130688630191</v>
      </c>
      <c r="BA1058" s="685">
        <f t="shared" si="989"/>
        <v>0</v>
      </c>
      <c r="BB1058" s="276">
        <f t="shared" si="990"/>
        <v>0</v>
      </c>
      <c r="BC1058" s="276">
        <f t="shared" si="991"/>
        <v>0</v>
      </c>
      <c r="BD1058" s="276">
        <f t="shared" si="992"/>
        <v>0</v>
      </c>
      <c r="BE1058" s="276">
        <f t="shared" si="993"/>
        <v>0</v>
      </c>
      <c r="BF1058" s="686">
        <f t="shared" si="994"/>
        <v>0</v>
      </c>
      <c r="BG1058" s="685" t="e">
        <f t="shared" si="995"/>
        <v>#DIV/0!</v>
      </c>
      <c r="BH1058" s="276" t="e">
        <f t="shared" si="996"/>
        <v>#DIV/0!</v>
      </c>
      <c r="BI1058" s="276" t="e">
        <f t="shared" si="997"/>
        <v>#DIV/0!</v>
      </c>
      <c r="BJ1058" s="276" t="e">
        <f t="shared" si="998"/>
        <v>#DIV/0!</v>
      </c>
      <c r="BK1058" s="276" t="e">
        <f t="shared" si="999"/>
        <v>#DIV/0!</v>
      </c>
      <c r="BL1058" s="686" t="e">
        <f t="shared" si="1000"/>
        <v>#DIV/0!</v>
      </c>
      <c r="BM1058" s="239"/>
      <c r="BN1058" s="965" t="e">
        <f t="shared" si="1001"/>
        <v>#VALUE!</v>
      </c>
      <c r="BO1058" s="878" t="e">
        <f t="shared" si="1002"/>
        <v>#VALUE!</v>
      </c>
      <c r="BP1058" s="878" t="e">
        <f t="shared" si="1003"/>
        <v>#VALUE!</v>
      </c>
      <c r="BQ1058" s="878" t="e">
        <f t="shared" si="1004"/>
        <v>#VALUE!</v>
      </c>
      <c r="BR1058" s="878" t="e">
        <f t="shared" si="1005"/>
        <v>#VALUE!</v>
      </c>
      <c r="BS1058" s="966" t="e">
        <f t="shared" si="1006"/>
        <v>#VALUE!</v>
      </c>
    </row>
    <row r="1059" spans="1:71">
      <c r="A1059" s="284">
        <f t="shared" si="1007"/>
        <v>991</v>
      </c>
      <c r="B1059" s="285">
        <v>0.80632566302337061</v>
      </c>
      <c r="C1059" s="285">
        <v>2.4995599803887294</v>
      </c>
      <c r="D1059" s="285">
        <v>2.1577198424802586</v>
      </c>
      <c r="E1059" s="285">
        <v>-8.7339153734220218</v>
      </c>
      <c r="H1059" s="685">
        <f t="shared" si="953"/>
        <v>-0.32690817874568423</v>
      </c>
      <c r="I1059" s="276">
        <f t="shared" si="954"/>
        <v>-1.362362335987527</v>
      </c>
      <c r="J1059" s="276">
        <f t="shared" si="955"/>
        <v>-0.95279568641340928</v>
      </c>
      <c r="K1059" s="276">
        <f t="shared" si="956"/>
        <v>-0.92573374843596024</v>
      </c>
      <c r="L1059" s="276">
        <f t="shared" si="957"/>
        <v>7.673095729686108E-2</v>
      </c>
      <c r="M1059" s="276">
        <f t="shared" si="958"/>
        <v>-1.7606822841874288</v>
      </c>
      <c r="N1059" s="685">
        <f t="shared" si="959"/>
        <v>1.292388769416861</v>
      </c>
      <c r="O1059" s="276">
        <f t="shared" si="960"/>
        <v>1.2645760747319554</v>
      </c>
      <c r="P1059" s="276">
        <f t="shared" si="961"/>
        <v>1.1182906275974578</v>
      </c>
      <c r="Q1059" s="276">
        <f t="shared" si="962"/>
        <v>0.90305126263056068</v>
      </c>
      <c r="R1059" s="276">
        <f t="shared" si="963"/>
        <v>1.928182035935605</v>
      </c>
      <c r="S1059" s="686">
        <f t="shared" si="964"/>
        <v>1.6754704189312732</v>
      </c>
      <c r="T1059" s="685">
        <f t="shared" si="965"/>
        <v>5.4360835327511845</v>
      </c>
      <c r="U1059" s="276">
        <f t="shared" si="966"/>
        <v>5.8981153859037256</v>
      </c>
      <c r="V1059" s="276">
        <f t="shared" si="967"/>
        <v>3.9907267111484006</v>
      </c>
      <c r="W1059" s="276">
        <f t="shared" si="968"/>
        <v>6.0018801668977462</v>
      </c>
      <c r="X1059" s="276">
        <f t="shared" si="969"/>
        <v>5.8319011353763868</v>
      </c>
      <c r="Y1059" s="686">
        <f t="shared" si="970"/>
        <v>2.8063599321619908</v>
      </c>
      <c r="Z1059" s="685" t="e">
        <f t="shared" si="971"/>
        <v>#DIV/0!</v>
      </c>
      <c r="AA1059" s="276" t="e">
        <f t="shared" si="972"/>
        <v>#DIV/0!</v>
      </c>
      <c r="AB1059" s="276" t="e">
        <f t="shared" si="973"/>
        <v>#DIV/0!</v>
      </c>
      <c r="AC1059" s="276" t="e">
        <f t="shared" si="974"/>
        <v>#DIV/0!</v>
      </c>
      <c r="AD1059" s="276" t="e">
        <f t="shared" si="975"/>
        <v>#DIV/0!</v>
      </c>
      <c r="AE1059" s="686" t="e">
        <f t="shared" si="976"/>
        <v>#DIV/0!</v>
      </c>
      <c r="AF1059" s="239"/>
      <c r="AG1059" s="965" t="e">
        <f t="shared" si="947"/>
        <v>#VALUE!</v>
      </c>
      <c r="AH1059" s="878" t="e">
        <f t="shared" si="948"/>
        <v>#VALUE!</v>
      </c>
      <c r="AI1059" s="878" t="e">
        <f t="shared" si="949"/>
        <v>#VALUE!</v>
      </c>
      <c r="AJ1059" s="878" t="e">
        <f t="shared" si="950"/>
        <v>#VALUE!</v>
      </c>
      <c r="AK1059" s="878" t="e">
        <f t="shared" si="951"/>
        <v>#VALUE!</v>
      </c>
      <c r="AL1059" s="966" t="e">
        <f t="shared" si="952"/>
        <v>#VALUE!</v>
      </c>
      <c r="AM1059" s="239"/>
      <c r="AO1059" s="685">
        <f t="shared" si="977"/>
        <v>-0.32690817874568423</v>
      </c>
      <c r="AP1059" s="276">
        <f t="shared" si="978"/>
        <v>-1.362362335987527</v>
      </c>
      <c r="AQ1059" s="276">
        <f t="shared" si="979"/>
        <v>-0.95279568641340928</v>
      </c>
      <c r="AR1059" s="276">
        <f t="shared" si="980"/>
        <v>-0.92573374843596024</v>
      </c>
      <c r="AS1059" s="276">
        <f t="shared" si="981"/>
        <v>7.673095729686108E-2</v>
      </c>
      <c r="AT1059" s="276">
        <f t="shared" si="982"/>
        <v>-1.7606822841874288</v>
      </c>
      <c r="AU1059" s="685">
        <f t="shared" si="983"/>
        <v>1.292388769416861</v>
      </c>
      <c r="AV1059" s="276">
        <f t="shared" si="984"/>
        <v>1.2645760747319554</v>
      </c>
      <c r="AW1059" s="276">
        <f t="shared" si="985"/>
        <v>1.1182906275974578</v>
      </c>
      <c r="AX1059" s="276">
        <f t="shared" si="986"/>
        <v>0.90305126263056068</v>
      </c>
      <c r="AY1059" s="276">
        <f t="shared" si="987"/>
        <v>1.928182035935605</v>
      </c>
      <c r="AZ1059" s="686">
        <f t="shared" si="988"/>
        <v>1.6754704189312732</v>
      </c>
      <c r="BA1059" s="685">
        <f t="shared" si="989"/>
        <v>0</v>
      </c>
      <c r="BB1059" s="276">
        <f t="shared" si="990"/>
        <v>0</v>
      </c>
      <c r="BC1059" s="276">
        <f t="shared" si="991"/>
        <v>0</v>
      </c>
      <c r="BD1059" s="276">
        <f t="shared" si="992"/>
        <v>0</v>
      </c>
      <c r="BE1059" s="276">
        <f t="shared" si="993"/>
        <v>0</v>
      </c>
      <c r="BF1059" s="686">
        <f t="shared" si="994"/>
        <v>0</v>
      </c>
      <c r="BG1059" s="685" t="e">
        <f t="shared" si="995"/>
        <v>#DIV/0!</v>
      </c>
      <c r="BH1059" s="276" t="e">
        <f t="shared" si="996"/>
        <v>#DIV/0!</v>
      </c>
      <c r="BI1059" s="276" t="e">
        <f t="shared" si="997"/>
        <v>#DIV/0!</v>
      </c>
      <c r="BJ1059" s="276" t="e">
        <f t="shared" si="998"/>
        <v>#DIV/0!</v>
      </c>
      <c r="BK1059" s="276" t="e">
        <f t="shared" si="999"/>
        <v>#DIV/0!</v>
      </c>
      <c r="BL1059" s="686" t="e">
        <f t="shared" si="1000"/>
        <v>#DIV/0!</v>
      </c>
      <c r="BM1059" s="239"/>
      <c r="BN1059" s="965" t="e">
        <f t="shared" si="1001"/>
        <v>#VALUE!</v>
      </c>
      <c r="BO1059" s="878" t="e">
        <f t="shared" si="1002"/>
        <v>#VALUE!</v>
      </c>
      <c r="BP1059" s="878" t="e">
        <f t="shared" si="1003"/>
        <v>#VALUE!</v>
      </c>
      <c r="BQ1059" s="878" t="e">
        <f t="shared" si="1004"/>
        <v>#VALUE!</v>
      </c>
      <c r="BR1059" s="878" t="e">
        <f t="shared" si="1005"/>
        <v>#VALUE!</v>
      </c>
      <c r="BS1059" s="966" t="e">
        <f t="shared" si="1006"/>
        <v>#VALUE!</v>
      </c>
    </row>
    <row r="1060" spans="1:71">
      <c r="A1060" s="284">
        <f t="shared" si="1007"/>
        <v>992</v>
      </c>
      <c r="B1060" s="285">
        <v>3.1563342524191782</v>
      </c>
      <c r="C1060" s="285">
        <v>2.4744381687262433</v>
      </c>
      <c r="D1060" s="285">
        <v>2.114155844184058</v>
      </c>
      <c r="E1060" s="285">
        <v>-5.8398036459996652</v>
      </c>
      <c r="H1060" s="685">
        <f t="shared" si="953"/>
        <v>2.0231004106501231</v>
      </c>
      <c r="I1060" s="276">
        <f t="shared" si="954"/>
        <v>1.2254236746586133</v>
      </c>
      <c r="J1060" s="276">
        <f t="shared" si="955"/>
        <v>0.34021698885106644</v>
      </c>
      <c r="K1060" s="276">
        <f t="shared" si="956"/>
        <v>0.45984568502113077</v>
      </c>
      <c r="L1060" s="276">
        <f t="shared" si="957"/>
        <v>-1.7262776090388976</v>
      </c>
      <c r="M1060" s="276">
        <f t="shared" si="958"/>
        <v>-0.93222054236896468</v>
      </c>
      <c r="N1060" s="685">
        <f t="shared" si="959"/>
        <v>1.2672669577543749</v>
      </c>
      <c r="O1060" s="276">
        <f t="shared" si="960"/>
        <v>1.6685774114267671</v>
      </c>
      <c r="P1060" s="276">
        <f t="shared" si="961"/>
        <v>1.6440182490621675</v>
      </c>
      <c r="Q1060" s="276">
        <f t="shared" si="962"/>
        <v>0.87881988599130678</v>
      </c>
      <c r="R1060" s="276">
        <f t="shared" si="963"/>
        <v>1.3456227436568724</v>
      </c>
      <c r="S1060" s="686">
        <f t="shared" si="964"/>
        <v>1.7513241572034841</v>
      </c>
      <c r="T1060" s="685">
        <f t="shared" si="965"/>
        <v>5.3925195344549834</v>
      </c>
      <c r="U1060" s="276">
        <f t="shared" si="966"/>
        <v>4.6025342817450836</v>
      </c>
      <c r="V1060" s="276">
        <f t="shared" si="967"/>
        <v>4.6608606110764157</v>
      </c>
      <c r="W1060" s="276">
        <f t="shared" si="968"/>
        <v>4.241724546589194</v>
      </c>
      <c r="X1060" s="276">
        <f t="shared" si="969"/>
        <v>4.3511853676496646</v>
      </c>
      <c r="Y1060" s="686">
        <f t="shared" si="970"/>
        <v>4.6800284693835419</v>
      </c>
      <c r="Z1060" s="685" t="e">
        <f t="shared" si="971"/>
        <v>#DIV/0!</v>
      </c>
      <c r="AA1060" s="276" t="e">
        <f t="shared" si="972"/>
        <v>#DIV/0!</v>
      </c>
      <c r="AB1060" s="276" t="e">
        <f t="shared" si="973"/>
        <v>#DIV/0!</v>
      </c>
      <c r="AC1060" s="276" t="e">
        <f t="shared" si="974"/>
        <v>#DIV/0!</v>
      </c>
      <c r="AD1060" s="276" t="e">
        <f t="shared" si="975"/>
        <v>#DIV/0!</v>
      </c>
      <c r="AE1060" s="686" t="e">
        <f t="shared" si="976"/>
        <v>#DIV/0!</v>
      </c>
      <c r="AF1060" s="239"/>
      <c r="AG1060" s="965" t="e">
        <f t="shared" si="947"/>
        <v>#VALUE!</v>
      </c>
      <c r="AH1060" s="878" t="e">
        <f t="shared" si="948"/>
        <v>#VALUE!</v>
      </c>
      <c r="AI1060" s="878" t="e">
        <f t="shared" si="949"/>
        <v>#VALUE!</v>
      </c>
      <c r="AJ1060" s="878" t="e">
        <f t="shared" si="950"/>
        <v>#VALUE!</v>
      </c>
      <c r="AK1060" s="878" t="e">
        <f t="shared" si="951"/>
        <v>#VALUE!</v>
      </c>
      <c r="AL1060" s="966" t="e">
        <f t="shared" si="952"/>
        <v>#VALUE!</v>
      </c>
      <c r="AM1060" s="239"/>
      <c r="AO1060" s="685">
        <f t="shared" si="977"/>
        <v>2.0231004106501231</v>
      </c>
      <c r="AP1060" s="276">
        <f t="shared" si="978"/>
        <v>1.2254236746586133</v>
      </c>
      <c r="AQ1060" s="276">
        <f t="shared" si="979"/>
        <v>0.34021698885106644</v>
      </c>
      <c r="AR1060" s="276">
        <f t="shared" si="980"/>
        <v>0.45984568502113077</v>
      </c>
      <c r="AS1060" s="276">
        <f t="shared" si="981"/>
        <v>-1.7262776090388976</v>
      </c>
      <c r="AT1060" s="276">
        <f t="shared" si="982"/>
        <v>-0.93222054236896468</v>
      </c>
      <c r="AU1060" s="685">
        <f t="shared" si="983"/>
        <v>1.2672669577543749</v>
      </c>
      <c r="AV1060" s="276">
        <f t="shared" si="984"/>
        <v>1.6685774114267671</v>
      </c>
      <c r="AW1060" s="276">
        <f t="shared" si="985"/>
        <v>1.6440182490621675</v>
      </c>
      <c r="AX1060" s="276">
        <f t="shared" si="986"/>
        <v>0.87881988599130678</v>
      </c>
      <c r="AY1060" s="276">
        <f t="shared" si="987"/>
        <v>1.3456227436568724</v>
      </c>
      <c r="AZ1060" s="686">
        <f t="shared" si="988"/>
        <v>1.7513241572034841</v>
      </c>
      <c r="BA1060" s="685">
        <f t="shared" si="989"/>
        <v>0</v>
      </c>
      <c r="BB1060" s="276">
        <f t="shared" si="990"/>
        <v>0</v>
      </c>
      <c r="BC1060" s="276">
        <f t="shared" si="991"/>
        <v>0</v>
      </c>
      <c r="BD1060" s="276">
        <f t="shared" si="992"/>
        <v>0</v>
      </c>
      <c r="BE1060" s="276">
        <f t="shared" si="993"/>
        <v>0</v>
      </c>
      <c r="BF1060" s="686">
        <f t="shared" si="994"/>
        <v>0</v>
      </c>
      <c r="BG1060" s="685" t="e">
        <f t="shared" si="995"/>
        <v>#DIV/0!</v>
      </c>
      <c r="BH1060" s="276" t="e">
        <f t="shared" si="996"/>
        <v>#DIV/0!</v>
      </c>
      <c r="BI1060" s="276" t="e">
        <f t="shared" si="997"/>
        <v>#DIV/0!</v>
      </c>
      <c r="BJ1060" s="276" t="e">
        <f t="shared" si="998"/>
        <v>#DIV/0!</v>
      </c>
      <c r="BK1060" s="276" t="e">
        <f t="shared" si="999"/>
        <v>#DIV/0!</v>
      </c>
      <c r="BL1060" s="686" t="e">
        <f t="shared" si="1000"/>
        <v>#DIV/0!</v>
      </c>
      <c r="BM1060" s="239"/>
      <c r="BN1060" s="965" t="e">
        <f t="shared" si="1001"/>
        <v>#VALUE!</v>
      </c>
      <c r="BO1060" s="878" t="e">
        <f t="shared" si="1002"/>
        <v>#VALUE!</v>
      </c>
      <c r="BP1060" s="878" t="e">
        <f t="shared" si="1003"/>
        <v>#VALUE!</v>
      </c>
      <c r="BQ1060" s="878" t="e">
        <f t="shared" si="1004"/>
        <v>#VALUE!</v>
      </c>
      <c r="BR1060" s="878" t="e">
        <f t="shared" si="1005"/>
        <v>#VALUE!</v>
      </c>
      <c r="BS1060" s="966" t="e">
        <f t="shared" si="1006"/>
        <v>#VALUE!</v>
      </c>
    </row>
    <row r="1061" spans="1:71">
      <c r="A1061" s="284">
        <f t="shared" si="1007"/>
        <v>993</v>
      </c>
      <c r="B1061" s="285">
        <v>0.63484831082878501</v>
      </c>
      <c r="C1061" s="285">
        <v>2.4396362590429379</v>
      </c>
      <c r="D1061" s="285">
        <v>2.3995778671220638</v>
      </c>
      <c r="E1061" s="285">
        <v>-7.9854766967095632</v>
      </c>
      <c r="H1061" s="685">
        <f t="shared" si="953"/>
        <v>-0.49838553094026983</v>
      </c>
      <c r="I1061" s="276">
        <f t="shared" si="954"/>
        <v>-0.33390157852467617</v>
      </c>
      <c r="J1061" s="276">
        <f t="shared" si="955"/>
        <v>-4.3579823001563875</v>
      </c>
      <c r="K1061" s="276">
        <f t="shared" si="956"/>
        <v>-3.1818261548097011</v>
      </c>
      <c r="L1061" s="276">
        <f t="shared" si="957"/>
        <v>-0.76172350604271699</v>
      </c>
      <c r="M1061" s="276">
        <f t="shared" si="958"/>
        <v>1.6997734128461832</v>
      </c>
      <c r="N1061" s="685">
        <f t="shared" si="959"/>
        <v>1.2324650480710695</v>
      </c>
      <c r="O1061" s="276">
        <f t="shared" si="960"/>
        <v>1.3725844913153591</v>
      </c>
      <c r="P1061" s="276">
        <f t="shared" si="961"/>
        <v>1.0959013312860588</v>
      </c>
      <c r="Q1061" s="276">
        <f t="shared" si="962"/>
        <v>0.58915523956826221</v>
      </c>
      <c r="R1061" s="276">
        <f t="shared" si="963"/>
        <v>1.0882764191858862</v>
      </c>
      <c r="S1061" s="686">
        <f t="shared" si="964"/>
        <v>1.5042599099196574</v>
      </c>
      <c r="T1061" s="685">
        <f t="shared" si="965"/>
        <v>5.6779415573929892</v>
      </c>
      <c r="U1061" s="276">
        <f t="shared" si="966"/>
        <v>2.5514988155469922</v>
      </c>
      <c r="V1061" s="276">
        <f t="shared" si="967"/>
        <v>3.8911288171733593</v>
      </c>
      <c r="W1061" s="276">
        <f t="shared" si="968"/>
        <v>2.8052543587981011</v>
      </c>
      <c r="X1061" s="276">
        <f t="shared" si="969"/>
        <v>2.0860774970919325</v>
      </c>
      <c r="Y1061" s="686">
        <f t="shared" si="970"/>
        <v>4.6898877035954598</v>
      </c>
      <c r="Z1061" s="685" t="e">
        <f t="shared" si="971"/>
        <v>#DIV/0!</v>
      </c>
      <c r="AA1061" s="276" t="e">
        <f t="shared" si="972"/>
        <v>#DIV/0!</v>
      </c>
      <c r="AB1061" s="276" t="e">
        <f t="shared" si="973"/>
        <v>#DIV/0!</v>
      </c>
      <c r="AC1061" s="276" t="e">
        <f t="shared" si="974"/>
        <v>#DIV/0!</v>
      </c>
      <c r="AD1061" s="276" t="e">
        <f t="shared" si="975"/>
        <v>#DIV/0!</v>
      </c>
      <c r="AE1061" s="686" t="e">
        <f t="shared" si="976"/>
        <v>#DIV/0!</v>
      </c>
      <c r="AF1061" s="239"/>
      <c r="AG1061" s="965" t="e">
        <f t="shared" si="947"/>
        <v>#VALUE!</v>
      </c>
      <c r="AH1061" s="878" t="e">
        <f t="shared" si="948"/>
        <v>#VALUE!</v>
      </c>
      <c r="AI1061" s="878" t="e">
        <f t="shared" si="949"/>
        <v>#VALUE!</v>
      </c>
      <c r="AJ1061" s="878" t="e">
        <f t="shared" si="950"/>
        <v>#VALUE!</v>
      </c>
      <c r="AK1061" s="878" t="e">
        <f t="shared" si="951"/>
        <v>#VALUE!</v>
      </c>
      <c r="AL1061" s="966" t="e">
        <f t="shared" si="952"/>
        <v>#VALUE!</v>
      </c>
      <c r="AM1061" s="239"/>
      <c r="AO1061" s="685">
        <f t="shared" si="977"/>
        <v>-0.49838553094026983</v>
      </c>
      <c r="AP1061" s="276">
        <f t="shared" si="978"/>
        <v>-0.33390157852467617</v>
      </c>
      <c r="AQ1061" s="276">
        <f t="shared" si="979"/>
        <v>-4.3579823001563875</v>
      </c>
      <c r="AR1061" s="276">
        <f t="shared" si="980"/>
        <v>-3.1818261548097011</v>
      </c>
      <c r="AS1061" s="276">
        <f t="shared" si="981"/>
        <v>-0.76172350604271699</v>
      </c>
      <c r="AT1061" s="276">
        <f t="shared" si="982"/>
        <v>1.6997734128461832</v>
      </c>
      <c r="AU1061" s="685">
        <f t="shared" si="983"/>
        <v>1.2324650480710695</v>
      </c>
      <c r="AV1061" s="276">
        <f t="shared" si="984"/>
        <v>1.3725844913153591</v>
      </c>
      <c r="AW1061" s="276">
        <f t="shared" si="985"/>
        <v>1.0959013312860588</v>
      </c>
      <c r="AX1061" s="276">
        <f t="shared" si="986"/>
        <v>0.58915523956826221</v>
      </c>
      <c r="AY1061" s="276">
        <f t="shared" si="987"/>
        <v>1.0882764191858862</v>
      </c>
      <c r="AZ1061" s="686">
        <f t="shared" si="988"/>
        <v>1.5042599099196574</v>
      </c>
      <c r="BA1061" s="685">
        <f t="shared" si="989"/>
        <v>0</v>
      </c>
      <c r="BB1061" s="276">
        <f t="shared" si="990"/>
        <v>0</v>
      </c>
      <c r="BC1061" s="276">
        <f t="shared" si="991"/>
        <v>0</v>
      </c>
      <c r="BD1061" s="276">
        <f t="shared" si="992"/>
        <v>0</v>
      </c>
      <c r="BE1061" s="276">
        <f t="shared" si="993"/>
        <v>0</v>
      </c>
      <c r="BF1061" s="686">
        <f t="shared" si="994"/>
        <v>0</v>
      </c>
      <c r="BG1061" s="685" t="e">
        <f t="shared" si="995"/>
        <v>#DIV/0!</v>
      </c>
      <c r="BH1061" s="276" t="e">
        <f t="shared" si="996"/>
        <v>#DIV/0!</v>
      </c>
      <c r="BI1061" s="276" t="e">
        <f t="shared" si="997"/>
        <v>#DIV/0!</v>
      </c>
      <c r="BJ1061" s="276" t="e">
        <f t="shared" si="998"/>
        <v>#DIV/0!</v>
      </c>
      <c r="BK1061" s="276" t="e">
        <f t="shared" si="999"/>
        <v>#DIV/0!</v>
      </c>
      <c r="BL1061" s="686" t="e">
        <f t="shared" si="1000"/>
        <v>#DIV/0!</v>
      </c>
      <c r="BM1061" s="239"/>
      <c r="BN1061" s="965" t="e">
        <f t="shared" si="1001"/>
        <v>#VALUE!</v>
      </c>
      <c r="BO1061" s="878" t="e">
        <f t="shared" si="1002"/>
        <v>#VALUE!</v>
      </c>
      <c r="BP1061" s="878" t="e">
        <f t="shared" si="1003"/>
        <v>#VALUE!</v>
      </c>
      <c r="BQ1061" s="878" t="e">
        <f t="shared" si="1004"/>
        <v>#VALUE!</v>
      </c>
      <c r="BR1061" s="878" t="e">
        <f t="shared" si="1005"/>
        <v>#VALUE!</v>
      </c>
      <c r="BS1061" s="966" t="e">
        <f t="shared" si="1006"/>
        <v>#VALUE!</v>
      </c>
    </row>
    <row r="1062" spans="1:71">
      <c r="A1062" s="284">
        <f t="shared" si="1007"/>
        <v>994</v>
      </c>
      <c r="B1062" s="285">
        <v>-1.966457394527334</v>
      </c>
      <c r="C1062" s="285">
        <v>2.4703841774654283</v>
      </c>
      <c r="D1062" s="285">
        <v>0.69925120496949289</v>
      </c>
      <c r="E1062" s="285">
        <v>-1.5699211639629473</v>
      </c>
      <c r="H1062" s="685">
        <f t="shared" si="953"/>
        <v>-3.0996912362963887</v>
      </c>
      <c r="I1062" s="276">
        <f t="shared" si="954"/>
        <v>-5.5545759509327608E-2</v>
      </c>
      <c r="J1062" s="276">
        <f t="shared" si="955"/>
        <v>-8.3665197644393396E-2</v>
      </c>
      <c r="K1062" s="276">
        <f t="shared" si="956"/>
        <v>-4.8132117395083931</v>
      </c>
      <c r="L1062" s="276">
        <f t="shared" si="957"/>
        <v>-3.2159467322804449</v>
      </c>
      <c r="M1062" s="276">
        <f t="shared" si="958"/>
        <v>2.4661027022856565</v>
      </c>
      <c r="N1062" s="685">
        <f t="shared" si="959"/>
        <v>1.2632129664935599</v>
      </c>
      <c r="O1062" s="276">
        <f t="shared" si="960"/>
        <v>0.67275661725295777</v>
      </c>
      <c r="P1062" s="276">
        <f t="shared" si="961"/>
        <v>0.81037084948174587</v>
      </c>
      <c r="Q1062" s="276">
        <f t="shared" si="962"/>
        <v>0.78719873490908876</v>
      </c>
      <c r="R1062" s="276">
        <f t="shared" si="963"/>
        <v>1.4066402693373405</v>
      </c>
      <c r="S1062" s="686">
        <f t="shared" si="964"/>
        <v>1.1842080160096964</v>
      </c>
      <c r="T1062" s="685">
        <f t="shared" si="965"/>
        <v>3.9776148952404187</v>
      </c>
      <c r="U1062" s="276">
        <f t="shared" si="966"/>
        <v>3.7943582899535127</v>
      </c>
      <c r="V1062" s="276">
        <f t="shared" si="967"/>
        <v>6.0591464568626563</v>
      </c>
      <c r="W1062" s="276">
        <f t="shared" si="968"/>
        <v>3.6837503450763105</v>
      </c>
      <c r="X1062" s="276">
        <f t="shared" si="969"/>
        <v>6.0082648674410333</v>
      </c>
      <c r="Y1062" s="686">
        <f t="shared" si="970"/>
        <v>4.4873964249693712</v>
      </c>
      <c r="Z1062" s="685" t="e">
        <f t="shared" si="971"/>
        <v>#DIV/0!</v>
      </c>
      <c r="AA1062" s="276" t="e">
        <f t="shared" si="972"/>
        <v>#DIV/0!</v>
      </c>
      <c r="AB1062" s="276" t="e">
        <f t="shared" si="973"/>
        <v>#DIV/0!</v>
      </c>
      <c r="AC1062" s="276" t="e">
        <f t="shared" si="974"/>
        <v>#DIV/0!</v>
      </c>
      <c r="AD1062" s="276" t="e">
        <f t="shared" si="975"/>
        <v>#DIV/0!</v>
      </c>
      <c r="AE1062" s="686" t="e">
        <f t="shared" si="976"/>
        <v>#DIV/0!</v>
      </c>
      <c r="AF1062" s="239"/>
      <c r="AG1062" s="965" t="e">
        <f t="shared" si="947"/>
        <v>#VALUE!</v>
      </c>
      <c r="AH1062" s="878" t="e">
        <f t="shared" si="948"/>
        <v>#VALUE!</v>
      </c>
      <c r="AI1062" s="878" t="e">
        <f t="shared" si="949"/>
        <v>#VALUE!</v>
      </c>
      <c r="AJ1062" s="878" t="e">
        <f t="shared" si="950"/>
        <v>#VALUE!</v>
      </c>
      <c r="AK1062" s="878" t="e">
        <f t="shared" si="951"/>
        <v>#VALUE!</v>
      </c>
      <c r="AL1062" s="966" t="e">
        <f t="shared" si="952"/>
        <v>#VALUE!</v>
      </c>
      <c r="AM1062" s="239"/>
      <c r="AO1062" s="685">
        <f t="shared" si="977"/>
        <v>-3.0996912362963887</v>
      </c>
      <c r="AP1062" s="276">
        <f t="shared" si="978"/>
        <v>-5.5545759509327608E-2</v>
      </c>
      <c r="AQ1062" s="276">
        <f t="shared" si="979"/>
        <v>-8.3665197644393396E-2</v>
      </c>
      <c r="AR1062" s="276">
        <f t="shared" si="980"/>
        <v>-4.8132117395083931</v>
      </c>
      <c r="AS1062" s="276">
        <f t="shared" si="981"/>
        <v>-3.2159467322804449</v>
      </c>
      <c r="AT1062" s="276">
        <f t="shared" si="982"/>
        <v>2.4661027022856565</v>
      </c>
      <c r="AU1062" s="685">
        <f t="shared" si="983"/>
        <v>1.2632129664935599</v>
      </c>
      <c r="AV1062" s="276">
        <f t="shared" si="984"/>
        <v>0.67275661725295777</v>
      </c>
      <c r="AW1062" s="276">
        <f t="shared" si="985"/>
        <v>0.81037084948174587</v>
      </c>
      <c r="AX1062" s="276">
        <f t="shared" si="986"/>
        <v>0.78719873490908876</v>
      </c>
      <c r="AY1062" s="276">
        <f t="shared" si="987"/>
        <v>1.4066402693373405</v>
      </c>
      <c r="AZ1062" s="686">
        <f t="shared" si="988"/>
        <v>1.1842080160096964</v>
      </c>
      <c r="BA1062" s="685">
        <f t="shared" si="989"/>
        <v>0</v>
      </c>
      <c r="BB1062" s="276">
        <f t="shared" si="990"/>
        <v>0</v>
      </c>
      <c r="BC1062" s="276">
        <f t="shared" si="991"/>
        <v>0</v>
      </c>
      <c r="BD1062" s="276">
        <f t="shared" si="992"/>
        <v>0</v>
      </c>
      <c r="BE1062" s="276">
        <f t="shared" si="993"/>
        <v>0</v>
      </c>
      <c r="BF1062" s="686">
        <f t="shared" si="994"/>
        <v>0</v>
      </c>
      <c r="BG1062" s="685" t="e">
        <f t="shared" si="995"/>
        <v>#DIV/0!</v>
      </c>
      <c r="BH1062" s="276" t="e">
        <f t="shared" si="996"/>
        <v>#DIV/0!</v>
      </c>
      <c r="BI1062" s="276" t="e">
        <f t="shared" si="997"/>
        <v>#DIV/0!</v>
      </c>
      <c r="BJ1062" s="276" t="e">
        <f t="shared" si="998"/>
        <v>#DIV/0!</v>
      </c>
      <c r="BK1062" s="276" t="e">
        <f t="shared" si="999"/>
        <v>#DIV/0!</v>
      </c>
      <c r="BL1062" s="686" t="e">
        <f t="shared" si="1000"/>
        <v>#DIV/0!</v>
      </c>
      <c r="BM1062" s="239"/>
      <c r="BN1062" s="965" t="e">
        <f t="shared" si="1001"/>
        <v>#VALUE!</v>
      </c>
      <c r="BO1062" s="878" t="e">
        <f t="shared" si="1002"/>
        <v>#VALUE!</v>
      </c>
      <c r="BP1062" s="878" t="e">
        <f t="shared" si="1003"/>
        <v>#VALUE!</v>
      </c>
      <c r="BQ1062" s="878" t="e">
        <f t="shared" si="1004"/>
        <v>#VALUE!</v>
      </c>
      <c r="BR1062" s="878" t="e">
        <f t="shared" si="1005"/>
        <v>#VALUE!</v>
      </c>
      <c r="BS1062" s="966" t="e">
        <f t="shared" si="1006"/>
        <v>#VALUE!</v>
      </c>
    </row>
    <row r="1063" spans="1:71">
      <c r="A1063" s="284">
        <f t="shared" si="1007"/>
        <v>995</v>
      </c>
      <c r="B1063" s="285">
        <v>-1.5226289916350373</v>
      </c>
      <c r="C1063" s="285">
        <v>2.1188884328848543</v>
      </c>
      <c r="D1063" s="285">
        <v>-2.6093717448039122E-4</v>
      </c>
      <c r="E1063" s="285">
        <v>-14.338292373259407</v>
      </c>
      <c r="H1063" s="685">
        <f t="shared" si="953"/>
        <v>-2.6558628334040923</v>
      </c>
      <c r="I1063" s="276">
        <f t="shared" si="954"/>
        <v>0.69822936941526992</v>
      </c>
      <c r="J1063" s="276">
        <f t="shared" si="955"/>
        <v>5.6755004140129905E-4</v>
      </c>
      <c r="K1063" s="276">
        <f t="shared" si="956"/>
        <v>-2.3538158926778534</v>
      </c>
      <c r="L1063" s="276">
        <f t="shared" si="957"/>
        <v>0.78302447400387853</v>
      </c>
      <c r="M1063" s="276">
        <f t="shared" si="958"/>
        <v>-3.9130404001538848</v>
      </c>
      <c r="N1063" s="685">
        <f t="shared" si="959"/>
        <v>0.91171722191298588</v>
      </c>
      <c r="O1063" s="276">
        <f t="shared" si="960"/>
        <v>1.7336956349074162</v>
      </c>
      <c r="P1063" s="276">
        <f t="shared" si="961"/>
        <v>1.8860295591851004</v>
      </c>
      <c r="Q1063" s="276">
        <f t="shared" si="962"/>
        <v>1.1092278445298496</v>
      </c>
      <c r="R1063" s="276">
        <f t="shared" si="963"/>
        <v>1.6991636061890778</v>
      </c>
      <c r="S1063" s="686">
        <f t="shared" si="964"/>
        <v>1.0416431995061626</v>
      </c>
      <c r="T1063" s="685">
        <f t="shared" si="965"/>
        <v>3.2781027530964453</v>
      </c>
      <c r="U1063" s="276">
        <f t="shared" si="966"/>
        <v>4.8900400165998921</v>
      </c>
      <c r="V1063" s="276">
        <f t="shared" si="967"/>
        <v>5.692049209503856</v>
      </c>
      <c r="W1063" s="276">
        <f t="shared" si="968"/>
        <v>4.1268854911712287</v>
      </c>
      <c r="X1063" s="276">
        <f t="shared" si="969"/>
        <v>6.03755700015485</v>
      </c>
      <c r="Y1063" s="686">
        <f t="shared" si="970"/>
        <v>4.7228591921127254</v>
      </c>
      <c r="Z1063" s="685" t="e">
        <f t="shared" si="971"/>
        <v>#DIV/0!</v>
      </c>
      <c r="AA1063" s="276" t="e">
        <f t="shared" si="972"/>
        <v>#DIV/0!</v>
      </c>
      <c r="AB1063" s="276" t="e">
        <f t="shared" si="973"/>
        <v>#DIV/0!</v>
      </c>
      <c r="AC1063" s="276" t="e">
        <f t="shared" si="974"/>
        <v>#DIV/0!</v>
      </c>
      <c r="AD1063" s="276" t="e">
        <f t="shared" si="975"/>
        <v>#DIV/0!</v>
      </c>
      <c r="AE1063" s="686" t="e">
        <f t="shared" si="976"/>
        <v>#DIV/0!</v>
      </c>
      <c r="AF1063" s="239"/>
      <c r="AG1063" s="965" t="e">
        <f t="shared" si="947"/>
        <v>#VALUE!</v>
      </c>
      <c r="AH1063" s="878" t="e">
        <f t="shared" si="948"/>
        <v>#VALUE!</v>
      </c>
      <c r="AI1063" s="878" t="e">
        <f t="shared" si="949"/>
        <v>#VALUE!</v>
      </c>
      <c r="AJ1063" s="878" t="e">
        <f t="shared" si="950"/>
        <v>#VALUE!</v>
      </c>
      <c r="AK1063" s="878" t="e">
        <f t="shared" si="951"/>
        <v>#VALUE!</v>
      </c>
      <c r="AL1063" s="966" t="e">
        <f t="shared" si="952"/>
        <v>#VALUE!</v>
      </c>
      <c r="AM1063" s="239"/>
      <c r="AO1063" s="685">
        <f t="shared" si="977"/>
        <v>-2.6558628334040923</v>
      </c>
      <c r="AP1063" s="276">
        <f t="shared" si="978"/>
        <v>0.69822936941526992</v>
      </c>
      <c r="AQ1063" s="276">
        <f t="shared" si="979"/>
        <v>5.6755004140129905E-4</v>
      </c>
      <c r="AR1063" s="276">
        <f t="shared" si="980"/>
        <v>-2.3538158926778534</v>
      </c>
      <c r="AS1063" s="276">
        <f t="shared" si="981"/>
        <v>0.78302447400387853</v>
      </c>
      <c r="AT1063" s="276">
        <f t="shared" si="982"/>
        <v>-3.9130404001538848</v>
      </c>
      <c r="AU1063" s="685">
        <f t="shared" si="983"/>
        <v>0.91171722191298588</v>
      </c>
      <c r="AV1063" s="276">
        <f t="shared" si="984"/>
        <v>1.7336956349074162</v>
      </c>
      <c r="AW1063" s="276">
        <f t="shared" si="985"/>
        <v>1.8860295591851004</v>
      </c>
      <c r="AX1063" s="276">
        <f t="shared" si="986"/>
        <v>1.1092278445298496</v>
      </c>
      <c r="AY1063" s="276">
        <f t="shared" si="987"/>
        <v>1.6991636061890778</v>
      </c>
      <c r="AZ1063" s="686">
        <f t="shared" si="988"/>
        <v>1.0416431995061626</v>
      </c>
      <c r="BA1063" s="685">
        <f t="shared" si="989"/>
        <v>0</v>
      </c>
      <c r="BB1063" s="276">
        <f t="shared" si="990"/>
        <v>0</v>
      </c>
      <c r="BC1063" s="276">
        <f t="shared" si="991"/>
        <v>0</v>
      </c>
      <c r="BD1063" s="276">
        <f t="shared" si="992"/>
        <v>0</v>
      </c>
      <c r="BE1063" s="276">
        <f t="shared" si="993"/>
        <v>0</v>
      </c>
      <c r="BF1063" s="686">
        <f t="shared" si="994"/>
        <v>0</v>
      </c>
      <c r="BG1063" s="685" t="e">
        <f t="shared" si="995"/>
        <v>#DIV/0!</v>
      </c>
      <c r="BH1063" s="276" t="e">
        <f t="shared" si="996"/>
        <v>#DIV/0!</v>
      </c>
      <c r="BI1063" s="276" t="e">
        <f t="shared" si="997"/>
        <v>#DIV/0!</v>
      </c>
      <c r="BJ1063" s="276" t="e">
        <f t="shared" si="998"/>
        <v>#DIV/0!</v>
      </c>
      <c r="BK1063" s="276" t="e">
        <f t="shared" si="999"/>
        <v>#DIV/0!</v>
      </c>
      <c r="BL1063" s="686" t="e">
        <f t="shared" si="1000"/>
        <v>#DIV/0!</v>
      </c>
      <c r="BM1063" s="239"/>
      <c r="BN1063" s="965" t="e">
        <f t="shared" si="1001"/>
        <v>#VALUE!</v>
      </c>
      <c r="BO1063" s="878" t="e">
        <f t="shared" si="1002"/>
        <v>#VALUE!</v>
      </c>
      <c r="BP1063" s="878" t="e">
        <f t="shared" si="1003"/>
        <v>#VALUE!</v>
      </c>
      <c r="BQ1063" s="878" t="e">
        <f t="shared" si="1004"/>
        <v>#VALUE!</v>
      </c>
      <c r="BR1063" s="878" t="e">
        <f t="shared" si="1005"/>
        <v>#VALUE!</v>
      </c>
      <c r="BS1063" s="966" t="e">
        <f t="shared" si="1006"/>
        <v>#VALUE!</v>
      </c>
    </row>
    <row r="1064" spans="1:71">
      <c r="A1064" s="284">
        <f t="shared" si="1007"/>
        <v>996</v>
      </c>
      <c r="B1064" s="285">
        <v>-0.75233398006234531</v>
      </c>
      <c r="C1064" s="285">
        <v>2.6432229648462902</v>
      </c>
      <c r="D1064" s="285">
        <v>-4.2968225231861723E-2</v>
      </c>
      <c r="E1064" s="285">
        <v>-1.8739337301952732</v>
      </c>
      <c r="H1064" s="685">
        <f t="shared" si="953"/>
        <v>-1.8855678218314003</v>
      </c>
      <c r="I1064" s="276">
        <f t="shared" si="954"/>
        <v>0.12026313089899432</v>
      </c>
      <c r="J1064" s="276">
        <f t="shared" si="955"/>
        <v>1.3849888450708161</v>
      </c>
      <c r="K1064" s="276">
        <f t="shared" si="956"/>
        <v>-1.7311864893410915</v>
      </c>
      <c r="L1064" s="276">
        <f t="shared" si="957"/>
        <v>-3.7606956159576432</v>
      </c>
      <c r="M1064" s="276">
        <f t="shared" si="958"/>
        <v>-0.44678220183192618</v>
      </c>
      <c r="N1064" s="685">
        <f t="shared" si="959"/>
        <v>1.4360517538744217</v>
      </c>
      <c r="O1064" s="276">
        <f t="shared" si="960"/>
        <v>1.0330760956083578</v>
      </c>
      <c r="P1064" s="276">
        <f t="shared" si="961"/>
        <v>1.3347101443721738</v>
      </c>
      <c r="Q1064" s="276">
        <f t="shared" si="962"/>
        <v>0.78149687069021101</v>
      </c>
      <c r="R1064" s="276">
        <f t="shared" si="963"/>
        <v>1.6649254990651052</v>
      </c>
      <c r="S1064" s="686">
        <f t="shared" si="964"/>
        <v>1.5363378827931193</v>
      </c>
      <c r="T1064" s="685">
        <f t="shared" si="965"/>
        <v>3.2353954650390642</v>
      </c>
      <c r="U1064" s="276">
        <f t="shared" si="966"/>
        <v>4.6605321998474789</v>
      </c>
      <c r="V1064" s="276">
        <f t="shared" si="967"/>
        <v>4.9630272901116594</v>
      </c>
      <c r="W1064" s="276">
        <f t="shared" si="968"/>
        <v>5.556905243288071</v>
      </c>
      <c r="X1064" s="276">
        <f t="shared" si="969"/>
        <v>4.6513949327476904</v>
      </c>
      <c r="Y1064" s="686">
        <f t="shared" si="970"/>
        <v>5.2447898852482941</v>
      </c>
      <c r="Z1064" s="685" t="e">
        <f t="shared" si="971"/>
        <v>#DIV/0!</v>
      </c>
      <c r="AA1064" s="276" t="e">
        <f t="shared" si="972"/>
        <v>#DIV/0!</v>
      </c>
      <c r="AB1064" s="276" t="e">
        <f t="shared" si="973"/>
        <v>#DIV/0!</v>
      </c>
      <c r="AC1064" s="276" t="e">
        <f t="shared" si="974"/>
        <v>#DIV/0!</v>
      </c>
      <c r="AD1064" s="276" t="e">
        <f t="shared" si="975"/>
        <v>#DIV/0!</v>
      </c>
      <c r="AE1064" s="686" t="e">
        <f t="shared" si="976"/>
        <v>#DIV/0!</v>
      </c>
      <c r="AF1064" s="239"/>
      <c r="AG1064" s="965" t="e">
        <f t="shared" si="947"/>
        <v>#VALUE!</v>
      </c>
      <c r="AH1064" s="878" t="e">
        <f t="shared" si="948"/>
        <v>#VALUE!</v>
      </c>
      <c r="AI1064" s="878" t="e">
        <f t="shared" si="949"/>
        <v>#VALUE!</v>
      </c>
      <c r="AJ1064" s="878" t="e">
        <f t="shared" si="950"/>
        <v>#VALUE!</v>
      </c>
      <c r="AK1064" s="878" t="e">
        <f t="shared" si="951"/>
        <v>#VALUE!</v>
      </c>
      <c r="AL1064" s="966" t="e">
        <f t="shared" si="952"/>
        <v>#VALUE!</v>
      </c>
      <c r="AM1064" s="239"/>
      <c r="AO1064" s="685">
        <f t="shared" si="977"/>
        <v>-1.8855678218314003</v>
      </c>
      <c r="AP1064" s="276">
        <f t="shared" si="978"/>
        <v>0.12026313089899432</v>
      </c>
      <c r="AQ1064" s="276">
        <f t="shared" si="979"/>
        <v>1.3849888450708161</v>
      </c>
      <c r="AR1064" s="276">
        <f t="shared" si="980"/>
        <v>-1.7311864893410915</v>
      </c>
      <c r="AS1064" s="276">
        <f t="shared" si="981"/>
        <v>-3.7606956159576432</v>
      </c>
      <c r="AT1064" s="276">
        <f t="shared" si="982"/>
        <v>-0.44678220183192618</v>
      </c>
      <c r="AU1064" s="685">
        <f t="shared" si="983"/>
        <v>1.4360517538744217</v>
      </c>
      <c r="AV1064" s="276">
        <f t="shared" si="984"/>
        <v>1.0330760956083578</v>
      </c>
      <c r="AW1064" s="276">
        <f t="shared" si="985"/>
        <v>1.3347101443721738</v>
      </c>
      <c r="AX1064" s="276">
        <f t="shared" si="986"/>
        <v>0.78149687069021101</v>
      </c>
      <c r="AY1064" s="276">
        <f t="shared" si="987"/>
        <v>1.6649254990651052</v>
      </c>
      <c r="AZ1064" s="686">
        <f t="shared" si="988"/>
        <v>1.5363378827931193</v>
      </c>
      <c r="BA1064" s="685">
        <f t="shared" si="989"/>
        <v>0</v>
      </c>
      <c r="BB1064" s="276">
        <f t="shared" si="990"/>
        <v>0</v>
      </c>
      <c r="BC1064" s="276">
        <f t="shared" si="991"/>
        <v>0</v>
      </c>
      <c r="BD1064" s="276">
        <f t="shared" si="992"/>
        <v>0</v>
      </c>
      <c r="BE1064" s="276">
        <f t="shared" si="993"/>
        <v>0</v>
      </c>
      <c r="BF1064" s="686">
        <f t="shared" si="994"/>
        <v>0</v>
      </c>
      <c r="BG1064" s="685" t="e">
        <f t="shared" si="995"/>
        <v>#DIV/0!</v>
      </c>
      <c r="BH1064" s="276" t="e">
        <f t="shared" si="996"/>
        <v>#DIV/0!</v>
      </c>
      <c r="BI1064" s="276" t="e">
        <f t="shared" si="997"/>
        <v>#DIV/0!</v>
      </c>
      <c r="BJ1064" s="276" t="e">
        <f t="shared" si="998"/>
        <v>#DIV/0!</v>
      </c>
      <c r="BK1064" s="276" t="e">
        <f t="shared" si="999"/>
        <v>#DIV/0!</v>
      </c>
      <c r="BL1064" s="686" t="e">
        <f t="shared" si="1000"/>
        <v>#DIV/0!</v>
      </c>
      <c r="BM1064" s="239"/>
      <c r="BN1064" s="965" t="e">
        <f t="shared" si="1001"/>
        <v>#VALUE!</v>
      </c>
      <c r="BO1064" s="878" t="e">
        <f t="shared" si="1002"/>
        <v>#VALUE!</v>
      </c>
      <c r="BP1064" s="878" t="e">
        <f t="shared" si="1003"/>
        <v>#VALUE!</v>
      </c>
      <c r="BQ1064" s="878" t="e">
        <f t="shared" si="1004"/>
        <v>#VALUE!</v>
      </c>
      <c r="BR1064" s="878" t="e">
        <f t="shared" si="1005"/>
        <v>#VALUE!</v>
      </c>
      <c r="BS1064" s="966" t="e">
        <f t="shared" si="1006"/>
        <v>#VALUE!</v>
      </c>
    </row>
    <row r="1065" spans="1:71">
      <c r="A1065" s="284">
        <f t="shared" si="1007"/>
        <v>997</v>
      </c>
      <c r="B1065" s="285">
        <v>2.8287192001943926</v>
      </c>
      <c r="C1065" s="285">
        <v>2.6851114694012317</v>
      </c>
      <c r="D1065" s="285">
        <v>2.5286631825441117</v>
      </c>
      <c r="E1065" s="285">
        <v>-5.3015744986026228</v>
      </c>
      <c r="H1065" s="685">
        <f t="shared" si="953"/>
        <v>1.6954853584253378</v>
      </c>
      <c r="I1065" s="276">
        <f t="shared" si="954"/>
        <v>2.4665718292842991</v>
      </c>
      <c r="J1065" s="276">
        <f t="shared" si="955"/>
        <v>5.137578289837097E-2</v>
      </c>
      <c r="K1065" s="276">
        <f t="shared" si="956"/>
        <v>-2.6274624105510149</v>
      </c>
      <c r="L1065" s="276">
        <f t="shared" si="957"/>
        <v>-0.75054051151573686</v>
      </c>
      <c r="M1065" s="276">
        <f t="shared" si="958"/>
        <v>-2.5924085824417435</v>
      </c>
      <c r="N1065" s="685">
        <f t="shared" si="959"/>
        <v>1.4779402584293633</v>
      </c>
      <c r="O1065" s="276">
        <f t="shared" si="960"/>
        <v>2.0373199054753837</v>
      </c>
      <c r="P1065" s="276">
        <f t="shared" si="961"/>
        <v>1.4591629610134984</v>
      </c>
      <c r="Q1065" s="276">
        <f t="shared" si="962"/>
        <v>1.2961021558442007</v>
      </c>
      <c r="R1065" s="276">
        <f t="shared" si="963"/>
        <v>1.4241347594832077</v>
      </c>
      <c r="S1065" s="686">
        <f t="shared" si="964"/>
        <v>1.4487318154551267</v>
      </c>
      <c r="T1065" s="685">
        <f t="shared" si="965"/>
        <v>5.8070268728150376</v>
      </c>
      <c r="U1065" s="276">
        <f t="shared" si="966"/>
        <v>3.9058782344131422</v>
      </c>
      <c r="V1065" s="276">
        <f t="shared" si="967"/>
        <v>4.4021025430450251</v>
      </c>
      <c r="W1065" s="276">
        <f t="shared" si="968"/>
        <v>5.7339615481455981</v>
      </c>
      <c r="X1065" s="276">
        <f t="shared" si="969"/>
        <v>2.6959871450129471</v>
      </c>
      <c r="Y1065" s="686">
        <f t="shared" si="970"/>
        <v>3.9200349511962718</v>
      </c>
      <c r="Z1065" s="685" t="e">
        <f t="shared" si="971"/>
        <v>#DIV/0!</v>
      </c>
      <c r="AA1065" s="276" t="e">
        <f t="shared" si="972"/>
        <v>#DIV/0!</v>
      </c>
      <c r="AB1065" s="276" t="e">
        <f t="shared" si="973"/>
        <v>#DIV/0!</v>
      </c>
      <c r="AC1065" s="276" t="e">
        <f t="shared" si="974"/>
        <v>#DIV/0!</v>
      </c>
      <c r="AD1065" s="276" t="e">
        <f t="shared" si="975"/>
        <v>#DIV/0!</v>
      </c>
      <c r="AE1065" s="686" t="e">
        <f t="shared" si="976"/>
        <v>#DIV/0!</v>
      </c>
      <c r="AF1065" s="239"/>
      <c r="AG1065" s="965" t="e">
        <f t="shared" si="947"/>
        <v>#VALUE!</v>
      </c>
      <c r="AH1065" s="878" t="e">
        <f t="shared" si="948"/>
        <v>#VALUE!</v>
      </c>
      <c r="AI1065" s="878" t="e">
        <f t="shared" si="949"/>
        <v>#VALUE!</v>
      </c>
      <c r="AJ1065" s="878" t="e">
        <f t="shared" si="950"/>
        <v>#VALUE!</v>
      </c>
      <c r="AK1065" s="878" t="e">
        <f t="shared" si="951"/>
        <v>#VALUE!</v>
      </c>
      <c r="AL1065" s="966" t="e">
        <f t="shared" si="952"/>
        <v>#VALUE!</v>
      </c>
      <c r="AM1065" s="239"/>
      <c r="AO1065" s="685">
        <f t="shared" si="977"/>
        <v>1.6954853584253378</v>
      </c>
      <c r="AP1065" s="276">
        <f t="shared" si="978"/>
        <v>2.4665718292842991</v>
      </c>
      <c r="AQ1065" s="276">
        <f t="shared" si="979"/>
        <v>5.137578289837097E-2</v>
      </c>
      <c r="AR1065" s="276">
        <f t="shared" si="980"/>
        <v>-2.6274624105510149</v>
      </c>
      <c r="AS1065" s="276">
        <f t="shared" si="981"/>
        <v>-0.75054051151573686</v>
      </c>
      <c r="AT1065" s="276">
        <f t="shared" si="982"/>
        <v>-2.5924085824417435</v>
      </c>
      <c r="AU1065" s="685">
        <f t="shared" si="983"/>
        <v>1.4779402584293633</v>
      </c>
      <c r="AV1065" s="276">
        <f t="shared" si="984"/>
        <v>2.0373199054753837</v>
      </c>
      <c r="AW1065" s="276">
        <f t="shared" si="985"/>
        <v>1.4591629610134984</v>
      </c>
      <c r="AX1065" s="276">
        <f t="shared" si="986"/>
        <v>1.2961021558442007</v>
      </c>
      <c r="AY1065" s="276">
        <f t="shared" si="987"/>
        <v>1.4241347594832077</v>
      </c>
      <c r="AZ1065" s="686">
        <f t="shared" si="988"/>
        <v>1.4487318154551267</v>
      </c>
      <c r="BA1065" s="685">
        <f t="shared" si="989"/>
        <v>0</v>
      </c>
      <c r="BB1065" s="276">
        <f t="shared" si="990"/>
        <v>0</v>
      </c>
      <c r="BC1065" s="276">
        <f t="shared" si="991"/>
        <v>0</v>
      </c>
      <c r="BD1065" s="276">
        <f t="shared" si="992"/>
        <v>0</v>
      </c>
      <c r="BE1065" s="276">
        <f t="shared" si="993"/>
        <v>0</v>
      </c>
      <c r="BF1065" s="686">
        <f t="shared" si="994"/>
        <v>0</v>
      </c>
      <c r="BG1065" s="685" t="e">
        <f t="shared" si="995"/>
        <v>#DIV/0!</v>
      </c>
      <c r="BH1065" s="276" t="e">
        <f t="shared" si="996"/>
        <v>#DIV/0!</v>
      </c>
      <c r="BI1065" s="276" t="e">
        <f t="shared" si="997"/>
        <v>#DIV/0!</v>
      </c>
      <c r="BJ1065" s="276" t="e">
        <f t="shared" si="998"/>
        <v>#DIV/0!</v>
      </c>
      <c r="BK1065" s="276" t="e">
        <f t="shared" si="999"/>
        <v>#DIV/0!</v>
      </c>
      <c r="BL1065" s="686" t="e">
        <f t="shared" si="1000"/>
        <v>#DIV/0!</v>
      </c>
      <c r="BM1065" s="239"/>
      <c r="BN1065" s="965" t="e">
        <f t="shared" si="1001"/>
        <v>#VALUE!</v>
      </c>
      <c r="BO1065" s="878" t="e">
        <f t="shared" si="1002"/>
        <v>#VALUE!</v>
      </c>
      <c r="BP1065" s="878" t="e">
        <f t="shared" si="1003"/>
        <v>#VALUE!</v>
      </c>
      <c r="BQ1065" s="878" t="e">
        <f t="shared" si="1004"/>
        <v>#VALUE!</v>
      </c>
      <c r="BR1065" s="878" t="e">
        <f t="shared" si="1005"/>
        <v>#VALUE!</v>
      </c>
      <c r="BS1065" s="966" t="e">
        <f t="shared" si="1006"/>
        <v>#VALUE!</v>
      </c>
    </row>
    <row r="1066" spans="1:71">
      <c r="A1066" s="284">
        <f t="shared" si="1007"/>
        <v>998</v>
      </c>
      <c r="B1066" s="285">
        <v>-5.0327202284948784</v>
      </c>
      <c r="C1066" s="285">
        <v>2.5213829440175104</v>
      </c>
      <c r="D1066" s="285">
        <v>1.1617485913158672</v>
      </c>
      <c r="E1066" s="285">
        <v>5.9198789805343726</v>
      </c>
      <c r="H1066" s="685">
        <f t="shared" si="953"/>
        <v>-6.1659540702639335</v>
      </c>
      <c r="I1066" s="276">
        <f t="shared" si="954"/>
        <v>3.9212814531952471</v>
      </c>
      <c r="J1066" s="276">
        <f t="shared" si="955"/>
        <v>-3.6854764961992164</v>
      </c>
      <c r="K1066" s="276">
        <f t="shared" si="956"/>
        <v>-1.5810477302279424</v>
      </c>
      <c r="L1066" s="276">
        <f t="shared" si="957"/>
        <v>0.9076205801992947</v>
      </c>
      <c r="M1066" s="276">
        <f t="shared" si="958"/>
        <v>0.5293599658400745</v>
      </c>
      <c r="N1066" s="685">
        <f t="shared" si="959"/>
        <v>1.314211733045642</v>
      </c>
      <c r="O1066" s="276">
        <f t="shared" si="960"/>
        <v>1.890542700933078</v>
      </c>
      <c r="P1066" s="276">
        <f t="shared" si="961"/>
        <v>1.2494877472140817</v>
      </c>
      <c r="Q1066" s="276">
        <f t="shared" si="962"/>
        <v>1.6095709019750994</v>
      </c>
      <c r="R1066" s="276">
        <f t="shared" si="963"/>
        <v>1.2566296170818625</v>
      </c>
      <c r="S1066" s="686">
        <f t="shared" si="964"/>
        <v>1.8273370270390388</v>
      </c>
      <c r="T1066" s="685">
        <f t="shared" si="965"/>
        <v>4.4401122815867931</v>
      </c>
      <c r="U1066" s="276">
        <f t="shared" si="966"/>
        <v>5.0312173160308316</v>
      </c>
      <c r="V1066" s="276">
        <f t="shared" si="967"/>
        <v>5.2772849939698103</v>
      </c>
      <c r="W1066" s="276">
        <f t="shared" si="968"/>
        <v>4.4700615888286936</v>
      </c>
      <c r="X1066" s="276">
        <f t="shared" si="969"/>
        <v>4.3913330393058763</v>
      </c>
      <c r="Y1066" s="686">
        <f t="shared" si="970"/>
        <v>5.8435895781957061</v>
      </c>
      <c r="Z1066" s="685" t="e">
        <f t="shared" si="971"/>
        <v>#DIV/0!</v>
      </c>
      <c r="AA1066" s="276" t="e">
        <f t="shared" si="972"/>
        <v>#DIV/0!</v>
      </c>
      <c r="AB1066" s="276" t="e">
        <f t="shared" si="973"/>
        <v>#DIV/0!</v>
      </c>
      <c r="AC1066" s="276" t="e">
        <f t="shared" si="974"/>
        <v>#DIV/0!</v>
      </c>
      <c r="AD1066" s="276" t="e">
        <f t="shared" si="975"/>
        <v>#DIV/0!</v>
      </c>
      <c r="AE1066" s="686" t="e">
        <f t="shared" si="976"/>
        <v>#DIV/0!</v>
      </c>
      <c r="AF1066" s="239"/>
      <c r="AG1066" s="965" t="e">
        <f t="shared" si="947"/>
        <v>#VALUE!</v>
      </c>
      <c r="AH1066" s="878" t="e">
        <f t="shared" si="948"/>
        <v>#VALUE!</v>
      </c>
      <c r="AI1066" s="878" t="e">
        <f t="shared" si="949"/>
        <v>#VALUE!</v>
      </c>
      <c r="AJ1066" s="878" t="e">
        <f t="shared" si="950"/>
        <v>#VALUE!</v>
      </c>
      <c r="AK1066" s="878" t="e">
        <f t="shared" si="951"/>
        <v>#VALUE!</v>
      </c>
      <c r="AL1066" s="966" t="e">
        <f t="shared" si="952"/>
        <v>#VALUE!</v>
      </c>
      <c r="AM1066" s="239"/>
      <c r="AO1066" s="685">
        <f t="shared" si="977"/>
        <v>-6.1659540702639335</v>
      </c>
      <c r="AP1066" s="276">
        <f t="shared" si="978"/>
        <v>3.9212814531952471</v>
      </c>
      <c r="AQ1066" s="276">
        <f t="shared" si="979"/>
        <v>-3.6854764961992164</v>
      </c>
      <c r="AR1066" s="276">
        <f t="shared" si="980"/>
        <v>-1.5810477302279424</v>
      </c>
      <c r="AS1066" s="276">
        <f t="shared" si="981"/>
        <v>0.9076205801992947</v>
      </c>
      <c r="AT1066" s="276">
        <f t="shared" si="982"/>
        <v>0.5293599658400745</v>
      </c>
      <c r="AU1066" s="685">
        <f t="shared" si="983"/>
        <v>1.314211733045642</v>
      </c>
      <c r="AV1066" s="276">
        <f t="shared" si="984"/>
        <v>1.890542700933078</v>
      </c>
      <c r="AW1066" s="276">
        <f t="shared" si="985"/>
        <v>1.2494877472140817</v>
      </c>
      <c r="AX1066" s="276">
        <f t="shared" si="986"/>
        <v>1.6095709019750994</v>
      </c>
      <c r="AY1066" s="276">
        <f t="shared" si="987"/>
        <v>1.2566296170818625</v>
      </c>
      <c r="AZ1066" s="686">
        <f t="shared" si="988"/>
        <v>1.8273370270390388</v>
      </c>
      <c r="BA1066" s="685">
        <f t="shared" si="989"/>
        <v>0</v>
      </c>
      <c r="BB1066" s="276">
        <f t="shared" si="990"/>
        <v>0</v>
      </c>
      <c r="BC1066" s="276">
        <f t="shared" si="991"/>
        <v>0</v>
      </c>
      <c r="BD1066" s="276">
        <f t="shared" si="992"/>
        <v>0</v>
      </c>
      <c r="BE1066" s="276">
        <f t="shared" si="993"/>
        <v>0</v>
      </c>
      <c r="BF1066" s="686">
        <f t="shared" si="994"/>
        <v>0</v>
      </c>
      <c r="BG1066" s="685" t="e">
        <f t="shared" si="995"/>
        <v>#DIV/0!</v>
      </c>
      <c r="BH1066" s="276" t="e">
        <f t="shared" si="996"/>
        <v>#DIV/0!</v>
      </c>
      <c r="BI1066" s="276" t="e">
        <f t="shared" si="997"/>
        <v>#DIV/0!</v>
      </c>
      <c r="BJ1066" s="276" t="e">
        <f t="shared" si="998"/>
        <v>#DIV/0!</v>
      </c>
      <c r="BK1066" s="276" t="e">
        <f t="shared" si="999"/>
        <v>#DIV/0!</v>
      </c>
      <c r="BL1066" s="686" t="e">
        <f t="shared" si="1000"/>
        <v>#DIV/0!</v>
      </c>
      <c r="BM1066" s="239"/>
      <c r="BN1066" s="965" t="e">
        <f t="shared" si="1001"/>
        <v>#VALUE!</v>
      </c>
      <c r="BO1066" s="878" t="e">
        <f t="shared" si="1002"/>
        <v>#VALUE!</v>
      </c>
      <c r="BP1066" s="878" t="e">
        <f t="shared" si="1003"/>
        <v>#VALUE!</v>
      </c>
      <c r="BQ1066" s="878" t="e">
        <f t="shared" si="1004"/>
        <v>#VALUE!</v>
      </c>
      <c r="BR1066" s="878" t="e">
        <f t="shared" si="1005"/>
        <v>#VALUE!</v>
      </c>
      <c r="BS1066" s="966" t="e">
        <f t="shared" si="1006"/>
        <v>#VALUE!</v>
      </c>
    </row>
    <row r="1067" spans="1:71">
      <c r="A1067" s="284">
        <f t="shared" si="1007"/>
        <v>999</v>
      </c>
      <c r="B1067" s="285">
        <v>-2.7646943317443835</v>
      </c>
      <c r="C1067" s="285">
        <v>3.0077295721942905</v>
      </c>
      <c r="D1067" s="285">
        <v>0.50216798746450619</v>
      </c>
      <c r="E1067" s="285">
        <v>-1.2753797422417086</v>
      </c>
      <c r="H1067" s="685">
        <f t="shared" si="953"/>
        <v>-3.8979281735134386</v>
      </c>
      <c r="I1067" s="276">
        <f t="shared" si="954"/>
        <v>1.4528099502751408</v>
      </c>
      <c r="J1067" s="276">
        <f t="shared" si="955"/>
        <v>-0.27219213921784113</v>
      </c>
      <c r="K1067" s="276">
        <f t="shared" si="956"/>
        <v>1.7418210749122538</v>
      </c>
      <c r="L1067" s="276">
        <f t="shared" si="957"/>
        <v>3.3874767620061528</v>
      </c>
      <c r="M1067" s="276">
        <f t="shared" si="958"/>
        <v>1.2312137606637246</v>
      </c>
      <c r="N1067" s="685">
        <f t="shared" si="959"/>
        <v>1.8005583612224221</v>
      </c>
      <c r="O1067" s="276">
        <f t="shared" si="960"/>
        <v>2.4252494109261846</v>
      </c>
      <c r="P1067" s="276">
        <f t="shared" si="961"/>
        <v>1.3397247275482578</v>
      </c>
      <c r="Q1067" s="276">
        <f t="shared" si="962"/>
        <v>2.9463954744499148</v>
      </c>
      <c r="R1067" s="276">
        <f t="shared" si="963"/>
        <v>1.5059953835746389</v>
      </c>
      <c r="S1067" s="686">
        <f t="shared" si="964"/>
        <v>0.89850982281558012</v>
      </c>
      <c r="T1067" s="685">
        <f t="shared" si="965"/>
        <v>3.7805316777354321</v>
      </c>
      <c r="U1067" s="276">
        <f t="shared" si="966"/>
        <v>3.7651276871304509</v>
      </c>
      <c r="V1067" s="276">
        <f t="shared" si="967"/>
        <v>3.640670079476608</v>
      </c>
      <c r="W1067" s="276">
        <f t="shared" si="968"/>
        <v>2.6970206988880552</v>
      </c>
      <c r="X1067" s="276">
        <f t="shared" si="969"/>
        <v>6.7259395231741612</v>
      </c>
      <c r="Y1067" s="686">
        <f t="shared" si="970"/>
        <v>5.2496432908532427</v>
      </c>
      <c r="Z1067" s="685" t="e">
        <f t="shared" si="971"/>
        <v>#DIV/0!</v>
      </c>
      <c r="AA1067" s="276" t="e">
        <f t="shared" si="972"/>
        <v>#DIV/0!</v>
      </c>
      <c r="AB1067" s="276" t="e">
        <f t="shared" si="973"/>
        <v>#DIV/0!</v>
      </c>
      <c r="AC1067" s="276" t="e">
        <f t="shared" si="974"/>
        <v>#DIV/0!</v>
      </c>
      <c r="AD1067" s="276" t="e">
        <f t="shared" si="975"/>
        <v>#DIV/0!</v>
      </c>
      <c r="AE1067" s="686" t="e">
        <f t="shared" si="976"/>
        <v>#DIV/0!</v>
      </c>
      <c r="AF1067" s="239"/>
      <c r="AG1067" s="965" t="e">
        <f t="shared" si="947"/>
        <v>#VALUE!</v>
      </c>
      <c r="AH1067" s="878" t="e">
        <f t="shared" si="948"/>
        <v>#VALUE!</v>
      </c>
      <c r="AI1067" s="878" t="e">
        <f t="shared" si="949"/>
        <v>#VALUE!</v>
      </c>
      <c r="AJ1067" s="878" t="e">
        <f t="shared" si="950"/>
        <v>#VALUE!</v>
      </c>
      <c r="AK1067" s="878" t="e">
        <f t="shared" si="951"/>
        <v>#VALUE!</v>
      </c>
      <c r="AL1067" s="966" t="e">
        <f t="shared" si="952"/>
        <v>#VALUE!</v>
      </c>
      <c r="AM1067" s="239"/>
      <c r="AO1067" s="685">
        <f t="shared" si="977"/>
        <v>-3.8979281735134386</v>
      </c>
      <c r="AP1067" s="276">
        <f t="shared" si="978"/>
        <v>1.4528099502751408</v>
      </c>
      <c r="AQ1067" s="276">
        <f t="shared" si="979"/>
        <v>-0.27219213921784113</v>
      </c>
      <c r="AR1067" s="276">
        <f t="shared" si="980"/>
        <v>1.7418210749122538</v>
      </c>
      <c r="AS1067" s="276">
        <f t="shared" si="981"/>
        <v>3.3874767620061528</v>
      </c>
      <c r="AT1067" s="276">
        <f t="shared" si="982"/>
        <v>1.2312137606637246</v>
      </c>
      <c r="AU1067" s="685">
        <f t="shared" si="983"/>
        <v>1.8005583612224221</v>
      </c>
      <c r="AV1067" s="276">
        <f t="shared" si="984"/>
        <v>2.4252494109261846</v>
      </c>
      <c r="AW1067" s="276">
        <f t="shared" si="985"/>
        <v>1.3397247275482578</v>
      </c>
      <c r="AX1067" s="276">
        <f t="shared" si="986"/>
        <v>2.9463954744499148</v>
      </c>
      <c r="AY1067" s="276">
        <f t="shared" si="987"/>
        <v>1.5059953835746389</v>
      </c>
      <c r="AZ1067" s="686">
        <f t="shared" si="988"/>
        <v>0.89850982281558012</v>
      </c>
      <c r="BA1067" s="685">
        <f t="shared" si="989"/>
        <v>0</v>
      </c>
      <c r="BB1067" s="276">
        <f t="shared" si="990"/>
        <v>0</v>
      </c>
      <c r="BC1067" s="276">
        <f t="shared" si="991"/>
        <v>0</v>
      </c>
      <c r="BD1067" s="276">
        <f t="shared" si="992"/>
        <v>0</v>
      </c>
      <c r="BE1067" s="276">
        <f t="shared" si="993"/>
        <v>0</v>
      </c>
      <c r="BF1067" s="686">
        <f t="shared" si="994"/>
        <v>0</v>
      </c>
      <c r="BG1067" s="685" t="e">
        <f t="shared" si="995"/>
        <v>#DIV/0!</v>
      </c>
      <c r="BH1067" s="276" t="e">
        <f t="shared" si="996"/>
        <v>#DIV/0!</v>
      </c>
      <c r="BI1067" s="276" t="e">
        <f t="shared" si="997"/>
        <v>#DIV/0!</v>
      </c>
      <c r="BJ1067" s="276" t="e">
        <f t="shared" si="998"/>
        <v>#DIV/0!</v>
      </c>
      <c r="BK1067" s="276" t="e">
        <f t="shared" si="999"/>
        <v>#DIV/0!</v>
      </c>
      <c r="BL1067" s="686" t="e">
        <f t="shared" si="1000"/>
        <v>#DIV/0!</v>
      </c>
      <c r="BM1067" s="239"/>
      <c r="BN1067" s="965" t="e">
        <f t="shared" si="1001"/>
        <v>#VALUE!</v>
      </c>
      <c r="BO1067" s="878" t="e">
        <f t="shared" si="1002"/>
        <v>#VALUE!</v>
      </c>
      <c r="BP1067" s="878" t="e">
        <f t="shared" si="1003"/>
        <v>#VALUE!</v>
      </c>
      <c r="BQ1067" s="878" t="e">
        <f t="shared" si="1004"/>
        <v>#VALUE!</v>
      </c>
      <c r="BR1067" s="878" t="e">
        <f t="shared" si="1005"/>
        <v>#VALUE!</v>
      </c>
      <c r="BS1067" s="966" t="e">
        <f t="shared" si="1006"/>
        <v>#VALUE!</v>
      </c>
    </row>
    <row r="1068" spans="1:71" ht="15.75" thickBot="1">
      <c r="A1068" s="284">
        <f t="shared" si="1007"/>
        <v>1000</v>
      </c>
      <c r="B1068" s="285">
        <v>-0.52400088964023872</v>
      </c>
      <c r="C1068" s="285">
        <v>2.3107316687061887</v>
      </c>
      <c r="D1068" s="285">
        <v>0.72818552591611385</v>
      </c>
      <c r="E1068" s="285">
        <v>-1.3789918819102809</v>
      </c>
      <c r="H1068" s="687">
        <f t="shared" si="953"/>
        <v>-1.6572347314092934</v>
      </c>
      <c r="I1068" s="688">
        <f t="shared" si="954"/>
        <v>0.97467925251507359</v>
      </c>
      <c r="J1068" s="688">
        <f t="shared" si="955"/>
        <v>-1.2539661326887228</v>
      </c>
      <c r="K1068" s="688">
        <f t="shared" si="956"/>
        <v>-0.53985698703149121</v>
      </c>
      <c r="L1068" s="688">
        <f t="shared" si="957"/>
        <v>-1.5038675072259675</v>
      </c>
      <c r="M1068" s="688">
        <f t="shared" si="958"/>
        <v>3.7153129541639389</v>
      </c>
      <c r="N1068" s="687">
        <f t="shared" si="959"/>
        <v>1.1035604577343203</v>
      </c>
      <c r="O1068" s="688">
        <f t="shared" si="960"/>
        <v>1.0937370248643148</v>
      </c>
      <c r="P1068" s="688">
        <f t="shared" si="961"/>
        <v>2.0580166884883102</v>
      </c>
      <c r="Q1068" s="688">
        <f t="shared" si="962"/>
        <v>1.0937435854303292</v>
      </c>
      <c r="R1068" s="688">
        <f t="shared" si="963"/>
        <v>0.7695503713657379</v>
      </c>
      <c r="S1068" s="689">
        <f t="shared" si="964"/>
        <v>1.4045892294905846</v>
      </c>
      <c r="T1068" s="687">
        <f t="shared" si="965"/>
        <v>4.0065492161870395</v>
      </c>
      <c r="U1068" s="688">
        <f t="shared" si="966"/>
        <v>5.5141497204910106</v>
      </c>
      <c r="V1068" s="688">
        <f t="shared" si="967"/>
        <v>3.8077335500641123</v>
      </c>
      <c r="W1068" s="688">
        <f t="shared" si="968"/>
        <v>5.3627033849031545</v>
      </c>
      <c r="X1068" s="688">
        <f t="shared" si="969"/>
        <v>3.3535456244039823</v>
      </c>
      <c r="Y1068" s="689">
        <f t="shared" si="970"/>
        <v>6.6628713139061659</v>
      </c>
      <c r="Z1068" s="687" t="e">
        <f t="shared" si="971"/>
        <v>#DIV/0!</v>
      </c>
      <c r="AA1068" s="688" t="e">
        <f t="shared" si="972"/>
        <v>#DIV/0!</v>
      </c>
      <c r="AB1068" s="688" t="e">
        <f t="shared" si="973"/>
        <v>#DIV/0!</v>
      </c>
      <c r="AC1068" s="688" t="e">
        <f t="shared" si="974"/>
        <v>#DIV/0!</v>
      </c>
      <c r="AD1068" s="688" t="e">
        <f t="shared" si="975"/>
        <v>#DIV/0!</v>
      </c>
      <c r="AE1068" s="689" t="e">
        <f t="shared" si="976"/>
        <v>#DIV/0!</v>
      </c>
      <c r="AF1068" s="239"/>
      <c r="AG1068" s="967" t="e">
        <f t="shared" si="947"/>
        <v>#VALUE!</v>
      </c>
      <c r="AH1068" s="968" t="e">
        <f t="shared" si="948"/>
        <v>#VALUE!</v>
      </c>
      <c r="AI1068" s="968" t="e">
        <f t="shared" si="949"/>
        <v>#VALUE!</v>
      </c>
      <c r="AJ1068" s="968" t="e">
        <f t="shared" si="950"/>
        <v>#VALUE!</v>
      </c>
      <c r="AK1068" s="968" t="e">
        <f t="shared" si="951"/>
        <v>#VALUE!</v>
      </c>
      <c r="AL1068" s="969" t="e">
        <f t="shared" si="952"/>
        <v>#VALUE!</v>
      </c>
      <c r="AM1068" s="239"/>
      <c r="AO1068" s="687">
        <f t="shared" si="977"/>
        <v>-1.6572347314092934</v>
      </c>
      <c r="AP1068" s="688">
        <f t="shared" si="978"/>
        <v>0.97467925251507359</v>
      </c>
      <c r="AQ1068" s="688">
        <f t="shared" si="979"/>
        <v>-1.2539661326887228</v>
      </c>
      <c r="AR1068" s="688">
        <f t="shared" si="980"/>
        <v>-0.53985698703149121</v>
      </c>
      <c r="AS1068" s="688">
        <f t="shared" si="981"/>
        <v>-1.5038675072259675</v>
      </c>
      <c r="AT1068" s="688">
        <f t="shared" si="982"/>
        <v>3.7153129541639389</v>
      </c>
      <c r="AU1068" s="687">
        <f t="shared" si="983"/>
        <v>1.1035604577343203</v>
      </c>
      <c r="AV1068" s="688">
        <f t="shared" si="984"/>
        <v>1.0937370248643148</v>
      </c>
      <c r="AW1068" s="688">
        <f t="shared" si="985"/>
        <v>2.0580166884883102</v>
      </c>
      <c r="AX1068" s="688">
        <f t="shared" si="986"/>
        <v>1.0937435854303292</v>
      </c>
      <c r="AY1068" s="688">
        <f t="shared" si="987"/>
        <v>0.7695503713657379</v>
      </c>
      <c r="AZ1068" s="689">
        <f t="shared" si="988"/>
        <v>1.4045892294905846</v>
      </c>
      <c r="BA1068" s="687">
        <f t="shared" si="989"/>
        <v>0</v>
      </c>
      <c r="BB1068" s="688">
        <f t="shared" si="990"/>
        <v>0</v>
      </c>
      <c r="BC1068" s="688">
        <f t="shared" si="991"/>
        <v>0</v>
      </c>
      <c r="BD1068" s="688">
        <f t="shared" si="992"/>
        <v>0</v>
      </c>
      <c r="BE1068" s="688">
        <f t="shared" si="993"/>
        <v>0</v>
      </c>
      <c r="BF1068" s="689">
        <f t="shared" si="994"/>
        <v>0</v>
      </c>
      <c r="BG1068" s="687" t="e">
        <f t="shared" si="995"/>
        <v>#DIV/0!</v>
      </c>
      <c r="BH1068" s="688" t="e">
        <f t="shared" si="996"/>
        <v>#DIV/0!</v>
      </c>
      <c r="BI1068" s="688" t="e">
        <f t="shared" si="997"/>
        <v>#DIV/0!</v>
      </c>
      <c r="BJ1068" s="688" t="e">
        <f t="shared" si="998"/>
        <v>#DIV/0!</v>
      </c>
      <c r="BK1068" s="688" t="e">
        <f t="shared" si="999"/>
        <v>#DIV/0!</v>
      </c>
      <c r="BL1068" s="689" t="e">
        <f t="shared" si="1000"/>
        <v>#DIV/0!</v>
      </c>
      <c r="BM1068" s="239"/>
      <c r="BN1068" s="967" t="e">
        <f t="shared" si="1001"/>
        <v>#VALUE!</v>
      </c>
      <c r="BO1068" s="968" t="e">
        <f t="shared" si="1002"/>
        <v>#VALUE!</v>
      </c>
      <c r="BP1068" s="968" t="e">
        <f t="shared" si="1003"/>
        <v>#VALUE!</v>
      </c>
      <c r="BQ1068" s="968" t="e">
        <f t="shared" si="1004"/>
        <v>#VALUE!</v>
      </c>
      <c r="BR1068" s="968" t="e">
        <f t="shared" si="1005"/>
        <v>#VALUE!</v>
      </c>
      <c r="BS1068" s="969" t="e">
        <f t="shared" si="1006"/>
        <v>#VALUE!</v>
      </c>
    </row>
    <row r="1069" spans="1:71">
      <c r="A1069" s="663">
        <f t="shared" si="1007"/>
        <v>1001</v>
      </c>
      <c r="B1069" s="664">
        <v>1.5386659222466568</v>
      </c>
      <c r="C1069" s="664">
        <v>2.6957236534901075</v>
      </c>
      <c r="D1069" s="664">
        <v>3.447552416424057</v>
      </c>
      <c r="E1069" s="664">
        <v>4.2814075304325865</v>
      </c>
      <c r="L1069" s="239"/>
      <c r="AW1069" s="276"/>
    </row>
    <row r="1070" spans="1:71">
      <c r="A1070" s="284">
        <f t="shared" si="1007"/>
        <v>1002</v>
      </c>
      <c r="B1070" s="285">
        <v>2.2858205690729059</v>
      </c>
      <c r="C1070" s="285">
        <v>1.8922279606120114</v>
      </c>
      <c r="D1070" s="285">
        <v>2.1097970661633938</v>
      </c>
      <c r="E1070" s="285">
        <v>-14.723660734455212</v>
      </c>
      <c r="AW1070" s="276"/>
    </row>
    <row r="1071" spans="1:71">
      <c r="A1071" s="284">
        <f t="shared" si="1007"/>
        <v>1003</v>
      </c>
      <c r="B1071" s="285">
        <v>-0.94444317618491325</v>
      </c>
      <c r="C1071" s="285">
        <v>2.2335469487125739</v>
      </c>
      <c r="D1071" s="285">
        <v>2.0807509130009514</v>
      </c>
      <c r="E1071" s="285">
        <v>-13.568652679226801</v>
      </c>
      <c r="AW1071" s="276"/>
    </row>
    <row r="1072" spans="1:71">
      <c r="A1072" s="284">
        <f t="shared" si="1007"/>
        <v>1004</v>
      </c>
      <c r="B1072" s="285">
        <v>-0.51718899529635953</v>
      </c>
      <c r="C1072" s="285">
        <v>2.2301751102328629</v>
      </c>
      <c r="D1072" s="285">
        <v>1.9081279198893526</v>
      </c>
      <c r="E1072" s="285">
        <v>-11.310740456118122</v>
      </c>
      <c r="AW1072" s="276"/>
    </row>
    <row r="1073" spans="1:49">
      <c r="A1073" s="284">
        <f t="shared" si="1007"/>
        <v>1005</v>
      </c>
      <c r="B1073" s="285">
        <v>-2.8497119350199097E-2</v>
      </c>
      <c r="C1073" s="285">
        <v>2.6022315832386442</v>
      </c>
      <c r="D1073" s="285">
        <v>2.0238871862133405</v>
      </c>
      <c r="E1073" s="285">
        <v>5.0322724037435851</v>
      </c>
      <c r="AW1073" s="276"/>
    </row>
    <row r="1074" spans="1:49">
      <c r="A1074" s="284">
        <f t="shared" si="1007"/>
        <v>1006</v>
      </c>
      <c r="B1074" s="285">
        <v>-0.8190513937474373</v>
      </c>
      <c r="C1074" s="285">
        <v>1.9633271363507379</v>
      </c>
      <c r="D1074" s="285">
        <v>1.1621496890224468</v>
      </c>
      <c r="E1074" s="285">
        <v>-17.253187530773396</v>
      </c>
      <c r="AW1074" s="276"/>
    </row>
    <row r="1075" spans="1:49">
      <c r="A1075" s="284">
        <f t="shared" si="1007"/>
        <v>1007</v>
      </c>
      <c r="B1075" s="285">
        <v>-0.7138950053571832</v>
      </c>
      <c r="C1075" s="285">
        <v>2.4536325230576268</v>
      </c>
      <c r="D1075" s="285">
        <v>2.398562327990823</v>
      </c>
      <c r="E1075" s="285">
        <v>3.6300389973439278</v>
      </c>
      <c r="AW1075" s="276"/>
    </row>
    <row r="1076" spans="1:49">
      <c r="A1076" s="284">
        <f t="shared" si="1007"/>
        <v>1008</v>
      </c>
      <c r="B1076" s="285">
        <v>-1.0303480400219169</v>
      </c>
      <c r="C1076" s="285">
        <v>1.8296714390891053</v>
      </c>
      <c r="D1076" s="285">
        <v>1.2864745231498191</v>
      </c>
      <c r="E1076" s="285">
        <v>-18.470095951577274</v>
      </c>
      <c r="AW1076" s="276"/>
    </row>
    <row r="1077" spans="1:49">
      <c r="A1077" s="284">
        <f t="shared" si="1007"/>
        <v>1009</v>
      </c>
      <c r="B1077" s="285">
        <v>0.91633985877186475</v>
      </c>
      <c r="C1077" s="285">
        <v>2.2671120546502164</v>
      </c>
      <c r="D1077" s="285">
        <v>2.0047616914792226</v>
      </c>
      <c r="E1077" s="285">
        <v>-12.946576751486635</v>
      </c>
      <c r="AW1077" s="276"/>
    </row>
    <row r="1078" spans="1:49">
      <c r="A1078" s="284">
        <f t="shared" si="1007"/>
        <v>1010</v>
      </c>
      <c r="B1078" s="285">
        <v>1.2587361218092996</v>
      </c>
      <c r="C1078" s="285">
        <v>3.3194885980171844</v>
      </c>
      <c r="D1078" s="285">
        <v>0.61616812832084245</v>
      </c>
      <c r="E1078" s="285">
        <v>4.6107774030674555</v>
      </c>
    </row>
    <row r="1079" spans="1:49">
      <c r="A1079" s="284">
        <f t="shared" si="1007"/>
        <v>1011</v>
      </c>
      <c r="B1079" s="285">
        <v>-2.8378922691142758</v>
      </c>
      <c r="C1079" s="285">
        <v>2.0010059417634509</v>
      </c>
      <c r="D1079" s="285">
        <v>1.7729153808538487</v>
      </c>
      <c r="E1079" s="285">
        <v>-10.150354160640138</v>
      </c>
    </row>
    <row r="1080" spans="1:49">
      <c r="A1080" s="284">
        <f t="shared" si="1007"/>
        <v>1012</v>
      </c>
      <c r="B1080" s="285">
        <v>-1.6332895354165444</v>
      </c>
      <c r="C1080" s="285">
        <v>3.0197196744073493</v>
      </c>
      <c r="D1080" s="285">
        <v>1.881973944708506</v>
      </c>
      <c r="E1080" s="285">
        <v>13.283496439213369</v>
      </c>
    </row>
    <row r="1081" spans="1:49">
      <c r="A1081" s="284">
        <f t="shared" si="1007"/>
        <v>1013</v>
      </c>
      <c r="B1081" s="285">
        <v>-8.2669728072394255E-2</v>
      </c>
      <c r="C1081" s="285">
        <v>2.0159391182623274</v>
      </c>
      <c r="D1081" s="285">
        <v>-2.2513718744422695</v>
      </c>
      <c r="E1081" s="285">
        <v>-2.8973845201958031</v>
      </c>
    </row>
    <row r="1082" spans="1:49">
      <c r="A1082" s="284">
        <f t="shared" si="1007"/>
        <v>1014</v>
      </c>
      <c r="B1082" s="285">
        <v>6.0892911535064247</v>
      </c>
      <c r="C1082" s="285">
        <v>3.6468529009365644</v>
      </c>
      <c r="D1082" s="285">
        <v>1.838801390827685</v>
      </c>
      <c r="E1082" s="285">
        <v>6.057478046273495</v>
      </c>
    </row>
    <row r="1083" spans="1:49">
      <c r="A1083" s="284">
        <f t="shared" si="1007"/>
        <v>1015</v>
      </c>
      <c r="B1083" s="285">
        <v>-2.5073920337148916</v>
      </c>
      <c r="C1083" s="285">
        <v>2.1400231582058402</v>
      </c>
      <c r="D1083" s="285">
        <v>1.1031324834650118</v>
      </c>
      <c r="E1083" s="285">
        <v>-10.39153166843897</v>
      </c>
    </row>
    <row r="1084" spans="1:49">
      <c r="A1084" s="284">
        <f t="shared" si="1007"/>
        <v>1016</v>
      </c>
      <c r="B1084" s="285">
        <v>1.9121062033370346</v>
      </c>
      <c r="C1084" s="285">
        <v>2.6814325271496529</v>
      </c>
      <c r="D1084" s="285">
        <v>7.7467252967246214E-2</v>
      </c>
      <c r="E1084" s="285">
        <v>5.1012400409292269</v>
      </c>
    </row>
    <row r="1085" spans="1:49">
      <c r="A1085" s="284">
        <f t="shared" si="1007"/>
        <v>1017</v>
      </c>
      <c r="B1085" s="285">
        <v>-0.91677462747901384</v>
      </c>
      <c r="C1085" s="285">
        <v>2.4908018750045491</v>
      </c>
      <c r="D1085" s="285">
        <v>-1.0858729733520689</v>
      </c>
      <c r="E1085" s="285">
        <v>-1.8299323866479429</v>
      </c>
    </row>
    <row r="1086" spans="1:49">
      <c r="A1086" s="284">
        <f t="shared" si="1007"/>
        <v>1018</v>
      </c>
      <c r="B1086" s="285">
        <v>-0.19968375959533119</v>
      </c>
      <c r="C1086" s="285">
        <v>2.2852466480917677</v>
      </c>
      <c r="D1086" s="285">
        <v>2.0431966462791369</v>
      </c>
      <c r="E1086" s="285">
        <v>0.85922411345729133</v>
      </c>
    </row>
    <row r="1087" spans="1:49">
      <c r="A1087" s="284">
        <f t="shared" si="1007"/>
        <v>1019</v>
      </c>
      <c r="B1087" s="285">
        <v>-2.1083384811333068</v>
      </c>
      <c r="C1087" s="285">
        <v>2.6708046343732184</v>
      </c>
      <c r="D1087" s="285">
        <v>-0.23277951985244405</v>
      </c>
      <c r="E1087" s="285">
        <v>12.325390928079898</v>
      </c>
    </row>
    <row r="1088" spans="1:49">
      <c r="A1088" s="284">
        <f t="shared" si="1007"/>
        <v>1020</v>
      </c>
      <c r="B1088" s="285">
        <v>2.6439276827008027</v>
      </c>
      <c r="C1088" s="285">
        <v>2.8270572680226298</v>
      </c>
      <c r="D1088" s="285">
        <v>2.2358983583574008</v>
      </c>
      <c r="E1088" s="285">
        <v>-7.1798984089060109</v>
      </c>
    </row>
    <row r="1089" spans="1:5">
      <c r="A1089" s="284">
        <f t="shared" si="1007"/>
        <v>1021</v>
      </c>
      <c r="B1089" s="285">
        <v>-0.58844084268504881</v>
      </c>
      <c r="C1089" s="285">
        <v>2.5835211336844255</v>
      </c>
      <c r="D1089" s="285">
        <v>1.6430457009626371</v>
      </c>
      <c r="E1089" s="285">
        <v>-6.5647601427563727</v>
      </c>
    </row>
    <row r="1090" spans="1:5">
      <c r="A1090" s="284">
        <f t="shared" si="1007"/>
        <v>1022</v>
      </c>
      <c r="B1090" s="285">
        <v>4.8913761279482992</v>
      </c>
      <c r="C1090" s="285">
        <v>3.2937179624804589</v>
      </c>
      <c r="D1090" s="285">
        <v>3.2613481738218666</v>
      </c>
      <c r="E1090" s="285">
        <v>10.995628199852003</v>
      </c>
    </row>
    <row r="1091" spans="1:5">
      <c r="A1091" s="284">
        <f t="shared" si="1007"/>
        <v>1023</v>
      </c>
      <c r="B1091" s="285">
        <v>-3.1412714964410484</v>
      </c>
      <c r="C1091" s="285">
        <v>2.4662525355989522</v>
      </c>
      <c r="D1091" s="285">
        <v>0.6600707853439538</v>
      </c>
      <c r="E1091" s="285">
        <v>4.4318811788040051</v>
      </c>
    </row>
    <row r="1092" spans="1:5">
      <c r="A1092" s="284">
        <f t="shared" si="1007"/>
        <v>1024</v>
      </c>
      <c r="B1092" s="285">
        <v>1.4249026223431478</v>
      </c>
      <c r="C1092" s="285">
        <v>3.195401048144674</v>
      </c>
      <c r="D1092" s="285">
        <v>1.6850200921006995</v>
      </c>
      <c r="E1092" s="285">
        <v>9.6673986934471845</v>
      </c>
    </row>
    <row r="1093" spans="1:5">
      <c r="A1093" s="284">
        <f t="shared" si="1007"/>
        <v>1025</v>
      </c>
      <c r="B1093" s="285">
        <v>-3.3274126293811945</v>
      </c>
      <c r="C1093" s="285">
        <v>1.8998045053827175</v>
      </c>
      <c r="D1093" s="285">
        <v>0.42189071466029526</v>
      </c>
      <c r="E1093" s="285">
        <v>4.7398176322417349</v>
      </c>
    </row>
    <row r="1094" spans="1:5">
      <c r="A1094" s="284">
        <f t="shared" si="1007"/>
        <v>1026</v>
      </c>
      <c r="B1094" s="285">
        <v>-0.136009935232586</v>
      </c>
      <c r="C1094" s="285">
        <v>3.043048950117095</v>
      </c>
      <c r="D1094" s="285">
        <v>-0.22426553063560939</v>
      </c>
      <c r="E1094" s="285">
        <v>2.9803901183541002</v>
      </c>
    </row>
    <row r="1095" spans="1:5">
      <c r="A1095" s="284">
        <f t="shared" ref="A1095:A1158" si="1008">A1094+1</f>
        <v>1027</v>
      </c>
      <c r="B1095" s="285">
        <v>-0.72543589297300326</v>
      </c>
      <c r="C1095" s="285">
        <v>2.1691985734456436</v>
      </c>
      <c r="D1095" s="285">
        <v>-0.71564669890542865</v>
      </c>
      <c r="E1095" s="285">
        <v>-3.8103760759157859</v>
      </c>
    </row>
    <row r="1096" spans="1:5">
      <c r="A1096" s="284">
        <f t="shared" si="1008"/>
        <v>1028</v>
      </c>
      <c r="B1096" s="285">
        <v>2.3457445889372592</v>
      </c>
      <c r="C1096" s="285">
        <v>3.2932277091048152</v>
      </c>
      <c r="D1096" s="285">
        <v>-0.57600860610061688</v>
      </c>
      <c r="E1096" s="285">
        <v>4.7221868352104828</v>
      </c>
    </row>
    <row r="1097" spans="1:5">
      <c r="A1097" s="284">
        <f t="shared" si="1008"/>
        <v>1029</v>
      </c>
      <c r="B1097" s="285">
        <v>2.0137494135546778</v>
      </c>
      <c r="C1097" s="285">
        <v>2.1236478810689756</v>
      </c>
      <c r="D1097" s="285">
        <v>2.3078058269420199</v>
      </c>
      <c r="E1097" s="285">
        <v>-18.291328455743844</v>
      </c>
    </row>
    <row r="1098" spans="1:5">
      <c r="A1098" s="284">
        <f t="shared" si="1008"/>
        <v>1030</v>
      </c>
      <c r="B1098" s="285">
        <v>-3.0938557238608788</v>
      </c>
      <c r="C1098" s="285">
        <v>2.2175556899366695</v>
      </c>
      <c r="D1098" s="285">
        <v>-0.51627475565520653</v>
      </c>
      <c r="E1098" s="285">
        <v>9.6568987268494677</v>
      </c>
    </row>
    <row r="1099" spans="1:5">
      <c r="A1099" s="284">
        <f t="shared" si="1008"/>
        <v>1031</v>
      </c>
      <c r="B1099" s="285">
        <v>-0.26746807783306215</v>
      </c>
      <c r="C1099" s="285">
        <v>2.2645872782818017</v>
      </c>
      <c r="D1099" s="285">
        <v>1.0470479969914064</v>
      </c>
      <c r="E1099" s="285">
        <v>-8.8323290145211768</v>
      </c>
    </row>
    <row r="1100" spans="1:5">
      <c r="A1100" s="284">
        <f t="shared" si="1008"/>
        <v>1032</v>
      </c>
      <c r="B1100" s="285">
        <v>2.4738277738824137</v>
      </c>
      <c r="C1100" s="285">
        <v>2.7649392446737235</v>
      </c>
      <c r="D1100" s="285">
        <v>1.4310506298290138</v>
      </c>
      <c r="E1100" s="285">
        <v>-3.5039160135251963</v>
      </c>
    </row>
    <row r="1101" spans="1:5">
      <c r="A1101" s="284">
        <f t="shared" si="1008"/>
        <v>1033</v>
      </c>
      <c r="B1101" s="285">
        <v>-0.81399756809478219</v>
      </c>
      <c r="C1101" s="285">
        <v>2.9009062350212131</v>
      </c>
      <c r="D1101" s="285">
        <v>-0.39570544459967527</v>
      </c>
      <c r="E1101" s="285">
        <v>2.3272225023440467</v>
      </c>
    </row>
    <row r="1102" spans="1:5">
      <c r="A1102" s="284">
        <f t="shared" si="1008"/>
        <v>1034</v>
      </c>
      <c r="B1102" s="285">
        <v>-2.9434252912632832</v>
      </c>
      <c r="C1102" s="285">
        <v>2.3518979095078638</v>
      </c>
      <c r="D1102" s="285">
        <v>-0.35278712047627048</v>
      </c>
      <c r="E1102" s="285">
        <v>-6.4542906236886033</v>
      </c>
    </row>
    <row r="1103" spans="1:5">
      <c r="A1103" s="284">
        <f t="shared" si="1008"/>
        <v>1035</v>
      </c>
      <c r="B1103" s="285">
        <v>-2.1163629924009513</v>
      </c>
      <c r="C1103" s="285">
        <v>2.6066622552107646</v>
      </c>
      <c r="D1103" s="285">
        <v>1.8649813938002542</v>
      </c>
      <c r="E1103" s="285">
        <v>-9.9652292335750978</v>
      </c>
    </row>
    <row r="1104" spans="1:5">
      <c r="A1104" s="284">
        <f t="shared" si="1008"/>
        <v>1036</v>
      </c>
      <c r="B1104" s="285">
        <v>1.3628231775032595</v>
      </c>
      <c r="C1104" s="285">
        <v>2.8153704633741534</v>
      </c>
      <c r="D1104" s="285">
        <v>0.99905554825579568</v>
      </c>
      <c r="E1104" s="285">
        <v>-2.2921560838060935</v>
      </c>
    </row>
    <row r="1105" spans="1:5">
      <c r="A1105" s="284">
        <f t="shared" si="1008"/>
        <v>1037</v>
      </c>
      <c r="B1105" s="285">
        <v>0.731807108697477</v>
      </c>
      <c r="C1105" s="285">
        <v>2.3036194756307546</v>
      </c>
      <c r="D1105" s="285">
        <v>2.7063027459144622</v>
      </c>
      <c r="E1105" s="285">
        <v>-9.5194633709437131</v>
      </c>
    </row>
    <row r="1106" spans="1:5">
      <c r="A1106" s="284">
        <f t="shared" si="1008"/>
        <v>1038</v>
      </c>
      <c r="B1106" s="285">
        <v>-2.1537233799463693</v>
      </c>
      <c r="C1106" s="285">
        <v>2.5713773143687657</v>
      </c>
      <c r="D1106" s="285">
        <v>-1.1007128287339722</v>
      </c>
      <c r="E1106" s="285">
        <v>3.3809047810693875</v>
      </c>
    </row>
    <row r="1107" spans="1:5">
      <c r="A1107" s="284">
        <f t="shared" si="1008"/>
        <v>1039</v>
      </c>
      <c r="B1107" s="285">
        <v>1.9267776526116547</v>
      </c>
      <c r="C1107" s="285">
        <v>2.6458815891152807</v>
      </c>
      <c r="D1107" s="285">
        <v>-1.6752350069406221</v>
      </c>
      <c r="E1107" s="285">
        <v>6.2469396681273608</v>
      </c>
    </row>
    <row r="1108" spans="1:5">
      <c r="A1108" s="284">
        <f t="shared" si="1008"/>
        <v>1040</v>
      </c>
      <c r="B1108" s="285">
        <v>-0.76067327033877408</v>
      </c>
      <c r="C1108" s="285">
        <v>3.132600230592355</v>
      </c>
      <c r="D1108" s="285">
        <v>-0.38397353025519854</v>
      </c>
      <c r="E1108" s="285">
        <v>12.486934308042379</v>
      </c>
    </row>
    <row r="1109" spans="1:5">
      <c r="A1109" s="284">
        <f t="shared" si="1008"/>
        <v>1041</v>
      </c>
      <c r="B1109" s="285">
        <v>-1.653981651874834</v>
      </c>
      <c r="C1109" s="285">
        <v>2.4513018500891204</v>
      </c>
      <c r="D1109" s="285">
        <v>0.15555091201342308</v>
      </c>
      <c r="E1109" s="285">
        <v>-4.0113108090628851</v>
      </c>
    </row>
    <row r="1110" spans="1:5">
      <c r="A1110" s="284">
        <f t="shared" si="1008"/>
        <v>1042</v>
      </c>
      <c r="B1110" s="285">
        <v>-1.2127412679705589</v>
      </c>
      <c r="C1110" s="285">
        <v>2.1015667379235023</v>
      </c>
      <c r="D1110" s="285">
        <v>2.0930445066288068</v>
      </c>
      <c r="E1110" s="285">
        <v>-15.07043968868008</v>
      </c>
    </row>
    <row r="1111" spans="1:5">
      <c r="A1111" s="284">
        <f t="shared" si="1008"/>
        <v>1043</v>
      </c>
      <c r="B1111" s="285">
        <v>-5.528224238144805</v>
      </c>
      <c r="C1111" s="285">
        <v>2.2083873836104155</v>
      </c>
      <c r="D1111" s="285">
        <v>0.65027255288104435</v>
      </c>
      <c r="E1111" s="285">
        <v>-0.92900657483869731</v>
      </c>
    </row>
    <row r="1112" spans="1:5">
      <c r="A1112" s="284">
        <f t="shared" si="1008"/>
        <v>1044</v>
      </c>
      <c r="B1112" s="285">
        <v>-3.3833688616719244</v>
      </c>
      <c r="C1112" s="285">
        <v>1.945458153624221</v>
      </c>
      <c r="D1112" s="285">
        <v>-0.76217155653499402</v>
      </c>
      <c r="E1112" s="285">
        <v>-12.57543220914606</v>
      </c>
    </row>
    <row r="1113" spans="1:5">
      <c r="A1113" s="284">
        <f t="shared" si="1008"/>
        <v>1045</v>
      </c>
      <c r="B1113" s="285">
        <v>-2.9451415696986443</v>
      </c>
      <c r="C1113" s="285">
        <v>2.8592772076152806</v>
      </c>
      <c r="D1113" s="285">
        <v>-1.9779933167754469</v>
      </c>
      <c r="E1113" s="285">
        <v>-0.90212786522864752</v>
      </c>
    </row>
    <row r="1114" spans="1:5">
      <c r="A1114" s="284">
        <f t="shared" si="1008"/>
        <v>1046</v>
      </c>
      <c r="B1114" s="285">
        <v>-2.3705770011657243</v>
      </c>
      <c r="C1114" s="285">
        <v>2.5032704583500998</v>
      </c>
      <c r="D1114" s="285">
        <v>2.689088037938018</v>
      </c>
      <c r="E1114" s="285">
        <v>3.612350978064502</v>
      </c>
    </row>
    <row r="1115" spans="1:5">
      <c r="A1115" s="284">
        <f t="shared" si="1008"/>
        <v>1047</v>
      </c>
      <c r="B1115" s="285">
        <v>-1.6194505255006642</v>
      </c>
      <c r="C1115" s="285">
        <v>2.5111530282587893</v>
      </c>
      <c r="D1115" s="285">
        <v>1.3929939333636541</v>
      </c>
      <c r="E1115" s="285">
        <v>-9.3225986634890425</v>
      </c>
    </row>
    <row r="1116" spans="1:5">
      <c r="A1116" s="284">
        <f t="shared" si="1008"/>
        <v>1048</v>
      </c>
      <c r="B1116" s="285">
        <v>1.0854047017895021</v>
      </c>
      <c r="C1116" s="285">
        <v>1.6107733949680023</v>
      </c>
      <c r="D1116" s="285">
        <v>1.9296914491304946</v>
      </c>
      <c r="E1116" s="285">
        <v>-24.753082686707355</v>
      </c>
    </row>
    <row r="1117" spans="1:5">
      <c r="A1117" s="284">
        <f t="shared" si="1008"/>
        <v>1049</v>
      </c>
      <c r="B1117" s="285">
        <v>2.1989870207977838E-2</v>
      </c>
      <c r="C1117" s="285">
        <v>3.3304633678623974</v>
      </c>
      <c r="D1117" s="285">
        <v>1.425639504017628</v>
      </c>
      <c r="E1117" s="285">
        <v>13.778231465195486</v>
      </c>
    </row>
    <row r="1118" spans="1:5">
      <c r="A1118" s="284">
        <f t="shared" si="1008"/>
        <v>1050</v>
      </c>
      <c r="B1118" s="285">
        <v>2.3769915182609562</v>
      </c>
      <c r="C1118" s="285">
        <v>2.3893377019438131</v>
      </c>
      <c r="D1118" s="285">
        <v>0.73043033156958326</v>
      </c>
      <c r="E1118" s="285">
        <v>-16.950054734207811</v>
      </c>
    </row>
    <row r="1119" spans="1:5">
      <c r="A1119" s="284">
        <f t="shared" si="1008"/>
        <v>1051</v>
      </c>
      <c r="B1119" s="285">
        <v>1.2009637733535818</v>
      </c>
      <c r="C1119" s="285">
        <v>2.618874664301305</v>
      </c>
      <c r="D1119" s="285">
        <v>1.373970660293508</v>
      </c>
      <c r="E1119" s="285">
        <v>5.0819372154686473</v>
      </c>
    </row>
    <row r="1120" spans="1:5">
      <c r="A1120" s="284">
        <f t="shared" si="1008"/>
        <v>1052</v>
      </c>
      <c r="B1120" s="285">
        <v>-3.8634050531682904</v>
      </c>
      <c r="C1120" s="285">
        <v>2.4339787895112277</v>
      </c>
      <c r="D1120" s="285">
        <v>0.23795453809740585</v>
      </c>
      <c r="E1120" s="285">
        <v>1.0190397676172869</v>
      </c>
    </row>
    <row r="1121" spans="1:5">
      <c r="A1121" s="284">
        <f t="shared" si="1008"/>
        <v>1053</v>
      </c>
      <c r="B1121" s="285">
        <v>0.67622802799953774</v>
      </c>
      <c r="C1121" s="285">
        <v>3.3285987706237892</v>
      </c>
      <c r="D1121" s="285">
        <v>1.3135379796674902</v>
      </c>
      <c r="E1121" s="285">
        <v>11.663910954745333</v>
      </c>
    </row>
    <row r="1122" spans="1:5">
      <c r="A1122" s="284">
        <f t="shared" si="1008"/>
        <v>1054</v>
      </c>
      <c r="B1122" s="285">
        <v>-3.1330117349098412</v>
      </c>
      <c r="C1122" s="285">
        <v>2.2469192822813682</v>
      </c>
      <c r="D1122" s="285">
        <v>0.24999221314225695</v>
      </c>
      <c r="E1122" s="285">
        <v>-7.2511549141043705</v>
      </c>
    </row>
    <row r="1123" spans="1:5">
      <c r="A1123" s="284">
        <f t="shared" si="1008"/>
        <v>1055</v>
      </c>
      <c r="B1123" s="285">
        <v>-2.359260790140147</v>
      </c>
      <c r="C1123" s="285">
        <v>1.901236126192664</v>
      </c>
      <c r="D1123" s="285">
        <v>1.906753087355114</v>
      </c>
      <c r="E1123" s="285">
        <v>-5.3013485924106245</v>
      </c>
    </row>
    <row r="1124" spans="1:5">
      <c r="A1124" s="284">
        <f t="shared" si="1008"/>
        <v>1056</v>
      </c>
      <c r="B1124" s="285">
        <v>-3.1087166038793419</v>
      </c>
      <c r="C1124" s="285">
        <v>1.9454061063684396</v>
      </c>
      <c r="D1124" s="285">
        <v>1.5501765809097932</v>
      </c>
      <c r="E1124" s="285">
        <v>-14.422970811686778</v>
      </c>
    </row>
    <row r="1125" spans="1:5">
      <c r="A1125" s="284">
        <f t="shared" si="1008"/>
        <v>1057</v>
      </c>
      <c r="B1125" s="285">
        <v>5.3847277414882893</v>
      </c>
      <c r="C1125" s="285">
        <v>3.3158541576605307</v>
      </c>
      <c r="D1125" s="285">
        <v>1.0017221974034802</v>
      </c>
      <c r="E1125" s="285">
        <v>7.9483230076963309</v>
      </c>
    </row>
    <row r="1126" spans="1:5">
      <c r="A1126" s="284">
        <f t="shared" si="1008"/>
        <v>1058</v>
      </c>
      <c r="B1126" s="285">
        <v>0.92255377364510915</v>
      </c>
      <c r="C1126" s="285">
        <v>3.1756145475439714</v>
      </c>
      <c r="D1126" s="285">
        <v>1.9031472575362873</v>
      </c>
      <c r="E1126" s="285">
        <v>4.6154094233542651</v>
      </c>
    </row>
    <row r="1127" spans="1:5">
      <c r="A1127" s="284">
        <f t="shared" si="1008"/>
        <v>1059</v>
      </c>
      <c r="B1127" s="285">
        <v>0.50021012511474017</v>
      </c>
      <c r="C1127" s="285">
        <v>2.8166926959129692</v>
      </c>
      <c r="D1127" s="285">
        <v>2.9349466702692717</v>
      </c>
      <c r="E1127" s="285">
        <v>3.6932811767670288</v>
      </c>
    </row>
    <row r="1128" spans="1:5">
      <c r="A1128" s="284">
        <f t="shared" si="1008"/>
        <v>1060</v>
      </c>
      <c r="B1128" s="285">
        <v>-0.41322857353354564</v>
      </c>
      <c r="C1128" s="285">
        <v>3.1416103072477664</v>
      </c>
      <c r="D1128" s="285">
        <v>1.2093438976426101</v>
      </c>
      <c r="E1128" s="285">
        <v>16.470370731864232</v>
      </c>
    </row>
    <row r="1129" spans="1:5">
      <c r="A1129" s="284">
        <f t="shared" si="1008"/>
        <v>1061</v>
      </c>
      <c r="B1129" s="285">
        <v>1.0792114706127249</v>
      </c>
      <c r="C1129" s="285">
        <v>2.1959254398320778</v>
      </c>
      <c r="D1129" s="285">
        <v>3.3481578329436132</v>
      </c>
      <c r="E1129" s="285">
        <v>-9.9463674705781013</v>
      </c>
    </row>
    <row r="1130" spans="1:5">
      <c r="A1130" s="284">
        <f t="shared" si="1008"/>
        <v>1062</v>
      </c>
      <c r="B1130" s="285">
        <v>7.039460360519717E-2</v>
      </c>
      <c r="C1130" s="285">
        <v>2.6407033704699985</v>
      </c>
      <c r="D1130" s="285">
        <v>1.964774816743605</v>
      </c>
      <c r="E1130" s="285">
        <v>-1.8518022850974449</v>
      </c>
    </row>
    <row r="1131" spans="1:5">
      <c r="A1131" s="284">
        <f t="shared" si="1008"/>
        <v>1063</v>
      </c>
      <c r="B1131" s="285">
        <v>1.136687809258194</v>
      </c>
      <c r="C1131" s="285">
        <v>2.5110953858490195</v>
      </c>
      <c r="D1131" s="285">
        <v>2.2692371758530685</v>
      </c>
      <c r="E1131" s="285">
        <v>3.8722814560491732</v>
      </c>
    </row>
    <row r="1132" spans="1:5">
      <c r="A1132" s="284">
        <f t="shared" si="1008"/>
        <v>1064</v>
      </c>
      <c r="B1132" s="285">
        <v>5.1846756518529169</v>
      </c>
      <c r="C1132" s="285">
        <v>2.6881900122159434</v>
      </c>
      <c r="D1132" s="285">
        <v>3.6934098298087381</v>
      </c>
      <c r="E1132" s="285">
        <v>-22.458397934109726</v>
      </c>
    </row>
    <row r="1133" spans="1:5">
      <c r="A1133" s="284">
        <f t="shared" si="1008"/>
        <v>1065</v>
      </c>
      <c r="B1133" s="285">
        <v>2.2142855067665543</v>
      </c>
      <c r="C1133" s="285">
        <v>3.2241528910355801</v>
      </c>
      <c r="D1133" s="285">
        <v>4.1100205119619346</v>
      </c>
      <c r="E1133" s="285">
        <v>-0.27653586328926227</v>
      </c>
    </row>
    <row r="1134" spans="1:5">
      <c r="A1134" s="284">
        <f t="shared" si="1008"/>
        <v>1066</v>
      </c>
      <c r="B1134" s="285">
        <v>1.203465364296407</v>
      </c>
      <c r="C1134" s="285">
        <v>2.3805220359677777</v>
      </c>
      <c r="D1134" s="285">
        <v>3.0734761024711603</v>
      </c>
      <c r="E1134" s="285">
        <v>1.4369594593023849</v>
      </c>
    </row>
    <row r="1135" spans="1:5">
      <c r="A1135" s="284">
        <f t="shared" si="1008"/>
        <v>1067</v>
      </c>
      <c r="B1135" s="285">
        <v>2.9134731869301151</v>
      </c>
      <c r="C1135" s="285">
        <v>1.645291081150388</v>
      </c>
      <c r="D1135" s="285">
        <v>0.91789501691588526</v>
      </c>
      <c r="E1135" s="285">
        <v>-22.35231498924291</v>
      </c>
    </row>
    <row r="1136" spans="1:5">
      <c r="A1136" s="284">
        <f t="shared" si="1008"/>
        <v>1068</v>
      </c>
      <c r="B1136" s="285">
        <v>-1.5445102641016859</v>
      </c>
      <c r="C1136" s="285">
        <v>2.077345678873515</v>
      </c>
      <c r="D1136" s="285">
        <v>-6.6846744963303006E-2</v>
      </c>
      <c r="E1136" s="285">
        <v>-16.41429459980953</v>
      </c>
    </row>
    <row r="1137" spans="1:5">
      <c r="A1137" s="284">
        <f t="shared" si="1008"/>
        <v>1069</v>
      </c>
      <c r="B1137" s="285">
        <v>1.9753995361299166</v>
      </c>
      <c r="C1137" s="285">
        <v>2.7462741344983073</v>
      </c>
      <c r="D1137" s="285">
        <v>1.6133498221763056</v>
      </c>
      <c r="E1137" s="285">
        <v>-9.6109361888399363</v>
      </c>
    </row>
    <row r="1138" spans="1:5">
      <c r="A1138" s="284">
        <f t="shared" si="1008"/>
        <v>1070</v>
      </c>
      <c r="B1138" s="285">
        <v>-0.65664944400720793</v>
      </c>
      <c r="C1138" s="285">
        <v>1.9065052591160345</v>
      </c>
      <c r="D1138" s="285">
        <v>1.1245633500805539</v>
      </c>
      <c r="E1138" s="285">
        <v>-17.840370834198097</v>
      </c>
    </row>
    <row r="1139" spans="1:5">
      <c r="A1139" s="284">
        <f t="shared" si="1008"/>
        <v>1071</v>
      </c>
      <c r="B1139" s="285">
        <v>3.2489656277770136</v>
      </c>
      <c r="C1139" s="285">
        <v>2.7397502297350553</v>
      </c>
      <c r="D1139" s="285">
        <v>2.2426011559896661</v>
      </c>
      <c r="E1139" s="285">
        <v>12.083827564365661</v>
      </c>
    </row>
    <row r="1140" spans="1:5">
      <c r="A1140" s="284">
        <f t="shared" si="1008"/>
        <v>1072</v>
      </c>
      <c r="B1140" s="285">
        <v>0.1972618115819422</v>
      </c>
      <c r="C1140" s="285">
        <v>1.8383884813079061</v>
      </c>
      <c r="D1140" s="285">
        <v>2.975847613833579</v>
      </c>
      <c r="E1140" s="285">
        <v>-20.14465642615972</v>
      </c>
    </row>
    <row r="1141" spans="1:5">
      <c r="A1141" s="284">
        <f t="shared" si="1008"/>
        <v>1073</v>
      </c>
      <c r="B1141" s="285">
        <v>0.10916304715543894</v>
      </c>
      <c r="C1141" s="285">
        <v>2.305289678392572</v>
      </c>
      <c r="D1141" s="285">
        <v>0.96656144814783718</v>
      </c>
      <c r="E1141" s="285">
        <v>-4.3133160402712054</v>
      </c>
    </row>
    <row r="1142" spans="1:5">
      <c r="A1142" s="284">
        <f t="shared" si="1008"/>
        <v>1074</v>
      </c>
      <c r="B1142" s="285">
        <v>-3.1613534318104195</v>
      </c>
      <c r="C1142" s="285">
        <v>2.9568321281787262</v>
      </c>
      <c r="D1142" s="285">
        <v>0.5279939037146214</v>
      </c>
      <c r="E1142" s="285">
        <v>6.9105062064242251</v>
      </c>
    </row>
    <row r="1143" spans="1:5">
      <c r="A1143" s="284">
        <f t="shared" si="1008"/>
        <v>1075</v>
      </c>
      <c r="B1143" s="285">
        <v>-0.50427824237409269</v>
      </c>
      <c r="C1143" s="285">
        <v>2.5517143020595219</v>
      </c>
      <c r="D1143" s="285">
        <v>1.0175722648517409</v>
      </c>
      <c r="E1143" s="285">
        <v>-6.0198024769405176</v>
      </c>
    </row>
    <row r="1144" spans="1:5">
      <c r="A1144" s="284">
        <f t="shared" si="1008"/>
        <v>1076</v>
      </c>
      <c r="B1144" s="285">
        <v>-2.9793076675460739</v>
      </c>
      <c r="C1144" s="285">
        <v>2.1219276606786854</v>
      </c>
      <c r="D1144" s="285">
        <v>0.8908479623845742</v>
      </c>
      <c r="E1144" s="285">
        <v>-12.951308225382316</v>
      </c>
    </row>
    <row r="1145" spans="1:5">
      <c r="A1145" s="284">
        <f t="shared" si="1008"/>
        <v>1077</v>
      </c>
      <c r="B1145" s="285">
        <v>1.130702911840191</v>
      </c>
      <c r="C1145" s="285">
        <v>2.9031314544118469</v>
      </c>
      <c r="D1145" s="285">
        <v>0.66289887734320529</v>
      </c>
      <c r="E1145" s="285">
        <v>-2.9644940670277271</v>
      </c>
    </row>
    <row r="1146" spans="1:5">
      <c r="A1146" s="284">
        <f t="shared" si="1008"/>
        <v>1078</v>
      </c>
      <c r="B1146" s="285">
        <v>4.7849264359874208</v>
      </c>
      <c r="C1146" s="285">
        <v>3.6516878953256739</v>
      </c>
      <c r="D1146" s="285">
        <v>0.57258351469948121</v>
      </c>
      <c r="E1146" s="285">
        <v>11.398639369297859</v>
      </c>
    </row>
    <row r="1147" spans="1:5">
      <c r="A1147" s="284">
        <f t="shared" si="1008"/>
        <v>1079</v>
      </c>
      <c r="B1147" s="285">
        <v>3.6697095805402178</v>
      </c>
      <c r="C1147" s="285">
        <v>2.9561910444704926</v>
      </c>
      <c r="D1147" s="285">
        <v>3.7865866623296709</v>
      </c>
      <c r="E1147" s="285">
        <v>-0.9312354656744346</v>
      </c>
    </row>
    <row r="1148" spans="1:5">
      <c r="A1148" s="284">
        <f t="shared" si="1008"/>
        <v>1080</v>
      </c>
      <c r="B1148" s="285">
        <v>-0.20048231398157945</v>
      </c>
      <c r="C1148" s="285">
        <v>3.3481206756654238</v>
      </c>
      <c r="D1148" s="285">
        <v>-1.1243334533699088</v>
      </c>
      <c r="E1148" s="285">
        <v>3.5731121387289684</v>
      </c>
    </row>
    <row r="1149" spans="1:5">
      <c r="A1149" s="284">
        <f t="shared" si="1008"/>
        <v>1081</v>
      </c>
      <c r="B1149" s="285">
        <v>5.2884872029070891E-2</v>
      </c>
      <c r="C1149" s="285">
        <v>2.0708226000276584</v>
      </c>
      <c r="D1149" s="285">
        <v>2.3845940498281015</v>
      </c>
      <c r="E1149" s="285">
        <v>-12.275058680756091</v>
      </c>
    </row>
    <row r="1150" spans="1:5">
      <c r="A1150" s="284">
        <f t="shared" si="1008"/>
        <v>1082</v>
      </c>
      <c r="B1150" s="285">
        <v>-2.7322764079751609</v>
      </c>
      <c r="C1150" s="285">
        <v>2.0424117087488312</v>
      </c>
      <c r="D1150" s="285">
        <v>0.65921797245688329</v>
      </c>
      <c r="E1150" s="285">
        <v>-13.510410397188046</v>
      </c>
    </row>
    <row r="1151" spans="1:5">
      <c r="A1151" s="284">
        <f t="shared" si="1008"/>
        <v>1083</v>
      </c>
      <c r="B1151" s="285">
        <v>1.9875747539940249</v>
      </c>
      <c r="C1151" s="285">
        <v>2.0078103787138621</v>
      </c>
      <c r="D1151" s="285">
        <v>0.9012346686643582</v>
      </c>
      <c r="E1151" s="285">
        <v>-26.324850784959665</v>
      </c>
    </row>
    <row r="1152" spans="1:5">
      <c r="A1152" s="284">
        <f t="shared" si="1008"/>
        <v>1084</v>
      </c>
      <c r="B1152" s="285">
        <v>3.6034461971764107</v>
      </c>
      <c r="C1152" s="285">
        <v>3.0465251307486341</v>
      </c>
      <c r="D1152" s="285">
        <v>1.7334977445053594</v>
      </c>
      <c r="E1152" s="285">
        <v>0.51926325185957412</v>
      </c>
    </row>
    <row r="1153" spans="1:5">
      <c r="A1153" s="284">
        <f t="shared" si="1008"/>
        <v>1085</v>
      </c>
      <c r="B1153" s="285">
        <v>0.12691373530085989</v>
      </c>
      <c r="C1153" s="285">
        <v>2.6630765052479006</v>
      </c>
      <c r="D1153" s="285">
        <v>0.31741915816040567</v>
      </c>
      <c r="E1153" s="285">
        <v>-4.9829043070636043</v>
      </c>
    </row>
    <row r="1154" spans="1:5">
      <c r="A1154" s="284">
        <f t="shared" si="1008"/>
        <v>1086</v>
      </c>
      <c r="B1154" s="285">
        <v>0.32237300237141941</v>
      </c>
      <c r="C1154" s="285">
        <v>2.2209110480554801</v>
      </c>
      <c r="D1154" s="285">
        <v>0.44340326994975798</v>
      </c>
      <c r="E1154" s="285">
        <v>-12.524588640212837</v>
      </c>
    </row>
    <row r="1155" spans="1:5">
      <c r="A1155" s="284">
        <f t="shared" si="1008"/>
        <v>1087</v>
      </c>
      <c r="B1155" s="285">
        <v>-3.6493566365579966</v>
      </c>
      <c r="C1155" s="285">
        <v>2.5966737765076431</v>
      </c>
      <c r="D1155" s="285">
        <v>0.91896518060057875</v>
      </c>
      <c r="E1155" s="285">
        <v>3.5838883057427897</v>
      </c>
    </row>
    <row r="1156" spans="1:5">
      <c r="A1156" s="284">
        <f t="shared" si="1008"/>
        <v>1088</v>
      </c>
      <c r="B1156" s="285">
        <v>2.2459374014085784</v>
      </c>
      <c r="C1156" s="285">
        <v>2.3224121315500934</v>
      </c>
      <c r="D1156" s="285">
        <v>2.4779590226416692</v>
      </c>
      <c r="E1156" s="285">
        <v>-10.076893492016607</v>
      </c>
    </row>
    <row r="1157" spans="1:5">
      <c r="A1157" s="284">
        <f t="shared" si="1008"/>
        <v>1089</v>
      </c>
      <c r="B1157" s="285">
        <v>1.8510560419315123</v>
      </c>
      <c r="C1157" s="285">
        <v>2.6588625365371517</v>
      </c>
      <c r="D1157" s="285">
        <v>0.31767013874299499</v>
      </c>
      <c r="E1157" s="285">
        <v>-12.442188532547764</v>
      </c>
    </row>
    <row r="1158" spans="1:5">
      <c r="A1158" s="284">
        <f t="shared" si="1008"/>
        <v>1090</v>
      </c>
      <c r="B1158" s="285">
        <v>-2.3303315987807443</v>
      </c>
      <c r="C1158" s="285">
        <v>2.0326856635668351</v>
      </c>
      <c r="D1158" s="285">
        <v>0.52233006067881704</v>
      </c>
      <c r="E1158" s="285">
        <v>-7.7687485384041146</v>
      </c>
    </row>
    <row r="1159" spans="1:5">
      <c r="A1159" s="284">
        <f t="shared" ref="A1159:A1222" si="1009">A1158+1</f>
        <v>1091</v>
      </c>
      <c r="B1159" s="285">
        <v>-5.5481563411539314</v>
      </c>
      <c r="C1159" s="285">
        <v>2.4561191345853128</v>
      </c>
      <c r="D1159" s="285">
        <v>0.65475402290206819</v>
      </c>
      <c r="E1159" s="285">
        <v>13.147869482475219</v>
      </c>
    </row>
    <row r="1160" spans="1:5">
      <c r="A1160" s="284">
        <f t="shared" si="1009"/>
        <v>1092</v>
      </c>
      <c r="B1160" s="285">
        <v>-2.4966973498634601</v>
      </c>
      <c r="C1160" s="285">
        <v>2.6736836583269277</v>
      </c>
      <c r="D1160" s="285">
        <v>0.4739500853090084</v>
      </c>
      <c r="E1160" s="285">
        <v>-4.3356272629348815</v>
      </c>
    </row>
    <row r="1161" spans="1:5">
      <c r="A1161" s="284">
        <f t="shared" si="1009"/>
        <v>1093</v>
      </c>
      <c r="B1161" s="285">
        <v>-1.2800288052301183</v>
      </c>
      <c r="C1161" s="285">
        <v>2.104826916123371</v>
      </c>
      <c r="D1161" s="285">
        <v>1.3526520473034029</v>
      </c>
      <c r="E1161" s="285">
        <v>-13.799136372285187</v>
      </c>
    </row>
    <row r="1162" spans="1:5">
      <c r="A1162" s="284">
        <f t="shared" si="1009"/>
        <v>1094</v>
      </c>
      <c r="B1162" s="285">
        <v>-1.2881903468641658</v>
      </c>
      <c r="C1162" s="285">
        <v>3.4370395971658718</v>
      </c>
      <c r="D1162" s="285">
        <v>-0.55181102859870679</v>
      </c>
      <c r="E1162" s="285">
        <v>25.704682406643418</v>
      </c>
    </row>
    <row r="1163" spans="1:5">
      <c r="A1163" s="284">
        <f t="shared" si="1009"/>
        <v>1095</v>
      </c>
      <c r="B1163" s="285">
        <v>0.17439384893690185</v>
      </c>
      <c r="C1163" s="285">
        <v>2.8890825770345092</v>
      </c>
      <c r="D1163" s="285">
        <v>-0.63861894206139391</v>
      </c>
      <c r="E1163" s="285">
        <v>4.9999154339970886</v>
      </c>
    </row>
    <row r="1164" spans="1:5">
      <c r="A1164" s="284">
        <f t="shared" si="1009"/>
        <v>1096</v>
      </c>
      <c r="B1164" s="285">
        <v>1.1798440693791796</v>
      </c>
      <c r="C1164" s="285">
        <v>2.3800967915157729</v>
      </c>
      <c r="D1164" s="285">
        <v>1.6184029295859961</v>
      </c>
      <c r="E1164" s="285">
        <v>-1.7990385030681733E-2</v>
      </c>
    </row>
    <row r="1165" spans="1:5">
      <c r="A1165" s="284">
        <f t="shared" si="1009"/>
        <v>1097</v>
      </c>
      <c r="B1165" s="285">
        <v>3.0456094766585342</v>
      </c>
      <c r="C1165" s="285">
        <v>2.2607808109593681</v>
      </c>
      <c r="D1165" s="285">
        <v>0.48972018172583276</v>
      </c>
      <c r="E1165" s="285">
        <v>-9.5384220335596233</v>
      </c>
    </row>
    <row r="1166" spans="1:5">
      <c r="A1166" s="284">
        <f t="shared" si="1009"/>
        <v>1098</v>
      </c>
      <c r="B1166" s="285">
        <v>1.1330112261799934</v>
      </c>
      <c r="C1166" s="285">
        <v>3.0701530944726096</v>
      </c>
      <c r="D1166" s="285">
        <v>-0.37154960191902608</v>
      </c>
      <c r="E1166" s="285">
        <v>3.8646052312262946</v>
      </c>
    </row>
    <row r="1167" spans="1:5">
      <c r="A1167" s="284">
        <f t="shared" si="1009"/>
        <v>1099</v>
      </c>
      <c r="B1167" s="285">
        <v>0.28505701064834754</v>
      </c>
      <c r="C1167" s="285">
        <v>2.6338110042675913</v>
      </c>
      <c r="D1167" s="285">
        <v>2.4215808982924472</v>
      </c>
      <c r="E1167" s="285">
        <v>12.730913087057967</v>
      </c>
    </row>
    <row r="1168" spans="1:5">
      <c r="A1168" s="284">
        <f t="shared" si="1009"/>
        <v>1100</v>
      </c>
      <c r="B1168" s="285">
        <v>1.5254069706287925</v>
      </c>
      <c r="C1168" s="285">
        <v>2.4487702931448063</v>
      </c>
      <c r="D1168" s="285">
        <v>3.3668335373150957</v>
      </c>
      <c r="E1168" s="285">
        <v>-8.0024103320062441</v>
      </c>
    </row>
    <row r="1169" spans="1:5">
      <c r="A1169" s="284">
        <f t="shared" si="1009"/>
        <v>1101</v>
      </c>
      <c r="B1169" s="285">
        <v>1.2965586851768098</v>
      </c>
      <c r="C1169" s="285">
        <v>2.0685199788848547</v>
      </c>
      <c r="D1169" s="285">
        <v>2.1240593865180006</v>
      </c>
      <c r="E1169" s="285">
        <v>-9.3762841537180908</v>
      </c>
    </row>
    <row r="1170" spans="1:5">
      <c r="A1170" s="284">
        <f t="shared" si="1009"/>
        <v>1102</v>
      </c>
      <c r="B1170" s="285">
        <v>0.93059895519224778</v>
      </c>
      <c r="C1170" s="285">
        <v>2.8089977283438738</v>
      </c>
      <c r="D1170" s="285">
        <v>2.3827327827330818</v>
      </c>
      <c r="E1170" s="285">
        <v>3.9747490464060076</v>
      </c>
    </row>
    <row r="1171" spans="1:5">
      <c r="A1171" s="284">
        <f t="shared" si="1009"/>
        <v>1103</v>
      </c>
      <c r="B1171" s="285">
        <v>0.65710916469900371</v>
      </c>
      <c r="C1171" s="285">
        <v>2.3562531655020296</v>
      </c>
      <c r="D1171" s="285">
        <v>0.77794692243287178</v>
      </c>
      <c r="E1171" s="285">
        <v>-12.026383304867768</v>
      </c>
    </row>
    <row r="1172" spans="1:5">
      <c r="A1172" s="284">
        <f t="shared" si="1009"/>
        <v>1104</v>
      </c>
      <c r="B1172" s="285">
        <v>1.5763473323477768</v>
      </c>
      <c r="C1172" s="285">
        <v>2.3005482232366128</v>
      </c>
      <c r="D1172" s="285">
        <v>3.6301099969630704</v>
      </c>
      <c r="E1172" s="285">
        <v>-19.079521351741562</v>
      </c>
    </row>
    <row r="1173" spans="1:5">
      <c r="A1173" s="284">
        <f t="shared" si="1009"/>
        <v>1105</v>
      </c>
      <c r="B1173" s="285">
        <v>1.901986267516298</v>
      </c>
      <c r="C1173" s="285">
        <v>3.0978187773999175</v>
      </c>
      <c r="D1173" s="285">
        <v>1.4859635257209645</v>
      </c>
      <c r="E1173" s="285">
        <v>8.4473282367397182</v>
      </c>
    </row>
    <row r="1174" spans="1:5">
      <c r="A1174" s="284">
        <f t="shared" si="1009"/>
        <v>1106</v>
      </c>
      <c r="B1174" s="285">
        <v>2.2263058603220469</v>
      </c>
      <c r="C1174" s="285">
        <v>2.2263410860853305</v>
      </c>
      <c r="D1174" s="285">
        <v>1.7662076235210318</v>
      </c>
      <c r="E1174" s="285">
        <v>-9.3773622928048628</v>
      </c>
    </row>
    <row r="1175" spans="1:5">
      <c r="A1175" s="284">
        <f t="shared" si="1009"/>
        <v>1107</v>
      </c>
      <c r="B1175" s="285">
        <v>-2.6054758987173501</v>
      </c>
      <c r="C1175" s="285">
        <v>2.2382539626961031</v>
      </c>
      <c r="D1175" s="285">
        <v>1.1649734320298883</v>
      </c>
      <c r="E1175" s="285">
        <v>-12.433984591565387</v>
      </c>
    </row>
    <row r="1176" spans="1:5">
      <c r="A1176" s="284">
        <f t="shared" si="1009"/>
        <v>1108</v>
      </c>
      <c r="B1176" s="285">
        <v>6.1008487197085914</v>
      </c>
      <c r="C1176" s="285">
        <v>3.7559195937247249</v>
      </c>
      <c r="D1176" s="285">
        <v>2.1274371796363223</v>
      </c>
      <c r="E1176" s="285">
        <v>16.010268064300515</v>
      </c>
    </row>
    <row r="1177" spans="1:5">
      <c r="A1177" s="284">
        <f t="shared" si="1009"/>
        <v>1109</v>
      </c>
      <c r="B1177" s="285">
        <v>0.58616551303178177</v>
      </c>
      <c r="C1177" s="285">
        <v>2.4926444441342577</v>
      </c>
      <c r="D1177" s="285">
        <v>1.8634136369496965</v>
      </c>
      <c r="E1177" s="285">
        <v>-6.5434289659749378</v>
      </c>
    </row>
    <row r="1178" spans="1:5">
      <c r="A1178" s="284">
        <f t="shared" si="1009"/>
        <v>1110</v>
      </c>
      <c r="B1178" s="285">
        <v>-0.18641586201046417</v>
      </c>
      <c r="C1178" s="285">
        <v>2.222540398632523</v>
      </c>
      <c r="D1178" s="285">
        <v>2.2094835226336391</v>
      </c>
      <c r="E1178" s="285">
        <v>-7.4494397396869125</v>
      </c>
    </row>
    <row r="1179" spans="1:5">
      <c r="A1179" s="284">
        <f t="shared" si="1009"/>
        <v>1111</v>
      </c>
      <c r="B1179" s="285">
        <v>3.0546465645767515</v>
      </c>
      <c r="C1179" s="285">
        <v>3.3940865946270584</v>
      </c>
      <c r="D1179" s="285">
        <v>0.24055896528235188</v>
      </c>
      <c r="E1179" s="285">
        <v>2.6466935191239567</v>
      </c>
    </row>
    <row r="1180" spans="1:5">
      <c r="A1180" s="284">
        <f t="shared" si="1009"/>
        <v>1112</v>
      </c>
      <c r="B1180" s="285">
        <v>-1.110400011060664</v>
      </c>
      <c r="C1180" s="285">
        <v>2.9290562032974599</v>
      </c>
      <c r="D1180" s="285">
        <v>-0.896735517976194</v>
      </c>
      <c r="E1180" s="285">
        <v>6.0760929564686528</v>
      </c>
    </row>
    <row r="1181" spans="1:5">
      <c r="A1181" s="284">
        <f t="shared" si="1009"/>
        <v>1113</v>
      </c>
      <c r="B1181" s="285">
        <v>3.173387121292762</v>
      </c>
      <c r="C1181" s="285">
        <v>2.7623106831120445</v>
      </c>
      <c r="D1181" s="285">
        <v>-6.3915237351415133E-2</v>
      </c>
      <c r="E1181" s="285">
        <v>-9.9716803868248469</v>
      </c>
    </row>
    <row r="1182" spans="1:5">
      <c r="A1182" s="284">
        <f t="shared" si="1009"/>
        <v>1114</v>
      </c>
      <c r="B1182" s="285">
        <v>-2.179245875582553</v>
      </c>
      <c r="C1182" s="285">
        <v>2.2096292872716452</v>
      </c>
      <c r="D1182" s="285">
        <v>-1.8122523881923178</v>
      </c>
      <c r="E1182" s="285">
        <v>-11.760246049778523</v>
      </c>
    </row>
    <row r="1183" spans="1:5">
      <c r="A1183" s="284">
        <f t="shared" si="1009"/>
        <v>1115</v>
      </c>
      <c r="B1183" s="285">
        <v>-1.5946647560715572</v>
      </c>
      <c r="C1183" s="285">
        <v>2.0693112791666244</v>
      </c>
      <c r="D1183" s="285">
        <v>1.6417400684526109</v>
      </c>
      <c r="E1183" s="285">
        <v>-19.201810555900661</v>
      </c>
    </row>
    <row r="1184" spans="1:5">
      <c r="A1184" s="284">
        <f t="shared" si="1009"/>
        <v>1116</v>
      </c>
      <c r="B1184" s="285">
        <v>3.7078171510716991</v>
      </c>
      <c r="C1184" s="285">
        <v>2.8339243983184836</v>
      </c>
      <c r="D1184" s="285">
        <v>1.707261812141069</v>
      </c>
      <c r="E1184" s="285">
        <v>-12.9182369325439</v>
      </c>
    </row>
    <row r="1185" spans="1:5">
      <c r="A1185" s="284">
        <f t="shared" si="1009"/>
        <v>1117</v>
      </c>
      <c r="B1185" s="285">
        <v>0.44957300552061796</v>
      </c>
      <c r="C1185" s="285">
        <v>3.0628803302431713</v>
      </c>
      <c r="D1185" s="285">
        <v>0.16356665036010209</v>
      </c>
      <c r="E1185" s="285">
        <v>19.582126760916413</v>
      </c>
    </row>
    <row r="1186" spans="1:5">
      <c r="A1186" s="284">
        <f t="shared" si="1009"/>
        <v>1118</v>
      </c>
      <c r="B1186" s="285">
        <v>1.1468077585793359</v>
      </c>
      <c r="C1186" s="285">
        <v>2.3733750535654394</v>
      </c>
      <c r="D1186" s="285">
        <v>3.4339085011239123</v>
      </c>
      <c r="E1186" s="285">
        <v>-12.51038213536272</v>
      </c>
    </row>
    <row r="1187" spans="1:5">
      <c r="A1187" s="284">
        <f t="shared" si="1009"/>
        <v>1119</v>
      </c>
      <c r="B1187" s="285">
        <v>-0.16546386094756202</v>
      </c>
      <c r="C1187" s="285">
        <v>2.7189476131815606</v>
      </c>
      <c r="D1187" s="285">
        <v>2.3362669255406545</v>
      </c>
      <c r="E1187" s="285">
        <v>8.3127772993002615</v>
      </c>
    </row>
    <row r="1188" spans="1:5">
      <c r="A1188" s="284">
        <f t="shared" si="1009"/>
        <v>1120</v>
      </c>
      <c r="B1188" s="285">
        <v>1.5220952683181161</v>
      </c>
      <c r="C1188" s="285">
        <v>3.1181242650688441</v>
      </c>
      <c r="D1188" s="285">
        <v>2.3558814098329801</v>
      </c>
      <c r="E1188" s="285">
        <v>4.7945274434522158</v>
      </c>
    </row>
    <row r="1189" spans="1:5">
      <c r="A1189" s="284">
        <f t="shared" si="1009"/>
        <v>1121</v>
      </c>
      <c r="B1189" s="285">
        <v>0.38943732216837607</v>
      </c>
      <c r="C1189" s="285">
        <v>2.6439175457217954</v>
      </c>
      <c r="D1189" s="285">
        <v>6.3314771598719899E-2</v>
      </c>
      <c r="E1189" s="285">
        <v>-4.8479968545435153</v>
      </c>
    </row>
    <row r="1190" spans="1:5">
      <c r="A1190" s="284">
        <f t="shared" si="1009"/>
        <v>1122</v>
      </c>
      <c r="B1190" s="285">
        <v>-4.0880673879544833</v>
      </c>
      <c r="C1190" s="285">
        <v>2.2252036130135995</v>
      </c>
      <c r="D1190" s="285">
        <v>0.97523317052415026</v>
      </c>
      <c r="E1190" s="285">
        <v>-8.8683835174656132</v>
      </c>
    </row>
    <row r="1191" spans="1:5">
      <c r="A1191" s="284">
        <f t="shared" si="1009"/>
        <v>1123</v>
      </c>
      <c r="B1191" s="285">
        <v>0.98393481654148285</v>
      </c>
      <c r="C1191" s="285">
        <v>3.3249599167140111</v>
      </c>
      <c r="D1191" s="285">
        <v>1.3798685164594753</v>
      </c>
      <c r="E1191" s="285">
        <v>10.372944390832721</v>
      </c>
    </row>
    <row r="1192" spans="1:5">
      <c r="A1192" s="284">
        <f t="shared" si="1009"/>
        <v>1124</v>
      </c>
      <c r="B1192" s="285">
        <v>-1.5371255154982926</v>
      </c>
      <c r="C1192" s="285">
        <v>2.5447289922000329</v>
      </c>
      <c r="D1192" s="285">
        <v>2.5780479062022508</v>
      </c>
      <c r="E1192" s="285">
        <v>-4.3318896019567514</v>
      </c>
    </row>
    <row r="1193" spans="1:5">
      <c r="A1193" s="284">
        <f t="shared" si="1009"/>
        <v>1125</v>
      </c>
      <c r="B1193" s="285">
        <v>-0.56744475243697623</v>
      </c>
      <c r="C1193" s="285">
        <v>2.591938785161811</v>
      </c>
      <c r="D1193" s="285">
        <v>1.6696198000193503</v>
      </c>
      <c r="E1193" s="285">
        <v>4.3988696951378436</v>
      </c>
    </row>
    <row r="1194" spans="1:5">
      <c r="A1194" s="284">
        <f t="shared" si="1009"/>
        <v>1126</v>
      </c>
      <c r="B1194" s="285">
        <v>-0.23225914903229591</v>
      </c>
      <c r="C1194" s="285">
        <v>2.5249317717112914</v>
      </c>
      <c r="D1194" s="285">
        <v>2.1514769521434829</v>
      </c>
      <c r="E1194" s="285">
        <v>5.9513074824140375</v>
      </c>
    </row>
    <row r="1195" spans="1:5">
      <c r="A1195" s="284">
        <f t="shared" si="1009"/>
        <v>1127</v>
      </c>
      <c r="B1195" s="285">
        <v>0.36174096245806292</v>
      </c>
      <c r="C1195" s="285">
        <v>3.2706666329172869</v>
      </c>
      <c r="D1195" s="285">
        <v>-6.8497523037098773E-3</v>
      </c>
      <c r="E1195" s="285">
        <v>7.4300613371221225</v>
      </c>
    </row>
    <row r="1196" spans="1:5">
      <c r="A1196" s="284">
        <f t="shared" si="1009"/>
        <v>1128</v>
      </c>
      <c r="B1196" s="285">
        <v>3.7512158170570462</v>
      </c>
      <c r="C1196" s="285">
        <v>3.0268353547690801</v>
      </c>
      <c r="D1196" s="285">
        <v>2.5070533413323632</v>
      </c>
      <c r="E1196" s="285">
        <v>3.7228924597335804</v>
      </c>
    </row>
    <row r="1197" spans="1:5">
      <c r="A1197" s="284">
        <f t="shared" si="1009"/>
        <v>1129</v>
      </c>
      <c r="B1197" s="285">
        <v>-1.0109819775088584</v>
      </c>
      <c r="C1197" s="285">
        <v>2.9400240786325127</v>
      </c>
      <c r="D1197" s="285">
        <v>0.47252750540894284</v>
      </c>
      <c r="E1197" s="285">
        <v>-0.95303457671023351</v>
      </c>
    </row>
    <row r="1198" spans="1:5">
      <c r="A1198" s="284">
        <f t="shared" si="1009"/>
        <v>1130</v>
      </c>
      <c r="B1198" s="285">
        <v>-0.16637273375589345</v>
      </c>
      <c r="C1198" s="285">
        <v>2.4750660323602527</v>
      </c>
      <c r="D1198" s="285">
        <v>-0.58375744328299795</v>
      </c>
      <c r="E1198" s="285">
        <v>-3.3687557299123707</v>
      </c>
    </row>
    <row r="1199" spans="1:5">
      <c r="A1199" s="284">
        <f t="shared" si="1009"/>
        <v>1131</v>
      </c>
      <c r="B1199" s="285">
        <v>1.4623426459443283</v>
      </c>
      <c r="C1199" s="285">
        <v>2.7806804476328404</v>
      </c>
      <c r="D1199" s="285">
        <v>-0.25636410890639882</v>
      </c>
      <c r="E1199" s="285">
        <v>-2.779972065088693</v>
      </c>
    </row>
    <row r="1200" spans="1:5">
      <c r="A1200" s="284">
        <f t="shared" si="1009"/>
        <v>1132</v>
      </c>
      <c r="B1200" s="285">
        <v>-0.91905991479329052</v>
      </c>
      <c r="C1200" s="285">
        <v>2.7008680021079958</v>
      </c>
      <c r="D1200" s="285">
        <v>0.54376445427715758</v>
      </c>
      <c r="E1200" s="285">
        <v>9.1670992315300808</v>
      </c>
    </row>
    <row r="1201" spans="1:5">
      <c r="A1201" s="284">
        <f t="shared" si="1009"/>
        <v>1133</v>
      </c>
      <c r="B1201" s="285">
        <v>-1.3937214219721199</v>
      </c>
      <c r="C1201" s="285">
        <v>3.177830464162275</v>
      </c>
      <c r="D1201" s="285">
        <v>1.1329890170903978</v>
      </c>
      <c r="E1201" s="285">
        <v>12.630457139929018</v>
      </c>
    </row>
    <row r="1202" spans="1:5">
      <c r="A1202" s="284">
        <f t="shared" si="1009"/>
        <v>1134</v>
      </c>
      <c r="B1202" s="285">
        <v>-3.2152735238704033</v>
      </c>
      <c r="C1202" s="285">
        <v>2.6395775829431161</v>
      </c>
      <c r="D1202" s="285">
        <v>0.20930516606739791</v>
      </c>
      <c r="E1202" s="285">
        <v>-5.5778928061295101</v>
      </c>
    </row>
    <row r="1203" spans="1:5">
      <c r="A1203" s="284">
        <f t="shared" si="1009"/>
        <v>1135</v>
      </c>
      <c r="B1203" s="285">
        <v>-1.9287197527448305</v>
      </c>
      <c r="C1203" s="285">
        <v>3.4508040014214765</v>
      </c>
      <c r="D1203" s="285">
        <v>0.52942849541366221</v>
      </c>
      <c r="E1203" s="285">
        <v>30.475779584427013</v>
      </c>
    </row>
    <row r="1204" spans="1:5">
      <c r="A1204" s="284">
        <f t="shared" si="1009"/>
        <v>1136</v>
      </c>
      <c r="B1204" s="285">
        <v>0.56760634802304855</v>
      </c>
      <c r="C1204" s="285">
        <v>2.3903022335852779</v>
      </c>
      <c r="D1204" s="285">
        <v>0.71538660307199309</v>
      </c>
      <c r="E1204" s="285">
        <v>-0.38643249833793147</v>
      </c>
    </row>
    <row r="1205" spans="1:5">
      <c r="A1205" s="284">
        <f t="shared" si="1009"/>
        <v>1137</v>
      </c>
      <c r="B1205" s="285">
        <v>-2.9069436997462423</v>
      </c>
      <c r="C1205" s="285">
        <v>2.4096696051924558</v>
      </c>
      <c r="D1205" s="285">
        <v>1.854651003392906</v>
      </c>
      <c r="E1205" s="285">
        <v>6.4952819593441937</v>
      </c>
    </row>
    <row r="1206" spans="1:5">
      <c r="A1206" s="284">
        <f t="shared" si="1009"/>
        <v>1138</v>
      </c>
      <c r="B1206" s="285">
        <v>-3.0090877246711347</v>
      </c>
      <c r="C1206" s="285">
        <v>2.7762085813242505</v>
      </c>
      <c r="D1206" s="285">
        <v>-0.74802096599262335</v>
      </c>
      <c r="E1206" s="285">
        <v>2.1908170895697858</v>
      </c>
    </row>
    <row r="1207" spans="1:5">
      <c r="A1207" s="284">
        <f t="shared" si="1009"/>
        <v>1139</v>
      </c>
      <c r="B1207" s="285">
        <v>-1.4472924441255421</v>
      </c>
      <c r="C1207" s="285">
        <v>3.0105284208613847</v>
      </c>
      <c r="D1207" s="285">
        <v>-0.85089050553881229</v>
      </c>
      <c r="E1207" s="285">
        <v>10.592281478359229</v>
      </c>
    </row>
    <row r="1208" spans="1:5">
      <c r="A1208" s="284">
        <f t="shared" si="1009"/>
        <v>1140</v>
      </c>
      <c r="B1208" s="285">
        <v>-0.36121395200034961</v>
      </c>
      <c r="C1208" s="285">
        <v>2.3103507724438583</v>
      </c>
      <c r="D1208" s="285">
        <v>0.36323477886074163</v>
      </c>
      <c r="E1208" s="285">
        <v>-6.2583867200688736</v>
      </c>
    </row>
    <row r="1209" spans="1:5">
      <c r="A1209" s="284">
        <f t="shared" si="1009"/>
        <v>1141</v>
      </c>
      <c r="B1209" s="285">
        <v>-0.73457191702919677</v>
      </c>
      <c r="C1209" s="285">
        <v>2.7785956414536681</v>
      </c>
      <c r="D1209" s="285">
        <v>1.0508983844147277</v>
      </c>
      <c r="E1209" s="285">
        <v>-0.48348572809216206</v>
      </c>
    </row>
    <row r="1210" spans="1:5">
      <c r="A1210" s="284">
        <f t="shared" si="1009"/>
        <v>1142</v>
      </c>
      <c r="B1210" s="285">
        <v>-2.2493500178170081</v>
      </c>
      <c r="C1210" s="285">
        <v>2.7804258859151716</v>
      </c>
      <c r="D1210" s="285">
        <v>3.605522338743139E-2</v>
      </c>
      <c r="E1210" s="285">
        <v>12.045133176509168</v>
      </c>
    </row>
    <row r="1211" spans="1:5">
      <c r="A1211" s="284">
        <f t="shared" si="1009"/>
        <v>1143</v>
      </c>
      <c r="B1211" s="285">
        <v>1.1288413395467911</v>
      </c>
      <c r="C1211" s="285">
        <v>2.5270766126717463</v>
      </c>
      <c r="D1211" s="285">
        <v>0.55776142882246116</v>
      </c>
      <c r="E1211" s="285">
        <v>-5.1174597079765238</v>
      </c>
    </row>
    <row r="1212" spans="1:5">
      <c r="A1212" s="284">
        <f t="shared" si="1009"/>
        <v>1144</v>
      </c>
      <c r="B1212" s="285">
        <v>-1.0290808016424446</v>
      </c>
      <c r="C1212" s="285">
        <v>2.8953670876433981</v>
      </c>
      <c r="D1212" s="285">
        <v>0.37463883030644873</v>
      </c>
      <c r="E1212" s="285">
        <v>19.361804703170488</v>
      </c>
    </row>
    <row r="1213" spans="1:5">
      <c r="A1213" s="284">
        <f t="shared" si="1009"/>
        <v>1145</v>
      </c>
      <c r="B1213" s="285">
        <v>1.8437909435606175</v>
      </c>
      <c r="C1213" s="285">
        <v>2.040718063749408</v>
      </c>
      <c r="D1213" s="285">
        <v>2.6321958808514707</v>
      </c>
      <c r="E1213" s="285">
        <v>-24.283397502940353</v>
      </c>
    </row>
    <row r="1214" spans="1:5">
      <c r="A1214" s="284">
        <f t="shared" si="1009"/>
        <v>1146</v>
      </c>
      <c r="B1214" s="285">
        <v>5.2597059077765405</v>
      </c>
      <c r="C1214" s="285">
        <v>2.695656001855637</v>
      </c>
      <c r="D1214" s="285">
        <v>1.5492222049891917</v>
      </c>
      <c r="E1214" s="285">
        <v>-5.1443814046433918</v>
      </c>
    </row>
    <row r="1215" spans="1:5">
      <c r="A1215" s="284">
        <f t="shared" si="1009"/>
        <v>1147</v>
      </c>
      <c r="B1215" s="285">
        <v>-3.3736440054887815</v>
      </c>
      <c r="C1215" s="285">
        <v>2.1360795311861578</v>
      </c>
      <c r="D1215" s="285">
        <v>0.46831482004851699</v>
      </c>
      <c r="E1215" s="285">
        <v>-6.8230449023117563</v>
      </c>
    </row>
    <row r="1216" spans="1:5">
      <c r="A1216" s="284">
        <f t="shared" si="1009"/>
        <v>1148</v>
      </c>
      <c r="B1216" s="285">
        <v>3.3718144512610411</v>
      </c>
      <c r="C1216" s="285">
        <v>3.4467762933785941</v>
      </c>
      <c r="D1216" s="285">
        <v>2.5736644249037672</v>
      </c>
      <c r="E1216" s="285">
        <v>10.662340758568611</v>
      </c>
    </row>
    <row r="1217" spans="1:5">
      <c r="A1217" s="284">
        <f t="shared" si="1009"/>
        <v>1149</v>
      </c>
      <c r="B1217" s="285">
        <v>-3.1973628329259212</v>
      </c>
      <c r="C1217" s="285">
        <v>2.5092517583034177</v>
      </c>
      <c r="D1217" s="285">
        <v>0.94593870700538463</v>
      </c>
      <c r="E1217" s="285">
        <v>5.2462803154669952</v>
      </c>
    </row>
    <row r="1218" spans="1:5">
      <c r="A1218" s="284">
        <f t="shared" si="1009"/>
        <v>1150</v>
      </c>
      <c r="B1218" s="285">
        <v>0.36767298097016421</v>
      </c>
      <c r="C1218" s="285">
        <v>2.4585270758808315</v>
      </c>
      <c r="D1218" s="285">
        <v>0.6603025366741414</v>
      </c>
      <c r="E1218" s="285">
        <v>-2.5336139796496981</v>
      </c>
    </row>
    <row r="1219" spans="1:5">
      <c r="A1219" s="284">
        <f t="shared" si="1009"/>
        <v>1151</v>
      </c>
      <c r="B1219" s="285">
        <v>2.3120580904640806</v>
      </c>
      <c r="C1219" s="285">
        <v>2.5679317115461062</v>
      </c>
      <c r="D1219" s="285">
        <v>1.8586569325261864</v>
      </c>
      <c r="E1219" s="285">
        <v>-16.700732952936061</v>
      </c>
    </row>
    <row r="1220" spans="1:5">
      <c r="A1220" s="284">
        <f t="shared" si="1009"/>
        <v>1152</v>
      </c>
      <c r="B1220" s="285">
        <v>3.2168720278118306</v>
      </c>
      <c r="C1220" s="285">
        <v>2.5984750133858365</v>
      </c>
      <c r="D1220" s="285">
        <v>2.9450830957798551</v>
      </c>
      <c r="E1220" s="285">
        <v>-14.15485257988226</v>
      </c>
    </row>
    <row r="1221" spans="1:5">
      <c r="A1221" s="284">
        <f t="shared" si="1009"/>
        <v>1153</v>
      </c>
      <c r="B1221" s="285">
        <v>-0.37330065869049089</v>
      </c>
      <c r="C1221" s="285">
        <v>1.6539526908502613</v>
      </c>
      <c r="D1221" s="285">
        <v>1.5205274579728849</v>
      </c>
      <c r="E1221" s="285">
        <v>-14.356377414283655</v>
      </c>
    </row>
    <row r="1222" spans="1:5">
      <c r="A1222" s="284">
        <f t="shared" si="1009"/>
        <v>1154</v>
      </c>
      <c r="B1222" s="285">
        <v>2.1290839991972175</v>
      </c>
      <c r="C1222" s="285">
        <v>3.6827081083966098</v>
      </c>
      <c r="D1222" s="285">
        <v>-0.52793712369803614</v>
      </c>
      <c r="E1222" s="285">
        <v>20.87994338812064</v>
      </c>
    </row>
    <row r="1223" spans="1:5">
      <c r="A1223" s="284">
        <f t="shared" ref="A1223:A1286" si="1010">A1222+1</f>
        <v>1155</v>
      </c>
      <c r="B1223" s="285">
        <v>-1.0873137860081603</v>
      </c>
      <c r="C1223" s="285">
        <v>3.0389195717279467</v>
      </c>
      <c r="D1223" s="285">
        <v>2.35622121732849</v>
      </c>
      <c r="E1223" s="285">
        <v>10.036946027868606</v>
      </c>
    </row>
    <row r="1224" spans="1:5">
      <c r="A1224" s="284">
        <f t="shared" si="1010"/>
        <v>1156</v>
      </c>
      <c r="B1224" s="285">
        <v>-2.3681587675874796</v>
      </c>
      <c r="C1224" s="285">
        <v>2.3212655563469093</v>
      </c>
      <c r="D1224" s="285">
        <v>0.1201842906327597</v>
      </c>
      <c r="E1224" s="285">
        <v>5.4592234092570333</v>
      </c>
    </row>
    <row r="1225" spans="1:5">
      <c r="A1225" s="284">
        <f t="shared" si="1010"/>
        <v>1157</v>
      </c>
      <c r="B1225" s="285">
        <v>-0.12551593613020495</v>
      </c>
      <c r="C1225" s="285">
        <v>2.026978756165807</v>
      </c>
      <c r="D1225" s="285">
        <v>0.71802568432638858</v>
      </c>
      <c r="E1225" s="285">
        <v>-18.095269464265957</v>
      </c>
    </row>
    <row r="1226" spans="1:5">
      <c r="A1226" s="284">
        <f t="shared" si="1010"/>
        <v>1158</v>
      </c>
      <c r="B1226" s="285">
        <v>-1.5231331832297406</v>
      </c>
      <c r="C1226" s="285">
        <v>2.0227243221884867</v>
      </c>
      <c r="D1226" s="285">
        <v>1.5911323185464061</v>
      </c>
      <c r="E1226" s="285">
        <v>-11.258453162876751</v>
      </c>
    </row>
    <row r="1227" spans="1:5">
      <c r="A1227" s="284">
        <f t="shared" si="1010"/>
        <v>1159</v>
      </c>
      <c r="B1227" s="285">
        <v>-1.2329241254025882</v>
      </c>
      <c r="C1227" s="285">
        <v>2.4822489677594115</v>
      </c>
      <c r="D1227" s="285">
        <v>-1.2882969948268408</v>
      </c>
      <c r="E1227" s="285">
        <v>-2.1738855903428922</v>
      </c>
    </row>
    <row r="1228" spans="1:5">
      <c r="A1228" s="284">
        <f t="shared" si="1010"/>
        <v>1160</v>
      </c>
      <c r="B1228" s="285">
        <v>-8.9134636364230413E-2</v>
      </c>
      <c r="C1228" s="285">
        <v>2.2306985241669</v>
      </c>
      <c r="D1228" s="285">
        <v>2.8120600245059384</v>
      </c>
      <c r="E1228" s="285">
        <v>-5.5628642370109453</v>
      </c>
    </row>
    <row r="1229" spans="1:5">
      <c r="A1229" s="284">
        <f t="shared" si="1010"/>
        <v>1161</v>
      </c>
      <c r="B1229" s="285">
        <v>2.822314208431687</v>
      </c>
      <c r="C1229" s="285">
        <v>3.2470980735304025</v>
      </c>
      <c r="D1229" s="285">
        <v>1.3327356608327419</v>
      </c>
      <c r="E1229" s="285">
        <v>12.434099451450241</v>
      </c>
    </row>
    <row r="1230" spans="1:5">
      <c r="A1230" s="284">
        <f t="shared" si="1010"/>
        <v>1162</v>
      </c>
      <c r="B1230" s="285">
        <v>4.098206180324155</v>
      </c>
      <c r="C1230" s="285">
        <v>3.0039824239916157</v>
      </c>
      <c r="D1230" s="285">
        <v>1.4802473167340473</v>
      </c>
      <c r="E1230" s="285">
        <v>-1.4312848194615317</v>
      </c>
    </row>
    <row r="1231" spans="1:5">
      <c r="A1231" s="284">
        <f t="shared" si="1010"/>
        <v>1163</v>
      </c>
      <c r="B1231" s="285">
        <v>-3.5741997321601033</v>
      </c>
      <c r="C1231" s="285">
        <v>1.4301568339023332</v>
      </c>
      <c r="D1231" s="285">
        <v>3.2711672219206176</v>
      </c>
      <c r="E1231" s="285">
        <v>-21.350661661626841</v>
      </c>
    </row>
    <row r="1232" spans="1:5">
      <c r="A1232" s="284">
        <f t="shared" si="1010"/>
        <v>1164</v>
      </c>
      <c r="B1232" s="285">
        <v>-0.72833449415127338</v>
      </c>
      <c r="C1232" s="285">
        <v>2.2428478615364273</v>
      </c>
      <c r="D1232" s="285">
        <v>1.1388462807095945</v>
      </c>
      <c r="E1232" s="285">
        <v>-10.531887188113279</v>
      </c>
    </row>
    <row r="1233" spans="1:5">
      <c r="A1233" s="284">
        <f t="shared" si="1010"/>
        <v>1165</v>
      </c>
      <c r="B1233" s="285">
        <v>1.8087824016155487</v>
      </c>
      <c r="C1233" s="285">
        <v>2.2781815882164773</v>
      </c>
      <c r="D1233" s="285">
        <v>2.4378465259778821</v>
      </c>
      <c r="E1233" s="285">
        <v>-15.46070181173633</v>
      </c>
    </row>
    <row r="1234" spans="1:5">
      <c r="A1234" s="284">
        <f t="shared" si="1010"/>
        <v>1166</v>
      </c>
      <c r="B1234" s="285">
        <v>-2.5094350641690659</v>
      </c>
      <c r="C1234" s="285">
        <v>2.0572133616985417</v>
      </c>
      <c r="D1234" s="285">
        <v>0.3311522740315257</v>
      </c>
      <c r="E1234" s="285">
        <v>-6.5857078737493131</v>
      </c>
    </row>
    <row r="1235" spans="1:5">
      <c r="A1235" s="284">
        <f t="shared" si="1010"/>
        <v>1167</v>
      </c>
      <c r="B1235" s="285">
        <v>1.5283952573068178</v>
      </c>
      <c r="C1235" s="285">
        <v>2.769335891644487</v>
      </c>
      <c r="D1235" s="285">
        <v>0.31860716052501314</v>
      </c>
      <c r="E1235" s="285">
        <v>0.9268882096573563</v>
      </c>
    </row>
    <row r="1236" spans="1:5">
      <c r="A1236" s="284">
        <f t="shared" si="1010"/>
        <v>1168</v>
      </c>
      <c r="B1236" s="285">
        <v>3.2910060499044005</v>
      </c>
      <c r="C1236" s="285">
        <v>2.7286530506446693</v>
      </c>
      <c r="D1236" s="285">
        <v>2.12772457658878</v>
      </c>
      <c r="E1236" s="285">
        <v>-11.570680168288948</v>
      </c>
    </row>
    <row r="1237" spans="1:5">
      <c r="A1237" s="284">
        <f t="shared" si="1010"/>
        <v>1169</v>
      </c>
      <c r="B1237" s="285">
        <v>-0.62013585896529522</v>
      </c>
      <c r="C1237" s="285">
        <v>2.1840966063176248</v>
      </c>
      <c r="D1237" s="285">
        <v>1.1056673494500935</v>
      </c>
      <c r="E1237" s="285">
        <v>-10.062058044850829</v>
      </c>
    </row>
    <row r="1238" spans="1:5">
      <c r="A1238" s="284">
        <f t="shared" si="1010"/>
        <v>1170</v>
      </c>
      <c r="B1238" s="285">
        <v>-0.80157759432043663</v>
      </c>
      <c r="C1238" s="285">
        <v>2.8790818563367857</v>
      </c>
      <c r="D1238" s="285">
        <v>2.5225653586307573</v>
      </c>
      <c r="E1238" s="285">
        <v>7.9973202711205289</v>
      </c>
    </row>
    <row r="1239" spans="1:5">
      <c r="A1239" s="284">
        <f t="shared" si="1010"/>
        <v>1171</v>
      </c>
      <c r="B1239" s="285">
        <v>-4.0099060876501129</v>
      </c>
      <c r="C1239" s="285">
        <v>2.7130916794854443</v>
      </c>
      <c r="D1239" s="285">
        <v>2.5696740396094819</v>
      </c>
      <c r="E1239" s="285">
        <v>4.3778783073441279</v>
      </c>
    </row>
    <row r="1240" spans="1:5">
      <c r="A1240" s="284">
        <f t="shared" si="1010"/>
        <v>1172</v>
      </c>
      <c r="B1240" s="285">
        <v>-1.7458637365782024</v>
      </c>
      <c r="C1240" s="285">
        <v>1.6731332530898875</v>
      </c>
      <c r="D1240" s="285">
        <v>0.12262753064886267</v>
      </c>
      <c r="E1240" s="285">
        <v>-16.112830195068334</v>
      </c>
    </row>
    <row r="1241" spans="1:5">
      <c r="A1241" s="284">
        <f t="shared" si="1010"/>
        <v>1173</v>
      </c>
      <c r="B1241" s="285">
        <v>0.87453272693979833</v>
      </c>
      <c r="C1241" s="285">
        <v>2.8371133232483645</v>
      </c>
      <c r="D1241" s="285">
        <v>1.063205002011044</v>
      </c>
      <c r="E1241" s="285">
        <v>-4.6143842487742734</v>
      </c>
    </row>
    <row r="1242" spans="1:5">
      <c r="A1242" s="284">
        <f t="shared" si="1010"/>
        <v>1174</v>
      </c>
      <c r="B1242" s="285">
        <v>2.3685707693560567</v>
      </c>
      <c r="C1242" s="285">
        <v>1.994942749193569</v>
      </c>
      <c r="D1242" s="285">
        <v>-0.65815390886631819</v>
      </c>
      <c r="E1242" s="285">
        <v>-10.016180140642632</v>
      </c>
    </row>
    <row r="1243" spans="1:5">
      <c r="A1243" s="284">
        <f t="shared" si="1010"/>
        <v>1175</v>
      </c>
      <c r="B1243" s="285">
        <v>-1.4907606615812994</v>
      </c>
      <c r="C1243" s="285">
        <v>2.5016757742533087</v>
      </c>
      <c r="D1243" s="285">
        <v>1.7566151729513924</v>
      </c>
      <c r="E1243" s="285">
        <v>-13.632750493372258</v>
      </c>
    </row>
    <row r="1244" spans="1:5">
      <c r="A1244" s="284">
        <f t="shared" si="1010"/>
        <v>1176</v>
      </c>
      <c r="B1244" s="285">
        <v>1.1727701635757761</v>
      </c>
      <c r="C1244" s="285">
        <v>2.7456735147878146</v>
      </c>
      <c r="D1244" s="285">
        <v>1.4517631550455099</v>
      </c>
      <c r="E1244" s="285">
        <v>1.3771171422505106</v>
      </c>
    </row>
    <row r="1245" spans="1:5">
      <c r="A1245" s="284">
        <f t="shared" si="1010"/>
        <v>1177</v>
      </c>
      <c r="B1245" s="285">
        <v>-0.38445220399267666</v>
      </c>
      <c r="C1245" s="285">
        <v>2.0858894822192462</v>
      </c>
      <c r="D1245" s="285">
        <v>2.1908986483818955</v>
      </c>
      <c r="E1245" s="285">
        <v>-6.3023535505193369</v>
      </c>
    </row>
    <row r="1246" spans="1:5">
      <c r="A1246" s="284">
        <f t="shared" si="1010"/>
        <v>1178</v>
      </c>
      <c r="B1246" s="285">
        <v>-1.8250059249262602</v>
      </c>
      <c r="C1246" s="285">
        <v>2.1900787355567672</v>
      </c>
      <c r="D1246" s="285">
        <v>2.7454145338889937</v>
      </c>
      <c r="E1246" s="285">
        <v>-13.254090197887422</v>
      </c>
    </row>
    <row r="1247" spans="1:5">
      <c r="A1247" s="284">
        <f t="shared" si="1010"/>
        <v>1179</v>
      </c>
      <c r="B1247" s="285">
        <v>2.9596723515267724</v>
      </c>
      <c r="C1247" s="285">
        <v>2.9303683095026845</v>
      </c>
      <c r="D1247" s="285">
        <v>1.4746220138667545</v>
      </c>
      <c r="E1247" s="285">
        <v>5.1632613070453957</v>
      </c>
    </row>
    <row r="1248" spans="1:5">
      <c r="A1248" s="284">
        <f t="shared" si="1010"/>
        <v>1180</v>
      </c>
      <c r="B1248" s="285">
        <v>-0.66631937664088525</v>
      </c>
      <c r="C1248" s="285">
        <v>3.1448680550214112</v>
      </c>
      <c r="D1248" s="285">
        <v>1.80965238452091</v>
      </c>
      <c r="E1248" s="285">
        <v>5.2445298753824758</v>
      </c>
    </row>
    <row r="1249" spans="1:5">
      <c r="A1249" s="284">
        <f t="shared" si="1010"/>
        <v>1181</v>
      </c>
      <c r="B1249" s="285">
        <v>0.25810066995076353</v>
      </c>
      <c r="C1249" s="285">
        <v>2.8116619823948712</v>
      </c>
      <c r="D1249" s="285">
        <v>2.4335893393921189</v>
      </c>
      <c r="E1249" s="285">
        <v>-3.0053629177358849</v>
      </c>
    </row>
    <row r="1250" spans="1:5">
      <c r="A1250" s="284">
        <f t="shared" si="1010"/>
        <v>1182</v>
      </c>
      <c r="B1250" s="285">
        <v>-1.008482147981268</v>
      </c>
      <c r="C1250" s="285">
        <v>1.7402929962409348</v>
      </c>
      <c r="D1250" s="285">
        <v>1.3528592201906731</v>
      </c>
      <c r="E1250" s="285">
        <v>-5.5207389283841763</v>
      </c>
    </row>
    <row r="1251" spans="1:5">
      <c r="A1251" s="284">
        <f t="shared" si="1010"/>
        <v>1183</v>
      </c>
      <c r="B1251" s="285">
        <v>-5.0464758741921445</v>
      </c>
      <c r="C1251" s="285">
        <v>2.1210807211347324</v>
      </c>
      <c r="D1251" s="285">
        <v>0.87336505803192455</v>
      </c>
      <c r="E1251" s="285">
        <v>-2.7156412039092621</v>
      </c>
    </row>
    <row r="1252" spans="1:5">
      <c r="A1252" s="284">
        <f t="shared" si="1010"/>
        <v>1184</v>
      </c>
      <c r="B1252" s="285">
        <v>1.7181673933929422</v>
      </c>
      <c r="C1252" s="285">
        <v>2.4723915476111928</v>
      </c>
      <c r="D1252" s="285">
        <v>0.71900630644441077</v>
      </c>
      <c r="E1252" s="285">
        <v>-3.1303283268411799</v>
      </c>
    </row>
    <row r="1253" spans="1:5">
      <c r="A1253" s="284">
        <f t="shared" si="1010"/>
        <v>1185</v>
      </c>
      <c r="B1253" s="285">
        <v>0.23393112575283576</v>
      </c>
      <c r="C1253" s="285">
        <v>2.3443700229386728</v>
      </c>
      <c r="D1253" s="285">
        <v>-0.31801151969164754</v>
      </c>
      <c r="E1253" s="285">
        <v>-8.8343615505522628</v>
      </c>
    </row>
    <row r="1254" spans="1:5">
      <c r="A1254" s="284">
        <f t="shared" si="1010"/>
        <v>1186</v>
      </c>
      <c r="B1254" s="285">
        <v>-2.8582424386740075</v>
      </c>
      <c r="C1254" s="285">
        <v>1.4782498481041624</v>
      </c>
      <c r="D1254" s="285">
        <v>0.88467142961637235</v>
      </c>
      <c r="E1254" s="285">
        <v>-18.329629134149396</v>
      </c>
    </row>
    <row r="1255" spans="1:5">
      <c r="A1255" s="284">
        <f t="shared" si="1010"/>
        <v>1187</v>
      </c>
      <c r="B1255" s="285">
        <v>0.37201184428400158</v>
      </c>
      <c r="C1255" s="285">
        <v>2.2495956004728903</v>
      </c>
      <c r="D1255" s="285">
        <v>3.0054379980157715</v>
      </c>
      <c r="E1255" s="285">
        <v>-9.88290597286848</v>
      </c>
    </row>
    <row r="1256" spans="1:5">
      <c r="A1256" s="284">
        <f t="shared" si="1010"/>
        <v>1188</v>
      </c>
      <c r="B1256" s="285">
        <v>-1.656212035842634</v>
      </c>
      <c r="C1256" s="285">
        <v>3.2080275523324175</v>
      </c>
      <c r="D1256" s="285">
        <v>1.0353531509482108</v>
      </c>
      <c r="E1256" s="285">
        <v>9.9378253113389921</v>
      </c>
    </row>
    <row r="1257" spans="1:5">
      <c r="A1257" s="284">
        <f t="shared" si="1010"/>
        <v>1189</v>
      </c>
      <c r="B1257" s="285">
        <v>-0.59063624228098544</v>
      </c>
      <c r="C1257" s="285">
        <v>3.1104103588282292</v>
      </c>
      <c r="D1257" s="285">
        <v>-0.41291041693768005</v>
      </c>
      <c r="E1257" s="285">
        <v>-0.19706044292200131</v>
      </c>
    </row>
    <row r="1258" spans="1:5">
      <c r="A1258" s="284">
        <f t="shared" si="1010"/>
        <v>1190</v>
      </c>
      <c r="B1258" s="285">
        <v>-1.6819325221797279</v>
      </c>
      <c r="C1258" s="285">
        <v>2.8559321782511975</v>
      </c>
      <c r="D1258" s="285">
        <v>-0.44027882623545755</v>
      </c>
      <c r="E1258" s="285">
        <v>6.7369507389929577</v>
      </c>
    </row>
    <row r="1259" spans="1:5">
      <c r="A1259" s="284">
        <f t="shared" si="1010"/>
        <v>1191</v>
      </c>
      <c r="B1259" s="285">
        <v>-0.24751149844009251</v>
      </c>
      <c r="C1259" s="285">
        <v>2.7352723688951035</v>
      </c>
      <c r="D1259" s="285">
        <v>3.8636692972839888</v>
      </c>
      <c r="E1259" s="285">
        <v>-12.885727296197256</v>
      </c>
    </row>
    <row r="1260" spans="1:5">
      <c r="A1260" s="284">
        <f t="shared" si="1010"/>
        <v>1192</v>
      </c>
      <c r="B1260" s="285">
        <v>-1.7999575154397571</v>
      </c>
      <c r="C1260" s="285">
        <v>2.8928804673468136</v>
      </c>
      <c r="D1260" s="285">
        <v>2.4887424270607692</v>
      </c>
      <c r="E1260" s="285">
        <v>0.9998714683314831</v>
      </c>
    </row>
    <row r="1261" spans="1:5">
      <c r="A1261" s="284">
        <f t="shared" si="1010"/>
        <v>1193</v>
      </c>
      <c r="B1261" s="285">
        <v>-1.6395285795700927</v>
      </c>
      <c r="C1261" s="285">
        <v>2.5191742926911895</v>
      </c>
      <c r="D1261" s="285">
        <v>2.6225223701767821</v>
      </c>
      <c r="E1261" s="285">
        <v>-3.5908915801697554</v>
      </c>
    </row>
    <row r="1262" spans="1:5">
      <c r="A1262" s="284">
        <f t="shared" si="1010"/>
        <v>1194</v>
      </c>
      <c r="B1262" s="285">
        <v>0.44843226548691739</v>
      </c>
      <c r="C1262" s="285">
        <v>2.7510983044333579</v>
      </c>
      <c r="D1262" s="285">
        <v>1.7687435448081996</v>
      </c>
      <c r="E1262" s="285">
        <v>-5.006138787907771</v>
      </c>
    </row>
    <row r="1263" spans="1:5">
      <c r="A1263" s="284">
        <f t="shared" si="1010"/>
        <v>1195</v>
      </c>
      <c r="B1263" s="285">
        <v>0.86698430585687036</v>
      </c>
      <c r="C1263" s="285">
        <v>2.7250430122671614</v>
      </c>
      <c r="D1263" s="285">
        <v>-0.78796939870545857</v>
      </c>
      <c r="E1263" s="285">
        <v>2.6121980255845183</v>
      </c>
    </row>
    <row r="1264" spans="1:5">
      <c r="A1264" s="284">
        <f t="shared" si="1010"/>
        <v>1196</v>
      </c>
      <c r="B1264" s="285">
        <v>-3.7082321256073114</v>
      </c>
      <c r="C1264" s="285">
        <v>2.4655513510003084</v>
      </c>
      <c r="D1264" s="285">
        <v>-1.1162135123986134</v>
      </c>
      <c r="E1264" s="285">
        <v>-6.49849084024736</v>
      </c>
    </row>
    <row r="1265" spans="1:5">
      <c r="A1265" s="284">
        <f t="shared" si="1010"/>
        <v>1197</v>
      </c>
      <c r="B1265" s="285">
        <v>2.0802311490302334</v>
      </c>
      <c r="C1265" s="285">
        <v>2.6594017671169774</v>
      </c>
      <c r="D1265" s="285">
        <v>1.1501678688058037</v>
      </c>
      <c r="E1265" s="285">
        <v>-10.409866706714833</v>
      </c>
    </row>
    <row r="1266" spans="1:5">
      <c r="A1266" s="284">
        <f t="shared" si="1010"/>
        <v>1198</v>
      </c>
      <c r="B1266" s="285">
        <v>1.8798974773457486</v>
      </c>
      <c r="C1266" s="285">
        <v>2.63000674692345</v>
      </c>
      <c r="D1266" s="285">
        <v>1.7201703087173756</v>
      </c>
      <c r="E1266" s="285">
        <v>-7.1204346538641463</v>
      </c>
    </row>
    <row r="1267" spans="1:5">
      <c r="A1267" s="284">
        <f t="shared" si="1010"/>
        <v>1199</v>
      </c>
      <c r="B1267" s="285">
        <v>-0.88087160116570484</v>
      </c>
      <c r="C1267" s="285">
        <v>1.5923741628507366</v>
      </c>
      <c r="D1267" s="285">
        <v>2.122600537658613</v>
      </c>
      <c r="E1267" s="285">
        <v>-22.515998037282692</v>
      </c>
    </row>
    <row r="1268" spans="1:5">
      <c r="A1268" s="284">
        <f t="shared" si="1010"/>
        <v>1200</v>
      </c>
      <c r="B1268" s="285">
        <v>-1.3761101531765134</v>
      </c>
      <c r="C1268" s="285">
        <v>2.8997885280855988</v>
      </c>
      <c r="D1268" s="285">
        <v>0.6048585564842397</v>
      </c>
      <c r="E1268" s="285">
        <v>1.2327088437670053E-2</v>
      </c>
    </row>
    <row r="1269" spans="1:5">
      <c r="A1269" s="284">
        <f t="shared" si="1010"/>
        <v>1201</v>
      </c>
      <c r="B1269" s="285">
        <v>0.61717240914095772</v>
      </c>
      <c r="C1269" s="285">
        <v>3.1560544957341725</v>
      </c>
      <c r="D1269" s="285">
        <v>1.3067352522650868</v>
      </c>
      <c r="E1269" s="285">
        <v>16.556436341021449</v>
      </c>
    </row>
    <row r="1270" spans="1:5">
      <c r="A1270" s="284">
        <f t="shared" si="1010"/>
        <v>1202</v>
      </c>
      <c r="B1270" s="285">
        <v>0.40815016275649912</v>
      </c>
      <c r="C1270" s="285">
        <v>2.9382351309592085</v>
      </c>
      <c r="D1270" s="285">
        <v>0.55107173845181801</v>
      </c>
      <c r="E1270" s="285">
        <v>8.7484290362791608</v>
      </c>
    </row>
    <row r="1271" spans="1:5">
      <c r="A1271" s="284">
        <f t="shared" si="1010"/>
        <v>1203</v>
      </c>
      <c r="B1271" s="285">
        <v>2.9099645915591252</v>
      </c>
      <c r="C1271" s="285">
        <v>2.6805509977646649</v>
      </c>
      <c r="D1271" s="285">
        <v>0.90137582265707938</v>
      </c>
      <c r="E1271" s="285">
        <v>-0.33600920251383526</v>
      </c>
    </row>
    <row r="1272" spans="1:5">
      <c r="A1272" s="284">
        <f t="shared" si="1010"/>
        <v>1204</v>
      </c>
      <c r="B1272" s="285">
        <v>2.7744833317545869</v>
      </c>
      <c r="C1272" s="285">
        <v>3.2107854866046424</v>
      </c>
      <c r="D1272" s="285">
        <v>0.60825444230297987</v>
      </c>
      <c r="E1272" s="285">
        <v>13.897862066091967</v>
      </c>
    </row>
    <row r="1273" spans="1:5">
      <c r="A1273" s="284">
        <f t="shared" si="1010"/>
        <v>1205</v>
      </c>
      <c r="B1273" s="285">
        <v>3.9622055086483625</v>
      </c>
      <c r="C1273" s="285">
        <v>2.5751710176115865</v>
      </c>
      <c r="D1273" s="285">
        <v>2.0590398934740137</v>
      </c>
      <c r="E1273" s="285">
        <v>-11.999609668455069</v>
      </c>
    </row>
    <row r="1274" spans="1:5">
      <c r="A1274" s="284">
        <f t="shared" si="1010"/>
        <v>1206</v>
      </c>
      <c r="B1274" s="285">
        <v>1.956118434526364</v>
      </c>
      <c r="C1274" s="285">
        <v>2.6555825783254559</v>
      </c>
      <c r="D1274" s="285">
        <v>-0.76164133687350599</v>
      </c>
      <c r="E1274" s="285">
        <v>-1.1162004332877316</v>
      </c>
    </row>
    <row r="1275" spans="1:5">
      <c r="A1275" s="284">
        <f t="shared" si="1010"/>
        <v>1207</v>
      </c>
      <c r="B1275" s="285">
        <v>2.0030269087236836</v>
      </c>
      <c r="C1275" s="285">
        <v>1.9632717171545284</v>
      </c>
      <c r="D1275" s="285">
        <v>1.6670993007657882</v>
      </c>
      <c r="E1275" s="285">
        <v>-20.556529166697526</v>
      </c>
    </row>
    <row r="1276" spans="1:5">
      <c r="A1276" s="284">
        <f t="shared" si="1010"/>
        <v>1208</v>
      </c>
      <c r="B1276" s="285">
        <v>2.8153578367651586</v>
      </c>
      <c r="C1276" s="285">
        <v>2.8483475554585334</v>
      </c>
      <c r="D1276" s="285">
        <v>1.0530431360537054</v>
      </c>
      <c r="E1276" s="285">
        <v>-0.66682256348059576</v>
      </c>
    </row>
    <row r="1277" spans="1:5">
      <c r="A1277" s="284">
        <f t="shared" si="1010"/>
        <v>1209</v>
      </c>
      <c r="B1277" s="285">
        <v>1.7003470079663163</v>
      </c>
      <c r="C1277" s="285">
        <v>2.6418375680462409</v>
      </c>
      <c r="D1277" s="285">
        <v>1.377066124573836</v>
      </c>
      <c r="E1277" s="285">
        <v>1.5349127898785437</v>
      </c>
    </row>
    <row r="1278" spans="1:5">
      <c r="A1278" s="284">
        <f t="shared" si="1010"/>
        <v>1210</v>
      </c>
      <c r="B1278" s="285">
        <v>-0.93835050625173655</v>
      </c>
      <c r="C1278" s="285">
        <v>2.4863087211290771</v>
      </c>
      <c r="D1278" s="285">
        <v>0.31077137011592981</v>
      </c>
      <c r="E1278" s="285">
        <v>-9.8892017891206567</v>
      </c>
    </row>
    <row r="1279" spans="1:5">
      <c r="A1279" s="284">
        <f t="shared" si="1010"/>
        <v>1211</v>
      </c>
      <c r="B1279" s="285">
        <v>-0.27698807027858091</v>
      </c>
      <c r="C1279" s="285">
        <v>2.0191031608882013</v>
      </c>
      <c r="D1279" s="285">
        <v>0.30153351951514784</v>
      </c>
      <c r="E1279" s="285">
        <v>-10.336514840331191</v>
      </c>
    </row>
    <row r="1280" spans="1:5">
      <c r="A1280" s="284">
        <f t="shared" si="1010"/>
        <v>1212</v>
      </c>
      <c r="B1280" s="285">
        <v>-0.83641905566968366</v>
      </c>
      <c r="C1280" s="285">
        <v>2.4759787858693576</v>
      </c>
      <c r="D1280" s="285">
        <v>-0.42390948366537184</v>
      </c>
      <c r="E1280" s="285">
        <v>-4.4510282465714921</v>
      </c>
    </row>
    <row r="1281" spans="1:5">
      <c r="A1281" s="284">
        <f t="shared" si="1010"/>
        <v>1213</v>
      </c>
      <c r="B1281" s="285">
        <v>-4.3505092712675033</v>
      </c>
      <c r="C1281" s="285">
        <v>1.9417709176610018</v>
      </c>
      <c r="D1281" s="285">
        <v>0.25158337490203841</v>
      </c>
      <c r="E1281" s="285">
        <v>-5.0880250039653294</v>
      </c>
    </row>
    <row r="1282" spans="1:5">
      <c r="A1282" s="284">
        <f t="shared" si="1010"/>
        <v>1214</v>
      </c>
      <c r="B1282" s="285">
        <v>1.5953510532517861</v>
      </c>
      <c r="C1282" s="285">
        <v>3.0398966605281807</v>
      </c>
      <c r="D1282" s="285">
        <v>1.9060199888435732</v>
      </c>
      <c r="E1282" s="285">
        <v>-1.4065805571168375</v>
      </c>
    </row>
    <row r="1283" spans="1:5">
      <c r="A1283" s="284">
        <f t="shared" si="1010"/>
        <v>1215</v>
      </c>
      <c r="B1283" s="285">
        <v>2.7045693907848252</v>
      </c>
      <c r="C1283" s="285">
        <v>2.8488364691992918</v>
      </c>
      <c r="D1283" s="285">
        <v>-0.28371763017734475</v>
      </c>
      <c r="E1283" s="285">
        <v>-2.5055456193880032</v>
      </c>
    </row>
    <row r="1284" spans="1:5">
      <c r="A1284" s="284">
        <f t="shared" si="1010"/>
        <v>1216</v>
      </c>
      <c r="B1284" s="285">
        <v>-0.99888416432460359</v>
      </c>
      <c r="C1284" s="285">
        <v>1.6932963373659695</v>
      </c>
      <c r="D1284" s="285">
        <v>2.8016121906456628</v>
      </c>
      <c r="E1284" s="285">
        <v>-22.38069403278681</v>
      </c>
    </row>
    <row r="1285" spans="1:5">
      <c r="A1285" s="284">
        <f t="shared" si="1010"/>
        <v>1217</v>
      </c>
      <c r="B1285" s="285">
        <v>0.32540660640209612</v>
      </c>
      <c r="C1285" s="285">
        <v>2.5484008001311014</v>
      </c>
      <c r="D1285" s="285">
        <v>1.2115288316437558</v>
      </c>
      <c r="E1285" s="285">
        <v>-2.5119229952072701</v>
      </c>
    </row>
    <row r="1286" spans="1:5">
      <c r="A1286" s="284">
        <f t="shared" si="1010"/>
        <v>1218</v>
      </c>
      <c r="B1286" s="285">
        <v>-1.2334995354207579</v>
      </c>
      <c r="C1286" s="285">
        <v>2.6202828487691758</v>
      </c>
      <c r="D1286" s="285">
        <v>0.40891744494972526</v>
      </c>
      <c r="E1286" s="285">
        <v>-1.8542070037235248</v>
      </c>
    </row>
    <row r="1287" spans="1:5">
      <c r="A1287" s="284">
        <f t="shared" ref="A1287:A1350" si="1011">A1286+1</f>
        <v>1219</v>
      </c>
      <c r="B1287" s="285">
        <v>0.43442551990677558</v>
      </c>
      <c r="C1287" s="285">
        <v>2.8319460643602734</v>
      </c>
      <c r="D1287" s="285">
        <v>0.75472499822450945</v>
      </c>
      <c r="E1287" s="285">
        <v>-2.7731070076478104</v>
      </c>
    </row>
    <row r="1288" spans="1:5">
      <c r="A1288" s="284">
        <f t="shared" si="1011"/>
        <v>1220</v>
      </c>
      <c r="B1288" s="285">
        <v>1.2711616997232129</v>
      </c>
      <c r="C1288" s="285">
        <v>2.8792131894268498</v>
      </c>
      <c r="D1288" s="285">
        <v>1.2845130544942809</v>
      </c>
      <c r="E1288" s="285">
        <v>-0.58397448007306663</v>
      </c>
    </row>
    <row r="1289" spans="1:5">
      <c r="A1289" s="284">
        <f t="shared" si="1011"/>
        <v>1221</v>
      </c>
      <c r="B1289" s="285">
        <v>1.9955126773164653</v>
      </c>
      <c r="C1289" s="285">
        <v>2.5346185235337426</v>
      </c>
      <c r="D1289" s="285">
        <v>1.3651329720378351</v>
      </c>
      <c r="E1289" s="285">
        <v>-9.3676801350768262</v>
      </c>
    </row>
    <row r="1290" spans="1:5">
      <c r="A1290" s="284">
        <f t="shared" si="1011"/>
        <v>1222</v>
      </c>
      <c r="B1290" s="285">
        <v>0.18381600152571917</v>
      </c>
      <c r="C1290" s="285">
        <v>2.7376031029862737</v>
      </c>
      <c r="D1290" s="285">
        <v>-0.29738488879092939</v>
      </c>
      <c r="E1290" s="285">
        <v>-5.0576461255817442</v>
      </c>
    </row>
    <row r="1291" spans="1:5">
      <c r="A1291" s="284">
        <f t="shared" si="1011"/>
        <v>1223</v>
      </c>
      <c r="B1291" s="285">
        <v>1.492071296170258</v>
      </c>
      <c r="C1291" s="285">
        <v>2.4659554059026254</v>
      </c>
      <c r="D1291" s="285">
        <v>0.10149599169132939</v>
      </c>
      <c r="E1291" s="285">
        <v>-7.530206407144016</v>
      </c>
    </row>
    <row r="1292" spans="1:5">
      <c r="A1292" s="284">
        <f t="shared" si="1011"/>
        <v>1224</v>
      </c>
      <c r="B1292" s="285">
        <v>5.7335709854291789E-2</v>
      </c>
      <c r="C1292" s="285">
        <v>2.7896895730924389</v>
      </c>
      <c r="D1292" s="285">
        <v>0.94187629081660051</v>
      </c>
      <c r="E1292" s="285">
        <v>1.5942905872162787</v>
      </c>
    </row>
    <row r="1293" spans="1:5">
      <c r="A1293" s="284">
        <f t="shared" si="1011"/>
        <v>1225</v>
      </c>
      <c r="B1293" s="285">
        <v>2.2634730368212348</v>
      </c>
      <c r="C1293" s="285">
        <v>2.3730847187464734</v>
      </c>
      <c r="D1293" s="285">
        <v>3.5604606735986035</v>
      </c>
      <c r="E1293" s="285">
        <v>-19.082017222108753</v>
      </c>
    </row>
    <row r="1294" spans="1:5">
      <c r="A1294" s="284">
        <f t="shared" si="1011"/>
        <v>1226</v>
      </c>
      <c r="B1294" s="285">
        <v>-2.5302139339114325</v>
      </c>
      <c r="C1294" s="285">
        <v>2.4820006890122603</v>
      </c>
      <c r="D1294" s="285">
        <v>1.2418546460625077</v>
      </c>
      <c r="E1294" s="285">
        <v>9.4471282362282771</v>
      </c>
    </row>
    <row r="1295" spans="1:5">
      <c r="A1295" s="284">
        <f t="shared" si="1011"/>
        <v>1227</v>
      </c>
      <c r="B1295" s="285">
        <v>-1.4198025222032493</v>
      </c>
      <c r="C1295" s="285">
        <v>2.1366194716730829</v>
      </c>
      <c r="D1295" s="285">
        <v>1.2581185260537877</v>
      </c>
      <c r="E1295" s="285">
        <v>0.5658169988171351</v>
      </c>
    </row>
    <row r="1296" spans="1:5">
      <c r="A1296" s="284">
        <f t="shared" si="1011"/>
        <v>1228</v>
      </c>
      <c r="B1296" s="285">
        <v>-5.5438870652813952</v>
      </c>
      <c r="C1296" s="285">
        <v>1.6387963674399346</v>
      </c>
      <c r="D1296" s="285">
        <v>-1.2734219117656607</v>
      </c>
      <c r="E1296" s="285">
        <v>-18.830023838119356</v>
      </c>
    </row>
    <row r="1297" spans="1:5">
      <c r="A1297" s="284">
        <f t="shared" si="1011"/>
        <v>1229</v>
      </c>
      <c r="B1297" s="285">
        <v>2.4223232578150604</v>
      </c>
      <c r="C1297" s="285">
        <v>2.2881919582323982</v>
      </c>
      <c r="D1297" s="285">
        <v>0.80981290350546709</v>
      </c>
      <c r="E1297" s="285">
        <v>-9.2319718484810007</v>
      </c>
    </row>
    <row r="1298" spans="1:5">
      <c r="A1298" s="284">
        <f t="shared" si="1011"/>
        <v>1230</v>
      </c>
      <c r="B1298" s="285">
        <v>1.2332584787032919</v>
      </c>
      <c r="C1298" s="285">
        <v>3.5272475092240296</v>
      </c>
      <c r="D1298" s="285">
        <v>0.81442760940677172</v>
      </c>
      <c r="E1298" s="285">
        <v>11.645124344243987</v>
      </c>
    </row>
    <row r="1299" spans="1:5">
      <c r="A1299" s="284">
        <f t="shared" si="1011"/>
        <v>1231</v>
      </c>
      <c r="B1299" s="285">
        <v>-1.5199149562199843</v>
      </c>
      <c r="C1299" s="285">
        <v>1.8515494150210385</v>
      </c>
      <c r="D1299" s="285">
        <v>0.29875224379263354</v>
      </c>
      <c r="E1299" s="285">
        <v>-13.384380853537216</v>
      </c>
    </row>
    <row r="1300" spans="1:5">
      <c r="A1300" s="284">
        <f t="shared" si="1011"/>
        <v>1232</v>
      </c>
      <c r="B1300" s="285">
        <v>-1.1216905531520334</v>
      </c>
      <c r="C1300" s="285">
        <v>3.0575448659297519</v>
      </c>
      <c r="D1300" s="285">
        <v>1.751833901763024</v>
      </c>
      <c r="E1300" s="285">
        <v>4.7876538208456481</v>
      </c>
    </row>
    <row r="1301" spans="1:5">
      <c r="A1301" s="284">
        <f t="shared" si="1011"/>
        <v>1233</v>
      </c>
      <c r="B1301" s="285">
        <v>0.90846853563111474</v>
      </c>
      <c r="C1301" s="285">
        <v>2.6271456390712666</v>
      </c>
      <c r="D1301" s="285">
        <v>-8.6713179507063032E-3</v>
      </c>
      <c r="E1301" s="285">
        <v>1.1057479136078077</v>
      </c>
    </row>
    <row r="1302" spans="1:5">
      <c r="A1302" s="284">
        <f t="shared" si="1011"/>
        <v>1234</v>
      </c>
      <c r="B1302" s="285">
        <v>-3.6403889262849618</v>
      </c>
      <c r="C1302" s="285">
        <v>2.0872816435486343</v>
      </c>
      <c r="D1302" s="285">
        <v>1.2990474605817059</v>
      </c>
      <c r="E1302" s="285">
        <v>-1.9860758489548966</v>
      </c>
    </row>
    <row r="1303" spans="1:5">
      <c r="A1303" s="284">
        <f t="shared" si="1011"/>
        <v>1235</v>
      </c>
      <c r="B1303" s="285">
        <v>-1.2939986759894375</v>
      </c>
      <c r="C1303" s="285">
        <v>2.6941112099778102</v>
      </c>
      <c r="D1303" s="285">
        <v>-0.39770784814006133</v>
      </c>
      <c r="E1303" s="285">
        <v>7.1407364078810218</v>
      </c>
    </row>
    <row r="1304" spans="1:5">
      <c r="A1304" s="284">
        <f t="shared" si="1011"/>
        <v>1236</v>
      </c>
      <c r="B1304" s="285">
        <v>0.76881258401865638</v>
      </c>
      <c r="C1304" s="285">
        <v>2.3887439939485899</v>
      </c>
      <c r="D1304" s="285">
        <v>1.1944739126214319</v>
      </c>
      <c r="E1304" s="285">
        <v>1.4063729372216991</v>
      </c>
    </row>
    <row r="1305" spans="1:5">
      <c r="A1305" s="284">
        <f t="shared" si="1011"/>
        <v>1237</v>
      </c>
      <c r="B1305" s="285">
        <v>-4.9826288595944002</v>
      </c>
      <c r="C1305" s="285">
        <v>2.3410837446576767</v>
      </c>
      <c r="D1305" s="285">
        <v>0.43421970755773021</v>
      </c>
      <c r="E1305" s="285">
        <v>12.994528214419873</v>
      </c>
    </row>
    <row r="1306" spans="1:5">
      <c r="A1306" s="284">
        <f t="shared" si="1011"/>
        <v>1238</v>
      </c>
      <c r="B1306" s="285">
        <v>-0.43021453756654465</v>
      </c>
      <c r="C1306" s="285">
        <v>2.5457582580165825</v>
      </c>
      <c r="D1306" s="285">
        <v>1.135163898546695</v>
      </c>
      <c r="E1306" s="285">
        <v>0.82537905299219094</v>
      </c>
    </row>
    <row r="1307" spans="1:5">
      <c r="A1307" s="284">
        <f t="shared" si="1011"/>
        <v>1239</v>
      </c>
      <c r="B1307" s="285">
        <v>-1.5797087521827704</v>
      </c>
      <c r="C1307" s="285">
        <v>3.17328023500311</v>
      </c>
      <c r="D1307" s="285">
        <v>-0.66116078919691512</v>
      </c>
      <c r="E1307" s="285">
        <v>7.6108675255356513</v>
      </c>
    </row>
    <row r="1308" spans="1:5">
      <c r="A1308" s="284">
        <f t="shared" si="1011"/>
        <v>1240</v>
      </c>
      <c r="B1308" s="285">
        <v>0.91813599153569048</v>
      </c>
      <c r="C1308" s="285">
        <v>2.4508514688270129</v>
      </c>
      <c r="D1308" s="285">
        <v>1.5163935426471833</v>
      </c>
      <c r="E1308" s="285">
        <v>0.15676446171328262</v>
      </c>
    </row>
    <row r="1309" spans="1:5">
      <c r="A1309" s="284">
        <f t="shared" si="1011"/>
        <v>1241</v>
      </c>
      <c r="B1309" s="285">
        <v>-1.2098923885204043</v>
      </c>
      <c r="C1309" s="285">
        <v>1.9649926642833868</v>
      </c>
      <c r="D1309" s="285">
        <v>-0.34555277116359928</v>
      </c>
      <c r="E1309" s="285">
        <v>-16.662503734870509</v>
      </c>
    </row>
    <row r="1310" spans="1:5">
      <c r="A1310" s="284">
        <f t="shared" si="1011"/>
        <v>1242</v>
      </c>
      <c r="B1310" s="285">
        <v>8.0516530296284569E-2</v>
      </c>
      <c r="C1310" s="285">
        <v>1.8859861830332918</v>
      </c>
      <c r="D1310" s="285">
        <v>1.764807916566256</v>
      </c>
      <c r="E1310" s="285">
        <v>-10.35115843188926</v>
      </c>
    </row>
    <row r="1311" spans="1:5">
      <c r="A1311" s="284">
        <f t="shared" si="1011"/>
        <v>1243</v>
      </c>
      <c r="B1311" s="285">
        <v>0.75903535045051862</v>
      </c>
      <c r="C1311" s="285">
        <v>2.216261759066545</v>
      </c>
      <c r="D1311" s="285">
        <v>2.053976934752225</v>
      </c>
      <c r="E1311" s="285">
        <v>-5.2068114176446905</v>
      </c>
    </row>
    <row r="1312" spans="1:5">
      <c r="A1312" s="284">
        <f t="shared" si="1011"/>
        <v>1244</v>
      </c>
      <c r="B1312" s="285">
        <v>-2.2576080744101787</v>
      </c>
      <c r="C1312" s="285">
        <v>2.7001847401750534</v>
      </c>
      <c r="D1312" s="285">
        <v>-0.24652220379024103</v>
      </c>
      <c r="E1312" s="285">
        <v>16.676066677786597</v>
      </c>
    </row>
    <row r="1313" spans="1:5">
      <c r="A1313" s="284">
        <f t="shared" si="1011"/>
        <v>1245</v>
      </c>
      <c r="B1313" s="285">
        <v>1.0247867856563926</v>
      </c>
      <c r="C1313" s="285">
        <v>3.6292210630942905</v>
      </c>
      <c r="D1313" s="285">
        <v>1.5094425107749623</v>
      </c>
      <c r="E1313" s="285">
        <v>20.204609652892081</v>
      </c>
    </row>
    <row r="1314" spans="1:5">
      <c r="A1314" s="284">
        <f t="shared" si="1011"/>
        <v>1246</v>
      </c>
      <c r="B1314" s="285">
        <v>-0.40449399701628619</v>
      </c>
      <c r="C1314" s="285">
        <v>2.1891978254218252</v>
      </c>
      <c r="D1314" s="285">
        <v>0.52625480643343259</v>
      </c>
      <c r="E1314" s="285">
        <v>-2.4339301552389698</v>
      </c>
    </row>
    <row r="1315" spans="1:5">
      <c r="A1315" s="284">
        <f t="shared" si="1011"/>
        <v>1247</v>
      </c>
      <c r="B1315" s="285">
        <v>1.2754032644568525</v>
      </c>
      <c r="C1315" s="285">
        <v>2.9839801107335466</v>
      </c>
      <c r="D1315" s="285">
        <v>-0.25117035298992896</v>
      </c>
      <c r="E1315" s="285">
        <v>-3.2443622282389986</v>
      </c>
    </row>
    <row r="1316" spans="1:5">
      <c r="A1316" s="284">
        <f t="shared" si="1011"/>
        <v>1248</v>
      </c>
      <c r="B1316" s="285">
        <v>1.1372935360698906</v>
      </c>
      <c r="C1316" s="285">
        <v>2.6342411822974707</v>
      </c>
      <c r="D1316" s="285">
        <v>0.73696809637226557</v>
      </c>
      <c r="E1316" s="285">
        <v>-0.76883555063215558</v>
      </c>
    </row>
    <row r="1317" spans="1:5">
      <c r="A1317" s="284">
        <f t="shared" si="1011"/>
        <v>1249</v>
      </c>
      <c r="B1317" s="285">
        <v>-0.20389512411352242</v>
      </c>
      <c r="C1317" s="285">
        <v>2.7759681684896984</v>
      </c>
      <c r="D1317" s="285">
        <v>2.7705143767671725</v>
      </c>
      <c r="E1317" s="285">
        <v>6.4365592997198995</v>
      </c>
    </row>
    <row r="1318" spans="1:5">
      <c r="A1318" s="284">
        <f t="shared" si="1011"/>
        <v>1250</v>
      </c>
      <c r="B1318" s="285">
        <v>0.45422206003763876</v>
      </c>
      <c r="C1318" s="285">
        <v>2.3927573544533032</v>
      </c>
      <c r="D1318" s="285">
        <v>2.2167919441494117</v>
      </c>
      <c r="E1318" s="285">
        <v>0.56764103003810051</v>
      </c>
    </row>
    <row r="1319" spans="1:5">
      <c r="A1319" s="284">
        <f t="shared" si="1011"/>
        <v>1251</v>
      </c>
      <c r="B1319" s="285">
        <v>1.6997735085935837</v>
      </c>
      <c r="C1319" s="285">
        <v>3.1067872774810406</v>
      </c>
      <c r="D1319" s="285">
        <v>0.27158252412094852</v>
      </c>
      <c r="E1319" s="285">
        <v>3.3431478143362807</v>
      </c>
    </row>
    <row r="1320" spans="1:5">
      <c r="A1320" s="284">
        <f t="shared" si="1011"/>
        <v>1252</v>
      </c>
      <c r="B1320" s="285">
        <v>-1.5128713798557507</v>
      </c>
      <c r="C1320" s="285">
        <v>2.620082779524993</v>
      </c>
      <c r="D1320" s="285">
        <v>5.1419599883134293</v>
      </c>
      <c r="E1320" s="285">
        <v>-9.8627016128705733</v>
      </c>
    </row>
    <row r="1321" spans="1:5">
      <c r="A1321" s="284">
        <f t="shared" si="1011"/>
        <v>1253</v>
      </c>
      <c r="B1321" s="285">
        <v>3.114509269720481</v>
      </c>
      <c r="C1321" s="285">
        <v>2.7069339823119938</v>
      </c>
      <c r="D1321" s="285">
        <v>1.5592443350748229</v>
      </c>
      <c r="E1321" s="285">
        <v>-0.60677251407935495</v>
      </c>
    </row>
    <row r="1322" spans="1:5">
      <c r="A1322" s="284">
        <f t="shared" si="1011"/>
        <v>1254</v>
      </c>
      <c r="B1322" s="285">
        <v>0.55119375209952814</v>
      </c>
      <c r="C1322" s="285">
        <v>1.9542006126528038</v>
      </c>
      <c r="D1322" s="285">
        <v>3.7257903601651416</v>
      </c>
      <c r="E1322" s="285">
        <v>-27.305866252117948</v>
      </c>
    </row>
    <row r="1323" spans="1:5">
      <c r="A1323" s="284">
        <f t="shared" si="1011"/>
        <v>1255</v>
      </c>
      <c r="B1323" s="285">
        <v>-1.531231393678548</v>
      </c>
      <c r="C1323" s="285">
        <v>2.1468192048427062</v>
      </c>
      <c r="D1323" s="285">
        <v>0.21508991727044602</v>
      </c>
      <c r="E1323" s="285">
        <v>-19.733718639936363</v>
      </c>
    </row>
    <row r="1324" spans="1:5">
      <c r="A1324" s="284">
        <f t="shared" si="1011"/>
        <v>1256</v>
      </c>
      <c r="B1324" s="285">
        <v>1.5308650032412128</v>
      </c>
      <c r="C1324" s="285">
        <v>2.9179202850257142</v>
      </c>
      <c r="D1324" s="285">
        <v>3.2213476346006522</v>
      </c>
      <c r="E1324" s="285">
        <v>-5.2905565789239795</v>
      </c>
    </row>
    <row r="1325" spans="1:5">
      <c r="A1325" s="284">
        <f t="shared" si="1011"/>
        <v>1257</v>
      </c>
      <c r="B1325" s="285">
        <v>-3.5809331804512294</v>
      </c>
      <c r="C1325" s="285">
        <v>1.5359138470891318</v>
      </c>
      <c r="D1325" s="285">
        <v>1.3530547085805762</v>
      </c>
      <c r="E1325" s="285">
        <v>-17.110119649499556</v>
      </c>
    </row>
    <row r="1326" spans="1:5">
      <c r="A1326" s="284">
        <f t="shared" si="1011"/>
        <v>1258</v>
      </c>
      <c r="B1326" s="285">
        <v>3.5527561080396168</v>
      </c>
      <c r="C1326" s="285">
        <v>3.5018133100721842</v>
      </c>
      <c r="D1326" s="285">
        <v>0.26373118700059839</v>
      </c>
      <c r="E1326" s="285">
        <v>7.4284133427083265</v>
      </c>
    </row>
    <row r="1327" spans="1:5">
      <c r="A1327" s="284">
        <f t="shared" si="1011"/>
        <v>1259</v>
      </c>
      <c r="B1327" s="285">
        <v>-1.0450535249286248</v>
      </c>
      <c r="C1327" s="285">
        <v>2.5776537414762544</v>
      </c>
      <c r="D1327" s="285">
        <v>-0.20001725062132936</v>
      </c>
      <c r="E1327" s="285">
        <v>0.30046838478252047</v>
      </c>
    </row>
    <row r="1328" spans="1:5">
      <c r="A1328" s="284">
        <f t="shared" si="1011"/>
        <v>1260</v>
      </c>
      <c r="B1328" s="285">
        <v>-2.6719401183123499</v>
      </c>
      <c r="C1328" s="285">
        <v>3.4468984971536116</v>
      </c>
      <c r="D1328" s="285">
        <v>-0.53022818356002777</v>
      </c>
      <c r="E1328" s="285">
        <v>18.438190993698825</v>
      </c>
    </row>
    <row r="1329" spans="1:5">
      <c r="A1329" s="284">
        <f t="shared" si="1011"/>
        <v>1261</v>
      </c>
      <c r="B1329" s="285">
        <v>0.33275648519501516</v>
      </c>
      <c r="C1329" s="285">
        <v>2.6058592686030453</v>
      </c>
      <c r="D1329" s="285">
        <v>-0.43562004369881224</v>
      </c>
      <c r="E1329" s="285">
        <v>-7.8837813276171467</v>
      </c>
    </row>
    <row r="1330" spans="1:5">
      <c r="A1330" s="284">
        <f t="shared" si="1011"/>
        <v>1262</v>
      </c>
      <c r="B1330" s="285">
        <v>-1.6657447930441796</v>
      </c>
      <c r="C1330" s="285">
        <v>2.3449509930294559</v>
      </c>
      <c r="D1330" s="285">
        <v>-0.5683649126857846</v>
      </c>
      <c r="E1330" s="285">
        <v>1.4053652594038124</v>
      </c>
    </row>
    <row r="1331" spans="1:5">
      <c r="A1331" s="284">
        <f t="shared" si="1011"/>
        <v>1263</v>
      </c>
      <c r="B1331" s="285">
        <v>1.7512708059197159E-2</v>
      </c>
      <c r="C1331" s="285">
        <v>3.058106688133591</v>
      </c>
      <c r="D1331" s="285">
        <v>0.64608435638603456</v>
      </c>
      <c r="E1331" s="285">
        <v>3.0980026954382027</v>
      </c>
    </row>
    <row r="1332" spans="1:5">
      <c r="A1332" s="284">
        <f t="shared" si="1011"/>
        <v>1264</v>
      </c>
      <c r="B1332" s="285">
        <v>-1.25730595586267</v>
      </c>
      <c r="C1332" s="285">
        <v>1.8692186145727887</v>
      </c>
      <c r="D1332" s="285">
        <v>-0.92156779523498544</v>
      </c>
      <c r="E1332" s="285">
        <v>-9.2368459071021558</v>
      </c>
    </row>
    <row r="1333" spans="1:5">
      <c r="A1333" s="284">
        <f t="shared" si="1011"/>
        <v>1265</v>
      </c>
      <c r="B1333" s="285">
        <v>-3.8315932315880619</v>
      </c>
      <c r="C1333" s="285">
        <v>2.3882922206218122</v>
      </c>
      <c r="D1333" s="285">
        <v>1.0983166171319114</v>
      </c>
      <c r="E1333" s="285">
        <v>-3.5113691904400159</v>
      </c>
    </row>
    <row r="1334" spans="1:5">
      <c r="A1334" s="284">
        <f t="shared" si="1011"/>
        <v>1266</v>
      </c>
      <c r="B1334" s="285">
        <v>0.7341954115842021</v>
      </c>
      <c r="C1334" s="285">
        <v>2.6524851432561785</v>
      </c>
      <c r="D1334" s="285">
        <v>0.52602122989154099</v>
      </c>
      <c r="E1334" s="285">
        <v>2.6713064909349913</v>
      </c>
    </row>
    <row r="1335" spans="1:5">
      <c r="A1335" s="284">
        <f t="shared" si="1011"/>
        <v>1267</v>
      </c>
      <c r="B1335" s="285">
        <v>-4.1508454835874099E-3</v>
      </c>
      <c r="C1335" s="285">
        <v>2.4928843506335618</v>
      </c>
      <c r="D1335" s="285">
        <v>0.79381073265468283</v>
      </c>
      <c r="E1335" s="285">
        <v>-6.7738601317827367</v>
      </c>
    </row>
    <row r="1336" spans="1:5">
      <c r="A1336" s="284">
        <f t="shared" si="1011"/>
        <v>1268</v>
      </c>
      <c r="B1336" s="285">
        <v>0.50354384485946879</v>
      </c>
      <c r="C1336" s="285">
        <v>3.0990065807207823</v>
      </c>
      <c r="D1336" s="285">
        <v>1.1645139399418114</v>
      </c>
      <c r="E1336" s="285">
        <v>-3.4469836841641377</v>
      </c>
    </row>
    <row r="1337" spans="1:5">
      <c r="A1337" s="284">
        <f t="shared" si="1011"/>
        <v>1269</v>
      </c>
      <c r="B1337" s="285">
        <v>-5.111353120222107E-2</v>
      </c>
      <c r="C1337" s="285">
        <v>3.1697821815371534</v>
      </c>
      <c r="D1337" s="285">
        <v>1.3220034512041352</v>
      </c>
      <c r="E1337" s="285">
        <v>0.72313289877632103</v>
      </c>
    </row>
    <row r="1338" spans="1:5">
      <c r="A1338" s="284">
        <f t="shared" si="1011"/>
        <v>1270</v>
      </c>
      <c r="B1338" s="285">
        <v>-2.9540629627151382</v>
      </c>
      <c r="C1338" s="285">
        <v>1.5633485015940785</v>
      </c>
      <c r="D1338" s="285">
        <v>0.66926023174823768</v>
      </c>
      <c r="E1338" s="285">
        <v>-8.7172317310340084</v>
      </c>
    </row>
    <row r="1339" spans="1:5">
      <c r="A1339" s="284">
        <f t="shared" si="1011"/>
        <v>1271</v>
      </c>
      <c r="B1339" s="285">
        <v>0.78475546414281272</v>
      </c>
      <c r="C1339" s="285">
        <v>1.958977124142038</v>
      </c>
      <c r="D1339" s="285">
        <v>0.59446681458390316</v>
      </c>
      <c r="E1339" s="285">
        <v>-17.028283809099662</v>
      </c>
    </row>
    <row r="1340" spans="1:5">
      <c r="A1340" s="284">
        <f t="shared" si="1011"/>
        <v>1272</v>
      </c>
      <c r="B1340" s="285">
        <v>2.2386251663092205</v>
      </c>
      <c r="C1340" s="285">
        <v>2.6296297690254296</v>
      </c>
      <c r="D1340" s="285">
        <v>0.46799171629293435</v>
      </c>
      <c r="E1340" s="285">
        <v>2.9311165342742673</v>
      </c>
    </row>
    <row r="1341" spans="1:5">
      <c r="A1341" s="284">
        <f t="shared" si="1011"/>
        <v>1273</v>
      </c>
      <c r="B1341" s="285">
        <v>-0.58923169430378852</v>
      </c>
      <c r="C1341" s="285">
        <v>2.3248695116670985</v>
      </c>
      <c r="D1341" s="285">
        <v>-6.8908955105979608E-2</v>
      </c>
      <c r="E1341" s="285">
        <v>-14.435194542982414</v>
      </c>
    </row>
    <row r="1342" spans="1:5">
      <c r="A1342" s="284">
        <f t="shared" si="1011"/>
        <v>1274</v>
      </c>
      <c r="B1342" s="285">
        <v>0.91382794044754767</v>
      </c>
      <c r="C1342" s="285">
        <v>2.4270366223798927</v>
      </c>
      <c r="D1342" s="285">
        <v>0.90035380822352074</v>
      </c>
      <c r="E1342" s="285">
        <v>-10.020163074325851</v>
      </c>
    </row>
    <row r="1343" spans="1:5">
      <c r="A1343" s="284">
        <f t="shared" si="1011"/>
        <v>1275</v>
      </c>
      <c r="B1343" s="285">
        <v>-3.1405149757757567</v>
      </c>
      <c r="C1343" s="285">
        <v>2.7975326590578891</v>
      </c>
      <c r="D1343" s="285">
        <v>1.1090835700751089E-2</v>
      </c>
      <c r="E1343" s="285">
        <v>20.22458137604022</v>
      </c>
    </row>
    <row r="1344" spans="1:5">
      <c r="A1344" s="284">
        <f t="shared" si="1011"/>
        <v>1276</v>
      </c>
      <c r="B1344" s="285">
        <v>1.2145868839215754</v>
      </c>
      <c r="C1344" s="285">
        <v>2.3743185233520743</v>
      </c>
      <c r="D1344" s="285">
        <v>0.53644916737385984</v>
      </c>
      <c r="E1344" s="285">
        <v>-8.4832392780273462</v>
      </c>
    </row>
    <row r="1345" spans="1:5">
      <c r="A1345" s="284">
        <f t="shared" si="1011"/>
        <v>1277</v>
      </c>
      <c r="B1345" s="285">
        <v>-2.0145939440644023</v>
      </c>
      <c r="C1345" s="285">
        <v>2.2379702931731971</v>
      </c>
      <c r="D1345" s="285">
        <v>0.33851202004336411</v>
      </c>
      <c r="E1345" s="285">
        <v>2.1388647028232044</v>
      </c>
    </row>
    <row r="1346" spans="1:5">
      <c r="A1346" s="284">
        <f t="shared" si="1011"/>
        <v>1278</v>
      </c>
      <c r="B1346" s="285">
        <v>1.4755201614962195</v>
      </c>
      <c r="C1346" s="285">
        <v>2.4812569235608546</v>
      </c>
      <c r="D1346" s="285">
        <v>1.1227100695499475</v>
      </c>
      <c r="E1346" s="285">
        <v>-9.3620611607811828</v>
      </c>
    </row>
    <row r="1347" spans="1:5">
      <c r="A1347" s="284">
        <f t="shared" si="1011"/>
        <v>1279</v>
      </c>
      <c r="B1347" s="285">
        <v>2.2766939179583514</v>
      </c>
      <c r="C1347" s="285">
        <v>2.5247009692953557</v>
      </c>
      <c r="D1347" s="285">
        <v>1.5927258900239525</v>
      </c>
      <c r="E1347" s="285">
        <v>-12.608759986808789</v>
      </c>
    </row>
    <row r="1348" spans="1:5">
      <c r="A1348" s="284">
        <f t="shared" si="1011"/>
        <v>1280</v>
      </c>
      <c r="B1348" s="285">
        <v>-2.0181132671076418</v>
      </c>
      <c r="C1348" s="285">
        <v>1.66942697663035</v>
      </c>
      <c r="D1348" s="285">
        <v>1.510777844356515</v>
      </c>
      <c r="E1348" s="285">
        <v>-13.992754153033657</v>
      </c>
    </row>
    <row r="1349" spans="1:5">
      <c r="A1349" s="284">
        <f t="shared" si="1011"/>
        <v>1281</v>
      </c>
      <c r="B1349" s="285">
        <v>1.2031240359697237</v>
      </c>
      <c r="C1349" s="285">
        <v>2.3363644441001341</v>
      </c>
      <c r="D1349" s="285">
        <v>-0.86077512488849983</v>
      </c>
      <c r="E1349" s="285">
        <v>-4.2662743544821842</v>
      </c>
    </row>
    <row r="1350" spans="1:5">
      <c r="A1350" s="284">
        <f t="shared" si="1011"/>
        <v>1282</v>
      </c>
      <c r="B1350" s="285">
        <v>-2.2506465023047788</v>
      </c>
      <c r="C1350" s="285">
        <v>2.3910985996623024</v>
      </c>
      <c r="D1350" s="285">
        <v>0.14703026992826151</v>
      </c>
      <c r="E1350" s="285">
        <v>-12.553024183593614</v>
      </c>
    </row>
    <row r="1351" spans="1:5">
      <c r="A1351" s="284">
        <f t="shared" ref="A1351:A1414" si="1012">A1350+1</f>
        <v>1283</v>
      </c>
      <c r="B1351" s="285">
        <v>-2.6251140430300763</v>
      </c>
      <c r="C1351" s="285">
        <v>2.1094570285225198</v>
      </c>
      <c r="D1351" s="285">
        <v>2.4564228657210725</v>
      </c>
      <c r="E1351" s="285">
        <v>-7.9312340176653251</v>
      </c>
    </row>
    <row r="1352" spans="1:5">
      <c r="A1352" s="284">
        <f t="shared" si="1012"/>
        <v>1284</v>
      </c>
      <c r="B1352" s="285">
        <v>-4.6902323117801519</v>
      </c>
      <c r="C1352" s="285">
        <v>2.4649651430739707</v>
      </c>
      <c r="D1352" s="285">
        <v>3.2297359741128542</v>
      </c>
      <c r="E1352" s="285">
        <v>-0.79402363377353691</v>
      </c>
    </row>
    <row r="1353" spans="1:5">
      <c r="A1353" s="284">
        <f t="shared" si="1012"/>
        <v>1285</v>
      </c>
      <c r="B1353" s="285">
        <v>-0.6972855127295573</v>
      </c>
      <c r="C1353" s="285">
        <v>2.3429514552163178</v>
      </c>
      <c r="D1353" s="285">
        <v>0.2294523923049735</v>
      </c>
      <c r="E1353" s="285">
        <v>-8.5445249310386195</v>
      </c>
    </row>
    <row r="1354" spans="1:5">
      <c r="A1354" s="284">
        <f t="shared" si="1012"/>
        <v>1286</v>
      </c>
      <c r="B1354" s="285">
        <v>-0.58613441574068703</v>
      </c>
      <c r="C1354" s="285">
        <v>2.197349888796305</v>
      </c>
      <c r="D1354" s="285">
        <v>1.9936911593701299</v>
      </c>
      <c r="E1354" s="285">
        <v>-1.7792947782869013</v>
      </c>
    </row>
    <row r="1355" spans="1:5">
      <c r="A1355" s="284">
        <f t="shared" si="1012"/>
        <v>1287</v>
      </c>
      <c r="B1355" s="285">
        <v>-1.0589385617795553</v>
      </c>
      <c r="C1355" s="285">
        <v>1.9784175128967478</v>
      </c>
      <c r="D1355" s="285">
        <v>2.0660394607493395</v>
      </c>
      <c r="E1355" s="285">
        <v>-18.870815940322093</v>
      </c>
    </row>
    <row r="1356" spans="1:5">
      <c r="A1356" s="284">
        <f t="shared" si="1012"/>
        <v>1288</v>
      </c>
      <c r="B1356" s="285">
        <v>-5.1107446543997552</v>
      </c>
      <c r="C1356" s="285">
        <v>2.1486723501264295</v>
      </c>
      <c r="D1356" s="285">
        <v>0.30891042633841581</v>
      </c>
      <c r="E1356" s="285">
        <v>-7.3487562264035926</v>
      </c>
    </row>
    <row r="1357" spans="1:5">
      <c r="A1357" s="284">
        <f t="shared" si="1012"/>
        <v>1289</v>
      </c>
      <c r="B1357" s="285">
        <v>4.3624717132380013</v>
      </c>
      <c r="C1357" s="285">
        <v>2.3744366188836641</v>
      </c>
      <c r="D1357" s="285">
        <v>4.60990489405342</v>
      </c>
      <c r="E1357" s="285">
        <v>-12.689781437029389</v>
      </c>
    </row>
    <row r="1358" spans="1:5">
      <c r="A1358" s="284">
        <f t="shared" si="1012"/>
        <v>1290</v>
      </c>
      <c r="B1358" s="285">
        <v>0.89878800249235102</v>
      </c>
      <c r="C1358" s="285">
        <v>2.6469939475152269</v>
      </c>
      <c r="D1358" s="285">
        <v>2.6812273540285458</v>
      </c>
      <c r="E1358" s="285">
        <v>-2.1201902009061504</v>
      </c>
    </row>
    <row r="1359" spans="1:5">
      <c r="A1359" s="284">
        <f t="shared" si="1012"/>
        <v>1291</v>
      </c>
      <c r="B1359" s="285">
        <v>3.6118159560843157</v>
      </c>
      <c r="C1359" s="285">
        <v>3.7736537738419802</v>
      </c>
      <c r="D1359" s="285">
        <v>3.3827483729353993</v>
      </c>
      <c r="E1359" s="285">
        <v>19.461669370829146</v>
      </c>
    </row>
    <row r="1360" spans="1:5">
      <c r="A1360" s="284">
        <f t="shared" si="1012"/>
        <v>1292</v>
      </c>
      <c r="B1360" s="285">
        <v>-1.2870279084615404</v>
      </c>
      <c r="C1360" s="285">
        <v>2.4077409540251402</v>
      </c>
      <c r="D1360" s="285">
        <v>1.4425083377931536</v>
      </c>
      <c r="E1360" s="285">
        <v>-5.976838188067644</v>
      </c>
    </row>
    <row r="1361" spans="1:5">
      <c r="A1361" s="284">
        <f t="shared" si="1012"/>
        <v>1293</v>
      </c>
      <c r="B1361" s="285">
        <v>-0.12284947595203362</v>
      </c>
      <c r="C1361" s="285">
        <v>2.7692344399049897</v>
      </c>
      <c r="D1361" s="285">
        <v>0.68150199579814996</v>
      </c>
      <c r="E1361" s="285">
        <v>-5.1425790079845299</v>
      </c>
    </row>
    <row r="1362" spans="1:5">
      <c r="A1362" s="284">
        <f t="shared" si="1012"/>
        <v>1294</v>
      </c>
      <c r="B1362" s="285">
        <v>-1.3332708189743465</v>
      </c>
      <c r="C1362" s="285">
        <v>2.9577699333100873</v>
      </c>
      <c r="D1362" s="285">
        <v>0.88387482838712539</v>
      </c>
      <c r="E1362" s="285">
        <v>9.5105889427329373</v>
      </c>
    </row>
    <row r="1363" spans="1:5">
      <c r="A1363" s="284">
        <f t="shared" si="1012"/>
        <v>1295</v>
      </c>
      <c r="B1363" s="285">
        <v>-2.0416016172257212</v>
      </c>
      <c r="C1363" s="285">
        <v>2.1062691488150977</v>
      </c>
      <c r="D1363" s="285">
        <v>-1.3560390149019375</v>
      </c>
      <c r="E1363" s="285">
        <v>-1.7952179164829363</v>
      </c>
    </row>
    <row r="1364" spans="1:5">
      <c r="A1364" s="284">
        <f t="shared" si="1012"/>
        <v>1296</v>
      </c>
      <c r="B1364" s="285">
        <v>-1.2306478702639001</v>
      </c>
      <c r="C1364" s="285">
        <v>1.5429604150024305</v>
      </c>
      <c r="D1364" s="285">
        <v>-0.159994304410366</v>
      </c>
      <c r="E1364" s="285">
        <v>-9.0938943719439642</v>
      </c>
    </row>
    <row r="1365" spans="1:5">
      <c r="A1365" s="284">
        <f t="shared" si="1012"/>
        <v>1297</v>
      </c>
      <c r="B1365" s="285">
        <v>-0.13355535746134889</v>
      </c>
      <c r="C1365" s="285">
        <v>1.3670446650195034</v>
      </c>
      <c r="D1365" s="285">
        <v>5.4615447798478058</v>
      </c>
      <c r="E1365" s="285">
        <v>-32.305751635396739</v>
      </c>
    </row>
    <row r="1366" spans="1:5">
      <c r="A1366" s="284">
        <f t="shared" si="1012"/>
        <v>1298</v>
      </c>
      <c r="B1366" s="285">
        <v>2.5839354726356611</v>
      </c>
      <c r="C1366" s="285">
        <v>2.7291480553752114</v>
      </c>
      <c r="D1366" s="285">
        <v>2.0470928325935409</v>
      </c>
      <c r="E1366" s="285">
        <v>-3.9353952653912785</v>
      </c>
    </row>
    <row r="1367" spans="1:5">
      <c r="A1367" s="284">
        <f t="shared" si="1012"/>
        <v>1299</v>
      </c>
      <c r="B1367" s="285">
        <v>4.2164547131859766</v>
      </c>
      <c r="C1367" s="285">
        <v>3.0617826832861059</v>
      </c>
      <c r="D1367" s="285">
        <v>1.0076518085838388</v>
      </c>
      <c r="E1367" s="285">
        <v>-0.58707836590932017</v>
      </c>
    </row>
    <row r="1368" spans="1:5">
      <c r="A1368" s="284">
        <f t="shared" si="1012"/>
        <v>1300</v>
      </c>
      <c r="B1368" s="285">
        <v>0.24821987111468252</v>
      </c>
      <c r="C1368" s="285">
        <v>2.7408704727175173</v>
      </c>
      <c r="D1368" s="285">
        <v>3.5119550057229887E-3</v>
      </c>
      <c r="E1368" s="285">
        <v>-12.119707990455918</v>
      </c>
    </row>
    <row r="1369" spans="1:5">
      <c r="A1369" s="284">
        <f t="shared" si="1012"/>
        <v>1301</v>
      </c>
      <c r="B1369" s="285">
        <v>0.96534906725917602</v>
      </c>
      <c r="C1369" s="285">
        <v>2.118142072209483</v>
      </c>
      <c r="D1369" s="285">
        <v>0.81343582864096786</v>
      </c>
      <c r="E1369" s="285">
        <v>-18.964692550659493</v>
      </c>
    </row>
    <row r="1370" spans="1:5">
      <c r="A1370" s="284">
        <f t="shared" si="1012"/>
        <v>1302</v>
      </c>
      <c r="B1370" s="285">
        <v>-0.44447890102901444</v>
      </c>
      <c r="C1370" s="285">
        <v>2.2513241732073879</v>
      </c>
      <c r="D1370" s="285">
        <v>3.3607759069581649</v>
      </c>
      <c r="E1370" s="285">
        <v>-3.7183669126822729</v>
      </c>
    </row>
    <row r="1371" spans="1:5">
      <c r="A1371" s="284">
        <f t="shared" si="1012"/>
        <v>1303</v>
      </c>
      <c r="B1371" s="285">
        <v>0.17405131133005899</v>
      </c>
      <c r="C1371" s="285">
        <v>1.8670162739038298</v>
      </c>
      <c r="D1371" s="285">
        <v>2.2370192627759775</v>
      </c>
      <c r="E1371" s="285">
        <v>-21.748317878480517</v>
      </c>
    </row>
    <row r="1372" spans="1:5">
      <c r="A1372" s="284">
        <f t="shared" si="1012"/>
        <v>1304</v>
      </c>
      <c r="B1372" s="285">
        <v>3.805505954986192</v>
      </c>
      <c r="C1372" s="285">
        <v>3.2619108176321241</v>
      </c>
      <c r="D1372" s="285">
        <v>1.2792599084375305</v>
      </c>
      <c r="E1372" s="285">
        <v>10.47141357395372</v>
      </c>
    </row>
    <row r="1373" spans="1:5">
      <c r="A1373" s="284">
        <f t="shared" si="1012"/>
        <v>1305</v>
      </c>
      <c r="B1373" s="285">
        <v>0.55529010490526498</v>
      </c>
      <c r="C1373" s="285">
        <v>2.7595359007061866</v>
      </c>
      <c r="D1373" s="285">
        <v>0.22782224500885428</v>
      </c>
      <c r="E1373" s="285">
        <v>7.9792036806086646</v>
      </c>
    </row>
    <row r="1374" spans="1:5">
      <c r="A1374" s="284">
        <f t="shared" si="1012"/>
        <v>1306</v>
      </c>
      <c r="B1374" s="285">
        <v>-1.7801920719365285</v>
      </c>
      <c r="C1374" s="285">
        <v>2.6222410125719922</v>
      </c>
      <c r="D1374" s="285">
        <v>1.159370599819233</v>
      </c>
      <c r="E1374" s="285">
        <v>-1.2271000556980904</v>
      </c>
    </row>
    <row r="1375" spans="1:5">
      <c r="A1375" s="284">
        <f t="shared" si="1012"/>
        <v>1307</v>
      </c>
      <c r="B1375" s="285">
        <v>0.28377830167732104</v>
      </c>
      <c r="C1375" s="285">
        <v>2.8365636859028696</v>
      </c>
      <c r="D1375" s="285">
        <v>1.8020820429093529</v>
      </c>
      <c r="E1375" s="285">
        <v>8.993089075505349</v>
      </c>
    </row>
    <row r="1376" spans="1:5">
      <c r="A1376" s="284">
        <f t="shared" si="1012"/>
        <v>1308</v>
      </c>
      <c r="B1376" s="285">
        <v>5.3882119597736854E-3</v>
      </c>
      <c r="C1376" s="285">
        <v>2.539957756800312</v>
      </c>
      <c r="D1376" s="285">
        <v>3.5136641729794915</v>
      </c>
      <c r="E1376" s="285">
        <v>3.7293711930318971</v>
      </c>
    </row>
    <row r="1377" spans="1:5">
      <c r="A1377" s="284">
        <f t="shared" si="1012"/>
        <v>1309</v>
      </c>
      <c r="B1377" s="285">
        <v>-3.6184904844741013</v>
      </c>
      <c r="C1377" s="285">
        <v>2.0723077975981394</v>
      </c>
      <c r="D1377" s="285">
        <v>-0.30630405432536434</v>
      </c>
      <c r="E1377" s="285">
        <v>-10.569161621628364</v>
      </c>
    </row>
    <row r="1378" spans="1:5">
      <c r="A1378" s="284">
        <f t="shared" si="1012"/>
        <v>1310</v>
      </c>
      <c r="B1378" s="285">
        <v>-0.87818850622636291</v>
      </c>
      <c r="C1378" s="285">
        <v>1.9458896313901966</v>
      </c>
      <c r="D1378" s="285">
        <v>1.8917252079405109</v>
      </c>
      <c r="E1378" s="285">
        <v>-8.3791609805575842</v>
      </c>
    </row>
    <row r="1379" spans="1:5">
      <c r="A1379" s="284">
        <f t="shared" si="1012"/>
        <v>1311</v>
      </c>
      <c r="B1379" s="285">
        <v>0.19056254309743442</v>
      </c>
      <c r="C1379" s="285">
        <v>2.6035706765461528</v>
      </c>
      <c r="D1379" s="285">
        <v>0.44201352313326525</v>
      </c>
      <c r="E1379" s="285">
        <v>2.0018702785387421</v>
      </c>
    </row>
    <row r="1380" spans="1:5">
      <c r="A1380" s="284">
        <f t="shared" si="1012"/>
        <v>1312</v>
      </c>
      <c r="B1380" s="285">
        <v>2.8414883287740187</v>
      </c>
      <c r="C1380" s="285">
        <v>1.8920769289791668</v>
      </c>
      <c r="D1380" s="285">
        <v>0.83725619808266161</v>
      </c>
      <c r="E1380" s="285">
        <v>-27.374549367573589</v>
      </c>
    </row>
    <row r="1381" spans="1:5">
      <c r="A1381" s="284">
        <f t="shared" si="1012"/>
        <v>1313</v>
      </c>
      <c r="B1381" s="285">
        <v>-0.1948692778871231</v>
      </c>
      <c r="C1381" s="285">
        <v>2.5919960844142316</v>
      </c>
      <c r="D1381" s="285">
        <v>-0.52411340603559586</v>
      </c>
      <c r="E1381" s="285">
        <v>-2.312910589999289</v>
      </c>
    </row>
    <row r="1382" spans="1:5">
      <c r="A1382" s="284">
        <f t="shared" si="1012"/>
        <v>1314</v>
      </c>
      <c r="B1382" s="285">
        <v>1.9384673629432461</v>
      </c>
      <c r="C1382" s="285">
        <v>2.3340263174630409</v>
      </c>
      <c r="D1382" s="285">
        <v>0.7925186498787985</v>
      </c>
      <c r="E1382" s="285">
        <v>-7.0709044331906075</v>
      </c>
    </row>
    <row r="1383" spans="1:5">
      <c r="A1383" s="284">
        <f t="shared" si="1012"/>
        <v>1315</v>
      </c>
      <c r="B1383" s="285">
        <v>-1.8447152609889081</v>
      </c>
      <c r="C1383" s="285">
        <v>3.0015239469044248</v>
      </c>
      <c r="D1383" s="285">
        <v>-0.5293366973233411</v>
      </c>
      <c r="E1383" s="285">
        <v>9.0692580071051214</v>
      </c>
    </row>
    <row r="1384" spans="1:5">
      <c r="A1384" s="284">
        <f t="shared" si="1012"/>
        <v>1316</v>
      </c>
      <c r="B1384" s="285">
        <v>3.54569178032897</v>
      </c>
      <c r="C1384" s="285">
        <v>3.5089484187725821</v>
      </c>
      <c r="D1384" s="285">
        <v>1.0047192826221951</v>
      </c>
      <c r="E1384" s="285">
        <v>9.1995835250162834</v>
      </c>
    </row>
    <row r="1385" spans="1:5">
      <c r="A1385" s="284">
        <f t="shared" si="1012"/>
        <v>1317</v>
      </c>
      <c r="B1385" s="285">
        <v>2.7282306124003237</v>
      </c>
      <c r="C1385" s="285">
        <v>2.735400716763364</v>
      </c>
      <c r="D1385" s="285">
        <v>1.8176632090000062</v>
      </c>
      <c r="E1385" s="285">
        <v>-8.0269809037653843</v>
      </c>
    </row>
    <row r="1386" spans="1:5">
      <c r="A1386" s="284">
        <f t="shared" si="1012"/>
        <v>1318</v>
      </c>
      <c r="B1386" s="285">
        <v>-0.22230716490327868</v>
      </c>
      <c r="C1386" s="285">
        <v>1.9200723688116603</v>
      </c>
      <c r="D1386" s="285">
        <v>1.0972578659965502</v>
      </c>
      <c r="E1386" s="285">
        <v>-14.220456785745077</v>
      </c>
    </row>
    <row r="1387" spans="1:5">
      <c r="A1387" s="284">
        <f t="shared" si="1012"/>
        <v>1319</v>
      </c>
      <c r="B1387" s="285">
        <v>-2.1581156720798886</v>
      </c>
      <c r="C1387" s="285">
        <v>2.4626532978269022</v>
      </c>
      <c r="D1387" s="285">
        <v>0.36528017398636581</v>
      </c>
      <c r="E1387" s="285">
        <v>2.6989666122216325</v>
      </c>
    </row>
    <row r="1388" spans="1:5">
      <c r="A1388" s="284">
        <f t="shared" si="1012"/>
        <v>1320</v>
      </c>
      <c r="B1388" s="285">
        <v>3.1877006005145856</v>
      </c>
      <c r="C1388" s="285">
        <v>2.4859695545476708</v>
      </c>
      <c r="D1388" s="285">
        <v>1.7519399413882688</v>
      </c>
      <c r="E1388" s="285">
        <v>-7.1933474936599584</v>
      </c>
    </row>
    <row r="1389" spans="1:5">
      <c r="A1389" s="284">
        <f t="shared" si="1012"/>
        <v>1321</v>
      </c>
      <c r="B1389" s="285">
        <v>-0.71749882136718834</v>
      </c>
      <c r="C1389" s="285">
        <v>2.7283879327015468</v>
      </c>
      <c r="D1389" s="285">
        <v>0.95482905503187154</v>
      </c>
      <c r="E1389" s="285">
        <v>12.092741330095809</v>
      </c>
    </row>
    <row r="1390" spans="1:5">
      <c r="A1390" s="284">
        <f t="shared" si="1012"/>
        <v>1322</v>
      </c>
      <c r="B1390" s="285">
        <v>0.16679631483459006</v>
      </c>
      <c r="C1390" s="285">
        <v>3.3020712807888097</v>
      </c>
      <c r="D1390" s="285">
        <v>1.6774435443186024</v>
      </c>
      <c r="E1390" s="285">
        <v>18.51643594306379</v>
      </c>
    </row>
    <row r="1391" spans="1:5">
      <c r="A1391" s="284">
        <f t="shared" si="1012"/>
        <v>1323</v>
      </c>
      <c r="B1391" s="285">
        <v>0.48635194053358427</v>
      </c>
      <c r="C1391" s="285">
        <v>2.6105749746687339</v>
      </c>
      <c r="D1391" s="285">
        <v>0.50217242523049155</v>
      </c>
      <c r="E1391" s="285">
        <v>-4.1851024923893192</v>
      </c>
    </row>
    <row r="1392" spans="1:5">
      <c r="A1392" s="284">
        <f t="shared" si="1012"/>
        <v>1324</v>
      </c>
      <c r="B1392" s="285">
        <v>-2.6263249454880002</v>
      </c>
      <c r="C1392" s="285">
        <v>2.1724364322293268</v>
      </c>
      <c r="D1392" s="285">
        <v>-0.47195402035025635</v>
      </c>
      <c r="E1392" s="285">
        <v>-0.45636800420938117</v>
      </c>
    </row>
    <row r="1393" spans="1:5">
      <c r="A1393" s="284">
        <f t="shared" si="1012"/>
        <v>1325</v>
      </c>
      <c r="B1393" s="285">
        <v>-0.54523148284969858</v>
      </c>
      <c r="C1393" s="285">
        <v>2.6618378194430892</v>
      </c>
      <c r="D1393" s="285">
        <v>1.7973482359990482</v>
      </c>
      <c r="E1393" s="285">
        <v>-6.1064751064226988</v>
      </c>
    </row>
    <row r="1394" spans="1:5">
      <c r="A1394" s="284">
        <f t="shared" si="1012"/>
        <v>1326</v>
      </c>
      <c r="B1394" s="285">
        <v>-0.92869738900336107</v>
      </c>
      <c r="C1394" s="285">
        <v>3.2976196512227132</v>
      </c>
      <c r="D1394" s="285">
        <v>-0.61383699539546699</v>
      </c>
      <c r="E1394" s="285">
        <v>20.804411050078951</v>
      </c>
    </row>
    <row r="1395" spans="1:5">
      <c r="A1395" s="284">
        <f t="shared" si="1012"/>
        <v>1327</v>
      </c>
      <c r="B1395" s="285">
        <v>-2.3037449876732707</v>
      </c>
      <c r="C1395" s="285">
        <v>2.757173755016193</v>
      </c>
      <c r="D1395" s="285">
        <v>-0.96404411694716607</v>
      </c>
      <c r="E1395" s="285">
        <v>1.8715481060611605E-2</v>
      </c>
    </row>
    <row r="1396" spans="1:5">
      <c r="A1396" s="284">
        <f t="shared" si="1012"/>
        <v>1328</v>
      </c>
      <c r="B1396" s="285">
        <v>-0.23749648758164205</v>
      </c>
      <c r="C1396" s="285">
        <v>3.1056081531160014</v>
      </c>
      <c r="D1396" s="285">
        <v>1.3784025587555884</v>
      </c>
      <c r="E1396" s="285">
        <v>6.3658392094248999</v>
      </c>
    </row>
    <row r="1397" spans="1:5">
      <c r="A1397" s="284">
        <f t="shared" si="1012"/>
        <v>1329</v>
      </c>
      <c r="B1397" s="285">
        <v>3.3871468779388789</v>
      </c>
      <c r="C1397" s="285">
        <v>2.504102031875731</v>
      </c>
      <c r="D1397" s="285">
        <v>1.2461099343407005</v>
      </c>
      <c r="E1397" s="285">
        <v>-14.191504324454765</v>
      </c>
    </row>
    <row r="1398" spans="1:5">
      <c r="A1398" s="284">
        <f t="shared" si="1012"/>
        <v>1330</v>
      </c>
      <c r="B1398" s="285">
        <v>-2.0088271083647178</v>
      </c>
      <c r="C1398" s="285">
        <v>2.0739861645877351</v>
      </c>
      <c r="D1398" s="285">
        <v>0.67253980395868651</v>
      </c>
      <c r="E1398" s="285">
        <v>-8.1239194383757312</v>
      </c>
    </row>
    <row r="1399" spans="1:5">
      <c r="A1399" s="284">
        <f t="shared" si="1012"/>
        <v>1331</v>
      </c>
      <c r="B1399" s="285">
        <v>0.55083688524717167</v>
      </c>
      <c r="C1399" s="285">
        <v>3.1352932307787222</v>
      </c>
      <c r="D1399" s="285">
        <v>1.8026240883833067</v>
      </c>
      <c r="E1399" s="285">
        <v>5.155369960388267</v>
      </c>
    </row>
    <row r="1400" spans="1:5">
      <c r="A1400" s="284">
        <f t="shared" si="1012"/>
        <v>1332</v>
      </c>
      <c r="B1400" s="285">
        <v>-1.6859944129326085</v>
      </c>
      <c r="C1400" s="285">
        <v>2.3257970355982351</v>
      </c>
      <c r="D1400" s="285">
        <v>0.80917664536415179</v>
      </c>
      <c r="E1400" s="285">
        <v>-2.5705716756177419</v>
      </c>
    </row>
    <row r="1401" spans="1:5">
      <c r="A1401" s="284">
        <f t="shared" si="1012"/>
        <v>1333</v>
      </c>
      <c r="B1401" s="285">
        <v>4.5994819437134558</v>
      </c>
      <c r="C1401" s="285">
        <v>2.8984901884258787</v>
      </c>
      <c r="D1401" s="285">
        <v>1.32680579722919</v>
      </c>
      <c r="E1401" s="285">
        <v>4.591954476515502</v>
      </c>
    </row>
    <row r="1402" spans="1:5">
      <c r="A1402" s="284">
        <f t="shared" si="1012"/>
        <v>1334</v>
      </c>
      <c r="B1402" s="285">
        <v>0.69762187374333273</v>
      </c>
      <c r="C1402" s="285">
        <v>2.0055181049041808</v>
      </c>
      <c r="D1402" s="285">
        <v>1.555722138997865</v>
      </c>
      <c r="E1402" s="285">
        <v>-21.504197951859528</v>
      </c>
    </row>
    <row r="1403" spans="1:5">
      <c r="A1403" s="284">
        <f t="shared" si="1012"/>
        <v>1335</v>
      </c>
      <c r="B1403" s="285">
        <v>0.12181657323953392</v>
      </c>
      <c r="C1403" s="285">
        <v>2.6485730874595728</v>
      </c>
      <c r="D1403" s="285">
        <v>1.3955963509435225</v>
      </c>
      <c r="E1403" s="285">
        <v>-5.0879647109691444</v>
      </c>
    </row>
    <row r="1404" spans="1:5">
      <c r="A1404" s="284">
        <f t="shared" si="1012"/>
        <v>1336</v>
      </c>
      <c r="B1404" s="285">
        <v>1.1277907601497348</v>
      </c>
      <c r="C1404" s="285">
        <v>2.0427311819018055</v>
      </c>
      <c r="D1404" s="285">
        <v>1.8452587507254328</v>
      </c>
      <c r="E1404" s="285">
        <v>-23.161479475738798</v>
      </c>
    </row>
    <row r="1405" spans="1:5">
      <c r="A1405" s="284">
        <f t="shared" si="1012"/>
        <v>1337</v>
      </c>
      <c r="B1405" s="285">
        <v>-0.79293962767392556</v>
      </c>
      <c r="C1405" s="285">
        <v>1.9182557784307419</v>
      </c>
      <c r="D1405" s="285">
        <v>1.6468601453118628</v>
      </c>
      <c r="E1405" s="285">
        <v>-10.085522084994805</v>
      </c>
    </row>
    <row r="1406" spans="1:5">
      <c r="A1406" s="284">
        <f t="shared" si="1012"/>
        <v>1338</v>
      </c>
      <c r="B1406" s="285">
        <v>-1.0836054125117416</v>
      </c>
      <c r="C1406" s="285">
        <v>2.2163611085072916</v>
      </c>
      <c r="D1406" s="285">
        <v>1.9127948473061265</v>
      </c>
      <c r="E1406" s="285">
        <v>-11.138007784632382</v>
      </c>
    </row>
    <row r="1407" spans="1:5">
      <c r="A1407" s="284">
        <f t="shared" si="1012"/>
        <v>1339</v>
      </c>
      <c r="B1407" s="285">
        <v>-1.7788281560683894</v>
      </c>
      <c r="C1407" s="285">
        <v>2.5326632900031063</v>
      </c>
      <c r="D1407" s="285">
        <v>0.92577381025922545</v>
      </c>
      <c r="E1407" s="285">
        <v>-17.283734737372079</v>
      </c>
    </row>
    <row r="1408" spans="1:5">
      <c r="A1408" s="284">
        <f t="shared" si="1012"/>
        <v>1340</v>
      </c>
      <c r="B1408" s="285">
        <v>-3.8211757535128661</v>
      </c>
      <c r="C1408" s="285">
        <v>3.1092286498682125</v>
      </c>
      <c r="D1408" s="285">
        <v>-1.2790693649471243</v>
      </c>
      <c r="E1408" s="285">
        <v>12.734686101105215</v>
      </c>
    </row>
    <row r="1409" spans="1:5">
      <c r="A1409" s="284">
        <f t="shared" si="1012"/>
        <v>1341</v>
      </c>
      <c r="B1409" s="285">
        <v>-0.29007828414877213</v>
      </c>
      <c r="C1409" s="285">
        <v>2.2490725908277343</v>
      </c>
      <c r="D1409" s="285">
        <v>2.9705759947633821</v>
      </c>
      <c r="E1409" s="285">
        <v>-5.9005862797046849</v>
      </c>
    </row>
    <row r="1410" spans="1:5">
      <c r="A1410" s="284">
        <f t="shared" si="1012"/>
        <v>1342</v>
      </c>
      <c r="B1410" s="285">
        <v>-2.6498716732899474</v>
      </c>
      <c r="C1410" s="285">
        <v>1.459560272633605</v>
      </c>
      <c r="D1410" s="285">
        <v>1.6028188208276843</v>
      </c>
      <c r="E1410" s="285">
        <v>-16.557876468035971</v>
      </c>
    </row>
    <row r="1411" spans="1:5">
      <c r="A1411" s="284">
        <f t="shared" si="1012"/>
        <v>1343</v>
      </c>
      <c r="B1411" s="285">
        <v>-0.43714128670282609</v>
      </c>
      <c r="C1411" s="285">
        <v>3.3474045457687231</v>
      </c>
      <c r="D1411" s="285">
        <v>0.83361009245453843</v>
      </c>
      <c r="E1411" s="285">
        <v>9.7331993501189977</v>
      </c>
    </row>
    <row r="1412" spans="1:5">
      <c r="A1412" s="284">
        <f t="shared" si="1012"/>
        <v>1344</v>
      </c>
      <c r="B1412" s="285">
        <v>-2.5204193429834043</v>
      </c>
      <c r="C1412" s="285">
        <v>2.4569957157012223</v>
      </c>
      <c r="D1412" s="285">
        <v>1.4875887475237937</v>
      </c>
      <c r="E1412" s="285">
        <v>0.84000536266150982</v>
      </c>
    </row>
    <row r="1413" spans="1:5">
      <c r="A1413" s="284">
        <f t="shared" si="1012"/>
        <v>1345</v>
      </c>
      <c r="B1413" s="285">
        <v>1.2403691693896151</v>
      </c>
      <c r="C1413" s="285">
        <v>2.1430318714812673</v>
      </c>
      <c r="D1413" s="285">
        <v>2.9055505011627116</v>
      </c>
      <c r="E1413" s="285">
        <v>-14.102143847670053</v>
      </c>
    </row>
    <row r="1414" spans="1:5">
      <c r="A1414" s="284">
        <f t="shared" si="1012"/>
        <v>1346</v>
      </c>
      <c r="B1414" s="285">
        <v>2.1984361933318657</v>
      </c>
      <c r="C1414" s="285">
        <v>2.488437928189164</v>
      </c>
      <c r="D1414" s="285">
        <v>2.3832282982952169</v>
      </c>
      <c r="E1414" s="285">
        <v>-5.7587727326357054</v>
      </c>
    </row>
    <row r="1415" spans="1:5">
      <c r="A1415" s="284">
        <f t="shared" ref="A1415:A1478" si="1013">A1414+1</f>
        <v>1347</v>
      </c>
      <c r="B1415" s="285">
        <v>-3.5286679031511756</v>
      </c>
      <c r="C1415" s="285">
        <v>2.3085941313382894</v>
      </c>
      <c r="D1415" s="285">
        <v>0.92452005470973764</v>
      </c>
      <c r="E1415" s="285">
        <v>-15.953104404862064</v>
      </c>
    </row>
    <row r="1416" spans="1:5">
      <c r="A1416" s="284">
        <f t="shared" si="1013"/>
        <v>1348</v>
      </c>
      <c r="B1416" s="285">
        <v>-0.78163635729595915</v>
      </c>
      <c r="C1416" s="285">
        <v>2.3718788617286095</v>
      </c>
      <c r="D1416" s="285">
        <v>2.0393567367587608</v>
      </c>
      <c r="E1416" s="285">
        <v>-1.6085783518706367</v>
      </c>
    </row>
    <row r="1417" spans="1:5">
      <c r="A1417" s="284">
        <f t="shared" si="1013"/>
        <v>1349</v>
      </c>
      <c r="B1417" s="285">
        <v>0.21967806904866533</v>
      </c>
      <c r="C1417" s="285">
        <v>2.2975743887637221</v>
      </c>
      <c r="D1417" s="285">
        <v>2.0150120126641586</v>
      </c>
      <c r="E1417" s="285">
        <v>-16.491348488722469</v>
      </c>
    </row>
    <row r="1418" spans="1:5">
      <c r="A1418" s="284">
        <f t="shared" si="1013"/>
        <v>1350</v>
      </c>
      <c r="B1418" s="285">
        <v>-1.6427766999608331</v>
      </c>
      <c r="C1418" s="285">
        <v>1.8902226158822515</v>
      </c>
      <c r="D1418" s="285">
        <v>1.3273116109032372</v>
      </c>
      <c r="E1418" s="285">
        <v>-4.3111256631900829</v>
      </c>
    </row>
    <row r="1419" spans="1:5">
      <c r="A1419" s="284">
        <f t="shared" si="1013"/>
        <v>1351</v>
      </c>
      <c r="B1419" s="285">
        <v>1.1486040408553309</v>
      </c>
      <c r="C1419" s="285">
        <v>2.1021670444266363</v>
      </c>
      <c r="D1419" s="285">
        <v>1.6178985818921783</v>
      </c>
      <c r="E1419" s="285">
        <v>-7.2063604806524797</v>
      </c>
    </row>
    <row r="1420" spans="1:5">
      <c r="A1420" s="284">
        <f t="shared" si="1013"/>
        <v>1352</v>
      </c>
      <c r="B1420" s="285">
        <v>-0.91999499943869578</v>
      </c>
      <c r="C1420" s="285">
        <v>2.5141548481916427</v>
      </c>
      <c r="D1420" s="285">
        <v>1.1220961697151759</v>
      </c>
      <c r="E1420" s="285">
        <v>-5.9512867996069794</v>
      </c>
    </row>
    <row r="1421" spans="1:5">
      <c r="A1421" s="284">
        <f t="shared" si="1013"/>
        <v>1353</v>
      </c>
      <c r="B1421" s="285">
        <v>-2.1152868503649618</v>
      </c>
      <c r="C1421" s="285">
        <v>1.8406617731962593</v>
      </c>
      <c r="D1421" s="285">
        <v>0.27586969975082432</v>
      </c>
      <c r="E1421" s="285">
        <v>-7.8934241239253318</v>
      </c>
    </row>
    <row r="1422" spans="1:5">
      <c r="A1422" s="284">
        <f t="shared" si="1013"/>
        <v>1354</v>
      </c>
      <c r="B1422" s="285">
        <v>-2.1670964423049583</v>
      </c>
      <c r="C1422" s="285">
        <v>2.584272815308692</v>
      </c>
      <c r="D1422" s="285">
        <v>2.5339029263193869</v>
      </c>
      <c r="E1422" s="285">
        <v>5.9052325729520483</v>
      </c>
    </row>
    <row r="1423" spans="1:5">
      <c r="A1423" s="284">
        <f t="shared" si="1013"/>
        <v>1355</v>
      </c>
      <c r="B1423" s="285">
        <v>3.9426149100290009</v>
      </c>
      <c r="C1423" s="285">
        <v>3.138347973691975</v>
      </c>
      <c r="D1423" s="285">
        <v>3.7072497749156987</v>
      </c>
      <c r="E1423" s="285">
        <v>4.5429769207158515</v>
      </c>
    </row>
    <row r="1424" spans="1:5">
      <c r="A1424" s="284">
        <f t="shared" si="1013"/>
        <v>1356</v>
      </c>
      <c r="B1424" s="285">
        <v>-1.2437793249425655</v>
      </c>
      <c r="C1424" s="285">
        <v>2.5945878462727401</v>
      </c>
      <c r="D1424" s="285">
        <v>6.9421046964324162E-3</v>
      </c>
      <c r="E1424" s="285">
        <v>2.5588964056741772</v>
      </c>
    </row>
    <row r="1425" spans="1:5">
      <c r="A1425" s="284">
        <f t="shared" si="1013"/>
        <v>1357</v>
      </c>
      <c r="B1425" s="285">
        <v>0.37890095109440014</v>
      </c>
      <c r="C1425" s="285">
        <v>2.8294832091038358</v>
      </c>
      <c r="D1425" s="285">
        <v>2.2725470089751312</v>
      </c>
      <c r="E1425" s="285">
        <v>7.3595880342835542</v>
      </c>
    </row>
    <row r="1426" spans="1:5">
      <c r="A1426" s="284">
        <f t="shared" si="1013"/>
        <v>1358</v>
      </c>
      <c r="B1426" s="285">
        <v>2.8352023162374826</v>
      </c>
      <c r="C1426" s="285">
        <v>1.7449710879444282</v>
      </c>
      <c r="D1426" s="285">
        <v>4.4307073590704702</v>
      </c>
      <c r="E1426" s="285">
        <v>-22.77142476828859</v>
      </c>
    </row>
    <row r="1427" spans="1:5">
      <c r="A1427" s="284">
        <f t="shared" si="1013"/>
        <v>1359</v>
      </c>
      <c r="B1427" s="285">
        <v>2.2961634796343704</v>
      </c>
      <c r="C1427" s="285">
        <v>2.7396616502569131</v>
      </c>
      <c r="D1427" s="285">
        <v>0.76915450845261779</v>
      </c>
      <c r="E1427" s="285">
        <v>2.3734917826223882</v>
      </c>
    </row>
    <row r="1428" spans="1:5">
      <c r="A1428" s="284">
        <f t="shared" si="1013"/>
        <v>1360</v>
      </c>
      <c r="B1428" s="285">
        <v>0.82454019781038212</v>
      </c>
      <c r="C1428" s="285">
        <v>2.6337284672057377</v>
      </c>
      <c r="D1428" s="285">
        <v>0.47040790780359309</v>
      </c>
      <c r="E1428" s="285">
        <v>-5.9994988318170694</v>
      </c>
    </row>
    <row r="1429" spans="1:5">
      <c r="A1429" s="284">
        <f t="shared" si="1013"/>
        <v>1361</v>
      </c>
      <c r="B1429" s="285">
        <v>-0.57520489541428843</v>
      </c>
      <c r="C1429" s="285">
        <v>2.0475865554678467</v>
      </c>
      <c r="D1429" s="285">
        <v>0.40296969137266758</v>
      </c>
      <c r="E1429" s="285">
        <v>1.2831531574671637</v>
      </c>
    </row>
    <row r="1430" spans="1:5">
      <c r="A1430" s="284">
        <f t="shared" si="1013"/>
        <v>1362</v>
      </c>
      <c r="B1430" s="285">
        <v>-0.4490778000716717</v>
      </c>
      <c r="C1430" s="285">
        <v>2.302349855885875</v>
      </c>
      <c r="D1430" s="285">
        <v>2.3105589657064138</v>
      </c>
      <c r="E1430" s="285">
        <v>-6.2587823619417069</v>
      </c>
    </row>
    <row r="1431" spans="1:5">
      <c r="A1431" s="284">
        <f t="shared" si="1013"/>
        <v>1363</v>
      </c>
      <c r="B1431" s="285">
        <v>3.6321336931165233</v>
      </c>
      <c r="C1431" s="285">
        <v>3.0130947823179599</v>
      </c>
      <c r="D1431" s="285">
        <v>1.3238016117835847</v>
      </c>
      <c r="E1431" s="285">
        <v>3.9147650871535089</v>
      </c>
    </row>
    <row r="1432" spans="1:5">
      <c r="A1432" s="284">
        <f t="shared" si="1013"/>
        <v>1364</v>
      </c>
      <c r="B1432" s="285">
        <v>-0.78858385805564124</v>
      </c>
      <c r="C1432" s="285">
        <v>2.9481505717812184</v>
      </c>
      <c r="D1432" s="285">
        <v>1.2994795241925949</v>
      </c>
      <c r="E1432" s="285">
        <v>-6.0615294718979094</v>
      </c>
    </row>
    <row r="1433" spans="1:5">
      <c r="A1433" s="284">
        <f t="shared" si="1013"/>
        <v>1365</v>
      </c>
      <c r="B1433" s="285">
        <v>-1.2344338799545576</v>
      </c>
      <c r="C1433" s="285">
        <v>2.3316540168645363</v>
      </c>
      <c r="D1433" s="285">
        <v>0.71677249573366653</v>
      </c>
      <c r="E1433" s="285">
        <v>2.4125756087966486</v>
      </c>
    </row>
    <row r="1434" spans="1:5">
      <c r="A1434" s="284">
        <f t="shared" si="1013"/>
        <v>1366</v>
      </c>
      <c r="B1434" s="285">
        <v>0.10761696852928787</v>
      </c>
      <c r="C1434" s="285">
        <v>2.9723133875204728</v>
      </c>
      <c r="D1434" s="285">
        <v>-0.10321481950803912</v>
      </c>
      <c r="E1434" s="285">
        <v>10.260450809122599</v>
      </c>
    </row>
    <row r="1435" spans="1:5">
      <c r="A1435" s="284">
        <f t="shared" si="1013"/>
        <v>1367</v>
      </c>
      <c r="B1435" s="285">
        <v>1.9790114519245405</v>
      </c>
      <c r="C1435" s="285">
        <v>2.4254402371244392</v>
      </c>
      <c r="D1435" s="285">
        <v>1.0974972055236589</v>
      </c>
      <c r="E1435" s="285">
        <v>-17.42941099027562</v>
      </c>
    </row>
    <row r="1436" spans="1:5">
      <c r="A1436" s="284">
        <f t="shared" si="1013"/>
        <v>1368</v>
      </c>
      <c r="B1436" s="285">
        <v>3.6816360921346223</v>
      </c>
      <c r="C1436" s="285">
        <v>2.9351997904635909</v>
      </c>
      <c r="D1436" s="285">
        <v>0.61190981302975556</v>
      </c>
      <c r="E1436" s="285">
        <v>3.5539013998069433</v>
      </c>
    </row>
    <row r="1437" spans="1:5">
      <c r="A1437" s="284">
        <f t="shared" si="1013"/>
        <v>1369</v>
      </c>
      <c r="B1437" s="285">
        <v>2.1753808529535728</v>
      </c>
      <c r="C1437" s="285">
        <v>2.0397771151557338</v>
      </c>
      <c r="D1437" s="285">
        <v>2.875688550490759</v>
      </c>
      <c r="E1437" s="285">
        <v>-15.44431626360595</v>
      </c>
    </row>
    <row r="1438" spans="1:5">
      <c r="A1438" s="284">
        <f t="shared" si="1013"/>
        <v>1370</v>
      </c>
      <c r="B1438" s="285">
        <v>-1.6656570416466256</v>
      </c>
      <c r="C1438" s="285">
        <v>2.4653590200431563</v>
      </c>
      <c r="D1438" s="285">
        <v>2.1193628843032988</v>
      </c>
      <c r="E1438" s="285">
        <v>-9.7207233122338188</v>
      </c>
    </row>
    <row r="1439" spans="1:5">
      <c r="A1439" s="284">
        <f t="shared" si="1013"/>
        <v>1371</v>
      </c>
      <c r="B1439" s="285">
        <v>3.9429502021319709</v>
      </c>
      <c r="C1439" s="285">
        <v>3.2310048285092483</v>
      </c>
      <c r="D1439" s="285">
        <v>1.3548948750338776</v>
      </c>
      <c r="E1439" s="285">
        <v>10.472201817344903</v>
      </c>
    </row>
    <row r="1440" spans="1:5">
      <c r="A1440" s="284">
        <f t="shared" si="1013"/>
        <v>1372</v>
      </c>
      <c r="B1440" s="285">
        <v>4.3751431820132369</v>
      </c>
      <c r="C1440" s="285">
        <v>2.6464646610143006</v>
      </c>
      <c r="D1440" s="285">
        <v>1.5416138216134434</v>
      </c>
      <c r="E1440" s="285">
        <v>1.2638554938172235</v>
      </c>
    </row>
    <row r="1441" spans="1:5">
      <c r="A1441" s="284">
        <f t="shared" si="1013"/>
        <v>1373</v>
      </c>
      <c r="B1441" s="285">
        <v>2.6626425905759921</v>
      </c>
      <c r="C1441" s="285">
        <v>2.551147617752541</v>
      </c>
      <c r="D1441" s="285">
        <v>2.6515716328683734</v>
      </c>
      <c r="E1441" s="285">
        <v>-14.455178518517517</v>
      </c>
    </row>
    <row r="1442" spans="1:5">
      <c r="A1442" s="284">
        <f t="shared" si="1013"/>
        <v>1374</v>
      </c>
      <c r="B1442" s="285">
        <v>-0.7572292605521227</v>
      </c>
      <c r="C1442" s="285">
        <v>2.8637696794992875</v>
      </c>
      <c r="D1442" s="285">
        <v>0.90167093880488292</v>
      </c>
      <c r="E1442" s="285">
        <v>10.559536768267655</v>
      </c>
    </row>
    <row r="1443" spans="1:5">
      <c r="A1443" s="284">
        <f t="shared" si="1013"/>
        <v>1375</v>
      </c>
      <c r="B1443" s="285">
        <v>2.3998129109309652</v>
      </c>
      <c r="C1443" s="285">
        <v>3.0620412831140587</v>
      </c>
      <c r="D1443" s="285">
        <v>1.3065444053318402</v>
      </c>
      <c r="E1443" s="285">
        <v>1.2278643973778931</v>
      </c>
    </row>
    <row r="1444" spans="1:5">
      <c r="A1444" s="284">
        <f t="shared" si="1013"/>
        <v>1376</v>
      </c>
      <c r="B1444" s="285">
        <v>0.61572045631614469</v>
      </c>
      <c r="C1444" s="285">
        <v>2.5262023427017173</v>
      </c>
      <c r="D1444" s="285">
        <v>1.5395942975477688</v>
      </c>
      <c r="E1444" s="285">
        <v>-9.3449707008568943</v>
      </c>
    </row>
    <row r="1445" spans="1:5">
      <c r="A1445" s="284">
        <f t="shared" si="1013"/>
        <v>1377</v>
      </c>
      <c r="B1445" s="285">
        <v>-1.9923559135551032</v>
      </c>
      <c r="C1445" s="285">
        <v>2.2355199297183224</v>
      </c>
      <c r="D1445" s="285">
        <v>1.4174307258939256</v>
      </c>
      <c r="E1445" s="285">
        <v>-7.959554798947611</v>
      </c>
    </row>
    <row r="1446" spans="1:5">
      <c r="A1446" s="284">
        <f t="shared" si="1013"/>
        <v>1378</v>
      </c>
      <c r="B1446" s="285">
        <v>0.94962437911143527</v>
      </c>
      <c r="C1446" s="285">
        <v>3.3418497631337609</v>
      </c>
      <c r="D1446" s="285">
        <v>1.0581158707674416</v>
      </c>
      <c r="E1446" s="285">
        <v>5.2750895180335142</v>
      </c>
    </row>
    <row r="1447" spans="1:5">
      <c r="A1447" s="284">
        <f t="shared" si="1013"/>
        <v>1379</v>
      </c>
      <c r="B1447" s="285">
        <v>-0.92883800341404454</v>
      </c>
      <c r="C1447" s="285">
        <v>1.9512536297622356</v>
      </c>
      <c r="D1447" s="285">
        <v>1.0936785187834812</v>
      </c>
      <c r="E1447" s="285">
        <v>-3.7353476559158101</v>
      </c>
    </row>
    <row r="1448" spans="1:5">
      <c r="A1448" s="284">
        <f t="shared" si="1013"/>
        <v>1380</v>
      </c>
      <c r="B1448" s="285">
        <v>-3.5142512713506546</v>
      </c>
      <c r="C1448" s="285">
        <v>1.2907923113916799</v>
      </c>
      <c r="D1448" s="285">
        <v>1.5036403033317627</v>
      </c>
      <c r="E1448" s="285">
        <v>-27.110118286568753</v>
      </c>
    </row>
    <row r="1449" spans="1:5">
      <c r="A1449" s="284">
        <f t="shared" si="1013"/>
        <v>1381</v>
      </c>
      <c r="B1449" s="285">
        <v>-2.7555486479811333</v>
      </c>
      <c r="C1449" s="285">
        <v>2.5778337532686582</v>
      </c>
      <c r="D1449" s="285">
        <v>1.0092727939083264</v>
      </c>
      <c r="E1449" s="285">
        <v>1.6297764102110848</v>
      </c>
    </row>
    <row r="1450" spans="1:5">
      <c r="A1450" s="284">
        <f t="shared" si="1013"/>
        <v>1382</v>
      </c>
      <c r="B1450" s="285">
        <v>-2.9884001826491509</v>
      </c>
      <c r="C1450" s="285">
        <v>2.3902371758757441</v>
      </c>
      <c r="D1450" s="285">
        <v>1.2703907847015081</v>
      </c>
      <c r="E1450" s="285">
        <v>-7.1282402251937693</v>
      </c>
    </row>
    <row r="1451" spans="1:5">
      <c r="A1451" s="284">
        <f t="shared" si="1013"/>
        <v>1383</v>
      </c>
      <c r="B1451" s="285">
        <v>1.6079384771335226</v>
      </c>
      <c r="C1451" s="285">
        <v>3.1779790336320128</v>
      </c>
      <c r="D1451" s="285">
        <v>2.0797987154134421</v>
      </c>
      <c r="E1451" s="285">
        <v>6.2622256409664807</v>
      </c>
    </row>
    <row r="1452" spans="1:5">
      <c r="A1452" s="284">
        <f t="shared" si="1013"/>
        <v>1384</v>
      </c>
      <c r="B1452" s="285">
        <v>2.372882990358733</v>
      </c>
      <c r="C1452" s="285">
        <v>2.5127927577451761</v>
      </c>
      <c r="D1452" s="285">
        <v>1.6194067272338153</v>
      </c>
      <c r="E1452" s="285">
        <v>-5.8304780582439868</v>
      </c>
    </row>
    <row r="1453" spans="1:5">
      <c r="A1453" s="284">
        <f t="shared" si="1013"/>
        <v>1385</v>
      </c>
      <c r="B1453" s="285">
        <v>0.89538717531682377</v>
      </c>
      <c r="C1453" s="285">
        <v>2.3844504608451054</v>
      </c>
      <c r="D1453" s="285">
        <v>0.76130182393103452</v>
      </c>
      <c r="E1453" s="285">
        <v>1.6605213080499834</v>
      </c>
    </row>
    <row r="1454" spans="1:5">
      <c r="A1454" s="284">
        <f t="shared" si="1013"/>
        <v>1386</v>
      </c>
      <c r="B1454" s="285">
        <v>3.710450213510422</v>
      </c>
      <c r="C1454" s="285">
        <v>2.0050951165681452</v>
      </c>
      <c r="D1454" s="285">
        <v>3.4759947605704586</v>
      </c>
      <c r="E1454" s="285">
        <v>-14.721877736379129</v>
      </c>
    </row>
    <row r="1455" spans="1:5">
      <c r="A1455" s="284">
        <f t="shared" si="1013"/>
        <v>1387</v>
      </c>
      <c r="B1455" s="285">
        <v>-2.1471413150505732</v>
      </c>
      <c r="C1455" s="285">
        <v>2.2509204603081172</v>
      </c>
      <c r="D1455" s="285">
        <v>-0.30216695422847817</v>
      </c>
      <c r="E1455" s="285">
        <v>-11.682676065486923</v>
      </c>
    </row>
    <row r="1456" spans="1:5">
      <c r="A1456" s="284">
        <f t="shared" si="1013"/>
        <v>1388</v>
      </c>
      <c r="B1456" s="285">
        <v>1.316229550721254</v>
      </c>
      <c r="C1456" s="285">
        <v>2.7003598103021691</v>
      </c>
      <c r="D1456" s="285">
        <v>2.0512629179186899</v>
      </c>
      <c r="E1456" s="285">
        <v>-3.5481987233190582</v>
      </c>
    </row>
    <row r="1457" spans="1:5">
      <c r="A1457" s="284">
        <f t="shared" si="1013"/>
        <v>1389</v>
      </c>
      <c r="B1457" s="285">
        <v>0.901459916101363</v>
      </c>
      <c r="C1457" s="285">
        <v>2.0674237702239928</v>
      </c>
      <c r="D1457" s="285">
        <v>2.5124003758190945</v>
      </c>
      <c r="E1457" s="285">
        <v>-20.015376739866809</v>
      </c>
    </row>
    <row r="1458" spans="1:5">
      <c r="A1458" s="284">
        <f t="shared" si="1013"/>
        <v>1390</v>
      </c>
      <c r="B1458" s="285">
        <v>-3.3790354912579446</v>
      </c>
      <c r="C1458" s="285">
        <v>1.948461786045691</v>
      </c>
      <c r="D1458" s="285">
        <v>1.4585287587870535</v>
      </c>
      <c r="E1458" s="285">
        <v>-8.030203416207307</v>
      </c>
    </row>
    <row r="1459" spans="1:5">
      <c r="A1459" s="284">
        <f t="shared" si="1013"/>
        <v>1391</v>
      </c>
      <c r="B1459" s="285">
        <v>-0.93584566293442906</v>
      </c>
      <c r="C1459" s="285">
        <v>2.8859893957241312</v>
      </c>
      <c r="D1459" s="285">
        <v>1.6135914370160669</v>
      </c>
      <c r="E1459" s="285">
        <v>8.5020031529233275</v>
      </c>
    </row>
    <row r="1460" spans="1:5">
      <c r="A1460" s="284">
        <f t="shared" si="1013"/>
        <v>1392</v>
      </c>
      <c r="B1460" s="285">
        <v>0.67818983435581193</v>
      </c>
      <c r="C1460" s="285">
        <v>2.3992431305541957</v>
      </c>
      <c r="D1460" s="285">
        <v>2.4590882728897654</v>
      </c>
      <c r="E1460" s="285">
        <v>-15.740920066042422</v>
      </c>
    </row>
    <row r="1461" spans="1:5">
      <c r="A1461" s="284">
        <f t="shared" si="1013"/>
        <v>1393</v>
      </c>
      <c r="B1461" s="285">
        <v>0.43775066305767635</v>
      </c>
      <c r="C1461" s="285">
        <v>2.6606745564424084</v>
      </c>
      <c r="D1461" s="285">
        <v>0.87203943263187067</v>
      </c>
      <c r="E1461" s="285">
        <v>2.0838081704521749</v>
      </c>
    </row>
    <row r="1462" spans="1:5">
      <c r="A1462" s="284">
        <f t="shared" si="1013"/>
        <v>1394</v>
      </c>
      <c r="B1462" s="285">
        <v>0.98433337155645084</v>
      </c>
      <c r="C1462" s="285">
        <v>2.6518180744615103</v>
      </c>
      <c r="D1462" s="285">
        <v>1.1566816259280852</v>
      </c>
      <c r="E1462" s="285">
        <v>-3.6399067531403002</v>
      </c>
    </row>
    <row r="1463" spans="1:5">
      <c r="A1463" s="284">
        <f t="shared" si="1013"/>
        <v>1395</v>
      </c>
      <c r="B1463" s="285">
        <v>1.4721977470577778</v>
      </c>
      <c r="C1463" s="285">
        <v>1.952811380992483</v>
      </c>
      <c r="D1463" s="285">
        <v>1.1992255170513468</v>
      </c>
      <c r="E1463" s="285">
        <v>-15.395425302961179</v>
      </c>
    </row>
    <row r="1464" spans="1:5">
      <c r="A1464" s="284">
        <f t="shared" si="1013"/>
        <v>1396</v>
      </c>
      <c r="B1464" s="285">
        <v>-0.27624790861035592</v>
      </c>
      <c r="C1464" s="285">
        <v>2.634385181321885</v>
      </c>
      <c r="D1464" s="285">
        <v>1.1528565783683244</v>
      </c>
      <c r="E1464" s="285">
        <v>-4.3037694700604705</v>
      </c>
    </row>
    <row r="1465" spans="1:5">
      <c r="A1465" s="284">
        <f t="shared" si="1013"/>
        <v>1397</v>
      </c>
      <c r="B1465" s="285">
        <v>-2.0682137376703302</v>
      </c>
      <c r="C1465" s="285">
        <v>2.0294555155148011</v>
      </c>
      <c r="D1465" s="285">
        <v>1.8439055099516382</v>
      </c>
      <c r="E1465" s="285">
        <v>-9.1208185065020686</v>
      </c>
    </row>
    <row r="1466" spans="1:5">
      <c r="A1466" s="284">
        <f t="shared" si="1013"/>
        <v>1398</v>
      </c>
      <c r="B1466" s="285">
        <v>0.71895617044414151</v>
      </c>
      <c r="C1466" s="285">
        <v>2.637325796145201</v>
      </c>
      <c r="D1466" s="285">
        <v>2.5478437149705213</v>
      </c>
      <c r="E1466" s="285">
        <v>-12.006137113121339</v>
      </c>
    </row>
    <row r="1467" spans="1:5">
      <c r="A1467" s="284">
        <f t="shared" si="1013"/>
        <v>1399</v>
      </c>
      <c r="B1467" s="285">
        <v>0.81407586611553395</v>
      </c>
      <c r="C1467" s="285">
        <v>2.1466033928039541</v>
      </c>
      <c r="D1467" s="285">
        <v>-0.89317005979090558</v>
      </c>
      <c r="E1467" s="285">
        <v>-16.56700211085284</v>
      </c>
    </row>
    <row r="1468" spans="1:5">
      <c r="A1468" s="284">
        <f t="shared" si="1013"/>
        <v>1400</v>
      </c>
      <c r="B1468" s="285">
        <v>-0.88701998840556395</v>
      </c>
      <c r="C1468" s="285">
        <v>2.229379030467431</v>
      </c>
      <c r="D1468" s="285">
        <v>1.5121458933347993</v>
      </c>
      <c r="E1468" s="285">
        <v>-6.2537944099893421</v>
      </c>
    </row>
    <row r="1469" spans="1:5">
      <c r="A1469" s="284">
        <f t="shared" si="1013"/>
        <v>1401</v>
      </c>
      <c r="B1469" s="285">
        <v>-2.0954389595684231</v>
      </c>
      <c r="C1469" s="285">
        <v>2.0393066594855283</v>
      </c>
      <c r="D1469" s="285">
        <v>1.0834371329644963</v>
      </c>
      <c r="E1469" s="285">
        <v>-7.8329051313901115</v>
      </c>
    </row>
    <row r="1470" spans="1:5">
      <c r="A1470" s="284">
        <f t="shared" si="1013"/>
        <v>1402</v>
      </c>
      <c r="B1470" s="285">
        <v>-2.909360741180661E-2</v>
      </c>
      <c r="C1470" s="285">
        <v>2.8021729835618459</v>
      </c>
      <c r="D1470" s="285">
        <v>-1.1435813047956369</v>
      </c>
      <c r="E1470" s="285">
        <v>25.176109592736079</v>
      </c>
    </row>
    <row r="1471" spans="1:5">
      <c r="A1471" s="284">
        <f t="shared" si="1013"/>
        <v>1403</v>
      </c>
      <c r="B1471" s="285">
        <v>-3.006001264211382</v>
      </c>
      <c r="C1471" s="285">
        <v>2.6168624765904163</v>
      </c>
      <c r="D1471" s="285">
        <v>1.521035928157858</v>
      </c>
      <c r="E1471" s="285">
        <v>-0.85625696984817257</v>
      </c>
    </row>
    <row r="1472" spans="1:5">
      <c r="A1472" s="284">
        <f t="shared" si="1013"/>
        <v>1404</v>
      </c>
      <c r="B1472" s="285">
        <v>2.3320407553864761</v>
      </c>
      <c r="C1472" s="285">
        <v>3.6383727896535456</v>
      </c>
      <c r="D1472" s="285">
        <v>1.2007800785853613</v>
      </c>
      <c r="E1472" s="285">
        <v>16.212092631662319</v>
      </c>
    </row>
    <row r="1473" spans="1:5">
      <c r="A1473" s="284">
        <f t="shared" si="1013"/>
        <v>1405</v>
      </c>
      <c r="B1473" s="285">
        <v>0.53165461101751632</v>
      </c>
      <c r="C1473" s="285">
        <v>1.9282522206265897</v>
      </c>
      <c r="D1473" s="285">
        <v>-0.45366356455360135</v>
      </c>
      <c r="E1473" s="285">
        <v>-1.933629164469854</v>
      </c>
    </row>
    <row r="1474" spans="1:5">
      <c r="A1474" s="284">
        <f t="shared" si="1013"/>
        <v>1406</v>
      </c>
      <c r="B1474" s="285">
        <v>0.86454931974957283</v>
      </c>
      <c r="C1474" s="285">
        <v>1.9474110783413638</v>
      </c>
      <c r="D1474" s="285">
        <v>1.7322569412364406</v>
      </c>
      <c r="E1474" s="285">
        <v>-11.93098556704572</v>
      </c>
    </row>
    <row r="1475" spans="1:5">
      <c r="A1475" s="284">
        <f t="shared" si="1013"/>
        <v>1407</v>
      </c>
      <c r="B1475" s="285">
        <v>3.2211029765639814</v>
      </c>
      <c r="C1475" s="285">
        <v>2.666810248978011</v>
      </c>
      <c r="D1475" s="285">
        <v>1.5595131246942919</v>
      </c>
      <c r="E1475" s="285">
        <v>-2.4188792891090181</v>
      </c>
    </row>
    <row r="1476" spans="1:5">
      <c r="A1476" s="284">
        <f t="shared" si="1013"/>
        <v>1408</v>
      </c>
      <c r="B1476" s="285">
        <v>-1.0507247782270683</v>
      </c>
      <c r="C1476" s="285">
        <v>2.8928278044666849</v>
      </c>
      <c r="D1476" s="285">
        <v>-0.57191675967591293</v>
      </c>
      <c r="E1476" s="285">
        <v>11.265943042060606</v>
      </c>
    </row>
    <row r="1477" spans="1:5">
      <c r="A1477" s="284">
        <f t="shared" si="1013"/>
        <v>1409</v>
      </c>
      <c r="B1477" s="285">
        <v>0.58976276232728431</v>
      </c>
      <c r="C1477" s="285">
        <v>2.5540004715382016</v>
      </c>
      <c r="D1477" s="285">
        <v>1.2725323816766936</v>
      </c>
      <c r="E1477" s="285">
        <v>-2.3189726152664001</v>
      </c>
    </row>
    <row r="1478" spans="1:5">
      <c r="A1478" s="284">
        <f t="shared" si="1013"/>
        <v>1410</v>
      </c>
      <c r="B1478" s="285">
        <v>-1.3283498033371761</v>
      </c>
      <c r="C1478" s="285">
        <v>2.3434860047008015</v>
      </c>
      <c r="D1478" s="285">
        <v>0.14357956406273775</v>
      </c>
      <c r="E1478" s="285">
        <v>-7.0239127220322377</v>
      </c>
    </row>
    <row r="1479" spans="1:5">
      <c r="A1479" s="284">
        <f t="shared" ref="A1479:A1542" si="1014">A1478+1</f>
        <v>1411</v>
      </c>
      <c r="B1479" s="285">
        <v>3.1739587457202108</v>
      </c>
      <c r="C1479" s="285">
        <v>2.6734205861738172</v>
      </c>
      <c r="D1479" s="285">
        <v>0.61937746978674946</v>
      </c>
      <c r="E1479" s="285">
        <v>-7.3258293792918376</v>
      </c>
    </row>
    <row r="1480" spans="1:5">
      <c r="A1480" s="284">
        <f t="shared" si="1014"/>
        <v>1412</v>
      </c>
      <c r="B1480" s="285">
        <v>1.3093129390547638</v>
      </c>
      <c r="C1480" s="285">
        <v>3.2826131110518886</v>
      </c>
      <c r="D1480" s="285">
        <v>1.2137834345376879</v>
      </c>
      <c r="E1480" s="285">
        <v>17.411650333144333</v>
      </c>
    </row>
    <row r="1481" spans="1:5">
      <c r="A1481" s="284">
        <f t="shared" si="1014"/>
        <v>1413</v>
      </c>
      <c r="B1481" s="285">
        <v>2.1432972460432818</v>
      </c>
      <c r="C1481" s="285">
        <v>2.5063319532980137</v>
      </c>
      <c r="D1481" s="285">
        <v>2.4969184737246959</v>
      </c>
      <c r="E1481" s="285">
        <v>-7.7234894847897362</v>
      </c>
    </row>
    <row r="1482" spans="1:5">
      <c r="A1482" s="284">
        <f t="shared" si="1014"/>
        <v>1414</v>
      </c>
      <c r="B1482" s="285">
        <v>2.0740589881214042</v>
      </c>
      <c r="C1482" s="285">
        <v>2.8154111204733581</v>
      </c>
      <c r="D1482" s="285">
        <v>0.27724929394097919</v>
      </c>
      <c r="E1482" s="285">
        <v>-4.690273851032277</v>
      </c>
    </row>
    <row r="1483" spans="1:5">
      <c r="A1483" s="284">
        <f t="shared" si="1014"/>
        <v>1415</v>
      </c>
      <c r="B1483" s="285">
        <v>-1.9767502826587422</v>
      </c>
      <c r="C1483" s="285">
        <v>2.5020595631263012</v>
      </c>
      <c r="D1483" s="285">
        <v>0.52855929479611385</v>
      </c>
      <c r="E1483" s="285">
        <v>-11.596376374156561</v>
      </c>
    </row>
    <row r="1484" spans="1:5">
      <c r="A1484" s="284">
        <f t="shared" si="1014"/>
        <v>1416</v>
      </c>
      <c r="B1484" s="285">
        <v>1.64702285597052</v>
      </c>
      <c r="C1484" s="285">
        <v>3.6069167395046602</v>
      </c>
      <c r="D1484" s="285">
        <v>1.7391881772668352</v>
      </c>
      <c r="E1484" s="285">
        <v>18.150799764389735</v>
      </c>
    </row>
    <row r="1485" spans="1:5">
      <c r="A1485" s="284">
        <f t="shared" si="1014"/>
        <v>1417</v>
      </c>
      <c r="B1485" s="285">
        <v>-0.35907930119715992</v>
      </c>
      <c r="C1485" s="285">
        <v>2.000412105243877</v>
      </c>
      <c r="D1485" s="285">
        <v>2.4749311668003089</v>
      </c>
      <c r="E1485" s="285">
        <v>-4.8503562196281162</v>
      </c>
    </row>
    <row r="1486" spans="1:5">
      <c r="A1486" s="284">
        <f t="shared" si="1014"/>
        <v>1418</v>
      </c>
      <c r="B1486" s="285">
        <v>-2.1037767701658279</v>
      </c>
      <c r="C1486" s="285">
        <v>2.5569388521941074</v>
      </c>
      <c r="D1486" s="285">
        <v>1.0740867794343925</v>
      </c>
      <c r="E1486" s="285">
        <v>-1.6054398939835821</v>
      </c>
    </row>
    <row r="1487" spans="1:5">
      <c r="A1487" s="284">
        <f t="shared" si="1014"/>
        <v>1419</v>
      </c>
      <c r="B1487" s="285">
        <v>-2.8083761068590878</v>
      </c>
      <c r="C1487" s="285">
        <v>2.0595317196569982</v>
      </c>
      <c r="D1487" s="285">
        <v>0.44837351547027482</v>
      </c>
      <c r="E1487" s="285">
        <v>-13.629140359878658</v>
      </c>
    </row>
    <row r="1488" spans="1:5">
      <c r="A1488" s="284">
        <f t="shared" si="1014"/>
        <v>1420</v>
      </c>
      <c r="B1488" s="285">
        <v>0.31920024325012042</v>
      </c>
      <c r="C1488" s="285">
        <v>2.2486264697732135</v>
      </c>
      <c r="D1488" s="285">
        <v>0.63984229210948107</v>
      </c>
      <c r="E1488" s="285">
        <v>-6.5711902339719117</v>
      </c>
    </row>
    <row r="1489" spans="1:5">
      <c r="A1489" s="284">
        <f t="shared" si="1014"/>
        <v>1421</v>
      </c>
      <c r="B1489" s="285">
        <v>2.241775625525845</v>
      </c>
      <c r="C1489" s="285">
        <v>2.0043909617915578</v>
      </c>
      <c r="D1489" s="285">
        <v>4.59505651539114</v>
      </c>
      <c r="E1489" s="285">
        <v>-8.9613861872581104</v>
      </c>
    </row>
    <row r="1490" spans="1:5">
      <c r="A1490" s="284">
        <f t="shared" si="1014"/>
        <v>1422</v>
      </c>
      <c r="B1490" s="285">
        <v>3.8664805192770518E-2</v>
      </c>
      <c r="C1490" s="285">
        <v>2.5056772302250012</v>
      </c>
      <c r="D1490" s="285">
        <v>2.4664381700194071</v>
      </c>
      <c r="E1490" s="285">
        <v>1.1233184581304969</v>
      </c>
    </row>
    <row r="1491" spans="1:5">
      <c r="A1491" s="284">
        <f t="shared" si="1014"/>
        <v>1423</v>
      </c>
      <c r="B1491" s="285">
        <v>1.8769177796176304</v>
      </c>
      <c r="C1491" s="285">
        <v>3.2471175050188608</v>
      </c>
      <c r="D1491" s="285">
        <v>1.2830539185026599</v>
      </c>
      <c r="E1491" s="285">
        <v>7.7624324102563964</v>
      </c>
    </row>
    <row r="1492" spans="1:5">
      <c r="A1492" s="284">
        <f t="shared" si="1014"/>
        <v>1424</v>
      </c>
      <c r="B1492" s="285">
        <v>-3.2086835557951692</v>
      </c>
      <c r="C1492" s="285">
        <v>2.2624686474111231</v>
      </c>
      <c r="D1492" s="285">
        <v>-1.7117480594033787</v>
      </c>
      <c r="E1492" s="285">
        <v>-0.38192184776759186</v>
      </c>
    </row>
    <row r="1493" spans="1:5">
      <c r="A1493" s="284">
        <f t="shared" si="1014"/>
        <v>1425</v>
      </c>
      <c r="B1493" s="285">
        <v>2.0853168984658126</v>
      </c>
      <c r="C1493" s="285">
        <v>2.7759168831267367</v>
      </c>
      <c r="D1493" s="285">
        <v>2.6772947138521843</v>
      </c>
      <c r="E1493" s="285">
        <v>4.2543962975558358</v>
      </c>
    </row>
    <row r="1494" spans="1:5">
      <c r="A1494" s="284">
        <f t="shared" si="1014"/>
        <v>1426</v>
      </c>
      <c r="B1494" s="285">
        <v>-5.6200258597766846</v>
      </c>
      <c r="C1494" s="285">
        <v>1.7133581043467656</v>
      </c>
      <c r="D1494" s="285">
        <v>-7.2419119738259985E-2</v>
      </c>
      <c r="E1494" s="285">
        <v>-9.38321317086241</v>
      </c>
    </row>
    <row r="1495" spans="1:5">
      <c r="A1495" s="284">
        <f t="shared" si="1014"/>
        <v>1427</v>
      </c>
      <c r="B1495" s="285">
        <v>-1.7376065232906532</v>
      </c>
      <c r="C1495" s="285">
        <v>2.3462087723625178</v>
      </c>
      <c r="D1495" s="285">
        <v>3.0587319465751728</v>
      </c>
      <c r="E1495" s="285">
        <v>-0.39193322697824984</v>
      </c>
    </row>
    <row r="1496" spans="1:5">
      <c r="A1496" s="284">
        <f t="shared" si="1014"/>
        <v>1428</v>
      </c>
      <c r="B1496" s="285">
        <v>0.1931520931675742</v>
      </c>
      <c r="C1496" s="285">
        <v>2.4091529026674694</v>
      </c>
      <c r="D1496" s="285">
        <v>0.62556444931271127</v>
      </c>
      <c r="E1496" s="285">
        <v>-12.313418512218172</v>
      </c>
    </row>
    <row r="1497" spans="1:5">
      <c r="A1497" s="284">
        <f t="shared" si="1014"/>
        <v>1429</v>
      </c>
      <c r="B1497" s="285">
        <v>2.1144680542720522</v>
      </c>
      <c r="C1497" s="285">
        <v>2.4479348628149089</v>
      </c>
      <c r="D1497" s="285">
        <v>1.1889671305991412</v>
      </c>
      <c r="E1497" s="285">
        <v>-8.9464263339259613</v>
      </c>
    </row>
    <row r="1498" spans="1:5">
      <c r="A1498" s="284">
        <f t="shared" si="1014"/>
        <v>1430</v>
      </c>
      <c r="B1498" s="285">
        <v>1.2273606990628618</v>
      </c>
      <c r="C1498" s="285">
        <v>2.3375143598845334</v>
      </c>
      <c r="D1498" s="285">
        <v>2.2732324776192527</v>
      </c>
      <c r="E1498" s="285">
        <v>-11.963318721424542</v>
      </c>
    </row>
    <row r="1499" spans="1:5">
      <c r="A1499" s="284">
        <f t="shared" si="1014"/>
        <v>1431</v>
      </c>
      <c r="B1499" s="285">
        <v>-1.4925323419402177</v>
      </c>
      <c r="C1499" s="285">
        <v>2.7901059531320702</v>
      </c>
      <c r="D1499" s="285">
        <v>1.1944265393384985</v>
      </c>
      <c r="E1499" s="285">
        <v>5.5133503617484436</v>
      </c>
    </row>
    <row r="1500" spans="1:5">
      <c r="A1500" s="284">
        <f t="shared" si="1014"/>
        <v>1432</v>
      </c>
      <c r="B1500" s="285">
        <v>2.9159731066103496</v>
      </c>
      <c r="C1500" s="285">
        <v>2.5733512906381746</v>
      </c>
      <c r="D1500" s="285">
        <v>1.923898963442265</v>
      </c>
      <c r="E1500" s="285">
        <v>-10.638638077834807</v>
      </c>
    </row>
    <row r="1501" spans="1:5">
      <c r="A1501" s="284">
        <f t="shared" si="1014"/>
        <v>1433</v>
      </c>
      <c r="B1501" s="285">
        <v>2.2306339081058888</v>
      </c>
      <c r="C1501" s="285">
        <v>3.072196513939661</v>
      </c>
      <c r="D1501" s="285">
        <v>1.2374898825075347</v>
      </c>
      <c r="E1501" s="285">
        <v>0.18425656991186878</v>
      </c>
    </row>
    <row r="1502" spans="1:5">
      <c r="A1502" s="284">
        <f t="shared" si="1014"/>
        <v>1434</v>
      </c>
      <c r="B1502" s="285">
        <v>3.0282633867080575</v>
      </c>
      <c r="C1502" s="285">
        <v>2.5241054790826736</v>
      </c>
      <c r="D1502" s="285">
        <v>3.0110423944957967</v>
      </c>
      <c r="E1502" s="285">
        <v>7.1025799285972386</v>
      </c>
    </row>
    <row r="1503" spans="1:5">
      <c r="A1503" s="284">
        <f t="shared" si="1014"/>
        <v>1435</v>
      </c>
      <c r="B1503" s="285">
        <v>0.92928145362556835</v>
      </c>
      <c r="C1503" s="285">
        <v>3.0496782690074049</v>
      </c>
      <c r="D1503" s="285">
        <v>0.6873080978617182</v>
      </c>
      <c r="E1503" s="285">
        <v>9.4873928530698155</v>
      </c>
    </row>
    <row r="1504" spans="1:5">
      <c r="A1504" s="284">
        <f t="shared" si="1014"/>
        <v>1436</v>
      </c>
      <c r="B1504" s="285">
        <v>1.8085749512548301</v>
      </c>
      <c r="C1504" s="285">
        <v>3.0873456777981172</v>
      </c>
      <c r="D1504" s="285">
        <v>0.2324328193033256</v>
      </c>
      <c r="E1504" s="285">
        <v>14.140206439740293</v>
      </c>
    </row>
    <row r="1505" spans="1:5">
      <c r="A1505" s="284">
        <f t="shared" si="1014"/>
        <v>1437</v>
      </c>
      <c r="B1505" s="285">
        <v>2.3808084192574861</v>
      </c>
      <c r="C1505" s="285">
        <v>2.5121934846706857</v>
      </c>
      <c r="D1505" s="285">
        <v>0.24919740501443233</v>
      </c>
      <c r="E1505" s="285">
        <v>-0.60971783313426275</v>
      </c>
    </row>
    <row r="1506" spans="1:5">
      <c r="A1506" s="284">
        <f t="shared" si="1014"/>
        <v>1438</v>
      </c>
      <c r="B1506" s="285">
        <v>-2.2100500965586298</v>
      </c>
      <c r="C1506" s="285">
        <v>2.8449828745080317</v>
      </c>
      <c r="D1506" s="285">
        <v>-1.0760086199651466</v>
      </c>
      <c r="E1506" s="285">
        <v>3.8539338879957765</v>
      </c>
    </row>
    <row r="1507" spans="1:5">
      <c r="A1507" s="284">
        <f t="shared" si="1014"/>
        <v>1439</v>
      </c>
      <c r="B1507" s="285">
        <v>1.9353552423346134</v>
      </c>
      <c r="C1507" s="285">
        <v>2.7225073998761822</v>
      </c>
      <c r="D1507" s="285">
        <v>1.7231428458283577</v>
      </c>
      <c r="E1507" s="285">
        <v>-1.9530640164924147</v>
      </c>
    </row>
    <row r="1508" spans="1:5">
      <c r="A1508" s="284">
        <f t="shared" si="1014"/>
        <v>1440</v>
      </c>
      <c r="B1508" s="285">
        <v>-0.36008843567435167</v>
      </c>
      <c r="C1508" s="285">
        <v>2.5557876469649909</v>
      </c>
      <c r="D1508" s="285">
        <v>0.8541465625727459</v>
      </c>
      <c r="E1508" s="285">
        <v>3.8143680047979687</v>
      </c>
    </row>
    <row r="1509" spans="1:5">
      <c r="A1509" s="284">
        <f t="shared" si="1014"/>
        <v>1441</v>
      </c>
      <c r="B1509" s="285">
        <v>-0.64619608327644451</v>
      </c>
      <c r="C1509" s="285">
        <v>2.2862551593960374</v>
      </c>
      <c r="D1509" s="285">
        <v>-0.12213793873495016</v>
      </c>
      <c r="E1509" s="285">
        <v>-12.695959572912505</v>
      </c>
    </row>
    <row r="1510" spans="1:5">
      <c r="A1510" s="284">
        <f t="shared" si="1014"/>
        <v>1442</v>
      </c>
      <c r="B1510" s="285">
        <v>0.13760398952552597</v>
      </c>
      <c r="C1510" s="285">
        <v>3.2225150396889219</v>
      </c>
      <c r="D1510" s="285">
        <v>0.20456987650939329</v>
      </c>
      <c r="E1510" s="285">
        <v>13.3812503360835</v>
      </c>
    </row>
    <row r="1511" spans="1:5">
      <c r="A1511" s="284">
        <f t="shared" si="1014"/>
        <v>1443</v>
      </c>
      <c r="B1511" s="285">
        <v>1.9106265644702105</v>
      </c>
      <c r="C1511" s="285">
        <v>2.7286956032948666</v>
      </c>
      <c r="D1511" s="285">
        <v>-0.59434123841608222</v>
      </c>
      <c r="E1511" s="285">
        <v>1.5663913755303587</v>
      </c>
    </row>
    <row r="1512" spans="1:5">
      <c r="A1512" s="284">
        <f t="shared" si="1014"/>
        <v>1444</v>
      </c>
      <c r="B1512" s="285">
        <v>-0.78674620869856049</v>
      </c>
      <c r="C1512" s="285">
        <v>2.6684366247799751</v>
      </c>
      <c r="D1512" s="285">
        <v>0.32167274129843682</v>
      </c>
      <c r="E1512" s="285">
        <v>1.2141721926160636</v>
      </c>
    </row>
    <row r="1513" spans="1:5">
      <c r="A1513" s="284">
        <f t="shared" si="1014"/>
        <v>1445</v>
      </c>
      <c r="B1513" s="285">
        <v>4.0834502206603424E-2</v>
      </c>
      <c r="C1513" s="285">
        <v>2.3263409542027129</v>
      </c>
      <c r="D1513" s="285">
        <v>1.677095834527125</v>
      </c>
      <c r="E1513" s="285">
        <v>-15.785447731931804</v>
      </c>
    </row>
    <row r="1514" spans="1:5">
      <c r="A1514" s="284">
        <f t="shared" si="1014"/>
        <v>1446</v>
      </c>
      <c r="B1514" s="285">
        <v>-0.24067806258036215</v>
      </c>
      <c r="C1514" s="285">
        <v>2.4339767714713028</v>
      </c>
      <c r="D1514" s="285">
        <v>1.1855174645274225</v>
      </c>
      <c r="E1514" s="285">
        <v>-5.7285241060560725</v>
      </c>
    </row>
    <row r="1515" spans="1:5">
      <c r="A1515" s="284">
        <f t="shared" si="1014"/>
        <v>1447</v>
      </c>
      <c r="B1515" s="285">
        <v>-3.0446818846487855</v>
      </c>
      <c r="C1515" s="285">
        <v>2.4912640487625999</v>
      </c>
      <c r="D1515" s="285">
        <v>1.1192949932102532</v>
      </c>
      <c r="E1515" s="285">
        <v>3.8643428783687654</v>
      </c>
    </row>
    <row r="1516" spans="1:5">
      <c r="A1516" s="284">
        <f t="shared" si="1014"/>
        <v>1448</v>
      </c>
      <c r="B1516" s="285">
        <v>0.8930861501692946</v>
      </c>
      <c r="C1516" s="285">
        <v>1.7955955148335225</v>
      </c>
      <c r="D1516" s="285">
        <v>2.2758759089454195</v>
      </c>
      <c r="E1516" s="285">
        <v>-13.558150618997228</v>
      </c>
    </row>
    <row r="1517" spans="1:5">
      <c r="A1517" s="284">
        <f t="shared" si="1014"/>
        <v>1449</v>
      </c>
      <c r="B1517" s="285">
        <v>0.90309411621771774</v>
      </c>
      <c r="C1517" s="285">
        <v>2.8652864090233852</v>
      </c>
      <c r="D1517" s="285">
        <v>2.5169352299071295</v>
      </c>
      <c r="E1517" s="285">
        <v>4.5963791225334454</v>
      </c>
    </row>
    <row r="1518" spans="1:5">
      <c r="A1518" s="284">
        <f t="shared" si="1014"/>
        <v>1450</v>
      </c>
      <c r="B1518" s="285">
        <v>8.6090298440098897E-2</v>
      </c>
      <c r="C1518" s="285">
        <v>2.3914854669108965</v>
      </c>
      <c r="D1518" s="285">
        <v>1.3822742644202464</v>
      </c>
      <c r="E1518" s="285">
        <v>-4.8186490478519381</v>
      </c>
    </row>
    <row r="1519" spans="1:5">
      <c r="A1519" s="284">
        <f t="shared" si="1014"/>
        <v>1451</v>
      </c>
      <c r="B1519" s="285">
        <v>-0.9124935059945295</v>
      </c>
      <c r="C1519" s="285">
        <v>1.9632365808537102</v>
      </c>
      <c r="D1519" s="285">
        <v>1.96011976355847</v>
      </c>
      <c r="E1519" s="285">
        <v>-14.792977131694803</v>
      </c>
    </row>
    <row r="1520" spans="1:5">
      <c r="A1520" s="284">
        <f t="shared" si="1014"/>
        <v>1452</v>
      </c>
      <c r="B1520" s="285">
        <v>0.56365167081293477</v>
      </c>
      <c r="C1520" s="285">
        <v>2.4128617836435282</v>
      </c>
      <c r="D1520" s="285">
        <v>0.91581391474781015</v>
      </c>
      <c r="E1520" s="285">
        <v>-7.9066712156656749</v>
      </c>
    </row>
    <row r="1521" spans="1:5">
      <c r="A1521" s="284">
        <f t="shared" si="1014"/>
        <v>1453</v>
      </c>
      <c r="B1521" s="285">
        <v>4.1083901865955479</v>
      </c>
      <c r="C1521" s="285">
        <v>2.7955170022010827</v>
      </c>
      <c r="D1521" s="285">
        <v>2.016832264995021</v>
      </c>
      <c r="E1521" s="285">
        <v>-8.8693912028261064</v>
      </c>
    </row>
    <row r="1522" spans="1:5">
      <c r="A1522" s="284">
        <f t="shared" si="1014"/>
        <v>1454</v>
      </c>
      <c r="B1522" s="285">
        <v>-0.51014746228810381</v>
      </c>
      <c r="C1522" s="285">
        <v>1.9586982080553987</v>
      </c>
      <c r="D1522" s="285">
        <v>1.4175364427062775</v>
      </c>
      <c r="E1522" s="285">
        <v>-10.796057353148553</v>
      </c>
    </row>
    <row r="1523" spans="1:5">
      <c r="A1523" s="284">
        <f t="shared" si="1014"/>
        <v>1455</v>
      </c>
      <c r="B1523" s="285">
        <v>-1.8434713937932352</v>
      </c>
      <c r="C1523" s="285">
        <v>2.5333793597721965</v>
      </c>
      <c r="D1523" s="285">
        <v>1.1690790971950578</v>
      </c>
      <c r="E1523" s="285">
        <v>4.8016417539321967</v>
      </c>
    </row>
    <row r="1524" spans="1:5">
      <c r="A1524" s="284">
        <f t="shared" si="1014"/>
        <v>1456</v>
      </c>
      <c r="B1524" s="285">
        <v>2.5934262145428955</v>
      </c>
      <c r="C1524" s="285">
        <v>3.0629390875296449</v>
      </c>
      <c r="D1524" s="285">
        <v>1.9970258722479461</v>
      </c>
      <c r="E1524" s="285">
        <v>0.18178405244096085</v>
      </c>
    </row>
    <row r="1525" spans="1:5">
      <c r="A1525" s="284">
        <f t="shared" si="1014"/>
        <v>1457</v>
      </c>
      <c r="B1525" s="285">
        <v>-2.740639715846537</v>
      </c>
      <c r="C1525" s="285">
        <v>2.5398611838108858</v>
      </c>
      <c r="D1525" s="285">
        <v>0.70306316737427865</v>
      </c>
      <c r="E1525" s="285">
        <v>-3.5819427648201554</v>
      </c>
    </row>
    <row r="1526" spans="1:5">
      <c r="A1526" s="284">
        <f t="shared" si="1014"/>
        <v>1458</v>
      </c>
      <c r="B1526" s="285">
        <v>0.98292173251512371</v>
      </c>
      <c r="C1526" s="285">
        <v>2.3204931744348243</v>
      </c>
      <c r="D1526" s="285">
        <v>2.7099039471865849</v>
      </c>
      <c r="E1526" s="285">
        <v>-8.5248455404205572</v>
      </c>
    </row>
    <row r="1527" spans="1:5">
      <c r="A1527" s="284">
        <f t="shared" si="1014"/>
        <v>1459</v>
      </c>
      <c r="B1527" s="285">
        <v>0.28678836226838056</v>
      </c>
      <c r="C1527" s="285">
        <v>1.9023862450466902</v>
      </c>
      <c r="D1527" s="285">
        <v>2.8509153233734135</v>
      </c>
      <c r="E1527" s="285">
        <v>-20.793477526686466</v>
      </c>
    </row>
    <row r="1528" spans="1:5">
      <c r="A1528" s="284">
        <f t="shared" si="1014"/>
        <v>1460</v>
      </c>
      <c r="B1528" s="285">
        <v>-0.11548845071090726</v>
      </c>
      <c r="C1528" s="285">
        <v>3.0475159801293099</v>
      </c>
      <c r="D1528" s="285">
        <v>0.83059562845906876</v>
      </c>
      <c r="E1528" s="285">
        <v>2.5049096272268305</v>
      </c>
    </row>
    <row r="1529" spans="1:5">
      <c r="A1529" s="284">
        <f t="shared" si="1014"/>
        <v>1461</v>
      </c>
      <c r="B1529" s="285">
        <v>-3.7206535260103117</v>
      </c>
      <c r="C1529" s="285">
        <v>3.3057999530755229</v>
      </c>
      <c r="D1529" s="285">
        <v>0.94494569865775579</v>
      </c>
      <c r="E1529" s="285">
        <v>14.282724346281153</v>
      </c>
    </row>
    <row r="1530" spans="1:5">
      <c r="A1530" s="284">
        <f t="shared" si="1014"/>
        <v>1462</v>
      </c>
      <c r="B1530" s="285">
        <v>-2.9689144632653566</v>
      </c>
      <c r="C1530" s="285">
        <v>2.8589583777266085</v>
      </c>
      <c r="D1530" s="285">
        <v>0.97790098645555579</v>
      </c>
      <c r="E1530" s="285">
        <v>-1.215751666877225</v>
      </c>
    </row>
    <row r="1531" spans="1:5">
      <c r="A1531" s="284">
        <f t="shared" si="1014"/>
        <v>1463</v>
      </c>
      <c r="B1531" s="285">
        <v>2.6659916570744193</v>
      </c>
      <c r="C1531" s="285">
        <v>1.9752552692672827</v>
      </c>
      <c r="D1531" s="285">
        <v>1.8182850800914279</v>
      </c>
      <c r="E1531" s="285">
        <v>-9.7518483925526382</v>
      </c>
    </row>
    <row r="1532" spans="1:5">
      <c r="A1532" s="284">
        <f t="shared" si="1014"/>
        <v>1464</v>
      </c>
      <c r="B1532" s="285">
        <v>-0.48696867715750519</v>
      </c>
      <c r="C1532" s="285">
        <v>1.7378891275800785</v>
      </c>
      <c r="D1532" s="285">
        <v>-5.5126767624386286E-2</v>
      </c>
      <c r="E1532" s="285">
        <v>-11.469109519350859</v>
      </c>
    </row>
    <row r="1533" spans="1:5">
      <c r="A1533" s="284">
        <f t="shared" si="1014"/>
        <v>1465</v>
      </c>
      <c r="B1533" s="285">
        <v>-0.37997165508440006</v>
      </c>
      <c r="C1533" s="285">
        <v>1.8742003405956857</v>
      </c>
      <c r="D1533" s="285">
        <v>2.2487494131868031</v>
      </c>
      <c r="E1533" s="285">
        <v>-15.740591161985197</v>
      </c>
    </row>
    <row r="1534" spans="1:5">
      <c r="A1534" s="284">
        <f t="shared" si="1014"/>
        <v>1466</v>
      </c>
      <c r="B1534" s="285">
        <v>1.5873905505115675</v>
      </c>
      <c r="C1534" s="285">
        <v>2.0849005478072264</v>
      </c>
      <c r="D1534" s="285">
        <v>2.1132530485729655</v>
      </c>
      <c r="E1534" s="285">
        <v>-20.924067911718399</v>
      </c>
    </row>
    <row r="1535" spans="1:5">
      <c r="A1535" s="284">
        <f t="shared" si="1014"/>
        <v>1467</v>
      </c>
      <c r="B1535" s="285">
        <v>2.2473544442002953</v>
      </c>
      <c r="C1535" s="285">
        <v>2.8483971851067529</v>
      </c>
      <c r="D1535" s="285">
        <v>1.5148618675290586</v>
      </c>
      <c r="E1535" s="285">
        <v>-10.310624245537525</v>
      </c>
    </row>
    <row r="1536" spans="1:5">
      <c r="A1536" s="284">
        <f t="shared" si="1014"/>
        <v>1468</v>
      </c>
      <c r="B1536" s="285">
        <v>-2.1030824816434652</v>
      </c>
      <c r="C1536" s="285">
        <v>2.5634655471677306</v>
      </c>
      <c r="D1536" s="285">
        <v>1.080260941739418</v>
      </c>
      <c r="E1536" s="285">
        <v>-0.69325333182429238</v>
      </c>
    </row>
    <row r="1537" spans="1:5">
      <c r="A1537" s="284">
        <f t="shared" si="1014"/>
        <v>1469</v>
      </c>
      <c r="B1537" s="285">
        <v>-1.322063259272916</v>
      </c>
      <c r="C1537" s="285">
        <v>2.2488131227101706</v>
      </c>
      <c r="D1537" s="285">
        <v>-1.519964404527796E-2</v>
      </c>
      <c r="E1537" s="285">
        <v>-10.17056809315852</v>
      </c>
    </row>
    <row r="1538" spans="1:5">
      <c r="A1538" s="284">
        <f t="shared" si="1014"/>
        <v>1470</v>
      </c>
      <c r="B1538" s="285">
        <v>-1.8174350171717051</v>
      </c>
      <c r="C1538" s="285">
        <v>2.5080307970530988</v>
      </c>
      <c r="D1538" s="285">
        <v>0.92264467517127091</v>
      </c>
      <c r="E1538" s="285">
        <v>6.3481730252421631</v>
      </c>
    </row>
    <row r="1539" spans="1:5">
      <c r="A1539" s="284">
        <f t="shared" si="1014"/>
        <v>1471</v>
      </c>
      <c r="B1539" s="285">
        <v>-0.41448295755607678</v>
      </c>
      <c r="C1539" s="285">
        <v>3.4383562744908271</v>
      </c>
      <c r="D1539" s="285">
        <v>-0.32523623281975822</v>
      </c>
      <c r="E1539" s="285">
        <v>14.25233806755622</v>
      </c>
    </row>
    <row r="1540" spans="1:5">
      <c r="A1540" s="284">
        <f t="shared" si="1014"/>
        <v>1472</v>
      </c>
      <c r="B1540" s="285">
        <v>2.8532747723282976</v>
      </c>
      <c r="C1540" s="285">
        <v>3.4038968300804782</v>
      </c>
      <c r="D1540" s="285">
        <v>0.16304813263140527</v>
      </c>
      <c r="E1540" s="285">
        <v>6.2172663787597457</v>
      </c>
    </row>
    <row r="1541" spans="1:5">
      <c r="A1541" s="284">
        <f t="shared" si="1014"/>
        <v>1473</v>
      </c>
      <c r="B1541" s="285">
        <v>5.2593726986578493E-2</v>
      </c>
      <c r="C1541" s="285">
        <v>2.987295398814962</v>
      </c>
      <c r="D1541" s="285">
        <v>1.8902648442855408</v>
      </c>
      <c r="E1541" s="285">
        <v>2.8029371051145602</v>
      </c>
    </row>
    <row r="1542" spans="1:5">
      <c r="A1542" s="284">
        <f t="shared" si="1014"/>
        <v>1474</v>
      </c>
      <c r="B1542" s="285">
        <v>-0.20525348052578316</v>
      </c>
      <c r="C1542" s="285">
        <v>2.9443997808072262</v>
      </c>
      <c r="D1542" s="285">
        <v>1.6926102895923414</v>
      </c>
      <c r="E1542" s="285">
        <v>9.1722216847139393</v>
      </c>
    </row>
    <row r="1543" spans="1:5">
      <c r="A1543" s="284">
        <f t="shared" ref="A1543:A1606" si="1015">A1542+1</f>
        <v>1475</v>
      </c>
      <c r="B1543" s="285">
        <v>-0.70490772483573916</v>
      </c>
      <c r="C1543" s="285">
        <v>2.6275841252791854</v>
      </c>
      <c r="D1543" s="285">
        <v>1.9459945246343078</v>
      </c>
      <c r="E1543" s="285">
        <v>1.1968253684535619</v>
      </c>
    </row>
    <row r="1544" spans="1:5">
      <c r="A1544" s="284">
        <f t="shared" si="1015"/>
        <v>1476</v>
      </c>
      <c r="B1544" s="285">
        <v>0.39871229224565818</v>
      </c>
      <c r="C1544" s="285">
        <v>2.6324407617786498</v>
      </c>
      <c r="D1544" s="285">
        <v>1.3481097038097019</v>
      </c>
      <c r="E1544" s="285">
        <v>-2.2144959881599333</v>
      </c>
    </row>
    <row r="1545" spans="1:5">
      <c r="A1545" s="284">
        <f t="shared" si="1015"/>
        <v>1477</v>
      </c>
      <c r="B1545" s="285">
        <v>1.5522409616230768</v>
      </c>
      <c r="C1545" s="285">
        <v>2.6133966004976461</v>
      </c>
      <c r="D1545" s="285">
        <v>0.75543374139946229</v>
      </c>
      <c r="E1545" s="285">
        <v>3.2074823780972959</v>
      </c>
    </row>
    <row r="1546" spans="1:5">
      <c r="A1546" s="284">
        <f t="shared" si="1015"/>
        <v>1478</v>
      </c>
      <c r="B1546" s="285">
        <v>1.7184849491550174</v>
      </c>
      <c r="C1546" s="285">
        <v>3.0983022955801323</v>
      </c>
      <c r="D1546" s="285">
        <v>0.68810977558033048</v>
      </c>
      <c r="E1546" s="285">
        <v>-5.1884887685054224</v>
      </c>
    </row>
    <row r="1547" spans="1:5">
      <c r="A1547" s="284">
        <f t="shared" si="1015"/>
        <v>1479</v>
      </c>
      <c r="B1547" s="285">
        <v>3.735871415686197</v>
      </c>
      <c r="C1547" s="285">
        <v>2.6170340245278627</v>
      </c>
      <c r="D1547" s="285">
        <v>1.9966412792120498</v>
      </c>
      <c r="E1547" s="285">
        <v>5.7509795756722557</v>
      </c>
    </row>
    <row r="1548" spans="1:5">
      <c r="A1548" s="284">
        <f t="shared" si="1015"/>
        <v>1480</v>
      </c>
      <c r="B1548" s="285">
        <v>-1.7102239338212288</v>
      </c>
      <c r="C1548" s="285">
        <v>2.4469850784274394</v>
      </c>
      <c r="D1548" s="285">
        <v>-8.6566568282543166E-2</v>
      </c>
      <c r="E1548" s="285">
        <v>-2.4404945939761311</v>
      </c>
    </row>
    <row r="1549" spans="1:5">
      <c r="A1549" s="284">
        <f t="shared" si="1015"/>
        <v>1481</v>
      </c>
      <c r="B1549" s="285">
        <v>1.0018597983330559</v>
      </c>
      <c r="C1549" s="285">
        <v>3.0911206918383445</v>
      </c>
      <c r="D1549" s="285">
        <v>1.1530880143021116</v>
      </c>
      <c r="E1549" s="285">
        <v>8.4934497975760941</v>
      </c>
    </row>
    <row r="1550" spans="1:5">
      <c r="A1550" s="284">
        <f t="shared" si="1015"/>
        <v>1482</v>
      </c>
      <c r="B1550" s="285">
        <v>-3.7783339123034789</v>
      </c>
      <c r="C1550" s="285">
        <v>1.0350273626366184</v>
      </c>
      <c r="D1550" s="285">
        <v>1.5602879790179751</v>
      </c>
      <c r="E1550" s="285">
        <v>-25.648409457555029</v>
      </c>
    </row>
    <row r="1551" spans="1:5">
      <c r="A1551" s="284">
        <f t="shared" si="1015"/>
        <v>1483</v>
      </c>
      <c r="B1551" s="285">
        <v>-0.28321718236434235</v>
      </c>
      <c r="C1551" s="285">
        <v>3.0512031962650203</v>
      </c>
      <c r="D1551" s="285">
        <v>1.2495914890199995</v>
      </c>
      <c r="E1551" s="285">
        <v>12.114313453841428</v>
      </c>
    </row>
    <row r="1552" spans="1:5">
      <c r="A1552" s="284">
        <f t="shared" si="1015"/>
        <v>1484</v>
      </c>
      <c r="B1552" s="285">
        <v>-3.9360117069114984</v>
      </c>
      <c r="C1552" s="285">
        <v>2.157240538622514</v>
      </c>
      <c r="D1552" s="285">
        <v>1.9258571077744486</v>
      </c>
      <c r="E1552" s="285">
        <v>0.38570319220888427</v>
      </c>
    </row>
    <row r="1553" spans="1:5">
      <c r="A1553" s="284">
        <f t="shared" si="1015"/>
        <v>1485</v>
      </c>
      <c r="B1553" s="285">
        <v>-0.34723667265733005</v>
      </c>
      <c r="C1553" s="285">
        <v>2.5336363709960068</v>
      </c>
      <c r="D1553" s="285">
        <v>1.0401026276741554</v>
      </c>
      <c r="E1553" s="285">
        <v>2.7493781839535045</v>
      </c>
    </row>
    <row r="1554" spans="1:5">
      <c r="A1554" s="284">
        <f t="shared" si="1015"/>
        <v>1486</v>
      </c>
      <c r="B1554" s="285">
        <v>-1.7442619182921295</v>
      </c>
      <c r="C1554" s="285">
        <v>2.7110023962140919</v>
      </c>
      <c r="D1554" s="285">
        <v>0.7167007234262166</v>
      </c>
      <c r="E1554" s="285">
        <v>-1.0470050484338791</v>
      </c>
    </row>
    <row r="1555" spans="1:5">
      <c r="A1555" s="284">
        <f t="shared" si="1015"/>
        <v>1487</v>
      </c>
      <c r="B1555" s="285">
        <v>-4.3708834854933656</v>
      </c>
      <c r="C1555" s="285">
        <v>2.1821756077418897</v>
      </c>
      <c r="D1555" s="285">
        <v>1.028099226868775</v>
      </c>
      <c r="E1555" s="285">
        <v>-12.580584612077804</v>
      </c>
    </row>
    <row r="1556" spans="1:5">
      <c r="A1556" s="284">
        <f t="shared" si="1015"/>
        <v>1488</v>
      </c>
      <c r="B1556" s="285">
        <v>0.46997926440327625</v>
      </c>
      <c r="C1556" s="285">
        <v>2.0225365816488026</v>
      </c>
      <c r="D1556" s="285">
        <v>2.2628479686322511</v>
      </c>
      <c r="E1556" s="285">
        <v>-5.1074428102238976</v>
      </c>
    </row>
    <row r="1557" spans="1:5">
      <c r="A1557" s="284">
        <f t="shared" si="1015"/>
        <v>1489</v>
      </c>
      <c r="B1557" s="285">
        <v>-2.9642507790523238</v>
      </c>
      <c r="C1557" s="285">
        <v>1.7171510418628728</v>
      </c>
      <c r="D1557" s="285">
        <v>0.24276194309847687</v>
      </c>
      <c r="E1557" s="285">
        <v>-18.861181050858303</v>
      </c>
    </row>
    <row r="1558" spans="1:5">
      <c r="A1558" s="284">
        <f t="shared" si="1015"/>
        <v>1490</v>
      </c>
      <c r="B1558" s="285">
        <v>-0.69874334488349854</v>
      </c>
      <c r="C1558" s="285">
        <v>2.144693290073552</v>
      </c>
      <c r="D1558" s="285">
        <v>1.7587856964884145</v>
      </c>
      <c r="E1558" s="285">
        <v>-16.249883077609248</v>
      </c>
    </row>
    <row r="1559" spans="1:5">
      <c r="A1559" s="284">
        <f t="shared" si="1015"/>
        <v>1491</v>
      </c>
      <c r="B1559" s="285">
        <v>-1.4541801231175133</v>
      </c>
      <c r="C1559" s="285">
        <v>2.802156506268497</v>
      </c>
      <c r="D1559" s="285">
        <v>3.5304452130646475</v>
      </c>
      <c r="E1559" s="285">
        <v>1.9187549715486498</v>
      </c>
    </row>
    <row r="1560" spans="1:5">
      <c r="A1560" s="284">
        <f t="shared" si="1015"/>
        <v>1492</v>
      </c>
      <c r="B1560" s="285">
        <v>0.10782677848254764</v>
      </c>
      <c r="C1560" s="285">
        <v>2.6874318667259391</v>
      </c>
      <c r="D1560" s="285">
        <v>1.1600726501188747</v>
      </c>
      <c r="E1560" s="285">
        <v>7.625216646931694</v>
      </c>
    </row>
    <row r="1561" spans="1:5">
      <c r="A1561" s="284">
        <f t="shared" si="1015"/>
        <v>1493</v>
      </c>
      <c r="B1561" s="285">
        <v>2.564666045514171</v>
      </c>
      <c r="C1561" s="285">
        <v>3.0130194783972337</v>
      </c>
      <c r="D1561" s="285">
        <v>0.2786220705491731</v>
      </c>
      <c r="E1561" s="285">
        <v>20.840209095659013</v>
      </c>
    </row>
    <row r="1562" spans="1:5">
      <c r="A1562" s="284">
        <f t="shared" si="1015"/>
        <v>1494</v>
      </c>
      <c r="B1562" s="285">
        <v>0.60479007641547455</v>
      </c>
      <c r="C1562" s="285">
        <v>2.0299463679444054</v>
      </c>
      <c r="D1562" s="285">
        <v>3.7684801335835529</v>
      </c>
      <c r="E1562" s="285">
        <v>-15.992751677345813</v>
      </c>
    </row>
    <row r="1563" spans="1:5">
      <c r="A1563" s="284">
        <f t="shared" si="1015"/>
        <v>1495</v>
      </c>
      <c r="B1563" s="285">
        <v>-0.55503913748277944</v>
      </c>
      <c r="C1563" s="285">
        <v>2.2005270623683457</v>
      </c>
      <c r="D1563" s="285">
        <v>1.5526509694588615</v>
      </c>
      <c r="E1563" s="285">
        <v>-2.6934747787045699</v>
      </c>
    </row>
    <row r="1564" spans="1:5">
      <c r="A1564" s="284">
        <f t="shared" si="1015"/>
        <v>1496</v>
      </c>
      <c r="B1564" s="285">
        <v>3.9928232580528022</v>
      </c>
      <c r="C1564" s="285">
        <v>2.6237797649567152</v>
      </c>
      <c r="D1564" s="285">
        <v>1.7732214787038334</v>
      </c>
      <c r="E1564" s="285">
        <v>-0.56953565663630812</v>
      </c>
    </row>
    <row r="1565" spans="1:5">
      <c r="A1565" s="284">
        <f t="shared" si="1015"/>
        <v>1497</v>
      </c>
      <c r="B1565" s="285">
        <v>-5.0414950757050256</v>
      </c>
      <c r="C1565" s="285">
        <v>2.6402550874670849</v>
      </c>
      <c r="D1565" s="285">
        <v>1.1672285616655413</v>
      </c>
      <c r="E1565" s="285">
        <v>6.396541663984312</v>
      </c>
    </row>
    <row r="1566" spans="1:5">
      <c r="A1566" s="284">
        <f t="shared" si="1015"/>
        <v>1498</v>
      </c>
      <c r="B1566" s="285">
        <v>-2.453591925790763</v>
      </c>
      <c r="C1566" s="285">
        <v>1.6993933686477791</v>
      </c>
      <c r="D1566" s="285">
        <v>1.5832669807895039</v>
      </c>
      <c r="E1566" s="285">
        <v>-18.555794950493247</v>
      </c>
    </row>
    <row r="1567" spans="1:5">
      <c r="A1567" s="284">
        <f t="shared" si="1015"/>
        <v>1499</v>
      </c>
      <c r="B1567" s="285">
        <v>0.84001100752245061</v>
      </c>
      <c r="C1567" s="285">
        <v>2.3976134453539641</v>
      </c>
      <c r="D1567" s="285">
        <v>1.1295515732866099</v>
      </c>
      <c r="E1567" s="285">
        <v>-10.06880391416982</v>
      </c>
    </row>
    <row r="1568" spans="1:5">
      <c r="A1568" s="284">
        <f t="shared" si="1015"/>
        <v>1500</v>
      </c>
      <c r="B1568" s="285">
        <v>-1.4791709044998145</v>
      </c>
      <c r="C1568" s="285">
        <v>2.4637714438928899</v>
      </c>
      <c r="D1568" s="285">
        <v>2.8136972902839772</v>
      </c>
      <c r="E1568" s="285">
        <v>-10.246751398320182</v>
      </c>
    </row>
    <row r="1569" spans="1:5">
      <c r="A1569" s="284">
        <f t="shared" si="1015"/>
        <v>1501</v>
      </c>
      <c r="B1569" s="285">
        <v>-2.4583219128418281</v>
      </c>
      <c r="C1569" s="285">
        <v>2.1279210248757972</v>
      </c>
      <c r="D1569" s="285">
        <v>0.31177792910010249</v>
      </c>
      <c r="E1569" s="285">
        <v>1.6221526037761387</v>
      </c>
    </row>
    <row r="1570" spans="1:5">
      <c r="A1570" s="284">
        <f t="shared" si="1015"/>
        <v>1502</v>
      </c>
      <c r="B1570" s="285">
        <v>-1.1372748365288734</v>
      </c>
      <c r="C1570" s="285">
        <v>2.5217091924274615</v>
      </c>
      <c r="D1570" s="285">
        <v>1.088453905804196</v>
      </c>
      <c r="E1570" s="285">
        <v>-2.945506631501007</v>
      </c>
    </row>
    <row r="1571" spans="1:5">
      <c r="A1571" s="284">
        <f t="shared" si="1015"/>
        <v>1503</v>
      </c>
      <c r="B1571" s="285">
        <v>4.9785179200766052</v>
      </c>
      <c r="C1571" s="285">
        <v>2.7513864746404564</v>
      </c>
      <c r="D1571" s="285">
        <v>3.4003400292804526</v>
      </c>
      <c r="E1571" s="285">
        <v>-13.258231010844517</v>
      </c>
    </row>
    <row r="1572" spans="1:5">
      <c r="A1572" s="284">
        <f t="shared" si="1015"/>
        <v>1504</v>
      </c>
      <c r="B1572" s="285">
        <v>-0.65970783728531679</v>
      </c>
      <c r="C1572" s="285">
        <v>2.7090501828993951</v>
      </c>
      <c r="D1572" s="285">
        <v>1.8629913299813756</v>
      </c>
      <c r="E1572" s="285">
        <v>-4.4746477608379731</v>
      </c>
    </row>
    <row r="1573" spans="1:5">
      <c r="A1573" s="284">
        <f t="shared" si="1015"/>
        <v>1505</v>
      </c>
      <c r="B1573" s="285">
        <v>-1.3666332580241423</v>
      </c>
      <c r="C1573" s="285">
        <v>2.5721770366992804</v>
      </c>
      <c r="D1573" s="285">
        <v>1.8172056419286893</v>
      </c>
      <c r="E1573" s="285">
        <v>5.0580415095403559</v>
      </c>
    </row>
    <row r="1574" spans="1:5">
      <c r="A1574" s="284">
        <f t="shared" si="1015"/>
        <v>1506</v>
      </c>
      <c r="B1574" s="285">
        <v>1.7971188820439461</v>
      </c>
      <c r="C1574" s="285">
        <v>2.4815260706397519</v>
      </c>
      <c r="D1574" s="285">
        <v>2.7388166746392955</v>
      </c>
      <c r="E1574" s="285">
        <v>-11.324128343813333</v>
      </c>
    </row>
    <row r="1575" spans="1:5">
      <c r="A1575" s="284">
        <f t="shared" si="1015"/>
        <v>1507</v>
      </c>
      <c r="B1575" s="285">
        <v>7.4496034374486912</v>
      </c>
      <c r="C1575" s="285">
        <v>2.7379077355401544</v>
      </c>
      <c r="D1575" s="285">
        <v>2.7280073000382785</v>
      </c>
      <c r="E1575" s="285">
        <v>-2.3555418355813074</v>
      </c>
    </row>
    <row r="1576" spans="1:5">
      <c r="A1576" s="284">
        <f t="shared" si="1015"/>
        <v>1508</v>
      </c>
      <c r="B1576" s="285">
        <v>4.6203654635300113</v>
      </c>
      <c r="C1576" s="285">
        <v>2.5702884260420542</v>
      </c>
      <c r="D1576" s="285">
        <v>1.9461967145868879</v>
      </c>
      <c r="E1576" s="285">
        <v>-15.908806358307498</v>
      </c>
    </row>
    <row r="1577" spans="1:5">
      <c r="A1577" s="284">
        <f t="shared" si="1015"/>
        <v>1509</v>
      </c>
      <c r="B1577" s="285">
        <v>-0.41471681769218532</v>
      </c>
      <c r="C1577" s="285">
        <v>2.0554312533537367</v>
      </c>
      <c r="D1577" s="285">
        <v>2.8319502787643041</v>
      </c>
      <c r="E1577" s="285">
        <v>-17.742428351952345</v>
      </c>
    </row>
    <row r="1578" spans="1:5">
      <c r="A1578" s="284">
        <f t="shared" si="1015"/>
        <v>1510</v>
      </c>
      <c r="B1578" s="285">
        <v>0.55196641981760064</v>
      </c>
      <c r="C1578" s="285">
        <v>2.5819384323310968</v>
      </c>
      <c r="D1578" s="285">
        <v>1.3480963695479482</v>
      </c>
      <c r="E1578" s="285">
        <v>-12.068171711570699</v>
      </c>
    </row>
    <row r="1579" spans="1:5">
      <c r="A1579" s="284">
        <f t="shared" si="1015"/>
        <v>1511</v>
      </c>
      <c r="B1579" s="285">
        <v>0.78686948515610577</v>
      </c>
      <c r="C1579" s="285">
        <v>2.5195960827340422</v>
      </c>
      <c r="D1579" s="285">
        <v>2.6090162956067511</v>
      </c>
      <c r="E1579" s="285">
        <v>-11.09597559035498</v>
      </c>
    </row>
    <row r="1580" spans="1:5">
      <c r="A1580" s="284">
        <f t="shared" si="1015"/>
        <v>1512</v>
      </c>
      <c r="B1580" s="285">
        <v>0.50773839115466968</v>
      </c>
      <c r="C1580" s="285">
        <v>3.1278472593520004</v>
      </c>
      <c r="D1580" s="285">
        <v>0.23752792784623455</v>
      </c>
      <c r="E1580" s="285">
        <v>8.9693284097194717</v>
      </c>
    </row>
    <row r="1581" spans="1:5">
      <c r="A1581" s="284">
        <f t="shared" si="1015"/>
        <v>1513</v>
      </c>
      <c r="B1581" s="285">
        <v>-2.6414718768293945</v>
      </c>
      <c r="C1581" s="285">
        <v>2.2727871914969704</v>
      </c>
      <c r="D1581" s="285">
        <v>-2.6979170285459153E-2</v>
      </c>
      <c r="E1581" s="285">
        <v>10.894125096417099</v>
      </c>
    </row>
    <row r="1582" spans="1:5">
      <c r="A1582" s="284">
        <f t="shared" si="1015"/>
        <v>1514</v>
      </c>
      <c r="B1582" s="285">
        <v>1.8854549704730232</v>
      </c>
      <c r="C1582" s="285">
        <v>2.9460916001735438</v>
      </c>
      <c r="D1582" s="285">
        <v>0.3390654427170714</v>
      </c>
      <c r="E1582" s="285">
        <v>0.13964462286509516</v>
      </c>
    </row>
    <row r="1583" spans="1:5">
      <c r="A1583" s="284">
        <f t="shared" si="1015"/>
        <v>1515</v>
      </c>
      <c r="B1583" s="285">
        <v>-1.6206407071304554</v>
      </c>
      <c r="C1583" s="285">
        <v>1.7103143481051712</v>
      </c>
      <c r="D1583" s="285">
        <v>2.9192829543753058</v>
      </c>
      <c r="E1583" s="285">
        <v>-10.471396881824569</v>
      </c>
    </row>
    <row r="1584" spans="1:5">
      <c r="A1584" s="284">
        <f t="shared" si="1015"/>
        <v>1516</v>
      </c>
      <c r="B1584" s="285">
        <v>0.43215491975163717</v>
      </c>
      <c r="C1584" s="285">
        <v>2.5802806451071798</v>
      </c>
      <c r="D1584" s="285">
        <v>-0.31968308211899243</v>
      </c>
      <c r="E1584" s="285">
        <v>-5.1052212921043125</v>
      </c>
    </row>
    <row r="1585" spans="1:5">
      <c r="A1585" s="284">
        <f t="shared" si="1015"/>
        <v>1517</v>
      </c>
      <c r="B1585" s="285">
        <v>-2.6601959217525617</v>
      </c>
      <c r="C1585" s="285">
        <v>2.6862615852415188</v>
      </c>
      <c r="D1585" s="285">
        <v>3.0582710151260279</v>
      </c>
      <c r="E1585" s="285">
        <v>4.2863024223387622</v>
      </c>
    </row>
    <row r="1586" spans="1:5">
      <c r="A1586" s="284">
        <f t="shared" si="1015"/>
        <v>1518</v>
      </c>
      <c r="B1586" s="285">
        <v>-0.55936226417131008</v>
      </c>
      <c r="C1586" s="285">
        <v>2.6444593189832966</v>
      </c>
      <c r="D1586" s="285">
        <v>1.7256452313752928</v>
      </c>
      <c r="E1586" s="285">
        <v>0.1002832713086721</v>
      </c>
    </row>
    <row r="1587" spans="1:5">
      <c r="A1587" s="284">
        <f t="shared" si="1015"/>
        <v>1519</v>
      </c>
      <c r="B1587" s="285">
        <v>-4.1156159167111275</v>
      </c>
      <c r="C1587" s="285">
        <v>2.298418137705502</v>
      </c>
      <c r="D1587" s="285">
        <v>1.7143272139144314</v>
      </c>
      <c r="E1587" s="285">
        <v>-2.4081549294900708</v>
      </c>
    </row>
    <row r="1588" spans="1:5">
      <c r="A1588" s="284">
        <f t="shared" si="1015"/>
        <v>1520</v>
      </c>
      <c r="B1588" s="285">
        <v>9.7274273489386956E-2</v>
      </c>
      <c r="C1588" s="285">
        <v>2.2233125006790573</v>
      </c>
      <c r="D1588" s="285">
        <v>2.159411310297052</v>
      </c>
      <c r="E1588" s="285">
        <v>-16.608705394911421</v>
      </c>
    </row>
    <row r="1589" spans="1:5">
      <c r="A1589" s="284">
        <f t="shared" si="1015"/>
        <v>1521</v>
      </c>
      <c r="B1589" s="285">
        <v>-1.4772958428393002</v>
      </c>
      <c r="C1589" s="285">
        <v>2.8792492742377762</v>
      </c>
      <c r="D1589" s="285">
        <v>0.87029992205015205</v>
      </c>
      <c r="E1589" s="285">
        <v>-7.0852261882984102</v>
      </c>
    </row>
    <row r="1590" spans="1:5">
      <c r="A1590" s="284">
        <f t="shared" si="1015"/>
        <v>1522</v>
      </c>
      <c r="B1590" s="285">
        <v>1.637186083576464</v>
      </c>
      <c r="C1590" s="285">
        <v>2.908389030812927</v>
      </c>
      <c r="D1590" s="285">
        <v>1.3680392407630486</v>
      </c>
      <c r="E1590" s="285">
        <v>9.0314999185943687</v>
      </c>
    </row>
    <row r="1591" spans="1:5">
      <c r="A1591" s="284">
        <f t="shared" si="1015"/>
        <v>1523</v>
      </c>
      <c r="B1591" s="285">
        <v>1.1302127603931427</v>
      </c>
      <c r="C1591" s="285">
        <v>3.0399726665285058</v>
      </c>
      <c r="D1591" s="285">
        <v>1.3810961807663387</v>
      </c>
      <c r="E1591" s="285">
        <v>10.034293157887827</v>
      </c>
    </row>
    <row r="1592" spans="1:5">
      <c r="A1592" s="284">
        <f t="shared" si="1015"/>
        <v>1524</v>
      </c>
      <c r="B1592" s="285">
        <v>0.11515075708352084</v>
      </c>
      <c r="C1592" s="285">
        <v>2.8173892057621335</v>
      </c>
      <c r="D1592" s="285">
        <v>-1.724958217099827</v>
      </c>
      <c r="E1592" s="285">
        <v>18.399168116901041</v>
      </c>
    </row>
    <row r="1593" spans="1:5">
      <c r="A1593" s="284">
        <f t="shared" si="1015"/>
        <v>1525</v>
      </c>
      <c r="B1593" s="285">
        <v>3.5877722251067365</v>
      </c>
      <c r="C1593" s="285">
        <v>3.1227496535585932</v>
      </c>
      <c r="D1593" s="285">
        <v>0.31453452399586768</v>
      </c>
      <c r="E1593" s="285">
        <v>-1.5329066886141693</v>
      </c>
    </row>
    <row r="1594" spans="1:5">
      <c r="A1594" s="284">
        <f t="shared" si="1015"/>
        <v>1526</v>
      </c>
      <c r="B1594" s="285">
        <v>-0.22938588730551246</v>
      </c>
      <c r="C1594" s="285">
        <v>2.3861860533491726</v>
      </c>
      <c r="D1594" s="285">
        <v>1.977089401741928</v>
      </c>
      <c r="E1594" s="285">
        <v>-11.302120958329635</v>
      </c>
    </row>
    <row r="1595" spans="1:5">
      <c r="A1595" s="284">
        <f t="shared" si="1015"/>
        <v>1527</v>
      </c>
      <c r="B1595" s="285">
        <v>5.0837937086684093</v>
      </c>
      <c r="C1595" s="285">
        <v>2.3870286793669155</v>
      </c>
      <c r="D1595" s="285">
        <v>1.2618203265987704</v>
      </c>
      <c r="E1595" s="285">
        <v>-15.344499467924457</v>
      </c>
    </row>
    <row r="1596" spans="1:5">
      <c r="A1596" s="284">
        <f t="shared" si="1015"/>
        <v>1528</v>
      </c>
      <c r="B1596" s="285">
        <v>4.1352669139315505</v>
      </c>
      <c r="C1596" s="285">
        <v>2.2755354389011204</v>
      </c>
      <c r="D1596" s="285">
        <v>2.1554689304692713</v>
      </c>
      <c r="E1596" s="285">
        <v>-16.820715339731208</v>
      </c>
    </row>
    <row r="1597" spans="1:5">
      <c r="A1597" s="284">
        <f t="shared" si="1015"/>
        <v>1529</v>
      </c>
      <c r="B1597" s="285">
        <v>-2.8024253846245495</v>
      </c>
      <c r="C1597" s="285">
        <v>2.8074448291453651</v>
      </c>
      <c r="D1597" s="285">
        <v>0.6727227513509636</v>
      </c>
      <c r="E1597" s="285">
        <v>-0.31359995412587738</v>
      </c>
    </row>
    <row r="1598" spans="1:5">
      <c r="A1598" s="284">
        <f t="shared" si="1015"/>
        <v>1530</v>
      </c>
      <c r="B1598" s="285">
        <v>-2.0288742068310968</v>
      </c>
      <c r="C1598" s="285">
        <v>1.9237179308238925</v>
      </c>
      <c r="D1598" s="285">
        <v>1.0157215313862955</v>
      </c>
      <c r="E1598" s="285">
        <v>8.9588744447116291</v>
      </c>
    </row>
    <row r="1599" spans="1:5">
      <c r="A1599" s="284">
        <f t="shared" si="1015"/>
        <v>1531</v>
      </c>
      <c r="B1599" s="285">
        <v>-2.3621388456406147</v>
      </c>
      <c r="C1599" s="285">
        <v>2.263084445641482</v>
      </c>
      <c r="D1599" s="285">
        <v>-0.56670322191735623</v>
      </c>
      <c r="E1599" s="285">
        <v>-4.7549292648984585</v>
      </c>
    </row>
    <row r="1600" spans="1:5">
      <c r="A1600" s="284">
        <f t="shared" si="1015"/>
        <v>1532</v>
      </c>
      <c r="B1600" s="285">
        <v>0.34758641672611923</v>
      </c>
      <c r="C1600" s="285">
        <v>2.3368712885286289</v>
      </c>
      <c r="D1600" s="285">
        <v>0.43748542293269943</v>
      </c>
      <c r="E1600" s="285">
        <v>-7.9911367726368674</v>
      </c>
    </row>
    <row r="1601" spans="1:5">
      <c r="A1601" s="284">
        <f t="shared" si="1015"/>
        <v>1533</v>
      </c>
      <c r="B1601" s="285">
        <v>-1.4619964027155408</v>
      </c>
      <c r="C1601" s="285">
        <v>1.8483530204430934</v>
      </c>
      <c r="D1601" s="285">
        <v>1.513851400453065</v>
      </c>
      <c r="E1601" s="285">
        <v>-14.251422083877499</v>
      </c>
    </row>
    <row r="1602" spans="1:5">
      <c r="A1602" s="284">
        <f t="shared" si="1015"/>
        <v>1534</v>
      </c>
      <c r="B1602" s="285">
        <v>-2.5690732737550168</v>
      </c>
      <c r="C1602" s="285">
        <v>2.2039245653246828</v>
      </c>
      <c r="D1602" s="285">
        <v>0.31748348862834375</v>
      </c>
      <c r="E1602" s="285">
        <v>-5.0526750407869248</v>
      </c>
    </row>
    <row r="1603" spans="1:5">
      <c r="A1603" s="284">
        <f t="shared" si="1015"/>
        <v>1535</v>
      </c>
      <c r="B1603" s="285">
        <v>4.1200412804690858</v>
      </c>
      <c r="C1603" s="285">
        <v>2.4458471179940098</v>
      </c>
      <c r="D1603" s="285">
        <v>2.4145253927972505</v>
      </c>
      <c r="E1603" s="285">
        <v>-5.2910852260142054</v>
      </c>
    </row>
    <row r="1604" spans="1:5">
      <c r="A1604" s="284">
        <f t="shared" si="1015"/>
        <v>1536</v>
      </c>
      <c r="B1604" s="285">
        <v>2.1334050837437228</v>
      </c>
      <c r="C1604" s="285">
        <v>2.7595309277525168</v>
      </c>
      <c r="D1604" s="285">
        <v>2.1184345957518289</v>
      </c>
      <c r="E1604" s="285">
        <v>-4.1659168294190634</v>
      </c>
    </row>
    <row r="1605" spans="1:5">
      <c r="A1605" s="284">
        <f t="shared" si="1015"/>
        <v>1537</v>
      </c>
      <c r="B1605" s="285">
        <v>2.3452083795361793</v>
      </c>
      <c r="C1605" s="285">
        <v>2.547745419689591</v>
      </c>
      <c r="D1605" s="285">
        <v>1.4195843052340857</v>
      </c>
      <c r="E1605" s="285">
        <v>-3.4758635089560141</v>
      </c>
    </row>
    <row r="1606" spans="1:5">
      <c r="A1606" s="284">
        <f t="shared" si="1015"/>
        <v>1538</v>
      </c>
      <c r="B1606" s="285">
        <v>2.2744061990335971</v>
      </c>
      <c r="C1606" s="285">
        <v>2.794786898301135</v>
      </c>
      <c r="D1606" s="285">
        <v>0.10378863518920967</v>
      </c>
      <c r="E1606" s="285">
        <v>-5.0896744555992495</v>
      </c>
    </row>
    <row r="1607" spans="1:5">
      <c r="A1607" s="284">
        <f t="shared" ref="A1607:A1670" si="1016">A1606+1</f>
        <v>1539</v>
      </c>
      <c r="B1607" s="285">
        <v>-0.30698432568793427</v>
      </c>
      <c r="C1607" s="285">
        <v>3.1770038015689872</v>
      </c>
      <c r="D1607" s="285">
        <v>1.043701986311617</v>
      </c>
      <c r="E1607" s="285">
        <v>9.1168813299488534</v>
      </c>
    </row>
    <row r="1608" spans="1:5">
      <c r="A1608" s="284">
        <f t="shared" si="1016"/>
        <v>1540</v>
      </c>
      <c r="B1608" s="285">
        <v>-3.7437332010380273</v>
      </c>
      <c r="C1608" s="285">
        <v>1.6866565300216732</v>
      </c>
      <c r="D1608" s="285">
        <v>-1.1834286648219976</v>
      </c>
      <c r="E1608" s="285">
        <v>-2.4398411559106647</v>
      </c>
    </row>
    <row r="1609" spans="1:5">
      <c r="A1609" s="284">
        <f t="shared" si="1016"/>
        <v>1541</v>
      </c>
      <c r="B1609" s="285">
        <v>-1.5486988834905064</v>
      </c>
      <c r="C1609" s="285">
        <v>2.7232827831007262</v>
      </c>
      <c r="D1609" s="285">
        <v>2.3086474448635759</v>
      </c>
      <c r="E1609" s="285">
        <v>7.2145091753493205</v>
      </c>
    </row>
    <row r="1610" spans="1:5">
      <c r="A1610" s="284">
        <f t="shared" si="1016"/>
        <v>1542</v>
      </c>
      <c r="B1610" s="285">
        <v>-0.12889911978603485</v>
      </c>
      <c r="C1610" s="285">
        <v>2.7977300301499408</v>
      </c>
      <c r="D1610" s="285">
        <v>1.941014820732645</v>
      </c>
      <c r="E1610" s="285">
        <v>4.9912502384560504</v>
      </c>
    </row>
    <row r="1611" spans="1:5">
      <c r="A1611" s="284">
        <f t="shared" si="1016"/>
        <v>1543</v>
      </c>
      <c r="B1611" s="285">
        <v>-1.9306749639741188</v>
      </c>
      <c r="C1611" s="285">
        <v>2.7390090073340896</v>
      </c>
      <c r="D1611" s="285">
        <v>1.2859631927276807</v>
      </c>
      <c r="E1611" s="285">
        <v>-4.9746574970609743</v>
      </c>
    </row>
    <row r="1612" spans="1:5">
      <c r="A1612" s="284">
        <f t="shared" si="1016"/>
        <v>1544</v>
      </c>
      <c r="B1612" s="285">
        <v>-1.4040794091477564</v>
      </c>
      <c r="C1612" s="285">
        <v>2.3960343102551862</v>
      </c>
      <c r="D1612" s="285">
        <v>0.34637608159939348</v>
      </c>
      <c r="E1612" s="285">
        <v>-6.3247264608303375</v>
      </c>
    </row>
    <row r="1613" spans="1:5">
      <c r="A1613" s="284">
        <f t="shared" si="1016"/>
        <v>1545</v>
      </c>
      <c r="B1613" s="285">
        <v>0.10581932409523401</v>
      </c>
      <c r="C1613" s="285">
        <v>3.2405382813189529</v>
      </c>
      <c r="D1613" s="285">
        <v>-1.5421360418335963</v>
      </c>
      <c r="E1613" s="285">
        <v>5.4272616174377468</v>
      </c>
    </row>
    <row r="1614" spans="1:5">
      <c r="A1614" s="284">
        <f t="shared" si="1016"/>
        <v>1546</v>
      </c>
      <c r="B1614" s="285">
        <v>1.9332300513602063</v>
      </c>
      <c r="C1614" s="285">
        <v>2.4097366153451429</v>
      </c>
      <c r="D1614" s="285">
        <v>2.9739067697169048</v>
      </c>
      <c r="E1614" s="285">
        <v>-12.030786711907588</v>
      </c>
    </row>
    <row r="1615" spans="1:5">
      <c r="A1615" s="284">
        <f t="shared" si="1016"/>
        <v>1547</v>
      </c>
      <c r="B1615" s="285">
        <v>-0.24590225686896122</v>
      </c>
      <c r="C1615" s="285">
        <v>1.8553206219345428</v>
      </c>
      <c r="D1615" s="285">
        <v>0.95226289264437969</v>
      </c>
      <c r="E1615" s="285">
        <v>-5.6544361768113589</v>
      </c>
    </row>
    <row r="1616" spans="1:5">
      <c r="A1616" s="284">
        <f t="shared" si="1016"/>
        <v>1548</v>
      </c>
      <c r="B1616" s="285">
        <v>-1.9961991727785835</v>
      </c>
      <c r="C1616" s="285">
        <v>2.054633306433149</v>
      </c>
      <c r="D1616" s="285">
        <v>2.2944856206415496</v>
      </c>
      <c r="E1616" s="285">
        <v>-22.004830038433699</v>
      </c>
    </row>
    <row r="1617" spans="1:5">
      <c r="A1617" s="284">
        <f t="shared" si="1016"/>
        <v>1549</v>
      </c>
      <c r="B1617" s="285">
        <v>-3.1116238648345997</v>
      </c>
      <c r="C1617" s="285">
        <v>2.9283103256452474</v>
      </c>
      <c r="D1617" s="285">
        <v>9.3963074799550128E-2</v>
      </c>
      <c r="E1617" s="285">
        <v>-7.5184646147432019</v>
      </c>
    </row>
    <row r="1618" spans="1:5">
      <c r="A1618" s="284">
        <f t="shared" si="1016"/>
        <v>1550</v>
      </c>
      <c r="B1618" s="285">
        <v>-0.73563417328588465</v>
      </c>
      <c r="C1618" s="285">
        <v>2.1695801550566438</v>
      </c>
      <c r="D1618" s="285">
        <v>0.66561027490224545</v>
      </c>
      <c r="E1618" s="285">
        <v>-19.653011648075243</v>
      </c>
    </row>
    <row r="1619" spans="1:5">
      <c r="A1619" s="284">
        <f t="shared" si="1016"/>
        <v>1551</v>
      </c>
      <c r="B1619" s="285">
        <v>-0.99471748401647042</v>
      </c>
      <c r="C1619" s="285">
        <v>1.822751590317752</v>
      </c>
      <c r="D1619" s="285">
        <v>-4.2948683069068405E-2</v>
      </c>
      <c r="E1619" s="285">
        <v>-11.89215595084581</v>
      </c>
    </row>
    <row r="1620" spans="1:5">
      <c r="A1620" s="284">
        <f t="shared" si="1016"/>
        <v>1552</v>
      </c>
      <c r="B1620" s="285">
        <v>2.3893903670725858</v>
      </c>
      <c r="C1620" s="285">
        <v>1.7496537884778767</v>
      </c>
      <c r="D1620" s="285">
        <v>0.85154654818579223</v>
      </c>
      <c r="E1620" s="285">
        <v>-11.538124151250596</v>
      </c>
    </row>
    <row r="1621" spans="1:5">
      <c r="A1621" s="284">
        <f t="shared" si="1016"/>
        <v>1553</v>
      </c>
      <c r="B1621" s="285">
        <v>-1.4851737034663819</v>
      </c>
      <c r="C1621" s="285">
        <v>2.375849813332092</v>
      </c>
      <c r="D1621" s="285">
        <v>2.3768234775131476</v>
      </c>
      <c r="E1621" s="285">
        <v>-2.958939559776133</v>
      </c>
    </row>
    <row r="1622" spans="1:5">
      <c r="A1622" s="284">
        <f t="shared" si="1016"/>
        <v>1554</v>
      </c>
      <c r="B1622" s="285">
        <v>-0.7177459770457576</v>
      </c>
      <c r="C1622" s="285">
        <v>2.4254557416834199</v>
      </c>
      <c r="D1622" s="285">
        <v>0.57033385190365016</v>
      </c>
      <c r="E1622" s="285">
        <v>-0.22189529748691639</v>
      </c>
    </row>
    <row r="1623" spans="1:5">
      <c r="A1623" s="284">
        <f t="shared" si="1016"/>
        <v>1555</v>
      </c>
      <c r="B1623" s="285">
        <v>-3.336722459378056</v>
      </c>
      <c r="C1623" s="285">
        <v>2.1562326042721986</v>
      </c>
      <c r="D1623" s="285">
        <v>0.31507293241800394</v>
      </c>
      <c r="E1623" s="285">
        <v>-1.1986279644704307</v>
      </c>
    </row>
    <row r="1624" spans="1:5">
      <c r="A1624" s="284">
        <f t="shared" si="1016"/>
        <v>1556</v>
      </c>
      <c r="B1624" s="285">
        <v>5.3547890550794319</v>
      </c>
      <c r="C1624" s="285">
        <v>2.8435059671438099</v>
      </c>
      <c r="D1624" s="285">
        <v>2.5508861345216287</v>
      </c>
      <c r="E1624" s="285">
        <v>5.334985214440584</v>
      </c>
    </row>
    <row r="1625" spans="1:5">
      <c r="A1625" s="284">
        <f t="shared" si="1016"/>
        <v>1557</v>
      </c>
      <c r="B1625" s="285">
        <v>4.4850391747878273</v>
      </c>
      <c r="C1625" s="285">
        <v>3.2255631924657719</v>
      </c>
      <c r="D1625" s="285">
        <v>0.45951876864631869</v>
      </c>
      <c r="E1625" s="285">
        <v>7.7740255614402809</v>
      </c>
    </row>
    <row r="1626" spans="1:5">
      <c r="A1626" s="284">
        <f t="shared" si="1016"/>
        <v>1558</v>
      </c>
      <c r="B1626" s="285">
        <v>1.2721734758933687</v>
      </c>
      <c r="C1626" s="285">
        <v>2.4561256450967339</v>
      </c>
      <c r="D1626" s="285">
        <v>-1.2558224762807626</v>
      </c>
      <c r="E1626" s="285">
        <v>-1.8808628850009774</v>
      </c>
    </row>
    <row r="1627" spans="1:5">
      <c r="A1627" s="284">
        <f t="shared" si="1016"/>
        <v>1559</v>
      </c>
      <c r="B1627" s="285">
        <v>-1.353194294370943</v>
      </c>
      <c r="C1627" s="285">
        <v>2.2554871540947286</v>
      </c>
      <c r="D1627" s="285">
        <v>0.19706658764168838</v>
      </c>
      <c r="E1627" s="285">
        <v>-7.5587844054513429</v>
      </c>
    </row>
    <row r="1628" spans="1:5">
      <c r="A1628" s="284">
        <f t="shared" si="1016"/>
        <v>1560</v>
      </c>
      <c r="B1628" s="285">
        <v>0.9520865132851164</v>
      </c>
      <c r="C1628" s="285">
        <v>2.7755343497221925</v>
      </c>
      <c r="D1628" s="285">
        <v>1.4282653934592475</v>
      </c>
      <c r="E1628" s="285">
        <v>2.203797042818151</v>
      </c>
    </row>
    <row r="1629" spans="1:5">
      <c r="A1629" s="284">
        <f t="shared" si="1016"/>
        <v>1561</v>
      </c>
      <c r="B1629" s="285">
        <v>-2.7984521361629073</v>
      </c>
      <c r="C1629" s="285">
        <v>1.9853517490796952</v>
      </c>
      <c r="D1629" s="285">
        <v>0.34122954798688065</v>
      </c>
      <c r="E1629" s="285">
        <v>-8.9143800300668747</v>
      </c>
    </row>
    <row r="1630" spans="1:5">
      <c r="A1630" s="284">
        <f t="shared" si="1016"/>
        <v>1562</v>
      </c>
      <c r="B1630" s="285">
        <v>-1.9715663267988965</v>
      </c>
      <c r="C1630" s="285">
        <v>1.8223688387908483</v>
      </c>
      <c r="D1630" s="285">
        <v>2.6451191350358831</v>
      </c>
      <c r="E1630" s="285">
        <v>-11.940608464419373</v>
      </c>
    </row>
    <row r="1631" spans="1:5">
      <c r="A1631" s="284">
        <f t="shared" si="1016"/>
        <v>1563</v>
      </c>
      <c r="B1631" s="285">
        <v>1.9282558053974901</v>
      </c>
      <c r="C1631" s="285">
        <v>2.1801016158682192</v>
      </c>
      <c r="D1631" s="285">
        <v>1.0070950371617782</v>
      </c>
      <c r="E1631" s="285">
        <v>-6.4830755609414901</v>
      </c>
    </row>
    <row r="1632" spans="1:5">
      <c r="A1632" s="284">
        <f t="shared" si="1016"/>
        <v>1564</v>
      </c>
      <c r="B1632" s="285">
        <v>5.5633043330416907</v>
      </c>
      <c r="C1632" s="285">
        <v>3.0707763624841391</v>
      </c>
      <c r="D1632" s="285">
        <v>3.8102827440969778</v>
      </c>
      <c r="E1632" s="285">
        <v>10.292095166598211</v>
      </c>
    </row>
    <row r="1633" spans="1:5">
      <c r="A1633" s="284">
        <f t="shared" si="1016"/>
        <v>1565</v>
      </c>
      <c r="B1633" s="285">
        <v>3.720027319494474</v>
      </c>
      <c r="C1633" s="285">
        <v>2.7853365551357534</v>
      </c>
      <c r="D1633" s="285">
        <v>2.64965941464121</v>
      </c>
      <c r="E1633" s="285">
        <v>5.6251660585114216</v>
      </c>
    </row>
    <row r="1634" spans="1:5">
      <c r="A1634" s="284">
        <f t="shared" si="1016"/>
        <v>1566</v>
      </c>
      <c r="B1634" s="285">
        <v>1.8465150153431855</v>
      </c>
      <c r="C1634" s="285">
        <v>3.1087782576639285</v>
      </c>
      <c r="D1634" s="285">
        <v>1.5758739695471171</v>
      </c>
      <c r="E1634" s="285">
        <v>8.2150768007242085</v>
      </c>
    </row>
    <row r="1635" spans="1:5">
      <c r="A1635" s="284">
        <f t="shared" si="1016"/>
        <v>1567</v>
      </c>
      <c r="B1635" s="285">
        <v>5.4682035091256118E-2</v>
      </c>
      <c r="C1635" s="285">
        <v>2.3851803415036326</v>
      </c>
      <c r="D1635" s="285">
        <v>1.4804036023326721</v>
      </c>
      <c r="E1635" s="285">
        <v>-3.7043597296917805</v>
      </c>
    </row>
    <row r="1636" spans="1:5">
      <c r="A1636" s="284">
        <f t="shared" si="1016"/>
        <v>1568</v>
      </c>
      <c r="B1636" s="285">
        <v>-1.9145490548159008</v>
      </c>
      <c r="C1636" s="285">
        <v>1.7044813575303972</v>
      </c>
      <c r="D1636" s="285">
        <v>0.69637192086646615</v>
      </c>
      <c r="E1636" s="285">
        <v>-9.7594614125432653</v>
      </c>
    </row>
    <row r="1637" spans="1:5">
      <c r="A1637" s="284">
        <f t="shared" si="1016"/>
        <v>1569</v>
      </c>
      <c r="B1637" s="285">
        <v>1.4981590097771933</v>
      </c>
      <c r="C1637" s="285">
        <v>2.3660888986845325</v>
      </c>
      <c r="D1637" s="285">
        <v>0.78918284896032609</v>
      </c>
      <c r="E1637" s="285">
        <v>0.31416066366686435</v>
      </c>
    </row>
    <row r="1638" spans="1:5">
      <c r="A1638" s="284">
        <f t="shared" si="1016"/>
        <v>1570</v>
      </c>
      <c r="B1638" s="285">
        <v>-2.6252918157666874</v>
      </c>
      <c r="C1638" s="285">
        <v>1.7380073812236918</v>
      </c>
      <c r="D1638" s="285">
        <v>1.7519135382409956</v>
      </c>
      <c r="E1638" s="285">
        <v>-17.027093387941321</v>
      </c>
    </row>
    <row r="1639" spans="1:5">
      <c r="A1639" s="284">
        <f t="shared" si="1016"/>
        <v>1571</v>
      </c>
      <c r="B1639" s="285">
        <v>1.8278038779317693</v>
      </c>
      <c r="C1639" s="285">
        <v>2.7094308670357306</v>
      </c>
      <c r="D1639" s="285">
        <v>2.6124659187490611</v>
      </c>
      <c r="E1639" s="285">
        <v>-11.575437477511844</v>
      </c>
    </row>
    <row r="1640" spans="1:5">
      <c r="A1640" s="284">
        <f t="shared" si="1016"/>
        <v>1572</v>
      </c>
      <c r="B1640" s="285">
        <v>1.2890583555679906</v>
      </c>
      <c r="C1640" s="285">
        <v>2.1237953873101629</v>
      </c>
      <c r="D1640" s="285">
        <v>1.6249715712089063</v>
      </c>
      <c r="E1640" s="285">
        <v>-5.2110166030998606E-3</v>
      </c>
    </row>
    <row r="1641" spans="1:5">
      <c r="A1641" s="284">
        <f t="shared" si="1016"/>
        <v>1573</v>
      </c>
      <c r="B1641" s="285">
        <v>-1.9672060733023791</v>
      </c>
      <c r="C1641" s="285">
        <v>1.6332758404574483</v>
      </c>
      <c r="D1641" s="285">
        <v>1.1281969751228129</v>
      </c>
      <c r="E1641" s="285">
        <v>-18.436623305899722</v>
      </c>
    </row>
    <row r="1642" spans="1:5">
      <c r="A1642" s="284">
        <f t="shared" si="1016"/>
        <v>1574</v>
      </c>
      <c r="B1642" s="285">
        <v>-1.2806689854025279</v>
      </c>
      <c r="C1642" s="285">
        <v>2.8744959730412414</v>
      </c>
      <c r="D1642" s="285">
        <v>0.24519119229881237</v>
      </c>
      <c r="E1642" s="285">
        <v>-1.0753093909267801</v>
      </c>
    </row>
    <row r="1643" spans="1:5">
      <c r="A1643" s="284">
        <f t="shared" si="1016"/>
        <v>1575</v>
      </c>
      <c r="B1643" s="285">
        <v>-2.2812931655171158</v>
      </c>
      <c r="C1643" s="285">
        <v>1.9464379974344128</v>
      </c>
      <c r="D1643" s="285">
        <v>0.22111241534371229</v>
      </c>
      <c r="E1643" s="285">
        <v>-12.602910668760277</v>
      </c>
    </row>
    <row r="1644" spans="1:5">
      <c r="A1644" s="284">
        <f t="shared" si="1016"/>
        <v>1576</v>
      </c>
      <c r="B1644" s="285">
        <v>-0.97778435905333649</v>
      </c>
      <c r="C1644" s="285">
        <v>2.1912832226408892</v>
      </c>
      <c r="D1644" s="285">
        <v>1.2065478106666441</v>
      </c>
      <c r="E1644" s="285">
        <v>-1.4657653132762634</v>
      </c>
    </row>
    <row r="1645" spans="1:5">
      <c r="A1645" s="284">
        <f t="shared" si="1016"/>
        <v>1577</v>
      </c>
      <c r="B1645" s="285">
        <v>1.2172480212197374</v>
      </c>
      <c r="C1645" s="285">
        <v>2.0323841417224995</v>
      </c>
      <c r="D1645" s="285">
        <v>0.7095193736787887</v>
      </c>
      <c r="E1645" s="285">
        <v>-5.2693550414207362</v>
      </c>
    </row>
    <row r="1646" spans="1:5">
      <c r="A1646" s="284">
        <f t="shared" si="1016"/>
        <v>1578</v>
      </c>
      <c r="B1646" s="285">
        <v>-2.1880583138400409</v>
      </c>
      <c r="C1646" s="285">
        <v>2.0065715095787851</v>
      </c>
      <c r="D1646" s="285">
        <v>0.31654276116904412</v>
      </c>
      <c r="E1646" s="285">
        <v>3.5929413202418687</v>
      </c>
    </row>
    <row r="1647" spans="1:5">
      <c r="A1647" s="284">
        <f t="shared" si="1016"/>
        <v>1579</v>
      </c>
      <c r="B1647" s="285">
        <v>0.44311152180855001</v>
      </c>
      <c r="C1647" s="285">
        <v>2.9161566286459566</v>
      </c>
      <c r="D1647" s="285">
        <v>1.8050548305354914</v>
      </c>
      <c r="E1647" s="285">
        <v>-2.2825491031612439</v>
      </c>
    </row>
    <row r="1648" spans="1:5">
      <c r="A1648" s="284">
        <f t="shared" si="1016"/>
        <v>1580</v>
      </c>
      <c r="B1648" s="285">
        <v>-0.54399519171365029</v>
      </c>
      <c r="C1648" s="285">
        <v>2.0356616908444329</v>
      </c>
      <c r="D1648" s="285">
        <v>0.64964341273306814</v>
      </c>
      <c r="E1648" s="285">
        <v>-17.002894877122895</v>
      </c>
    </row>
    <row r="1649" spans="1:5">
      <c r="A1649" s="284">
        <f t="shared" si="1016"/>
        <v>1581</v>
      </c>
      <c r="B1649" s="285">
        <v>-5.0512627535059194</v>
      </c>
      <c r="C1649" s="285">
        <v>2.3673024337992734</v>
      </c>
      <c r="D1649" s="285">
        <v>1.7373173037903755</v>
      </c>
      <c r="E1649" s="285">
        <v>0.94670597565509906</v>
      </c>
    </row>
    <row r="1650" spans="1:5">
      <c r="A1650" s="284">
        <f t="shared" si="1016"/>
        <v>1582</v>
      </c>
      <c r="B1650" s="285">
        <v>1.0613393012509138</v>
      </c>
      <c r="C1650" s="285">
        <v>3.0877166606358668</v>
      </c>
      <c r="D1650" s="285">
        <v>1.0935256037521983</v>
      </c>
      <c r="E1650" s="285">
        <v>4.3848056394722814</v>
      </c>
    </row>
    <row r="1651" spans="1:5">
      <c r="A1651" s="284">
        <f t="shared" si="1016"/>
        <v>1583</v>
      </c>
      <c r="B1651" s="285">
        <v>1.773823442450688</v>
      </c>
      <c r="C1651" s="285">
        <v>3.5257964151576062</v>
      </c>
      <c r="D1651" s="285">
        <v>1.8647941792726646</v>
      </c>
      <c r="E1651" s="285">
        <v>13.55962827459755</v>
      </c>
    </row>
    <row r="1652" spans="1:5">
      <c r="A1652" s="284">
        <f t="shared" si="1016"/>
        <v>1584</v>
      </c>
      <c r="B1652" s="285">
        <v>-6.0522553919084361</v>
      </c>
      <c r="C1652" s="285">
        <v>1.7040386749596306</v>
      </c>
      <c r="D1652" s="285">
        <v>0.31041056204230699</v>
      </c>
      <c r="E1652" s="285">
        <v>-14.352200534067943</v>
      </c>
    </row>
    <row r="1653" spans="1:5">
      <c r="A1653" s="284">
        <f t="shared" si="1016"/>
        <v>1585</v>
      </c>
      <c r="B1653" s="285">
        <v>-1.0815835082720404</v>
      </c>
      <c r="C1653" s="285">
        <v>3.2479940836900649</v>
      </c>
      <c r="D1653" s="285">
        <v>-0.74879604171667413</v>
      </c>
      <c r="E1653" s="285">
        <v>13.783575570121471</v>
      </c>
    </row>
    <row r="1654" spans="1:5">
      <c r="A1654" s="284">
        <f t="shared" si="1016"/>
        <v>1586</v>
      </c>
      <c r="B1654" s="285">
        <v>-0.22071506163842944</v>
      </c>
      <c r="C1654" s="285">
        <v>2.0832031552906813</v>
      </c>
      <c r="D1654" s="285">
        <v>2.5453846815790251</v>
      </c>
      <c r="E1654" s="285">
        <v>-15.695822215502897</v>
      </c>
    </row>
    <row r="1655" spans="1:5">
      <c r="A1655" s="284">
        <f t="shared" si="1016"/>
        <v>1587</v>
      </c>
      <c r="B1655" s="285">
        <v>-0.79502481932440228</v>
      </c>
      <c r="C1655" s="285">
        <v>2.0188751083573306</v>
      </c>
      <c r="D1655" s="285">
        <v>2.4738427969623222</v>
      </c>
      <c r="E1655" s="285">
        <v>-12.647221219858446</v>
      </c>
    </row>
    <row r="1656" spans="1:5">
      <c r="A1656" s="284">
        <f t="shared" si="1016"/>
        <v>1588</v>
      </c>
      <c r="B1656" s="285">
        <v>0.57234082749030279</v>
      </c>
      <c r="C1656" s="285">
        <v>2.2028405469197629</v>
      </c>
      <c r="D1656" s="285">
        <v>-0.76729456624679426</v>
      </c>
      <c r="E1656" s="285">
        <v>-7.9294570315394193</v>
      </c>
    </row>
    <row r="1657" spans="1:5">
      <c r="A1657" s="284">
        <f t="shared" si="1016"/>
        <v>1589</v>
      </c>
      <c r="B1657" s="285">
        <v>4.5138216106041193</v>
      </c>
      <c r="C1657" s="285">
        <v>2.9762923363498217</v>
      </c>
      <c r="D1657" s="285">
        <v>1.5955664483615886</v>
      </c>
      <c r="E1657" s="285">
        <v>-9.8047872209224174</v>
      </c>
    </row>
    <row r="1658" spans="1:5">
      <c r="A1658" s="284">
        <f t="shared" si="1016"/>
        <v>1590</v>
      </c>
      <c r="B1658" s="285">
        <v>1.268875829182873</v>
      </c>
      <c r="C1658" s="285">
        <v>1.2726482540628812</v>
      </c>
      <c r="D1658" s="285">
        <v>3.6238163899106728</v>
      </c>
      <c r="E1658" s="285">
        <v>-20.048614227934898</v>
      </c>
    </row>
    <row r="1659" spans="1:5">
      <c r="A1659" s="284">
        <f t="shared" si="1016"/>
        <v>1591</v>
      </c>
      <c r="B1659" s="285">
        <v>2.2157749249994811</v>
      </c>
      <c r="C1659" s="285">
        <v>3.0504741718846087</v>
      </c>
      <c r="D1659" s="285">
        <v>1.0498094757588523</v>
      </c>
      <c r="E1659" s="285">
        <v>4.4998571124795497</v>
      </c>
    </row>
    <row r="1660" spans="1:5">
      <c r="A1660" s="284">
        <f t="shared" si="1016"/>
        <v>1592</v>
      </c>
      <c r="B1660" s="285">
        <v>1.5201433811719707</v>
      </c>
      <c r="C1660" s="285">
        <v>2.7182011532845913</v>
      </c>
      <c r="D1660" s="285">
        <v>1.3082705170930125</v>
      </c>
      <c r="E1660" s="285">
        <v>-7.9452298289329502</v>
      </c>
    </row>
    <row r="1661" spans="1:5">
      <c r="A1661" s="284">
        <f t="shared" si="1016"/>
        <v>1593</v>
      </c>
      <c r="B1661" s="285">
        <v>2.3392177684097617</v>
      </c>
      <c r="C1661" s="285">
        <v>3.1904762322657616</v>
      </c>
      <c r="D1661" s="285">
        <v>-1.6479655945075407</v>
      </c>
      <c r="E1661" s="285">
        <v>3.3299067267575206</v>
      </c>
    </row>
    <row r="1662" spans="1:5">
      <c r="A1662" s="284">
        <f t="shared" si="1016"/>
        <v>1594</v>
      </c>
      <c r="B1662" s="285">
        <v>-8.1939847573562513E-2</v>
      </c>
      <c r="C1662" s="285">
        <v>2.3954359084969825</v>
      </c>
      <c r="D1662" s="285">
        <v>1.0351750724549804</v>
      </c>
      <c r="E1662" s="285">
        <v>-13.587274381095261</v>
      </c>
    </row>
    <row r="1663" spans="1:5">
      <c r="A1663" s="284">
        <f t="shared" si="1016"/>
        <v>1595</v>
      </c>
      <c r="B1663" s="285">
        <v>-2.4731878924567434</v>
      </c>
      <c r="C1663" s="285">
        <v>2.6996320459368595</v>
      </c>
      <c r="D1663" s="285">
        <v>1.2296599468085874</v>
      </c>
      <c r="E1663" s="285">
        <v>21.817803188821554</v>
      </c>
    </row>
    <row r="1664" spans="1:5">
      <c r="A1664" s="284">
        <f t="shared" si="1016"/>
        <v>1596</v>
      </c>
      <c r="B1664" s="285">
        <v>0.69007398015359245</v>
      </c>
      <c r="C1664" s="285">
        <v>2.5119411305520383</v>
      </c>
      <c r="D1664" s="285">
        <v>2.6000168585068999</v>
      </c>
      <c r="E1664" s="285">
        <v>-0.685520804295499</v>
      </c>
    </row>
    <row r="1665" spans="1:5">
      <c r="A1665" s="284">
        <f t="shared" si="1016"/>
        <v>1597</v>
      </c>
      <c r="B1665" s="285">
        <v>-2.2900922446638865</v>
      </c>
      <c r="C1665" s="285">
        <v>2.5135854664299644</v>
      </c>
      <c r="D1665" s="285">
        <v>0.3327118921901292</v>
      </c>
      <c r="E1665" s="285">
        <v>0.63465245451720165</v>
      </c>
    </row>
    <row r="1666" spans="1:5">
      <c r="A1666" s="284">
        <f t="shared" si="1016"/>
        <v>1598</v>
      </c>
      <c r="B1666" s="285">
        <v>-1.6866171592318797</v>
      </c>
      <c r="C1666" s="285">
        <v>2.2763141578178159</v>
      </c>
      <c r="D1666" s="285">
        <v>2.2916313949763172</v>
      </c>
      <c r="E1666" s="285">
        <v>-0.48102319394628523</v>
      </c>
    </row>
    <row r="1667" spans="1:5">
      <c r="A1667" s="284">
        <f t="shared" si="1016"/>
        <v>1599</v>
      </c>
      <c r="B1667" s="285">
        <v>-2.8323304223862023</v>
      </c>
      <c r="C1667" s="285">
        <v>2.8903717239187845</v>
      </c>
      <c r="D1667" s="285">
        <v>0.10313837545922011</v>
      </c>
      <c r="E1667" s="285">
        <v>2.7117176188132626</v>
      </c>
    </row>
    <row r="1668" spans="1:5">
      <c r="A1668" s="284">
        <f t="shared" si="1016"/>
        <v>1600</v>
      </c>
      <c r="B1668" s="285">
        <v>0.65989484042691671</v>
      </c>
      <c r="C1668" s="285">
        <v>2.2958562661656168</v>
      </c>
      <c r="D1668" s="285">
        <v>2.8800015976240427</v>
      </c>
      <c r="E1668" s="285">
        <v>-7.3683940831532357</v>
      </c>
    </row>
    <row r="1669" spans="1:5">
      <c r="A1669" s="284">
        <f t="shared" si="1016"/>
        <v>1601</v>
      </c>
      <c r="B1669" s="285">
        <v>2.0053463479676479</v>
      </c>
      <c r="C1669" s="285">
        <v>3.1588930991505006</v>
      </c>
      <c r="D1669" s="285">
        <v>0.11018658500323752</v>
      </c>
      <c r="E1669" s="285">
        <v>4.961196595227765</v>
      </c>
    </row>
    <row r="1670" spans="1:5">
      <c r="A1670" s="284">
        <f t="shared" si="1016"/>
        <v>1602</v>
      </c>
      <c r="B1670" s="285">
        <v>-0.13408785572703075</v>
      </c>
      <c r="C1670" s="285">
        <v>2.3699377701134541</v>
      </c>
      <c r="D1670" s="285">
        <v>0.88206859512674685</v>
      </c>
      <c r="E1670" s="285">
        <v>-2.9686549564879696</v>
      </c>
    </row>
    <row r="1671" spans="1:5">
      <c r="A1671" s="284">
        <f t="shared" ref="A1671:A1734" si="1017">A1670+1</f>
        <v>1603</v>
      </c>
      <c r="B1671" s="285">
        <v>4.0029603340921556</v>
      </c>
      <c r="C1671" s="285">
        <v>2.6131791059610161</v>
      </c>
      <c r="D1671" s="285">
        <v>1.3528758974242292</v>
      </c>
      <c r="E1671" s="285">
        <v>0.72318899230323019</v>
      </c>
    </row>
    <row r="1672" spans="1:5">
      <c r="A1672" s="284">
        <f t="shared" si="1017"/>
        <v>1604</v>
      </c>
      <c r="B1672" s="285">
        <v>3.53199051492442</v>
      </c>
      <c r="C1672" s="285">
        <v>3.5290840558326262</v>
      </c>
      <c r="D1672" s="285">
        <v>2.8171574303447975</v>
      </c>
      <c r="E1672" s="285">
        <v>3.1548302679039879</v>
      </c>
    </row>
    <row r="1673" spans="1:5">
      <c r="A1673" s="284">
        <f t="shared" si="1017"/>
        <v>1605</v>
      </c>
      <c r="B1673" s="285">
        <v>-1.8250748494121012</v>
      </c>
      <c r="C1673" s="285">
        <v>2.6632735366772105</v>
      </c>
      <c r="D1673" s="285">
        <v>1.8552702902009055</v>
      </c>
      <c r="E1673" s="285">
        <v>-13.295769753178373</v>
      </c>
    </row>
    <row r="1674" spans="1:5">
      <c r="A1674" s="284">
        <f t="shared" si="1017"/>
        <v>1606</v>
      </c>
      <c r="B1674" s="285">
        <v>0.89815673256150297</v>
      </c>
      <c r="C1674" s="285">
        <v>3.051812780404358</v>
      </c>
      <c r="D1674" s="285">
        <v>1.1380118628544853</v>
      </c>
      <c r="E1674" s="285">
        <v>-10.895208071164774</v>
      </c>
    </row>
    <row r="1675" spans="1:5">
      <c r="A1675" s="284">
        <f t="shared" si="1017"/>
        <v>1607</v>
      </c>
      <c r="B1675" s="285">
        <v>-4.9060911533674796</v>
      </c>
      <c r="C1675" s="285">
        <v>1.8174319464167836</v>
      </c>
      <c r="D1675" s="285">
        <v>0.4685839880732372</v>
      </c>
      <c r="E1675" s="285">
        <v>-11.958037412168968</v>
      </c>
    </row>
    <row r="1676" spans="1:5">
      <c r="A1676" s="284">
        <f t="shared" si="1017"/>
        <v>1608</v>
      </c>
      <c r="B1676" s="285">
        <v>5.3318208886532728E-2</v>
      </c>
      <c r="C1676" s="285">
        <v>3.4751635615384764</v>
      </c>
      <c r="D1676" s="285">
        <v>0.19545634251644994</v>
      </c>
      <c r="E1676" s="285">
        <v>11.654888289981677</v>
      </c>
    </row>
    <row r="1677" spans="1:5">
      <c r="A1677" s="284">
        <f t="shared" si="1017"/>
        <v>1609</v>
      </c>
      <c r="B1677" s="285">
        <v>-0.95805436361773244</v>
      </c>
      <c r="C1677" s="285">
        <v>2.0126473928877031</v>
      </c>
      <c r="D1677" s="285">
        <v>1.5229654971937654</v>
      </c>
      <c r="E1677" s="285">
        <v>-8.8835773538681266</v>
      </c>
    </row>
    <row r="1678" spans="1:5">
      <c r="A1678" s="284">
        <f t="shared" si="1017"/>
        <v>1610</v>
      </c>
      <c r="B1678" s="285">
        <v>4.1353280992793282</v>
      </c>
      <c r="C1678" s="285">
        <v>3.2786491107111386</v>
      </c>
      <c r="D1678" s="285">
        <v>2.3380018331338777</v>
      </c>
      <c r="E1678" s="285">
        <v>3.0168065296447257</v>
      </c>
    </row>
    <row r="1679" spans="1:5">
      <c r="A1679" s="284">
        <f t="shared" si="1017"/>
        <v>1611</v>
      </c>
      <c r="B1679" s="285">
        <v>5.5543831826797252</v>
      </c>
      <c r="C1679" s="285">
        <v>3.2994922185060225</v>
      </c>
      <c r="D1679" s="285">
        <v>2.534242317198256</v>
      </c>
      <c r="E1679" s="285">
        <v>7.613062945620392</v>
      </c>
    </row>
    <row r="1680" spans="1:5">
      <c r="A1680" s="284">
        <f t="shared" si="1017"/>
        <v>1612</v>
      </c>
      <c r="B1680" s="285">
        <v>-0.89167575261777909</v>
      </c>
      <c r="C1680" s="285">
        <v>2.2220817556404837</v>
      </c>
      <c r="D1680" s="285">
        <v>2.3809929194917108</v>
      </c>
      <c r="E1680" s="285">
        <v>-12.292560581417787</v>
      </c>
    </row>
    <row r="1681" spans="1:5">
      <c r="A1681" s="284">
        <f t="shared" si="1017"/>
        <v>1613</v>
      </c>
      <c r="B1681" s="285">
        <v>-2.1344559141320878</v>
      </c>
      <c r="C1681" s="285">
        <v>2.1455862611466499</v>
      </c>
      <c r="D1681" s="285">
        <v>2.0432839299758996</v>
      </c>
      <c r="E1681" s="285">
        <v>-7.7395616695287153</v>
      </c>
    </row>
    <row r="1682" spans="1:5">
      <c r="A1682" s="284">
        <f t="shared" si="1017"/>
        <v>1614</v>
      </c>
      <c r="B1682" s="285">
        <v>-2.6145409153422707</v>
      </c>
      <c r="C1682" s="285">
        <v>2.5622477110835722</v>
      </c>
      <c r="D1682" s="285">
        <v>-0.19579576556018274</v>
      </c>
      <c r="E1682" s="285">
        <v>3.4664849885502691</v>
      </c>
    </row>
    <row r="1683" spans="1:5">
      <c r="A1683" s="284">
        <f t="shared" si="1017"/>
        <v>1615</v>
      </c>
      <c r="B1683" s="285">
        <v>4.5157060327285512</v>
      </c>
      <c r="C1683" s="285">
        <v>3.0064809086009738</v>
      </c>
      <c r="D1683" s="285">
        <v>1.933815036529551</v>
      </c>
      <c r="E1683" s="285">
        <v>-5.5064676555168912</v>
      </c>
    </row>
    <row r="1684" spans="1:5">
      <c r="A1684" s="284">
        <f t="shared" si="1017"/>
        <v>1616</v>
      </c>
      <c r="B1684" s="285">
        <v>-2.0999327273997688</v>
      </c>
      <c r="C1684" s="285">
        <v>1.8632145464874499</v>
      </c>
      <c r="D1684" s="285">
        <v>1.4600154628956772</v>
      </c>
      <c r="E1684" s="285">
        <v>-4.2026881517980321</v>
      </c>
    </row>
    <row r="1685" spans="1:5">
      <c r="A1685" s="284">
        <f t="shared" si="1017"/>
        <v>1617</v>
      </c>
      <c r="B1685" s="285">
        <v>-4.5287026764828573</v>
      </c>
      <c r="C1685" s="285">
        <v>1.7363232912497348</v>
      </c>
      <c r="D1685" s="285">
        <v>-0.80338467529219937</v>
      </c>
      <c r="E1685" s="285">
        <v>-0.34179678180974316</v>
      </c>
    </row>
    <row r="1686" spans="1:5">
      <c r="A1686" s="284">
        <f t="shared" si="1017"/>
        <v>1618</v>
      </c>
      <c r="B1686" s="285">
        <v>-1.745516049937291</v>
      </c>
      <c r="C1686" s="285">
        <v>2.9818639216276326</v>
      </c>
      <c r="D1686" s="285">
        <v>0.76835366373070735</v>
      </c>
      <c r="E1686" s="285">
        <v>7.2574742248262538</v>
      </c>
    </row>
    <row r="1687" spans="1:5">
      <c r="A1687" s="284">
        <f t="shared" si="1017"/>
        <v>1619</v>
      </c>
      <c r="B1687" s="285">
        <v>-0.9145039694779632</v>
      </c>
      <c r="C1687" s="285">
        <v>2.3295638040443043</v>
      </c>
      <c r="D1687" s="285">
        <v>1.5671921261188946</v>
      </c>
      <c r="E1687" s="285">
        <v>4.6662879775531003</v>
      </c>
    </row>
    <row r="1688" spans="1:5">
      <c r="A1688" s="284">
        <f t="shared" si="1017"/>
        <v>1620</v>
      </c>
      <c r="B1688" s="285">
        <v>3.0933160711377701</v>
      </c>
      <c r="C1688" s="285">
        <v>3.1696554177686105</v>
      </c>
      <c r="D1688" s="285">
        <v>2.9556580203602412E-3</v>
      </c>
      <c r="E1688" s="285">
        <v>16.024157967159898</v>
      </c>
    </row>
    <row r="1689" spans="1:5">
      <c r="A1689" s="284">
        <f t="shared" si="1017"/>
        <v>1621</v>
      </c>
      <c r="B1689" s="285">
        <v>-0.89045000890906312</v>
      </c>
      <c r="C1689" s="285">
        <v>2.3957934116778512</v>
      </c>
      <c r="D1689" s="285">
        <v>2.2385068207860153</v>
      </c>
      <c r="E1689" s="285">
        <v>-5.7111917061140201</v>
      </c>
    </row>
    <row r="1690" spans="1:5">
      <c r="A1690" s="284">
        <f t="shared" si="1017"/>
        <v>1622</v>
      </c>
      <c r="B1690" s="285">
        <v>-1.4483421036016528</v>
      </c>
      <c r="C1690" s="285">
        <v>1.646154221202218</v>
      </c>
      <c r="D1690" s="285">
        <v>-1.0976396391490559</v>
      </c>
      <c r="E1690" s="285">
        <v>-14.040946356538281</v>
      </c>
    </row>
    <row r="1691" spans="1:5">
      <c r="A1691" s="284">
        <f t="shared" si="1017"/>
        <v>1623</v>
      </c>
      <c r="B1691" s="285">
        <v>1.825162704156011</v>
      </c>
      <c r="C1691" s="285">
        <v>2.9081579496962391</v>
      </c>
      <c r="D1691" s="285">
        <v>2.5399597509684746</v>
      </c>
      <c r="E1691" s="285">
        <v>10.445309930950351</v>
      </c>
    </row>
    <row r="1692" spans="1:5">
      <c r="A1692" s="284">
        <f t="shared" si="1017"/>
        <v>1624</v>
      </c>
      <c r="B1692" s="285">
        <v>-2.4033645199718729</v>
      </c>
      <c r="C1692" s="285">
        <v>2.4847895849691732</v>
      </c>
      <c r="D1692" s="285">
        <v>0.9680262264384889</v>
      </c>
      <c r="E1692" s="285">
        <v>-2.1769708119441633</v>
      </c>
    </row>
    <row r="1693" spans="1:5">
      <c r="A1693" s="284">
        <f t="shared" si="1017"/>
        <v>1625</v>
      </c>
      <c r="B1693" s="285">
        <v>2.1096773741467563</v>
      </c>
      <c r="C1693" s="285">
        <v>2.5945591595590702</v>
      </c>
      <c r="D1693" s="285">
        <v>2.5974340958375852</v>
      </c>
      <c r="E1693" s="285">
        <v>-1.3187517359732635</v>
      </c>
    </row>
    <row r="1694" spans="1:5">
      <c r="A1694" s="284">
        <f t="shared" si="1017"/>
        <v>1626</v>
      </c>
      <c r="B1694" s="285">
        <v>3.9626081922985241</v>
      </c>
      <c r="C1694" s="285">
        <v>1.688557758934238</v>
      </c>
      <c r="D1694" s="285">
        <v>3.3038674181104866</v>
      </c>
      <c r="E1694" s="285">
        <v>-24.961900563088115</v>
      </c>
    </row>
    <row r="1695" spans="1:5">
      <c r="A1695" s="284">
        <f t="shared" si="1017"/>
        <v>1627</v>
      </c>
      <c r="B1695" s="285">
        <v>2.6511514850058955</v>
      </c>
      <c r="C1695" s="285">
        <v>2.9216818122435688</v>
      </c>
      <c r="D1695" s="285">
        <v>5.7164467607550895E-2</v>
      </c>
      <c r="E1695" s="285">
        <v>3.2400085217735479</v>
      </c>
    </row>
    <row r="1696" spans="1:5">
      <c r="A1696" s="284">
        <f t="shared" si="1017"/>
        <v>1628</v>
      </c>
      <c r="B1696" s="285">
        <v>-0.72150043727924584</v>
      </c>
      <c r="C1696" s="285">
        <v>1.9327004613641789</v>
      </c>
      <c r="D1696" s="285">
        <v>2.3123109184373352</v>
      </c>
      <c r="E1696" s="285">
        <v>-13.578679862853448</v>
      </c>
    </row>
    <row r="1697" spans="1:5">
      <c r="A1697" s="284">
        <f t="shared" si="1017"/>
        <v>1629</v>
      </c>
      <c r="B1697" s="285">
        <v>1.1398855162855577</v>
      </c>
      <c r="C1697" s="285">
        <v>1.388741234432648</v>
      </c>
      <c r="D1697" s="285">
        <v>4.4050409156359702</v>
      </c>
      <c r="E1697" s="285">
        <v>-31.395900976284981</v>
      </c>
    </row>
    <row r="1698" spans="1:5">
      <c r="A1698" s="284">
        <f t="shared" si="1017"/>
        <v>1630</v>
      </c>
      <c r="B1698" s="285">
        <v>4.8365714126351097E-3</v>
      </c>
      <c r="C1698" s="285">
        <v>2.1118725322358518</v>
      </c>
      <c r="D1698" s="285">
        <v>1.2277608282026058</v>
      </c>
      <c r="E1698" s="285">
        <v>-1.8472516316967584</v>
      </c>
    </row>
    <row r="1699" spans="1:5">
      <c r="A1699" s="284">
        <f t="shared" si="1017"/>
        <v>1631</v>
      </c>
      <c r="B1699" s="285">
        <v>0.26485736084957012</v>
      </c>
      <c r="C1699" s="285">
        <v>2.2206701690919317</v>
      </c>
      <c r="D1699" s="285">
        <v>1.5212036019961543</v>
      </c>
      <c r="E1699" s="285">
        <v>-14.604582642803138</v>
      </c>
    </row>
    <row r="1700" spans="1:5">
      <c r="A1700" s="284">
        <f t="shared" si="1017"/>
        <v>1632</v>
      </c>
      <c r="B1700" s="285">
        <v>1.1782522168652105</v>
      </c>
      <c r="C1700" s="285">
        <v>2.0262446629047672</v>
      </c>
      <c r="D1700" s="285">
        <v>1.3568312463598908</v>
      </c>
      <c r="E1700" s="285">
        <v>-11.241791437937708</v>
      </c>
    </row>
    <row r="1701" spans="1:5">
      <c r="A1701" s="284">
        <f t="shared" si="1017"/>
        <v>1633</v>
      </c>
      <c r="B1701" s="285">
        <v>1.3742781947268579</v>
      </c>
      <c r="C1701" s="285">
        <v>2.9573608689835957</v>
      </c>
      <c r="D1701" s="285">
        <v>1.2223867451020776</v>
      </c>
      <c r="E1701" s="285">
        <v>-7.2781586940819327</v>
      </c>
    </row>
    <row r="1702" spans="1:5">
      <c r="A1702" s="284">
        <f t="shared" si="1017"/>
        <v>1634</v>
      </c>
      <c r="B1702" s="285">
        <v>-1.8207369765980559</v>
      </c>
      <c r="C1702" s="285">
        <v>1.9034148771906585</v>
      </c>
      <c r="D1702" s="285">
        <v>0.31188119515478641</v>
      </c>
      <c r="E1702" s="285">
        <v>-1.7678064462837564</v>
      </c>
    </row>
    <row r="1703" spans="1:5">
      <c r="A1703" s="284">
        <f t="shared" si="1017"/>
        <v>1635</v>
      </c>
      <c r="B1703" s="285">
        <v>-1.152972232900525</v>
      </c>
      <c r="C1703" s="285">
        <v>2.3918811938152351</v>
      </c>
      <c r="D1703" s="285">
        <v>-0.53059586553129745</v>
      </c>
      <c r="E1703" s="285">
        <v>-0.97746837301261502</v>
      </c>
    </row>
    <row r="1704" spans="1:5">
      <c r="A1704" s="284">
        <f t="shared" si="1017"/>
        <v>1636</v>
      </c>
      <c r="B1704" s="285">
        <v>1.6181197911104499</v>
      </c>
      <c r="C1704" s="285">
        <v>2.3585226745265659</v>
      </c>
      <c r="D1704" s="285">
        <v>3.3017952639987724</v>
      </c>
      <c r="E1704" s="285">
        <v>-15.820926656632766</v>
      </c>
    </row>
    <row r="1705" spans="1:5">
      <c r="A1705" s="284">
        <f t="shared" si="1017"/>
        <v>1637</v>
      </c>
      <c r="B1705" s="285">
        <v>4.5255925972733024</v>
      </c>
      <c r="C1705" s="285">
        <v>2.0146411479405471</v>
      </c>
      <c r="D1705" s="285">
        <v>3.605743969933493</v>
      </c>
      <c r="E1705" s="285">
        <v>-21.295582800049534</v>
      </c>
    </row>
    <row r="1706" spans="1:5">
      <c r="A1706" s="284">
        <f t="shared" si="1017"/>
        <v>1638</v>
      </c>
      <c r="B1706" s="285">
        <v>1.6981471865085431</v>
      </c>
      <c r="C1706" s="285">
        <v>2.727877487607262</v>
      </c>
      <c r="D1706" s="285">
        <v>1.9291748467417107</v>
      </c>
      <c r="E1706" s="285">
        <v>1.4054891430327641</v>
      </c>
    </row>
    <row r="1707" spans="1:5">
      <c r="A1707" s="284">
        <f t="shared" si="1017"/>
        <v>1639</v>
      </c>
      <c r="B1707" s="285">
        <v>-1.7868412307069539</v>
      </c>
      <c r="C1707" s="285">
        <v>2.2588090611789604</v>
      </c>
      <c r="D1707" s="285">
        <v>0.73363134654630124</v>
      </c>
      <c r="E1707" s="285">
        <v>2.9433606810833681</v>
      </c>
    </row>
    <row r="1708" spans="1:5">
      <c r="A1708" s="284">
        <f t="shared" si="1017"/>
        <v>1640</v>
      </c>
      <c r="B1708" s="285">
        <v>1.0034897502858811</v>
      </c>
      <c r="C1708" s="285">
        <v>2.936468733707581</v>
      </c>
      <c r="D1708" s="285">
        <v>0.32680409210978456</v>
      </c>
      <c r="E1708" s="285">
        <v>5.4307383225861336</v>
      </c>
    </row>
    <row r="1709" spans="1:5">
      <c r="A1709" s="284">
        <f t="shared" si="1017"/>
        <v>1641</v>
      </c>
      <c r="B1709" s="285">
        <v>1.6801840394377565</v>
      </c>
      <c r="C1709" s="285">
        <v>3.2651847379604115</v>
      </c>
      <c r="D1709" s="285">
        <v>1.8162291169296285</v>
      </c>
      <c r="E1709" s="285">
        <v>10.319983897894547</v>
      </c>
    </row>
    <row r="1710" spans="1:5">
      <c r="A1710" s="284">
        <f t="shared" si="1017"/>
        <v>1642</v>
      </c>
      <c r="B1710" s="285">
        <v>-2.243404038726744</v>
      </c>
      <c r="C1710" s="285">
        <v>2.1934010742704309</v>
      </c>
      <c r="D1710" s="285">
        <v>2.5904814370194211</v>
      </c>
      <c r="E1710" s="285">
        <v>1.7859945886483124</v>
      </c>
    </row>
    <row r="1711" spans="1:5">
      <c r="A1711" s="284">
        <f t="shared" si="1017"/>
        <v>1643</v>
      </c>
      <c r="B1711" s="285">
        <v>0.90513134238542226</v>
      </c>
      <c r="C1711" s="285">
        <v>2.4801992823355103</v>
      </c>
      <c r="D1711" s="285">
        <v>1.7370657221646058</v>
      </c>
      <c r="E1711" s="285">
        <v>9.8385744045201058</v>
      </c>
    </row>
    <row r="1712" spans="1:5">
      <c r="A1712" s="284">
        <f t="shared" si="1017"/>
        <v>1644</v>
      </c>
      <c r="B1712" s="285">
        <v>-2.2044162060507766</v>
      </c>
      <c r="C1712" s="285">
        <v>2.8340123851504688</v>
      </c>
      <c r="D1712" s="285">
        <v>1.8624929889602371</v>
      </c>
      <c r="E1712" s="285">
        <v>8.3653319086763211</v>
      </c>
    </row>
    <row r="1713" spans="1:5">
      <c r="A1713" s="284">
        <f t="shared" si="1017"/>
        <v>1645</v>
      </c>
      <c r="B1713" s="285">
        <v>-1.1354325306627018</v>
      </c>
      <c r="C1713" s="285">
        <v>2.5859172795746499</v>
      </c>
      <c r="D1713" s="285">
        <v>1.4820546389250047</v>
      </c>
      <c r="E1713" s="285">
        <v>8.149508276602484</v>
      </c>
    </row>
    <row r="1714" spans="1:5">
      <c r="A1714" s="284">
        <f t="shared" si="1017"/>
        <v>1646</v>
      </c>
      <c r="B1714" s="285">
        <v>1.6932763638195416</v>
      </c>
      <c r="C1714" s="285">
        <v>2.150384488461309</v>
      </c>
      <c r="D1714" s="285">
        <v>3.4540215815323814</v>
      </c>
      <c r="E1714" s="285">
        <v>-15.536501159632598</v>
      </c>
    </row>
    <row r="1715" spans="1:5">
      <c r="A1715" s="284">
        <f t="shared" si="1017"/>
        <v>1647</v>
      </c>
      <c r="B1715" s="285">
        <v>-1.5486526164726226</v>
      </c>
      <c r="C1715" s="285">
        <v>2.6682973623604802</v>
      </c>
      <c r="D1715" s="285">
        <v>3.175979885931886</v>
      </c>
      <c r="E1715" s="285">
        <v>0.29750403009901394</v>
      </c>
    </row>
    <row r="1716" spans="1:5">
      <c r="A1716" s="284">
        <f t="shared" si="1017"/>
        <v>1648</v>
      </c>
      <c r="B1716" s="285">
        <v>-4.0616927612453093</v>
      </c>
      <c r="C1716" s="285">
        <v>1.3129123028256617</v>
      </c>
      <c r="D1716" s="285">
        <v>1.3420711191257695</v>
      </c>
      <c r="E1716" s="285">
        <v>-25.295592889700767</v>
      </c>
    </row>
    <row r="1717" spans="1:5">
      <c r="A1717" s="284">
        <f t="shared" si="1017"/>
        <v>1649</v>
      </c>
      <c r="B1717" s="285">
        <v>-5.7522545798717353</v>
      </c>
      <c r="C1717" s="285">
        <v>2.1631870181386454</v>
      </c>
      <c r="D1717" s="285">
        <v>-5.0335762065865985E-2</v>
      </c>
      <c r="E1717" s="285">
        <v>-2.404235062195192</v>
      </c>
    </row>
    <row r="1718" spans="1:5">
      <c r="A1718" s="284">
        <f t="shared" si="1017"/>
        <v>1650</v>
      </c>
      <c r="B1718" s="285">
        <v>-9.8884181267596162E-3</v>
      </c>
      <c r="C1718" s="285">
        <v>2.4450266301021366</v>
      </c>
      <c r="D1718" s="285">
        <v>2.4937807126590723</v>
      </c>
      <c r="E1718" s="285">
        <v>-16.892992030100636</v>
      </c>
    </row>
    <row r="1719" spans="1:5">
      <c r="A1719" s="284">
        <f t="shared" si="1017"/>
        <v>1651</v>
      </c>
      <c r="B1719" s="285">
        <v>1.6789939460183434</v>
      </c>
      <c r="C1719" s="285">
        <v>2.1991401636543686</v>
      </c>
      <c r="D1719" s="285">
        <v>2.1716068344009152</v>
      </c>
      <c r="E1719" s="285">
        <v>-15.891978188493949</v>
      </c>
    </row>
    <row r="1720" spans="1:5">
      <c r="A1720" s="284">
        <f t="shared" si="1017"/>
        <v>1652</v>
      </c>
      <c r="B1720" s="285">
        <v>1.6956422124149517</v>
      </c>
      <c r="C1720" s="285">
        <v>3.1473434052509566</v>
      </c>
      <c r="D1720" s="285">
        <v>2.4449516777329738</v>
      </c>
      <c r="E1720" s="285">
        <v>6.0152570242965222</v>
      </c>
    </row>
    <row r="1721" spans="1:5">
      <c r="A1721" s="284">
        <f t="shared" si="1017"/>
        <v>1653</v>
      </c>
      <c r="B1721" s="285">
        <v>3.3566848870597736</v>
      </c>
      <c r="C1721" s="285">
        <v>3.143153385925392</v>
      </c>
      <c r="D1721" s="285">
        <v>3.405190160604409</v>
      </c>
      <c r="E1721" s="285">
        <v>-6.9703472577578864</v>
      </c>
    </row>
    <row r="1722" spans="1:5">
      <c r="A1722" s="284">
        <f t="shared" si="1017"/>
        <v>1654</v>
      </c>
      <c r="B1722" s="285">
        <v>2.3115910874303416</v>
      </c>
      <c r="C1722" s="285">
        <v>2.589336393560715</v>
      </c>
      <c r="D1722" s="285">
        <v>2.5883719123789817</v>
      </c>
      <c r="E1722" s="285">
        <v>-0.62619479653866073</v>
      </c>
    </row>
    <row r="1723" spans="1:5">
      <c r="A1723" s="284">
        <f t="shared" si="1017"/>
        <v>1655</v>
      </c>
      <c r="B1723" s="285">
        <v>0.52414057090578636</v>
      </c>
      <c r="C1723" s="285">
        <v>2.6778708016591217</v>
      </c>
      <c r="D1723" s="285">
        <v>1.7656423124226588</v>
      </c>
      <c r="E1723" s="285">
        <v>6.1878064174011147</v>
      </c>
    </row>
    <row r="1724" spans="1:5">
      <c r="A1724" s="284">
        <f t="shared" si="1017"/>
        <v>1656</v>
      </c>
      <c r="B1724" s="285">
        <v>-0.46352956799257439</v>
      </c>
      <c r="C1724" s="285">
        <v>2.5162075174263232</v>
      </c>
      <c r="D1724" s="285">
        <v>1.37530638295534</v>
      </c>
      <c r="E1724" s="285">
        <v>-2.0135619692809614</v>
      </c>
    </row>
    <row r="1725" spans="1:5">
      <c r="A1725" s="284">
        <f t="shared" si="1017"/>
        <v>1657</v>
      </c>
      <c r="B1725" s="285">
        <v>0.1728628385767586</v>
      </c>
      <c r="C1725" s="285">
        <v>2.3929986890349104</v>
      </c>
      <c r="D1725" s="285">
        <v>0.82383479212542432</v>
      </c>
      <c r="E1725" s="285">
        <v>-10.926930179545817</v>
      </c>
    </row>
    <row r="1726" spans="1:5">
      <c r="A1726" s="284">
        <f t="shared" si="1017"/>
        <v>1658</v>
      </c>
      <c r="B1726" s="285">
        <v>-2.8846125712378781</v>
      </c>
      <c r="C1726" s="285">
        <v>2.1614102907478232</v>
      </c>
      <c r="D1726" s="285">
        <v>2.0748729368505181</v>
      </c>
      <c r="E1726" s="285">
        <v>-2.3337439136266886</v>
      </c>
    </row>
    <row r="1727" spans="1:5">
      <c r="A1727" s="284">
        <f t="shared" si="1017"/>
        <v>1659</v>
      </c>
      <c r="B1727" s="285">
        <v>-1.4097583284272504</v>
      </c>
      <c r="C1727" s="285">
        <v>3.1743082505965776</v>
      </c>
      <c r="D1727" s="285">
        <v>1.0865002115886162</v>
      </c>
      <c r="E1727" s="285">
        <v>-2.2860547244998606</v>
      </c>
    </row>
    <row r="1728" spans="1:5">
      <c r="A1728" s="284">
        <f t="shared" si="1017"/>
        <v>1660</v>
      </c>
      <c r="B1728" s="285">
        <v>0.32586130110537831</v>
      </c>
      <c r="C1728" s="285">
        <v>2.802645390946644</v>
      </c>
      <c r="D1728" s="285">
        <v>2.5355672446828033</v>
      </c>
      <c r="E1728" s="285">
        <v>1.7613840920835284</v>
      </c>
    </row>
    <row r="1729" spans="1:5">
      <c r="A1729" s="284">
        <f t="shared" si="1017"/>
        <v>1661</v>
      </c>
      <c r="B1729" s="285">
        <v>-0.42104342908812342</v>
      </c>
      <c r="C1729" s="285">
        <v>2.9337208219224733</v>
      </c>
      <c r="D1729" s="285">
        <v>-0.23489413534327053</v>
      </c>
      <c r="E1729" s="285">
        <v>6.5817103288240979</v>
      </c>
    </row>
    <row r="1730" spans="1:5">
      <c r="A1730" s="284">
        <f t="shared" si="1017"/>
        <v>1662</v>
      </c>
      <c r="B1730" s="285">
        <v>2.4466428830111986</v>
      </c>
      <c r="C1730" s="285">
        <v>2.5790981411897387</v>
      </c>
      <c r="D1730" s="285">
        <v>1.3261541936067196</v>
      </c>
      <c r="E1730" s="285">
        <v>-14.149160012624458</v>
      </c>
    </row>
    <row r="1731" spans="1:5">
      <c r="A1731" s="284">
        <f t="shared" si="1017"/>
        <v>1663</v>
      </c>
      <c r="B1731" s="285">
        <v>-1.0115213884118306</v>
      </c>
      <c r="C1731" s="285">
        <v>2.9908163448249998</v>
      </c>
      <c r="D1731" s="285">
        <v>0.41541831780442662</v>
      </c>
      <c r="E1731" s="285">
        <v>12.22659338933455</v>
      </c>
    </row>
    <row r="1732" spans="1:5">
      <c r="A1732" s="284">
        <f t="shared" si="1017"/>
        <v>1664</v>
      </c>
      <c r="B1732" s="285">
        <v>2.1441199596616145</v>
      </c>
      <c r="C1732" s="285">
        <v>3.0300426146033024</v>
      </c>
      <c r="D1732" s="285">
        <v>2.3487770983630556</v>
      </c>
      <c r="E1732" s="285">
        <v>6.1136873363195718</v>
      </c>
    </row>
    <row r="1733" spans="1:5">
      <c r="A1733" s="284">
        <f t="shared" si="1017"/>
        <v>1665</v>
      </c>
      <c r="B1733" s="285">
        <v>3.2985303738390854</v>
      </c>
      <c r="C1733" s="285">
        <v>2.8778867405963693</v>
      </c>
      <c r="D1733" s="285">
        <v>0.78345369165689538</v>
      </c>
      <c r="E1733" s="285">
        <v>-10.262237330222407</v>
      </c>
    </row>
    <row r="1734" spans="1:5">
      <c r="A1734" s="284">
        <f t="shared" si="1017"/>
        <v>1666</v>
      </c>
      <c r="B1734" s="285">
        <v>-3.3090941617761986</v>
      </c>
      <c r="C1734" s="285">
        <v>2.0363177172261713</v>
      </c>
      <c r="D1734" s="285">
        <v>1.1006773903619314</v>
      </c>
      <c r="E1734" s="285">
        <v>-7.746341441898247</v>
      </c>
    </row>
    <row r="1735" spans="1:5">
      <c r="A1735" s="284">
        <f t="shared" ref="A1735:A1798" si="1018">A1734+1</f>
        <v>1667</v>
      </c>
      <c r="B1735" s="285">
        <v>2.3471303483702597</v>
      </c>
      <c r="C1735" s="285">
        <v>3.1059128203905293</v>
      </c>
      <c r="D1735" s="285">
        <v>0.84284644703767697</v>
      </c>
      <c r="E1735" s="285">
        <v>5.1196219943211094</v>
      </c>
    </row>
    <row r="1736" spans="1:5">
      <c r="A1736" s="284">
        <f t="shared" si="1018"/>
        <v>1668</v>
      </c>
      <c r="B1736" s="285">
        <v>6.0757775160416649</v>
      </c>
      <c r="C1736" s="285">
        <v>3.3323941282425995</v>
      </c>
      <c r="D1736" s="285">
        <v>2.942040101803709</v>
      </c>
      <c r="E1736" s="285">
        <v>3.4156737240218225</v>
      </c>
    </row>
    <row r="1737" spans="1:5">
      <c r="A1737" s="284">
        <f t="shared" si="1018"/>
        <v>1669</v>
      </c>
      <c r="B1737" s="285">
        <v>0.93876540163426769</v>
      </c>
      <c r="C1737" s="285">
        <v>2.7256657755680571</v>
      </c>
      <c r="D1737" s="285">
        <v>1.6977551406567155</v>
      </c>
      <c r="E1737" s="285">
        <v>-4.2853818518977898</v>
      </c>
    </row>
    <row r="1738" spans="1:5">
      <c r="A1738" s="284">
        <f t="shared" si="1018"/>
        <v>1670</v>
      </c>
      <c r="B1738" s="285">
        <v>-3.4583218594788518</v>
      </c>
      <c r="C1738" s="285">
        <v>3.016113776340283</v>
      </c>
      <c r="D1738" s="285">
        <v>-2.2659941999033659</v>
      </c>
      <c r="E1738" s="285">
        <v>14.804135042455513</v>
      </c>
    </row>
    <row r="1739" spans="1:5">
      <c r="A1739" s="284">
        <f t="shared" si="1018"/>
        <v>1671</v>
      </c>
      <c r="B1739" s="285">
        <v>-4.2437871136006811</v>
      </c>
      <c r="C1739" s="285">
        <v>2.766181473449469</v>
      </c>
      <c r="D1739" s="285">
        <v>1.2251158233461807</v>
      </c>
      <c r="E1739" s="285">
        <v>9.2014217601263333</v>
      </c>
    </row>
    <row r="1740" spans="1:5">
      <c r="A1740" s="284">
        <f t="shared" si="1018"/>
        <v>1672</v>
      </c>
      <c r="B1740" s="285">
        <v>2.0154775387596136</v>
      </c>
      <c r="C1740" s="285">
        <v>2.7961613018496214</v>
      </c>
      <c r="D1740" s="285">
        <v>1.6851145671465702</v>
      </c>
      <c r="E1740" s="285">
        <v>-4.4480539164084911</v>
      </c>
    </row>
    <row r="1741" spans="1:5">
      <c r="A1741" s="284">
        <f t="shared" si="1018"/>
        <v>1673</v>
      </c>
      <c r="B1741" s="285">
        <v>3.8760923198041244</v>
      </c>
      <c r="C1741" s="285">
        <v>2.5644858417502325</v>
      </c>
      <c r="D1741" s="285">
        <v>2.9398763776228733</v>
      </c>
      <c r="E1741" s="285">
        <v>-16.096717010385714</v>
      </c>
    </row>
    <row r="1742" spans="1:5">
      <c r="A1742" s="284">
        <f t="shared" si="1018"/>
        <v>1674</v>
      </c>
      <c r="B1742" s="285">
        <v>-0.18821905775652398</v>
      </c>
      <c r="C1742" s="285">
        <v>2.5771795588498927</v>
      </c>
      <c r="D1742" s="285">
        <v>0.79029743508387951</v>
      </c>
      <c r="E1742" s="285">
        <v>-6.2109846972988567</v>
      </c>
    </row>
    <row r="1743" spans="1:5">
      <c r="A1743" s="284">
        <f t="shared" si="1018"/>
        <v>1675</v>
      </c>
      <c r="B1743" s="285">
        <v>-2.3676784865604348</v>
      </c>
      <c r="C1743" s="285">
        <v>1.4607348804344422</v>
      </c>
      <c r="D1743" s="285">
        <v>2.6882482367425324</v>
      </c>
      <c r="E1743" s="285">
        <v>-17.768601847108982</v>
      </c>
    </row>
    <row r="1744" spans="1:5">
      <c r="A1744" s="284">
        <f t="shared" si="1018"/>
        <v>1676</v>
      </c>
      <c r="B1744" s="285">
        <v>-2.0603628794841087</v>
      </c>
      <c r="C1744" s="285">
        <v>2.6902721041651732</v>
      </c>
      <c r="D1744" s="285">
        <v>-0.59933478588515077</v>
      </c>
      <c r="E1744" s="285">
        <v>-6.3458891622399545</v>
      </c>
    </row>
    <row r="1745" spans="1:5">
      <c r="A1745" s="284">
        <f t="shared" si="1018"/>
        <v>1677</v>
      </c>
      <c r="B1745" s="285">
        <v>-3.2345105384722794</v>
      </c>
      <c r="C1745" s="285">
        <v>1.6216967271973455</v>
      </c>
      <c r="D1745" s="285">
        <v>0.82217862456078539</v>
      </c>
      <c r="E1745" s="285">
        <v>-16.168600221105528</v>
      </c>
    </row>
    <row r="1746" spans="1:5">
      <c r="A1746" s="284">
        <f t="shared" si="1018"/>
        <v>1678</v>
      </c>
      <c r="B1746" s="285">
        <v>0.71335902492807257</v>
      </c>
      <c r="C1746" s="285">
        <v>2.2160067307758875</v>
      </c>
      <c r="D1746" s="285">
        <v>3.8702998115776803</v>
      </c>
      <c r="E1746" s="285">
        <v>-7.9522313150041306</v>
      </c>
    </row>
    <row r="1747" spans="1:5">
      <c r="A1747" s="284">
        <f t="shared" si="1018"/>
        <v>1679</v>
      </c>
      <c r="B1747" s="285">
        <v>2.452161891542862</v>
      </c>
      <c r="C1747" s="285">
        <v>2.8753621643581795</v>
      </c>
      <c r="D1747" s="285">
        <v>-0.13557557549719146</v>
      </c>
      <c r="E1747" s="285">
        <v>3.6725387248701016</v>
      </c>
    </row>
    <row r="1748" spans="1:5">
      <c r="A1748" s="284">
        <f t="shared" si="1018"/>
        <v>1680</v>
      </c>
      <c r="B1748" s="285">
        <v>-2.9525196985411126</v>
      </c>
      <c r="C1748" s="285">
        <v>2.5300773505272089</v>
      </c>
      <c r="D1748" s="285">
        <v>0.22774609103524213</v>
      </c>
      <c r="E1748" s="285">
        <v>3.5525441363221124</v>
      </c>
    </row>
    <row r="1749" spans="1:5">
      <c r="A1749" s="284">
        <f t="shared" si="1018"/>
        <v>1681</v>
      </c>
      <c r="B1749" s="285">
        <v>1.2077779835487688</v>
      </c>
      <c r="C1749" s="285">
        <v>3.2024518764890253</v>
      </c>
      <c r="D1749" s="285">
        <v>1.6258503224343954</v>
      </c>
      <c r="E1749" s="285">
        <v>5.3682605761270601</v>
      </c>
    </row>
    <row r="1750" spans="1:5">
      <c r="A1750" s="284">
        <f t="shared" si="1018"/>
        <v>1682</v>
      </c>
      <c r="B1750" s="285">
        <v>3.5874351774666553</v>
      </c>
      <c r="C1750" s="285">
        <v>3.4177633268115568</v>
      </c>
      <c r="D1750" s="285">
        <v>-0.18967802668821321</v>
      </c>
      <c r="E1750" s="285">
        <v>3.6554590306086534</v>
      </c>
    </row>
    <row r="1751" spans="1:5">
      <c r="A1751" s="284">
        <f t="shared" si="1018"/>
        <v>1683</v>
      </c>
      <c r="B1751" s="285">
        <v>-0.89881665955214807</v>
      </c>
      <c r="C1751" s="285">
        <v>2.3458101147803387</v>
      </c>
      <c r="D1751" s="285">
        <v>-1.0100323249287513</v>
      </c>
      <c r="E1751" s="285">
        <v>2.1194121561377881</v>
      </c>
    </row>
    <row r="1752" spans="1:5">
      <c r="A1752" s="284">
        <f t="shared" si="1018"/>
        <v>1684</v>
      </c>
      <c r="B1752" s="285">
        <v>-1.5106738209350605</v>
      </c>
      <c r="C1752" s="285">
        <v>1.935841289719306</v>
      </c>
      <c r="D1752" s="285">
        <v>2.021864962148328</v>
      </c>
      <c r="E1752" s="285">
        <v>-6.030223689760323</v>
      </c>
    </row>
    <row r="1753" spans="1:5">
      <c r="A1753" s="284">
        <f t="shared" si="1018"/>
        <v>1685</v>
      </c>
      <c r="B1753" s="285">
        <v>-3.960279118498772</v>
      </c>
      <c r="C1753" s="285">
        <v>2.2550888501756696</v>
      </c>
      <c r="D1753" s="285">
        <v>0.96800357531025982</v>
      </c>
      <c r="E1753" s="285">
        <v>-3.7148101393152122</v>
      </c>
    </row>
    <row r="1754" spans="1:5">
      <c r="A1754" s="284">
        <f t="shared" si="1018"/>
        <v>1686</v>
      </c>
      <c r="B1754" s="285">
        <v>-2.4962337412016087</v>
      </c>
      <c r="C1754" s="285">
        <v>2.5428506574545597</v>
      </c>
      <c r="D1754" s="285">
        <v>-1.3522911067734675</v>
      </c>
      <c r="E1754" s="285">
        <v>5.5983162453062754</v>
      </c>
    </row>
    <row r="1755" spans="1:5">
      <c r="A1755" s="284">
        <f t="shared" si="1018"/>
        <v>1687</v>
      </c>
      <c r="B1755" s="285">
        <v>0.77080972435347483</v>
      </c>
      <c r="C1755" s="285">
        <v>3.0116295883484328</v>
      </c>
      <c r="D1755" s="285">
        <v>0.67997642172554262</v>
      </c>
      <c r="E1755" s="285">
        <v>4.118727691469708</v>
      </c>
    </row>
    <row r="1756" spans="1:5">
      <c r="A1756" s="284">
        <f t="shared" si="1018"/>
        <v>1688</v>
      </c>
      <c r="B1756" s="285">
        <v>2.6203575353345561</v>
      </c>
      <c r="C1756" s="285">
        <v>2.5154289160243173</v>
      </c>
      <c r="D1756" s="285">
        <v>0.84578824942862929</v>
      </c>
      <c r="E1756" s="285">
        <v>-10.640087859572883</v>
      </c>
    </row>
    <row r="1757" spans="1:5">
      <c r="A1757" s="284">
        <f t="shared" si="1018"/>
        <v>1689</v>
      </c>
      <c r="B1757" s="285">
        <v>-2.786341387647393</v>
      </c>
      <c r="C1757" s="285">
        <v>2.2128833028988204</v>
      </c>
      <c r="D1757" s="285">
        <v>1.7211470884816378</v>
      </c>
      <c r="E1757" s="285">
        <v>-1.5822038139112009</v>
      </c>
    </row>
    <row r="1758" spans="1:5">
      <c r="A1758" s="284">
        <f t="shared" si="1018"/>
        <v>1690</v>
      </c>
      <c r="B1758" s="285">
        <v>-0.75553686307581269</v>
      </c>
      <c r="C1758" s="285">
        <v>2.910348229307048</v>
      </c>
      <c r="D1758" s="285">
        <v>3.4627004360434834</v>
      </c>
      <c r="E1758" s="285">
        <v>-7.329258234811757</v>
      </c>
    </row>
    <row r="1759" spans="1:5">
      <c r="A1759" s="284">
        <f t="shared" si="1018"/>
        <v>1691</v>
      </c>
      <c r="B1759" s="285">
        <v>-1.8179571972199271</v>
      </c>
      <c r="C1759" s="285">
        <v>1.5265655311977042</v>
      </c>
      <c r="D1759" s="285">
        <v>1.9922412202211301</v>
      </c>
      <c r="E1759" s="285">
        <v>-25.757561988725776</v>
      </c>
    </row>
    <row r="1760" spans="1:5">
      <c r="A1760" s="284">
        <f t="shared" si="1018"/>
        <v>1692</v>
      </c>
      <c r="B1760" s="285">
        <v>-1.0572320137413636</v>
      </c>
      <c r="C1760" s="285">
        <v>2.0252032646259845</v>
      </c>
      <c r="D1760" s="285">
        <v>2.1719803531895683</v>
      </c>
      <c r="E1760" s="285">
        <v>-15.183719830761017</v>
      </c>
    </row>
    <row r="1761" spans="1:5">
      <c r="A1761" s="284">
        <f t="shared" si="1018"/>
        <v>1693</v>
      </c>
      <c r="B1761" s="285">
        <v>-0.92991258441415803</v>
      </c>
      <c r="C1761" s="285">
        <v>1.0708931862808388</v>
      </c>
      <c r="D1761" s="285">
        <v>2.8298446174374945</v>
      </c>
      <c r="E1761" s="285">
        <v>-32.864719943832263</v>
      </c>
    </row>
    <row r="1762" spans="1:5">
      <c r="A1762" s="284">
        <f t="shared" si="1018"/>
        <v>1694</v>
      </c>
      <c r="B1762" s="285">
        <v>2.0422527470335532</v>
      </c>
      <c r="C1762" s="285">
        <v>2.3008781272958423</v>
      </c>
      <c r="D1762" s="285">
        <v>-0.43722912361355681</v>
      </c>
      <c r="E1762" s="285">
        <v>-14.398876194118163</v>
      </c>
    </row>
    <row r="1763" spans="1:5">
      <c r="A1763" s="284">
        <f t="shared" si="1018"/>
        <v>1695</v>
      </c>
      <c r="B1763" s="285">
        <v>1.781836382080451</v>
      </c>
      <c r="C1763" s="285">
        <v>2.3181806554150155</v>
      </c>
      <c r="D1763" s="285">
        <v>3.31016937402112</v>
      </c>
      <c r="E1763" s="285">
        <v>-19.178039000486113</v>
      </c>
    </row>
    <row r="1764" spans="1:5">
      <c r="A1764" s="284">
        <f t="shared" si="1018"/>
        <v>1696</v>
      </c>
      <c r="B1764" s="285">
        <v>1.8621514280046623</v>
      </c>
      <c r="C1764" s="285">
        <v>2.7593694965019337</v>
      </c>
      <c r="D1764" s="285">
        <v>1.3638346393491165</v>
      </c>
      <c r="E1764" s="285">
        <v>6.033917439015422</v>
      </c>
    </row>
    <row r="1765" spans="1:5">
      <c r="A1765" s="284">
        <f t="shared" si="1018"/>
        <v>1697</v>
      </c>
      <c r="B1765" s="285">
        <v>-1.4605950214614596</v>
      </c>
      <c r="C1765" s="285">
        <v>2.4687085360058751</v>
      </c>
      <c r="D1765" s="285">
        <v>2.6873781529618812</v>
      </c>
      <c r="E1765" s="285">
        <v>-6.1510399951495245</v>
      </c>
    </row>
    <row r="1766" spans="1:5">
      <c r="A1766" s="284">
        <f t="shared" si="1018"/>
        <v>1698</v>
      </c>
      <c r="B1766" s="285">
        <v>-0.21029902349431279</v>
      </c>
      <c r="C1766" s="285">
        <v>2.4389364924737289</v>
      </c>
      <c r="D1766" s="285">
        <v>0.7028770253514246</v>
      </c>
      <c r="E1766" s="285">
        <v>-3.4495140155384276</v>
      </c>
    </row>
    <row r="1767" spans="1:5">
      <c r="A1767" s="284">
        <f t="shared" si="1018"/>
        <v>1699</v>
      </c>
      <c r="B1767" s="285">
        <v>-3.0747235008757308</v>
      </c>
      <c r="C1767" s="285">
        <v>2.4042822658475389</v>
      </c>
      <c r="D1767" s="285">
        <v>1.2775867007801738</v>
      </c>
      <c r="E1767" s="285">
        <v>-5.0231443486450651</v>
      </c>
    </row>
    <row r="1768" spans="1:5">
      <c r="A1768" s="284">
        <f t="shared" si="1018"/>
        <v>1700</v>
      </c>
      <c r="B1768" s="285">
        <v>1.8955607894638526</v>
      </c>
      <c r="C1768" s="285">
        <v>3.6568896595916729</v>
      </c>
      <c r="D1768" s="285">
        <v>0.11632780588353109</v>
      </c>
      <c r="E1768" s="285">
        <v>18.161200409322632</v>
      </c>
    </row>
    <row r="1769" spans="1:5">
      <c r="A1769" s="284">
        <f t="shared" si="1018"/>
        <v>1701</v>
      </c>
      <c r="B1769" s="285">
        <v>-0.97765336770550459</v>
      </c>
      <c r="C1769" s="285">
        <v>2.4956774875299472</v>
      </c>
      <c r="D1769" s="285">
        <v>0.38566605889983863</v>
      </c>
      <c r="E1769" s="285">
        <v>-6.7486214826217124</v>
      </c>
    </row>
    <row r="1770" spans="1:5">
      <c r="A1770" s="284">
        <f t="shared" si="1018"/>
        <v>1702</v>
      </c>
      <c r="B1770" s="285">
        <v>3.7844557934503302</v>
      </c>
      <c r="C1770" s="285">
        <v>3.0112035793410468</v>
      </c>
      <c r="D1770" s="285">
        <v>0.50277632514814896</v>
      </c>
      <c r="E1770" s="285">
        <v>-5.488921777603613</v>
      </c>
    </row>
    <row r="1771" spans="1:5">
      <c r="A1771" s="284">
        <f t="shared" si="1018"/>
        <v>1703</v>
      </c>
      <c r="B1771" s="285">
        <v>0.74360841002878952</v>
      </c>
      <c r="C1771" s="285">
        <v>2.6706443568486247</v>
      </c>
      <c r="D1771" s="285">
        <v>-0.73848976200696237</v>
      </c>
      <c r="E1771" s="285">
        <v>-11.371827174055674</v>
      </c>
    </row>
    <row r="1772" spans="1:5">
      <c r="A1772" s="284">
        <f t="shared" si="1018"/>
        <v>1704</v>
      </c>
      <c r="B1772" s="285">
        <v>-1.1414294605266952</v>
      </c>
      <c r="C1772" s="285">
        <v>2.8904357541805492</v>
      </c>
      <c r="D1772" s="285">
        <v>1.785913390639482</v>
      </c>
      <c r="E1772" s="285">
        <v>4.2811822026973605</v>
      </c>
    </row>
    <row r="1773" spans="1:5">
      <c r="A1773" s="284">
        <f t="shared" si="1018"/>
        <v>1705</v>
      </c>
      <c r="B1773" s="285">
        <v>2.686566357404522</v>
      </c>
      <c r="C1773" s="285">
        <v>3.1354505132634136</v>
      </c>
      <c r="D1773" s="285">
        <v>1.4913104807300328</v>
      </c>
      <c r="E1773" s="285">
        <v>-3.407722370821745</v>
      </c>
    </row>
    <row r="1774" spans="1:5">
      <c r="A1774" s="284">
        <f t="shared" si="1018"/>
        <v>1706</v>
      </c>
      <c r="B1774" s="285">
        <v>-3.9413484844480391</v>
      </c>
      <c r="C1774" s="285">
        <v>2.8386387264602555</v>
      </c>
      <c r="D1774" s="285">
        <v>-0.25302030697370226</v>
      </c>
      <c r="E1774" s="285">
        <v>0.43067731289545508</v>
      </c>
    </row>
    <row r="1775" spans="1:5">
      <c r="A1775" s="284">
        <f t="shared" si="1018"/>
        <v>1707</v>
      </c>
      <c r="B1775" s="285">
        <v>-1.6303417325125817</v>
      </c>
      <c r="C1775" s="285">
        <v>2.4877840748267501</v>
      </c>
      <c r="D1775" s="285">
        <v>-1.1261346754654933</v>
      </c>
      <c r="E1775" s="285">
        <v>-8.3021894349029139</v>
      </c>
    </row>
    <row r="1776" spans="1:5">
      <c r="A1776" s="284">
        <f t="shared" si="1018"/>
        <v>1708</v>
      </c>
      <c r="B1776" s="285">
        <v>0.36900811040998638</v>
      </c>
      <c r="C1776" s="285">
        <v>2.6303696489241526</v>
      </c>
      <c r="D1776" s="285">
        <v>2.9248195985575824</v>
      </c>
      <c r="E1776" s="285">
        <v>-9.5884297025622089</v>
      </c>
    </row>
    <row r="1777" spans="1:5">
      <c r="A1777" s="284">
        <f t="shared" si="1018"/>
        <v>1709</v>
      </c>
      <c r="B1777" s="285">
        <v>0.3826503052415875</v>
      </c>
      <c r="C1777" s="285">
        <v>2.8851615730085234</v>
      </c>
      <c r="D1777" s="285">
        <v>3.702107277330315</v>
      </c>
      <c r="E1777" s="285">
        <v>-2.778394092906125</v>
      </c>
    </row>
    <row r="1778" spans="1:5">
      <c r="A1778" s="284">
        <f t="shared" si="1018"/>
        <v>1710</v>
      </c>
      <c r="B1778" s="285">
        <v>-1.0711014355405712</v>
      </c>
      <c r="C1778" s="285">
        <v>2.1493594996500804</v>
      </c>
      <c r="D1778" s="285">
        <v>0.77178730581346899</v>
      </c>
      <c r="E1778" s="285">
        <v>1.9781759271063026</v>
      </c>
    </row>
    <row r="1779" spans="1:5">
      <c r="A1779" s="284">
        <f t="shared" si="1018"/>
        <v>1711</v>
      </c>
      <c r="B1779" s="285">
        <v>1.6553860219408845</v>
      </c>
      <c r="C1779" s="285">
        <v>1.5710601717873318</v>
      </c>
      <c r="D1779" s="285">
        <v>3.6990352894882097</v>
      </c>
      <c r="E1779" s="285">
        <v>-25.443518965818981</v>
      </c>
    </row>
    <row r="1780" spans="1:5">
      <c r="A1780" s="284">
        <f t="shared" si="1018"/>
        <v>1712</v>
      </c>
      <c r="B1780" s="285">
        <v>-0.95164468761213794</v>
      </c>
      <c r="C1780" s="285">
        <v>1.7117746972826722</v>
      </c>
      <c r="D1780" s="285">
        <v>2.3255770687331285</v>
      </c>
      <c r="E1780" s="285">
        <v>-28.507339388637664</v>
      </c>
    </row>
    <row r="1781" spans="1:5">
      <c r="A1781" s="284">
        <f t="shared" si="1018"/>
        <v>1713</v>
      </c>
      <c r="B1781" s="285">
        <v>-2.0713123983160204</v>
      </c>
      <c r="C1781" s="285">
        <v>1.5319847221438871</v>
      </c>
      <c r="D1781" s="285">
        <v>-1.922008111864379</v>
      </c>
      <c r="E1781" s="285">
        <v>-15.07239451039367</v>
      </c>
    </row>
    <row r="1782" spans="1:5">
      <c r="A1782" s="284">
        <f t="shared" si="1018"/>
        <v>1714</v>
      </c>
      <c r="B1782" s="285">
        <v>0.85515394821717894</v>
      </c>
      <c r="C1782" s="285">
        <v>1.8548092346263174</v>
      </c>
      <c r="D1782" s="285">
        <v>1.3169770839068298</v>
      </c>
      <c r="E1782" s="285">
        <v>-18.351038523688601</v>
      </c>
    </row>
    <row r="1783" spans="1:5">
      <c r="A1783" s="284">
        <f t="shared" si="1018"/>
        <v>1715</v>
      </c>
      <c r="B1783" s="285">
        <v>0.74307421055970346</v>
      </c>
      <c r="C1783" s="285">
        <v>1.7113248817267432</v>
      </c>
      <c r="D1783" s="285">
        <v>1.8206451814857505</v>
      </c>
      <c r="E1783" s="285">
        <v>-23.329597796265649</v>
      </c>
    </row>
    <row r="1784" spans="1:5">
      <c r="A1784" s="284">
        <f t="shared" si="1018"/>
        <v>1716</v>
      </c>
      <c r="B1784" s="285">
        <v>0.77038566490167582</v>
      </c>
      <c r="C1784" s="285">
        <v>2.6842429239869725</v>
      </c>
      <c r="D1784" s="285">
        <v>1.8658911522083601</v>
      </c>
      <c r="E1784" s="285">
        <v>-0.72983263720268132</v>
      </c>
    </row>
    <row r="1785" spans="1:5">
      <c r="A1785" s="284">
        <f t="shared" si="1018"/>
        <v>1717</v>
      </c>
      <c r="B1785" s="285">
        <v>-0.24337352136070214</v>
      </c>
      <c r="C1785" s="285">
        <v>2.089149492093795</v>
      </c>
      <c r="D1785" s="285">
        <v>0.81655309455370817</v>
      </c>
      <c r="E1785" s="285">
        <v>-7.864576098842619</v>
      </c>
    </row>
    <row r="1786" spans="1:5">
      <c r="A1786" s="284">
        <f t="shared" si="1018"/>
        <v>1718</v>
      </c>
      <c r="B1786" s="285">
        <v>2.7192697033085684</v>
      </c>
      <c r="C1786" s="285">
        <v>2.7382754219960059</v>
      </c>
      <c r="D1786" s="285">
        <v>1.0541046326061556</v>
      </c>
      <c r="E1786" s="285">
        <v>-14.573055021159247</v>
      </c>
    </row>
    <row r="1787" spans="1:5">
      <c r="A1787" s="284">
        <f t="shared" si="1018"/>
        <v>1719</v>
      </c>
      <c r="B1787" s="285">
        <v>-2.7049415087390987</v>
      </c>
      <c r="C1787" s="285">
        <v>2.7455064494597856</v>
      </c>
      <c r="D1787" s="285">
        <v>1.2444420526531026</v>
      </c>
      <c r="E1787" s="285">
        <v>6.5082277728230302</v>
      </c>
    </row>
    <row r="1788" spans="1:5">
      <c r="A1788" s="284">
        <f t="shared" si="1018"/>
        <v>1720</v>
      </c>
      <c r="B1788" s="285">
        <v>0.97955625717150452</v>
      </c>
      <c r="C1788" s="285">
        <v>3.6931695620124305</v>
      </c>
      <c r="D1788" s="285">
        <v>-1.5237011530566611</v>
      </c>
      <c r="E1788" s="285">
        <v>9.5409572729002505</v>
      </c>
    </row>
    <row r="1789" spans="1:5">
      <c r="A1789" s="284">
        <f t="shared" si="1018"/>
        <v>1721</v>
      </c>
      <c r="B1789" s="285">
        <v>1.9086511143265954</v>
      </c>
      <c r="C1789" s="285">
        <v>2.8017983157397457</v>
      </c>
      <c r="D1789" s="285">
        <v>1.2712458347441715</v>
      </c>
      <c r="E1789" s="285">
        <v>4.8849197157290529</v>
      </c>
    </row>
    <row r="1790" spans="1:5">
      <c r="A1790" s="284">
        <f t="shared" si="1018"/>
        <v>1722</v>
      </c>
      <c r="B1790" s="285">
        <v>1.7765088957093127</v>
      </c>
      <c r="C1790" s="285">
        <v>3.3252925463703429</v>
      </c>
      <c r="D1790" s="285">
        <v>0.90592166109639249</v>
      </c>
      <c r="E1790" s="285">
        <v>12.088286814960853</v>
      </c>
    </row>
    <row r="1791" spans="1:5">
      <c r="A1791" s="284">
        <f t="shared" si="1018"/>
        <v>1723</v>
      </c>
      <c r="B1791" s="285">
        <v>-3.4254118504276025</v>
      </c>
      <c r="C1791" s="285">
        <v>3.1348458140058328</v>
      </c>
      <c r="D1791" s="285">
        <v>-0.81717810595767659</v>
      </c>
      <c r="E1791" s="285">
        <v>13.631619731076846</v>
      </c>
    </row>
    <row r="1792" spans="1:5">
      <c r="A1792" s="284">
        <f t="shared" si="1018"/>
        <v>1724</v>
      </c>
      <c r="B1792" s="285">
        <v>-1.2778675852993338</v>
      </c>
      <c r="C1792" s="285">
        <v>1.9927616151962844</v>
      </c>
      <c r="D1792" s="285">
        <v>0.4837925376742942</v>
      </c>
      <c r="E1792" s="285">
        <v>-4.6997346973976555</v>
      </c>
    </row>
    <row r="1793" spans="1:5">
      <c r="A1793" s="284">
        <f t="shared" si="1018"/>
        <v>1725</v>
      </c>
      <c r="B1793" s="285">
        <v>-2.2115831752554569</v>
      </c>
      <c r="C1793" s="285">
        <v>2.0418504334756795</v>
      </c>
      <c r="D1793" s="285">
        <v>1.0220490054619329</v>
      </c>
      <c r="E1793" s="285">
        <v>-4.6085215400487911</v>
      </c>
    </row>
    <row r="1794" spans="1:5">
      <c r="A1794" s="284">
        <f t="shared" si="1018"/>
        <v>1726</v>
      </c>
      <c r="B1794" s="285">
        <v>0.96381984190929271</v>
      </c>
      <c r="C1794" s="285">
        <v>2.8790383886089308</v>
      </c>
      <c r="D1794" s="285">
        <v>2.4240850597245949</v>
      </c>
      <c r="E1794" s="285">
        <v>8.35161382414576</v>
      </c>
    </row>
    <row r="1795" spans="1:5">
      <c r="A1795" s="284">
        <f t="shared" si="1018"/>
        <v>1727</v>
      </c>
      <c r="B1795" s="285">
        <v>7.8321564537173677E-2</v>
      </c>
      <c r="C1795" s="285">
        <v>3.0075785240736472</v>
      </c>
      <c r="D1795" s="285">
        <v>1.8685178613116715</v>
      </c>
      <c r="E1795" s="285">
        <v>3.0845952266546504</v>
      </c>
    </row>
    <row r="1796" spans="1:5">
      <c r="A1796" s="284">
        <f t="shared" si="1018"/>
        <v>1728</v>
      </c>
      <c r="B1796" s="285">
        <v>-0.20079865718031228</v>
      </c>
      <c r="C1796" s="285">
        <v>2.4605827414094072</v>
      </c>
      <c r="D1796" s="285">
        <v>-1.268413401322503</v>
      </c>
      <c r="E1796" s="285">
        <v>8.6653554021021311</v>
      </c>
    </row>
    <row r="1797" spans="1:5">
      <c r="A1797" s="284">
        <f t="shared" si="1018"/>
        <v>1729</v>
      </c>
      <c r="B1797" s="285">
        <v>1.3514719254853698</v>
      </c>
      <c r="C1797" s="285">
        <v>2.4974899893544316</v>
      </c>
      <c r="D1797" s="285">
        <v>1.378255498879349</v>
      </c>
      <c r="E1797" s="285">
        <v>1.1357900430623236E-2</v>
      </c>
    </row>
    <row r="1798" spans="1:5">
      <c r="A1798" s="284">
        <f t="shared" si="1018"/>
        <v>1730</v>
      </c>
      <c r="B1798" s="285">
        <v>0.44250449388532376</v>
      </c>
      <c r="C1798" s="285">
        <v>3.0413262753134491</v>
      </c>
      <c r="D1798" s="285">
        <v>0.66206307314655444</v>
      </c>
      <c r="E1798" s="285">
        <v>1.0242535053081592</v>
      </c>
    </row>
    <row r="1799" spans="1:5">
      <c r="A1799" s="284">
        <f t="shared" ref="A1799:A1862" si="1019">A1798+1</f>
        <v>1731</v>
      </c>
      <c r="B1799" s="285">
        <v>2.3295730083827699</v>
      </c>
      <c r="C1799" s="285">
        <v>3.1672895759638604</v>
      </c>
      <c r="D1799" s="285">
        <v>1.1157678241582005</v>
      </c>
      <c r="E1799" s="285">
        <v>8.0174822478257184</v>
      </c>
    </row>
    <row r="1800" spans="1:5">
      <c r="A1800" s="284">
        <f t="shared" si="1019"/>
        <v>1732</v>
      </c>
      <c r="B1800" s="285">
        <v>-0.77998924888505206</v>
      </c>
      <c r="C1800" s="285">
        <v>1.8295753381801183</v>
      </c>
      <c r="D1800" s="285">
        <v>2.1817952137420202</v>
      </c>
      <c r="E1800" s="285">
        <v>-15.425295149109289</v>
      </c>
    </row>
    <row r="1801" spans="1:5">
      <c r="A1801" s="284">
        <f t="shared" si="1019"/>
        <v>1733</v>
      </c>
      <c r="B1801" s="285">
        <v>-1.5959749952602134</v>
      </c>
      <c r="C1801" s="285">
        <v>1.9537064981027292</v>
      </c>
      <c r="D1801" s="285">
        <v>-0.93568241387114215</v>
      </c>
      <c r="E1801" s="285">
        <v>-7.6317326611008731</v>
      </c>
    </row>
    <row r="1802" spans="1:5">
      <c r="A1802" s="284">
        <f t="shared" si="1019"/>
        <v>1734</v>
      </c>
      <c r="B1802" s="285">
        <v>2.1924094697025431</v>
      </c>
      <c r="C1802" s="285">
        <v>3.3708309378469172</v>
      </c>
      <c r="D1802" s="285">
        <v>2.0953401864384391</v>
      </c>
      <c r="E1802" s="285">
        <v>1.3539652036529701</v>
      </c>
    </row>
    <row r="1803" spans="1:5">
      <c r="A1803" s="284">
        <f t="shared" si="1019"/>
        <v>1735</v>
      </c>
      <c r="B1803" s="285">
        <v>1.5565170149360976</v>
      </c>
      <c r="C1803" s="285">
        <v>2.2594665817185113</v>
      </c>
      <c r="D1803" s="285">
        <v>2.2743978079567224</v>
      </c>
      <c r="E1803" s="285">
        <v>-17.81777618008616</v>
      </c>
    </row>
    <row r="1804" spans="1:5">
      <c r="A1804" s="284">
        <f t="shared" si="1019"/>
        <v>1736</v>
      </c>
      <c r="B1804" s="285">
        <v>1.9416756489679712</v>
      </c>
      <c r="C1804" s="285">
        <v>2.2938608573670565</v>
      </c>
      <c r="D1804" s="285">
        <v>1.6913628913718513</v>
      </c>
      <c r="E1804" s="285">
        <v>-14.47375024911862</v>
      </c>
    </row>
    <row r="1805" spans="1:5">
      <c r="A1805" s="284">
        <f t="shared" si="1019"/>
        <v>1737</v>
      </c>
      <c r="B1805" s="285">
        <v>-3.0037256749164269</v>
      </c>
      <c r="C1805" s="285">
        <v>2.5849131533013194</v>
      </c>
      <c r="D1805" s="285">
        <v>-7.4640527725322148E-2</v>
      </c>
      <c r="E1805" s="285">
        <v>1.8863586891426567</v>
      </c>
    </row>
    <row r="1806" spans="1:5">
      <c r="A1806" s="284">
        <f t="shared" si="1019"/>
        <v>1738</v>
      </c>
      <c r="B1806" s="285">
        <v>0.47804632079212733</v>
      </c>
      <c r="C1806" s="285">
        <v>2.6965549785764131</v>
      </c>
      <c r="D1806" s="285">
        <v>1.7442884014261657</v>
      </c>
      <c r="E1806" s="285">
        <v>-6.1539116068654245</v>
      </c>
    </row>
    <row r="1807" spans="1:5">
      <c r="A1807" s="284">
        <f t="shared" si="1019"/>
        <v>1739</v>
      </c>
      <c r="B1807" s="285">
        <v>2.9794746376637837</v>
      </c>
      <c r="C1807" s="285">
        <v>2.3810321337428584</v>
      </c>
      <c r="D1807" s="285">
        <v>3.5129814815018769</v>
      </c>
      <c r="E1807" s="285">
        <v>-16.248442716680202</v>
      </c>
    </row>
    <row r="1808" spans="1:5">
      <c r="A1808" s="284">
        <f t="shared" si="1019"/>
        <v>1740</v>
      </c>
      <c r="B1808" s="285">
        <v>-0.8025146779101292</v>
      </c>
      <c r="C1808" s="285">
        <v>2.8406550915765831</v>
      </c>
      <c r="D1808" s="285">
        <v>0.4181821587768364</v>
      </c>
      <c r="E1808" s="285">
        <v>-5.5851323195332494</v>
      </c>
    </row>
    <row r="1809" spans="1:5">
      <c r="A1809" s="284">
        <f t="shared" si="1019"/>
        <v>1741</v>
      </c>
      <c r="B1809" s="285">
        <v>2.0248477698177259</v>
      </c>
      <c r="C1809" s="285">
        <v>2.1918178339432628</v>
      </c>
      <c r="D1809" s="285">
        <v>1.6682162568081724</v>
      </c>
      <c r="E1809" s="285">
        <v>-13.219198056534978</v>
      </c>
    </row>
    <row r="1810" spans="1:5">
      <c r="A1810" s="284">
        <f t="shared" si="1019"/>
        <v>1742</v>
      </c>
      <c r="B1810" s="285">
        <v>-4.2334435116485318</v>
      </c>
      <c r="C1810" s="285">
        <v>1.6433456942627407</v>
      </c>
      <c r="D1810" s="285">
        <v>0.70884829263055593</v>
      </c>
      <c r="E1810" s="285">
        <v>-15.230834156074618</v>
      </c>
    </row>
    <row r="1811" spans="1:5">
      <c r="A1811" s="284">
        <f t="shared" si="1019"/>
        <v>1743</v>
      </c>
      <c r="B1811" s="285">
        <v>2.451034650384786</v>
      </c>
      <c r="C1811" s="285">
        <v>2.3307792786995041</v>
      </c>
      <c r="D1811" s="285">
        <v>1.4763496379400536</v>
      </c>
      <c r="E1811" s="285">
        <v>-8.8608937610552214</v>
      </c>
    </row>
    <row r="1812" spans="1:5">
      <c r="A1812" s="284">
        <f t="shared" si="1019"/>
        <v>1744</v>
      </c>
      <c r="B1812" s="285">
        <v>-1.8016927089142594</v>
      </c>
      <c r="C1812" s="285">
        <v>2.4400548736246144</v>
      </c>
      <c r="D1812" s="285">
        <v>2.2118033427361472</v>
      </c>
      <c r="E1812" s="285">
        <v>-9.8013763477968894</v>
      </c>
    </row>
    <row r="1813" spans="1:5">
      <c r="A1813" s="284">
        <f t="shared" si="1019"/>
        <v>1745</v>
      </c>
      <c r="B1813" s="285">
        <v>0.8172637862974601</v>
      </c>
      <c r="C1813" s="285">
        <v>2.3693593440112375</v>
      </c>
      <c r="D1813" s="285">
        <v>1.6523571910701813</v>
      </c>
      <c r="E1813" s="285">
        <v>-9.4392129092257253</v>
      </c>
    </row>
    <row r="1814" spans="1:5">
      <c r="A1814" s="284">
        <f t="shared" si="1019"/>
        <v>1746</v>
      </c>
      <c r="B1814" s="285">
        <v>3.3306398539367246</v>
      </c>
      <c r="C1814" s="285">
        <v>3.0816801513858731</v>
      </c>
      <c r="D1814" s="285">
        <v>-0.93886279133297013</v>
      </c>
      <c r="E1814" s="285">
        <v>2.2765335192186673</v>
      </c>
    </row>
    <row r="1815" spans="1:5">
      <c r="A1815" s="284">
        <f t="shared" si="1019"/>
        <v>1747</v>
      </c>
      <c r="B1815" s="285">
        <v>1.6556657504578696</v>
      </c>
      <c r="C1815" s="285">
        <v>2.9714093051061825</v>
      </c>
      <c r="D1815" s="285">
        <v>-0.7513291949854346</v>
      </c>
      <c r="E1815" s="285">
        <v>8.1498174526887919</v>
      </c>
    </row>
    <row r="1816" spans="1:5">
      <c r="A1816" s="284">
        <f t="shared" si="1019"/>
        <v>1748</v>
      </c>
      <c r="B1816" s="285">
        <v>2.3928923780337463</v>
      </c>
      <c r="C1816" s="285">
        <v>2.7850329062741461</v>
      </c>
      <c r="D1816" s="285">
        <v>2.8475165651644208</v>
      </c>
      <c r="E1816" s="285">
        <v>-7.9192910505465619E-2</v>
      </c>
    </row>
    <row r="1817" spans="1:5">
      <c r="A1817" s="284">
        <f t="shared" si="1019"/>
        <v>1749</v>
      </c>
      <c r="B1817" s="285">
        <v>1.2898683194440688</v>
      </c>
      <c r="C1817" s="285">
        <v>3.1740752517127042</v>
      </c>
      <c r="D1817" s="285">
        <v>-5.1216839446001527E-2</v>
      </c>
      <c r="E1817" s="285">
        <v>-2.6102619450426423</v>
      </c>
    </row>
    <row r="1818" spans="1:5">
      <c r="A1818" s="284">
        <f t="shared" si="1019"/>
        <v>1750</v>
      </c>
      <c r="B1818" s="285">
        <v>0.69032470096321852</v>
      </c>
      <c r="C1818" s="285">
        <v>1.9212005092685134</v>
      </c>
      <c r="D1818" s="285">
        <v>1.9228700516299704</v>
      </c>
      <c r="E1818" s="285">
        <v>-16.569256084295823</v>
      </c>
    </row>
    <row r="1819" spans="1:5">
      <c r="A1819" s="284">
        <f t="shared" si="1019"/>
        <v>1751</v>
      </c>
      <c r="B1819" s="285">
        <v>-0.76848502457526002</v>
      </c>
      <c r="C1819" s="285">
        <v>2.315492901918224</v>
      </c>
      <c r="D1819" s="285">
        <v>1.9471154619626465</v>
      </c>
      <c r="E1819" s="285">
        <v>0.40161676077121244</v>
      </c>
    </row>
    <row r="1820" spans="1:5">
      <c r="A1820" s="284">
        <f t="shared" si="1019"/>
        <v>1752</v>
      </c>
      <c r="B1820" s="285">
        <v>0.6209903894025931</v>
      </c>
      <c r="C1820" s="285">
        <v>2.1517026078789838</v>
      </c>
      <c r="D1820" s="285">
        <v>-0.35000448858537325</v>
      </c>
      <c r="E1820" s="285">
        <v>-13.221892573083526</v>
      </c>
    </row>
    <row r="1821" spans="1:5">
      <c r="A1821" s="284">
        <f t="shared" si="1019"/>
        <v>1753</v>
      </c>
      <c r="B1821" s="285">
        <v>-4.2010144451071421</v>
      </c>
      <c r="C1821" s="285">
        <v>2.3068623957935266</v>
      </c>
      <c r="D1821" s="285">
        <v>1.5311349685737214</v>
      </c>
      <c r="E1821" s="285">
        <v>3.6458528380622481</v>
      </c>
    </row>
    <row r="1822" spans="1:5">
      <c r="A1822" s="284">
        <f t="shared" si="1019"/>
        <v>1754</v>
      </c>
      <c r="B1822" s="285">
        <v>-1.3409162010582121</v>
      </c>
      <c r="C1822" s="285">
        <v>2.1957119828250247</v>
      </c>
      <c r="D1822" s="285">
        <v>0.34477174978618286</v>
      </c>
      <c r="E1822" s="285">
        <v>-3.3562863514367325</v>
      </c>
    </row>
    <row r="1823" spans="1:5">
      <c r="A1823" s="284">
        <f t="shared" si="1019"/>
        <v>1755</v>
      </c>
      <c r="B1823" s="285">
        <v>-0.20707308437829364</v>
      </c>
      <c r="C1823" s="285">
        <v>2.8949340124832421</v>
      </c>
      <c r="D1823" s="285">
        <v>1.541046808781243</v>
      </c>
      <c r="E1823" s="285">
        <v>6.5266220071022349</v>
      </c>
    </row>
    <row r="1824" spans="1:5">
      <c r="A1824" s="284">
        <f t="shared" si="1019"/>
        <v>1756</v>
      </c>
      <c r="B1824" s="285">
        <v>0.19209000570662213</v>
      </c>
      <c r="C1824" s="285">
        <v>2.0426785718520608</v>
      </c>
      <c r="D1824" s="285">
        <v>1.0611288328492863</v>
      </c>
      <c r="E1824" s="285">
        <v>-10.851657926971912</v>
      </c>
    </row>
    <row r="1825" spans="1:5">
      <c r="A1825" s="284">
        <f t="shared" si="1019"/>
        <v>1757</v>
      </c>
      <c r="B1825" s="285">
        <v>1.9785807745192714</v>
      </c>
      <c r="C1825" s="285">
        <v>2.1480431998089142</v>
      </c>
      <c r="D1825" s="285">
        <v>2.4120437675039557</v>
      </c>
      <c r="E1825" s="285">
        <v>-6.381914652474574</v>
      </c>
    </row>
    <row r="1826" spans="1:5">
      <c r="A1826" s="284">
        <f t="shared" si="1019"/>
        <v>1758</v>
      </c>
      <c r="B1826" s="285">
        <v>-0.88559824450010693</v>
      </c>
      <c r="C1826" s="285">
        <v>3.0246882847338643</v>
      </c>
      <c r="D1826" s="285">
        <v>-0.4078977947792537</v>
      </c>
      <c r="E1826" s="285">
        <v>9.1931767596591811</v>
      </c>
    </row>
    <row r="1827" spans="1:5">
      <c r="A1827" s="284">
        <f t="shared" si="1019"/>
        <v>1759</v>
      </c>
      <c r="B1827" s="285">
        <v>-0.928524933134527</v>
      </c>
      <c r="C1827" s="285">
        <v>2.3719753069813514</v>
      </c>
      <c r="D1827" s="285">
        <v>1.59784159137378</v>
      </c>
      <c r="E1827" s="285">
        <v>2.6454508272967936</v>
      </c>
    </row>
    <row r="1828" spans="1:5">
      <c r="A1828" s="284">
        <f t="shared" si="1019"/>
        <v>1760</v>
      </c>
      <c r="B1828" s="285">
        <v>3.3695776258878021</v>
      </c>
      <c r="C1828" s="285">
        <v>2.8352421396927867</v>
      </c>
      <c r="D1828" s="285">
        <v>1.7563679379385531</v>
      </c>
      <c r="E1828" s="285">
        <v>1.7342130297544425</v>
      </c>
    </row>
    <row r="1829" spans="1:5">
      <c r="A1829" s="284">
        <f t="shared" si="1019"/>
        <v>1761</v>
      </c>
      <c r="B1829" s="285">
        <v>1.9552957850146808</v>
      </c>
      <c r="C1829" s="285">
        <v>2.4990297505273311</v>
      </c>
      <c r="D1829" s="285">
        <v>0.97016429755303257</v>
      </c>
      <c r="E1829" s="285">
        <v>-5.5773076836407167</v>
      </c>
    </row>
    <row r="1830" spans="1:5">
      <c r="A1830" s="284">
        <f t="shared" si="1019"/>
        <v>1762</v>
      </c>
      <c r="B1830" s="285">
        <v>5.0725284865385802</v>
      </c>
      <c r="C1830" s="285">
        <v>2.3224221520406378</v>
      </c>
      <c r="D1830" s="285">
        <v>1.5682579071685505</v>
      </c>
      <c r="E1830" s="285">
        <v>-12.874042974356566</v>
      </c>
    </row>
    <row r="1831" spans="1:5">
      <c r="A1831" s="284">
        <f t="shared" si="1019"/>
        <v>1763</v>
      </c>
      <c r="B1831" s="285">
        <v>2.6604264471980308</v>
      </c>
      <c r="C1831" s="285">
        <v>2.7347045149485232</v>
      </c>
      <c r="D1831" s="285">
        <v>5.4578156735684713</v>
      </c>
      <c r="E1831" s="285">
        <v>-7.3578110852300345</v>
      </c>
    </row>
    <row r="1832" spans="1:5">
      <c r="A1832" s="284">
        <f t="shared" si="1019"/>
        <v>1764</v>
      </c>
      <c r="B1832" s="285">
        <v>3.7370597665572847</v>
      </c>
      <c r="C1832" s="285">
        <v>2.3235159120526485</v>
      </c>
      <c r="D1832" s="285">
        <v>0.35854817473973832</v>
      </c>
      <c r="E1832" s="285">
        <v>-10.221068973038166</v>
      </c>
    </row>
    <row r="1833" spans="1:5">
      <c r="A1833" s="284">
        <f t="shared" si="1019"/>
        <v>1765</v>
      </c>
      <c r="B1833" s="285">
        <v>0.34136007162200355</v>
      </c>
      <c r="C1833" s="285">
        <v>2.2877828436709247</v>
      </c>
      <c r="D1833" s="285">
        <v>2.2095527716985504</v>
      </c>
      <c r="E1833" s="285">
        <v>-8.6710349450567534</v>
      </c>
    </row>
    <row r="1834" spans="1:5">
      <c r="A1834" s="284">
        <f t="shared" si="1019"/>
        <v>1766</v>
      </c>
      <c r="B1834" s="285">
        <v>0.9940743902172926</v>
      </c>
      <c r="C1834" s="285">
        <v>3.3224482871793275</v>
      </c>
      <c r="D1834" s="285">
        <v>0.90227587714239199</v>
      </c>
      <c r="E1834" s="285">
        <v>1.5183117368800088</v>
      </c>
    </row>
    <row r="1835" spans="1:5">
      <c r="A1835" s="284">
        <f t="shared" si="1019"/>
        <v>1767</v>
      </c>
      <c r="B1835" s="285">
        <v>-5.0147230235034863</v>
      </c>
      <c r="C1835" s="285">
        <v>1.3503027907411318</v>
      </c>
      <c r="D1835" s="285">
        <v>-1.4538781381805048</v>
      </c>
      <c r="E1835" s="285">
        <v>-7.0464405125045442</v>
      </c>
    </row>
    <row r="1836" spans="1:5">
      <c r="A1836" s="284">
        <f t="shared" si="1019"/>
        <v>1768</v>
      </c>
      <c r="B1836" s="285">
        <v>-0.95863113791818177</v>
      </c>
      <c r="C1836" s="285">
        <v>2.8722493119786172</v>
      </c>
      <c r="D1836" s="285">
        <v>0.13230736446556057</v>
      </c>
      <c r="E1836" s="285">
        <v>10.819408378518386</v>
      </c>
    </row>
    <row r="1837" spans="1:5">
      <c r="A1837" s="284">
        <f t="shared" si="1019"/>
        <v>1769</v>
      </c>
      <c r="B1837" s="285">
        <v>0.68817462887432657</v>
      </c>
      <c r="C1837" s="285">
        <v>2.392830686923749</v>
      </c>
      <c r="D1837" s="285">
        <v>-0.1242748208325537</v>
      </c>
      <c r="E1837" s="285">
        <v>-5.9535507085714103</v>
      </c>
    </row>
    <row r="1838" spans="1:5">
      <c r="A1838" s="284">
        <f t="shared" si="1019"/>
        <v>1770</v>
      </c>
      <c r="B1838" s="285">
        <v>-2.64576617125616</v>
      </c>
      <c r="C1838" s="285">
        <v>1.8826982835193731</v>
      </c>
      <c r="D1838" s="285">
        <v>0.17421358616839466</v>
      </c>
      <c r="E1838" s="285">
        <v>0.11729959709369586</v>
      </c>
    </row>
    <row r="1839" spans="1:5">
      <c r="A1839" s="284">
        <f t="shared" si="1019"/>
        <v>1771</v>
      </c>
      <c r="B1839" s="285">
        <v>-0.45614925516527532</v>
      </c>
      <c r="C1839" s="285">
        <v>2.892310498605263</v>
      </c>
      <c r="D1839" s="285">
        <v>1.2019851479556503</v>
      </c>
      <c r="E1839" s="285">
        <v>-13.788708246942557</v>
      </c>
    </row>
    <row r="1840" spans="1:5">
      <c r="A1840" s="284">
        <f t="shared" si="1019"/>
        <v>1772</v>
      </c>
      <c r="B1840" s="285">
        <v>-1.9058379061486892</v>
      </c>
      <c r="C1840" s="285">
        <v>1.7113576256818179</v>
      </c>
      <c r="D1840" s="285">
        <v>-0.2239174614287136</v>
      </c>
      <c r="E1840" s="285">
        <v>-8.0157658554193691</v>
      </c>
    </row>
    <row r="1841" spans="1:5">
      <c r="A1841" s="284">
        <f t="shared" si="1019"/>
        <v>1773</v>
      </c>
      <c r="B1841" s="285">
        <v>-2.4687284386693</v>
      </c>
      <c r="C1841" s="285">
        <v>3.1261835767002983</v>
      </c>
      <c r="D1841" s="285">
        <v>-1.3337323850822562</v>
      </c>
      <c r="E1841" s="285">
        <v>18.116340105726259</v>
      </c>
    </row>
    <row r="1842" spans="1:5">
      <c r="A1842" s="284">
        <f t="shared" si="1019"/>
        <v>1774</v>
      </c>
      <c r="B1842" s="285">
        <v>2.9992738341790139</v>
      </c>
      <c r="C1842" s="285">
        <v>2.8717402323782073</v>
      </c>
      <c r="D1842" s="285">
        <v>1.9645671413617483</v>
      </c>
      <c r="E1842" s="285">
        <v>8.710535934979637</v>
      </c>
    </row>
    <row r="1843" spans="1:5">
      <c r="A1843" s="284">
        <f t="shared" si="1019"/>
        <v>1775</v>
      </c>
      <c r="B1843" s="285">
        <v>1.0082619376611706</v>
      </c>
      <c r="C1843" s="285">
        <v>2.4005868534645463</v>
      </c>
      <c r="D1843" s="285">
        <v>-0.24502213475966883</v>
      </c>
      <c r="E1843" s="285">
        <v>-4.1354420444535442</v>
      </c>
    </row>
    <row r="1844" spans="1:5">
      <c r="A1844" s="284">
        <f t="shared" si="1019"/>
        <v>1776</v>
      </c>
      <c r="B1844" s="285">
        <v>-0.262998656458104</v>
      </c>
      <c r="C1844" s="285">
        <v>2.7416527606349352</v>
      </c>
      <c r="D1844" s="285">
        <v>-0.50240502338193371</v>
      </c>
      <c r="E1844" s="285">
        <v>-11.685261874825692</v>
      </c>
    </row>
    <row r="1845" spans="1:5">
      <c r="A1845" s="284">
        <f t="shared" si="1019"/>
        <v>1777</v>
      </c>
      <c r="B1845" s="285">
        <v>-3.758894411862725</v>
      </c>
      <c r="C1845" s="285">
        <v>1.709202246294433</v>
      </c>
      <c r="D1845" s="285">
        <v>-0.452149111222518</v>
      </c>
      <c r="E1845" s="285">
        <v>-19.139729017712742</v>
      </c>
    </row>
    <row r="1846" spans="1:5">
      <c r="A1846" s="284">
        <f t="shared" si="1019"/>
        <v>1778</v>
      </c>
      <c r="B1846" s="285">
        <v>0.68467862864403484</v>
      </c>
      <c r="C1846" s="285">
        <v>2.5770804878209126</v>
      </c>
      <c r="D1846" s="285">
        <v>1.5858455656262662</v>
      </c>
      <c r="E1846" s="285">
        <v>7.3626128962458779</v>
      </c>
    </row>
    <row r="1847" spans="1:5">
      <c r="A1847" s="284">
        <f t="shared" si="1019"/>
        <v>1779</v>
      </c>
      <c r="B1847" s="285">
        <v>-2.2701728801697092</v>
      </c>
      <c r="C1847" s="285">
        <v>2.2726256102194813</v>
      </c>
      <c r="D1847" s="285">
        <v>1.7826227719485002</v>
      </c>
      <c r="E1847" s="285">
        <v>-7.4682616999667548</v>
      </c>
    </row>
    <row r="1848" spans="1:5">
      <c r="A1848" s="284">
        <f t="shared" si="1019"/>
        <v>1780</v>
      </c>
      <c r="B1848" s="285">
        <v>0.58935842065856958</v>
      </c>
      <c r="C1848" s="285">
        <v>3.2953156182537273</v>
      </c>
      <c r="D1848" s="285">
        <v>-1.4066824229499431</v>
      </c>
      <c r="E1848" s="285">
        <v>0.66452000345467477</v>
      </c>
    </row>
    <row r="1849" spans="1:5">
      <c r="A1849" s="284">
        <f t="shared" si="1019"/>
        <v>1781</v>
      </c>
      <c r="B1849" s="285">
        <v>-4.263216343853089</v>
      </c>
      <c r="C1849" s="285">
        <v>3.4357771172198159</v>
      </c>
      <c r="D1849" s="285">
        <v>-0.35964489096026808</v>
      </c>
      <c r="E1849" s="285">
        <v>9.2819715395113374</v>
      </c>
    </row>
    <row r="1850" spans="1:5">
      <c r="A1850" s="284">
        <f t="shared" si="1019"/>
        <v>1782</v>
      </c>
      <c r="B1850" s="285">
        <v>0.14421102503864539</v>
      </c>
      <c r="C1850" s="285">
        <v>3.0236888622405806</v>
      </c>
      <c r="D1850" s="285">
        <v>-0.11062158710928616</v>
      </c>
      <c r="E1850" s="285">
        <v>-2.2444121803255483</v>
      </c>
    </row>
    <row r="1851" spans="1:5">
      <c r="A1851" s="284">
        <f t="shared" si="1019"/>
        <v>1783</v>
      </c>
      <c r="B1851" s="285">
        <v>1.6551897204895272</v>
      </c>
      <c r="C1851" s="285">
        <v>3.3104136148499999</v>
      </c>
      <c r="D1851" s="285">
        <v>1.4365499649800533</v>
      </c>
      <c r="E1851" s="285">
        <v>13.439147303518176</v>
      </c>
    </row>
    <row r="1852" spans="1:5">
      <c r="A1852" s="284">
        <f t="shared" si="1019"/>
        <v>1784</v>
      </c>
      <c r="B1852" s="285">
        <v>-0.47165841851755247</v>
      </c>
      <c r="C1852" s="285">
        <v>2.9371735141520015</v>
      </c>
      <c r="D1852" s="285">
        <v>2.5283716675002417</v>
      </c>
      <c r="E1852" s="285">
        <v>8.5206471657973957</v>
      </c>
    </row>
    <row r="1853" spans="1:5">
      <c r="A1853" s="284">
        <f t="shared" si="1019"/>
        <v>1785</v>
      </c>
      <c r="B1853" s="285">
        <v>-1.4953166555244519</v>
      </c>
      <c r="C1853" s="285">
        <v>2.0135560004401616</v>
      </c>
      <c r="D1853" s="285">
        <v>0.30159835828717452</v>
      </c>
      <c r="E1853" s="285">
        <v>-14.522397514219969</v>
      </c>
    </row>
    <row r="1854" spans="1:5">
      <c r="A1854" s="284">
        <f t="shared" si="1019"/>
        <v>1786</v>
      </c>
      <c r="B1854" s="285">
        <v>-5.9632212207153347E-2</v>
      </c>
      <c r="C1854" s="285">
        <v>2.973247791991636</v>
      </c>
      <c r="D1854" s="285">
        <v>1.1237511505438977</v>
      </c>
      <c r="E1854" s="285">
        <v>8.5856664388270918</v>
      </c>
    </row>
    <row r="1855" spans="1:5">
      <c r="A1855" s="284">
        <f t="shared" si="1019"/>
        <v>1787</v>
      </c>
      <c r="B1855" s="285">
        <v>-2.3377095195297342</v>
      </c>
      <c r="C1855" s="285">
        <v>2.2376674257115119</v>
      </c>
      <c r="D1855" s="285">
        <v>0.78316850993871778</v>
      </c>
      <c r="E1855" s="285">
        <v>-5.2222271234230702</v>
      </c>
    </row>
    <row r="1856" spans="1:5">
      <c r="A1856" s="284">
        <f t="shared" si="1019"/>
        <v>1788</v>
      </c>
      <c r="B1856" s="285">
        <v>-0.25156009811781915</v>
      </c>
      <c r="C1856" s="285">
        <v>2.5935160094263479</v>
      </c>
      <c r="D1856" s="285">
        <v>-0.94433318698074009</v>
      </c>
      <c r="E1856" s="285">
        <v>-7.907418528058253</v>
      </c>
    </row>
    <row r="1857" spans="1:5">
      <c r="A1857" s="284">
        <f t="shared" si="1019"/>
        <v>1789</v>
      </c>
      <c r="B1857" s="285">
        <v>-3.2670299028676189</v>
      </c>
      <c r="C1857" s="285">
        <v>2.0747284157151507</v>
      </c>
      <c r="D1857" s="285">
        <v>2.5066592561375742</v>
      </c>
      <c r="E1857" s="285">
        <v>-14.558578291905244</v>
      </c>
    </row>
    <row r="1858" spans="1:5">
      <c r="A1858" s="284">
        <f t="shared" si="1019"/>
        <v>1790</v>
      </c>
      <c r="B1858" s="285">
        <v>-1.6955903398188072</v>
      </c>
      <c r="C1858" s="285">
        <v>2.4717995709386322</v>
      </c>
      <c r="D1858" s="285">
        <v>0.87083866762856843</v>
      </c>
      <c r="E1858" s="285">
        <v>3.4958541547443702</v>
      </c>
    </row>
    <row r="1859" spans="1:5">
      <c r="A1859" s="284">
        <f t="shared" si="1019"/>
        <v>1791</v>
      </c>
      <c r="B1859" s="285">
        <v>2.0750684411062204</v>
      </c>
      <c r="C1859" s="285">
        <v>2.5049800745507578</v>
      </c>
      <c r="D1859" s="285">
        <v>0.65603426974673218</v>
      </c>
      <c r="E1859" s="285">
        <v>-8.3061811543695825</v>
      </c>
    </row>
    <row r="1860" spans="1:5">
      <c r="A1860" s="284">
        <f t="shared" si="1019"/>
        <v>1792</v>
      </c>
      <c r="B1860" s="285">
        <v>1.9912164728018582</v>
      </c>
      <c r="C1860" s="285">
        <v>2.4531942774642586</v>
      </c>
      <c r="D1860" s="285">
        <v>-0.14696044641463923</v>
      </c>
      <c r="E1860" s="285">
        <v>-7.7676169220208742</v>
      </c>
    </row>
    <row r="1861" spans="1:5">
      <c r="A1861" s="284">
        <f t="shared" si="1019"/>
        <v>1793</v>
      </c>
      <c r="B1861" s="285">
        <v>0.52171787309994189</v>
      </c>
      <c r="C1861" s="285">
        <v>1.8716130902675456</v>
      </c>
      <c r="D1861" s="285">
        <v>1.27333349916591</v>
      </c>
      <c r="E1861" s="285">
        <v>-8.1959921852062383</v>
      </c>
    </row>
    <row r="1862" spans="1:5">
      <c r="A1862" s="284">
        <f t="shared" si="1019"/>
        <v>1794</v>
      </c>
      <c r="B1862" s="285">
        <v>2.9886869418504269</v>
      </c>
      <c r="C1862" s="285">
        <v>2.3730571662486808</v>
      </c>
      <c r="D1862" s="285">
        <v>-0.6697559901328467</v>
      </c>
      <c r="E1862" s="285">
        <v>-4.7741438317524985</v>
      </c>
    </row>
    <row r="1863" spans="1:5">
      <c r="A1863" s="284">
        <f t="shared" ref="A1863:A1926" si="1020">A1862+1</f>
        <v>1795</v>
      </c>
      <c r="B1863" s="285">
        <v>1.1149949499071672</v>
      </c>
      <c r="C1863" s="285">
        <v>2.0628583732539592</v>
      </c>
      <c r="D1863" s="285">
        <v>1.8057912787367463</v>
      </c>
      <c r="E1863" s="285">
        <v>-26.048669181369291</v>
      </c>
    </row>
    <row r="1864" spans="1:5">
      <c r="A1864" s="284">
        <f t="shared" si="1020"/>
        <v>1796</v>
      </c>
      <c r="B1864" s="285">
        <v>2.052055742840146</v>
      </c>
      <c r="C1864" s="285">
        <v>2.8691063589520156</v>
      </c>
      <c r="D1864" s="285">
        <v>2.8338582290057182</v>
      </c>
      <c r="E1864" s="285">
        <v>-1.3254699108447872</v>
      </c>
    </row>
    <row r="1865" spans="1:5">
      <c r="A1865" s="284">
        <f t="shared" si="1020"/>
        <v>1797</v>
      </c>
      <c r="B1865" s="285">
        <v>-0.58969039491043052</v>
      </c>
      <c r="C1865" s="285">
        <v>2.3007762116222263</v>
      </c>
      <c r="D1865" s="285">
        <v>1.3627384198643475</v>
      </c>
      <c r="E1865" s="285">
        <v>-5.7398595534163661</v>
      </c>
    </row>
    <row r="1866" spans="1:5">
      <c r="A1866" s="284">
        <f t="shared" si="1020"/>
        <v>1798</v>
      </c>
      <c r="B1866" s="285">
        <v>-1.4583741896032698</v>
      </c>
      <c r="C1866" s="285">
        <v>2.1648781412084026</v>
      </c>
      <c r="D1866" s="285">
        <v>2.1405109238053175</v>
      </c>
      <c r="E1866" s="285">
        <v>-6.9685251900009373</v>
      </c>
    </row>
    <row r="1867" spans="1:5">
      <c r="A1867" s="284">
        <f t="shared" si="1020"/>
        <v>1799</v>
      </c>
      <c r="B1867" s="285">
        <v>-2.9676338014220933</v>
      </c>
      <c r="C1867" s="285">
        <v>3.093005883649715</v>
      </c>
      <c r="D1867" s="285">
        <v>1.3481159334919606</v>
      </c>
      <c r="E1867" s="285">
        <v>12.040750473735095</v>
      </c>
    </row>
    <row r="1868" spans="1:5">
      <c r="A1868" s="284">
        <f t="shared" si="1020"/>
        <v>1800</v>
      </c>
      <c r="B1868" s="285">
        <v>-1.987472555920492</v>
      </c>
      <c r="C1868" s="285">
        <v>2.42318850298421</v>
      </c>
      <c r="D1868" s="285">
        <v>0.773925383126981</v>
      </c>
      <c r="E1868" s="285">
        <v>11.023342878769354</v>
      </c>
    </row>
    <row r="1869" spans="1:5">
      <c r="A1869" s="284">
        <f t="shared" si="1020"/>
        <v>1801</v>
      </c>
      <c r="B1869" s="285">
        <v>-0.92132263444536799</v>
      </c>
      <c r="C1869" s="285">
        <v>2.6779145998875555</v>
      </c>
      <c r="D1869" s="285">
        <v>1.7800491426082528</v>
      </c>
      <c r="E1869" s="285">
        <v>-4.2395193418301176</v>
      </c>
    </row>
    <row r="1870" spans="1:5">
      <c r="A1870" s="284">
        <f t="shared" si="1020"/>
        <v>1802</v>
      </c>
      <c r="B1870" s="285">
        <v>-1.7959923805272637</v>
      </c>
      <c r="C1870" s="285">
        <v>2.2778242276130949</v>
      </c>
      <c r="D1870" s="285">
        <v>1.4818476291775988</v>
      </c>
      <c r="E1870" s="285">
        <v>-7.1420217013287086</v>
      </c>
    </row>
    <row r="1871" spans="1:5">
      <c r="A1871" s="284">
        <f t="shared" si="1020"/>
        <v>1803</v>
      </c>
      <c r="B1871" s="285">
        <v>-2.4153617981771149</v>
      </c>
      <c r="C1871" s="285">
        <v>1.872693195998981</v>
      </c>
      <c r="D1871" s="285">
        <v>3.3852010287856866</v>
      </c>
      <c r="E1871" s="285">
        <v>-16.892451047383336</v>
      </c>
    </row>
    <row r="1872" spans="1:5">
      <c r="A1872" s="284">
        <f t="shared" si="1020"/>
        <v>1804</v>
      </c>
      <c r="B1872" s="285">
        <v>0.58720958782314281</v>
      </c>
      <c r="C1872" s="285">
        <v>2.1789726841222263</v>
      </c>
      <c r="D1872" s="285">
        <v>1.2686603489924231E-3</v>
      </c>
      <c r="E1872" s="285">
        <v>-16.203535699316113</v>
      </c>
    </row>
    <row r="1873" spans="1:5">
      <c r="A1873" s="284">
        <f t="shared" si="1020"/>
        <v>1805</v>
      </c>
      <c r="B1873" s="285">
        <v>-5.0849632693554527</v>
      </c>
      <c r="C1873" s="285">
        <v>1.7833624859516397</v>
      </c>
      <c r="D1873" s="285">
        <v>4.0264733780850008</v>
      </c>
      <c r="E1873" s="285">
        <v>1.9721279409015673</v>
      </c>
    </row>
    <row r="1874" spans="1:5">
      <c r="A1874" s="284">
        <f t="shared" si="1020"/>
        <v>1806</v>
      </c>
      <c r="B1874" s="285">
        <v>-3.3180022347535223</v>
      </c>
      <c r="C1874" s="285">
        <v>2.1981812168947945</v>
      </c>
      <c r="D1874" s="285">
        <v>-0.22583653080935484</v>
      </c>
      <c r="E1874" s="285">
        <v>4.4747856822992578</v>
      </c>
    </row>
    <row r="1875" spans="1:5">
      <c r="A1875" s="284">
        <f t="shared" si="1020"/>
        <v>1807</v>
      </c>
      <c r="B1875" s="285">
        <v>1.6307583655818221</v>
      </c>
      <c r="C1875" s="285">
        <v>2.0838968028330802</v>
      </c>
      <c r="D1875" s="285">
        <v>0.81965227215087189</v>
      </c>
      <c r="E1875" s="285">
        <v>-4.9135514804397111</v>
      </c>
    </row>
    <row r="1876" spans="1:5">
      <c r="A1876" s="284">
        <f t="shared" si="1020"/>
        <v>1808</v>
      </c>
      <c r="B1876" s="285">
        <v>-4.5990671523002291</v>
      </c>
      <c r="C1876" s="285">
        <v>1.5556010830142299</v>
      </c>
      <c r="D1876" s="285">
        <v>-0.84642458276317356</v>
      </c>
      <c r="E1876" s="285">
        <v>-10.23445916414375</v>
      </c>
    </row>
    <row r="1877" spans="1:5">
      <c r="A1877" s="284">
        <f t="shared" si="1020"/>
        <v>1809</v>
      </c>
      <c r="B1877" s="285">
        <v>-0.79297576776213141</v>
      </c>
      <c r="C1877" s="285">
        <v>2.404409902103791</v>
      </c>
      <c r="D1877" s="285">
        <v>3.5287966657116741</v>
      </c>
      <c r="E1877" s="285">
        <v>-19.83479943614422</v>
      </c>
    </row>
    <row r="1878" spans="1:5">
      <c r="A1878" s="284">
        <f t="shared" si="1020"/>
        <v>1810</v>
      </c>
      <c r="B1878" s="285">
        <v>-4.7279043646323471</v>
      </c>
      <c r="C1878" s="285">
        <v>1.7073154480097865</v>
      </c>
      <c r="D1878" s="285">
        <v>0.60751386337335078</v>
      </c>
      <c r="E1878" s="285">
        <v>-7.8925103485827499</v>
      </c>
    </row>
    <row r="1879" spans="1:5">
      <c r="A1879" s="284">
        <f t="shared" si="1020"/>
        <v>1811</v>
      </c>
      <c r="B1879" s="285">
        <v>6.8144468904251382E-2</v>
      </c>
      <c r="C1879" s="285">
        <v>2.3485547288732591</v>
      </c>
      <c r="D1879" s="285">
        <v>2.8223589853048221</v>
      </c>
      <c r="E1879" s="285">
        <v>-7.1910897644715881</v>
      </c>
    </row>
    <row r="1880" spans="1:5">
      <c r="A1880" s="284">
        <f t="shared" si="1020"/>
        <v>1812</v>
      </c>
      <c r="B1880" s="285">
        <v>-4.4353125595652658</v>
      </c>
      <c r="C1880" s="285">
        <v>2.5833125821146647</v>
      </c>
      <c r="D1880" s="285">
        <v>5.4710173206425461E-2</v>
      </c>
      <c r="E1880" s="285">
        <v>-4.0847750160628031</v>
      </c>
    </row>
    <row r="1881" spans="1:5">
      <c r="A1881" s="284">
        <f t="shared" si="1020"/>
        <v>1813</v>
      </c>
      <c r="B1881" s="285">
        <v>-1.2701683192380888</v>
      </c>
      <c r="C1881" s="285">
        <v>2.2348584801000104</v>
      </c>
      <c r="D1881" s="285">
        <v>-1.2162332858023763</v>
      </c>
      <c r="E1881" s="285">
        <v>7.4238648998252028</v>
      </c>
    </row>
    <row r="1882" spans="1:5">
      <c r="A1882" s="284">
        <f t="shared" si="1020"/>
        <v>1814</v>
      </c>
      <c r="B1882" s="285">
        <v>-1.6455695137119313</v>
      </c>
      <c r="C1882" s="285">
        <v>2.442538808347797</v>
      </c>
      <c r="D1882" s="285">
        <v>2.4070761566389836</v>
      </c>
      <c r="E1882" s="285">
        <v>-9.990050252142483</v>
      </c>
    </row>
    <row r="1883" spans="1:5">
      <c r="A1883" s="284">
        <f t="shared" si="1020"/>
        <v>1815</v>
      </c>
      <c r="B1883" s="285">
        <v>-2.3045178865511873</v>
      </c>
      <c r="C1883" s="285">
        <v>1.6152750737705093</v>
      </c>
      <c r="D1883" s="285">
        <v>0.83710196419189609</v>
      </c>
      <c r="E1883" s="285">
        <v>-18.620394838768405</v>
      </c>
    </row>
    <row r="1884" spans="1:5">
      <c r="A1884" s="284">
        <f t="shared" si="1020"/>
        <v>1816</v>
      </c>
      <c r="B1884" s="285">
        <v>-1.1847992860349004</v>
      </c>
      <c r="C1884" s="285">
        <v>2.7033473598077773</v>
      </c>
      <c r="D1884" s="285">
        <v>-1.2265946514042119</v>
      </c>
      <c r="E1884" s="285">
        <v>2.7856058786013036</v>
      </c>
    </row>
    <row r="1885" spans="1:5">
      <c r="A1885" s="284">
        <f t="shared" si="1020"/>
        <v>1817</v>
      </c>
      <c r="B1885" s="285">
        <v>1.865046493383681</v>
      </c>
      <c r="C1885" s="285">
        <v>2.3068596039435594</v>
      </c>
      <c r="D1885" s="285">
        <v>0.55931413040462208</v>
      </c>
      <c r="E1885" s="285">
        <v>-5.6315405392703832</v>
      </c>
    </row>
    <row r="1886" spans="1:5">
      <c r="A1886" s="284">
        <f t="shared" si="1020"/>
        <v>1818</v>
      </c>
      <c r="B1886" s="285">
        <v>-0.90216368028427585</v>
      </c>
      <c r="C1886" s="285">
        <v>2.1808274061367316</v>
      </c>
      <c r="D1886" s="285">
        <v>0.75155420041006071</v>
      </c>
      <c r="E1886" s="285">
        <v>-1.1601703467147133</v>
      </c>
    </row>
    <row r="1887" spans="1:5">
      <c r="A1887" s="284">
        <f t="shared" si="1020"/>
        <v>1819</v>
      </c>
      <c r="B1887" s="285">
        <v>1.2024951262526693</v>
      </c>
      <c r="C1887" s="285">
        <v>2.1894652401809611</v>
      </c>
      <c r="D1887" s="285">
        <v>2.7963173135608699</v>
      </c>
      <c r="E1887" s="285">
        <v>-0.93031671731690713</v>
      </c>
    </row>
    <row r="1888" spans="1:5">
      <c r="A1888" s="284">
        <f t="shared" si="1020"/>
        <v>1820</v>
      </c>
      <c r="B1888" s="285">
        <v>4.4933703193880739</v>
      </c>
      <c r="C1888" s="285">
        <v>3.1786705954409387</v>
      </c>
      <c r="D1888" s="285">
        <v>5.1995828526686401</v>
      </c>
      <c r="E1888" s="285">
        <v>9.8272554101089185</v>
      </c>
    </row>
    <row r="1889" spans="1:5">
      <c r="A1889" s="284">
        <f t="shared" si="1020"/>
        <v>1821</v>
      </c>
      <c r="B1889" s="285">
        <v>1.1815660712674056</v>
      </c>
      <c r="C1889" s="285">
        <v>2.3602138950954292</v>
      </c>
      <c r="D1889" s="285">
        <v>1.8052086408282251</v>
      </c>
      <c r="E1889" s="285">
        <v>-15.976193814148342</v>
      </c>
    </row>
    <row r="1890" spans="1:5">
      <c r="A1890" s="284">
        <f t="shared" si="1020"/>
        <v>1822</v>
      </c>
      <c r="B1890" s="285">
        <v>2.5647940511104634</v>
      </c>
      <c r="C1890" s="285">
        <v>3.1146277950830346</v>
      </c>
      <c r="D1890" s="285">
        <v>1.8828763159007842</v>
      </c>
      <c r="E1890" s="285">
        <v>-0.35241267203167359</v>
      </c>
    </row>
    <row r="1891" spans="1:5">
      <c r="A1891" s="284">
        <f t="shared" si="1020"/>
        <v>1823</v>
      </c>
      <c r="B1891" s="285">
        <v>1.9421880621985592</v>
      </c>
      <c r="C1891" s="285">
        <v>2.8349280372355485</v>
      </c>
      <c r="D1891" s="285">
        <v>-2.1109415470169264</v>
      </c>
      <c r="E1891" s="285">
        <v>-2.3506649797115045</v>
      </c>
    </row>
    <row r="1892" spans="1:5">
      <c r="A1892" s="284">
        <f t="shared" si="1020"/>
        <v>1824</v>
      </c>
      <c r="B1892" s="285">
        <v>-1.9020633374992231</v>
      </c>
      <c r="C1892" s="285">
        <v>2.8054342404855586</v>
      </c>
      <c r="D1892" s="285">
        <v>1.1211967063716877</v>
      </c>
      <c r="E1892" s="285">
        <v>20.134943491395667</v>
      </c>
    </row>
    <row r="1893" spans="1:5">
      <c r="A1893" s="284">
        <f t="shared" si="1020"/>
        <v>1825</v>
      </c>
      <c r="B1893" s="285">
        <v>-8.5577448696673566E-2</v>
      </c>
      <c r="C1893" s="285">
        <v>2.9157104456088514</v>
      </c>
      <c r="D1893" s="285">
        <v>3.4327569288260236</v>
      </c>
      <c r="E1893" s="285">
        <v>2.5786041877585233</v>
      </c>
    </row>
    <row r="1894" spans="1:5">
      <c r="A1894" s="284">
        <f t="shared" si="1020"/>
        <v>1826</v>
      </c>
      <c r="B1894" s="285">
        <v>2.3681307022372038</v>
      </c>
      <c r="C1894" s="285">
        <v>2.3621952232754921</v>
      </c>
      <c r="D1894" s="285">
        <v>2.1739410080102344</v>
      </c>
      <c r="E1894" s="285">
        <v>-2.4286827661858079</v>
      </c>
    </row>
    <row r="1895" spans="1:5">
      <c r="A1895" s="284">
        <f t="shared" si="1020"/>
        <v>1827</v>
      </c>
      <c r="B1895" s="285">
        <v>0.86626061485119188</v>
      </c>
      <c r="C1895" s="285">
        <v>2.4314557564290515</v>
      </c>
      <c r="D1895" s="285">
        <v>2.072776742833434</v>
      </c>
      <c r="E1895" s="285">
        <v>-5.563673188781582</v>
      </c>
    </row>
    <row r="1896" spans="1:5">
      <c r="A1896" s="284">
        <f t="shared" si="1020"/>
        <v>1828</v>
      </c>
      <c r="B1896" s="285">
        <v>2.2594433515178354</v>
      </c>
      <c r="C1896" s="285">
        <v>3.1921563067845899</v>
      </c>
      <c r="D1896" s="285">
        <v>1.5648486383891362</v>
      </c>
      <c r="E1896" s="285">
        <v>-7.5035174541678682</v>
      </c>
    </row>
    <row r="1897" spans="1:5">
      <c r="A1897" s="284">
        <f t="shared" si="1020"/>
        <v>1829</v>
      </c>
      <c r="B1897" s="285">
        <v>-1.2223097912869001</v>
      </c>
      <c r="C1897" s="285">
        <v>1.814297973727157</v>
      </c>
      <c r="D1897" s="285">
        <v>1.9513489635138848</v>
      </c>
      <c r="E1897" s="285">
        <v>-11.710084659959549</v>
      </c>
    </row>
    <row r="1898" spans="1:5">
      <c r="A1898" s="284">
        <f t="shared" si="1020"/>
        <v>1830</v>
      </c>
      <c r="B1898" s="285">
        <v>1.7636548097197324</v>
      </c>
      <c r="C1898" s="285">
        <v>1.9803769607557318</v>
      </c>
      <c r="D1898" s="285">
        <v>3.7386236495506981</v>
      </c>
      <c r="E1898" s="285">
        <v>-4.8345296265903901</v>
      </c>
    </row>
    <row r="1899" spans="1:5">
      <c r="A1899" s="284">
        <f t="shared" si="1020"/>
        <v>1831</v>
      </c>
      <c r="B1899" s="285">
        <v>-1.9234765990404556</v>
      </c>
      <c r="C1899" s="285">
        <v>2.3145154877691838</v>
      </c>
      <c r="D1899" s="285">
        <v>1.4426138548548018</v>
      </c>
      <c r="E1899" s="285">
        <v>-10.194173589945159</v>
      </c>
    </row>
    <row r="1900" spans="1:5">
      <c r="A1900" s="284">
        <f t="shared" si="1020"/>
        <v>1832</v>
      </c>
      <c r="B1900" s="285">
        <v>-2.5548702222604045</v>
      </c>
      <c r="C1900" s="285">
        <v>2.3240574562006868</v>
      </c>
      <c r="D1900" s="285">
        <v>1.5714484006017675</v>
      </c>
      <c r="E1900" s="285">
        <v>-1.8738041500142164</v>
      </c>
    </row>
    <row r="1901" spans="1:5">
      <c r="A1901" s="284">
        <f t="shared" si="1020"/>
        <v>1833</v>
      </c>
      <c r="B1901" s="285">
        <v>-0.1418119544864872</v>
      </c>
      <c r="C1901" s="285">
        <v>2.8081259560636722</v>
      </c>
      <c r="D1901" s="285">
        <v>1.4443235353018244</v>
      </c>
      <c r="E1901" s="285">
        <v>0.75523477480153867</v>
      </c>
    </row>
    <row r="1902" spans="1:5">
      <c r="A1902" s="284">
        <f t="shared" si="1020"/>
        <v>1834</v>
      </c>
      <c r="B1902" s="285">
        <v>2.373036451927053</v>
      </c>
      <c r="C1902" s="285">
        <v>2.7616271615144887</v>
      </c>
      <c r="D1902" s="285">
        <v>1.8373791135795168</v>
      </c>
      <c r="E1902" s="285">
        <v>-13.477387347149408</v>
      </c>
    </row>
    <row r="1903" spans="1:5">
      <c r="A1903" s="284">
        <f t="shared" si="1020"/>
        <v>1835</v>
      </c>
      <c r="B1903" s="285">
        <v>1.203454886600031</v>
      </c>
      <c r="C1903" s="285">
        <v>2.5694130780675231</v>
      </c>
      <c r="D1903" s="285">
        <v>3.9391057014246482</v>
      </c>
      <c r="E1903" s="285">
        <v>4.5769794215386348</v>
      </c>
    </row>
    <row r="1904" spans="1:5">
      <c r="A1904" s="284">
        <f t="shared" si="1020"/>
        <v>1836</v>
      </c>
      <c r="B1904" s="285">
        <v>-0.20425425507308659</v>
      </c>
      <c r="C1904" s="285">
        <v>2.9043743901632144</v>
      </c>
      <c r="D1904" s="285">
        <v>-0.36100579911536368</v>
      </c>
      <c r="E1904" s="285">
        <v>-2.3395224741518965</v>
      </c>
    </row>
    <row r="1905" spans="1:5">
      <c r="A1905" s="284">
        <f t="shared" si="1020"/>
        <v>1837</v>
      </c>
      <c r="B1905" s="285">
        <v>-2.2245510496509318</v>
      </c>
      <c r="C1905" s="285">
        <v>3.1923091135555275</v>
      </c>
      <c r="D1905" s="285">
        <v>3.3158302777979376E-2</v>
      </c>
      <c r="E1905" s="285">
        <v>4.4962710914441999</v>
      </c>
    </row>
    <row r="1906" spans="1:5">
      <c r="A1906" s="284">
        <f t="shared" si="1020"/>
        <v>1838</v>
      </c>
      <c r="B1906" s="285">
        <v>0.38084938329623008</v>
      </c>
      <c r="C1906" s="285">
        <v>3.1452995563362394</v>
      </c>
      <c r="D1906" s="285">
        <v>1.9828227554743463</v>
      </c>
      <c r="E1906" s="285">
        <v>15.218475730264462</v>
      </c>
    </row>
    <row r="1907" spans="1:5">
      <c r="A1907" s="284">
        <f t="shared" si="1020"/>
        <v>1839</v>
      </c>
      <c r="B1907" s="285">
        <v>-3.6600276394914109</v>
      </c>
      <c r="C1907" s="285">
        <v>2.556067959118308</v>
      </c>
      <c r="D1907" s="285">
        <v>1.6660612660932321</v>
      </c>
      <c r="E1907" s="285">
        <v>-6.7522568725265995</v>
      </c>
    </row>
    <row r="1908" spans="1:5">
      <c r="A1908" s="284">
        <f t="shared" si="1020"/>
        <v>1840</v>
      </c>
      <c r="B1908" s="285">
        <v>-2.6485895164997006</v>
      </c>
      <c r="C1908" s="285">
        <v>2.5101721439884086</v>
      </c>
      <c r="D1908" s="285">
        <v>0.49325757564334438</v>
      </c>
      <c r="E1908" s="285">
        <v>-5.1149893574993293</v>
      </c>
    </row>
    <row r="1909" spans="1:5">
      <c r="A1909" s="284">
        <f t="shared" si="1020"/>
        <v>1841</v>
      </c>
      <c r="B1909" s="285">
        <v>-5.7358872337294354E-3</v>
      </c>
      <c r="C1909" s="285">
        <v>2.444270846350233</v>
      </c>
      <c r="D1909" s="285">
        <v>0.64368807513545356</v>
      </c>
      <c r="E1909" s="285">
        <v>6.398273456849136</v>
      </c>
    </row>
    <row r="1910" spans="1:5">
      <c r="A1910" s="284">
        <f t="shared" si="1020"/>
        <v>1842</v>
      </c>
      <c r="B1910" s="285">
        <v>2.3845575603679401</v>
      </c>
      <c r="C1910" s="285">
        <v>2.5357119614734693</v>
      </c>
      <c r="D1910" s="285">
        <v>0.69266993949195022</v>
      </c>
      <c r="E1910" s="285">
        <v>-12.66571443250281</v>
      </c>
    </row>
    <row r="1911" spans="1:5">
      <c r="A1911" s="284">
        <f t="shared" si="1020"/>
        <v>1843</v>
      </c>
      <c r="B1911" s="285">
        <v>3.4473259564448488</v>
      </c>
      <c r="C1911" s="285">
        <v>3.1998538278509527</v>
      </c>
      <c r="D1911" s="285">
        <v>-4.4569187017748924E-2</v>
      </c>
      <c r="E1911" s="285">
        <v>18.67120512632702</v>
      </c>
    </row>
    <row r="1912" spans="1:5">
      <c r="A1912" s="284">
        <f t="shared" si="1020"/>
        <v>1844</v>
      </c>
      <c r="B1912" s="285">
        <v>-0.61277160471272896</v>
      </c>
      <c r="C1912" s="285">
        <v>2.3199934159595408</v>
      </c>
      <c r="D1912" s="285">
        <v>1.7279842261879876</v>
      </c>
      <c r="E1912" s="285">
        <v>-9.927649194987632</v>
      </c>
    </row>
    <row r="1913" spans="1:5">
      <c r="A1913" s="284">
        <f t="shared" si="1020"/>
        <v>1845</v>
      </c>
      <c r="B1913" s="285">
        <v>-1.2411270242297454</v>
      </c>
      <c r="C1913" s="285">
        <v>2.7222053689728405</v>
      </c>
      <c r="D1913" s="285">
        <v>1.0608590817539973</v>
      </c>
      <c r="E1913" s="285">
        <v>-4.0860850192315343</v>
      </c>
    </row>
    <row r="1914" spans="1:5">
      <c r="A1914" s="284">
        <f t="shared" si="1020"/>
        <v>1846</v>
      </c>
      <c r="B1914" s="285">
        <v>-0.52424282295003133</v>
      </c>
      <c r="C1914" s="285">
        <v>2.1141389665601125</v>
      </c>
      <c r="D1914" s="285">
        <v>-0.91650769220224948</v>
      </c>
      <c r="E1914" s="285">
        <v>2.317968607640243</v>
      </c>
    </row>
    <row r="1915" spans="1:5">
      <c r="A1915" s="284">
        <f t="shared" si="1020"/>
        <v>1847</v>
      </c>
      <c r="B1915" s="285">
        <v>0.6968759855773019</v>
      </c>
      <c r="C1915" s="285">
        <v>2.0764666130111853</v>
      </c>
      <c r="D1915" s="285">
        <v>2.2042159739391285</v>
      </c>
      <c r="E1915" s="285">
        <v>-20.26133850081786</v>
      </c>
    </row>
    <row r="1916" spans="1:5">
      <c r="A1916" s="284">
        <f t="shared" si="1020"/>
        <v>1848</v>
      </c>
      <c r="B1916" s="285">
        <v>-0.64181954080247794</v>
      </c>
      <c r="C1916" s="285">
        <v>2.1748833860967887</v>
      </c>
      <c r="D1916" s="285">
        <v>1.2650368241668997</v>
      </c>
      <c r="E1916" s="285">
        <v>-3.9746765025758699</v>
      </c>
    </row>
    <row r="1917" spans="1:5">
      <c r="A1917" s="284">
        <f t="shared" si="1020"/>
        <v>1849</v>
      </c>
      <c r="B1917" s="285">
        <v>0.18570608243149575</v>
      </c>
      <c r="C1917" s="285">
        <v>3.4268527979127072</v>
      </c>
      <c r="D1917" s="285">
        <v>1.8663695349826106</v>
      </c>
      <c r="E1917" s="285">
        <v>5.1304518791788283</v>
      </c>
    </row>
    <row r="1918" spans="1:5">
      <c r="A1918" s="284">
        <f t="shared" si="1020"/>
        <v>1850</v>
      </c>
      <c r="B1918" s="285">
        <v>-0.66788344991362469</v>
      </c>
      <c r="C1918" s="285">
        <v>2.4646120718457825</v>
      </c>
      <c r="D1918" s="285">
        <v>1.741324062495248</v>
      </c>
      <c r="E1918" s="285">
        <v>-3.6327651347781891</v>
      </c>
    </row>
    <row r="1919" spans="1:5">
      <c r="A1919" s="284">
        <f t="shared" si="1020"/>
        <v>1851</v>
      </c>
      <c r="B1919" s="285">
        <v>1.8662700736188889</v>
      </c>
      <c r="C1919" s="285">
        <v>2.8727151356371237</v>
      </c>
      <c r="D1919" s="285">
        <v>1.1455067996119475</v>
      </c>
      <c r="E1919" s="285">
        <v>1.1478513611454129</v>
      </c>
    </row>
    <row r="1920" spans="1:5">
      <c r="A1920" s="284">
        <f t="shared" si="1020"/>
        <v>1852</v>
      </c>
      <c r="B1920" s="285">
        <v>-1.1799436579811529</v>
      </c>
      <c r="C1920" s="285">
        <v>2.1895433061163327</v>
      </c>
      <c r="D1920" s="285">
        <v>0.30119432928608414</v>
      </c>
      <c r="E1920" s="285">
        <v>-8.1725758468257101</v>
      </c>
    </row>
    <row r="1921" spans="1:5">
      <c r="A1921" s="284">
        <f t="shared" si="1020"/>
        <v>1853</v>
      </c>
      <c r="B1921" s="285">
        <v>-1.2233786675885145</v>
      </c>
      <c r="C1921" s="285">
        <v>2.4088826041970908</v>
      </c>
      <c r="D1921" s="285">
        <v>0.38738564112890417</v>
      </c>
      <c r="E1921" s="285">
        <v>-15.038419279341239</v>
      </c>
    </row>
    <row r="1922" spans="1:5">
      <c r="A1922" s="284">
        <f t="shared" si="1020"/>
        <v>1854</v>
      </c>
      <c r="B1922" s="285">
        <v>1.0583091137779861</v>
      </c>
      <c r="C1922" s="285">
        <v>3.1048753974403218</v>
      </c>
      <c r="D1922" s="285">
        <v>0.34411559043933282</v>
      </c>
      <c r="E1922" s="285">
        <v>5.6900385542575513</v>
      </c>
    </row>
    <row r="1923" spans="1:5">
      <c r="A1923" s="284">
        <f t="shared" si="1020"/>
        <v>1855</v>
      </c>
      <c r="B1923" s="285">
        <v>2.7763109545304343</v>
      </c>
      <c r="C1923" s="285">
        <v>3.3083875001774148</v>
      </c>
      <c r="D1923" s="285">
        <v>-0.602853976067379</v>
      </c>
      <c r="E1923" s="285">
        <v>15.120096538396453</v>
      </c>
    </row>
    <row r="1924" spans="1:5">
      <c r="A1924" s="284">
        <f t="shared" si="1020"/>
        <v>1856</v>
      </c>
      <c r="B1924" s="285">
        <v>-0.16834884429726729</v>
      </c>
      <c r="C1924" s="285">
        <v>1.9579011660936398</v>
      </c>
      <c r="D1924" s="285">
        <v>2.2424844622683753</v>
      </c>
      <c r="E1924" s="285">
        <v>-15.31737959625476</v>
      </c>
    </row>
    <row r="1925" spans="1:5">
      <c r="A1925" s="284">
        <f t="shared" si="1020"/>
        <v>1857</v>
      </c>
      <c r="B1925" s="285">
        <v>3.7810780357108498</v>
      </c>
      <c r="C1925" s="285">
        <v>2.3083330362214323</v>
      </c>
      <c r="D1925" s="285">
        <v>1.6174245970803944</v>
      </c>
      <c r="E1925" s="285">
        <v>-16.047734985729523</v>
      </c>
    </row>
    <row r="1926" spans="1:5">
      <c r="A1926" s="284">
        <f t="shared" si="1020"/>
        <v>1858</v>
      </c>
      <c r="B1926" s="285">
        <v>-1.3102686316683274</v>
      </c>
      <c r="C1926" s="285">
        <v>2.5865088976320374</v>
      </c>
      <c r="D1926" s="285">
        <v>0.89988602870069478</v>
      </c>
      <c r="E1926" s="285">
        <v>9.4081368962872869</v>
      </c>
    </row>
    <row r="1927" spans="1:5">
      <c r="A1927" s="284">
        <f t="shared" ref="A1927:A1990" si="1021">A1926+1</f>
        <v>1859</v>
      </c>
      <c r="B1927" s="285">
        <v>-3.113620386467554</v>
      </c>
      <c r="C1927" s="285">
        <v>2.3828344716895851</v>
      </c>
      <c r="D1927" s="285">
        <v>-1.4728133017093752</v>
      </c>
      <c r="E1927" s="285">
        <v>1.6373806836089675</v>
      </c>
    </row>
    <row r="1928" spans="1:5">
      <c r="A1928" s="284">
        <f t="shared" si="1021"/>
        <v>1860</v>
      </c>
      <c r="B1928" s="285">
        <v>-6.6430758839482018E-2</v>
      </c>
      <c r="C1928" s="285">
        <v>2.0408015057302178</v>
      </c>
      <c r="D1928" s="285">
        <v>-0.46431922831468864</v>
      </c>
      <c r="E1928" s="285">
        <v>-8.3001336223274649</v>
      </c>
    </row>
    <row r="1929" spans="1:5">
      <c r="A1929" s="284">
        <f t="shared" si="1021"/>
        <v>1861</v>
      </c>
      <c r="B1929" s="285">
        <v>0.98770221407014491</v>
      </c>
      <c r="C1929" s="285">
        <v>3.1908041863297636</v>
      </c>
      <c r="D1929" s="285">
        <v>2.4691646911316627</v>
      </c>
      <c r="E1929" s="285">
        <v>3.8949884742840557</v>
      </c>
    </row>
    <row r="1930" spans="1:5">
      <c r="A1930" s="284">
        <f t="shared" si="1021"/>
        <v>1862</v>
      </c>
      <c r="B1930" s="285">
        <v>-2.3176003767111362</v>
      </c>
      <c r="C1930" s="285">
        <v>2.6628417616292568</v>
      </c>
      <c r="D1930" s="285">
        <v>1.7744269329973512</v>
      </c>
      <c r="E1930" s="285">
        <v>6.1143032334799905</v>
      </c>
    </row>
    <row r="1931" spans="1:5">
      <c r="A1931" s="284">
        <f t="shared" si="1021"/>
        <v>1863</v>
      </c>
      <c r="B1931" s="285">
        <v>-2.8596805806902341</v>
      </c>
      <c r="C1931" s="285">
        <v>1.7172488009588511</v>
      </c>
      <c r="D1931" s="285">
        <v>0.32374888377750677</v>
      </c>
      <c r="E1931" s="285">
        <v>-16.371072158902948</v>
      </c>
    </row>
    <row r="1932" spans="1:5">
      <c r="A1932" s="284">
        <f t="shared" si="1021"/>
        <v>1864</v>
      </c>
      <c r="B1932" s="285">
        <v>-1.7036881668277626</v>
      </c>
      <c r="C1932" s="285">
        <v>1.7822660996969917</v>
      </c>
      <c r="D1932" s="285">
        <v>0.62067452415704927</v>
      </c>
      <c r="E1932" s="285">
        <v>-2.9572076426765856</v>
      </c>
    </row>
    <row r="1933" spans="1:5">
      <c r="A1933" s="284">
        <f t="shared" si="1021"/>
        <v>1865</v>
      </c>
      <c r="B1933" s="285">
        <v>-1.9061231271749384</v>
      </c>
      <c r="C1933" s="285">
        <v>2.1691105899659577</v>
      </c>
      <c r="D1933" s="285">
        <v>2.4825400379153497</v>
      </c>
      <c r="E1933" s="285">
        <v>-2.2227776904894063</v>
      </c>
    </row>
    <row r="1934" spans="1:5">
      <c r="A1934" s="284">
        <f t="shared" si="1021"/>
        <v>1866</v>
      </c>
      <c r="B1934" s="285">
        <v>-1.2397925476806719</v>
      </c>
      <c r="C1934" s="285">
        <v>2.8598714481993199</v>
      </c>
      <c r="D1934" s="285">
        <v>7.8528136952901395E-2</v>
      </c>
      <c r="E1934" s="285">
        <v>2.5654963397741626</v>
      </c>
    </row>
    <row r="1935" spans="1:5">
      <c r="A1935" s="284">
        <f t="shared" si="1021"/>
        <v>1867</v>
      </c>
      <c r="B1935" s="285">
        <v>-0.56071934732234452</v>
      </c>
      <c r="C1935" s="285">
        <v>2.0881474165842304</v>
      </c>
      <c r="D1935" s="285">
        <v>2.7383747098554814</v>
      </c>
      <c r="E1935" s="285">
        <v>-12.500335949228296</v>
      </c>
    </row>
    <row r="1936" spans="1:5">
      <c r="A1936" s="284">
        <f t="shared" si="1021"/>
        <v>1868</v>
      </c>
      <c r="B1936" s="285">
        <v>-1.9463169251851686</v>
      </c>
      <c r="C1936" s="285">
        <v>2.4573161288777019</v>
      </c>
      <c r="D1936" s="285">
        <v>-0.72393614854631361</v>
      </c>
      <c r="E1936" s="285">
        <v>9.1461531699985272</v>
      </c>
    </row>
    <row r="1937" spans="1:5">
      <c r="A1937" s="284">
        <f t="shared" si="1021"/>
        <v>1869</v>
      </c>
      <c r="B1937" s="285">
        <v>0.25293132881877262</v>
      </c>
      <c r="C1937" s="285">
        <v>3.0521852688490831</v>
      </c>
      <c r="D1937" s="285">
        <v>-1.1612796905110185</v>
      </c>
      <c r="E1937" s="285">
        <v>2.2622195282810282</v>
      </c>
    </row>
    <row r="1938" spans="1:5">
      <c r="A1938" s="284">
        <f t="shared" si="1021"/>
        <v>1870</v>
      </c>
      <c r="B1938" s="285">
        <v>2.5840932364100859</v>
      </c>
      <c r="C1938" s="285">
        <v>3.2318609773785125</v>
      </c>
      <c r="D1938" s="285">
        <v>1.9811893098959701</v>
      </c>
      <c r="E1938" s="285">
        <v>8.0811875233315522</v>
      </c>
    </row>
    <row r="1939" spans="1:5">
      <c r="A1939" s="284">
        <f t="shared" si="1021"/>
        <v>1871</v>
      </c>
      <c r="B1939" s="285">
        <v>-0.10410292689593122</v>
      </c>
      <c r="C1939" s="285">
        <v>2.2377732695854489</v>
      </c>
      <c r="D1939" s="285">
        <v>0.72915625504138115</v>
      </c>
      <c r="E1939" s="285">
        <v>-9.6262788760963165</v>
      </c>
    </row>
    <row r="1940" spans="1:5">
      <c r="A1940" s="284">
        <f t="shared" si="1021"/>
        <v>1872</v>
      </c>
      <c r="B1940" s="285">
        <v>-2.7722013732898447</v>
      </c>
      <c r="C1940" s="285">
        <v>2.7640752962119262</v>
      </c>
      <c r="D1940" s="285">
        <v>0.38259572217414328</v>
      </c>
      <c r="E1940" s="285">
        <v>24.965127469499333</v>
      </c>
    </row>
    <row r="1941" spans="1:5">
      <c r="A1941" s="284">
        <f t="shared" si="1021"/>
        <v>1873</v>
      </c>
      <c r="B1941" s="285">
        <v>0.25374368275144632</v>
      </c>
      <c r="C1941" s="285">
        <v>2.097738796842592</v>
      </c>
      <c r="D1941" s="285">
        <v>1.308439420416069</v>
      </c>
      <c r="E1941" s="285">
        <v>-2.0934959441049048</v>
      </c>
    </row>
    <row r="1942" spans="1:5">
      <c r="A1942" s="284">
        <f t="shared" si="1021"/>
        <v>1874</v>
      </c>
      <c r="B1942" s="285">
        <v>0.95150306435463794</v>
      </c>
      <c r="C1942" s="285">
        <v>4.1061129497478515</v>
      </c>
      <c r="D1942" s="285">
        <v>-1.1666797136035467</v>
      </c>
      <c r="E1942" s="285">
        <v>20.511802257120895</v>
      </c>
    </row>
    <row r="1943" spans="1:5">
      <c r="A1943" s="284">
        <f t="shared" si="1021"/>
        <v>1875</v>
      </c>
      <c r="B1943" s="285">
        <v>-1.4830914706869232</v>
      </c>
      <c r="C1943" s="285">
        <v>3.0469565974395301</v>
      </c>
      <c r="D1943" s="285">
        <v>-0.65023476193837615</v>
      </c>
      <c r="E1943" s="285">
        <v>15.186694403174354</v>
      </c>
    </row>
    <row r="1944" spans="1:5">
      <c r="A1944" s="284">
        <f t="shared" si="1021"/>
        <v>1876</v>
      </c>
      <c r="B1944" s="285">
        <v>-2.1380478962813925</v>
      </c>
      <c r="C1944" s="285">
        <v>3.5142354643641864</v>
      </c>
      <c r="D1944" s="285">
        <v>1.4607547171721411</v>
      </c>
      <c r="E1944" s="285">
        <v>13.434936036563631</v>
      </c>
    </row>
    <row r="1945" spans="1:5">
      <c r="A1945" s="284">
        <f t="shared" si="1021"/>
        <v>1877</v>
      </c>
      <c r="B1945" s="285">
        <v>0.15660780184967016</v>
      </c>
      <c r="C1945" s="285">
        <v>2.6135398722836998</v>
      </c>
      <c r="D1945" s="285">
        <v>2.2360170164356838</v>
      </c>
      <c r="E1945" s="285">
        <v>3.1445782145133747</v>
      </c>
    </row>
    <row r="1946" spans="1:5">
      <c r="A1946" s="284">
        <f t="shared" si="1021"/>
        <v>1878</v>
      </c>
      <c r="B1946" s="285">
        <v>-0.92960024109470063</v>
      </c>
      <c r="C1946" s="285">
        <v>2.1488202692299132</v>
      </c>
      <c r="D1946" s="285">
        <v>2.5997398527010818</v>
      </c>
      <c r="E1946" s="285">
        <v>-17.311952364705768</v>
      </c>
    </row>
    <row r="1947" spans="1:5">
      <c r="A1947" s="284">
        <f t="shared" si="1021"/>
        <v>1879</v>
      </c>
      <c r="B1947" s="285">
        <v>-2.548008371053649</v>
      </c>
      <c r="C1947" s="285">
        <v>2.7509856782241142</v>
      </c>
      <c r="D1947" s="285">
        <v>1.2770068627539288</v>
      </c>
      <c r="E1947" s="285">
        <v>6.8644783053061058</v>
      </c>
    </row>
    <row r="1948" spans="1:5">
      <c r="A1948" s="284">
        <f t="shared" si="1021"/>
        <v>1880</v>
      </c>
      <c r="B1948" s="285">
        <v>1.3694931125897227</v>
      </c>
      <c r="C1948" s="285">
        <v>3.1824456279695363</v>
      </c>
      <c r="D1948" s="285">
        <v>-0.9538507363339912</v>
      </c>
      <c r="E1948" s="285">
        <v>6.9700455130471521</v>
      </c>
    </row>
    <row r="1949" spans="1:5">
      <c r="A1949" s="284">
        <f t="shared" si="1021"/>
        <v>1881</v>
      </c>
      <c r="B1949" s="285">
        <v>0.40643534268585246</v>
      </c>
      <c r="C1949" s="285">
        <v>1.7344808705213881</v>
      </c>
      <c r="D1949" s="285">
        <v>1.6072119094621868</v>
      </c>
      <c r="E1949" s="285">
        <v>-23.940207256332428</v>
      </c>
    </row>
    <row r="1950" spans="1:5">
      <c r="A1950" s="284">
        <f t="shared" si="1021"/>
        <v>1882</v>
      </c>
      <c r="B1950" s="285">
        <v>-0.18136472053425179</v>
      </c>
      <c r="C1950" s="285">
        <v>2.2727327390264831</v>
      </c>
      <c r="D1950" s="285">
        <v>2.1419805227843343</v>
      </c>
      <c r="E1950" s="285">
        <v>-7.9178597391286392</v>
      </c>
    </row>
    <row r="1951" spans="1:5">
      <c r="A1951" s="284">
        <f t="shared" si="1021"/>
        <v>1883</v>
      </c>
      <c r="B1951" s="285">
        <v>2.8802800019125567</v>
      </c>
      <c r="C1951" s="285">
        <v>2.3255800850473154</v>
      </c>
      <c r="D1951" s="285">
        <v>0.40129091528413929</v>
      </c>
      <c r="E1951" s="285">
        <v>-10.012727008596501</v>
      </c>
    </row>
    <row r="1952" spans="1:5">
      <c r="A1952" s="284">
        <f t="shared" si="1021"/>
        <v>1884</v>
      </c>
      <c r="B1952" s="285">
        <v>-1.0729994507617708</v>
      </c>
      <c r="C1952" s="285">
        <v>2.1940674971371328</v>
      </c>
      <c r="D1952" s="285">
        <v>2.2012367406532993</v>
      </c>
      <c r="E1952" s="285">
        <v>-12.066529780400726</v>
      </c>
    </row>
    <row r="1953" spans="1:5">
      <c r="A1953" s="284">
        <f t="shared" si="1021"/>
        <v>1885</v>
      </c>
      <c r="B1953" s="285">
        <v>-0.25071265744822174</v>
      </c>
      <c r="C1953" s="285">
        <v>2.4797348817013378</v>
      </c>
      <c r="D1953" s="285">
        <v>-0.66594168023416178</v>
      </c>
      <c r="E1953" s="285">
        <v>-0.84437614862665944</v>
      </c>
    </row>
    <row r="1954" spans="1:5">
      <c r="A1954" s="284">
        <f t="shared" si="1021"/>
        <v>1886</v>
      </c>
      <c r="B1954" s="285">
        <v>-0.45523601474559133</v>
      </c>
      <c r="C1954" s="285">
        <v>2.4525748708479496</v>
      </c>
      <c r="D1954" s="285">
        <v>1.1078508533139526</v>
      </c>
      <c r="E1954" s="285">
        <v>-7.0666514479285887</v>
      </c>
    </row>
    <row r="1955" spans="1:5">
      <c r="A1955" s="284">
        <f t="shared" si="1021"/>
        <v>1887</v>
      </c>
      <c r="B1955" s="285">
        <v>-2.4456734777965048</v>
      </c>
      <c r="C1955" s="285">
        <v>1.0285504758909643</v>
      </c>
      <c r="D1955" s="285">
        <v>2.0747181794235274</v>
      </c>
      <c r="E1955" s="285">
        <v>-23.533948687046628</v>
      </c>
    </row>
    <row r="1956" spans="1:5">
      <c r="A1956" s="284">
        <f t="shared" si="1021"/>
        <v>1888</v>
      </c>
      <c r="B1956" s="285">
        <v>-7.7240058018552535E-2</v>
      </c>
      <c r="C1956" s="285">
        <v>2.5997283633936337</v>
      </c>
      <c r="D1956" s="285">
        <v>0.79868532414782978</v>
      </c>
      <c r="E1956" s="285">
        <v>-2.1986837430209132</v>
      </c>
    </row>
    <row r="1957" spans="1:5">
      <c r="A1957" s="284">
        <f t="shared" si="1021"/>
        <v>1889</v>
      </c>
      <c r="B1957" s="285">
        <v>-3.3944515939730024</v>
      </c>
      <c r="C1957" s="285">
        <v>2.4817281405953087</v>
      </c>
      <c r="D1957" s="285">
        <v>-0.59308850591450857</v>
      </c>
      <c r="E1957" s="285">
        <v>3.4053023932635216</v>
      </c>
    </row>
    <row r="1958" spans="1:5">
      <c r="A1958" s="284">
        <f t="shared" si="1021"/>
        <v>1890</v>
      </c>
      <c r="B1958" s="285">
        <v>1.8991525161413374</v>
      </c>
      <c r="C1958" s="285">
        <v>2.9066410819907231</v>
      </c>
      <c r="D1958" s="285">
        <v>1.0475226293233977</v>
      </c>
      <c r="E1958" s="285">
        <v>3.8976650976780385</v>
      </c>
    </row>
    <row r="1959" spans="1:5">
      <c r="A1959" s="284">
        <f t="shared" si="1021"/>
        <v>1891</v>
      </c>
      <c r="B1959" s="285">
        <v>-1.2240447851074061</v>
      </c>
      <c r="C1959" s="285">
        <v>2.7725528356146385</v>
      </c>
      <c r="D1959" s="285">
        <v>-0.43807471951045218</v>
      </c>
      <c r="E1959" s="285">
        <v>-3.7720431220092911</v>
      </c>
    </row>
    <row r="1960" spans="1:5">
      <c r="A1960" s="284">
        <f t="shared" si="1021"/>
        <v>1892</v>
      </c>
      <c r="B1960" s="285">
        <v>-1.9009619211541522</v>
      </c>
      <c r="C1960" s="285">
        <v>2.0757835311157846</v>
      </c>
      <c r="D1960" s="285">
        <v>1.1302803459894479</v>
      </c>
      <c r="E1960" s="285">
        <v>-7.3632115906835551</v>
      </c>
    </row>
    <row r="1961" spans="1:5">
      <c r="A1961" s="284">
        <f t="shared" si="1021"/>
        <v>1893</v>
      </c>
      <c r="B1961" s="285">
        <v>-1.9364570297404153</v>
      </c>
      <c r="C1961" s="285">
        <v>2.0619391823167015</v>
      </c>
      <c r="D1961" s="285">
        <v>1.5130161258940518</v>
      </c>
      <c r="E1961" s="285">
        <v>-15.214754872703381</v>
      </c>
    </row>
    <row r="1962" spans="1:5">
      <c r="A1962" s="284">
        <f t="shared" si="1021"/>
        <v>1894</v>
      </c>
      <c r="B1962" s="285">
        <v>3.687686905146081</v>
      </c>
      <c r="C1962" s="285">
        <v>2.5795883692497967</v>
      </c>
      <c r="D1962" s="285">
        <v>1.6451361944701728</v>
      </c>
      <c r="E1962" s="285">
        <v>-20.117160652608163</v>
      </c>
    </row>
    <row r="1963" spans="1:5">
      <c r="A1963" s="284">
        <f t="shared" si="1021"/>
        <v>1895</v>
      </c>
      <c r="B1963" s="285">
        <v>-3.877507976328499</v>
      </c>
      <c r="C1963" s="285">
        <v>1.7083911449059865</v>
      </c>
      <c r="D1963" s="285">
        <v>0.33708968027082031</v>
      </c>
      <c r="E1963" s="285">
        <v>-8.9910584099667172</v>
      </c>
    </row>
    <row r="1964" spans="1:5">
      <c r="A1964" s="284">
        <f t="shared" si="1021"/>
        <v>1896</v>
      </c>
      <c r="B1964" s="285">
        <v>1.2617928343127058</v>
      </c>
      <c r="C1964" s="285">
        <v>2.2399483203157176</v>
      </c>
      <c r="D1964" s="285">
        <v>1.2686335782692195</v>
      </c>
      <c r="E1964" s="285">
        <v>-4.6204821862543941</v>
      </c>
    </row>
    <row r="1965" spans="1:5">
      <c r="A1965" s="284">
        <f t="shared" si="1021"/>
        <v>1897</v>
      </c>
      <c r="B1965" s="285">
        <v>4.4239344619902363</v>
      </c>
      <c r="C1965" s="285">
        <v>3.4436952710075213</v>
      </c>
      <c r="D1965" s="285">
        <v>0.39260059904068756</v>
      </c>
      <c r="E1965" s="285">
        <v>10.631098948727098</v>
      </c>
    </row>
    <row r="1966" spans="1:5">
      <c r="A1966" s="284">
        <f t="shared" si="1021"/>
        <v>1898</v>
      </c>
      <c r="B1966" s="285">
        <v>2.1342234551722283</v>
      </c>
      <c r="C1966" s="285">
        <v>2.3952889715154897</v>
      </c>
      <c r="D1966" s="285">
        <v>0.50112529423768171</v>
      </c>
      <c r="E1966" s="285">
        <v>-12.951006959859768</v>
      </c>
    </row>
    <row r="1967" spans="1:5">
      <c r="A1967" s="284">
        <f t="shared" si="1021"/>
        <v>1899</v>
      </c>
      <c r="B1967" s="285">
        <v>1.7600702713304677</v>
      </c>
      <c r="C1967" s="285">
        <v>2.7383445799226545</v>
      </c>
      <c r="D1967" s="285">
        <v>1.8565076745015989</v>
      </c>
      <c r="E1967" s="285">
        <v>6.8090123498149211</v>
      </c>
    </row>
    <row r="1968" spans="1:5">
      <c r="A1968" s="284">
        <f t="shared" si="1021"/>
        <v>1900</v>
      </c>
      <c r="B1968" s="285">
        <v>1.4969812363725203</v>
      </c>
      <c r="C1968" s="285">
        <v>2.8963148698804848</v>
      </c>
      <c r="D1968" s="285">
        <v>1.7181731959087649</v>
      </c>
      <c r="E1968" s="285">
        <v>1.8135517995744217</v>
      </c>
    </row>
    <row r="1969" spans="1:5">
      <c r="A1969" s="284">
        <f t="shared" si="1021"/>
        <v>1901</v>
      </c>
      <c r="B1969" s="285">
        <v>1.422988739495278</v>
      </c>
      <c r="C1969" s="285">
        <v>3.3825323991802785</v>
      </c>
      <c r="D1969" s="285">
        <v>1.0630660052957497</v>
      </c>
      <c r="E1969" s="285">
        <v>12.181295195259946</v>
      </c>
    </row>
    <row r="1970" spans="1:5">
      <c r="A1970" s="284">
        <f t="shared" si="1021"/>
        <v>1902</v>
      </c>
      <c r="B1970" s="285">
        <v>-1.5358382853544523</v>
      </c>
      <c r="C1970" s="285">
        <v>2.0369063216129657</v>
      </c>
      <c r="D1970" s="285">
        <v>1.687635683331081</v>
      </c>
      <c r="E1970" s="285">
        <v>-16.501758607253521</v>
      </c>
    </row>
    <row r="1971" spans="1:5">
      <c r="A1971" s="284">
        <f t="shared" si="1021"/>
        <v>1903</v>
      </c>
      <c r="B1971" s="285">
        <v>1.7663030682186875</v>
      </c>
      <c r="C1971" s="285">
        <v>2.7246842555338304</v>
      </c>
      <c r="D1971" s="285">
        <v>2.4670112509553368</v>
      </c>
      <c r="E1971" s="285">
        <v>-1.0508142305477428</v>
      </c>
    </row>
    <row r="1972" spans="1:5">
      <c r="A1972" s="284">
        <f t="shared" si="1021"/>
        <v>1904</v>
      </c>
      <c r="B1972" s="285">
        <v>2.5156925879025636</v>
      </c>
      <c r="C1972" s="285">
        <v>3.4247597390248421</v>
      </c>
      <c r="D1972" s="285">
        <v>3.9828765091207363</v>
      </c>
      <c r="E1972" s="285">
        <v>9.4166840596243091</v>
      </c>
    </row>
    <row r="1973" spans="1:5">
      <c r="A1973" s="284">
        <f t="shared" si="1021"/>
        <v>1905</v>
      </c>
      <c r="B1973" s="285">
        <v>1.2185576668264677</v>
      </c>
      <c r="C1973" s="285">
        <v>2.3742914319807911</v>
      </c>
      <c r="D1973" s="285">
        <v>1.5415126677683755</v>
      </c>
      <c r="E1973" s="285">
        <v>-7.2587870372261438</v>
      </c>
    </row>
    <row r="1974" spans="1:5">
      <c r="A1974" s="284">
        <f t="shared" si="1021"/>
        <v>1906</v>
      </c>
      <c r="B1974" s="285">
        <v>-3.8758892818387345</v>
      </c>
      <c r="C1974" s="285">
        <v>1.9726558439018975</v>
      </c>
      <c r="D1974" s="285">
        <v>5.3937961747430041E-3</v>
      </c>
      <c r="E1974" s="285">
        <v>-0.57076844906735635</v>
      </c>
    </row>
    <row r="1975" spans="1:5">
      <c r="A1975" s="284">
        <f t="shared" si="1021"/>
        <v>1907</v>
      </c>
      <c r="B1975" s="285">
        <v>-7.7263672248703841E-2</v>
      </c>
      <c r="C1975" s="285">
        <v>2.46943240822795</v>
      </c>
      <c r="D1975" s="285">
        <v>0.94133198159743425</v>
      </c>
      <c r="E1975" s="285">
        <v>1.4770530901156484</v>
      </c>
    </row>
    <row r="1976" spans="1:5">
      <c r="A1976" s="284">
        <f t="shared" si="1021"/>
        <v>1908</v>
      </c>
      <c r="B1976" s="285">
        <v>-3.5099867014080597</v>
      </c>
      <c r="C1976" s="285">
        <v>2.1111398801838113</v>
      </c>
      <c r="D1976" s="285">
        <v>-1.0876899076273308</v>
      </c>
      <c r="E1976" s="285">
        <v>2.3168987677455308</v>
      </c>
    </row>
    <row r="1977" spans="1:5">
      <c r="A1977" s="284">
        <f t="shared" si="1021"/>
        <v>1909</v>
      </c>
      <c r="B1977" s="285">
        <v>1.6661342457259767</v>
      </c>
      <c r="C1977" s="285">
        <v>1.901036023709701</v>
      </c>
      <c r="D1977" s="285">
        <v>1.1826768162046006</v>
      </c>
      <c r="E1977" s="285">
        <v>-21.762517916162214</v>
      </c>
    </row>
    <row r="1978" spans="1:5">
      <c r="A1978" s="284">
        <f t="shared" si="1021"/>
        <v>1910</v>
      </c>
      <c r="B1978" s="285">
        <v>-0.40920858972707846</v>
      </c>
      <c r="C1978" s="285">
        <v>2.8527786414754344</v>
      </c>
      <c r="D1978" s="285">
        <v>0.85152225916763746</v>
      </c>
      <c r="E1978" s="285">
        <v>9.6764380670500287</v>
      </c>
    </row>
    <row r="1979" spans="1:5">
      <c r="A1979" s="284">
        <f t="shared" si="1021"/>
        <v>1911</v>
      </c>
      <c r="B1979" s="285">
        <v>1.437036542587528</v>
      </c>
      <c r="C1979" s="285">
        <v>2.9289054355412514</v>
      </c>
      <c r="D1979" s="285">
        <v>-0.48203338774859827</v>
      </c>
      <c r="E1979" s="285">
        <v>1.4866523581848186</v>
      </c>
    </row>
    <row r="1980" spans="1:5">
      <c r="A1980" s="284">
        <f t="shared" si="1021"/>
        <v>1912</v>
      </c>
      <c r="B1980" s="285">
        <v>-0.25049620152540836</v>
      </c>
      <c r="C1980" s="285">
        <v>2.8699760063914335</v>
      </c>
      <c r="D1980" s="285">
        <v>2.4187347912608219</v>
      </c>
      <c r="E1980" s="285">
        <v>-2.3692348692603002</v>
      </c>
    </row>
    <row r="1981" spans="1:5">
      <c r="A1981" s="284">
        <f t="shared" si="1021"/>
        <v>1913</v>
      </c>
      <c r="B1981" s="285">
        <v>-3.0951174701968744</v>
      </c>
      <c r="C1981" s="285">
        <v>2.7211472622422765</v>
      </c>
      <c r="D1981" s="285">
        <v>0.81514546950158029</v>
      </c>
      <c r="E1981" s="285">
        <v>3.1923611217447401</v>
      </c>
    </row>
    <row r="1982" spans="1:5">
      <c r="A1982" s="284">
        <f t="shared" si="1021"/>
        <v>1914</v>
      </c>
      <c r="B1982" s="285">
        <v>0.24255016508872015</v>
      </c>
      <c r="C1982" s="285">
        <v>2.3067457346881906</v>
      </c>
      <c r="D1982" s="285">
        <v>1.1490398917629265</v>
      </c>
      <c r="E1982" s="285">
        <v>3.037023272405881</v>
      </c>
    </row>
    <row r="1983" spans="1:5">
      <c r="A1983" s="284">
        <f t="shared" si="1021"/>
        <v>1915</v>
      </c>
      <c r="B1983" s="285">
        <v>-0.52444244571623111</v>
      </c>
      <c r="C1983" s="285">
        <v>2.0051060730533856</v>
      </c>
      <c r="D1983" s="285">
        <v>1.6136330802048662</v>
      </c>
      <c r="E1983" s="285">
        <v>-1.3625111095963915</v>
      </c>
    </row>
    <row r="1984" spans="1:5">
      <c r="A1984" s="284">
        <f t="shared" si="1021"/>
        <v>1916</v>
      </c>
      <c r="B1984" s="285">
        <v>-2.2272713924936962</v>
      </c>
      <c r="C1984" s="285">
        <v>2.5875097472063189</v>
      </c>
      <c r="D1984" s="285">
        <v>-0.32913560350478965</v>
      </c>
      <c r="E1984" s="285">
        <v>-3.8851010021764054E-2</v>
      </c>
    </row>
    <row r="1985" spans="1:5">
      <c r="A1985" s="284">
        <f t="shared" si="1021"/>
        <v>1917</v>
      </c>
      <c r="B1985" s="285">
        <v>2.8473444834712867</v>
      </c>
      <c r="C1985" s="285">
        <v>2.9085386660079635</v>
      </c>
      <c r="D1985" s="285">
        <v>2.6622577577419682</v>
      </c>
      <c r="E1985" s="285">
        <v>-0.37964546318128534</v>
      </c>
    </row>
    <row r="1986" spans="1:5">
      <c r="A1986" s="284">
        <f t="shared" si="1021"/>
        <v>1918</v>
      </c>
      <c r="B1986" s="285">
        <v>-1.0372894203283014</v>
      </c>
      <c r="C1986" s="285">
        <v>2.5773475230413054</v>
      </c>
      <c r="D1986" s="285">
        <v>0.2258328631405524</v>
      </c>
      <c r="E1986" s="285">
        <v>-4.0319244593324752</v>
      </c>
    </row>
    <row r="1987" spans="1:5">
      <c r="A1987" s="284">
        <f t="shared" si="1021"/>
        <v>1919</v>
      </c>
      <c r="B1987" s="285">
        <v>5.8110613882293896</v>
      </c>
      <c r="C1987" s="285">
        <v>2.7697626763708731</v>
      </c>
      <c r="D1987" s="285">
        <v>2.327129541609569</v>
      </c>
      <c r="E1987" s="285">
        <v>-16.926142730790168</v>
      </c>
    </row>
    <row r="1988" spans="1:5">
      <c r="A1988" s="284">
        <f t="shared" si="1021"/>
        <v>1920</v>
      </c>
      <c r="B1988" s="285">
        <v>3.1595553524836877</v>
      </c>
      <c r="C1988" s="285">
        <v>3.1040954727884316</v>
      </c>
      <c r="D1988" s="285">
        <v>3.8808283513294057</v>
      </c>
      <c r="E1988" s="285">
        <v>-2.8066948116236117</v>
      </c>
    </row>
    <row r="1989" spans="1:5">
      <c r="A1989" s="284">
        <f t="shared" si="1021"/>
        <v>1921</v>
      </c>
      <c r="B1989" s="285">
        <v>3.8244601181933398</v>
      </c>
      <c r="C1989" s="285">
        <v>3.3763445017752662</v>
      </c>
      <c r="D1989" s="285">
        <v>1.0838532191865435</v>
      </c>
      <c r="E1989" s="285">
        <v>12.150752592046356</v>
      </c>
    </row>
    <row r="1990" spans="1:5">
      <c r="A1990" s="284">
        <f t="shared" si="1021"/>
        <v>1922</v>
      </c>
      <c r="B1990" s="285">
        <v>3.3454769470417647</v>
      </c>
      <c r="C1990" s="285">
        <v>3.437279475695397</v>
      </c>
      <c r="D1990" s="285">
        <v>0.62592414784953265</v>
      </c>
      <c r="E1990" s="285">
        <v>0.87915884036310965</v>
      </c>
    </row>
    <row r="1991" spans="1:5">
      <c r="A1991" s="284">
        <f t="shared" ref="A1991:A2054" si="1022">A1990+1</f>
        <v>1923</v>
      </c>
      <c r="B1991" s="285">
        <v>-1.5748830338299424</v>
      </c>
      <c r="C1991" s="285">
        <v>2.3453622278782462</v>
      </c>
      <c r="D1991" s="285">
        <v>2.1832074418667862</v>
      </c>
      <c r="E1991" s="285">
        <v>-3.6903918694506035</v>
      </c>
    </row>
    <row r="1992" spans="1:5">
      <c r="A1992" s="284">
        <f t="shared" si="1022"/>
        <v>1924</v>
      </c>
      <c r="B1992" s="285">
        <v>4.4233273424847219</v>
      </c>
      <c r="C1992" s="285">
        <v>3.0850726865462876</v>
      </c>
      <c r="D1992" s="285">
        <v>1.8249286900927624</v>
      </c>
      <c r="E1992" s="285">
        <v>-0.29585579447290211</v>
      </c>
    </row>
    <row r="1993" spans="1:5">
      <c r="A1993" s="284">
        <f t="shared" si="1022"/>
        <v>1925</v>
      </c>
      <c r="B1993" s="285">
        <v>3.0766482154956685</v>
      </c>
      <c r="C1993" s="285">
        <v>2.5119713282938356</v>
      </c>
      <c r="D1993" s="285">
        <v>4.7738124647960456E-2</v>
      </c>
      <c r="E1993" s="285">
        <v>-7.9419515562673997</v>
      </c>
    </row>
    <row r="1994" spans="1:5">
      <c r="A1994" s="284">
        <f t="shared" si="1022"/>
        <v>1926</v>
      </c>
      <c r="B1994" s="285">
        <v>0.31893951832614348</v>
      </c>
      <c r="C1994" s="285">
        <v>2.7030546045812573</v>
      </c>
      <c r="D1994" s="285">
        <v>3.6786641726972213E-2</v>
      </c>
      <c r="E1994" s="285">
        <v>-2.8338210664712307</v>
      </c>
    </row>
    <row r="1995" spans="1:5">
      <c r="A1995" s="284">
        <f t="shared" si="1022"/>
        <v>1927</v>
      </c>
      <c r="B1995" s="285">
        <v>7.798973653142631E-2</v>
      </c>
      <c r="C1995" s="285">
        <v>2.6090500766726956</v>
      </c>
      <c r="D1995" s="285">
        <v>4.1341960955708856E-2</v>
      </c>
      <c r="E1995" s="285">
        <v>-1.7214404356550084E-2</v>
      </c>
    </row>
    <row r="1996" spans="1:5">
      <c r="A1996" s="284">
        <f t="shared" si="1022"/>
        <v>1928</v>
      </c>
      <c r="B1996" s="285">
        <v>-2.6704341357144297</v>
      </c>
      <c r="C1996" s="285">
        <v>2.4147230916115499</v>
      </c>
      <c r="D1996" s="285">
        <v>0.98190289632124772</v>
      </c>
      <c r="E1996" s="285">
        <v>-2.5779995555531841</v>
      </c>
    </row>
    <row r="1997" spans="1:5">
      <c r="A1997" s="284">
        <f t="shared" si="1022"/>
        <v>1929</v>
      </c>
      <c r="B1997" s="285">
        <v>-1.3538671866387337</v>
      </c>
      <c r="C1997" s="285">
        <v>2.3220715119875113</v>
      </c>
      <c r="D1997" s="285">
        <v>-3.0920540072282954E-2</v>
      </c>
      <c r="E1997" s="285">
        <v>-10.871657914616996</v>
      </c>
    </row>
    <row r="1998" spans="1:5">
      <c r="A1998" s="284">
        <f t="shared" si="1022"/>
        <v>1930</v>
      </c>
      <c r="B1998" s="285">
        <v>3.638294765949019</v>
      </c>
      <c r="C1998" s="285">
        <v>3.0047730371763786</v>
      </c>
      <c r="D1998" s="285">
        <v>1.6579836614884225</v>
      </c>
      <c r="E1998" s="285">
        <v>3.417281550785225</v>
      </c>
    </row>
    <row r="1999" spans="1:5">
      <c r="A1999" s="284">
        <f t="shared" si="1022"/>
        <v>1931</v>
      </c>
      <c r="B1999" s="285">
        <v>0.22214035095122689</v>
      </c>
      <c r="C1999" s="285">
        <v>2.3756605278058149</v>
      </c>
      <c r="D1999" s="285">
        <v>1.60030500575288</v>
      </c>
      <c r="E1999" s="285">
        <v>-7.0700955285827316</v>
      </c>
    </row>
    <row r="2000" spans="1:5">
      <c r="A2000" s="284">
        <f t="shared" si="1022"/>
        <v>1932</v>
      </c>
      <c r="B2000" s="285">
        <v>-0.47421731731611594</v>
      </c>
      <c r="C2000" s="285">
        <v>2.4743635778510447</v>
      </c>
      <c r="D2000" s="285">
        <v>0.9774944850537276</v>
      </c>
      <c r="E2000" s="285">
        <v>-12.81418712822547</v>
      </c>
    </row>
    <row r="2001" spans="1:5">
      <c r="A2001" s="284">
        <f t="shared" si="1022"/>
        <v>1933</v>
      </c>
      <c r="B2001" s="285">
        <v>-0.13328336007940939</v>
      </c>
      <c r="C2001" s="285">
        <v>2.0400543034364667</v>
      </c>
      <c r="D2001" s="285">
        <v>2.3160610404627873</v>
      </c>
      <c r="E2001" s="285">
        <v>-31.273526142420607</v>
      </c>
    </row>
    <row r="2002" spans="1:5">
      <c r="A2002" s="284">
        <f t="shared" si="1022"/>
        <v>1934</v>
      </c>
      <c r="B2002" s="285">
        <v>-1.6029854531688144</v>
      </c>
      <c r="C2002" s="285">
        <v>2.1683719063405067</v>
      </c>
      <c r="D2002" s="285">
        <v>1.2098479954602381</v>
      </c>
      <c r="E2002" s="285">
        <v>1.4854493989623987</v>
      </c>
    </row>
    <row r="2003" spans="1:5">
      <c r="A2003" s="284">
        <f t="shared" si="1022"/>
        <v>1935</v>
      </c>
      <c r="B2003" s="285">
        <v>-4.0475609408168411</v>
      </c>
      <c r="C2003" s="285">
        <v>2.5385023726582183</v>
      </c>
      <c r="D2003" s="285">
        <v>1.4737879012247905</v>
      </c>
      <c r="E2003" s="285">
        <v>-7.7557797681549747</v>
      </c>
    </row>
    <row r="2004" spans="1:5">
      <c r="A2004" s="284">
        <f t="shared" si="1022"/>
        <v>1936</v>
      </c>
      <c r="B2004" s="285">
        <v>-0.73039153972860238</v>
      </c>
      <c r="C2004" s="285">
        <v>2.9462032333585841</v>
      </c>
      <c r="D2004" s="285">
        <v>0.69184927955300646</v>
      </c>
      <c r="E2004" s="285">
        <v>1.1659389937987004</v>
      </c>
    </row>
    <row r="2005" spans="1:5">
      <c r="A2005" s="284">
        <f t="shared" si="1022"/>
        <v>1937</v>
      </c>
      <c r="B2005" s="285">
        <v>3.9298352203206601</v>
      </c>
      <c r="C2005" s="285">
        <v>3.0822405486404501</v>
      </c>
      <c r="D2005" s="285">
        <v>1.7750689006010383</v>
      </c>
      <c r="E2005" s="285">
        <v>-3.0214462211948185</v>
      </c>
    </row>
    <row r="2006" spans="1:5">
      <c r="A2006" s="284">
        <f t="shared" si="1022"/>
        <v>1938</v>
      </c>
      <c r="B2006" s="285">
        <v>1.5817119489841427</v>
      </c>
      <c r="C2006" s="285">
        <v>3.1400954676504007</v>
      </c>
      <c r="D2006" s="285">
        <v>1.7044788263947577</v>
      </c>
      <c r="E2006" s="285">
        <v>4.0918452754332897</v>
      </c>
    </row>
    <row r="2007" spans="1:5">
      <c r="A2007" s="284">
        <f t="shared" si="1022"/>
        <v>1939</v>
      </c>
      <c r="B2007" s="285">
        <v>1.2374728443563803</v>
      </c>
      <c r="C2007" s="285">
        <v>2.3970073130919545</v>
      </c>
      <c r="D2007" s="285">
        <v>0.66135005551714576</v>
      </c>
      <c r="E2007" s="285">
        <v>-15.281795254207156</v>
      </c>
    </row>
    <row r="2008" spans="1:5">
      <c r="A2008" s="284">
        <f t="shared" si="1022"/>
        <v>1940</v>
      </c>
      <c r="B2008" s="285">
        <v>0.57527592499090463</v>
      </c>
      <c r="C2008" s="285">
        <v>2.6146109564645439</v>
      </c>
      <c r="D2008" s="285">
        <v>1.1364063749564464</v>
      </c>
      <c r="E2008" s="285">
        <v>10.324254106364755</v>
      </c>
    </row>
    <row r="2009" spans="1:5">
      <c r="A2009" s="284">
        <f t="shared" si="1022"/>
        <v>1941</v>
      </c>
      <c r="B2009" s="285">
        <v>2.4261166049937417</v>
      </c>
      <c r="C2009" s="285">
        <v>3.1431362731603798</v>
      </c>
      <c r="D2009" s="285">
        <v>1.7053623405270952</v>
      </c>
      <c r="E2009" s="285">
        <v>-0.20509149614954358</v>
      </c>
    </row>
    <row r="2010" spans="1:5">
      <c r="A2010" s="284">
        <f t="shared" si="1022"/>
        <v>1942</v>
      </c>
      <c r="B2010" s="285">
        <v>-2.3707484714733007</v>
      </c>
      <c r="C2010" s="285">
        <v>2.3366044886363628</v>
      </c>
      <c r="D2010" s="285">
        <v>2.2951870870245483</v>
      </c>
      <c r="E2010" s="285">
        <v>2.3012547136472503</v>
      </c>
    </row>
    <row r="2011" spans="1:5">
      <c r="A2011" s="284">
        <f t="shared" si="1022"/>
        <v>1943</v>
      </c>
      <c r="B2011" s="285">
        <v>0.60290394708713402</v>
      </c>
      <c r="C2011" s="285">
        <v>2.9055098283169434</v>
      </c>
      <c r="D2011" s="285">
        <v>1.2927084894498</v>
      </c>
      <c r="E2011" s="285">
        <v>-0.94539300103592749</v>
      </c>
    </row>
    <row r="2012" spans="1:5">
      <c r="A2012" s="284">
        <f t="shared" si="1022"/>
        <v>1944</v>
      </c>
      <c r="B2012" s="285">
        <v>-0.20227071284217957</v>
      </c>
      <c r="C2012" s="285">
        <v>2.3810178927947101</v>
      </c>
      <c r="D2012" s="285">
        <v>3.8283923541306342</v>
      </c>
      <c r="E2012" s="285">
        <v>-4.3907067070687411</v>
      </c>
    </row>
    <row r="2013" spans="1:5">
      <c r="A2013" s="284">
        <f t="shared" si="1022"/>
        <v>1945</v>
      </c>
      <c r="B2013" s="285">
        <v>-0.88799407797803032</v>
      </c>
      <c r="C2013" s="285">
        <v>3.2606010698739301</v>
      </c>
      <c r="D2013" s="285">
        <v>1.8408246739178955</v>
      </c>
      <c r="E2013" s="285">
        <v>8.1484247318295342</v>
      </c>
    </row>
    <row r="2014" spans="1:5">
      <c r="A2014" s="284">
        <f t="shared" si="1022"/>
        <v>1946</v>
      </c>
      <c r="B2014" s="285">
        <v>-5.267156069174634</v>
      </c>
      <c r="C2014" s="285">
        <v>1.5678405547575756</v>
      </c>
      <c r="D2014" s="285">
        <v>-0.43859750720394164</v>
      </c>
      <c r="E2014" s="285">
        <v>-10.094906517163109</v>
      </c>
    </row>
    <row r="2015" spans="1:5">
      <c r="A2015" s="284">
        <f t="shared" si="1022"/>
        <v>1947</v>
      </c>
      <c r="B2015" s="285">
        <v>0.36651561271925914</v>
      </c>
      <c r="C2015" s="285">
        <v>2.4217421294918058</v>
      </c>
      <c r="D2015" s="285">
        <v>1.0958665398006548</v>
      </c>
      <c r="E2015" s="285">
        <v>-11.568928597171322</v>
      </c>
    </row>
    <row r="2016" spans="1:5">
      <c r="A2016" s="284">
        <f t="shared" si="1022"/>
        <v>1948</v>
      </c>
      <c r="B2016" s="285">
        <v>-0.23882822056969735</v>
      </c>
      <c r="C2016" s="285">
        <v>2.3606352745839567</v>
      </c>
      <c r="D2016" s="285">
        <v>1.5560662885296068</v>
      </c>
      <c r="E2016" s="285">
        <v>-6.1910761095053601</v>
      </c>
    </row>
    <row r="2017" spans="1:5">
      <c r="A2017" s="284">
        <f t="shared" si="1022"/>
        <v>1949</v>
      </c>
      <c r="B2017" s="285">
        <v>-1.0034073157517043</v>
      </c>
      <c r="C2017" s="285">
        <v>1.9788738771927108</v>
      </c>
      <c r="D2017" s="285">
        <v>3.2388824682331845</v>
      </c>
      <c r="E2017" s="285">
        <v>-4.4269168864586064</v>
      </c>
    </row>
    <row r="2018" spans="1:5">
      <c r="A2018" s="284">
        <f t="shared" si="1022"/>
        <v>1950</v>
      </c>
      <c r="B2018" s="285">
        <v>-1.9350526242417632</v>
      </c>
      <c r="C2018" s="285">
        <v>2.8973917800428932</v>
      </c>
      <c r="D2018" s="285">
        <v>0.55355483124025384</v>
      </c>
      <c r="E2018" s="285">
        <v>13.513749889245194</v>
      </c>
    </row>
    <row r="2019" spans="1:5">
      <c r="A2019" s="284">
        <f t="shared" si="1022"/>
        <v>1951</v>
      </c>
      <c r="B2019" s="285">
        <v>-0.66431635742297557</v>
      </c>
      <c r="C2019" s="285">
        <v>2.471047634999235</v>
      </c>
      <c r="D2019" s="285">
        <v>0.63813019634219514</v>
      </c>
      <c r="E2019" s="285">
        <v>-2.3367794935170463</v>
      </c>
    </row>
    <row r="2020" spans="1:5">
      <c r="A2020" s="284">
        <f t="shared" si="1022"/>
        <v>1952</v>
      </c>
      <c r="B2020" s="285">
        <v>-4.846479785103134</v>
      </c>
      <c r="C2020" s="285">
        <v>2.2099150883549683</v>
      </c>
      <c r="D2020" s="285">
        <v>-0.93110452319799464</v>
      </c>
      <c r="E2020" s="285">
        <v>0.58898286050907966</v>
      </c>
    </row>
    <row r="2021" spans="1:5">
      <c r="A2021" s="284">
        <f t="shared" si="1022"/>
        <v>1953</v>
      </c>
      <c r="B2021" s="285">
        <v>-2.388555122108575</v>
      </c>
      <c r="C2021" s="285">
        <v>2.8789220409465792</v>
      </c>
      <c r="D2021" s="285">
        <v>0.85353940906735726</v>
      </c>
      <c r="E2021" s="285">
        <v>19.847992621587135</v>
      </c>
    </row>
    <row r="2022" spans="1:5">
      <c r="A2022" s="284">
        <f t="shared" si="1022"/>
        <v>1954</v>
      </c>
      <c r="B2022" s="285">
        <v>-3.7475480531106067</v>
      </c>
      <c r="C2022" s="285">
        <v>2.1214271604843713</v>
      </c>
      <c r="D2022" s="285">
        <v>1.872239246074578</v>
      </c>
      <c r="E2022" s="285">
        <v>-18.342881372479141</v>
      </c>
    </row>
    <row r="2023" spans="1:5">
      <c r="A2023" s="284">
        <f t="shared" si="1022"/>
        <v>1955</v>
      </c>
      <c r="B2023" s="285">
        <v>2.5733598592321152</v>
      </c>
      <c r="C2023" s="285">
        <v>3.0021996268782423</v>
      </c>
      <c r="D2023" s="285">
        <v>2.1396456115324138</v>
      </c>
      <c r="E2023" s="285">
        <v>6.4381495770864987</v>
      </c>
    </row>
    <row r="2024" spans="1:5">
      <c r="A2024" s="284">
        <f t="shared" si="1022"/>
        <v>1956</v>
      </c>
      <c r="B2024" s="285">
        <v>-1.2371142178329546</v>
      </c>
      <c r="C2024" s="285">
        <v>2.5777154482998377</v>
      </c>
      <c r="D2024" s="285">
        <v>-0.80338512265037298</v>
      </c>
      <c r="E2024" s="285">
        <v>-7.8600892347027678</v>
      </c>
    </row>
    <row r="2025" spans="1:5">
      <c r="A2025" s="284">
        <f t="shared" si="1022"/>
        <v>1957</v>
      </c>
      <c r="B2025" s="285">
        <v>-1.1668369246378067</v>
      </c>
      <c r="C2025" s="285">
        <v>2.2414833805440733</v>
      </c>
      <c r="D2025" s="285">
        <v>1.9521897541061637</v>
      </c>
      <c r="E2025" s="285">
        <v>-21.83798415288366</v>
      </c>
    </row>
    <row r="2026" spans="1:5">
      <c r="A2026" s="284">
        <f t="shared" si="1022"/>
        <v>1958</v>
      </c>
      <c r="B2026" s="285">
        <v>1.5804267003418531</v>
      </c>
      <c r="C2026" s="285">
        <v>2.5570851432292918</v>
      </c>
      <c r="D2026" s="285">
        <v>1.8039050660937663</v>
      </c>
      <c r="E2026" s="285">
        <v>-6.1758278758229377</v>
      </c>
    </row>
    <row r="2027" spans="1:5">
      <c r="A2027" s="284">
        <f t="shared" si="1022"/>
        <v>1959</v>
      </c>
      <c r="B2027" s="285">
        <v>-1.2896306933697634</v>
      </c>
      <c r="C2027" s="285">
        <v>1.7985475442463588</v>
      </c>
      <c r="D2027" s="285">
        <v>1.5058317039224953</v>
      </c>
      <c r="E2027" s="285">
        <v>-5.4790086088953647</v>
      </c>
    </row>
    <row r="2028" spans="1:5">
      <c r="A2028" s="284">
        <f t="shared" si="1022"/>
        <v>1960</v>
      </c>
      <c r="B2028" s="285">
        <v>-1.5458896953422994</v>
      </c>
      <c r="C2028" s="285">
        <v>1.8821316537662653</v>
      </c>
      <c r="D2028" s="285">
        <v>-0.65789646459979623</v>
      </c>
      <c r="E2028" s="285">
        <v>-13.075903425324636</v>
      </c>
    </row>
    <row r="2029" spans="1:5">
      <c r="A2029" s="284">
        <f t="shared" si="1022"/>
        <v>1961</v>
      </c>
      <c r="B2029" s="285">
        <v>0.38056583453722165</v>
      </c>
      <c r="C2029" s="285">
        <v>2.3156039582670673</v>
      </c>
      <c r="D2029" s="285">
        <v>0.50057719805981182</v>
      </c>
      <c r="E2029" s="285">
        <v>-8.2017237611778064</v>
      </c>
    </row>
    <row r="2030" spans="1:5">
      <c r="A2030" s="284">
        <f t="shared" si="1022"/>
        <v>1962</v>
      </c>
      <c r="B2030" s="285">
        <v>-0.81258014470277695</v>
      </c>
      <c r="C2030" s="285">
        <v>2.5181618859413613</v>
      </c>
      <c r="D2030" s="285">
        <v>2.5698057276540398E-2</v>
      </c>
      <c r="E2030" s="285">
        <v>-8.7851390998143319</v>
      </c>
    </row>
    <row r="2031" spans="1:5">
      <c r="A2031" s="284">
        <f t="shared" si="1022"/>
        <v>1963</v>
      </c>
      <c r="B2031" s="285">
        <v>-1.8126148921172118</v>
      </c>
      <c r="C2031" s="285">
        <v>2.2235236779513632</v>
      </c>
      <c r="D2031" s="285">
        <v>1.1493675197064632</v>
      </c>
      <c r="E2031" s="285">
        <v>-4.7324923681082929</v>
      </c>
    </row>
    <row r="2032" spans="1:5">
      <c r="A2032" s="284">
        <f t="shared" si="1022"/>
        <v>1964</v>
      </c>
      <c r="B2032" s="285">
        <v>-2.9445029775435132</v>
      </c>
      <c r="C2032" s="285">
        <v>2.1356808331036672</v>
      </c>
      <c r="D2032" s="285">
        <v>2.3633084242234674</v>
      </c>
      <c r="E2032" s="285">
        <v>-4.4005744501058057</v>
      </c>
    </row>
    <row r="2033" spans="1:5">
      <c r="A2033" s="284">
        <f t="shared" si="1022"/>
        <v>1965</v>
      </c>
      <c r="B2033" s="285">
        <v>-2.0126111855466848</v>
      </c>
      <c r="C2033" s="285">
        <v>3.1021034648946899</v>
      </c>
      <c r="D2033" s="285">
        <v>0.65332347907142385</v>
      </c>
      <c r="E2033" s="285">
        <v>19.128488716666698</v>
      </c>
    </row>
    <row r="2034" spans="1:5">
      <c r="A2034" s="284">
        <f t="shared" si="1022"/>
        <v>1966</v>
      </c>
      <c r="B2034" s="285">
        <v>0.76306835785890348</v>
      </c>
      <c r="C2034" s="285">
        <v>2.533249148478296</v>
      </c>
      <c r="D2034" s="285">
        <v>1.0303825181964177</v>
      </c>
      <c r="E2034" s="285">
        <v>-3.8477684475880016</v>
      </c>
    </row>
    <row r="2035" spans="1:5">
      <c r="A2035" s="284">
        <f t="shared" si="1022"/>
        <v>1967</v>
      </c>
      <c r="B2035" s="285">
        <v>4.0363436648054858</v>
      </c>
      <c r="C2035" s="285">
        <v>2.8355612595849435</v>
      </c>
      <c r="D2035" s="285">
        <v>2.7158112634485319</v>
      </c>
      <c r="E2035" s="285">
        <v>-0.48238915035593477</v>
      </c>
    </row>
    <row r="2036" spans="1:5">
      <c r="A2036" s="284">
        <f t="shared" si="1022"/>
        <v>1968</v>
      </c>
      <c r="B2036" s="285">
        <v>-3.0699048916985281</v>
      </c>
      <c r="C2036" s="285">
        <v>2.3172825314719026</v>
      </c>
      <c r="D2036" s="285">
        <v>0.53810630647504343</v>
      </c>
      <c r="E2036" s="285">
        <v>-12.592216490985242</v>
      </c>
    </row>
    <row r="2037" spans="1:5">
      <c r="A2037" s="284">
        <f t="shared" si="1022"/>
        <v>1969</v>
      </c>
      <c r="B2037" s="285">
        <v>0.1312130330679111</v>
      </c>
      <c r="C2037" s="285">
        <v>2.4850378715829828</v>
      </c>
      <c r="D2037" s="285">
        <v>1.5928303251830838</v>
      </c>
      <c r="E2037" s="285">
        <v>-8.7048855341490725</v>
      </c>
    </row>
    <row r="2038" spans="1:5">
      <c r="A2038" s="284">
        <f t="shared" si="1022"/>
        <v>1970</v>
      </c>
      <c r="B2038" s="285">
        <v>-4.0421316660229643</v>
      </c>
      <c r="C2038" s="285">
        <v>1.9202218115079583</v>
      </c>
      <c r="D2038" s="285">
        <v>0.3126580572894162</v>
      </c>
      <c r="E2038" s="285">
        <v>10.263643091500938</v>
      </c>
    </row>
    <row r="2039" spans="1:5">
      <c r="A2039" s="284">
        <f t="shared" si="1022"/>
        <v>1971</v>
      </c>
      <c r="B2039" s="285">
        <v>-3.6648990794416831</v>
      </c>
      <c r="C2039" s="285">
        <v>2.1695199612288887</v>
      </c>
      <c r="D2039" s="285">
        <v>-0.62465190531880621</v>
      </c>
      <c r="E2039" s="285">
        <v>-3.9128146530079921</v>
      </c>
    </row>
    <row r="2040" spans="1:5">
      <c r="A2040" s="284">
        <f t="shared" si="1022"/>
        <v>1972</v>
      </c>
      <c r="B2040" s="285">
        <v>0.63591347823399691</v>
      </c>
      <c r="C2040" s="285">
        <v>2.9574410233977644</v>
      </c>
      <c r="D2040" s="285">
        <v>1.1770414586589752</v>
      </c>
      <c r="E2040" s="285">
        <v>-3.5331556399041557</v>
      </c>
    </row>
    <row r="2041" spans="1:5">
      <c r="A2041" s="284">
        <f t="shared" si="1022"/>
        <v>1973</v>
      </c>
      <c r="B2041" s="285">
        <v>1.558948200395941</v>
      </c>
      <c r="C2041" s="285">
        <v>2.8347726490720091</v>
      </c>
      <c r="D2041" s="285">
        <v>2.0065063012724087</v>
      </c>
      <c r="E2041" s="285">
        <v>-7.7222991530862544</v>
      </c>
    </row>
    <row r="2042" spans="1:5">
      <c r="A2042" s="284">
        <f t="shared" si="1022"/>
        <v>1974</v>
      </c>
      <c r="B2042" s="285">
        <v>3.8136867647180828</v>
      </c>
      <c r="C2042" s="285">
        <v>2.3618994637881485</v>
      </c>
      <c r="D2042" s="285">
        <v>4.5192220772636711</v>
      </c>
      <c r="E2042" s="285">
        <v>-16.008119268808294</v>
      </c>
    </row>
    <row r="2043" spans="1:5">
      <c r="A2043" s="284">
        <f t="shared" si="1022"/>
        <v>1975</v>
      </c>
      <c r="B2043" s="285">
        <v>0.34189443517835488</v>
      </c>
      <c r="C2043" s="285">
        <v>1.8553298018326254</v>
      </c>
      <c r="D2043" s="285">
        <v>0.80138104130539412</v>
      </c>
      <c r="E2043" s="285">
        <v>-14.614874422517927</v>
      </c>
    </row>
    <row r="2044" spans="1:5">
      <c r="A2044" s="284">
        <f t="shared" si="1022"/>
        <v>1976</v>
      </c>
      <c r="B2044" s="285">
        <v>2.2398784613406222</v>
      </c>
      <c r="C2044" s="285">
        <v>2.2446552923035097</v>
      </c>
      <c r="D2044" s="285">
        <v>1.7234688213505538</v>
      </c>
      <c r="E2044" s="285">
        <v>-18.335957498366145</v>
      </c>
    </row>
    <row r="2045" spans="1:5">
      <c r="A2045" s="284">
        <f t="shared" si="1022"/>
        <v>1977</v>
      </c>
      <c r="B2045" s="285">
        <v>1.0376865844638987</v>
      </c>
      <c r="C2045" s="285">
        <v>1.8935304305834939</v>
      </c>
      <c r="D2045" s="285">
        <v>0.87901895004562325</v>
      </c>
      <c r="E2045" s="285">
        <v>-7.215999902622066</v>
      </c>
    </row>
    <row r="2046" spans="1:5">
      <c r="A2046" s="284">
        <f t="shared" si="1022"/>
        <v>1978</v>
      </c>
      <c r="B2046" s="285">
        <v>1.8667505198512471</v>
      </c>
      <c r="C2046" s="285">
        <v>2.6543481110900409</v>
      </c>
      <c r="D2046" s="285">
        <v>0.64877503835995221</v>
      </c>
      <c r="E2046" s="285">
        <v>-3.1045112054635933</v>
      </c>
    </row>
    <row r="2047" spans="1:5">
      <c r="A2047" s="284">
        <f t="shared" si="1022"/>
        <v>1979</v>
      </c>
      <c r="B2047" s="285">
        <v>-1.4952192776382653</v>
      </c>
      <c r="C2047" s="285">
        <v>2.3757150254047756</v>
      </c>
      <c r="D2047" s="285">
        <v>0.94613209223472272</v>
      </c>
      <c r="E2047" s="285">
        <v>-6.55322852329647</v>
      </c>
    </row>
    <row r="2048" spans="1:5">
      <c r="A2048" s="284">
        <f t="shared" si="1022"/>
        <v>1980</v>
      </c>
      <c r="B2048" s="285">
        <v>6.4570384016197471</v>
      </c>
      <c r="C2048" s="285">
        <v>3.3863821890958783</v>
      </c>
      <c r="D2048" s="285">
        <v>1.2876447836172829</v>
      </c>
      <c r="E2048" s="285">
        <v>14.733535769812779</v>
      </c>
    </row>
    <row r="2049" spans="1:5">
      <c r="A2049" s="284">
        <f t="shared" si="1022"/>
        <v>1981</v>
      </c>
      <c r="B2049" s="285">
        <v>1.7683810917810947</v>
      </c>
      <c r="C2049" s="285">
        <v>2.6326818903424485</v>
      </c>
      <c r="D2049" s="285">
        <v>0.96914147343899915</v>
      </c>
      <c r="E2049" s="285">
        <v>-5.3636427581412951</v>
      </c>
    </row>
    <row r="2050" spans="1:5">
      <c r="A2050" s="284">
        <f t="shared" si="1022"/>
        <v>1982</v>
      </c>
      <c r="B2050" s="285">
        <v>8.8710153476927067E-2</v>
      </c>
      <c r="C2050" s="285">
        <v>2.5603056898278567</v>
      </c>
      <c r="D2050" s="285">
        <v>1.7136834295578454</v>
      </c>
      <c r="E2050" s="285">
        <v>0.26587520663906794</v>
      </c>
    </row>
    <row r="2051" spans="1:5">
      <c r="A2051" s="284">
        <f t="shared" si="1022"/>
        <v>1983</v>
      </c>
      <c r="B2051" s="285">
        <v>1.1208278630595825</v>
      </c>
      <c r="C2051" s="285">
        <v>1.6840914622628373</v>
      </c>
      <c r="D2051" s="285">
        <v>3.5229464449462617</v>
      </c>
      <c r="E2051" s="285">
        <v>-19.773951262661608</v>
      </c>
    </row>
    <row r="2052" spans="1:5">
      <c r="A2052" s="284">
        <f t="shared" si="1022"/>
        <v>1984</v>
      </c>
      <c r="B2052" s="285">
        <v>-0.82477777115564865</v>
      </c>
      <c r="C2052" s="285">
        <v>1.9362604315674217</v>
      </c>
      <c r="D2052" s="285">
        <v>0.36053074547014674</v>
      </c>
      <c r="E2052" s="285">
        <v>-1.9725955185928945</v>
      </c>
    </row>
    <row r="2053" spans="1:5">
      <c r="A2053" s="284">
        <f t="shared" si="1022"/>
        <v>1985</v>
      </c>
      <c r="B2053" s="285">
        <v>2.4575837597541805</v>
      </c>
      <c r="C2053" s="285">
        <v>2.4171019073336502</v>
      </c>
      <c r="D2053" s="285">
        <v>-0.79394909449194651</v>
      </c>
      <c r="E2053" s="285">
        <v>-12.649705693138953</v>
      </c>
    </row>
    <row r="2054" spans="1:5">
      <c r="A2054" s="284">
        <f t="shared" si="1022"/>
        <v>1986</v>
      </c>
      <c r="B2054" s="285">
        <v>-0.18428564405167688</v>
      </c>
      <c r="C2054" s="285">
        <v>2.913683146055571</v>
      </c>
      <c r="D2054" s="285">
        <v>-0.26654262099537473</v>
      </c>
      <c r="E2054" s="285">
        <v>7.1302828241073257</v>
      </c>
    </row>
    <row r="2055" spans="1:5">
      <c r="A2055" s="284">
        <f t="shared" ref="A2055:A2118" si="1023">A2054+1</f>
        <v>1987</v>
      </c>
      <c r="B2055" s="285">
        <v>1.9654141414604454</v>
      </c>
      <c r="C2055" s="285">
        <v>2.2723071462480924</v>
      </c>
      <c r="D2055" s="285">
        <v>1.522487559028793</v>
      </c>
      <c r="E2055" s="285">
        <v>-5.5466700924538621</v>
      </c>
    </row>
    <row r="2056" spans="1:5">
      <c r="A2056" s="284">
        <f t="shared" si="1023"/>
        <v>1988</v>
      </c>
      <c r="B2056" s="285">
        <v>3.791958589490863</v>
      </c>
      <c r="C2056" s="285">
        <v>2.9454261260045298</v>
      </c>
      <c r="D2056" s="285">
        <v>1.316415691020864</v>
      </c>
      <c r="E2056" s="285">
        <v>-10.150442473994303</v>
      </c>
    </row>
    <row r="2057" spans="1:5">
      <c r="A2057" s="284">
        <f t="shared" si="1023"/>
        <v>1989</v>
      </c>
      <c r="B2057" s="285">
        <v>4.1993938885753437</v>
      </c>
      <c r="C2057" s="285">
        <v>3.7492115035449318</v>
      </c>
      <c r="D2057" s="285">
        <v>1.0972702738121016</v>
      </c>
      <c r="E2057" s="285">
        <v>24.183270015247896</v>
      </c>
    </row>
    <row r="2058" spans="1:5">
      <c r="A2058" s="284">
        <f t="shared" si="1023"/>
        <v>1990</v>
      </c>
      <c r="B2058" s="285">
        <v>-1.5237305406104569</v>
      </c>
      <c r="C2058" s="285">
        <v>2.3714515408750074</v>
      </c>
      <c r="D2058" s="285">
        <v>1.7987939378830684</v>
      </c>
      <c r="E2058" s="285">
        <v>-3.5185182123792114</v>
      </c>
    </row>
    <row r="2059" spans="1:5">
      <c r="A2059" s="284">
        <f t="shared" si="1023"/>
        <v>1991</v>
      </c>
      <c r="B2059" s="285">
        <v>-0.22912849421847206</v>
      </c>
      <c r="C2059" s="285">
        <v>2.4717472857038238</v>
      </c>
      <c r="D2059" s="285">
        <v>2.6197516956327993</v>
      </c>
      <c r="E2059" s="285">
        <v>-4.4233123208734124</v>
      </c>
    </row>
    <row r="2060" spans="1:5">
      <c r="A2060" s="284">
        <f t="shared" si="1023"/>
        <v>1992</v>
      </c>
      <c r="B2060" s="285">
        <v>2.3586575164276682</v>
      </c>
      <c r="C2060" s="285">
        <v>2.8757486223986355</v>
      </c>
      <c r="D2060" s="285">
        <v>1.3241705914741577</v>
      </c>
      <c r="E2060" s="285">
        <v>0.99198953793510691</v>
      </c>
    </row>
    <row r="2061" spans="1:5">
      <c r="A2061" s="284">
        <f t="shared" si="1023"/>
        <v>1993</v>
      </c>
      <c r="B2061" s="285">
        <v>0.79933226324437867</v>
      </c>
      <c r="C2061" s="285">
        <v>2.5797557022872275</v>
      </c>
      <c r="D2061" s="285">
        <v>-0.72686487472393368</v>
      </c>
      <c r="E2061" s="285">
        <v>-2.7602924703093183</v>
      </c>
    </row>
    <row r="2062" spans="1:5">
      <c r="A2062" s="284">
        <f t="shared" si="1023"/>
        <v>1994</v>
      </c>
      <c r="B2062" s="285">
        <v>1.0776880822597272</v>
      </c>
      <c r="C2062" s="285">
        <v>1.8799278282248262</v>
      </c>
      <c r="D2062" s="285">
        <v>0.51599459968258699</v>
      </c>
      <c r="E2062" s="285">
        <v>-3.1133639831611659</v>
      </c>
    </row>
    <row r="2063" spans="1:5">
      <c r="A2063" s="284">
        <f t="shared" si="1023"/>
        <v>1995</v>
      </c>
      <c r="B2063" s="285">
        <v>1.8314632111843248</v>
      </c>
      <c r="C2063" s="285">
        <v>2.9408668458792846</v>
      </c>
      <c r="D2063" s="285">
        <v>1.611676326328966</v>
      </c>
      <c r="E2063" s="285">
        <v>5.0634974814451397</v>
      </c>
    </row>
    <row r="2064" spans="1:5">
      <c r="A2064" s="284">
        <f t="shared" si="1023"/>
        <v>1996</v>
      </c>
      <c r="B2064" s="285">
        <v>1.2534969726680492</v>
      </c>
      <c r="C2064" s="285">
        <v>2.2402473065802262</v>
      </c>
      <c r="D2064" s="285">
        <v>1.3821685095765528</v>
      </c>
      <c r="E2064" s="285">
        <v>-6.4395727417642794</v>
      </c>
    </row>
    <row r="2065" spans="1:5">
      <c r="A2065" s="284">
        <f t="shared" si="1023"/>
        <v>1997</v>
      </c>
      <c r="B2065" s="285">
        <v>3.5998056710533541</v>
      </c>
      <c r="C2065" s="285">
        <v>3.2444911164472519</v>
      </c>
      <c r="D2065" s="285">
        <v>0.6275145441422163</v>
      </c>
      <c r="E2065" s="285">
        <v>11.035902637216786</v>
      </c>
    </row>
    <row r="2066" spans="1:5">
      <c r="A2066" s="284">
        <f t="shared" si="1023"/>
        <v>1998</v>
      </c>
      <c r="B2066" s="285">
        <v>5.0545152949643022</v>
      </c>
      <c r="C2066" s="285">
        <v>3.0977139119049464</v>
      </c>
      <c r="D2066" s="285">
        <v>1.7528536257599057</v>
      </c>
      <c r="E2066" s="285">
        <v>-7.340979495993313</v>
      </c>
    </row>
    <row r="2067" spans="1:5">
      <c r="A2067" s="284">
        <f t="shared" si="1023"/>
        <v>1999</v>
      </c>
      <c r="B2067" s="285">
        <v>2.5860437920441957</v>
      </c>
      <c r="C2067" s="285">
        <v>3.6324206218980528</v>
      </c>
      <c r="D2067" s="285">
        <v>0.48676399685952476</v>
      </c>
      <c r="E2067" s="285">
        <v>14.317287016341542</v>
      </c>
    </row>
    <row r="2068" spans="1:5">
      <c r="A2068" s="284">
        <f t="shared" si="1023"/>
        <v>2000</v>
      </c>
      <c r="B2068" s="285">
        <v>2.1079130942841284</v>
      </c>
      <c r="C2068" s="285">
        <v>2.3009082358361832</v>
      </c>
      <c r="D2068" s="285">
        <v>2.2357860302200852</v>
      </c>
      <c r="E2068" s="285">
        <v>-13.858097065251819</v>
      </c>
    </row>
    <row r="2069" spans="1:5">
      <c r="A2069" s="663">
        <f t="shared" si="1023"/>
        <v>2001</v>
      </c>
      <c r="B2069" s="664">
        <v>2.6899413989637364</v>
      </c>
      <c r="C2069" s="664">
        <v>2.9572842610899985</v>
      </c>
      <c r="D2069" s="664">
        <v>1.3567747443719551</v>
      </c>
      <c r="E2069" s="664">
        <v>0.35193979368444372</v>
      </c>
    </row>
    <row r="2070" spans="1:5">
      <c r="A2070" s="284">
        <f t="shared" si="1023"/>
        <v>2002</v>
      </c>
      <c r="B2070" s="285">
        <v>2.9091135571227205</v>
      </c>
      <c r="C2070" s="285">
        <v>2.5230240251982723</v>
      </c>
      <c r="D2070" s="285">
        <v>0.86369272098056826</v>
      </c>
      <c r="E2070" s="285">
        <v>-7.2886378988677567</v>
      </c>
    </row>
    <row r="2071" spans="1:5">
      <c r="A2071" s="284">
        <f t="shared" si="1023"/>
        <v>2003</v>
      </c>
      <c r="B2071" s="285">
        <v>-4.1918195098508919</v>
      </c>
      <c r="C2071" s="285">
        <v>1.8594429179469796</v>
      </c>
      <c r="D2071" s="285">
        <v>0.5424910627843027</v>
      </c>
      <c r="E2071" s="285">
        <v>-7.4620931968364008</v>
      </c>
    </row>
    <row r="2072" spans="1:5">
      <c r="A2072" s="284">
        <f t="shared" si="1023"/>
        <v>2004</v>
      </c>
      <c r="B2072" s="285">
        <v>-0.96017752416151536</v>
      </c>
      <c r="C2072" s="285">
        <v>2.1947610251944489</v>
      </c>
      <c r="D2072" s="285">
        <v>2.5398411441828306</v>
      </c>
      <c r="E2072" s="285">
        <v>-8.758808125368601</v>
      </c>
    </row>
    <row r="2073" spans="1:5">
      <c r="A2073" s="284">
        <f t="shared" si="1023"/>
        <v>2005</v>
      </c>
      <c r="B2073" s="285">
        <v>-0.54889926089540675</v>
      </c>
      <c r="C2073" s="285">
        <v>2.7932518931956931</v>
      </c>
      <c r="D2073" s="285">
        <v>2.9266879592070163</v>
      </c>
      <c r="E2073" s="285">
        <v>-9.5487361501449275</v>
      </c>
    </row>
    <row r="2074" spans="1:5">
      <c r="A2074" s="284">
        <f t="shared" si="1023"/>
        <v>2006</v>
      </c>
      <c r="B2074" s="285">
        <v>0.13394560548103676</v>
      </c>
      <c r="C2074" s="285">
        <v>2.9864897368981156</v>
      </c>
      <c r="D2074" s="285">
        <v>-0.43383304790325616</v>
      </c>
      <c r="E2074" s="285">
        <v>25.940756324646205</v>
      </c>
    </row>
    <row r="2075" spans="1:5">
      <c r="A2075" s="284">
        <f t="shared" si="1023"/>
        <v>2007</v>
      </c>
      <c r="B2075" s="285">
        <v>-1.7559309378525019</v>
      </c>
      <c r="C2075" s="285">
        <v>2.9651013069852707</v>
      </c>
      <c r="D2075" s="285">
        <v>-6.8641848921957127E-2</v>
      </c>
      <c r="E2075" s="285">
        <v>2.8627948426959624</v>
      </c>
    </row>
    <row r="2076" spans="1:5">
      <c r="A2076" s="284">
        <f t="shared" si="1023"/>
        <v>2008</v>
      </c>
      <c r="B2076" s="285">
        <v>2.5556537589096369</v>
      </c>
      <c r="C2076" s="285">
        <v>2.5760172323742974</v>
      </c>
      <c r="D2076" s="285">
        <v>2.410609260088914</v>
      </c>
      <c r="E2076" s="285">
        <v>-9.3722288957889095</v>
      </c>
    </row>
    <row r="2077" spans="1:5">
      <c r="A2077" s="284">
        <f t="shared" si="1023"/>
        <v>2009</v>
      </c>
      <c r="B2077" s="285">
        <v>3.3931788494744715</v>
      </c>
      <c r="C2077" s="285">
        <v>2.2772468536247308</v>
      </c>
      <c r="D2077" s="285">
        <v>1.8176614669225144</v>
      </c>
      <c r="E2077" s="285">
        <v>-18.782538326659349</v>
      </c>
    </row>
    <row r="2078" spans="1:5">
      <c r="A2078" s="284">
        <f t="shared" si="1023"/>
        <v>2010</v>
      </c>
      <c r="B2078" s="285">
        <v>1.2032917205475973</v>
      </c>
      <c r="C2078" s="285">
        <v>2.6413114404209477</v>
      </c>
      <c r="D2078" s="285">
        <v>0.34855107956492049</v>
      </c>
      <c r="E2078" s="285">
        <v>-1.3224456538673244</v>
      </c>
    </row>
    <row r="2079" spans="1:5">
      <c r="A2079" s="284">
        <f t="shared" si="1023"/>
        <v>2011</v>
      </c>
      <c r="B2079" s="285">
        <v>-1.0466577235220103</v>
      </c>
      <c r="C2079" s="285">
        <v>2.3617034948838871</v>
      </c>
      <c r="D2079" s="285">
        <v>1.4174335510277962</v>
      </c>
      <c r="E2079" s="285">
        <v>-2.570947343646961</v>
      </c>
    </row>
    <row r="2080" spans="1:5">
      <c r="A2080" s="284">
        <f t="shared" si="1023"/>
        <v>2012</v>
      </c>
      <c r="B2080" s="285">
        <v>-0.82313341928005934</v>
      </c>
      <c r="C2080" s="285">
        <v>2.3720887715050161</v>
      </c>
      <c r="D2080" s="285">
        <v>0.22784468504309929</v>
      </c>
      <c r="E2080" s="285">
        <v>-7.3616953282247977</v>
      </c>
    </row>
    <row r="2081" spans="1:5">
      <c r="A2081" s="284">
        <f t="shared" si="1023"/>
        <v>2013</v>
      </c>
      <c r="B2081" s="285">
        <v>-0.4085836868681873</v>
      </c>
      <c r="C2081" s="285">
        <v>2.1828502124264118</v>
      </c>
      <c r="D2081" s="285">
        <v>2.2256798720459319</v>
      </c>
      <c r="E2081" s="285">
        <v>-2.893537088743575</v>
      </c>
    </row>
    <row r="2082" spans="1:5">
      <c r="A2082" s="284">
        <f t="shared" si="1023"/>
        <v>2014</v>
      </c>
      <c r="B2082" s="285">
        <v>0.6343740351767988</v>
      </c>
      <c r="C2082" s="285">
        <v>2.6344056092367514</v>
      </c>
      <c r="D2082" s="285">
        <v>0.84272131984864518</v>
      </c>
      <c r="E2082" s="285">
        <v>2.6348585451245232</v>
      </c>
    </row>
    <row r="2083" spans="1:5">
      <c r="A2083" s="284">
        <f t="shared" si="1023"/>
        <v>2015</v>
      </c>
      <c r="B2083" s="285">
        <v>-2.2725511104192644</v>
      </c>
      <c r="C2083" s="285">
        <v>2.5733472727802171</v>
      </c>
      <c r="D2083" s="285">
        <v>1.7827026995710664</v>
      </c>
      <c r="E2083" s="285">
        <v>-3.8402264502636245</v>
      </c>
    </row>
    <row r="2084" spans="1:5">
      <c r="A2084" s="284">
        <f t="shared" si="1023"/>
        <v>2016</v>
      </c>
      <c r="B2084" s="285">
        <v>0.59908700083518174</v>
      </c>
      <c r="C2084" s="285">
        <v>2.7192526500199272</v>
      </c>
      <c r="D2084" s="285">
        <v>0.95987132527786667</v>
      </c>
      <c r="E2084" s="285">
        <v>-1.8625838317314705</v>
      </c>
    </row>
    <row r="2085" spans="1:5">
      <c r="A2085" s="284">
        <f t="shared" si="1023"/>
        <v>2017</v>
      </c>
      <c r="B2085" s="285">
        <v>-4.8010013338159494</v>
      </c>
      <c r="C2085" s="285">
        <v>2.0132053803985679</v>
      </c>
      <c r="D2085" s="285">
        <v>0.95010383801530995</v>
      </c>
      <c r="E2085" s="285">
        <v>-7.1867724817519338</v>
      </c>
    </row>
    <row r="2086" spans="1:5">
      <c r="A2086" s="284">
        <f t="shared" si="1023"/>
        <v>2018</v>
      </c>
      <c r="B2086" s="285">
        <v>-2.6259174490694881</v>
      </c>
      <c r="C2086" s="285">
        <v>3.0076589760979022</v>
      </c>
      <c r="D2086" s="285">
        <v>-0.47842836614543915</v>
      </c>
      <c r="E2086" s="285">
        <v>17.688080094032617</v>
      </c>
    </row>
    <row r="2087" spans="1:5">
      <c r="A2087" s="284">
        <f t="shared" si="1023"/>
        <v>2019</v>
      </c>
      <c r="B2087" s="285">
        <v>0.2075206087416914</v>
      </c>
      <c r="C2087" s="285">
        <v>2.7032659385220406</v>
      </c>
      <c r="D2087" s="285">
        <v>0.92043998421551065</v>
      </c>
      <c r="E2087" s="285">
        <v>-0.46950119145249891</v>
      </c>
    </row>
    <row r="2088" spans="1:5">
      <c r="A2088" s="284">
        <f t="shared" si="1023"/>
        <v>2020</v>
      </c>
      <c r="B2088" s="285">
        <v>0.33476579841512966</v>
      </c>
      <c r="C2088" s="285">
        <v>1.609499114813304</v>
      </c>
      <c r="D2088" s="285">
        <v>1.5840937346944919</v>
      </c>
      <c r="E2088" s="285">
        <v>-8.3301333924621055</v>
      </c>
    </row>
    <row r="2089" spans="1:5">
      <c r="A2089" s="284">
        <f t="shared" si="1023"/>
        <v>2021</v>
      </c>
      <c r="B2089" s="285">
        <v>1.3450283190988803</v>
      </c>
      <c r="C2089" s="285">
        <v>2.8892694674351529</v>
      </c>
      <c r="D2089" s="285">
        <v>0.9329255103900298</v>
      </c>
      <c r="E2089" s="285">
        <v>-5.1132318163515365</v>
      </c>
    </row>
    <row r="2090" spans="1:5">
      <c r="A2090" s="284">
        <f t="shared" si="1023"/>
        <v>2022</v>
      </c>
      <c r="B2090" s="285">
        <v>1.2495822944770913</v>
      </c>
      <c r="C2090" s="285">
        <v>2.7265000016710315</v>
      </c>
      <c r="D2090" s="285">
        <v>-0.24826534220509555</v>
      </c>
      <c r="E2090" s="285">
        <v>-4.8113596070031832</v>
      </c>
    </row>
    <row r="2091" spans="1:5">
      <c r="A2091" s="284">
        <f t="shared" si="1023"/>
        <v>2023</v>
      </c>
      <c r="B2091" s="285">
        <v>-2.5023560451639963</v>
      </c>
      <c r="C2091" s="285">
        <v>2.413319775988092</v>
      </c>
      <c r="D2091" s="285">
        <v>0.59539428950496531</v>
      </c>
      <c r="E2091" s="285">
        <v>-5.8951457820860584</v>
      </c>
    </row>
    <row r="2092" spans="1:5">
      <c r="A2092" s="284">
        <f t="shared" si="1023"/>
        <v>2024</v>
      </c>
      <c r="B2092" s="285">
        <v>-1.8046457190728697</v>
      </c>
      <c r="C2092" s="285">
        <v>2.5541203657175813</v>
      </c>
      <c r="D2092" s="285">
        <v>-5.9966123069153277E-2</v>
      </c>
      <c r="E2092" s="285">
        <v>12.984020959118578</v>
      </c>
    </row>
    <row r="2093" spans="1:5">
      <c r="A2093" s="284">
        <f t="shared" si="1023"/>
        <v>2025</v>
      </c>
      <c r="B2093" s="285">
        <v>1.9965165323757174E-2</v>
      </c>
      <c r="C2093" s="285">
        <v>2.8202175999868171</v>
      </c>
      <c r="D2093" s="285">
        <v>-0.4360533698271909</v>
      </c>
      <c r="E2093" s="285">
        <v>-2.0290916907621148</v>
      </c>
    </row>
    <row r="2094" spans="1:5">
      <c r="A2094" s="284">
        <f t="shared" si="1023"/>
        <v>2026</v>
      </c>
      <c r="B2094" s="285">
        <v>-3.3524389200362013</v>
      </c>
      <c r="C2094" s="285">
        <v>2.4619818398542375</v>
      </c>
      <c r="D2094" s="285">
        <v>1.0903538289493666</v>
      </c>
      <c r="E2094" s="285">
        <v>7.8601865114532554</v>
      </c>
    </row>
    <row r="2095" spans="1:5">
      <c r="A2095" s="284">
        <f t="shared" si="1023"/>
        <v>2027</v>
      </c>
      <c r="B2095" s="285">
        <v>2.2016155920215468</v>
      </c>
      <c r="C2095" s="285">
        <v>2.7889054210982009</v>
      </c>
      <c r="D2095" s="285">
        <v>2.2821738864245509</v>
      </c>
      <c r="E2095" s="285">
        <v>-9.1074378720589237</v>
      </c>
    </row>
    <row r="2096" spans="1:5">
      <c r="A2096" s="284">
        <f t="shared" si="1023"/>
        <v>2028</v>
      </c>
      <c r="B2096" s="285">
        <v>3.5965062994942549</v>
      </c>
      <c r="C2096" s="285">
        <v>2.9035068786649445</v>
      </c>
      <c r="D2096" s="285">
        <v>0.68979807151101724</v>
      </c>
      <c r="E2096" s="285">
        <v>-6.4599537324458876</v>
      </c>
    </row>
    <row r="2097" spans="1:5">
      <c r="A2097" s="284">
        <f t="shared" si="1023"/>
        <v>2029</v>
      </c>
      <c r="B2097" s="285">
        <v>-4.0151158363568573</v>
      </c>
      <c r="C2097" s="285">
        <v>3.0312047949862309</v>
      </c>
      <c r="D2097" s="285">
        <v>-0.30418018540013003</v>
      </c>
      <c r="E2097" s="285">
        <v>14.588677844237093</v>
      </c>
    </row>
    <row r="2098" spans="1:5">
      <c r="A2098" s="284">
        <f t="shared" si="1023"/>
        <v>2030</v>
      </c>
      <c r="B2098" s="285">
        <v>-1.1387199891563582</v>
      </c>
      <c r="C2098" s="285">
        <v>2.7737447766418817</v>
      </c>
      <c r="D2098" s="285">
        <v>0.21114147828042662</v>
      </c>
      <c r="E2098" s="285">
        <v>-6.8362020848269118</v>
      </c>
    </row>
    <row r="2099" spans="1:5">
      <c r="A2099" s="284">
        <f t="shared" si="1023"/>
        <v>2031</v>
      </c>
      <c r="B2099" s="285">
        <v>2.755844918173223</v>
      </c>
      <c r="C2099" s="285">
        <v>2.335441049528387</v>
      </c>
      <c r="D2099" s="285">
        <v>2.5045770280607842</v>
      </c>
      <c r="E2099" s="285">
        <v>-2.8201932901177318</v>
      </c>
    </row>
    <row r="2100" spans="1:5">
      <c r="A2100" s="284">
        <f t="shared" si="1023"/>
        <v>2032</v>
      </c>
      <c r="B2100" s="285">
        <v>3.8771633657498255</v>
      </c>
      <c r="C2100" s="285">
        <v>2.8440118106859797</v>
      </c>
      <c r="D2100" s="285">
        <v>3.3838255074577743</v>
      </c>
      <c r="E2100" s="285">
        <v>-12.139431792205992</v>
      </c>
    </row>
    <row r="2101" spans="1:5">
      <c r="A2101" s="284">
        <f t="shared" si="1023"/>
        <v>2033</v>
      </c>
      <c r="B2101" s="285">
        <v>-0.15716773443625981</v>
      </c>
      <c r="C2101" s="285">
        <v>1.8923073492465772</v>
      </c>
      <c r="D2101" s="285">
        <v>0.71304677576673048</v>
      </c>
      <c r="E2101" s="285">
        <v>-6.973636195886435</v>
      </c>
    </row>
    <row r="2102" spans="1:5">
      <c r="A2102" s="284">
        <f t="shared" si="1023"/>
        <v>2034</v>
      </c>
      <c r="B2102" s="285">
        <v>2.3789725238272577</v>
      </c>
      <c r="C2102" s="285">
        <v>2.5882987767227248</v>
      </c>
      <c r="D2102" s="285">
        <v>2.9203481500672286</v>
      </c>
      <c r="E2102" s="285">
        <v>-8.9841366933061018</v>
      </c>
    </row>
    <row r="2103" spans="1:5">
      <c r="A2103" s="284">
        <f t="shared" si="1023"/>
        <v>2035</v>
      </c>
      <c r="B2103" s="285">
        <v>6.2391882436531647E-2</v>
      </c>
      <c r="C2103" s="285">
        <v>1.9585256442289065</v>
      </c>
      <c r="D2103" s="285">
        <v>2.1003772183336942</v>
      </c>
      <c r="E2103" s="285">
        <v>-6.5590243013591731</v>
      </c>
    </row>
    <row r="2104" spans="1:5">
      <c r="A2104" s="284">
        <f t="shared" si="1023"/>
        <v>2036</v>
      </c>
      <c r="B2104" s="285">
        <v>0.97927412861520158</v>
      </c>
      <c r="C2104" s="285">
        <v>2.890825131700951</v>
      </c>
      <c r="D2104" s="285">
        <v>2.5213823951386898</v>
      </c>
      <c r="E2104" s="285">
        <v>-4.9074741988600321</v>
      </c>
    </row>
    <row r="2105" spans="1:5">
      <c r="A2105" s="284">
        <f t="shared" si="1023"/>
        <v>2037</v>
      </c>
      <c r="B2105" s="285">
        <v>3.297348529292766</v>
      </c>
      <c r="C2105" s="285">
        <v>3.3126107863191434</v>
      </c>
      <c r="D2105" s="285">
        <v>-0.25140329612875889</v>
      </c>
      <c r="E2105" s="285">
        <v>5.7702909835395602</v>
      </c>
    </row>
    <row r="2106" spans="1:5">
      <c r="A2106" s="284">
        <f t="shared" si="1023"/>
        <v>2038</v>
      </c>
      <c r="B2106" s="285">
        <v>4.5759807994578141</v>
      </c>
      <c r="C2106" s="285">
        <v>2.2911486864129604</v>
      </c>
      <c r="D2106" s="285">
        <v>3.0484996386959984</v>
      </c>
      <c r="E2106" s="285">
        <v>-13.072676377032366</v>
      </c>
    </row>
    <row r="2107" spans="1:5">
      <c r="A2107" s="284">
        <f t="shared" si="1023"/>
        <v>2039</v>
      </c>
      <c r="B2107" s="285">
        <v>2.6996869240687951</v>
      </c>
      <c r="C2107" s="285">
        <v>2.2953283527932928</v>
      </c>
      <c r="D2107" s="285">
        <v>0.5404206711076992</v>
      </c>
      <c r="E2107" s="285">
        <v>-15.991080362938382</v>
      </c>
    </row>
    <row r="2108" spans="1:5">
      <c r="A2108" s="284">
        <f t="shared" si="1023"/>
        <v>2040</v>
      </c>
      <c r="B2108" s="285">
        <v>3.9838304358921031</v>
      </c>
      <c r="C2108" s="285">
        <v>2.7943680058439413</v>
      </c>
      <c r="D2108" s="285">
        <v>3.447017427456597</v>
      </c>
      <c r="E2108" s="285">
        <v>6.1923329919953467</v>
      </c>
    </row>
    <row r="2109" spans="1:5">
      <c r="A2109" s="284">
        <f t="shared" si="1023"/>
        <v>2041</v>
      </c>
      <c r="B2109" s="285">
        <v>1.7189541153687042</v>
      </c>
      <c r="C2109" s="285">
        <v>2.6444184906209163</v>
      </c>
      <c r="D2109" s="285">
        <v>0.58316670269545101</v>
      </c>
      <c r="E2109" s="285">
        <v>2.2597326852268043</v>
      </c>
    </row>
    <row r="2110" spans="1:5">
      <c r="A2110" s="284">
        <f t="shared" si="1023"/>
        <v>2042</v>
      </c>
      <c r="B2110" s="285">
        <v>-1.3268353606086267</v>
      </c>
      <c r="C2110" s="285">
        <v>2.1912644682637037</v>
      </c>
      <c r="D2110" s="285">
        <v>0.53175823335234085</v>
      </c>
      <c r="E2110" s="285">
        <v>-3.9935404447334228</v>
      </c>
    </row>
    <row r="2111" spans="1:5">
      <c r="A2111" s="284">
        <f t="shared" si="1023"/>
        <v>2043</v>
      </c>
      <c r="B2111" s="285">
        <v>-3.1726481513305358</v>
      </c>
      <c r="C2111" s="285">
        <v>2.1325105733049936</v>
      </c>
      <c r="D2111" s="285">
        <v>2.2911229051092361</v>
      </c>
      <c r="E2111" s="285">
        <v>-4.7912092341850183</v>
      </c>
    </row>
    <row r="2112" spans="1:5">
      <c r="A2112" s="284">
        <f t="shared" si="1023"/>
        <v>2044</v>
      </c>
      <c r="B2112" s="285">
        <v>2.4404459318469521E-2</v>
      </c>
      <c r="C2112" s="285">
        <v>2.5631861758210555</v>
      </c>
      <c r="D2112" s="285">
        <v>-1.1787231572466426</v>
      </c>
      <c r="E2112" s="285">
        <v>-1.8862904526834214</v>
      </c>
    </row>
    <row r="2113" spans="1:5">
      <c r="A2113" s="284">
        <f t="shared" si="1023"/>
        <v>2045</v>
      </c>
      <c r="B2113" s="285">
        <v>4.3439003232661637</v>
      </c>
      <c r="C2113" s="285">
        <v>2.9385265105226059</v>
      </c>
      <c r="D2113" s="285">
        <v>1.6979295287745702</v>
      </c>
      <c r="E2113" s="285">
        <v>0.19437919871973763</v>
      </c>
    </row>
    <row r="2114" spans="1:5">
      <c r="A2114" s="284">
        <f t="shared" si="1023"/>
        <v>2046</v>
      </c>
      <c r="B2114" s="285">
        <v>-1.0626695656183518</v>
      </c>
      <c r="C2114" s="285">
        <v>2.4374023558436302</v>
      </c>
      <c r="D2114" s="285">
        <v>3.5136287170048668</v>
      </c>
      <c r="E2114" s="285">
        <v>2.5659715575461095</v>
      </c>
    </row>
    <row r="2115" spans="1:5">
      <c r="A2115" s="284">
        <f t="shared" si="1023"/>
        <v>2047</v>
      </c>
      <c r="B2115" s="285">
        <v>1.5415333167615786</v>
      </c>
      <c r="C2115" s="285">
        <v>2.161232008459995</v>
      </c>
      <c r="D2115" s="285">
        <v>1.5270822921339628</v>
      </c>
      <c r="E2115" s="285">
        <v>-10.609828318917648</v>
      </c>
    </row>
    <row r="2116" spans="1:5">
      <c r="A2116" s="284">
        <f t="shared" si="1023"/>
        <v>2048</v>
      </c>
      <c r="B2116" s="285">
        <v>-3.7169254016069591</v>
      </c>
      <c r="C2116" s="285">
        <v>2.7168577540993892</v>
      </c>
      <c r="D2116" s="285">
        <v>0.74882745324949673</v>
      </c>
      <c r="E2116" s="285">
        <v>7.2272531639927227</v>
      </c>
    </row>
    <row r="2117" spans="1:5">
      <c r="A2117" s="284">
        <f t="shared" si="1023"/>
        <v>2049</v>
      </c>
      <c r="B2117" s="285">
        <v>0.58517537208603077</v>
      </c>
      <c r="C2117" s="285">
        <v>2.8955074179512024</v>
      </c>
      <c r="D2117" s="285">
        <v>1.1578682743777668</v>
      </c>
      <c r="E2117" s="285">
        <v>1.3793641500679654</v>
      </c>
    </row>
    <row r="2118" spans="1:5">
      <c r="A2118" s="284">
        <f t="shared" si="1023"/>
        <v>2050</v>
      </c>
      <c r="B2118" s="285">
        <v>7.2289205736454694</v>
      </c>
      <c r="C2118" s="285">
        <v>3.2355807237302079</v>
      </c>
      <c r="D2118" s="285">
        <v>0.47411071892486478</v>
      </c>
      <c r="E2118" s="285">
        <v>-7.5322771380378306</v>
      </c>
    </row>
    <row r="2119" spans="1:5">
      <c r="A2119" s="284">
        <f t="shared" ref="A2119:A2182" si="1024">A2118+1</f>
        <v>2051</v>
      </c>
      <c r="B2119" s="285">
        <v>1.9765217477185244</v>
      </c>
      <c r="C2119" s="285">
        <v>2.1907429746696048</v>
      </c>
      <c r="D2119" s="285">
        <v>3.607166659978009</v>
      </c>
      <c r="E2119" s="285">
        <v>-14.02526533834415</v>
      </c>
    </row>
    <row r="2120" spans="1:5">
      <c r="A2120" s="284">
        <f t="shared" si="1024"/>
        <v>2052</v>
      </c>
      <c r="B2120" s="285">
        <v>2.1565197430973173</v>
      </c>
      <c r="C2120" s="285">
        <v>2.8228085785109465</v>
      </c>
      <c r="D2120" s="285">
        <v>1.8531579782225871</v>
      </c>
      <c r="E2120" s="285">
        <v>4.3307739386747723</v>
      </c>
    </row>
    <row r="2121" spans="1:5">
      <c r="A2121" s="284">
        <f t="shared" si="1024"/>
        <v>2053</v>
      </c>
      <c r="B2121" s="285">
        <v>-1.2816376843510753</v>
      </c>
      <c r="C2121" s="285">
        <v>3.2986971409789279</v>
      </c>
      <c r="D2121" s="285">
        <v>0.73773705293326541</v>
      </c>
      <c r="E2121" s="285">
        <v>21.947026418718924</v>
      </c>
    </row>
    <row r="2122" spans="1:5">
      <c r="A2122" s="284">
        <f t="shared" si="1024"/>
        <v>2054</v>
      </c>
      <c r="B2122" s="285">
        <v>-1.041957938910264</v>
      </c>
      <c r="C2122" s="285">
        <v>2.9595914641769818</v>
      </c>
      <c r="D2122" s="285">
        <v>1.4201973544168858</v>
      </c>
      <c r="E2122" s="285">
        <v>-4.1495419112932801</v>
      </c>
    </row>
    <row r="2123" spans="1:5">
      <c r="A2123" s="284">
        <f t="shared" si="1024"/>
        <v>2055</v>
      </c>
      <c r="B2123" s="285">
        <v>0.20569601266198814</v>
      </c>
      <c r="C2123" s="285">
        <v>2.5216446322636945</v>
      </c>
      <c r="D2123" s="285">
        <v>1.7475734150062796</v>
      </c>
      <c r="E2123" s="285">
        <v>-7.7637837415380861</v>
      </c>
    </row>
    <row r="2124" spans="1:5">
      <c r="A2124" s="284">
        <f t="shared" si="1024"/>
        <v>2056</v>
      </c>
      <c r="B2124" s="285">
        <v>0.45109255447458502</v>
      </c>
      <c r="C2124" s="285">
        <v>3.3765970510596439</v>
      </c>
      <c r="D2124" s="285">
        <v>0.41244411527814706</v>
      </c>
      <c r="E2124" s="285">
        <v>17.696838050352319</v>
      </c>
    </row>
    <row r="2125" spans="1:5">
      <c r="A2125" s="284">
        <f t="shared" si="1024"/>
        <v>2057</v>
      </c>
      <c r="B2125" s="285">
        <v>-0.25325485694885908</v>
      </c>
      <c r="C2125" s="285">
        <v>2.236003176274675</v>
      </c>
      <c r="D2125" s="285">
        <v>1.1119470980453163</v>
      </c>
      <c r="E2125" s="285">
        <v>5.9192414084393548</v>
      </c>
    </row>
    <row r="2126" spans="1:5">
      <c r="A2126" s="284">
        <f t="shared" si="1024"/>
        <v>2058</v>
      </c>
      <c r="B2126" s="285">
        <v>-3.9244153610887698E-2</v>
      </c>
      <c r="C2126" s="285">
        <v>2.6369187855228802</v>
      </c>
      <c r="D2126" s="285">
        <v>1.8607478235634778</v>
      </c>
      <c r="E2126" s="285">
        <v>2.7000943583942782</v>
      </c>
    </row>
    <row r="2127" spans="1:5">
      <c r="A2127" s="284">
        <f t="shared" si="1024"/>
        <v>2059</v>
      </c>
      <c r="B2127" s="285">
        <v>-2.9463705537090981</v>
      </c>
      <c r="C2127" s="285">
        <v>2.9454998676386408</v>
      </c>
      <c r="D2127" s="285">
        <v>-0.31200141547666949</v>
      </c>
      <c r="E2127" s="285">
        <v>4.9236053102063497</v>
      </c>
    </row>
    <row r="2128" spans="1:5">
      <c r="A2128" s="284">
        <f t="shared" si="1024"/>
        <v>2060</v>
      </c>
      <c r="B2128" s="285">
        <v>0.77223625193028955</v>
      </c>
      <c r="C2128" s="285">
        <v>3.2807459507115415</v>
      </c>
      <c r="D2128" s="285">
        <v>-3.768902387764772E-2</v>
      </c>
      <c r="E2128" s="285">
        <v>0.70014261817177159</v>
      </c>
    </row>
    <row r="2129" spans="1:5">
      <c r="A2129" s="284">
        <f t="shared" si="1024"/>
        <v>2061</v>
      </c>
      <c r="B2129" s="285">
        <v>2.8364903008499733</v>
      </c>
      <c r="C2129" s="285">
        <v>2.6051324183903217</v>
      </c>
      <c r="D2129" s="285">
        <v>2.4777761308494641</v>
      </c>
      <c r="E2129" s="285">
        <v>-20.668578828138227</v>
      </c>
    </row>
    <row r="2130" spans="1:5">
      <c r="A2130" s="284">
        <f t="shared" si="1024"/>
        <v>2062</v>
      </c>
      <c r="B2130" s="285">
        <v>0.84445601489731004</v>
      </c>
      <c r="C2130" s="285">
        <v>2.547517473891574</v>
      </c>
      <c r="D2130" s="285">
        <v>0.23136635859819088</v>
      </c>
      <c r="E2130" s="285">
        <v>0.63039939580691895</v>
      </c>
    </row>
    <row r="2131" spans="1:5">
      <c r="A2131" s="284">
        <f t="shared" si="1024"/>
        <v>2063</v>
      </c>
      <c r="B2131" s="285">
        <v>-0.27416183467003258</v>
      </c>
      <c r="C2131" s="285">
        <v>2.4860430615128615</v>
      </c>
      <c r="D2131" s="285">
        <v>3.0850379651759274</v>
      </c>
      <c r="E2131" s="285">
        <v>-4.5020786500318852</v>
      </c>
    </row>
    <row r="2132" spans="1:5">
      <c r="A2132" s="284">
        <f t="shared" si="1024"/>
        <v>2064</v>
      </c>
      <c r="B2132" s="285">
        <v>-0.47062611997792647</v>
      </c>
      <c r="C2132" s="285">
        <v>2.6375518927663681</v>
      </c>
      <c r="D2132" s="285">
        <v>1.6657080190763014</v>
      </c>
      <c r="E2132" s="285">
        <v>7.4216359231369751</v>
      </c>
    </row>
    <row r="2133" spans="1:5">
      <c r="A2133" s="284">
        <f t="shared" si="1024"/>
        <v>2065</v>
      </c>
      <c r="B2133" s="285">
        <v>-2.5437428757247864</v>
      </c>
      <c r="C2133" s="285">
        <v>2.3218471108475645</v>
      </c>
      <c r="D2133" s="285">
        <v>-8.5526356659821223E-2</v>
      </c>
      <c r="E2133" s="285">
        <v>3.579112474722963</v>
      </c>
    </row>
    <row r="2134" spans="1:5">
      <c r="A2134" s="284">
        <f t="shared" si="1024"/>
        <v>2066</v>
      </c>
      <c r="B2134" s="285">
        <v>-4.4028744703857177</v>
      </c>
      <c r="C2134" s="285">
        <v>2.5722107756848804</v>
      </c>
      <c r="D2134" s="285">
        <v>-0.41448794464850769</v>
      </c>
      <c r="E2134" s="285">
        <v>1.2946477003092807</v>
      </c>
    </row>
    <row r="2135" spans="1:5">
      <c r="A2135" s="284">
        <f t="shared" si="1024"/>
        <v>2067</v>
      </c>
      <c r="B2135" s="285">
        <v>0.31569767650230851</v>
      </c>
      <c r="C2135" s="285">
        <v>2.6163276543050196</v>
      </c>
      <c r="D2135" s="285">
        <v>1.0395212459459566</v>
      </c>
      <c r="E2135" s="285">
        <v>-0.45363650377514508</v>
      </c>
    </row>
    <row r="2136" spans="1:5">
      <c r="A2136" s="284">
        <f t="shared" si="1024"/>
        <v>2068</v>
      </c>
      <c r="B2136" s="285">
        <v>0.22610289598657454</v>
      </c>
      <c r="C2136" s="285">
        <v>1.8374108983497106</v>
      </c>
      <c r="D2136" s="285">
        <v>1.3529994163486188</v>
      </c>
      <c r="E2136" s="285">
        <v>-25.26729172593204</v>
      </c>
    </row>
    <row r="2137" spans="1:5">
      <c r="A2137" s="284">
        <f t="shared" si="1024"/>
        <v>2069</v>
      </c>
      <c r="B2137" s="285">
        <v>2.2867712536577582</v>
      </c>
      <c r="C2137" s="285">
        <v>3.3246361434043932</v>
      </c>
      <c r="D2137" s="285">
        <v>-0.38070168001111382</v>
      </c>
      <c r="E2137" s="285">
        <v>16.551905624852878</v>
      </c>
    </row>
    <row r="2138" spans="1:5">
      <c r="A2138" s="284">
        <f t="shared" si="1024"/>
        <v>2070</v>
      </c>
      <c r="B2138" s="285">
        <v>-1.9644174667710419</v>
      </c>
      <c r="C2138" s="285">
        <v>2.2934129368301637</v>
      </c>
      <c r="D2138" s="285">
        <v>0.96876324166451078</v>
      </c>
      <c r="E2138" s="285">
        <v>-5.0314665763087687</v>
      </c>
    </row>
    <row r="2139" spans="1:5">
      <c r="A2139" s="284">
        <f t="shared" si="1024"/>
        <v>2071</v>
      </c>
      <c r="B2139" s="285">
        <v>3.6488768059130732</v>
      </c>
      <c r="C2139" s="285">
        <v>1.8955001079751947</v>
      </c>
      <c r="D2139" s="285">
        <v>2.1511861409596573</v>
      </c>
      <c r="E2139" s="285">
        <v>-9.6551291567670177</v>
      </c>
    </row>
    <row r="2140" spans="1:5">
      <c r="A2140" s="284">
        <f t="shared" si="1024"/>
        <v>2072</v>
      </c>
      <c r="B2140" s="285">
        <v>0.78380466186311493</v>
      </c>
      <c r="C2140" s="285">
        <v>2.6306463286356498</v>
      </c>
      <c r="D2140" s="285">
        <v>1.0391790014760336</v>
      </c>
      <c r="E2140" s="285">
        <v>-9.2714602980119718</v>
      </c>
    </row>
    <row r="2141" spans="1:5">
      <c r="A2141" s="284">
        <f t="shared" si="1024"/>
        <v>2073</v>
      </c>
      <c r="B2141" s="285">
        <v>-0.27714010181124021</v>
      </c>
      <c r="C2141" s="285">
        <v>2.4186119272798705</v>
      </c>
      <c r="D2141" s="285">
        <v>0.45427272116770934</v>
      </c>
      <c r="E2141" s="285">
        <v>4.2574663974919886</v>
      </c>
    </row>
    <row r="2142" spans="1:5">
      <c r="A2142" s="284">
        <f t="shared" si="1024"/>
        <v>2074</v>
      </c>
      <c r="B2142" s="285">
        <v>-0.96746402438250367</v>
      </c>
      <c r="C2142" s="285">
        <v>3.1952035404746626</v>
      </c>
      <c r="D2142" s="285">
        <v>1.5027969868352982</v>
      </c>
      <c r="E2142" s="285">
        <v>2.6616896557041021</v>
      </c>
    </row>
    <row r="2143" spans="1:5">
      <c r="A2143" s="284">
        <f t="shared" si="1024"/>
        <v>2075</v>
      </c>
      <c r="B2143" s="285">
        <v>-0.17093002581023542</v>
      </c>
      <c r="C2143" s="285">
        <v>3.2551283291227096</v>
      </c>
      <c r="D2143" s="285">
        <v>1.3254023657004244</v>
      </c>
      <c r="E2143" s="285">
        <v>11.357919342633698</v>
      </c>
    </row>
    <row r="2144" spans="1:5">
      <c r="A2144" s="284">
        <f t="shared" si="1024"/>
        <v>2076</v>
      </c>
      <c r="B2144" s="285">
        <v>1.8827993265735956</v>
      </c>
      <c r="C2144" s="285">
        <v>3.1634990318304448</v>
      </c>
      <c r="D2144" s="285">
        <v>0.8535788326175856</v>
      </c>
      <c r="E2144" s="285">
        <v>10.661804373865825</v>
      </c>
    </row>
    <row r="2145" spans="1:5">
      <c r="A2145" s="284">
        <f t="shared" si="1024"/>
        <v>2077</v>
      </c>
      <c r="B2145" s="285">
        <v>3.3847387550482032E-3</v>
      </c>
      <c r="C2145" s="285">
        <v>1.6843756367100657</v>
      </c>
      <c r="D2145" s="285">
        <v>0.86505365533826173</v>
      </c>
      <c r="E2145" s="285">
        <v>-13.606334330039399</v>
      </c>
    </row>
    <row r="2146" spans="1:5">
      <c r="A2146" s="284">
        <f t="shared" si="1024"/>
        <v>2078</v>
      </c>
      <c r="B2146" s="285">
        <v>-0.22897998420659216</v>
      </c>
      <c r="C2146" s="285">
        <v>3.1731106001448683</v>
      </c>
      <c r="D2146" s="285">
        <v>0.87311651505113941</v>
      </c>
      <c r="E2146" s="285">
        <v>6.8287304293850539</v>
      </c>
    </row>
    <row r="2147" spans="1:5">
      <c r="A2147" s="284">
        <f t="shared" si="1024"/>
        <v>2079</v>
      </c>
      <c r="B2147" s="285">
        <v>-0.63956160292542685</v>
      </c>
      <c r="C2147" s="285">
        <v>2.0455824293781095</v>
      </c>
      <c r="D2147" s="285">
        <v>2.5454185682020212</v>
      </c>
      <c r="E2147" s="285">
        <v>-13.42124888271646</v>
      </c>
    </row>
    <row r="2148" spans="1:5">
      <c r="A2148" s="284">
        <f t="shared" si="1024"/>
        <v>2080</v>
      </c>
      <c r="B2148" s="285">
        <v>-0.57187318026652001</v>
      </c>
      <c r="C2148" s="285">
        <v>2.2643098125029368</v>
      </c>
      <c r="D2148" s="285">
        <v>0.99554831517865683</v>
      </c>
      <c r="E2148" s="285">
        <v>-0.33764133251927575</v>
      </c>
    </row>
    <row r="2149" spans="1:5">
      <c r="A2149" s="284">
        <f t="shared" si="1024"/>
        <v>2081</v>
      </c>
      <c r="B2149" s="285">
        <v>2.1531039564659253</v>
      </c>
      <c r="C2149" s="285">
        <v>2.6625639318125254</v>
      </c>
      <c r="D2149" s="285">
        <v>1.7541313292228087</v>
      </c>
      <c r="E2149" s="285">
        <v>-4.1212217062277396</v>
      </c>
    </row>
    <row r="2150" spans="1:5">
      <c r="A2150" s="284">
        <f t="shared" si="1024"/>
        <v>2082</v>
      </c>
      <c r="B2150" s="285">
        <v>-0.23577868551240852</v>
      </c>
      <c r="C2150" s="285">
        <v>1.8534974691310049</v>
      </c>
      <c r="D2150" s="285">
        <v>1.4590713750357636</v>
      </c>
      <c r="E2150" s="285">
        <v>-3.0115959898523132</v>
      </c>
    </row>
    <row r="2151" spans="1:5">
      <c r="A2151" s="284">
        <f t="shared" si="1024"/>
        <v>2083</v>
      </c>
      <c r="B2151" s="285">
        <v>0.52144081903157991</v>
      </c>
      <c r="C2151" s="285">
        <v>2.8978637592305598</v>
      </c>
      <c r="D2151" s="285">
        <v>0.77983704947669508</v>
      </c>
      <c r="E2151" s="285">
        <v>5.4742370696917124</v>
      </c>
    </row>
    <row r="2152" spans="1:5">
      <c r="A2152" s="284">
        <f t="shared" si="1024"/>
        <v>2084</v>
      </c>
      <c r="B2152" s="285">
        <v>-5.0686222580864575</v>
      </c>
      <c r="C2152" s="285">
        <v>2.8531292320206125</v>
      </c>
      <c r="D2152" s="285">
        <v>-2.2909468896654204</v>
      </c>
      <c r="E2152" s="285">
        <v>21.731425577550095</v>
      </c>
    </row>
    <row r="2153" spans="1:5">
      <c r="A2153" s="284">
        <f t="shared" si="1024"/>
        <v>2085</v>
      </c>
      <c r="B2153" s="285">
        <v>-0.16292164139332352</v>
      </c>
      <c r="C2153" s="285">
        <v>3.3691027201880601</v>
      </c>
      <c r="D2153" s="285">
        <v>-1.2711239148437898</v>
      </c>
      <c r="E2153" s="285">
        <v>9.1311659742975309</v>
      </c>
    </row>
    <row r="2154" spans="1:5">
      <c r="A2154" s="284">
        <f t="shared" si="1024"/>
        <v>2086</v>
      </c>
      <c r="B2154" s="285">
        <v>-0.92354248155119012</v>
      </c>
      <c r="C2154" s="285">
        <v>2.7652257893122272</v>
      </c>
      <c r="D2154" s="285">
        <v>0.99826571812525366</v>
      </c>
      <c r="E2154" s="285">
        <v>-8.9183727516372482</v>
      </c>
    </row>
    <row r="2155" spans="1:5">
      <c r="A2155" s="284">
        <f t="shared" si="1024"/>
        <v>2087</v>
      </c>
      <c r="B2155" s="285">
        <v>-1.6813120209844723</v>
      </c>
      <c r="C2155" s="285">
        <v>2.5875972787263688</v>
      </c>
      <c r="D2155" s="285">
        <v>-0.30030603968562475</v>
      </c>
      <c r="E2155" s="285">
        <v>-0.50060816166699817</v>
      </c>
    </row>
    <row r="2156" spans="1:5">
      <c r="A2156" s="284">
        <f t="shared" si="1024"/>
        <v>2088</v>
      </c>
      <c r="B2156" s="285">
        <v>2.1500703499778542</v>
      </c>
      <c r="C2156" s="285">
        <v>2.8157381818280713</v>
      </c>
      <c r="D2156" s="285">
        <v>1.0637488592958546</v>
      </c>
      <c r="E2156" s="285">
        <v>3.91138583455345</v>
      </c>
    </row>
    <row r="2157" spans="1:5">
      <c r="A2157" s="284">
        <f t="shared" si="1024"/>
        <v>2089</v>
      </c>
      <c r="B2157" s="285">
        <v>0.42951656574967195</v>
      </c>
      <c r="C2157" s="285">
        <v>2.4615174427645319</v>
      </c>
      <c r="D2157" s="285">
        <v>0.93165748151847416</v>
      </c>
      <c r="E2157" s="285">
        <v>-7.6945693635318086</v>
      </c>
    </row>
    <row r="2158" spans="1:5">
      <c r="A2158" s="284">
        <f t="shared" si="1024"/>
        <v>2090</v>
      </c>
      <c r="B2158" s="285">
        <v>-0.90552802532610421</v>
      </c>
      <c r="C2158" s="285">
        <v>2.8964299727148908</v>
      </c>
      <c r="D2158" s="285">
        <v>-0.2028401531492563</v>
      </c>
      <c r="E2158" s="285">
        <v>2.0146485488552632</v>
      </c>
    </row>
    <row r="2159" spans="1:5">
      <c r="A2159" s="284">
        <f t="shared" si="1024"/>
        <v>2091</v>
      </c>
      <c r="B2159" s="285">
        <v>-0.60638934462912675</v>
      </c>
      <c r="C2159" s="285">
        <v>2.9942418519801306</v>
      </c>
      <c r="D2159" s="285">
        <v>1.5201471967709899</v>
      </c>
      <c r="E2159" s="285">
        <v>6.4455922240189203</v>
      </c>
    </row>
    <row r="2160" spans="1:5">
      <c r="A2160" s="284">
        <f t="shared" si="1024"/>
        <v>2092</v>
      </c>
      <c r="B2160" s="285">
        <v>2.5711692883907391</v>
      </c>
      <c r="C2160" s="285">
        <v>2.6430379351518472</v>
      </c>
      <c r="D2160" s="285">
        <v>1.9994439630666787</v>
      </c>
      <c r="E2160" s="285">
        <v>-10.053714478028766</v>
      </c>
    </row>
    <row r="2161" spans="1:5">
      <c r="A2161" s="284">
        <f t="shared" si="1024"/>
        <v>2093</v>
      </c>
      <c r="B2161" s="285">
        <v>4.7298513042321906</v>
      </c>
      <c r="C2161" s="285">
        <v>3.0304141941478342</v>
      </c>
      <c r="D2161" s="285">
        <v>1.0969753710965313</v>
      </c>
      <c r="E2161" s="285">
        <v>2.6530751785848268</v>
      </c>
    </row>
    <row r="2162" spans="1:5">
      <c r="A2162" s="284">
        <f t="shared" si="1024"/>
        <v>2094</v>
      </c>
      <c r="B2162" s="285">
        <v>1.199719309303221</v>
      </c>
      <c r="C2162" s="285">
        <v>2.6409226481022325</v>
      </c>
      <c r="D2162" s="285">
        <v>1.4795951332038593</v>
      </c>
      <c r="E2162" s="285">
        <v>-5.9784945123267317</v>
      </c>
    </row>
    <row r="2163" spans="1:5">
      <c r="A2163" s="284">
        <f t="shared" si="1024"/>
        <v>2095</v>
      </c>
      <c r="B2163" s="285">
        <v>-1.2848409321283394</v>
      </c>
      <c r="C2163" s="285">
        <v>2.4111748483269393</v>
      </c>
      <c r="D2163" s="285">
        <v>2.9251932091684525</v>
      </c>
      <c r="E2163" s="285">
        <v>-8.9836121044426083</v>
      </c>
    </row>
    <row r="2164" spans="1:5">
      <c r="A2164" s="284">
        <f t="shared" si="1024"/>
        <v>2096</v>
      </c>
      <c r="B2164" s="285">
        <v>3.0800691279961034</v>
      </c>
      <c r="C2164" s="285">
        <v>2.4555883752244179</v>
      </c>
      <c r="D2164" s="285">
        <v>0.96745286801423147</v>
      </c>
      <c r="E2164" s="285">
        <v>-10.363475863438518</v>
      </c>
    </row>
    <row r="2165" spans="1:5">
      <c r="A2165" s="284">
        <f t="shared" si="1024"/>
        <v>2097</v>
      </c>
      <c r="B2165" s="285">
        <v>0.67182820203160298</v>
      </c>
      <c r="C2165" s="285">
        <v>2.5782872628071525</v>
      </c>
      <c r="D2165" s="285">
        <v>2.3057812728333822</v>
      </c>
      <c r="E2165" s="285">
        <v>1.8505203088214714</v>
      </c>
    </row>
    <row r="2166" spans="1:5">
      <c r="A2166" s="284">
        <f t="shared" si="1024"/>
        <v>2098</v>
      </c>
      <c r="B2166" s="285">
        <v>1.2418922915803463</v>
      </c>
      <c r="C2166" s="285">
        <v>3.2178035718895215</v>
      </c>
      <c r="D2166" s="285">
        <v>1.2545390294840937</v>
      </c>
      <c r="E2166" s="285">
        <v>12.06184250863992</v>
      </c>
    </row>
    <row r="2167" spans="1:5">
      <c r="A2167" s="284">
        <f t="shared" si="1024"/>
        <v>2099</v>
      </c>
      <c r="B2167" s="285">
        <v>1.6355132715593677</v>
      </c>
      <c r="C2167" s="285">
        <v>2.9984798615661803</v>
      </c>
      <c r="D2167" s="285">
        <v>2.5318717711145684</v>
      </c>
      <c r="E2167" s="285">
        <v>15.310814193329481</v>
      </c>
    </row>
    <row r="2168" spans="1:5">
      <c r="A2168" s="284">
        <f t="shared" si="1024"/>
        <v>2100</v>
      </c>
      <c r="B2168" s="285">
        <v>9.3102183649720102E-2</v>
      </c>
      <c r="C2168" s="285">
        <v>2.7671351851333252</v>
      </c>
      <c r="D2168" s="285">
        <v>2.1665515544160687</v>
      </c>
      <c r="E2168" s="285">
        <v>8.9867117802641197</v>
      </c>
    </row>
    <row r="2169" spans="1:5">
      <c r="A2169" s="284">
        <f t="shared" si="1024"/>
        <v>2101</v>
      </c>
      <c r="B2169" s="285">
        <v>2.6464659688283105</v>
      </c>
      <c r="C2169" s="285">
        <v>1.5939326272663852</v>
      </c>
      <c r="D2169" s="285">
        <v>1.8287923078163462</v>
      </c>
      <c r="E2169" s="285">
        <v>-19.569925534438315</v>
      </c>
    </row>
    <row r="2170" spans="1:5">
      <c r="A2170" s="284">
        <f t="shared" si="1024"/>
        <v>2102</v>
      </c>
      <c r="B2170" s="285">
        <v>-1.3463732184502761</v>
      </c>
      <c r="C2170" s="285">
        <v>2.0078655208548271</v>
      </c>
      <c r="D2170" s="285">
        <v>2.1718796171263488</v>
      </c>
      <c r="E2170" s="285">
        <v>-5.6321097564807516</v>
      </c>
    </row>
    <row r="2171" spans="1:5">
      <c r="A2171" s="284">
        <f t="shared" si="1024"/>
        <v>2103</v>
      </c>
      <c r="B2171" s="285">
        <v>1.2000798481439967</v>
      </c>
      <c r="C2171" s="285">
        <v>2.4870823001669686</v>
      </c>
      <c r="D2171" s="285">
        <v>1.765015354444355</v>
      </c>
      <c r="E2171" s="285">
        <v>-11.184844536427544</v>
      </c>
    </row>
    <row r="2172" spans="1:5">
      <c r="A2172" s="284">
        <f t="shared" si="1024"/>
        <v>2104</v>
      </c>
      <c r="B2172" s="285">
        <v>-3.5038742597979344</v>
      </c>
      <c r="C2172" s="285">
        <v>2.2473624526313345</v>
      </c>
      <c r="D2172" s="285">
        <v>1.7807558905955063</v>
      </c>
      <c r="E2172" s="285">
        <v>7.6185223023600521</v>
      </c>
    </row>
    <row r="2173" spans="1:5">
      <c r="A2173" s="284">
        <f t="shared" si="1024"/>
        <v>2105</v>
      </c>
      <c r="B2173" s="285">
        <v>3.4553631015198789</v>
      </c>
      <c r="C2173" s="285">
        <v>2.2654831267893547</v>
      </c>
      <c r="D2173" s="285">
        <v>2.7918530776955812</v>
      </c>
      <c r="E2173" s="285">
        <v>-2.7112866342010356</v>
      </c>
    </row>
    <row r="2174" spans="1:5">
      <c r="A2174" s="284">
        <f t="shared" si="1024"/>
        <v>2106</v>
      </c>
      <c r="B2174" s="285">
        <v>-0.50655231186291194</v>
      </c>
      <c r="C2174" s="285">
        <v>2.3680326836924914</v>
      </c>
      <c r="D2174" s="285">
        <v>1.5363040815174349</v>
      </c>
      <c r="E2174" s="285">
        <v>-14.809073635345332</v>
      </c>
    </row>
    <row r="2175" spans="1:5">
      <c r="A2175" s="284">
        <f t="shared" si="1024"/>
        <v>2107</v>
      </c>
      <c r="B2175" s="285">
        <v>1.1079486039556283</v>
      </c>
      <c r="C2175" s="285">
        <v>2.592313834490342</v>
      </c>
      <c r="D2175" s="285">
        <v>0.63823204361106523</v>
      </c>
      <c r="E2175" s="285">
        <v>-5.1045254564451596</v>
      </c>
    </row>
    <row r="2176" spans="1:5">
      <c r="A2176" s="284">
        <f t="shared" si="1024"/>
        <v>2108</v>
      </c>
      <c r="B2176" s="285">
        <v>2.4851186137538726</v>
      </c>
      <c r="C2176" s="285">
        <v>2.975516867992587</v>
      </c>
      <c r="D2176" s="285">
        <v>1.7849466529788538</v>
      </c>
      <c r="E2176" s="285">
        <v>-6.9807160566147921</v>
      </c>
    </row>
    <row r="2177" spans="1:5">
      <c r="A2177" s="284">
        <f t="shared" si="1024"/>
        <v>2109</v>
      </c>
      <c r="B2177" s="285">
        <v>-7.6642273586839824E-2</v>
      </c>
      <c r="C2177" s="285">
        <v>2.6441778851169895</v>
      </c>
      <c r="D2177" s="285">
        <v>1.8125865320662189</v>
      </c>
      <c r="E2177" s="285">
        <v>-3.0812430422559682</v>
      </c>
    </row>
    <row r="2178" spans="1:5">
      <c r="A2178" s="284">
        <f t="shared" si="1024"/>
        <v>2110</v>
      </c>
      <c r="B2178" s="285">
        <v>-2.3148054600897501</v>
      </c>
      <c r="C2178" s="285">
        <v>2.6654446203359359</v>
      </c>
      <c r="D2178" s="285">
        <v>2.8661842902464958</v>
      </c>
      <c r="E2178" s="285">
        <v>-3.0147905304973843</v>
      </c>
    </row>
    <row r="2179" spans="1:5">
      <c r="A2179" s="284">
        <f t="shared" si="1024"/>
        <v>2111</v>
      </c>
      <c r="B2179" s="285">
        <v>-2.3281344418690995</v>
      </c>
      <c r="C2179" s="285">
        <v>2.3578819876916688</v>
      </c>
      <c r="D2179" s="285">
        <v>0.59326923253391683</v>
      </c>
      <c r="E2179" s="285">
        <v>-3.1957158444011404</v>
      </c>
    </row>
    <row r="2180" spans="1:5">
      <c r="A2180" s="284">
        <f t="shared" si="1024"/>
        <v>2112</v>
      </c>
      <c r="B2180" s="285">
        <v>-2.1288503258903027</v>
      </c>
      <c r="C2180" s="285">
        <v>1.7291906314332679</v>
      </c>
      <c r="D2180" s="285">
        <v>-0.3119262003489589</v>
      </c>
      <c r="E2180" s="285">
        <v>2.2393228052426015</v>
      </c>
    </row>
    <row r="2181" spans="1:5">
      <c r="A2181" s="284">
        <f t="shared" si="1024"/>
        <v>2113</v>
      </c>
      <c r="B2181" s="285">
        <v>0.67480017310720453</v>
      </c>
      <c r="C2181" s="285">
        <v>2.5783449319715648</v>
      </c>
      <c r="D2181" s="285">
        <v>2.4797336549403521</v>
      </c>
      <c r="E2181" s="285">
        <v>-2.4096500034297139</v>
      </c>
    </row>
    <row r="2182" spans="1:5">
      <c r="A2182" s="284">
        <f t="shared" si="1024"/>
        <v>2114</v>
      </c>
      <c r="B2182" s="285">
        <v>-1.1531686646483927</v>
      </c>
      <c r="C2182" s="285">
        <v>3.2277339226367165</v>
      </c>
      <c r="D2182" s="285">
        <v>0.71193374904466178</v>
      </c>
      <c r="E2182" s="285">
        <v>13.905797815573475</v>
      </c>
    </row>
    <row r="2183" spans="1:5">
      <c r="A2183" s="284">
        <f t="shared" ref="A2183:A2246" si="1025">A2182+1</f>
        <v>2115</v>
      </c>
      <c r="B2183" s="285">
        <v>-0.41825474839190718</v>
      </c>
      <c r="C2183" s="285">
        <v>2.0486250088075924</v>
      </c>
      <c r="D2183" s="285">
        <v>1.0065757934343238</v>
      </c>
      <c r="E2183" s="285">
        <v>1.025303219474639</v>
      </c>
    </row>
    <row r="2184" spans="1:5">
      <c r="A2184" s="284">
        <f t="shared" si="1025"/>
        <v>2116</v>
      </c>
      <c r="B2184" s="285">
        <v>-3.1274872482198774</v>
      </c>
      <c r="C2184" s="285">
        <v>2.5724439383343221</v>
      </c>
      <c r="D2184" s="285">
        <v>0.63290881477458583</v>
      </c>
      <c r="E2184" s="285">
        <v>3.2568409808519339</v>
      </c>
    </row>
    <row r="2185" spans="1:5">
      <c r="A2185" s="284">
        <f t="shared" si="1025"/>
        <v>2117</v>
      </c>
      <c r="B2185" s="285">
        <v>2.6199225190019582</v>
      </c>
      <c r="C2185" s="285">
        <v>2.4262187009003107</v>
      </c>
      <c r="D2185" s="285">
        <v>0.19634582505334297</v>
      </c>
      <c r="E2185" s="285">
        <v>-15.188971646256874</v>
      </c>
    </row>
    <row r="2186" spans="1:5">
      <c r="A2186" s="284">
        <f t="shared" si="1025"/>
        <v>2118</v>
      </c>
      <c r="B2186" s="285">
        <v>1.9447016599478661</v>
      </c>
      <c r="C2186" s="285">
        <v>2.131075744366735</v>
      </c>
      <c r="D2186" s="285">
        <v>3.8689382815379099</v>
      </c>
      <c r="E2186" s="285">
        <v>-16.32775947777316</v>
      </c>
    </row>
    <row r="2187" spans="1:5">
      <c r="A2187" s="284">
        <f t="shared" si="1025"/>
        <v>2119</v>
      </c>
      <c r="B2187" s="285">
        <v>-0.49123246422019223</v>
      </c>
      <c r="C2187" s="285">
        <v>2.590448130688892</v>
      </c>
      <c r="D2187" s="285">
        <v>2.7573816596973875</v>
      </c>
      <c r="E2187" s="285">
        <v>-2.8771850677116042</v>
      </c>
    </row>
    <row r="2188" spans="1:5">
      <c r="A2188" s="284">
        <f t="shared" si="1025"/>
        <v>2120</v>
      </c>
      <c r="B2188" s="285">
        <v>0.75030453879325798</v>
      </c>
      <c r="C2188" s="285">
        <v>2.6351990795662701</v>
      </c>
      <c r="D2188" s="285">
        <v>1.8124623222750338</v>
      </c>
      <c r="E2188" s="285">
        <v>-12.170766765732932</v>
      </c>
    </row>
    <row r="2189" spans="1:5">
      <c r="A2189" s="284">
        <f t="shared" si="1025"/>
        <v>2121</v>
      </c>
      <c r="B2189" s="285">
        <v>1.527645481768706</v>
      </c>
      <c r="C2189" s="285">
        <v>3.4810399263780454</v>
      </c>
      <c r="D2189" s="285">
        <v>0.10448968811894144</v>
      </c>
      <c r="E2189" s="285">
        <v>18.839025654995915</v>
      </c>
    </row>
    <row r="2190" spans="1:5">
      <c r="A2190" s="284">
        <f t="shared" si="1025"/>
        <v>2122</v>
      </c>
      <c r="B2190" s="285">
        <v>0.22274913816046446</v>
      </c>
      <c r="C2190" s="285">
        <v>2.6365493259539297</v>
      </c>
      <c r="D2190" s="285">
        <v>1.2500224780467271</v>
      </c>
      <c r="E2190" s="285">
        <v>16.272531329067036</v>
      </c>
    </row>
    <row r="2191" spans="1:5">
      <c r="A2191" s="284">
        <f t="shared" si="1025"/>
        <v>2123</v>
      </c>
      <c r="B2191" s="285">
        <v>2.4445902680177576</v>
      </c>
      <c r="C2191" s="285">
        <v>2.9319366889610068</v>
      </c>
      <c r="D2191" s="285">
        <v>1.898008070377122</v>
      </c>
      <c r="E2191" s="285">
        <v>8.2378086844016831</v>
      </c>
    </row>
    <row r="2192" spans="1:5">
      <c r="A2192" s="284">
        <f t="shared" si="1025"/>
        <v>2124</v>
      </c>
      <c r="B2192" s="285">
        <v>2.651120448325623</v>
      </c>
      <c r="C2192" s="285">
        <v>3.2655150695180444</v>
      </c>
      <c r="D2192" s="285">
        <v>0.11354598728114151</v>
      </c>
      <c r="E2192" s="285">
        <v>3.5046020592647795</v>
      </c>
    </row>
    <row r="2193" spans="1:5">
      <c r="A2193" s="284">
        <f t="shared" si="1025"/>
        <v>2125</v>
      </c>
      <c r="B2193" s="285">
        <v>1.6532157126452449</v>
      </c>
      <c r="C2193" s="285">
        <v>2.0853198175369618</v>
      </c>
      <c r="D2193" s="285">
        <v>2.1088403569087921</v>
      </c>
      <c r="E2193" s="285">
        <v>-29.211330491699965</v>
      </c>
    </row>
    <row r="2194" spans="1:5">
      <c r="A2194" s="284">
        <f t="shared" si="1025"/>
        <v>2126</v>
      </c>
      <c r="B2194" s="285">
        <v>1.2540011263456616</v>
      </c>
      <c r="C2194" s="285">
        <v>2.5004797201494258</v>
      </c>
      <c r="D2194" s="285">
        <v>0.19179677349311897</v>
      </c>
      <c r="E2194" s="285">
        <v>-5.4126303712129662</v>
      </c>
    </row>
    <row r="2195" spans="1:5">
      <c r="A2195" s="284">
        <f t="shared" si="1025"/>
        <v>2127</v>
      </c>
      <c r="B2195" s="285">
        <v>-1.9427123422429562</v>
      </c>
      <c r="C2195" s="285">
        <v>2.6068359353614334</v>
      </c>
      <c r="D2195" s="285">
        <v>0.78296561914539575</v>
      </c>
      <c r="E2195" s="285">
        <v>-0.29550406223667292</v>
      </c>
    </row>
    <row r="2196" spans="1:5">
      <c r="A2196" s="284">
        <f t="shared" si="1025"/>
        <v>2128</v>
      </c>
      <c r="B2196" s="285">
        <v>-4.4880585598515887</v>
      </c>
      <c r="C2196" s="285">
        <v>1.8216786332627646</v>
      </c>
      <c r="D2196" s="285">
        <v>3.1551053427719351</v>
      </c>
      <c r="E2196" s="285">
        <v>-10.769643125346835</v>
      </c>
    </row>
    <row r="2197" spans="1:5">
      <c r="A2197" s="284">
        <f t="shared" si="1025"/>
        <v>2129</v>
      </c>
      <c r="B2197" s="285">
        <v>0.43036913733802645</v>
      </c>
      <c r="C2197" s="285">
        <v>1.9612661182897657</v>
      </c>
      <c r="D2197" s="285">
        <v>3.039854718137462</v>
      </c>
      <c r="E2197" s="285">
        <v>-8.0966279165890231</v>
      </c>
    </row>
    <row r="2198" spans="1:5">
      <c r="A2198" s="284">
        <f t="shared" si="1025"/>
        <v>2130</v>
      </c>
      <c r="B2198" s="285">
        <v>-2.2967146355317007</v>
      </c>
      <c r="C2198" s="285">
        <v>3.1900554168989546</v>
      </c>
      <c r="D2198" s="285">
        <v>-0.24652281908435247</v>
      </c>
      <c r="E2198" s="285">
        <v>5.6942039709039367</v>
      </c>
    </row>
    <row r="2199" spans="1:5">
      <c r="A2199" s="284">
        <f t="shared" si="1025"/>
        <v>2131</v>
      </c>
      <c r="B2199" s="285">
        <v>3.9365258596257959</v>
      </c>
      <c r="C2199" s="285">
        <v>2.8135944211565267</v>
      </c>
      <c r="D2199" s="285">
        <v>2.6657889840528992</v>
      </c>
      <c r="E2199" s="285">
        <v>-1.5944006132571973</v>
      </c>
    </row>
    <row r="2200" spans="1:5">
      <c r="A2200" s="284">
        <f t="shared" si="1025"/>
        <v>2132</v>
      </c>
      <c r="B2200" s="285">
        <v>0.21852131882541184</v>
      </c>
      <c r="C2200" s="285">
        <v>2.435560085264096</v>
      </c>
      <c r="D2200" s="285">
        <v>1.4428230070975334</v>
      </c>
      <c r="E2200" s="285">
        <v>-12.599063333575211</v>
      </c>
    </row>
    <row r="2201" spans="1:5">
      <c r="A2201" s="284">
        <f t="shared" si="1025"/>
        <v>2133</v>
      </c>
      <c r="B2201" s="285">
        <v>-1.2616492964764439</v>
      </c>
      <c r="C2201" s="285">
        <v>2.6860631471090675</v>
      </c>
      <c r="D2201" s="285">
        <v>9.28380667817299E-2</v>
      </c>
      <c r="E2201" s="285">
        <v>-8.2284300436063535</v>
      </c>
    </row>
    <row r="2202" spans="1:5">
      <c r="A2202" s="284">
        <f t="shared" si="1025"/>
        <v>2134</v>
      </c>
      <c r="B2202" s="285">
        <v>-2.5444839235368168</v>
      </c>
      <c r="C2202" s="285">
        <v>2.2635395754382857</v>
      </c>
      <c r="D2202" s="285">
        <v>0.82589482339568576</v>
      </c>
      <c r="E2202" s="285">
        <v>-9.0568719327981526</v>
      </c>
    </row>
    <row r="2203" spans="1:5">
      <c r="A2203" s="284">
        <f t="shared" si="1025"/>
        <v>2135</v>
      </c>
      <c r="B2203" s="285">
        <v>2.0045129648629736</v>
      </c>
      <c r="C2203" s="285">
        <v>2.6386858417968515</v>
      </c>
      <c r="D2203" s="285">
        <v>2.9768747531733326</v>
      </c>
      <c r="E2203" s="285">
        <v>0.87866207610357216</v>
      </c>
    </row>
    <row r="2204" spans="1:5">
      <c r="A2204" s="284">
        <f t="shared" si="1025"/>
        <v>2136</v>
      </c>
      <c r="B2204" s="285">
        <v>-2.151529960800616</v>
      </c>
      <c r="C2204" s="285">
        <v>2.9476051547123481</v>
      </c>
      <c r="D2204" s="285">
        <v>0.41697941113890469</v>
      </c>
      <c r="E2204" s="285">
        <v>9.952624134255398</v>
      </c>
    </row>
    <row r="2205" spans="1:5">
      <c r="A2205" s="284">
        <f t="shared" si="1025"/>
        <v>2137</v>
      </c>
      <c r="B2205" s="285">
        <v>3.3833208315076777</v>
      </c>
      <c r="C2205" s="285">
        <v>2.8941272327188758</v>
      </c>
      <c r="D2205" s="285">
        <v>2.6317728351146954</v>
      </c>
      <c r="E2205" s="285">
        <v>1.7055858659831036</v>
      </c>
    </row>
    <row r="2206" spans="1:5">
      <c r="A2206" s="284">
        <f t="shared" si="1025"/>
        <v>2138</v>
      </c>
      <c r="B2206" s="285">
        <v>0.62207653324802126</v>
      </c>
      <c r="C2206" s="285">
        <v>2.8722738594590531</v>
      </c>
      <c r="D2206" s="285">
        <v>0.2868078170010917</v>
      </c>
      <c r="E2206" s="285">
        <v>-3.5528412808301</v>
      </c>
    </row>
    <row r="2207" spans="1:5">
      <c r="A2207" s="284">
        <f t="shared" si="1025"/>
        <v>2139</v>
      </c>
      <c r="B2207" s="285">
        <v>1.1542460166905457</v>
      </c>
      <c r="C2207" s="285">
        <v>2.1712041129887258</v>
      </c>
      <c r="D2207" s="285">
        <v>3.5017874258764259</v>
      </c>
      <c r="E2207" s="285">
        <v>-10.951317263564643</v>
      </c>
    </row>
    <row r="2208" spans="1:5">
      <c r="A2208" s="284">
        <f t="shared" si="1025"/>
        <v>2140</v>
      </c>
      <c r="B2208" s="285">
        <v>2.8386465726043206</v>
      </c>
      <c r="C2208" s="285">
        <v>2.8711271971929637</v>
      </c>
      <c r="D2208" s="285">
        <v>-0.42814334299253476</v>
      </c>
      <c r="E2208" s="285">
        <v>0.30405864557661655</v>
      </c>
    </row>
    <row r="2209" spans="1:5">
      <c r="A2209" s="284">
        <f t="shared" si="1025"/>
        <v>2141</v>
      </c>
      <c r="B2209" s="285">
        <v>1.1463892260862052</v>
      </c>
      <c r="C2209" s="285">
        <v>2.4180704922303442</v>
      </c>
      <c r="D2209" s="285">
        <v>2.839076518233691</v>
      </c>
      <c r="E2209" s="285">
        <v>-6.5605040786174023</v>
      </c>
    </row>
    <row r="2210" spans="1:5">
      <c r="A2210" s="284">
        <f t="shared" si="1025"/>
        <v>2142</v>
      </c>
      <c r="B2210" s="285">
        <v>9.2748643834930228E-2</v>
      </c>
      <c r="C2210" s="285">
        <v>2.4835380208647071</v>
      </c>
      <c r="D2210" s="285">
        <v>1.3826087860142997</v>
      </c>
      <c r="E2210" s="285">
        <v>-4.4240775729612176</v>
      </c>
    </row>
    <row r="2211" spans="1:5">
      <c r="A2211" s="284">
        <f t="shared" si="1025"/>
        <v>2143</v>
      </c>
      <c r="B2211" s="285">
        <v>-2.1770669925099466</v>
      </c>
      <c r="C2211" s="285">
        <v>3.0882375059367151</v>
      </c>
      <c r="D2211" s="285">
        <v>0.5525587895172448</v>
      </c>
      <c r="E2211" s="285">
        <v>-11.636256740891493</v>
      </c>
    </row>
    <row r="2212" spans="1:5">
      <c r="A2212" s="284">
        <f t="shared" si="1025"/>
        <v>2144</v>
      </c>
      <c r="B2212" s="285">
        <v>0.39484663587846314</v>
      </c>
      <c r="C2212" s="285">
        <v>2.5306960532616336</v>
      </c>
      <c r="D2212" s="285">
        <v>2.2827207211090963</v>
      </c>
      <c r="E2212" s="285">
        <v>-14.17546279929498</v>
      </c>
    </row>
    <row r="2213" spans="1:5">
      <c r="A2213" s="284">
        <f t="shared" si="1025"/>
        <v>2145</v>
      </c>
      <c r="B2213" s="285">
        <v>-2.4852538328220892</v>
      </c>
      <c r="C2213" s="285">
        <v>2.7686084047977344</v>
      </c>
      <c r="D2213" s="285">
        <v>1.3225037842671177</v>
      </c>
      <c r="E2213" s="285">
        <v>-2.0444201705289236</v>
      </c>
    </row>
    <row r="2214" spans="1:5">
      <c r="A2214" s="284">
        <f t="shared" si="1025"/>
        <v>2146</v>
      </c>
      <c r="B2214" s="285">
        <v>1.4893467360211246</v>
      </c>
      <c r="C2214" s="285">
        <v>2.6722271650825338</v>
      </c>
      <c r="D2214" s="285">
        <v>2.9432062369722845</v>
      </c>
      <c r="E2214" s="285">
        <v>-15.147978772588518</v>
      </c>
    </row>
    <row r="2215" spans="1:5">
      <c r="A2215" s="284">
        <f t="shared" si="1025"/>
        <v>2147</v>
      </c>
      <c r="B2215" s="285">
        <v>2.0783671925668741</v>
      </c>
      <c r="C2215" s="285">
        <v>2.7599964800457895</v>
      </c>
      <c r="D2215" s="285">
        <v>1.1615780422150288</v>
      </c>
      <c r="E2215" s="285">
        <v>-2.7568594767895553</v>
      </c>
    </row>
    <row r="2216" spans="1:5">
      <c r="A2216" s="284">
        <f t="shared" si="1025"/>
        <v>2148</v>
      </c>
      <c r="B2216" s="285">
        <v>2.0041485250092382E-3</v>
      </c>
      <c r="C2216" s="285">
        <v>2.9565090185700349</v>
      </c>
      <c r="D2216" s="285">
        <v>1.7895492623434683</v>
      </c>
      <c r="E2216" s="285">
        <v>-7.0842131470171577</v>
      </c>
    </row>
    <row r="2217" spans="1:5">
      <c r="A2217" s="284">
        <f t="shared" si="1025"/>
        <v>2149</v>
      </c>
      <c r="B2217" s="285">
        <v>0.58538272521440449</v>
      </c>
      <c r="C2217" s="285">
        <v>2.5131992405763315</v>
      </c>
      <c r="D2217" s="285">
        <v>-1.1593342235122583</v>
      </c>
      <c r="E2217" s="285">
        <v>-9.282750020547569</v>
      </c>
    </row>
    <row r="2218" spans="1:5">
      <c r="A2218" s="284">
        <f t="shared" si="1025"/>
        <v>2150</v>
      </c>
      <c r="B2218" s="285">
        <v>-2.2411943683634261</v>
      </c>
      <c r="C2218" s="285">
        <v>2.7258176197683106</v>
      </c>
      <c r="D2218" s="285">
        <v>-0.67404949411305082</v>
      </c>
      <c r="E2218" s="285">
        <v>6.7687829773878434</v>
      </c>
    </row>
    <row r="2219" spans="1:5">
      <c r="A2219" s="284">
        <f t="shared" si="1025"/>
        <v>2151</v>
      </c>
      <c r="B2219" s="285">
        <v>-1.4237109113476543</v>
      </c>
      <c r="C2219" s="285">
        <v>1.5317298172685183</v>
      </c>
      <c r="D2219" s="285">
        <v>1.9744385264558928</v>
      </c>
      <c r="E2219" s="285">
        <v>-13.841648957110216</v>
      </c>
    </row>
    <row r="2220" spans="1:5">
      <c r="A2220" s="284">
        <f t="shared" si="1025"/>
        <v>2152</v>
      </c>
      <c r="B2220" s="285">
        <v>-1.0349711981353069</v>
      </c>
      <c r="C2220" s="285">
        <v>1.6282565181870616</v>
      </c>
      <c r="D2220" s="285">
        <v>3.1291666658743722</v>
      </c>
      <c r="E2220" s="285">
        <v>-27.041976169499346</v>
      </c>
    </row>
    <row r="2221" spans="1:5">
      <c r="A2221" s="284">
        <f t="shared" si="1025"/>
        <v>2153</v>
      </c>
      <c r="B2221" s="285">
        <v>2.622467458020203</v>
      </c>
      <c r="C2221" s="285">
        <v>2.8978688367442307</v>
      </c>
      <c r="D2221" s="285">
        <v>2.2698911920708094</v>
      </c>
      <c r="E2221" s="285">
        <v>-5.4782295191509069</v>
      </c>
    </row>
    <row r="2222" spans="1:5">
      <c r="A2222" s="284">
        <f t="shared" si="1025"/>
        <v>2154</v>
      </c>
      <c r="B2222" s="285">
        <v>1.5758067115945864</v>
      </c>
      <c r="C2222" s="285">
        <v>2.3550990523918225</v>
      </c>
      <c r="D2222" s="285">
        <v>2.0023148019488071</v>
      </c>
      <c r="E2222" s="285">
        <v>-11.456033250100884</v>
      </c>
    </row>
    <row r="2223" spans="1:5">
      <c r="A2223" s="284">
        <f t="shared" si="1025"/>
        <v>2155</v>
      </c>
      <c r="B2223" s="285">
        <v>1.3678579682509671</v>
      </c>
      <c r="C2223" s="285">
        <v>2.7204714606985028</v>
      </c>
      <c r="D2223" s="285">
        <v>1.8363067731700657</v>
      </c>
      <c r="E2223" s="285">
        <v>-11.046701443402233</v>
      </c>
    </row>
    <row r="2224" spans="1:5">
      <c r="A2224" s="284">
        <f t="shared" si="1025"/>
        <v>2156</v>
      </c>
      <c r="B2224" s="285">
        <v>2.8805118736461988</v>
      </c>
      <c r="C2224" s="285">
        <v>2.3696992302270603</v>
      </c>
      <c r="D2224" s="285">
        <v>1.0606507980486413</v>
      </c>
      <c r="E2224" s="285">
        <v>-3.5685507687709044</v>
      </c>
    </row>
    <row r="2225" spans="1:5">
      <c r="A2225" s="284">
        <f t="shared" si="1025"/>
        <v>2157</v>
      </c>
      <c r="B2225" s="285">
        <v>-1.8106372032234288</v>
      </c>
      <c r="C2225" s="285">
        <v>2.7120270323294244</v>
      </c>
      <c r="D2225" s="285">
        <v>1.1706908999460386</v>
      </c>
      <c r="E2225" s="285">
        <v>7.7787571784664138</v>
      </c>
    </row>
    <row r="2226" spans="1:5">
      <c r="A2226" s="284">
        <f t="shared" si="1025"/>
        <v>2158</v>
      </c>
      <c r="B2226" s="285">
        <v>-1.7724803701231115</v>
      </c>
      <c r="C2226" s="285">
        <v>2.095963876036012</v>
      </c>
      <c r="D2226" s="285">
        <v>2.0010401943689891</v>
      </c>
      <c r="E2226" s="285">
        <v>-8.6240064256067903</v>
      </c>
    </row>
    <row r="2227" spans="1:5">
      <c r="A2227" s="284">
        <f t="shared" si="1025"/>
        <v>2159</v>
      </c>
      <c r="B2227" s="285">
        <v>1.4912400267632333</v>
      </c>
      <c r="C2227" s="285">
        <v>2.6125219863745097</v>
      </c>
      <c r="D2227" s="285">
        <v>3.1953419912492169</v>
      </c>
      <c r="E2227" s="285">
        <v>-21.117814811878649</v>
      </c>
    </row>
    <row r="2228" spans="1:5">
      <c r="A2228" s="284">
        <f t="shared" si="1025"/>
        <v>2160</v>
      </c>
      <c r="B2228" s="285">
        <v>-0.7546427372893475</v>
      </c>
      <c r="C2228" s="285">
        <v>2.9758369535295679</v>
      </c>
      <c r="D2228" s="285">
        <v>8.7831925469187055E-2</v>
      </c>
      <c r="E2228" s="285">
        <v>-1.6359935129862468</v>
      </c>
    </row>
    <row r="2229" spans="1:5">
      <c r="A2229" s="284">
        <f t="shared" si="1025"/>
        <v>2161</v>
      </c>
      <c r="B2229" s="285">
        <v>0.31180320410369911</v>
      </c>
      <c r="C2229" s="285">
        <v>2.322492682765271</v>
      </c>
      <c r="D2229" s="285">
        <v>1.1711590879064504</v>
      </c>
      <c r="E2229" s="285">
        <v>-14.146195244481945</v>
      </c>
    </row>
    <row r="2230" spans="1:5">
      <c r="A2230" s="284">
        <f t="shared" si="1025"/>
        <v>2162</v>
      </c>
      <c r="B2230" s="285">
        <v>0.80438467244353229</v>
      </c>
      <c r="C2230" s="285">
        <v>3.0875853631046906</v>
      </c>
      <c r="D2230" s="285">
        <v>0.39102291779085618</v>
      </c>
      <c r="E2230" s="285">
        <v>6.840638167226345</v>
      </c>
    </row>
    <row r="2231" spans="1:5">
      <c r="A2231" s="284">
        <f t="shared" si="1025"/>
        <v>2163</v>
      </c>
      <c r="B2231" s="285">
        <v>-0.54775002797120798</v>
      </c>
      <c r="C2231" s="285">
        <v>3.0077150018235295</v>
      </c>
      <c r="D2231" s="285">
        <v>1.0599095554292015</v>
      </c>
      <c r="E2231" s="285">
        <v>8.4527044216595453</v>
      </c>
    </row>
    <row r="2232" spans="1:5">
      <c r="A2232" s="284">
        <f t="shared" si="1025"/>
        <v>2164</v>
      </c>
      <c r="B2232" s="285">
        <v>2.0769900444884746</v>
      </c>
      <c r="C2232" s="285">
        <v>2.7428547382381683</v>
      </c>
      <c r="D2232" s="285">
        <v>3.7031631331708783</v>
      </c>
      <c r="E2232" s="285">
        <v>-5.8267555227458079</v>
      </c>
    </row>
    <row r="2233" spans="1:5">
      <c r="A2233" s="284">
        <f t="shared" si="1025"/>
        <v>2165</v>
      </c>
      <c r="B2233" s="285">
        <v>-1.0041996115939626</v>
      </c>
      <c r="C2233" s="285">
        <v>2.1212134123744169</v>
      </c>
      <c r="D2233" s="285">
        <v>2.7270017362004082</v>
      </c>
      <c r="E2233" s="285">
        <v>-8.8552117255910936</v>
      </c>
    </row>
    <row r="2234" spans="1:5">
      <c r="A2234" s="284">
        <f t="shared" si="1025"/>
        <v>2166</v>
      </c>
      <c r="B2234" s="285">
        <v>0.14489261115009472</v>
      </c>
      <c r="C2234" s="285">
        <v>2.4942135514606565</v>
      </c>
      <c r="D2234" s="285">
        <v>3.5093285839541077</v>
      </c>
      <c r="E2234" s="285">
        <v>-2.2310193335332187</v>
      </c>
    </row>
    <row r="2235" spans="1:5">
      <c r="A2235" s="284">
        <f t="shared" si="1025"/>
        <v>2167</v>
      </c>
      <c r="B2235" s="285">
        <v>0.29131178370741079</v>
      </c>
      <c r="C2235" s="285">
        <v>3.3928874582181834</v>
      </c>
      <c r="D2235" s="285">
        <v>-0.18881286208073611</v>
      </c>
      <c r="E2235" s="285">
        <v>13.107659492369457</v>
      </c>
    </row>
    <row r="2236" spans="1:5">
      <c r="A2236" s="284">
        <f t="shared" si="1025"/>
        <v>2168</v>
      </c>
      <c r="B2236" s="285">
        <v>-0.38631166785534393</v>
      </c>
      <c r="C2236" s="285">
        <v>2.413829281184519</v>
      </c>
      <c r="D2236" s="285">
        <v>2.0795012302093046</v>
      </c>
      <c r="E2236" s="285">
        <v>-9.1757046952127972</v>
      </c>
    </row>
    <row r="2237" spans="1:5">
      <c r="A2237" s="284">
        <f t="shared" si="1025"/>
        <v>2169</v>
      </c>
      <c r="B2237" s="285">
        <v>-9.5191832644486265</v>
      </c>
      <c r="C2237" s="285">
        <v>2.3145993642307361</v>
      </c>
      <c r="D2237" s="285">
        <v>-0.29983180950034605</v>
      </c>
      <c r="E2237" s="285">
        <v>8.6480012334242371</v>
      </c>
    </row>
    <row r="2238" spans="1:5">
      <c r="A2238" s="284">
        <f t="shared" si="1025"/>
        <v>2170</v>
      </c>
      <c r="B2238" s="285">
        <v>-0.44958080942439055</v>
      </c>
      <c r="C2238" s="285">
        <v>2.795304914036413</v>
      </c>
      <c r="D2238" s="285">
        <v>1.7830445123981646</v>
      </c>
      <c r="E2238" s="285">
        <v>-4.3643281525770306</v>
      </c>
    </row>
    <row r="2239" spans="1:5">
      <c r="A2239" s="284">
        <f t="shared" si="1025"/>
        <v>2171</v>
      </c>
      <c r="B2239" s="285">
        <v>-1.4898074197345861</v>
      </c>
      <c r="C2239" s="285">
        <v>2.7104701748622508</v>
      </c>
      <c r="D2239" s="285">
        <v>1.6681324886150859</v>
      </c>
      <c r="E2239" s="285">
        <v>-4.2553488511358868</v>
      </c>
    </row>
    <row r="2240" spans="1:5">
      <c r="A2240" s="284">
        <f t="shared" si="1025"/>
        <v>2172</v>
      </c>
      <c r="B2240" s="285">
        <v>-3.1458393785825334</v>
      </c>
      <c r="C2240" s="285">
        <v>2.6413847030979833</v>
      </c>
      <c r="D2240" s="285">
        <v>-0.16254795418317625</v>
      </c>
      <c r="E2240" s="285">
        <v>16.043786258909496</v>
      </c>
    </row>
    <row r="2241" spans="1:5">
      <c r="A2241" s="284">
        <f t="shared" si="1025"/>
        <v>2173</v>
      </c>
      <c r="B2241" s="285">
        <v>3.3129643989147102</v>
      </c>
      <c r="C2241" s="285">
        <v>3.2256291427670085</v>
      </c>
      <c r="D2241" s="285">
        <v>-1.0383743634854676</v>
      </c>
      <c r="E2241" s="285">
        <v>5.8938167106612429</v>
      </c>
    </row>
    <row r="2242" spans="1:5">
      <c r="A2242" s="284">
        <f t="shared" si="1025"/>
        <v>2174</v>
      </c>
      <c r="B2242" s="285">
        <v>-1.9987299554645694</v>
      </c>
      <c r="C2242" s="285">
        <v>2.2152758326638597</v>
      </c>
      <c r="D2242" s="285">
        <v>1.2960991815155039</v>
      </c>
      <c r="E2242" s="285">
        <v>-9.8854177619158285</v>
      </c>
    </row>
    <row r="2243" spans="1:5">
      <c r="A2243" s="284">
        <f t="shared" si="1025"/>
        <v>2175</v>
      </c>
      <c r="B2243" s="285">
        <v>-3.4998093705608615</v>
      </c>
      <c r="C2243" s="285">
        <v>2.0203020413437862</v>
      </c>
      <c r="D2243" s="285">
        <v>0.42578869759950611</v>
      </c>
      <c r="E2243" s="285">
        <v>-9.9147134964167645</v>
      </c>
    </row>
    <row r="2244" spans="1:5">
      <c r="A2244" s="284">
        <f t="shared" si="1025"/>
        <v>2176</v>
      </c>
      <c r="B2244" s="285">
        <v>-0.12522260839715998</v>
      </c>
      <c r="C2244" s="285">
        <v>1.9660666499235941</v>
      </c>
      <c r="D2244" s="285">
        <v>2.8120932624575512</v>
      </c>
      <c r="E2244" s="285">
        <v>-14.669573385606794</v>
      </c>
    </row>
    <row r="2245" spans="1:5">
      <c r="A2245" s="284">
        <f t="shared" si="1025"/>
        <v>2177</v>
      </c>
      <c r="B2245" s="285">
        <v>2.1719515487567351</v>
      </c>
      <c r="C2245" s="285">
        <v>2.8605346853883251</v>
      </c>
      <c r="D2245" s="285">
        <v>2.1143898730197463</v>
      </c>
      <c r="E2245" s="285">
        <v>-0.41287411190502032</v>
      </c>
    </row>
    <row r="2246" spans="1:5">
      <c r="A2246" s="284">
        <f t="shared" si="1025"/>
        <v>2178</v>
      </c>
      <c r="B2246" s="285">
        <v>-1.7211381841299944</v>
      </c>
      <c r="C2246" s="285">
        <v>2.5945894737661011</v>
      </c>
      <c r="D2246" s="285">
        <v>1.5035895518003932</v>
      </c>
      <c r="E2246" s="285">
        <v>-13.840541601247377</v>
      </c>
    </row>
    <row r="2247" spans="1:5">
      <c r="A2247" s="284">
        <f t="shared" ref="A2247:A2310" si="1026">A2246+1</f>
        <v>2179</v>
      </c>
      <c r="B2247" s="285">
        <v>-1.1130177433209401</v>
      </c>
      <c r="C2247" s="285">
        <v>2.5843125505142841</v>
      </c>
      <c r="D2247" s="285">
        <v>2.1411185713391667</v>
      </c>
      <c r="E2247" s="285">
        <v>-3.6743586792068657</v>
      </c>
    </row>
    <row r="2248" spans="1:5">
      <c r="A2248" s="284">
        <f t="shared" si="1026"/>
        <v>2180</v>
      </c>
      <c r="B2248" s="285">
        <v>-2.5651630635272924</v>
      </c>
      <c r="C2248" s="285">
        <v>2.6928429265957057</v>
      </c>
      <c r="D2248" s="285">
        <v>2.033772227500346</v>
      </c>
      <c r="E2248" s="285">
        <v>2.4704966117477913</v>
      </c>
    </row>
    <row r="2249" spans="1:5">
      <c r="A2249" s="284">
        <f t="shared" si="1026"/>
        <v>2181</v>
      </c>
      <c r="B2249" s="285">
        <v>-1.4237229388734851</v>
      </c>
      <c r="C2249" s="285">
        <v>2.6694154847331868</v>
      </c>
      <c r="D2249" s="285">
        <v>1.0364156217854266</v>
      </c>
      <c r="E2249" s="285">
        <v>7.4225481945858398</v>
      </c>
    </row>
    <row r="2250" spans="1:5">
      <c r="A2250" s="284">
        <f t="shared" si="1026"/>
        <v>2182</v>
      </c>
      <c r="B2250" s="285">
        <v>5.5347141426517084</v>
      </c>
      <c r="C2250" s="285">
        <v>3.2461801618443022</v>
      </c>
      <c r="D2250" s="285">
        <v>2.613173012074673</v>
      </c>
      <c r="E2250" s="285">
        <v>-9.0083383134610155</v>
      </c>
    </row>
    <row r="2251" spans="1:5">
      <c r="A2251" s="284">
        <f t="shared" si="1026"/>
        <v>2183</v>
      </c>
      <c r="B2251" s="285">
        <v>-2.7945141699945721</v>
      </c>
      <c r="C2251" s="285">
        <v>2.1925104604886627</v>
      </c>
      <c r="D2251" s="285">
        <v>-0.19205702800654878</v>
      </c>
      <c r="E2251" s="285">
        <v>-11.400011062822781</v>
      </c>
    </row>
    <row r="2252" spans="1:5">
      <c r="A2252" s="284">
        <f t="shared" si="1026"/>
        <v>2184</v>
      </c>
      <c r="B2252" s="285">
        <v>-2.41039869864546</v>
      </c>
      <c r="C2252" s="285">
        <v>2.6549093291554748</v>
      </c>
      <c r="D2252" s="285">
        <v>2.210112715730272</v>
      </c>
      <c r="E2252" s="285">
        <v>-2.4714816116791782</v>
      </c>
    </row>
    <row r="2253" spans="1:5">
      <c r="A2253" s="284">
        <f t="shared" si="1026"/>
        <v>2185</v>
      </c>
      <c r="B2253" s="285">
        <v>2.9578507245476278</v>
      </c>
      <c r="C2253" s="285">
        <v>2.436048706730253</v>
      </c>
      <c r="D2253" s="285">
        <v>1.3017689225653115</v>
      </c>
      <c r="E2253" s="285">
        <v>-17.608102502895655</v>
      </c>
    </row>
    <row r="2254" spans="1:5">
      <c r="A2254" s="284">
        <f t="shared" si="1026"/>
        <v>2186</v>
      </c>
      <c r="B2254" s="285">
        <v>-2.1957691789855001</v>
      </c>
      <c r="C2254" s="285">
        <v>2.7248967485049405</v>
      </c>
      <c r="D2254" s="285">
        <v>-0.75758237785469351</v>
      </c>
      <c r="E2254" s="285">
        <v>6.1695076974346321</v>
      </c>
    </row>
    <row r="2255" spans="1:5">
      <c r="A2255" s="284">
        <f t="shared" si="1026"/>
        <v>2187</v>
      </c>
      <c r="B2255" s="285">
        <v>3.9152186888650364</v>
      </c>
      <c r="C2255" s="285">
        <v>2.391586103693117</v>
      </c>
      <c r="D2255" s="285">
        <v>2.0010653993375618</v>
      </c>
      <c r="E2255" s="285">
        <v>-2.349566286149956</v>
      </c>
    </row>
    <row r="2256" spans="1:5">
      <c r="A2256" s="284">
        <f t="shared" si="1026"/>
        <v>2188</v>
      </c>
      <c r="B2256" s="285">
        <v>2.8297676269297121</v>
      </c>
      <c r="C2256" s="285">
        <v>3.2149774982739889</v>
      </c>
      <c r="D2256" s="285">
        <v>-2.0694017513394058E-3</v>
      </c>
      <c r="E2256" s="285">
        <v>11.126442597431897</v>
      </c>
    </row>
    <row r="2257" spans="1:5">
      <c r="A2257" s="284">
        <f t="shared" si="1026"/>
        <v>2189</v>
      </c>
      <c r="B2257" s="285">
        <v>-4.4709626209683719</v>
      </c>
      <c r="C2257" s="285">
        <v>2.2047173478277129</v>
      </c>
      <c r="D2257" s="285">
        <v>1.7955683658868427</v>
      </c>
      <c r="E2257" s="285">
        <v>-5.5017076867846555</v>
      </c>
    </row>
    <row r="2258" spans="1:5">
      <c r="A2258" s="284">
        <f t="shared" si="1026"/>
        <v>2190</v>
      </c>
      <c r="B2258" s="285">
        <v>-2.9160380405227735</v>
      </c>
      <c r="C2258" s="285">
        <v>1.6323004971234003</v>
      </c>
      <c r="D2258" s="285">
        <v>0.52019750406742338</v>
      </c>
      <c r="E2258" s="285">
        <v>-10.132612791998911</v>
      </c>
    </row>
    <row r="2259" spans="1:5">
      <c r="A2259" s="284">
        <f t="shared" si="1026"/>
        <v>2191</v>
      </c>
      <c r="B2259" s="285">
        <v>-4.5897700934634873</v>
      </c>
      <c r="C2259" s="285">
        <v>1.5390526005058012</v>
      </c>
      <c r="D2259" s="285">
        <v>1.8552715322956126</v>
      </c>
      <c r="E2259" s="285">
        <v>-20.938522677644869</v>
      </c>
    </row>
    <row r="2260" spans="1:5">
      <c r="A2260" s="284">
        <f t="shared" si="1026"/>
        <v>2192</v>
      </c>
      <c r="B2260" s="285">
        <v>-2.8300858583083115</v>
      </c>
      <c r="C2260" s="285">
        <v>1.872326704770751</v>
      </c>
      <c r="D2260" s="285">
        <v>1.5618905495790343</v>
      </c>
      <c r="E2260" s="285">
        <v>-5.7039686325345151</v>
      </c>
    </row>
    <row r="2261" spans="1:5">
      <c r="A2261" s="284">
        <f t="shared" si="1026"/>
        <v>2193</v>
      </c>
      <c r="B2261" s="285">
        <v>-1.4180868804349918</v>
      </c>
      <c r="C2261" s="285">
        <v>1.7657087229460939</v>
      </c>
      <c r="D2261" s="285">
        <v>0.74375403572376764</v>
      </c>
      <c r="E2261" s="285">
        <v>-23.733373018365388</v>
      </c>
    </row>
    <row r="2262" spans="1:5">
      <c r="A2262" s="284">
        <f t="shared" si="1026"/>
        <v>2194</v>
      </c>
      <c r="B2262" s="285">
        <v>4.5872179021940761E-2</v>
      </c>
      <c r="C2262" s="285">
        <v>1.8985991269772562</v>
      </c>
      <c r="D2262" s="285">
        <v>1.2866940247670262</v>
      </c>
      <c r="E2262" s="285">
        <v>-25.378208229540473</v>
      </c>
    </row>
    <row r="2263" spans="1:5">
      <c r="A2263" s="284">
        <f t="shared" si="1026"/>
        <v>2195</v>
      </c>
      <c r="B2263" s="285">
        <v>-3.6000825601701782</v>
      </c>
      <c r="C2263" s="285">
        <v>1.7245424035890771</v>
      </c>
      <c r="D2263" s="285">
        <v>2.3334199051190065</v>
      </c>
      <c r="E2263" s="285">
        <v>-16.443256048960791</v>
      </c>
    </row>
    <row r="2264" spans="1:5">
      <c r="A2264" s="284">
        <f t="shared" si="1026"/>
        <v>2196</v>
      </c>
      <c r="B2264" s="285">
        <v>5.2936644975858434E-2</v>
      </c>
      <c r="C2264" s="285">
        <v>2.8046113933198904</v>
      </c>
      <c r="D2264" s="285">
        <v>0.59498552308470742</v>
      </c>
      <c r="E2264" s="285">
        <v>8.3028691017837204</v>
      </c>
    </row>
    <row r="2265" spans="1:5">
      <c r="A2265" s="284">
        <f t="shared" si="1026"/>
        <v>2197</v>
      </c>
      <c r="B2265" s="285">
        <v>-1.4398311148446177</v>
      </c>
      <c r="C2265" s="285">
        <v>1.7895915631304153</v>
      </c>
      <c r="D2265" s="285">
        <v>1.7512472168185589</v>
      </c>
      <c r="E2265" s="285">
        <v>-15.453621191568786</v>
      </c>
    </row>
    <row r="2266" spans="1:5">
      <c r="A2266" s="284">
        <f t="shared" si="1026"/>
        <v>2198</v>
      </c>
      <c r="B2266" s="285">
        <v>3.3241705438885507</v>
      </c>
      <c r="C2266" s="285">
        <v>2.378272483297045</v>
      </c>
      <c r="D2266" s="285">
        <v>3.4092724582797205</v>
      </c>
      <c r="E2266" s="285">
        <v>-4.2082509514191333</v>
      </c>
    </row>
    <row r="2267" spans="1:5">
      <c r="A2267" s="284">
        <f t="shared" si="1026"/>
        <v>2199</v>
      </c>
      <c r="B2267" s="285">
        <v>-2.1801204168961443</v>
      </c>
      <c r="C2267" s="285">
        <v>2.2512617327985258</v>
      </c>
      <c r="D2267" s="285">
        <v>-0.24689286926104015</v>
      </c>
      <c r="E2267" s="285">
        <v>-1.8259741225900319</v>
      </c>
    </row>
    <row r="2268" spans="1:5">
      <c r="A2268" s="284">
        <f t="shared" si="1026"/>
        <v>2200</v>
      </c>
      <c r="B2268" s="285">
        <v>5.1915291680332603</v>
      </c>
      <c r="C2268" s="285">
        <v>2.5630709903165809</v>
      </c>
      <c r="D2268" s="285">
        <v>4.5028084648602729</v>
      </c>
      <c r="E2268" s="285">
        <v>-17.657989336347033</v>
      </c>
    </row>
    <row r="2269" spans="1:5">
      <c r="A2269" s="284">
        <f t="shared" si="1026"/>
        <v>2201</v>
      </c>
      <c r="B2269" s="285">
        <v>1.5807536002701634</v>
      </c>
      <c r="C2269" s="285">
        <v>2.3788699728082872</v>
      </c>
      <c r="D2269" s="285">
        <v>1.9115983355222816</v>
      </c>
      <c r="E2269" s="285">
        <v>-17.280307727492328</v>
      </c>
    </row>
    <row r="2270" spans="1:5">
      <c r="A2270" s="284">
        <f t="shared" si="1026"/>
        <v>2202</v>
      </c>
      <c r="B2270" s="285">
        <v>-0.38042439777517145</v>
      </c>
      <c r="C2270" s="285">
        <v>2.6128287343335095</v>
      </c>
      <c r="D2270" s="285">
        <v>0.31860075757843276</v>
      </c>
      <c r="E2270" s="285">
        <v>1.4283617247774747</v>
      </c>
    </row>
    <row r="2271" spans="1:5">
      <c r="A2271" s="284">
        <f t="shared" si="1026"/>
        <v>2203</v>
      </c>
      <c r="B2271" s="285">
        <v>1.2094561285221279</v>
      </c>
      <c r="C2271" s="285">
        <v>3.5594650956976537</v>
      </c>
      <c r="D2271" s="285">
        <v>-0.22964329158943553</v>
      </c>
      <c r="E2271" s="285">
        <v>13.172077894618525</v>
      </c>
    </row>
    <row r="2272" spans="1:5">
      <c r="A2272" s="284">
        <f t="shared" si="1026"/>
        <v>2204</v>
      </c>
      <c r="B2272" s="285">
        <v>0.20506899533193773</v>
      </c>
      <c r="C2272" s="285">
        <v>2.206676119863086</v>
      </c>
      <c r="D2272" s="285">
        <v>4.0187867823565639</v>
      </c>
      <c r="E2272" s="285">
        <v>-6.8955294187414413</v>
      </c>
    </row>
    <row r="2273" spans="1:5">
      <c r="A2273" s="284">
        <f t="shared" si="1026"/>
        <v>2205</v>
      </c>
      <c r="B2273" s="285">
        <v>-1.1734136538910058</v>
      </c>
      <c r="C2273" s="285">
        <v>2.8595038673623616</v>
      </c>
      <c r="D2273" s="285">
        <v>-8.5831883103685724E-2</v>
      </c>
      <c r="E2273" s="285">
        <v>-5.6035192320677307</v>
      </c>
    </row>
    <row r="2274" spans="1:5">
      <c r="A2274" s="284">
        <f t="shared" si="1026"/>
        <v>2206</v>
      </c>
      <c r="B2274" s="285">
        <v>0.56120294547269789</v>
      </c>
      <c r="C2274" s="285">
        <v>2.7003180956392159</v>
      </c>
      <c r="D2274" s="285">
        <v>0.35696245548553818</v>
      </c>
      <c r="E2274" s="285">
        <v>1.6993922218362072</v>
      </c>
    </row>
    <row r="2275" spans="1:5">
      <c r="A2275" s="284">
        <f t="shared" si="1026"/>
        <v>2207</v>
      </c>
      <c r="B2275" s="285">
        <v>2.2344330752755099</v>
      </c>
      <c r="C2275" s="285">
        <v>2.6408240608053211</v>
      </c>
      <c r="D2275" s="285">
        <v>1.3611877836125148</v>
      </c>
      <c r="E2275" s="285">
        <v>-5.2973597677274569</v>
      </c>
    </row>
    <row r="2276" spans="1:5">
      <c r="A2276" s="284">
        <f t="shared" si="1026"/>
        <v>2208</v>
      </c>
      <c r="B2276" s="285">
        <v>2.0341662939310634</v>
      </c>
      <c r="C2276" s="285">
        <v>3.6669571588598169</v>
      </c>
      <c r="D2276" s="285">
        <v>3.3422462338670877</v>
      </c>
      <c r="E2276" s="285">
        <v>6.752528514478092</v>
      </c>
    </row>
    <row r="2277" spans="1:5">
      <c r="A2277" s="284">
        <f t="shared" si="1026"/>
        <v>2209</v>
      </c>
      <c r="B2277" s="285">
        <v>0.86063917100370191</v>
      </c>
      <c r="C2277" s="285">
        <v>3.1987855604629134</v>
      </c>
      <c r="D2277" s="285">
        <v>0.89683026289100654</v>
      </c>
      <c r="E2277" s="285">
        <v>5.4745510822657462</v>
      </c>
    </row>
    <row r="2278" spans="1:5">
      <c r="A2278" s="284">
        <f t="shared" si="1026"/>
        <v>2210</v>
      </c>
      <c r="B2278" s="285">
        <v>5.371554025045314</v>
      </c>
      <c r="C2278" s="285">
        <v>3.520426171461378</v>
      </c>
      <c r="D2278" s="285">
        <v>-0.17943707802697251</v>
      </c>
      <c r="E2278" s="285">
        <v>-1.7793190708680551</v>
      </c>
    </row>
    <row r="2279" spans="1:5">
      <c r="A2279" s="284">
        <f t="shared" si="1026"/>
        <v>2211</v>
      </c>
      <c r="B2279" s="285">
        <v>1.500092068876052</v>
      </c>
      <c r="C2279" s="285">
        <v>2.8726021615223041</v>
      </c>
      <c r="D2279" s="285">
        <v>-0.24866599350292651</v>
      </c>
      <c r="E2279" s="285">
        <v>6.3358849618028685</v>
      </c>
    </row>
    <row r="2280" spans="1:5">
      <c r="A2280" s="284">
        <f t="shared" si="1026"/>
        <v>2212</v>
      </c>
      <c r="B2280" s="285">
        <v>-4.8901974432943422</v>
      </c>
      <c r="C2280" s="285">
        <v>2.045459128716848</v>
      </c>
      <c r="D2280" s="285">
        <v>5.8750596441391245E-2</v>
      </c>
      <c r="E2280" s="285">
        <v>-12.841693392386317</v>
      </c>
    </row>
    <row r="2281" spans="1:5">
      <c r="A2281" s="284">
        <f t="shared" si="1026"/>
        <v>2213</v>
      </c>
      <c r="B2281" s="285">
        <v>2.4535199954443372</v>
      </c>
      <c r="C2281" s="285">
        <v>2.6880633090514801</v>
      </c>
      <c r="D2281" s="285">
        <v>2.6473196300829809</v>
      </c>
      <c r="E2281" s="285">
        <v>-5.5598380738613802</v>
      </c>
    </row>
    <row r="2282" spans="1:5">
      <c r="A2282" s="284">
        <f t="shared" si="1026"/>
        <v>2214</v>
      </c>
      <c r="B2282" s="285">
        <v>-3.621586091458119</v>
      </c>
      <c r="C2282" s="285">
        <v>2.136849098712942</v>
      </c>
      <c r="D2282" s="285">
        <v>1.2630627268470096</v>
      </c>
      <c r="E2282" s="285">
        <v>-6.293873608784752</v>
      </c>
    </row>
    <row r="2283" spans="1:5">
      <c r="A2283" s="284">
        <f t="shared" si="1026"/>
        <v>2215</v>
      </c>
      <c r="B2283" s="285">
        <v>1.1243786452225213</v>
      </c>
      <c r="C2283" s="285">
        <v>2.1139757700081265</v>
      </c>
      <c r="D2283" s="285">
        <v>1.549558711508894</v>
      </c>
      <c r="E2283" s="285">
        <v>-14.032368866113419</v>
      </c>
    </row>
    <row r="2284" spans="1:5">
      <c r="A2284" s="284">
        <f t="shared" si="1026"/>
        <v>2216</v>
      </c>
      <c r="B2284" s="285">
        <v>-2.1777645168300808</v>
      </c>
      <c r="C2284" s="285">
        <v>2.5650531471731446</v>
      </c>
      <c r="D2284" s="285">
        <v>-1.1906293879404117E-2</v>
      </c>
      <c r="E2284" s="285">
        <v>1.4173256262646805</v>
      </c>
    </row>
    <row r="2285" spans="1:5">
      <c r="A2285" s="284">
        <f t="shared" si="1026"/>
        <v>2217</v>
      </c>
      <c r="B2285" s="285">
        <v>0.51097031507805291</v>
      </c>
      <c r="C2285" s="285">
        <v>3.0394408672435067</v>
      </c>
      <c r="D2285" s="285">
        <v>-0.41323722237358185</v>
      </c>
      <c r="E2285" s="285">
        <v>11.918351606080794</v>
      </c>
    </row>
    <row r="2286" spans="1:5">
      <c r="A2286" s="284">
        <f t="shared" si="1026"/>
        <v>2218</v>
      </c>
      <c r="B2286" s="285">
        <v>-0.76874219609492034</v>
      </c>
      <c r="C2286" s="285">
        <v>2.9491985807281194</v>
      </c>
      <c r="D2286" s="285">
        <v>0.47572615628759896</v>
      </c>
      <c r="E2286" s="285">
        <v>10.860902665131407</v>
      </c>
    </row>
    <row r="2287" spans="1:5">
      <c r="A2287" s="284">
        <f t="shared" si="1026"/>
        <v>2219</v>
      </c>
      <c r="B2287" s="285">
        <v>-0.68424971804324286</v>
      </c>
      <c r="C2287" s="285">
        <v>2.5867989260768591</v>
      </c>
      <c r="D2287" s="285">
        <v>-1.9138322040997244</v>
      </c>
      <c r="E2287" s="285">
        <v>5.3060522387928124</v>
      </c>
    </row>
    <row r="2288" spans="1:5">
      <c r="A2288" s="284">
        <f t="shared" si="1026"/>
        <v>2220</v>
      </c>
      <c r="B2288" s="285">
        <v>-0.23773884247405744</v>
      </c>
      <c r="C2288" s="285">
        <v>1.812004755646051</v>
      </c>
      <c r="D2288" s="285">
        <v>2.2995515415818453</v>
      </c>
      <c r="E2288" s="285">
        <v>-6.0551858799589553</v>
      </c>
    </row>
    <row r="2289" spans="1:5">
      <c r="A2289" s="284">
        <f t="shared" si="1026"/>
        <v>2221</v>
      </c>
      <c r="B2289" s="285">
        <v>-0.31930029751790945</v>
      </c>
      <c r="C2289" s="285">
        <v>3.2146700409714186</v>
      </c>
      <c r="D2289" s="285">
        <v>0.47743294296065675</v>
      </c>
      <c r="E2289" s="285">
        <v>7.7438680635370911</v>
      </c>
    </row>
    <row r="2290" spans="1:5">
      <c r="A2290" s="284">
        <f t="shared" si="1026"/>
        <v>2222</v>
      </c>
      <c r="B2290" s="285">
        <v>-2.819416954957064</v>
      </c>
      <c r="C2290" s="285">
        <v>1.6540831282793516</v>
      </c>
      <c r="D2290" s="285">
        <v>2.0325431596135974</v>
      </c>
      <c r="E2290" s="285">
        <v>-11.724431263371144</v>
      </c>
    </row>
    <row r="2291" spans="1:5">
      <c r="A2291" s="284">
        <f t="shared" si="1026"/>
        <v>2223</v>
      </c>
      <c r="B2291" s="285">
        <v>0.12745770683573221</v>
      </c>
      <c r="C2291" s="285">
        <v>2.3979212624922717</v>
      </c>
      <c r="D2291" s="285">
        <v>1.0652221987832091</v>
      </c>
      <c r="E2291" s="285">
        <v>-8.480314806180413</v>
      </c>
    </row>
    <row r="2292" spans="1:5">
      <c r="A2292" s="284">
        <f t="shared" si="1026"/>
        <v>2224</v>
      </c>
      <c r="B2292" s="285">
        <v>4.1939505814533096</v>
      </c>
      <c r="C2292" s="285">
        <v>3.6393108438804798</v>
      </c>
      <c r="D2292" s="285">
        <v>0.88208636724725731</v>
      </c>
      <c r="E2292" s="285">
        <v>17.615073743748425</v>
      </c>
    </row>
    <row r="2293" spans="1:5">
      <c r="A2293" s="284">
        <f t="shared" si="1026"/>
        <v>2225</v>
      </c>
      <c r="B2293" s="285">
        <v>-4.1068708596015453</v>
      </c>
      <c r="C2293" s="285">
        <v>2.244621840866567</v>
      </c>
      <c r="D2293" s="285">
        <v>2.065235671167768</v>
      </c>
      <c r="E2293" s="285">
        <v>-14.295057729698851</v>
      </c>
    </row>
    <row r="2294" spans="1:5">
      <c r="A2294" s="284">
        <f t="shared" si="1026"/>
        <v>2226</v>
      </c>
      <c r="B2294" s="285">
        <v>0.71985570221061723</v>
      </c>
      <c r="C2294" s="285">
        <v>3.421082333177623</v>
      </c>
      <c r="D2294" s="285">
        <v>0.60383067553460368</v>
      </c>
      <c r="E2294" s="285">
        <v>13.647520753434161</v>
      </c>
    </row>
    <row r="2295" spans="1:5">
      <c r="A2295" s="284">
        <f t="shared" si="1026"/>
        <v>2227</v>
      </c>
      <c r="B2295" s="285">
        <v>1.8291390424491627</v>
      </c>
      <c r="C2295" s="285">
        <v>2.2744162518044058</v>
      </c>
      <c r="D2295" s="285">
        <v>2.4448607664691209</v>
      </c>
      <c r="E2295" s="285">
        <v>-19.189252662395742</v>
      </c>
    </row>
    <row r="2296" spans="1:5">
      <c r="A2296" s="284">
        <f t="shared" si="1026"/>
        <v>2228</v>
      </c>
      <c r="B2296" s="285">
        <v>2.6191010580727565</v>
      </c>
      <c r="C2296" s="285">
        <v>2.921056253254573</v>
      </c>
      <c r="D2296" s="285">
        <v>1.7254902976334239</v>
      </c>
      <c r="E2296" s="285">
        <v>-2.2108066175252925</v>
      </c>
    </row>
    <row r="2297" spans="1:5">
      <c r="A2297" s="284">
        <f t="shared" si="1026"/>
        <v>2229</v>
      </c>
      <c r="B2297" s="285">
        <v>-9.1339964157733849E-2</v>
      </c>
      <c r="C2297" s="285">
        <v>2.1220971643916373</v>
      </c>
      <c r="D2297" s="285">
        <v>-0.10608787262728181</v>
      </c>
      <c r="E2297" s="285">
        <v>-9.5392019264822121</v>
      </c>
    </row>
    <row r="2298" spans="1:5">
      <c r="A2298" s="284">
        <f t="shared" si="1026"/>
        <v>2230</v>
      </c>
      <c r="B2298" s="285">
        <v>2.2016850751930406</v>
      </c>
      <c r="C2298" s="285">
        <v>1.9859198969436023</v>
      </c>
      <c r="D2298" s="285">
        <v>1.3378977157075145</v>
      </c>
      <c r="E2298" s="285">
        <v>-8.0236118842065043</v>
      </c>
    </row>
    <row r="2299" spans="1:5">
      <c r="A2299" s="284">
        <f t="shared" si="1026"/>
        <v>2231</v>
      </c>
      <c r="B2299" s="285">
        <v>-2.5111847011953858</v>
      </c>
      <c r="C2299" s="285">
        <v>2.0805696492707684</v>
      </c>
      <c r="D2299" s="285">
        <v>-0.5777537107896118</v>
      </c>
      <c r="E2299" s="285">
        <v>-15.874042584699538</v>
      </c>
    </row>
    <row r="2300" spans="1:5">
      <c r="A2300" s="284">
        <f t="shared" si="1026"/>
        <v>2232</v>
      </c>
      <c r="B2300" s="285">
        <v>1.4879103148693515</v>
      </c>
      <c r="C2300" s="285">
        <v>1.9448545928038778</v>
      </c>
      <c r="D2300" s="285">
        <v>1.7938883828978671</v>
      </c>
      <c r="E2300" s="285">
        <v>-10.897287822361406</v>
      </c>
    </row>
    <row r="2301" spans="1:5">
      <c r="A2301" s="284">
        <f t="shared" si="1026"/>
        <v>2233</v>
      </c>
      <c r="B2301" s="285">
        <v>-0.33004734417734921</v>
      </c>
      <c r="C2301" s="285">
        <v>2.6913976793919372</v>
      </c>
      <c r="D2301" s="285">
        <v>2.0710849809153382</v>
      </c>
      <c r="E2301" s="285">
        <v>-3.1984317377908811</v>
      </c>
    </row>
    <row r="2302" spans="1:5">
      <c r="A2302" s="284">
        <f t="shared" si="1026"/>
        <v>2234</v>
      </c>
      <c r="B2302" s="285">
        <v>2.261424277931861</v>
      </c>
      <c r="C2302" s="285">
        <v>2.5237905575934527</v>
      </c>
      <c r="D2302" s="285">
        <v>0.64270871398200469</v>
      </c>
      <c r="E2302" s="285">
        <v>-4.8847454932288459</v>
      </c>
    </row>
    <row r="2303" spans="1:5">
      <c r="A2303" s="284">
        <f t="shared" si="1026"/>
        <v>2235</v>
      </c>
      <c r="B2303" s="285">
        <v>2.7849035498333938</v>
      </c>
      <c r="C2303" s="285">
        <v>2.3433460486000071</v>
      </c>
      <c r="D2303" s="285">
        <v>2.4548642104355487</v>
      </c>
      <c r="E2303" s="285">
        <v>-5.5413085642832751</v>
      </c>
    </row>
    <row r="2304" spans="1:5">
      <c r="A2304" s="284">
        <f t="shared" si="1026"/>
        <v>2236</v>
      </c>
      <c r="B2304" s="285">
        <v>3.3716242686452618</v>
      </c>
      <c r="C2304" s="285">
        <v>2.953733452215042</v>
      </c>
      <c r="D2304" s="285">
        <v>0.39084539268413254</v>
      </c>
      <c r="E2304" s="285">
        <v>-1.1505230351617808</v>
      </c>
    </row>
    <row r="2305" spans="1:5">
      <c r="A2305" s="284">
        <f t="shared" si="1026"/>
        <v>2237</v>
      </c>
      <c r="B2305" s="285">
        <v>-1.9342913612361676</v>
      </c>
      <c r="C2305" s="285">
        <v>2.4912965666716076</v>
      </c>
      <c r="D2305" s="285">
        <v>0.2340057885441762</v>
      </c>
      <c r="E2305" s="285">
        <v>5.8796545592032032</v>
      </c>
    </row>
    <row r="2306" spans="1:5">
      <c r="A2306" s="284">
        <f t="shared" si="1026"/>
        <v>2238</v>
      </c>
      <c r="B2306" s="285">
        <v>-0.96790074646648938</v>
      </c>
      <c r="C2306" s="285">
        <v>2.4548642667726104</v>
      </c>
      <c r="D2306" s="285">
        <v>0.99815846150230414</v>
      </c>
      <c r="E2306" s="285">
        <v>15.262315930613045</v>
      </c>
    </row>
    <row r="2307" spans="1:5">
      <c r="A2307" s="284">
        <f t="shared" si="1026"/>
        <v>2239</v>
      </c>
      <c r="B2307" s="285">
        <v>0.63060071179946087</v>
      </c>
      <c r="C2307" s="285">
        <v>3.5333965457400405</v>
      </c>
      <c r="D2307" s="285">
        <v>1.4756697373634089</v>
      </c>
      <c r="E2307" s="285">
        <v>1.0279308299624526</v>
      </c>
    </row>
    <row r="2308" spans="1:5">
      <c r="A2308" s="284">
        <f t="shared" si="1026"/>
        <v>2240</v>
      </c>
      <c r="B2308" s="285">
        <v>1.0093165627352008</v>
      </c>
      <c r="C2308" s="285">
        <v>1.9703089383204448</v>
      </c>
      <c r="D2308" s="285">
        <v>0.58028902983514252</v>
      </c>
      <c r="E2308" s="285">
        <v>-7.5042076739336032</v>
      </c>
    </row>
    <row r="2309" spans="1:5">
      <c r="A2309" s="284">
        <f t="shared" si="1026"/>
        <v>2241</v>
      </c>
      <c r="B2309" s="285">
        <v>1.0061626314701331</v>
      </c>
      <c r="C2309" s="285">
        <v>2.0347298043394622</v>
      </c>
      <c r="D2309" s="285">
        <v>1.8645362354865858</v>
      </c>
      <c r="E2309" s="285">
        <v>8.9310441260176621E-2</v>
      </c>
    </row>
    <row r="2310" spans="1:5">
      <c r="A2310" s="284">
        <f t="shared" si="1026"/>
        <v>2242</v>
      </c>
      <c r="B2310" s="285">
        <v>1.3480711492083568</v>
      </c>
      <c r="C2310" s="285">
        <v>2.1300617613274193</v>
      </c>
      <c r="D2310" s="285">
        <v>0.93197087417094238</v>
      </c>
      <c r="E2310" s="285">
        <v>-17.059326942004223</v>
      </c>
    </row>
    <row r="2311" spans="1:5">
      <c r="A2311" s="284">
        <f t="shared" ref="A2311:A2374" si="1027">A2310+1</f>
        <v>2243</v>
      </c>
      <c r="B2311" s="285">
        <v>0.26700546257757202</v>
      </c>
      <c r="C2311" s="285">
        <v>2.0326388276212231</v>
      </c>
      <c r="D2311" s="285">
        <v>1.9616179205208579</v>
      </c>
      <c r="E2311" s="285">
        <v>-13.456506502858833</v>
      </c>
    </row>
    <row r="2312" spans="1:5">
      <c r="A2312" s="284">
        <f t="shared" si="1027"/>
        <v>2244</v>
      </c>
      <c r="B2312" s="285">
        <v>-2.1621325360125212</v>
      </c>
      <c r="C2312" s="285">
        <v>2.5601519452379295</v>
      </c>
      <c r="D2312" s="285">
        <v>1.1870265802995674</v>
      </c>
      <c r="E2312" s="285">
        <v>7.5007723068016414</v>
      </c>
    </row>
    <row r="2313" spans="1:5">
      <c r="A2313" s="284">
        <f t="shared" si="1027"/>
        <v>2245</v>
      </c>
      <c r="B2313" s="285">
        <v>3.6684041407982257</v>
      </c>
      <c r="C2313" s="285">
        <v>2.4739759176085965</v>
      </c>
      <c r="D2313" s="285">
        <v>1.4503243737581661</v>
      </c>
      <c r="E2313" s="285">
        <v>-1.2134744507601503</v>
      </c>
    </row>
    <row r="2314" spans="1:5">
      <c r="A2314" s="284">
        <f t="shared" si="1027"/>
        <v>2246</v>
      </c>
      <c r="B2314" s="285">
        <v>-0.92592557078845195</v>
      </c>
      <c r="C2314" s="285">
        <v>2.6377102963266075</v>
      </c>
      <c r="D2314" s="285">
        <v>1.261969707887316</v>
      </c>
      <c r="E2314" s="285">
        <v>0.14421908598769972</v>
      </c>
    </row>
    <row r="2315" spans="1:5">
      <c r="A2315" s="284">
        <f t="shared" si="1027"/>
        <v>2247</v>
      </c>
      <c r="B2315" s="285">
        <v>-0.74151458660303327</v>
      </c>
      <c r="C2315" s="285">
        <v>1.9367067507864162</v>
      </c>
      <c r="D2315" s="285">
        <v>2.4173978987863398</v>
      </c>
      <c r="E2315" s="285">
        <v>-12.881330229278309</v>
      </c>
    </row>
    <row r="2316" spans="1:5">
      <c r="A2316" s="284">
        <f t="shared" si="1027"/>
        <v>2248</v>
      </c>
      <c r="B2316" s="285">
        <v>-0.64084974685647633</v>
      </c>
      <c r="C2316" s="285">
        <v>2.0284096243855854</v>
      </c>
      <c r="D2316" s="285">
        <v>3.1661847423396519</v>
      </c>
      <c r="E2316" s="285">
        <v>4.8238083417216586</v>
      </c>
    </row>
    <row r="2317" spans="1:5">
      <c r="A2317" s="284">
        <f t="shared" si="1027"/>
        <v>2249</v>
      </c>
      <c r="B2317" s="285">
        <v>-3.1896100621434176</v>
      </c>
      <c r="C2317" s="285">
        <v>2.3683487029464829</v>
      </c>
      <c r="D2317" s="285">
        <v>-0.63190770020303111</v>
      </c>
      <c r="E2317" s="285">
        <v>5.3925879806605526</v>
      </c>
    </row>
    <row r="2318" spans="1:5">
      <c r="A2318" s="284">
        <f t="shared" si="1027"/>
        <v>2250</v>
      </c>
      <c r="B2318" s="285">
        <v>4.0350301177379642</v>
      </c>
      <c r="C2318" s="285">
        <v>2.6012050738838091</v>
      </c>
      <c r="D2318" s="285">
        <v>2.3557737296608359</v>
      </c>
      <c r="E2318" s="285">
        <v>-21.102231104825115</v>
      </c>
    </row>
    <row r="2319" spans="1:5">
      <c r="A2319" s="284">
        <f t="shared" si="1027"/>
        <v>2251</v>
      </c>
      <c r="B2319" s="285">
        <v>-1.769680106186861</v>
      </c>
      <c r="C2319" s="285">
        <v>2.7849110792281024</v>
      </c>
      <c r="D2319" s="285">
        <v>0.23551027719715756</v>
      </c>
      <c r="E2319" s="285">
        <v>-9.414063552001128</v>
      </c>
    </row>
    <row r="2320" spans="1:5">
      <c r="A2320" s="284">
        <f t="shared" si="1027"/>
        <v>2252</v>
      </c>
      <c r="B2320" s="285">
        <v>1.7912451177233055</v>
      </c>
      <c r="C2320" s="285">
        <v>2.4983121081628008</v>
      </c>
      <c r="D2320" s="285">
        <v>1.5717175021300764</v>
      </c>
      <c r="E2320" s="285">
        <v>-19.230623176659172</v>
      </c>
    </row>
    <row r="2321" spans="1:5">
      <c r="A2321" s="284">
        <f t="shared" si="1027"/>
        <v>2253</v>
      </c>
      <c r="B2321" s="285">
        <v>2.1584268105009876</v>
      </c>
      <c r="C2321" s="285">
        <v>2.6358138434401575</v>
      </c>
      <c r="D2321" s="285">
        <v>2.3937808861515339</v>
      </c>
      <c r="E2321" s="285">
        <v>-9.917838207790286E-2</v>
      </c>
    </row>
    <row r="2322" spans="1:5">
      <c r="A2322" s="284">
        <f t="shared" si="1027"/>
        <v>2254</v>
      </c>
      <c r="B2322" s="285">
        <v>3.4340838784901559</v>
      </c>
      <c r="C2322" s="285">
        <v>2.8449658665574957</v>
      </c>
      <c r="D2322" s="285">
        <v>3.6138940327775333</v>
      </c>
      <c r="E2322" s="285">
        <v>-8.0423054626246522</v>
      </c>
    </row>
    <row r="2323" spans="1:5">
      <c r="A2323" s="284">
        <f t="shared" si="1027"/>
        <v>2255</v>
      </c>
      <c r="B2323" s="285">
        <v>-1.7146307738878941</v>
      </c>
      <c r="C2323" s="285">
        <v>2.734789696638972</v>
      </c>
      <c r="D2323" s="285">
        <v>0.60288121319650723</v>
      </c>
      <c r="E2323" s="285">
        <v>7.3085206448818489</v>
      </c>
    </row>
    <row r="2324" spans="1:5">
      <c r="A2324" s="284">
        <f t="shared" si="1027"/>
        <v>2256</v>
      </c>
      <c r="B2324" s="285">
        <v>3.7067446912131854</v>
      </c>
      <c r="C2324" s="285">
        <v>3.8064018029620805</v>
      </c>
      <c r="D2324" s="285">
        <v>7.8005281383493941E-2</v>
      </c>
      <c r="E2324" s="285">
        <v>18.763400065899681</v>
      </c>
    </row>
    <row r="2325" spans="1:5">
      <c r="A2325" s="284">
        <f t="shared" si="1027"/>
        <v>2257</v>
      </c>
      <c r="B2325" s="285">
        <v>0.29218655803505988</v>
      </c>
      <c r="C2325" s="285">
        <v>3.2373516307753105</v>
      </c>
      <c r="D2325" s="285">
        <v>-0.30426066656450867</v>
      </c>
      <c r="E2325" s="285">
        <v>2.4717365491375305</v>
      </c>
    </row>
    <row r="2326" spans="1:5">
      <c r="A2326" s="284">
        <f t="shared" si="1027"/>
        <v>2258</v>
      </c>
      <c r="B2326" s="285">
        <v>-1.477776754584476</v>
      </c>
      <c r="C2326" s="285">
        <v>1.920471578259543</v>
      </c>
      <c r="D2326" s="285">
        <v>-2.4205726890405646</v>
      </c>
      <c r="E2326" s="285">
        <v>-5.404500446061645</v>
      </c>
    </row>
    <row r="2327" spans="1:5">
      <c r="A2327" s="284">
        <f t="shared" si="1027"/>
        <v>2259</v>
      </c>
      <c r="B2327" s="285">
        <v>-3.3382446333496061</v>
      </c>
      <c r="C2327" s="285">
        <v>1.9257153563595819</v>
      </c>
      <c r="D2327" s="285">
        <v>-0.64795873394340164</v>
      </c>
      <c r="E2327" s="285">
        <v>-18.565860572504924</v>
      </c>
    </row>
    <row r="2328" spans="1:5">
      <c r="A2328" s="284">
        <f t="shared" si="1027"/>
        <v>2260</v>
      </c>
      <c r="B2328" s="285">
        <v>-2.2978455722174713</v>
      </c>
      <c r="C2328" s="285">
        <v>3.360624135141653</v>
      </c>
      <c r="D2328" s="285">
        <v>0.73588527051290364</v>
      </c>
      <c r="E2328" s="285">
        <v>9.897284238064513</v>
      </c>
    </row>
    <row r="2329" spans="1:5">
      <c r="A2329" s="284">
        <f t="shared" si="1027"/>
        <v>2261</v>
      </c>
      <c r="B2329" s="285">
        <v>-1.6047266655759567</v>
      </c>
      <c r="C2329" s="285">
        <v>2.5281572112319344</v>
      </c>
      <c r="D2329" s="285">
        <v>5.3954275274047836E-2</v>
      </c>
      <c r="E2329" s="285">
        <v>-0.42402210077041502</v>
      </c>
    </row>
    <row r="2330" spans="1:5">
      <c r="A2330" s="284">
        <f t="shared" si="1027"/>
        <v>2262</v>
      </c>
      <c r="B2330" s="285">
        <v>-0.17738536778799086</v>
      </c>
      <c r="C2330" s="285">
        <v>2.451208250397817</v>
      </c>
      <c r="D2330" s="285">
        <v>0.28178308911685379</v>
      </c>
      <c r="E2330" s="285">
        <v>-1.0239160343330629</v>
      </c>
    </row>
    <row r="2331" spans="1:5">
      <c r="A2331" s="284">
        <f t="shared" si="1027"/>
        <v>2263</v>
      </c>
      <c r="B2331" s="285">
        <v>-0.73785145864456636</v>
      </c>
      <c r="C2331" s="285">
        <v>2.1776350216682601</v>
      </c>
      <c r="D2331" s="285">
        <v>2.3868683559914174</v>
      </c>
      <c r="E2331" s="285">
        <v>-7.169915257480568</v>
      </c>
    </row>
    <row r="2332" spans="1:5">
      <c r="A2332" s="284">
        <f t="shared" si="1027"/>
        <v>2264</v>
      </c>
      <c r="B2332" s="285">
        <v>-2.4117478573786992</v>
      </c>
      <c r="C2332" s="285">
        <v>1.8944041003514644</v>
      </c>
      <c r="D2332" s="285">
        <v>0.45809150700277923</v>
      </c>
      <c r="E2332" s="285">
        <v>-19.952923653304385</v>
      </c>
    </row>
    <row r="2333" spans="1:5">
      <c r="A2333" s="284">
        <f t="shared" si="1027"/>
        <v>2265</v>
      </c>
      <c r="B2333" s="285">
        <v>1.8593105541380239</v>
      </c>
      <c r="C2333" s="285">
        <v>2.5123528363622469</v>
      </c>
      <c r="D2333" s="285">
        <v>2.5395506760948878</v>
      </c>
      <c r="E2333" s="285">
        <v>-11.098253035527165</v>
      </c>
    </row>
    <row r="2334" spans="1:5">
      <c r="A2334" s="284">
        <f t="shared" si="1027"/>
        <v>2266</v>
      </c>
      <c r="B2334" s="285">
        <v>2.6864596511258614</v>
      </c>
      <c r="C2334" s="285">
        <v>2.93644520304602</v>
      </c>
      <c r="D2334" s="285">
        <v>1.3999993907421191</v>
      </c>
      <c r="E2334" s="285">
        <v>-2.7334766071209682</v>
      </c>
    </row>
    <row r="2335" spans="1:5">
      <c r="A2335" s="284">
        <f t="shared" si="1027"/>
        <v>2267</v>
      </c>
      <c r="B2335" s="285">
        <v>-2.5655692952548086</v>
      </c>
      <c r="C2335" s="285">
        <v>2.0186864558927091</v>
      </c>
      <c r="D2335" s="285">
        <v>1.9440820028084782</v>
      </c>
      <c r="E2335" s="285">
        <v>-2.116921599519126</v>
      </c>
    </row>
    <row r="2336" spans="1:5">
      <c r="A2336" s="284">
        <f t="shared" si="1027"/>
        <v>2268</v>
      </c>
      <c r="B2336" s="285">
        <v>-4.1919495443668531</v>
      </c>
      <c r="C2336" s="285">
        <v>2.5595741405364767</v>
      </c>
      <c r="D2336" s="285">
        <v>0.37540331370179902</v>
      </c>
      <c r="E2336" s="285">
        <v>0.96930392567778023</v>
      </c>
    </row>
    <row r="2337" spans="1:5">
      <c r="A2337" s="284">
        <f t="shared" si="1027"/>
        <v>2269</v>
      </c>
      <c r="B2337" s="285">
        <v>-4.4655871233068583</v>
      </c>
      <c r="C2337" s="285">
        <v>2.1710993505488885</v>
      </c>
      <c r="D2337" s="285">
        <v>1.0804161268570356</v>
      </c>
      <c r="E2337" s="285">
        <v>10.447341411718021</v>
      </c>
    </row>
    <row r="2338" spans="1:5">
      <c r="A2338" s="284">
        <f t="shared" si="1027"/>
        <v>2270</v>
      </c>
      <c r="B2338" s="285">
        <v>1.2802152301703422</v>
      </c>
      <c r="C2338" s="285">
        <v>2.7221263685168586</v>
      </c>
      <c r="D2338" s="285">
        <v>4.4199101744480274E-2</v>
      </c>
      <c r="E2338" s="285">
        <v>-3.2814574426100576</v>
      </c>
    </row>
    <row r="2339" spans="1:5">
      <c r="A2339" s="284">
        <f t="shared" si="1027"/>
        <v>2271</v>
      </c>
      <c r="B2339" s="285">
        <v>0.81728148661901689</v>
      </c>
      <c r="C2339" s="285">
        <v>2.3813788041920274</v>
      </c>
      <c r="D2339" s="285">
        <v>2.4938564461924466</v>
      </c>
      <c r="E2339" s="285">
        <v>-4.773001509883974</v>
      </c>
    </row>
    <row r="2340" spans="1:5">
      <c r="A2340" s="284">
        <f t="shared" si="1027"/>
        <v>2272</v>
      </c>
      <c r="B2340" s="285">
        <v>-0.16627594390972322</v>
      </c>
      <c r="C2340" s="285">
        <v>2.6080092733376508</v>
      </c>
      <c r="D2340" s="285">
        <v>0.44642378425530915</v>
      </c>
      <c r="E2340" s="285">
        <v>-12.313864657995815</v>
      </c>
    </row>
    <row r="2341" spans="1:5">
      <c r="A2341" s="284">
        <f t="shared" si="1027"/>
        <v>2273</v>
      </c>
      <c r="B2341" s="285">
        <v>0.5515922612858648</v>
      </c>
      <c r="C2341" s="285">
        <v>1.9000725039977531</v>
      </c>
      <c r="D2341" s="285">
        <v>2.786161462923352</v>
      </c>
      <c r="E2341" s="285">
        <v>3.2744281932106678</v>
      </c>
    </row>
    <row r="2342" spans="1:5">
      <c r="A2342" s="284">
        <f t="shared" si="1027"/>
        <v>2274</v>
      </c>
      <c r="B2342" s="285">
        <v>0.82472017686229482</v>
      </c>
      <c r="C2342" s="285">
        <v>2.595838680165218</v>
      </c>
      <c r="D2342" s="285">
        <v>0.23488617931221289</v>
      </c>
      <c r="E2342" s="285">
        <v>-4.3670321433074033E-2</v>
      </c>
    </row>
    <row r="2343" spans="1:5">
      <c r="A2343" s="284">
        <f t="shared" si="1027"/>
        <v>2275</v>
      </c>
      <c r="B2343" s="285">
        <v>-2.1291940792991348</v>
      </c>
      <c r="C2343" s="285">
        <v>2.6811474041366763</v>
      </c>
      <c r="D2343" s="285">
        <v>-6.732245294340089E-2</v>
      </c>
      <c r="E2343" s="285">
        <v>1.5265542047818044</v>
      </c>
    </row>
    <row r="2344" spans="1:5">
      <c r="A2344" s="284">
        <f t="shared" si="1027"/>
        <v>2276</v>
      </c>
      <c r="B2344" s="285">
        <v>0.43426745961930591</v>
      </c>
      <c r="C2344" s="285">
        <v>1.5386353260144598</v>
      </c>
      <c r="D2344" s="285">
        <v>2.4223366377089679</v>
      </c>
      <c r="E2344" s="285">
        <v>-26.099856230725852</v>
      </c>
    </row>
    <row r="2345" spans="1:5">
      <c r="A2345" s="284">
        <f t="shared" si="1027"/>
        <v>2277</v>
      </c>
      <c r="B2345" s="285">
        <v>-4.1465559311071072</v>
      </c>
      <c r="C2345" s="285">
        <v>1.2395164730475072</v>
      </c>
      <c r="D2345" s="285">
        <v>1.1701344103896474</v>
      </c>
      <c r="E2345" s="285">
        <v>-8.6272883831746849</v>
      </c>
    </row>
    <row r="2346" spans="1:5">
      <c r="A2346" s="284">
        <f t="shared" si="1027"/>
        <v>2278</v>
      </c>
      <c r="B2346" s="285">
        <v>-0.28811617277944851</v>
      </c>
      <c r="C2346" s="285">
        <v>1.8383564572427589</v>
      </c>
      <c r="D2346" s="285">
        <v>3.59192031306794</v>
      </c>
      <c r="E2346" s="285">
        <v>-6.134032052621432</v>
      </c>
    </row>
    <row r="2347" spans="1:5">
      <c r="A2347" s="284">
        <f t="shared" si="1027"/>
        <v>2279</v>
      </c>
      <c r="B2347" s="285">
        <v>1.5088721160144425</v>
      </c>
      <c r="C2347" s="285">
        <v>1.4525876082971063</v>
      </c>
      <c r="D2347" s="285">
        <v>1.8004001004326691</v>
      </c>
      <c r="E2347" s="285">
        <v>-12.451853935684692</v>
      </c>
    </row>
    <row r="2348" spans="1:5">
      <c r="A2348" s="284">
        <f t="shared" si="1027"/>
        <v>2280</v>
      </c>
      <c r="B2348" s="285">
        <v>-1.7198327341962073E-2</v>
      </c>
      <c r="C2348" s="285">
        <v>1.9803641207098648</v>
      </c>
      <c r="D2348" s="285">
        <v>0.11480506776429733</v>
      </c>
      <c r="E2348" s="285">
        <v>-22.33646137941933</v>
      </c>
    </row>
    <row r="2349" spans="1:5">
      <c r="A2349" s="284">
        <f t="shared" si="1027"/>
        <v>2281</v>
      </c>
      <c r="B2349" s="285">
        <v>-3.6891368346558373</v>
      </c>
      <c r="C2349" s="285">
        <v>2.6445540099541605</v>
      </c>
      <c r="D2349" s="285">
        <v>1.3943248896048552</v>
      </c>
      <c r="E2349" s="285">
        <v>5.0111394705233003</v>
      </c>
    </row>
    <row r="2350" spans="1:5">
      <c r="A2350" s="284">
        <f t="shared" si="1027"/>
        <v>2282</v>
      </c>
      <c r="B2350" s="285">
        <v>2.2313892408059957</v>
      </c>
      <c r="C2350" s="285">
        <v>2.3769878358356129</v>
      </c>
      <c r="D2350" s="285">
        <v>2.4781682550063686</v>
      </c>
      <c r="E2350" s="285">
        <v>-13.524414462604874</v>
      </c>
    </row>
    <row r="2351" spans="1:5">
      <c r="A2351" s="284">
        <f t="shared" si="1027"/>
        <v>2283</v>
      </c>
      <c r="B2351" s="285">
        <v>0.15027341768052208</v>
      </c>
      <c r="C2351" s="285">
        <v>2.1891901388314157</v>
      </c>
      <c r="D2351" s="285">
        <v>1.4524469503274224</v>
      </c>
      <c r="E2351" s="285">
        <v>-14.886140891982027</v>
      </c>
    </row>
    <row r="2352" spans="1:5">
      <c r="A2352" s="284">
        <f t="shared" si="1027"/>
        <v>2284</v>
      </c>
      <c r="B2352" s="285">
        <v>0.59070340893921724</v>
      </c>
      <c r="C2352" s="285">
        <v>2.5918510676675517</v>
      </c>
      <c r="D2352" s="285">
        <v>2.8492099219654623</v>
      </c>
      <c r="E2352" s="285">
        <v>-8.1778037465536126</v>
      </c>
    </row>
    <row r="2353" spans="1:5">
      <c r="A2353" s="284">
        <f t="shared" si="1027"/>
        <v>2285</v>
      </c>
      <c r="B2353" s="285">
        <v>2.5351940175352743</v>
      </c>
      <c r="C2353" s="285">
        <v>2.8705781306547236</v>
      </c>
      <c r="D2353" s="285">
        <v>0.5474764394788727</v>
      </c>
      <c r="E2353" s="285">
        <v>-3.2267682549775052</v>
      </c>
    </row>
    <row r="2354" spans="1:5">
      <c r="A2354" s="284">
        <f t="shared" si="1027"/>
        <v>2286</v>
      </c>
      <c r="B2354" s="285">
        <v>-2.7559107428514324</v>
      </c>
      <c r="C2354" s="285">
        <v>2.6046911821863428</v>
      </c>
      <c r="D2354" s="285">
        <v>2.2045607503034725</v>
      </c>
      <c r="E2354" s="285">
        <v>0.550931829758742</v>
      </c>
    </row>
    <row r="2355" spans="1:5">
      <c r="A2355" s="284">
        <f t="shared" si="1027"/>
        <v>2287</v>
      </c>
      <c r="B2355" s="285">
        <v>0.16521051914797225</v>
      </c>
      <c r="C2355" s="285">
        <v>2.9700629511513714</v>
      </c>
      <c r="D2355" s="285">
        <v>1.8806111935139234</v>
      </c>
      <c r="E2355" s="285">
        <v>8.6068172068258839</v>
      </c>
    </row>
    <row r="2356" spans="1:5">
      <c r="A2356" s="284">
        <f t="shared" si="1027"/>
        <v>2288</v>
      </c>
      <c r="B2356" s="285">
        <v>2.7507012851209951</v>
      </c>
      <c r="C2356" s="285">
        <v>3.0171537858260056</v>
      </c>
      <c r="D2356" s="285">
        <v>0.71189538203753711</v>
      </c>
      <c r="E2356" s="285">
        <v>-2.4397163180327675</v>
      </c>
    </row>
    <row r="2357" spans="1:5">
      <c r="A2357" s="284">
        <f t="shared" si="1027"/>
        <v>2289</v>
      </c>
      <c r="B2357" s="285">
        <v>1.9369411945136472</v>
      </c>
      <c r="C2357" s="285">
        <v>2.9747890718926664</v>
      </c>
      <c r="D2357" s="285">
        <v>2.0984011727764673</v>
      </c>
      <c r="E2357" s="285">
        <v>0.35856071302605574</v>
      </c>
    </row>
    <row r="2358" spans="1:5">
      <c r="A2358" s="284">
        <f t="shared" si="1027"/>
        <v>2290</v>
      </c>
      <c r="B2358" s="285">
        <v>-0.23948314670658921</v>
      </c>
      <c r="C2358" s="285">
        <v>2.5157297329444028</v>
      </c>
      <c r="D2358" s="285">
        <v>1.4908893031212826</v>
      </c>
      <c r="E2358" s="285">
        <v>7.2058085126115401</v>
      </c>
    </row>
    <row r="2359" spans="1:5">
      <c r="A2359" s="284">
        <f t="shared" si="1027"/>
        <v>2291</v>
      </c>
      <c r="B2359" s="285">
        <v>1.0600948100327168</v>
      </c>
      <c r="C2359" s="285">
        <v>2.3750925727008556</v>
      </c>
      <c r="D2359" s="285">
        <v>6.9147692825633822E-2</v>
      </c>
      <c r="E2359" s="285">
        <v>-3.9529158310670613</v>
      </c>
    </row>
    <row r="2360" spans="1:5">
      <c r="A2360" s="284">
        <f t="shared" si="1027"/>
        <v>2292</v>
      </c>
      <c r="B2360" s="285">
        <v>-0.80020941600327888</v>
      </c>
      <c r="C2360" s="285">
        <v>2.2313082819084515</v>
      </c>
      <c r="D2360" s="285">
        <v>0.93716573064501563</v>
      </c>
      <c r="E2360" s="285">
        <v>0.8268710561299204</v>
      </c>
    </row>
    <row r="2361" spans="1:5">
      <c r="A2361" s="284">
        <f t="shared" si="1027"/>
        <v>2293</v>
      </c>
      <c r="B2361" s="285">
        <v>2.2569049743278566</v>
      </c>
      <c r="C2361" s="285">
        <v>2.5827031533710634</v>
      </c>
      <c r="D2361" s="285">
        <v>1.640088002228389</v>
      </c>
      <c r="E2361" s="285">
        <v>-6.9594005001417747</v>
      </c>
    </row>
    <row r="2362" spans="1:5">
      <c r="A2362" s="284">
        <f t="shared" si="1027"/>
        <v>2294</v>
      </c>
      <c r="B2362" s="285">
        <v>3.0354273681605366</v>
      </c>
      <c r="C2362" s="285">
        <v>3.1197407692233874</v>
      </c>
      <c r="D2362" s="285">
        <v>3.4583501716616833</v>
      </c>
      <c r="E2362" s="285">
        <v>2.2926530902064841</v>
      </c>
    </row>
    <row r="2363" spans="1:5">
      <c r="A2363" s="284">
        <f t="shared" si="1027"/>
        <v>2295</v>
      </c>
      <c r="B2363" s="285">
        <v>0.42823545500984495</v>
      </c>
      <c r="C2363" s="285">
        <v>2.6829443437118723</v>
      </c>
      <c r="D2363" s="285">
        <v>4.728916698317926</v>
      </c>
      <c r="E2363" s="285">
        <v>4.4628098120233499</v>
      </c>
    </row>
    <row r="2364" spans="1:5">
      <c r="A2364" s="284">
        <f t="shared" si="1027"/>
        <v>2296</v>
      </c>
      <c r="B2364" s="285">
        <v>2.2160842568305705</v>
      </c>
      <c r="C2364" s="285">
        <v>2.5261323454891076</v>
      </c>
      <c r="D2364" s="285">
        <v>0.48131366673559406</v>
      </c>
      <c r="E2364" s="285">
        <v>-6.2749062938928208</v>
      </c>
    </row>
    <row r="2365" spans="1:5">
      <c r="A2365" s="284">
        <f t="shared" si="1027"/>
        <v>2297</v>
      </c>
      <c r="B2365" s="285">
        <v>-3.6233934714092171</v>
      </c>
      <c r="C2365" s="285">
        <v>2.4790114517404103</v>
      </c>
      <c r="D2365" s="285">
        <v>-0.27578536973914858</v>
      </c>
      <c r="E2365" s="285">
        <v>-7.1690321695826444</v>
      </c>
    </row>
    <row r="2366" spans="1:5">
      <c r="A2366" s="284">
        <f t="shared" si="1027"/>
        <v>2298</v>
      </c>
      <c r="B2366" s="285">
        <v>0.64497648523298978</v>
      </c>
      <c r="C2366" s="285">
        <v>3.2722012196848138</v>
      </c>
      <c r="D2366" s="285">
        <v>1.7233897141322025</v>
      </c>
      <c r="E2366" s="285">
        <v>8.0069122363361487</v>
      </c>
    </row>
    <row r="2367" spans="1:5">
      <c r="A2367" s="284">
        <f t="shared" si="1027"/>
        <v>2299</v>
      </c>
      <c r="B2367" s="285">
        <v>-2.4482996434295741</v>
      </c>
      <c r="C2367" s="285">
        <v>1.9393741426975595</v>
      </c>
      <c r="D2367" s="285">
        <v>-0.81336297557961323</v>
      </c>
      <c r="E2367" s="285">
        <v>-13.902173177738085</v>
      </c>
    </row>
    <row r="2368" spans="1:5">
      <c r="A2368" s="284">
        <f t="shared" si="1027"/>
        <v>2300</v>
      </c>
      <c r="B2368" s="285">
        <v>-1.2351524655894521</v>
      </c>
      <c r="C2368" s="285">
        <v>2.9481482913648103</v>
      </c>
      <c r="D2368" s="285">
        <v>-1.2554166207427699</v>
      </c>
      <c r="E2368" s="285">
        <v>13.219577471745026</v>
      </c>
    </row>
    <row r="2369" spans="1:5">
      <c r="A2369" s="284">
        <f t="shared" si="1027"/>
        <v>2301</v>
      </c>
      <c r="B2369" s="285">
        <v>3.7522025966053092</v>
      </c>
      <c r="C2369" s="285">
        <v>2.5940003316401872</v>
      </c>
      <c r="D2369" s="285">
        <v>0.33107063440115236</v>
      </c>
      <c r="E2369" s="285">
        <v>-2.4766548762023066</v>
      </c>
    </row>
    <row r="2370" spans="1:5">
      <c r="A2370" s="284">
        <f t="shared" si="1027"/>
        <v>2302</v>
      </c>
      <c r="B2370" s="285">
        <v>0.6744670659861981</v>
      </c>
      <c r="C2370" s="285">
        <v>2.571159262589211</v>
      </c>
      <c r="D2370" s="285">
        <v>9.6068174420315566E-2</v>
      </c>
      <c r="E2370" s="285">
        <v>0.48839677436793982</v>
      </c>
    </row>
    <row r="2371" spans="1:5">
      <c r="A2371" s="284">
        <f t="shared" si="1027"/>
        <v>2303</v>
      </c>
      <c r="B2371" s="285">
        <v>0.27995195357250063</v>
      </c>
      <c r="C2371" s="285">
        <v>2.3165861430477066</v>
      </c>
      <c r="D2371" s="285">
        <v>-4.9953258794333877E-2</v>
      </c>
      <c r="E2371" s="285">
        <v>0.86341701836175444</v>
      </c>
    </row>
    <row r="2372" spans="1:5">
      <c r="A2372" s="284">
        <f t="shared" si="1027"/>
        <v>2304</v>
      </c>
      <c r="B2372" s="285">
        <v>-0.32935303014161693</v>
      </c>
      <c r="C2372" s="285">
        <v>2.1346635347328862</v>
      </c>
      <c r="D2372" s="285">
        <v>2.9223833356335205</v>
      </c>
      <c r="E2372" s="285">
        <v>-12.022514410973878</v>
      </c>
    </row>
    <row r="2373" spans="1:5">
      <c r="A2373" s="284">
        <f t="shared" si="1027"/>
        <v>2305</v>
      </c>
      <c r="B2373" s="285">
        <v>-0.35925278633720531</v>
      </c>
      <c r="C2373" s="285">
        <v>2.6592554187450284</v>
      </c>
      <c r="D2373" s="285">
        <v>0.6388092998989614</v>
      </c>
      <c r="E2373" s="285">
        <v>2.3718140767543052</v>
      </c>
    </row>
    <row r="2374" spans="1:5">
      <c r="A2374" s="284">
        <f t="shared" si="1027"/>
        <v>2306</v>
      </c>
      <c r="B2374" s="285">
        <v>2.943800887092324</v>
      </c>
      <c r="C2374" s="285">
        <v>2.9227593088656367</v>
      </c>
      <c r="D2374" s="285">
        <v>2.064978643497613</v>
      </c>
      <c r="E2374" s="285">
        <v>-0.13696956338494637</v>
      </c>
    </row>
    <row r="2375" spans="1:5">
      <c r="A2375" s="284">
        <f t="shared" ref="A2375:A2438" si="1028">A2374+1</f>
        <v>2307</v>
      </c>
      <c r="B2375" s="285">
        <v>1.8014281287068574</v>
      </c>
      <c r="C2375" s="285">
        <v>2.6684894619620567</v>
      </c>
      <c r="D2375" s="285">
        <v>3.271198582295384</v>
      </c>
      <c r="E2375" s="285">
        <v>-5.3871099452930444</v>
      </c>
    </row>
    <row r="2376" spans="1:5">
      <c r="A2376" s="284">
        <f t="shared" si="1028"/>
        <v>2308</v>
      </c>
      <c r="B2376" s="285">
        <v>2.1312350379648612</v>
      </c>
      <c r="C2376" s="285">
        <v>3.6452219631034208</v>
      </c>
      <c r="D2376" s="285">
        <v>2.1947784498461784</v>
      </c>
      <c r="E2376" s="285">
        <v>15.984966282194854</v>
      </c>
    </row>
    <row r="2377" spans="1:5">
      <c r="A2377" s="284">
        <f t="shared" si="1028"/>
        <v>2309</v>
      </c>
      <c r="B2377" s="285">
        <v>4.1064883462533226</v>
      </c>
      <c r="C2377" s="285">
        <v>3.0383990346112846</v>
      </c>
      <c r="D2377" s="285">
        <v>1.8106429086671763</v>
      </c>
      <c r="E2377" s="285">
        <v>3.5608516561616121</v>
      </c>
    </row>
    <row r="2378" spans="1:5">
      <c r="A2378" s="284">
        <f t="shared" si="1028"/>
        <v>2310</v>
      </c>
      <c r="B2378" s="285">
        <v>6.9772788454734735</v>
      </c>
      <c r="C2378" s="285">
        <v>3.4258849455649703</v>
      </c>
      <c r="D2378" s="285">
        <v>1.653095615008733</v>
      </c>
      <c r="E2378" s="285">
        <v>5.2247838197778691</v>
      </c>
    </row>
    <row r="2379" spans="1:5">
      <c r="A2379" s="284">
        <f t="shared" si="1028"/>
        <v>2311</v>
      </c>
      <c r="B2379" s="285">
        <v>1.648927209356019</v>
      </c>
      <c r="C2379" s="285">
        <v>3.2071009424122945</v>
      </c>
      <c r="D2379" s="285">
        <v>1.0838506097446954</v>
      </c>
      <c r="E2379" s="285">
        <v>9.1284442202750888</v>
      </c>
    </row>
    <row r="2380" spans="1:5">
      <c r="A2380" s="284">
        <f t="shared" si="1028"/>
        <v>2312</v>
      </c>
      <c r="B2380" s="285">
        <v>1.0331587752265665</v>
      </c>
      <c r="C2380" s="285">
        <v>1.9228759599485208</v>
      </c>
      <c r="D2380" s="285">
        <v>2.3749040028044455E-2</v>
      </c>
      <c r="E2380" s="285">
        <v>-12.439177074612779</v>
      </c>
    </row>
    <row r="2381" spans="1:5">
      <c r="A2381" s="284">
        <f t="shared" si="1028"/>
        <v>2313</v>
      </c>
      <c r="B2381" s="285">
        <v>1.3241732896190317</v>
      </c>
      <c r="C2381" s="285">
        <v>3.8422280909684456</v>
      </c>
      <c r="D2381" s="285">
        <v>1.0617510262500551</v>
      </c>
      <c r="E2381" s="285">
        <v>10.902969066690531</v>
      </c>
    </row>
    <row r="2382" spans="1:5">
      <c r="A2382" s="284">
        <f t="shared" si="1028"/>
        <v>2314</v>
      </c>
      <c r="B2382" s="285">
        <v>-1.591294457138154</v>
      </c>
      <c r="C2382" s="285">
        <v>2.6061680902860553</v>
      </c>
      <c r="D2382" s="285">
        <v>2.3981942680162951</v>
      </c>
      <c r="E2382" s="285">
        <v>-0.12047708552781122</v>
      </c>
    </row>
    <row r="2383" spans="1:5">
      <c r="A2383" s="284">
        <f t="shared" si="1028"/>
        <v>2315</v>
      </c>
      <c r="B2383" s="285">
        <v>-0.35847847894633983</v>
      </c>
      <c r="C2383" s="285">
        <v>3.341881597058757</v>
      </c>
      <c r="D2383" s="285">
        <v>5.4479912184804524E-2</v>
      </c>
      <c r="E2383" s="285">
        <v>8.6750118815180119</v>
      </c>
    </row>
    <row r="2384" spans="1:5">
      <c r="A2384" s="284">
        <f t="shared" si="1028"/>
        <v>2316</v>
      </c>
      <c r="B2384" s="285">
        <v>-1.6757958206363814</v>
      </c>
      <c r="C2384" s="285">
        <v>2.2847642372041177</v>
      </c>
      <c r="D2384" s="285">
        <v>1.9712948086818292</v>
      </c>
      <c r="E2384" s="285">
        <v>-13.878065700453011</v>
      </c>
    </row>
    <row r="2385" spans="1:5">
      <c r="A2385" s="284">
        <f t="shared" si="1028"/>
        <v>2317</v>
      </c>
      <c r="B2385" s="285">
        <v>4.044176204309867</v>
      </c>
      <c r="C2385" s="285">
        <v>2.8048730955860659</v>
      </c>
      <c r="D2385" s="285">
        <v>2.8130668909869114</v>
      </c>
      <c r="E2385" s="285">
        <v>-7.7570436452731872</v>
      </c>
    </row>
    <row r="2386" spans="1:5">
      <c r="A2386" s="284">
        <f t="shared" si="1028"/>
        <v>2318</v>
      </c>
      <c r="B2386" s="285">
        <v>-2.3856306134630887</v>
      </c>
      <c r="C2386" s="285">
        <v>3.5389729138557735</v>
      </c>
      <c r="D2386" s="285">
        <v>0.83284522741729428</v>
      </c>
      <c r="E2386" s="285">
        <v>12.874595511607795</v>
      </c>
    </row>
    <row r="2387" spans="1:5">
      <c r="A2387" s="284">
        <f t="shared" si="1028"/>
        <v>2319</v>
      </c>
      <c r="B2387" s="285">
        <v>1.9892254936468596</v>
      </c>
      <c r="C2387" s="285">
        <v>3.1198548337353316</v>
      </c>
      <c r="D2387" s="285">
        <v>1.0489601831213882</v>
      </c>
      <c r="E2387" s="285">
        <v>1.496449926176751</v>
      </c>
    </row>
    <row r="2388" spans="1:5">
      <c r="A2388" s="284">
        <f t="shared" si="1028"/>
        <v>2320</v>
      </c>
      <c r="B2388" s="285">
        <v>-0.51664784050425172</v>
      </c>
      <c r="C2388" s="285">
        <v>3.0256431529954737</v>
      </c>
      <c r="D2388" s="285">
        <v>2.4076062024924045</v>
      </c>
      <c r="E2388" s="285">
        <v>17.857513394953184</v>
      </c>
    </row>
    <row r="2389" spans="1:5">
      <c r="A2389" s="284">
        <f t="shared" si="1028"/>
        <v>2321</v>
      </c>
      <c r="B2389" s="285">
        <v>3.0195692584819609</v>
      </c>
      <c r="C2389" s="285">
        <v>2.7619416296612616</v>
      </c>
      <c r="D2389" s="285">
        <v>1.552619771233354</v>
      </c>
      <c r="E2389" s="285">
        <v>-7.6201762358822922</v>
      </c>
    </row>
    <row r="2390" spans="1:5">
      <c r="A2390" s="284">
        <f t="shared" si="1028"/>
        <v>2322</v>
      </c>
      <c r="B2390" s="285">
        <v>0.14611815938794939</v>
      </c>
      <c r="C2390" s="285">
        <v>1.8566022175430912</v>
      </c>
      <c r="D2390" s="285">
        <v>0.67555431478298733</v>
      </c>
      <c r="E2390" s="285">
        <v>-11.664947024933504</v>
      </c>
    </row>
    <row r="2391" spans="1:5">
      <c r="A2391" s="284">
        <f t="shared" si="1028"/>
        <v>2323</v>
      </c>
      <c r="B2391" s="285">
        <v>-2.7297810639761688</v>
      </c>
      <c r="C2391" s="285">
        <v>2.1695186251659031</v>
      </c>
      <c r="D2391" s="285">
        <v>0.77169780464832827</v>
      </c>
      <c r="E2391" s="285">
        <v>-2.8465014851278863</v>
      </c>
    </row>
    <row r="2392" spans="1:5">
      <c r="A2392" s="284">
        <f t="shared" si="1028"/>
        <v>2324</v>
      </c>
      <c r="B2392" s="285">
        <v>-1.7202043180679913</v>
      </c>
      <c r="C2392" s="285">
        <v>2.9576683101062136</v>
      </c>
      <c r="D2392" s="285">
        <v>0.76715924702612814</v>
      </c>
      <c r="E2392" s="285">
        <v>5.8367089729415689</v>
      </c>
    </row>
    <row r="2393" spans="1:5">
      <c r="A2393" s="284">
        <f t="shared" si="1028"/>
        <v>2325</v>
      </c>
      <c r="B2393" s="285">
        <v>-0.88904443592270654</v>
      </c>
      <c r="C2393" s="285">
        <v>1.6727924836748791</v>
      </c>
      <c r="D2393" s="285">
        <v>1.2805954425858963</v>
      </c>
      <c r="E2393" s="285">
        <v>-15.523049876657662</v>
      </c>
    </row>
    <row r="2394" spans="1:5">
      <c r="A2394" s="284">
        <f t="shared" si="1028"/>
        <v>2326</v>
      </c>
      <c r="B2394" s="285">
        <v>0.3800565586248042</v>
      </c>
      <c r="C2394" s="285">
        <v>1.9644436639578875</v>
      </c>
      <c r="D2394" s="285">
        <v>1.2031456662748061</v>
      </c>
      <c r="E2394" s="285">
        <v>-8.4245627417462181</v>
      </c>
    </row>
    <row r="2395" spans="1:5">
      <c r="A2395" s="284">
        <f t="shared" si="1028"/>
        <v>2327</v>
      </c>
      <c r="B2395" s="285">
        <v>4.8464809919429221E-3</v>
      </c>
      <c r="C2395" s="285">
        <v>2.9224707021308416</v>
      </c>
      <c r="D2395" s="285">
        <v>1.2039698624083375</v>
      </c>
      <c r="E2395" s="285">
        <v>7.7535889895599865</v>
      </c>
    </row>
    <row r="2396" spans="1:5">
      <c r="A2396" s="284">
        <f t="shared" si="1028"/>
        <v>2328</v>
      </c>
      <c r="B2396" s="285">
        <v>-2.019361788134542</v>
      </c>
      <c r="C2396" s="285">
        <v>1.7500285469441348</v>
      </c>
      <c r="D2396" s="285">
        <v>2.2501101325699016</v>
      </c>
      <c r="E2396" s="285">
        <v>-20.317367162319865</v>
      </c>
    </row>
    <row r="2397" spans="1:5">
      <c r="A2397" s="284">
        <f t="shared" si="1028"/>
        <v>2329</v>
      </c>
      <c r="B2397" s="285">
        <v>0.49761514184594297</v>
      </c>
      <c r="C2397" s="285">
        <v>2.7404253613182163</v>
      </c>
      <c r="D2397" s="285">
        <v>2.6351489726626509</v>
      </c>
      <c r="E2397" s="285">
        <v>-14.488308622230301</v>
      </c>
    </row>
    <row r="2398" spans="1:5">
      <c r="A2398" s="284">
        <f t="shared" si="1028"/>
        <v>2330</v>
      </c>
      <c r="B2398" s="285">
        <v>-2.6267902445878577</v>
      </c>
      <c r="C2398" s="285">
        <v>2.4036267947037118</v>
      </c>
      <c r="D2398" s="285">
        <v>-0.45600075652999239</v>
      </c>
      <c r="E2398" s="285">
        <v>2.502021327919095</v>
      </c>
    </row>
    <row r="2399" spans="1:5">
      <c r="A2399" s="284">
        <f t="shared" si="1028"/>
        <v>2331</v>
      </c>
      <c r="B2399" s="285">
        <v>-1.5665240216176459</v>
      </c>
      <c r="C2399" s="285">
        <v>2.16316689886066</v>
      </c>
      <c r="D2399" s="285">
        <v>2.2984002780197947</v>
      </c>
      <c r="E2399" s="285">
        <v>-7.2577416626365849</v>
      </c>
    </row>
    <row r="2400" spans="1:5">
      <c r="A2400" s="284">
        <f t="shared" si="1028"/>
        <v>2332</v>
      </c>
      <c r="B2400" s="285">
        <v>3.0536018055197585</v>
      </c>
      <c r="C2400" s="285">
        <v>2.8705807170721456</v>
      </c>
      <c r="D2400" s="285">
        <v>3.8164172777906198</v>
      </c>
      <c r="E2400" s="285">
        <v>-9.908053455714434</v>
      </c>
    </row>
    <row r="2401" spans="1:5">
      <c r="A2401" s="284">
        <f t="shared" si="1028"/>
        <v>2333</v>
      </c>
      <c r="B2401" s="285">
        <v>-1.8431368797106624</v>
      </c>
      <c r="C2401" s="285">
        <v>2.6742482713403084</v>
      </c>
      <c r="D2401" s="285">
        <v>0.15738585013308448</v>
      </c>
      <c r="E2401" s="285">
        <v>8.2395574462682291</v>
      </c>
    </row>
    <row r="2402" spans="1:5">
      <c r="A2402" s="284">
        <f t="shared" si="1028"/>
        <v>2334</v>
      </c>
      <c r="B2402" s="285">
        <v>2.3073515811877634</v>
      </c>
      <c r="C2402" s="285">
        <v>3.296644168184736</v>
      </c>
      <c r="D2402" s="285">
        <v>1.7711383620493357</v>
      </c>
      <c r="E2402" s="285">
        <v>11.004785697987494</v>
      </c>
    </row>
    <row r="2403" spans="1:5">
      <c r="A2403" s="284">
        <f t="shared" si="1028"/>
        <v>2335</v>
      </c>
      <c r="B2403" s="285">
        <v>-1.9770012060027724</v>
      </c>
      <c r="C2403" s="285">
        <v>2.2463884301074737</v>
      </c>
      <c r="D2403" s="285">
        <v>1.7480230298074362</v>
      </c>
      <c r="E2403" s="285">
        <v>-11.069560685695524</v>
      </c>
    </row>
    <row r="2404" spans="1:5">
      <c r="A2404" s="284">
        <f t="shared" si="1028"/>
        <v>2336</v>
      </c>
      <c r="B2404" s="285">
        <v>3.3389537551297015</v>
      </c>
      <c r="C2404" s="285">
        <v>2.0886204172596852</v>
      </c>
      <c r="D2404" s="285">
        <v>3.2531595578999397</v>
      </c>
      <c r="E2404" s="285">
        <v>-5.677189032478843</v>
      </c>
    </row>
    <row r="2405" spans="1:5">
      <c r="A2405" s="284">
        <f t="shared" si="1028"/>
        <v>2337</v>
      </c>
      <c r="B2405" s="285">
        <v>-3.0053586750560339</v>
      </c>
      <c r="C2405" s="285">
        <v>2.0688465521739836</v>
      </c>
      <c r="D2405" s="285">
        <v>3.554054804207762</v>
      </c>
      <c r="E2405" s="285">
        <v>0.44745699203242451</v>
      </c>
    </row>
    <row r="2406" spans="1:5">
      <c r="A2406" s="284">
        <f t="shared" si="1028"/>
        <v>2338</v>
      </c>
      <c r="B2406" s="285">
        <v>3.6396685413290761</v>
      </c>
      <c r="C2406" s="285">
        <v>2.83273072371991</v>
      </c>
      <c r="D2406" s="285">
        <v>1.5950583437718158</v>
      </c>
      <c r="E2406" s="285">
        <v>-1.3711867741870565</v>
      </c>
    </row>
    <row r="2407" spans="1:5">
      <c r="A2407" s="284">
        <f t="shared" si="1028"/>
        <v>2339</v>
      </c>
      <c r="B2407" s="285">
        <v>-0.43987124051944426</v>
      </c>
      <c r="C2407" s="285">
        <v>2.2260985569939606</v>
      </c>
      <c r="D2407" s="285">
        <v>3.2018021366310059</v>
      </c>
      <c r="E2407" s="285">
        <v>-17.774246833292175</v>
      </c>
    </row>
    <row r="2408" spans="1:5">
      <c r="A2408" s="284">
        <f t="shared" si="1028"/>
        <v>2340</v>
      </c>
      <c r="B2408" s="285">
        <v>-0.28082207077930998</v>
      </c>
      <c r="C2408" s="285">
        <v>2.0527343528483222</v>
      </c>
      <c r="D2408" s="285">
        <v>2.7416367596560511</v>
      </c>
      <c r="E2408" s="285">
        <v>-16.751293023851055</v>
      </c>
    </row>
    <row r="2409" spans="1:5">
      <c r="A2409" s="284">
        <f t="shared" si="1028"/>
        <v>2341</v>
      </c>
      <c r="B2409" s="285">
        <v>1.2086610060579699</v>
      </c>
      <c r="C2409" s="285">
        <v>2.517668307723683</v>
      </c>
      <c r="D2409" s="285">
        <v>0.72765282919498242</v>
      </c>
      <c r="E2409" s="285">
        <v>-11.150320858253711</v>
      </c>
    </row>
    <row r="2410" spans="1:5">
      <c r="A2410" s="284">
        <f t="shared" si="1028"/>
        <v>2342</v>
      </c>
      <c r="B2410" s="285">
        <v>1.5628112902446414</v>
      </c>
      <c r="C2410" s="285">
        <v>2.5028400126337838</v>
      </c>
      <c r="D2410" s="285">
        <v>1.4535554570179536</v>
      </c>
      <c r="E2410" s="285">
        <v>-7.8141175510425853</v>
      </c>
    </row>
    <row r="2411" spans="1:5">
      <c r="A2411" s="284">
        <f t="shared" si="1028"/>
        <v>2343</v>
      </c>
      <c r="B2411" s="285">
        <v>2.6554058678199723</v>
      </c>
      <c r="C2411" s="285">
        <v>3.32024353008861</v>
      </c>
      <c r="D2411" s="285">
        <v>3.2937945341955324</v>
      </c>
      <c r="E2411" s="285">
        <v>0.59776392372863585</v>
      </c>
    </row>
    <row r="2412" spans="1:5">
      <c r="A2412" s="284">
        <f t="shared" si="1028"/>
        <v>2344</v>
      </c>
      <c r="B2412" s="285">
        <v>-0.58121356183442552</v>
      </c>
      <c r="C2412" s="285">
        <v>3.216463741554517</v>
      </c>
      <c r="D2412" s="285">
        <v>0.24933976638972144</v>
      </c>
      <c r="E2412" s="285">
        <v>6.9359099675362703</v>
      </c>
    </row>
    <row r="2413" spans="1:5">
      <c r="A2413" s="284">
        <f t="shared" si="1028"/>
        <v>2345</v>
      </c>
      <c r="B2413" s="285">
        <v>-1.4924268492061881</v>
      </c>
      <c r="C2413" s="285">
        <v>2.2610439008642929</v>
      </c>
      <c r="D2413" s="285">
        <v>0.47651174171300892</v>
      </c>
      <c r="E2413" s="285">
        <v>-11.270430998330191</v>
      </c>
    </row>
    <row r="2414" spans="1:5">
      <c r="A2414" s="284">
        <f t="shared" si="1028"/>
        <v>2346</v>
      </c>
      <c r="B2414" s="285">
        <v>-0.21047979579317211</v>
      </c>
      <c r="C2414" s="285">
        <v>2.2782801463282505</v>
      </c>
      <c r="D2414" s="285">
        <v>-0.60380977419402693</v>
      </c>
      <c r="E2414" s="285">
        <v>-1.0870941281707753</v>
      </c>
    </row>
    <row r="2415" spans="1:5">
      <c r="A2415" s="284">
        <f t="shared" si="1028"/>
        <v>2347</v>
      </c>
      <c r="B2415" s="285">
        <v>-3.8131416780594383</v>
      </c>
      <c r="C2415" s="285">
        <v>2.4915269828682955</v>
      </c>
      <c r="D2415" s="285">
        <v>1.1065780605984821</v>
      </c>
      <c r="E2415" s="285">
        <v>6.5261526632555853</v>
      </c>
    </row>
    <row r="2416" spans="1:5">
      <c r="A2416" s="284">
        <f t="shared" si="1028"/>
        <v>2348</v>
      </c>
      <c r="B2416" s="285">
        <v>0.64102730283652343</v>
      </c>
      <c r="C2416" s="285">
        <v>2.3590672215516233</v>
      </c>
      <c r="D2416" s="285">
        <v>2.8466143001201427</v>
      </c>
      <c r="E2416" s="285">
        <v>-5.0968468056224854</v>
      </c>
    </row>
    <row r="2417" spans="1:5">
      <c r="A2417" s="284">
        <f t="shared" si="1028"/>
        <v>2349</v>
      </c>
      <c r="B2417" s="285">
        <v>3.6299547086378698</v>
      </c>
      <c r="C2417" s="285">
        <v>2.768123474151623</v>
      </c>
      <c r="D2417" s="285">
        <v>1.5545517873017727</v>
      </c>
      <c r="E2417" s="285">
        <v>-10.648335393043102</v>
      </c>
    </row>
    <row r="2418" spans="1:5">
      <c r="A2418" s="284">
        <f t="shared" si="1028"/>
        <v>2350</v>
      </c>
      <c r="B2418" s="285">
        <v>0.50155159243114955</v>
      </c>
      <c r="C2418" s="285">
        <v>1.3401376413392829</v>
      </c>
      <c r="D2418" s="285">
        <v>0.57527100937153053</v>
      </c>
      <c r="E2418" s="285">
        <v>-31.347921829911545</v>
      </c>
    </row>
    <row r="2419" spans="1:5">
      <c r="A2419" s="284">
        <f t="shared" si="1028"/>
        <v>2351</v>
      </c>
      <c r="B2419" s="285">
        <v>-5.0432304613398342</v>
      </c>
      <c r="C2419" s="285">
        <v>1.4838676365564027</v>
      </c>
      <c r="D2419" s="285">
        <v>-0.33963803550100602</v>
      </c>
      <c r="E2419" s="285">
        <v>-4.7472179106442365</v>
      </c>
    </row>
    <row r="2420" spans="1:5">
      <c r="A2420" s="284">
        <f t="shared" si="1028"/>
        <v>2352</v>
      </c>
      <c r="B2420" s="285">
        <v>2.7678323377674627</v>
      </c>
      <c r="C2420" s="285">
        <v>2.7243405534918432</v>
      </c>
      <c r="D2420" s="285">
        <v>3.2397942487735301</v>
      </c>
      <c r="E2420" s="285">
        <v>1.9454877784066604</v>
      </c>
    </row>
    <row r="2421" spans="1:5">
      <c r="A2421" s="284">
        <f t="shared" si="1028"/>
        <v>2353</v>
      </c>
      <c r="B2421" s="285">
        <v>-1.0512718555186797</v>
      </c>
      <c r="C2421" s="285">
        <v>2.9949373741684759</v>
      </c>
      <c r="D2421" s="285">
        <v>-0.33323545355736828</v>
      </c>
      <c r="E2421" s="285">
        <v>6.2903298557992269</v>
      </c>
    </row>
    <row r="2422" spans="1:5">
      <c r="A2422" s="284">
        <f t="shared" si="1028"/>
        <v>2354</v>
      </c>
      <c r="B2422" s="285">
        <v>-0.79968864349637181</v>
      </c>
      <c r="C2422" s="285">
        <v>3.0325255110255407</v>
      </c>
      <c r="D2422" s="285">
        <v>0.26705109272676397</v>
      </c>
      <c r="E2422" s="285">
        <v>-0.91969762995350779</v>
      </c>
    </row>
    <row r="2423" spans="1:5">
      <c r="A2423" s="284">
        <f t="shared" si="1028"/>
        <v>2355</v>
      </c>
      <c r="B2423" s="285">
        <v>-2.0977009618634188</v>
      </c>
      <c r="C2423" s="285">
        <v>3.0438520988529607</v>
      </c>
      <c r="D2423" s="285">
        <v>0.4287346335138561</v>
      </c>
      <c r="E2423" s="285">
        <v>7.1067511560263821</v>
      </c>
    </row>
    <row r="2424" spans="1:5">
      <c r="A2424" s="284">
        <f t="shared" si="1028"/>
        <v>2356</v>
      </c>
      <c r="B2424" s="285">
        <v>-4.891868992950811</v>
      </c>
      <c r="C2424" s="285">
        <v>2.2273585290968168</v>
      </c>
      <c r="D2424" s="285">
        <v>-1.1055365714181522</v>
      </c>
      <c r="E2424" s="285">
        <v>8.1826874117162802</v>
      </c>
    </row>
    <row r="2425" spans="1:5">
      <c r="A2425" s="284">
        <f t="shared" si="1028"/>
        <v>2357</v>
      </c>
      <c r="B2425" s="285">
        <v>-2.8954364034572717</v>
      </c>
      <c r="C2425" s="285">
        <v>3.3561145994323409</v>
      </c>
      <c r="D2425" s="285">
        <v>-1.4920991791358169</v>
      </c>
      <c r="E2425" s="285">
        <v>16.234540179587256</v>
      </c>
    </row>
    <row r="2426" spans="1:5">
      <c r="A2426" s="284">
        <f t="shared" si="1028"/>
        <v>2358</v>
      </c>
      <c r="B2426" s="285">
        <v>-0.86489099119942436</v>
      </c>
      <c r="C2426" s="285">
        <v>2.2145587613568298</v>
      </c>
      <c r="D2426" s="285">
        <v>2.3488079274801859</v>
      </c>
      <c r="E2426" s="285">
        <v>-9.3240324961857262</v>
      </c>
    </row>
    <row r="2427" spans="1:5">
      <c r="A2427" s="284">
        <f t="shared" si="1028"/>
        <v>2359</v>
      </c>
      <c r="B2427" s="285">
        <v>-0.34890239073855767</v>
      </c>
      <c r="C2427" s="285">
        <v>3.0211221653979154</v>
      </c>
      <c r="D2427" s="285">
        <v>0.46230068589193674</v>
      </c>
      <c r="E2427" s="285">
        <v>6.3789894865794903</v>
      </c>
    </row>
    <row r="2428" spans="1:5">
      <c r="A2428" s="284">
        <f t="shared" si="1028"/>
        <v>2360</v>
      </c>
      <c r="B2428" s="285">
        <v>0.25050875054919852</v>
      </c>
      <c r="C2428" s="285">
        <v>2.408249182888119</v>
      </c>
      <c r="D2428" s="285">
        <v>4.9938779794868848</v>
      </c>
      <c r="E2428" s="285">
        <v>-7.3249278829376934</v>
      </c>
    </row>
    <row r="2429" spans="1:5">
      <c r="A2429" s="284">
        <f t="shared" si="1028"/>
        <v>2361</v>
      </c>
      <c r="B2429" s="285">
        <v>1.4871201307896733</v>
      </c>
      <c r="C2429" s="285">
        <v>2.7371938582434177</v>
      </c>
      <c r="D2429" s="285">
        <v>1.6289956156051966</v>
      </c>
      <c r="E2429" s="285">
        <v>-4.232952421189518</v>
      </c>
    </row>
    <row r="2430" spans="1:5">
      <c r="A2430" s="284">
        <f t="shared" si="1028"/>
        <v>2362</v>
      </c>
      <c r="B2430" s="285">
        <v>2.4966854602943451</v>
      </c>
      <c r="C2430" s="285">
        <v>3.1156646763997244</v>
      </c>
      <c r="D2430" s="285">
        <v>1.1485433994900083</v>
      </c>
      <c r="E2430" s="285">
        <v>6.967089384514459</v>
      </c>
    </row>
    <row r="2431" spans="1:5">
      <c r="A2431" s="284">
        <f t="shared" si="1028"/>
        <v>2363</v>
      </c>
      <c r="B2431" s="285">
        <v>-4.0897622792187143</v>
      </c>
      <c r="C2431" s="285">
        <v>1.9347293054475063</v>
      </c>
      <c r="D2431" s="285">
        <v>2.4531717696325916</v>
      </c>
      <c r="E2431" s="285">
        <v>-5.54561676148694</v>
      </c>
    </row>
    <row r="2432" spans="1:5">
      <c r="A2432" s="284">
        <f t="shared" si="1028"/>
        <v>2364</v>
      </c>
      <c r="B2432" s="285">
        <v>-6.5608805668307992</v>
      </c>
      <c r="C2432" s="285">
        <v>1.6036073681210028</v>
      </c>
      <c r="D2432" s="285">
        <v>1.4515656925071501</v>
      </c>
      <c r="E2432" s="285">
        <v>-9.7881444179325747</v>
      </c>
    </row>
    <row r="2433" spans="1:5">
      <c r="A2433" s="284">
        <f t="shared" si="1028"/>
        <v>2365</v>
      </c>
      <c r="B2433" s="285">
        <v>-2.0082796309021602</v>
      </c>
      <c r="C2433" s="285">
        <v>2.2867862869729882</v>
      </c>
      <c r="D2433" s="285">
        <v>1.9976605030644827</v>
      </c>
      <c r="E2433" s="285">
        <v>-10.169301461558806</v>
      </c>
    </row>
    <row r="2434" spans="1:5">
      <c r="A2434" s="284">
        <f t="shared" si="1028"/>
        <v>2366</v>
      </c>
      <c r="B2434" s="285">
        <v>-0.26684873092737205</v>
      </c>
      <c r="C2434" s="285">
        <v>3.164741507987316</v>
      </c>
      <c r="D2434" s="285">
        <v>-1.8730096834861749</v>
      </c>
      <c r="E2434" s="285">
        <v>13.3867595076286</v>
      </c>
    </row>
    <row r="2435" spans="1:5">
      <c r="A2435" s="284">
        <f t="shared" si="1028"/>
        <v>2367</v>
      </c>
      <c r="B2435" s="285">
        <v>1.6434486281717033</v>
      </c>
      <c r="C2435" s="285">
        <v>2.9623440338974936</v>
      </c>
      <c r="D2435" s="285">
        <v>0.74675781649170958</v>
      </c>
      <c r="E2435" s="285">
        <v>-8.2015117851353168</v>
      </c>
    </row>
    <row r="2436" spans="1:5">
      <c r="A2436" s="284">
        <f t="shared" si="1028"/>
        <v>2368</v>
      </c>
      <c r="B2436" s="285">
        <v>-0.93732295056850523</v>
      </c>
      <c r="C2436" s="285">
        <v>1.6167049959260167</v>
      </c>
      <c r="D2436" s="285">
        <v>1.1806261206629263</v>
      </c>
      <c r="E2436" s="285">
        <v>-20.399768508875198</v>
      </c>
    </row>
    <row r="2437" spans="1:5">
      <c r="A2437" s="284">
        <f t="shared" si="1028"/>
        <v>2369</v>
      </c>
      <c r="B2437" s="285">
        <v>1.2980768894026529</v>
      </c>
      <c r="C2437" s="285">
        <v>3.3380075644368312</v>
      </c>
      <c r="D2437" s="285">
        <v>1.1404840214288539</v>
      </c>
      <c r="E2437" s="285">
        <v>3.028358769929191</v>
      </c>
    </row>
    <row r="2438" spans="1:5">
      <c r="A2438" s="284">
        <f t="shared" si="1028"/>
        <v>2370</v>
      </c>
      <c r="B2438" s="285">
        <v>0.78555603650210915</v>
      </c>
      <c r="C2438" s="285">
        <v>1.9649228740817333</v>
      </c>
      <c r="D2438" s="285">
        <v>0.35831038451589126</v>
      </c>
      <c r="E2438" s="285">
        <v>2.9233190751317317</v>
      </c>
    </row>
    <row r="2439" spans="1:5">
      <c r="A2439" s="284">
        <f t="shared" ref="A2439:A2502" si="1029">A2438+1</f>
        <v>2371</v>
      </c>
      <c r="B2439" s="285">
        <v>-1.5602432835609348</v>
      </c>
      <c r="C2439" s="285">
        <v>1.6661959201850984</v>
      </c>
      <c r="D2439" s="285">
        <v>1.550775697857607</v>
      </c>
      <c r="E2439" s="285">
        <v>-7.6388602463691964</v>
      </c>
    </row>
    <row r="2440" spans="1:5">
      <c r="A2440" s="284">
        <f t="shared" si="1029"/>
        <v>2372</v>
      </c>
      <c r="B2440" s="285">
        <v>0.39132137974121578</v>
      </c>
      <c r="C2440" s="285">
        <v>2.2121087145178002</v>
      </c>
      <c r="D2440" s="285">
        <v>3.7045486231253637</v>
      </c>
      <c r="E2440" s="285">
        <v>-11.630638626993301</v>
      </c>
    </row>
    <row r="2441" spans="1:5">
      <c r="A2441" s="284">
        <f t="shared" si="1029"/>
        <v>2373</v>
      </c>
      <c r="B2441" s="285">
        <v>-0.13381245479238932</v>
      </c>
      <c r="C2441" s="285">
        <v>2.3245305692959644</v>
      </c>
      <c r="D2441" s="285">
        <v>2.4989560148298748</v>
      </c>
      <c r="E2441" s="285">
        <v>2.0729300817634262</v>
      </c>
    </row>
    <row r="2442" spans="1:5">
      <c r="A2442" s="284">
        <f t="shared" si="1029"/>
        <v>2374</v>
      </c>
      <c r="B2442" s="285">
        <v>-1.4439170333685485</v>
      </c>
      <c r="C2442" s="285">
        <v>2.7439229036399793</v>
      </c>
      <c r="D2442" s="285">
        <v>0.52491675424254769</v>
      </c>
      <c r="E2442" s="285">
        <v>4.9329860687214371</v>
      </c>
    </row>
    <row r="2443" spans="1:5">
      <c r="A2443" s="284">
        <f t="shared" si="1029"/>
        <v>2375</v>
      </c>
      <c r="B2443" s="285">
        <v>-1.2096005201256799</v>
      </c>
      <c r="C2443" s="285">
        <v>2.034934315849426</v>
      </c>
      <c r="D2443" s="285">
        <v>1.7911258925441937</v>
      </c>
      <c r="E2443" s="285">
        <v>-14.780700717570934</v>
      </c>
    </row>
    <row r="2444" spans="1:5">
      <c r="A2444" s="284">
        <f t="shared" si="1029"/>
        <v>2376</v>
      </c>
      <c r="B2444" s="285">
        <v>-2.4912650086511139</v>
      </c>
      <c r="C2444" s="285">
        <v>2.2060847800395416</v>
      </c>
      <c r="D2444" s="285">
        <v>-0.94998175536332008</v>
      </c>
      <c r="E2444" s="285">
        <v>-4.0577332608352386</v>
      </c>
    </row>
    <row r="2445" spans="1:5">
      <c r="A2445" s="284">
        <f t="shared" si="1029"/>
        <v>2377</v>
      </c>
      <c r="B2445" s="285">
        <v>0.95180225996527079</v>
      </c>
      <c r="C2445" s="285">
        <v>2.7794320397479844</v>
      </c>
      <c r="D2445" s="285">
        <v>0.17210545032995195</v>
      </c>
      <c r="E2445" s="285">
        <v>-0.44668720496233583</v>
      </c>
    </row>
    <row r="2446" spans="1:5">
      <c r="A2446" s="284">
        <f t="shared" si="1029"/>
        <v>2378</v>
      </c>
      <c r="B2446" s="285">
        <v>-2.1057838637355708</v>
      </c>
      <c r="C2446" s="285">
        <v>2.1435688840103237</v>
      </c>
      <c r="D2446" s="285">
        <v>0.77004758953944952</v>
      </c>
      <c r="E2446" s="285">
        <v>-10.435130276364466</v>
      </c>
    </row>
    <row r="2447" spans="1:5">
      <c r="A2447" s="284">
        <f t="shared" si="1029"/>
        <v>2379</v>
      </c>
      <c r="B2447" s="285">
        <v>1.2534687439630618</v>
      </c>
      <c r="C2447" s="285">
        <v>3.179430557936989</v>
      </c>
      <c r="D2447" s="285">
        <v>1.8188099514007119</v>
      </c>
      <c r="E2447" s="285">
        <v>12.703312902217919</v>
      </c>
    </row>
    <row r="2448" spans="1:5">
      <c r="A2448" s="284">
        <f t="shared" si="1029"/>
        <v>2380</v>
      </c>
      <c r="B2448" s="285">
        <v>-4.4786071501285294</v>
      </c>
      <c r="C2448" s="285">
        <v>1.7238689781105501</v>
      </c>
      <c r="D2448" s="285">
        <v>-0.1210867541942946</v>
      </c>
      <c r="E2448" s="285">
        <v>-4.9635764223763132</v>
      </c>
    </row>
    <row r="2449" spans="1:5">
      <c r="A2449" s="284">
        <f t="shared" si="1029"/>
        <v>2381</v>
      </c>
      <c r="B2449" s="285">
        <v>4.3910721213536252</v>
      </c>
      <c r="C2449" s="285">
        <v>3.4330537750564596</v>
      </c>
      <c r="D2449" s="285">
        <v>3.8654251608853807</v>
      </c>
      <c r="E2449" s="285">
        <v>9.7931575775380715</v>
      </c>
    </row>
    <row r="2450" spans="1:5">
      <c r="A2450" s="284">
        <f t="shared" si="1029"/>
        <v>2382</v>
      </c>
      <c r="B2450" s="285">
        <v>2.5268479273660276</v>
      </c>
      <c r="C2450" s="285">
        <v>3.0792290698675417</v>
      </c>
      <c r="D2450" s="285">
        <v>0.43788569759694917</v>
      </c>
      <c r="E2450" s="285">
        <v>6.1192773384011616</v>
      </c>
    </row>
    <row r="2451" spans="1:5">
      <c r="A2451" s="284">
        <f t="shared" si="1029"/>
        <v>2383</v>
      </c>
      <c r="B2451" s="285">
        <v>2.997700417632271</v>
      </c>
      <c r="C2451" s="285">
        <v>2.3065339548833306</v>
      </c>
      <c r="D2451" s="285">
        <v>2.7705778072269318</v>
      </c>
      <c r="E2451" s="285">
        <v>-9.4457455283455882</v>
      </c>
    </row>
    <row r="2452" spans="1:5">
      <c r="A2452" s="284">
        <f t="shared" si="1029"/>
        <v>2384</v>
      </c>
      <c r="B2452" s="285">
        <v>-1.9584217222008602</v>
      </c>
      <c r="C2452" s="285">
        <v>2.0155175532413203</v>
      </c>
      <c r="D2452" s="285">
        <v>1.7442827704615993</v>
      </c>
      <c r="E2452" s="285">
        <v>-16.452705371858006</v>
      </c>
    </row>
    <row r="2453" spans="1:5">
      <c r="A2453" s="284">
        <f t="shared" si="1029"/>
        <v>2385</v>
      </c>
      <c r="B2453" s="285">
        <v>3.1265032196572884</v>
      </c>
      <c r="C2453" s="285">
        <v>3.3316062751281676</v>
      </c>
      <c r="D2453" s="285">
        <v>0.32692038891985664</v>
      </c>
      <c r="E2453" s="285">
        <v>7.2259669950443541</v>
      </c>
    </row>
    <row r="2454" spans="1:5">
      <c r="A2454" s="284">
        <f t="shared" si="1029"/>
        <v>2386</v>
      </c>
      <c r="B2454" s="285">
        <v>-1.5046902196808047</v>
      </c>
      <c r="C2454" s="285">
        <v>3.0899842574978189</v>
      </c>
      <c r="D2454" s="285">
        <v>0.75256987698066891</v>
      </c>
      <c r="E2454" s="285">
        <v>-2.2682533845031023</v>
      </c>
    </row>
    <row r="2455" spans="1:5">
      <c r="A2455" s="284">
        <f t="shared" si="1029"/>
        <v>2387</v>
      </c>
      <c r="B2455" s="285">
        <v>1.9959401244224129</v>
      </c>
      <c r="C2455" s="285">
        <v>2.7948997298008234</v>
      </c>
      <c r="D2455" s="285">
        <v>2.0437704764600477</v>
      </c>
      <c r="E2455" s="285">
        <v>-7.8224598649864792</v>
      </c>
    </row>
    <row r="2456" spans="1:5">
      <c r="A2456" s="284">
        <f t="shared" si="1029"/>
        <v>2388</v>
      </c>
      <c r="B2456" s="285">
        <v>-0.98228485366612772</v>
      </c>
      <c r="C2456" s="285">
        <v>2.16627223582294</v>
      </c>
      <c r="D2456" s="285">
        <v>0.62537204230188304</v>
      </c>
      <c r="E2456" s="285">
        <v>-0.8925707075689373</v>
      </c>
    </row>
    <row r="2457" spans="1:5">
      <c r="A2457" s="284">
        <f t="shared" si="1029"/>
        <v>2389</v>
      </c>
      <c r="B2457" s="285">
        <v>-6.6828536756598222E-3</v>
      </c>
      <c r="C2457" s="285">
        <v>2.9052078861112025</v>
      </c>
      <c r="D2457" s="285">
        <v>0.58016958983549838</v>
      </c>
      <c r="E2457" s="285">
        <v>3.93789498467615</v>
      </c>
    </row>
    <row r="2458" spans="1:5">
      <c r="A2458" s="284">
        <f t="shared" si="1029"/>
        <v>2390</v>
      </c>
      <c r="B2458" s="285">
        <v>-0.41635945093541388</v>
      </c>
      <c r="C2458" s="285">
        <v>1.4225658334245086</v>
      </c>
      <c r="D2458" s="285">
        <v>1.8512089270387038</v>
      </c>
      <c r="E2458" s="285">
        <v>-14.454634249159604</v>
      </c>
    </row>
    <row r="2459" spans="1:5">
      <c r="A2459" s="284">
        <f t="shared" si="1029"/>
        <v>2391</v>
      </c>
      <c r="B2459" s="285">
        <v>3.5955780372117223</v>
      </c>
      <c r="C2459" s="285">
        <v>2.9346939005514399</v>
      </c>
      <c r="D2459" s="285">
        <v>1.6497811694592797</v>
      </c>
      <c r="E2459" s="285">
        <v>-4.9313017369520278</v>
      </c>
    </row>
    <row r="2460" spans="1:5">
      <c r="A2460" s="284">
        <f t="shared" si="1029"/>
        <v>2392</v>
      </c>
      <c r="B2460" s="285">
        <v>4.0240597183908013</v>
      </c>
      <c r="C2460" s="285">
        <v>2.4804142365934174</v>
      </c>
      <c r="D2460" s="285">
        <v>1.7751088922418161</v>
      </c>
      <c r="E2460" s="285">
        <v>-3.0634835794665052</v>
      </c>
    </row>
    <row r="2461" spans="1:5">
      <c r="A2461" s="284">
        <f t="shared" si="1029"/>
        <v>2393</v>
      </c>
      <c r="B2461" s="285">
        <v>-1.8301750701685071</v>
      </c>
      <c r="C2461" s="285">
        <v>1.7572600795475299</v>
      </c>
      <c r="D2461" s="285">
        <v>2.5861460422083344</v>
      </c>
      <c r="E2461" s="285">
        <v>-22.96999045070314</v>
      </c>
    </row>
    <row r="2462" spans="1:5">
      <c r="A2462" s="284">
        <f t="shared" si="1029"/>
        <v>2394</v>
      </c>
      <c r="B2462" s="285">
        <v>1.8066428721150614</v>
      </c>
      <c r="C2462" s="285">
        <v>3.1853855628663492</v>
      </c>
      <c r="D2462" s="285">
        <v>-0.17204512513110037</v>
      </c>
      <c r="E2462" s="285">
        <v>7.4631604547107422</v>
      </c>
    </row>
    <row r="2463" spans="1:5">
      <c r="A2463" s="284">
        <f t="shared" si="1029"/>
        <v>2395</v>
      </c>
      <c r="B2463" s="285">
        <v>-4.1717284755056152</v>
      </c>
      <c r="C2463" s="285">
        <v>1.4719267399095426</v>
      </c>
      <c r="D2463" s="285">
        <v>0.67395211254726539</v>
      </c>
      <c r="E2463" s="285">
        <v>-3.2890700540124018</v>
      </c>
    </row>
    <row r="2464" spans="1:5">
      <c r="A2464" s="284">
        <f t="shared" si="1029"/>
        <v>2396</v>
      </c>
      <c r="B2464" s="285">
        <v>0.68164843466796488</v>
      </c>
      <c r="C2464" s="285">
        <v>2.4149496460845241</v>
      </c>
      <c r="D2464" s="285">
        <v>7.459231990507087E-2</v>
      </c>
      <c r="E2464" s="285">
        <v>1.6590784176850968</v>
      </c>
    </row>
    <row r="2465" spans="1:5">
      <c r="A2465" s="284">
        <f t="shared" si="1029"/>
        <v>2397</v>
      </c>
      <c r="B2465" s="285">
        <v>2.4218429431545512</v>
      </c>
      <c r="C2465" s="285">
        <v>3.5056935421121675</v>
      </c>
      <c r="D2465" s="285">
        <v>-0.61433236548706871</v>
      </c>
      <c r="E2465" s="285">
        <v>6.732894601396886</v>
      </c>
    </row>
    <row r="2466" spans="1:5">
      <c r="A2466" s="284">
        <f t="shared" si="1029"/>
        <v>2398</v>
      </c>
      <c r="B2466" s="285">
        <v>2.4425993519418197</v>
      </c>
      <c r="C2466" s="285">
        <v>2.4552784649089876</v>
      </c>
      <c r="D2466" s="285">
        <v>-0.14742209572048015</v>
      </c>
      <c r="E2466" s="285">
        <v>4.8508685947943242</v>
      </c>
    </row>
    <row r="2467" spans="1:5">
      <c r="A2467" s="284">
        <f t="shared" si="1029"/>
        <v>2399</v>
      </c>
      <c r="B2467" s="285">
        <v>0.45111743662524539</v>
      </c>
      <c r="C2467" s="285">
        <v>1.8524539593152416</v>
      </c>
      <c r="D2467" s="285">
        <v>3.4880459179595413</v>
      </c>
      <c r="E2467" s="285">
        <v>-26.335893373585488</v>
      </c>
    </row>
    <row r="2468" spans="1:5">
      <c r="A2468" s="284">
        <f t="shared" si="1029"/>
        <v>2400</v>
      </c>
      <c r="B2468" s="285">
        <v>-2.8518007513814103</v>
      </c>
      <c r="C2468" s="285">
        <v>2.3563289347340302</v>
      </c>
      <c r="D2468" s="285">
        <v>2.7115571772930167</v>
      </c>
      <c r="E2468" s="285">
        <v>8.353530479484494</v>
      </c>
    </row>
    <row r="2469" spans="1:5">
      <c r="A2469" s="284">
        <f t="shared" si="1029"/>
        <v>2401</v>
      </c>
      <c r="B2469" s="285">
        <v>3.7953624896490212</v>
      </c>
      <c r="C2469" s="285">
        <v>2.6440228054700414</v>
      </c>
      <c r="D2469" s="285">
        <v>1.4487011036933153</v>
      </c>
      <c r="E2469" s="285">
        <v>-8.5395419644485351</v>
      </c>
    </row>
    <row r="2470" spans="1:5">
      <c r="A2470" s="284">
        <f t="shared" si="1029"/>
        <v>2402</v>
      </c>
      <c r="B2470" s="285">
        <v>0.57599052455974398</v>
      </c>
      <c r="C2470" s="285">
        <v>2.709886183406045</v>
      </c>
      <c r="D2470" s="285">
        <v>0.42499377068249822</v>
      </c>
      <c r="E2470" s="285">
        <v>-5.6501085162695865</v>
      </c>
    </row>
    <row r="2471" spans="1:5">
      <c r="A2471" s="284">
        <f t="shared" si="1029"/>
        <v>2403</v>
      </c>
      <c r="B2471" s="285">
        <v>-2.8326226699715091</v>
      </c>
      <c r="C2471" s="285">
        <v>2.292983047604686</v>
      </c>
      <c r="D2471" s="285">
        <v>2.9775900124129429</v>
      </c>
      <c r="E2471" s="285">
        <v>-3.2826058282610568</v>
      </c>
    </row>
    <row r="2472" spans="1:5">
      <c r="A2472" s="284">
        <f t="shared" si="1029"/>
        <v>2404</v>
      </c>
      <c r="B2472" s="285">
        <v>1.5675084323389827</v>
      </c>
      <c r="C2472" s="285">
        <v>2.3148796751406939</v>
      </c>
      <c r="D2472" s="285">
        <v>0.78727998717746528</v>
      </c>
      <c r="E2472" s="285">
        <v>-11.199889331316166</v>
      </c>
    </row>
    <row r="2473" spans="1:5">
      <c r="A2473" s="284">
        <f t="shared" si="1029"/>
        <v>2405</v>
      </c>
      <c r="B2473" s="285">
        <v>-2.1690282989391285</v>
      </c>
      <c r="C2473" s="285">
        <v>2.0970562657557874</v>
      </c>
      <c r="D2473" s="285">
        <v>0.65030574432918087</v>
      </c>
      <c r="E2473" s="285">
        <v>-14.062630226131692</v>
      </c>
    </row>
    <row r="2474" spans="1:5">
      <c r="A2474" s="284">
        <f t="shared" si="1029"/>
        <v>2406</v>
      </c>
      <c r="B2474" s="285">
        <v>0.41124569869661243</v>
      </c>
      <c r="C2474" s="285">
        <v>2.6777175435700107</v>
      </c>
      <c r="D2474" s="285">
        <v>1.5951441779917324</v>
      </c>
      <c r="E2474" s="285">
        <v>-5.4990350079134087</v>
      </c>
    </row>
    <row r="2475" spans="1:5">
      <c r="A2475" s="284">
        <f t="shared" si="1029"/>
        <v>2407</v>
      </c>
      <c r="B2475" s="285">
        <v>-0.85054839846841535</v>
      </c>
      <c r="C2475" s="285">
        <v>2.136197961818791</v>
      </c>
      <c r="D2475" s="285">
        <v>-0.96477691225569151</v>
      </c>
      <c r="E2475" s="285">
        <v>-14.165904029405064</v>
      </c>
    </row>
    <row r="2476" spans="1:5">
      <c r="A2476" s="284">
        <f t="shared" si="1029"/>
        <v>2408</v>
      </c>
      <c r="B2476" s="285">
        <v>1.0272801963157534</v>
      </c>
      <c r="C2476" s="285">
        <v>2.8790892016734801</v>
      </c>
      <c r="D2476" s="285">
        <v>6.0435474516277621E-2</v>
      </c>
      <c r="E2476" s="285">
        <v>3.9813055639821715</v>
      </c>
    </row>
    <row r="2477" spans="1:5">
      <c r="A2477" s="284">
        <f t="shared" si="1029"/>
        <v>2409</v>
      </c>
      <c r="B2477" s="285">
        <v>0.12577252759902902</v>
      </c>
      <c r="C2477" s="285">
        <v>2.2659541652874648</v>
      </c>
      <c r="D2477" s="285">
        <v>2.193220724563008</v>
      </c>
      <c r="E2477" s="285">
        <v>-6.6553158229711942</v>
      </c>
    </row>
    <row r="2478" spans="1:5">
      <c r="A2478" s="284">
        <f t="shared" si="1029"/>
        <v>2410</v>
      </c>
      <c r="B2478" s="285">
        <v>-1.4386546704777938</v>
      </c>
      <c r="C2478" s="285">
        <v>1.8791022204219405</v>
      </c>
      <c r="D2478" s="285">
        <v>0.35458452653230077</v>
      </c>
      <c r="E2478" s="285">
        <v>-16.652355661918438</v>
      </c>
    </row>
    <row r="2479" spans="1:5">
      <c r="A2479" s="284">
        <f t="shared" si="1029"/>
        <v>2411</v>
      </c>
      <c r="B2479" s="285">
        <v>-0.8927766871459325</v>
      </c>
      <c r="C2479" s="285">
        <v>2.3691873755224089</v>
      </c>
      <c r="D2479" s="285">
        <v>1.6650250177430106</v>
      </c>
      <c r="E2479" s="285">
        <v>1.9447317184408486</v>
      </c>
    </row>
    <row r="2480" spans="1:5">
      <c r="A2480" s="284">
        <f t="shared" si="1029"/>
        <v>2412</v>
      </c>
      <c r="B2480" s="285">
        <v>3.1991181834219985E-2</v>
      </c>
      <c r="C2480" s="285">
        <v>2.6175600437766269</v>
      </c>
      <c r="D2480" s="285">
        <v>0.38338477255254055</v>
      </c>
      <c r="E2480" s="285">
        <v>-16.575606146528678</v>
      </c>
    </row>
    <row r="2481" spans="1:5">
      <c r="A2481" s="284">
        <f t="shared" si="1029"/>
        <v>2413</v>
      </c>
      <c r="B2481" s="285">
        <v>-5.0490528666180774</v>
      </c>
      <c r="C2481" s="285">
        <v>1.7748625123630206</v>
      </c>
      <c r="D2481" s="285">
        <v>-1.285488898898226</v>
      </c>
      <c r="E2481" s="285">
        <v>1.080916534631656</v>
      </c>
    </row>
    <row r="2482" spans="1:5">
      <c r="A2482" s="284">
        <f t="shared" si="1029"/>
        <v>2414</v>
      </c>
      <c r="B2482" s="285">
        <v>3.8004205032322096</v>
      </c>
      <c r="C2482" s="285">
        <v>2.4023870232559394</v>
      </c>
      <c r="D2482" s="285">
        <v>1.0148155153933311</v>
      </c>
      <c r="E2482" s="285">
        <v>-19.443820385437657</v>
      </c>
    </row>
    <row r="2483" spans="1:5">
      <c r="A2483" s="284">
        <f t="shared" si="1029"/>
        <v>2415</v>
      </c>
      <c r="B2483" s="285">
        <v>-2.1883209091117111E-2</v>
      </c>
      <c r="C2483" s="285">
        <v>2.2073492512315767</v>
      </c>
      <c r="D2483" s="285">
        <v>0.68114878769312981</v>
      </c>
      <c r="E2483" s="285">
        <v>-14.11546788352574</v>
      </c>
    </row>
    <row r="2484" spans="1:5">
      <c r="A2484" s="284">
        <f t="shared" si="1029"/>
        <v>2416</v>
      </c>
      <c r="B2484" s="285">
        <v>-2.4134575538794563</v>
      </c>
      <c r="C2484" s="285">
        <v>1.8235920399698182</v>
      </c>
      <c r="D2484" s="285">
        <v>2.9360757423663397</v>
      </c>
      <c r="E2484" s="285">
        <v>-2.3105699502712578</v>
      </c>
    </row>
    <row r="2485" spans="1:5">
      <c r="A2485" s="284">
        <f t="shared" si="1029"/>
        <v>2417</v>
      </c>
      <c r="B2485" s="285">
        <v>0.66235576713928812</v>
      </c>
      <c r="C2485" s="285">
        <v>2.8450550176989711</v>
      </c>
      <c r="D2485" s="285">
        <v>0.68020715474765714</v>
      </c>
      <c r="E2485" s="285">
        <v>3.0340703903578601</v>
      </c>
    </row>
    <row r="2486" spans="1:5">
      <c r="A2486" s="284">
        <f t="shared" si="1029"/>
        <v>2418</v>
      </c>
      <c r="B2486" s="285">
        <v>1.3342337856066506</v>
      </c>
      <c r="C2486" s="285">
        <v>2.1318852893150804</v>
      </c>
      <c r="D2486" s="285">
        <v>0.73193310016515645</v>
      </c>
      <c r="E2486" s="285">
        <v>-13.979217070825303</v>
      </c>
    </row>
    <row r="2487" spans="1:5">
      <c r="A2487" s="284">
        <f t="shared" si="1029"/>
        <v>2419</v>
      </c>
      <c r="B2487" s="285">
        <v>1.6197784525465073</v>
      </c>
      <c r="C2487" s="285">
        <v>2.574607487113437</v>
      </c>
      <c r="D2487" s="285">
        <v>1.020609542762992</v>
      </c>
      <c r="E2487" s="285">
        <v>-4.6299101801965517</v>
      </c>
    </row>
    <row r="2488" spans="1:5">
      <c r="A2488" s="284">
        <f t="shared" si="1029"/>
        <v>2420</v>
      </c>
      <c r="B2488" s="285">
        <v>-3.5103855004829532</v>
      </c>
      <c r="C2488" s="285">
        <v>2.1020827646445071</v>
      </c>
      <c r="D2488" s="285">
        <v>-9.4959699832027233E-2</v>
      </c>
      <c r="E2488" s="285">
        <v>-0.95871469217825611</v>
      </c>
    </row>
    <row r="2489" spans="1:5">
      <c r="A2489" s="284">
        <f t="shared" si="1029"/>
        <v>2421</v>
      </c>
      <c r="B2489" s="285">
        <v>2.0738860807067483</v>
      </c>
      <c r="C2489" s="285">
        <v>3.1844105691761277</v>
      </c>
      <c r="D2489" s="285">
        <v>2.00784712023541</v>
      </c>
      <c r="E2489" s="285">
        <v>-0.85713162515752783</v>
      </c>
    </row>
    <row r="2490" spans="1:5">
      <c r="A2490" s="284">
        <f t="shared" si="1029"/>
        <v>2422</v>
      </c>
      <c r="B2490" s="285">
        <v>-4.1330097341237337</v>
      </c>
      <c r="C2490" s="285">
        <v>1.6829313450847132</v>
      </c>
      <c r="D2490" s="285">
        <v>1.2442352376532408</v>
      </c>
      <c r="E2490" s="285">
        <v>-18.472285023715347</v>
      </c>
    </row>
    <row r="2491" spans="1:5">
      <c r="A2491" s="284">
        <f t="shared" si="1029"/>
        <v>2423</v>
      </c>
      <c r="B2491" s="285">
        <v>5.3793028321908718</v>
      </c>
      <c r="C2491" s="285">
        <v>2.6576110035536815</v>
      </c>
      <c r="D2491" s="285">
        <v>1.929509709699845</v>
      </c>
      <c r="E2491" s="285">
        <v>1.3566791279589006</v>
      </c>
    </row>
    <row r="2492" spans="1:5">
      <c r="A2492" s="284">
        <f t="shared" si="1029"/>
        <v>2424</v>
      </c>
      <c r="B2492" s="285">
        <v>-1.5864052294245901</v>
      </c>
      <c r="C2492" s="285">
        <v>2.4976115838702579</v>
      </c>
      <c r="D2492" s="285">
        <v>2.6154685573317997</v>
      </c>
      <c r="E2492" s="285">
        <v>-9.6883012425952639</v>
      </c>
    </row>
    <row r="2493" spans="1:5">
      <c r="A2493" s="284">
        <f t="shared" si="1029"/>
        <v>2425</v>
      </c>
      <c r="B2493" s="285">
        <v>1.5688643225253143</v>
      </c>
      <c r="C2493" s="285">
        <v>3.0343359321011505</v>
      </c>
      <c r="D2493" s="285">
        <v>0.85698197071074433</v>
      </c>
      <c r="E2493" s="285">
        <v>3.1922136826309919</v>
      </c>
    </row>
    <row r="2494" spans="1:5">
      <c r="A2494" s="284">
        <f t="shared" si="1029"/>
        <v>2426</v>
      </c>
      <c r="B2494" s="285">
        <v>-1.1655561191452013</v>
      </c>
      <c r="C2494" s="285">
        <v>1.9585807675039055</v>
      </c>
      <c r="D2494" s="285">
        <v>0.11509587051703174</v>
      </c>
      <c r="E2494" s="285">
        <v>-0.26562653115718904</v>
      </c>
    </row>
    <row r="2495" spans="1:5">
      <c r="A2495" s="284">
        <f t="shared" si="1029"/>
        <v>2427</v>
      </c>
      <c r="B2495" s="285">
        <v>-0.94496042954345327</v>
      </c>
      <c r="C2495" s="285">
        <v>3.2553894367676599</v>
      </c>
      <c r="D2495" s="285">
        <v>2.3777183166132758</v>
      </c>
      <c r="E2495" s="285">
        <v>4.347767984026321</v>
      </c>
    </row>
    <row r="2496" spans="1:5">
      <c r="A2496" s="284">
        <f t="shared" si="1029"/>
        <v>2428</v>
      </c>
      <c r="B2496" s="285">
        <v>-3.1825963347583923</v>
      </c>
      <c r="C2496" s="285">
        <v>2.8866253191706202</v>
      </c>
      <c r="D2496" s="285">
        <v>-0.24632680343128044</v>
      </c>
      <c r="E2496" s="285">
        <v>3.8599795154550347</v>
      </c>
    </row>
    <row r="2497" spans="1:5">
      <c r="A2497" s="284">
        <f t="shared" si="1029"/>
        <v>2429</v>
      </c>
      <c r="B2497" s="285">
        <v>-1.3796399294653978</v>
      </c>
      <c r="C2497" s="285">
        <v>3.3160949558392101</v>
      </c>
      <c r="D2497" s="285">
        <v>-5.3611036691966651E-2</v>
      </c>
      <c r="E2497" s="285">
        <v>27.777820522366614</v>
      </c>
    </row>
    <row r="2498" spans="1:5">
      <c r="A2498" s="284">
        <f t="shared" si="1029"/>
        <v>2430</v>
      </c>
      <c r="B2498" s="285">
        <v>0.22146994314288712</v>
      </c>
      <c r="C2498" s="285">
        <v>2.3226149327499583</v>
      </c>
      <c r="D2498" s="285">
        <v>0.84270429898253241</v>
      </c>
      <c r="E2498" s="285">
        <v>-2.2275425117264893</v>
      </c>
    </row>
    <row r="2499" spans="1:5">
      <c r="A2499" s="284">
        <f t="shared" si="1029"/>
        <v>2431</v>
      </c>
      <c r="B2499" s="285">
        <v>0.54744155904088454</v>
      </c>
      <c r="C2499" s="285">
        <v>2.8679568737710994</v>
      </c>
      <c r="D2499" s="285">
        <v>2.9566301168296705</v>
      </c>
      <c r="E2499" s="285">
        <v>5.5685922709599929</v>
      </c>
    </row>
    <row r="2500" spans="1:5">
      <c r="A2500" s="284">
        <f t="shared" si="1029"/>
        <v>2432</v>
      </c>
      <c r="B2500" s="285">
        <v>-0.99949062803399769</v>
      </c>
      <c r="C2500" s="285">
        <v>3.08123043627092</v>
      </c>
      <c r="D2500" s="285">
        <v>1.3130161222805168</v>
      </c>
      <c r="E2500" s="285">
        <v>-2.312198843000036</v>
      </c>
    </row>
    <row r="2501" spans="1:5">
      <c r="A2501" s="284">
        <f t="shared" si="1029"/>
        <v>2433</v>
      </c>
      <c r="B2501" s="285">
        <v>-1.9809541021505608</v>
      </c>
      <c r="C2501" s="285">
        <v>1.4355766565358234</v>
      </c>
      <c r="D2501" s="285">
        <v>1.1088375639955987</v>
      </c>
      <c r="E2501" s="285">
        <v>-23.1092021701817</v>
      </c>
    </row>
    <row r="2502" spans="1:5">
      <c r="A2502" s="284">
        <f t="shared" si="1029"/>
        <v>2434</v>
      </c>
      <c r="B2502" s="285">
        <v>5.3047664164913044</v>
      </c>
      <c r="C2502" s="285">
        <v>2.9781412017312441</v>
      </c>
      <c r="D2502" s="285">
        <v>0.85937229996700015</v>
      </c>
      <c r="E2502" s="285">
        <v>2.5084327517471858</v>
      </c>
    </row>
    <row r="2503" spans="1:5">
      <c r="A2503" s="284">
        <f t="shared" ref="A2503:A2566" si="1030">A2502+1</f>
        <v>2435</v>
      </c>
      <c r="B2503" s="285">
        <v>-0.91777601759751148</v>
      </c>
      <c r="C2503" s="285">
        <v>2.8467729337379932</v>
      </c>
      <c r="D2503" s="285">
        <v>2.3070136285792895</v>
      </c>
      <c r="E2503" s="285">
        <v>-4.2167956757156979</v>
      </c>
    </row>
    <row r="2504" spans="1:5">
      <c r="A2504" s="284">
        <f t="shared" si="1030"/>
        <v>2436</v>
      </c>
      <c r="B2504" s="285">
        <v>1.5427500238567955</v>
      </c>
      <c r="C2504" s="285">
        <v>2.3170951528550647</v>
      </c>
      <c r="D2504" s="285">
        <v>1.7832529418971044</v>
      </c>
      <c r="E2504" s="285">
        <v>-3.3187194941849829</v>
      </c>
    </row>
    <row r="2505" spans="1:5">
      <c r="A2505" s="284">
        <f t="shared" si="1030"/>
        <v>2437</v>
      </c>
      <c r="B2505" s="285">
        <v>-0.41723530678162912</v>
      </c>
      <c r="C2505" s="285">
        <v>2.1777760976810265</v>
      </c>
      <c r="D2505" s="285">
        <v>2.4758499276766255</v>
      </c>
      <c r="E2505" s="285">
        <v>-6.0555135865748984</v>
      </c>
    </row>
    <row r="2506" spans="1:5">
      <c r="A2506" s="284">
        <f t="shared" si="1030"/>
        <v>2438</v>
      </c>
      <c r="B2506" s="285">
        <v>5.0754825987827292</v>
      </c>
      <c r="C2506" s="285">
        <v>2.1688930535038895</v>
      </c>
      <c r="D2506" s="285">
        <v>1.9864590392665016</v>
      </c>
      <c r="E2506" s="285">
        <v>-22.753797865300431</v>
      </c>
    </row>
    <row r="2507" spans="1:5">
      <c r="A2507" s="284">
        <f t="shared" si="1030"/>
        <v>2439</v>
      </c>
      <c r="B2507" s="285">
        <v>2.4405981191141977</v>
      </c>
      <c r="C2507" s="285">
        <v>2.2164865501994973</v>
      </c>
      <c r="D2507" s="285">
        <v>1.2816202963107894</v>
      </c>
      <c r="E2507" s="285">
        <v>-1.9639863017965919</v>
      </c>
    </row>
    <row r="2508" spans="1:5">
      <c r="A2508" s="284">
        <f t="shared" si="1030"/>
        <v>2440</v>
      </c>
      <c r="B2508" s="285">
        <v>-0.17624224938696081</v>
      </c>
      <c r="C2508" s="285">
        <v>2.8103193597512734</v>
      </c>
      <c r="D2508" s="285">
        <v>1.6886497074508975</v>
      </c>
      <c r="E2508" s="285">
        <v>-5.893584746932218</v>
      </c>
    </row>
    <row r="2509" spans="1:5">
      <c r="A2509" s="284">
        <f t="shared" si="1030"/>
        <v>2441</v>
      </c>
      <c r="B2509" s="285">
        <v>0.49382880555275538</v>
      </c>
      <c r="C2509" s="285">
        <v>3.0114674074415699</v>
      </c>
      <c r="D2509" s="285">
        <v>1.0677197586890363</v>
      </c>
      <c r="E2509" s="285">
        <v>11.946034079526285</v>
      </c>
    </row>
    <row r="2510" spans="1:5">
      <c r="A2510" s="284">
        <f t="shared" si="1030"/>
        <v>2442</v>
      </c>
      <c r="B2510" s="285">
        <v>-1.8314204967356567</v>
      </c>
      <c r="C2510" s="285">
        <v>2.6746679911904954</v>
      </c>
      <c r="D2510" s="285">
        <v>-2.3618426245180402E-2</v>
      </c>
      <c r="E2510" s="285">
        <v>2.5606960506477141</v>
      </c>
    </row>
    <row r="2511" spans="1:5">
      <c r="A2511" s="284">
        <f t="shared" si="1030"/>
        <v>2443</v>
      </c>
      <c r="B2511" s="285">
        <v>2.1852870930814086</v>
      </c>
      <c r="C2511" s="285">
        <v>2.9269253295537179</v>
      </c>
      <c r="D2511" s="285">
        <v>1.8779169183422564</v>
      </c>
      <c r="E2511" s="285">
        <v>3.8973563394889816</v>
      </c>
    </row>
    <row r="2512" spans="1:5">
      <c r="A2512" s="284">
        <f t="shared" si="1030"/>
        <v>2444</v>
      </c>
      <c r="B2512" s="285">
        <v>3.7537328342950032</v>
      </c>
      <c r="C2512" s="285">
        <v>2.6390456517692433</v>
      </c>
      <c r="D2512" s="285">
        <v>2.7610318668334468</v>
      </c>
      <c r="E2512" s="285">
        <v>3.0746475215126967E-2</v>
      </c>
    </row>
    <row r="2513" spans="1:5">
      <c r="A2513" s="284">
        <f t="shared" si="1030"/>
        <v>2445</v>
      </c>
      <c r="B2513" s="285">
        <v>-0.48483113497168401</v>
      </c>
      <c r="C2513" s="285">
        <v>2.3340289264828158</v>
      </c>
      <c r="D2513" s="285">
        <v>7.6646418475639688E-2</v>
      </c>
      <c r="E2513" s="285">
        <v>-13.567962848367376</v>
      </c>
    </row>
    <row r="2514" spans="1:5">
      <c r="A2514" s="284">
        <f t="shared" si="1030"/>
        <v>2446</v>
      </c>
      <c r="B2514" s="285">
        <v>-0.81255143302758159</v>
      </c>
      <c r="C2514" s="285">
        <v>3.1354516049849095</v>
      </c>
      <c r="D2514" s="285">
        <v>-0.43273400471356704</v>
      </c>
      <c r="E2514" s="285">
        <v>10.225442044506813</v>
      </c>
    </row>
    <row r="2515" spans="1:5">
      <c r="A2515" s="284">
        <f t="shared" si="1030"/>
        <v>2447</v>
      </c>
      <c r="B2515" s="285">
        <v>-0.33998615396914705</v>
      </c>
      <c r="C2515" s="285">
        <v>2.2087207715990216</v>
      </c>
      <c r="D2515" s="285">
        <v>1.8521463673047784</v>
      </c>
      <c r="E2515" s="285">
        <v>-5.7871116335742805</v>
      </c>
    </row>
    <row r="2516" spans="1:5">
      <c r="A2516" s="284">
        <f t="shared" si="1030"/>
        <v>2448</v>
      </c>
      <c r="B2516" s="285">
        <v>1.2375376700841556</v>
      </c>
      <c r="C2516" s="285">
        <v>2.2628268889165164</v>
      </c>
      <c r="D2516" s="285">
        <v>0.45233159491245312</v>
      </c>
      <c r="E2516" s="285">
        <v>-2.655208311951871</v>
      </c>
    </row>
    <row r="2517" spans="1:5">
      <c r="A2517" s="284">
        <f t="shared" si="1030"/>
        <v>2449</v>
      </c>
      <c r="B2517" s="285">
        <v>0.91023902037969706</v>
      </c>
      <c r="C2517" s="285">
        <v>2.4828075322050407</v>
      </c>
      <c r="D2517" s="285">
        <v>-5.9219186332081897E-2</v>
      </c>
      <c r="E2517" s="285">
        <v>-12.301229932562343</v>
      </c>
    </row>
    <row r="2518" spans="1:5">
      <c r="A2518" s="284">
        <f t="shared" si="1030"/>
        <v>2450</v>
      </c>
      <c r="B2518" s="285">
        <v>1.1129303670116375</v>
      </c>
      <c r="C2518" s="285">
        <v>3.3337378171016954</v>
      </c>
      <c r="D2518" s="285">
        <v>0.94443153980086081</v>
      </c>
      <c r="E2518" s="285">
        <v>-2.7863831876604919</v>
      </c>
    </row>
    <row r="2519" spans="1:5">
      <c r="A2519" s="284">
        <f t="shared" si="1030"/>
        <v>2451</v>
      </c>
      <c r="B2519" s="285">
        <v>3.8569729252379803</v>
      </c>
      <c r="C2519" s="285">
        <v>2.721545412285264</v>
      </c>
      <c r="D2519" s="285">
        <v>2.9493184668272625</v>
      </c>
      <c r="E2519" s="285">
        <v>-10.061199964935765</v>
      </c>
    </row>
    <row r="2520" spans="1:5">
      <c r="A2520" s="284">
        <f t="shared" si="1030"/>
        <v>2452</v>
      </c>
      <c r="B2520" s="285">
        <v>5.2592481360717604</v>
      </c>
      <c r="C2520" s="285">
        <v>3.2731947043777536</v>
      </c>
      <c r="D2520" s="285">
        <v>2.9467926575081922</v>
      </c>
      <c r="E2520" s="285">
        <v>4.9632975693494874</v>
      </c>
    </row>
    <row r="2521" spans="1:5">
      <c r="A2521" s="284">
        <f t="shared" si="1030"/>
        <v>2453</v>
      </c>
      <c r="B2521" s="285">
        <v>-0.49585870737318688</v>
      </c>
      <c r="C2521" s="285">
        <v>2.1619571793846006</v>
      </c>
      <c r="D2521" s="285">
        <v>2.7389541385874629</v>
      </c>
      <c r="E2521" s="285">
        <v>-14.816161843539559</v>
      </c>
    </row>
    <row r="2522" spans="1:5">
      <c r="A2522" s="284">
        <f t="shared" si="1030"/>
        <v>2454</v>
      </c>
      <c r="B2522" s="285">
        <v>-3.4096942464223532</v>
      </c>
      <c r="C2522" s="285">
        <v>2.5901540887032373</v>
      </c>
      <c r="D2522" s="285">
        <v>-0.77714186287056664</v>
      </c>
      <c r="E2522" s="285">
        <v>1.0433275569324851</v>
      </c>
    </row>
    <row r="2523" spans="1:5">
      <c r="A2523" s="284">
        <f t="shared" si="1030"/>
        <v>2455</v>
      </c>
      <c r="B2523" s="285">
        <v>5.2386048086037986</v>
      </c>
      <c r="C2523" s="285">
        <v>2.7696500426660715</v>
      </c>
      <c r="D2523" s="285">
        <v>2.5112129741410811</v>
      </c>
      <c r="E2523" s="285">
        <v>-6.4681225917037066</v>
      </c>
    </row>
    <row r="2524" spans="1:5">
      <c r="A2524" s="284">
        <f t="shared" si="1030"/>
        <v>2456</v>
      </c>
      <c r="B2524" s="285">
        <v>1.9546599244610683</v>
      </c>
      <c r="C2524" s="285">
        <v>2.8341503632619722</v>
      </c>
      <c r="D2524" s="285">
        <v>1.2962861497410025</v>
      </c>
      <c r="E2524" s="285">
        <v>-5.1463398673582752</v>
      </c>
    </row>
    <row r="2525" spans="1:5">
      <c r="A2525" s="284">
        <f t="shared" si="1030"/>
        <v>2457</v>
      </c>
      <c r="B2525" s="285">
        <v>-0.73273145791214622</v>
      </c>
      <c r="C2525" s="285">
        <v>3.004353698684942</v>
      </c>
      <c r="D2525" s="285">
        <v>-0.27977801262441715</v>
      </c>
      <c r="E2525" s="285">
        <v>-7.2129656508959723</v>
      </c>
    </row>
    <row r="2526" spans="1:5">
      <c r="A2526" s="284">
        <f t="shared" si="1030"/>
        <v>2458</v>
      </c>
      <c r="B2526" s="285">
        <v>2.491382860002838</v>
      </c>
      <c r="C2526" s="285">
        <v>2.7614958540518684</v>
      </c>
      <c r="D2526" s="285">
        <v>1.1809665885071916</v>
      </c>
      <c r="E2526" s="285">
        <v>3.4584016273686964</v>
      </c>
    </row>
    <row r="2527" spans="1:5">
      <c r="A2527" s="284">
        <f t="shared" si="1030"/>
        <v>2459</v>
      </c>
      <c r="B2527" s="285">
        <v>-6.5005082330397563</v>
      </c>
      <c r="C2527" s="285">
        <v>2.4474343901282407</v>
      </c>
      <c r="D2527" s="285">
        <v>1.0275802709735729</v>
      </c>
      <c r="E2527" s="285">
        <v>-7.1812978402289769</v>
      </c>
    </row>
    <row r="2528" spans="1:5">
      <c r="A2528" s="284">
        <f t="shared" si="1030"/>
        <v>2460</v>
      </c>
      <c r="B2528" s="285">
        <v>-0.75360526224324242</v>
      </c>
      <c r="C2528" s="285">
        <v>2.0205790957608762</v>
      </c>
      <c r="D2528" s="285">
        <v>1.6241562660560767</v>
      </c>
      <c r="E2528" s="285">
        <v>-7.0747063370102197</v>
      </c>
    </row>
    <row r="2529" spans="1:5">
      <c r="A2529" s="284">
        <f t="shared" si="1030"/>
        <v>2461</v>
      </c>
      <c r="B2529" s="285">
        <v>4.8098915461300438</v>
      </c>
      <c r="C2529" s="285">
        <v>2.862858164261846</v>
      </c>
      <c r="D2529" s="285">
        <v>1.581226142772278</v>
      </c>
      <c r="E2529" s="285">
        <v>5.4376733561262629</v>
      </c>
    </row>
    <row r="2530" spans="1:5">
      <c r="A2530" s="284">
        <f t="shared" si="1030"/>
        <v>2462</v>
      </c>
      <c r="B2530" s="285">
        <v>-0.29083425569541266</v>
      </c>
      <c r="C2530" s="285">
        <v>2.3715646082054258</v>
      </c>
      <c r="D2530" s="285">
        <v>1.46329201985768</v>
      </c>
      <c r="E2530" s="285">
        <v>1.0049108808741374</v>
      </c>
    </row>
    <row r="2531" spans="1:5">
      <c r="A2531" s="284">
        <f t="shared" si="1030"/>
        <v>2463</v>
      </c>
      <c r="B2531" s="285">
        <v>0.82270718120865893</v>
      </c>
      <c r="C2531" s="285">
        <v>2.408741132590333</v>
      </c>
      <c r="D2531" s="285">
        <v>1.8056404821660799</v>
      </c>
      <c r="E2531" s="285">
        <v>-18.995912067215631</v>
      </c>
    </row>
    <row r="2532" spans="1:5">
      <c r="A2532" s="284">
        <f t="shared" si="1030"/>
        <v>2464</v>
      </c>
      <c r="B2532" s="285">
        <v>3.6649254354519445</v>
      </c>
      <c r="C2532" s="285">
        <v>3.0168387358584816</v>
      </c>
      <c r="D2532" s="285">
        <v>0.42519512187169128</v>
      </c>
      <c r="E2532" s="285">
        <v>15.434560944093871</v>
      </c>
    </row>
    <row r="2533" spans="1:5">
      <c r="A2533" s="284">
        <f t="shared" si="1030"/>
        <v>2465</v>
      </c>
      <c r="B2533" s="285">
        <v>1.0080671711121629</v>
      </c>
      <c r="C2533" s="285">
        <v>2.5017151253596235</v>
      </c>
      <c r="D2533" s="285">
        <v>0.76425594437083122</v>
      </c>
      <c r="E2533" s="285">
        <v>-3.6759296998857862</v>
      </c>
    </row>
    <row r="2534" spans="1:5">
      <c r="A2534" s="284">
        <f t="shared" si="1030"/>
        <v>2466</v>
      </c>
      <c r="B2534" s="285">
        <v>2.1603407152148537</v>
      </c>
      <c r="C2534" s="285">
        <v>2.2265308753711208</v>
      </c>
      <c r="D2534" s="285">
        <v>1.3956886880146713</v>
      </c>
      <c r="E2534" s="285">
        <v>-0.40453041340905793</v>
      </c>
    </row>
    <row r="2535" spans="1:5">
      <c r="A2535" s="284">
        <f t="shared" si="1030"/>
        <v>2467</v>
      </c>
      <c r="B2535" s="285">
        <v>-0.94822217349757087</v>
      </c>
      <c r="C2535" s="285">
        <v>2.4379626979340516</v>
      </c>
      <c r="D2535" s="285">
        <v>1.3594875516036466</v>
      </c>
      <c r="E2535" s="285">
        <v>0.23720210643256801</v>
      </c>
    </row>
    <row r="2536" spans="1:5">
      <c r="A2536" s="284">
        <f t="shared" si="1030"/>
        <v>2468</v>
      </c>
      <c r="B2536" s="285">
        <v>-0.30773767943606267</v>
      </c>
      <c r="C2536" s="285">
        <v>1.7068207073956287</v>
      </c>
      <c r="D2536" s="285">
        <v>2.0330750424501165</v>
      </c>
      <c r="E2536" s="285">
        <v>-26.853836189022079</v>
      </c>
    </row>
    <row r="2537" spans="1:5">
      <c r="A2537" s="284">
        <f t="shared" si="1030"/>
        <v>2469</v>
      </c>
      <c r="B2537" s="285">
        <v>7.6703807405549327</v>
      </c>
      <c r="C2537" s="285">
        <v>2.8506768775144455</v>
      </c>
      <c r="D2537" s="285">
        <v>0.8313028397203992</v>
      </c>
      <c r="E2537" s="285">
        <v>-10.002748721870516</v>
      </c>
    </row>
    <row r="2538" spans="1:5">
      <c r="A2538" s="284">
        <f t="shared" si="1030"/>
        <v>2470</v>
      </c>
      <c r="B2538" s="285">
        <v>-3.7875624844016791</v>
      </c>
      <c r="C2538" s="285">
        <v>2.1570769381274335</v>
      </c>
      <c r="D2538" s="285">
        <v>1.2172214803357537</v>
      </c>
      <c r="E2538" s="285">
        <v>-2.3336616575694253</v>
      </c>
    </row>
    <row r="2539" spans="1:5">
      <c r="A2539" s="284">
        <f t="shared" si="1030"/>
        <v>2471</v>
      </c>
      <c r="B2539" s="285">
        <v>-3.6657628499561419</v>
      </c>
      <c r="C2539" s="285">
        <v>2.0320277668067215</v>
      </c>
      <c r="D2539" s="285">
        <v>1.6775346358464853</v>
      </c>
      <c r="E2539" s="285">
        <v>-15.329351239055775</v>
      </c>
    </row>
    <row r="2540" spans="1:5">
      <c r="A2540" s="284">
        <f t="shared" si="1030"/>
        <v>2472</v>
      </c>
      <c r="B2540" s="285">
        <v>-0.74933083260530098</v>
      </c>
      <c r="C2540" s="285">
        <v>2.7262660513146075</v>
      </c>
      <c r="D2540" s="285">
        <v>0.42954010791230934</v>
      </c>
      <c r="E2540" s="285">
        <v>3.1671387981845212</v>
      </c>
    </row>
    <row r="2541" spans="1:5">
      <c r="A2541" s="284">
        <f t="shared" si="1030"/>
        <v>2473</v>
      </c>
      <c r="B2541" s="285">
        <v>1.8951609955953397</v>
      </c>
      <c r="C2541" s="285">
        <v>2.1392721891830733</v>
      </c>
      <c r="D2541" s="285">
        <v>3.6114109639031025</v>
      </c>
      <c r="E2541" s="285">
        <v>-3.4874587563107897</v>
      </c>
    </row>
    <row r="2542" spans="1:5">
      <c r="A2542" s="284">
        <f t="shared" si="1030"/>
        <v>2474</v>
      </c>
      <c r="B2542" s="285">
        <v>-2.7218721924219538</v>
      </c>
      <c r="C2542" s="285">
        <v>2.5245620509279454</v>
      </c>
      <c r="D2542" s="285">
        <v>0.8037065844975998</v>
      </c>
      <c r="E2542" s="285">
        <v>-6.9944016013627728</v>
      </c>
    </row>
    <row r="2543" spans="1:5">
      <c r="A2543" s="284">
        <f t="shared" si="1030"/>
        <v>2475</v>
      </c>
      <c r="B2543" s="285">
        <v>2.2473772204821247</v>
      </c>
      <c r="C2543" s="285">
        <v>2.780921024457939</v>
      </c>
      <c r="D2543" s="285">
        <v>0.65215115666086432</v>
      </c>
      <c r="E2543" s="285">
        <v>-9.8665824691805479</v>
      </c>
    </row>
    <row r="2544" spans="1:5">
      <c r="A2544" s="284">
        <f t="shared" si="1030"/>
        <v>2476</v>
      </c>
      <c r="B2544" s="285">
        <v>2.0701167559047113</v>
      </c>
      <c r="C2544" s="285">
        <v>2.7839946032855143</v>
      </c>
      <c r="D2544" s="285">
        <v>1.2325011827849583</v>
      </c>
      <c r="E2544" s="285">
        <v>-6.4639259935940139</v>
      </c>
    </row>
    <row r="2545" spans="1:5">
      <c r="A2545" s="284">
        <f t="shared" si="1030"/>
        <v>2477</v>
      </c>
      <c r="B2545" s="285">
        <v>2.430470600166251</v>
      </c>
      <c r="C2545" s="285">
        <v>2.8430943488790952</v>
      </c>
      <c r="D2545" s="285">
        <v>3.3498464162372983</v>
      </c>
      <c r="E2545" s="285">
        <v>1.3839275826665483</v>
      </c>
    </row>
    <row r="2546" spans="1:5">
      <c r="A2546" s="284">
        <f t="shared" si="1030"/>
        <v>2478</v>
      </c>
      <c r="B2546" s="285">
        <v>5.2742110758507597</v>
      </c>
      <c r="C2546" s="285">
        <v>3.0748269325485289</v>
      </c>
      <c r="D2546" s="285">
        <v>0.26166996825438704</v>
      </c>
      <c r="E2546" s="285">
        <v>2.3227861400331196</v>
      </c>
    </row>
    <row r="2547" spans="1:5">
      <c r="A2547" s="284">
        <f t="shared" si="1030"/>
        <v>2479</v>
      </c>
      <c r="B2547" s="285">
        <v>2.6775956994041934</v>
      </c>
      <c r="C2547" s="285">
        <v>2.9312654444832247</v>
      </c>
      <c r="D2547" s="285">
        <v>2.0052472726473418</v>
      </c>
      <c r="E2547" s="285">
        <v>0.87237204698582138</v>
      </c>
    </row>
    <row r="2548" spans="1:5">
      <c r="A2548" s="284">
        <f t="shared" si="1030"/>
        <v>2480</v>
      </c>
      <c r="B2548" s="285">
        <v>0.28409063188797962</v>
      </c>
      <c r="C2548" s="285">
        <v>2.7494696642629908</v>
      </c>
      <c r="D2548" s="285">
        <v>0.69770524382356158</v>
      </c>
      <c r="E2548" s="285">
        <v>6.8352287063742665</v>
      </c>
    </row>
    <row r="2549" spans="1:5">
      <c r="A2549" s="284">
        <f t="shared" si="1030"/>
        <v>2481</v>
      </c>
      <c r="B2549" s="285">
        <v>-1.6128047833887358</v>
      </c>
      <c r="C2549" s="285">
        <v>1.7882504251081188</v>
      </c>
      <c r="D2549" s="285">
        <v>3.3637489031891268</v>
      </c>
      <c r="E2549" s="285">
        <v>-22.746529800747528</v>
      </c>
    </row>
    <row r="2550" spans="1:5">
      <c r="A2550" s="284">
        <f t="shared" si="1030"/>
        <v>2482</v>
      </c>
      <c r="B2550" s="285">
        <v>-0.64533584928829957</v>
      </c>
      <c r="C2550" s="285">
        <v>2.4875896111121016</v>
      </c>
      <c r="D2550" s="285">
        <v>-1.0165320349817923</v>
      </c>
      <c r="E2550" s="285">
        <v>0.58013078113149108</v>
      </c>
    </row>
    <row r="2551" spans="1:5">
      <c r="A2551" s="284">
        <f t="shared" si="1030"/>
        <v>2483</v>
      </c>
      <c r="B2551" s="285">
        <v>0.28476885563636428</v>
      </c>
      <c r="C2551" s="285">
        <v>2.7626640678536276</v>
      </c>
      <c r="D2551" s="285">
        <v>-1.2106319421927116</v>
      </c>
      <c r="E2551" s="285">
        <v>3.6777330870040692</v>
      </c>
    </row>
    <row r="2552" spans="1:5">
      <c r="A2552" s="284">
        <f t="shared" si="1030"/>
        <v>2484</v>
      </c>
      <c r="B2552" s="285">
        <v>2.9373761769580287</v>
      </c>
      <c r="C2552" s="285">
        <v>3.111931804653139</v>
      </c>
      <c r="D2552" s="285">
        <v>0.74513629133456827</v>
      </c>
      <c r="E2552" s="285">
        <v>-4.1549799409523374</v>
      </c>
    </row>
    <row r="2553" spans="1:5">
      <c r="A2553" s="284">
        <f t="shared" si="1030"/>
        <v>2485</v>
      </c>
      <c r="B2553" s="285">
        <v>-0.69313623325210771</v>
      </c>
      <c r="C2553" s="285">
        <v>2.8430559027531341</v>
      </c>
      <c r="D2553" s="285">
        <v>0.90038029792067653</v>
      </c>
      <c r="E2553" s="285">
        <v>5.319188619067523</v>
      </c>
    </row>
    <row r="2554" spans="1:5">
      <c r="A2554" s="284">
        <f t="shared" si="1030"/>
        <v>2486</v>
      </c>
      <c r="B2554" s="285">
        <v>3.4569911300225278</v>
      </c>
      <c r="C2554" s="285">
        <v>2.5323558391443712</v>
      </c>
      <c r="D2554" s="285">
        <v>-0.52521631886546327</v>
      </c>
      <c r="E2554" s="285">
        <v>-11.233609774811239</v>
      </c>
    </row>
    <row r="2555" spans="1:5">
      <c r="A2555" s="284">
        <f t="shared" si="1030"/>
        <v>2487</v>
      </c>
      <c r="B2555" s="285">
        <v>-3.2583127740259026</v>
      </c>
      <c r="C2555" s="285">
        <v>1.4384487019987031</v>
      </c>
      <c r="D2555" s="285">
        <v>-0.8562414196623922</v>
      </c>
      <c r="E2555" s="285">
        <v>-6.8782283089840117</v>
      </c>
    </row>
    <row r="2556" spans="1:5">
      <c r="A2556" s="284">
        <f t="shared" si="1030"/>
        <v>2488</v>
      </c>
      <c r="B2556" s="285">
        <v>2.9655869652938907</v>
      </c>
      <c r="C2556" s="285">
        <v>2.5819492035201539</v>
      </c>
      <c r="D2556" s="285">
        <v>0.44370230445432801</v>
      </c>
      <c r="E2556" s="285">
        <v>-12.134723670690219</v>
      </c>
    </row>
    <row r="2557" spans="1:5">
      <c r="A2557" s="284">
        <f t="shared" si="1030"/>
        <v>2489</v>
      </c>
      <c r="B2557" s="285">
        <v>-0.60818702114997392</v>
      </c>
      <c r="C2557" s="285">
        <v>2.7172108640263946</v>
      </c>
      <c r="D2557" s="285">
        <v>0.30392704469751475</v>
      </c>
      <c r="E2557" s="285">
        <v>5.0272651783325752</v>
      </c>
    </row>
    <row r="2558" spans="1:5">
      <c r="A2558" s="284">
        <f t="shared" si="1030"/>
        <v>2490</v>
      </c>
      <c r="B2558" s="285">
        <v>1.6620313097983341</v>
      </c>
      <c r="C2558" s="285">
        <v>2.2617426789128232</v>
      </c>
      <c r="D2558" s="285">
        <v>4.1733068890151914</v>
      </c>
      <c r="E2558" s="285">
        <v>-10.790047244909029</v>
      </c>
    </row>
    <row r="2559" spans="1:5">
      <c r="A2559" s="284">
        <f t="shared" si="1030"/>
        <v>2491</v>
      </c>
      <c r="B2559" s="285">
        <v>4.8784226147315373</v>
      </c>
      <c r="C2559" s="285">
        <v>2.9632547840919461</v>
      </c>
      <c r="D2559" s="285">
        <v>3.6877831973912025</v>
      </c>
      <c r="E2559" s="285">
        <v>-2.5552790371012408</v>
      </c>
    </row>
    <row r="2560" spans="1:5">
      <c r="A2560" s="284">
        <f t="shared" si="1030"/>
        <v>2492</v>
      </c>
      <c r="B2560" s="285">
        <v>-1.091088560492155</v>
      </c>
      <c r="C2560" s="285">
        <v>2.7838076986895022</v>
      </c>
      <c r="D2560" s="285">
        <v>1.1595000076914417</v>
      </c>
      <c r="E2560" s="285">
        <v>13.687972298804841</v>
      </c>
    </row>
    <row r="2561" spans="1:5">
      <c r="A2561" s="284">
        <f t="shared" si="1030"/>
        <v>2493</v>
      </c>
      <c r="B2561" s="285">
        <v>1.3271575858897096</v>
      </c>
      <c r="C2561" s="285">
        <v>3.1475116875014697</v>
      </c>
      <c r="D2561" s="285">
        <v>1.52324763667674</v>
      </c>
      <c r="E2561" s="285">
        <v>5.3505945637341856</v>
      </c>
    </row>
    <row r="2562" spans="1:5">
      <c r="A2562" s="284">
        <f t="shared" si="1030"/>
        <v>2494</v>
      </c>
      <c r="B2562" s="285">
        <v>-2.3505137572601913</v>
      </c>
      <c r="C2562" s="285">
        <v>3.0998802696167536</v>
      </c>
      <c r="D2562" s="285">
        <v>-1.7280766842830806</v>
      </c>
      <c r="E2562" s="285">
        <v>14.956196626447987</v>
      </c>
    </row>
    <row r="2563" spans="1:5">
      <c r="A2563" s="284">
        <f t="shared" si="1030"/>
        <v>2495</v>
      </c>
      <c r="B2563" s="285">
        <v>1.9441194033671974</v>
      </c>
      <c r="C2563" s="285">
        <v>2.6048991944778779</v>
      </c>
      <c r="D2563" s="285">
        <v>1.328275838653479</v>
      </c>
      <c r="E2563" s="285">
        <v>-11.18218313444477</v>
      </c>
    </row>
    <row r="2564" spans="1:5">
      <c r="A2564" s="284">
        <f t="shared" si="1030"/>
        <v>2496</v>
      </c>
      <c r="B2564" s="285">
        <v>-0.52079399252055869</v>
      </c>
      <c r="C2564" s="285">
        <v>1.893566015153447</v>
      </c>
      <c r="D2564" s="285">
        <v>1.2449911726694616</v>
      </c>
      <c r="E2564" s="285">
        <v>-14.8925140315412</v>
      </c>
    </row>
    <row r="2565" spans="1:5">
      <c r="A2565" s="284">
        <f t="shared" si="1030"/>
        <v>2497</v>
      </c>
      <c r="B2565" s="285">
        <v>0.22807500196985775</v>
      </c>
      <c r="C2565" s="285">
        <v>2.091965549629875</v>
      </c>
      <c r="D2565" s="285">
        <v>0.13682639306861333</v>
      </c>
      <c r="E2565" s="285">
        <v>-12.107675843930242</v>
      </c>
    </row>
    <row r="2566" spans="1:5">
      <c r="A2566" s="284">
        <f t="shared" si="1030"/>
        <v>2498</v>
      </c>
      <c r="B2566" s="285">
        <v>2.9528230526481218</v>
      </c>
      <c r="C2566" s="285">
        <v>3.2935536923138526</v>
      </c>
      <c r="D2566" s="285">
        <v>0.49624192770390518</v>
      </c>
      <c r="E2566" s="285">
        <v>4.5582856382291368</v>
      </c>
    </row>
    <row r="2567" spans="1:5">
      <c r="A2567" s="284">
        <f t="shared" ref="A2567:A2630" si="1031">A2566+1</f>
        <v>2499</v>
      </c>
      <c r="B2567" s="285">
        <v>-1.4356783814638736</v>
      </c>
      <c r="C2567" s="285">
        <v>1.9911792729495148</v>
      </c>
      <c r="D2567" s="285">
        <v>0.58471781148933277</v>
      </c>
      <c r="E2567" s="285">
        <v>-7.76476727596466</v>
      </c>
    </row>
    <row r="2568" spans="1:5">
      <c r="A2568" s="284">
        <f t="shared" si="1031"/>
        <v>2500</v>
      </c>
      <c r="B2568" s="285">
        <v>-1.2389264340492496</v>
      </c>
      <c r="C2568" s="285">
        <v>2.7022520641830905</v>
      </c>
      <c r="D2568" s="285">
        <v>1.9125758183726642</v>
      </c>
      <c r="E2568" s="285">
        <v>2.8590634574526601</v>
      </c>
    </row>
    <row r="2569" spans="1:5">
      <c r="A2569" s="284">
        <f t="shared" si="1031"/>
        <v>2501</v>
      </c>
      <c r="B2569" s="285">
        <v>-3.5631636731762177</v>
      </c>
      <c r="C2569" s="285">
        <v>2.0721798493136978</v>
      </c>
      <c r="D2569" s="285">
        <v>1.2915797167143417</v>
      </c>
      <c r="E2569" s="285">
        <v>-10.97261992041877</v>
      </c>
    </row>
    <row r="2570" spans="1:5">
      <c r="A2570" s="284">
        <f t="shared" si="1031"/>
        <v>2502</v>
      </c>
      <c r="B2570" s="285">
        <v>0.27369456186588109</v>
      </c>
      <c r="C2570" s="285">
        <v>2.7047251148897162</v>
      </c>
      <c r="D2570" s="285">
        <v>1.2915511686055758</v>
      </c>
      <c r="E2570" s="285">
        <v>1.3934316412951744</v>
      </c>
    </row>
    <row r="2571" spans="1:5">
      <c r="A2571" s="284">
        <f t="shared" si="1031"/>
        <v>2503</v>
      </c>
      <c r="B2571" s="285">
        <v>-9.6168420481128447E-2</v>
      </c>
      <c r="C2571" s="285">
        <v>2.0914378189366594</v>
      </c>
      <c r="D2571" s="285">
        <v>3.1561970772167394</v>
      </c>
      <c r="E2571" s="285">
        <v>-21.66644444245518</v>
      </c>
    </row>
    <row r="2572" spans="1:5">
      <c r="A2572" s="284">
        <f t="shared" si="1031"/>
        <v>2504</v>
      </c>
      <c r="B2572" s="285">
        <v>1.3219315422640903</v>
      </c>
      <c r="C2572" s="285">
        <v>2.6985998779255649</v>
      </c>
      <c r="D2572" s="285">
        <v>3.3246032540478301</v>
      </c>
      <c r="E2572" s="285">
        <v>0.37415706823084571</v>
      </c>
    </row>
    <row r="2573" spans="1:5">
      <c r="A2573" s="284">
        <f t="shared" si="1031"/>
        <v>2505</v>
      </c>
      <c r="B2573" s="285">
        <v>-0.12354115167950093</v>
      </c>
      <c r="C2573" s="285">
        <v>2.5844842781618729</v>
      </c>
      <c r="D2573" s="285">
        <v>3.9318094181312975</v>
      </c>
      <c r="E2573" s="285">
        <v>-10.832426258218538</v>
      </c>
    </row>
    <row r="2574" spans="1:5">
      <c r="A2574" s="284">
        <f t="shared" si="1031"/>
        <v>2506</v>
      </c>
      <c r="B2574" s="285">
        <v>-3.7434603420106618</v>
      </c>
      <c r="C2574" s="285">
        <v>2.1711222510227977</v>
      </c>
      <c r="D2574" s="285">
        <v>-0.56424720861389166</v>
      </c>
      <c r="E2574" s="285">
        <v>3.781464740019381</v>
      </c>
    </row>
    <row r="2575" spans="1:5">
      <c r="A2575" s="284">
        <f t="shared" si="1031"/>
        <v>2507</v>
      </c>
      <c r="B2575" s="285">
        <v>9.8589825133851755E-2</v>
      </c>
      <c r="C2575" s="285">
        <v>1.8919393287893573</v>
      </c>
      <c r="D2575" s="285">
        <v>3.4280440423249559</v>
      </c>
      <c r="E2575" s="285">
        <v>-16.420076248150757</v>
      </c>
    </row>
    <row r="2576" spans="1:5">
      <c r="A2576" s="284">
        <f t="shared" si="1031"/>
        <v>2508</v>
      </c>
      <c r="B2576" s="285">
        <v>-5.2619524806866949</v>
      </c>
      <c r="C2576" s="285">
        <v>2.0309903855001012</v>
      </c>
      <c r="D2576" s="285">
        <v>2.0115824194247072</v>
      </c>
      <c r="E2576" s="285">
        <v>-11.628772730840819</v>
      </c>
    </row>
    <row r="2577" spans="1:5">
      <c r="A2577" s="284">
        <f t="shared" si="1031"/>
        <v>2509</v>
      </c>
      <c r="B2577" s="285">
        <v>0.14467216623504423</v>
      </c>
      <c r="C2577" s="285">
        <v>2.3957169328780799</v>
      </c>
      <c r="D2577" s="285">
        <v>0.80952922721145359</v>
      </c>
      <c r="E2577" s="285">
        <v>-3.5982272877852139</v>
      </c>
    </row>
    <row r="2578" spans="1:5">
      <c r="A2578" s="284">
        <f t="shared" si="1031"/>
        <v>2510</v>
      </c>
      <c r="B2578" s="285">
        <v>1.1875541213693694</v>
      </c>
      <c r="C2578" s="285">
        <v>1.7989488591904428</v>
      </c>
      <c r="D2578" s="285">
        <v>2.9633195873247704</v>
      </c>
      <c r="E2578" s="285">
        <v>-19.06638437116732</v>
      </c>
    </row>
    <row r="2579" spans="1:5">
      <c r="A2579" s="284">
        <f t="shared" si="1031"/>
        <v>2511</v>
      </c>
      <c r="B2579" s="285">
        <v>-2.369838537088202</v>
      </c>
      <c r="C2579" s="285">
        <v>2.0846500755984794</v>
      </c>
      <c r="D2579" s="285">
        <v>-0.18669196785762177</v>
      </c>
      <c r="E2579" s="285">
        <v>-2.1835503145234436</v>
      </c>
    </row>
    <row r="2580" spans="1:5">
      <c r="A2580" s="284">
        <f t="shared" si="1031"/>
        <v>2512</v>
      </c>
      <c r="B2580" s="285">
        <v>0.68864219632876078</v>
      </c>
      <c r="C2580" s="285">
        <v>2.5975214610512318</v>
      </c>
      <c r="D2580" s="285">
        <v>0.54892604278767698</v>
      </c>
      <c r="E2580" s="285">
        <v>-0.27215379494175984</v>
      </c>
    </row>
    <row r="2581" spans="1:5">
      <c r="A2581" s="284">
        <f t="shared" si="1031"/>
        <v>2513</v>
      </c>
      <c r="B2581" s="285">
        <v>-1.3498193179217826</v>
      </c>
      <c r="C2581" s="285">
        <v>1.7706409937363028</v>
      </c>
      <c r="D2581" s="285">
        <v>-0.4408240570746047</v>
      </c>
      <c r="E2581" s="285">
        <v>-14.412638086955722</v>
      </c>
    </row>
    <row r="2582" spans="1:5">
      <c r="A2582" s="284">
        <f t="shared" si="1031"/>
        <v>2514</v>
      </c>
      <c r="B2582" s="285">
        <v>-5.550382349638582</v>
      </c>
      <c r="C2582" s="285">
        <v>2.2650256924502248</v>
      </c>
      <c r="D2582" s="285">
        <v>1.4930883569782105</v>
      </c>
      <c r="E2582" s="285">
        <v>-4.1731485421310817</v>
      </c>
    </row>
    <row r="2583" spans="1:5">
      <c r="A2583" s="284">
        <f t="shared" si="1031"/>
        <v>2515</v>
      </c>
      <c r="B2583" s="285">
        <v>-2.0268485777306955</v>
      </c>
      <c r="C2583" s="285">
        <v>3.6149773687853832</v>
      </c>
      <c r="D2583" s="285">
        <v>0.73664987220842215</v>
      </c>
      <c r="E2583" s="285">
        <v>28.107867005993413</v>
      </c>
    </row>
    <row r="2584" spans="1:5">
      <c r="A2584" s="284">
        <f t="shared" si="1031"/>
        <v>2516</v>
      </c>
      <c r="B2584" s="285">
        <v>-4.4458876761954134</v>
      </c>
      <c r="C2584" s="285">
        <v>2.6132522109491569</v>
      </c>
      <c r="D2584" s="285">
        <v>-1.9730816675951823</v>
      </c>
      <c r="E2584" s="285">
        <v>0.90410242653806483</v>
      </c>
    </row>
    <row r="2585" spans="1:5">
      <c r="A2585" s="284">
        <f t="shared" si="1031"/>
        <v>2517</v>
      </c>
      <c r="B2585" s="285">
        <v>-1.5528627581018912</v>
      </c>
      <c r="C2585" s="285">
        <v>2.0024739493711605</v>
      </c>
      <c r="D2585" s="285">
        <v>-0.29360418784669529</v>
      </c>
      <c r="E2585" s="285">
        <v>-10.032646867483336</v>
      </c>
    </row>
    <row r="2586" spans="1:5">
      <c r="A2586" s="284">
        <f t="shared" si="1031"/>
        <v>2518</v>
      </c>
      <c r="B2586" s="285">
        <v>0.20557771815598919</v>
      </c>
      <c r="C2586" s="285">
        <v>2.6514723145384895</v>
      </c>
      <c r="D2586" s="285">
        <v>1.1975951634241326</v>
      </c>
      <c r="E2586" s="285">
        <v>2.1570358125526492</v>
      </c>
    </row>
    <row r="2587" spans="1:5">
      <c r="A2587" s="284">
        <f t="shared" si="1031"/>
        <v>2519</v>
      </c>
      <c r="B2587" s="285">
        <v>1.7094898805520777</v>
      </c>
      <c r="C2587" s="285">
        <v>2.545300159542629</v>
      </c>
      <c r="D2587" s="285">
        <v>0.78045296892245686</v>
      </c>
      <c r="E2587" s="285">
        <v>3.2727218125384572</v>
      </c>
    </row>
    <row r="2588" spans="1:5">
      <c r="A2588" s="284">
        <f t="shared" si="1031"/>
        <v>2520</v>
      </c>
      <c r="B2588" s="285">
        <v>-1.040387966627087</v>
      </c>
      <c r="C2588" s="285">
        <v>2.4864560765489627</v>
      </c>
      <c r="D2588" s="285">
        <v>0.78583850502713803</v>
      </c>
      <c r="E2588" s="285">
        <v>-0.50558027404328687</v>
      </c>
    </row>
    <row r="2589" spans="1:5">
      <c r="A2589" s="284">
        <f t="shared" si="1031"/>
        <v>2521</v>
      </c>
      <c r="B2589" s="285">
        <v>1.3431107622042011</v>
      </c>
      <c r="C2589" s="285">
        <v>2.0029834622039395</v>
      </c>
      <c r="D2589" s="285">
        <v>1.3669705712584153</v>
      </c>
      <c r="E2589" s="285">
        <v>-15.351058291171677</v>
      </c>
    </row>
    <row r="2590" spans="1:5">
      <c r="A2590" s="284">
        <f t="shared" si="1031"/>
        <v>2522</v>
      </c>
      <c r="B2590" s="285">
        <v>1.5938979480433775</v>
      </c>
      <c r="C2590" s="285">
        <v>2.4981826444983803</v>
      </c>
      <c r="D2590" s="285">
        <v>3.5614908235962441</v>
      </c>
      <c r="E2590" s="285">
        <v>-10.470896100497155</v>
      </c>
    </row>
    <row r="2591" spans="1:5">
      <c r="A2591" s="284">
        <f t="shared" si="1031"/>
        <v>2523</v>
      </c>
      <c r="B2591" s="285">
        <v>2.620303658275501</v>
      </c>
      <c r="C2591" s="285">
        <v>2.065057168549</v>
      </c>
      <c r="D2591" s="285">
        <v>0.22916783656047768</v>
      </c>
      <c r="E2591" s="285">
        <v>-14.531683203575094</v>
      </c>
    </row>
    <row r="2592" spans="1:5">
      <c r="A2592" s="284">
        <f t="shared" si="1031"/>
        <v>2524</v>
      </c>
      <c r="B2592" s="285">
        <v>1.5188726348890109</v>
      </c>
      <c r="C2592" s="285">
        <v>2.5344035612634555</v>
      </c>
      <c r="D2592" s="285">
        <v>2.1505020794539851</v>
      </c>
      <c r="E2592" s="285">
        <v>-7.8428654192777731</v>
      </c>
    </row>
    <row r="2593" spans="1:5">
      <c r="A2593" s="284">
        <f t="shared" si="1031"/>
        <v>2525</v>
      </c>
      <c r="B2593" s="285">
        <v>2.1426046257071207</v>
      </c>
      <c r="C2593" s="285">
        <v>2.7876857178353469</v>
      </c>
      <c r="D2593" s="285">
        <v>2.3751216014444214</v>
      </c>
      <c r="E2593" s="285">
        <v>-4.7006721174596375</v>
      </c>
    </row>
    <row r="2594" spans="1:5">
      <c r="A2594" s="284">
        <f t="shared" si="1031"/>
        <v>2526</v>
      </c>
      <c r="B2594" s="285">
        <v>2.3455686838389918</v>
      </c>
      <c r="C2594" s="285">
        <v>2.9448386388976289</v>
      </c>
      <c r="D2594" s="285">
        <v>0.24877742017955884</v>
      </c>
      <c r="E2594" s="285">
        <v>-4.5661119498838012</v>
      </c>
    </row>
    <row r="2595" spans="1:5">
      <c r="A2595" s="284">
        <f t="shared" si="1031"/>
        <v>2527</v>
      </c>
      <c r="B2595" s="285">
        <v>-0.92316821685801154</v>
      </c>
      <c r="C2595" s="285">
        <v>2.9645027720392219</v>
      </c>
      <c r="D2595" s="285">
        <v>0.61019141271549471</v>
      </c>
      <c r="E2595" s="285">
        <v>0.79776552930415923</v>
      </c>
    </row>
    <row r="2596" spans="1:5">
      <c r="A2596" s="284">
        <f t="shared" si="1031"/>
        <v>2528</v>
      </c>
      <c r="B2596" s="285">
        <v>-0.19044977173898564</v>
      </c>
      <c r="C2596" s="285">
        <v>2.6890016489224178</v>
      </c>
      <c r="D2596" s="285">
        <v>2.6774616763522046</v>
      </c>
      <c r="E2596" s="285">
        <v>-5.7222839367257823</v>
      </c>
    </row>
    <row r="2597" spans="1:5">
      <c r="A2597" s="284">
        <f t="shared" si="1031"/>
        <v>2529</v>
      </c>
      <c r="B2597" s="285">
        <v>-2.1454636699793062</v>
      </c>
      <c r="C2597" s="285">
        <v>2.0480055760389324</v>
      </c>
      <c r="D2597" s="285">
        <v>3.3366598742505102</v>
      </c>
      <c r="E2597" s="285">
        <v>-3.3450265675263178</v>
      </c>
    </row>
    <row r="2598" spans="1:5">
      <c r="A2598" s="284">
        <f t="shared" si="1031"/>
        <v>2530</v>
      </c>
      <c r="B2598" s="285">
        <v>0.21485192356798041</v>
      </c>
      <c r="C2598" s="285">
        <v>2.079245681015776</v>
      </c>
      <c r="D2598" s="285">
        <v>0.72459338676084895</v>
      </c>
      <c r="E2598" s="285">
        <v>-10.506540150819188</v>
      </c>
    </row>
    <row r="2599" spans="1:5">
      <c r="A2599" s="284">
        <f t="shared" si="1031"/>
        <v>2531</v>
      </c>
      <c r="B2599" s="285">
        <v>-1.1042601797373015</v>
      </c>
      <c r="C2599" s="285">
        <v>2.2478284422724273</v>
      </c>
      <c r="D2599" s="285">
        <v>1.1316024690990534</v>
      </c>
      <c r="E2599" s="285">
        <v>0.97086848283442562</v>
      </c>
    </row>
    <row r="2600" spans="1:5">
      <c r="A2600" s="284">
        <f t="shared" si="1031"/>
        <v>2532</v>
      </c>
      <c r="B2600" s="285">
        <v>0.34529052807827737</v>
      </c>
      <c r="C2600" s="285">
        <v>2.7448546960687379</v>
      </c>
      <c r="D2600" s="285">
        <v>1.524870914465642</v>
      </c>
      <c r="E2600" s="285">
        <v>6.0720154897276526</v>
      </c>
    </row>
    <row r="2601" spans="1:5">
      <c r="A2601" s="284">
        <f t="shared" si="1031"/>
        <v>2533</v>
      </c>
      <c r="B2601" s="285">
        <v>0.29149288990557143</v>
      </c>
      <c r="C2601" s="285">
        <v>3.0305732554361722</v>
      </c>
      <c r="D2601" s="285">
        <v>0.49502215397735982</v>
      </c>
      <c r="E2601" s="285">
        <v>-2.2262330445318086</v>
      </c>
    </row>
    <row r="2602" spans="1:5">
      <c r="A2602" s="284">
        <f t="shared" si="1031"/>
        <v>2534</v>
      </c>
      <c r="B2602" s="285">
        <v>-0.10213227080285958</v>
      </c>
      <c r="C2602" s="285">
        <v>2.5096926935215444</v>
      </c>
      <c r="D2602" s="285">
        <v>3.0378382786971825</v>
      </c>
      <c r="E2602" s="285">
        <v>-8.0912886635664201</v>
      </c>
    </row>
    <row r="2603" spans="1:5">
      <c r="A2603" s="284">
        <f t="shared" si="1031"/>
        <v>2535</v>
      </c>
      <c r="B2603" s="285">
        <v>2.7301518987205924</v>
      </c>
      <c r="C2603" s="285">
        <v>3.1730291020523316</v>
      </c>
      <c r="D2603" s="285">
        <v>0.15104036653224995</v>
      </c>
      <c r="E2603" s="285">
        <v>-0.73271348904667599</v>
      </c>
    </row>
    <row r="2604" spans="1:5">
      <c r="A2604" s="284">
        <f t="shared" si="1031"/>
        <v>2536</v>
      </c>
      <c r="B2604" s="285">
        <v>-3.319892863451269</v>
      </c>
      <c r="C2604" s="285">
        <v>2.0494919564795291</v>
      </c>
      <c r="D2604" s="285">
        <v>0.30788577851682741</v>
      </c>
      <c r="E2604" s="285">
        <v>-8.2203285309420071</v>
      </c>
    </row>
    <row r="2605" spans="1:5">
      <c r="A2605" s="284">
        <f t="shared" si="1031"/>
        <v>2537</v>
      </c>
      <c r="B2605" s="285">
        <v>-5.9569883821203256</v>
      </c>
      <c r="C2605" s="285">
        <v>2.3909459534818414</v>
      </c>
      <c r="D2605" s="285">
        <v>-1.5241007570292835</v>
      </c>
      <c r="E2605" s="285">
        <v>5.5762518919578028</v>
      </c>
    </row>
    <row r="2606" spans="1:5">
      <c r="A2606" s="284">
        <f t="shared" si="1031"/>
        <v>2538</v>
      </c>
      <c r="B2606" s="285">
        <v>0.93553475416506082</v>
      </c>
      <c r="C2606" s="285">
        <v>2.323657774887137</v>
      </c>
      <c r="D2606" s="285">
        <v>0.7884659327044572</v>
      </c>
      <c r="E2606" s="285">
        <v>-5.430852647627411</v>
      </c>
    </row>
    <row r="2607" spans="1:5">
      <c r="A2607" s="284">
        <f t="shared" si="1031"/>
        <v>2539</v>
      </c>
      <c r="B2607" s="285">
        <v>1.2248053272613497</v>
      </c>
      <c r="C2607" s="285">
        <v>2.4056323661043826</v>
      </c>
      <c r="D2607" s="285">
        <v>1.3916312440861762</v>
      </c>
      <c r="E2607" s="285">
        <v>-5.6111017837316144</v>
      </c>
    </row>
    <row r="2608" spans="1:5">
      <c r="A2608" s="284">
        <f t="shared" si="1031"/>
        <v>2540</v>
      </c>
      <c r="B2608" s="285">
        <v>-2.8769076920332233</v>
      </c>
      <c r="C2608" s="285">
        <v>2.3642884048672146</v>
      </c>
      <c r="D2608" s="285">
        <v>0.89961514643286833</v>
      </c>
      <c r="E2608" s="285">
        <v>-1.1854774006797855</v>
      </c>
    </row>
    <row r="2609" spans="1:5">
      <c r="A2609" s="284">
        <f t="shared" si="1031"/>
        <v>2541</v>
      </c>
      <c r="B2609" s="285">
        <v>1.1062318345333426</v>
      </c>
      <c r="C2609" s="285">
        <v>2.3132111541385219</v>
      </c>
      <c r="D2609" s="285">
        <v>0.75771907748105316</v>
      </c>
      <c r="E2609" s="285">
        <v>-13.389747353808335</v>
      </c>
    </row>
    <row r="2610" spans="1:5">
      <c r="A2610" s="284">
        <f t="shared" si="1031"/>
        <v>2542</v>
      </c>
      <c r="B2610" s="285">
        <v>-1.0734329101934845</v>
      </c>
      <c r="C2610" s="285">
        <v>2.2265918513952028</v>
      </c>
      <c r="D2610" s="285">
        <v>-0.68990692105936224</v>
      </c>
      <c r="E2610" s="285">
        <v>-13.795344603309882</v>
      </c>
    </row>
    <row r="2611" spans="1:5">
      <c r="A2611" s="284">
        <f t="shared" si="1031"/>
        <v>2543</v>
      </c>
      <c r="B2611" s="285">
        <v>2.3376406693193887</v>
      </c>
      <c r="C2611" s="285">
        <v>3.4714412865778135</v>
      </c>
      <c r="D2611" s="285">
        <v>0.6710293279248416</v>
      </c>
      <c r="E2611" s="285">
        <v>13.439658776015907</v>
      </c>
    </row>
    <row r="2612" spans="1:5">
      <c r="A2612" s="284">
        <f t="shared" si="1031"/>
        <v>2544</v>
      </c>
      <c r="B2612" s="285">
        <v>2.8151894837794931</v>
      </c>
      <c r="C2612" s="285">
        <v>3.1830727974215112</v>
      </c>
      <c r="D2612" s="285">
        <v>0.83499368520488126</v>
      </c>
      <c r="E2612" s="285">
        <v>-3.4725963272689948</v>
      </c>
    </row>
    <row r="2613" spans="1:5">
      <c r="A2613" s="284">
        <f t="shared" si="1031"/>
        <v>2545</v>
      </c>
      <c r="B2613" s="285">
        <v>-0.73637688249375033</v>
      </c>
      <c r="C2613" s="285">
        <v>2.8746407234579929</v>
      </c>
      <c r="D2613" s="285">
        <v>1.0562674533860399</v>
      </c>
      <c r="E2613" s="285">
        <v>-2.6879765281510699</v>
      </c>
    </row>
    <row r="2614" spans="1:5">
      <c r="A2614" s="284">
        <f t="shared" si="1031"/>
        <v>2546</v>
      </c>
      <c r="B2614" s="285">
        <v>-0.53590430420555746</v>
      </c>
      <c r="C2614" s="285">
        <v>2.3925847980977246</v>
      </c>
      <c r="D2614" s="285">
        <v>0.52501277776223709</v>
      </c>
      <c r="E2614" s="285">
        <v>-4.9257707771141694</v>
      </c>
    </row>
    <row r="2615" spans="1:5">
      <c r="A2615" s="284">
        <f t="shared" si="1031"/>
        <v>2547</v>
      </c>
      <c r="B2615" s="285">
        <v>-0.59886356399314777</v>
      </c>
      <c r="C2615" s="285">
        <v>2.4819954830018047</v>
      </c>
      <c r="D2615" s="285">
        <v>0.22840886417895945</v>
      </c>
      <c r="E2615" s="285">
        <v>3.4875698547535507</v>
      </c>
    </row>
    <row r="2616" spans="1:5">
      <c r="A2616" s="284">
        <f t="shared" si="1031"/>
        <v>2548</v>
      </c>
      <c r="B2616" s="285">
        <v>-1.6313942486209851</v>
      </c>
      <c r="C2616" s="285">
        <v>2.1727162464688079</v>
      </c>
      <c r="D2616" s="285">
        <v>3.2135004328168959E-2</v>
      </c>
      <c r="E2616" s="285">
        <v>2.4873255218848747</v>
      </c>
    </row>
    <row r="2617" spans="1:5">
      <c r="A2617" s="284">
        <f t="shared" si="1031"/>
        <v>2549</v>
      </c>
      <c r="B2617" s="285">
        <v>-3.3722420844002121</v>
      </c>
      <c r="C2617" s="285">
        <v>2.3210301739282193</v>
      </c>
      <c r="D2617" s="285">
        <v>2.4153418998430913</v>
      </c>
      <c r="E2617" s="285">
        <v>-5.4072485974464115</v>
      </c>
    </row>
    <row r="2618" spans="1:5">
      <c r="A2618" s="284">
        <f t="shared" si="1031"/>
        <v>2550</v>
      </c>
      <c r="B2618" s="285">
        <v>-2.8927266621415066</v>
      </c>
      <c r="C2618" s="285">
        <v>2.0259918522817513</v>
      </c>
      <c r="D2618" s="285">
        <v>2.1422662385763984</v>
      </c>
      <c r="E2618" s="285">
        <v>-12.255760381442634</v>
      </c>
    </row>
    <row r="2619" spans="1:5">
      <c r="A2619" s="284">
        <f t="shared" si="1031"/>
        <v>2551</v>
      </c>
      <c r="B2619" s="285">
        <v>-5.7977963311321092</v>
      </c>
      <c r="C2619" s="285">
        <v>1.6189579216537908</v>
      </c>
      <c r="D2619" s="285">
        <v>2.346203067718537</v>
      </c>
      <c r="E2619" s="285">
        <v>-10.697294354137908</v>
      </c>
    </row>
    <row r="2620" spans="1:5">
      <c r="A2620" s="284">
        <f t="shared" si="1031"/>
        <v>2552</v>
      </c>
      <c r="B2620" s="285">
        <v>-3.5539641872940684</v>
      </c>
      <c r="C2620" s="285">
        <v>2.0958363910726825</v>
      </c>
      <c r="D2620" s="285">
        <v>1.015726467436711</v>
      </c>
      <c r="E2620" s="285">
        <v>-7.194146280693241</v>
      </c>
    </row>
    <row r="2621" spans="1:5">
      <c r="A2621" s="284">
        <f t="shared" si="1031"/>
        <v>2553</v>
      </c>
      <c r="B2621" s="285">
        <v>-1.4014233867482382</v>
      </c>
      <c r="C2621" s="285">
        <v>2.5239784983713909</v>
      </c>
      <c r="D2621" s="285">
        <v>0.6606190032549093</v>
      </c>
      <c r="E2621" s="285">
        <v>-13.193062882594077</v>
      </c>
    </row>
    <row r="2622" spans="1:5">
      <c r="A2622" s="284">
        <f t="shared" si="1031"/>
        <v>2554</v>
      </c>
      <c r="B2622" s="285">
        <v>-1.7447509163964221</v>
      </c>
      <c r="C2622" s="285">
        <v>2.3132665762324005</v>
      </c>
      <c r="D2622" s="285">
        <v>0.97850772854027257</v>
      </c>
      <c r="E2622" s="285">
        <v>-4.5519198714633333</v>
      </c>
    </row>
    <row r="2623" spans="1:5">
      <c r="A2623" s="284">
        <f t="shared" si="1031"/>
        <v>2555</v>
      </c>
      <c r="B2623" s="285">
        <v>1.7223381652709375</v>
      </c>
      <c r="C2623" s="285">
        <v>2.7137119821110551</v>
      </c>
      <c r="D2623" s="285">
        <v>2.0829051902789941</v>
      </c>
      <c r="E2623" s="285">
        <v>2.0518099999830519</v>
      </c>
    </row>
    <row r="2624" spans="1:5">
      <c r="A2624" s="284">
        <f t="shared" si="1031"/>
        <v>2556</v>
      </c>
      <c r="B2624" s="285">
        <v>-1.9007573820065196</v>
      </c>
      <c r="C2624" s="285">
        <v>2.3798434441310734</v>
      </c>
      <c r="D2624" s="285">
        <v>0.29736201014782271</v>
      </c>
      <c r="E2624" s="285">
        <v>-11.847118339416772</v>
      </c>
    </row>
    <row r="2625" spans="1:5">
      <c r="A2625" s="284">
        <f t="shared" si="1031"/>
        <v>2557</v>
      </c>
      <c r="B2625" s="285">
        <v>-2.2123282732181684</v>
      </c>
      <c r="C2625" s="285">
        <v>2.5140625838161257</v>
      </c>
      <c r="D2625" s="285">
        <v>-0.52412675870282599</v>
      </c>
      <c r="E2625" s="285">
        <v>7.8478220035854012</v>
      </c>
    </row>
    <row r="2626" spans="1:5">
      <c r="A2626" s="284">
        <f t="shared" si="1031"/>
        <v>2558</v>
      </c>
      <c r="B2626" s="285">
        <v>-2.1564530681462277</v>
      </c>
      <c r="C2626" s="285">
        <v>1.6881897144010831</v>
      </c>
      <c r="D2626" s="285">
        <v>1.7086080506160457</v>
      </c>
      <c r="E2626" s="285">
        <v>-11.14072502753573</v>
      </c>
    </row>
    <row r="2627" spans="1:5">
      <c r="A2627" s="284">
        <f t="shared" si="1031"/>
        <v>2559</v>
      </c>
      <c r="B2627" s="285">
        <v>-0.47332698117226524</v>
      </c>
      <c r="C2627" s="285">
        <v>2.6635989570947558</v>
      </c>
      <c r="D2627" s="285">
        <v>1.8051111134471132</v>
      </c>
      <c r="E2627" s="285">
        <v>-1.8759431715489447</v>
      </c>
    </row>
    <row r="2628" spans="1:5">
      <c r="A2628" s="284">
        <f t="shared" si="1031"/>
        <v>2560</v>
      </c>
      <c r="B2628" s="285">
        <v>-0.38081797935776335</v>
      </c>
      <c r="C2628" s="285">
        <v>2.34872423325257</v>
      </c>
      <c r="D2628" s="285">
        <v>-0.27286141845600054</v>
      </c>
      <c r="E2628" s="285">
        <v>-4.543902932472351</v>
      </c>
    </row>
    <row r="2629" spans="1:5">
      <c r="A2629" s="284">
        <f t="shared" si="1031"/>
        <v>2561</v>
      </c>
      <c r="B2629" s="285">
        <v>4.0607629559428799</v>
      </c>
      <c r="C2629" s="285">
        <v>2.7313841458577253</v>
      </c>
      <c r="D2629" s="285">
        <v>1.6717452385211029</v>
      </c>
      <c r="E2629" s="285">
        <v>2.1164905258169768</v>
      </c>
    </row>
    <row r="2630" spans="1:5">
      <c r="A2630" s="284">
        <f t="shared" si="1031"/>
        <v>2562</v>
      </c>
      <c r="B2630" s="285">
        <v>1.4266316494524451</v>
      </c>
      <c r="C2630" s="285">
        <v>2.9329586669696521</v>
      </c>
      <c r="D2630" s="285">
        <v>5.961609393512135E-2</v>
      </c>
      <c r="E2630" s="285">
        <v>-2.2162089454007581</v>
      </c>
    </row>
    <row r="2631" spans="1:5">
      <c r="A2631" s="284">
        <f t="shared" ref="A2631:A2694" si="1032">A2630+1</f>
        <v>2563</v>
      </c>
      <c r="B2631" s="285">
        <v>0.6259228992415351</v>
      </c>
      <c r="C2631" s="285">
        <v>2.5994519011796196</v>
      </c>
      <c r="D2631" s="285">
        <v>1.10462911261205</v>
      </c>
      <c r="E2631" s="285">
        <v>-3.0498758065202551</v>
      </c>
    </row>
    <row r="2632" spans="1:5">
      <c r="A2632" s="284">
        <f t="shared" si="1032"/>
        <v>2564</v>
      </c>
      <c r="B2632" s="285">
        <v>-0.29931440945304422</v>
      </c>
      <c r="C2632" s="285">
        <v>2.6760305121706325</v>
      </c>
      <c r="D2632" s="285">
        <v>2.0409290275651624</v>
      </c>
      <c r="E2632" s="285">
        <v>-3.6778963860687193</v>
      </c>
    </row>
    <row r="2633" spans="1:5">
      <c r="A2633" s="284">
        <f t="shared" si="1032"/>
        <v>2565</v>
      </c>
      <c r="B2633" s="285">
        <v>3.392225328810651</v>
      </c>
      <c r="C2633" s="285">
        <v>2.5492313994267954</v>
      </c>
      <c r="D2633" s="285">
        <v>3.4431255541357237</v>
      </c>
      <c r="E2633" s="285">
        <v>-5.179873183914582</v>
      </c>
    </row>
    <row r="2634" spans="1:5">
      <c r="A2634" s="284">
        <f t="shared" si="1032"/>
        <v>2566</v>
      </c>
      <c r="B2634" s="285">
        <v>0.49940146120806211</v>
      </c>
      <c r="C2634" s="285">
        <v>3.1034977794339254</v>
      </c>
      <c r="D2634" s="285">
        <v>-0.72910531878708285</v>
      </c>
      <c r="E2634" s="285">
        <v>6.2758553091310425</v>
      </c>
    </row>
    <row r="2635" spans="1:5">
      <c r="A2635" s="284">
        <f t="shared" si="1032"/>
        <v>2567</v>
      </c>
      <c r="B2635" s="285">
        <v>0.67357317028307973</v>
      </c>
      <c r="C2635" s="285">
        <v>2.7384391115216662</v>
      </c>
      <c r="D2635" s="285">
        <v>0.81346489459102478</v>
      </c>
      <c r="E2635" s="285">
        <v>0.61345544523838713</v>
      </c>
    </row>
    <row r="2636" spans="1:5">
      <c r="A2636" s="284">
        <f t="shared" si="1032"/>
        <v>2568</v>
      </c>
      <c r="B2636" s="285">
        <v>2.9001289872616272</v>
      </c>
      <c r="C2636" s="285">
        <v>3.7104868332651688</v>
      </c>
      <c r="D2636" s="285">
        <v>-2.2061097722211223</v>
      </c>
      <c r="E2636" s="285">
        <v>15.6873629341883</v>
      </c>
    </row>
    <row r="2637" spans="1:5">
      <c r="A2637" s="284">
        <f t="shared" si="1032"/>
        <v>2569</v>
      </c>
      <c r="B2637" s="285">
        <v>-2.1481327547710669</v>
      </c>
      <c r="C2637" s="285">
        <v>2.1113639167855207</v>
      </c>
      <c r="D2637" s="285">
        <v>2.9646000163830419</v>
      </c>
      <c r="E2637" s="285">
        <v>-21.044416860556208</v>
      </c>
    </row>
    <row r="2638" spans="1:5">
      <c r="A2638" s="284">
        <f t="shared" si="1032"/>
        <v>2570</v>
      </c>
      <c r="B2638" s="285">
        <v>0.30490802838357473</v>
      </c>
      <c r="C2638" s="285">
        <v>2.8738158792961279</v>
      </c>
      <c r="D2638" s="285">
        <v>1.2913015044627576</v>
      </c>
      <c r="E2638" s="285">
        <v>8.5406611030799304</v>
      </c>
    </row>
    <row r="2639" spans="1:5">
      <c r="A2639" s="284">
        <f t="shared" si="1032"/>
        <v>2571</v>
      </c>
      <c r="B2639" s="285">
        <v>-0.47130651840381332</v>
      </c>
      <c r="C2639" s="285">
        <v>3.1876574080423925</v>
      </c>
      <c r="D2639" s="285">
        <v>1.0394292855238401</v>
      </c>
      <c r="E2639" s="285">
        <v>18.427914139394755</v>
      </c>
    </row>
    <row r="2640" spans="1:5">
      <c r="A2640" s="284">
        <f t="shared" si="1032"/>
        <v>2572</v>
      </c>
      <c r="B2640" s="285">
        <v>-2.523681155187337</v>
      </c>
      <c r="C2640" s="285">
        <v>3.1842608174435449</v>
      </c>
      <c r="D2640" s="285">
        <v>0.43154509619074743</v>
      </c>
      <c r="E2640" s="285">
        <v>22.105297071714521</v>
      </c>
    </row>
    <row r="2641" spans="1:5">
      <c r="A2641" s="284">
        <f t="shared" si="1032"/>
        <v>2573</v>
      </c>
      <c r="B2641" s="285">
        <v>-3.6811819970763238</v>
      </c>
      <c r="C2641" s="285">
        <v>2.7274415224210418</v>
      </c>
      <c r="D2641" s="285">
        <v>1.3440053823337264</v>
      </c>
      <c r="E2641" s="285">
        <v>-6.7141046501293875</v>
      </c>
    </row>
    <row r="2642" spans="1:5">
      <c r="A2642" s="284">
        <f t="shared" si="1032"/>
        <v>2574</v>
      </c>
      <c r="B2642" s="285">
        <v>-2.3672537546707364</v>
      </c>
      <c r="C2642" s="285">
        <v>1.617678985665729</v>
      </c>
      <c r="D2642" s="285">
        <v>1.3251858320885035</v>
      </c>
      <c r="E2642" s="285">
        <v>-16.511577847306462</v>
      </c>
    </row>
    <row r="2643" spans="1:5">
      <c r="A2643" s="284">
        <f t="shared" si="1032"/>
        <v>2575</v>
      </c>
      <c r="B2643" s="285">
        <v>0.32749295798541611</v>
      </c>
      <c r="C2643" s="285">
        <v>2.3669066377267143</v>
      </c>
      <c r="D2643" s="285">
        <v>0.24570963197631057</v>
      </c>
      <c r="E2643" s="285">
        <v>-2.6064116374486681</v>
      </c>
    </row>
    <row r="2644" spans="1:5">
      <c r="A2644" s="284">
        <f t="shared" si="1032"/>
        <v>2576</v>
      </c>
      <c r="B2644" s="285">
        <v>-3.1743676327527206</v>
      </c>
      <c r="C2644" s="285">
        <v>2.1825150776986342</v>
      </c>
      <c r="D2644" s="285">
        <v>0.29222204037657629</v>
      </c>
      <c r="E2644" s="285">
        <v>-7.2400179283325841</v>
      </c>
    </row>
    <row r="2645" spans="1:5">
      <c r="A2645" s="284">
        <f t="shared" si="1032"/>
        <v>2577</v>
      </c>
      <c r="B2645" s="285">
        <v>-1.1933693794652611</v>
      </c>
      <c r="C2645" s="285">
        <v>2.6539517369941263</v>
      </c>
      <c r="D2645" s="285">
        <v>1.2475727345985606</v>
      </c>
      <c r="E2645" s="285">
        <v>9.5566011348027491</v>
      </c>
    </row>
    <row r="2646" spans="1:5">
      <c r="A2646" s="284">
        <f t="shared" si="1032"/>
        <v>2578</v>
      </c>
      <c r="B2646" s="285">
        <v>-2.2965128367465724</v>
      </c>
      <c r="C2646" s="285">
        <v>1.9385556885441408</v>
      </c>
      <c r="D2646" s="285">
        <v>1.7013321908980401</v>
      </c>
      <c r="E2646" s="285">
        <v>-8.7373173997338505</v>
      </c>
    </row>
    <row r="2647" spans="1:5">
      <c r="A2647" s="284">
        <f t="shared" si="1032"/>
        <v>2579</v>
      </c>
      <c r="B2647" s="285">
        <v>3.3328587358532595</v>
      </c>
      <c r="C2647" s="285">
        <v>2.7056578833768694</v>
      </c>
      <c r="D2647" s="285">
        <v>1.5898745891796628</v>
      </c>
      <c r="E2647" s="285">
        <v>5.3182222034075259</v>
      </c>
    </row>
    <row r="2648" spans="1:5">
      <c r="A2648" s="284">
        <f t="shared" si="1032"/>
        <v>2580</v>
      </c>
      <c r="B2648" s="285">
        <v>0.22749450171699384</v>
      </c>
      <c r="C2648" s="285">
        <v>2.0901824811319045</v>
      </c>
      <c r="D2648" s="285">
        <v>0.74760706156354306</v>
      </c>
      <c r="E2648" s="285">
        <v>-9.8037669982509499</v>
      </c>
    </row>
    <row r="2649" spans="1:5">
      <c r="A2649" s="284">
        <f t="shared" si="1032"/>
        <v>2581</v>
      </c>
      <c r="B2649" s="285">
        <v>2.0422101149365481</v>
      </c>
      <c r="C2649" s="285">
        <v>2.612483717475417</v>
      </c>
      <c r="D2649" s="285">
        <v>0.99487529933599894</v>
      </c>
      <c r="E2649" s="285">
        <v>-7.4005008515675854</v>
      </c>
    </row>
    <row r="2650" spans="1:5">
      <c r="A2650" s="284">
        <f t="shared" si="1032"/>
        <v>2582</v>
      </c>
      <c r="B2650" s="285">
        <v>-1.2998563932993192</v>
      </c>
      <c r="C2650" s="285">
        <v>2.6405721218494973</v>
      </c>
      <c r="D2650" s="285">
        <v>0.54916579369230401</v>
      </c>
      <c r="E2650" s="285">
        <v>-1.2778591376755146</v>
      </c>
    </row>
    <row r="2651" spans="1:5">
      <c r="A2651" s="284">
        <f t="shared" si="1032"/>
        <v>2583</v>
      </c>
      <c r="B2651" s="285">
        <v>4.6993160221223826</v>
      </c>
      <c r="C2651" s="285">
        <v>3.2190427056657578</v>
      </c>
      <c r="D2651" s="285">
        <v>2.2773546793254713</v>
      </c>
      <c r="E2651" s="285">
        <v>13.697800740700476</v>
      </c>
    </row>
    <row r="2652" spans="1:5">
      <c r="A2652" s="284">
        <f t="shared" si="1032"/>
        <v>2584</v>
      </c>
      <c r="B2652" s="285">
        <v>-1.4842672186603567</v>
      </c>
      <c r="C2652" s="285">
        <v>3.3246503053064216</v>
      </c>
      <c r="D2652" s="285">
        <v>1.7146736609832169</v>
      </c>
      <c r="E2652" s="285">
        <v>6.4608478950889463</v>
      </c>
    </row>
    <row r="2653" spans="1:5">
      <c r="A2653" s="284">
        <f t="shared" si="1032"/>
        <v>2585</v>
      </c>
      <c r="B2653" s="285">
        <v>-0.3727298506737633</v>
      </c>
      <c r="C2653" s="285">
        <v>2.7436905062950103</v>
      </c>
      <c r="D2653" s="285">
        <v>2.8593728200962358</v>
      </c>
      <c r="E2653" s="285">
        <v>11.522433862460161</v>
      </c>
    </row>
    <row r="2654" spans="1:5">
      <c r="A2654" s="284">
        <f t="shared" si="1032"/>
        <v>2586</v>
      </c>
      <c r="B2654" s="285">
        <v>-1.4886999936656733</v>
      </c>
      <c r="C2654" s="285">
        <v>2.3019220962333415</v>
      </c>
      <c r="D2654" s="285">
        <v>1.8041390045143926</v>
      </c>
      <c r="E2654" s="285">
        <v>-12.898909939423856</v>
      </c>
    </row>
    <row r="2655" spans="1:5">
      <c r="A2655" s="284">
        <f t="shared" si="1032"/>
        <v>2587</v>
      </c>
      <c r="B2655" s="285">
        <v>0.80966425197855552</v>
      </c>
      <c r="C2655" s="285">
        <v>2.9084825685329347</v>
      </c>
      <c r="D2655" s="285">
        <v>1.9978329429985069</v>
      </c>
      <c r="E2655" s="285">
        <v>9.8634393618171821</v>
      </c>
    </row>
    <row r="2656" spans="1:5">
      <c r="A2656" s="284">
        <f t="shared" si="1032"/>
        <v>2588</v>
      </c>
      <c r="B2656" s="285">
        <v>1.8413903892102859</v>
      </c>
      <c r="C2656" s="285">
        <v>2.0199175724387888</v>
      </c>
      <c r="D2656" s="285">
        <v>1.0347319756000906</v>
      </c>
      <c r="E2656" s="285">
        <v>-22.370669865598298</v>
      </c>
    </row>
    <row r="2657" spans="1:5">
      <c r="A2657" s="284">
        <f t="shared" si="1032"/>
        <v>2589</v>
      </c>
      <c r="B2657" s="285">
        <v>1.9009030221089449</v>
      </c>
      <c r="C2657" s="285">
        <v>3.0643930203107246</v>
      </c>
      <c r="D2657" s="285">
        <v>-0.36500148613581551</v>
      </c>
      <c r="E2657" s="285">
        <v>9.0271251160206774</v>
      </c>
    </row>
    <row r="2658" spans="1:5">
      <c r="A2658" s="284">
        <f t="shared" si="1032"/>
        <v>2590</v>
      </c>
      <c r="B2658" s="285">
        <v>-3.8179508329261314</v>
      </c>
      <c r="C2658" s="285">
        <v>2.1243843918609904</v>
      </c>
      <c r="D2658" s="285">
        <v>-0.63612011286294745</v>
      </c>
      <c r="E2658" s="285">
        <v>-2.0238574355520784</v>
      </c>
    </row>
    <row r="2659" spans="1:5">
      <c r="A2659" s="284">
        <f t="shared" si="1032"/>
        <v>2591</v>
      </c>
      <c r="B2659" s="285">
        <v>-0.18661257047461866</v>
      </c>
      <c r="C2659" s="285">
        <v>2.4143886980351805</v>
      </c>
      <c r="D2659" s="285">
        <v>0.14431417076778619</v>
      </c>
      <c r="E2659" s="285">
        <v>4.2782515045251142</v>
      </c>
    </row>
    <row r="2660" spans="1:5">
      <c r="A2660" s="284">
        <f t="shared" si="1032"/>
        <v>2592</v>
      </c>
      <c r="B2660" s="285">
        <v>-1.2006651217066266</v>
      </c>
      <c r="C2660" s="285">
        <v>3.2219724541247743</v>
      </c>
      <c r="D2660" s="285">
        <v>1.2877608322300891</v>
      </c>
      <c r="E2660" s="285">
        <v>15.943886943251513</v>
      </c>
    </row>
    <row r="2661" spans="1:5">
      <c r="A2661" s="284">
        <f t="shared" si="1032"/>
        <v>2593</v>
      </c>
      <c r="B2661" s="285">
        <v>-2.0053344161230218</v>
      </c>
      <c r="C2661" s="285">
        <v>2.4169025819333632</v>
      </c>
      <c r="D2661" s="285">
        <v>-1.365439357046689</v>
      </c>
      <c r="E2661" s="285">
        <v>6.2757197203532424</v>
      </c>
    </row>
    <row r="2662" spans="1:5">
      <c r="A2662" s="284">
        <f t="shared" si="1032"/>
        <v>2594</v>
      </c>
      <c r="B2662" s="285">
        <v>1.4485640140249287</v>
      </c>
      <c r="C2662" s="285">
        <v>1.8646074941590913</v>
      </c>
      <c r="D2662" s="285">
        <v>3.4129039723759385</v>
      </c>
      <c r="E2662" s="285">
        <v>-32.143073585811379</v>
      </c>
    </row>
    <row r="2663" spans="1:5">
      <c r="A2663" s="284">
        <f t="shared" si="1032"/>
        <v>2595</v>
      </c>
      <c r="B2663" s="285">
        <v>1.6126738800679132</v>
      </c>
      <c r="C2663" s="285">
        <v>2.5686564505903569</v>
      </c>
      <c r="D2663" s="285">
        <v>0.61234107601042198</v>
      </c>
      <c r="E2663" s="285">
        <v>-9.3775706152337168</v>
      </c>
    </row>
    <row r="2664" spans="1:5">
      <c r="A2664" s="284">
        <f t="shared" si="1032"/>
        <v>2596</v>
      </c>
      <c r="B2664" s="285">
        <v>-0.50503308637320765</v>
      </c>
      <c r="C2664" s="285">
        <v>2.5966106464283194</v>
      </c>
      <c r="D2664" s="285">
        <v>1.4779917033594465</v>
      </c>
      <c r="E2664" s="285">
        <v>-8.2257347342495137</v>
      </c>
    </row>
    <row r="2665" spans="1:5">
      <c r="A2665" s="284">
        <f t="shared" si="1032"/>
        <v>2597</v>
      </c>
      <c r="B2665" s="285">
        <v>0.59650268121151695</v>
      </c>
      <c r="C2665" s="285">
        <v>2.8826778804752706</v>
      </c>
      <c r="D2665" s="285">
        <v>0.77623777712577557</v>
      </c>
      <c r="E2665" s="285">
        <v>1.6762236895022276</v>
      </c>
    </row>
    <row r="2666" spans="1:5">
      <c r="A2666" s="284">
        <f t="shared" si="1032"/>
        <v>2598</v>
      </c>
      <c r="B2666" s="285">
        <v>-2.284346862074218</v>
      </c>
      <c r="C2666" s="285">
        <v>1.9595723833089604</v>
      </c>
      <c r="D2666" s="285">
        <v>0.81315935484122959</v>
      </c>
      <c r="E2666" s="285">
        <v>1.4873123391944554</v>
      </c>
    </row>
    <row r="2667" spans="1:5">
      <c r="A2667" s="284">
        <f t="shared" si="1032"/>
        <v>2599</v>
      </c>
      <c r="B2667" s="285">
        <v>-4.1703826701634048</v>
      </c>
      <c r="C2667" s="285">
        <v>2.0669972669098993</v>
      </c>
      <c r="D2667" s="285">
        <v>0.25940879562737207</v>
      </c>
      <c r="E2667" s="285">
        <v>-19.469629273918478</v>
      </c>
    </row>
    <row r="2668" spans="1:5">
      <c r="A2668" s="284">
        <f t="shared" si="1032"/>
        <v>2600</v>
      </c>
      <c r="B2668" s="285">
        <v>0.26124833589812146</v>
      </c>
      <c r="C2668" s="285">
        <v>2.3650195703707855</v>
      </c>
      <c r="D2668" s="285">
        <v>-0.32953350371938939</v>
      </c>
      <c r="E2668" s="285">
        <v>-10.584593892398246</v>
      </c>
    </row>
    <row r="2669" spans="1:5">
      <c r="A2669" s="284">
        <f t="shared" si="1032"/>
        <v>2601</v>
      </c>
      <c r="B2669" s="285">
        <v>-3.288229789857954</v>
      </c>
      <c r="C2669" s="285">
        <v>2.1590695817023979</v>
      </c>
      <c r="D2669" s="285">
        <v>1.6497145050210085</v>
      </c>
      <c r="E2669" s="285">
        <v>-2.7696349708872017</v>
      </c>
    </row>
    <row r="2670" spans="1:5">
      <c r="A2670" s="284">
        <f t="shared" si="1032"/>
        <v>2602</v>
      </c>
      <c r="B2670" s="285">
        <v>1.2880614062137976</v>
      </c>
      <c r="C2670" s="285">
        <v>2.9127181469715078</v>
      </c>
      <c r="D2670" s="285">
        <v>1.999167440551425</v>
      </c>
      <c r="E2670" s="285">
        <v>-9.3320944291821917</v>
      </c>
    </row>
    <row r="2671" spans="1:5">
      <c r="A2671" s="284">
        <f t="shared" si="1032"/>
        <v>2603</v>
      </c>
      <c r="B2671" s="285">
        <v>1.2909581343466694</v>
      </c>
      <c r="C2671" s="285">
        <v>3.420450098584995</v>
      </c>
      <c r="D2671" s="285">
        <v>-0.67755277870686115</v>
      </c>
      <c r="E2671" s="285">
        <v>12.648349561555712</v>
      </c>
    </row>
    <row r="2672" spans="1:5">
      <c r="A2672" s="284">
        <f t="shared" si="1032"/>
        <v>2604</v>
      </c>
      <c r="B2672" s="285">
        <v>0.67398104333284881</v>
      </c>
      <c r="C2672" s="285">
        <v>2.3927666512460015</v>
      </c>
      <c r="D2672" s="285">
        <v>0.4539680671109898</v>
      </c>
      <c r="E2672" s="285">
        <v>-7.0243263099454225</v>
      </c>
    </row>
    <row r="2673" spans="1:5">
      <c r="A2673" s="284">
        <f t="shared" si="1032"/>
        <v>2605</v>
      </c>
      <c r="B2673" s="285">
        <v>-2.0443973109328164</v>
      </c>
      <c r="C2673" s="285">
        <v>3.1659394085118393</v>
      </c>
      <c r="D2673" s="285">
        <v>-0.988407682036057</v>
      </c>
      <c r="E2673" s="285">
        <v>11.692816055079188</v>
      </c>
    </row>
    <row r="2674" spans="1:5">
      <c r="A2674" s="284">
        <f t="shared" si="1032"/>
        <v>2606</v>
      </c>
      <c r="B2674" s="285">
        <v>1.3740499352645501</v>
      </c>
      <c r="C2674" s="285">
        <v>2.205592843872334</v>
      </c>
      <c r="D2674" s="285">
        <v>2.1252222645432131</v>
      </c>
      <c r="E2674" s="285">
        <v>-13.579498979096874</v>
      </c>
    </row>
    <row r="2675" spans="1:5">
      <c r="A2675" s="284">
        <f t="shared" si="1032"/>
        <v>2607</v>
      </c>
      <c r="B2675" s="285">
        <v>-5.2978216171194923</v>
      </c>
      <c r="C2675" s="285">
        <v>1.6119615165240226</v>
      </c>
      <c r="D2675" s="285">
        <v>1.8197087568426022</v>
      </c>
      <c r="E2675" s="285">
        <v>-10.112631731810573</v>
      </c>
    </row>
    <row r="2676" spans="1:5">
      <c r="A2676" s="284">
        <f t="shared" si="1032"/>
        <v>2608</v>
      </c>
      <c r="B2676" s="285">
        <v>1.1729059843934844</v>
      </c>
      <c r="C2676" s="285">
        <v>3.0277561052847646</v>
      </c>
      <c r="D2676" s="285">
        <v>2.6716202166936096</v>
      </c>
      <c r="E2676" s="285">
        <v>-5.7925808677762909</v>
      </c>
    </row>
    <row r="2677" spans="1:5">
      <c r="A2677" s="284">
        <f t="shared" si="1032"/>
        <v>2609</v>
      </c>
      <c r="B2677" s="285">
        <v>1.5881992799235991</v>
      </c>
      <c r="C2677" s="285">
        <v>2.8036261176517572</v>
      </c>
      <c r="D2677" s="285">
        <v>2.1993909415799333</v>
      </c>
      <c r="E2677" s="285">
        <v>-3.0158100598105859</v>
      </c>
    </row>
    <row r="2678" spans="1:5">
      <c r="A2678" s="284">
        <f t="shared" si="1032"/>
        <v>2610</v>
      </c>
      <c r="B2678" s="285">
        <v>1.6334104345294997</v>
      </c>
      <c r="C2678" s="285">
        <v>2.9435666043615192</v>
      </c>
      <c r="D2678" s="285">
        <v>1.6338442524933865</v>
      </c>
      <c r="E2678" s="285">
        <v>6.7645401414513682</v>
      </c>
    </row>
    <row r="2679" spans="1:5">
      <c r="A2679" s="284">
        <f t="shared" si="1032"/>
        <v>2611</v>
      </c>
      <c r="B2679" s="285">
        <v>-2.1827752002314771</v>
      </c>
      <c r="C2679" s="285">
        <v>2.0750455940222645</v>
      </c>
      <c r="D2679" s="285">
        <v>2.8441170520270482</v>
      </c>
      <c r="E2679" s="285">
        <v>-4.8832757209383413</v>
      </c>
    </row>
    <row r="2680" spans="1:5">
      <c r="A2680" s="284">
        <f t="shared" si="1032"/>
        <v>2612</v>
      </c>
      <c r="B2680" s="285">
        <v>1.2071147293874205</v>
      </c>
      <c r="C2680" s="285">
        <v>2.8060139274298881</v>
      </c>
      <c r="D2680" s="285">
        <v>2.0626693892140158</v>
      </c>
      <c r="E2680" s="285">
        <v>5.9999006711481613</v>
      </c>
    </row>
    <row r="2681" spans="1:5">
      <c r="A2681" s="284">
        <f t="shared" si="1032"/>
        <v>2613</v>
      </c>
      <c r="B2681" s="285">
        <v>-1.4977203237414212</v>
      </c>
      <c r="C2681" s="285">
        <v>2.1129473141743964</v>
      </c>
      <c r="D2681" s="285">
        <v>2.3479129039816264</v>
      </c>
      <c r="E2681" s="285">
        <v>-6.4720862154633645</v>
      </c>
    </row>
    <row r="2682" spans="1:5">
      <c r="A2682" s="284">
        <f t="shared" si="1032"/>
        <v>2614</v>
      </c>
      <c r="B2682" s="285">
        <v>0.31125184924206489</v>
      </c>
      <c r="C2682" s="285">
        <v>2.3059202023445615</v>
      </c>
      <c r="D2682" s="285">
        <v>1.3810518016178399</v>
      </c>
      <c r="E2682" s="285">
        <v>-6.535072328752249</v>
      </c>
    </row>
    <row r="2683" spans="1:5">
      <c r="A2683" s="284">
        <f t="shared" si="1032"/>
        <v>2615</v>
      </c>
      <c r="B2683" s="285">
        <v>0.22914323629811634</v>
      </c>
      <c r="C2683" s="285">
        <v>1.9613742692298946</v>
      </c>
      <c r="D2683" s="285">
        <v>2.5173452169949373E-2</v>
      </c>
      <c r="E2683" s="285">
        <v>-15.023512159710567</v>
      </c>
    </row>
    <row r="2684" spans="1:5">
      <c r="A2684" s="284">
        <f t="shared" si="1032"/>
        <v>2616</v>
      </c>
      <c r="B2684" s="285">
        <v>1.1010698713491121</v>
      </c>
      <c r="C2684" s="285">
        <v>2.9587394218619547</v>
      </c>
      <c r="D2684" s="285">
        <v>0.60039609585794462</v>
      </c>
      <c r="E2684" s="285">
        <v>4.0226532031457385</v>
      </c>
    </row>
    <row r="2685" spans="1:5">
      <c r="A2685" s="284">
        <f t="shared" si="1032"/>
        <v>2617</v>
      </c>
      <c r="B2685" s="285">
        <v>0.8281501574971426</v>
      </c>
      <c r="C2685" s="285">
        <v>3.051773303792773</v>
      </c>
      <c r="D2685" s="285">
        <v>4.4127731574961082E-2</v>
      </c>
      <c r="E2685" s="285">
        <v>6.4056551033979439</v>
      </c>
    </row>
    <row r="2686" spans="1:5">
      <c r="A2686" s="284">
        <f t="shared" si="1032"/>
        <v>2618</v>
      </c>
      <c r="B2686" s="285">
        <v>2.5558675651337133</v>
      </c>
      <c r="C2686" s="285">
        <v>3.0415870521284476</v>
      </c>
      <c r="D2686" s="285">
        <v>0.63248908325697872</v>
      </c>
      <c r="E2686" s="285">
        <v>3.6983366305520655</v>
      </c>
    </row>
    <row r="2687" spans="1:5">
      <c r="A2687" s="284">
        <f t="shared" si="1032"/>
        <v>2619</v>
      </c>
      <c r="B2687" s="285">
        <v>-3.165263940350874</v>
      </c>
      <c r="C2687" s="285">
        <v>2.7719237210882866</v>
      </c>
      <c r="D2687" s="285">
        <v>0.46426799345960867</v>
      </c>
      <c r="E2687" s="285">
        <v>0.18030124561563143</v>
      </c>
    </row>
    <row r="2688" spans="1:5">
      <c r="A2688" s="284">
        <f t="shared" si="1032"/>
        <v>2620</v>
      </c>
      <c r="B2688" s="285">
        <v>1.4623435176689494</v>
      </c>
      <c r="C2688" s="285">
        <v>2.6488016328478929</v>
      </c>
      <c r="D2688" s="285">
        <v>2.525272705338244</v>
      </c>
      <c r="E2688" s="285">
        <v>-2.2023371294718141</v>
      </c>
    </row>
    <row r="2689" spans="1:5">
      <c r="A2689" s="284">
        <f t="shared" si="1032"/>
        <v>2621</v>
      </c>
      <c r="B2689" s="285">
        <v>-3.2267820362020956</v>
      </c>
      <c r="C2689" s="285">
        <v>2.3368105726612147</v>
      </c>
      <c r="D2689" s="285">
        <v>0.42755557187822546</v>
      </c>
      <c r="E2689" s="285">
        <v>-4.158714937796991</v>
      </c>
    </row>
    <row r="2690" spans="1:5">
      <c r="A2690" s="284">
        <f t="shared" si="1032"/>
        <v>2622</v>
      </c>
      <c r="B2690" s="285">
        <v>0.17973347851626509</v>
      </c>
      <c r="C2690" s="285">
        <v>2.3518597544811928</v>
      </c>
      <c r="D2690" s="285">
        <v>1.3212649270484738</v>
      </c>
      <c r="E2690" s="285">
        <v>-3.5230943025254735</v>
      </c>
    </row>
    <row r="2691" spans="1:5">
      <c r="A2691" s="284">
        <f t="shared" si="1032"/>
        <v>2623</v>
      </c>
      <c r="B2691" s="285">
        <v>0.93688718853689323</v>
      </c>
      <c r="C2691" s="285">
        <v>3.041928345166339</v>
      </c>
      <c r="D2691" s="285">
        <v>2.1099618271139295</v>
      </c>
      <c r="E2691" s="285">
        <v>7.7223348698299983</v>
      </c>
    </row>
    <row r="2692" spans="1:5">
      <c r="A2692" s="284">
        <f t="shared" si="1032"/>
        <v>2624</v>
      </c>
      <c r="B2692" s="285">
        <v>-0.57432740163064144</v>
      </c>
      <c r="C2692" s="285">
        <v>3.0721826514198685</v>
      </c>
      <c r="D2692" s="285">
        <v>-0.40315087948202599</v>
      </c>
      <c r="E2692" s="285">
        <v>4.8235983197685783</v>
      </c>
    </row>
    <row r="2693" spans="1:5">
      <c r="A2693" s="284">
        <f t="shared" si="1032"/>
        <v>2625</v>
      </c>
      <c r="B2693" s="285">
        <v>4.3859549416194863</v>
      </c>
      <c r="C2693" s="285">
        <v>2.6813599509570119</v>
      </c>
      <c r="D2693" s="285">
        <v>1.2147346481536891</v>
      </c>
      <c r="E2693" s="285">
        <v>-11.597368812522754</v>
      </c>
    </row>
    <row r="2694" spans="1:5">
      <c r="A2694" s="284">
        <f t="shared" si="1032"/>
        <v>2626</v>
      </c>
      <c r="B2694" s="285">
        <v>-1.3646768660277737</v>
      </c>
      <c r="C2694" s="285">
        <v>2.9306714977348411</v>
      </c>
      <c r="D2694" s="285">
        <v>2.9733007528145352</v>
      </c>
      <c r="E2694" s="285">
        <v>-0.7554641341015178</v>
      </c>
    </row>
    <row r="2695" spans="1:5">
      <c r="A2695" s="284">
        <f t="shared" ref="A2695:A2758" si="1033">A2694+1</f>
        <v>2627</v>
      </c>
      <c r="B2695" s="285">
        <v>-1.1704844091572539</v>
      </c>
      <c r="C2695" s="285">
        <v>2.3041705616763144</v>
      </c>
      <c r="D2695" s="285">
        <v>-7.4141674728816165E-2</v>
      </c>
      <c r="E2695" s="285">
        <v>-7.638776829457024</v>
      </c>
    </row>
    <row r="2696" spans="1:5">
      <c r="A2696" s="284">
        <f t="shared" si="1033"/>
        <v>2628</v>
      </c>
      <c r="B2696" s="285">
        <v>-1.1513340578002822</v>
      </c>
      <c r="C2696" s="285">
        <v>2.271344286001483</v>
      </c>
      <c r="D2696" s="285">
        <v>0.92237607161821211</v>
      </c>
      <c r="E2696" s="285">
        <v>-2.2248452713860423</v>
      </c>
    </row>
    <row r="2697" spans="1:5">
      <c r="A2697" s="284">
        <f t="shared" si="1033"/>
        <v>2629</v>
      </c>
      <c r="B2697" s="285">
        <v>-2.8274486944931563</v>
      </c>
      <c r="C2697" s="285">
        <v>1.2553372657445498</v>
      </c>
      <c r="D2697" s="285">
        <v>-0.99056776964325932</v>
      </c>
      <c r="E2697" s="285">
        <v>-7.0555602066336629</v>
      </c>
    </row>
    <row r="2698" spans="1:5">
      <c r="A2698" s="284">
        <f t="shared" si="1033"/>
        <v>2630</v>
      </c>
      <c r="B2698" s="285">
        <v>-0.86472739428347345</v>
      </c>
      <c r="C2698" s="285">
        <v>3.1011864887241796</v>
      </c>
      <c r="D2698" s="285">
        <v>-0.30365762574808319</v>
      </c>
      <c r="E2698" s="285">
        <v>6.1893695418867232</v>
      </c>
    </row>
    <row r="2699" spans="1:5">
      <c r="A2699" s="284">
        <f t="shared" si="1033"/>
        <v>2631</v>
      </c>
      <c r="B2699" s="285">
        <v>3.1833955928431292</v>
      </c>
      <c r="C2699" s="285">
        <v>3.2194639681314481</v>
      </c>
      <c r="D2699" s="285">
        <v>2.7076321764920648</v>
      </c>
      <c r="E2699" s="285">
        <v>3.6209246689397161</v>
      </c>
    </row>
    <row r="2700" spans="1:5">
      <c r="A2700" s="284">
        <f t="shared" si="1033"/>
        <v>2632</v>
      </c>
      <c r="B2700" s="285">
        <v>-0.42618852920214717</v>
      </c>
      <c r="C2700" s="285">
        <v>2.9550219264421278</v>
      </c>
      <c r="D2700" s="285">
        <v>0.35087350634076409</v>
      </c>
      <c r="E2700" s="285">
        <v>5.8362424508247024</v>
      </c>
    </row>
    <row r="2701" spans="1:5">
      <c r="A2701" s="284">
        <f t="shared" si="1033"/>
        <v>2633</v>
      </c>
      <c r="B2701" s="285">
        <v>2.9931582924990527</v>
      </c>
      <c r="C2701" s="285">
        <v>2.5715919349990424</v>
      </c>
      <c r="D2701" s="285">
        <v>2.4096857027667653</v>
      </c>
      <c r="E2701" s="285">
        <v>-8.6276523271085033</v>
      </c>
    </row>
    <row r="2702" spans="1:5">
      <c r="A2702" s="284">
        <f t="shared" si="1033"/>
        <v>2634</v>
      </c>
      <c r="B2702" s="285">
        <v>-3.7495584698439695</v>
      </c>
      <c r="C2702" s="285">
        <v>1.7674690495097516</v>
      </c>
      <c r="D2702" s="285">
        <v>1.8609874781789393</v>
      </c>
      <c r="E2702" s="285">
        <v>-21.475098000138534</v>
      </c>
    </row>
    <row r="2703" spans="1:5">
      <c r="A2703" s="284">
        <f t="shared" si="1033"/>
        <v>2635</v>
      </c>
      <c r="B2703" s="285">
        <v>-1.0727169389183151</v>
      </c>
      <c r="C2703" s="285">
        <v>2.4893435014769114</v>
      </c>
      <c r="D2703" s="285">
        <v>1.5244548120449859</v>
      </c>
      <c r="E2703" s="285">
        <v>3.9389842981252516</v>
      </c>
    </row>
    <row r="2704" spans="1:5">
      <c r="A2704" s="284">
        <f t="shared" si="1033"/>
        <v>2636</v>
      </c>
      <c r="B2704" s="285">
        <v>1.2045174050321281</v>
      </c>
      <c r="C2704" s="285">
        <v>2.3869284672633921</v>
      </c>
      <c r="D2704" s="285">
        <v>0.72744386384325521</v>
      </c>
      <c r="E2704" s="285">
        <v>-0.82320883340772832</v>
      </c>
    </row>
    <row r="2705" spans="1:5">
      <c r="A2705" s="284">
        <f t="shared" si="1033"/>
        <v>2637</v>
      </c>
      <c r="B2705" s="285">
        <v>2.7068990137682252</v>
      </c>
      <c r="C2705" s="285">
        <v>2.349191180434802</v>
      </c>
      <c r="D2705" s="285">
        <v>-0.31909216189741363</v>
      </c>
      <c r="E2705" s="285">
        <v>-8.6718800045046169</v>
      </c>
    </row>
    <row r="2706" spans="1:5">
      <c r="A2706" s="284">
        <f t="shared" si="1033"/>
        <v>2638</v>
      </c>
      <c r="B2706" s="285">
        <v>1.7257984725926059</v>
      </c>
      <c r="C2706" s="285">
        <v>2.5735265943025913</v>
      </c>
      <c r="D2706" s="285">
        <v>3.2581481809888686</v>
      </c>
      <c r="E2706" s="285">
        <v>0.58231593839292328</v>
      </c>
    </row>
    <row r="2707" spans="1:5">
      <c r="A2707" s="284">
        <f t="shared" si="1033"/>
        <v>2639</v>
      </c>
      <c r="B2707" s="285">
        <v>1.1805310857900722</v>
      </c>
      <c r="C2707" s="285">
        <v>3.2827991753944108</v>
      </c>
      <c r="D2707" s="285">
        <v>1.6941641667867917</v>
      </c>
      <c r="E2707" s="285">
        <v>2.418174791758235</v>
      </c>
    </row>
    <row r="2708" spans="1:5">
      <c r="A2708" s="284">
        <f t="shared" si="1033"/>
        <v>2640</v>
      </c>
      <c r="B2708" s="285">
        <v>1.729323600893315</v>
      </c>
      <c r="C2708" s="285">
        <v>3.5044275315240077</v>
      </c>
      <c r="D2708" s="285">
        <v>1.9830596250861863</v>
      </c>
      <c r="E2708" s="285">
        <v>5.0485740259430525</v>
      </c>
    </row>
    <row r="2709" spans="1:5">
      <c r="A2709" s="284">
        <f t="shared" si="1033"/>
        <v>2641</v>
      </c>
      <c r="B2709" s="285">
        <v>-2.3353620979120224</v>
      </c>
      <c r="C2709" s="285">
        <v>1.6916223591339041</v>
      </c>
      <c r="D2709" s="285">
        <v>2.4130639314908757</v>
      </c>
      <c r="E2709" s="285">
        <v>-25.193717487120892</v>
      </c>
    </row>
    <row r="2710" spans="1:5">
      <c r="A2710" s="284">
        <f t="shared" si="1033"/>
        <v>2642</v>
      </c>
      <c r="B2710" s="285">
        <v>3.918378035130591</v>
      </c>
      <c r="C2710" s="285">
        <v>3.0735419514531568</v>
      </c>
      <c r="D2710" s="285">
        <v>1.1357606992131277</v>
      </c>
      <c r="E2710" s="285">
        <v>-10.21247203617326</v>
      </c>
    </row>
    <row r="2711" spans="1:5">
      <c r="A2711" s="284">
        <f t="shared" si="1033"/>
        <v>2643</v>
      </c>
      <c r="B2711" s="285">
        <v>-3.2144302467932007</v>
      </c>
      <c r="C2711" s="285">
        <v>3.040626326792867</v>
      </c>
      <c r="D2711" s="285">
        <v>-0.10894846056571716</v>
      </c>
      <c r="E2711" s="285">
        <v>11.351161881273743</v>
      </c>
    </row>
    <row r="2712" spans="1:5">
      <c r="A2712" s="284">
        <f t="shared" si="1033"/>
        <v>2644</v>
      </c>
      <c r="B2712" s="285">
        <v>-0.14388342990593914</v>
      </c>
      <c r="C2712" s="285">
        <v>1.9948443512480452</v>
      </c>
      <c r="D2712" s="285">
        <v>2.2348436742821827</v>
      </c>
      <c r="E2712" s="285">
        <v>-21.304841494624799</v>
      </c>
    </row>
    <row r="2713" spans="1:5">
      <c r="A2713" s="284">
        <f t="shared" si="1033"/>
        <v>2645</v>
      </c>
      <c r="B2713" s="285">
        <v>-1.6404059674889846</v>
      </c>
      <c r="C2713" s="285">
        <v>2.3321300853333731</v>
      </c>
      <c r="D2713" s="285">
        <v>8.2051941794075045E-2</v>
      </c>
      <c r="E2713" s="285">
        <v>-2.9405206439128175</v>
      </c>
    </row>
    <row r="2714" spans="1:5">
      <c r="A2714" s="284">
        <f t="shared" si="1033"/>
        <v>2646</v>
      </c>
      <c r="B2714" s="285">
        <v>-2.2452867776708105</v>
      </c>
      <c r="C2714" s="285">
        <v>2.2929899191078889</v>
      </c>
      <c r="D2714" s="285">
        <v>2.8195872170713909</v>
      </c>
      <c r="E2714" s="285">
        <v>-6.6892653853862214</v>
      </c>
    </row>
    <row r="2715" spans="1:5">
      <c r="A2715" s="284">
        <f t="shared" si="1033"/>
        <v>2647</v>
      </c>
      <c r="B2715" s="285">
        <v>1.4500959967432978</v>
      </c>
      <c r="C2715" s="285">
        <v>2.7798895064817439</v>
      </c>
      <c r="D2715" s="285">
        <v>-0.39561929432908727</v>
      </c>
      <c r="E2715" s="285">
        <v>-9.3809888727526918</v>
      </c>
    </row>
    <row r="2716" spans="1:5">
      <c r="A2716" s="284">
        <f t="shared" si="1033"/>
        <v>2648</v>
      </c>
      <c r="B2716" s="285">
        <v>2.1408914225525146</v>
      </c>
      <c r="C2716" s="285">
        <v>2.4291220703741634</v>
      </c>
      <c r="D2716" s="285">
        <v>1.9236535073819954</v>
      </c>
      <c r="E2716" s="285">
        <v>-6.0573013532899527</v>
      </c>
    </row>
    <row r="2717" spans="1:5">
      <c r="A2717" s="284">
        <f t="shared" si="1033"/>
        <v>2649</v>
      </c>
      <c r="B2717" s="285">
        <v>4.3839300492391127</v>
      </c>
      <c r="C2717" s="285">
        <v>2.0996657561045002</v>
      </c>
      <c r="D2717" s="285">
        <v>0.8904262688358171</v>
      </c>
      <c r="E2717" s="285">
        <v>-23.976825863902938</v>
      </c>
    </row>
    <row r="2718" spans="1:5">
      <c r="A2718" s="284">
        <f t="shared" si="1033"/>
        <v>2650</v>
      </c>
      <c r="B2718" s="285">
        <v>-0.14038483233981319</v>
      </c>
      <c r="C2718" s="285">
        <v>3.396203418660495</v>
      </c>
      <c r="D2718" s="285">
        <v>1.1588619386906518</v>
      </c>
      <c r="E2718" s="285">
        <v>12.051147734322486</v>
      </c>
    </row>
    <row r="2719" spans="1:5">
      <c r="A2719" s="284">
        <f t="shared" si="1033"/>
        <v>2651</v>
      </c>
      <c r="B2719" s="285">
        <v>1.3517825493158335</v>
      </c>
      <c r="C2719" s="285">
        <v>1.9979362507246416</v>
      </c>
      <c r="D2719" s="285">
        <v>3.1695254068258261</v>
      </c>
      <c r="E2719" s="285">
        <v>-17.099038054842371</v>
      </c>
    </row>
    <row r="2720" spans="1:5">
      <c r="A2720" s="284">
        <f t="shared" si="1033"/>
        <v>2652</v>
      </c>
      <c r="B2720" s="285">
        <v>1.0535497504633402</v>
      </c>
      <c r="C2720" s="285">
        <v>2.4955903498106236</v>
      </c>
      <c r="D2720" s="285">
        <v>1.2471269386106376</v>
      </c>
      <c r="E2720" s="285">
        <v>-2.7463688093033705</v>
      </c>
    </row>
    <row r="2721" spans="1:5">
      <c r="A2721" s="284">
        <f t="shared" si="1033"/>
        <v>2653</v>
      </c>
      <c r="B2721" s="285">
        <v>-1.5302295017336975</v>
      </c>
      <c r="C2721" s="285">
        <v>2.1998470605899092</v>
      </c>
      <c r="D2721" s="285">
        <v>-0.36482767277600026</v>
      </c>
      <c r="E2721" s="285">
        <v>-10.872570808864372</v>
      </c>
    </row>
    <row r="2722" spans="1:5">
      <c r="A2722" s="284">
        <f t="shared" si="1033"/>
        <v>2654</v>
      </c>
      <c r="B2722" s="285">
        <v>1.5364793100250662</v>
      </c>
      <c r="C2722" s="285">
        <v>2.9118005604935511</v>
      </c>
      <c r="D2722" s="285">
        <v>3.0906784616885905</v>
      </c>
      <c r="E2722" s="285">
        <v>7.3477102992772245</v>
      </c>
    </row>
    <row r="2723" spans="1:5">
      <c r="A2723" s="284">
        <f t="shared" si="1033"/>
        <v>2655</v>
      </c>
      <c r="B2723" s="285">
        <v>-3.0996512810198396</v>
      </c>
      <c r="C2723" s="285">
        <v>2.3527045816072754</v>
      </c>
      <c r="D2723" s="285">
        <v>1.3409459251261422</v>
      </c>
      <c r="E2723" s="285">
        <v>-4.0792017497284849</v>
      </c>
    </row>
    <row r="2724" spans="1:5">
      <c r="A2724" s="284">
        <f t="shared" si="1033"/>
        <v>2656</v>
      </c>
      <c r="B2724" s="285">
        <v>-3.7243164661336197</v>
      </c>
      <c r="C2724" s="285">
        <v>2.3466932528131803</v>
      </c>
      <c r="D2724" s="285">
        <v>2.7286554357692578</v>
      </c>
      <c r="E2724" s="285">
        <v>5.1280859061431716</v>
      </c>
    </row>
    <row r="2725" spans="1:5">
      <c r="A2725" s="284">
        <f t="shared" si="1033"/>
        <v>2657</v>
      </c>
      <c r="B2725" s="285">
        <v>-2.4678168612791169</v>
      </c>
      <c r="C2725" s="285">
        <v>2.7931138612458284</v>
      </c>
      <c r="D2725" s="285">
        <v>0.47410260997666132</v>
      </c>
      <c r="E2725" s="285">
        <v>6.5463298890688399</v>
      </c>
    </row>
    <row r="2726" spans="1:5">
      <c r="A2726" s="284">
        <f t="shared" si="1033"/>
        <v>2658</v>
      </c>
      <c r="B2726" s="285">
        <v>-1.5623222541764701</v>
      </c>
      <c r="C2726" s="285">
        <v>2.4681861125618787</v>
      </c>
      <c r="D2726" s="285">
        <v>1.0279378727680688</v>
      </c>
      <c r="E2726" s="285">
        <v>-8.9109395118887029</v>
      </c>
    </row>
    <row r="2727" spans="1:5">
      <c r="A2727" s="284">
        <f t="shared" si="1033"/>
        <v>2659</v>
      </c>
      <c r="B2727" s="285">
        <v>-1.754172470668087</v>
      </c>
      <c r="C2727" s="285">
        <v>2.2685991118251572</v>
      </c>
      <c r="D2727" s="285">
        <v>2.5442664836232707</v>
      </c>
      <c r="E2727" s="285">
        <v>-12.636988548578366</v>
      </c>
    </row>
    <row r="2728" spans="1:5">
      <c r="A2728" s="284">
        <f t="shared" si="1033"/>
        <v>2660</v>
      </c>
      <c r="B2728" s="285">
        <v>-0.82127667193649068</v>
      </c>
      <c r="C2728" s="285">
        <v>2.1185836276088459</v>
      </c>
      <c r="D2728" s="285">
        <v>-6.6083821528782005E-2</v>
      </c>
      <c r="E2728" s="285">
        <v>-12.582031552255625</v>
      </c>
    </row>
    <row r="2729" spans="1:5">
      <c r="A2729" s="284">
        <f t="shared" si="1033"/>
        <v>2661</v>
      </c>
      <c r="B2729" s="285">
        <v>3.0447568250501149</v>
      </c>
      <c r="C2729" s="285">
        <v>2.7106965531402003</v>
      </c>
      <c r="D2729" s="285">
        <v>1.5397344817185732</v>
      </c>
      <c r="E2729" s="285">
        <v>-3.237387753901344</v>
      </c>
    </row>
    <row r="2730" spans="1:5">
      <c r="A2730" s="284">
        <f t="shared" si="1033"/>
        <v>2662</v>
      </c>
      <c r="B2730" s="285">
        <v>-1.43209947419352</v>
      </c>
      <c r="C2730" s="285">
        <v>3.1316633759415531</v>
      </c>
      <c r="D2730" s="285">
        <v>0.60610316489824545</v>
      </c>
      <c r="E2730" s="285">
        <v>3.9062732820979273</v>
      </c>
    </row>
    <row r="2731" spans="1:5">
      <c r="A2731" s="284">
        <f t="shared" si="1033"/>
        <v>2663</v>
      </c>
      <c r="B2731" s="285">
        <v>0.18317699743441956</v>
      </c>
      <c r="C2731" s="285">
        <v>2.5680564723325308</v>
      </c>
      <c r="D2731" s="285">
        <v>2.7950477457012068E-2</v>
      </c>
      <c r="E2731" s="285">
        <v>-1.8293180577387815</v>
      </c>
    </row>
    <row r="2732" spans="1:5">
      <c r="A2732" s="284">
        <f t="shared" si="1033"/>
        <v>2664</v>
      </c>
      <c r="B2732" s="285">
        <v>-1.9237502569338492</v>
      </c>
      <c r="C2732" s="285">
        <v>2.4715533676589629</v>
      </c>
      <c r="D2732" s="285">
        <v>1.8649767731305036</v>
      </c>
      <c r="E2732" s="285">
        <v>-2.7758331618766556</v>
      </c>
    </row>
    <row r="2733" spans="1:5">
      <c r="A2733" s="284">
        <f t="shared" si="1033"/>
        <v>2665</v>
      </c>
      <c r="B2733" s="285">
        <v>-1.4839524033416429</v>
      </c>
      <c r="C2733" s="285">
        <v>2.787529854532985</v>
      </c>
      <c r="D2733" s="285">
        <v>-0.2538164970013348</v>
      </c>
      <c r="E2733" s="285">
        <v>-3.7794140212011</v>
      </c>
    </row>
    <row r="2734" spans="1:5">
      <c r="A2734" s="284">
        <f t="shared" si="1033"/>
        <v>2666</v>
      </c>
      <c r="B2734" s="285">
        <v>-1.2453301270626282</v>
      </c>
      <c r="C2734" s="285">
        <v>2.3752883661593653</v>
      </c>
      <c r="D2734" s="285">
        <v>0.49958681909490266</v>
      </c>
      <c r="E2734" s="285">
        <v>-4.9873272307173595</v>
      </c>
    </row>
    <row r="2735" spans="1:5">
      <c r="A2735" s="284">
        <f t="shared" si="1033"/>
        <v>2667</v>
      </c>
      <c r="B2735" s="285">
        <v>-5.2504831196987176</v>
      </c>
      <c r="C2735" s="285">
        <v>1.685410846659853</v>
      </c>
      <c r="D2735" s="285">
        <v>1.8427826437444479</v>
      </c>
      <c r="E2735" s="285">
        <v>-19.179625257002719</v>
      </c>
    </row>
    <row r="2736" spans="1:5">
      <c r="A2736" s="284">
        <f t="shared" si="1033"/>
        <v>2668</v>
      </c>
      <c r="B2736" s="285">
        <v>-2.472492848586751</v>
      </c>
      <c r="C2736" s="285">
        <v>2.8935133225885403</v>
      </c>
      <c r="D2736" s="285">
        <v>5.5873926837089138E-2</v>
      </c>
      <c r="E2736" s="285">
        <v>3.430471836867294</v>
      </c>
    </row>
    <row r="2737" spans="1:5">
      <c r="A2737" s="284">
        <f t="shared" si="1033"/>
        <v>2669</v>
      </c>
      <c r="B2737" s="285">
        <v>0.76245455553223029</v>
      </c>
      <c r="C2737" s="285">
        <v>3.0927333043935334</v>
      </c>
      <c r="D2737" s="285">
        <v>0.67971052645071328</v>
      </c>
      <c r="E2737" s="285">
        <v>3.6749138956656169</v>
      </c>
    </row>
    <row r="2738" spans="1:5">
      <c r="A2738" s="284">
        <f t="shared" si="1033"/>
        <v>2670</v>
      </c>
      <c r="B2738" s="285">
        <v>7.4755505325902818E-2</v>
      </c>
      <c r="C2738" s="285">
        <v>2.7266491988858483</v>
      </c>
      <c r="D2738" s="285">
        <v>0.97780751142303712</v>
      </c>
      <c r="E2738" s="285">
        <v>-4.3046080735247925</v>
      </c>
    </row>
    <row r="2739" spans="1:5">
      <c r="A2739" s="284">
        <f t="shared" si="1033"/>
        <v>2671</v>
      </c>
      <c r="B2739" s="285">
        <v>1.144241930984806</v>
      </c>
      <c r="C2739" s="285">
        <v>2.8484840237317828</v>
      </c>
      <c r="D2739" s="285">
        <v>0.90216547412493042</v>
      </c>
      <c r="E2739" s="285">
        <v>3.9728048204261026</v>
      </c>
    </row>
    <row r="2740" spans="1:5">
      <c r="A2740" s="284">
        <f t="shared" si="1033"/>
        <v>2672</v>
      </c>
      <c r="B2740" s="285">
        <v>1.5236853061121831</v>
      </c>
      <c r="C2740" s="285">
        <v>2.9794824532663755</v>
      </c>
      <c r="D2740" s="285">
        <v>0.29071523813052225</v>
      </c>
      <c r="E2740" s="285">
        <v>2.0120450613534362</v>
      </c>
    </row>
    <row r="2741" spans="1:5">
      <c r="A2741" s="284">
        <f t="shared" si="1033"/>
        <v>2673</v>
      </c>
      <c r="B2741" s="285">
        <v>5.2085022108909982</v>
      </c>
      <c r="C2741" s="285">
        <v>2.8229022517909867</v>
      </c>
      <c r="D2741" s="285">
        <v>0.30630686693971509</v>
      </c>
      <c r="E2741" s="285">
        <v>-5.6603246612469578</v>
      </c>
    </row>
    <row r="2742" spans="1:5">
      <c r="A2742" s="284">
        <f t="shared" si="1033"/>
        <v>2674</v>
      </c>
      <c r="B2742" s="285">
        <v>-1.0944217710642712</v>
      </c>
      <c r="C2742" s="285">
        <v>3.2742743200691695</v>
      </c>
      <c r="D2742" s="285">
        <v>-0.11287078911708948</v>
      </c>
      <c r="E2742" s="285">
        <v>12.484305422751572</v>
      </c>
    </row>
    <row r="2743" spans="1:5">
      <c r="A2743" s="284">
        <f t="shared" si="1033"/>
        <v>2675</v>
      </c>
      <c r="B2743" s="285">
        <v>1.6103952425411867</v>
      </c>
      <c r="C2743" s="285">
        <v>3.3114311524956839</v>
      </c>
      <c r="D2743" s="285">
        <v>2.2777226022654493</v>
      </c>
      <c r="E2743" s="285">
        <v>9.5822963740275924</v>
      </c>
    </row>
    <row r="2744" spans="1:5">
      <c r="A2744" s="284">
        <f t="shared" si="1033"/>
        <v>2676</v>
      </c>
      <c r="B2744" s="285">
        <v>1.9444029179509992</v>
      </c>
      <c r="C2744" s="285">
        <v>3.026616663239404</v>
      </c>
      <c r="D2744" s="285">
        <v>1.3899329414295336</v>
      </c>
      <c r="E2744" s="285">
        <v>-1.5483726483142486</v>
      </c>
    </row>
    <row r="2745" spans="1:5">
      <c r="A2745" s="284">
        <f t="shared" si="1033"/>
        <v>2677</v>
      </c>
      <c r="B2745" s="285">
        <v>-1.3792299703666016</v>
      </c>
      <c r="C2745" s="285">
        <v>2.7621256987149687</v>
      </c>
      <c r="D2745" s="285">
        <v>0.49502181952206814</v>
      </c>
      <c r="E2745" s="285">
        <v>1.9355236068746904</v>
      </c>
    </row>
    <row r="2746" spans="1:5">
      <c r="A2746" s="284">
        <f t="shared" si="1033"/>
        <v>2678</v>
      </c>
      <c r="B2746" s="285">
        <v>-3.0249165427210976</v>
      </c>
      <c r="C2746" s="285">
        <v>2.1514032016441131</v>
      </c>
      <c r="D2746" s="285">
        <v>-0.75063218943060273</v>
      </c>
      <c r="E2746" s="285">
        <v>-4.9300439126185625</v>
      </c>
    </row>
    <row r="2747" spans="1:5">
      <c r="A2747" s="284">
        <f t="shared" si="1033"/>
        <v>2679</v>
      </c>
      <c r="B2747" s="285">
        <v>2.110357863697784</v>
      </c>
      <c r="C2747" s="285">
        <v>2.5710805909575121</v>
      </c>
      <c r="D2747" s="285">
        <v>1.5600137956907125</v>
      </c>
      <c r="E2747" s="285">
        <v>-15.064612626970748</v>
      </c>
    </row>
    <row r="2748" spans="1:5">
      <c r="A2748" s="284">
        <f t="shared" si="1033"/>
        <v>2680</v>
      </c>
      <c r="B2748" s="285">
        <v>2.017477908359687</v>
      </c>
      <c r="C2748" s="285">
        <v>3.0559819216843289</v>
      </c>
      <c r="D2748" s="285">
        <v>1.5910702321633596</v>
      </c>
      <c r="E2748" s="285">
        <v>1.1221684929381621</v>
      </c>
    </row>
    <row r="2749" spans="1:5">
      <c r="A2749" s="284">
        <f t="shared" si="1033"/>
        <v>2681</v>
      </c>
      <c r="B2749" s="285">
        <v>0.47339626623265146</v>
      </c>
      <c r="C2749" s="285">
        <v>2.5930445008964154</v>
      </c>
      <c r="D2749" s="285">
        <v>0.92615708354023774</v>
      </c>
      <c r="E2749" s="285">
        <v>-8.1593063791767673E-2</v>
      </c>
    </row>
    <row r="2750" spans="1:5">
      <c r="A2750" s="284">
        <f t="shared" si="1033"/>
        <v>2682</v>
      </c>
      <c r="B2750" s="285">
        <v>1.0647391163863043</v>
      </c>
      <c r="C2750" s="285">
        <v>2.4711482001112435</v>
      </c>
      <c r="D2750" s="285">
        <v>2.2851734357871996</v>
      </c>
      <c r="E2750" s="285">
        <v>1.0255958270538792</v>
      </c>
    </row>
    <row r="2751" spans="1:5">
      <c r="A2751" s="284">
        <f t="shared" si="1033"/>
        <v>2683</v>
      </c>
      <c r="B2751" s="285">
        <v>-0.19810149425100806</v>
      </c>
      <c r="C2751" s="285">
        <v>2.8826335850498124</v>
      </c>
      <c r="D2751" s="285">
        <v>1.0570085187189522</v>
      </c>
      <c r="E2751" s="285">
        <v>7.547654073327914E-2</v>
      </c>
    </row>
    <row r="2752" spans="1:5">
      <c r="A2752" s="284">
        <f t="shared" si="1033"/>
        <v>2684</v>
      </c>
      <c r="B2752" s="285">
        <v>-0.87198250015254064</v>
      </c>
      <c r="C2752" s="285">
        <v>2.7139678359209309</v>
      </c>
      <c r="D2752" s="285">
        <v>3.5655405171558519E-2</v>
      </c>
      <c r="E2752" s="285">
        <v>1.1270766982664138</v>
      </c>
    </row>
    <row r="2753" spans="1:5">
      <c r="A2753" s="284">
        <f t="shared" si="1033"/>
        <v>2685</v>
      </c>
      <c r="B2753" s="285">
        <v>-7.5970150774248318E-2</v>
      </c>
      <c r="C2753" s="285">
        <v>3.1405999822375517</v>
      </c>
      <c r="D2753" s="285">
        <v>2.521095537335829</v>
      </c>
      <c r="E2753" s="285">
        <v>-3.5570261018787472</v>
      </c>
    </row>
    <row r="2754" spans="1:5">
      <c r="A2754" s="284">
        <f t="shared" si="1033"/>
        <v>2686</v>
      </c>
      <c r="B2754" s="285">
        <v>-2.0046698459186536</v>
      </c>
      <c r="C2754" s="285">
        <v>2.5254537491990305</v>
      </c>
      <c r="D2754" s="285">
        <v>-0.95381614532814085</v>
      </c>
      <c r="E2754" s="285">
        <v>-0.88881825140316817</v>
      </c>
    </row>
    <row r="2755" spans="1:5">
      <c r="A2755" s="284">
        <f t="shared" si="1033"/>
        <v>2687</v>
      </c>
      <c r="B2755" s="285">
        <v>-3.5703418858307159</v>
      </c>
      <c r="C2755" s="285">
        <v>3.037150343775187</v>
      </c>
      <c r="D2755" s="285">
        <v>-0.53737066568183489</v>
      </c>
      <c r="E2755" s="285">
        <v>2.8478157277674296</v>
      </c>
    </row>
    <row r="2756" spans="1:5">
      <c r="A2756" s="284">
        <f t="shared" si="1033"/>
        <v>2688</v>
      </c>
      <c r="B2756" s="285">
        <v>-3.5530003470936307</v>
      </c>
      <c r="C2756" s="285">
        <v>2.1725955682319258</v>
      </c>
      <c r="D2756" s="285">
        <v>-0.61251346960668274</v>
      </c>
      <c r="E2756" s="285">
        <v>-0.13330480166333869</v>
      </c>
    </row>
    <row r="2757" spans="1:5">
      <c r="A2757" s="284">
        <f t="shared" si="1033"/>
        <v>2689</v>
      </c>
      <c r="B2757" s="285">
        <v>-2.5017102053401148</v>
      </c>
      <c r="C2757" s="285">
        <v>1.5778383237762144</v>
      </c>
      <c r="D2757" s="285">
        <v>-1.3892465617742222</v>
      </c>
      <c r="E2757" s="285">
        <v>-9.8098107793573082</v>
      </c>
    </row>
    <row r="2758" spans="1:5">
      <c r="A2758" s="284">
        <f t="shared" si="1033"/>
        <v>2690</v>
      </c>
      <c r="B2758" s="285">
        <v>0.59212265083475923</v>
      </c>
      <c r="C2758" s="285">
        <v>3.2057823393070866</v>
      </c>
      <c r="D2758" s="285">
        <v>2.3730115755630932</v>
      </c>
      <c r="E2758" s="285">
        <v>6.6963525687087699</v>
      </c>
    </row>
    <row r="2759" spans="1:5">
      <c r="A2759" s="284">
        <f t="shared" ref="A2759:A2822" si="1034">A2758+1</f>
        <v>2691</v>
      </c>
      <c r="B2759" s="285">
        <v>-4.3618989112524016</v>
      </c>
      <c r="C2759" s="285">
        <v>2.4628054843301901</v>
      </c>
      <c r="D2759" s="285">
        <v>3.7312397538035409</v>
      </c>
      <c r="E2759" s="285">
        <v>-7.9015265832206563</v>
      </c>
    </row>
    <row r="2760" spans="1:5">
      <c r="A2760" s="284">
        <f t="shared" si="1034"/>
        <v>2692</v>
      </c>
      <c r="B2760" s="285">
        <v>-1.5764865659697818</v>
      </c>
      <c r="C2760" s="285">
        <v>2.2938254151876274</v>
      </c>
      <c r="D2760" s="285">
        <v>0.48943652961006201</v>
      </c>
      <c r="E2760" s="285">
        <v>-6.8675492841517851</v>
      </c>
    </row>
    <row r="2761" spans="1:5">
      <c r="A2761" s="284">
        <f t="shared" si="1034"/>
        <v>2693</v>
      </c>
      <c r="B2761" s="285">
        <v>0.44763092746157129</v>
      </c>
      <c r="C2761" s="285">
        <v>3.0144084647556664</v>
      </c>
      <c r="D2761" s="285">
        <v>1.7356493241573159</v>
      </c>
      <c r="E2761" s="285">
        <v>7.5683940936005527</v>
      </c>
    </row>
    <row r="2762" spans="1:5">
      <c r="A2762" s="284">
        <f t="shared" si="1034"/>
        <v>2694</v>
      </c>
      <c r="B2762" s="285">
        <v>0.7809946456174548</v>
      </c>
      <c r="C2762" s="285">
        <v>2.9857763076796009</v>
      </c>
      <c r="D2762" s="285">
        <v>2.5798020009747606</v>
      </c>
      <c r="E2762" s="285">
        <v>-5.9830866175319777</v>
      </c>
    </row>
    <row r="2763" spans="1:5">
      <c r="A2763" s="284">
        <f t="shared" si="1034"/>
        <v>2695</v>
      </c>
      <c r="B2763" s="285">
        <v>1.4070006480395818</v>
      </c>
      <c r="C2763" s="285">
        <v>2.9370162528324228</v>
      </c>
      <c r="D2763" s="285">
        <v>0.53529566163792075</v>
      </c>
      <c r="E2763" s="285">
        <v>3.0673449553743737E-2</v>
      </c>
    </row>
    <row r="2764" spans="1:5">
      <c r="A2764" s="284">
        <f t="shared" si="1034"/>
        <v>2696</v>
      </c>
      <c r="B2764" s="285">
        <v>-1.4475869170359945</v>
      </c>
      <c r="C2764" s="285">
        <v>2.0711884993450598</v>
      </c>
      <c r="D2764" s="285">
        <v>4.5929996929132511</v>
      </c>
      <c r="E2764" s="285">
        <v>-7.0414253369434281</v>
      </c>
    </row>
    <row r="2765" spans="1:5">
      <c r="A2765" s="284">
        <f t="shared" si="1034"/>
        <v>2697</v>
      </c>
      <c r="B2765" s="285">
        <v>-0.20239705791679624</v>
      </c>
      <c r="C2765" s="285">
        <v>2.5965741030934759</v>
      </c>
      <c r="D2765" s="285">
        <v>-2.9888092067076766E-2</v>
      </c>
      <c r="E2765" s="285">
        <v>5.2792683411032097</v>
      </c>
    </row>
    <row r="2766" spans="1:5">
      <c r="A2766" s="284">
        <f t="shared" si="1034"/>
        <v>2698</v>
      </c>
      <c r="B2766" s="285">
        <v>3.1092274332029324</v>
      </c>
      <c r="C2766" s="285">
        <v>2.5336070156974748</v>
      </c>
      <c r="D2766" s="285">
        <v>0.9788442556140966</v>
      </c>
      <c r="E2766" s="285">
        <v>0.16458724895731613</v>
      </c>
    </row>
    <row r="2767" spans="1:5">
      <c r="A2767" s="284">
        <f t="shared" si="1034"/>
        <v>2699</v>
      </c>
      <c r="B2767" s="285">
        <v>3.5521069476847811</v>
      </c>
      <c r="C2767" s="285">
        <v>3.8054136497445796</v>
      </c>
      <c r="D2767" s="285">
        <v>1.9778281877000174</v>
      </c>
      <c r="E2767" s="285">
        <v>5.8578892288289808</v>
      </c>
    </row>
    <row r="2768" spans="1:5">
      <c r="A2768" s="284">
        <f t="shared" si="1034"/>
        <v>2700</v>
      </c>
      <c r="B2768" s="285">
        <v>-4.5009015740988767</v>
      </c>
      <c r="C2768" s="285">
        <v>1.9471327493735413</v>
      </c>
      <c r="D2768" s="285">
        <v>0.6427256909997342</v>
      </c>
      <c r="E2768" s="285">
        <v>-9.9403280248796548</v>
      </c>
    </row>
    <row r="2769" spans="1:5">
      <c r="A2769" s="284">
        <f t="shared" si="1034"/>
        <v>2701</v>
      </c>
      <c r="B2769" s="285">
        <v>-1.6110439315340954</v>
      </c>
      <c r="C2769" s="285">
        <v>3.0097150891396387</v>
      </c>
      <c r="D2769" s="285">
        <v>0.9220525795761163</v>
      </c>
      <c r="E2769" s="285">
        <v>17.011289655488479</v>
      </c>
    </row>
    <row r="2770" spans="1:5">
      <c r="A2770" s="284">
        <f t="shared" si="1034"/>
        <v>2702</v>
      </c>
      <c r="B2770" s="285">
        <v>-0.22688157598033518</v>
      </c>
      <c r="C2770" s="285">
        <v>2.0255806387342838</v>
      </c>
      <c r="D2770" s="285">
        <v>2.1539950435407498</v>
      </c>
      <c r="E2770" s="285">
        <v>-17.40811494774211</v>
      </c>
    </row>
    <row r="2771" spans="1:5">
      <c r="A2771" s="284">
        <f t="shared" si="1034"/>
        <v>2703</v>
      </c>
      <c r="B2771" s="285">
        <v>-0.4187347126114383</v>
      </c>
      <c r="C2771" s="285">
        <v>2.0310040862466603</v>
      </c>
      <c r="D2771" s="285">
        <v>0.655745900142779</v>
      </c>
      <c r="E2771" s="285">
        <v>-15.629421390123559</v>
      </c>
    </row>
    <row r="2772" spans="1:5">
      <c r="A2772" s="284">
        <f t="shared" si="1034"/>
        <v>2704</v>
      </c>
      <c r="B2772" s="285">
        <v>0.93961796171167311</v>
      </c>
      <c r="C2772" s="285">
        <v>1.4602130874286283</v>
      </c>
      <c r="D2772" s="285">
        <v>0.99028328327752235</v>
      </c>
      <c r="E2772" s="285">
        <v>-19.990711612551273</v>
      </c>
    </row>
    <row r="2773" spans="1:5">
      <c r="A2773" s="284">
        <f t="shared" si="1034"/>
        <v>2705</v>
      </c>
      <c r="B2773" s="285">
        <v>0.56642613773352735</v>
      </c>
      <c r="C2773" s="285">
        <v>2.0456278634563749</v>
      </c>
      <c r="D2773" s="285">
        <v>-0.45235089425248054</v>
      </c>
      <c r="E2773" s="285">
        <v>-1.7541837619922993</v>
      </c>
    </row>
    <row r="2774" spans="1:5">
      <c r="A2774" s="284">
        <f t="shared" si="1034"/>
        <v>2706</v>
      </c>
      <c r="B2774" s="285">
        <v>0.6503804401641301</v>
      </c>
      <c r="C2774" s="285">
        <v>2.2176205824128008</v>
      </c>
      <c r="D2774" s="285">
        <v>0.66530666682797357</v>
      </c>
      <c r="E2774" s="285">
        <v>-18.767942322602416</v>
      </c>
    </row>
    <row r="2775" spans="1:5">
      <c r="A2775" s="284">
        <f t="shared" si="1034"/>
        <v>2707</v>
      </c>
      <c r="B2775" s="285">
        <v>-0.36618349149615975</v>
      </c>
      <c r="C2775" s="285">
        <v>3.2087889393638216</v>
      </c>
      <c r="D2775" s="285">
        <v>0.46136286575357921</v>
      </c>
      <c r="E2775" s="285">
        <v>13.45404640370467</v>
      </c>
    </row>
    <row r="2776" spans="1:5">
      <c r="A2776" s="284">
        <f t="shared" si="1034"/>
        <v>2708</v>
      </c>
      <c r="B2776" s="285">
        <v>1.6766573927756843</v>
      </c>
      <c r="C2776" s="285">
        <v>2.8778338771877849</v>
      </c>
      <c r="D2776" s="285">
        <v>-1.2369493950844186</v>
      </c>
      <c r="E2776" s="285">
        <v>14.110049441881383</v>
      </c>
    </row>
    <row r="2777" spans="1:5">
      <c r="A2777" s="284">
        <f t="shared" si="1034"/>
        <v>2709</v>
      </c>
      <c r="B2777" s="285">
        <v>-1.1828593421661102</v>
      </c>
      <c r="C2777" s="285">
        <v>2.1702121506896042</v>
      </c>
      <c r="D2777" s="285">
        <v>0.81150610818842184</v>
      </c>
      <c r="E2777" s="285">
        <v>10.898797515376321</v>
      </c>
    </row>
    <row r="2778" spans="1:5">
      <c r="A2778" s="284">
        <f t="shared" si="1034"/>
        <v>2710</v>
      </c>
      <c r="B2778" s="285">
        <v>-0.81391189387006468</v>
      </c>
      <c r="C2778" s="285">
        <v>2.4203897102597152</v>
      </c>
      <c r="D2778" s="285">
        <v>4.2357230553086991</v>
      </c>
      <c r="E2778" s="285">
        <v>-2.3055278054294095</v>
      </c>
    </row>
    <row r="2779" spans="1:5">
      <c r="A2779" s="284">
        <f t="shared" si="1034"/>
        <v>2711</v>
      </c>
      <c r="B2779" s="285">
        <v>0.53618657606188092</v>
      </c>
      <c r="C2779" s="285">
        <v>2.6287044992128932</v>
      </c>
      <c r="D2779" s="285">
        <v>2.1668369429379664</v>
      </c>
      <c r="E2779" s="285">
        <v>7.9013270866030521</v>
      </c>
    </row>
    <row r="2780" spans="1:5">
      <c r="A2780" s="284">
        <f t="shared" si="1034"/>
        <v>2712</v>
      </c>
      <c r="B2780" s="285">
        <v>2.5684924997792802</v>
      </c>
      <c r="C2780" s="285">
        <v>2.1939239723681752</v>
      </c>
      <c r="D2780" s="285">
        <v>1.6516916410008642</v>
      </c>
      <c r="E2780" s="285">
        <v>-10.774077600461045</v>
      </c>
    </row>
    <row r="2781" spans="1:5">
      <c r="A2781" s="284">
        <f t="shared" si="1034"/>
        <v>2713</v>
      </c>
      <c r="B2781" s="285">
        <v>-2.9064585075553175</v>
      </c>
      <c r="C2781" s="285">
        <v>2.6404874929214244</v>
      </c>
      <c r="D2781" s="285">
        <v>-0.70769199236275138</v>
      </c>
      <c r="E2781" s="285">
        <v>0.54588221239856338</v>
      </c>
    </row>
    <row r="2782" spans="1:5">
      <c r="A2782" s="284">
        <f t="shared" si="1034"/>
        <v>2714</v>
      </c>
      <c r="B2782" s="285">
        <v>2.7083049734696116</v>
      </c>
      <c r="C2782" s="285">
        <v>3.3320986020436201</v>
      </c>
      <c r="D2782" s="285">
        <v>1.584619087262239</v>
      </c>
      <c r="E2782" s="285">
        <v>2.7749795690369425</v>
      </c>
    </row>
    <row r="2783" spans="1:5">
      <c r="A2783" s="284">
        <f t="shared" si="1034"/>
        <v>2715</v>
      </c>
      <c r="B2783" s="285">
        <v>-2.7046516429151208</v>
      </c>
      <c r="C2783" s="285">
        <v>2.98869322113742</v>
      </c>
      <c r="D2783" s="285">
        <v>8.4090901815633723E-2</v>
      </c>
      <c r="E2783" s="285">
        <v>1.3926130190929746</v>
      </c>
    </row>
    <row r="2784" spans="1:5">
      <c r="A2784" s="284">
        <f t="shared" si="1034"/>
        <v>2716</v>
      </c>
      <c r="B2784" s="285">
        <v>-2.1040112405756384</v>
      </c>
      <c r="C2784" s="285">
        <v>2.2524593983032712</v>
      </c>
      <c r="D2784" s="285">
        <v>1.4073660157890915</v>
      </c>
      <c r="E2784" s="285">
        <v>1.3630000647005081</v>
      </c>
    </row>
    <row r="2785" spans="1:5">
      <c r="A2785" s="284">
        <f t="shared" si="1034"/>
        <v>2717</v>
      </c>
      <c r="B2785" s="285">
        <v>3.666871535880766</v>
      </c>
      <c r="C2785" s="285">
        <v>3.5899009595541838</v>
      </c>
      <c r="D2785" s="285">
        <v>1.6788492919713525</v>
      </c>
      <c r="E2785" s="285">
        <v>22.948427594633127</v>
      </c>
    </row>
    <row r="2786" spans="1:5">
      <c r="A2786" s="284">
        <f t="shared" si="1034"/>
        <v>2718</v>
      </c>
      <c r="B2786" s="285">
        <v>-9.4310242524871333E-3</v>
      </c>
      <c r="C2786" s="285">
        <v>3.1600014049297789</v>
      </c>
      <c r="D2786" s="285">
        <v>0.2604496535813563</v>
      </c>
      <c r="E2786" s="285">
        <v>7.0441891130188008</v>
      </c>
    </row>
    <row r="2787" spans="1:5">
      <c r="A2787" s="284">
        <f t="shared" si="1034"/>
        <v>2719</v>
      </c>
      <c r="B2787" s="285">
        <v>-0.50005176608750945</v>
      </c>
      <c r="C2787" s="285">
        <v>2.7300238788877467</v>
      </c>
      <c r="D2787" s="285">
        <v>-1.897231396772066</v>
      </c>
      <c r="E2787" s="285">
        <v>-2.024072390240423</v>
      </c>
    </row>
    <row r="2788" spans="1:5">
      <c r="A2788" s="284">
        <f t="shared" si="1034"/>
        <v>2720</v>
      </c>
      <c r="B2788" s="285">
        <v>-2.6123728368921308</v>
      </c>
      <c r="C2788" s="285">
        <v>1.6453489392954901</v>
      </c>
      <c r="D2788" s="285">
        <v>1.5506920719556332</v>
      </c>
      <c r="E2788" s="285">
        <v>-23.608647819937236</v>
      </c>
    </row>
    <row r="2789" spans="1:5">
      <c r="A2789" s="284">
        <f t="shared" si="1034"/>
        <v>2721</v>
      </c>
      <c r="B2789" s="285">
        <v>-0.40158846704256712</v>
      </c>
      <c r="C2789" s="285">
        <v>2.6554583258155571</v>
      </c>
      <c r="D2789" s="285">
        <v>-0.46911515137875059</v>
      </c>
      <c r="E2789" s="285">
        <v>7.2942242433312661</v>
      </c>
    </row>
    <row r="2790" spans="1:5">
      <c r="A2790" s="284">
        <f t="shared" si="1034"/>
        <v>2722</v>
      </c>
      <c r="B2790" s="285">
        <v>1.8450694075557303</v>
      </c>
      <c r="C2790" s="285">
        <v>2.5103625247158132</v>
      </c>
      <c r="D2790" s="285">
        <v>3.3355466133846452</v>
      </c>
      <c r="E2790" s="285">
        <v>-8.5196349375998608</v>
      </c>
    </row>
    <row r="2791" spans="1:5">
      <c r="A2791" s="284">
        <f t="shared" si="1034"/>
        <v>2723</v>
      </c>
      <c r="B2791" s="285">
        <v>1.2571764180526668</v>
      </c>
      <c r="C2791" s="285">
        <v>2.8365283686191307</v>
      </c>
      <c r="D2791" s="285">
        <v>2.1068203973060347</v>
      </c>
      <c r="E2791" s="285">
        <v>2.2224266535644346</v>
      </c>
    </row>
    <row r="2792" spans="1:5">
      <c r="A2792" s="284">
        <f t="shared" si="1034"/>
        <v>2724</v>
      </c>
      <c r="B2792" s="285">
        <v>-0.13760166041275601</v>
      </c>
      <c r="C2792" s="285">
        <v>2.2866019985917077</v>
      </c>
      <c r="D2792" s="285">
        <v>9.5129332769549935E-2</v>
      </c>
      <c r="E2792" s="285">
        <v>-1.3014720170853091</v>
      </c>
    </row>
    <row r="2793" spans="1:5">
      <c r="A2793" s="284">
        <f t="shared" si="1034"/>
        <v>2725</v>
      </c>
      <c r="B2793" s="285">
        <v>-0.54316702375542691</v>
      </c>
      <c r="C2793" s="285">
        <v>1.8112951376584454</v>
      </c>
      <c r="D2793" s="285">
        <v>0.30843918808588655</v>
      </c>
      <c r="E2793" s="285">
        <v>-17.011337939009472</v>
      </c>
    </row>
    <row r="2794" spans="1:5">
      <c r="A2794" s="284">
        <f t="shared" si="1034"/>
        <v>2726</v>
      </c>
      <c r="B2794" s="285">
        <v>1.1137078217847987</v>
      </c>
      <c r="C2794" s="285">
        <v>2.7675672520770114</v>
      </c>
      <c r="D2794" s="285">
        <v>1.9579385402139327</v>
      </c>
      <c r="E2794" s="285">
        <v>10.802039097624363</v>
      </c>
    </row>
    <row r="2795" spans="1:5">
      <c r="A2795" s="284">
        <f t="shared" si="1034"/>
        <v>2727</v>
      </c>
      <c r="B2795" s="285">
        <v>0.87947387425866874</v>
      </c>
      <c r="C2795" s="285">
        <v>2.6222060063381432</v>
      </c>
      <c r="D2795" s="285">
        <v>0.87723021168332005</v>
      </c>
      <c r="E2795" s="285">
        <v>-1.0915613828323889</v>
      </c>
    </row>
    <row r="2796" spans="1:5">
      <c r="A2796" s="284">
        <f t="shared" si="1034"/>
        <v>2728</v>
      </c>
      <c r="B2796" s="285">
        <v>0.16599028229893187</v>
      </c>
      <c r="C2796" s="285">
        <v>2.3645529890093213</v>
      </c>
      <c r="D2796" s="285">
        <v>0.31885427947543632</v>
      </c>
      <c r="E2796" s="285">
        <v>-4.3785243051926521</v>
      </c>
    </row>
    <row r="2797" spans="1:5">
      <c r="A2797" s="284">
        <f t="shared" si="1034"/>
        <v>2729</v>
      </c>
      <c r="B2797" s="285">
        <v>3.9436667257736149</v>
      </c>
      <c r="C2797" s="285">
        <v>3.2244083975490545</v>
      </c>
      <c r="D2797" s="285">
        <v>1.161867256637706</v>
      </c>
      <c r="E2797" s="285">
        <v>0.23960145427047186</v>
      </c>
    </row>
    <row r="2798" spans="1:5">
      <c r="A2798" s="284">
        <f t="shared" si="1034"/>
        <v>2730</v>
      </c>
      <c r="B2798" s="285">
        <v>1.2362960603299671</v>
      </c>
      <c r="C2798" s="285">
        <v>3.3976352704031321</v>
      </c>
      <c r="D2798" s="285">
        <v>0.94497226004833124</v>
      </c>
      <c r="E2798" s="285">
        <v>14.350280733409793</v>
      </c>
    </row>
    <row r="2799" spans="1:5">
      <c r="A2799" s="284">
        <f t="shared" si="1034"/>
        <v>2731</v>
      </c>
      <c r="B2799" s="285">
        <v>0.25455841887673669</v>
      </c>
      <c r="C2799" s="285">
        <v>3.102012818726219</v>
      </c>
      <c r="D2799" s="285">
        <v>2.0226055418313962</v>
      </c>
      <c r="E2799" s="285">
        <v>3.7034777419455733</v>
      </c>
    </row>
    <row r="2800" spans="1:5">
      <c r="A2800" s="284">
        <f t="shared" si="1034"/>
        <v>2732</v>
      </c>
      <c r="B2800" s="285">
        <v>2.6249966849012845</v>
      </c>
      <c r="C2800" s="285">
        <v>3.6264153669765258</v>
      </c>
      <c r="D2800" s="285">
        <v>-4.2539081272158441E-2</v>
      </c>
      <c r="E2800" s="285">
        <v>17.161135431603803</v>
      </c>
    </row>
    <row r="2801" spans="1:5">
      <c r="A2801" s="284">
        <f t="shared" si="1034"/>
        <v>2733</v>
      </c>
      <c r="B2801" s="285">
        <v>0.68780828951760187</v>
      </c>
      <c r="C2801" s="285">
        <v>2.5866143014192344</v>
      </c>
      <c r="D2801" s="285">
        <v>0.86404704676766964</v>
      </c>
      <c r="E2801" s="285">
        <v>0.17727955877158408</v>
      </c>
    </row>
    <row r="2802" spans="1:5">
      <c r="A2802" s="284">
        <f t="shared" si="1034"/>
        <v>2734</v>
      </c>
      <c r="B2802" s="285">
        <v>-0.14783220988696866</v>
      </c>
      <c r="C2802" s="285">
        <v>2.7465846032736203</v>
      </c>
      <c r="D2802" s="285">
        <v>2.2739564643808894</v>
      </c>
      <c r="E2802" s="285">
        <v>-9.443791941583962</v>
      </c>
    </row>
    <row r="2803" spans="1:5">
      <c r="A2803" s="284">
        <f t="shared" si="1034"/>
        <v>2735</v>
      </c>
      <c r="B2803" s="285">
        <v>2.8312915510602767</v>
      </c>
      <c r="C2803" s="285">
        <v>2.9075106635962946</v>
      </c>
      <c r="D2803" s="285">
        <v>2.8303742345098266</v>
      </c>
      <c r="E2803" s="285">
        <v>-6.9689340889819569</v>
      </c>
    </row>
    <row r="2804" spans="1:5">
      <c r="A2804" s="284">
        <f t="shared" si="1034"/>
        <v>2736</v>
      </c>
      <c r="B2804" s="285">
        <v>-2.6481683770001134</v>
      </c>
      <c r="C2804" s="285">
        <v>2.0206019557141062</v>
      </c>
      <c r="D2804" s="285">
        <v>1.6132383887988966</v>
      </c>
      <c r="E2804" s="285">
        <v>-4.7703231120966478</v>
      </c>
    </row>
    <row r="2805" spans="1:5">
      <c r="A2805" s="284">
        <f t="shared" si="1034"/>
        <v>2737</v>
      </c>
      <c r="B2805" s="285">
        <v>-1.3491564946659789</v>
      </c>
      <c r="C2805" s="285">
        <v>2.7867381709620842</v>
      </c>
      <c r="D2805" s="285">
        <v>1.3992760001683173</v>
      </c>
      <c r="E2805" s="285">
        <v>-0.73494601849646335</v>
      </c>
    </row>
    <row r="2806" spans="1:5">
      <c r="A2806" s="284">
        <f t="shared" si="1034"/>
        <v>2738</v>
      </c>
      <c r="B2806" s="285">
        <v>-6.1063412220025488E-2</v>
      </c>
      <c r="C2806" s="285">
        <v>2.4924090922525282</v>
      </c>
      <c r="D2806" s="285">
        <v>1.2532595552602555</v>
      </c>
      <c r="E2806" s="285">
        <v>-12.642273463946029</v>
      </c>
    </row>
    <row r="2807" spans="1:5">
      <c r="A2807" s="284">
        <f t="shared" si="1034"/>
        <v>2739</v>
      </c>
      <c r="B2807" s="285">
        <v>-0.49431755013229556</v>
      </c>
      <c r="C2807" s="285">
        <v>2.7143335317269139</v>
      </c>
      <c r="D2807" s="285">
        <v>1.0146096750623548</v>
      </c>
      <c r="E2807" s="285">
        <v>7.3755103814218739</v>
      </c>
    </row>
    <row r="2808" spans="1:5">
      <c r="A2808" s="284">
        <f t="shared" si="1034"/>
        <v>2740</v>
      </c>
      <c r="B2808" s="285">
        <v>-1.6481252772063537</v>
      </c>
      <c r="C2808" s="285">
        <v>2.4884713724091014</v>
      </c>
      <c r="D2808" s="285">
        <v>1.127970742539675</v>
      </c>
      <c r="E2808" s="285">
        <v>-6.6843744314318165</v>
      </c>
    </row>
    <row r="2809" spans="1:5">
      <c r="A2809" s="284">
        <f t="shared" si="1034"/>
        <v>2741</v>
      </c>
      <c r="B2809" s="285">
        <v>-1.0230645598711032</v>
      </c>
      <c r="C2809" s="285">
        <v>1.8511821194384375</v>
      </c>
      <c r="D2809" s="285">
        <v>3.902203076581702</v>
      </c>
      <c r="E2809" s="285">
        <v>-22.813696619929054</v>
      </c>
    </row>
    <row r="2810" spans="1:5">
      <c r="A2810" s="284">
        <f t="shared" si="1034"/>
        <v>2742</v>
      </c>
      <c r="B2810" s="285">
        <v>1.329469835345475</v>
      </c>
      <c r="C2810" s="285">
        <v>3.1337736774138927</v>
      </c>
      <c r="D2810" s="285">
        <v>-0.93815191577798673</v>
      </c>
      <c r="E2810" s="285">
        <v>9.1254409805120673</v>
      </c>
    </row>
    <row r="2811" spans="1:5">
      <c r="A2811" s="284">
        <f t="shared" si="1034"/>
        <v>2743</v>
      </c>
      <c r="B2811" s="285">
        <v>-0.55183762203966968</v>
      </c>
      <c r="C2811" s="285">
        <v>2.2226288873082112</v>
      </c>
      <c r="D2811" s="285">
        <v>2.0301144018165629</v>
      </c>
      <c r="E2811" s="285">
        <v>-18.39936638819669</v>
      </c>
    </row>
    <row r="2812" spans="1:5">
      <c r="A2812" s="284">
        <f t="shared" si="1034"/>
        <v>2744</v>
      </c>
      <c r="B2812" s="285">
        <v>-0.45882216149176713</v>
      </c>
      <c r="C2812" s="285">
        <v>2.6912059777505717</v>
      </c>
      <c r="D2812" s="285">
        <v>3.7798066445853169</v>
      </c>
      <c r="E2812" s="285">
        <v>4.4288478123347215</v>
      </c>
    </row>
    <row r="2813" spans="1:5">
      <c r="A2813" s="284">
        <f t="shared" si="1034"/>
        <v>2745</v>
      </c>
      <c r="B2813" s="285">
        <v>-2.868738406747505</v>
      </c>
      <c r="C2813" s="285">
        <v>2.7073752276193632</v>
      </c>
      <c r="D2813" s="285">
        <v>-1.4134341106093071</v>
      </c>
      <c r="E2813" s="285">
        <v>12.804016379136652</v>
      </c>
    </row>
    <row r="2814" spans="1:5">
      <c r="A2814" s="284">
        <f t="shared" si="1034"/>
        <v>2746</v>
      </c>
      <c r="B2814" s="285">
        <v>-1.9286509986147859</v>
      </c>
      <c r="C2814" s="285">
        <v>2.7241685483169968</v>
      </c>
      <c r="D2814" s="285">
        <v>1.150281755236539</v>
      </c>
      <c r="E2814" s="285">
        <v>-5.4102703429733161</v>
      </c>
    </row>
    <row r="2815" spans="1:5">
      <c r="A2815" s="284">
        <f t="shared" si="1034"/>
        <v>2747</v>
      </c>
      <c r="B2815" s="285">
        <v>0.33870965314197798</v>
      </c>
      <c r="C2815" s="285">
        <v>2.1877134289224345</v>
      </c>
      <c r="D2815" s="285">
        <v>2.1472536232890462</v>
      </c>
      <c r="E2815" s="285">
        <v>-4.1942185417190281</v>
      </c>
    </row>
    <row r="2816" spans="1:5">
      <c r="A2816" s="284">
        <f t="shared" si="1034"/>
        <v>2748</v>
      </c>
      <c r="B2816" s="285">
        <v>-1.5988016549817035</v>
      </c>
      <c r="C2816" s="285">
        <v>1.9853195794200362</v>
      </c>
      <c r="D2816" s="285">
        <v>3.1110329163670949</v>
      </c>
      <c r="E2816" s="285">
        <v>-21.171126975609614</v>
      </c>
    </row>
    <row r="2817" spans="1:5">
      <c r="A2817" s="284">
        <f t="shared" si="1034"/>
        <v>2749</v>
      </c>
      <c r="B2817" s="285">
        <v>1.7306821236725325</v>
      </c>
      <c r="C2817" s="285">
        <v>2.4003674718438983</v>
      </c>
      <c r="D2817" s="285">
        <v>0.68435671890737981</v>
      </c>
      <c r="E2817" s="285">
        <v>-10.167837306889023</v>
      </c>
    </row>
    <row r="2818" spans="1:5">
      <c r="A2818" s="284">
        <f t="shared" si="1034"/>
        <v>2750</v>
      </c>
      <c r="B2818" s="285">
        <v>2.1364507452958166</v>
      </c>
      <c r="C2818" s="285">
        <v>2.3643433307896333</v>
      </c>
      <c r="D2818" s="285">
        <v>1.8578570815444551</v>
      </c>
      <c r="E2818" s="285">
        <v>-10.797434863586911</v>
      </c>
    </row>
    <row r="2819" spans="1:5">
      <c r="A2819" s="284">
        <f t="shared" si="1034"/>
        <v>2751</v>
      </c>
      <c r="B2819" s="285">
        <v>0.5579688329032414</v>
      </c>
      <c r="C2819" s="285">
        <v>2.721009046477906</v>
      </c>
      <c r="D2819" s="285">
        <v>8.3490560405775405E-2</v>
      </c>
      <c r="E2819" s="285">
        <v>2.6415866801235093</v>
      </c>
    </row>
    <row r="2820" spans="1:5">
      <c r="A2820" s="284">
        <f t="shared" si="1034"/>
        <v>2752</v>
      </c>
      <c r="B2820" s="285">
        <v>1.0609250544986752</v>
      </c>
      <c r="C2820" s="285">
        <v>3.1900234363538393</v>
      </c>
      <c r="D2820" s="285">
        <v>1.1357839330919999</v>
      </c>
      <c r="E2820" s="285">
        <v>11.47852461421116</v>
      </c>
    </row>
    <row r="2821" spans="1:5">
      <c r="A2821" s="284">
        <f t="shared" si="1034"/>
        <v>2753</v>
      </c>
      <c r="B2821" s="285">
        <v>1.6777060879320351</v>
      </c>
      <c r="C2821" s="285">
        <v>2.8508366010035524</v>
      </c>
      <c r="D2821" s="285">
        <v>0.39981563465994197</v>
      </c>
      <c r="E2821" s="285">
        <v>-1.477844742013676</v>
      </c>
    </row>
    <row r="2822" spans="1:5">
      <c r="A2822" s="284">
        <f t="shared" si="1034"/>
        <v>2754</v>
      </c>
      <c r="B2822" s="285">
        <v>-2.6088220414626568</v>
      </c>
      <c r="C2822" s="285">
        <v>2.3688617941024219</v>
      </c>
      <c r="D2822" s="285">
        <v>1.7143487245726767</v>
      </c>
      <c r="E2822" s="285">
        <v>-5.3482889148359209</v>
      </c>
    </row>
    <row r="2823" spans="1:5">
      <c r="A2823" s="284">
        <f t="shared" ref="A2823:A2886" si="1035">A2822+1</f>
        <v>2755</v>
      </c>
      <c r="B2823" s="285">
        <v>-0.8056828184673529</v>
      </c>
      <c r="C2823" s="285">
        <v>1.8636295650149131</v>
      </c>
      <c r="D2823" s="285">
        <v>0.80949724628526631</v>
      </c>
      <c r="E2823" s="285">
        <v>-16.722002482077549</v>
      </c>
    </row>
    <row r="2824" spans="1:5">
      <c r="A2824" s="284">
        <f t="shared" si="1035"/>
        <v>2756</v>
      </c>
      <c r="B2824" s="285">
        <v>-2.6275922029523802</v>
      </c>
      <c r="C2824" s="285">
        <v>2.4944574823208363</v>
      </c>
      <c r="D2824" s="285">
        <v>-0.3796039178468078</v>
      </c>
      <c r="E2824" s="285">
        <v>6.6534759967583277</v>
      </c>
    </row>
    <row r="2825" spans="1:5">
      <c r="A2825" s="284">
        <f t="shared" si="1035"/>
        <v>2757</v>
      </c>
      <c r="B2825" s="285">
        <v>1.5830202107276885</v>
      </c>
      <c r="C2825" s="285">
        <v>1.9927105748388811</v>
      </c>
      <c r="D2825" s="285">
        <v>2.4940783648128404</v>
      </c>
      <c r="E2825" s="285">
        <v>-26.315026702872931</v>
      </c>
    </row>
    <row r="2826" spans="1:5">
      <c r="A2826" s="284">
        <f t="shared" si="1035"/>
        <v>2758</v>
      </c>
      <c r="B2826" s="285">
        <v>-0.9478490196358611</v>
      </c>
      <c r="C2826" s="285">
        <v>2.6565458552397834</v>
      </c>
      <c r="D2826" s="285">
        <v>-0.18944143112224676</v>
      </c>
      <c r="E2826" s="285">
        <v>-7.7706013733554844</v>
      </c>
    </row>
    <row r="2827" spans="1:5">
      <c r="A2827" s="284">
        <f t="shared" si="1035"/>
        <v>2759</v>
      </c>
      <c r="B2827" s="285">
        <v>-1.6779870760124855</v>
      </c>
      <c r="C2827" s="285">
        <v>2.3803713053199691</v>
      </c>
      <c r="D2827" s="285">
        <v>1.8616003944062873</v>
      </c>
      <c r="E2827" s="285">
        <v>-3.7125976206777898</v>
      </c>
    </row>
    <row r="2828" spans="1:5">
      <c r="A2828" s="284">
        <f t="shared" si="1035"/>
        <v>2760</v>
      </c>
      <c r="B2828" s="285">
        <v>3.3340286984983813</v>
      </c>
      <c r="C2828" s="285">
        <v>2.4688234915233891</v>
      </c>
      <c r="D2828" s="285">
        <v>4.3430712360493393</v>
      </c>
      <c r="E2828" s="285">
        <v>-18.974762588742212</v>
      </c>
    </row>
    <row r="2829" spans="1:5">
      <c r="A2829" s="284">
        <f t="shared" si="1035"/>
        <v>2761</v>
      </c>
      <c r="B2829" s="285">
        <v>0.50176826109888961</v>
      </c>
      <c r="C2829" s="285">
        <v>2.7873791956744274</v>
      </c>
      <c r="D2829" s="285">
        <v>2.3593339593531679</v>
      </c>
      <c r="E2829" s="285">
        <v>3.6049177710094811</v>
      </c>
    </row>
    <row r="2830" spans="1:5">
      <c r="A2830" s="284">
        <f t="shared" si="1035"/>
        <v>2762</v>
      </c>
      <c r="B2830" s="285">
        <v>-0.70881480371655892</v>
      </c>
      <c r="C2830" s="285">
        <v>2.4300812585485771</v>
      </c>
      <c r="D2830" s="285">
        <v>1.493307411032041</v>
      </c>
      <c r="E2830" s="285">
        <v>-1.285273633172016</v>
      </c>
    </row>
    <row r="2831" spans="1:5">
      <c r="A2831" s="284">
        <f t="shared" si="1035"/>
        <v>2763</v>
      </c>
      <c r="B2831" s="285">
        <v>-1.3886514243201906</v>
      </c>
      <c r="C2831" s="285">
        <v>1.8458847701064391</v>
      </c>
      <c r="D2831" s="285">
        <v>2.2004602549808481</v>
      </c>
      <c r="E2831" s="285">
        <v>-18.068730344179649</v>
      </c>
    </row>
    <row r="2832" spans="1:5">
      <c r="A2832" s="284">
        <f t="shared" si="1035"/>
        <v>2764</v>
      </c>
      <c r="B2832" s="285">
        <v>-3.969379548027836</v>
      </c>
      <c r="C2832" s="285">
        <v>2.7232219803208464</v>
      </c>
      <c r="D2832" s="285">
        <v>-0.62269421584411799</v>
      </c>
      <c r="E2832" s="285">
        <v>2.7496635082819361</v>
      </c>
    </row>
    <row r="2833" spans="1:5">
      <c r="A2833" s="284">
        <f t="shared" si="1035"/>
        <v>2765</v>
      </c>
      <c r="B2833" s="285">
        <v>-1.2894607696754357</v>
      </c>
      <c r="C2833" s="285">
        <v>2.5217691084121951</v>
      </c>
      <c r="D2833" s="285">
        <v>2.4418848555914714</v>
      </c>
      <c r="E2833" s="285">
        <v>-3.0140179409454073</v>
      </c>
    </row>
    <row r="2834" spans="1:5">
      <c r="A2834" s="284">
        <f t="shared" si="1035"/>
        <v>2766</v>
      </c>
      <c r="B2834" s="285">
        <v>1.6940399418059053</v>
      </c>
      <c r="C2834" s="285">
        <v>2.3705871834445378</v>
      </c>
      <c r="D2834" s="285">
        <v>0.94071986845421185</v>
      </c>
      <c r="E2834" s="285">
        <v>-6.6984786832680321</v>
      </c>
    </row>
    <row r="2835" spans="1:5">
      <c r="A2835" s="284">
        <f t="shared" si="1035"/>
        <v>2767</v>
      </c>
      <c r="B2835" s="285">
        <v>2.5160021466106031</v>
      </c>
      <c r="C2835" s="285">
        <v>2.6440977966629595</v>
      </c>
      <c r="D2835" s="285">
        <v>0.34965311369691454</v>
      </c>
      <c r="E2835" s="285">
        <v>11.326025594302749</v>
      </c>
    </row>
    <row r="2836" spans="1:5">
      <c r="A2836" s="284">
        <f t="shared" si="1035"/>
        <v>2768</v>
      </c>
      <c r="B2836" s="285">
        <v>-3.42683016557715</v>
      </c>
      <c r="C2836" s="285">
        <v>1.6632572844978064</v>
      </c>
      <c r="D2836" s="285">
        <v>-0.30055591905051537</v>
      </c>
      <c r="E2836" s="285">
        <v>-26.761550962969775</v>
      </c>
    </row>
    <row r="2837" spans="1:5">
      <c r="A2837" s="284">
        <f t="shared" si="1035"/>
        <v>2769</v>
      </c>
      <c r="B2837" s="285">
        <v>2.4216686939506671</v>
      </c>
      <c r="C2837" s="285">
        <v>2.2224072553175764</v>
      </c>
      <c r="D2837" s="285">
        <v>1.6069429634690209</v>
      </c>
      <c r="E2837" s="285">
        <v>-5.3497499924857426</v>
      </c>
    </row>
    <row r="2838" spans="1:5">
      <c r="A2838" s="284">
        <f t="shared" si="1035"/>
        <v>2770</v>
      </c>
      <c r="B2838" s="285">
        <v>1.7036247332399399</v>
      </c>
      <c r="C2838" s="285">
        <v>2.4885133401509778</v>
      </c>
      <c r="D2838" s="285">
        <v>2.2026983794232509</v>
      </c>
      <c r="E2838" s="285">
        <v>-5.7978743496482528</v>
      </c>
    </row>
    <row r="2839" spans="1:5">
      <c r="A2839" s="284">
        <f t="shared" si="1035"/>
        <v>2771</v>
      </c>
      <c r="B2839" s="285">
        <v>4.9348925709982385</v>
      </c>
      <c r="C2839" s="285">
        <v>2.9870364124906139</v>
      </c>
      <c r="D2839" s="285">
        <v>4.1144204077167688</v>
      </c>
      <c r="E2839" s="285">
        <v>-9.11572193829954</v>
      </c>
    </row>
    <row r="2840" spans="1:5">
      <c r="A2840" s="284">
        <f t="shared" si="1035"/>
        <v>2772</v>
      </c>
      <c r="B2840" s="285">
        <v>0.25603452743494981</v>
      </c>
      <c r="C2840" s="285">
        <v>2.6214107647545375</v>
      </c>
      <c r="D2840" s="285">
        <v>2.7740799950464279</v>
      </c>
      <c r="E2840" s="285">
        <v>1.178368582465001</v>
      </c>
    </row>
    <row r="2841" spans="1:5">
      <c r="A2841" s="284">
        <f t="shared" si="1035"/>
        <v>2773</v>
      </c>
      <c r="B2841" s="285">
        <v>1.9172029210044472</v>
      </c>
      <c r="C2841" s="285">
        <v>2.7010867966489411</v>
      </c>
      <c r="D2841" s="285">
        <v>1.0285818096170929</v>
      </c>
      <c r="E2841" s="285">
        <v>-4.8551412668904543</v>
      </c>
    </row>
    <row r="2842" spans="1:5">
      <c r="A2842" s="284">
        <f t="shared" si="1035"/>
        <v>2774</v>
      </c>
      <c r="B2842" s="285">
        <v>-1.0939689205258756</v>
      </c>
      <c r="C2842" s="285">
        <v>2.5645991775298382</v>
      </c>
      <c r="D2842" s="285">
        <v>0.43889317923283677</v>
      </c>
      <c r="E2842" s="285">
        <v>-7.4410841911894021</v>
      </c>
    </row>
    <row r="2843" spans="1:5">
      <c r="A2843" s="284">
        <f t="shared" si="1035"/>
        <v>2775</v>
      </c>
      <c r="B2843" s="285">
        <v>1.8347203542168753</v>
      </c>
      <c r="C2843" s="285">
        <v>2.7565914276580412</v>
      </c>
      <c r="D2843" s="285">
        <v>1.3834823183739433</v>
      </c>
      <c r="E2843" s="285">
        <v>0.37395639062194119</v>
      </c>
    </row>
    <row r="2844" spans="1:5">
      <c r="A2844" s="284">
        <f t="shared" si="1035"/>
        <v>2776</v>
      </c>
      <c r="B2844" s="285">
        <v>-1.9546100607136527</v>
      </c>
      <c r="C2844" s="285">
        <v>1.9775947071730984</v>
      </c>
      <c r="D2844" s="285">
        <v>1.0845259787238641</v>
      </c>
      <c r="E2844" s="285">
        <v>-21.07417637717656</v>
      </c>
    </row>
    <row r="2845" spans="1:5">
      <c r="A2845" s="284">
        <f t="shared" si="1035"/>
        <v>2777</v>
      </c>
      <c r="B2845" s="285">
        <v>3.7975422130077185</v>
      </c>
      <c r="C2845" s="285">
        <v>2.5504169624984891</v>
      </c>
      <c r="D2845" s="285">
        <v>2.6678628352341924</v>
      </c>
      <c r="E2845" s="285">
        <v>-12.160416186431409</v>
      </c>
    </row>
    <row r="2846" spans="1:5">
      <c r="A2846" s="284">
        <f t="shared" si="1035"/>
        <v>2778</v>
      </c>
      <c r="B2846" s="285">
        <v>2.4905643371764499</v>
      </c>
      <c r="C2846" s="285">
        <v>3.3378839273924754</v>
      </c>
      <c r="D2846" s="285">
        <v>-0.55186679575958597</v>
      </c>
      <c r="E2846" s="285">
        <v>10.77136495058674</v>
      </c>
    </row>
    <row r="2847" spans="1:5">
      <c r="A2847" s="284">
        <f t="shared" si="1035"/>
        <v>2779</v>
      </c>
      <c r="B2847" s="285">
        <v>1.2083368991294097</v>
      </c>
      <c r="C2847" s="285">
        <v>2.4880893100294887</v>
      </c>
      <c r="D2847" s="285">
        <v>1.9322987453128269</v>
      </c>
      <c r="E2847" s="285">
        <v>-13.938867895021254</v>
      </c>
    </row>
    <row r="2848" spans="1:5">
      <c r="A2848" s="284">
        <f t="shared" si="1035"/>
        <v>2780</v>
      </c>
      <c r="B2848" s="285">
        <v>-0.57413917696226024</v>
      </c>
      <c r="C2848" s="285">
        <v>2.157284559214776</v>
      </c>
      <c r="D2848" s="285">
        <v>2.3213823057681036</v>
      </c>
      <c r="E2848" s="285">
        <v>-4.1122255582903335</v>
      </c>
    </row>
    <row r="2849" spans="1:5">
      <c r="A2849" s="284">
        <f t="shared" si="1035"/>
        <v>2781</v>
      </c>
      <c r="B2849" s="285">
        <v>3.3152708588908371</v>
      </c>
      <c r="C2849" s="285">
        <v>2.041989283919591</v>
      </c>
      <c r="D2849" s="285">
        <v>1.2495538850738945</v>
      </c>
      <c r="E2849" s="285">
        <v>-10.999832027534344</v>
      </c>
    </row>
    <row r="2850" spans="1:5">
      <c r="A2850" s="284">
        <f t="shared" si="1035"/>
        <v>2782</v>
      </c>
      <c r="B2850" s="285">
        <v>-0.8669118850365537</v>
      </c>
      <c r="C2850" s="285">
        <v>2.6106141736513662</v>
      </c>
      <c r="D2850" s="285">
        <v>0.26325900404896907</v>
      </c>
      <c r="E2850" s="285">
        <v>-2.3855896148805207</v>
      </c>
    </row>
    <row r="2851" spans="1:5">
      <c r="A2851" s="284">
        <f t="shared" si="1035"/>
        <v>2783</v>
      </c>
      <c r="B2851" s="285">
        <v>5.0361023195683527</v>
      </c>
      <c r="C2851" s="285">
        <v>3.1694403981537143</v>
      </c>
      <c r="D2851" s="285">
        <v>2.0701202673053487</v>
      </c>
      <c r="E2851" s="285">
        <v>7.1177080511732349</v>
      </c>
    </row>
    <row r="2852" spans="1:5">
      <c r="A2852" s="284">
        <f t="shared" si="1035"/>
        <v>2784</v>
      </c>
      <c r="B2852" s="285">
        <v>1.7725643100973554</v>
      </c>
      <c r="C2852" s="285">
        <v>3.0665116601374387</v>
      </c>
      <c r="D2852" s="285">
        <v>1.3581897492171426</v>
      </c>
      <c r="E2852" s="285">
        <v>7.303195093521067</v>
      </c>
    </row>
    <row r="2853" spans="1:5">
      <c r="A2853" s="284">
        <f t="shared" si="1035"/>
        <v>2785</v>
      </c>
      <c r="B2853" s="285">
        <v>-0.14435578427175852</v>
      </c>
      <c r="C2853" s="285">
        <v>2.1586686011258265</v>
      </c>
      <c r="D2853" s="285">
        <v>-0.33328136415226628</v>
      </c>
      <c r="E2853" s="285">
        <v>-13.027625902723344</v>
      </c>
    </row>
    <row r="2854" spans="1:5">
      <c r="A2854" s="284">
        <f t="shared" si="1035"/>
        <v>2786</v>
      </c>
      <c r="B2854" s="285">
        <v>-4.1262817674292815</v>
      </c>
      <c r="C2854" s="285">
        <v>2.2979989865106902</v>
      </c>
      <c r="D2854" s="285">
        <v>1.6311101756393667</v>
      </c>
      <c r="E2854" s="285">
        <v>2.5761106579162019</v>
      </c>
    </row>
    <row r="2855" spans="1:5">
      <c r="A2855" s="284">
        <f t="shared" si="1035"/>
        <v>2787</v>
      </c>
      <c r="B2855" s="285">
        <v>0.86430536157255133</v>
      </c>
      <c r="C2855" s="285">
        <v>3.3574040862841614</v>
      </c>
      <c r="D2855" s="285">
        <v>-0.72158092582697675</v>
      </c>
      <c r="E2855" s="285">
        <v>2.0942761126657534</v>
      </c>
    </row>
    <row r="2856" spans="1:5">
      <c r="A2856" s="284">
        <f t="shared" si="1035"/>
        <v>2788</v>
      </c>
      <c r="B2856" s="285">
        <v>-1.8902793411060681</v>
      </c>
      <c r="C2856" s="285">
        <v>2.8329453343738025</v>
      </c>
      <c r="D2856" s="285">
        <v>2.0763736561476431</v>
      </c>
      <c r="E2856" s="285">
        <v>-7.1939676238610026</v>
      </c>
    </row>
    <row r="2857" spans="1:5">
      <c r="A2857" s="284">
        <f t="shared" si="1035"/>
        <v>2789</v>
      </c>
      <c r="B2857" s="285">
        <v>4.8738119286810466</v>
      </c>
      <c r="C2857" s="285">
        <v>2.183087480722175</v>
      </c>
      <c r="D2857" s="285">
        <v>3.0917620935375414</v>
      </c>
      <c r="E2857" s="285">
        <v>-25.383636992157598</v>
      </c>
    </row>
    <row r="2858" spans="1:5">
      <c r="A2858" s="284">
        <f t="shared" si="1035"/>
        <v>2790</v>
      </c>
      <c r="B2858" s="285">
        <v>0.16997139182237131</v>
      </c>
      <c r="C2858" s="285">
        <v>2.6220883966297639</v>
      </c>
      <c r="D2858" s="285">
        <v>2.6396033670781893</v>
      </c>
      <c r="E2858" s="285">
        <v>5.8811016436413777</v>
      </c>
    </row>
    <row r="2859" spans="1:5">
      <c r="A2859" s="284">
        <f t="shared" si="1035"/>
        <v>2791</v>
      </c>
      <c r="B2859" s="285">
        <v>0.25684565880132237</v>
      </c>
      <c r="C2859" s="285">
        <v>2.8658893401022891</v>
      </c>
      <c r="D2859" s="285">
        <v>0.12813111971429869</v>
      </c>
      <c r="E2859" s="285">
        <v>9.5032116129112083</v>
      </c>
    </row>
    <row r="2860" spans="1:5">
      <c r="A2860" s="284">
        <f t="shared" si="1035"/>
        <v>2792</v>
      </c>
      <c r="B2860" s="285">
        <v>2.438574285539663</v>
      </c>
      <c r="C2860" s="285">
        <v>2.650753639297839</v>
      </c>
      <c r="D2860" s="285">
        <v>2.0961217988882717</v>
      </c>
      <c r="E2860" s="285">
        <v>0.2115415537733214</v>
      </c>
    </row>
    <row r="2861" spans="1:5">
      <c r="A2861" s="284">
        <f t="shared" si="1035"/>
        <v>2793</v>
      </c>
      <c r="B2861" s="285">
        <v>1.5330321029896903</v>
      </c>
      <c r="C2861" s="285">
        <v>2.3881492509436524</v>
      </c>
      <c r="D2861" s="285">
        <v>1.9490139524058367</v>
      </c>
      <c r="E2861" s="285">
        <v>-9.2739424212563488</v>
      </c>
    </row>
    <row r="2862" spans="1:5">
      <c r="A2862" s="284">
        <f t="shared" si="1035"/>
        <v>2794</v>
      </c>
      <c r="B2862" s="285">
        <v>4.553721931891725</v>
      </c>
      <c r="C2862" s="285">
        <v>3.0485656050274312</v>
      </c>
      <c r="D2862" s="285">
        <v>2.7781506220255485</v>
      </c>
      <c r="E2862" s="285">
        <v>5.2587277906614389</v>
      </c>
    </row>
    <row r="2863" spans="1:5">
      <c r="A2863" s="284">
        <f t="shared" si="1035"/>
        <v>2795</v>
      </c>
      <c r="B2863" s="285">
        <v>1.58993129858255</v>
      </c>
      <c r="C2863" s="285">
        <v>3.0675899541283234</v>
      </c>
      <c r="D2863" s="285">
        <v>0.98745940809995525</v>
      </c>
      <c r="E2863" s="285">
        <v>5.9354965787405423</v>
      </c>
    </row>
    <row r="2864" spans="1:5">
      <c r="A2864" s="284">
        <f t="shared" si="1035"/>
        <v>2796</v>
      </c>
      <c r="B2864" s="285">
        <v>-1.1047780779279703</v>
      </c>
      <c r="C2864" s="285">
        <v>2.3225939079939186</v>
      </c>
      <c r="D2864" s="285">
        <v>-6.4823651902343959E-2</v>
      </c>
      <c r="E2864" s="285">
        <v>-0.54766673293454282</v>
      </c>
    </row>
    <row r="2865" spans="1:5">
      <c r="A2865" s="284">
        <f t="shared" si="1035"/>
        <v>2797</v>
      </c>
      <c r="B2865" s="285">
        <v>-0.65460114941069181</v>
      </c>
      <c r="C2865" s="285">
        <v>2.5681353378140739</v>
      </c>
      <c r="D2865" s="285">
        <v>3.2794980930385496</v>
      </c>
      <c r="E2865" s="285">
        <v>-11.431525522569135</v>
      </c>
    </row>
    <row r="2866" spans="1:5">
      <c r="A2866" s="284">
        <f t="shared" si="1035"/>
        <v>2798</v>
      </c>
      <c r="B2866" s="285">
        <v>-0.92775645931438011</v>
      </c>
      <c r="C2866" s="285">
        <v>2.3977780714270196</v>
      </c>
      <c r="D2866" s="285">
        <v>2.7607573503537659</v>
      </c>
      <c r="E2866" s="285">
        <v>-5.4414042959485025</v>
      </c>
    </row>
    <row r="2867" spans="1:5">
      <c r="A2867" s="284">
        <f t="shared" si="1035"/>
        <v>2799</v>
      </c>
      <c r="B2867" s="285">
        <v>2.1039761932914565</v>
      </c>
      <c r="C2867" s="285">
        <v>2.2763985844938359</v>
      </c>
      <c r="D2867" s="285">
        <v>1.7103421285884846</v>
      </c>
      <c r="E2867" s="285">
        <v>0.39621508847252729</v>
      </c>
    </row>
    <row r="2868" spans="1:5">
      <c r="A2868" s="284">
        <f t="shared" si="1035"/>
        <v>2800</v>
      </c>
      <c r="B2868" s="285">
        <v>1.9470449387332645</v>
      </c>
      <c r="C2868" s="285">
        <v>2.8406005479055167</v>
      </c>
      <c r="D2868" s="285">
        <v>-0.58423000426961091</v>
      </c>
      <c r="E2868" s="285">
        <v>8.565932174400384</v>
      </c>
    </row>
    <row r="2869" spans="1:5">
      <c r="A2869" s="284">
        <f t="shared" si="1035"/>
        <v>2801</v>
      </c>
      <c r="B2869" s="285">
        <v>-0.60444009829863943</v>
      </c>
      <c r="C2869" s="285">
        <v>2.8979007270084138</v>
      </c>
      <c r="D2869" s="285">
        <v>-1.0413510612181485</v>
      </c>
      <c r="E2869" s="285">
        <v>19.259822056034988</v>
      </c>
    </row>
    <row r="2870" spans="1:5">
      <c r="A2870" s="284">
        <f t="shared" si="1035"/>
        <v>2802</v>
      </c>
      <c r="B2870" s="285">
        <v>-3.7296130304044648</v>
      </c>
      <c r="C2870" s="285">
        <v>2.4750138897443508</v>
      </c>
      <c r="D2870" s="285">
        <v>0.82076067829693233</v>
      </c>
      <c r="E2870" s="285">
        <v>-2.2341326183341645</v>
      </c>
    </row>
    <row r="2871" spans="1:5">
      <c r="A2871" s="284">
        <f t="shared" si="1035"/>
        <v>2803</v>
      </c>
      <c r="B2871" s="285">
        <v>1.6907148681474062</v>
      </c>
      <c r="C2871" s="285">
        <v>2.222133046215292</v>
      </c>
      <c r="D2871" s="285">
        <v>2.3484090173057686</v>
      </c>
      <c r="E2871" s="285">
        <v>-17.991478240636759</v>
      </c>
    </row>
    <row r="2872" spans="1:5">
      <c r="A2872" s="284">
        <f t="shared" si="1035"/>
        <v>2804</v>
      </c>
      <c r="B2872" s="285">
        <v>-3.5528733663420624</v>
      </c>
      <c r="C2872" s="285">
        <v>2.0964728074156742</v>
      </c>
      <c r="D2872" s="285">
        <v>0.24502754866731635</v>
      </c>
      <c r="E2872" s="285">
        <v>4.3251565486640544</v>
      </c>
    </row>
    <row r="2873" spans="1:5">
      <c r="A2873" s="284">
        <f t="shared" si="1035"/>
        <v>2805</v>
      </c>
      <c r="B2873" s="285">
        <v>-2.2687267999827467</v>
      </c>
      <c r="C2873" s="285">
        <v>2.3661544924859355</v>
      </c>
      <c r="D2873" s="285">
        <v>1.1165917715925588</v>
      </c>
      <c r="E2873" s="285">
        <v>6.9183017926988217</v>
      </c>
    </row>
    <row r="2874" spans="1:5">
      <c r="A2874" s="284">
        <f t="shared" si="1035"/>
        <v>2806</v>
      </c>
      <c r="B2874" s="285">
        <v>-3.3658431587665945</v>
      </c>
      <c r="C2874" s="285">
        <v>2.6242969781650496</v>
      </c>
      <c r="D2874" s="285">
        <v>0.81838110936863384</v>
      </c>
      <c r="E2874" s="285">
        <v>11.739608075445926</v>
      </c>
    </row>
    <row r="2875" spans="1:5">
      <c r="A2875" s="284">
        <f t="shared" si="1035"/>
        <v>2807</v>
      </c>
      <c r="B2875" s="285">
        <v>-2.3200439359329956</v>
      </c>
      <c r="C2875" s="285">
        <v>2.1572057009789125</v>
      </c>
      <c r="D2875" s="285">
        <v>-1.1199233454610513</v>
      </c>
      <c r="E2875" s="285">
        <v>-13.979777123814923</v>
      </c>
    </row>
    <row r="2876" spans="1:5">
      <c r="A2876" s="284">
        <f t="shared" si="1035"/>
        <v>2808</v>
      </c>
      <c r="B2876" s="285">
        <v>0.43918526777852507</v>
      </c>
      <c r="C2876" s="285">
        <v>2.3893538806570644</v>
      </c>
      <c r="D2876" s="285">
        <v>2.9662174052005015</v>
      </c>
      <c r="E2876" s="285">
        <v>-16.184535675082635</v>
      </c>
    </row>
    <row r="2877" spans="1:5">
      <c r="A2877" s="284">
        <f t="shared" si="1035"/>
        <v>2809</v>
      </c>
      <c r="B2877" s="285">
        <v>1.9008936797488489</v>
      </c>
      <c r="C2877" s="285">
        <v>3.4497104357692026</v>
      </c>
      <c r="D2877" s="285">
        <v>0.34352212697734963</v>
      </c>
      <c r="E2877" s="285">
        <v>18.096753230329245</v>
      </c>
    </row>
    <row r="2878" spans="1:5">
      <c r="A2878" s="284">
        <f t="shared" si="1035"/>
        <v>2810</v>
      </c>
      <c r="B2878" s="285">
        <v>0.18417190245943676</v>
      </c>
      <c r="C2878" s="285">
        <v>2.7890203776847997</v>
      </c>
      <c r="D2878" s="285">
        <v>0.42687269590449983</v>
      </c>
      <c r="E2878" s="285">
        <v>1.4786559859726771</v>
      </c>
    </row>
    <row r="2879" spans="1:5">
      <c r="A2879" s="284">
        <f t="shared" si="1035"/>
        <v>2811</v>
      </c>
      <c r="B2879" s="285">
        <v>1.3234789642557836</v>
      </c>
      <c r="C2879" s="285">
        <v>2.8746486352658565</v>
      </c>
      <c r="D2879" s="285">
        <v>1.2946498712917831</v>
      </c>
      <c r="E2879" s="285">
        <v>9.0487652981363951</v>
      </c>
    </row>
    <row r="2880" spans="1:5">
      <c r="A2880" s="284">
        <f t="shared" si="1035"/>
        <v>2812</v>
      </c>
      <c r="B2880" s="285">
        <v>2.4780482681827043</v>
      </c>
      <c r="C2880" s="285">
        <v>2.1544299301660157</v>
      </c>
      <c r="D2880" s="285">
        <v>3.9262333870796349</v>
      </c>
      <c r="E2880" s="285">
        <v>-18.453471042708156</v>
      </c>
    </row>
    <row r="2881" spans="1:5">
      <c r="A2881" s="284">
        <f t="shared" si="1035"/>
        <v>2813</v>
      </c>
      <c r="B2881" s="285">
        <v>3.0045637758726214</v>
      </c>
      <c r="C2881" s="285">
        <v>3.0007443618405985</v>
      </c>
      <c r="D2881" s="285">
        <v>0.94886701086784808</v>
      </c>
      <c r="E2881" s="285">
        <v>3.0833754180777508</v>
      </c>
    </row>
    <row r="2882" spans="1:5">
      <c r="A2882" s="284">
        <f t="shared" si="1035"/>
        <v>2814</v>
      </c>
      <c r="B2882" s="285">
        <v>-0.88841290942964812</v>
      </c>
      <c r="C2882" s="285">
        <v>2.5455518935415267</v>
      </c>
      <c r="D2882" s="285">
        <v>1.2923184563271648</v>
      </c>
      <c r="E2882" s="285">
        <v>-17.057518719710075</v>
      </c>
    </row>
    <row r="2883" spans="1:5">
      <c r="A2883" s="284">
        <f t="shared" si="1035"/>
        <v>2815</v>
      </c>
      <c r="B2883" s="285">
        <v>-4.1754958140374256</v>
      </c>
      <c r="C2883" s="285">
        <v>2.7322413838093018</v>
      </c>
      <c r="D2883" s="285">
        <v>0.43688962608670923</v>
      </c>
      <c r="E2883" s="285">
        <v>-2.1391473040165248</v>
      </c>
    </row>
    <row r="2884" spans="1:5">
      <c r="A2884" s="284">
        <f t="shared" si="1035"/>
        <v>2816</v>
      </c>
      <c r="B2884" s="285">
        <v>-1.4976356498483661</v>
      </c>
      <c r="C2884" s="285">
        <v>1.5316666391686982</v>
      </c>
      <c r="D2884" s="285">
        <v>1.5106425982503677</v>
      </c>
      <c r="E2884" s="285">
        <v>-25.95668464519073</v>
      </c>
    </row>
    <row r="2885" spans="1:5">
      <c r="A2885" s="284">
        <f t="shared" si="1035"/>
        <v>2817</v>
      </c>
      <c r="B2885" s="285">
        <v>0.98266905008221372</v>
      </c>
      <c r="C2885" s="285">
        <v>2.2626603226076449</v>
      </c>
      <c r="D2885" s="285">
        <v>3.2720366589447636</v>
      </c>
      <c r="E2885" s="285">
        <v>-12.854190815292512</v>
      </c>
    </row>
    <row r="2886" spans="1:5">
      <c r="A2886" s="284">
        <f t="shared" si="1035"/>
        <v>2818</v>
      </c>
      <c r="B2886" s="285">
        <v>2.1642481818197723E-2</v>
      </c>
      <c r="C2886" s="285">
        <v>2.2515684984154873</v>
      </c>
      <c r="D2886" s="285">
        <v>-0.54810757394906506</v>
      </c>
      <c r="E2886" s="285">
        <v>-7.8702277400301792</v>
      </c>
    </row>
    <row r="2887" spans="1:5">
      <c r="A2887" s="284">
        <f t="shared" ref="A2887:A2950" si="1036">A2886+1</f>
        <v>2819</v>
      </c>
      <c r="B2887" s="285">
        <v>0.35239276366153954</v>
      </c>
      <c r="C2887" s="285">
        <v>2.3314869931664051</v>
      </c>
      <c r="D2887" s="285">
        <v>2.0157912337909094</v>
      </c>
      <c r="E2887" s="285">
        <v>0.20266645160207508</v>
      </c>
    </row>
    <row r="2888" spans="1:5">
      <c r="A2888" s="284">
        <f t="shared" si="1036"/>
        <v>2820</v>
      </c>
      <c r="B2888" s="285">
        <v>-2.3292421407343888</v>
      </c>
      <c r="C2888" s="285">
        <v>2.8320053080409142</v>
      </c>
      <c r="D2888" s="285">
        <v>1.228251894552721</v>
      </c>
      <c r="E2888" s="285">
        <v>3.0549182417772642</v>
      </c>
    </row>
    <row r="2889" spans="1:5">
      <c r="A2889" s="284">
        <f t="shared" si="1036"/>
        <v>2821</v>
      </c>
      <c r="B2889" s="285">
        <v>-0.61333669491252008</v>
      </c>
      <c r="C2889" s="285">
        <v>2.0487495335272286</v>
      </c>
      <c r="D2889" s="285">
        <v>1.6720302745239191</v>
      </c>
      <c r="E2889" s="285">
        <v>-13.372732446755119</v>
      </c>
    </row>
    <row r="2890" spans="1:5">
      <c r="A2890" s="284">
        <f t="shared" si="1036"/>
        <v>2822</v>
      </c>
      <c r="B2890" s="285">
        <v>-3.5299801685289847</v>
      </c>
      <c r="C2890" s="285">
        <v>1.735300774204213</v>
      </c>
      <c r="D2890" s="285">
        <v>-0.59217345885796191</v>
      </c>
      <c r="E2890" s="285">
        <v>-16.328812332961785</v>
      </c>
    </row>
    <row r="2891" spans="1:5">
      <c r="A2891" s="284">
        <f t="shared" si="1036"/>
        <v>2823</v>
      </c>
      <c r="B2891" s="285">
        <v>1.3211500074154874</v>
      </c>
      <c r="C2891" s="285">
        <v>2.2974504880779949</v>
      </c>
      <c r="D2891" s="285">
        <v>4.7903378258535714</v>
      </c>
      <c r="E2891" s="285">
        <v>-17.842211689914652</v>
      </c>
    </row>
    <row r="2892" spans="1:5">
      <c r="A2892" s="284">
        <f t="shared" si="1036"/>
        <v>2824</v>
      </c>
      <c r="B2892" s="285">
        <v>-1.56643928249939</v>
      </c>
      <c r="C2892" s="285">
        <v>2.6176894750173809</v>
      </c>
      <c r="D2892" s="285">
        <v>-1.7760211703598818</v>
      </c>
      <c r="E2892" s="285">
        <v>-5.5455656862880556</v>
      </c>
    </row>
    <row r="2893" spans="1:5">
      <c r="A2893" s="284">
        <f t="shared" si="1036"/>
        <v>2825</v>
      </c>
      <c r="B2893" s="285">
        <v>1.8179525871576343</v>
      </c>
      <c r="C2893" s="285">
        <v>3.0797996731351684</v>
      </c>
      <c r="D2893" s="285">
        <v>1.0457891200015124</v>
      </c>
      <c r="E2893" s="285">
        <v>5.9184505497950148</v>
      </c>
    </row>
    <row r="2894" spans="1:5">
      <c r="A2894" s="284">
        <f t="shared" si="1036"/>
        <v>2826</v>
      </c>
      <c r="B2894" s="285">
        <v>3.7861848454677967</v>
      </c>
      <c r="C2894" s="285">
        <v>2.5942097354082736</v>
      </c>
      <c r="D2894" s="285">
        <v>1.9309342610954241</v>
      </c>
      <c r="E2894" s="285">
        <v>-15.353113841703525</v>
      </c>
    </row>
    <row r="2895" spans="1:5">
      <c r="A2895" s="284">
        <f t="shared" si="1036"/>
        <v>2827</v>
      </c>
      <c r="B2895" s="285">
        <v>-2.7606257314367064</v>
      </c>
      <c r="C2895" s="285">
        <v>2.4432959818733821</v>
      </c>
      <c r="D2895" s="285">
        <v>0.39573317655243745</v>
      </c>
      <c r="E2895" s="285">
        <v>-3.3388091457967435</v>
      </c>
    </row>
    <row r="2896" spans="1:5">
      <c r="A2896" s="284">
        <f t="shared" si="1036"/>
        <v>2828</v>
      </c>
      <c r="B2896" s="285">
        <v>0.94606084090426268</v>
      </c>
      <c r="C2896" s="285">
        <v>3.2807174658100093</v>
      </c>
      <c r="D2896" s="285">
        <v>2.6426617550600358</v>
      </c>
      <c r="E2896" s="285">
        <v>9.0188344453172018</v>
      </c>
    </row>
    <row r="2897" spans="1:5">
      <c r="A2897" s="284">
        <f t="shared" si="1036"/>
        <v>2829</v>
      </c>
      <c r="B2897" s="285">
        <v>-0.5768810451649643</v>
      </c>
      <c r="C2897" s="285">
        <v>3.8051245053009386</v>
      </c>
      <c r="D2897" s="285">
        <v>0.26244482180641338</v>
      </c>
      <c r="E2897" s="285">
        <v>11.359602140314726</v>
      </c>
    </row>
    <row r="2898" spans="1:5">
      <c r="A2898" s="284">
        <f t="shared" si="1036"/>
        <v>2830</v>
      </c>
      <c r="B2898" s="285">
        <v>-2.2357688019894928</v>
      </c>
      <c r="C2898" s="285">
        <v>2.5114101288527961</v>
      </c>
      <c r="D2898" s="285">
        <v>0.11916824894705758</v>
      </c>
      <c r="E2898" s="285">
        <v>3.4437383262303745</v>
      </c>
    </row>
    <row r="2899" spans="1:5">
      <c r="A2899" s="284">
        <f t="shared" si="1036"/>
        <v>2831</v>
      </c>
      <c r="B2899" s="285">
        <v>0.86752846002997652</v>
      </c>
      <c r="C2899" s="285">
        <v>2.1686576979649126</v>
      </c>
      <c r="D2899" s="285">
        <v>2.1020115865900983</v>
      </c>
      <c r="E2899" s="285">
        <v>-7.5087613842008398</v>
      </c>
    </row>
    <row r="2900" spans="1:5">
      <c r="A2900" s="284">
        <f t="shared" si="1036"/>
        <v>2832</v>
      </c>
      <c r="B2900" s="285">
        <v>-2.3744012391187042</v>
      </c>
      <c r="C2900" s="285">
        <v>1.6421218615741173</v>
      </c>
      <c r="D2900" s="285">
        <v>1.5280641086016729</v>
      </c>
      <c r="E2900" s="285">
        <v>-22.947707756662172</v>
      </c>
    </row>
    <row r="2901" spans="1:5">
      <c r="A2901" s="284">
        <f t="shared" si="1036"/>
        <v>2833</v>
      </c>
      <c r="B2901" s="285">
        <v>-0.34954599135624653</v>
      </c>
      <c r="C2901" s="285">
        <v>2.5932995911137255</v>
      </c>
      <c r="D2901" s="285">
        <v>3.2741722983955368</v>
      </c>
      <c r="E2901" s="285">
        <v>-1.7674246861001535</v>
      </c>
    </row>
    <row r="2902" spans="1:5">
      <c r="A2902" s="284">
        <f t="shared" si="1036"/>
        <v>2834</v>
      </c>
      <c r="B2902" s="285">
        <v>-1.5506610344976279</v>
      </c>
      <c r="C2902" s="285">
        <v>1.9854849739789269</v>
      </c>
      <c r="D2902" s="285">
        <v>0.94645305488970033</v>
      </c>
      <c r="E2902" s="285">
        <v>4.0285112653411534</v>
      </c>
    </row>
    <row r="2903" spans="1:5">
      <c r="A2903" s="284">
        <f t="shared" si="1036"/>
        <v>2835</v>
      </c>
      <c r="B2903" s="285">
        <v>-2.2023435096317829</v>
      </c>
      <c r="C2903" s="285">
        <v>1.1570729939920086</v>
      </c>
      <c r="D2903" s="285">
        <v>2.6033338854603123</v>
      </c>
      <c r="E2903" s="285">
        <v>-30.031627912622614</v>
      </c>
    </row>
    <row r="2904" spans="1:5">
      <c r="A2904" s="284">
        <f t="shared" si="1036"/>
        <v>2836</v>
      </c>
      <c r="B2904" s="285">
        <v>2.4060385633847021</v>
      </c>
      <c r="C2904" s="285">
        <v>2.7012707217499807</v>
      </c>
      <c r="D2904" s="285">
        <v>-0.34732662306916073</v>
      </c>
      <c r="E2904" s="285">
        <v>0.27577381743744267</v>
      </c>
    </row>
    <row r="2905" spans="1:5">
      <c r="A2905" s="284">
        <f t="shared" si="1036"/>
        <v>2837</v>
      </c>
      <c r="B2905" s="285">
        <v>5.0606238816627016</v>
      </c>
      <c r="C2905" s="285">
        <v>3.0693521530412182</v>
      </c>
      <c r="D2905" s="285">
        <v>1.7786835248380091</v>
      </c>
      <c r="E2905" s="285">
        <v>-8.4223315082485044</v>
      </c>
    </row>
    <row r="2906" spans="1:5">
      <c r="A2906" s="284">
        <f t="shared" si="1036"/>
        <v>2838</v>
      </c>
      <c r="B2906" s="285">
        <v>-1.3975999257386027</v>
      </c>
      <c r="C2906" s="285">
        <v>2.4624274983305705</v>
      </c>
      <c r="D2906" s="285">
        <v>1.5722679594277682</v>
      </c>
      <c r="E2906" s="285">
        <v>-1.2756412330900999</v>
      </c>
    </row>
    <row r="2907" spans="1:5">
      <c r="A2907" s="284">
        <f t="shared" si="1036"/>
        <v>2839</v>
      </c>
      <c r="B2907" s="285">
        <v>-0.75005592831796553</v>
      </c>
      <c r="C2907" s="285">
        <v>2.0972312632326306</v>
      </c>
      <c r="D2907" s="285">
        <v>1.7023466014401103</v>
      </c>
      <c r="E2907" s="285">
        <v>-8.7349291420742627</v>
      </c>
    </row>
    <row r="2908" spans="1:5">
      <c r="A2908" s="284">
        <f t="shared" si="1036"/>
        <v>2840</v>
      </c>
      <c r="B2908" s="285">
        <v>-3.8239643437493771</v>
      </c>
      <c r="C2908" s="285">
        <v>2.2963306829003365</v>
      </c>
      <c r="D2908" s="285">
        <v>1.9144133442536959</v>
      </c>
      <c r="E2908" s="285">
        <v>-8.1175432559992267</v>
      </c>
    </row>
    <row r="2909" spans="1:5">
      <c r="A2909" s="284">
        <f t="shared" si="1036"/>
        <v>2841</v>
      </c>
      <c r="B2909" s="285">
        <v>-2.7660836634721799</v>
      </c>
      <c r="C2909" s="285">
        <v>1.880127104736385</v>
      </c>
      <c r="D2909" s="285">
        <v>3.0335060732934345</v>
      </c>
      <c r="E2909" s="285">
        <v>-9.1110511344327634</v>
      </c>
    </row>
    <row r="2910" spans="1:5">
      <c r="A2910" s="284">
        <f t="shared" si="1036"/>
        <v>2842</v>
      </c>
      <c r="B2910" s="285">
        <v>4.2003333829079974</v>
      </c>
      <c r="C2910" s="285">
        <v>2.4167923212850106</v>
      </c>
      <c r="D2910" s="285">
        <v>1.1878543270868613</v>
      </c>
      <c r="E2910" s="285">
        <v>-3.8528749177772901</v>
      </c>
    </row>
    <row r="2911" spans="1:5">
      <c r="A2911" s="284">
        <f t="shared" si="1036"/>
        <v>2843</v>
      </c>
      <c r="B2911" s="285">
        <v>3.5039547986773494</v>
      </c>
      <c r="C2911" s="285">
        <v>2.9679749320948665</v>
      </c>
      <c r="D2911" s="285">
        <v>1.9868710603716058</v>
      </c>
      <c r="E2911" s="285">
        <v>-3.097839505929183</v>
      </c>
    </row>
    <row r="2912" spans="1:5">
      <c r="A2912" s="284">
        <f t="shared" si="1036"/>
        <v>2844</v>
      </c>
      <c r="B2912" s="285">
        <v>-2.5256773243695334</v>
      </c>
      <c r="C2912" s="285">
        <v>2.7618749411879135</v>
      </c>
      <c r="D2912" s="285">
        <v>0.99843363459923862</v>
      </c>
      <c r="E2912" s="285">
        <v>-3.4642082680968529</v>
      </c>
    </row>
    <row r="2913" spans="1:5">
      <c r="A2913" s="284">
        <f t="shared" si="1036"/>
        <v>2845</v>
      </c>
      <c r="B2913" s="285">
        <v>4.8276741691749461</v>
      </c>
      <c r="C2913" s="285">
        <v>2.5588259595287806</v>
      </c>
      <c r="D2913" s="285">
        <v>2.4000348738971828</v>
      </c>
      <c r="E2913" s="285">
        <v>-6.6768648316948269</v>
      </c>
    </row>
    <row r="2914" spans="1:5">
      <c r="A2914" s="284">
        <f t="shared" si="1036"/>
        <v>2846</v>
      </c>
      <c r="B2914" s="285">
        <v>0.64554293174966004</v>
      </c>
      <c r="C2914" s="285">
        <v>1.7029583824401511</v>
      </c>
      <c r="D2914" s="285">
        <v>1.7097552639965146</v>
      </c>
      <c r="E2914" s="285">
        <v>-19.989857226448159</v>
      </c>
    </row>
    <row r="2915" spans="1:5">
      <c r="A2915" s="284">
        <f t="shared" si="1036"/>
        <v>2847</v>
      </c>
      <c r="B2915" s="285">
        <v>-4.1066914969676587</v>
      </c>
      <c r="C2915" s="285">
        <v>2.8345849997713572</v>
      </c>
      <c r="D2915" s="285">
        <v>-0.9777372097377639</v>
      </c>
      <c r="E2915" s="285">
        <v>9.5375992072596247</v>
      </c>
    </row>
    <row r="2916" spans="1:5">
      <c r="A2916" s="284">
        <f t="shared" si="1036"/>
        <v>2848</v>
      </c>
      <c r="B2916" s="285">
        <v>0.56384337744023449</v>
      </c>
      <c r="C2916" s="285">
        <v>2.2421192861295864</v>
      </c>
      <c r="D2916" s="285">
        <v>0.6065162060856838</v>
      </c>
      <c r="E2916" s="285">
        <v>2.811185406897033</v>
      </c>
    </row>
    <row r="2917" spans="1:5">
      <c r="A2917" s="284">
        <f t="shared" si="1036"/>
        <v>2849</v>
      </c>
      <c r="B2917" s="285">
        <v>0.38442838256627276</v>
      </c>
      <c r="C2917" s="285">
        <v>2.6391421289184054</v>
      </c>
      <c r="D2917" s="285">
        <v>0.85016371087529619</v>
      </c>
      <c r="E2917" s="285">
        <v>-0.59686402704068042</v>
      </c>
    </row>
    <row r="2918" spans="1:5">
      <c r="A2918" s="284">
        <f t="shared" si="1036"/>
        <v>2850</v>
      </c>
      <c r="B2918" s="285">
        <v>-2.9642929276625263</v>
      </c>
      <c r="C2918" s="285">
        <v>1.8812163610378532</v>
      </c>
      <c r="D2918" s="285">
        <v>-0.23260426735785655</v>
      </c>
      <c r="E2918" s="285">
        <v>-14.702490701605182</v>
      </c>
    </row>
    <row r="2919" spans="1:5">
      <c r="A2919" s="284">
        <f t="shared" si="1036"/>
        <v>2851</v>
      </c>
      <c r="B2919" s="285">
        <v>1.4905618438803145</v>
      </c>
      <c r="C2919" s="285">
        <v>2.4910975157125779</v>
      </c>
      <c r="D2919" s="285">
        <v>2.1195768536439701</v>
      </c>
      <c r="E2919" s="285">
        <v>-20.756676082699329</v>
      </c>
    </row>
    <row r="2920" spans="1:5">
      <c r="A2920" s="284">
        <f t="shared" si="1036"/>
        <v>2852</v>
      </c>
      <c r="B2920" s="285">
        <v>-1.2861637727416233</v>
      </c>
      <c r="C2920" s="285">
        <v>1.9044728760761194</v>
      </c>
      <c r="D2920" s="285">
        <v>-0.31884615463842603</v>
      </c>
      <c r="E2920" s="285">
        <v>-12.814806759941803</v>
      </c>
    </row>
    <row r="2921" spans="1:5">
      <c r="A2921" s="284">
        <f t="shared" si="1036"/>
        <v>2853</v>
      </c>
      <c r="B2921" s="285">
        <v>-3.9513738351696119</v>
      </c>
      <c r="C2921" s="285">
        <v>2.0874673039901888</v>
      </c>
      <c r="D2921" s="285">
        <v>-0.21527245946860663</v>
      </c>
      <c r="E2921" s="285">
        <v>-15.474638990555645</v>
      </c>
    </row>
    <row r="2922" spans="1:5">
      <c r="A2922" s="284">
        <f t="shared" si="1036"/>
        <v>2854</v>
      </c>
      <c r="B2922" s="285">
        <v>3.018850237923886</v>
      </c>
      <c r="C2922" s="285">
        <v>2.8582978412601991</v>
      </c>
      <c r="D2922" s="285">
        <v>3.5675767729477372</v>
      </c>
      <c r="E2922" s="285">
        <v>-4.2908891917654932</v>
      </c>
    </row>
    <row r="2923" spans="1:5">
      <c r="A2923" s="284">
        <f t="shared" si="1036"/>
        <v>2855</v>
      </c>
      <c r="B2923" s="285">
        <v>-1.1886602763482981</v>
      </c>
      <c r="C2923" s="285">
        <v>2.2514469606826926</v>
      </c>
      <c r="D2923" s="285">
        <v>2.7361558475458647</v>
      </c>
      <c r="E2923" s="285">
        <v>-8.0906547682016861</v>
      </c>
    </row>
    <row r="2924" spans="1:5">
      <c r="A2924" s="284">
        <f t="shared" si="1036"/>
        <v>2856</v>
      </c>
      <c r="B2924" s="285">
        <v>0.80074090969722622</v>
      </c>
      <c r="C2924" s="285">
        <v>2.9345626263141629</v>
      </c>
      <c r="D2924" s="285">
        <v>1.5531025167782833</v>
      </c>
      <c r="E2924" s="285">
        <v>7.5908989393709909</v>
      </c>
    </row>
    <row r="2925" spans="1:5">
      <c r="A2925" s="284">
        <f t="shared" si="1036"/>
        <v>2857</v>
      </c>
      <c r="B2925" s="285">
        <v>3.1588362920219351</v>
      </c>
      <c r="C2925" s="285">
        <v>2.474467232519399</v>
      </c>
      <c r="D2925" s="285">
        <v>0.29776192104093846</v>
      </c>
      <c r="E2925" s="285">
        <v>-9.3321509452207003</v>
      </c>
    </row>
    <row r="2926" spans="1:5">
      <c r="A2926" s="284">
        <f t="shared" si="1036"/>
        <v>2858</v>
      </c>
      <c r="B2926" s="285">
        <v>8.5800420051861366</v>
      </c>
      <c r="C2926" s="285">
        <v>3.3765337391682695</v>
      </c>
      <c r="D2926" s="285">
        <v>1.0821536150820299</v>
      </c>
      <c r="E2926" s="285">
        <v>-3.0793834269830591</v>
      </c>
    </row>
    <row r="2927" spans="1:5">
      <c r="A2927" s="284">
        <f t="shared" si="1036"/>
        <v>2859</v>
      </c>
      <c r="B2927" s="285">
        <v>-3.9371928052155369</v>
      </c>
      <c r="C2927" s="285">
        <v>2.3106833874769301</v>
      </c>
      <c r="D2927" s="285">
        <v>0.79561446580980189</v>
      </c>
      <c r="E2927" s="285">
        <v>-6.6980221597814928</v>
      </c>
    </row>
    <row r="2928" spans="1:5">
      <c r="A2928" s="284">
        <f t="shared" si="1036"/>
        <v>2860</v>
      </c>
      <c r="B2928" s="285">
        <v>-1.5911086551237072</v>
      </c>
      <c r="C2928" s="285">
        <v>2.8942834153220911</v>
      </c>
      <c r="D2928" s="285">
        <v>-2.558480763118065E-2</v>
      </c>
      <c r="E2928" s="285">
        <v>6.9082518918757678</v>
      </c>
    </row>
    <row r="2929" spans="1:5">
      <c r="A2929" s="284">
        <f t="shared" si="1036"/>
        <v>2861</v>
      </c>
      <c r="B2929" s="285">
        <v>-1.8776030907470644</v>
      </c>
      <c r="C2929" s="285">
        <v>2.6358988694732064</v>
      </c>
      <c r="D2929" s="285">
        <v>4.3601033823648017</v>
      </c>
      <c r="E2929" s="285">
        <v>-12.460679010056429</v>
      </c>
    </row>
    <row r="2930" spans="1:5">
      <c r="A2930" s="284">
        <f t="shared" si="1036"/>
        <v>2862</v>
      </c>
      <c r="B2930" s="285">
        <v>5.6584942211228784E-2</v>
      </c>
      <c r="C2930" s="285">
        <v>2.7187856441793379</v>
      </c>
      <c r="D2930" s="285">
        <v>3.2230372498986832</v>
      </c>
      <c r="E2930" s="285">
        <v>4.6892984541411913</v>
      </c>
    </row>
    <row r="2931" spans="1:5">
      <c r="A2931" s="284">
        <f t="shared" si="1036"/>
        <v>2863</v>
      </c>
      <c r="B2931" s="285">
        <v>-2.4221128737518409</v>
      </c>
      <c r="C2931" s="285">
        <v>2.0442354339107758</v>
      </c>
      <c r="D2931" s="285">
        <v>1.2864373373465394</v>
      </c>
      <c r="E2931" s="285">
        <v>-14.375416180676304</v>
      </c>
    </row>
    <row r="2932" spans="1:5">
      <c r="A2932" s="284">
        <f t="shared" si="1036"/>
        <v>2864</v>
      </c>
      <c r="B2932" s="285">
        <v>2.9641750216863136</v>
      </c>
      <c r="C2932" s="285">
        <v>3.0645851216725055</v>
      </c>
      <c r="D2932" s="285">
        <v>0.51952952381231643</v>
      </c>
      <c r="E2932" s="285">
        <v>-2.8517955814954665</v>
      </c>
    </row>
    <row r="2933" spans="1:5">
      <c r="A2933" s="284">
        <f t="shared" si="1036"/>
        <v>2865</v>
      </c>
      <c r="B2933" s="285">
        <v>-1.2385168840766836</v>
      </c>
      <c r="C2933" s="285">
        <v>2.4786179993604733</v>
      </c>
      <c r="D2933" s="285">
        <v>0.1451922177463818</v>
      </c>
      <c r="E2933" s="285">
        <v>-10.527354298667223</v>
      </c>
    </row>
    <row r="2934" spans="1:5">
      <c r="A2934" s="284">
        <f t="shared" si="1036"/>
        <v>2866</v>
      </c>
      <c r="B2934" s="285">
        <v>-2.3796539270214216</v>
      </c>
      <c r="C2934" s="285">
        <v>2.9698391668184905</v>
      </c>
      <c r="D2934" s="285">
        <v>-0.10075392863125954</v>
      </c>
      <c r="E2934" s="285">
        <v>7.7782626624417972</v>
      </c>
    </row>
    <row r="2935" spans="1:5">
      <c r="A2935" s="284">
        <f t="shared" si="1036"/>
        <v>2867</v>
      </c>
      <c r="B2935" s="285">
        <v>-1.1917636052231613</v>
      </c>
      <c r="C2935" s="285">
        <v>2.0880917602933469</v>
      </c>
      <c r="D2935" s="285">
        <v>0.88983224438917241</v>
      </c>
      <c r="E2935" s="285">
        <v>-9.353329664222656</v>
      </c>
    </row>
    <row r="2936" spans="1:5">
      <c r="A2936" s="284">
        <f t="shared" si="1036"/>
        <v>2868</v>
      </c>
      <c r="B2936" s="285">
        <v>-1.1178943950057854</v>
      </c>
      <c r="C2936" s="285">
        <v>2.5225841586374989</v>
      </c>
      <c r="D2936" s="285">
        <v>1.4565984045845701</v>
      </c>
      <c r="E2936" s="285">
        <v>-16.02922466540365</v>
      </c>
    </row>
    <row r="2937" spans="1:5">
      <c r="A2937" s="284">
        <f t="shared" si="1036"/>
        <v>2869</v>
      </c>
      <c r="B2937" s="285">
        <v>0.81828250128052471</v>
      </c>
      <c r="C2937" s="285">
        <v>2.235224100119265</v>
      </c>
      <c r="D2937" s="285">
        <v>2.6443871455759771</v>
      </c>
      <c r="E2937" s="285">
        <v>-2.1034997444269847</v>
      </c>
    </row>
    <row r="2938" spans="1:5">
      <c r="A2938" s="284">
        <f t="shared" si="1036"/>
        <v>2870</v>
      </c>
      <c r="B2938" s="285">
        <v>-3.3935217732332048</v>
      </c>
      <c r="C2938" s="285">
        <v>2.4640733568825373</v>
      </c>
      <c r="D2938" s="285">
        <v>-0.27977334044114643</v>
      </c>
      <c r="E2938" s="285">
        <v>-1.0173776119780853</v>
      </c>
    </row>
    <row r="2939" spans="1:5">
      <c r="A2939" s="284">
        <f t="shared" si="1036"/>
        <v>2871</v>
      </c>
      <c r="B2939" s="285">
        <v>0.20089669846673774</v>
      </c>
      <c r="C2939" s="285">
        <v>2.6136360470949507</v>
      </c>
      <c r="D2939" s="285">
        <v>1.4733886495584605</v>
      </c>
      <c r="E2939" s="285">
        <v>8.4072378848275982</v>
      </c>
    </row>
    <row r="2940" spans="1:5">
      <c r="A2940" s="284">
        <f t="shared" si="1036"/>
        <v>2872</v>
      </c>
      <c r="B2940" s="285">
        <v>0.58213595968269738</v>
      </c>
      <c r="C2940" s="285">
        <v>2.3398882485484087</v>
      </c>
      <c r="D2940" s="285">
        <v>-0.79286082261353164</v>
      </c>
      <c r="E2940" s="285">
        <v>1.0953346019814778</v>
      </c>
    </row>
    <row r="2941" spans="1:5">
      <c r="A2941" s="284">
        <f t="shared" si="1036"/>
        <v>2873</v>
      </c>
      <c r="B2941" s="285">
        <v>0.15948891841777812</v>
      </c>
      <c r="C2941" s="285">
        <v>2.9063594251578238</v>
      </c>
      <c r="D2941" s="285">
        <v>0.82108908523010138</v>
      </c>
      <c r="E2941" s="285">
        <v>-4.6813899598670776</v>
      </c>
    </row>
    <row r="2942" spans="1:5">
      <c r="A2942" s="284">
        <f t="shared" si="1036"/>
        <v>2874</v>
      </c>
      <c r="B2942" s="285">
        <v>-0.4561816386573509</v>
      </c>
      <c r="C2942" s="285">
        <v>2.0971437421504024</v>
      </c>
      <c r="D2942" s="285">
        <v>-0.85096446721828567</v>
      </c>
      <c r="E2942" s="285">
        <v>-3.0686673876576065</v>
      </c>
    </row>
    <row r="2943" spans="1:5">
      <c r="A2943" s="284">
        <f t="shared" si="1036"/>
        <v>2875</v>
      </c>
      <c r="B2943" s="285">
        <v>-3.0739692386673974</v>
      </c>
      <c r="C2943" s="285">
        <v>1.8010160198026752</v>
      </c>
      <c r="D2943" s="285">
        <v>0.90657529885815391</v>
      </c>
      <c r="E2943" s="285">
        <v>-4.0200394096415408</v>
      </c>
    </row>
    <row r="2944" spans="1:5">
      <c r="A2944" s="284">
        <f t="shared" si="1036"/>
        <v>2876</v>
      </c>
      <c r="B2944" s="285">
        <v>-2.7256954953101498</v>
      </c>
      <c r="C2944" s="285">
        <v>2.0759623139029126</v>
      </c>
      <c r="D2944" s="285">
        <v>-2.329539846593609E-2</v>
      </c>
      <c r="E2944" s="285">
        <v>0.34725453125223771</v>
      </c>
    </row>
    <row r="2945" spans="1:5">
      <c r="A2945" s="284">
        <f t="shared" si="1036"/>
        <v>2877</v>
      </c>
      <c r="B2945" s="285">
        <v>4.2574991582257171</v>
      </c>
      <c r="C2945" s="285">
        <v>3.0089212343982137</v>
      </c>
      <c r="D2945" s="285">
        <v>2.6684912449302267E-2</v>
      </c>
      <c r="E2945" s="285">
        <v>-0.94533064293800884</v>
      </c>
    </row>
    <row r="2946" spans="1:5">
      <c r="A2946" s="284">
        <f t="shared" si="1036"/>
        <v>2878</v>
      </c>
      <c r="B2946" s="285">
        <v>-2.4966079598023265</v>
      </c>
      <c r="C2946" s="285">
        <v>2.1628754653003401</v>
      </c>
      <c r="D2946" s="285">
        <v>0.37346174177100577</v>
      </c>
      <c r="E2946" s="285">
        <v>-10.144734751997778</v>
      </c>
    </row>
    <row r="2947" spans="1:5">
      <c r="A2947" s="284">
        <f t="shared" si="1036"/>
        <v>2879</v>
      </c>
      <c r="B2947" s="285">
        <v>1.7798078789617471</v>
      </c>
      <c r="C2947" s="285">
        <v>2.6284826737976674</v>
      </c>
      <c r="D2947" s="285">
        <v>-0.44678453900599724</v>
      </c>
      <c r="E2947" s="285">
        <v>0.23146676074049255</v>
      </c>
    </row>
    <row r="2948" spans="1:5">
      <c r="A2948" s="284">
        <f t="shared" si="1036"/>
        <v>2880</v>
      </c>
      <c r="B2948" s="285">
        <v>0.61147078735338256</v>
      </c>
      <c r="C2948" s="285">
        <v>2.6614268143626072</v>
      </c>
      <c r="D2948" s="285">
        <v>1.7569018429630705</v>
      </c>
      <c r="E2948" s="285">
        <v>-11.400710674498342</v>
      </c>
    </row>
    <row r="2949" spans="1:5">
      <c r="A2949" s="284">
        <f t="shared" si="1036"/>
        <v>2881</v>
      </c>
      <c r="B2949" s="285">
        <v>-0.73501142805394082</v>
      </c>
      <c r="C2949" s="285">
        <v>2.7894554276777503</v>
      </c>
      <c r="D2949" s="285">
        <v>-0.69087945077217849</v>
      </c>
      <c r="E2949" s="285">
        <v>4.9818947245464482</v>
      </c>
    </row>
    <row r="2950" spans="1:5">
      <c r="A2950" s="284">
        <f t="shared" si="1036"/>
        <v>2882</v>
      </c>
      <c r="B2950" s="285">
        <v>-0.72858695204371993</v>
      </c>
      <c r="C2950" s="285">
        <v>2.8036597154720559</v>
      </c>
      <c r="D2950" s="285">
        <v>-0.12757501446759578</v>
      </c>
      <c r="E2950" s="285">
        <v>-0.60556263230677443</v>
      </c>
    </row>
    <row r="2951" spans="1:5">
      <c r="A2951" s="284">
        <f t="shared" ref="A2951:A3014" si="1037">A2950+1</f>
        <v>2883</v>
      </c>
      <c r="B2951" s="285">
        <v>-1.4661840774823365</v>
      </c>
      <c r="C2951" s="285">
        <v>2.1324444065803863</v>
      </c>
      <c r="D2951" s="285">
        <v>1.1815622294731152</v>
      </c>
      <c r="E2951" s="285">
        <v>-0.51087687634302581</v>
      </c>
    </row>
    <row r="2952" spans="1:5">
      <c r="A2952" s="284">
        <f t="shared" si="1037"/>
        <v>2884</v>
      </c>
      <c r="B2952" s="285">
        <v>-3.1030959177277722</v>
      </c>
      <c r="C2952" s="285">
        <v>2.8422483181510643</v>
      </c>
      <c r="D2952" s="285">
        <v>-0.56922217322254021</v>
      </c>
      <c r="E2952" s="285">
        <v>8.0909774998970025</v>
      </c>
    </row>
    <row r="2953" spans="1:5">
      <c r="A2953" s="284">
        <f t="shared" si="1037"/>
        <v>2885</v>
      </c>
      <c r="B2953" s="285">
        <v>-0.71490923154978536</v>
      </c>
      <c r="C2953" s="285">
        <v>2.2967795706586314</v>
      </c>
      <c r="D2953" s="285">
        <v>1.3333556365431427</v>
      </c>
      <c r="E2953" s="285">
        <v>-4.1432050744463309</v>
      </c>
    </row>
    <row r="2954" spans="1:5">
      <c r="A2954" s="284">
        <f t="shared" si="1037"/>
        <v>2886</v>
      </c>
      <c r="B2954" s="285">
        <v>-2.4471557095388126</v>
      </c>
      <c r="C2954" s="285">
        <v>2.3002250685022774</v>
      </c>
      <c r="D2954" s="285">
        <v>2.1435183281920835</v>
      </c>
      <c r="E2954" s="285">
        <v>-6.1671811011345712</v>
      </c>
    </row>
    <row r="2955" spans="1:5">
      <c r="A2955" s="284">
        <f t="shared" si="1037"/>
        <v>2887</v>
      </c>
      <c r="B2955" s="285">
        <v>-5.3342972426940651</v>
      </c>
      <c r="C2955" s="285">
        <v>2.9068814318998806</v>
      </c>
      <c r="D2955" s="285">
        <v>0.55863113051018609</v>
      </c>
      <c r="E2955" s="285">
        <v>14.888367714730315</v>
      </c>
    </row>
    <row r="2956" spans="1:5">
      <c r="A2956" s="284">
        <f t="shared" si="1037"/>
        <v>2888</v>
      </c>
      <c r="B2956" s="285">
        <v>2.264168891814268E-2</v>
      </c>
      <c r="C2956" s="285">
        <v>2.6967365023026737</v>
      </c>
      <c r="D2956" s="285">
        <v>1.8029862053932431</v>
      </c>
      <c r="E2956" s="285">
        <v>1.516933211680096</v>
      </c>
    </row>
    <row r="2957" spans="1:5">
      <c r="A2957" s="284">
        <f t="shared" si="1037"/>
        <v>2889</v>
      </c>
      <c r="B2957" s="285">
        <v>-0.53617037044839222</v>
      </c>
      <c r="C2957" s="285">
        <v>2.2633793243147582</v>
      </c>
      <c r="D2957" s="285">
        <v>-0.55070976731207688</v>
      </c>
      <c r="E2957" s="285">
        <v>-11.561734344322897</v>
      </c>
    </row>
    <row r="2958" spans="1:5">
      <c r="A2958" s="284">
        <f t="shared" si="1037"/>
        <v>2890</v>
      </c>
      <c r="B2958" s="285">
        <v>-4.6811588669799979</v>
      </c>
      <c r="C2958" s="285">
        <v>1.399931947608843</v>
      </c>
      <c r="D2958" s="285">
        <v>1.6123739182142773</v>
      </c>
      <c r="E2958" s="285">
        <v>-23.962532492233905</v>
      </c>
    </row>
    <row r="2959" spans="1:5">
      <c r="A2959" s="284">
        <f t="shared" si="1037"/>
        <v>2891</v>
      </c>
      <c r="B2959" s="285">
        <v>-0.93480269632743607</v>
      </c>
      <c r="C2959" s="285">
        <v>2.106652728904872</v>
      </c>
      <c r="D2959" s="285">
        <v>2.0144803064442778</v>
      </c>
      <c r="E2959" s="285">
        <v>2.9381480325217004</v>
      </c>
    </row>
    <row r="2960" spans="1:5">
      <c r="A2960" s="284">
        <f t="shared" si="1037"/>
        <v>2892</v>
      </c>
      <c r="B2960" s="285">
        <v>-3.6465217853946512E-2</v>
      </c>
      <c r="C2960" s="285">
        <v>2.785346495298147</v>
      </c>
      <c r="D2960" s="285">
        <v>-0.98961872121403038</v>
      </c>
      <c r="E2960" s="285">
        <v>10.788755810734919</v>
      </c>
    </row>
    <row r="2961" spans="1:5">
      <c r="A2961" s="284">
        <f t="shared" si="1037"/>
        <v>2893</v>
      </c>
      <c r="B2961" s="285">
        <v>1.1399878680612074</v>
      </c>
      <c r="C2961" s="285">
        <v>2.3445189646296374</v>
      </c>
      <c r="D2961" s="285">
        <v>1.5324211780699606</v>
      </c>
      <c r="E2961" s="285">
        <v>-7.4736994160963519</v>
      </c>
    </row>
    <row r="2962" spans="1:5">
      <c r="A2962" s="284">
        <f t="shared" si="1037"/>
        <v>2894</v>
      </c>
      <c r="B2962" s="285">
        <v>0.66871196594845794</v>
      </c>
      <c r="C2962" s="285">
        <v>3.3815727824286417</v>
      </c>
      <c r="D2962" s="285">
        <v>0.23378956560748543</v>
      </c>
      <c r="E2962" s="285">
        <v>12.722280477288241</v>
      </c>
    </row>
    <row r="2963" spans="1:5">
      <c r="A2963" s="284">
        <f t="shared" si="1037"/>
        <v>2895</v>
      </c>
      <c r="B2963" s="285">
        <v>0.9024707910515829</v>
      </c>
      <c r="C2963" s="285">
        <v>2.2099433390547283</v>
      </c>
      <c r="D2963" s="285">
        <v>2.0119447279949148</v>
      </c>
      <c r="E2963" s="285">
        <v>-9.9819960638279834</v>
      </c>
    </row>
    <row r="2964" spans="1:5">
      <c r="A2964" s="284">
        <f t="shared" si="1037"/>
        <v>2896</v>
      </c>
      <c r="B2964" s="285">
        <v>1.1432511567030683</v>
      </c>
      <c r="C2964" s="285">
        <v>2.4911403823419893</v>
      </c>
      <c r="D2964" s="285">
        <v>-0.10728577714759524</v>
      </c>
      <c r="E2964" s="285">
        <v>2.8596310437758619</v>
      </c>
    </row>
    <row r="2965" spans="1:5">
      <c r="A2965" s="284">
        <f t="shared" si="1037"/>
        <v>2897</v>
      </c>
      <c r="B2965" s="285">
        <v>-3.1444237818539486E-2</v>
      </c>
      <c r="C2965" s="285">
        <v>2.6420782616311884</v>
      </c>
      <c r="D2965" s="285">
        <v>3.1849262816646435</v>
      </c>
      <c r="E2965" s="285">
        <v>-11.354712795446806</v>
      </c>
    </row>
    <row r="2966" spans="1:5">
      <c r="A2966" s="284">
        <f t="shared" si="1037"/>
        <v>2898</v>
      </c>
      <c r="B2966" s="285">
        <v>-0.24631691875100933</v>
      </c>
      <c r="C2966" s="285">
        <v>3.103326412931966</v>
      </c>
      <c r="D2966" s="285">
        <v>0.64141760390738489</v>
      </c>
      <c r="E2966" s="285">
        <v>11.330985301157366</v>
      </c>
    </row>
    <row r="2967" spans="1:5">
      <c r="A2967" s="284">
        <f t="shared" si="1037"/>
        <v>2899</v>
      </c>
      <c r="B2967" s="285">
        <v>1.4014344067764084</v>
      </c>
      <c r="C2967" s="285">
        <v>2.7388373047447878</v>
      </c>
      <c r="D2967" s="285">
        <v>3.8219055641907942</v>
      </c>
      <c r="E2967" s="285">
        <v>-2.91566673592606</v>
      </c>
    </row>
    <row r="2968" spans="1:5">
      <c r="A2968" s="284">
        <f t="shared" si="1037"/>
        <v>2900</v>
      </c>
      <c r="B2968" s="285">
        <v>-2.7074872770735019</v>
      </c>
      <c r="C2968" s="285">
        <v>2.2282149086565473</v>
      </c>
      <c r="D2968" s="285">
        <v>1.9894792037035869</v>
      </c>
      <c r="E2968" s="285">
        <v>-1.4282739386646788</v>
      </c>
    </row>
    <row r="2969" spans="1:5">
      <c r="A2969" s="284">
        <f t="shared" si="1037"/>
        <v>2901</v>
      </c>
      <c r="B2969" s="285">
        <v>-2.8697697206774762</v>
      </c>
      <c r="C2969" s="285">
        <v>2.3652870406899376</v>
      </c>
      <c r="D2969" s="285">
        <v>1.9315579560086045</v>
      </c>
      <c r="E2969" s="285">
        <v>-3.8793272226486262</v>
      </c>
    </row>
    <row r="2970" spans="1:5">
      <c r="A2970" s="284">
        <f t="shared" si="1037"/>
        <v>2902</v>
      </c>
      <c r="B2970" s="285">
        <v>2.3395346013173941</v>
      </c>
      <c r="C2970" s="285">
        <v>2.6637823638584184</v>
      </c>
      <c r="D2970" s="285">
        <v>1.4743807517635865</v>
      </c>
      <c r="E2970" s="285">
        <v>-3.7975330686602442</v>
      </c>
    </row>
    <row r="2971" spans="1:5">
      <c r="A2971" s="284">
        <f t="shared" si="1037"/>
        <v>2903</v>
      </c>
      <c r="B2971" s="285">
        <v>2.108269529338783</v>
      </c>
      <c r="C2971" s="285">
        <v>3.4012616737092269</v>
      </c>
      <c r="D2971" s="285">
        <v>0.97911642948753275</v>
      </c>
      <c r="E2971" s="285">
        <v>18.400532245116743</v>
      </c>
    </row>
    <row r="2972" spans="1:5">
      <c r="A2972" s="284">
        <f t="shared" si="1037"/>
        <v>2904</v>
      </c>
      <c r="B2972" s="285">
        <v>3.1333136433111877</v>
      </c>
      <c r="C2972" s="285">
        <v>2.8839843564019016</v>
      </c>
      <c r="D2972" s="285">
        <v>3.0084087109168607</v>
      </c>
      <c r="E2972" s="285">
        <v>-0.72512489915967082</v>
      </c>
    </row>
    <row r="2973" spans="1:5">
      <c r="A2973" s="284">
        <f t="shared" si="1037"/>
        <v>2905</v>
      </c>
      <c r="B2973" s="285">
        <v>0.29880026628421441</v>
      </c>
      <c r="C2973" s="285">
        <v>2.6057093626888013</v>
      </c>
      <c r="D2973" s="285">
        <v>1.6585312543730555</v>
      </c>
      <c r="E2973" s="285">
        <v>-1.3247131240108518</v>
      </c>
    </row>
    <row r="2974" spans="1:5">
      <c r="A2974" s="284">
        <f t="shared" si="1037"/>
        <v>2906</v>
      </c>
      <c r="B2974" s="285">
        <v>-1.7954245888952187</v>
      </c>
      <c r="C2974" s="285">
        <v>1.9832838790420899</v>
      </c>
      <c r="D2974" s="285">
        <v>1.7146615378321959</v>
      </c>
      <c r="E2974" s="285">
        <v>-17.123221807978869</v>
      </c>
    </row>
    <row r="2975" spans="1:5">
      <c r="A2975" s="284">
        <f t="shared" si="1037"/>
        <v>2907</v>
      </c>
      <c r="B2975" s="285">
        <v>4.4609346902123974</v>
      </c>
      <c r="C2975" s="285">
        <v>3.7855935023538523</v>
      </c>
      <c r="D2975" s="285">
        <v>-0.50282055168607775</v>
      </c>
      <c r="E2975" s="285">
        <v>16.551585883215218</v>
      </c>
    </row>
    <row r="2976" spans="1:5">
      <c r="A2976" s="284">
        <f t="shared" si="1037"/>
        <v>2908</v>
      </c>
      <c r="B2976" s="285">
        <v>-2.0260015120227415</v>
      </c>
      <c r="C2976" s="285">
        <v>2.5333867579463685</v>
      </c>
      <c r="D2976" s="285">
        <v>2.6989146127703734</v>
      </c>
      <c r="E2976" s="285">
        <v>-9.2335676514641172</v>
      </c>
    </row>
    <row r="2977" spans="1:5">
      <c r="A2977" s="284">
        <f t="shared" si="1037"/>
        <v>2909</v>
      </c>
      <c r="B2977" s="285">
        <v>-0.2054298300876804</v>
      </c>
      <c r="C2977" s="285">
        <v>1.9305100340102346</v>
      </c>
      <c r="D2977" s="285">
        <v>1.5060563094028765</v>
      </c>
      <c r="E2977" s="285">
        <v>-6.0768036432492867</v>
      </c>
    </row>
    <row r="2978" spans="1:5">
      <c r="A2978" s="284">
        <f t="shared" si="1037"/>
        <v>2910</v>
      </c>
      <c r="B2978" s="285">
        <v>4.5638687770216686</v>
      </c>
      <c r="C2978" s="285">
        <v>2.3807464581682933</v>
      </c>
      <c r="D2978" s="285">
        <v>0.62715984997446794</v>
      </c>
      <c r="E2978" s="285">
        <v>-16.643960591718528</v>
      </c>
    </row>
    <row r="2979" spans="1:5">
      <c r="A2979" s="284">
        <f t="shared" si="1037"/>
        <v>2911</v>
      </c>
      <c r="B2979" s="285">
        <v>-0.84116699496621972</v>
      </c>
      <c r="C2979" s="285">
        <v>2.7365573417376514</v>
      </c>
      <c r="D2979" s="285">
        <v>2.2188666130714143</v>
      </c>
      <c r="E2979" s="285">
        <v>2.2630800857554019</v>
      </c>
    </row>
    <row r="2980" spans="1:5">
      <c r="A2980" s="284">
        <f t="shared" si="1037"/>
        <v>2912</v>
      </c>
      <c r="B2980" s="285">
        <v>1.1004746570008295</v>
      </c>
      <c r="C2980" s="285">
        <v>3.0449611523255387</v>
      </c>
      <c r="D2980" s="285">
        <v>2.5671691550553821</v>
      </c>
      <c r="E2980" s="285">
        <v>0.91202098060394521</v>
      </c>
    </row>
    <row r="2981" spans="1:5">
      <c r="A2981" s="284">
        <f t="shared" si="1037"/>
        <v>2913</v>
      </c>
      <c r="B2981" s="285">
        <v>-2.8389045510635134</v>
      </c>
      <c r="C2981" s="285">
        <v>2.344875142094772</v>
      </c>
      <c r="D2981" s="285">
        <v>0.58052743689378283</v>
      </c>
      <c r="E2981" s="285">
        <v>-18.428335650258258</v>
      </c>
    </row>
    <row r="2982" spans="1:5">
      <c r="A2982" s="284">
        <f t="shared" si="1037"/>
        <v>2914</v>
      </c>
      <c r="B2982" s="285">
        <v>-1.840028699243287</v>
      </c>
      <c r="C2982" s="285">
        <v>2.7909168888507185</v>
      </c>
      <c r="D2982" s="285">
        <v>-0.80475293543465476</v>
      </c>
      <c r="E2982" s="285">
        <v>-7.8862707949693309</v>
      </c>
    </row>
    <row r="2983" spans="1:5">
      <c r="A2983" s="284">
        <f t="shared" si="1037"/>
        <v>2915</v>
      </c>
      <c r="B2983" s="285">
        <v>-3.6067570622811345</v>
      </c>
      <c r="C2983" s="285">
        <v>2.2318263263269102</v>
      </c>
      <c r="D2983" s="285">
        <v>-0.68710036442479683</v>
      </c>
      <c r="E2983" s="285">
        <v>-7.3499648558645081</v>
      </c>
    </row>
    <row r="2984" spans="1:5">
      <c r="A2984" s="284">
        <f t="shared" si="1037"/>
        <v>2916</v>
      </c>
      <c r="B2984" s="285">
        <v>3.1033319083649942</v>
      </c>
      <c r="C2984" s="285">
        <v>2.1748512095181827</v>
      </c>
      <c r="D2984" s="285">
        <v>1.6087053453781386</v>
      </c>
      <c r="E2984" s="285">
        <v>-13.785211395119315</v>
      </c>
    </row>
    <row r="2985" spans="1:5">
      <c r="A2985" s="284">
        <f t="shared" si="1037"/>
        <v>2917</v>
      </c>
      <c r="B2985" s="285">
        <v>0.18316805961296553</v>
      </c>
      <c r="C2985" s="285">
        <v>2.6877744488686375</v>
      </c>
      <c r="D2985" s="285">
        <v>1.7419634681968563</v>
      </c>
      <c r="E2985" s="285">
        <v>-3.6394763590726318</v>
      </c>
    </row>
    <row r="2986" spans="1:5">
      <c r="A2986" s="284">
        <f t="shared" si="1037"/>
        <v>2918</v>
      </c>
      <c r="B2986" s="285">
        <v>1.5459450140789976</v>
      </c>
      <c r="C2986" s="285">
        <v>2.7892122953041913</v>
      </c>
      <c r="D2986" s="285">
        <v>1.3162109946995375</v>
      </c>
      <c r="E2986" s="285">
        <v>-1.3128212478832302</v>
      </c>
    </row>
    <row r="2987" spans="1:5">
      <c r="A2987" s="284">
        <f t="shared" si="1037"/>
        <v>2919</v>
      </c>
      <c r="B2987" s="285">
        <v>-0.35548547373230716</v>
      </c>
      <c r="C2987" s="285">
        <v>2.1214256136313101</v>
      </c>
      <c r="D2987" s="285">
        <v>1.1956045824915746</v>
      </c>
      <c r="E2987" s="285">
        <v>-2.3813721366425527</v>
      </c>
    </row>
    <row r="2988" spans="1:5">
      <c r="A2988" s="284">
        <f t="shared" si="1037"/>
        <v>2920</v>
      </c>
      <c r="B2988" s="285">
        <v>2.3162130989716547</v>
      </c>
      <c r="C2988" s="285">
        <v>2.8285306754406694</v>
      </c>
      <c r="D2988" s="285">
        <v>2.5859227374989215</v>
      </c>
      <c r="E2988" s="285">
        <v>0.33382039466821078</v>
      </c>
    </row>
    <row r="2989" spans="1:5">
      <c r="A2989" s="284">
        <f t="shared" si="1037"/>
        <v>2921</v>
      </c>
      <c r="B2989" s="285">
        <v>1.4134543645049467</v>
      </c>
      <c r="C2989" s="285">
        <v>2.6732879587442282</v>
      </c>
      <c r="D2989" s="285">
        <v>1.9004096198508746</v>
      </c>
      <c r="E2989" s="285">
        <v>5.4967734281884155</v>
      </c>
    </row>
    <row r="2990" spans="1:5">
      <c r="A2990" s="284">
        <f t="shared" si="1037"/>
        <v>2922</v>
      </c>
      <c r="B2990" s="285">
        <v>-0.77399463005302682</v>
      </c>
      <c r="C2990" s="285">
        <v>1.7764810084142328</v>
      </c>
      <c r="D2990" s="285">
        <v>1.4317637951806745</v>
      </c>
      <c r="E2990" s="285">
        <v>-16.582134640665849</v>
      </c>
    </row>
    <row r="2991" spans="1:5">
      <c r="A2991" s="284">
        <f t="shared" si="1037"/>
        <v>2923</v>
      </c>
      <c r="B2991" s="285">
        <v>-2.5659879157438561</v>
      </c>
      <c r="C2991" s="285">
        <v>2.792759117351213</v>
      </c>
      <c r="D2991" s="285">
        <v>-0.43992750354545551</v>
      </c>
      <c r="E2991" s="285">
        <v>1.2669476395024137E-2</v>
      </c>
    </row>
    <row r="2992" spans="1:5">
      <c r="A2992" s="284">
        <f t="shared" si="1037"/>
        <v>2924</v>
      </c>
      <c r="B2992" s="285">
        <v>-0.49118970998314321</v>
      </c>
      <c r="C2992" s="285">
        <v>2.9329802771400981</v>
      </c>
      <c r="D2992" s="285">
        <v>0.61068706630127201</v>
      </c>
      <c r="E2992" s="285">
        <v>6.083162850009467</v>
      </c>
    </row>
    <row r="2993" spans="1:5">
      <c r="A2993" s="284">
        <f t="shared" si="1037"/>
        <v>2925</v>
      </c>
      <c r="B2993" s="285">
        <v>2.6260464917602322</v>
      </c>
      <c r="C2993" s="285">
        <v>2.8541345119561337</v>
      </c>
      <c r="D2993" s="285">
        <v>0.35653184539445504</v>
      </c>
      <c r="E2993" s="285">
        <v>11.93759507292385</v>
      </c>
    </row>
    <row r="2994" spans="1:5">
      <c r="A2994" s="284">
        <f t="shared" si="1037"/>
        <v>2926</v>
      </c>
      <c r="B2994" s="285">
        <v>-1.4300489104840211</v>
      </c>
      <c r="C2994" s="285">
        <v>2.7588312876213346</v>
      </c>
      <c r="D2994" s="285">
        <v>-0.83646325654737996</v>
      </c>
      <c r="E2994" s="285">
        <v>0.90582542792451681</v>
      </c>
    </row>
    <row r="2995" spans="1:5">
      <c r="A2995" s="284">
        <f t="shared" si="1037"/>
        <v>2927</v>
      </c>
      <c r="B2995" s="285">
        <v>1.6415513773276438</v>
      </c>
      <c r="C2995" s="285">
        <v>2.7155963461662838</v>
      </c>
      <c r="D2995" s="285">
        <v>2.8161577578421926</v>
      </c>
      <c r="E2995" s="285">
        <v>-11.971200687904377</v>
      </c>
    </row>
    <row r="2996" spans="1:5">
      <c r="A2996" s="284">
        <f t="shared" si="1037"/>
        <v>2928</v>
      </c>
      <c r="B2996" s="285">
        <v>1.5427295443321816</v>
      </c>
      <c r="C2996" s="285">
        <v>2.3625117118567101</v>
      </c>
      <c r="D2996" s="285">
        <v>0.62656456303035113</v>
      </c>
      <c r="E2996" s="285">
        <v>0.67068707159882957</v>
      </c>
    </row>
    <row r="2997" spans="1:5">
      <c r="A2997" s="284">
        <f t="shared" si="1037"/>
        <v>2929</v>
      </c>
      <c r="B2997" s="285">
        <v>2.6815874845332868</v>
      </c>
      <c r="C2997" s="285">
        <v>1.8638186989306593</v>
      </c>
      <c r="D2997" s="285">
        <v>2.339080528483672</v>
      </c>
      <c r="E2997" s="285">
        <v>-15.834178562101386</v>
      </c>
    </row>
    <row r="2998" spans="1:5">
      <c r="A2998" s="284">
        <f t="shared" si="1037"/>
        <v>2930</v>
      </c>
      <c r="B2998" s="285">
        <v>-0.47127284614057069</v>
      </c>
      <c r="C2998" s="285">
        <v>2.5240486105838138</v>
      </c>
      <c r="D2998" s="285">
        <v>-0.44045089950320904</v>
      </c>
      <c r="E2998" s="285">
        <v>5.8177726736392135</v>
      </c>
    </row>
    <row r="2999" spans="1:5">
      <c r="A2999" s="284">
        <f t="shared" si="1037"/>
        <v>2931</v>
      </c>
      <c r="B2999" s="285">
        <v>2.9807414822240039</v>
      </c>
      <c r="C2999" s="285">
        <v>2.0576931846979973</v>
      </c>
      <c r="D2999" s="285">
        <v>2.9607373555556133</v>
      </c>
      <c r="E2999" s="285">
        <v>-19.144055381972329</v>
      </c>
    </row>
    <row r="3000" spans="1:5">
      <c r="A3000" s="284">
        <f t="shared" si="1037"/>
        <v>2932</v>
      </c>
      <c r="B3000" s="285">
        <v>4.3101414717033597</v>
      </c>
      <c r="C3000" s="285">
        <v>2.3166161309122293</v>
      </c>
      <c r="D3000" s="285">
        <v>2.5930444603201961</v>
      </c>
      <c r="E3000" s="285">
        <v>-9.6997025143190179</v>
      </c>
    </row>
    <row r="3001" spans="1:5">
      <c r="A3001" s="284">
        <f t="shared" si="1037"/>
        <v>2933</v>
      </c>
      <c r="B3001" s="285">
        <v>2.9054819971787995</v>
      </c>
      <c r="C3001" s="285">
        <v>2.4736778674686528</v>
      </c>
      <c r="D3001" s="285">
        <v>0.11722091864547668</v>
      </c>
      <c r="E3001" s="285">
        <v>-10.170115643310872</v>
      </c>
    </row>
    <row r="3002" spans="1:5">
      <c r="A3002" s="284">
        <f t="shared" si="1037"/>
        <v>2934</v>
      </c>
      <c r="B3002" s="285">
        <v>0.22548890622678153</v>
      </c>
      <c r="C3002" s="285">
        <v>2.6234981466180405</v>
      </c>
      <c r="D3002" s="285">
        <v>0.96300963933141248</v>
      </c>
      <c r="E3002" s="285">
        <v>0.99576482912434683</v>
      </c>
    </row>
    <row r="3003" spans="1:5">
      <c r="A3003" s="284">
        <f t="shared" si="1037"/>
        <v>2935</v>
      </c>
      <c r="B3003" s="285">
        <v>-7.2591989128914829</v>
      </c>
      <c r="C3003" s="285">
        <v>2.3522579137472475</v>
      </c>
      <c r="D3003" s="285">
        <v>-0.16640926606856232</v>
      </c>
      <c r="E3003" s="285">
        <v>2.8139875048556839</v>
      </c>
    </row>
    <row r="3004" spans="1:5">
      <c r="A3004" s="284">
        <f t="shared" si="1037"/>
        <v>2936</v>
      </c>
      <c r="B3004" s="285">
        <v>-0.87473435078916983</v>
      </c>
      <c r="C3004" s="285">
        <v>1.6295401650446724</v>
      </c>
      <c r="D3004" s="285">
        <v>1.441225849096903</v>
      </c>
      <c r="E3004" s="285">
        <v>-18.306228801198149</v>
      </c>
    </row>
    <row r="3005" spans="1:5">
      <c r="A3005" s="284">
        <f t="shared" si="1037"/>
        <v>2937</v>
      </c>
      <c r="B3005" s="285">
        <v>0.77598708876446476</v>
      </c>
      <c r="C3005" s="285">
        <v>3.1718920277714431</v>
      </c>
      <c r="D3005" s="285">
        <v>0.82365776374602695</v>
      </c>
      <c r="E3005" s="285">
        <v>-3.6585324472159129</v>
      </c>
    </row>
    <row r="3006" spans="1:5">
      <c r="A3006" s="284">
        <f t="shared" si="1037"/>
        <v>2938</v>
      </c>
      <c r="B3006" s="285">
        <v>1.4326075796338202</v>
      </c>
      <c r="C3006" s="285">
        <v>3.114152074577607</v>
      </c>
      <c r="D3006" s="285">
        <v>-0.11742263793600838</v>
      </c>
      <c r="E3006" s="285">
        <v>8.6738843741944045</v>
      </c>
    </row>
    <row r="3007" spans="1:5">
      <c r="A3007" s="284">
        <f t="shared" si="1037"/>
        <v>2939</v>
      </c>
      <c r="B3007" s="285">
        <v>1.9195694613840513</v>
      </c>
      <c r="C3007" s="285">
        <v>2.4440288625985205</v>
      </c>
      <c r="D3007" s="285">
        <v>2.714227111321097</v>
      </c>
      <c r="E3007" s="285">
        <v>-7.1945364973886257</v>
      </c>
    </row>
    <row r="3008" spans="1:5">
      <c r="A3008" s="284">
        <f t="shared" si="1037"/>
        <v>2940</v>
      </c>
      <c r="B3008" s="285">
        <v>1.6070021408295325</v>
      </c>
      <c r="C3008" s="285">
        <v>2.5294804544669667</v>
      </c>
      <c r="D3008" s="285">
        <v>0.30986510187655103</v>
      </c>
      <c r="E3008" s="285">
        <v>-12.39727529391439</v>
      </c>
    </row>
    <row r="3009" spans="1:5">
      <c r="A3009" s="284">
        <f t="shared" si="1037"/>
        <v>2941</v>
      </c>
      <c r="B3009" s="285">
        <v>4.0625833751905738</v>
      </c>
      <c r="C3009" s="285">
        <v>2.3334820170195054</v>
      </c>
      <c r="D3009" s="285">
        <v>2.5650491252241254</v>
      </c>
      <c r="E3009" s="285">
        <v>-0.78183417599570637</v>
      </c>
    </row>
    <row r="3010" spans="1:5">
      <c r="A3010" s="284">
        <f t="shared" si="1037"/>
        <v>2942</v>
      </c>
      <c r="B3010" s="285">
        <v>-1.7859923339744541</v>
      </c>
      <c r="C3010" s="285">
        <v>2.7847568598824983</v>
      </c>
      <c r="D3010" s="285">
        <v>-1.457916063847037</v>
      </c>
      <c r="E3010" s="285">
        <v>1.727319175148724</v>
      </c>
    </row>
    <row r="3011" spans="1:5">
      <c r="A3011" s="284">
        <f t="shared" si="1037"/>
        <v>2943</v>
      </c>
      <c r="B3011" s="285">
        <v>2.0674602446653125</v>
      </c>
      <c r="C3011" s="285">
        <v>2.6137567344574788</v>
      </c>
      <c r="D3011" s="285">
        <v>2.8631798197002096</v>
      </c>
      <c r="E3011" s="285">
        <v>-6.1176982600264207</v>
      </c>
    </row>
    <row r="3012" spans="1:5">
      <c r="A3012" s="284">
        <f t="shared" si="1037"/>
        <v>2944</v>
      </c>
      <c r="B3012" s="285">
        <v>0.11922082010063773</v>
      </c>
      <c r="C3012" s="285">
        <v>2.5828885301395426</v>
      </c>
      <c r="D3012" s="285">
        <v>3.0029780296548867</v>
      </c>
      <c r="E3012" s="285">
        <v>9.0397403502634006</v>
      </c>
    </row>
    <row r="3013" spans="1:5">
      <c r="A3013" s="284">
        <f t="shared" si="1037"/>
        <v>2945</v>
      </c>
      <c r="B3013" s="285">
        <v>6.6097567495646432</v>
      </c>
      <c r="C3013" s="285">
        <v>2.6733454132446011</v>
      </c>
      <c r="D3013" s="285">
        <v>1.0591992921693596</v>
      </c>
      <c r="E3013" s="285">
        <v>-2.4438954026650941</v>
      </c>
    </row>
    <row r="3014" spans="1:5">
      <c r="A3014" s="284">
        <f t="shared" si="1037"/>
        <v>2946</v>
      </c>
      <c r="B3014" s="285">
        <v>-0.72654891907384611</v>
      </c>
      <c r="C3014" s="285">
        <v>2.3065340575589719</v>
      </c>
      <c r="D3014" s="285">
        <v>2.1848344561585038</v>
      </c>
      <c r="E3014" s="285">
        <v>-10.426834662155075</v>
      </c>
    </row>
    <row r="3015" spans="1:5">
      <c r="A3015" s="284">
        <f t="shared" ref="A3015:A3078" si="1038">A3014+1</f>
        <v>2947</v>
      </c>
      <c r="B3015" s="285">
        <v>-0.91384070661067485</v>
      </c>
      <c r="C3015" s="285">
        <v>3.2883951056967735</v>
      </c>
      <c r="D3015" s="285">
        <v>-8.9461986713487152E-2</v>
      </c>
      <c r="E3015" s="285">
        <v>24.441463679461062</v>
      </c>
    </row>
    <row r="3016" spans="1:5">
      <c r="A3016" s="284">
        <f t="shared" si="1038"/>
        <v>2948</v>
      </c>
      <c r="B3016" s="285">
        <v>2.4100482835222724E-2</v>
      </c>
      <c r="C3016" s="285">
        <v>2.9559481427222138</v>
      </c>
      <c r="D3016" s="285">
        <v>0.11994557344378265</v>
      </c>
      <c r="E3016" s="285">
        <v>0.65767991474116672</v>
      </c>
    </row>
    <row r="3017" spans="1:5">
      <c r="A3017" s="284">
        <f t="shared" si="1038"/>
        <v>2949</v>
      </c>
      <c r="B3017" s="285">
        <v>1.7062998459931285</v>
      </c>
      <c r="C3017" s="285">
        <v>3.0484435192939721</v>
      </c>
      <c r="D3017" s="285">
        <v>-0.33787124156153281</v>
      </c>
      <c r="E3017" s="285">
        <v>11.600407572824643</v>
      </c>
    </row>
    <row r="3018" spans="1:5">
      <c r="A3018" s="284">
        <f t="shared" si="1038"/>
        <v>2950</v>
      </c>
      <c r="B3018" s="285">
        <v>0.54658997972670886</v>
      </c>
      <c r="C3018" s="285">
        <v>2.5450254257211675</v>
      </c>
      <c r="D3018" s="285">
        <v>2.7711577838549779</v>
      </c>
      <c r="E3018" s="285">
        <v>-2.4521573713842937</v>
      </c>
    </row>
    <row r="3019" spans="1:5">
      <c r="A3019" s="284">
        <f t="shared" si="1038"/>
        <v>2951</v>
      </c>
      <c r="B3019" s="285">
        <v>-1.2486257617706722</v>
      </c>
      <c r="C3019" s="285">
        <v>2.2759745527620665</v>
      </c>
      <c r="D3019" s="285">
        <v>0.15716586855991332</v>
      </c>
      <c r="E3019" s="285">
        <v>2.7534585408485328</v>
      </c>
    </row>
    <row r="3020" spans="1:5">
      <c r="A3020" s="284">
        <f t="shared" si="1038"/>
        <v>2952</v>
      </c>
      <c r="B3020" s="285">
        <v>2.2746753537754842</v>
      </c>
      <c r="C3020" s="285">
        <v>3.1398641058694805</v>
      </c>
      <c r="D3020" s="285">
        <v>4.2060093519964745</v>
      </c>
      <c r="E3020" s="285">
        <v>-6.7155088401815668</v>
      </c>
    </row>
    <row r="3021" spans="1:5">
      <c r="A3021" s="284">
        <f t="shared" si="1038"/>
        <v>2953</v>
      </c>
      <c r="B3021" s="285">
        <v>0.44539265583391313</v>
      </c>
      <c r="C3021" s="285">
        <v>2.906931885455851</v>
      </c>
      <c r="D3021" s="285">
        <v>2.3440128554030988</v>
      </c>
      <c r="E3021" s="285">
        <v>12.523595347873629</v>
      </c>
    </row>
    <row r="3022" spans="1:5">
      <c r="A3022" s="284">
        <f t="shared" si="1038"/>
        <v>2954</v>
      </c>
      <c r="B3022" s="285">
        <v>-0.77486334717770733</v>
      </c>
      <c r="C3022" s="285">
        <v>3.04057131426848</v>
      </c>
      <c r="D3022" s="285">
        <v>-0.48404461374199448</v>
      </c>
      <c r="E3022" s="285">
        <v>9.3762937878172448</v>
      </c>
    </row>
    <row r="3023" spans="1:5">
      <c r="A3023" s="284">
        <f t="shared" si="1038"/>
        <v>2955</v>
      </c>
      <c r="B3023" s="285">
        <v>-1.7356195328103861</v>
      </c>
      <c r="C3023" s="285">
        <v>2.3981791074476142</v>
      </c>
      <c r="D3023" s="285">
        <v>0.70408730828018717</v>
      </c>
      <c r="E3023" s="285">
        <v>8.7227462514738647</v>
      </c>
    </row>
    <row r="3024" spans="1:5">
      <c r="A3024" s="284">
        <f t="shared" si="1038"/>
        <v>2956</v>
      </c>
      <c r="B3024" s="285">
        <v>2.5369425694711474</v>
      </c>
      <c r="C3024" s="285">
        <v>3.488225604645252</v>
      </c>
      <c r="D3024" s="285">
        <v>-0.44866938704295722</v>
      </c>
      <c r="E3024" s="285">
        <v>7.6439969376234984</v>
      </c>
    </row>
    <row r="3025" spans="1:5">
      <c r="A3025" s="284">
        <f t="shared" si="1038"/>
        <v>2957</v>
      </c>
      <c r="B3025" s="285">
        <v>-3.3283263654377442</v>
      </c>
      <c r="C3025" s="285">
        <v>2.5552196874521065</v>
      </c>
      <c r="D3025" s="285">
        <v>1.0339044857681712</v>
      </c>
      <c r="E3025" s="285">
        <v>-3.3575584997030332</v>
      </c>
    </row>
    <row r="3026" spans="1:5">
      <c r="A3026" s="284">
        <f t="shared" si="1038"/>
        <v>2958</v>
      </c>
      <c r="B3026" s="285">
        <v>0.91613137392637745</v>
      </c>
      <c r="C3026" s="285">
        <v>3.1563966512270585</v>
      </c>
      <c r="D3026" s="285">
        <v>1.0291687654118093</v>
      </c>
      <c r="E3026" s="285">
        <v>6.8645147184290813</v>
      </c>
    </row>
    <row r="3027" spans="1:5">
      <c r="A3027" s="284">
        <f t="shared" si="1038"/>
        <v>2959</v>
      </c>
      <c r="B3027" s="285">
        <v>-0.71797258379722917</v>
      </c>
      <c r="C3027" s="285">
        <v>2.0754534322880347</v>
      </c>
      <c r="D3027" s="285">
        <v>0.65504410487366382</v>
      </c>
      <c r="E3027" s="285">
        <v>-14.229050145306323</v>
      </c>
    </row>
    <row r="3028" spans="1:5">
      <c r="A3028" s="284">
        <f t="shared" si="1038"/>
        <v>2960</v>
      </c>
      <c r="B3028" s="285">
        <v>-1.2399737286972849</v>
      </c>
      <c r="C3028" s="285">
        <v>2.6558063284047839</v>
      </c>
      <c r="D3028" s="285">
        <v>0.65837515348348985</v>
      </c>
      <c r="E3028" s="285">
        <v>9.0960430469520599</v>
      </c>
    </row>
    <row r="3029" spans="1:5">
      <c r="A3029" s="284">
        <f t="shared" si="1038"/>
        <v>2961</v>
      </c>
      <c r="B3029" s="285">
        <v>1.4904563079374791</v>
      </c>
      <c r="C3029" s="285">
        <v>2.0544482687000754</v>
      </c>
      <c r="D3029" s="285">
        <v>1.4176712218774681</v>
      </c>
      <c r="E3029" s="285">
        <v>-20.990928319743272</v>
      </c>
    </row>
    <row r="3030" spans="1:5">
      <c r="A3030" s="284">
        <f t="shared" si="1038"/>
        <v>2962</v>
      </c>
      <c r="B3030" s="285">
        <v>0.68288211355683737</v>
      </c>
      <c r="C3030" s="285">
        <v>3.2937512377361271</v>
      </c>
      <c r="D3030" s="285">
        <v>-0.25986469895842856</v>
      </c>
      <c r="E3030" s="285">
        <v>7.3607469525631721</v>
      </c>
    </row>
    <row r="3031" spans="1:5">
      <c r="A3031" s="284">
        <f t="shared" si="1038"/>
        <v>2963</v>
      </c>
      <c r="B3031" s="285">
        <v>-0.31455584816409732</v>
      </c>
      <c r="C3031" s="285">
        <v>2.1391230816459164</v>
      </c>
      <c r="D3031" s="285">
        <v>1.2631649789696624</v>
      </c>
      <c r="E3031" s="285">
        <v>-3.3265622632285168</v>
      </c>
    </row>
    <row r="3032" spans="1:5">
      <c r="A3032" s="284">
        <f t="shared" si="1038"/>
        <v>2964</v>
      </c>
      <c r="B3032" s="285">
        <v>3.9625528632707474</v>
      </c>
      <c r="C3032" s="285">
        <v>2.8037082715824218</v>
      </c>
      <c r="D3032" s="285">
        <v>2.0598926886521283</v>
      </c>
      <c r="E3032" s="285">
        <v>5.0396922037831917</v>
      </c>
    </row>
    <row r="3033" spans="1:5">
      <c r="A3033" s="284">
        <f t="shared" si="1038"/>
        <v>2965</v>
      </c>
      <c r="B3033" s="285">
        <v>-3.3729715943649365</v>
      </c>
      <c r="C3033" s="285">
        <v>1.5270098560681205</v>
      </c>
      <c r="D3033" s="285">
        <v>-0.67279833988183801</v>
      </c>
      <c r="E3033" s="285">
        <v>-11.87647560759955</v>
      </c>
    </row>
    <row r="3034" spans="1:5">
      <c r="A3034" s="284">
        <f t="shared" si="1038"/>
        <v>2966</v>
      </c>
      <c r="B3034" s="285">
        <v>4.3580218063866214</v>
      </c>
      <c r="C3034" s="285">
        <v>3.2467030592352102</v>
      </c>
      <c r="D3034" s="285">
        <v>0.30697170959939002</v>
      </c>
      <c r="E3034" s="285">
        <v>14.684796211353916</v>
      </c>
    </row>
    <row r="3035" spans="1:5">
      <c r="A3035" s="284">
        <f t="shared" si="1038"/>
        <v>2967</v>
      </c>
      <c r="B3035" s="285">
        <v>-3.8376527911063101</v>
      </c>
      <c r="C3035" s="285">
        <v>2.7396021684609679</v>
      </c>
      <c r="D3035" s="285">
        <v>-0.75528798569377598</v>
      </c>
      <c r="E3035" s="285">
        <v>-2.5043876982128643</v>
      </c>
    </row>
    <row r="3036" spans="1:5">
      <c r="A3036" s="284">
        <f t="shared" si="1038"/>
        <v>2968</v>
      </c>
      <c r="B3036" s="285">
        <v>-3.8428477987031537</v>
      </c>
      <c r="C3036" s="285">
        <v>2.2907345377425021</v>
      </c>
      <c r="D3036" s="285">
        <v>1.1489722296013651</v>
      </c>
      <c r="E3036" s="285">
        <v>-5.0479045588116866</v>
      </c>
    </row>
    <row r="3037" spans="1:5">
      <c r="A3037" s="284">
        <f t="shared" si="1038"/>
        <v>2969</v>
      </c>
      <c r="B3037" s="285">
        <v>2.6971800286741976</v>
      </c>
      <c r="C3037" s="285">
        <v>2.6433043609044464</v>
      </c>
      <c r="D3037" s="285">
        <v>1.4248634925481083</v>
      </c>
      <c r="E3037" s="285">
        <v>-1.8145311654415932</v>
      </c>
    </row>
    <row r="3038" spans="1:5">
      <c r="A3038" s="284">
        <f t="shared" si="1038"/>
        <v>2970</v>
      </c>
      <c r="B3038" s="285">
        <v>3.058420769962348</v>
      </c>
      <c r="C3038" s="285">
        <v>2.7692785055327604</v>
      </c>
      <c r="D3038" s="285">
        <v>1.5966715392378408</v>
      </c>
      <c r="E3038" s="285">
        <v>2.0365744277297257</v>
      </c>
    </row>
    <row r="3039" spans="1:5">
      <c r="A3039" s="284">
        <f t="shared" si="1038"/>
        <v>2971</v>
      </c>
      <c r="B3039" s="285">
        <v>-2.662196665696984</v>
      </c>
      <c r="C3039" s="285">
        <v>2.4546212849574056</v>
      </c>
      <c r="D3039" s="285">
        <v>0.49877452123434241</v>
      </c>
      <c r="E3039" s="285">
        <v>0.89951095358716771</v>
      </c>
    </row>
    <row r="3040" spans="1:5">
      <c r="A3040" s="284">
        <f t="shared" si="1038"/>
        <v>2972</v>
      </c>
      <c r="B3040" s="285">
        <v>4.3380391487630643</v>
      </c>
      <c r="C3040" s="285">
        <v>3.6164439367774222</v>
      </c>
      <c r="D3040" s="285">
        <v>2.4447354349843691</v>
      </c>
      <c r="E3040" s="285">
        <v>8.8803191177969225</v>
      </c>
    </row>
    <row r="3041" spans="1:5">
      <c r="A3041" s="284">
        <f t="shared" si="1038"/>
        <v>2973</v>
      </c>
      <c r="B3041" s="285">
        <v>2.2461636120324098</v>
      </c>
      <c r="C3041" s="285">
        <v>3.0886302687292364</v>
      </c>
      <c r="D3041" s="285">
        <v>3.3922844132443331</v>
      </c>
      <c r="E3041" s="285">
        <v>-2.9389863484554191E-2</v>
      </c>
    </row>
    <row r="3042" spans="1:5">
      <c r="A3042" s="284">
        <f t="shared" si="1038"/>
        <v>2974</v>
      </c>
      <c r="B3042" s="285">
        <v>1.6491947424152058</v>
      </c>
      <c r="C3042" s="285">
        <v>2.2314093297297424</v>
      </c>
      <c r="D3042" s="285">
        <v>1.1208554663488512</v>
      </c>
      <c r="E3042" s="285">
        <v>-13.133215441526705</v>
      </c>
    </row>
    <row r="3043" spans="1:5">
      <c r="A3043" s="284">
        <f t="shared" si="1038"/>
        <v>2975</v>
      </c>
      <c r="B3043" s="285">
        <v>-1.6037393874592829</v>
      </c>
      <c r="C3043" s="285">
        <v>2.4920358182371891</v>
      </c>
      <c r="D3043" s="285">
        <v>2.6333845295296587E-2</v>
      </c>
      <c r="E3043" s="285">
        <v>-13.854408176159119</v>
      </c>
    </row>
    <row r="3044" spans="1:5">
      <c r="A3044" s="284">
        <f t="shared" si="1038"/>
        <v>2976</v>
      </c>
      <c r="B3044" s="285">
        <v>-0.33523589185497099</v>
      </c>
      <c r="C3044" s="285">
        <v>2.5691393201917174</v>
      </c>
      <c r="D3044" s="285">
        <v>1.0027576162048764</v>
      </c>
      <c r="E3044" s="285">
        <v>2.0732739130692646</v>
      </c>
    </row>
    <row r="3045" spans="1:5">
      <c r="A3045" s="284">
        <f t="shared" si="1038"/>
        <v>2977</v>
      </c>
      <c r="B3045" s="285">
        <v>-2.2567275560203508</v>
      </c>
      <c r="C3045" s="285">
        <v>2.2615813787671226</v>
      </c>
      <c r="D3045" s="285">
        <v>0.34784513447698806</v>
      </c>
      <c r="E3045" s="285">
        <v>1.2187794211024436</v>
      </c>
    </row>
    <row r="3046" spans="1:5">
      <c r="A3046" s="284">
        <f t="shared" si="1038"/>
        <v>2978</v>
      </c>
      <c r="B3046" s="285">
        <v>-1.1936619634459249</v>
      </c>
      <c r="C3046" s="285">
        <v>2.7858547665627076</v>
      </c>
      <c r="D3046" s="285">
        <v>1.0414919193041863</v>
      </c>
      <c r="E3046" s="285">
        <v>-1.6118789696006401</v>
      </c>
    </row>
    <row r="3047" spans="1:5">
      <c r="A3047" s="284">
        <f t="shared" si="1038"/>
        <v>2979</v>
      </c>
      <c r="B3047" s="285">
        <v>0.49678850949453829</v>
      </c>
      <c r="C3047" s="285">
        <v>2.7267930324098102</v>
      </c>
      <c r="D3047" s="285">
        <v>-0.38593204338225906</v>
      </c>
      <c r="E3047" s="285">
        <v>1.3194267294443693</v>
      </c>
    </row>
    <row r="3048" spans="1:5">
      <c r="A3048" s="284">
        <f t="shared" si="1038"/>
        <v>2980</v>
      </c>
      <c r="B3048" s="285">
        <v>2.9671420490037854</v>
      </c>
      <c r="C3048" s="285">
        <v>2.4222401804036315</v>
      </c>
      <c r="D3048" s="285">
        <v>2.7330447195643877</v>
      </c>
      <c r="E3048" s="285">
        <v>-14.018219284535565</v>
      </c>
    </row>
    <row r="3049" spans="1:5">
      <c r="A3049" s="284">
        <f t="shared" si="1038"/>
        <v>2981</v>
      </c>
      <c r="B3049" s="285">
        <v>-0.13484755901544054</v>
      </c>
      <c r="C3049" s="285">
        <v>2.7326498159233519</v>
      </c>
      <c r="D3049" s="285">
        <v>1.169810229938623</v>
      </c>
      <c r="E3049" s="285">
        <v>15.627224999659735</v>
      </c>
    </row>
    <row r="3050" spans="1:5">
      <c r="A3050" s="284">
        <f t="shared" si="1038"/>
        <v>2982</v>
      </c>
      <c r="B3050" s="285">
        <v>-2.0427196714765983</v>
      </c>
      <c r="C3050" s="285">
        <v>2.5330338066975888</v>
      </c>
      <c r="D3050" s="285">
        <v>3.0847488576029063</v>
      </c>
      <c r="E3050" s="285">
        <v>-7.1728124432199891</v>
      </c>
    </row>
    <row r="3051" spans="1:5">
      <c r="A3051" s="284">
        <f t="shared" si="1038"/>
        <v>2983</v>
      </c>
      <c r="B3051" s="285">
        <v>-0.29059257434632491</v>
      </c>
      <c r="C3051" s="285">
        <v>2.4121916614016703</v>
      </c>
      <c r="D3051" s="285">
        <v>1.2133450494549607</v>
      </c>
      <c r="E3051" s="285">
        <v>-8.7331053504802725</v>
      </c>
    </row>
    <row r="3052" spans="1:5">
      <c r="A3052" s="284">
        <f t="shared" si="1038"/>
        <v>2984</v>
      </c>
      <c r="B3052" s="285">
        <v>-1.3768871937163782</v>
      </c>
      <c r="C3052" s="285">
        <v>1.471607085175614</v>
      </c>
      <c r="D3052" s="285">
        <v>2.5527662405600098</v>
      </c>
      <c r="E3052" s="285">
        <v>-17.600384391927474</v>
      </c>
    </row>
    <row r="3053" spans="1:5">
      <c r="A3053" s="284">
        <f t="shared" si="1038"/>
        <v>2985</v>
      </c>
      <c r="B3053" s="285">
        <v>-1.1172224025977635</v>
      </c>
      <c r="C3053" s="285">
        <v>1.9538482563131803</v>
      </c>
      <c r="D3053" s="285">
        <v>0.98772171988456903</v>
      </c>
      <c r="E3053" s="285">
        <v>-12.612845289008018</v>
      </c>
    </row>
    <row r="3054" spans="1:5">
      <c r="A3054" s="284">
        <f t="shared" si="1038"/>
        <v>2986</v>
      </c>
      <c r="B3054" s="285">
        <v>-0.27154180906737357</v>
      </c>
      <c r="C3054" s="285">
        <v>2.0654530366478348</v>
      </c>
      <c r="D3054" s="285">
        <v>1.1760999108789121</v>
      </c>
      <c r="E3054" s="285">
        <v>-11.80905805513696</v>
      </c>
    </row>
    <row r="3055" spans="1:5">
      <c r="A3055" s="284">
        <f t="shared" si="1038"/>
        <v>2987</v>
      </c>
      <c r="B3055" s="285">
        <v>1.9692042742190625</v>
      </c>
      <c r="C3055" s="285">
        <v>2.5163452284520993</v>
      </c>
      <c r="D3055" s="285">
        <v>1.0470226151369104</v>
      </c>
      <c r="E3055" s="285">
        <v>3.0933394646422614</v>
      </c>
    </row>
    <row r="3056" spans="1:5">
      <c r="A3056" s="284">
        <f t="shared" si="1038"/>
        <v>2988</v>
      </c>
      <c r="B3056" s="285">
        <v>-1.8976109828663685</v>
      </c>
      <c r="C3056" s="285">
        <v>2.6363627839422756</v>
      </c>
      <c r="D3056" s="285">
        <v>1.0756608233023426</v>
      </c>
      <c r="E3056" s="285">
        <v>-4.4431854323508322</v>
      </c>
    </row>
    <row r="3057" spans="1:5">
      <c r="A3057" s="284">
        <f t="shared" si="1038"/>
        <v>2989</v>
      </c>
      <c r="B3057" s="285">
        <v>-2.084810342554225</v>
      </c>
      <c r="C3057" s="285">
        <v>2.3405289995869221</v>
      </c>
      <c r="D3057" s="285">
        <v>0.40854665572724547</v>
      </c>
      <c r="E3057" s="285">
        <v>-1.2176275189623145</v>
      </c>
    </row>
    <row r="3058" spans="1:5">
      <c r="A3058" s="284">
        <f t="shared" si="1038"/>
        <v>2990</v>
      </c>
      <c r="B3058" s="285">
        <v>-1.5320138299545416</v>
      </c>
      <c r="C3058" s="285">
        <v>2.8520490315284386</v>
      </c>
      <c r="D3058" s="285">
        <v>1.529241157213725</v>
      </c>
      <c r="E3058" s="285">
        <v>-0.4762937231820481</v>
      </c>
    </row>
    <row r="3059" spans="1:5">
      <c r="A3059" s="284">
        <f t="shared" si="1038"/>
        <v>2991</v>
      </c>
      <c r="B3059" s="285">
        <v>0.18043815535564553</v>
      </c>
      <c r="C3059" s="285">
        <v>2.3254618385693262</v>
      </c>
      <c r="D3059" s="285">
        <v>0.71236302087747472</v>
      </c>
      <c r="E3059" s="285">
        <v>-8.9807310582663771</v>
      </c>
    </row>
    <row r="3060" spans="1:5">
      <c r="A3060" s="284">
        <f t="shared" si="1038"/>
        <v>2992</v>
      </c>
      <c r="B3060" s="285">
        <v>1.4734508306201213</v>
      </c>
      <c r="C3060" s="285">
        <v>2.8511894600340359</v>
      </c>
      <c r="D3060" s="285">
        <v>1.3824969208054894</v>
      </c>
      <c r="E3060" s="285">
        <v>2.541505729386794</v>
      </c>
    </row>
    <row r="3061" spans="1:5">
      <c r="A3061" s="284">
        <f t="shared" si="1038"/>
        <v>2993</v>
      </c>
      <c r="B3061" s="285">
        <v>-3.2247484583873325</v>
      </c>
      <c r="C3061" s="285">
        <v>2.3030725422579272</v>
      </c>
      <c r="D3061" s="285">
        <v>0.61276512690243334</v>
      </c>
      <c r="E3061" s="285">
        <v>-3.8093305287834225</v>
      </c>
    </row>
    <row r="3062" spans="1:5">
      <c r="A3062" s="284">
        <f t="shared" si="1038"/>
        <v>2994</v>
      </c>
      <c r="B3062" s="285">
        <v>1.0495686441246614</v>
      </c>
      <c r="C3062" s="285">
        <v>2.0175420604536143</v>
      </c>
      <c r="D3062" s="285">
        <v>2.7807827665917308</v>
      </c>
      <c r="E3062" s="285">
        <v>-3.306774605429275</v>
      </c>
    </row>
    <row r="3063" spans="1:5">
      <c r="A3063" s="284">
        <f t="shared" si="1038"/>
        <v>2995</v>
      </c>
      <c r="B3063" s="285">
        <v>1.1338013918104561</v>
      </c>
      <c r="C3063" s="285">
        <v>3.0932007701569688</v>
      </c>
      <c r="D3063" s="285">
        <v>2.4136855192329301</v>
      </c>
      <c r="E3063" s="285">
        <v>3.1564593793268361</v>
      </c>
    </row>
    <row r="3064" spans="1:5">
      <c r="A3064" s="284">
        <f t="shared" si="1038"/>
        <v>2996</v>
      </c>
      <c r="B3064" s="285">
        <v>2.5182226868398709</v>
      </c>
      <c r="C3064" s="285">
        <v>2.5418813553440422</v>
      </c>
      <c r="D3064" s="285">
        <v>1.6846635998407333</v>
      </c>
      <c r="E3064" s="285">
        <v>2.2186784508222002</v>
      </c>
    </row>
    <row r="3065" spans="1:5">
      <c r="A3065" s="284">
        <f t="shared" si="1038"/>
        <v>2997</v>
      </c>
      <c r="B3065" s="285">
        <v>1.1846096246674258</v>
      </c>
      <c r="C3065" s="285">
        <v>2.6663341719853668</v>
      </c>
      <c r="D3065" s="285">
        <v>1.1237388527740988</v>
      </c>
      <c r="E3065" s="285">
        <v>-5.4456131559162557</v>
      </c>
    </row>
    <row r="3066" spans="1:5">
      <c r="A3066" s="284">
        <f t="shared" si="1038"/>
        <v>2998</v>
      </c>
      <c r="B3066" s="285">
        <v>-2.5522426544301613</v>
      </c>
      <c r="C3066" s="285">
        <v>2.4566589581859501</v>
      </c>
      <c r="D3066" s="285">
        <v>1.9989213036988844</v>
      </c>
      <c r="E3066" s="285">
        <v>-9.6585007496042952</v>
      </c>
    </row>
    <row r="3067" spans="1:5">
      <c r="A3067" s="284">
        <f t="shared" si="1038"/>
        <v>2999</v>
      </c>
      <c r="B3067" s="285">
        <v>0.86104170255121371</v>
      </c>
      <c r="C3067" s="285">
        <v>2.5468959385201262</v>
      </c>
      <c r="D3067" s="285">
        <v>0.36230638920568214</v>
      </c>
      <c r="E3067" s="285">
        <v>-11.192150038400822</v>
      </c>
    </row>
    <row r="3068" spans="1:5">
      <c r="A3068" s="284">
        <f t="shared" si="1038"/>
        <v>3000</v>
      </c>
      <c r="B3068" s="285">
        <v>-0.12073229091966803</v>
      </c>
      <c r="C3068" s="285">
        <v>3.2651878994601784</v>
      </c>
      <c r="D3068" s="285">
        <v>0.52936985979318629</v>
      </c>
      <c r="E3068" s="285">
        <v>0.5106028329371104</v>
      </c>
    </row>
    <row r="3069" spans="1:5">
      <c r="A3069" s="663">
        <f t="shared" si="1038"/>
        <v>3001</v>
      </c>
      <c r="B3069" s="664">
        <v>-0.62744382231801388</v>
      </c>
      <c r="C3069" s="664">
        <v>2.1133287141220642</v>
      </c>
      <c r="D3069" s="664">
        <v>3.474795189194714</v>
      </c>
      <c r="E3069" s="664">
        <v>-13.403667564126785</v>
      </c>
    </row>
    <row r="3070" spans="1:5">
      <c r="A3070" s="284">
        <f t="shared" si="1038"/>
        <v>3002</v>
      </c>
      <c r="B3070" s="285">
        <v>3.494560126802484</v>
      </c>
      <c r="C3070" s="285">
        <v>2.9411522432598871</v>
      </c>
      <c r="D3070" s="285">
        <v>2.4476986161446259</v>
      </c>
      <c r="E3070" s="285">
        <v>-5.5527120756018729</v>
      </c>
    </row>
    <row r="3071" spans="1:5">
      <c r="A3071" s="284">
        <f t="shared" si="1038"/>
        <v>3003</v>
      </c>
      <c r="B3071" s="285">
        <v>1.1989393831634709</v>
      </c>
      <c r="C3071" s="285">
        <v>2.2651355775221695</v>
      </c>
      <c r="D3071" s="285">
        <v>2.615612074443681</v>
      </c>
      <c r="E3071" s="285">
        <v>-6.5845983784355973</v>
      </c>
    </row>
    <row r="3072" spans="1:5">
      <c r="A3072" s="284">
        <f t="shared" si="1038"/>
        <v>3004</v>
      </c>
      <c r="B3072" s="285">
        <v>3.4785293315312464</v>
      </c>
      <c r="C3072" s="285">
        <v>2.350483749116755</v>
      </c>
      <c r="D3072" s="285">
        <v>1.0889697117959187</v>
      </c>
      <c r="E3072" s="285">
        <v>-9.5926371405914601</v>
      </c>
    </row>
    <row r="3073" spans="1:5">
      <c r="A3073" s="284">
        <f t="shared" si="1038"/>
        <v>3005</v>
      </c>
      <c r="B3073" s="285">
        <v>2.7805685498232586</v>
      </c>
      <c r="C3073" s="285">
        <v>2.7125173564931622</v>
      </c>
      <c r="D3073" s="285">
        <v>1.0159231761787151</v>
      </c>
      <c r="E3073" s="285">
        <v>1.7705910403780973</v>
      </c>
    </row>
    <row r="3074" spans="1:5">
      <c r="A3074" s="284">
        <f t="shared" si="1038"/>
        <v>3006</v>
      </c>
      <c r="B3074" s="285">
        <v>0.87162557590730882</v>
      </c>
      <c r="C3074" s="285">
        <v>2.9519910755174328</v>
      </c>
      <c r="D3074" s="285">
        <v>1.6908938819062216</v>
      </c>
      <c r="E3074" s="285">
        <v>7.9253881995360977</v>
      </c>
    </row>
    <row r="3075" spans="1:5">
      <c r="A3075" s="284">
        <f t="shared" si="1038"/>
        <v>3007</v>
      </c>
      <c r="B3075" s="285">
        <v>3.4467417741977835</v>
      </c>
      <c r="C3075" s="285">
        <v>2.9159526452444844</v>
      </c>
      <c r="D3075" s="285">
        <v>0.76995871384928349</v>
      </c>
      <c r="E3075" s="285">
        <v>-12.80145423590109</v>
      </c>
    </row>
    <row r="3076" spans="1:5">
      <c r="A3076" s="284">
        <f t="shared" si="1038"/>
        <v>3008</v>
      </c>
      <c r="B3076" s="285">
        <v>0.11346428149524411</v>
      </c>
      <c r="C3076" s="285">
        <v>3.1213131320371281</v>
      </c>
      <c r="D3076" s="285">
        <v>1.2259923404603992</v>
      </c>
      <c r="E3076" s="285">
        <v>7.6417672629320545</v>
      </c>
    </row>
    <row r="3077" spans="1:5">
      <c r="A3077" s="284">
        <f t="shared" si="1038"/>
        <v>3009</v>
      </c>
      <c r="B3077" s="285">
        <v>-0.25047572541295066</v>
      </c>
      <c r="C3077" s="285">
        <v>2.1481508059814569</v>
      </c>
      <c r="D3077" s="285">
        <v>1.8935460631811276</v>
      </c>
      <c r="E3077" s="285">
        <v>-17.705062012097819</v>
      </c>
    </row>
    <row r="3078" spans="1:5">
      <c r="A3078" s="284">
        <f t="shared" si="1038"/>
        <v>3010</v>
      </c>
      <c r="B3078" s="285">
        <v>1.1722511895949836</v>
      </c>
      <c r="C3078" s="285">
        <v>2.2807504287372842</v>
      </c>
      <c r="D3078" s="285">
        <v>2.9291407185420919</v>
      </c>
      <c r="E3078" s="285">
        <v>-14.192322719964105</v>
      </c>
    </row>
    <row r="3079" spans="1:5">
      <c r="A3079" s="284">
        <f t="shared" ref="A3079:A3142" si="1039">A3078+1</f>
        <v>3011</v>
      </c>
      <c r="B3079" s="285">
        <v>6.0524246319663773</v>
      </c>
      <c r="C3079" s="285">
        <v>3.0477861590977757</v>
      </c>
      <c r="D3079" s="285">
        <v>0.82039815465444499</v>
      </c>
      <c r="E3079" s="285">
        <v>-15.047845279328719</v>
      </c>
    </row>
    <row r="3080" spans="1:5">
      <c r="A3080" s="284">
        <f t="shared" si="1039"/>
        <v>3012</v>
      </c>
      <c r="B3080" s="285">
        <v>-2.3791999075588799</v>
      </c>
      <c r="C3080" s="285">
        <v>2.8784205034020087</v>
      </c>
      <c r="D3080" s="285">
        <v>0.94424546244437968</v>
      </c>
      <c r="E3080" s="285">
        <v>3.550947551833842</v>
      </c>
    </row>
    <row r="3081" spans="1:5">
      <c r="A3081" s="284">
        <f t="shared" si="1039"/>
        <v>3013</v>
      </c>
      <c r="B3081" s="285">
        <v>0.14270186640482596</v>
      </c>
      <c r="C3081" s="285">
        <v>2.1920325697795366</v>
      </c>
      <c r="D3081" s="285">
        <v>1.3387938900580649</v>
      </c>
      <c r="E3081" s="285">
        <v>-9.0193724152181503</v>
      </c>
    </row>
    <row r="3082" spans="1:5">
      <c r="A3082" s="284">
        <f t="shared" si="1039"/>
        <v>3014</v>
      </c>
      <c r="B3082" s="285">
        <v>-0.78454922014101736</v>
      </c>
      <c r="C3082" s="285">
        <v>3.2933365055440373</v>
      </c>
      <c r="D3082" s="285">
        <v>-0.44962029983167118</v>
      </c>
      <c r="E3082" s="285">
        <v>9.0473877328217398</v>
      </c>
    </row>
    <row r="3083" spans="1:5">
      <c r="A3083" s="284">
        <f t="shared" si="1039"/>
        <v>3015</v>
      </c>
      <c r="B3083" s="285">
        <v>0.18327867234030976</v>
      </c>
      <c r="C3083" s="285">
        <v>2.0034962237390173</v>
      </c>
      <c r="D3083" s="285">
        <v>1.0864098556440223</v>
      </c>
      <c r="E3083" s="285">
        <v>-10.327202441150741</v>
      </c>
    </row>
    <row r="3084" spans="1:5">
      <c r="A3084" s="284">
        <f t="shared" si="1039"/>
        <v>3016</v>
      </c>
      <c r="B3084" s="285">
        <v>0.25108225929717121</v>
      </c>
      <c r="C3084" s="285">
        <v>2.6016451535508183</v>
      </c>
      <c r="D3084" s="285">
        <v>0.48802755513468976</v>
      </c>
      <c r="E3084" s="285">
        <v>3.1077271529180801</v>
      </c>
    </row>
    <row r="3085" spans="1:5">
      <c r="A3085" s="284">
        <f t="shared" si="1039"/>
        <v>3017</v>
      </c>
      <c r="B3085" s="285">
        <v>-2.6938592614268781</v>
      </c>
      <c r="C3085" s="285">
        <v>2.2988161923109582</v>
      </c>
      <c r="D3085" s="285">
        <v>-8.4108130802337477E-2</v>
      </c>
      <c r="E3085" s="285">
        <v>-3.1711026112081462</v>
      </c>
    </row>
    <row r="3086" spans="1:5">
      <c r="A3086" s="284">
        <f t="shared" si="1039"/>
        <v>3018</v>
      </c>
      <c r="B3086" s="285">
        <v>1.4931022060221377</v>
      </c>
      <c r="C3086" s="285">
        <v>2.9507675408461944</v>
      </c>
      <c r="D3086" s="285">
        <v>2.3842329611619348</v>
      </c>
      <c r="E3086" s="285">
        <v>-1.6657820250267146</v>
      </c>
    </row>
    <row r="3087" spans="1:5">
      <c r="A3087" s="284">
        <f t="shared" si="1039"/>
        <v>3019</v>
      </c>
      <c r="B3087" s="285">
        <v>-0.28289971673759373</v>
      </c>
      <c r="C3087" s="285">
        <v>3.1181464619602997</v>
      </c>
      <c r="D3087" s="285">
        <v>1.9529813938249787</v>
      </c>
      <c r="E3087" s="285">
        <v>2.1648746185446321</v>
      </c>
    </row>
    <row r="3088" spans="1:5">
      <c r="A3088" s="284">
        <f t="shared" si="1039"/>
        <v>3020</v>
      </c>
      <c r="B3088" s="285">
        <v>1.9666505403268664</v>
      </c>
      <c r="C3088" s="285">
        <v>2.6256685086103064</v>
      </c>
      <c r="D3088" s="285">
        <v>1.1268204041330545</v>
      </c>
      <c r="E3088" s="285">
        <v>0.55814776675269639</v>
      </c>
    </row>
    <row r="3089" spans="1:5">
      <c r="A3089" s="284">
        <f t="shared" si="1039"/>
        <v>3021</v>
      </c>
      <c r="B3089" s="285">
        <v>-1.2574287297728972</v>
      </c>
      <c r="C3089" s="285">
        <v>3.166920313720833</v>
      </c>
      <c r="D3089" s="285">
        <v>4.8227544190468263E-2</v>
      </c>
      <c r="E3089" s="285">
        <v>16.874511259754957</v>
      </c>
    </row>
    <row r="3090" spans="1:5">
      <c r="A3090" s="284">
        <f t="shared" si="1039"/>
        <v>3022</v>
      </c>
      <c r="B3090" s="285">
        <v>-0.79217953275218989</v>
      </c>
      <c r="C3090" s="285">
        <v>2.6804802885688437</v>
      </c>
      <c r="D3090" s="285">
        <v>2.8642697834061011</v>
      </c>
      <c r="E3090" s="285">
        <v>5.5142396103180555</v>
      </c>
    </row>
    <row r="3091" spans="1:5">
      <c r="A3091" s="284">
        <f t="shared" si="1039"/>
        <v>3023</v>
      </c>
      <c r="B3091" s="285">
        <v>0.57827842956087105</v>
      </c>
      <c r="C3091" s="285">
        <v>2.0693452776228689</v>
      </c>
      <c r="D3091" s="285">
        <v>-1.2798357349599714</v>
      </c>
      <c r="E3091" s="285">
        <v>-17.301016209629225</v>
      </c>
    </row>
    <row r="3092" spans="1:5">
      <c r="A3092" s="284">
        <f t="shared" si="1039"/>
        <v>3024</v>
      </c>
      <c r="B3092" s="285">
        <v>2.8133963610673036</v>
      </c>
      <c r="C3092" s="285">
        <v>2.1282932649144737</v>
      </c>
      <c r="D3092" s="285">
        <v>1.0150149812521478</v>
      </c>
      <c r="E3092" s="285">
        <v>-16.774639429998636</v>
      </c>
    </row>
    <row r="3093" spans="1:5">
      <c r="A3093" s="284">
        <f t="shared" si="1039"/>
        <v>3025</v>
      </c>
      <c r="B3093" s="285">
        <v>-2.3667133464868231</v>
      </c>
      <c r="C3093" s="285">
        <v>2.0586252802454568</v>
      </c>
      <c r="D3093" s="285">
        <v>0.71887740988805204</v>
      </c>
      <c r="E3093" s="285">
        <v>-10.051159618321254</v>
      </c>
    </row>
    <row r="3094" spans="1:5">
      <c r="A3094" s="284">
        <f t="shared" si="1039"/>
        <v>3026</v>
      </c>
      <c r="B3094" s="285">
        <v>-1.5672351941291236</v>
      </c>
      <c r="C3094" s="285">
        <v>2.191759290110872</v>
      </c>
      <c r="D3094" s="285">
        <v>-1.1685749193423365</v>
      </c>
      <c r="E3094" s="285">
        <v>-9.6267334216183844</v>
      </c>
    </row>
    <row r="3095" spans="1:5">
      <c r="A3095" s="284">
        <f t="shared" si="1039"/>
        <v>3027</v>
      </c>
      <c r="B3095" s="285">
        <v>1.728307142572906</v>
      </c>
      <c r="C3095" s="285">
        <v>3.3111821460173392</v>
      </c>
      <c r="D3095" s="285">
        <v>1.367860218132984</v>
      </c>
      <c r="E3095" s="285">
        <v>10.813133050734574</v>
      </c>
    </row>
    <row r="3096" spans="1:5">
      <c r="A3096" s="284">
        <f t="shared" si="1039"/>
        <v>3028</v>
      </c>
      <c r="B3096" s="285">
        <v>0.4756868300510626</v>
      </c>
      <c r="C3096" s="285">
        <v>3.262630280958871</v>
      </c>
      <c r="D3096" s="285">
        <v>0.99085611971471454</v>
      </c>
      <c r="E3096" s="285">
        <v>-9.4639641512326413</v>
      </c>
    </row>
    <row r="3097" spans="1:5">
      <c r="A3097" s="284">
        <f t="shared" si="1039"/>
        <v>3029</v>
      </c>
      <c r="B3097" s="285">
        <v>0.75964512625414526</v>
      </c>
      <c r="C3097" s="285">
        <v>2.7728032891584884</v>
      </c>
      <c r="D3097" s="285">
        <v>0.19634081497389611</v>
      </c>
      <c r="E3097" s="285">
        <v>1.2176086296876139</v>
      </c>
    </row>
    <row r="3098" spans="1:5">
      <c r="A3098" s="284">
        <f t="shared" si="1039"/>
        <v>3030</v>
      </c>
      <c r="B3098" s="285">
        <v>0.41933232258710329</v>
      </c>
      <c r="C3098" s="285">
        <v>2.2742103574441779</v>
      </c>
      <c r="D3098" s="285">
        <v>3.6590114136531082</v>
      </c>
      <c r="E3098" s="285">
        <v>-3.9055321963391365</v>
      </c>
    </row>
    <row r="3099" spans="1:5">
      <c r="A3099" s="284">
        <f t="shared" si="1039"/>
        <v>3031</v>
      </c>
      <c r="B3099" s="285">
        <v>0.56029856490776275</v>
      </c>
      <c r="C3099" s="285">
        <v>2.0486356466819702</v>
      </c>
      <c r="D3099" s="285">
        <v>2.1730696378043413</v>
      </c>
      <c r="E3099" s="285">
        <v>-15.894721927458015</v>
      </c>
    </row>
    <row r="3100" spans="1:5">
      <c r="A3100" s="284">
        <f t="shared" si="1039"/>
        <v>3032</v>
      </c>
      <c r="B3100" s="285">
        <v>-4.7833439502534763</v>
      </c>
      <c r="C3100" s="285">
        <v>1.7509129683171596</v>
      </c>
      <c r="D3100" s="285">
        <v>-0.21689061820262201</v>
      </c>
      <c r="E3100" s="285">
        <v>-12.336416277889562</v>
      </c>
    </row>
    <row r="3101" spans="1:5">
      <c r="A3101" s="284">
        <f t="shared" si="1039"/>
        <v>3033</v>
      </c>
      <c r="B3101" s="285">
        <v>-1.2229084658538962</v>
      </c>
      <c r="C3101" s="285">
        <v>2.445040996437736</v>
      </c>
      <c r="D3101" s="285">
        <v>0.11208361622456531</v>
      </c>
      <c r="E3101" s="285">
        <v>1.8409094515260702</v>
      </c>
    </row>
    <row r="3102" spans="1:5">
      <c r="A3102" s="284">
        <f t="shared" si="1039"/>
        <v>3034</v>
      </c>
      <c r="B3102" s="285">
        <v>-1.9841889723713784</v>
      </c>
      <c r="C3102" s="285">
        <v>1.8145839838445386</v>
      </c>
      <c r="D3102" s="285">
        <v>1.9838938304638891</v>
      </c>
      <c r="E3102" s="285">
        <v>-12.117499997636974</v>
      </c>
    </row>
    <row r="3103" spans="1:5">
      <c r="A3103" s="284">
        <f t="shared" si="1039"/>
        <v>3035</v>
      </c>
      <c r="B3103" s="285">
        <v>0.30234707371033076</v>
      </c>
      <c r="C3103" s="285">
        <v>2.9283159373848542</v>
      </c>
      <c r="D3103" s="285">
        <v>0.89307718736134045</v>
      </c>
      <c r="E3103" s="285">
        <v>8.4061602436863012</v>
      </c>
    </row>
    <row r="3104" spans="1:5">
      <c r="A3104" s="284">
        <f t="shared" si="1039"/>
        <v>3036</v>
      </c>
      <c r="B3104" s="285">
        <v>-1.4777760766213288</v>
      </c>
      <c r="C3104" s="285">
        <v>1.9416679980276845</v>
      </c>
      <c r="D3104" s="285">
        <v>1.960296570945685</v>
      </c>
      <c r="E3104" s="285">
        <v>-12.156166714220749</v>
      </c>
    </row>
    <row r="3105" spans="1:5">
      <c r="A3105" s="284">
        <f t="shared" si="1039"/>
        <v>3037</v>
      </c>
      <c r="B3105" s="285">
        <v>2.7213277591432656</v>
      </c>
      <c r="C3105" s="285">
        <v>2.6643556777741892</v>
      </c>
      <c r="D3105" s="285">
        <v>0.57803344101292009</v>
      </c>
      <c r="E3105" s="285">
        <v>-6.414231547293447</v>
      </c>
    </row>
    <row r="3106" spans="1:5">
      <c r="A3106" s="284">
        <f t="shared" si="1039"/>
        <v>3038</v>
      </c>
      <c r="B3106" s="285">
        <v>-2.0227976299769281</v>
      </c>
      <c r="C3106" s="285">
        <v>2.2435832388577599</v>
      </c>
      <c r="D3106" s="285">
        <v>0.53686734474008313</v>
      </c>
      <c r="E3106" s="285">
        <v>7.0811186915098006</v>
      </c>
    </row>
    <row r="3107" spans="1:5">
      <c r="A3107" s="284">
        <f t="shared" si="1039"/>
        <v>3039</v>
      </c>
      <c r="B3107" s="285">
        <v>3.7155756129160422</v>
      </c>
      <c r="C3107" s="285">
        <v>2.2121305841577175</v>
      </c>
      <c r="D3107" s="285">
        <v>1.0885194312599342</v>
      </c>
      <c r="E3107" s="285">
        <v>-17.378333234955775</v>
      </c>
    </row>
    <row r="3108" spans="1:5">
      <c r="A3108" s="284">
        <f t="shared" si="1039"/>
        <v>3040</v>
      </c>
      <c r="B3108" s="285">
        <v>-1.6208157386970339</v>
      </c>
      <c r="C3108" s="285">
        <v>3.1390362949157158</v>
      </c>
      <c r="D3108" s="285">
        <v>1.1994890100687634</v>
      </c>
      <c r="E3108" s="285">
        <v>20.241453864969227</v>
      </c>
    </row>
    <row r="3109" spans="1:5">
      <c r="A3109" s="284">
        <f t="shared" si="1039"/>
        <v>3041</v>
      </c>
      <c r="B3109" s="285">
        <v>-4.9991282022123658</v>
      </c>
      <c r="C3109" s="285">
        <v>1.5888088516255725</v>
      </c>
      <c r="D3109" s="285">
        <v>0.45928299007573004</v>
      </c>
      <c r="E3109" s="285">
        <v>-8.4098725693884777</v>
      </c>
    </row>
    <row r="3110" spans="1:5">
      <c r="A3110" s="284">
        <f t="shared" si="1039"/>
        <v>3042</v>
      </c>
      <c r="B3110" s="285">
        <v>0.76505446939291866</v>
      </c>
      <c r="C3110" s="285">
        <v>2.6062232056478538</v>
      </c>
      <c r="D3110" s="285">
        <v>1.5131243977116009</v>
      </c>
      <c r="E3110" s="285">
        <v>-1.9341329043770024</v>
      </c>
    </row>
    <row r="3111" spans="1:5">
      <c r="A3111" s="284">
        <f t="shared" si="1039"/>
        <v>3043</v>
      </c>
      <c r="B3111" s="285">
        <v>0.74247217509997021</v>
      </c>
      <c r="C3111" s="285">
        <v>2.8603353890040841</v>
      </c>
      <c r="D3111" s="285">
        <v>1.8706367668864594</v>
      </c>
      <c r="E3111" s="285">
        <v>0.22406905014162737</v>
      </c>
    </row>
    <row r="3112" spans="1:5">
      <c r="A3112" s="284">
        <f t="shared" si="1039"/>
        <v>3044</v>
      </c>
      <c r="B3112" s="285">
        <v>0.84371684308594275</v>
      </c>
      <c r="C3112" s="285">
        <v>2.3983624804432533</v>
      </c>
      <c r="D3112" s="285">
        <v>2.4377745478637443</v>
      </c>
      <c r="E3112" s="285">
        <v>-6.3305071659270382</v>
      </c>
    </row>
    <row r="3113" spans="1:5">
      <c r="A3113" s="284">
        <f t="shared" si="1039"/>
        <v>3045</v>
      </c>
      <c r="B3113" s="285">
        <v>-2.371851886119094</v>
      </c>
      <c r="C3113" s="285">
        <v>1.5880043104736394</v>
      </c>
      <c r="D3113" s="285">
        <v>-0.82945514007501453</v>
      </c>
      <c r="E3113" s="285">
        <v>-14.600993377087656</v>
      </c>
    </row>
    <row r="3114" spans="1:5">
      <c r="A3114" s="284">
        <f t="shared" si="1039"/>
        <v>3046</v>
      </c>
      <c r="B3114" s="285">
        <v>-3.136744657527911</v>
      </c>
      <c r="C3114" s="285">
        <v>1.6234888735895827</v>
      </c>
      <c r="D3114" s="285">
        <v>3.1489809345185469</v>
      </c>
      <c r="E3114" s="285">
        <v>-9.082862080147807</v>
      </c>
    </row>
    <row r="3115" spans="1:5">
      <c r="A3115" s="284">
        <f t="shared" si="1039"/>
        <v>3047</v>
      </c>
      <c r="B3115" s="285">
        <v>-1.7024722210019738</v>
      </c>
      <c r="C3115" s="285">
        <v>2.2507760611388008</v>
      </c>
      <c r="D3115" s="285">
        <v>3.0434429532151128</v>
      </c>
      <c r="E3115" s="285">
        <v>-14.948312098072794</v>
      </c>
    </row>
    <row r="3116" spans="1:5">
      <c r="A3116" s="284">
        <f t="shared" si="1039"/>
        <v>3048</v>
      </c>
      <c r="B3116" s="285">
        <v>1.6756488448727167</v>
      </c>
      <c r="C3116" s="285">
        <v>3.5148962062403455</v>
      </c>
      <c r="D3116" s="285">
        <v>-0.58765460895617894</v>
      </c>
      <c r="E3116" s="285">
        <v>22.817311502851833</v>
      </c>
    </row>
    <row r="3117" spans="1:5">
      <c r="A3117" s="284">
        <f t="shared" si="1039"/>
        <v>3049</v>
      </c>
      <c r="B3117" s="285">
        <v>-6.6257271768454862E-2</v>
      </c>
      <c r="C3117" s="285">
        <v>2.7900024582190852</v>
      </c>
      <c r="D3117" s="285">
        <v>0.58874607254709332</v>
      </c>
      <c r="E3117" s="285">
        <v>-3.6952072160204232</v>
      </c>
    </row>
    <row r="3118" spans="1:5">
      <c r="A3118" s="284">
        <f t="shared" si="1039"/>
        <v>3050</v>
      </c>
      <c r="B3118" s="285">
        <v>4.9377377532787179</v>
      </c>
      <c r="C3118" s="285">
        <v>3.2313677409062853</v>
      </c>
      <c r="D3118" s="285">
        <v>2.459966610456112</v>
      </c>
      <c r="E3118" s="285">
        <v>7.7933322900397819</v>
      </c>
    </row>
    <row r="3119" spans="1:5">
      <c r="A3119" s="284">
        <f t="shared" si="1039"/>
        <v>3051</v>
      </c>
      <c r="B3119" s="285">
        <v>-0.3407180366611165</v>
      </c>
      <c r="C3119" s="285">
        <v>3.0855762014194346</v>
      </c>
      <c r="D3119" s="285">
        <v>1.3815903672117666</v>
      </c>
      <c r="E3119" s="285">
        <v>2.2954991885718656</v>
      </c>
    </row>
    <row r="3120" spans="1:5">
      <c r="A3120" s="284">
        <f t="shared" si="1039"/>
        <v>3052</v>
      </c>
      <c r="B3120" s="285">
        <v>0.17460664802837153</v>
      </c>
      <c r="C3120" s="285">
        <v>2.5173407353752406</v>
      </c>
      <c r="D3120" s="285">
        <v>1.17038522834033</v>
      </c>
      <c r="E3120" s="285">
        <v>3.5894449161898749</v>
      </c>
    </row>
    <row r="3121" spans="1:5">
      <c r="A3121" s="284">
        <f t="shared" si="1039"/>
        <v>3053</v>
      </c>
      <c r="B3121" s="285">
        <v>1.4311026208361055</v>
      </c>
      <c r="C3121" s="285">
        <v>2.7914261866588825</v>
      </c>
      <c r="D3121" s="285">
        <v>-0.52010573833950202</v>
      </c>
      <c r="E3121" s="285">
        <v>-1.8661083723228176</v>
      </c>
    </row>
    <row r="3122" spans="1:5">
      <c r="A3122" s="284">
        <f t="shared" si="1039"/>
        <v>3054</v>
      </c>
      <c r="B3122" s="285">
        <v>1.2642122876519348</v>
      </c>
      <c r="C3122" s="285">
        <v>2.1774233926992399</v>
      </c>
      <c r="D3122" s="285">
        <v>2.719877691834518</v>
      </c>
      <c r="E3122" s="285">
        <v>-21.149292094094882</v>
      </c>
    </row>
    <row r="3123" spans="1:5">
      <c r="A3123" s="284">
        <f t="shared" si="1039"/>
        <v>3055</v>
      </c>
      <c r="B3123" s="285">
        <v>3.9300987522543651</v>
      </c>
      <c r="C3123" s="285">
        <v>1.7705518815408814</v>
      </c>
      <c r="D3123" s="285">
        <v>2.5827289031534422</v>
      </c>
      <c r="E3123" s="285">
        <v>-16.583755822841976</v>
      </c>
    </row>
    <row r="3124" spans="1:5">
      <c r="A3124" s="284">
        <f t="shared" si="1039"/>
        <v>3056</v>
      </c>
      <c r="B3124" s="285">
        <v>-2.1420423219339306</v>
      </c>
      <c r="C3124" s="285">
        <v>2.3255617600423704</v>
      </c>
      <c r="D3124" s="285">
        <v>2.6632938814781824</v>
      </c>
      <c r="E3124" s="285">
        <v>-14.272675549481315</v>
      </c>
    </row>
    <row r="3125" spans="1:5">
      <c r="A3125" s="284">
        <f t="shared" si="1039"/>
        <v>3057</v>
      </c>
      <c r="B3125" s="285">
        <v>-0.37516759190111115</v>
      </c>
      <c r="C3125" s="285">
        <v>2.8186789205308402</v>
      </c>
      <c r="D3125" s="285">
        <v>0.67493195918366189</v>
      </c>
      <c r="E3125" s="285">
        <v>-0.93504261375344955</v>
      </c>
    </row>
    <row r="3126" spans="1:5">
      <c r="A3126" s="284">
        <f t="shared" si="1039"/>
        <v>3058</v>
      </c>
      <c r="B3126" s="285">
        <v>-2.8387732243858399</v>
      </c>
      <c r="C3126" s="285">
        <v>2.3056898437844984</v>
      </c>
      <c r="D3126" s="285">
        <v>0.46391661576358811</v>
      </c>
      <c r="E3126" s="285">
        <v>4.420664007338031</v>
      </c>
    </row>
    <row r="3127" spans="1:5">
      <c r="A3127" s="284">
        <f t="shared" si="1039"/>
        <v>3059</v>
      </c>
      <c r="B3127" s="285">
        <v>-0.80072708089552747</v>
      </c>
      <c r="C3127" s="285">
        <v>2.2769812271373562</v>
      </c>
      <c r="D3127" s="285">
        <v>0.13566738824177316</v>
      </c>
      <c r="E3127" s="285">
        <v>-13.77918120381284</v>
      </c>
    </row>
    <row r="3128" spans="1:5">
      <c r="A3128" s="284">
        <f t="shared" si="1039"/>
        <v>3060</v>
      </c>
      <c r="B3128" s="285">
        <v>-0.25637356052030658</v>
      </c>
      <c r="C3128" s="285">
        <v>2.2468847678328374</v>
      </c>
      <c r="D3128" s="285">
        <v>-0.51609570376007685</v>
      </c>
      <c r="E3128" s="285">
        <v>-1.9654722172411669</v>
      </c>
    </row>
    <row r="3129" spans="1:5">
      <c r="A3129" s="284">
        <f t="shared" si="1039"/>
        <v>3061</v>
      </c>
      <c r="B3129" s="285">
        <v>-0.91352307662667342</v>
      </c>
      <c r="C3129" s="285">
        <v>3.0213578434325448</v>
      </c>
      <c r="D3129" s="285">
        <v>0.14375385080567815</v>
      </c>
      <c r="E3129" s="285">
        <v>9.456757638270993</v>
      </c>
    </row>
    <row r="3130" spans="1:5">
      <c r="A3130" s="284">
        <f t="shared" si="1039"/>
        <v>3062</v>
      </c>
      <c r="B3130" s="285">
        <v>-0.43611538682964279</v>
      </c>
      <c r="C3130" s="285">
        <v>2.2001843019194336</v>
      </c>
      <c r="D3130" s="285">
        <v>3.2724569464798154</v>
      </c>
      <c r="E3130" s="285">
        <v>2.6359333217150414</v>
      </c>
    </row>
    <row r="3131" spans="1:5">
      <c r="A3131" s="284">
        <f t="shared" si="1039"/>
        <v>3063</v>
      </c>
      <c r="B3131" s="285">
        <v>4.4837378136319908</v>
      </c>
      <c r="C3131" s="285">
        <v>2.5897994537207678</v>
      </c>
      <c r="D3131" s="285">
        <v>3.2059165362523281</v>
      </c>
      <c r="E3131" s="285">
        <v>2.9218534394797158</v>
      </c>
    </row>
    <row r="3132" spans="1:5">
      <c r="A3132" s="284">
        <f t="shared" si="1039"/>
        <v>3064</v>
      </c>
      <c r="B3132" s="285">
        <v>-1.8085475877823325</v>
      </c>
      <c r="C3132" s="285">
        <v>2.6830142389181186</v>
      </c>
      <c r="D3132" s="285">
        <v>-0.20103702271249624</v>
      </c>
      <c r="E3132" s="285">
        <v>-2.8763860626952051</v>
      </c>
    </row>
    <row r="3133" spans="1:5">
      <c r="A3133" s="284">
        <f t="shared" si="1039"/>
        <v>3065</v>
      </c>
      <c r="B3133" s="285">
        <v>2.239004847630476</v>
      </c>
      <c r="C3133" s="285">
        <v>2.750972883901873</v>
      </c>
      <c r="D3133" s="285">
        <v>1.4454859907298534</v>
      </c>
      <c r="E3133" s="285">
        <v>2.0304343444956126</v>
      </c>
    </row>
    <row r="3134" spans="1:5">
      <c r="A3134" s="284">
        <f t="shared" si="1039"/>
        <v>3066</v>
      </c>
      <c r="B3134" s="285">
        <v>-5.7810921863723035</v>
      </c>
      <c r="C3134" s="285">
        <v>1.6177788383853429</v>
      </c>
      <c r="D3134" s="285">
        <v>0.50764705556597223</v>
      </c>
      <c r="E3134" s="285">
        <v>-6.8069871004368672</v>
      </c>
    </row>
    <row r="3135" spans="1:5">
      <c r="A3135" s="284">
        <f t="shared" si="1039"/>
        <v>3067</v>
      </c>
      <c r="B3135" s="285">
        <v>-0.81537767027610419</v>
      </c>
      <c r="C3135" s="285">
        <v>2.3604311073027184</v>
      </c>
      <c r="D3135" s="285">
        <v>2.3491886930542312</v>
      </c>
      <c r="E3135" s="285">
        <v>-10.315081624289618</v>
      </c>
    </row>
    <row r="3136" spans="1:5">
      <c r="A3136" s="284">
        <f t="shared" si="1039"/>
        <v>3068</v>
      </c>
      <c r="B3136" s="285">
        <v>2.1532566945129008</v>
      </c>
      <c r="C3136" s="285">
        <v>2.3354203384497145</v>
      </c>
      <c r="D3136" s="285">
        <v>0.11455217221394043</v>
      </c>
      <c r="E3136" s="285">
        <v>-18.196176325836884</v>
      </c>
    </row>
    <row r="3137" spans="1:5">
      <c r="A3137" s="284">
        <f t="shared" si="1039"/>
        <v>3069</v>
      </c>
      <c r="B3137" s="285">
        <v>0.96253566612074171</v>
      </c>
      <c r="C3137" s="285">
        <v>2.8411704788658931</v>
      </c>
      <c r="D3137" s="285">
        <v>1.1779548895000727</v>
      </c>
      <c r="E3137" s="285">
        <v>0.29741820705067035</v>
      </c>
    </row>
    <row r="3138" spans="1:5">
      <c r="A3138" s="284">
        <f t="shared" si="1039"/>
        <v>3070</v>
      </c>
      <c r="B3138" s="285">
        <v>0.20584053491404122</v>
      </c>
      <c r="C3138" s="285">
        <v>2.714197395651222</v>
      </c>
      <c r="D3138" s="285">
        <v>1.4328101058209211</v>
      </c>
      <c r="E3138" s="285">
        <v>-9.0234253031628189</v>
      </c>
    </row>
    <row r="3139" spans="1:5">
      <c r="A3139" s="284">
        <f t="shared" si="1039"/>
        <v>3071</v>
      </c>
      <c r="B3139" s="285">
        <v>1.3976598541987912</v>
      </c>
      <c r="C3139" s="285">
        <v>2.9937576923196705</v>
      </c>
      <c r="D3139" s="285">
        <v>1.3692340610389051</v>
      </c>
      <c r="E3139" s="285">
        <v>0.13152045024892844</v>
      </c>
    </row>
    <row r="3140" spans="1:5">
      <c r="A3140" s="284">
        <f t="shared" si="1039"/>
        <v>3072</v>
      </c>
      <c r="B3140" s="285">
        <v>-0.73941164549511929</v>
      </c>
      <c r="C3140" s="285">
        <v>3.4555447294973392</v>
      </c>
      <c r="D3140" s="285">
        <v>-0.85169662687798375</v>
      </c>
      <c r="E3140" s="285">
        <v>19.467176861952034</v>
      </c>
    </row>
    <row r="3141" spans="1:5">
      <c r="A3141" s="284">
        <f t="shared" si="1039"/>
        <v>3073</v>
      </c>
      <c r="B3141" s="285">
        <v>-4.1997797237193346</v>
      </c>
      <c r="C3141" s="285">
        <v>2.1026095445436028</v>
      </c>
      <c r="D3141" s="285">
        <v>-0.22273892041299126</v>
      </c>
      <c r="E3141" s="285">
        <v>-0.81024777395070213</v>
      </c>
    </row>
    <row r="3142" spans="1:5">
      <c r="A3142" s="284">
        <f t="shared" si="1039"/>
        <v>3074</v>
      </c>
      <c r="B3142" s="285">
        <v>1.1397099024610162</v>
      </c>
      <c r="C3142" s="285">
        <v>2.1431550587860455</v>
      </c>
      <c r="D3142" s="285">
        <v>1.917683922917643</v>
      </c>
      <c r="E3142" s="285">
        <v>-2.7679625480039358</v>
      </c>
    </row>
    <row r="3143" spans="1:5">
      <c r="A3143" s="284">
        <f t="shared" ref="A3143:A3206" si="1040">A3142+1</f>
        <v>3075</v>
      </c>
      <c r="B3143" s="285">
        <v>4.5977093402895557</v>
      </c>
      <c r="C3143" s="285">
        <v>3.1468362158356644</v>
      </c>
      <c r="D3143" s="285">
        <v>0.32156493713559131</v>
      </c>
      <c r="E3143" s="285">
        <v>9.8799670184610875</v>
      </c>
    </row>
    <row r="3144" spans="1:5">
      <c r="A3144" s="284">
        <f t="shared" si="1040"/>
        <v>3076</v>
      </c>
      <c r="B3144" s="285">
        <v>2.7509845177245391</v>
      </c>
      <c r="C3144" s="285">
        <v>2.332824416251531</v>
      </c>
      <c r="D3144" s="285">
        <v>1.9594786101321087</v>
      </c>
      <c r="E3144" s="285">
        <v>-4.9945704623208442</v>
      </c>
    </row>
    <row r="3145" spans="1:5">
      <c r="A3145" s="284">
        <f t="shared" si="1040"/>
        <v>3077</v>
      </c>
      <c r="B3145" s="285">
        <v>0.39957527911809215</v>
      </c>
      <c r="C3145" s="285">
        <v>2.6193072362861578</v>
      </c>
      <c r="D3145" s="285">
        <v>-0.5119592759536935</v>
      </c>
      <c r="E3145" s="285">
        <v>10.483502010094528</v>
      </c>
    </row>
    <row r="3146" spans="1:5">
      <c r="A3146" s="284">
        <f t="shared" si="1040"/>
        <v>3078</v>
      </c>
      <c r="B3146" s="285">
        <v>1.8800930214065616</v>
      </c>
      <c r="C3146" s="285">
        <v>2.4851632576215801</v>
      </c>
      <c r="D3146" s="285">
        <v>2.8202068128146358</v>
      </c>
      <c r="E3146" s="285">
        <v>-4.8892026058084213</v>
      </c>
    </row>
    <row r="3147" spans="1:5">
      <c r="A3147" s="284">
        <f t="shared" si="1040"/>
        <v>3079</v>
      </c>
      <c r="B3147" s="285">
        <v>1.8702239211646698</v>
      </c>
      <c r="C3147" s="285">
        <v>2.1929950474121829</v>
      </c>
      <c r="D3147" s="285">
        <v>1.0325533292234783</v>
      </c>
      <c r="E3147" s="285">
        <v>2.3563737454384133</v>
      </c>
    </row>
    <row r="3148" spans="1:5">
      <c r="A3148" s="284">
        <f t="shared" si="1040"/>
        <v>3080</v>
      </c>
      <c r="B3148" s="285">
        <v>-1.9840652516908768</v>
      </c>
      <c r="C3148" s="285">
        <v>1.8304905023225391</v>
      </c>
      <c r="D3148" s="285">
        <v>3.1719919722342667</v>
      </c>
      <c r="E3148" s="285">
        <v>-5.7623685386564993</v>
      </c>
    </row>
    <row r="3149" spans="1:5">
      <c r="A3149" s="284">
        <f t="shared" si="1040"/>
        <v>3081</v>
      </c>
      <c r="B3149" s="285">
        <v>-3.8331898302897249</v>
      </c>
      <c r="C3149" s="285">
        <v>2.2259617113876571</v>
      </c>
      <c r="D3149" s="285">
        <v>5.9235886387239756E-2</v>
      </c>
      <c r="E3149" s="285">
        <v>-12.271692349281718</v>
      </c>
    </row>
    <row r="3150" spans="1:5">
      <c r="A3150" s="284">
        <f t="shared" si="1040"/>
        <v>3082</v>
      </c>
      <c r="B3150" s="285">
        <v>2.5981567243914649</v>
      </c>
      <c r="C3150" s="285">
        <v>2.2858161105762078</v>
      </c>
      <c r="D3150" s="285">
        <v>2.1564098895617292</v>
      </c>
      <c r="E3150" s="285">
        <v>-5.3944269541212098</v>
      </c>
    </row>
    <row r="3151" spans="1:5">
      <c r="A3151" s="284">
        <f t="shared" si="1040"/>
        <v>3083</v>
      </c>
      <c r="B3151" s="285">
        <v>-2.7716212184623843</v>
      </c>
      <c r="C3151" s="285">
        <v>2.5414584762937968</v>
      </c>
      <c r="D3151" s="285">
        <v>0.91911712392848921</v>
      </c>
      <c r="E3151" s="285">
        <v>-4.4618383991875188</v>
      </c>
    </row>
    <row r="3152" spans="1:5">
      <c r="A3152" s="284">
        <f t="shared" si="1040"/>
        <v>3084</v>
      </c>
      <c r="B3152" s="285">
        <v>2.5817172848041126</v>
      </c>
      <c r="C3152" s="285">
        <v>2.5341930931062002</v>
      </c>
      <c r="D3152" s="285">
        <v>2.3774092538715204</v>
      </c>
      <c r="E3152" s="285">
        <v>-12.338557728747089</v>
      </c>
    </row>
    <row r="3153" spans="1:5">
      <c r="A3153" s="284">
        <f t="shared" si="1040"/>
        <v>3085</v>
      </c>
      <c r="B3153" s="285">
        <v>-1.3322329934882182</v>
      </c>
      <c r="C3153" s="285">
        <v>2.4644859138292299</v>
      </c>
      <c r="D3153" s="285">
        <v>1.6408919798239237</v>
      </c>
      <c r="E3153" s="285">
        <v>-3.7747504746530356</v>
      </c>
    </row>
    <row r="3154" spans="1:5">
      <c r="A3154" s="284">
        <f t="shared" si="1040"/>
        <v>3086</v>
      </c>
      <c r="B3154" s="285">
        <v>1.0998430916135093</v>
      </c>
      <c r="C3154" s="285">
        <v>2.0149683356934522</v>
      </c>
      <c r="D3154" s="285">
        <v>0.88145214953928641</v>
      </c>
      <c r="E3154" s="285">
        <v>-15.933793231716537</v>
      </c>
    </row>
    <row r="3155" spans="1:5">
      <c r="A3155" s="284">
        <f t="shared" si="1040"/>
        <v>3087</v>
      </c>
      <c r="B3155" s="285">
        <v>0.50972492844119166</v>
      </c>
      <c r="C3155" s="285">
        <v>2.9749250696637528</v>
      </c>
      <c r="D3155" s="285">
        <v>1.8057549162819</v>
      </c>
      <c r="E3155" s="285">
        <v>14.072265515514161</v>
      </c>
    </row>
    <row r="3156" spans="1:5">
      <c r="A3156" s="284">
        <f t="shared" si="1040"/>
        <v>3088</v>
      </c>
      <c r="B3156" s="285">
        <v>-0.22241639589706438</v>
      </c>
      <c r="C3156" s="285">
        <v>1.8884553608334431</v>
      </c>
      <c r="D3156" s="285">
        <v>-0.65353144791404749</v>
      </c>
      <c r="E3156" s="285">
        <v>-14.345816358088186</v>
      </c>
    </row>
    <row r="3157" spans="1:5">
      <c r="A3157" s="284">
        <f t="shared" si="1040"/>
        <v>3089</v>
      </c>
      <c r="B3157" s="285">
        <v>-2.380465820991537</v>
      </c>
      <c r="C3157" s="285">
        <v>2.5797152789415176</v>
      </c>
      <c r="D3157" s="285">
        <v>0.75002859343791639</v>
      </c>
      <c r="E3157" s="285">
        <v>-1.501472157119415</v>
      </c>
    </row>
    <row r="3158" spans="1:5">
      <c r="A3158" s="284">
        <f t="shared" si="1040"/>
        <v>3090</v>
      </c>
      <c r="B3158" s="285">
        <v>1.5471353501833831</v>
      </c>
      <c r="C3158" s="285">
        <v>2.0311296538506474</v>
      </c>
      <c r="D3158" s="285">
        <v>1.0708324406390475</v>
      </c>
      <c r="E3158" s="285">
        <v>-6.6827890222556228</v>
      </c>
    </row>
    <row r="3159" spans="1:5">
      <c r="A3159" s="284">
        <f t="shared" si="1040"/>
        <v>3091</v>
      </c>
      <c r="B3159" s="285">
        <v>1.3971255489745042</v>
      </c>
      <c r="C3159" s="285">
        <v>3.2004722255961617</v>
      </c>
      <c r="D3159" s="285">
        <v>0.90978496052515612</v>
      </c>
      <c r="E3159" s="285">
        <v>12.024975714741675</v>
      </c>
    </row>
    <row r="3160" spans="1:5">
      <c r="A3160" s="284">
        <f t="shared" si="1040"/>
        <v>3092</v>
      </c>
      <c r="B3160" s="285">
        <v>-1.942658721538467</v>
      </c>
      <c r="C3160" s="285">
        <v>2.2794216104513847</v>
      </c>
      <c r="D3160" s="285">
        <v>0.11320818604776695</v>
      </c>
      <c r="E3160" s="285">
        <v>1.6454536529395614</v>
      </c>
    </row>
    <row r="3161" spans="1:5">
      <c r="A3161" s="284">
        <f t="shared" si="1040"/>
        <v>3093</v>
      </c>
      <c r="B3161" s="285">
        <v>-2.2825300652502469</v>
      </c>
      <c r="C3161" s="285">
        <v>2.1794234177608649</v>
      </c>
      <c r="D3161" s="285">
        <v>2.0976031641472392</v>
      </c>
      <c r="E3161" s="285">
        <v>-4.1458752750965591</v>
      </c>
    </row>
    <row r="3162" spans="1:5">
      <c r="A3162" s="284">
        <f t="shared" si="1040"/>
        <v>3094</v>
      </c>
      <c r="B3162" s="285">
        <v>1.7634818203632363</v>
      </c>
      <c r="C3162" s="285">
        <v>2.6002563851876936</v>
      </c>
      <c r="D3162" s="285">
        <v>1.8258920850857325</v>
      </c>
      <c r="E3162" s="285">
        <v>-5.2217056400486754</v>
      </c>
    </row>
    <row r="3163" spans="1:5">
      <c r="A3163" s="284">
        <f t="shared" si="1040"/>
        <v>3095</v>
      </c>
      <c r="B3163" s="285">
        <v>1.5601688954447539</v>
      </c>
      <c r="C3163" s="285">
        <v>2.3226255478202997</v>
      </c>
      <c r="D3163" s="285">
        <v>1.9906077590949174</v>
      </c>
      <c r="E3163" s="285">
        <v>-7.36510177211761</v>
      </c>
    </row>
    <row r="3164" spans="1:5">
      <c r="A3164" s="284">
        <f t="shared" si="1040"/>
        <v>3096</v>
      </c>
      <c r="B3164" s="285">
        <v>-2.7782249997339141</v>
      </c>
      <c r="C3164" s="285">
        <v>3.2053963834442261</v>
      </c>
      <c r="D3164" s="285">
        <v>2.2369261710683754</v>
      </c>
      <c r="E3164" s="285">
        <v>11.109636260970735</v>
      </c>
    </row>
    <row r="3165" spans="1:5">
      <c r="A3165" s="284">
        <f t="shared" si="1040"/>
        <v>3097</v>
      </c>
      <c r="B3165" s="285">
        <v>1.2741867967795455</v>
      </c>
      <c r="C3165" s="285">
        <v>2.5049428040644552</v>
      </c>
      <c r="D3165" s="285">
        <v>1.9949471315460809</v>
      </c>
      <c r="E3165" s="285">
        <v>-10.422487109175721</v>
      </c>
    </row>
    <row r="3166" spans="1:5">
      <c r="A3166" s="284">
        <f t="shared" si="1040"/>
        <v>3098</v>
      </c>
      <c r="B3166" s="285">
        <v>-1.5834420205126969</v>
      </c>
      <c r="C3166" s="285">
        <v>1.1564651919561242</v>
      </c>
      <c r="D3166" s="285">
        <v>3.3609220278762852</v>
      </c>
      <c r="E3166" s="285">
        <v>-28.281722748965858</v>
      </c>
    </row>
    <row r="3167" spans="1:5">
      <c r="A3167" s="284">
        <f t="shared" si="1040"/>
        <v>3099</v>
      </c>
      <c r="B3167" s="285">
        <v>-1.9703775082794845</v>
      </c>
      <c r="C3167" s="285">
        <v>2.1831286103542848</v>
      </c>
      <c r="D3167" s="285">
        <v>1.5344778646494264</v>
      </c>
      <c r="E3167" s="285">
        <v>-6.9048036829859285</v>
      </c>
    </row>
    <row r="3168" spans="1:5">
      <c r="A3168" s="284">
        <f t="shared" si="1040"/>
        <v>3100</v>
      </c>
      <c r="B3168" s="285">
        <v>-1.6301488708456158</v>
      </c>
      <c r="C3168" s="285">
        <v>3.024172686293761</v>
      </c>
      <c r="D3168" s="285">
        <v>1.5044898512172813</v>
      </c>
      <c r="E3168" s="285">
        <v>14.049113153610477</v>
      </c>
    </row>
    <row r="3169" spans="1:5">
      <c r="A3169" s="284">
        <f t="shared" si="1040"/>
        <v>3101</v>
      </c>
      <c r="B3169" s="285">
        <v>-2.3952036859287968</v>
      </c>
      <c r="C3169" s="285">
        <v>2.095253884206445</v>
      </c>
      <c r="D3169" s="285">
        <v>0.86510172323727108</v>
      </c>
      <c r="E3169" s="285">
        <v>-7.177214319013606</v>
      </c>
    </row>
    <row r="3170" spans="1:5">
      <c r="A3170" s="284">
        <f t="shared" si="1040"/>
        <v>3102</v>
      </c>
      <c r="B3170" s="285">
        <v>0.73110810992598663</v>
      </c>
      <c r="C3170" s="285">
        <v>2.9125888868366232</v>
      </c>
      <c r="D3170" s="285">
        <v>1.397927337188299</v>
      </c>
      <c r="E3170" s="285">
        <v>4.8796011115247584</v>
      </c>
    </row>
    <row r="3171" spans="1:5">
      <c r="A3171" s="284">
        <f t="shared" si="1040"/>
        <v>3103</v>
      </c>
      <c r="B3171" s="285">
        <v>0.87684771749335999</v>
      </c>
      <c r="C3171" s="285">
        <v>2.5785417900013159</v>
      </c>
      <c r="D3171" s="285">
        <v>1.8776836117263787</v>
      </c>
      <c r="E3171" s="285">
        <v>-5.236203629790225</v>
      </c>
    </row>
    <row r="3172" spans="1:5">
      <c r="A3172" s="284">
        <f t="shared" si="1040"/>
        <v>3104</v>
      </c>
      <c r="B3172" s="285">
        <v>-3.1127210544163608</v>
      </c>
      <c r="C3172" s="285">
        <v>1.6102846234425301</v>
      </c>
      <c r="D3172" s="285">
        <v>2.4983180271655256</v>
      </c>
      <c r="E3172" s="285">
        <v>-14.434672290143954</v>
      </c>
    </row>
    <row r="3173" spans="1:5">
      <c r="A3173" s="284">
        <f t="shared" si="1040"/>
        <v>3105</v>
      </c>
      <c r="B3173" s="285">
        <v>0.22510761814024272</v>
      </c>
      <c r="C3173" s="285">
        <v>2.1928011329319004</v>
      </c>
      <c r="D3173" s="285">
        <v>1.3946243566423684</v>
      </c>
      <c r="E3173" s="285">
        <v>-4.2349655192170346</v>
      </c>
    </row>
    <row r="3174" spans="1:5">
      <c r="A3174" s="284">
        <f t="shared" si="1040"/>
        <v>3106</v>
      </c>
      <c r="B3174" s="285">
        <v>-0.31457510584223264</v>
      </c>
      <c r="C3174" s="285">
        <v>3.0134228112402148</v>
      </c>
      <c r="D3174" s="285">
        <v>1.869783210677763</v>
      </c>
      <c r="E3174" s="285">
        <v>5.5630528762057114</v>
      </c>
    </row>
    <row r="3175" spans="1:5">
      <c r="A3175" s="284">
        <f t="shared" si="1040"/>
        <v>3107</v>
      </c>
      <c r="B3175" s="285">
        <v>1.5834389587767075</v>
      </c>
      <c r="C3175" s="285">
        <v>2.6656035896427688</v>
      </c>
      <c r="D3175" s="285">
        <v>3.1818903912795435</v>
      </c>
      <c r="E3175" s="285">
        <v>-2.3308632871845507</v>
      </c>
    </row>
    <row r="3176" spans="1:5">
      <c r="A3176" s="284">
        <f t="shared" si="1040"/>
        <v>3108</v>
      </c>
      <c r="B3176" s="285">
        <v>-2.7375494766054063</v>
      </c>
      <c r="C3176" s="285">
        <v>1.7284863110089286</v>
      </c>
      <c r="D3176" s="285">
        <v>0.72221852032472356</v>
      </c>
      <c r="E3176" s="285">
        <v>-5.8617706498525575</v>
      </c>
    </row>
    <row r="3177" spans="1:5">
      <c r="A3177" s="284">
        <f t="shared" si="1040"/>
        <v>3109</v>
      </c>
      <c r="B3177" s="285">
        <v>0.24112179876543177</v>
      </c>
      <c r="C3177" s="285">
        <v>2.0988717881424193</v>
      </c>
      <c r="D3177" s="285">
        <v>-6.2509790363518558E-2</v>
      </c>
      <c r="E3177" s="285">
        <v>-15.677479727749642</v>
      </c>
    </row>
    <row r="3178" spans="1:5">
      <c r="A3178" s="284">
        <f t="shared" si="1040"/>
        <v>3110</v>
      </c>
      <c r="B3178" s="285">
        <v>-0.97621789607325615</v>
      </c>
      <c r="C3178" s="285">
        <v>2.8084749682174319</v>
      </c>
      <c r="D3178" s="285">
        <v>-0.39025919981558288</v>
      </c>
      <c r="E3178" s="285">
        <v>-4.9781105250100719</v>
      </c>
    </row>
    <row r="3179" spans="1:5">
      <c r="A3179" s="284">
        <f t="shared" si="1040"/>
        <v>3111</v>
      </c>
      <c r="B3179" s="285">
        <v>-2.4580240467939887</v>
      </c>
      <c r="C3179" s="285">
        <v>1.9227967721019965</v>
      </c>
      <c r="D3179" s="285">
        <v>1.6151327255289067</v>
      </c>
      <c r="E3179" s="285">
        <v>-15.492291958233643</v>
      </c>
    </row>
    <row r="3180" spans="1:5">
      <c r="A3180" s="284">
        <f t="shared" si="1040"/>
        <v>3112</v>
      </c>
      <c r="B3180" s="285">
        <v>0.35793688530477896</v>
      </c>
      <c r="C3180" s="285">
        <v>2.1527099219181407</v>
      </c>
      <c r="D3180" s="285">
        <v>0.24829498141044026</v>
      </c>
      <c r="E3180" s="285">
        <v>-10.02627454898248</v>
      </c>
    </row>
    <row r="3181" spans="1:5">
      <c r="A3181" s="284">
        <f t="shared" si="1040"/>
        <v>3113</v>
      </c>
      <c r="B3181" s="285">
        <v>-2.3580992218007317</v>
      </c>
      <c r="C3181" s="285">
        <v>2.4052853233439251</v>
      </c>
      <c r="D3181" s="285">
        <v>1.3242976538946436</v>
      </c>
      <c r="E3181" s="285">
        <v>-2.2421324864010463</v>
      </c>
    </row>
    <row r="3182" spans="1:5">
      <c r="A3182" s="284">
        <f t="shared" si="1040"/>
        <v>3114</v>
      </c>
      <c r="B3182" s="285">
        <v>-2.2391811174688288</v>
      </c>
      <c r="C3182" s="285">
        <v>2.5214939437348467</v>
      </c>
      <c r="D3182" s="285">
        <v>0.71805167820385618</v>
      </c>
      <c r="E3182" s="285">
        <v>7.0945714041145145</v>
      </c>
    </row>
    <row r="3183" spans="1:5">
      <c r="A3183" s="284">
        <f t="shared" si="1040"/>
        <v>3115</v>
      </c>
      <c r="B3183" s="285">
        <v>-0.55131595424253754</v>
      </c>
      <c r="C3183" s="285">
        <v>1.1964595174565629</v>
      </c>
      <c r="D3183" s="285">
        <v>2.6430230568231106</v>
      </c>
      <c r="E3183" s="285">
        <v>-21.615224285789839</v>
      </c>
    </row>
    <row r="3184" spans="1:5">
      <c r="A3184" s="284">
        <f t="shared" si="1040"/>
        <v>3116</v>
      </c>
      <c r="B3184" s="285">
        <v>-0.64273011958902837</v>
      </c>
      <c r="C3184" s="285">
        <v>2.6708845853016818</v>
      </c>
      <c r="D3184" s="285">
        <v>2.9148902310867175</v>
      </c>
      <c r="E3184" s="285">
        <v>4.4985167263844374</v>
      </c>
    </row>
    <row r="3185" spans="1:5">
      <c r="A3185" s="284">
        <f t="shared" si="1040"/>
        <v>3117</v>
      </c>
      <c r="B3185" s="285">
        <v>3.4172174845599623</v>
      </c>
      <c r="C3185" s="285">
        <v>2.5367697740602568</v>
      </c>
      <c r="D3185" s="285">
        <v>1.379605449380177</v>
      </c>
      <c r="E3185" s="285">
        <v>-3.1271052793719312</v>
      </c>
    </row>
    <row r="3186" spans="1:5">
      <c r="A3186" s="284">
        <f t="shared" si="1040"/>
        <v>3118</v>
      </c>
      <c r="B3186" s="285">
        <v>0.10631125004603885</v>
      </c>
      <c r="C3186" s="285">
        <v>3.073447533120699</v>
      </c>
      <c r="D3186" s="285">
        <v>0.50169590673897579</v>
      </c>
      <c r="E3186" s="285">
        <v>15.103817641844305</v>
      </c>
    </row>
    <row r="3187" spans="1:5">
      <c r="A3187" s="284">
        <f t="shared" si="1040"/>
        <v>3119</v>
      </c>
      <c r="B3187" s="285">
        <v>-2.1306242543910208</v>
      </c>
      <c r="C3187" s="285">
        <v>2.3909401289209979</v>
      </c>
      <c r="D3187" s="285">
        <v>1.016575441512783</v>
      </c>
      <c r="E3187" s="285">
        <v>-14.448161723478904</v>
      </c>
    </row>
    <row r="3188" spans="1:5">
      <c r="A3188" s="284">
        <f t="shared" si="1040"/>
        <v>3120</v>
      </c>
      <c r="B3188" s="285">
        <v>4.7438344744245295</v>
      </c>
      <c r="C3188" s="285">
        <v>2.8753036275121051</v>
      </c>
      <c r="D3188" s="285">
        <v>1.8970497602799181</v>
      </c>
      <c r="E3188" s="285">
        <v>-6.8889359528253813</v>
      </c>
    </row>
    <row r="3189" spans="1:5">
      <c r="A3189" s="284">
        <f t="shared" si="1040"/>
        <v>3121</v>
      </c>
      <c r="B3189" s="285">
        <v>0.25852462861803688</v>
      </c>
      <c r="C3189" s="285">
        <v>2.4768141715465894</v>
      </c>
      <c r="D3189" s="285">
        <v>1.1013322414976645</v>
      </c>
      <c r="E3189" s="285">
        <v>10.611850034018882</v>
      </c>
    </row>
    <row r="3190" spans="1:5">
      <c r="A3190" s="284">
        <f t="shared" si="1040"/>
        <v>3122</v>
      </c>
      <c r="B3190" s="285">
        <v>2.6402525099801184</v>
      </c>
      <c r="C3190" s="285">
        <v>2.5312703151077121</v>
      </c>
      <c r="D3190" s="285">
        <v>1.7830697782943825</v>
      </c>
      <c r="E3190" s="285">
        <v>-12.33446315146522</v>
      </c>
    </row>
    <row r="3191" spans="1:5">
      <c r="A3191" s="284">
        <f t="shared" si="1040"/>
        <v>3123</v>
      </c>
      <c r="B3191" s="285">
        <v>2.2478442563730212</v>
      </c>
      <c r="C3191" s="285">
        <v>2.622857440176805</v>
      </c>
      <c r="D3191" s="285">
        <v>0.2682328108198957</v>
      </c>
      <c r="E3191" s="285">
        <v>0.41916138102773237</v>
      </c>
    </row>
    <row r="3192" spans="1:5">
      <c r="A3192" s="284">
        <f t="shared" si="1040"/>
        <v>3124</v>
      </c>
      <c r="B3192" s="285">
        <v>-1.8829914425353833</v>
      </c>
      <c r="C3192" s="285">
        <v>2.3546012465126971</v>
      </c>
      <c r="D3192" s="285">
        <v>-1.689283173415812E-2</v>
      </c>
      <c r="E3192" s="285">
        <v>9.579391105977237</v>
      </c>
    </row>
    <row r="3193" spans="1:5">
      <c r="A3193" s="284">
        <f t="shared" si="1040"/>
        <v>3125</v>
      </c>
      <c r="B3193" s="285">
        <v>1.3718100339477142</v>
      </c>
      <c r="C3193" s="285">
        <v>2.9861593011996947</v>
      </c>
      <c r="D3193" s="285">
        <v>1.4022264287139832</v>
      </c>
      <c r="E3193" s="285">
        <v>0.85290220278050688</v>
      </c>
    </row>
    <row r="3194" spans="1:5">
      <c r="A3194" s="284">
        <f t="shared" si="1040"/>
        <v>3126</v>
      </c>
      <c r="B3194" s="285">
        <v>0.13502025618451741</v>
      </c>
      <c r="C3194" s="285">
        <v>3.3750167544399048</v>
      </c>
      <c r="D3194" s="285">
        <v>1.7324271390228723</v>
      </c>
      <c r="E3194" s="285">
        <v>16.001095201707706</v>
      </c>
    </row>
    <row r="3195" spans="1:5">
      <c r="A3195" s="284">
        <f t="shared" si="1040"/>
        <v>3127</v>
      </c>
      <c r="B3195" s="285">
        <v>0.40624016983088113</v>
      </c>
      <c r="C3195" s="285">
        <v>2.4485285788296913</v>
      </c>
      <c r="D3195" s="285">
        <v>0.10815275162770788</v>
      </c>
      <c r="E3195" s="285">
        <v>-9.3453788871168317</v>
      </c>
    </row>
    <row r="3196" spans="1:5">
      <c r="A3196" s="284">
        <f t="shared" si="1040"/>
        <v>3128</v>
      </c>
      <c r="B3196" s="285">
        <v>1.892412376887705</v>
      </c>
      <c r="C3196" s="285">
        <v>2.236164006459807</v>
      </c>
      <c r="D3196" s="285">
        <v>2.1313871833397968</v>
      </c>
      <c r="E3196" s="285">
        <v>-27.804929212162637</v>
      </c>
    </row>
    <row r="3197" spans="1:5">
      <c r="A3197" s="284">
        <f t="shared" si="1040"/>
        <v>3129</v>
      </c>
      <c r="B3197" s="285">
        <v>-2.6761055686645796</v>
      </c>
      <c r="C3197" s="285">
        <v>2.1839538215931658</v>
      </c>
      <c r="D3197" s="285">
        <v>-0.29517440635823422</v>
      </c>
      <c r="E3197" s="285">
        <v>7.8042760476304114</v>
      </c>
    </row>
    <row r="3198" spans="1:5">
      <c r="A3198" s="284">
        <f t="shared" si="1040"/>
        <v>3130</v>
      </c>
      <c r="B3198" s="285">
        <v>2.2393813811193177</v>
      </c>
      <c r="C3198" s="285">
        <v>2.8256488677899303</v>
      </c>
      <c r="D3198" s="285">
        <v>0.39980973367246486</v>
      </c>
      <c r="E3198" s="285">
        <v>2.9273182031302718</v>
      </c>
    </row>
    <row r="3199" spans="1:5">
      <c r="A3199" s="284">
        <f t="shared" si="1040"/>
        <v>3131</v>
      </c>
      <c r="B3199" s="285">
        <v>-2.3018253812737717</v>
      </c>
      <c r="C3199" s="285">
        <v>1.652014034154587</v>
      </c>
      <c r="D3199" s="285">
        <v>-0.31646471086956862</v>
      </c>
      <c r="E3199" s="285">
        <v>-20.65364880512946</v>
      </c>
    </row>
    <row r="3200" spans="1:5">
      <c r="A3200" s="284">
        <f t="shared" si="1040"/>
        <v>3132</v>
      </c>
      <c r="B3200" s="285">
        <v>1.6699200222932851</v>
      </c>
      <c r="C3200" s="285">
        <v>2.9423848081195954</v>
      </c>
      <c r="D3200" s="285">
        <v>0.90504341805681754</v>
      </c>
      <c r="E3200" s="285">
        <v>-5.5884669008194479</v>
      </c>
    </row>
    <row r="3201" spans="1:5">
      <c r="A3201" s="284">
        <f t="shared" si="1040"/>
        <v>3133</v>
      </c>
      <c r="B3201" s="285">
        <v>-0.5355757972088977</v>
      </c>
      <c r="C3201" s="285">
        <v>2.0368244851072914</v>
      </c>
      <c r="D3201" s="285">
        <v>2.2493712028538888</v>
      </c>
      <c r="E3201" s="285">
        <v>-7.7985687870121509</v>
      </c>
    </row>
    <row r="3202" spans="1:5">
      <c r="A3202" s="284">
        <f t="shared" si="1040"/>
        <v>3134</v>
      </c>
      <c r="B3202" s="285">
        <v>3.6462548289307675</v>
      </c>
      <c r="C3202" s="285">
        <v>3.2941242424044139</v>
      </c>
      <c r="D3202" s="285">
        <v>2.5232272761451657</v>
      </c>
      <c r="E3202" s="285">
        <v>3.1121332525270859</v>
      </c>
    </row>
    <row r="3203" spans="1:5">
      <c r="A3203" s="284">
        <f t="shared" si="1040"/>
        <v>3135</v>
      </c>
      <c r="B3203" s="285">
        <v>0.73162824524726056</v>
      </c>
      <c r="C3203" s="285">
        <v>1.9200727263820481</v>
      </c>
      <c r="D3203" s="285">
        <v>2.4336902990288989</v>
      </c>
      <c r="E3203" s="285">
        <v>-24.145567791821431</v>
      </c>
    </row>
    <row r="3204" spans="1:5">
      <c r="A3204" s="284">
        <f t="shared" si="1040"/>
        <v>3136</v>
      </c>
      <c r="B3204" s="285">
        <v>-3.9580199700079226</v>
      </c>
      <c r="C3204" s="285">
        <v>2.5536937749648252</v>
      </c>
      <c r="D3204" s="285">
        <v>0.54013677861587994</v>
      </c>
      <c r="E3204" s="285">
        <v>-1.1046455822350905</v>
      </c>
    </row>
    <row r="3205" spans="1:5">
      <c r="A3205" s="284">
        <f t="shared" si="1040"/>
        <v>3137</v>
      </c>
      <c r="B3205" s="285">
        <v>-0.26345223217624825</v>
      </c>
      <c r="C3205" s="285">
        <v>2.8788353696167723</v>
      </c>
      <c r="D3205" s="285">
        <v>-0.17699749500529327</v>
      </c>
      <c r="E3205" s="285">
        <v>10.547031486725636</v>
      </c>
    </row>
    <row r="3206" spans="1:5">
      <c r="A3206" s="284">
        <f t="shared" si="1040"/>
        <v>3138</v>
      </c>
      <c r="B3206" s="285">
        <v>0.62687332598433232</v>
      </c>
      <c r="C3206" s="285">
        <v>2.5094123911667947</v>
      </c>
      <c r="D3206" s="285">
        <v>0.20102196305333664</v>
      </c>
      <c r="E3206" s="285">
        <v>-8.0615884600291032</v>
      </c>
    </row>
    <row r="3207" spans="1:5">
      <c r="A3207" s="284">
        <f t="shared" ref="A3207:A3270" si="1041">A3206+1</f>
        <v>3139</v>
      </c>
      <c r="B3207" s="285">
        <v>-3.1971702671676465</v>
      </c>
      <c r="C3207" s="285">
        <v>2.0374942643474343</v>
      </c>
      <c r="D3207" s="285">
        <v>2.4480385552615034</v>
      </c>
      <c r="E3207" s="285">
        <v>-14.507800462937922</v>
      </c>
    </row>
    <row r="3208" spans="1:5">
      <c r="A3208" s="284">
        <f t="shared" si="1041"/>
        <v>3140</v>
      </c>
      <c r="B3208" s="285">
        <v>1.6574193117430214</v>
      </c>
      <c r="C3208" s="285">
        <v>2.2632062271556435</v>
      </c>
      <c r="D3208" s="285">
        <v>4.0809605724561724</v>
      </c>
      <c r="E3208" s="285">
        <v>-8.0307696989183395</v>
      </c>
    </row>
    <row r="3209" spans="1:5">
      <c r="A3209" s="284">
        <f t="shared" si="1041"/>
        <v>3141</v>
      </c>
      <c r="B3209" s="285">
        <v>7.7664308162906204E-2</v>
      </c>
      <c r="C3209" s="285">
        <v>2.1226967138944905</v>
      </c>
      <c r="D3209" s="285">
        <v>1.7314742611280978</v>
      </c>
      <c r="E3209" s="285">
        <v>2.5617058793619507</v>
      </c>
    </row>
    <row r="3210" spans="1:5">
      <c r="A3210" s="284">
        <f t="shared" si="1041"/>
        <v>3142</v>
      </c>
      <c r="B3210" s="285">
        <v>-0.34782280543161032</v>
      </c>
      <c r="C3210" s="285">
        <v>2.4289241846040572</v>
      </c>
      <c r="D3210" s="285">
        <v>1.6563027943808442</v>
      </c>
      <c r="E3210" s="285">
        <v>-12.166703094564477</v>
      </c>
    </row>
    <row r="3211" spans="1:5">
      <c r="A3211" s="284">
        <f t="shared" si="1041"/>
        <v>3143</v>
      </c>
      <c r="B3211" s="285">
        <v>2.7138280458075701</v>
      </c>
      <c r="C3211" s="285">
        <v>3.6086529621852419</v>
      </c>
      <c r="D3211" s="285">
        <v>0.99288065109075341</v>
      </c>
      <c r="E3211" s="285">
        <v>25.294225720397723</v>
      </c>
    </row>
    <row r="3212" spans="1:5">
      <c r="A3212" s="284">
        <f t="shared" si="1041"/>
        <v>3144</v>
      </c>
      <c r="B3212" s="285">
        <v>0.52470035369311285</v>
      </c>
      <c r="C3212" s="285">
        <v>2.7728134237863431</v>
      </c>
      <c r="D3212" s="285">
        <v>2.9251563241770047</v>
      </c>
      <c r="E3212" s="285">
        <v>-4.6830218139693951</v>
      </c>
    </row>
    <row r="3213" spans="1:5">
      <c r="A3213" s="284">
        <f t="shared" si="1041"/>
        <v>3145</v>
      </c>
      <c r="B3213" s="285">
        <v>0.53017187267104626</v>
      </c>
      <c r="C3213" s="285">
        <v>2.832116537378027</v>
      </c>
      <c r="D3213" s="285">
        <v>0.45630500177901112</v>
      </c>
      <c r="E3213" s="285">
        <v>9.9681382103120733</v>
      </c>
    </row>
    <row r="3214" spans="1:5">
      <c r="A3214" s="284">
        <f t="shared" si="1041"/>
        <v>3146</v>
      </c>
      <c r="B3214" s="285">
        <v>1.2771534865567469</v>
      </c>
      <c r="C3214" s="285">
        <v>2.5288327884702033</v>
      </c>
      <c r="D3214" s="285">
        <v>2.793735484809412</v>
      </c>
      <c r="E3214" s="285">
        <v>-5.9593466522669809</v>
      </c>
    </row>
    <row r="3215" spans="1:5">
      <c r="A3215" s="284">
        <f t="shared" si="1041"/>
        <v>3147</v>
      </c>
      <c r="B3215" s="285">
        <v>0.42736222103996913</v>
      </c>
      <c r="C3215" s="285">
        <v>2.254977287314198</v>
      </c>
      <c r="D3215" s="285">
        <v>-0.13657848451247956</v>
      </c>
      <c r="E3215" s="285">
        <v>4.6506291386032217</v>
      </c>
    </row>
    <row r="3216" spans="1:5">
      <c r="A3216" s="284">
        <f t="shared" si="1041"/>
        <v>3148</v>
      </c>
      <c r="B3216" s="285">
        <v>-1.5006534104419191</v>
      </c>
      <c r="C3216" s="285">
        <v>2.2577977305806849</v>
      </c>
      <c r="D3216" s="285">
        <v>1.9759292697819075</v>
      </c>
      <c r="E3216" s="285">
        <v>-2.5896347550172916</v>
      </c>
    </row>
    <row r="3217" spans="1:5">
      <c r="A3217" s="284">
        <f t="shared" si="1041"/>
        <v>3149</v>
      </c>
      <c r="B3217" s="285">
        <v>-1.8018589578238053</v>
      </c>
      <c r="C3217" s="285">
        <v>2.2940410648241993</v>
      </c>
      <c r="D3217" s="285">
        <v>2.7649241119811494</v>
      </c>
      <c r="E3217" s="285">
        <v>-8.9263222077651534</v>
      </c>
    </row>
    <row r="3218" spans="1:5">
      <c r="A3218" s="284">
        <f t="shared" si="1041"/>
        <v>3150</v>
      </c>
      <c r="B3218" s="285">
        <v>5.9877296277607606</v>
      </c>
      <c r="C3218" s="285">
        <v>2.8024342981683059</v>
      </c>
      <c r="D3218" s="285">
        <v>3.0263221910335139</v>
      </c>
      <c r="E3218" s="285">
        <v>-5.9425862422011022</v>
      </c>
    </row>
    <row r="3219" spans="1:5">
      <c r="A3219" s="284">
        <f t="shared" si="1041"/>
        <v>3151</v>
      </c>
      <c r="B3219" s="285">
        <v>0.16350117557787758</v>
      </c>
      <c r="C3219" s="285">
        <v>2.1046305039805526</v>
      </c>
      <c r="D3219" s="285">
        <v>1.5238900202365262</v>
      </c>
      <c r="E3219" s="285">
        <v>-8.2199127851229292</v>
      </c>
    </row>
    <row r="3220" spans="1:5">
      <c r="A3220" s="284">
        <f t="shared" si="1041"/>
        <v>3152</v>
      </c>
      <c r="B3220" s="285">
        <v>1.4820966310814079</v>
      </c>
      <c r="C3220" s="285">
        <v>2.1692688995048717</v>
      </c>
      <c r="D3220" s="285">
        <v>1.4624932377282542</v>
      </c>
      <c r="E3220" s="285">
        <v>-19.300477432047028</v>
      </c>
    </row>
    <row r="3221" spans="1:5">
      <c r="A3221" s="284">
        <f t="shared" si="1041"/>
        <v>3153</v>
      </c>
      <c r="B3221" s="285">
        <v>2.7534428530882442</v>
      </c>
      <c r="C3221" s="285">
        <v>2.7631233666047175</v>
      </c>
      <c r="D3221" s="285">
        <v>-1.3491533552643986E-2</v>
      </c>
      <c r="E3221" s="285">
        <v>3.9646357454875543</v>
      </c>
    </row>
    <row r="3222" spans="1:5">
      <c r="A3222" s="284">
        <f t="shared" si="1041"/>
        <v>3154</v>
      </c>
      <c r="B3222" s="285">
        <v>2.0834941342098983</v>
      </c>
      <c r="C3222" s="285">
        <v>2.7053468701874452</v>
      </c>
      <c r="D3222" s="285">
        <v>1.6783516778947236</v>
      </c>
      <c r="E3222" s="285">
        <v>-2.6613657853481856</v>
      </c>
    </row>
    <row r="3223" spans="1:5">
      <c r="A3223" s="284">
        <f t="shared" si="1041"/>
        <v>3155</v>
      </c>
      <c r="B3223" s="285">
        <v>-1.3257956512995586</v>
      </c>
      <c r="C3223" s="285">
        <v>2.4009377685753859</v>
      </c>
      <c r="D3223" s="285">
        <v>0.7568287758901685</v>
      </c>
      <c r="E3223" s="285">
        <v>12.074152767519159</v>
      </c>
    </row>
    <row r="3224" spans="1:5">
      <c r="A3224" s="284">
        <f t="shared" si="1041"/>
        <v>3156</v>
      </c>
      <c r="B3224" s="285">
        <v>0.63025291524155114</v>
      </c>
      <c r="C3224" s="285">
        <v>1.9941248239575811</v>
      </c>
      <c r="D3224" s="285">
        <v>1.9024147166545757</v>
      </c>
      <c r="E3224" s="285">
        <v>-3.8146901061217995</v>
      </c>
    </row>
    <row r="3225" spans="1:5">
      <c r="A3225" s="284">
        <f t="shared" si="1041"/>
        <v>3157</v>
      </c>
      <c r="B3225" s="285">
        <v>-1.3783960118958543</v>
      </c>
      <c r="C3225" s="285">
        <v>3.1523927357530304</v>
      </c>
      <c r="D3225" s="285">
        <v>-0.46424444170113466</v>
      </c>
      <c r="E3225" s="285">
        <v>9.0325706802489822</v>
      </c>
    </row>
    <row r="3226" spans="1:5">
      <c r="A3226" s="284">
        <f t="shared" si="1041"/>
        <v>3158</v>
      </c>
      <c r="B3226" s="285">
        <v>0.4356666312171924</v>
      </c>
      <c r="C3226" s="285">
        <v>2.5618170299045211</v>
      </c>
      <c r="D3226" s="285">
        <v>1.3684286702809134</v>
      </c>
      <c r="E3226" s="285">
        <v>-0.5534153716061132</v>
      </c>
    </row>
    <row r="3227" spans="1:5">
      <c r="A3227" s="284">
        <f t="shared" si="1041"/>
        <v>3159</v>
      </c>
      <c r="B3227" s="285">
        <v>1.1952215786229672</v>
      </c>
      <c r="C3227" s="285">
        <v>2.526146660995606</v>
      </c>
      <c r="D3227" s="285">
        <v>1.4360408644400107</v>
      </c>
      <c r="E3227" s="285">
        <v>3.8986615959201685</v>
      </c>
    </row>
    <row r="3228" spans="1:5">
      <c r="A3228" s="284">
        <f t="shared" si="1041"/>
        <v>3160</v>
      </c>
      <c r="B3228" s="285">
        <v>-1.080535911257084E-2</v>
      </c>
      <c r="C3228" s="285">
        <v>2.718459420759876</v>
      </c>
      <c r="D3228" s="285">
        <v>0.26677230875955404</v>
      </c>
      <c r="E3228" s="285">
        <v>0.75037402633706662</v>
      </c>
    </row>
    <row r="3229" spans="1:5">
      <c r="A3229" s="284">
        <f t="shared" si="1041"/>
        <v>3161</v>
      </c>
      <c r="B3229" s="285">
        <v>0.59471863201692665</v>
      </c>
      <c r="C3229" s="285">
        <v>2.4163412908574715</v>
      </c>
      <c r="D3229" s="285">
        <v>2.3442448323715994</v>
      </c>
      <c r="E3229" s="285">
        <v>-11.643331558536335</v>
      </c>
    </row>
    <row r="3230" spans="1:5">
      <c r="A3230" s="284">
        <f t="shared" si="1041"/>
        <v>3162</v>
      </c>
      <c r="B3230" s="285">
        <v>-1.8659781366415247</v>
      </c>
      <c r="C3230" s="285">
        <v>2.2077264649499071</v>
      </c>
      <c r="D3230" s="285">
        <v>-1.700223868693453</v>
      </c>
      <c r="E3230" s="285">
        <v>-16.610398201457141</v>
      </c>
    </row>
    <row r="3231" spans="1:5">
      <c r="A3231" s="284">
        <f t="shared" si="1041"/>
        <v>3163</v>
      </c>
      <c r="B3231" s="285">
        <v>1.4584011918918665</v>
      </c>
      <c r="C3231" s="285">
        <v>2.2325821763453058</v>
      </c>
      <c r="D3231" s="285">
        <v>-0.63930175847945114</v>
      </c>
      <c r="E3231" s="285">
        <v>-8.7450837069693073</v>
      </c>
    </row>
    <row r="3232" spans="1:5">
      <c r="A3232" s="284">
        <f t="shared" si="1041"/>
        <v>3164</v>
      </c>
      <c r="B3232" s="285">
        <v>-0.58615627506037327</v>
      </c>
      <c r="C3232" s="285">
        <v>2.462498356734248</v>
      </c>
      <c r="D3232" s="285">
        <v>2.0190402573759489</v>
      </c>
      <c r="E3232" s="285">
        <v>-12.22120774562266</v>
      </c>
    </row>
    <row r="3233" spans="1:5">
      <c r="A3233" s="284">
        <f t="shared" si="1041"/>
        <v>3165</v>
      </c>
      <c r="B3233" s="285">
        <v>0.9424511239285237</v>
      </c>
      <c r="C3233" s="285">
        <v>3.1067328083973562</v>
      </c>
      <c r="D3233" s="285">
        <v>0.38609798305554976</v>
      </c>
      <c r="E3233" s="285">
        <v>8.6744020645895361</v>
      </c>
    </row>
    <row r="3234" spans="1:5">
      <c r="A3234" s="284">
        <f t="shared" si="1041"/>
        <v>3166</v>
      </c>
      <c r="B3234" s="285">
        <v>0.36950482021414022</v>
      </c>
      <c r="C3234" s="285">
        <v>2.4523874490551743</v>
      </c>
      <c r="D3234" s="285">
        <v>1.0204067444903411</v>
      </c>
      <c r="E3234" s="285">
        <v>7.4749390485545817</v>
      </c>
    </row>
    <row r="3235" spans="1:5">
      <c r="A3235" s="284">
        <f t="shared" si="1041"/>
        <v>3167</v>
      </c>
      <c r="B3235" s="285">
        <v>0.61765362995859763</v>
      </c>
      <c r="C3235" s="285">
        <v>2.1017434809010815</v>
      </c>
      <c r="D3235" s="285">
        <v>2.2316282964509098</v>
      </c>
      <c r="E3235" s="285">
        <v>-12.08891723599265</v>
      </c>
    </row>
    <row r="3236" spans="1:5">
      <c r="A3236" s="284">
        <f t="shared" si="1041"/>
        <v>3168</v>
      </c>
      <c r="B3236" s="285">
        <v>3.6683364950717032</v>
      </c>
      <c r="C3236" s="285">
        <v>3.0787476419632225</v>
      </c>
      <c r="D3236" s="285">
        <v>1.5390474852999319</v>
      </c>
      <c r="E3236" s="285">
        <v>-6.0934657635242324</v>
      </c>
    </row>
    <row r="3237" spans="1:5">
      <c r="A3237" s="284">
        <f t="shared" si="1041"/>
        <v>3169</v>
      </c>
      <c r="B3237" s="285">
        <v>-2.5321965059506737</v>
      </c>
      <c r="C3237" s="285">
        <v>2.5233553864195222</v>
      </c>
      <c r="D3237" s="285">
        <v>0.78483526604406062</v>
      </c>
      <c r="E3237" s="285">
        <v>5.8805850402041209</v>
      </c>
    </row>
    <row r="3238" spans="1:5">
      <c r="A3238" s="284">
        <f t="shared" si="1041"/>
        <v>3170</v>
      </c>
      <c r="B3238" s="285">
        <v>2.2065357513712773</v>
      </c>
      <c r="C3238" s="285">
        <v>2.1481424930486899</v>
      </c>
      <c r="D3238" s="285">
        <v>-0.22578461254612492</v>
      </c>
      <c r="E3238" s="285">
        <v>-9.8765776258376796</v>
      </c>
    </row>
    <row r="3239" spans="1:5">
      <c r="A3239" s="284">
        <f t="shared" si="1041"/>
        <v>3171</v>
      </c>
      <c r="B3239" s="285">
        <v>-0.59383902650708364</v>
      </c>
      <c r="C3239" s="285">
        <v>2.2375906660840275</v>
      </c>
      <c r="D3239" s="285">
        <v>1.6255239139020816</v>
      </c>
      <c r="E3239" s="285">
        <v>-9.4557337091423577</v>
      </c>
    </row>
    <row r="3240" spans="1:5">
      <c r="A3240" s="284">
        <f t="shared" si="1041"/>
        <v>3172</v>
      </c>
      <c r="B3240" s="285">
        <v>-1.6024588200507524</v>
      </c>
      <c r="C3240" s="285">
        <v>2.228276714574712</v>
      </c>
      <c r="D3240" s="285">
        <v>0.89786518177830299</v>
      </c>
      <c r="E3240" s="285">
        <v>-2.6317014101985254</v>
      </c>
    </row>
    <row r="3241" spans="1:5">
      <c r="A3241" s="284">
        <f t="shared" si="1041"/>
        <v>3173</v>
      </c>
      <c r="B3241" s="285">
        <v>-3.7839744717873307</v>
      </c>
      <c r="C3241" s="285">
        <v>1.9883204238758059</v>
      </c>
      <c r="D3241" s="285">
        <v>-0.5293129182490206</v>
      </c>
      <c r="E3241" s="285">
        <v>-7.0004658435414591</v>
      </c>
    </row>
    <row r="3242" spans="1:5">
      <c r="A3242" s="284">
        <f t="shared" si="1041"/>
        <v>3174</v>
      </c>
      <c r="B3242" s="285">
        <v>-2.9327039955145295</v>
      </c>
      <c r="C3242" s="285">
        <v>2.8127793412386275</v>
      </c>
      <c r="D3242" s="285">
        <v>1.2397004939177307</v>
      </c>
      <c r="E3242" s="285">
        <v>17.610266197314207</v>
      </c>
    </row>
    <row r="3243" spans="1:5">
      <c r="A3243" s="284">
        <f t="shared" si="1041"/>
        <v>3175</v>
      </c>
      <c r="B3243" s="285">
        <v>-0.58997879694324784</v>
      </c>
      <c r="C3243" s="285">
        <v>2.3715645386128332</v>
      </c>
      <c r="D3243" s="285">
        <v>1.2528487575821041</v>
      </c>
      <c r="E3243" s="285">
        <v>-4.5563852828673062</v>
      </c>
    </row>
    <row r="3244" spans="1:5">
      <c r="A3244" s="284">
        <f t="shared" si="1041"/>
        <v>3176</v>
      </c>
      <c r="B3244" s="285">
        <v>-0.33392954732571001</v>
      </c>
      <c r="C3244" s="285">
        <v>2.5692416138508611</v>
      </c>
      <c r="D3244" s="285">
        <v>0.28890345134765683</v>
      </c>
      <c r="E3244" s="285">
        <v>-4.8884896174546455</v>
      </c>
    </row>
    <row r="3245" spans="1:5">
      <c r="A3245" s="284">
        <f t="shared" si="1041"/>
        <v>3177</v>
      </c>
      <c r="B3245" s="285">
        <v>-0.83818366527812049</v>
      </c>
      <c r="C3245" s="285">
        <v>2.9613343240178822</v>
      </c>
      <c r="D3245" s="285">
        <v>1.1565224577674273</v>
      </c>
      <c r="E3245" s="285">
        <v>17.77072355654964</v>
      </c>
    </row>
    <row r="3246" spans="1:5">
      <c r="A3246" s="284">
        <f t="shared" si="1041"/>
        <v>3178</v>
      </c>
      <c r="B3246" s="285">
        <v>-0.49425422126436913</v>
      </c>
      <c r="C3246" s="285">
        <v>2.0734016292011099</v>
      </c>
      <c r="D3246" s="285">
        <v>3.5328644131172213</v>
      </c>
      <c r="E3246" s="285">
        <v>-16.623401828377645</v>
      </c>
    </row>
    <row r="3247" spans="1:5">
      <c r="A3247" s="284">
        <f t="shared" si="1041"/>
        <v>3179</v>
      </c>
      <c r="B3247" s="285">
        <v>0.41816654203480547</v>
      </c>
      <c r="C3247" s="285">
        <v>3.0063595001544754</v>
      </c>
      <c r="D3247" s="285">
        <v>1.7326651574235015</v>
      </c>
      <c r="E3247" s="285">
        <v>3.2462964070724749</v>
      </c>
    </row>
    <row r="3248" spans="1:5">
      <c r="A3248" s="284">
        <f t="shared" si="1041"/>
        <v>3180</v>
      </c>
      <c r="B3248" s="285">
        <v>2.6516613880766049</v>
      </c>
      <c r="C3248" s="285">
        <v>3.5478836765294699</v>
      </c>
      <c r="D3248" s="285">
        <v>1.8132984930476239</v>
      </c>
      <c r="E3248" s="285">
        <v>6.4323693761080456</v>
      </c>
    </row>
    <row r="3249" spans="1:5">
      <c r="A3249" s="284">
        <f t="shared" si="1041"/>
        <v>3181</v>
      </c>
      <c r="B3249" s="285">
        <v>5.2902752543032457E-2</v>
      </c>
      <c r="C3249" s="285">
        <v>3.01054029484823</v>
      </c>
      <c r="D3249" s="285">
        <v>6.406613778589243E-2</v>
      </c>
      <c r="E3249" s="285">
        <v>18.479234071474711</v>
      </c>
    </row>
    <row r="3250" spans="1:5">
      <c r="A3250" s="284">
        <f t="shared" si="1041"/>
        <v>3182</v>
      </c>
      <c r="B3250" s="285">
        <v>-1.6926880529704007</v>
      </c>
      <c r="C3250" s="285">
        <v>1.6013094019977545</v>
      </c>
      <c r="D3250" s="285">
        <v>3.380016487383136</v>
      </c>
      <c r="E3250" s="285">
        <v>-10.905779550764111</v>
      </c>
    </row>
    <row r="3251" spans="1:5">
      <c r="A3251" s="284">
        <f t="shared" si="1041"/>
        <v>3183</v>
      </c>
      <c r="B3251" s="285">
        <v>-2.8455152901405962</v>
      </c>
      <c r="C3251" s="285">
        <v>2.4280465675956098</v>
      </c>
      <c r="D3251" s="285">
        <v>1.9983767519591069</v>
      </c>
      <c r="E3251" s="285">
        <v>-1.5542914860720323</v>
      </c>
    </row>
    <row r="3252" spans="1:5">
      <c r="A3252" s="284">
        <f t="shared" si="1041"/>
        <v>3184</v>
      </c>
      <c r="B3252" s="285">
        <v>0.2613599232021433</v>
      </c>
      <c r="C3252" s="285">
        <v>2.5784694194353195</v>
      </c>
      <c r="D3252" s="285">
        <v>-0.18906030558431142</v>
      </c>
      <c r="E3252" s="285">
        <v>-1.9150491752050238</v>
      </c>
    </row>
    <row r="3253" spans="1:5">
      <c r="A3253" s="284">
        <f t="shared" si="1041"/>
        <v>3185</v>
      </c>
      <c r="B3253" s="285">
        <v>3.3464250695205222</v>
      </c>
      <c r="C3253" s="285">
        <v>2.829238000016729</v>
      </c>
      <c r="D3253" s="285">
        <v>1.4824698981259705</v>
      </c>
      <c r="E3253" s="285">
        <v>-1.9998213200069337</v>
      </c>
    </row>
    <row r="3254" spans="1:5">
      <c r="A3254" s="284">
        <f t="shared" si="1041"/>
        <v>3186</v>
      </c>
      <c r="B3254" s="285">
        <v>2.8732361705937239</v>
      </c>
      <c r="C3254" s="285">
        <v>2.6334949114286821</v>
      </c>
      <c r="D3254" s="285">
        <v>4.1650901287664457</v>
      </c>
      <c r="E3254" s="285">
        <v>8.9885732264999074E-2</v>
      </c>
    </row>
    <row r="3255" spans="1:5">
      <c r="A3255" s="284">
        <f t="shared" si="1041"/>
        <v>3187</v>
      </c>
      <c r="B3255" s="285">
        <v>-1.3574828744339145</v>
      </c>
      <c r="C3255" s="285">
        <v>2.4204447147211119</v>
      </c>
      <c r="D3255" s="285">
        <v>1.4457573421591814</v>
      </c>
      <c r="E3255" s="285">
        <v>-9.5846277885871061</v>
      </c>
    </row>
    <row r="3256" spans="1:5">
      <c r="A3256" s="284">
        <f t="shared" si="1041"/>
        <v>3188</v>
      </c>
      <c r="B3256" s="285">
        <v>-0.17025052150992206</v>
      </c>
      <c r="C3256" s="285">
        <v>2.4601302866507773</v>
      </c>
      <c r="D3256" s="285">
        <v>0.87582180500919005</v>
      </c>
      <c r="E3256" s="285">
        <v>1.4020123870215566</v>
      </c>
    </row>
    <row r="3257" spans="1:5">
      <c r="A3257" s="284">
        <f t="shared" si="1041"/>
        <v>3189</v>
      </c>
      <c r="B3257" s="285">
        <v>1.4907291134585579</v>
      </c>
      <c r="C3257" s="285">
        <v>3.003208751710436</v>
      </c>
      <c r="D3257" s="285">
        <v>2.0416161237698836</v>
      </c>
      <c r="E3257" s="285">
        <v>6.0175803669731369</v>
      </c>
    </row>
    <row r="3258" spans="1:5">
      <c r="A3258" s="284">
        <f t="shared" si="1041"/>
        <v>3190</v>
      </c>
      <c r="B3258" s="285">
        <v>1.3799846878063353</v>
      </c>
      <c r="C3258" s="285">
        <v>2.8823758208229888</v>
      </c>
      <c r="D3258" s="285">
        <v>0.11454338181547441</v>
      </c>
      <c r="E3258" s="285">
        <v>8.5858927898785229</v>
      </c>
    </row>
    <row r="3259" spans="1:5">
      <c r="A3259" s="284">
        <f t="shared" si="1041"/>
        <v>3191</v>
      </c>
      <c r="B3259" s="285">
        <v>-5.2712998860002855</v>
      </c>
      <c r="C3259" s="285">
        <v>2.0098565056764759</v>
      </c>
      <c r="D3259" s="285">
        <v>-0.21449201739611956</v>
      </c>
      <c r="E3259" s="285">
        <v>-2.6036176372132664</v>
      </c>
    </row>
    <row r="3260" spans="1:5">
      <c r="A3260" s="284">
        <f t="shared" si="1041"/>
        <v>3192</v>
      </c>
      <c r="B3260" s="285">
        <v>-1.3515296845237077</v>
      </c>
      <c r="C3260" s="285">
        <v>2.4172768382134189</v>
      </c>
      <c r="D3260" s="285">
        <v>1.1767498725784442</v>
      </c>
      <c r="E3260" s="285">
        <v>-9.3645988508903706</v>
      </c>
    </row>
    <row r="3261" spans="1:5">
      <c r="A3261" s="284">
        <f t="shared" si="1041"/>
        <v>3193</v>
      </c>
      <c r="B3261" s="285">
        <v>-2.404834796437191</v>
      </c>
      <c r="C3261" s="285">
        <v>2.1471135003259336</v>
      </c>
      <c r="D3261" s="285">
        <v>0.65112598758146611</v>
      </c>
      <c r="E3261" s="285">
        <v>-2.2674048836189287</v>
      </c>
    </row>
    <row r="3262" spans="1:5">
      <c r="A3262" s="284">
        <f t="shared" si="1041"/>
        <v>3194</v>
      </c>
      <c r="B3262" s="285">
        <v>2.0263397906951299</v>
      </c>
      <c r="C3262" s="285">
        <v>2.7204452550000031</v>
      </c>
      <c r="D3262" s="285">
        <v>2.2764216809927329</v>
      </c>
      <c r="E3262" s="285">
        <v>-2.0132483597269677</v>
      </c>
    </row>
    <row r="3263" spans="1:5">
      <c r="A3263" s="284">
        <f t="shared" si="1041"/>
        <v>3195</v>
      </c>
      <c r="B3263" s="285">
        <v>3.510525452949262</v>
      </c>
      <c r="C3263" s="285">
        <v>2.4809766204685992</v>
      </c>
      <c r="D3263" s="285">
        <v>2.7776735581515091</v>
      </c>
      <c r="E3263" s="285">
        <v>-4.5119964817147888</v>
      </c>
    </row>
    <row r="3264" spans="1:5">
      <c r="A3264" s="284">
        <f t="shared" si="1041"/>
        <v>3196</v>
      </c>
      <c r="B3264" s="285">
        <v>-0.92701133665134483</v>
      </c>
      <c r="C3264" s="285">
        <v>2.9066023790732047</v>
      </c>
      <c r="D3264" s="285">
        <v>1.2693005298517623</v>
      </c>
      <c r="E3264" s="285">
        <v>-5.9463724893405967</v>
      </c>
    </row>
    <row r="3265" spans="1:5">
      <c r="A3265" s="284">
        <f t="shared" si="1041"/>
        <v>3197</v>
      </c>
      <c r="B3265" s="285">
        <v>3.6522821089938495</v>
      </c>
      <c r="C3265" s="285">
        <v>3.312605158273489</v>
      </c>
      <c r="D3265" s="285">
        <v>2.8173360990390726</v>
      </c>
      <c r="E3265" s="285">
        <v>-8.3113932563820327</v>
      </c>
    </row>
    <row r="3266" spans="1:5">
      <c r="A3266" s="284">
        <f t="shared" si="1041"/>
        <v>3198</v>
      </c>
      <c r="B3266" s="285">
        <v>-3.6752555240587612</v>
      </c>
      <c r="C3266" s="285">
        <v>2.0037274329353698</v>
      </c>
      <c r="D3266" s="285">
        <v>1.3304561890857176</v>
      </c>
      <c r="E3266" s="285">
        <v>-9.9783083715506624</v>
      </c>
    </row>
    <row r="3267" spans="1:5">
      <c r="A3267" s="284">
        <f t="shared" si="1041"/>
        <v>3199</v>
      </c>
      <c r="B3267" s="285">
        <v>2.215901864614497</v>
      </c>
      <c r="C3267" s="285">
        <v>1.8540225167340991</v>
      </c>
      <c r="D3267" s="285">
        <v>3.1958028558042155</v>
      </c>
      <c r="E3267" s="285">
        <v>-21.554376294841852</v>
      </c>
    </row>
    <row r="3268" spans="1:5">
      <c r="A3268" s="284">
        <f t="shared" si="1041"/>
        <v>3200</v>
      </c>
      <c r="B3268" s="285">
        <v>0.1649279121068114</v>
      </c>
      <c r="C3268" s="285">
        <v>2.5187411388725844</v>
      </c>
      <c r="D3268" s="285">
        <v>1.3545972940061022</v>
      </c>
      <c r="E3268" s="285">
        <v>0.63063055580205463</v>
      </c>
    </row>
    <row r="3269" spans="1:5">
      <c r="A3269" s="284">
        <f t="shared" si="1041"/>
        <v>3201</v>
      </c>
      <c r="B3269" s="285">
        <v>2.9451181655951366</v>
      </c>
      <c r="C3269" s="285">
        <v>2.4694873436672964</v>
      </c>
      <c r="D3269" s="285">
        <v>2.5106878981563825</v>
      </c>
      <c r="E3269" s="285">
        <v>7.0175344320963688</v>
      </c>
    </row>
    <row r="3270" spans="1:5">
      <c r="A3270" s="284">
        <f t="shared" si="1041"/>
        <v>3202</v>
      </c>
      <c r="B3270" s="285">
        <v>-0.56408873716928765</v>
      </c>
      <c r="C3270" s="285">
        <v>2.88458221635435</v>
      </c>
      <c r="D3270" s="285">
        <v>2.851970679176191</v>
      </c>
      <c r="E3270" s="285">
        <v>-6.1322113662982165</v>
      </c>
    </row>
    <row r="3271" spans="1:5">
      <c r="A3271" s="284">
        <f t="shared" ref="A3271:A3334" si="1042">A3270+1</f>
        <v>3203</v>
      </c>
      <c r="B3271" s="285">
        <v>-1.3187381142157706</v>
      </c>
      <c r="C3271" s="285">
        <v>2.4699149164757315</v>
      </c>
      <c r="D3271" s="285">
        <v>1.011344625243741</v>
      </c>
      <c r="E3271" s="285">
        <v>-6.7931732362546269</v>
      </c>
    </row>
    <row r="3272" spans="1:5">
      <c r="A3272" s="284">
        <f t="shared" si="1042"/>
        <v>3204</v>
      </c>
      <c r="B3272" s="285">
        <v>-1.2731468733414426</v>
      </c>
      <c r="C3272" s="285">
        <v>1.9337556028141256</v>
      </c>
      <c r="D3272" s="285">
        <v>2.7439405804176218</v>
      </c>
      <c r="E3272" s="285">
        <v>-15.687708524171246</v>
      </c>
    </row>
    <row r="3273" spans="1:5">
      <c r="A3273" s="284">
        <f t="shared" si="1042"/>
        <v>3205</v>
      </c>
      <c r="B3273" s="285">
        <v>-1.1274843385677238</v>
      </c>
      <c r="C3273" s="285">
        <v>2.5563156375650053</v>
      </c>
      <c r="D3273" s="285">
        <v>1.4423899125998503</v>
      </c>
      <c r="E3273" s="285">
        <v>-2.7249467236126583</v>
      </c>
    </row>
    <row r="3274" spans="1:5">
      <c r="A3274" s="284">
        <f t="shared" si="1042"/>
        <v>3206</v>
      </c>
      <c r="B3274" s="285">
        <v>-0.79913263146610602</v>
      </c>
      <c r="C3274" s="285">
        <v>1.8147208153665937</v>
      </c>
      <c r="D3274" s="285">
        <v>2.3306388053854179</v>
      </c>
      <c r="E3274" s="285">
        <v>-10.780734347891777</v>
      </c>
    </row>
    <row r="3275" spans="1:5">
      <c r="A3275" s="284">
        <f t="shared" si="1042"/>
        <v>3207</v>
      </c>
      <c r="B3275" s="285">
        <v>8.5912618736731228E-2</v>
      </c>
      <c r="C3275" s="285">
        <v>2.8126258411445484</v>
      </c>
      <c r="D3275" s="285">
        <v>1.4873991068235626</v>
      </c>
      <c r="E3275" s="285">
        <v>2.6042678522394547</v>
      </c>
    </row>
    <row r="3276" spans="1:5">
      <c r="A3276" s="284">
        <f t="shared" si="1042"/>
        <v>3208</v>
      </c>
      <c r="B3276" s="285">
        <v>1.2084356592656915</v>
      </c>
      <c r="C3276" s="285">
        <v>2.5564370885275025</v>
      </c>
      <c r="D3276" s="285">
        <v>2.4029793611008152</v>
      </c>
      <c r="E3276" s="285">
        <v>-6.6624835081990526</v>
      </c>
    </row>
    <row r="3277" spans="1:5">
      <c r="A3277" s="284">
        <f t="shared" si="1042"/>
        <v>3209</v>
      </c>
      <c r="B3277" s="285">
        <v>-6.8929573758924478</v>
      </c>
      <c r="C3277" s="285">
        <v>2.3929330484732292</v>
      </c>
      <c r="D3277" s="285">
        <v>1.6634463939353785</v>
      </c>
      <c r="E3277" s="285">
        <v>7.284094693431161</v>
      </c>
    </row>
    <row r="3278" spans="1:5">
      <c r="A3278" s="284">
        <f t="shared" si="1042"/>
        <v>3210</v>
      </c>
      <c r="B3278" s="285">
        <v>-2.0518110695145491</v>
      </c>
      <c r="C3278" s="285">
        <v>2.1084934065942722</v>
      </c>
      <c r="D3278" s="285">
        <v>1.8901618152642707</v>
      </c>
      <c r="E3278" s="285">
        <v>-17.549760674738529</v>
      </c>
    </row>
    <row r="3279" spans="1:5">
      <c r="A3279" s="284">
        <f t="shared" si="1042"/>
        <v>3211</v>
      </c>
      <c r="B3279" s="285">
        <v>-0.19219246877383106</v>
      </c>
      <c r="C3279" s="285">
        <v>2.342346660438579</v>
      </c>
      <c r="D3279" s="285">
        <v>-1.1160338035201565</v>
      </c>
      <c r="E3279" s="285">
        <v>-16.634344601558489</v>
      </c>
    </row>
    <row r="3280" spans="1:5">
      <c r="A3280" s="284">
        <f t="shared" si="1042"/>
        <v>3212</v>
      </c>
      <c r="B3280" s="285">
        <v>0.93590800516167083</v>
      </c>
      <c r="C3280" s="285">
        <v>2.4793838722103727</v>
      </c>
      <c r="D3280" s="285">
        <v>1.4654399184893188</v>
      </c>
      <c r="E3280" s="285">
        <v>-13.906292876186772</v>
      </c>
    </row>
    <row r="3281" spans="1:5">
      <c r="A3281" s="284">
        <f t="shared" si="1042"/>
        <v>3213</v>
      </c>
      <c r="B3281" s="285">
        <v>-2.3604575400024213</v>
      </c>
      <c r="C3281" s="285">
        <v>1.8373830492278047</v>
      </c>
      <c r="D3281" s="285">
        <v>-1.5144055329970678</v>
      </c>
      <c r="E3281" s="285">
        <v>-13.446892169659488</v>
      </c>
    </row>
    <row r="3282" spans="1:5">
      <c r="A3282" s="284">
        <f t="shared" si="1042"/>
        <v>3214</v>
      </c>
      <c r="B3282" s="285">
        <v>1.2414375556879573</v>
      </c>
      <c r="C3282" s="285">
        <v>2.3643284380599332</v>
      </c>
      <c r="D3282" s="285">
        <v>2.6727625469303238</v>
      </c>
      <c r="E3282" s="285">
        <v>-10.306864337348879</v>
      </c>
    </row>
    <row r="3283" spans="1:5">
      <c r="A3283" s="284">
        <f t="shared" si="1042"/>
        <v>3215</v>
      </c>
      <c r="B3283" s="285">
        <v>-0.40857305508761738</v>
      </c>
      <c r="C3283" s="285">
        <v>3.2134508628119316</v>
      </c>
      <c r="D3283" s="285">
        <v>1.455448904364256</v>
      </c>
      <c r="E3283" s="285">
        <v>8.6642527304049839</v>
      </c>
    </row>
    <row r="3284" spans="1:5">
      <c r="A3284" s="284">
        <f t="shared" si="1042"/>
        <v>3216</v>
      </c>
      <c r="B3284" s="285">
        <v>-1.573620974425459E-2</v>
      </c>
      <c r="C3284" s="285">
        <v>1.8281128497264838</v>
      </c>
      <c r="D3284" s="285">
        <v>1.1186013584502521</v>
      </c>
      <c r="E3284" s="285">
        <v>-18.302536259645187</v>
      </c>
    </row>
    <row r="3285" spans="1:5">
      <c r="A3285" s="284">
        <f t="shared" si="1042"/>
        <v>3217</v>
      </c>
      <c r="B3285" s="285">
        <v>-1.1476523734247086</v>
      </c>
      <c r="C3285" s="285">
        <v>2.7720664027141013</v>
      </c>
      <c r="D3285" s="285">
        <v>1.4031553209060097</v>
      </c>
      <c r="E3285" s="285">
        <v>2.9269003060777039</v>
      </c>
    </row>
    <row r="3286" spans="1:5">
      <c r="A3286" s="284">
        <f t="shared" si="1042"/>
        <v>3218</v>
      </c>
      <c r="B3286" s="285">
        <v>-1.2470113435387689</v>
      </c>
      <c r="C3286" s="285">
        <v>2.1029635442220656</v>
      </c>
      <c r="D3286" s="285">
        <v>0.21310760925005412</v>
      </c>
      <c r="E3286" s="285">
        <v>-5.5952374892230923</v>
      </c>
    </row>
    <row r="3287" spans="1:5">
      <c r="A3287" s="284">
        <f t="shared" si="1042"/>
        <v>3219</v>
      </c>
      <c r="B3287" s="285">
        <v>1.7561710564933315</v>
      </c>
      <c r="C3287" s="285">
        <v>1.9617875548422643</v>
      </c>
      <c r="D3287" s="285">
        <v>3.2418818057068579</v>
      </c>
      <c r="E3287" s="285">
        <v>-22.138734750374468</v>
      </c>
    </row>
    <row r="3288" spans="1:5">
      <c r="A3288" s="284">
        <f t="shared" si="1042"/>
        <v>3220</v>
      </c>
      <c r="B3288" s="285">
        <v>2.6979665586015367</v>
      </c>
      <c r="C3288" s="285">
        <v>2.1238257828522893</v>
      </c>
      <c r="D3288" s="285">
        <v>5.5419159298405241E-2</v>
      </c>
      <c r="E3288" s="285">
        <v>-18.541628371695605</v>
      </c>
    </row>
    <row r="3289" spans="1:5">
      <c r="A3289" s="284">
        <f t="shared" si="1042"/>
        <v>3221</v>
      </c>
      <c r="B3289" s="285">
        <v>0.3866589979789391</v>
      </c>
      <c r="C3289" s="285">
        <v>2.0672338262783421</v>
      </c>
      <c r="D3289" s="285">
        <v>2.0042026098160157</v>
      </c>
      <c r="E3289" s="285">
        <v>-23.281615206714942</v>
      </c>
    </row>
    <row r="3290" spans="1:5">
      <c r="A3290" s="284">
        <f t="shared" si="1042"/>
        <v>3222</v>
      </c>
      <c r="B3290" s="285">
        <v>0.13887769605667807</v>
      </c>
      <c r="C3290" s="285">
        <v>2.5609933887548029</v>
      </c>
      <c r="D3290" s="285">
        <v>2.0501157500084348</v>
      </c>
      <c r="E3290" s="285">
        <v>-0.69945754247144842</v>
      </c>
    </row>
    <row r="3291" spans="1:5">
      <c r="A3291" s="284">
        <f t="shared" si="1042"/>
        <v>3223</v>
      </c>
      <c r="B3291" s="285">
        <v>2.0140650645378342</v>
      </c>
      <c r="C3291" s="285">
        <v>2.6625679228112737</v>
      </c>
      <c r="D3291" s="285">
        <v>0.33371299731627946</v>
      </c>
      <c r="E3291" s="285">
        <v>-15.9619166911211</v>
      </c>
    </row>
    <row r="3292" spans="1:5">
      <c r="A3292" s="284">
        <f t="shared" si="1042"/>
        <v>3224</v>
      </c>
      <c r="B3292" s="285">
        <v>2.1343591402431468</v>
      </c>
      <c r="C3292" s="285">
        <v>2.5716002473324053</v>
      </c>
      <c r="D3292" s="285">
        <v>0.37735510187179877</v>
      </c>
      <c r="E3292" s="285">
        <v>-3.5681267720364853</v>
      </c>
    </row>
    <row r="3293" spans="1:5">
      <c r="A3293" s="284">
        <f t="shared" si="1042"/>
        <v>3225</v>
      </c>
      <c r="B3293" s="285">
        <v>-3.2145656787190999</v>
      </c>
      <c r="C3293" s="285">
        <v>2.395336856856995</v>
      </c>
      <c r="D3293" s="285">
        <v>0.66626213352638131</v>
      </c>
      <c r="E3293" s="285">
        <v>1.1737357042093985</v>
      </c>
    </row>
    <row r="3294" spans="1:5">
      <c r="A3294" s="284">
        <f t="shared" si="1042"/>
        <v>3226</v>
      </c>
      <c r="B3294" s="285">
        <v>1.7304423442005332</v>
      </c>
      <c r="C3294" s="285">
        <v>2.3180705812513591</v>
      </c>
      <c r="D3294" s="285">
        <v>2.0448397663385878</v>
      </c>
      <c r="E3294" s="285">
        <v>-11.535519333601755</v>
      </c>
    </row>
    <row r="3295" spans="1:5">
      <c r="A3295" s="284">
        <f t="shared" si="1042"/>
        <v>3227</v>
      </c>
      <c r="B3295" s="285">
        <v>-3.2868076555664838</v>
      </c>
      <c r="C3295" s="285">
        <v>2.7162518474862072</v>
      </c>
      <c r="D3295" s="285">
        <v>0.72702036111920298</v>
      </c>
      <c r="E3295" s="285">
        <v>0.42102018139379105</v>
      </c>
    </row>
    <row r="3296" spans="1:5">
      <c r="A3296" s="284">
        <f t="shared" si="1042"/>
        <v>3228</v>
      </c>
      <c r="B3296" s="285">
        <v>4.1687030581571936</v>
      </c>
      <c r="C3296" s="285">
        <v>3.5401132461710842</v>
      </c>
      <c r="D3296" s="285">
        <v>2.2230337075691939</v>
      </c>
      <c r="E3296" s="285">
        <v>7.4150147518179139</v>
      </c>
    </row>
    <row r="3297" spans="1:5">
      <c r="A3297" s="284">
        <f t="shared" si="1042"/>
        <v>3229</v>
      </c>
      <c r="B3297" s="285">
        <v>2.2340774984633942</v>
      </c>
      <c r="C3297" s="285">
        <v>2.7122699855181875</v>
      </c>
      <c r="D3297" s="285">
        <v>0.93998387077176737</v>
      </c>
      <c r="E3297" s="285">
        <v>-4.5086856500111692</v>
      </c>
    </row>
    <row r="3298" spans="1:5">
      <c r="A3298" s="284">
        <f t="shared" si="1042"/>
        <v>3230</v>
      </c>
      <c r="B3298" s="285">
        <v>-4.0646627512623619</v>
      </c>
      <c r="C3298" s="285">
        <v>2.1867177994513978</v>
      </c>
      <c r="D3298" s="285">
        <v>0.21936412624650647</v>
      </c>
      <c r="E3298" s="285">
        <v>-9.8330647794123696</v>
      </c>
    </row>
    <row r="3299" spans="1:5">
      <c r="A3299" s="284">
        <f t="shared" si="1042"/>
        <v>3231</v>
      </c>
      <c r="B3299" s="285">
        <v>3.6675465366500846</v>
      </c>
      <c r="C3299" s="285">
        <v>2.7906843085703441</v>
      </c>
      <c r="D3299" s="285">
        <v>0.3437656107683682</v>
      </c>
      <c r="E3299" s="285">
        <v>-3.1819953200511133</v>
      </c>
    </row>
    <row r="3300" spans="1:5">
      <c r="A3300" s="284">
        <f t="shared" si="1042"/>
        <v>3232</v>
      </c>
      <c r="B3300" s="285">
        <v>-2.9232457421333362</v>
      </c>
      <c r="C3300" s="285">
        <v>2.0334277041099509</v>
      </c>
      <c r="D3300" s="285">
        <v>-9.8049621225628547E-2</v>
      </c>
      <c r="E3300" s="285">
        <v>-10.885437176401178</v>
      </c>
    </row>
    <row r="3301" spans="1:5">
      <c r="A3301" s="284">
        <f t="shared" si="1042"/>
        <v>3233</v>
      </c>
      <c r="B3301" s="285">
        <v>-2.22892630359223</v>
      </c>
      <c r="C3301" s="285">
        <v>2.8834139258645344</v>
      </c>
      <c r="D3301" s="285">
        <v>2.0194221882532521</v>
      </c>
      <c r="E3301" s="285">
        <v>10.225318669401702</v>
      </c>
    </row>
    <row r="3302" spans="1:5">
      <c r="A3302" s="284">
        <f t="shared" si="1042"/>
        <v>3234</v>
      </c>
      <c r="B3302" s="285">
        <v>2.9168072105720069</v>
      </c>
      <c r="C3302" s="285">
        <v>2.5561444577853547</v>
      </c>
      <c r="D3302" s="285">
        <v>2.2761583178604323</v>
      </c>
      <c r="E3302" s="285">
        <v>4.9877701753990422</v>
      </c>
    </row>
    <row r="3303" spans="1:5">
      <c r="A3303" s="284">
        <f t="shared" si="1042"/>
        <v>3235</v>
      </c>
      <c r="B3303" s="285">
        <v>-0.70953271270255003</v>
      </c>
      <c r="C3303" s="285">
        <v>2.3850425189949691</v>
      </c>
      <c r="D3303" s="285">
        <v>0.47498974402524163</v>
      </c>
      <c r="E3303" s="285">
        <v>-5.822400049137423</v>
      </c>
    </row>
    <row r="3304" spans="1:5">
      <c r="A3304" s="284">
        <f t="shared" si="1042"/>
        <v>3236</v>
      </c>
      <c r="B3304" s="285">
        <v>-3.5965128345436352</v>
      </c>
      <c r="C3304" s="285">
        <v>2.2246266472706613</v>
      </c>
      <c r="D3304" s="285">
        <v>1.6212076572807375</v>
      </c>
      <c r="E3304" s="285">
        <v>-3.0884547953785164</v>
      </c>
    </row>
    <row r="3305" spans="1:5">
      <c r="A3305" s="284">
        <f t="shared" si="1042"/>
        <v>3237</v>
      </c>
      <c r="B3305" s="285">
        <v>1.4289091167081556</v>
      </c>
      <c r="C3305" s="285">
        <v>3.3994870610933097</v>
      </c>
      <c r="D3305" s="285">
        <v>0.38265816529740815</v>
      </c>
      <c r="E3305" s="285">
        <v>8.1429350560263085</v>
      </c>
    </row>
    <row r="3306" spans="1:5">
      <c r="A3306" s="284">
        <f t="shared" si="1042"/>
        <v>3238</v>
      </c>
      <c r="B3306" s="285">
        <v>3.5723813215540101</v>
      </c>
      <c r="C3306" s="285">
        <v>3.1085218718615266</v>
      </c>
      <c r="D3306" s="285">
        <v>0.736860557354449</v>
      </c>
      <c r="E3306" s="285">
        <v>3.015855143428634</v>
      </c>
    </row>
    <row r="3307" spans="1:5">
      <c r="A3307" s="284">
        <f t="shared" si="1042"/>
        <v>3239</v>
      </c>
      <c r="B3307" s="285">
        <v>0.85525521095706136</v>
      </c>
      <c r="C3307" s="285">
        <v>2.8802513451419451</v>
      </c>
      <c r="D3307" s="285">
        <v>1.1784056914189316</v>
      </c>
      <c r="E3307" s="285">
        <v>-2.5392562715464799</v>
      </c>
    </row>
    <row r="3308" spans="1:5">
      <c r="A3308" s="284">
        <f t="shared" si="1042"/>
        <v>3240</v>
      </c>
      <c r="B3308" s="285">
        <v>-1.9700327449530439</v>
      </c>
      <c r="C3308" s="285">
        <v>2.1654568374939034</v>
      </c>
      <c r="D3308" s="285">
        <v>-0.42416807447204841</v>
      </c>
      <c r="E3308" s="285">
        <v>-3.7794276620987275</v>
      </c>
    </row>
    <row r="3309" spans="1:5">
      <c r="A3309" s="284">
        <f t="shared" si="1042"/>
        <v>3241</v>
      </c>
      <c r="B3309" s="285">
        <v>-0.28574939939860988</v>
      </c>
      <c r="C3309" s="285">
        <v>1.9844676609194931</v>
      </c>
      <c r="D3309" s="285">
        <v>4.1061607933542126</v>
      </c>
      <c r="E3309" s="285">
        <v>-16.645359944316013</v>
      </c>
    </row>
    <row r="3310" spans="1:5">
      <c r="A3310" s="284">
        <f t="shared" si="1042"/>
        <v>3242</v>
      </c>
      <c r="B3310" s="285">
        <v>-1.0992393474583697</v>
      </c>
      <c r="C3310" s="285">
        <v>2.0793312039176324</v>
      </c>
      <c r="D3310" s="285">
        <v>0.69359543044644378</v>
      </c>
      <c r="E3310" s="285">
        <v>-3.7060141539354468</v>
      </c>
    </row>
    <row r="3311" spans="1:5">
      <c r="A3311" s="284">
        <f t="shared" si="1042"/>
        <v>3243</v>
      </c>
      <c r="B3311" s="285">
        <v>1.8596091525081491</v>
      </c>
      <c r="C3311" s="285">
        <v>2.1084653648529494</v>
      </c>
      <c r="D3311" s="285">
        <v>2.1556463380775166</v>
      </c>
      <c r="E3311" s="285">
        <v>-11.349968429977752</v>
      </c>
    </row>
    <row r="3312" spans="1:5">
      <c r="A3312" s="284">
        <f t="shared" si="1042"/>
        <v>3244</v>
      </c>
      <c r="B3312" s="285">
        <v>3.4579951791988961</v>
      </c>
      <c r="C3312" s="285">
        <v>2.6514117601335103</v>
      </c>
      <c r="D3312" s="285">
        <v>2.7329332444576471</v>
      </c>
      <c r="E3312" s="285">
        <v>4.0240339965023697</v>
      </c>
    </row>
    <row r="3313" spans="1:5">
      <c r="A3313" s="284">
        <f t="shared" si="1042"/>
        <v>3245</v>
      </c>
      <c r="B3313" s="285">
        <v>-0.50028666507948572</v>
      </c>
      <c r="C3313" s="285">
        <v>2.5654954684761377</v>
      </c>
      <c r="D3313" s="285">
        <v>-0.31683296921227333</v>
      </c>
      <c r="E3313" s="285">
        <v>-8.2891884635225832</v>
      </c>
    </row>
    <row r="3314" spans="1:5">
      <c r="A3314" s="284">
        <f t="shared" si="1042"/>
        <v>3246</v>
      </c>
      <c r="B3314" s="285">
        <v>-1.5807258130675155</v>
      </c>
      <c r="C3314" s="285">
        <v>2.4651802567986891</v>
      </c>
      <c r="D3314" s="285">
        <v>-0.49111430106954823</v>
      </c>
      <c r="E3314" s="285">
        <v>-2.6029962669698845</v>
      </c>
    </row>
    <row r="3315" spans="1:5">
      <c r="A3315" s="284">
        <f t="shared" si="1042"/>
        <v>3247</v>
      </c>
      <c r="B3315" s="285">
        <v>0.48742052687769322</v>
      </c>
      <c r="C3315" s="285">
        <v>3.4007046527409814</v>
      </c>
      <c r="D3315" s="285">
        <v>3.3474707875636138</v>
      </c>
      <c r="E3315" s="285">
        <v>6.8165032332188193</v>
      </c>
    </row>
    <row r="3316" spans="1:5">
      <c r="A3316" s="284">
        <f t="shared" si="1042"/>
        <v>3248</v>
      </c>
      <c r="B3316" s="285">
        <v>-2.9782195981743738</v>
      </c>
      <c r="C3316" s="285">
        <v>2.0814935332211677</v>
      </c>
      <c r="D3316" s="285">
        <v>-1.1990657288052819E-2</v>
      </c>
      <c r="E3316" s="285">
        <v>-22.177239417702495</v>
      </c>
    </row>
    <row r="3317" spans="1:5">
      <c r="A3317" s="284">
        <f t="shared" si="1042"/>
        <v>3249</v>
      </c>
      <c r="B3317" s="285">
        <v>-2.4786889107967625</v>
      </c>
      <c r="C3317" s="285">
        <v>2.5238580878002552</v>
      </c>
      <c r="D3317" s="285">
        <v>2.127935917502171</v>
      </c>
      <c r="E3317" s="285">
        <v>-3.0475385245592603</v>
      </c>
    </row>
    <row r="3318" spans="1:5">
      <c r="A3318" s="284">
        <f t="shared" si="1042"/>
        <v>3250</v>
      </c>
      <c r="B3318" s="285">
        <v>2.7675142538400581</v>
      </c>
      <c r="C3318" s="285">
        <v>3.1276110968350417</v>
      </c>
      <c r="D3318" s="285">
        <v>1.4375153594489396</v>
      </c>
      <c r="E3318" s="285">
        <v>4.5171844494528894</v>
      </c>
    </row>
    <row r="3319" spans="1:5">
      <c r="A3319" s="284">
        <f t="shared" si="1042"/>
        <v>3251</v>
      </c>
      <c r="B3319" s="285">
        <v>2.7258306731475144</v>
      </c>
      <c r="C3319" s="285">
        <v>2.6703577766803144</v>
      </c>
      <c r="D3319" s="285">
        <v>0.32496238740266303</v>
      </c>
      <c r="E3319" s="285">
        <v>-8.561759798197361</v>
      </c>
    </row>
    <row r="3320" spans="1:5">
      <c r="A3320" s="284">
        <f t="shared" si="1042"/>
        <v>3252</v>
      </c>
      <c r="B3320" s="285">
        <v>-4.9688408102870261</v>
      </c>
      <c r="C3320" s="285">
        <v>2.4530554246413061</v>
      </c>
      <c r="D3320" s="285">
        <v>-2.04306978203903</v>
      </c>
      <c r="E3320" s="285">
        <v>0.44202263272686348</v>
      </c>
    </row>
    <row r="3321" spans="1:5">
      <c r="A3321" s="284">
        <f t="shared" si="1042"/>
        <v>3253</v>
      </c>
      <c r="B3321" s="285">
        <v>-3.2715350095765232</v>
      </c>
      <c r="C3321" s="285">
        <v>2.0904816640195518</v>
      </c>
      <c r="D3321" s="285">
        <v>2.7455836445593258</v>
      </c>
      <c r="E3321" s="285">
        <v>-19.91612819503813</v>
      </c>
    </row>
    <row r="3322" spans="1:5">
      <c r="A3322" s="284">
        <f t="shared" si="1042"/>
        <v>3254</v>
      </c>
      <c r="B3322" s="285">
        <v>6.5870529447041706E-2</v>
      </c>
      <c r="C3322" s="285">
        <v>2.624957327606781</v>
      </c>
      <c r="D3322" s="285">
        <v>1.0012176426433761</v>
      </c>
      <c r="E3322" s="285">
        <v>-3.315954364517133</v>
      </c>
    </row>
    <row r="3323" spans="1:5">
      <c r="A3323" s="284">
        <f t="shared" si="1042"/>
        <v>3255</v>
      </c>
      <c r="B3323" s="285">
        <v>-6.0078922654178815</v>
      </c>
      <c r="C3323" s="285">
        <v>1.9522442154491566</v>
      </c>
      <c r="D3323" s="285">
        <v>2.5620344402327802</v>
      </c>
      <c r="E3323" s="285">
        <v>-2.2733796935789115</v>
      </c>
    </row>
    <row r="3324" spans="1:5">
      <c r="A3324" s="284">
        <f t="shared" si="1042"/>
        <v>3256</v>
      </c>
      <c r="B3324" s="285">
        <v>5.0542058667725707</v>
      </c>
      <c r="C3324" s="285">
        <v>3.2814932421492502</v>
      </c>
      <c r="D3324" s="285">
        <v>0.59756719721673246</v>
      </c>
      <c r="E3324" s="285">
        <v>9.2122665528979795</v>
      </c>
    </row>
    <row r="3325" spans="1:5">
      <c r="A3325" s="284">
        <f t="shared" si="1042"/>
        <v>3257</v>
      </c>
      <c r="B3325" s="285">
        <v>0.41878733595511775</v>
      </c>
      <c r="C3325" s="285">
        <v>2.9814439757343889</v>
      </c>
      <c r="D3325" s="285">
        <v>2.0915629767820194</v>
      </c>
      <c r="E3325" s="285">
        <v>3.7086262856482546</v>
      </c>
    </row>
    <row r="3326" spans="1:5">
      <c r="A3326" s="284">
        <f t="shared" si="1042"/>
        <v>3258</v>
      </c>
      <c r="B3326" s="285">
        <v>-4.3374263221952578</v>
      </c>
      <c r="C3326" s="285">
        <v>1.7407443704827905</v>
      </c>
      <c r="D3326" s="285">
        <v>1.7644417172456972</v>
      </c>
      <c r="E3326" s="285">
        <v>-6.8456770748771589</v>
      </c>
    </row>
    <row r="3327" spans="1:5">
      <c r="A3327" s="284">
        <f t="shared" si="1042"/>
        <v>3259</v>
      </c>
      <c r="B3327" s="285">
        <v>-0.49186264258660334</v>
      </c>
      <c r="C3327" s="285">
        <v>1.9863959928835233</v>
      </c>
      <c r="D3327" s="285">
        <v>1.7841311359658309</v>
      </c>
      <c r="E3327" s="285">
        <v>-4.9468502032454449</v>
      </c>
    </row>
    <row r="3328" spans="1:5">
      <c r="A3328" s="284">
        <f t="shared" si="1042"/>
        <v>3260</v>
      </c>
      <c r="B3328" s="285">
        <v>0.754250000205411</v>
      </c>
      <c r="C3328" s="285">
        <v>2.8946418200717021</v>
      </c>
      <c r="D3328" s="285">
        <v>0.30443739927971125</v>
      </c>
      <c r="E3328" s="285">
        <v>10.229055820049528</v>
      </c>
    </row>
    <row r="3329" spans="1:5">
      <c r="A3329" s="284">
        <f t="shared" si="1042"/>
        <v>3261</v>
      </c>
      <c r="B3329" s="285">
        <v>3.0480188269797601</v>
      </c>
      <c r="C3329" s="285">
        <v>2.6860707182582928</v>
      </c>
      <c r="D3329" s="285">
        <v>2.7550908675091312</v>
      </c>
      <c r="E3329" s="285">
        <v>-6.1682960609380721</v>
      </c>
    </row>
    <row r="3330" spans="1:5">
      <c r="A3330" s="284">
        <f t="shared" si="1042"/>
        <v>3262</v>
      </c>
      <c r="B3330" s="285">
        <v>5.5158042943072383</v>
      </c>
      <c r="C3330" s="285">
        <v>3.7879008477748011</v>
      </c>
      <c r="D3330" s="285">
        <v>0.66104940688954372</v>
      </c>
      <c r="E3330" s="285">
        <v>17.821474709616115</v>
      </c>
    </row>
    <row r="3331" spans="1:5">
      <c r="A3331" s="284">
        <f t="shared" si="1042"/>
        <v>3263</v>
      </c>
      <c r="B3331" s="285">
        <v>1.7716524067432355</v>
      </c>
      <c r="C3331" s="285">
        <v>2.7965820253756628</v>
      </c>
      <c r="D3331" s="285">
        <v>1.5434307055262053</v>
      </c>
      <c r="E3331" s="285">
        <v>-3.2507172689565533</v>
      </c>
    </row>
    <row r="3332" spans="1:5">
      <c r="A3332" s="284">
        <f t="shared" si="1042"/>
        <v>3264</v>
      </c>
      <c r="B3332" s="285">
        <v>0.12376508492371464</v>
      </c>
      <c r="C3332" s="285">
        <v>2.8854257151904825</v>
      </c>
      <c r="D3332" s="285">
        <v>3.178026310487692</v>
      </c>
      <c r="E3332" s="285">
        <v>3.5144537284872919</v>
      </c>
    </row>
    <row r="3333" spans="1:5">
      <c r="A3333" s="284">
        <f t="shared" si="1042"/>
        <v>3265</v>
      </c>
      <c r="B3333" s="285">
        <v>1.4492466575851075</v>
      </c>
      <c r="C3333" s="285">
        <v>2.8638432986031108</v>
      </c>
      <c r="D3333" s="285">
        <v>0.90359935162940219</v>
      </c>
      <c r="E3333" s="285">
        <v>-1.1247952526258556</v>
      </c>
    </row>
    <row r="3334" spans="1:5">
      <c r="A3334" s="284">
        <f t="shared" si="1042"/>
        <v>3266</v>
      </c>
      <c r="B3334" s="285">
        <v>1.7763163730145282</v>
      </c>
      <c r="C3334" s="285">
        <v>2.9379559483616351</v>
      </c>
      <c r="D3334" s="285">
        <v>1.3467149144039268</v>
      </c>
      <c r="E3334" s="285">
        <v>2.318875922052134</v>
      </c>
    </row>
    <row r="3335" spans="1:5">
      <c r="A3335" s="284">
        <f t="shared" ref="A3335:A3398" si="1043">A3334+1</f>
        <v>3267</v>
      </c>
      <c r="B3335" s="285">
        <v>3.0412637126234414</v>
      </c>
      <c r="C3335" s="285">
        <v>3.2638492910417138</v>
      </c>
      <c r="D3335" s="285">
        <v>-0.18230683705510131</v>
      </c>
      <c r="E3335" s="285">
        <v>2.6735560797765321</v>
      </c>
    </row>
    <row r="3336" spans="1:5">
      <c r="A3336" s="284">
        <f t="shared" si="1043"/>
        <v>3268</v>
      </c>
      <c r="B3336" s="285">
        <v>3.1913249762029965</v>
      </c>
      <c r="C3336" s="285">
        <v>2.9130441804552429</v>
      </c>
      <c r="D3336" s="285">
        <v>2.8001972533192716</v>
      </c>
      <c r="E3336" s="285">
        <v>4.397144255514652</v>
      </c>
    </row>
    <row r="3337" spans="1:5">
      <c r="A3337" s="284">
        <f t="shared" si="1043"/>
        <v>3269</v>
      </c>
      <c r="B3337" s="285">
        <v>3.4055026751928095</v>
      </c>
      <c r="C3337" s="285">
        <v>3.2948145675322427</v>
      </c>
      <c r="D3337" s="285">
        <v>2.1557544638647994</v>
      </c>
      <c r="E3337" s="285">
        <v>9.986649893547872E-2</v>
      </c>
    </row>
    <row r="3338" spans="1:5">
      <c r="A3338" s="284">
        <f t="shared" si="1043"/>
        <v>3270</v>
      </c>
      <c r="B3338" s="285">
        <v>0.41309919530851658</v>
      </c>
      <c r="C3338" s="285">
        <v>2.2060560648933296</v>
      </c>
      <c r="D3338" s="285">
        <v>3.0339713633744934</v>
      </c>
      <c r="E3338" s="285">
        <v>-14.480782779557513</v>
      </c>
    </row>
    <row r="3339" spans="1:5">
      <c r="A3339" s="284">
        <f t="shared" si="1043"/>
        <v>3271</v>
      </c>
      <c r="B3339" s="285">
        <v>-1.1766599227070518</v>
      </c>
      <c r="C3339" s="285">
        <v>2.5961735205423651</v>
      </c>
      <c r="D3339" s="285">
        <v>1.2243514599361718</v>
      </c>
      <c r="E3339" s="285">
        <v>-2.8084609963698384</v>
      </c>
    </row>
    <row r="3340" spans="1:5">
      <c r="A3340" s="284">
        <f t="shared" si="1043"/>
        <v>3272</v>
      </c>
      <c r="B3340" s="285">
        <v>-0.9012779255699167</v>
      </c>
      <c r="C3340" s="285">
        <v>2.6788207047262822</v>
      </c>
      <c r="D3340" s="285">
        <v>2.5582257477967096</v>
      </c>
      <c r="E3340" s="285">
        <v>7.8659261050328197</v>
      </c>
    </row>
    <row r="3341" spans="1:5">
      <c r="A3341" s="284">
        <f t="shared" si="1043"/>
        <v>3273</v>
      </c>
      <c r="B3341" s="285">
        <v>-0.97222265983004474</v>
      </c>
      <c r="C3341" s="285">
        <v>2.0885961828640345</v>
      </c>
      <c r="D3341" s="285">
        <v>0.36552740328759503</v>
      </c>
      <c r="E3341" s="285">
        <v>-10.069147019546492</v>
      </c>
    </row>
    <row r="3342" spans="1:5">
      <c r="A3342" s="284">
        <f t="shared" si="1043"/>
        <v>3274</v>
      </c>
      <c r="B3342" s="285">
        <v>2.3948976163100384</v>
      </c>
      <c r="C3342" s="285">
        <v>2.1762287201940618</v>
      </c>
      <c r="D3342" s="285">
        <v>1.4948596354340817</v>
      </c>
      <c r="E3342" s="285">
        <v>-16.316012006620912</v>
      </c>
    </row>
    <row r="3343" spans="1:5">
      <c r="A3343" s="284">
        <f t="shared" si="1043"/>
        <v>3275</v>
      </c>
      <c r="B3343" s="285">
        <v>0.51112670339894972</v>
      </c>
      <c r="C3343" s="285">
        <v>2.6667231227308483</v>
      </c>
      <c r="D3343" s="285">
        <v>1.6298095831701811</v>
      </c>
      <c r="E3343" s="285">
        <v>-6.5820132467037391</v>
      </c>
    </row>
    <row r="3344" spans="1:5">
      <c r="A3344" s="284">
        <f t="shared" si="1043"/>
        <v>3276</v>
      </c>
      <c r="B3344" s="285">
        <v>7.9918636182531491E-2</v>
      </c>
      <c r="C3344" s="285">
        <v>2.3894257127306533</v>
      </c>
      <c r="D3344" s="285">
        <v>2.2969680993790988</v>
      </c>
      <c r="E3344" s="285">
        <v>-16.876789523345085</v>
      </c>
    </row>
    <row r="3345" spans="1:5">
      <c r="A3345" s="284">
        <f t="shared" si="1043"/>
        <v>3277</v>
      </c>
      <c r="B3345" s="285">
        <v>-2.8310878169387339E-2</v>
      </c>
      <c r="C3345" s="285">
        <v>2.7441671073569518</v>
      </c>
      <c r="D3345" s="285">
        <v>3.1889733913049261</v>
      </c>
      <c r="E3345" s="285">
        <v>2.8403483668474938</v>
      </c>
    </row>
    <row r="3346" spans="1:5">
      <c r="A3346" s="284">
        <f t="shared" si="1043"/>
        <v>3278</v>
      </c>
      <c r="B3346" s="285">
        <v>0.66410730431095866</v>
      </c>
      <c r="C3346" s="285">
        <v>2.2227424566245286</v>
      </c>
      <c r="D3346" s="285">
        <v>2.1480240734116114</v>
      </c>
      <c r="E3346" s="285">
        <v>-14.364417522874476</v>
      </c>
    </row>
    <row r="3347" spans="1:5">
      <c r="A3347" s="284">
        <f t="shared" si="1043"/>
        <v>3279</v>
      </c>
      <c r="B3347" s="285">
        <v>1.7450178999797594</v>
      </c>
      <c r="C3347" s="285">
        <v>3.1863833809305522</v>
      </c>
      <c r="D3347" s="285">
        <v>1.9436846245495458</v>
      </c>
      <c r="E3347" s="285">
        <v>6.925263208259933</v>
      </c>
    </row>
    <row r="3348" spans="1:5">
      <c r="A3348" s="284">
        <f t="shared" si="1043"/>
        <v>3280</v>
      </c>
      <c r="B3348" s="285">
        <v>0.14155371917749532</v>
      </c>
      <c r="C3348" s="285">
        <v>2.4437135537954902</v>
      </c>
      <c r="D3348" s="285">
        <v>2.2413416803444637</v>
      </c>
      <c r="E3348" s="285">
        <v>-3.0609596516110926</v>
      </c>
    </row>
    <row r="3349" spans="1:5">
      <c r="A3349" s="284">
        <f t="shared" si="1043"/>
        <v>3281</v>
      </c>
      <c r="B3349" s="285">
        <v>-0.5189427792663821</v>
      </c>
      <c r="C3349" s="285">
        <v>0.82897389940538346</v>
      </c>
      <c r="D3349" s="285">
        <v>2.4909877226273833</v>
      </c>
      <c r="E3349" s="285">
        <v>-34.224586024625495</v>
      </c>
    </row>
    <row r="3350" spans="1:5">
      <c r="A3350" s="284">
        <f t="shared" si="1043"/>
        <v>3282</v>
      </c>
      <c r="B3350" s="285">
        <v>2.0416600499497486</v>
      </c>
      <c r="C3350" s="285">
        <v>2.1758091922017635</v>
      </c>
      <c r="D3350" s="285">
        <v>4.8218806571755808</v>
      </c>
      <c r="E3350" s="285">
        <v>-4.0381997805703715</v>
      </c>
    </row>
    <row r="3351" spans="1:5">
      <c r="A3351" s="284">
        <f t="shared" si="1043"/>
        <v>3283</v>
      </c>
      <c r="B3351" s="285">
        <v>-0.1261761775000223</v>
      </c>
      <c r="C3351" s="285">
        <v>2.6046923556475279</v>
      </c>
      <c r="D3351" s="285">
        <v>1.0678564196585567</v>
      </c>
      <c r="E3351" s="285">
        <v>10.058827968097019</v>
      </c>
    </row>
    <row r="3352" spans="1:5">
      <c r="A3352" s="284">
        <f t="shared" si="1043"/>
        <v>3284</v>
      </c>
      <c r="B3352" s="285">
        <v>1.8018370148238942</v>
      </c>
      <c r="C3352" s="285">
        <v>2.5175714269848655</v>
      </c>
      <c r="D3352" s="285">
        <v>2.0552166370275522</v>
      </c>
      <c r="E3352" s="285">
        <v>-3.0207952384936259</v>
      </c>
    </row>
    <row r="3353" spans="1:5">
      <c r="A3353" s="284">
        <f t="shared" si="1043"/>
        <v>3285</v>
      </c>
      <c r="B3353" s="285">
        <v>0.6889790372964989</v>
      </c>
      <c r="C3353" s="285">
        <v>2.1506500097189449</v>
      </c>
      <c r="D3353" s="285">
        <v>3.7645119632019277</v>
      </c>
      <c r="E3353" s="285">
        <v>-11.14892349482513</v>
      </c>
    </row>
    <row r="3354" spans="1:5">
      <c r="A3354" s="284">
        <f t="shared" si="1043"/>
        <v>3286</v>
      </c>
      <c r="B3354" s="285">
        <v>2.3271449699765374</v>
      </c>
      <c r="C3354" s="285">
        <v>3.1778738438156378</v>
      </c>
      <c r="D3354" s="285">
        <v>3.0641261064233971</v>
      </c>
      <c r="E3354" s="285">
        <v>0.73464373321588994</v>
      </c>
    </row>
    <row r="3355" spans="1:5">
      <c r="A3355" s="284">
        <f t="shared" si="1043"/>
        <v>3287</v>
      </c>
      <c r="B3355" s="285">
        <v>-1.9212031024521681</v>
      </c>
      <c r="C3355" s="285">
        <v>2.6600066915236118</v>
      </c>
      <c r="D3355" s="285">
        <v>0.48794155142605811</v>
      </c>
      <c r="E3355" s="285">
        <v>-7.0820719129071108</v>
      </c>
    </row>
    <row r="3356" spans="1:5">
      <c r="A3356" s="284">
        <f t="shared" si="1043"/>
        <v>3288</v>
      </c>
      <c r="B3356" s="285">
        <v>-1.0911229221777925</v>
      </c>
      <c r="C3356" s="285">
        <v>1.9772324903895175</v>
      </c>
      <c r="D3356" s="285">
        <v>-0.7990781230850037</v>
      </c>
      <c r="E3356" s="285">
        <v>-21.036978731377705</v>
      </c>
    </row>
    <row r="3357" spans="1:5">
      <c r="A3357" s="284">
        <f t="shared" si="1043"/>
        <v>3289</v>
      </c>
      <c r="B3357" s="285">
        <v>-2.5205575948563292</v>
      </c>
      <c r="C3357" s="285">
        <v>2.7580065249902037</v>
      </c>
      <c r="D3357" s="285">
        <v>-0.48763174083770755</v>
      </c>
      <c r="E3357" s="285">
        <v>-5.7921566331061598</v>
      </c>
    </row>
    <row r="3358" spans="1:5">
      <c r="A3358" s="284">
        <f t="shared" si="1043"/>
        <v>3290</v>
      </c>
      <c r="B3358" s="285">
        <v>2.1661719143384204</v>
      </c>
      <c r="C3358" s="285">
        <v>2.9559990527377455</v>
      </c>
      <c r="D3358" s="285">
        <v>-2.5039065487461043E-2</v>
      </c>
      <c r="E3358" s="285">
        <v>-2.469862278447605</v>
      </c>
    </row>
    <row r="3359" spans="1:5">
      <c r="A3359" s="284">
        <f t="shared" si="1043"/>
        <v>3291</v>
      </c>
      <c r="B3359" s="285">
        <v>-0.11536701505800909</v>
      </c>
      <c r="C3359" s="285">
        <v>2.7543140703842255</v>
      </c>
      <c r="D3359" s="285">
        <v>-0.74221251934792476</v>
      </c>
      <c r="E3359" s="285">
        <v>-6.0040603130386447</v>
      </c>
    </row>
    <row r="3360" spans="1:5">
      <c r="A3360" s="284">
        <f t="shared" si="1043"/>
        <v>3292</v>
      </c>
      <c r="B3360" s="285">
        <v>0.2816749733954485</v>
      </c>
      <c r="C3360" s="285">
        <v>3.0436996223044348</v>
      </c>
      <c r="D3360" s="285">
        <v>0.78645472422130069</v>
      </c>
      <c r="E3360" s="285">
        <v>4.805032488548127</v>
      </c>
    </row>
    <row r="3361" spans="1:5">
      <c r="A3361" s="284">
        <f t="shared" si="1043"/>
        <v>3293</v>
      </c>
      <c r="B3361" s="285">
        <v>1.1959236656257206</v>
      </c>
      <c r="C3361" s="285">
        <v>2.3537462358152728</v>
      </c>
      <c r="D3361" s="285">
        <v>2.2666555356736113</v>
      </c>
      <c r="E3361" s="285">
        <v>-2.6485378302254312</v>
      </c>
    </row>
    <row r="3362" spans="1:5">
      <c r="A3362" s="284">
        <f t="shared" si="1043"/>
        <v>3294</v>
      </c>
      <c r="B3362" s="285">
        <v>5.2083415545336074</v>
      </c>
      <c r="C3362" s="285">
        <v>3.4601070233687086</v>
      </c>
      <c r="D3362" s="285">
        <v>1.5887207184976495</v>
      </c>
      <c r="E3362" s="285">
        <v>10.56380060587577</v>
      </c>
    </row>
    <row r="3363" spans="1:5">
      <c r="A3363" s="284">
        <f t="shared" si="1043"/>
        <v>3295</v>
      </c>
      <c r="B3363" s="285">
        <v>2.5676406313812059</v>
      </c>
      <c r="C3363" s="285">
        <v>2.4251074956596397</v>
      </c>
      <c r="D3363" s="285">
        <v>0.31094628944965175</v>
      </c>
      <c r="E3363" s="285">
        <v>-1.8671980334457827</v>
      </c>
    </row>
    <row r="3364" spans="1:5">
      <c r="A3364" s="284">
        <f t="shared" si="1043"/>
        <v>3296</v>
      </c>
      <c r="B3364" s="285">
        <v>-1.1214829934585877</v>
      </c>
      <c r="C3364" s="285">
        <v>2.6950961026744822</v>
      </c>
      <c r="D3364" s="285">
        <v>1.0072014393575641</v>
      </c>
      <c r="E3364" s="285">
        <v>-1.7298054657578432</v>
      </c>
    </row>
    <row r="3365" spans="1:5">
      <c r="A3365" s="284">
        <f t="shared" si="1043"/>
        <v>3297</v>
      </c>
      <c r="B3365" s="285">
        <v>-2.5968048657262743</v>
      </c>
      <c r="C3365" s="285">
        <v>1.6856341396070971</v>
      </c>
      <c r="D3365" s="285">
        <v>-0.25392281497833835</v>
      </c>
      <c r="E3365" s="285">
        <v>-5.5363132953643053</v>
      </c>
    </row>
    <row r="3366" spans="1:5">
      <c r="A3366" s="284">
        <f t="shared" si="1043"/>
        <v>3298</v>
      </c>
      <c r="B3366" s="285">
        <v>-0.75489006917120083</v>
      </c>
      <c r="C3366" s="285">
        <v>2.472340798562549</v>
      </c>
      <c r="D3366" s="285">
        <v>0.52026444619358103</v>
      </c>
      <c r="E3366" s="285">
        <v>-2.7889444496514257</v>
      </c>
    </row>
    <row r="3367" spans="1:5">
      <c r="A3367" s="284">
        <f t="shared" si="1043"/>
        <v>3299</v>
      </c>
      <c r="B3367" s="285">
        <v>1.43699769132362</v>
      </c>
      <c r="C3367" s="285">
        <v>2.7396195074244085</v>
      </c>
      <c r="D3367" s="285">
        <v>2.506592306052033</v>
      </c>
      <c r="E3367" s="285">
        <v>2.5469472941684868</v>
      </c>
    </row>
    <row r="3368" spans="1:5">
      <c r="A3368" s="284">
        <f t="shared" si="1043"/>
        <v>3300</v>
      </c>
      <c r="B3368" s="285">
        <v>3.2443140013248812</v>
      </c>
      <c r="C3368" s="285">
        <v>2.3010614171264234</v>
      </c>
      <c r="D3368" s="285">
        <v>3.9991762332541887</v>
      </c>
      <c r="E3368" s="285">
        <v>-1.5469850781362289</v>
      </c>
    </row>
    <row r="3369" spans="1:5">
      <c r="A3369" s="284">
        <f t="shared" si="1043"/>
        <v>3301</v>
      </c>
      <c r="B3369" s="285">
        <v>-2.1414535045760061</v>
      </c>
      <c r="C3369" s="285">
        <v>2.9245363650175524</v>
      </c>
      <c r="D3369" s="285">
        <v>1.6413543073657286</v>
      </c>
      <c r="E3369" s="285">
        <v>1.3568895878074723</v>
      </c>
    </row>
    <row r="3370" spans="1:5">
      <c r="A3370" s="284">
        <f t="shared" si="1043"/>
        <v>3302</v>
      </c>
      <c r="B3370" s="285">
        <v>-1.8451032356799821</v>
      </c>
      <c r="C3370" s="285">
        <v>2.511604931305655</v>
      </c>
      <c r="D3370" s="285">
        <v>1.1829192662055741</v>
      </c>
      <c r="E3370" s="285">
        <v>2.1455551437183034</v>
      </c>
    </row>
    <row r="3371" spans="1:5">
      <c r="A3371" s="284">
        <f t="shared" si="1043"/>
        <v>3303</v>
      </c>
      <c r="B3371" s="285">
        <v>1.9052880463602087</v>
      </c>
      <c r="C3371" s="285">
        <v>2.1991601381131884</v>
      </c>
      <c r="D3371" s="285">
        <v>2.7394721920868155</v>
      </c>
      <c r="E3371" s="285">
        <v>-13.442058634481782</v>
      </c>
    </row>
    <row r="3372" spans="1:5">
      <c r="A3372" s="284">
        <f t="shared" si="1043"/>
        <v>3304</v>
      </c>
      <c r="B3372" s="285">
        <v>-0.85228307753217292</v>
      </c>
      <c r="C3372" s="285">
        <v>2.0559711257148399</v>
      </c>
      <c r="D3372" s="285">
        <v>2.477934190047959</v>
      </c>
      <c r="E3372" s="285">
        <v>-15.489710790635641</v>
      </c>
    </row>
    <row r="3373" spans="1:5">
      <c r="A3373" s="284">
        <f t="shared" si="1043"/>
        <v>3305</v>
      </c>
      <c r="B3373" s="285">
        <v>-1.9907700016599659</v>
      </c>
      <c r="C3373" s="285">
        <v>2.4974991936956599</v>
      </c>
      <c r="D3373" s="285">
        <v>0.79330916937893803</v>
      </c>
      <c r="E3373" s="285">
        <v>-7.7032438570188653</v>
      </c>
    </row>
    <row r="3374" spans="1:5">
      <c r="A3374" s="284">
        <f t="shared" si="1043"/>
        <v>3306</v>
      </c>
      <c r="B3374" s="285">
        <v>-2.2009975833411271</v>
      </c>
      <c r="C3374" s="285">
        <v>2.2386834871845442</v>
      </c>
      <c r="D3374" s="285">
        <v>4.1241243803270855</v>
      </c>
      <c r="E3374" s="285">
        <v>-19.568484615927904</v>
      </c>
    </row>
    <row r="3375" spans="1:5">
      <c r="A3375" s="284">
        <f t="shared" si="1043"/>
        <v>3307</v>
      </c>
      <c r="B3375" s="285">
        <v>-3.124575308133664</v>
      </c>
      <c r="C3375" s="285">
        <v>2.0454159572584372</v>
      </c>
      <c r="D3375" s="285">
        <v>2.0343234309619707E-2</v>
      </c>
      <c r="E3375" s="285">
        <v>-18.24577778612613</v>
      </c>
    </row>
    <row r="3376" spans="1:5">
      <c r="A3376" s="284">
        <f t="shared" si="1043"/>
        <v>3308</v>
      </c>
      <c r="B3376" s="285">
        <v>-3.3936053757075944</v>
      </c>
      <c r="C3376" s="285">
        <v>1.9779042145481669</v>
      </c>
      <c r="D3376" s="285">
        <v>0.15619955917704265</v>
      </c>
      <c r="E3376" s="285">
        <v>-10.52454582950029</v>
      </c>
    </row>
    <row r="3377" spans="1:5">
      <c r="A3377" s="284">
        <f t="shared" si="1043"/>
        <v>3309</v>
      </c>
      <c r="B3377" s="285">
        <v>-1.5696335780599417</v>
      </c>
      <c r="C3377" s="285">
        <v>1.230725588696485</v>
      </c>
      <c r="D3377" s="285">
        <v>2.1606066289289361</v>
      </c>
      <c r="E3377" s="285">
        <v>-32.09504011753252</v>
      </c>
    </row>
    <row r="3378" spans="1:5">
      <c r="A3378" s="284">
        <f t="shared" si="1043"/>
        <v>3310</v>
      </c>
      <c r="B3378" s="285">
        <v>-4.1465569448089825</v>
      </c>
      <c r="C3378" s="285">
        <v>0.85457869069923142</v>
      </c>
      <c r="D3378" s="285">
        <v>1.1577876924585282</v>
      </c>
      <c r="E3378" s="285">
        <v>-16.647720189025975</v>
      </c>
    </row>
    <row r="3379" spans="1:5">
      <c r="A3379" s="284">
        <f t="shared" si="1043"/>
        <v>3311</v>
      </c>
      <c r="B3379" s="285">
        <v>-0.60821803265752794</v>
      </c>
      <c r="C3379" s="285">
        <v>3.5914184179136304</v>
      </c>
      <c r="D3379" s="285">
        <v>0.14096063542453008</v>
      </c>
      <c r="E3379" s="285">
        <v>16.03299479533641</v>
      </c>
    </row>
    <row r="3380" spans="1:5">
      <c r="A3380" s="284">
        <f t="shared" si="1043"/>
        <v>3312</v>
      </c>
      <c r="B3380" s="285">
        <v>0.90934020489476963</v>
      </c>
      <c r="C3380" s="285">
        <v>2.5069194420564047</v>
      </c>
      <c r="D3380" s="285">
        <v>-0.52750981051669577</v>
      </c>
      <c r="E3380" s="285">
        <v>4.2864859233609689</v>
      </c>
    </row>
    <row r="3381" spans="1:5">
      <c r="A3381" s="284">
        <f t="shared" si="1043"/>
        <v>3313</v>
      </c>
      <c r="B3381" s="285">
        <v>0.87239507965439267</v>
      </c>
      <c r="C3381" s="285">
        <v>3.1088354428215155</v>
      </c>
      <c r="D3381" s="285">
        <v>-6.2826322125573375E-2</v>
      </c>
      <c r="E3381" s="285">
        <v>5.8842164906294716</v>
      </c>
    </row>
    <row r="3382" spans="1:5">
      <c r="A3382" s="284">
        <f t="shared" si="1043"/>
        <v>3314</v>
      </c>
      <c r="B3382" s="285">
        <v>-2.0764407559457387</v>
      </c>
      <c r="C3382" s="285">
        <v>2.2999475936063694</v>
      </c>
      <c r="D3382" s="285">
        <v>0.40410256566889491</v>
      </c>
      <c r="E3382" s="285">
        <v>-9.3145301358395365</v>
      </c>
    </row>
    <row r="3383" spans="1:5">
      <c r="A3383" s="284">
        <f t="shared" si="1043"/>
        <v>3315</v>
      </c>
      <c r="B3383" s="285">
        <v>-2.5620553553634475</v>
      </c>
      <c r="C3383" s="285">
        <v>1.9595088756220076</v>
      </c>
      <c r="D3383" s="285">
        <v>2.0285971526920612</v>
      </c>
      <c r="E3383" s="285">
        <v>-4.7100168925397501</v>
      </c>
    </row>
    <row r="3384" spans="1:5">
      <c r="A3384" s="284">
        <f t="shared" si="1043"/>
        <v>3316</v>
      </c>
      <c r="B3384" s="285">
        <v>-1.443334526842647</v>
      </c>
      <c r="C3384" s="285">
        <v>2.3717803528125643</v>
      </c>
      <c r="D3384" s="285">
        <v>0.58910332501425522</v>
      </c>
      <c r="E3384" s="285">
        <v>0.37502481442181246</v>
      </c>
    </row>
    <row r="3385" spans="1:5">
      <c r="A3385" s="284">
        <f t="shared" si="1043"/>
        <v>3317</v>
      </c>
      <c r="B3385" s="285">
        <v>3.4393186675859448</v>
      </c>
      <c r="C3385" s="285">
        <v>3.240382252284209</v>
      </c>
      <c r="D3385" s="285">
        <v>2.4869819287939792</v>
      </c>
      <c r="E3385" s="285">
        <v>8.0622372431767424</v>
      </c>
    </row>
    <row r="3386" spans="1:5">
      <c r="A3386" s="284">
        <f t="shared" si="1043"/>
        <v>3318</v>
      </c>
      <c r="B3386" s="285">
        <v>-0.66001556001176842</v>
      </c>
      <c r="C3386" s="285">
        <v>3.1841615803783343</v>
      </c>
      <c r="D3386" s="285">
        <v>0.28542465995576527</v>
      </c>
      <c r="E3386" s="285">
        <v>11.912283400345613</v>
      </c>
    </row>
    <row r="3387" spans="1:5">
      <c r="A3387" s="284">
        <f t="shared" si="1043"/>
        <v>3319</v>
      </c>
      <c r="B3387" s="285">
        <v>0.62834293753862192</v>
      </c>
      <c r="C3387" s="285">
        <v>2.4653155316644466</v>
      </c>
      <c r="D3387" s="285">
        <v>1.6939707495438014</v>
      </c>
      <c r="E3387" s="285">
        <v>-9.5882724746737757E-2</v>
      </c>
    </row>
    <row r="3388" spans="1:5">
      <c r="A3388" s="284">
        <f t="shared" si="1043"/>
        <v>3320</v>
      </c>
      <c r="B3388" s="285">
        <v>-0.3566834203187581</v>
      </c>
      <c r="C3388" s="285">
        <v>2.6648466717905048</v>
      </c>
      <c r="D3388" s="285">
        <v>0.25233183890398969</v>
      </c>
      <c r="E3388" s="285">
        <v>-1.8406373363351736</v>
      </c>
    </row>
    <row r="3389" spans="1:5">
      <c r="A3389" s="284">
        <f t="shared" si="1043"/>
        <v>3321</v>
      </c>
      <c r="B3389" s="285">
        <v>2.4775211224593172</v>
      </c>
      <c r="C3389" s="285">
        <v>3.0448118964381585</v>
      </c>
      <c r="D3389" s="285">
        <v>1.1002218293955219</v>
      </c>
      <c r="E3389" s="285">
        <v>0.65106799722369146</v>
      </c>
    </row>
    <row r="3390" spans="1:5">
      <c r="A3390" s="284">
        <f t="shared" si="1043"/>
        <v>3322</v>
      </c>
      <c r="B3390" s="285">
        <v>-2.0454094713467139</v>
      </c>
      <c r="C3390" s="285">
        <v>2.4786430442465477</v>
      </c>
      <c r="D3390" s="285">
        <v>3.2202614210717395</v>
      </c>
      <c r="E3390" s="285">
        <v>2.6895609655516401</v>
      </c>
    </row>
    <row r="3391" spans="1:5">
      <c r="A3391" s="284">
        <f t="shared" si="1043"/>
        <v>3323</v>
      </c>
      <c r="B3391" s="285">
        <v>-1.5909107663257471</v>
      </c>
      <c r="C3391" s="285">
        <v>3.1745919971532222</v>
      </c>
      <c r="D3391" s="285">
        <v>0.26061773315652026</v>
      </c>
      <c r="E3391" s="285">
        <v>6.4634170802644366</v>
      </c>
    </row>
    <row r="3392" spans="1:5">
      <c r="A3392" s="284">
        <f t="shared" si="1043"/>
        <v>3324</v>
      </c>
      <c r="B3392" s="285">
        <v>-1.7126075708903719</v>
      </c>
      <c r="C3392" s="285">
        <v>1.5203693526790059</v>
      </c>
      <c r="D3392" s="285">
        <v>1.5978933695823585</v>
      </c>
      <c r="E3392" s="285">
        <v>-21.363091248426787</v>
      </c>
    </row>
    <row r="3393" spans="1:5">
      <c r="A3393" s="284">
        <f t="shared" si="1043"/>
        <v>3325</v>
      </c>
      <c r="B3393" s="285">
        <v>-4.2177655393063063</v>
      </c>
      <c r="C3393" s="285">
        <v>1.865307674974491</v>
      </c>
      <c r="D3393" s="285">
        <v>-5.3555927465958941E-2</v>
      </c>
      <c r="E3393" s="285">
        <v>-2.4807190297636619</v>
      </c>
    </row>
    <row r="3394" spans="1:5">
      <c r="A3394" s="284">
        <f t="shared" si="1043"/>
        <v>3326</v>
      </c>
      <c r="B3394" s="285">
        <v>2.3717546263673621</v>
      </c>
      <c r="C3394" s="285">
        <v>2.7788471445622283</v>
      </c>
      <c r="D3394" s="285">
        <v>1.3185459424159565</v>
      </c>
      <c r="E3394" s="285">
        <v>-0.50436839808060041</v>
      </c>
    </row>
    <row r="3395" spans="1:5">
      <c r="A3395" s="284">
        <f t="shared" si="1043"/>
        <v>3327</v>
      </c>
      <c r="B3395" s="285">
        <v>3.8557403399524381</v>
      </c>
      <c r="C3395" s="285">
        <v>3.3893917798801696</v>
      </c>
      <c r="D3395" s="285">
        <v>1.4189789549982628</v>
      </c>
      <c r="E3395" s="285">
        <v>1.9919168088321793</v>
      </c>
    </row>
    <row r="3396" spans="1:5">
      <c r="A3396" s="284">
        <f t="shared" si="1043"/>
        <v>3328</v>
      </c>
      <c r="B3396" s="285">
        <v>0.63261747795207512</v>
      </c>
      <c r="C3396" s="285">
        <v>2.0988981784955039</v>
      </c>
      <c r="D3396" s="285">
        <v>2.7469126515170013</v>
      </c>
      <c r="E3396" s="285">
        <v>-8.7437718981068411</v>
      </c>
    </row>
    <row r="3397" spans="1:5">
      <c r="A3397" s="284">
        <f t="shared" si="1043"/>
        <v>3329</v>
      </c>
      <c r="B3397" s="285">
        <v>4.8142294626364563</v>
      </c>
      <c r="C3397" s="285">
        <v>2.7413975135071458</v>
      </c>
      <c r="D3397" s="285">
        <v>2.0215519592783537</v>
      </c>
      <c r="E3397" s="285">
        <v>-8.0909214100962839</v>
      </c>
    </row>
    <row r="3398" spans="1:5">
      <c r="A3398" s="284">
        <f t="shared" si="1043"/>
        <v>3330</v>
      </c>
      <c r="B3398" s="285">
        <v>-1.1547906360687981</v>
      </c>
      <c r="C3398" s="285">
        <v>2.1186764416080575</v>
      </c>
      <c r="D3398" s="285">
        <v>-0.2117613395072504</v>
      </c>
      <c r="E3398" s="285">
        <v>-6.859077139867936</v>
      </c>
    </row>
    <row r="3399" spans="1:5">
      <c r="A3399" s="284">
        <f t="shared" ref="A3399:A3462" si="1044">A3398+1</f>
        <v>3331</v>
      </c>
      <c r="B3399" s="285">
        <v>2.6226358461279995</v>
      </c>
      <c r="C3399" s="285">
        <v>3.1985752325766237</v>
      </c>
      <c r="D3399" s="285">
        <v>1.507853932691223</v>
      </c>
      <c r="E3399" s="285">
        <v>9.40827199473528</v>
      </c>
    </row>
    <row r="3400" spans="1:5">
      <c r="A3400" s="284">
        <f t="shared" si="1044"/>
        <v>3332</v>
      </c>
      <c r="B3400" s="285">
        <v>1.6033476430754097</v>
      </c>
      <c r="C3400" s="285">
        <v>2.4503513258030472</v>
      </c>
      <c r="D3400" s="285">
        <v>1.2775658717390139</v>
      </c>
      <c r="E3400" s="285">
        <v>-10.096760157070541</v>
      </c>
    </row>
    <row r="3401" spans="1:5">
      <c r="A3401" s="284">
        <f t="shared" si="1044"/>
        <v>3333</v>
      </c>
      <c r="B3401" s="285">
        <v>-1.221855398097496</v>
      </c>
      <c r="C3401" s="285">
        <v>1.978619546528301</v>
      </c>
      <c r="D3401" s="285">
        <v>1.6033873229081417</v>
      </c>
      <c r="E3401" s="285">
        <v>-1.697160955174565</v>
      </c>
    </row>
    <row r="3402" spans="1:5">
      <c r="A3402" s="284">
        <f t="shared" si="1044"/>
        <v>3334</v>
      </c>
      <c r="B3402" s="285">
        <v>-0.34916376160261808</v>
      </c>
      <c r="C3402" s="285">
        <v>2.2667327202019765</v>
      </c>
      <c r="D3402" s="285">
        <v>0.63966862543177405</v>
      </c>
      <c r="E3402" s="285">
        <v>-1.3586485493145495</v>
      </c>
    </row>
    <row r="3403" spans="1:5">
      <c r="A3403" s="284">
        <f t="shared" si="1044"/>
        <v>3335</v>
      </c>
      <c r="B3403" s="285">
        <v>1.0793716306515058</v>
      </c>
      <c r="C3403" s="285">
        <v>2.4412485811438605</v>
      </c>
      <c r="D3403" s="285">
        <v>1.0851201960535073</v>
      </c>
      <c r="E3403" s="285">
        <v>-11.716167189859798</v>
      </c>
    </row>
    <row r="3404" spans="1:5">
      <c r="A3404" s="284">
        <f t="shared" si="1044"/>
        <v>3336</v>
      </c>
      <c r="B3404" s="285">
        <v>-0.54186100620676347</v>
      </c>
      <c r="C3404" s="285">
        <v>2.6854019348406033</v>
      </c>
      <c r="D3404" s="285">
        <v>1.264849783727843</v>
      </c>
      <c r="E3404" s="285">
        <v>7.980904346853265</v>
      </c>
    </row>
    <row r="3405" spans="1:5">
      <c r="A3405" s="284">
        <f t="shared" si="1044"/>
        <v>3337</v>
      </c>
      <c r="B3405" s="285">
        <v>0.82645367907023459</v>
      </c>
      <c r="C3405" s="285">
        <v>1.9785297817862331</v>
      </c>
      <c r="D3405" s="285">
        <v>1.5000166699862598</v>
      </c>
      <c r="E3405" s="285">
        <v>-9.7283385412092009</v>
      </c>
    </row>
    <row r="3406" spans="1:5">
      <c r="A3406" s="284">
        <f t="shared" si="1044"/>
        <v>3338</v>
      </c>
      <c r="B3406" s="285">
        <v>1.3794724877499598</v>
      </c>
      <c r="C3406" s="285">
        <v>2.1354845377776357</v>
      </c>
      <c r="D3406" s="285">
        <v>4.3602817704196273E-2</v>
      </c>
      <c r="E3406" s="285">
        <v>-8.4108451508785755</v>
      </c>
    </row>
    <row r="3407" spans="1:5">
      <c r="A3407" s="284">
        <f t="shared" si="1044"/>
        <v>3339</v>
      </c>
      <c r="B3407" s="285">
        <v>6.1464945967584077</v>
      </c>
      <c r="C3407" s="285">
        <v>2.7669127879188125</v>
      </c>
      <c r="D3407" s="285">
        <v>3.8470111658371571</v>
      </c>
      <c r="E3407" s="285">
        <v>-15.694711694331797</v>
      </c>
    </row>
    <row r="3408" spans="1:5">
      <c r="A3408" s="284">
        <f t="shared" si="1044"/>
        <v>3340</v>
      </c>
      <c r="B3408" s="285">
        <v>2.4810708908502437</v>
      </c>
      <c r="C3408" s="285">
        <v>2.4448281433185186</v>
      </c>
      <c r="D3408" s="285">
        <v>2.4351446338396712</v>
      </c>
      <c r="E3408" s="285">
        <v>-5.6865587782184797</v>
      </c>
    </row>
    <row r="3409" spans="1:5">
      <c r="A3409" s="284">
        <f t="shared" si="1044"/>
        <v>3341</v>
      </c>
      <c r="B3409" s="285">
        <v>1.208796076851989</v>
      </c>
      <c r="C3409" s="285">
        <v>2.8131009411612835</v>
      </c>
      <c r="D3409" s="285">
        <v>2.0611448456622297</v>
      </c>
      <c r="E3409" s="285">
        <v>6.4534934870736045</v>
      </c>
    </row>
    <row r="3410" spans="1:5">
      <c r="A3410" s="284">
        <f t="shared" si="1044"/>
        <v>3342</v>
      </c>
      <c r="B3410" s="285">
        <v>0.82064802851298135</v>
      </c>
      <c r="C3410" s="285">
        <v>2.3396961446395728</v>
      </c>
      <c r="D3410" s="285">
        <v>1.0797711116619588</v>
      </c>
      <c r="E3410" s="285">
        <v>-11.843702267715692</v>
      </c>
    </row>
    <row r="3411" spans="1:5">
      <c r="A3411" s="284">
        <f t="shared" si="1044"/>
        <v>3343</v>
      </c>
      <c r="B3411" s="285">
        <v>-2.0572944991037838</v>
      </c>
      <c r="C3411" s="285">
        <v>2.0928333364345915</v>
      </c>
      <c r="D3411" s="285">
        <v>0.67027506069803511</v>
      </c>
      <c r="E3411" s="285">
        <v>-2.7123266609971846</v>
      </c>
    </row>
    <row r="3412" spans="1:5">
      <c r="A3412" s="284">
        <f t="shared" si="1044"/>
        <v>3344</v>
      </c>
      <c r="B3412" s="285">
        <v>1.6276138871496502</v>
      </c>
      <c r="C3412" s="285">
        <v>2.6435490635955032</v>
      </c>
      <c r="D3412" s="285">
        <v>2.7352201180278373</v>
      </c>
      <c r="E3412" s="285">
        <v>0.8189995144732527</v>
      </c>
    </row>
    <row r="3413" spans="1:5">
      <c r="A3413" s="284">
        <f t="shared" si="1044"/>
        <v>3345</v>
      </c>
      <c r="B3413" s="285">
        <v>-4.3689828686447321</v>
      </c>
      <c r="C3413" s="285">
        <v>2.938663437693136</v>
      </c>
      <c r="D3413" s="285">
        <v>-1.0400811789488111</v>
      </c>
      <c r="E3413" s="285">
        <v>13.499228238871925</v>
      </c>
    </row>
    <row r="3414" spans="1:5">
      <c r="A3414" s="284">
        <f t="shared" si="1044"/>
        <v>3346</v>
      </c>
      <c r="B3414" s="285">
        <v>2.9824916912344519</v>
      </c>
      <c r="C3414" s="285">
        <v>2.578427372558564</v>
      </c>
      <c r="D3414" s="285">
        <v>2.2608386844742081</v>
      </c>
      <c r="E3414" s="285">
        <v>-6.2019205307430969</v>
      </c>
    </row>
    <row r="3415" spans="1:5">
      <c r="A3415" s="284">
        <f t="shared" si="1044"/>
        <v>3347</v>
      </c>
      <c r="B3415" s="285">
        <v>0.51868161946920222</v>
      </c>
      <c r="C3415" s="285">
        <v>2.5743376796971162</v>
      </c>
      <c r="D3415" s="285">
        <v>0.43311313760078252</v>
      </c>
      <c r="E3415" s="285">
        <v>-8.640587797242917</v>
      </c>
    </row>
    <row r="3416" spans="1:5">
      <c r="A3416" s="284">
        <f t="shared" si="1044"/>
        <v>3348</v>
      </c>
      <c r="B3416" s="285">
        <v>-0.75617876930993788</v>
      </c>
      <c r="C3416" s="285">
        <v>2.6633421692518087</v>
      </c>
      <c r="D3416" s="285">
        <v>-0.17535672405770786</v>
      </c>
      <c r="E3416" s="285">
        <v>-5.5130107904818626</v>
      </c>
    </row>
    <row r="3417" spans="1:5">
      <c r="A3417" s="284">
        <f t="shared" si="1044"/>
        <v>3349</v>
      </c>
      <c r="B3417" s="285">
        <v>-0.82148084424983481</v>
      </c>
      <c r="C3417" s="285">
        <v>2.6381573700559242</v>
      </c>
      <c r="D3417" s="285">
        <v>3.4477695361838543</v>
      </c>
      <c r="E3417" s="285">
        <v>-9.832405431798044</v>
      </c>
    </row>
    <row r="3418" spans="1:5">
      <c r="A3418" s="284">
        <f t="shared" si="1044"/>
        <v>3350</v>
      </c>
      <c r="B3418" s="285">
        <v>0.98465274786278845</v>
      </c>
      <c r="C3418" s="285">
        <v>2.4379900855123617</v>
      </c>
      <c r="D3418" s="285">
        <v>-0.14928209724744468</v>
      </c>
      <c r="E3418" s="285">
        <v>-1.9741413829783561E-3</v>
      </c>
    </row>
    <row r="3419" spans="1:5">
      <c r="A3419" s="284">
        <f t="shared" si="1044"/>
        <v>3351</v>
      </c>
      <c r="B3419" s="285">
        <v>-0.74284758824481256</v>
      </c>
      <c r="C3419" s="285">
        <v>2.5438560155978429</v>
      </c>
      <c r="D3419" s="285">
        <v>4.1437925909887632</v>
      </c>
      <c r="E3419" s="285">
        <v>-2.3295362580634187</v>
      </c>
    </row>
    <row r="3420" spans="1:5">
      <c r="A3420" s="284">
        <f t="shared" si="1044"/>
        <v>3352</v>
      </c>
      <c r="B3420" s="285">
        <v>-6.8138210244590242E-2</v>
      </c>
      <c r="C3420" s="285">
        <v>2.5132006140264678</v>
      </c>
      <c r="D3420" s="285">
        <v>-0.18647176169255197</v>
      </c>
      <c r="E3420" s="285">
        <v>-2.1389142727552271</v>
      </c>
    </row>
    <row r="3421" spans="1:5">
      <c r="A3421" s="284">
        <f t="shared" si="1044"/>
        <v>3353</v>
      </c>
      <c r="B3421" s="285">
        <v>-2.4757033563498614</v>
      </c>
      <c r="C3421" s="285">
        <v>2.0852506676685172</v>
      </c>
      <c r="D3421" s="285">
        <v>1.5382334255600918</v>
      </c>
      <c r="E3421" s="285">
        <v>-9.8641197843233392</v>
      </c>
    </row>
    <row r="3422" spans="1:5">
      <c r="A3422" s="284">
        <f t="shared" si="1044"/>
        <v>3354</v>
      </c>
      <c r="B3422" s="285">
        <v>-0.61095372648177504</v>
      </c>
      <c r="C3422" s="285">
        <v>2.397991938945272</v>
      </c>
      <c r="D3422" s="285">
        <v>2.3598323476007175</v>
      </c>
      <c r="E3422" s="285">
        <v>-4.2189354206305731</v>
      </c>
    </row>
    <row r="3423" spans="1:5">
      <c r="A3423" s="284">
        <f t="shared" si="1044"/>
        <v>3355</v>
      </c>
      <c r="B3423" s="285">
        <v>-1.9094047810571662</v>
      </c>
      <c r="C3423" s="285">
        <v>2.8535944012152483</v>
      </c>
      <c r="D3423" s="285">
        <v>6.9689673186078327E-2</v>
      </c>
      <c r="E3423" s="285">
        <v>15.005309871034285</v>
      </c>
    </row>
    <row r="3424" spans="1:5">
      <c r="A3424" s="284">
        <f t="shared" si="1044"/>
        <v>3356</v>
      </c>
      <c r="B3424" s="285">
        <v>-2.1750595084036348</v>
      </c>
      <c r="C3424" s="285">
        <v>2.9992781512021893</v>
      </c>
      <c r="D3424" s="285">
        <v>-0.51672335366028488</v>
      </c>
      <c r="E3424" s="285">
        <v>17.954439033449443</v>
      </c>
    </row>
    <row r="3425" spans="1:5">
      <c r="A3425" s="284">
        <f t="shared" si="1044"/>
        <v>3357</v>
      </c>
      <c r="B3425" s="285">
        <v>2.6663631685881066</v>
      </c>
      <c r="C3425" s="285">
        <v>2.9532574668258351</v>
      </c>
      <c r="D3425" s="285">
        <v>0.65331754340797299</v>
      </c>
      <c r="E3425" s="285">
        <v>-2.5889045539347308</v>
      </c>
    </row>
    <row r="3426" spans="1:5">
      <c r="A3426" s="284">
        <f t="shared" si="1044"/>
        <v>3358</v>
      </c>
      <c r="B3426" s="285">
        <v>-0.83404429179552841</v>
      </c>
      <c r="C3426" s="285">
        <v>1.9433843523414573</v>
      </c>
      <c r="D3426" s="285">
        <v>1.7811643233517886</v>
      </c>
      <c r="E3426" s="285">
        <v>-14.174823372829529</v>
      </c>
    </row>
    <row r="3427" spans="1:5">
      <c r="A3427" s="284">
        <f t="shared" si="1044"/>
        <v>3359</v>
      </c>
      <c r="B3427" s="285">
        <v>-2.3678116444477522</v>
      </c>
      <c r="C3427" s="285">
        <v>2.9964479791433876</v>
      </c>
      <c r="D3427" s="285">
        <v>1.0308668865798358</v>
      </c>
      <c r="E3427" s="285">
        <v>-2.9526547992407326</v>
      </c>
    </row>
    <row r="3428" spans="1:5">
      <c r="A3428" s="284">
        <f t="shared" si="1044"/>
        <v>3360</v>
      </c>
      <c r="B3428" s="285">
        <v>-0.73733016905571624</v>
      </c>
      <c r="C3428" s="285">
        <v>2.6567122836389632</v>
      </c>
      <c r="D3428" s="285">
        <v>0.6519287926637598</v>
      </c>
      <c r="E3428" s="285">
        <v>-2.0657911343488018</v>
      </c>
    </row>
    <row r="3429" spans="1:5">
      <c r="A3429" s="284">
        <f t="shared" si="1044"/>
        <v>3361</v>
      </c>
      <c r="B3429" s="285">
        <v>3.6173496863536005</v>
      </c>
      <c r="C3429" s="285">
        <v>2.5239399106681377</v>
      </c>
      <c r="D3429" s="285">
        <v>2.2586761921831107</v>
      </c>
      <c r="E3429" s="285">
        <v>6.2985483583870625</v>
      </c>
    </row>
    <row r="3430" spans="1:5">
      <c r="A3430" s="284">
        <f t="shared" si="1044"/>
        <v>3362</v>
      </c>
      <c r="B3430" s="285">
        <v>-2.4516509171335734</v>
      </c>
      <c r="C3430" s="285">
        <v>2.3921785371842894</v>
      </c>
      <c r="D3430" s="285">
        <v>0.16650410236622371</v>
      </c>
      <c r="E3430" s="285">
        <v>-13.478274430491528</v>
      </c>
    </row>
    <row r="3431" spans="1:5">
      <c r="A3431" s="284">
        <f t="shared" si="1044"/>
        <v>3363</v>
      </c>
      <c r="B3431" s="285">
        <v>-4.2530345394025515</v>
      </c>
      <c r="C3431" s="285">
        <v>2.0567003953280674</v>
      </c>
      <c r="D3431" s="285">
        <v>3.0946314284983449</v>
      </c>
      <c r="E3431" s="285">
        <v>-6.1065246311113128</v>
      </c>
    </row>
    <row r="3432" spans="1:5">
      <c r="A3432" s="284">
        <f t="shared" si="1044"/>
        <v>3364</v>
      </c>
      <c r="B3432" s="285">
        <v>-0.72779217666317264</v>
      </c>
      <c r="C3432" s="285">
        <v>2.6257346188168196</v>
      </c>
      <c r="D3432" s="285">
        <v>2.5045358095657209</v>
      </c>
      <c r="E3432" s="285">
        <v>-5.5663530588315533</v>
      </c>
    </row>
    <row r="3433" spans="1:5">
      <c r="A3433" s="284">
        <f t="shared" si="1044"/>
        <v>3365</v>
      </c>
      <c r="B3433" s="285">
        <v>8.5276449620267675E-2</v>
      </c>
      <c r="C3433" s="285">
        <v>2.2662895358691499</v>
      </c>
      <c r="D3433" s="285">
        <v>2.1269880547259854</v>
      </c>
      <c r="E3433" s="285">
        <v>-5.6283618181336292</v>
      </c>
    </row>
    <row r="3434" spans="1:5">
      <c r="A3434" s="284">
        <f t="shared" si="1044"/>
        <v>3366</v>
      </c>
      <c r="B3434" s="285">
        <v>1.9409234336316983</v>
      </c>
      <c r="C3434" s="285">
        <v>2.4351365741239088</v>
      </c>
      <c r="D3434" s="285">
        <v>3.1321618454263476</v>
      </c>
      <c r="E3434" s="285">
        <v>-11.320173315143906</v>
      </c>
    </row>
    <row r="3435" spans="1:5">
      <c r="A3435" s="284">
        <f t="shared" si="1044"/>
        <v>3367</v>
      </c>
      <c r="B3435" s="285">
        <v>-2.2630987093889421</v>
      </c>
      <c r="C3435" s="285">
        <v>2.0424074671303494</v>
      </c>
      <c r="D3435" s="285">
        <v>2.3991431620551764</v>
      </c>
      <c r="E3435" s="285">
        <v>-6.1079859279436999</v>
      </c>
    </row>
    <row r="3436" spans="1:5">
      <c r="A3436" s="284">
        <f t="shared" si="1044"/>
        <v>3368</v>
      </c>
      <c r="B3436" s="285">
        <v>4.0240602839586028</v>
      </c>
      <c r="C3436" s="285">
        <v>3.0053031481613415</v>
      </c>
      <c r="D3436" s="285">
        <v>0.33878804170679788</v>
      </c>
      <c r="E3436" s="285">
        <v>0.67467724932859285</v>
      </c>
    </row>
    <row r="3437" spans="1:5">
      <c r="A3437" s="284">
        <f t="shared" si="1044"/>
        <v>3369</v>
      </c>
      <c r="B3437" s="285">
        <v>1.6993835238095736</v>
      </c>
      <c r="C3437" s="285">
        <v>2.8943940189929718</v>
      </c>
      <c r="D3437" s="285">
        <v>-0.36222334528471967</v>
      </c>
      <c r="E3437" s="285">
        <v>-1.5621652153908294</v>
      </c>
    </row>
    <row r="3438" spans="1:5">
      <c r="A3438" s="284">
        <f t="shared" si="1044"/>
        <v>3370</v>
      </c>
      <c r="B3438" s="285">
        <v>0.4592192368406704</v>
      </c>
      <c r="C3438" s="285">
        <v>2.1873826702501811</v>
      </c>
      <c r="D3438" s="285">
        <v>1.2695818497688021</v>
      </c>
      <c r="E3438" s="285">
        <v>-18.606116123342069</v>
      </c>
    </row>
    <row r="3439" spans="1:5">
      <c r="A3439" s="284">
        <f t="shared" si="1044"/>
        <v>3371</v>
      </c>
      <c r="B3439" s="285">
        <v>-2.9061314567412944</v>
      </c>
      <c r="C3439" s="285">
        <v>2.2071096771831131</v>
      </c>
      <c r="D3439" s="285">
        <v>2.3366106780466911E-3</v>
      </c>
      <c r="E3439" s="285">
        <v>6.2997953087254235</v>
      </c>
    </row>
    <row r="3440" spans="1:5">
      <c r="A3440" s="284">
        <f t="shared" si="1044"/>
        <v>3372</v>
      </c>
      <c r="B3440" s="285">
        <v>1.0013314032894429</v>
      </c>
      <c r="C3440" s="285">
        <v>2.4617461758796999</v>
      </c>
      <c r="D3440" s="285">
        <v>2.0417632866031137</v>
      </c>
      <c r="E3440" s="285">
        <v>-1.7004479803585468</v>
      </c>
    </row>
    <row r="3441" spans="1:5">
      <c r="A3441" s="284">
        <f t="shared" si="1044"/>
        <v>3373</v>
      </c>
      <c r="B3441" s="285">
        <v>2.4643905131746804</v>
      </c>
      <c r="C3441" s="285">
        <v>2.517073910009183</v>
      </c>
      <c r="D3441" s="285">
        <v>2.1424523705103993</v>
      </c>
      <c r="E3441" s="285">
        <v>-13.15942771804459</v>
      </c>
    </row>
    <row r="3442" spans="1:5">
      <c r="A3442" s="284">
        <f t="shared" si="1044"/>
        <v>3374</v>
      </c>
      <c r="B3442" s="285">
        <v>2.9640169380421284</v>
      </c>
      <c r="C3442" s="285">
        <v>2.8257460762407298</v>
      </c>
      <c r="D3442" s="285">
        <v>2.96012107413357</v>
      </c>
      <c r="E3442" s="285">
        <v>-3.0212122381324145</v>
      </c>
    </row>
    <row r="3443" spans="1:5">
      <c r="A3443" s="284">
        <f t="shared" si="1044"/>
        <v>3375</v>
      </c>
      <c r="B3443" s="285">
        <v>-1.236915242184722</v>
      </c>
      <c r="C3443" s="285">
        <v>2.5730887371682996</v>
      </c>
      <c r="D3443" s="285">
        <v>1.7387564790000729</v>
      </c>
      <c r="E3443" s="285">
        <v>5.2977275807660718</v>
      </c>
    </row>
    <row r="3444" spans="1:5">
      <c r="A3444" s="284">
        <f t="shared" si="1044"/>
        <v>3376</v>
      </c>
      <c r="B3444" s="285">
        <v>-2.958204843107207</v>
      </c>
      <c r="C3444" s="285">
        <v>2.5919641801036555</v>
      </c>
      <c r="D3444" s="285">
        <v>-0.54126146506058648</v>
      </c>
      <c r="E3444" s="285">
        <v>-3.5033949126440489</v>
      </c>
    </row>
    <row r="3445" spans="1:5">
      <c r="A3445" s="284">
        <f t="shared" si="1044"/>
        <v>3377</v>
      </c>
      <c r="B3445" s="285">
        <v>-0.68947067222336778</v>
      </c>
      <c r="C3445" s="285">
        <v>2.6056669271080581</v>
      </c>
      <c r="D3445" s="285">
        <v>-2.130205870542623E-2</v>
      </c>
      <c r="E3445" s="285">
        <v>2.0365274363626509</v>
      </c>
    </row>
    <row r="3446" spans="1:5">
      <c r="A3446" s="284">
        <f t="shared" si="1044"/>
        <v>3378</v>
      </c>
      <c r="B3446" s="285">
        <v>2.0740913930339744</v>
      </c>
      <c r="C3446" s="285">
        <v>3.834200021913011</v>
      </c>
      <c r="D3446" s="285">
        <v>0.64453104827670937</v>
      </c>
      <c r="E3446" s="285">
        <v>22.808524671130204</v>
      </c>
    </row>
    <row r="3447" spans="1:5">
      <c r="A3447" s="284">
        <f t="shared" si="1044"/>
        <v>3379</v>
      </c>
      <c r="B3447" s="285">
        <v>-3.3776169521785238</v>
      </c>
      <c r="C3447" s="285">
        <v>2.2316458360691698</v>
      </c>
      <c r="D3447" s="285">
        <v>-0.26618351362251014</v>
      </c>
      <c r="E3447" s="285">
        <v>-8.2429446835447884</v>
      </c>
    </row>
    <row r="3448" spans="1:5">
      <c r="A3448" s="284">
        <f t="shared" si="1044"/>
        <v>3380</v>
      </c>
      <c r="B3448" s="285">
        <v>-2.3928200750922257</v>
      </c>
      <c r="C3448" s="285">
        <v>3.1702608078441012</v>
      </c>
      <c r="D3448" s="285">
        <v>1.5414799378030823</v>
      </c>
      <c r="E3448" s="285">
        <v>19.032811848187539</v>
      </c>
    </row>
    <row r="3449" spans="1:5">
      <c r="A3449" s="284">
        <f t="shared" si="1044"/>
        <v>3381</v>
      </c>
      <c r="B3449" s="285">
        <v>2.4721289157115178</v>
      </c>
      <c r="C3449" s="285">
        <v>2.3779472574252254</v>
      </c>
      <c r="D3449" s="285">
        <v>2.0506205421395793</v>
      </c>
      <c r="E3449" s="285">
        <v>-12.491241287804558</v>
      </c>
    </row>
    <row r="3450" spans="1:5">
      <c r="A3450" s="284">
        <f t="shared" si="1044"/>
        <v>3382</v>
      </c>
      <c r="B3450" s="285">
        <v>8.0700268558908436E-3</v>
      </c>
      <c r="C3450" s="285">
        <v>2.1594503580109143</v>
      </c>
      <c r="D3450" s="285">
        <v>2.6278078373832683</v>
      </c>
      <c r="E3450" s="285">
        <v>-12.484079363780699</v>
      </c>
    </row>
    <row r="3451" spans="1:5">
      <c r="A3451" s="284">
        <f t="shared" si="1044"/>
        <v>3383</v>
      </c>
      <c r="B3451" s="285">
        <v>-1.2922546181767505</v>
      </c>
      <c r="C3451" s="285">
        <v>1.9314534736208766</v>
      </c>
      <c r="D3451" s="285">
        <v>2.8593859005858162</v>
      </c>
      <c r="E3451" s="285">
        <v>-14.621232928789317</v>
      </c>
    </row>
    <row r="3452" spans="1:5">
      <c r="A3452" s="284">
        <f t="shared" si="1044"/>
        <v>3384</v>
      </c>
      <c r="B3452" s="285">
        <v>-3.0874511218460903</v>
      </c>
      <c r="C3452" s="285">
        <v>2.9228613136717794</v>
      </c>
      <c r="D3452" s="285">
        <v>-1.8032278603293723</v>
      </c>
      <c r="E3452" s="285">
        <v>1.1919646013780505</v>
      </c>
    </row>
    <row r="3453" spans="1:5">
      <c r="A3453" s="284">
        <f t="shared" si="1044"/>
        <v>3385</v>
      </c>
      <c r="B3453" s="285">
        <v>-2.6716698583242331</v>
      </c>
      <c r="C3453" s="285">
        <v>2.3792246770478109</v>
      </c>
      <c r="D3453" s="285">
        <v>0.2505954725490942</v>
      </c>
      <c r="E3453" s="285">
        <v>-10.247709367628284</v>
      </c>
    </row>
    <row r="3454" spans="1:5">
      <c r="A3454" s="284">
        <f t="shared" si="1044"/>
        <v>3386</v>
      </c>
      <c r="B3454" s="285">
        <v>-1.4476251934854534</v>
      </c>
      <c r="C3454" s="285">
        <v>2.7176866565094864</v>
      </c>
      <c r="D3454" s="285">
        <v>0.68073646849466141</v>
      </c>
      <c r="E3454" s="285">
        <v>4.1500250167561994</v>
      </c>
    </row>
    <row r="3455" spans="1:5">
      <c r="A3455" s="284">
        <f t="shared" si="1044"/>
        <v>3387</v>
      </c>
      <c r="B3455" s="285">
        <v>1.5177630225294889</v>
      </c>
      <c r="C3455" s="285">
        <v>2.2208679898363992</v>
      </c>
      <c r="D3455" s="285">
        <v>0.41387705539884234</v>
      </c>
      <c r="E3455" s="285">
        <v>1.9682457772568482</v>
      </c>
    </row>
    <row r="3456" spans="1:5">
      <c r="A3456" s="284">
        <f t="shared" si="1044"/>
        <v>3388</v>
      </c>
      <c r="B3456" s="285">
        <v>-2.6150572391115894</v>
      </c>
      <c r="C3456" s="285">
        <v>2.2332306411627081</v>
      </c>
      <c r="D3456" s="285">
        <v>1.0506561308314981</v>
      </c>
      <c r="E3456" s="285">
        <v>-4.1882879682354659</v>
      </c>
    </row>
    <row r="3457" spans="1:5">
      <c r="A3457" s="284">
        <f t="shared" si="1044"/>
        <v>3389</v>
      </c>
      <c r="B3457" s="285">
        <v>-3.3415352902765947</v>
      </c>
      <c r="C3457" s="285">
        <v>1.8828747169519247</v>
      </c>
      <c r="D3457" s="285">
        <v>0.42174713975265044</v>
      </c>
      <c r="E3457" s="285">
        <v>-12.597702544369554</v>
      </c>
    </row>
    <row r="3458" spans="1:5">
      <c r="A3458" s="284">
        <f t="shared" si="1044"/>
        <v>3390</v>
      </c>
      <c r="B3458" s="285">
        <v>0.18796228634801299</v>
      </c>
      <c r="C3458" s="285">
        <v>1.8417546732168621</v>
      </c>
      <c r="D3458" s="285">
        <v>0.86153029010085402</v>
      </c>
      <c r="E3458" s="285">
        <v>-7.3374925859787474</v>
      </c>
    </row>
    <row r="3459" spans="1:5">
      <c r="A3459" s="284">
        <f t="shared" si="1044"/>
        <v>3391</v>
      </c>
      <c r="B3459" s="285">
        <v>-1.3578970974894442</v>
      </c>
      <c r="C3459" s="285">
        <v>2.6328089914414763</v>
      </c>
      <c r="D3459" s="285">
        <v>1.2425149634554908</v>
      </c>
      <c r="E3459" s="285">
        <v>-4.8453087993816508</v>
      </c>
    </row>
    <row r="3460" spans="1:5">
      <c r="A3460" s="284">
        <f t="shared" si="1044"/>
        <v>3392</v>
      </c>
      <c r="B3460" s="285">
        <v>0.72727273111336166</v>
      </c>
      <c r="C3460" s="285">
        <v>2.4920434784593439</v>
      </c>
      <c r="D3460" s="285">
        <v>-0.68305115352838053</v>
      </c>
      <c r="E3460" s="285">
        <v>10.696504287265693</v>
      </c>
    </row>
    <row r="3461" spans="1:5">
      <c r="A3461" s="284">
        <f t="shared" si="1044"/>
        <v>3393</v>
      </c>
      <c r="B3461" s="285">
        <v>3.1766297014253215</v>
      </c>
      <c r="C3461" s="285">
        <v>2.0364094901650884</v>
      </c>
      <c r="D3461" s="285">
        <v>1.0333486875871489</v>
      </c>
      <c r="E3461" s="285">
        <v>-28.762827546911257</v>
      </c>
    </row>
    <row r="3462" spans="1:5">
      <c r="A3462" s="284">
        <f t="shared" si="1044"/>
        <v>3394</v>
      </c>
      <c r="B3462" s="285">
        <v>0.33020292715095284</v>
      </c>
      <c r="C3462" s="285">
        <v>2.4512125223544596</v>
      </c>
      <c r="D3462" s="285">
        <v>1.0734158673235554</v>
      </c>
      <c r="E3462" s="285">
        <v>-6.2235103354230139</v>
      </c>
    </row>
    <row r="3463" spans="1:5">
      <c r="A3463" s="284">
        <f t="shared" ref="A3463:A3526" si="1045">A3462+1</f>
        <v>3395</v>
      </c>
      <c r="B3463" s="285">
        <v>-1.9296086870175388</v>
      </c>
      <c r="C3463" s="285">
        <v>2.0284888811775366</v>
      </c>
      <c r="D3463" s="285">
        <v>1.6479757566207534</v>
      </c>
      <c r="E3463" s="285">
        <v>-9.5078692867757191</v>
      </c>
    </row>
    <row r="3464" spans="1:5">
      <c r="A3464" s="284">
        <f t="shared" si="1045"/>
        <v>3396</v>
      </c>
      <c r="B3464" s="285">
        <v>2.1506160120124767</v>
      </c>
      <c r="C3464" s="285">
        <v>3.0259896676718774</v>
      </c>
      <c r="D3464" s="285">
        <v>1.9858998373956203</v>
      </c>
      <c r="E3464" s="285">
        <v>6.399785889519471</v>
      </c>
    </row>
    <row r="3465" spans="1:5">
      <c r="A3465" s="284">
        <f t="shared" si="1045"/>
        <v>3397</v>
      </c>
      <c r="B3465" s="285">
        <v>-2.4740645346714678</v>
      </c>
      <c r="C3465" s="285">
        <v>1.7538202243233489</v>
      </c>
      <c r="D3465" s="285">
        <v>9.0086971303680041E-3</v>
      </c>
      <c r="E3465" s="285">
        <v>-12.377789584261023</v>
      </c>
    </row>
    <row r="3466" spans="1:5">
      <c r="A3466" s="284">
        <f t="shared" si="1045"/>
        <v>3398</v>
      </c>
      <c r="B3466" s="285">
        <v>-2.5600171296479428</v>
      </c>
      <c r="C3466" s="285">
        <v>2.3564929404807939</v>
      </c>
      <c r="D3466" s="285">
        <v>-0.77110513928158086</v>
      </c>
      <c r="E3466" s="285">
        <v>-5.835762967697331</v>
      </c>
    </row>
    <row r="3467" spans="1:5">
      <c r="A3467" s="284">
        <f t="shared" si="1045"/>
        <v>3399</v>
      </c>
      <c r="B3467" s="285">
        <v>1.2418129904626378</v>
      </c>
      <c r="C3467" s="285">
        <v>2.5316988295039775</v>
      </c>
      <c r="D3467" s="285">
        <v>1.5327800991823184</v>
      </c>
      <c r="E3467" s="285">
        <v>-8.6994206241043148</v>
      </c>
    </row>
    <row r="3468" spans="1:5">
      <c r="A3468" s="284">
        <f t="shared" si="1045"/>
        <v>3400</v>
      </c>
      <c r="B3468" s="285">
        <v>1.2187952710175514</v>
      </c>
      <c r="C3468" s="285">
        <v>2.891118075458663</v>
      </c>
      <c r="D3468" s="285">
        <v>3.3573320325925007</v>
      </c>
      <c r="E3468" s="285">
        <v>2.9539678686505444</v>
      </c>
    </row>
    <row r="3469" spans="1:5">
      <c r="A3469" s="284">
        <f t="shared" si="1045"/>
        <v>3401</v>
      </c>
      <c r="B3469" s="285">
        <v>-1.1181694683598344</v>
      </c>
      <c r="C3469" s="285">
        <v>1.6042076047094973</v>
      </c>
      <c r="D3469" s="285">
        <v>3.592640670866929</v>
      </c>
      <c r="E3469" s="285">
        <v>-9.2627119101243487</v>
      </c>
    </row>
    <row r="3470" spans="1:5">
      <c r="A3470" s="284">
        <f t="shared" si="1045"/>
        <v>3402</v>
      </c>
      <c r="B3470" s="285">
        <v>1.0510109359838384</v>
      </c>
      <c r="C3470" s="285">
        <v>2.4551169441699057</v>
      </c>
      <c r="D3470" s="285">
        <v>3.024276061218206</v>
      </c>
      <c r="E3470" s="285">
        <v>-7.3100480541754784</v>
      </c>
    </row>
    <row r="3471" spans="1:5">
      <c r="A3471" s="284">
        <f t="shared" si="1045"/>
        <v>3403</v>
      </c>
      <c r="B3471" s="285">
        <v>4.4640698685091955</v>
      </c>
      <c r="C3471" s="285">
        <v>3.5267324652061625</v>
      </c>
      <c r="D3471" s="285">
        <v>4.2091674400897734</v>
      </c>
      <c r="E3471" s="285">
        <v>6.15258005453083</v>
      </c>
    </row>
    <row r="3472" spans="1:5">
      <c r="A3472" s="284">
        <f t="shared" si="1045"/>
        <v>3404</v>
      </c>
      <c r="B3472" s="285">
        <v>0.7844778578787992</v>
      </c>
      <c r="C3472" s="285">
        <v>2.5712347652726244</v>
      </c>
      <c r="D3472" s="285">
        <v>1.6957559177026154</v>
      </c>
      <c r="E3472" s="285">
        <v>-15.616698915702669</v>
      </c>
    </row>
    <row r="3473" spans="1:5">
      <c r="A3473" s="284">
        <f t="shared" si="1045"/>
        <v>3405</v>
      </c>
      <c r="B3473" s="285">
        <v>1.4055123467778377</v>
      </c>
      <c r="C3473" s="285">
        <v>2.4162025372608342</v>
      </c>
      <c r="D3473" s="285">
        <v>0.13230783368646115</v>
      </c>
      <c r="E3473" s="285">
        <v>1.8130929895476675</v>
      </c>
    </row>
    <row r="3474" spans="1:5">
      <c r="A3474" s="284">
        <f t="shared" si="1045"/>
        <v>3406</v>
      </c>
      <c r="B3474" s="285">
        <v>-0.5090179523537236</v>
      </c>
      <c r="C3474" s="285">
        <v>2.8726778710835035</v>
      </c>
      <c r="D3474" s="285">
        <v>0.55818534465312686</v>
      </c>
      <c r="E3474" s="285">
        <v>-3.9023624317880086</v>
      </c>
    </row>
    <row r="3475" spans="1:5">
      <c r="A3475" s="284">
        <f t="shared" si="1045"/>
        <v>3407</v>
      </c>
      <c r="B3475" s="285">
        <v>0.31860680537903208</v>
      </c>
      <c r="C3475" s="285">
        <v>2.7117490781139857</v>
      </c>
      <c r="D3475" s="285">
        <v>2.4767234270374314</v>
      </c>
      <c r="E3475" s="285">
        <v>-2.4216839411936983</v>
      </c>
    </row>
    <row r="3476" spans="1:5">
      <c r="A3476" s="284">
        <f t="shared" si="1045"/>
        <v>3408</v>
      </c>
      <c r="B3476" s="285">
        <v>-1.1096600154312735</v>
      </c>
      <c r="C3476" s="285">
        <v>1.8926806398536902</v>
      </c>
      <c r="D3476" s="285">
        <v>0.71124110025902321</v>
      </c>
      <c r="E3476" s="285">
        <v>-9.7417301273110475</v>
      </c>
    </row>
    <row r="3477" spans="1:5">
      <c r="A3477" s="284">
        <f t="shared" si="1045"/>
        <v>3409</v>
      </c>
      <c r="B3477" s="285">
        <v>3.5503867152701258</v>
      </c>
      <c r="C3477" s="285">
        <v>3.2934051870511958</v>
      </c>
      <c r="D3477" s="285">
        <v>1.353328498697925</v>
      </c>
      <c r="E3477" s="285">
        <v>8.0654659821776988</v>
      </c>
    </row>
    <row r="3478" spans="1:5">
      <c r="A3478" s="284">
        <f t="shared" si="1045"/>
        <v>3410</v>
      </c>
      <c r="B3478" s="285">
        <v>3.2022199728132219</v>
      </c>
      <c r="C3478" s="285">
        <v>2.8142347819208324</v>
      </c>
      <c r="D3478" s="285">
        <v>1.0159835910119446</v>
      </c>
      <c r="E3478" s="285">
        <v>-0.95546511661218503</v>
      </c>
    </row>
    <row r="3479" spans="1:5">
      <c r="A3479" s="284">
        <f t="shared" si="1045"/>
        <v>3411</v>
      </c>
      <c r="B3479" s="285">
        <v>3.8559731647074047</v>
      </c>
      <c r="C3479" s="285">
        <v>2.6606532679617199</v>
      </c>
      <c r="D3479" s="285">
        <v>1.7781579928524649</v>
      </c>
      <c r="E3479" s="285">
        <v>0.99110988918066267</v>
      </c>
    </row>
    <row r="3480" spans="1:5">
      <c r="A3480" s="284">
        <f t="shared" si="1045"/>
        <v>3412</v>
      </c>
      <c r="B3480" s="285">
        <v>-1.7763887681980637</v>
      </c>
      <c r="C3480" s="285">
        <v>3.3690231493727296</v>
      </c>
      <c r="D3480" s="285">
        <v>-1.0033031129695296</v>
      </c>
      <c r="E3480" s="285">
        <v>11.689965994932805</v>
      </c>
    </row>
    <row r="3481" spans="1:5">
      <c r="A3481" s="284">
        <f t="shared" si="1045"/>
        <v>3413</v>
      </c>
      <c r="B3481" s="285">
        <v>-4.1721087395663368</v>
      </c>
      <c r="C3481" s="285">
        <v>3.2273405411152383</v>
      </c>
      <c r="D3481" s="285">
        <v>1.2179669453928457</v>
      </c>
      <c r="E3481" s="285">
        <v>10.452019453968267</v>
      </c>
    </row>
    <row r="3482" spans="1:5">
      <c r="A3482" s="284">
        <f t="shared" si="1045"/>
        <v>3414</v>
      </c>
      <c r="B3482" s="285">
        <v>5.3386366746480496</v>
      </c>
      <c r="C3482" s="285">
        <v>2.6108752009701033</v>
      </c>
      <c r="D3482" s="285">
        <v>1.5640846562929214</v>
      </c>
      <c r="E3482" s="285">
        <v>-3.1061720178101484</v>
      </c>
    </row>
    <row r="3483" spans="1:5">
      <c r="A3483" s="284">
        <f t="shared" si="1045"/>
        <v>3415</v>
      </c>
      <c r="B3483" s="285">
        <v>0.6452965224910816</v>
      </c>
      <c r="C3483" s="285">
        <v>2.9008430124757481</v>
      </c>
      <c r="D3483" s="285">
        <v>0.86660424287710469</v>
      </c>
      <c r="E3483" s="285">
        <v>11.389586931206097</v>
      </c>
    </row>
    <row r="3484" spans="1:5">
      <c r="A3484" s="284">
        <f t="shared" si="1045"/>
        <v>3416</v>
      </c>
      <c r="B3484" s="285">
        <v>2.3326119782361778</v>
      </c>
      <c r="C3484" s="285">
        <v>2.8126945585757603</v>
      </c>
      <c r="D3484" s="285">
        <v>3.0025238125034277</v>
      </c>
      <c r="E3484" s="285">
        <v>0.73477406446320659</v>
      </c>
    </row>
    <row r="3485" spans="1:5">
      <c r="A3485" s="284">
        <f t="shared" si="1045"/>
        <v>3417</v>
      </c>
      <c r="B3485" s="285">
        <v>0.96275944681450187</v>
      </c>
      <c r="C3485" s="285">
        <v>3.016102470237183</v>
      </c>
      <c r="D3485" s="285">
        <v>0.81999887656377135</v>
      </c>
      <c r="E3485" s="285">
        <v>8.1954911141369298</v>
      </c>
    </row>
    <row r="3486" spans="1:5">
      <c r="A3486" s="284">
        <f t="shared" si="1045"/>
        <v>3418</v>
      </c>
      <c r="B3486" s="285">
        <v>0.99911242815080459</v>
      </c>
      <c r="C3486" s="285">
        <v>3.3624544968701313</v>
      </c>
      <c r="D3486" s="285">
        <v>-0.50485541877456175</v>
      </c>
      <c r="E3486" s="285">
        <v>18.481964176850788</v>
      </c>
    </row>
    <row r="3487" spans="1:5">
      <c r="A3487" s="284">
        <f t="shared" si="1045"/>
        <v>3419</v>
      </c>
      <c r="B3487" s="285">
        <v>0.5638249671288379</v>
      </c>
      <c r="C3487" s="285">
        <v>2.7320867985854171</v>
      </c>
      <c r="D3487" s="285">
        <v>1.7404069712543313</v>
      </c>
      <c r="E3487" s="285">
        <v>8.6702521324801616</v>
      </c>
    </row>
    <row r="3488" spans="1:5">
      <c r="A3488" s="284">
        <f t="shared" si="1045"/>
        <v>3420</v>
      </c>
      <c r="B3488" s="285">
        <v>-2.9860238462220239</v>
      </c>
      <c r="C3488" s="285">
        <v>2.7097566978490928</v>
      </c>
      <c r="D3488" s="285">
        <v>1.676952798811985</v>
      </c>
      <c r="E3488" s="285">
        <v>-0.21197055747049687</v>
      </c>
    </row>
    <row r="3489" spans="1:5">
      <c r="A3489" s="284">
        <f t="shared" si="1045"/>
        <v>3421</v>
      </c>
      <c r="B3489" s="285">
        <v>2.1780347957743502</v>
      </c>
      <c r="C3489" s="285">
        <v>2.2277612428124676</v>
      </c>
      <c r="D3489" s="285">
        <v>2.4929773070104351</v>
      </c>
      <c r="E3489" s="285">
        <v>1.0268837485577245</v>
      </c>
    </row>
    <row r="3490" spans="1:5">
      <c r="A3490" s="284">
        <f t="shared" si="1045"/>
        <v>3422</v>
      </c>
      <c r="B3490" s="285">
        <v>0.40103282227331882</v>
      </c>
      <c r="C3490" s="285">
        <v>2.7486623761221223</v>
      </c>
      <c r="D3490" s="285">
        <v>-0.17658657672123668</v>
      </c>
      <c r="E3490" s="285">
        <v>3.7188762123923333</v>
      </c>
    </row>
    <row r="3491" spans="1:5">
      <c r="A3491" s="284">
        <f t="shared" si="1045"/>
        <v>3423</v>
      </c>
      <c r="B3491" s="285">
        <v>2.6187921340444689</v>
      </c>
      <c r="C3491" s="285">
        <v>2.9632715491192658</v>
      </c>
      <c r="D3491" s="285">
        <v>0.67058497601862532</v>
      </c>
      <c r="E3491" s="285">
        <v>1.3048164981172152</v>
      </c>
    </row>
    <row r="3492" spans="1:5">
      <c r="A3492" s="284">
        <f t="shared" si="1045"/>
        <v>3424</v>
      </c>
      <c r="B3492" s="285">
        <v>-3.4105640882683206</v>
      </c>
      <c r="C3492" s="285">
        <v>2.4495396481875416</v>
      </c>
      <c r="D3492" s="285">
        <v>0.7905726741505027</v>
      </c>
      <c r="E3492" s="285">
        <v>-0.7424525343760715</v>
      </c>
    </row>
    <row r="3493" spans="1:5">
      <c r="A3493" s="284">
        <f t="shared" si="1045"/>
        <v>3425</v>
      </c>
      <c r="B3493" s="285">
        <v>-0.90022058864886989</v>
      </c>
      <c r="C3493" s="285">
        <v>1.9969179327812994</v>
      </c>
      <c r="D3493" s="285">
        <v>2.7521413876339733</v>
      </c>
      <c r="E3493" s="285">
        <v>-3.2372855609951521</v>
      </c>
    </row>
    <row r="3494" spans="1:5">
      <c r="A3494" s="284">
        <f t="shared" si="1045"/>
        <v>3426</v>
      </c>
      <c r="B3494" s="285">
        <v>-0.37103938855572616</v>
      </c>
      <c r="C3494" s="285">
        <v>2.2924072043318406</v>
      </c>
      <c r="D3494" s="285">
        <v>2.8706434451541529</v>
      </c>
      <c r="E3494" s="285">
        <v>3.5163714840631939</v>
      </c>
    </row>
    <row r="3495" spans="1:5">
      <c r="A3495" s="284">
        <f t="shared" si="1045"/>
        <v>3427</v>
      </c>
      <c r="B3495" s="285">
        <v>-2.7700083385910625</v>
      </c>
      <c r="C3495" s="285">
        <v>2.0560565974308269</v>
      </c>
      <c r="D3495" s="285">
        <v>2.2141571137664151</v>
      </c>
      <c r="E3495" s="285">
        <v>-7.8236426234411862</v>
      </c>
    </row>
    <row r="3496" spans="1:5">
      <c r="A3496" s="284">
        <f t="shared" si="1045"/>
        <v>3428</v>
      </c>
      <c r="B3496" s="285">
        <v>0.25045818616037829</v>
      </c>
      <c r="C3496" s="285">
        <v>2.5591217388227037</v>
      </c>
      <c r="D3496" s="285">
        <v>2.0676612990474927</v>
      </c>
      <c r="E3496" s="285">
        <v>-3.2069190711677753</v>
      </c>
    </row>
    <row r="3497" spans="1:5">
      <c r="A3497" s="284">
        <f t="shared" si="1045"/>
        <v>3429</v>
      </c>
      <c r="B3497" s="285">
        <v>3.8806295066437388</v>
      </c>
      <c r="C3497" s="285">
        <v>2.8140874450555948</v>
      </c>
      <c r="D3497" s="285">
        <v>-0.23146263013658253</v>
      </c>
      <c r="E3497" s="285">
        <v>0.41396318293223144</v>
      </c>
    </row>
    <row r="3498" spans="1:5">
      <c r="A3498" s="284">
        <f t="shared" si="1045"/>
        <v>3430</v>
      </c>
      <c r="B3498" s="285">
        <v>0.41969734243859325</v>
      </c>
      <c r="C3498" s="285">
        <v>2.5452071267318535</v>
      </c>
      <c r="D3498" s="285">
        <v>2.4774886583471978</v>
      </c>
      <c r="E3498" s="285">
        <v>7.7469075391713513</v>
      </c>
    </row>
    <row r="3499" spans="1:5">
      <c r="A3499" s="284">
        <f t="shared" si="1045"/>
        <v>3431</v>
      </c>
      <c r="B3499" s="285">
        <v>-1.9232468019849462</v>
      </c>
      <c r="C3499" s="285">
        <v>2.8360553710769798</v>
      </c>
      <c r="D3499" s="285">
        <v>-1.3418877861665215</v>
      </c>
      <c r="E3499" s="285">
        <v>7.2189590354037687</v>
      </c>
    </row>
    <row r="3500" spans="1:5">
      <c r="A3500" s="284">
        <f t="shared" si="1045"/>
        <v>3432</v>
      </c>
      <c r="B3500" s="285">
        <v>-0.97806432153530554</v>
      </c>
      <c r="C3500" s="285">
        <v>2.4886212264689505</v>
      </c>
      <c r="D3500" s="285">
        <v>-4.3514487307819483E-2</v>
      </c>
      <c r="E3500" s="285">
        <v>1.4410679311500991</v>
      </c>
    </row>
    <row r="3501" spans="1:5">
      <c r="A3501" s="284">
        <f t="shared" si="1045"/>
        <v>3433</v>
      </c>
      <c r="B3501" s="285">
        <v>-0.23443599590725692</v>
      </c>
      <c r="C3501" s="285">
        <v>2.0667923629618654</v>
      </c>
      <c r="D3501" s="285">
        <v>8.468440185868209E-2</v>
      </c>
      <c r="E3501" s="285">
        <v>-10.407557427967276</v>
      </c>
    </row>
    <row r="3502" spans="1:5">
      <c r="A3502" s="284">
        <f t="shared" si="1045"/>
        <v>3434</v>
      </c>
      <c r="B3502" s="285">
        <v>-2.1762648222046246</v>
      </c>
      <c r="C3502" s="285">
        <v>3.1163279925570495</v>
      </c>
      <c r="D3502" s="285">
        <v>1.1087870665863968</v>
      </c>
      <c r="E3502" s="285">
        <v>4.3078738412462645</v>
      </c>
    </row>
    <row r="3503" spans="1:5">
      <c r="A3503" s="284">
        <f t="shared" si="1045"/>
        <v>3435</v>
      </c>
      <c r="B3503" s="285">
        <v>0.22003956204329883</v>
      </c>
      <c r="C3503" s="285">
        <v>2.8782724228318792</v>
      </c>
      <c r="D3503" s="285">
        <v>0.92038694872795834</v>
      </c>
      <c r="E3503" s="285">
        <v>4.9080093467941666</v>
      </c>
    </row>
    <row r="3504" spans="1:5">
      <c r="A3504" s="284">
        <f t="shared" si="1045"/>
        <v>3436</v>
      </c>
      <c r="B3504" s="285">
        <v>-4.3601988246907544</v>
      </c>
      <c r="C3504" s="285">
        <v>2.6601775651319111</v>
      </c>
      <c r="D3504" s="285">
        <v>0.62214240472971072</v>
      </c>
      <c r="E3504" s="285">
        <v>14.885416020743349</v>
      </c>
    </row>
    <row r="3505" spans="1:5">
      <c r="A3505" s="284">
        <f t="shared" si="1045"/>
        <v>3437</v>
      </c>
      <c r="B3505" s="285">
        <v>0.26947666615344396</v>
      </c>
      <c r="C3505" s="285">
        <v>2.7395390071213974</v>
      </c>
      <c r="D3505" s="285">
        <v>0.83747300291066717</v>
      </c>
      <c r="E3505" s="285">
        <v>4.6425061459275128</v>
      </c>
    </row>
    <row r="3506" spans="1:5">
      <c r="A3506" s="284">
        <f t="shared" si="1045"/>
        <v>3438</v>
      </c>
      <c r="B3506" s="285">
        <v>-0.29367213067622788</v>
      </c>
      <c r="C3506" s="285">
        <v>3.3470408246616556</v>
      </c>
      <c r="D3506" s="285">
        <v>1.1098356452570455</v>
      </c>
      <c r="E3506" s="285">
        <v>16.960899501894648</v>
      </c>
    </row>
    <row r="3507" spans="1:5">
      <c r="A3507" s="284">
        <f t="shared" si="1045"/>
        <v>3439</v>
      </c>
      <c r="B3507" s="285">
        <v>-3.5365337472789031</v>
      </c>
      <c r="C3507" s="285">
        <v>1.7822719988202986</v>
      </c>
      <c r="D3507" s="285">
        <v>1.322736697020694</v>
      </c>
      <c r="E3507" s="285">
        <v>-15.623384268341049</v>
      </c>
    </row>
    <row r="3508" spans="1:5">
      <c r="A3508" s="284">
        <f t="shared" si="1045"/>
        <v>3440</v>
      </c>
      <c r="B3508" s="285">
        <v>-2.9033165858359076</v>
      </c>
      <c r="C3508" s="285">
        <v>1.9821053275424221</v>
      </c>
      <c r="D3508" s="285">
        <v>1.5448001772638962</v>
      </c>
      <c r="E3508" s="285">
        <v>-18.252784370782461</v>
      </c>
    </row>
    <row r="3509" spans="1:5">
      <c r="A3509" s="284">
        <f t="shared" si="1045"/>
        <v>3441</v>
      </c>
      <c r="B3509" s="285">
        <v>-0.33264217199330059</v>
      </c>
      <c r="C3509" s="285">
        <v>3.0145123510895977</v>
      </c>
      <c r="D3509" s="285">
        <v>0.30488483045929726</v>
      </c>
      <c r="E3509" s="285">
        <v>-0.30197890340343791</v>
      </c>
    </row>
    <row r="3510" spans="1:5">
      <c r="A3510" s="284">
        <f t="shared" si="1045"/>
        <v>3442</v>
      </c>
      <c r="B3510" s="285">
        <v>-0.73628995532634667</v>
      </c>
      <c r="C3510" s="285">
        <v>2.8798076512849571</v>
      </c>
      <c r="D3510" s="285">
        <v>0.22132187791813318</v>
      </c>
      <c r="E3510" s="285">
        <v>5.8351815443116681</v>
      </c>
    </row>
    <row r="3511" spans="1:5">
      <c r="A3511" s="284">
        <f t="shared" si="1045"/>
        <v>3443</v>
      </c>
      <c r="B3511" s="285">
        <v>1.6186369661448468</v>
      </c>
      <c r="C3511" s="285">
        <v>2.9840614428773011</v>
      </c>
      <c r="D3511" s="285">
        <v>0.75416251217227925</v>
      </c>
      <c r="E3511" s="285">
        <v>-3.1085490285771091</v>
      </c>
    </row>
    <row r="3512" spans="1:5">
      <c r="A3512" s="284">
        <f t="shared" si="1045"/>
        <v>3444</v>
      </c>
      <c r="B3512" s="285">
        <v>1.4700317011503339</v>
      </c>
      <c r="C3512" s="285">
        <v>2.495177288046087</v>
      </c>
      <c r="D3512" s="285">
        <v>0.85500278230118387</v>
      </c>
      <c r="E3512" s="285">
        <v>2.5231749294744605</v>
      </c>
    </row>
    <row r="3513" spans="1:5">
      <c r="A3513" s="284">
        <f t="shared" si="1045"/>
        <v>3445</v>
      </c>
      <c r="B3513" s="285">
        <v>-0.65518265968469491</v>
      </c>
      <c r="C3513" s="285">
        <v>2.8584071567858622</v>
      </c>
      <c r="D3513" s="285">
        <v>2.4757259188160292</v>
      </c>
      <c r="E3513" s="285">
        <v>-2.1775937659508933</v>
      </c>
    </row>
    <row r="3514" spans="1:5">
      <c r="A3514" s="284">
        <f t="shared" si="1045"/>
        <v>3446</v>
      </c>
      <c r="B3514" s="285">
        <v>-0.11512565812881632</v>
      </c>
      <c r="C3514" s="285">
        <v>2.2166082194409675</v>
      </c>
      <c r="D3514" s="285">
        <v>0.6486625130449537</v>
      </c>
      <c r="E3514" s="285">
        <v>-7.5010329207356126</v>
      </c>
    </row>
    <row r="3515" spans="1:5">
      <c r="A3515" s="284">
        <f t="shared" si="1045"/>
        <v>3447</v>
      </c>
      <c r="B3515" s="285">
        <v>-1.1826091863608699</v>
      </c>
      <c r="C3515" s="285">
        <v>2.1597081906087721</v>
      </c>
      <c r="D3515" s="285">
        <v>2.7493984609176843</v>
      </c>
      <c r="E3515" s="285">
        <v>-7.7413109418646133</v>
      </c>
    </row>
    <row r="3516" spans="1:5">
      <c r="A3516" s="284">
        <f t="shared" si="1045"/>
        <v>3448</v>
      </c>
      <c r="B3516" s="285">
        <v>5.8602058872353426</v>
      </c>
      <c r="C3516" s="285">
        <v>4.2940932710457407</v>
      </c>
      <c r="D3516" s="285">
        <v>2.3227034595535034</v>
      </c>
      <c r="E3516" s="285">
        <v>27.25255115457534</v>
      </c>
    </row>
    <row r="3517" spans="1:5">
      <c r="A3517" s="284">
        <f t="shared" si="1045"/>
        <v>3449</v>
      </c>
      <c r="B3517" s="285">
        <v>-4.5726550826115657</v>
      </c>
      <c r="C3517" s="285">
        <v>1.7465488406729159</v>
      </c>
      <c r="D3517" s="285">
        <v>1.2586389107934464</v>
      </c>
      <c r="E3517" s="285">
        <v>12.863252774237903</v>
      </c>
    </row>
    <row r="3518" spans="1:5">
      <c r="A3518" s="284">
        <f t="shared" si="1045"/>
        <v>3450</v>
      </c>
      <c r="B3518" s="285">
        <v>1.5337256578624585</v>
      </c>
      <c r="C3518" s="285">
        <v>2.5525337536098305</v>
      </c>
      <c r="D3518" s="285">
        <v>4.3325503847810838</v>
      </c>
      <c r="E3518" s="285">
        <v>-19.743011974082183</v>
      </c>
    </row>
    <row r="3519" spans="1:5">
      <c r="A3519" s="284">
        <f t="shared" si="1045"/>
        <v>3451</v>
      </c>
      <c r="B3519" s="285">
        <v>4.5682051843035684E-2</v>
      </c>
      <c r="C3519" s="285">
        <v>1.780701417193522</v>
      </c>
      <c r="D3519" s="285">
        <v>1.4533453817313782</v>
      </c>
      <c r="E3519" s="285">
        <v>-8.2580410591481055</v>
      </c>
    </row>
    <row r="3520" spans="1:5">
      <c r="A3520" s="284">
        <f t="shared" si="1045"/>
        <v>3452</v>
      </c>
      <c r="B3520" s="285">
        <v>2.5771990327528069</v>
      </c>
      <c r="C3520" s="285">
        <v>2.4050793521376783</v>
      </c>
      <c r="D3520" s="285">
        <v>3.4830908924202899</v>
      </c>
      <c r="E3520" s="285">
        <v>-6.3619100087913854</v>
      </c>
    </row>
    <row r="3521" spans="1:5">
      <c r="A3521" s="284">
        <f t="shared" si="1045"/>
        <v>3453</v>
      </c>
      <c r="B3521" s="285">
        <v>-0.34512286699326278</v>
      </c>
      <c r="C3521" s="285">
        <v>2.8029240502028507</v>
      </c>
      <c r="D3521" s="285">
        <v>1.1760063543211781</v>
      </c>
      <c r="E3521" s="285">
        <v>5.4998390552789349</v>
      </c>
    </row>
    <row r="3522" spans="1:5">
      <c r="A3522" s="284">
        <f t="shared" si="1045"/>
        <v>3454</v>
      </c>
      <c r="B3522" s="285">
        <v>-0.26528034153798302</v>
      </c>
      <c r="C3522" s="285">
        <v>3.1887995373527547</v>
      </c>
      <c r="D3522" s="285">
        <v>-0.76787234226196355</v>
      </c>
      <c r="E3522" s="285">
        <v>11.315773493019474</v>
      </c>
    </row>
    <row r="3523" spans="1:5">
      <c r="A3523" s="284">
        <f t="shared" si="1045"/>
        <v>3455</v>
      </c>
      <c r="B3523" s="285">
        <v>-1.5206063489160409</v>
      </c>
      <c r="C3523" s="285">
        <v>1.9676941426383978</v>
      </c>
      <c r="D3523" s="285">
        <v>-0.34862720889295162</v>
      </c>
      <c r="E3523" s="285">
        <v>-12.955212902858261</v>
      </c>
    </row>
    <row r="3524" spans="1:5">
      <c r="A3524" s="284">
        <f t="shared" si="1045"/>
        <v>3456</v>
      </c>
      <c r="B3524" s="285">
        <v>0.6994525147374574</v>
      </c>
      <c r="C3524" s="285">
        <v>2.7332846755163707</v>
      </c>
      <c r="D3524" s="285">
        <v>-0.15764124965984783</v>
      </c>
      <c r="E3524" s="285">
        <v>0.5689133043639889</v>
      </c>
    </row>
    <row r="3525" spans="1:5">
      <c r="A3525" s="284">
        <f t="shared" si="1045"/>
        <v>3457</v>
      </c>
      <c r="B3525" s="285">
        <v>-1.7521803240192557</v>
      </c>
      <c r="C3525" s="285">
        <v>3.2078145784283314</v>
      </c>
      <c r="D3525" s="285">
        <v>-1.737025448685336</v>
      </c>
      <c r="E3525" s="285">
        <v>7.2257722857629325</v>
      </c>
    </row>
    <row r="3526" spans="1:5">
      <c r="A3526" s="284">
        <f t="shared" si="1045"/>
        <v>3458</v>
      </c>
      <c r="B3526" s="285">
        <v>0.7449960563481729</v>
      </c>
      <c r="C3526" s="285">
        <v>2.0956382058902245</v>
      </c>
      <c r="D3526" s="285">
        <v>2.1741300728615141</v>
      </c>
      <c r="E3526" s="285">
        <v>-13.428195306967535</v>
      </c>
    </row>
    <row r="3527" spans="1:5">
      <c r="A3527" s="284">
        <f t="shared" ref="A3527:A3590" si="1046">A3526+1</f>
        <v>3459</v>
      </c>
      <c r="B3527" s="285">
        <v>0.28117133482556445</v>
      </c>
      <c r="C3527" s="285">
        <v>1.8825926996392823</v>
      </c>
      <c r="D3527" s="285">
        <v>1.2289752087443118</v>
      </c>
      <c r="E3527" s="285">
        <v>-1.9433909680475039</v>
      </c>
    </row>
    <row r="3528" spans="1:5">
      <c r="A3528" s="284">
        <f t="shared" si="1046"/>
        <v>3460</v>
      </c>
      <c r="B3528" s="285">
        <v>-1.1486953413571541</v>
      </c>
      <c r="C3528" s="285">
        <v>1.6955886402220681</v>
      </c>
      <c r="D3528" s="285">
        <v>0.64224539385561341</v>
      </c>
      <c r="E3528" s="285">
        <v>-14.426830065537526</v>
      </c>
    </row>
    <row r="3529" spans="1:5">
      <c r="A3529" s="284">
        <f t="shared" si="1046"/>
        <v>3461</v>
      </c>
      <c r="B3529" s="285">
        <v>0.92558931872022199</v>
      </c>
      <c r="C3529" s="285">
        <v>2.2570483784974869</v>
      </c>
      <c r="D3529" s="285">
        <v>0.4917624665713668</v>
      </c>
      <c r="E3529" s="285">
        <v>-6.2567841337714256</v>
      </c>
    </row>
    <row r="3530" spans="1:5">
      <c r="A3530" s="284">
        <f t="shared" si="1046"/>
        <v>3462</v>
      </c>
      <c r="B3530" s="285">
        <v>2.7476799820638562</v>
      </c>
      <c r="C3530" s="285">
        <v>3.1312339682048016</v>
      </c>
      <c r="D3530" s="285">
        <v>0.52069233840045026</v>
      </c>
      <c r="E3530" s="285">
        <v>5.6032593643491921</v>
      </c>
    </row>
    <row r="3531" spans="1:5">
      <c r="A3531" s="284">
        <f t="shared" si="1046"/>
        <v>3463</v>
      </c>
      <c r="B3531" s="285">
        <v>7.2750840824443261E-2</v>
      </c>
      <c r="C3531" s="285">
        <v>1.7812504025184341</v>
      </c>
      <c r="D3531" s="285">
        <v>3.5259892169403777</v>
      </c>
      <c r="E3531" s="285">
        <v>-20.562559756696668</v>
      </c>
    </row>
    <row r="3532" spans="1:5">
      <c r="A3532" s="284">
        <f t="shared" si="1046"/>
        <v>3464</v>
      </c>
      <c r="B3532" s="285">
        <v>0.50831128638553935</v>
      </c>
      <c r="C3532" s="285">
        <v>2.7764035385171129</v>
      </c>
      <c r="D3532" s="285">
        <v>-0.99401839728406793</v>
      </c>
      <c r="E3532" s="285">
        <v>2.6683684463195116</v>
      </c>
    </row>
    <row r="3533" spans="1:5">
      <c r="A3533" s="284">
        <f t="shared" si="1046"/>
        <v>3465</v>
      </c>
      <c r="B3533" s="285">
        <v>0.61621029832617213</v>
      </c>
      <c r="C3533" s="285">
        <v>2.0766816520996234</v>
      </c>
      <c r="D3533" s="285">
        <v>1.4744834526104367</v>
      </c>
      <c r="E3533" s="285">
        <v>-13.155334145267437</v>
      </c>
    </row>
    <row r="3534" spans="1:5">
      <c r="A3534" s="284">
        <f t="shared" si="1046"/>
        <v>3466</v>
      </c>
      <c r="B3534" s="285">
        <v>2.4716441405609415</v>
      </c>
      <c r="C3534" s="285">
        <v>2.3757347511747016</v>
      </c>
      <c r="D3534" s="285">
        <v>1.2558112047788963</v>
      </c>
      <c r="E3534" s="285">
        <v>-21.379514811113605</v>
      </c>
    </row>
    <row r="3535" spans="1:5">
      <c r="A3535" s="284">
        <f t="shared" si="1046"/>
        <v>3467</v>
      </c>
      <c r="B3535" s="285">
        <v>-1.1279831587084506</v>
      </c>
      <c r="C3535" s="285">
        <v>2.9846231819044218</v>
      </c>
      <c r="D3535" s="285">
        <v>-0.84442379711517113</v>
      </c>
      <c r="E3535" s="285">
        <v>8.5156967521188953</v>
      </c>
    </row>
    <row r="3536" spans="1:5">
      <c r="A3536" s="284">
        <f t="shared" si="1046"/>
        <v>3468</v>
      </c>
      <c r="B3536" s="285">
        <v>1.5944909281503301</v>
      </c>
      <c r="C3536" s="285">
        <v>3.237706560153768</v>
      </c>
      <c r="D3536" s="285">
        <v>-0.88343083427366187</v>
      </c>
      <c r="E3536" s="285">
        <v>23.359780277061216</v>
      </c>
    </row>
    <row r="3537" spans="1:5">
      <c r="A3537" s="284">
        <f t="shared" si="1046"/>
        <v>3469</v>
      </c>
      <c r="B3537" s="285">
        <v>-2.7025085812008194</v>
      </c>
      <c r="C3537" s="285">
        <v>1.7991395550560561</v>
      </c>
      <c r="D3537" s="285">
        <v>-0.11973185526309749</v>
      </c>
      <c r="E3537" s="285">
        <v>-16.174668613557802</v>
      </c>
    </row>
    <row r="3538" spans="1:5">
      <c r="A3538" s="284">
        <f t="shared" si="1046"/>
        <v>3470</v>
      </c>
      <c r="B3538" s="285">
        <v>1.1606205673025174</v>
      </c>
      <c r="C3538" s="285">
        <v>3.1815476111561205</v>
      </c>
      <c r="D3538" s="285">
        <v>-5.7521922950091842E-2</v>
      </c>
      <c r="E3538" s="285">
        <v>17.010399290087857</v>
      </c>
    </row>
    <row r="3539" spans="1:5">
      <c r="A3539" s="284">
        <f t="shared" si="1046"/>
        <v>3471</v>
      </c>
      <c r="B3539" s="285">
        <v>-2.235264811426966</v>
      </c>
      <c r="C3539" s="285">
        <v>2.4867314503110989</v>
      </c>
      <c r="D3539" s="285">
        <v>-1.3687520381982345</v>
      </c>
      <c r="E3539" s="285">
        <v>0.91887371292470732</v>
      </c>
    </row>
    <row r="3540" spans="1:5">
      <c r="A3540" s="284">
        <f t="shared" si="1046"/>
        <v>3472</v>
      </c>
      <c r="B3540" s="285">
        <v>-5.7048485718698929</v>
      </c>
      <c r="C3540" s="285">
        <v>1.6564502291413452</v>
      </c>
      <c r="D3540" s="285">
        <v>2.6656961436883089</v>
      </c>
      <c r="E3540" s="285">
        <v>-23.003969567203722</v>
      </c>
    </row>
    <row r="3541" spans="1:5">
      <c r="A3541" s="284">
        <f t="shared" si="1046"/>
        <v>3473</v>
      </c>
      <c r="B3541" s="285">
        <v>0.61281488259187755</v>
      </c>
      <c r="C3541" s="285">
        <v>3.2408381231521979</v>
      </c>
      <c r="D3541" s="285">
        <v>1.1606908938658331</v>
      </c>
      <c r="E3541" s="285">
        <v>7.5276496624111626</v>
      </c>
    </row>
    <row r="3542" spans="1:5">
      <c r="A3542" s="284">
        <f t="shared" si="1046"/>
        <v>3474</v>
      </c>
      <c r="B3542" s="285">
        <v>1.0312516348104122</v>
      </c>
      <c r="C3542" s="285">
        <v>2.2152133214795731</v>
      </c>
      <c r="D3542" s="285">
        <v>2.7006286756332782</v>
      </c>
      <c r="E3542" s="285">
        <v>-10.414524514965652</v>
      </c>
    </row>
    <row r="3543" spans="1:5">
      <c r="A3543" s="284">
        <f t="shared" si="1046"/>
        <v>3475</v>
      </c>
      <c r="B3543" s="285">
        <v>2.4004170679314418</v>
      </c>
      <c r="C3543" s="285">
        <v>3.0491211572847399</v>
      </c>
      <c r="D3543" s="285">
        <v>0.49419430127466457</v>
      </c>
      <c r="E3543" s="285">
        <v>5.614319694215073</v>
      </c>
    </row>
    <row r="3544" spans="1:5">
      <c r="A3544" s="284">
        <f t="shared" si="1046"/>
        <v>3476</v>
      </c>
      <c r="B3544" s="285">
        <v>-2.2268433475779452</v>
      </c>
      <c r="C3544" s="285">
        <v>2.7129803419425476</v>
      </c>
      <c r="D3544" s="285">
        <v>1.3399400244755397</v>
      </c>
      <c r="E3544" s="285">
        <v>2.004250943345752</v>
      </c>
    </row>
    <row r="3545" spans="1:5">
      <c r="A3545" s="284">
        <f t="shared" si="1046"/>
        <v>3477</v>
      </c>
      <c r="B3545" s="285">
        <v>-3.8624811364808105</v>
      </c>
      <c r="C3545" s="285">
        <v>2.4967707147089198</v>
      </c>
      <c r="D3545" s="285">
        <v>-0.72136207188081913</v>
      </c>
      <c r="E3545" s="285">
        <v>1.1986945864725986</v>
      </c>
    </row>
    <row r="3546" spans="1:5">
      <c r="A3546" s="284">
        <f t="shared" si="1046"/>
        <v>3478</v>
      </c>
      <c r="B3546" s="285">
        <v>-0.58777716541052527</v>
      </c>
      <c r="C3546" s="285">
        <v>1.6888610418292775</v>
      </c>
      <c r="D3546" s="285">
        <v>1.2786871083743367</v>
      </c>
      <c r="E3546" s="285">
        <v>-8.6658972277743125</v>
      </c>
    </row>
    <row r="3547" spans="1:5">
      <c r="A3547" s="284">
        <f t="shared" si="1046"/>
        <v>3479</v>
      </c>
      <c r="B3547" s="285">
        <v>-0.92194044142340426</v>
      </c>
      <c r="C3547" s="285">
        <v>2.1951440113582179</v>
      </c>
      <c r="D3547" s="285">
        <v>1.3017332723368809</v>
      </c>
      <c r="E3547" s="285">
        <v>-8.9707938992299088</v>
      </c>
    </row>
    <row r="3548" spans="1:5">
      <c r="A3548" s="284">
        <f t="shared" si="1046"/>
        <v>3480</v>
      </c>
      <c r="B3548" s="285">
        <v>5.2312553715415016</v>
      </c>
      <c r="C3548" s="285">
        <v>3.2106483304613471</v>
      </c>
      <c r="D3548" s="285">
        <v>-0.18066616106800959</v>
      </c>
      <c r="E3548" s="285">
        <v>5.2981962176414932</v>
      </c>
    </row>
    <row r="3549" spans="1:5">
      <c r="A3549" s="284">
        <f t="shared" si="1046"/>
        <v>3481</v>
      </c>
      <c r="B3549" s="285">
        <v>3.5860843029780849</v>
      </c>
      <c r="C3549" s="285">
        <v>3.8008138910205496</v>
      </c>
      <c r="D3549" s="285">
        <v>0.84195111155914371</v>
      </c>
      <c r="E3549" s="285">
        <v>17.452543390317423</v>
      </c>
    </row>
    <row r="3550" spans="1:5">
      <c r="A3550" s="284">
        <f t="shared" si="1046"/>
        <v>3482</v>
      </c>
      <c r="B3550" s="285">
        <v>-2.7339172823052524</v>
      </c>
      <c r="C3550" s="285">
        <v>2.5495387215896259</v>
      </c>
      <c r="D3550" s="285">
        <v>-0.17093561398427193</v>
      </c>
      <c r="E3550" s="285">
        <v>3.6443628474877836</v>
      </c>
    </row>
    <row r="3551" spans="1:5">
      <c r="A3551" s="284">
        <f t="shared" si="1046"/>
        <v>3483</v>
      </c>
      <c r="B3551" s="285">
        <v>-0.4877236484918625</v>
      </c>
      <c r="C3551" s="285">
        <v>2.915952713387886</v>
      </c>
      <c r="D3551" s="285">
        <v>1.4231991521771532</v>
      </c>
      <c r="E3551" s="285">
        <v>0.92074380288787205</v>
      </c>
    </row>
    <row r="3552" spans="1:5">
      <c r="A3552" s="284">
        <f t="shared" si="1046"/>
        <v>3484</v>
      </c>
      <c r="B3552" s="285">
        <v>1.6762982661015773</v>
      </c>
      <c r="C3552" s="285">
        <v>2.5559577970405467</v>
      </c>
      <c r="D3552" s="285">
        <v>2.0628751366894096</v>
      </c>
      <c r="E3552" s="285">
        <v>-3.7154289332503243</v>
      </c>
    </row>
    <row r="3553" spans="1:5">
      <c r="A3553" s="284">
        <f t="shared" si="1046"/>
        <v>3485</v>
      </c>
      <c r="B3553" s="285">
        <v>0.59492778556995163</v>
      </c>
      <c r="C3553" s="285">
        <v>2.4885077701701559</v>
      </c>
      <c r="D3553" s="285">
        <v>-0.16106266290929749</v>
      </c>
      <c r="E3553" s="285">
        <v>-12.962795339203197</v>
      </c>
    </row>
    <row r="3554" spans="1:5">
      <c r="A3554" s="284">
        <f t="shared" si="1046"/>
        <v>3486</v>
      </c>
      <c r="B3554" s="285">
        <v>0.57206127054107769</v>
      </c>
      <c r="C3554" s="285">
        <v>2.9237926763611686</v>
      </c>
      <c r="D3554" s="285">
        <v>0.58794732544268324</v>
      </c>
      <c r="E3554" s="285">
        <v>9.4961233858483425</v>
      </c>
    </row>
    <row r="3555" spans="1:5">
      <c r="A3555" s="284">
        <f t="shared" si="1046"/>
        <v>3487</v>
      </c>
      <c r="B3555" s="285">
        <v>2.3780960082421601</v>
      </c>
      <c r="C3555" s="285">
        <v>1.8390853283545856</v>
      </c>
      <c r="D3555" s="285">
        <v>1.8729637066173546</v>
      </c>
      <c r="E3555" s="285">
        <v>-9.7269303550755222</v>
      </c>
    </row>
    <row r="3556" spans="1:5">
      <c r="A3556" s="284">
        <f t="shared" si="1046"/>
        <v>3488</v>
      </c>
      <c r="B3556" s="285">
        <v>-1.9349129683051638</v>
      </c>
      <c r="C3556" s="285">
        <v>2.6731687850125678</v>
      </c>
      <c r="D3556" s="285">
        <v>1.4170261175023535</v>
      </c>
      <c r="E3556" s="285">
        <v>-1.6986238343469</v>
      </c>
    </row>
    <row r="3557" spans="1:5">
      <c r="A3557" s="284">
        <f t="shared" si="1046"/>
        <v>3489</v>
      </c>
      <c r="B3557" s="285">
        <v>-2.7523839562787096</v>
      </c>
      <c r="C3557" s="285">
        <v>2.2728687804789796</v>
      </c>
      <c r="D3557" s="285">
        <v>-0.35376618013136185</v>
      </c>
      <c r="E3557" s="285">
        <v>-11.116914119034259</v>
      </c>
    </row>
    <row r="3558" spans="1:5">
      <c r="A3558" s="284">
        <f t="shared" si="1046"/>
        <v>3490</v>
      </c>
      <c r="B3558" s="285">
        <v>3.1598098754860753</v>
      </c>
      <c r="C3558" s="285">
        <v>2.7368237690739883</v>
      </c>
      <c r="D3558" s="285">
        <v>1.783464061559688</v>
      </c>
      <c r="E3558" s="285">
        <v>0.12646961416731983</v>
      </c>
    </row>
    <row r="3559" spans="1:5">
      <c r="A3559" s="284">
        <f t="shared" si="1046"/>
        <v>3491</v>
      </c>
      <c r="B3559" s="285">
        <v>0.50221373041142092</v>
      </c>
      <c r="C3559" s="285">
        <v>2.403615098965362</v>
      </c>
      <c r="D3559" s="285">
        <v>0.75934790788894069</v>
      </c>
      <c r="E3559" s="285">
        <v>-3.1988277209096592</v>
      </c>
    </row>
    <row r="3560" spans="1:5">
      <c r="A3560" s="284">
        <f t="shared" si="1046"/>
        <v>3492</v>
      </c>
      <c r="B3560" s="285">
        <v>-4.0165111080761795</v>
      </c>
      <c r="C3560" s="285">
        <v>1.3279784450516787</v>
      </c>
      <c r="D3560" s="285">
        <v>2.1788223671617746</v>
      </c>
      <c r="E3560" s="285">
        <v>-19.272973257847546</v>
      </c>
    </row>
    <row r="3561" spans="1:5">
      <c r="A3561" s="284">
        <f t="shared" si="1046"/>
        <v>3493</v>
      </c>
      <c r="B3561" s="285">
        <v>-2.4590863026218788</v>
      </c>
      <c r="C3561" s="285">
        <v>2.6171674669795046</v>
      </c>
      <c r="D3561" s="285">
        <v>-0.46271938320339778</v>
      </c>
      <c r="E3561" s="285">
        <v>2.3073942349066088</v>
      </c>
    </row>
    <row r="3562" spans="1:5">
      <c r="A3562" s="284">
        <f t="shared" si="1046"/>
        <v>3494</v>
      </c>
      <c r="B3562" s="285">
        <v>-0.3352372367910903</v>
      </c>
      <c r="C3562" s="285">
        <v>2.5933514828993083</v>
      </c>
      <c r="D3562" s="285">
        <v>0.28268338794204373</v>
      </c>
      <c r="E3562" s="285">
        <v>-3.9942995018529421</v>
      </c>
    </row>
    <row r="3563" spans="1:5">
      <c r="A3563" s="284">
        <f t="shared" si="1046"/>
        <v>3495</v>
      </c>
      <c r="B3563" s="285">
        <v>-0.69658999297867974</v>
      </c>
      <c r="C3563" s="285">
        <v>2.0705046936976901</v>
      </c>
      <c r="D3563" s="285">
        <v>-0.46312653966732542</v>
      </c>
      <c r="E3563" s="285">
        <v>-13.904631367820967</v>
      </c>
    </row>
    <row r="3564" spans="1:5">
      <c r="A3564" s="284">
        <f t="shared" si="1046"/>
        <v>3496</v>
      </c>
      <c r="B3564" s="285">
        <v>-0.84554341718641157</v>
      </c>
      <c r="C3564" s="285">
        <v>2.018833646550541</v>
      </c>
      <c r="D3564" s="285">
        <v>0.31286665874592323</v>
      </c>
      <c r="E3564" s="285">
        <v>3.9926259678380664</v>
      </c>
    </row>
    <row r="3565" spans="1:5">
      <c r="A3565" s="284">
        <f t="shared" si="1046"/>
        <v>3497</v>
      </c>
      <c r="B3565" s="285">
        <v>-0.96518527505371454</v>
      </c>
      <c r="C3565" s="285">
        <v>2.6437574046794583</v>
      </c>
      <c r="D3565" s="285">
        <v>1.2491311934956291</v>
      </c>
      <c r="E3565" s="285">
        <v>-9.3743568173752134</v>
      </c>
    </row>
    <row r="3566" spans="1:5">
      <c r="A3566" s="284">
        <f t="shared" si="1046"/>
        <v>3498</v>
      </c>
      <c r="B3566" s="285">
        <v>1.3314523802518323</v>
      </c>
      <c r="C3566" s="285">
        <v>2.8699096433537012</v>
      </c>
      <c r="D3566" s="285">
        <v>0.74147302858697273</v>
      </c>
      <c r="E3566" s="285">
        <v>4.6199911166656111</v>
      </c>
    </row>
    <row r="3567" spans="1:5">
      <c r="A3567" s="284">
        <f t="shared" si="1046"/>
        <v>3499</v>
      </c>
      <c r="B3567" s="285">
        <v>-0.25632581668007343</v>
      </c>
      <c r="C3567" s="285">
        <v>1.6516927090389495</v>
      </c>
      <c r="D3567" s="285">
        <v>0.72650746094553442</v>
      </c>
      <c r="E3567" s="285">
        <v>-21.570398813006438</v>
      </c>
    </row>
    <row r="3568" spans="1:5">
      <c r="A3568" s="284">
        <f t="shared" si="1046"/>
        <v>3500</v>
      </c>
      <c r="B3568" s="285">
        <v>1.0286502523621015</v>
      </c>
      <c r="C3568" s="285">
        <v>2.4572719019177471</v>
      </c>
      <c r="D3568" s="285">
        <v>2.6709190777335814</v>
      </c>
      <c r="E3568" s="285">
        <v>1.0268058709749943</v>
      </c>
    </row>
    <row r="3569" spans="1:5">
      <c r="A3569" s="284">
        <f t="shared" si="1046"/>
        <v>3501</v>
      </c>
      <c r="B3569" s="285">
        <v>1.2018655688089872</v>
      </c>
      <c r="C3569" s="285">
        <v>2.1307321732734135</v>
      </c>
      <c r="D3569" s="285">
        <v>0.94365550969639278</v>
      </c>
      <c r="E3569" s="285">
        <v>-21.378320630547439</v>
      </c>
    </row>
    <row r="3570" spans="1:5">
      <c r="A3570" s="284">
        <f t="shared" si="1046"/>
        <v>3502</v>
      </c>
      <c r="B3570" s="285">
        <v>2.0480122988958045</v>
      </c>
      <c r="C3570" s="285">
        <v>3.1323156384182269</v>
      </c>
      <c r="D3570" s="285">
        <v>3.1083954614409413</v>
      </c>
      <c r="E3570" s="285">
        <v>1.021052668120118</v>
      </c>
    </row>
    <row r="3571" spans="1:5">
      <c r="A3571" s="284">
        <f t="shared" si="1046"/>
        <v>3503</v>
      </c>
      <c r="B3571" s="285">
        <v>-0.89754085532496353</v>
      </c>
      <c r="C3571" s="285">
        <v>2.8741063032062844</v>
      </c>
      <c r="D3571" s="285">
        <v>0.70396184815726215</v>
      </c>
      <c r="E3571" s="285">
        <v>-1.6531308832922744</v>
      </c>
    </row>
    <row r="3572" spans="1:5">
      <c r="A3572" s="284">
        <f t="shared" si="1046"/>
        <v>3504</v>
      </c>
      <c r="B3572" s="285">
        <v>-0.6823939703230919</v>
      </c>
      <c r="C3572" s="285">
        <v>2.4667350643050439</v>
      </c>
      <c r="D3572" s="285">
        <v>-0.75476972204105297</v>
      </c>
      <c r="E3572" s="285">
        <v>-4.7600039970281447</v>
      </c>
    </row>
    <row r="3573" spans="1:5">
      <c r="A3573" s="284">
        <f t="shared" si="1046"/>
        <v>3505</v>
      </c>
      <c r="B3573" s="285">
        <v>6.0776591693532396</v>
      </c>
      <c r="C3573" s="285">
        <v>2.2736323173005299</v>
      </c>
      <c r="D3573" s="285">
        <v>4.8934239837390514</v>
      </c>
      <c r="E3573" s="285">
        <v>-19.404029334301089</v>
      </c>
    </row>
    <row r="3574" spans="1:5">
      <c r="A3574" s="284">
        <f t="shared" si="1046"/>
        <v>3506</v>
      </c>
      <c r="B3574" s="285">
        <v>5.2978311748127664</v>
      </c>
      <c r="C3574" s="285">
        <v>2.8418987025543068</v>
      </c>
      <c r="D3574" s="285">
        <v>1.4903430444602384</v>
      </c>
      <c r="E3574" s="285">
        <v>-4.0630461407383329</v>
      </c>
    </row>
    <row r="3575" spans="1:5">
      <c r="A3575" s="284">
        <f t="shared" si="1046"/>
        <v>3507</v>
      </c>
      <c r="B3575" s="285">
        <v>1.4143272915147793</v>
      </c>
      <c r="C3575" s="285">
        <v>2.2929904360999105</v>
      </c>
      <c r="D3575" s="285">
        <v>0.48034155127340461</v>
      </c>
      <c r="E3575" s="285">
        <v>-9.9513724582906189</v>
      </c>
    </row>
    <row r="3576" spans="1:5">
      <c r="A3576" s="284">
        <f t="shared" si="1046"/>
        <v>3508</v>
      </c>
      <c r="B3576" s="285">
        <v>1.6151193928699181</v>
      </c>
      <c r="C3576" s="285">
        <v>1.7382952641045337</v>
      </c>
      <c r="D3576" s="285">
        <v>1.493205179564042</v>
      </c>
      <c r="E3576" s="285">
        <v>-12.470915948798403</v>
      </c>
    </row>
    <row r="3577" spans="1:5">
      <c r="A3577" s="284">
        <f t="shared" si="1046"/>
        <v>3509</v>
      </c>
      <c r="B3577" s="285">
        <v>-3.1763506473961467</v>
      </c>
      <c r="C3577" s="285">
        <v>2.9579458851700529</v>
      </c>
      <c r="D3577" s="285">
        <v>0.932946918083008</v>
      </c>
      <c r="E3577" s="285">
        <v>19.523004185481835</v>
      </c>
    </row>
    <row r="3578" spans="1:5">
      <c r="A3578" s="284">
        <f t="shared" si="1046"/>
        <v>3510</v>
      </c>
      <c r="B3578" s="285">
        <v>3.3901709949440395</v>
      </c>
      <c r="C3578" s="285">
        <v>2.8317210106017439</v>
      </c>
      <c r="D3578" s="285">
        <v>3.2626120958630369</v>
      </c>
      <c r="E3578" s="285">
        <v>-4.6807631791686379</v>
      </c>
    </row>
    <row r="3579" spans="1:5">
      <c r="A3579" s="284">
        <f t="shared" si="1046"/>
        <v>3511</v>
      </c>
      <c r="B3579" s="285">
        <v>-1.6497021731573032</v>
      </c>
      <c r="C3579" s="285">
        <v>2.1410065386304504</v>
      </c>
      <c r="D3579" s="285">
        <v>2.664268115387987</v>
      </c>
      <c r="E3579" s="285">
        <v>-15.398374479728654</v>
      </c>
    </row>
    <row r="3580" spans="1:5">
      <c r="A3580" s="284">
        <f t="shared" si="1046"/>
        <v>3512</v>
      </c>
      <c r="B3580" s="285">
        <v>-1.0140767471517094</v>
      </c>
      <c r="C3580" s="285">
        <v>2.3501954345345446</v>
      </c>
      <c r="D3580" s="285">
        <v>-0.91781353949800426</v>
      </c>
      <c r="E3580" s="285">
        <v>-6.7251288078220099</v>
      </c>
    </row>
    <row r="3581" spans="1:5">
      <c r="A3581" s="284">
        <f t="shared" si="1046"/>
        <v>3513</v>
      </c>
      <c r="B3581" s="285">
        <v>-7.5322052027007862</v>
      </c>
      <c r="C3581" s="285">
        <v>2.3242817473175017</v>
      </c>
      <c r="D3581" s="285">
        <v>0.1557077991677227</v>
      </c>
      <c r="E3581" s="285">
        <v>-1.6064522121109217</v>
      </c>
    </row>
    <row r="3582" spans="1:5">
      <c r="A3582" s="284">
        <f t="shared" si="1046"/>
        <v>3514</v>
      </c>
      <c r="B3582" s="285">
        <v>-1.3282130925002431</v>
      </c>
      <c r="C3582" s="285">
        <v>3.2546372686635268</v>
      </c>
      <c r="D3582" s="285">
        <v>1.5782382307003573E-3</v>
      </c>
      <c r="E3582" s="285">
        <v>15.238560535762193</v>
      </c>
    </row>
    <row r="3583" spans="1:5">
      <c r="A3583" s="284">
        <f t="shared" si="1046"/>
        <v>3515</v>
      </c>
      <c r="B3583" s="285">
        <v>-4.0483356443156708</v>
      </c>
      <c r="C3583" s="285">
        <v>3.4035562594177105</v>
      </c>
      <c r="D3583" s="285">
        <v>-1.5537954481919201</v>
      </c>
      <c r="E3583" s="285">
        <v>17.898317775747351</v>
      </c>
    </row>
    <row r="3584" spans="1:5">
      <c r="A3584" s="284">
        <f t="shared" si="1046"/>
        <v>3516</v>
      </c>
      <c r="B3584" s="285">
        <v>2.3806806030452883</v>
      </c>
      <c r="C3584" s="285">
        <v>3.4685171375956148</v>
      </c>
      <c r="D3584" s="285">
        <v>2.6489176578213645</v>
      </c>
      <c r="E3584" s="285">
        <v>17.223672770629332</v>
      </c>
    </row>
    <row r="3585" spans="1:5">
      <c r="A3585" s="284">
        <f t="shared" si="1046"/>
        <v>3517</v>
      </c>
      <c r="B3585" s="285">
        <v>0.1788325303363637</v>
      </c>
      <c r="C3585" s="285">
        <v>2.2344913664309454</v>
      </c>
      <c r="D3585" s="285">
        <v>3.5879013559347923</v>
      </c>
      <c r="E3585" s="285">
        <v>-22.641004871977756</v>
      </c>
    </row>
    <row r="3586" spans="1:5">
      <c r="A3586" s="284">
        <f t="shared" si="1046"/>
        <v>3518</v>
      </c>
      <c r="B3586" s="285">
        <v>4.1145747718673373</v>
      </c>
      <c r="C3586" s="285">
        <v>2.8534180707656223</v>
      </c>
      <c r="D3586" s="285">
        <v>3.0079176512997301</v>
      </c>
      <c r="E3586" s="285">
        <v>3.2848201895207194</v>
      </c>
    </row>
    <row r="3587" spans="1:5">
      <c r="A3587" s="284">
        <f t="shared" si="1046"/>
        <v>3519</v>
      </c>
      <c r="B3587" s="285">
        <v>-2.2207519283942094</v>
      </c>
      <c r="C3587" s="285">
        <v>2.7975281861350085</v>
      </c>
      <c r="D3587" s="285">
        <v>-0.13483983202263383</v>
      </c>
      <c r="E3587" s="285">
        <v>5.2637419141541955</v>
      </c>
    </row>
    <row r="3588" spans="1:5">
      <c r="A3588" s="284">
        <f t="shared" si="1046"/>
        <v>3520</v>
      </c>
      <c r="B3588" s="285">
        <v>-3.4423433391575471</v>
      </c>
      <c r="C3588" s="285">
        <v>2.3975455169342537</v>
      </c>
      <c r="D3588" s="285">
        <v>1.3507848081435747</v>
      </c>
      <c r="E3588" s="285">
        <v>1.7981561996726554</v>
      </c>
    </row>
    <row r="3589" spans="1:5">
      <c r="A3589" s="284">
        <f t="shared" si="1046"/>
        <v>3521</v>
      </c>
      <c r="B3589" s="285">
        <v>-1.5634228328159714</v>
      </c>
      <c r="C3589" s="285">
        <v>1.8957359378494627</v>
      </c>
      <c r="D3589" s="285">
        <v>2.5900451708712064</v>
      </c>
      <c r="E3589" s="285">
        <v>-13.110953061438321</v>
      </c>
    </row>
    <row r="3590" spans="1:5">
      <c r="A3590" s="284">
        <f t="shared" si="1046"/>
        <v>3522</v>
      </c>
      <c r="B3590" s="285">
        <v>0.67833699866636699</v>
      </c>
      <c r="C3590" s="285">
        <v>2.2048788916293187</v>
      </c>
      <c r="D3590" s="285">
        <v>-0.2920035653635864</v>
      </c>
      <c r="E3590" s="285">
        <v>-7.9583993265624837</v>
      </c>
    </row>
    <row r="3591" spans="1:5">
      <c r="A3591" s="284">
        <f t="shared" ref="A3591:A3654" si="1047">A3590+1</f>
        <v>3523</v>
      </c>
      <c r="B3591" s="285">
        <v>-0.37546638708622609</v>
      </c>
      <c r="C3591" s="285">
        <v>1.6723766134596807</v>
      </c>
      <c r="D3591" s="285">
        <v>2.7921042017702802</v>
      </c>
      <c r="E3591" s="285">
        <v>-24.391299331520049</v>
      </c>
    </row>
    <row r="3592" spans="1:5">
      <c r="A3592" s="284">
        <f t="shared" si="1047"/>
        <v>3524</v>
      </c>
      <c r="B3592" s="285">
        <v>3.3914991979344418</v>
      </c>
      <c r="C3592" s="285">
        <v>3.4476864630213635</v>
      </c>
      <c r="D3592" s="285">
        <v>0.72988212671673003</v>
      </c>
      <c r="E3592" s="285">
        <v>7.9643961708225639</v>
      </c>
    </row>
    <row r="3593" spans="1:5">
      <c r="A3593" s="284">
        <f t="shared" si="1047"/>
        <v>3525</v>
      </c>
      <c r="B3593" s="285">
        <v>2.2126388562018509</v>
      </c>
      <c r="C3593" s="285">
        <v>2.6497595876848514</v>
      </c>
      <c r="D3593" s="285">
        <v>1.7891341916526966</v>
      </c>
      <c r="E3593" s="285">
        <v>-1.7179863626843304</v>
      </c>
    </row>
    <row r="3594" spans="1:5">
      <c r="A3594" s="284">
        <f t="shared" si="1047"/>
        <v>3526</v>
      </c>
      <c r="B3594" s="285">
        <v>4.2818939390081565E-2</v>
      </c>
      <c r="C3594" s="285">
        <v>3.2093534561025505</v>
      </c>
      <c r="D3594" s="285">
        <v>1.3773714999223698</v>
      </c>
      <c r="E3594" s="285">
        <v>-3.5979714694426366</v>
      </c>
    </row>
    <row r="3595" spans="1:5">
      <c r="A3595" s="284">
        <f t="shared" si="1047"/>
        <v>3527</v>
      </c>
      <c r="B3595" s="285">
        <v>-1.8428406753790871</v>
      </c>
      <c r="C3595" s="285">
        <v>2.1761749740293528</v>
      </c>
      <c r="D3595" s="285">
        <v>0.60388167102266921</v>
      </c>
      <c r="E3595" s="285">
        <v>-9.2929971508364684</v>
      </c>
    </row>
    <row r="3596" spans="1:5">
      <c r="A3596" s="284">
        <f t="shared" si="1047"/>
        <v>3528</v>
      </c>
      <c r="B3596" s="285">
        <v>1.2889482704108994</v>
      </c>
      <c r="C3596" s="285">
        <v>2.8269543391485561</v>
      </c>
      <c r="D3596" s="285">
        <v>0.1101510176648679</v>
      </c>
      <c r="E3596" s="285">
        <v>12.312901547745966</v>
      </c>
    </row>
    <row r="3597" spans="1:5">
      <c r="A3597" s="284">
        <f t="shared" si="1047"/>
        <v>3529</v>
      </c>
      <c r="B3597" s="285">
        <v>-0.91574611115492066</v>
      </c>
      <c r="C3597" s="285">
        <v>2.0753531106314043</v>
      </c>
      <c r="D3597" s="285">
        <v>1.1158953945083547</v>
      </c>
      <c r="E3597" s="285">
        <v>-3.1714556508305995</v>
      </c>
    </row>
    <row r="3598" spans="1:5">
      <c r="A3598" s="284">
        <f t="shared" si="1047"/>
        <v>3530</v>
      </c>
      <c r="B3598" s="285">
        <v>-1.7097579888552694</v>
      </c>
      <c r="C3598" s="285">
        <v>3.0077771339893018</v>
      </c>
      <c r="D3598" s="285">
        <v>1.5557571905946916</v>
      </c>
      <c r="E3598" s="285">
        <v>0.94684109566523444</v>
      </c>
    </row>
    <row r="3599" spans="1:5">
      <c r="A3599" s="284">
        <f t="shared" si="1047"/>
        <v>3531</v>
      </c>
      <c r="B3599" s="285">
        <v>-2.8712818510607012</v>
      </c>
      <c r="C3599" s="285">
        <v>2.3773913822695323</v>
      </c>
      <c r="D3599" s="285">
        <v>-0.15106840965442681</v>
      </c>
      <c r="E3599" s="285">
        <v>-1.5875184291386333</v>
      </c>
    </row>
    <row r="3600" spans="1:5">
      <c r="A3600" s="284">
        <f t="shared" si="1047"/>
        <v>3532</v>
      </c>
      <c r="B3600" s="285">
        <v>-0.79571558085389626</v>
      </c>
      <c r="C3600" s="285">
        <v>2.1908322019701214</v>
      </c>
      <c r="D3600" s="285">
        <v>1.4003908016012869</v>
      </c>
      <c r="E3600" s="285">
        <v>-6.359602197571423</v>
      </c>
    </row>
    <row r="3601" spans="1:5">
      <c r="A3601" s="284">
        <f t="shared" si="1047"/>
        <v>3533</v>
      </c>
      <c r="B3601" s="285">
        <v>-0.86369523644772006</v>
      </c>
      <c r="C3601" s="285">
        <v>1.7817927188003164</v>
      </c>
      <c r="D3601" s="285">
        <v>1.9039817466006141</v>
      </c>
      <c r="E3601" s="285">
        <v>-17.310297442533763</v>
      </c>
    </row>
    <row r="3602" spans="1:5">
      <c r="A3602" s="284">
        <f t="shared" si="1047"/>
        <v>3534</v>
      </c>
      <c r="B3602" s="285">
        <v>-4.7690191842404799</v>
      </c>
      <c r="C3602" s="285">
        <v>1.8474492364152297</v>
      </c>
      <c r="D3602" s="285">
        <v>0.9099578897661299</v>
      </c>
      <c r="E3602" s="285">
        <v>-20.971110592873782</v>
      </c>
    </row>
    <row r="3603" spans="1:5">
      <c r="A3603" s="284">
        <f t="shared" si="1047"/>
        <v>3535</v>
      </c>
      <c r="B3603" s="285">
        <v>-0.50238313436241966</v>
      </c>
      <c r="C3603" s="285">
        <v>3.2403300229301748</v>
      </c>
      <c r="D3603" s="285">
        <v>-0.54031711285910733</v>
      </c>
      <c r="E3603" s="285">
        <v>5.7851319125227363</v>
      </c>
    </row>
    <row r="3604" spans="1:5">
      <c r="A3604" s="284">
        <f t="shared" si="1047"/>
        <v>3536</v>
      </c>
      <c r="B3604" s="285">
        <v>-1.0891522619894558</v>
      </c>
      <c r="C3604" s="285">
        <v>2.2347681525884129</v>
      </c>
      <c r="D3604" s="285">
        <v>0.62037275499355859</v>
      </c>
      <c r="E3604" s="285">
        <v>-11.870811520810612</v>
      </c>
    </row>
    <row r="3605" spans="1:5">
      <c r="A3605" s="284">
        <f t="shared" si="1047"/>
        <v>3537</v>
      </c>
      <c r="B3605" s="285">
        <v>1.6323280416871633</v>
      </c>
      <c r="C3605" s="285">
        <v>1.7965727330897683</v>
      </c>
      <c r="D3605" s="285">
        <v>1.7054422033100098</v>
      </c>
      <c r="E3605" s="285">
        <v>-12.808553525646268</v>
      </c>
    </row>
    <row r="3606" spans="1:5">
      <c r="A3606" s="284">
        <f t="shared" si="1047"/>
        <v>3538</v>
      </c>
      <c r="B3606" s="285">
        <v>-0.34308488205335858</v>
      </c>
      <c r="C3606" s="285">
        <v>2.9286784673384969</v>
      </c>
      <c r="D3606" s="285">
        <v>2.8731388154337387</v>
      </c>
      <c r="E3606" s="285">
        <v>5.2835426716789389</v>
      </c>
    </row>
    <row r="3607" spans="1:5">
      <c r="A3607" s="284">
        <f t="shared" si="1047"/>
        <v>3539</v>
      </c>
      <c r="B3607" s="285">
        <v>-2.6436355469446129</v>
      </c>
      <c r="C3607" s="285">
        <v>2.7622532806933298</v>
      </c>
      <c r="D3607" s="285">
        <v>-2.2481909808512817</v>
      </c>
      <c r="E3607" s="285">
        <v>7.2627394464068686</v>
      </c>
    </row>
    <row r="3608" spans="1:5">
      <c r="A3608" s="284">
        <f t="shared" si="1047"/>
        <v>3540</v>
      </c>
      <c r="B3608" s="285">
        <v>1.4740293349211948</v>
      </c>
      <c r="C3608" s="285">
        <v>2.0690388044287098</v>
      </c>
      <c r="D3608" s="285">
        <v>2.2109651743599379</v>
      </c>
      <c r="E3608" s="285">
        <v>-6.0829233894212216</v>
      </c>
    </row>
    <row r="3609" spans="1:5">
      <c r="A3609" s="284">
        <f t="shared" si="1047"/>
        <v>3541</v>
      </c>
      <c r="B3609" s="285">
        <v>-1.6183544672545995</v>
      </c>
      <c r="C3609" s="285">
        <v>2.3720802194353943</v>
      </c>
      <c r="D3609" s="285">
        <v>-0.69899480420772786</v>
      </c>
      <c r="E3609" s="285">
        <v>9.3982988085443555</v>
      </c>
    </row>
    <row r="3610" spans="1:5">
      <c r="A3610" s="284">
        <f t="shared" si="1047"/>
        <v>3542</v>
      </c>
      <c r="B3610" s="285">
        <v>-0.50397105197030134</v>
      </c>
      <c r="C3610" s="285">
        <v>2.174561458441135</v>
      </c>
      <c r="D3610" s="285">
        <v>1.4380071141084527</v>
      </c>
      <c r="E3610" s="285">
        <v>-18.181823170269439</v>
      </c>
    </row>
    <row r="3611" spans="1:5">
      <c r="A3611" s="284">
        <f t="shared" si="1047"/>
        <v>3543</v>
      </c>
      <c r="B3611" s="285">
        <v>-0.11402631644615056</v>
      </c>
      <c r="C3611" s="285">
        <v>2.4404803893564502</v>
      </c>
      <c r="D3611" s="285">
        <v>2.3979488333270629</v>
      </c>
      <c r="E3611" s="285">
        <v>-7.0457813391536259</v>
      </c>
    </row>
    <row r="3612" spans="1:5">
      <c r="A3612" s="284">
        <f t="shared" si="1047"/>
        <v>3544</v>
      </c>
      <c r="B3612" s="285">
        <v>-3.2210867952284934</v>
      </c>
      <c r="C3612" s="285">
        <v>2.3519589446512823</v>
      </c>
      <c r="D3612" s="285">
        <v>1.3545952390485714</v>
      </c>
      <c r="E3612" s="285">
        <v>-9.0695114800971606</v>
      </c>
    </row>
    <row r="3613" spans="1:5">
      <c r="A3613" s="284">
        <f t="shared" si="1047"/>
        <v>3545</v>
      </c>
      <c r="B3613" s="285">
        <v>-1.5358824024022035</v>
      </c>
      <c r="C3613" s="285">
        <v>2.9814203859879704</v>
      </c>
      <c r="D3613" s="285">
        <v>2.0635015666947005</v>
      </c>
      <c r="E3613" s="285">
        <v>12.847583845433284</v>
      </c>
    </row>
    <row r="3614" spans="1:5">
      <c r="A3614" s="284">
        <f t="shared" si="1047"/>
        <v>3546</v>
      </c>
      <c r="B3614" s="285">
        <v>-0.63829332621707535</v>
      </c>
      <c r="C3614" s="285">
        <v>2.266367547229605</v>
      </c>
      <c r="D3614" s="285">
        <v>0.27209514031977922</v>
      </c>
      <c r="E3614" s="285">
        <v>-9.3043253622575097</v>
      </c>
    </row>
    <row r="3615" spans="1:5">
      <c r="A3615" s="284">
        <f t="shared" si="1047"/>
        <v>3547</v>
      </c>
      <c r="B3615" s="285">
        <v>4.3770118588070508</v>
      </c>
      <c r="C3615" s="285">
        <v>2.2599653522422853</v>
      </c>
      <c r="D3615" s="285">
        <v>3.164767618562554</v>
      </c>
      <c r="E3615" s="285">
        <v>-18.587440735278776</v>
      </c>
    </row>
    <row r="3616" spans="1:5">
      <c r="A3616" s="284">
        <f t="shared" si="1047"/>
        <v>3548</v>
      </c>
      <c r="B3616" s="285">
        <v>0.46033938451867468</v>
      </c>
      <c r="C3616" s="285">
        <v>3.0716266156958603</v>
      </c>
      <c r="D3616" s="285">
        <v>0.92327452857676129</v>
      </c>
      <c r="E3616" s="285">
        <v>5.3421821343679721</v>
      </c>
    </row>
    <row r="3617" spans="1:5">
      <c r="A3617" s="284">
        <f t="shared" si="1047"/>
        <v>3549</v>
      </c>
      <c r="B3617" s="285">
        <v>8.4007672330948205E-2</v>
      </c>
      <c r="C3617" s="285">
        <v>2.0282771644286806</v>
      </c>
      <c r="D3617" s="285">
        <v>2.2493093081077635</v>
      </c>
      <c r="E3617" s="285">
        <v>-16.429362155675616</v>
      </c>
    </row>
    <row r="3618" spans="1:5">
      <c r="A3618" s="284">
        <f t="shared" si="1047"/>
        <v>3550</v>
      </c>
      <c r="B3618" s="285">
        <v>-0.6549672240094877</v>
      </c>
      <c r="C3618" s="285">
        <v>2.6452478691934109</v>
      </c>
      <c r="D3618" s="285">
        <v>0.90578559278975845</v>
      </c>
      <c r="E3618" s="285">
        <v>2.7794127999191898</v>
      </c>
    </row>
    <row r="3619" spans="1:5">
      <c r="A3619" s="284">
        <f t="shared" si="1047"/>
        <v>3551</v>
      </c>
      <c r="B3619" s="285">
        <v>0.40163853578964487</v>
      </c>
      <c r="C3619" s="285">
        <v>2.4947082610878386</v>
      </c>
      <c r="D3619" s="285">
        <v>1.8677510198988734</v>
      </c>
      <c r="E3619" s="285">
        <v>-5.3070656863809553</v>
      </c>
    </row>
    <row r="3620" spans="1:5">
      <c r="A3620" s="284">
        <f t="shared" si="1047"/>
        <v>3552</v>
      </c>
      <c r="B3620" s="285">
        <v>1.4948143610964129</v>
      </c>
      <c r="C3620" s="285">
        <v>2.2322918951966848</v>
      </c>
      <c r="D3620" s="285">
        <v>2.103930474972814</v>
      </c>
      <c r="E3620" s="285">
        <v>-12.782183905469397</v>
      </c>
    </row>
    <row r="3621" spans="1:5">
      <c r="A3621" s="284">
        <f t="shared" si="1047"/>
        <v>3553</v>
      </c>
      <c r="B3621" s="285">
        <v>-1.2033044336901495</v>
      </c>
      <c r="C3621" s="285">
        <v>3.057929229759786</v>
      </c>
      <c r="D3621" s="285">
        <v>-1.9123387064487245</v>
      </c>
      <c r="E3621" s="285">
        <v>19.772018742215327</v>
      </c>
    </row>
    <row r="3622" spans="1:5">
      <c r="A3622" s="284">
        <f t="shared" si="1047"/>
        <v>3554</v>
      </c>
      <c r="B3622" s="285">
        <v>4.9550755224115655</v>
      </c>
      <c r="C3622" s="285">
        <v>2.102233810019269</v>
      </c>
      <c r="D3622" s="285">
        <v>2.1838014028215635</v>
      </c>
      <c r="E3622" s="285">
        <v>-18.471722124012164</v>
      </c>
    </row>
    <row r="3623" spans="1:5">
      <c r="A3623" s="284">
        <f t="shared" si="1047"/>
        <v>3555</v>
      </c>
      <c r="B3623" s="285">
        <v>-0.80520888421159043</v>
      </c>
      <c r="C3623" s="285">
        <v>3.4177357683230127</v>
      </c>
      <c r="D3623" s="285">
        <v>0.78981872703961509</v>
      </c>
      <c r="E3623" s="285">
        <v>7.5644444906205344</v>
      </c>
    </row>
    <row r="3624" spans="1:5">
      <c r="A3624" s="284">
        <f t="shared" si="1047"/>
        <v>3556</v>
      </c>
      <c r="B3624" s="285">
        <v>-0.33940039902660551</v>
      </c>
      <c r="C3624" s="285">
        <v>3.1654891830098602</v>
      </c>
      <c r="D3624" s="285">
        <v>0.67437207138862354</v>
      </c>
      <c r="E3624" s="285">
        <v>12.611849890708672</v>
      </c>
    </row>
    <row r="3625" spans="1:5">
      <c r="A3625" s="284">
        <f t="shared" si="1047"/>
        <v>3557</v>
      </c>
      <c r="B3625" s="285">
        <v>-1.0729120893270372</v>
      </c>
      <c r="C3625" s="285">
        <v>3.0566033873917604</v>
      </c>
      <c r="D3625" s="285">
        <v>0.74243637781746363</v>
      </c>
      <c r="E3625" s="285">
        <v>12.904665629374453</v>
      </c>
    </row>
    <row r="3626" spans="1:5">
      <c r="A3626" s="284">
        <f t="shared" si="1047"/>
        <v>3558</v>
      </c>
      <c r="B3626" s="285">
        <v>2.6937879896265761E-2</v>
      </c>
      <c r="C3626" s="285">
        <v>3.0839924842648858</v>
      </c>
      <c r="D3626" s="285">
        <v>3.0337838208697381</v>
      </c>
      <c r="E3626" s="285">
        <v>14.427731700583156</v>
      </c>
    </row>
    <row r="3627" spans="1:5">
      <c r="A3627" s="284">
        <f t="shared" si="1047"/>
        <v>3559</v>
      </c>
      <c r="B3627" s="285">
        <v>0.29939043644905894</v>
      </c>
      <c r="C3627" s="285">
        <v>2.5581073991481782</v>
      </c>
      <c r="D3627" s="285">
        <v>1.2897833661610141</v>
      </c>
      <c r="E3627" s="285">
        <v>-1.374294014271584</v>
      </c>
    </row>
    <row r="3628" spans="1:5">
      <c r="A3628" s="284">
        <f t="shared" si="1047"/>
        <v>3560</v>
      </c>
      <c r="B3628" s="285">
        <v>0.25711460587340673</v>
      </c>
      <c r="C3628" s="285">
        <v>2.3829074830507517</v>
      </c>
      <c r="D3628" s="285">
        <v>0.84819685380354015</v>
      </c>
      <c r="E3628" s="285">
        <v>-8.1503372914055543</v>
      </c>
    </row>
    <row r="3629" spans="1:5">
      <c r="A3629" s="284">
        <f t="shared" si="1047"/>
        <v>3561</v>
      </c>
      <c r="B3629" s="285">
        <v>-3.3316553184768234E-2</v>
      </c>
      <c r="C3629" s="285">
        <v>3.152945053420118</v>
      </c>
      <c r="D3629" s="285">
        <v>1.7798334752139717</v>
      </c>
      <c r="E3629" s="285">
        <v>10.036198196949767</v>
      </c>
    </row>
    <row r="3630" spans="1:5">
      <c r="A3630" s="284">
        <f t="shared" si="1047"/>
        <v>3562</v>
      </c>
      <c r="B3630" s="285">
        <v>0.20914058640893554</v>
      </c>
      <c r="C3630" s="285">
        <v>2.5422417757740341</v>
      </c>
      <c r="D3630" s="285">
        <v>-0.89209008760718467</v>
      </c>
      <c r="E3630" s="285">
        <v>2.0370939494967177</v>
      </c>
    </row>
    <row r="3631" spans="1:5">
      <c r="A3631" s="284">
        <f t="shared" si="1047"/>
        <v>3563</v>
      </c>
      <c r="B3631" s="285">
        <v>0.67533677595148189</v>
      </c>
      <c r="C3631" s="285">
        <v>2.1169072548526633</v>
      </c>
      <c r="D3631" s="285">
        <v>2.4308540605143492</v>
      </c>
      <c r="E3631" s="285">
        <v>-20.406605629978966</v>
      </c>
    </row>
    <row r="3632" spans="1:5">
      <c r="A3632" s="284">
        <f t="shared" si="1047"/>
        <v>3564</v>
      </c>
      <c r="B3632" s="285">
        <v>2.4164149405092061</v>
      </c>
      <c r="C3632" s="285">
        <v>2.6544488796563406</v>
      </c>
      <c r="D3632" s="285">
        <v>1.8681535792008603</v>
      </c>
      <c r="E3632" s="285">
        <v>-13.839286456415037</v>
      </c>
    </row>
    <row r="3633" spans="1:5">
      <c r="A3633" s="284">
        <f t="shared" si="1047"/>
        <v>3565</v>
      </c>
      <c r="B3633" s="285">
        <v>-0.85066539097587479</v>
      </c>
      <c r="C3633" s="285">
        <v>2.4064221949675164</v>
      </c>
      <c r="D3633" s="285">
        <v>1.9478754066205801</v>
      </c>
      <c r="E3633" s="285">
        <v>1.7756028777357078</v>
      </c>
    </row>
    <row r="3634" spans="1:5">
      <c r="A3634" s="284">
        <f t="shared" si="1047"/>
        <v>3566</v>
      </c>
      <c r="B3634" s="285">
        <v>0.81343958407897154</v>
      </c>
      <c r="C3634" s="285">
        <v>2.5045857648235943</v>
      </c>
      <c r="D3634" s="285">
        <v>0.45453581706464152</v>
      </c>
      <c r="E3634" s="285">
        <v>-3.8119928503458764</v>
      </c>
    </row>
    <row r="3635" spans="1:5">
      <c r="A3635" s="284">
        <f t="shared" si="1047"/>
        <v>3567</v>
      </c>
      <c r="B3635" s="285">
        <v>-4.0250883413404859</v>
      </c>
      <c r="C3635" s="285">
        <v>2.5752516494213471</v>
      </c>
      <c r="D3635" s="285">
        <v>1.8282576451469543</v>
      </c>
      <c r="E3635" s="285">
        <v>3.764562514305037</v>
      </c>
    </row>
    <row r="3636" spans="1:5">
      <c r="A3636" s="284">
        <f t="shared" si="1047"/>
        <v>3568</v>
      </c>
      <c r="B3636" s="285">
        <v>5.4548315717434743</v>
      </c>
      <c r="C3636" s="285">
        <v>2.4128273153916067</v>
      </c>
      <c r="D3636" s="285">
        <v>2.2572371209640067</v>
      </c>
      <c r="E3636" s="285">
        <v>-17.090981145133934</v>
      </c>
    </row>
    <row r="3637" spans="1:5">
      <c r="A3637" s="284">
        <f t="shared" si="1047"/>
        <v>3569</v>
      </c>
      <c r="B3637" s="285">
        <v>-0.5745654601680471</v>
      </c>
      <c r="C3637" s="285">
        <v>3.1122335753817048</v>
      </c>
      <c r="D3637" s="285">
        <v>-0.22765307433165427</v>
      </c>
      <c r="E3637" s="285">
        <v>9.8412902714325661</v>
      </c>
    </row>
    <row r="3638" spans="1:5">
      <c r="A3638" s="284">
        <f t="shared" si="1047"/>
        <v>3570</v>
      </c>
      <c r="B3638" s="285">
        <v>-0.84380395886017578</v>
      </c>
      <c r="C3638" s="285">
        <v>3.0678441873261528</v>
      </c>
      <c r="D3638" s="285">
        <v>0.84989998517432919</v>
      </c>
      <c r="E3638" s="285">
        <v>12.890920943310157</v>
      </c>
    </row>
    <row r="3639" spans="1:5">
      <c r="A3639" s="284">
        <f t="shared" si="1047"/>
        <v>3571</v>
      </c>
      <c r="B3639" s="285">
        <v>5.4965078366268916</v>
      </c>
      <c r="C3639" s="285">
        <v>2.920573391777805</v>
      </c>
      <c r="D3639" s="285">
        <v>3.0551445389981509</v>
      </c>
      <c r="E3639" s="285">
        <v>-7.1421957651702339</v>
      </c>
    </row>
    <row r="3640" spans="1:5">
      <c r="A3640" s="284">
        <f t="shared" si="1047"/>
        <v>3572</v>
      </c>
      <c r="B3640" s="285">
        <v>-0.26443082013481811</v>
      </c>
      <c r="C3640" s="285">
        <v>2.8119653229466901</v>
      </c>
      <c r="D3640" s="285">
        <v>-0.91870705361628069</v>
      </c>
      <c r="E3640" s="285">
        <v>-1.6392592436925129</v>
      </c>
    </row>
    <row r="3641" spans="1:5">
      <c r="A3641" s="284">
        <f t="shared" si="1047"/>
        <v>3573</v>
      </c>
      <c r="B3641" s="285">
        <v>3.9694679537327722</v>
      </c>
      <c r="C3641" s="285">
        <v>3.16365778449138</v>
      </c>
      <c r="D3641" s="285">
        <v>-0.60725148026044007</v>
      </c>
      <c r="E3641" s="285">
        <v>10.783065979967105</v>
      </c>
    </row>
    <row r="3642" spans="1:5">
      <c r="A3642" s="284">
        <f t="shared" si="1047"/>
        <v>3574</v>
      </c>
      <c r="B3642" s="285">
        <v>0.33372243772641502</v>
      </c>
      <c r="C3642" s="285">
        <v>1.5060237782264054</v>
      </c>
      <c r="D3642" s="285">
        <v>9.568426447238676E-2</v>
      </c>
      <c r="E3642" s="285">
        <v>-28.31691698148656</v>
      </c>
    </row>
    <row r="3643" spans="1:5">
      <c r="A3643" s="284">
        <f t="shared" si="1047"/>
        <v>3575</v>
      </c>
      <c r="B3643" s="285">
        <v>-4.7983598991349137</v>
      </c>
      <c r="C3643" s="285">
        <v>2.8647934295291346</v>
      </c>
      <c r="D3643" s="285">
        <v>-2.2384939831796089</v>
      </c>
      <c r="E3643" s="285">
        <v>6.0008407087752431</v>
      </c>
    </row>
    <row r="3644" spans="1:5">
      <c r="A3644" s="284">
        <f t="shared" si="1047"/>
        <v>3576</v>
      </c>
      <c r="B3644" s="285">
        <v>1.2487619918584314</v>
      </c>
      <c r="C3644" s="285">
        <v>2.5684216620579323</v>
      </c>
      <c r="D3644" s="285">
        <v>0.27078739271513097</v>
      </c>
      <c r="E3644" s="285">
        <v>-1.9860405479177985</v>
      </c>
    </row>
    <row r="3645" spans="1:5">
      <c r="A3645" s="284">
        <f t="shared" si="1047"/>
        <v>3577</v>
      </c>
      <c r="B3645" s="285">
        <v>1.7332014460717871</v>
      </c>
      <c r="C3645" s="285">
        <v>3.5777189001238874</v>
      </c>
      <c r="D3645" s="285">
        <v>-1.3494230306616481</v>
      </c>
      <c r="E3645" s="285">
        <v>22.35706641338318</v>
      </c>
    </row>
    <row r="3646" spans="1:5">
      <c r="A3646" s="284">
        <f t="shared" si="1047"/>
        <v>3578</v>
      </c>
      <c r="B3646" s="285">
        <v>-1.6958938625060722</v>
      </c>
      <c r="C3646" s="285">
        <v>3.0223224233478754</v>
      </c>
      <c r="D3646" s="285">
        <v>1.9359271033029151</v>
      </c>
      <c r="E3646" s="285">
        <v>17.064376523589846</v>
      </c>
    </row>
    <row r="3647" spans="1:5">
      <c r="A3647" s="284">
        <f t="shared" si="1047"/>
        <v>3579</v>
      </c>
      <c r="B3647" s="285">
        <v>-4.6018210625636424</v>
      </c>
      <c r="C3647" s="285">
        <v>1.6484638549718</v>
      </c>
      <c r="D3647" s="285">
        <v>-2.2023470612880223</v>
      </c>
      <c r="E3647" s="285">
        <v>-5.5303014904717323</v>
      </c>
    </row>
    <row r="3648" spans="1:5">
      <c r="A3648" s="284">
        <f t="shared" si="1047"/>
        <v>3580</v>
      </c>
      <c r="B3648" s="285">
        <v>1.9335356247764557</v>
      </c>
      <c r="C3648" s="285">
        <v>3.09897379896237</v>
      </c>
      <c r="D3648" s="285">
        <v>1.2719767155997486</v>
      </c>
      <c r="E3648" s="285">
        <v>5.8316495831858735</v>
      </c>
    </row>
    <row r="3649" spans="1:5">
      <c r="A3649" s="284">
        <f t="shared" si="1047"/>
        <v>3581</v>
      </c>
      <c r="B3649" s="285">
        <v>-1.6885747529276347</v>
      </c>
      <c r="C3649" s="285">
        <v>1.9957537802424841</v>
      </c>
      <c r="D3649" s="285">
        <v>0.31011952924476827</v>
      </c>
      <c r="E3649" s="285">
        <v>-16.63566845514308</v>
      </c>
    </row>
    <row r="3650" spans="1:5">
      <c r="A3650" s="284">
        <f t="shared" si="1047"/>
        <v>3582</v>
      </c>
      <c r="B3650" s="285">
        <v>0.49783019926365785</v>
      </c>
      <c r="C3650" s="285">
        <v>2.5896940602417091</v>
      </c>
      <c r="D3650" s="285">
        <v>0.55722681964861664</v>
      </c>
      <c r="E3650" s="285">
        <v>-0.76013398578501112</v>
      </c>
    </row>
    <row r="3651" spans="1:5">
      <c r="A3651" s="284">
        <f t="shared" si="1047"/>
        <v>3583</v>
      </c>
      <c r="B3651" s="285">
        <v>-1.4388571148722793</v>
      </c>
      <c r="C3651" s="285">
        <v>2.5590964569747983</v>
      </c>
      <c r="D3651" s="285">
        <v>2.0130429475279161</v>
      </c>
      <c r="E3651" s="285">
        <v>-0.54494695484410949</v>
      </c>
    </row>
    <row r="3652" spans="1:5">
      <c r="A3652" s="284">
        <f t="shared" si="1047"/>
        <v>3584</v>
      </c>
      <c r="B3652" s="285">
        <v>1.6936972878388341</v>
      </c>
      <c r="C3652" s="285">
        <v>3.1677308261455801</v>
      </c>
      <c r="D3652" s="285">
        <v>1.8517066948799732</v>
      </c>
      <c r="E3652" s="285">
        <v>-6.9051402387449734</v>
      </c>
    </row>
    <row r="3653" spans="1:5">
      <c r="A3653" s="284">
        <f t="shared" si="1047"/>
        <v>3585</v>
      </c>
      <c r="B3653" s="285">
        <v>-0.12384161601200787</v>
      </c>
      <c r="C3653" s="285">
        <v>3.1909459362006873</v>
      </c>
      <c r="D3653" s="285">
        <v>0.48072444792481406</v>
      </c>
      <c r="E3653" s="285">
        <v>13.816783701993312</v>
      </c>
    </row>
    <row r="3654" spans="1:5">
      <c r="A3654" s="284">
        <f t="shared" si="1047"/>
        <v>3586</v>
      </c>
      <c r="B3654" s="285">
        <v>-5.2175369147065327</v>
      </c>
      <c r="C3654" s="285">
        <v>2.4763295831966925</v>
      </c>
      <c r="D3654" s="285">
        <v>-0.49853010876455173</v>
      </c>
      <c r="E3654" s="285">
        <v>3.5171848335212288</v>
      </c>
    </row>
    <row r="3655" spans="1:5">
      <c r="A3655" s="284">
        <f t="shared" ref="A3655:A3718" si="1048">A3654+1</f>
        <v>3587</v>
      </c>
      <c r="B3655" s="285">
        <v>4.436738332700001</v>
      </c>
      <c r="C3655" s="285">
        <v>2.9435556186285172</v>
      </c>
      <c r="D3655" s="285">
        <v>2.2107356442317907</v>
      </c>
      <c r="E3655" s="285">
        <v>-4.5871404706607297</v>
      </c>
    </row>
    <row r="3656" spans="1:5">
      <c r="A3656" s="284">
        <f t="shared" si="1048"/>
        <v>3588</v>
      </c>
      <c r="B3656" s="285">
        <v>-2.2350501791246709</v>
      </c>
      <c r="C3656" s="285">
        <v>1.9664594919425613</v>
      </c>
      <c r="D3656" s="285">
        <v>0.21540983401774516</v>
      </c>
      <c r="E3656" s="285">
        <v>-3.8122914172542832</v>
      </c>
    </row>
    <row r="3657" spans="1:5">
      <c r="A3657" s="284">
        <f t="shared" si="1048"/>
        <v>3589</v>
      </c>
      <c r="B3657" s="285">
        <v>2.8378071718512952</v>
      </c>
      <c r="C3657" s="285">
        <v>2.3640824631386028</v>
      </c>
      <c r="D3657" s="285">
        <v>1.9519746142892287</v>
      </c>
      <c r="E3657" s="285">
        <v>-18.985518326644666</v>
      </c>
    </row>
    <row r="3658" spans="1:5">
      <c r="A3658" s="284">
        <f t="shared" si="1048"/>
        <v>3590</v>
      </c>
      <c r="B3658" s="285">
        <v>1.0394387497195456</v>
      </c>
      <c r="C3658" s="285">
        <v>2.3945666240000185</v>
      </c>
      <c r="D3658" s="285">
        <v>2.7643197799648824</v>
      </c>
      <c r="E3658" s="285">
        <v>-15.411226154981479</v>
      </c>
    </row>
    <row r="3659" spans="1:5">
      <c r="A3659" s="284">
        <f t="shared" si="1048"/>
        <v>3591</v>
      </c>
      <c r="B3659" s="285">
        <v>1.051834934735846</v>
      </c>
      <c r="C3659" s="285">
        <v>1.8798926258083899</v>
      </c>
      <c r="D3659" s="285">
        <v>1.3882228657104196</v>
      </c>
      <c r="E3659" s="285">
        <v>-18.570539137402886</v>
      </c>
    </row>
    <row r="3660" spans="1:5">
      <c r="A3660" s="284">
        <f t="shared" si="1048"/>
        <v>3592</v>
      </c>
      <c r="B3660" s="285">
        <v>1.142160623801832</v>
      </c>
      <c r="C3660" s="285">
        <v>2.2091039488729263</v>
      </c>
      <c r="D3660" s="285">
        <v>1.0402097825523726</v>
      </c>
      <c r="E3660" s="285">
        <v>-6.6469897637402706</v>
      </c>
    </row>
    <row r="3661" spans="1:5">
      <c r="A3661" s="284">
        <f t="shared" si="1048"/>
        <v>3593</v>
      </c>
      <c r="B3661" s="285">
        <v>-5.2150779378007854</v>
      </c>
      <c r="C3661" s="285">
        <v>2.5317320916557629</v>
      </c>
      <c r="D3661" s="285">
        <v>1.3795115041025408</v>
      </c>
      <c r="E3661" s="285">
        <v>-4.1957983242026682</v>
      </c>
    </row>
    <row r="3662" spans="1:5">
      <c r="A3662" s="284">
        <f t="shared" si="1048"/>
        <v>3594</v>
      </c>
      <c r="B3662" s="285">
        <v>-1.1816030627882848</v>
      </c>
      <c r="C3662" s="285">
        <v>1.9833399265652729</v>
      </c>
      <c r="D3662" s="285">
        <v>1.5627764926018226</v>
      </c>
      <c r="E3662" s="285">
        <v>-2.622483884336043</v>
      </c>
    </row>
    <row r="3663" spans="1:5">
      <c r="A3663" s="284">
        <f t="shared" si="1048"/>
        <v>3595</v>
      </c>
      <c r="B3663" s="285">
        <v>-7.0571744583836568E-3</v>
      </c>
      <c r="C3663" s="285">
        <v>2.6403777591157906</v>
      </c>
      <c r="D3663" s="285">
        <v>1.559327045962124</v>
      </c>
      <c r="E3663" s="285">
        <v>-5.2960932082859244</v>
      </c>
    </row>
    <row r="3664" spans="1:5">
      <c r="A3664" s="284">
        <f t="shared" si="1048"/>
        <v>3596</v>
      </c>
      <c r="B3664" s="285">
        <v>1.4251574125696231</v>
      </c>
      <c r="C3664" s="285">
        <v>3.0592032680539734</v>
      </c>
      <c r="D3664" s="285">
        <v>0.15415844794141886</v>
      </c>
      <c r="E3664" s="285">
        <v>11.956028515414332</v>
      </c>
    </row>
    <row r="3665" spans="1:5">
      <c r="A3665" s="284">
        <f t="shared" si="1048"/>
        <v>3597</v>
      </c>
      <c r="B3665" s="285">
        <v>-2.3414822763902405</v>
      </c>
      <c r="C3665" s="285">
        <v>2.0326382549728073</v>
      </c>
      <c r="D3665" s="285">
        <v>0.1021469193496225</v>
      </c>
      <c r="E3665" s="285">
        <v>-8.5422387392825634</v>
      </c>
    </row>
    <row r="3666" spans="1:5">
      <c r="A3666" s="284">
        <f t="shared" si="1048"/>
        <v>3598</v>
      </c>
      <c r="B3666" s="285">
        <v>-1.485460964246021</v>
      </c>
      <c r="C3666" s="285">
        <v>1.6948382909141559</v>
      </c>
      <c r="D3666" s="285">
        <v>2.6377553824237223</v>
      </c>
      <c r="E3666" s="285">
        <v>-27.217443045493727</v>
      </c>
    </row>
    <row r="3667" spans="1:5">
      <c r="A3667" s="284">
        <f t="shared" si="1048"/>
        <v>3599</v>
      </c>
      <c r="B3667" s="285">
        <v>6.5886184261674972</v>
      </c>
      <c r="C3667" s="285">
        <v>3.1398975794687782</v>
      </c>
      <c r="D3667" s="285">
        <v>1.1018599263318669</v>
      </c>
      <c r="E3667" s="285">
        <v>-11.595222434700938</v>
      </c>
    </row>
    <row r="3668" spans="1:5">
      <c r="A3668" s="284">
        <f t="shared" si="1048"/>
        <v>3600</v>
      </c>
      <c r="B3668" s="285">
        <v>3.5991000395770212</v>
      </c>
      <c r="C3668" s="285">
        <v>2.6558665746760126</v>
      </c>
      <c r="D3668" s="285">
        <v>1.6376335302527287</v>
      </c>
      <c r="E3668" s="285">
        <v>-7.3371704941471663</v>
      </c>
    </row>
    <row r="3669" spans="1:5">
      <c r="A3669" s="284">
        <f t="shared" si="1048"/>
        <v>3601</v>
      </c>
      <c r="B3669" s="285">
        <v>-0.90724206027635812</v>
      </c>
      <c r="C3669" s="285">
        <v>2.4572785488413267</v>
      </c>
      <c r="D3669" s="285">
        <v>1.9392417966039017</v>
      </c>
      <c r="E3669" s="285">
        <v>9.753095557148896</v>
      </c>
    </row>
    <row r="3670" spans="1:5">
      <c r="A3670" s="284">
        <f t="shared" si="1048"/>
        <v>3602</v>
      </c>
      <c r="B3670" s="285">
        <v>1.2746922368145042</v>
      </c>
      <c r="C3670" s="285">
        <v>2.8298377541732309</v>
      </c>
      <c r="D3670" s="285">
        <v>-0.97527842819975508</v>
      </c>
      <c r="E3670" s="285">
        <v>11.955579467173106</v>
      </c>
    </row>
    <row r="3671" spans="1:5">
      <c r="A3671" s="284">
        <f t="shared" si="1048"/>
        <v>3603</v>
      </c>
      <c r="B3671" s="285">
        <v>1.3869837606389481</v>
      </c>
      <c r="C3671" s="285">
        <v>3.1762719779469819</v>
      </c>
      <c r="D3671" s="285">
        <v>-1.2287561026426026</v>
      </c>
      <c r="E3671" s="285">
        <v>-7.3469593655742305</v>
      </c>
    </row>
    <row r="3672" spans="1:5">
      <c r="A3672" s="284">
        <f t="shared" si="1048"/>
        <v>3604</v>
      </c>
      <c r="B3672" s="285">
        <v>-2.6038461245224136</v>
      </c>
      <c r="C3672" s="285">
        <v>2.6288036003479851</v>
      </c>
      <c r="D3672" s="285">
        <v>-0.27521847287056489</v>
      </c>
      <c r="E3672" s="285">
        <v>-5.0470604826989369</v>
      </c>
    </row>
    <row r="3673" spans="1:5">
      <c r="A3673" s="284">
        <f t="shared" si="1048"/>
        <v>3605</v>
      </c>
      <c r="B3673" s="285">
        <v>-1.5716675274061609</v>
      </c>
      <c r="C3673" s="285">
        <v>2.0385060722220159</v>
      </c>
      <c r="D3673" s="285">
        <v>1.6523972014192052</v>
      </c>
      <c r="E3673" s="285">
        <v>-8.526146812372934</v>
      </c>
    </row>
    <row r="3674" spans="1:5">
      <c r="A3674" s="284">
        <f t="shared" si="1048"/>
        <v>3606</v>
      </c>
      <c r="B3674" s="285">
        <v>-1.2911070034850605</v>
      </c>
      <c r="C3674" s="285">
        <v>2.3321665325445937</v>
      </c>
      <c r="D3674" s="285">
        <v>0.63321569057479909</v>
      </c>
      <c r="E3674" s="285">
        <v>-7.7923028752564587</v>
      </c>
    </row>
    <row r="3675" spans="1:5">
      <c r="A3675" s="284">
        <f t="shared" si="1048"/>
        <v>3607</v>
      </c>
      <c r="B3675" s="285">
        <v>-1.5197169427775716</v>
      </c>
      <c r="C3675" s="285">
        <v>2.6190229958608287</v>
      </c>
      <c r="D3675" s="285">
        <v>-1.5723774338695407</v>
      </c>
      <c r="E3675" s="285">
        <v>9.6349480087388457</v>
      </c>
    </row>
    <row r="3676" spans="1:5">
      <c r="A3676" s="284">
        <f t="shared" si="1048"/>
        <v>3608</v>
      </c>
      <c r="B3676" s="285">
        <v>-0.76802922502926629</v>
      </c>
      <c r="C3676" s="285">
        <v>2.1169258505815023</v>
      </c>
      <c r="D3676" s="285">
        <v>4.2598609971763572</v>
      </c>
      <c r="E3676" s="285">
        <v>-22.037019087933498</v>
      </c>
    </row>
    <row r="3677" spans="1:5">
      <c r="A3677" s="284">
        <f t="shared" si="1048"/>
        <v>3609</v>
      </c>
      <c r="B3677" s="285">
        <v>3.4465217489501749</v>
      </c>
      <c r="C3677" s="285">
        <v>2.755728761257024</v>
      </c>
      <c r="D3677" s="285">
        <v>3.1071128893885911</v>
      </c>
      <c r="E3677" s="285">
        <v>3.1462410533831631</v>
      </c>
    </row>
    <row r="3678" spans="1:5">
      <c r="A3678" s="284">
        <f t="shared" si="1048"/>
        <v>3610</v>
      </c>
      <c r="B3678" s="285">
        <v>3.054542572397966</v>
      </c>
      <c r="C3678" s="285">
        <v>2.3705959050362746</v>
      </c>
      <c r="D3678" s="285">
        <v>8.9616201278044372E-3</v>
      </c>
      <c r="E3678" s="285">
        <v>-10.312070190072079</v>
      </c>
    </row>
    <row r="3679" spans="1:5">
      <c r="A3679" s="284">
        <f t="shared" si="1048"/>
        <v>3611</v>
      </c>
      <c r="B3679" s="285">
        <v>0.82006559258826606</v>
      </c>
      <c r="C3679" s="285">
        <v>2.4000367465733587</v>
      </c>
      <c r="D3679" s="285">
        <v>0.90381220831521836</v>
      </c>
      <c r="E3679" s="285">
        <v>-9.0308275444999282</v>
      </c>
    </row>
    <row r="3680" spans="1:5">
      <c r="A3680" s="284">
        <f t="shared" si="1048"/>
        <v>3612</v>
      </c>
      <c r="B3680" s="285">
        <v>-0.58785558669181504</v>
      </c>
      <c r="C3680" s="285">
        <v>3.1013848846410346</v>
      </c>
      <c r="D3680" s="285">
        <v>0.83015116882743323</v>
      </c>
      <c r="E3680" s="285">
        <v>2.3150004012652254</v>
      </c>
    </row>
    <row r="3681" spans="1:5">
      <c r="A3681" s="284">
        <f t="shared" si="1048"/>
        <v>3613</v>
      </c>
      <c r="B3681" s="285">
        <v>2.3253096347938129</v>
      </c>
      <c r="C3681" s="285">
        <v>3.2495250945642056</v>
      </c>
      <c r="D3681" s="285">
        <v>0.8512640820792291</v>
      </c>
      <c r="E3681" s="285">
        <v>-0.95969319193940583</v>
      </c>
    </row>
    <row r="3682" spans="1:5">
      <c r="A3682" s="284">
        <f t="shared" si="1048"/>
        <v>3614</v>
      </c>
      <c r="B3682" s="285">
        <v>1.8041458063832956</v>
      </c>
      <c r="C3682" s="285">
        <v>2.7246730462173616</v>
      </c>
      <c r="D3682" s="285">
        <v>1.2538752680692784</v>
      </c>
      <c r="E3682" s="285">
        <v>-6.4639406499346652</v>
      </c>
    </row>
    <row r="3683" spans="1:5">
      <c r="A3683" s="284">
        <f t="shared" si="1048"/>
        <v>3615</v>
      </c>
      <c r="B3683" s="285">
        <v>-0.54447837151094169</v>
      </c>
      <c r="C3683" s="285">
        <v>2.5800176958267076</v>
      </c>
      <c r="D3683" s="285">
        <v>0.84687687508218579</v>
      </c>
      <c r="E3683" s="285">
        <v>6.868578662127824</v>
      </c>
    </row>
    <row r="3684" spans="1:5">
      <c r="A3684" s="284">
        <f t="shared" si="1048"/>
        <v>3616</v>
      </c>
      <c r="B3684" s="285">
        <v>-0.2999741105356723</v>
      </c>
      <c r="C3684" s="285">
        <v>1.8832611603460716</v>
      </c>
      <c r="D3684" s="285">
        <v>0.53783619726799303</v>
      </c>
      <c r="E3684" s="285">
        <v>-15.190705010959469</v>
      </c>
    </row>
    <row r="3685" spans="1:5">
      <c r="A3685" s="284">
        <f t="shared" si="1048"/>
        <v>3617</v>
      </c>
      <c r="B3685" s="285">
        <v>-1.2750494850485237</v>
      </c>
      <c r="C3685" s="285">
        <v>2.7620403920120276</v>
      </c>
      <c r="D3685" s="285">
        <v>0.92901186296441551</v>
      </c>
      <c r="E3685" s="285">
        <v>4.9711819184047972</v>
      </c>
    </row>
    <row r="3686" spans="1:5">
      <c r="A3686" s="284">
        <f t="shared" si="1048"/>
        <v>3618</v>
      </c>
      <c r="B3686" s="285">
        <v>-2.203935974897401</v>
      </c>
      <c r="C3686" s="285">
        <v>1.7828302340540869</v>
      </c>
      <c r="D3686" s="285">
        <v>2.2009043169761551</v>
      </c>
      <c r="E3686" s="285">
        <v>-9.3717455106226595</v>
      </c>
    </row>
    <row r="3687" spans="1:5">
      <c r="A3687" s="284">
        <f t="shared" si="1048"/>
        <v>3619</v>
      </c>
      <c r="B3687" s="285">
        <v>1.0587778008233237</v>
      </c>
      <c r="C3687" s="285">
        <v>3.102870928277381</v>
      </c>
      <c r="D3687" s="285">
        <v>-6.2585331146219225E-2</v>
      </c>
      <c r="E3687" s="285">
        <v>0.17684406368887862</v>
      </c>
    </row>
    <row r="3688" spans="1:5">
      <c r="A3688" s="284">
        <f t="shared" si="1048"/>
        <v>3620</v>
      </c>
      <c r="B3688" s="285">
        <v>1.1128870641702622</v>
      </c>
      <c r="C3688" s="285">
        <v>2.4718278328456336</v>
      </c>
      <c r="D3688" s="285">
        <v>2.0212186657912437</v>
      </c>
      <c r="E3688" s="285">
        <v>-1.877845684332061</v>
      </c>
    </row>
    <row r="3689" spans="1:5">
      <c r="A3689" s="284">
        <f t="shared" si="1048"/>
        <v>3621</v>
      </c>
      <c r="B3689" s="285">
        <v>-1.0681124177848464</v>
      </c>
      <c r="C3689" s="285">
        <v>1.8626887426480803</v>
      </c>
      <c r="D3689" s="285">
        <v>1.1866091133987151</v>
      </c>
      <c r="E3689" s="285">
        <v>-21.92320194493394</v>
      </c>
    </row>
    <row r="3690" spans="1:5">
      <c r="A3690" s="284">
        <f t="shared" si="1048"/>
        <v>3622</v>
      </c>
      <c r="B3690" s="285">
        <v>-2.2234721843543594</v>
      </c>
      <c r="C3690" s="285">
        <v>2.8744762584321233</v>
      </c>
      <c r="D3690" s="285">
        <v>0.33260775816912957</v>
      </c>
      <c r="E3690" s="285">
        <v>17.683491828668888</v>
      </c>
    </row>
    <row r="3691" spans="1:5">
      <c r="A3691" s="284">
        <f t="shared" si="1048"/>
        <v>3623</v>
      </c>
      <c r="B3691" s="285">
        <v>-2.6692747874779661</v>
      </c>
      <c r="C3691" s="285">
        <v>2.2797296209732227</v>
      </c>
      <c r="D3691" s="285">
        <v>2.514040206130753</v>
      </c>
      <c r="E3691" s="285">
        <v>-6.2602588181297705</v>
      </c>
    </row>
    <row r="3692" spans="1:5">
      <c r="A3692" s="284">
        <f t="shared" si="1048"/>
        <v>3624</v>
      </c>
      <c r="B3692" s="285">
        <v>-0.68960251109609361</v>
      </c>
      <c r="C3692" s="285">
        <v>2.430253675279523</v>
      </c>
      <c r="D3692" s="285">
        <v>1.9080994646049396</v>
      </c>
      <c r="E3692" s="285">
        <v>4.994457356661691</v>
      </c>
    </row>
    <row r="3693" spans="1:5">
      <c r="A3693" s="284">
        <f t="shared" si="1048"/>
        <v>3625</v>
      </c>
      <c r="B3693" s="285">
        <v>2.8062014248434197</v>
      </c>
      <c r="C3693" s="285">
        <v>3.1836618452593139</v>
      </c>
      <c r="D3693" s="285">
        <v>-0.11870460847871289</v>
      </c>
      <c r="E3693" s="285">
        <v>-0.19288972201286514</v>
      </c>
    </row>
    <row r="3694" spans="1:5">
      <c r="A3694" s="284">
        <f t="shared" si="1048"/>
        <v>3626</v>
      </c>
      <c r="B3694" s="285">
        <v>-2.3793782349483039</v>
      </c>
      <c r="C3694" s="285">
        <v>2.5665921818777129</v>
      </c>
      <c r="D3694" s="285">
        <v>0.38267206889646976</v>
      </c>
      <c r="E3694" s="285">
        <v>10.325950494897278</v>
      </c>
    </row>
    <row r="3695" spans="1:5">
      <c r="A3695" s="284">
        <f t="shared" si="1048"/>
        <v>3627</v>
      </c>
      <c r="B3695" s="285">
        <v>-1.7681134696347098</v>
      </c>
      <c r="C3695" s="285">
        <v>1.9753185390571955</v>
      </c>
      <c r="D3695" s="285">
        <v>0.3936786431589816</v>
      </c>
      <c r="E3695" s="285">
        <v>-8.0768788677148518</v>
      </c>
    </row>
    <row r="3696" spans="1:5">
      <c r="A3696" s="284">
        <f t="shared" si="1048"/>
        <v>3628</v>
      </c>
      <c r="B3696" s="285">
        <v>0.94373775944134053</v>
      </c>
      <c r="C3696" s="285">
        <v>2.195351482916525</v>
      </c>
      <c r="D3696" s="285">
        <v>2.3803351806597717</v>
      </c>
      <c r="E3696" s="285">
        <v>-5.0335103552908755</v>
      </c>
    </row>
    <row r="3697" spans="1:5">
      <c r="A3697" s="284">
        <f t="shared" si="1048"/>
        <v>3629</v>
      </c>
      <c r="B3697" s="285">
        <v>-2.2237458623962656</v>
      </c>
      <c r="C3697" s="285">
        <v>2.9840876150651745</v>
      </c>
      <c r="D3697" s="285">
        <v>-1.7267702818264912</v>
      </c>
      <c r="E3697" s="285">
        <v>12.243837970414935</v>
      </c>
    </row>
    <row r="3698" spans="1:5">
      <c r="A3698" s="284">
        <f t="shared" si="1048"/>
        <v>3630</v>
      </c>
      <c r="B3698" s="285">
        <v>3.0036903559507553</v>
      </c>
      <c r="C3698" s="285">
        <v>2.9200069678804437</v>
      </c>
      <c r="D3698" s="285">
        <v>2.7084287130722546</v>
      </c>
      <c r="E3698" s="285">
        <v>-6.5182418167525942</v>
      </c>
    </row>
    <row r="3699" spans="1:5">
      <c r="A3699" s="284">
        <f t="shared" si="1048"/>
        <v>3631</v>
      </c>
      <c r="B3699" s="285">
        <v>0.58719296560545586</v>
      </c>
      <c r="C3699" s="285">
        <v>2.3805206359708753</v>
      </c>
      <c r="D3699" s="285">
        <v>-0.36392685978951267</v>
      </c>
      <c r="E3699" s="285">
        <v>-3.7247022806406931</v>
      </c>
    </row>
    <row r="3700" spans="1:5">
      <c r="A3700" s="284">
        <f t="shared" si="1048"/>
        <v>3632</v>
      </c>
      <c r="B3700" s="285">
        <v>-1.875104790349134</v>
      </c>
      <c r="C3700" s="285">
        <v>2.6194929954553596</v>
      </c>
      <c r="D3700" s="285">
        <v>-1.3059791892728021</v>
      </c>
      <c r="E3700" s="285">
        <v>13.884015646964645</v>
      </c>
    </row>
    <row r="3701" spans="1:5">
      <c r="A3701" s="284">
        <f t="shared" si="1048"/>
        <v>3633</v>
      </c>
      <c r="B3701" s="285">
        <v>3.2516852838818702</v>
      </c>
      <c r="C3701" s="285">
        <v>3.4995648391694827</v>
      </c>
      <c r="D3701" s="285">
        <v>0.95531666557797279</v>
      </c>
      <c r="E3701" s="285">
        <v>9.1530717468726639</v>
      </c>
    </row>
    <row r="3702" spans="1:5">
      <c r="A3702" s="284">
        <f t="shared" si="1048"/>
        <v>3634</v>
      </c>
      <c r="B3702" s="285">
        <v>-1.8463225335315603</v>
      </c>
      <c r="C3702" s="285">
        <v>2.2567227939903707</v>
      </c>
      <c r="D3702" s="285">
        <v>0.36336269306922997</v>
      </c>
      <c r="E3702" s="285">
        <v>-9.8283041900033918</v>
      </c>
    </row>
    <row r="3703" spans="1:5">
      <c r="A3703" s="284">
        <f t="shared" si="1048"/>
        <v>3635</v>
      </c>
      <c r="B3703" s="285">
        <v>-0.56036954071463774</v>
      </c>
      <c r="C3703" s="285">
        <v>2.426116329104127</v>
      </c>
      <c r="D3703" s="285">
        <v>-0.24981074696316741</v>
      </c>
      <c r="E3703" s="285">
        <v>-15.018812160458669</v>
      </c>
    </row>
    <row r="3704" spans="1:5">
      <c r="A3704" s="284">
        <f t="shared" si="1048"/>
        <v>3636</v>
      </c>
      <c r="B3704" s="285">
        <v>3.3071774441954331</v>
      </c>
      <c r="C3704" s="285">
        <v>2.2055792017110765</v>
      </c>
      <c r="D3704" s="285">
        <v>2.5817503771889174</v>
      </c>
      <c r="E3704" s="285">
        <v>-11.094569082582806</v>
      </c>
    </row>
    <row r="3705" spans="1:5">
      <c r="A3705" s="284">
        <f t="shared" si="1048"/>
        <v>3637</v>
      </c>
      <c r="B3705" s="285">
        <v>-0.17493606434136755</v>
      </c>
      <c r="C3705" s="285">
        <v>2.2091816855134376</v>
      </c>
      <c r="D3705" s="285">
        <v>1.5776287370700719</v>
      </c>
      <c r="E3705" s="285">
        <v>-6.1920834423218487</v>
      </c>
    </row>
    <row r="3706" spans="1:5">
      <c r="A3706" s="284">
        <f t="shared" si="1048"/>
        <v>3638</v>
      </c>
      <c r="B3706" s="285">
        <v>-3.7516154100084152E-2</v>
      </c>
      <c r="C3706" s="285">
        <v>3.4260656332886912</v>
      </c>
      <c r="D3706" s="285">
        <v>1.4717286108651408</v>
      </c>
      <c r="E3706" s="285">
        <v>14.595305238802979</v>
      </c>
    </row>
    <row r="3707" spans="1:5">
      <c r="A3707" s="284">
        <f t="shared" si="1048"/>
        <v>3639</v>
      </c>
      <c r="B3707" s="285">
        <v>3.3642160468002462</v>
      </c>
      <c r="C3707" s="285">
        <v>2.7603998755840058</v>
      </c>
      <c r="D3707" s="285">
        <v>2.1251186613387274</v>
      </c>
      <c r="E3707" s="285">
        <v>-12.661594329505439</v>
      </c>
    </row>
    <row r="3708" spans="1:5">
      <c r="A3708" s="284">
        <f t="shared" si="1048"/>
        <v>3640</v>
      </c>
      <c r="B3708" s="285">
        <v>-0.92831680428337304</v>
      </c>
      <c r="C3708" s="285">
        <v>2.8162676602522292</v>
      </c>
      <c r="D3708" s="285">
        <v>1.6918448021173047</v>
      </c>
      <c r="E3708" s="285">
        <v>-0.30191431164389027</v>
      </c>
    </row>
    <row r="3709" spans="1:5">
      <c r="A3709" s="284">
        <f t="shared" si="1048"/>
        <v>3641</v>
      </c>
      <c r="B3709" s="285">
        <v>-3.2006257348666924</v>
      </c>
      <c r="C3709" s="285">
        <v>2.5459009875859699</v>
      </c>
      <c r="D3709" s="285">
        <v>0.31444834854275661</v>
      </c>
      <c r="E3709" s="285">
        <v>5.0381441772547824</v>
      </c>
    </row>
    <row r="3710" spans="1:5">
      <c r="A3710" s="284">
        <f t="shared" si="1048"/>
        <v>3642</v>
      </c>
      <c r="B3710" s="285">
        <v>-3.4270638069341008</v>
      </c>
      <c r="C3710" s="285">
        <v>2.8619566059641186</v>
      </c>
      <c r="D3710" s="285">
        <v>-0.12271744354478509</v>
      </c>
      <c r="E3710" s="285">
        <v>13.844306328484418</v>
      </c>
    </row>
    <row r="3711" spans="1:5">
      <c r="A3711" s="284">
        <f t="shared" si="1048"/>
        <v>3643</v>
      </c>
      <c r="B3711" s="285">
        <v>1.0526662127373883</v>
      </c>
      <c r="C3711" s="285">
        <v>2.805366523737014</v>
      </c>
      <c r="D3711" s="285">
        <v>0.50346293290463739</v>
      </c>
      <c r="E3711" s="285">
        <v>7.6966248157194439</v>
      </c>
    </row>
    <row r="3712" spans="1:5">
      <c r="A3712" s="284">
        <f t="shared" si="1048"/>
        <v>3644</v>
      </c>
      <c r="B3712" s="285">
        <v>-2.1001791641040857</v>
      </c>
      <c r="C3712" s="285">
        <v>2.5345585241271489</v>
      </c>
      <c r="D3712" s="285">
        <v>0.99667579472833134</v>
      </c>
      <c r="E3712" s="285">
        <v>-1.0971550782521624</v>
      </c>
    </row>
    <row r="3713" spans="1:5">
      <c r="A3713" s="284">
        <f t="shared" si="1048"/>
        <v>3645</v>
      </c>
      <c r="B3713" s="285">
        <v>-0.12682131199433749</v>
      </c>
      <c r="C3713" s="285">
        <v>2.7402385449911622</v>
      </c>
      <c r="D3713" s="285">
        <v>1.4687193778220764</v>
      </c>
      <c r="E3713" s="285">
        <v>10.535317913161904</v>
      </c>
    </row>
    <row r="3714" spans="1:5">
      <c r="A3714" s="284">
        <f t="shared" si="1048"/>
        <v>3646</v>
      </c>
      <c r="B3714" s="285">
        <v>2.2557039696102699</v>
      </c>
      <c r="C3714" s="285">
        <v>2.6991801298833189</v>
      </c>
      <c r="D3714" s="285">
        <v>2.2000512159451189</v>
      </c>
      <c r="E3714" s="285">
        <v>1.6207885292837605</v>
      </c>
    </row>
    <row r="3715" spans="1:5">
      <c r="A3715" s="284">
        <f t="shared" si="1048"/>
        <v>3647</v>
      </c>
      <c r="B3715" s="285">
        <v>-4.2969912949826039</v>
      </c>
      <c r="C3715" s="285">
        <v>1.4852094280589343</v>
      </c>
      <c r="D3715" s="285">
        <v>3.6887491822935941</v>
      </c>
      <c r="E3715" s="285">
        <v>-10.496713704281868</v>
      </c>
    </row>
    <row r="3716" spans="1:5">
      <c r="A3716" s="284">
        <f t="shared" si="1048"/>
        <v>3648</v>
      </c>
      <c r="B3716" s="285">
        <v>1.9274355753070196</v>
      </c>
      <c r="C3716" s="285">
        <v>3.0581875572178516</v>
      </c>
      <c r="D3716" s="285">
        <v>-6.0860116288778077E-2</v>
      </c>
      <c r="E3716" s="285">
        <v>9.425772949636757</v>
      </c>
    </row>
    <row r="3717" spans="1:5">
      <c r="A3717" s="284">
        <f t="shared" si="1048"/>
        <v>3649</v>
      </c>
      <c r="B3717" s="285">
        <v>-2.385381928141403</v>
      </c>
      <c r="C3717" s="285">
        <v>1.7997182943738217</v>
      </c>
      <c r="D3717" s="285">
        <v>0.56433153803037972</v>
      </c>
      <c r="E3717" s="285">
        <v>-25.034742121984944</v>
      </c>
    </row>
    <row r="3718" spans="1:5">
      <c r="A3718" s="284">
        <f t="shared" si="1048"/>
        <v>3650</v>
      </c>
      <c r="B3718" s="285">
        <v>2.8296930532669147</v>
      </c>
      <c r="C3718" s="285">
        <v>3.0422607526080672</v>
      </c>
      <c r="D3718" s="285">
        <v>-7.3283224044601525E-2</v>
      </c>
      <c r="E3718" s="285">
        <v>8.0408163517426274</v>
      </c>
    </row>
    <row r="3719" spans="1:5">
      <c r="A3719" s="284">
        <f t="shared" ref="A3719:A3782" si="1049">A3718+1</f>
        <v>3651</v>
      </c>
      <c r="B3719" s="285">
        <v>-1.4100985383582638</v>
      </c>
      <c r="C3719" s="285">
        <v>2.329163568279236</v>
      </c>
      <c r="D3719" s="285">
        <v>0.91289306031770279</v>
      </c>
      <c r="E3719" s="285">
        <v>-15.326423825140468</v>
      </c>
    </row>
    <row r="3720" spans="1:5">
      <c r="A3720" s="284">
        <f t="shared" si="1049"/>
        <v>3652</v>
      </c>
      <c r="B3720" s="285">
        <v>0.68119831555292643</v>
      </c>
      <c r="C3720" s="285">
        <v>1.9454357298945328</v>
      </c>
      <c r="D3720" s="285">
        <v>0.41637691427966361</v>
      </c>
      <c r="E3720" s="285">
        <v>-14.752233869363911</v>
      </c>
    </row>
    <row r="3721" spans="1:5">
      <c r="A3721" s="284">
        <f t="shared" si="1049"/>
        <v>3653</v>
      </c>
      <c r="B3721" s="285">
        <v>0.13292683728948512</v>
      </c>
      <c r="C3721" s="285">
        <v>2.2526847531251506</v>
      </c>
      <c r="D3721" s="285">
        <v>2.2147875841022389</v>
      </c>
      <c r="E3721" s="285">
        <v>2.017669723649115</v>
      </c>
    </row>
    <row r="3722" spans="1:5">
      <c r="A3722" s="284">
        <f t="shared" si="1049"/>
        <v>3654</v>
      </c>
      <c r="B3722" s="285">
        <v>-5.7554551365930839</v>
      </c>
      <c r="C3722" s="285">
        <v>1.7417019053982195</v>
      </c>
      <c r="D3722" s="285">
        <v>-0.82095583523794025</v>
      </c>
      <c r="E3722" s="285">
        <v>-18.517609094276668</v>
      </c>
    </row>
    <row r="3723" spans="1:5">
      <c r="A3723" s="284">
        <f t="shared" si="1049"/>
        <v>3655</v>
      </c>
      <c r="B3723" s="285">
        <v>-4.9604682238700715</v>
      </c>
      <c r="C3723" s="285">
        <v>1.1451963161606411</v>
      </c>
      <c r="D3723" s="285">
        <v>0.58038121301746026</v>
      </c>
      <c r="E3723" s="285">
        <v>-20.394497234396813</v>
      </c>
    </row>
    <row r="3724" spans="1:5">
      <c r="A3724" s="284">
        <f t="shared" si="1049"/>
        <v>3656</v>
      </c>
      <c r="B3724" s="285">
        <v>-0.56077786165232368</v>
      </c>
      <c r="C3724" s="285">
        <v>2.6986736853077398</v>
      </c>
      <c r="D3724" s="285">
        <v>1.7200066074121914</v>
      </c>
      <c r="E3724" s="285">
        <v>-1.7628139449640825</v>
      </c>
    </row>
    <row r="3725" spans="1:5">
      <c r="A3725" s="284">
        <f t="shared" si="1049"/>
        <v>3657</v>
      </c>
      <c r="B3725" s="285">
        <v>2.5641284607713719</v>
      </c>
      <c r="C3725" s="285">
        <v>3.2269950123178148</v>
      </c>
      <c r="D3725" s="285">
        <v>1.2256184868594784</v>
      </c>
      <c r="E3725" s="285">
        <v>14.647715057737155</v>
      </c>
    </row>
    <row r="3726" spans="1:5">
      <c r="A3726" s="284">
        <f t="shared" si="1049"/>
        <v>3658</v>
      </c>
      <c r="B3726" s="285">
        <v>0.85783344936795702</v>
      </c>
      <c r="C3726" s="285">
        <v>2.3475032405994041</v>
      </c>
      <c r="D3726" s="285">
        <v>2.1670130738154318</v>
      </c>
      <c r="E3726" s="285">
        <v>-3.8273580303250525</v>
      </c>
    </row>
    <row r="3727" spans="1:5">
      <c r="A3727" s="284">
        <f t="shared" si="1049"/>
        <v>3659</v>
      </c>
      <c r="B3727" s="285">
        <v>3.1974936585224727</v>
      </c>
      <c r="C3727" s="285">
        <v>2.0739451627176324</v>
      </c>
      <c r="D3727" s="285">
        <v>2.4488084356276389</v>
      </c>
      <c r="E3727" s="285">
        <v>-2.309455091102302</v>
      </c>
    </row>
    <row r="3728" spans="1:5">
      <c r="A3728" s="284">
        <f t="shared" si="1049"/>
        <v>3660</v>
      </c>
      <c r="B3728" s="285">
        <v>0.47780193272191562</v>
      </c>
      <c r="C3728" s="285">
        <v>2.8695677745448829</v>
      </c>
      <c r="D3728" s="285">
        <v>0.49359405095567888</v>
      </c>
      <c r="E3728" s="285">
        <v>-3.5316069347429138</v>
      </c>
    </row>
    <row r="3729" spans="1:5">
      <c r="A3729" s="284">
        <f t="shared" si="1049"/>
        <v>3661</v>
      </c>
      <c r="B3729" s="285">
        <v>2.5134518980882583</v>
      </c>
      <c r="C3729" s="285">
        <v>3.3042264754598891</v>
      </c>
      <c r="D3729" s="285">
        <v>2.3992998750923773</v>
      </c>
      <c r="E3729" s="285">
        <v>8.8536406722010543</v>
      </c>
    </row>
    <row r="3730" spans="1:5">
      <c r="A3730" s="284">
        <f t="shared" si="1049"/>
        <v>3662</v>
      </c>
      <c r="B3730" s="285">
        <v>2.253574713889559</v>
      </c>
      <c r="C3730" s="285">
        <v>2.3034457236484278</v>
      </c>
      <c r="D3730" s="285">
        <v>2.957493210460536</v>
      </c>
      <c r="E3730" s="285">
        <v>-18.091285897651648</v>
      </c>
    </row>
    <row r="3731" spans="1:5">
      <c r="A3731" s="284">
        <f t="shared" si="1049"/>
        <v>3663</v>
      </c>
      <c r="B3731" s="285">
        <v>-3.508021763634277</v>
      </c>
      <c r="C3731" s="285">
        <v>2.0246777832559424</v>
      </c>
      <c r="D3731" s="285">
        <v>0.7117072537369582</v>
      </c>
      <c r="E3731" s="285">
        <v>-2.2492932952603684</v>
      </c>
    </row>
    <row r="3732" spans="1:5">
      <c r="A3732" s="284">
        <f t="shared" si="1049"/>
        <v>3664</v>
      </c>
      <c r="B3732" s="285">
        <v>-1.3877878830178465</v>
      </c>
      <c r="C3732" s="285">
        <v>2.5733850488263124</v>
      </c>
      <c r="D3732" s="285">
        <v>0.71120690978017986</v>
      </c>
      <c r="E3732" s="285">
        <v>-6.3781879865399409</v>
      </c>
    </row>
    <row r="3733" spans="1:5">
      <c r="A3733" s="284">
        <f t="shared" si="1049"/>
        <v>3665</v>
      </c>
      <c r="B3733" s="285">
        <v>-3.2442216020254326</v>
      </c>
      <c r="C3733" s="285">
        <v>2.101606056110064</v>
      </c>
      <c r="D3733" s="285">
        <v>-1.5691210721072135</v>
      </c>
      <c r="E3733" s="285">
        <v>-7.2336879445046431</v>
      </c>
    </row>
    <row r="3734" spans="1:5">
      <c r="A3734" s="284">
        <f t="shared" si="1049"/>
        <v>3666</v>
      </c>
      <c r="B3734" s="285">
        <v>1.8189745563294903</v>
      </c>
      <c r="C3734" s="285">
        <v>3.1809614076168602</v>
      </c>
      <c r="D3734" s="285">
        <v>0.95276369269542738</v>
      </c>
      <c r="E3734" s="285">
        <v>-10.402365191702492</v>
      </c>
    </row>
    <row r="3735" spans="1:5">
      <c r="A3735" s="284">
        <f t="shared" si="1049"/>
        <v>3667</v>
      </c>
      <c r="B3735" s="285">
        <v>0.53827873797883241</v>
      </c>
      <c r="C3735" s="285">
        <v>2.2249887644924149</v>
      </c>
      <c r="D3735" s="285">
        <v>1.3644954188858454</v>
      </c>
      <c r="E3735" s="285">
        <v>-21.036077899061894</v>
      </c>
    </row>
    <row r="3736" spans="1:5">
      <c r="A3736" s="284">
        <f t="shared" si="1049"/>
        <v>3668</v>
      </c>
      <c r="B3736" s="285">
        <v>2.4223545014076868</v>
      </c>
      <c r="C3736" s="285">
        <v>2.0103679945210375</v>
      </c>
      <c r="D3736" s="285">
        <v>2.0314298298892917</v>
      </c>
      <c r="E3736" s="285">
        <v>-13.08826581637488</v>
      </c>
    </row>
    <row r="3737" spans="1:5">
      <c r="A3737" s="284">
        <f t="shared" si="1049"/>
        <v>3669</v>
      </c>
      <c r="B3737" s="285">
        <v>1.4683393317306475</v>
      </c>
      <c r="C3737" s="285">
        <v>2.1375603840644049</v>
      </c>
      <c r="D3737" s="285">
        <v>1.6748130573274098</v>
      </c>
      <c r="E3737" s="285">
        <v>-10.728710947620749</v>
      </c>
    </row>
    <row r="3738" spans="1:5">
      <c r="A3738" s="284">
        <f t="shared" si="1049"/>
        <v>3670</v>
      </c>
      <c r="B3738" s="285">
        <v>3.6901111661598049</v>
      </c>
      <c r="C3738" s="285">
        <v>2.801909894667677</v>
      </c>
      <c r="D3738" s="285">
        <v>1.9703840181109982</v>
      </c>
      <c r="E3738" s="285">
        <v>-1.9060781728479803E-2</v>
      </c>
    </row>
    <row r="3739" spans="1:5">
      <c r="A3739" s="284">
        <f t="shared" si="1049"/>
        <v>3671</v>
      </c>
      <c r="B3739" s="285">
        <v>1.1454388877449295</v>
      </c>
      <c r="C3739" s="285">
        <v>2.8158677806466601</v>
      </c>
      <c r="D3739" s="285">
        <v>4.0025160109363576</v>
      </c>
      <c r="E3739" s="285">
        <v>-3.3475517899860714</v>
      </c>
    </row>
    <row r="3740" spans="1:5">
      <c r="A3740" s="284">
        <f t="shared" si="1049"/>
        <v>3672</v>
      </c>
      <c r="B3740" s="285">
        <v>0.52585871076045276</v>
      </c>
      <c r="C3740" s="285">
        <v>2.9515276003828648</v>
      </c>
      <c r="D3740" s="285">
        <v>-0.72769213594799131</v>
      </c>
      <c r="E3740" s="285">
        <v>11.2337354671958</v>
      </c>
    </row>
    <row r="3741" spans="1:5">
      <c r="A3741" s="284">
        <f t="shared" si="1049"/>
        <v>3673</v>
      </c>
      <c r="B3741" s="285">
        <v>3.5424328955859559</v>
      </c>
      <c r="C3741" s="285">
        <v>2.4348539291969522</v>
      </c>
      <c r="D3741" s="285">
        <v>2.5931966384054221</v>
      </c>
      <c r="E3741" s="285">
        <v>-15.421987161626955</v>
      </c>
    </row>
    <row r="3742" spans="1:5">
      <c r="A3742" s="284">
        <f t="shared" si="1049"/>
        <v>3674</v>
      </c>
      <c r="B3742" s="285">
        <v>-0.45358225234748412</v>
      </c>
      <c r="C3742" s="285">
        <v>2.3067924052431925</v>
      </c>
      <c r="D3742" s="285">
        <v>0.96634171786394829</v>
      </c>
      <c r="E3742" s="285">
        <v>2.6573119116027901</v>
      </c>
    </row>
    <row r="3743" spans="1:5">
      <c r="A3743" s="284">
        <f t="shared" si="1049"/>
        <v>3675</v>
      </c>
      <c r="B3743" s="285">
        <v>-0.45793960957162749</v>
      </c>
      <c r="C3743" s="285">
        <v>2.4955901914361229</v>
      </c>
      <c r="D3743" s="285">
        <v>0.21510145119890633</v>
      </c>
      <c r="E3743" s="285">
        <v>-17.768796327506799</v>
      </c>
    </row>
    <row r="3744" spans="1:5">
      <c r="A3744" s="284">
        <f t="shared" si="1049"/>
        <v>3676</v>
      </c>
      <c r="B3744" s="285">
        <v>0.39752384601605711</v>
      </c>
      <c r="C3744" s="285">
        <v>2.878566406025354</v>
      </c>
      <c r="D3744" s="285">
        <v>0.95406020554102144</v>
      </c>
      <c r="E3744" s="285">
        <v>4.479620166257682</v>
      </c>
    </row>
    <row r="3745" spans="1:5">
      <c r="A3745" s="284">
        <f t="shared" si="1049"/>
        <v>3677</v>
      </c>
      <c r="B3745" s="285">
        <v>2.6116128379565291</v>
      </c>
      <c r="C3745" s="285">
        <v>2.870555374225241</v>
      </c>
      <c r="D3745" s="285">
        <v>1.8198885609270108</v>
      </c>
      <c r="E3745" s="285">
        <v>14.981263794840899</v>
      </c>
    </row>
    <row r="3746" spans="1:5">
      <c r="A3746" s="284">
        <f t="shared" si="1049"/>
        <v>3678</v>
      </c>
      <c r="B3746" s="285">
        <v>-2.9741502418956754E-2</v>
      </c>
      <c r="C3746" s="285">
        <v>1.8139209360940147</v>
      </c>
      <c r="D3746" s="285">
        <v>2.6272442409226602</v>
      </c>
      <c r="E3746" s="285">
        <v>-15.386746848936916</v>
      </c>
    </row>
    <row r="3747" spans="1:5">
      <c r="A3747" s="284">
        <f t="shared" si="1049"/>
        <v>3679</v>
      </c>
      <c r="B3747" s="285">
        <v>-1.6943600379714741</v>
      </c>
      <c r="C3747" s="285">
        <v>2.9740356543659923</v>
      </c>
      <c r="D3747" s="285">
        <v>0.81064839938876254</v>
      </c>
      <c r="E3747" s="285">
        <v>8.420330715628694</v>
      </c>
    </row>
    <row r="3748" spans="1:5">
      <c r="A3748" s="284">
        <f t="shared" si="1049"/>
        <v>3680</v>
      </c>
      <c r="B3748" s="285">
        <v>-1.2553585429294665</v>
      </c>
      <c r="C3748" s="285">
        <v>2.2271105107672122</v>
      </c>
      <c r="D3748" s="285">
        <v>1.7240415903882804</v>
      </c>
      <c r="E3748" s="285">
        <v>-8.7777115446867722</v>
      </c>
    </row>
    <row r="3749" spans="1:5">
      <c r="A3749" s="284">
        <f t="shared" si="1049"/>
        <v>3681</v>
      </c>
      <c r="B3749" s="285">
        <v>1.6016291856024716</v>
      </c>
      <c r="C3749" s="285">
        <v>2.9092905500285928</v>
      </c>
      <c r="D3749" s="285">
        <v>0.76466411967050918</v>
      </c>
      <c r="E3749" s="285">
        <v>-0.4586444085505752</v>
      </c>
    </row>
    <row r="3750" spans="1:5">
      <c r="A3750" s="284">
        <f t="shared" si="1049"/>
        <v>3682</v>
      </c>
      <c r="B3750" s="285">
        <v>0.97798676225624581</v>
      </c>
      <c r="C3750" s="285">
        <v>2.0319721228411205</v>
      </c>
      <c r="D3750" s="285">
        <v>3.5372348060921714</v>
      </c>
      <c r="E3750" s="285">
        <v>-21.630466628797322</v>
      </c>
    </row>
    <row r="3751" spans="1:5">
      <c r="A3751" s="284">
        <f t="shared" si="1049"/>
        <v>3683</v>
      </c>
      <c r="B3751" s="285">
        <v>-2.5468987616149845</v>
      </c>
      <c r="C3751" s="285">
        <v>2.4051109017643872</v>
      </c>
      <c r="D3751" s="285">
        <v>0.36694523356007391</v>
      </c>
      <c r="E3751" s="285">
        <v>-1.9448941393396897</v>
      </c>
    </row>
    <row r="3752" spans="1:5">
      <c r="A3752" s="284">
        <f t="shared" si="1049"/>
        <v>3684</v>
      </c>
      <c r="B3752" s="285">
        <v>-0.52167203669062479</v>
      </c>
      <c r="C3752" s="285">
        <v>1.8242009343362322</v>
      </c>
      <c r="D3752" s="285">
        <v>1.6192333795095117</v>
      </c>
      <c r="E3752" s="285">
        <v>-11.217446333680677</v>
      </c>
    </row>
    <row r="3753" spans="1:5">
      <c r="A3753" s="284">
        <f t="shared" si="1049"/>
        <v>3685</v>
      </c>
      <c r="B3753" s="285">
        <v>0.32275164840180254</v>
      </c>
      <c r="C3753" s="285">
        <v>2.0875838195090708</v>
      </c>
      <c r="D3753" s="285">
        <v>2.9336369391884594</v>
      </c>
      <c r="E3753" s="285">
        <v>-4.1712802959741158</v>
      </c>
    </row>
    <row r="3754" spans="1:5">
      <c r="A3754" s="284">
        <f t="shared" si="1049"/>
        <v>3686</v>
      </c>
      <c r="B3754" s="285">
        <v>0.32790890478769374</v>
      </c>
      <c r="C3754" s="285">
        <v>1.796683993627546</v>
      </c>
      <c r="D3754" s="285">
        <v>-0.3638708121305867</v>
      </c>
      <c r="E3754" s="285">
        <v>-9.2144911779534269</v>
      </c>
    </row>
    <row r="3755" spans="1:5">
      <c r="A3755" s="284">
        <f t="shared" si="1049"/>
        <v>3687</v>
      </c>
      <c r="B3755" s="285">
        <v>-0.75197259310451547</v>
      </c>
      <c r="C3755" s="285">
        <v>2.2551812566925058</v>
      </c>
      <c r="D3755" s="285">
        <v>1.1564279509108648</v>
      </c>
      <c r="E3755" s="285">
        <v>1.9087098704115459</v>
      </c>
    </row>
    <row r="3756" spans="1:5">
      <c r="A3756" s="284">
        <f t="shared" si="1049"/>
        <v>3688</v>
      </c>
      <c r="B3756" s="285">
        <v>1.3755271314395203</v>
      </c>
      <c r="C3756" s="285">
        <v>2.6817096122710002</v>
      </c>
      <c r="D3756" s="285">
        <v>-0.44937085332855276</v>
      </c>
      <c r="E3756" s="285">
        <v>0.24111606120557516</v>
      </c>
    </row>
    <row r="3757" spans="1:5">
      <c r="A3757" s="284">
        <f t="shared" si="1049"/>
        <v>3689</v>
      </c>
      <c r="B3757" s="285">
        <v>-0.80814768088806399</v>
      </c>
      <c r="C3757" s="285">
        <v>2.5525233852352356</v>
      </c>
      <c r="D3757" s="285">
        <v>2.3308840069629193</v>
      </c>
      <c r="E3757" s="285">
        <v>-12.9185427704906</v>
      </c>
    </row>
    <row r="3758" spans="1:5">
      <c r="A3758" s="284">
        <f t="shared" si="1049"/>
        <v>3690</v>
      </c>
      <c r="B3758" s="285">
        <v>4.708198777639292</v>
      </c>
      <c r="C3758" s="285">
        <v>2.5718142596170162</v>
      </c>
      <c r="D3758" s="285">
        <v>4.716758880411831</v>
      </c>
      <c r="E3758" s="285">
        <v>-20.165218296299695</v>
      </c>
    </row>
    <row r="3759" spans="1:5">
      <c r="A3759" s="284">
        <f t="shared" si="1049"/>
        <v>3691</v>
      </c>
      <c r="B3759" s="285">
        <v>-4.5512861510610891</v>
      </c>
      <c r="C3759" s="285">
        <v>2.3179973631321782</v>
      </c>
      <c r="D3759" s="285">
        <v>0.24573541177848635</v>
      </c>
      <c r="E3759" s="285">
        <v>-2.5711237366667219</v>
      </c>
    </row>
    <row r="3760" spans="1:5">
      <c r="A3760" s="284">
        <f t="shared" si="1049"/>
        <v>3692</v>
      </c>
      <c r="B3760" s="285">
        <v>3.6955277955407508</v>
      </c>
      <c r="C3760" s="285">
        <v>2.7320816365650513</v>
      </c>
      <c r="D3760" s="285">
        <v>2.1038699186582788</v>
      </c>
      <c r="E3760" s="285">
        <v>1.2747817280501974</v>
      </c>
    </row>
    <row r="3761" spans="1:5">
      <c r="A3761" s="284">
        <f t="shared" si="1049"/>
        <v>3693</v>
      </c>
      <c r="B3761" s="285">
        <v>-0.19415537295969626</v>
      </c>
      <c r="C3761" s="285">
        <v>2.7603492219334074</v>
      </c>
      <c r="D3761" s="285">
        <v>0.71829807524794309</v>
      </c>
      <c r="E3761" s="285">
        <v>7.4742113621646915</v>
      </c>
    </row>
    <row r="3762" spans="1:5">
      <c r="A3762" s="284">
        <f t="shared" si="1049"/>
        <v>3694</v>
      </c>
      <c r="B3762" s="285">
        <v>-2.9499808270469177</v>
      </c>
      <c r="C3762" s="285">
        <v>2.4280115663241504</v>
      </c>
      <c r="D3762" s="285">
        <v>-0.90337267784211228</v>
      </c>
      <c r="E3762" s="285">
        <v>4.4289791225952673</v>
      </c>
    </row>
    <row r="3763" spans="1:5">
      <c r="A3763" s="284">
        <f t="shared" si="1049"/>
        <v>3695</v>
      </c>
      <c r="B3763" s="285">
        <v>-0.14507606156817823</v>
      </c>
      <c r="C3763" s="285">
        <v>2.4224056177606497</v>
      </c>
      <c r="D3763" s="285">
        <v>0.77876105355735659</v>
      </c>
      <c r="E3763" s="285">
        <v>-9.9733350127923401</v>
      </c>
    </row>
    <row r="3764" spans="1:5">
      <c r="A3764" s="284">
        <f t="shared" si="1049"/>
        <v>3696</v>
      </c>
      <c r="B3764" s="285">
        <v>2.9270258865670944</v>
      </c>
      <c r="C3764" s="285">
        <v>2.6500315877422027</v>
      </c>
      <c r="D3764" s="285">
        <v>2.0619966319823844</v>
      </c>
      <c r="E3764" s="285">
        <v>-5.8194427162929374</v>
      </c>
    </row>
    <row r="3765" spans="1:5">
      <c r="A3765" s="284">
        <f t="shared" si="1049"/>
        <v>3697</v>
      </c>
      <c r="B3765" s="285">
        <v>1.7509732627293613</v>
      </c>
      <c r="C3765" s="285">
        <v>2.8406754502715845</v>
      </c>
      <c r="D3765" s="285">
        <v>0.81189638720370549</v>
      </c>
      <c r="E3765" s="285">
        <v>-4.5556531593645708</v>
      </c>
    </row>
    <row r="3766" spans="1:5">
      <c r="A3766" s="284">
        <f t="shared" si="1049"/>
        <v>3698</v>
      </c>
      <c r="B3766" s="285">
        <v>2.3236852137418205</v>
      </c>
      <c r="C3766" s="285">
        <v>2.9740835960314103</v>
      </c>
      <c r="D3766" s="285">
        <v>1.9775052758472582</v>
      </c>
      <c r="E3766" s="285">
        <v>-6.995206616691009</v>
      </c>
    </row>
    <row r="3767" spans="1:5">
      <c r="A3767" s="284">
        <f t="shared" si="1049"/>
        <v>3699</v>
      </c>
      <c r="B3767" s="285">
        <v>0.97835574863342534</v>
      </c>
      <c r="C3767" s="285">
        <v>2.8000410911913827</v>
      </c>
      <c r="D3767" s="285">
        <v>2.9853022151062651</v>
      </c>
      <c r="E3767" s="285">
        <v>-12.816460828973533</v>
      </c>
    </row>
    <row r="3768" spans="1:5">
      <c r="A3768" s="284">
        <f t="shared" si="1049"/>
        <v>3700</v>
      </c>
      <c r="B3768" s="285">
        <v>-1.2184616199464495</v>
      </c>
      <c r="C3768" s="285">
        <v>1.9861458399505876</v>
      </c>
      <c r="D3768" s="285">
        <v>1.4880127872765732</v>
      </c>
      <c r="E3768" s="285">
        <v>-8.0883020623638266</v>
      </c>
    </row>
    <row r="3769" spans="1:5">
      <c r="A3769" s="284">
        <f t="shared" si="1049"/>
        <v>3701</v>
      </c>
      <c r="B3769" s="285">
        <v>1.4419119173561155</v>
      </c>
      <c r="C3769" s="285">
        <v>2.2069006590877556</v>
      </c>
      <c r="D3769" s="285">
        <v>2.2248757347955679</v>
      </c>
      <c r="E3769" s="285">
        <v>-12.287048602042722</v>
      </c>
    </row>
    <row r="3770" spans="1:5">
      <c r="A3770" s="284">
        <f t="shared" si="1049"/>
        <v>3702</v>
      </c>
      <c r="B3770" s="285">
        <v>-4.0602002930732777</v>
      </c>
      <c r="C3770" s="285">
        <v>2.3064101795280934</v>
      </c>
      <c r="D3770" s="285">
        <v>2.4984145868403207</v>
      </c>
      <c r="E3770" s="285">
        <v>2.7675088728238593</v>
      </c>
    </row>
    <row r="3771" spans="1:5">
      <c r="A3771" s="284">
        <f t="shared" si="1049"/>
        <v>3703</v>
      </c>
      <c r="B3771" s="285">
        <v>-1.1837379768414009</v>
      </c>
      <c r="C3771" s="285">
        <v>2.4920215576793558</v>
      </c>
      <c r="D3771" s="285">
        <v>1.8082935812825378</v>
      </c>
      <c r="E3771" s="285">
        <v>-5.9147468240853636</v>
      </c>
    </row>
    <row r="3772" spans="1:5">
      <c r="A3772" s="284">
        <f t="shared" si="1049"/>
        <v>3704</v>
      </c>
      <c r="B3772" s="285">
        <v>-7.060867960159585E-2</v>
      </c>
      <c r="C3772" s="285">
        <v>3.1235140381945228</v>
      </c>
      <c r="D3772" s="285">
        <v>2.9715976937921074</v>
      </c>
      <c r="E3772" s="285">
        <v>5.9924927180033638</v>
      </c>
    </row>
    <row r="3773" spans="1:5">
      <c r="A3773" s="284">
        <f t="shared" si="1049"/>
        <v>3705</v>
      </c>
      <c r="B3773" s="285">
        <v>1.9195114195675045</v>
      </c>
      <c r="C3773" s="285">
        <v>2.6461628914492477</v>
      </c>
      <c r="D3773" s="285">
        <v>0.98359739435990712</v>
      </c>
      <c r="E3773" s="285">
        <v>0.14347168491641193</v>
      </c>
    </row>
    <row r="3774" spans="1:5">
      <c r="A3774" s="284">
        <f t="shared" si="1049"/>
        <v>3706</v>
      </c>
      <c r="B3774" s="285">
        <v>1.4646201039111812</v>
      </c>
      <c r="C3774" s="285">
        <v>2.2272606598918143</v>
      </c>
      <c r="D3774" s="285">
        <v>-3.4771018055516301E-2</v>
      </c>
      <c r="E3774" s="285">
        <v>-15.087893454706812</v>
      </c>
    </row>
    <row r="3775" spans="1:5">
      <c r="A3775" s="284">
        <f t="shared" si="1049"/>
        <v>3707</v>
      </c>
      <c r="B3775" s="285">
        <v>-0.13568812123963486</v>
      </c>
      <c r="C3775" s="285">
        <v>1.7931450855878168</v>
      </c>
      <c r="D3775" s="285">
        <v>2.3753071369294885</v>
      </c>
      <c r="E3775" s="285">
        <v>-17.160713832868645</v>
      </c>
    </row>
    <row r="3776" spans="1:5">
      <c r="A3776" s="284">
        <f t="shared" si="1049"/>
        <v>3708</v>
      </c>
      <c r="B3776" s="285">
        <v>-0.91105316306289363</v>
      </c>
      <c r="C3776" s="285">
        <v>2.2381829832303066</v>
      </c>
      <c r="D3776" s="285">
        <v>0.12747704574759777</v>
      </c>
      <c r="E3776" s="285">
        <v>-1.9039285331401206</v>
      </c>
    </row>
    <row r="3777" spans="1:5">
      <c r="A3777" s="284">
        <f t="shared" si="1049"/>
        <v>3709</v>
      </c>
      <c r="B3777" s="285">
        <v>-4.6103553904910335</v>
      </c>
      <c r="C3777" s="285">
        <v>1.8713992702013882</v>
      </c>
      <c r="D3777" s="285">
        <v>3.0686475304694154</v>
      </c>
      <c r="E3777" s="285">
        <v>-6.6201808601175323</v>
      </c>
    </row>
    <row r="3778" spans="1:5">
      <c r="A3778" s="284">
        <f t="shared" si="1049"/>
        <v>3710</v>
      </c>
      <c r="B3778" s="285">
        <v>4.2822463586292478E-2</v>
      </c>
      <c r="C3778" s="285">
        <v>2.3523908006802685</v>
      </c>
      <c r="D3778" s="285">
        <v>0.15112315884405558</v>
      </c>
      <c r="E3778" s="285">
        <v>2.7048703993891174</v>
      </c>
    </row>
    <row r="3779" spans="1:5">
      <c r="A3779" s="284">
        <f t="shared" si="1049"/>
        <v>3711</v>
      </c>
      <c r="B3779" s="285">
        <v>2.3436394957292852</v>
      </c>
      <c r="C3779" s="285">
        <v>2.8830200408312674</v>
      </c>
      <c r="D3779" s="285">
        <v>3.3298138824270205</v>
      </c>
      <c r="E3779" s="285">
        <v>-3.608454340447917</v>
      </c>
    </row>
    <row r="3780" spans="1:5">
      <c r="A3780" s="284">
        <f t="shared" si="1049"/>
        <v>3712</v>
      </c>
      <c r="B3780" s="285">
        <v>1.7321775213363682</v>
      </c>
      <c r="C3780" s="285">
        <v>2.6529899676556763</v>
      </c>
      <c r="D3780" s="285">
        <v>-0.45151250761198902</v>
      </c>
      <c r="E3780" s="285">
        <v>-6.5646888424581533</v>
      </c>
    </row>
    <row r="3781" spans="1:5">
      <c r="A3781" s="284">
        <f t="shared" si="1049"/>
        <v>3713</v>
      </c>
      <c r="B3781" s="285">
        <v>-3.3224254676375615</v>
      </c>
      <c r="C3781" s="285">
        <v>1.8020854042666343</v>
      </c>
      <c r="D3781" s="285">
        <v>1.1332863211552839</v>
      </c>
      <c r="E3781" s="285">
        <v>-9.1977618679918578</v>
      </c>
    </row>
    <row r="3782" spans="1:5">
      <c r="A3782" s="284">
        <f t="shared" si="1049"/>
        <v>3714</v>
      </c>
      <c r="B3782" s="285">
        <v>0.34829397704851622</v>
      </c>
      <c r="C3782" s="285">
        <v>2.5914363876498299</v>
      </c>
      <c r="D3782" s="285">
        <v>0.28970609138485603</v>
      </c>
      <c r="E3782" s="285">
        <v>-8.9037895997973742</v>
      </c>
    </row>
    <row r="3783" spans="1:5">
      <c r="A3783" s="284">
        <f t="shared" ref="A3783:A3846" si="1050">A3782+1</f>
        <v>3715</v>
      </c>
      <c r="B3783" s="285">
        <v>1.4144653797762909</v>
      </c>
      <c r="C3783" s="285">
        <v>2.8206714538138913</v>
      </c>
      <c r="D3783" s="285">
        <v>1.6061298528757255</v>
      </c>
      <c r="E3783" s="285">
        <v>12.157389429505795</v>
      </c>
    </row>
    <row r="3784" spans="1:5">
      <c r="A3784" s="284">
        <f t="shared" si="1050"/>
        <v>3716</v>
      </c>
      <c r="B3784" s="285">
        <v>3.9710563473985521</v>
      </c>
      <c r="C3784" s="285">
        <v>3.025418666308707</v>
      </c>
      <c r="D3784" s="285">
        <v>-7.5795753570430557E-2</v>
      </c>
      <c r="E3784" s="285">
        <v>5.3473615657810072</v>
      </c>
    </row>
    <row r="3785" spans="1:5">
      <c r="A3785" s="284">
        <f t="shared" si="1050"/>
        <v>3717</v>
      </c>
      <c r="B3785" s="285">
        <v>-2.6659770431173651</v>
      </c>
      <c r="C3785" s="285">
        <v>2.0474670184985122</v>
      </c>
      <c r="D3785" s="285">
        <v>1.9264083150460922</v>
      </c>
      <c r="E3785" s="285">
        <v>-14.829534867465252</v>
      </c>
    </row>
    <row r="3786" spans="1:5">
      <c r="A3786" s="284">
        <f t="shared" si="1050"/>
        <v>3718</v>
      </c>
      <c r="B3786" s="285">
        <v>-2.2414999638943294</v>
      </c>
      <c r="C3786" s="285">
        <v>1.6867332705320226</v>
      </c>
      <c r="D3786" s="285">
        <v>0.92923608093800558</v>
      </c>
      <c r="E3786" s="285">
        <v>-15.801137308157042</v>
      </c>
    </row>
    <row r="3787" spans="1:5">
      <c r="A3787" s="284">
        <f t="shared" si="1050"/>
        <v>3719</v>
      </c>
      <c r="B3787" s="285">
        <v>1.28070496615872</v>
      </c>
      <c r="C3787" s="285">
        <v>3.2713099037722881</v>
      </c>
      <c r="D3787" s="285">
        <v>5.3352309080618054E-2</v>
      </c>
      <c r="E3787" s="285">
        <v>3.3016898032738022</v>
      </c>
    </row>
    <row r="3788" spans="1:5">
      <c r="A3788" s="284">
        <f t="shared" si="1050"/>
        <v>3720</v>
      </c>
      <c r="B3788" s="285">
        <v>4.1851356056414012E-2</v>
      </c>
      <c r="C3788" s="285">
        <v>2.3710812999726723</v>
      </c>
      <c r="D3788" s="285">
        <v>1.7360825585676769</v>
      </c>
      <c r="E3788" s="285">
        <v>-15.248354726271035</v>
      </c>
    </row>
    <row r="3789" spans="1:5">
      <c r="A3789" s="284">
        <f t="shared" si="1050"/>
        <v>3721</v>
      </c>
      <c r="B3789" s="285">
        <v>-1.6509881920965086</v>
      </c>
      <c r="C3789" s="285">
        <v>2.0085208760552771</v>
      </c>
      <c r="D3789" s="285">
        <v>2.386186441784047</v>
      </c>
      <c r="E3789" s="285">
        <v>-12.295436237805811</v>
      </c>
    </row>
    <row r="3790" spans="1:5">
      <c r="A3790" s="284">
        <f t="shared" si="1050"/>
        <v>3722</v>
      </c>
      <c r="B3790" s="285">
        <v>-7.3940167347268645E-2</v>
      </c>
      <c r="C3790" s="285">
        <v>2.4500697736513821</v>
      </c>
      <c r="D3790" s="285">
        <v>-0.38301684567054872</v>
      </c>
      <c r="E3790" s="285">
        <v>-6.1410092691955018</v>
      </c>
    </row>
    <row r="3791" spans="1:5">
      <c r="A3791" s="284">
        <f t="shared" si="1050"/>
        <v>3723</v>
      </c>
      <c r="B3791" s="285">
        <v>1.0323381040545105</v>
      </c>
      <c r="C3791" s="285">
        <v>3.511996449725344</v>
      </c>
      <c r="D3791" s="285">
        <v>0.34249510224846413</v>
      </c>
      <c r="E3791" s="285">
        <v>-1.4466963020928261</v>
      </c>
    </row>
    <row r="3792" spans="1:5">
      <c r="A3792" s="284">
        <f t="shared" si="1050"/>
        <v>3724</v>
      </c>
      <c r="B3792" s="285">
        <v>1.6767002449961776</v>
      </c>
      <c r="C3792" s="285">
        <v>2.4969158802533893</v>
      </c>
      <c r="D3792" s="285">
        <v>2.4317507375369161</v>
      </c>
      <c r="E3792" s="285">
        <v>-12.05046938588217</v>
      </c>
    </row>
    <row r="3793" spans="1:5">
      <c r="A3793" s="284">
        <f t="shared" si="1050"/>
        <v>3725</v>
      </c>
      <c r="B3793" s="285">
        <v>1.2344469497080912</v>
      </c>
      <c r="C3793" s="285">
        <v>2.0952428602309023</v>
      </c>
      <c r="D3793" s="285">
        <v>2.3322596458783962</v>
      </c>
      <c r="E3793" s="285">
        <v>-9.909132039883545</v>
      </c>
    </row>
    <row r="3794" spans="1:5">
      <c r="A3794" s="284">
        <f t="shared" si="1050"/>
        <v>3726</v>
      </c>
      <c r="B3794" s="285">
        <v>0.12299260044978176</v>
      </c>
      <c r="C3794" s="285">
        <v>2.8536617782504576</v>
      </c>
      <c r="D3794" s="285">
        <v>1.077001027552686</v>
      </c>
      <c r="E3794" s="285">
        <v>-1.3429264725702112</v>
      </c>
    </row>
    <row r="3795" spans="1:5">
      <c r="A3795" s="284">
        <f t="shared" si="1050"/>
        <v>3727</v>
      </c>
      <c r="B3795" s="285">
        <v>3.9941180325489887</v>
      </c>
      <c r="C3795" s="285">
        <v>2.5479899388876404</v>
      </c>
      <c r="D3795" s="285">
        <v>3.6025540716650304</v>
      </c>
      <c r="E3795" s="285">
        <v>-1.2538513372165005</v>
      </c>
    </row>
    <row r="3796" spans="1:5">
      <c r="A3796" s="284">
        <f t="shared" si="1050"/>
        <v>3728</v>
      </c>
      <c r="B3796" s="285">
        <v>3.226982538991114E-2</v>
      </c>
      <c r="C3796" s="285">
        <v>2.4721065209207045</v>
      </c>
      <c r="D3796" s="285">
        <v>1.8967765531486132</v>
      </c>
      <c r="E3796" s="285">
        <v>-4.6130913438565919</v>
      </c>
    </row>
    <row r="3797" spans="1:5">
      <c r="A3797" s="284">
        <f t="shared" si="1050"/>
        <v>3729</v>
      </c>
      <c r="B3797" s="285">
        <v>-3.3015241127073116</v>
      </c>
      <c r="C3797" s="285">
        <v>2.6560639927349285</v>
      </c>
      <c r="D3797" s="285">
        <v>2.047293683896827</v>
      </c>
      <c r="E3797" s="285">
        <v>8.6164466505664947</v>
      </c>
    </row>
    <row r="3798" spans="1:5">
      <c r="A3798" s="284">
        <f t="shared" si="1050"/>
        <v>3730</v>
      </c>
      <c r="B3798" s="285">
        <v>0.35879822273486434</v>
      </c>
      <c r="C3798" s="285">
        <v>2.7851899770529411</v>
      </c>
      <c r="D3798" s="285">
        <v>0.69394088071131788</v>
      </c>
      <c r="E3798" s="285">
        <v>-1.9813506814843032</v>
      </c>
    </row>
    <row r="3799" spans="1:5">
      <c r="A3799" s="284">
        <f t="shared" si="1050"/>
        <v>3731</v>
      </c>
      <c r="B3799" s="285">
        <v>2.6502654128078449</v>
      </c>
      <c r="C3799" s="285">
        <v>2.6664853815201086</v>
      </c>
      <c r="D3799" s="285">
        <v>0.31017470498068733</v>
      </c>
      <c r="E3799" s="285">
        <v>-18.135111465953813</v>
      </c>
    </row>
    <row r="3800" spans="1:5">
      <c r="A3800" s="284">
        <f t="shared" si="1050"/>
        <v>3732</v>
      </c>
      <c r="B3800" s="285">
        <v>-3.2782873742101137</v>
      </c>
      <c r="C3800" s="285">
        <v>1.9109909457995962</v>
      </c>
      <c r="D3800" s="285">
        <v>-0.98760230099360058</v>
      </c>
      <c r="E3800" s="285">
        <v>-6.0430725441148514</v>
      </c>
    </row>
    <row r="3801" spans="1:5">
      <c r="A3801" s="284">
        <f t="shared" si="1050"/>
        <v>3733</v>
      </c>
      <c r="B3801" s="285">
        <v>-0.23653345638808318</v>
      </c>
      <c r="C3801" s="285">
        <v>1.5031784525012548</v>
      </c>
      <c r="D3801" s="285">
        <v>2.8313994941855545</v>
      </c>
      <c r="E3801" s="285">
        <v>-27.645380728557019</v>
      </c>
    </row>
    <row r="3802" spans="1:5">
      <c r="A3802" s="284">
        <f t="shared" si="1050"/>
        <v>3734</v>
      </c>
      <c r="B3802" s="285">
        <v>0.3666572692223361</v>
      </c>
      <c r="C3802" s="285">
        <v>2.6196103870994958</v>
      </c>
      <c r="D3802" s="285">
        <v>0.54687757996958308</v>
      </c>
      <c r="E3802" s="285">
        <v>-0.46705910069277001</v>
      </c>
    </row>
    <row r="3803" spans="1:5">
      <c r="A3803" s="284">
        <f t="shared" si="1050"/>
        <v>3735</v>
      </c>
      <c r="B3803" s="285">
        <v>1.7475954328288006</v>
      </c>
      <c r="C3803" s="285">
        <v>2.9829954700767778</v>
      </c>
      <c r="D3803" s="285">
        <v>1.3377539645350174</v>
      </c>
      <c r="E3803" s="285">
        <v>-0.44608460841579012</v>
      </c>
    </row>
    <row r="3804" spans="1:5">
      <c r="A3804" s="284">
        <f t="shared" si="1050"/>
        <v>3736</v>
      </c>
      <c r="B3804" s="285">
        <v>2.198450481297393E-2</v>
      </c>
      <c r="C3804" s="285">
        <v>3.1181113764575539</v>
      </c>
      <c r="D3804" s="285">
        <v>-5.8758542888050824E-2</v>
      </c>
      <c r="E3804" s="285">
        <v>16.026908409350472</v>
      </c>
    </row>
    <row r="3805" spans="1:5">
      <c r="A3805" s="284">
        <f t="shared" si="1050"/>
        <v>3737</v>
      </c>
      <c r="B3805" s="285">
        <v>-2.7450995496811252</v>
      </c>
      <c r="C3805" s="285">
        <v>2.357958971775433</v>
      </c>
      <c r="D3805" s="285">
        <v>0.95235366788973541</v>
      </c>
      <c r="E3805" s="285">
        <v>-1.8907606340524907E-2</v>
      </c>
    </row>
    <row r="3806" spans="1:5">
      <c r="A3806" s="284">
        <f t="shared" si="1050"/>
        <v>3738</v>
      </c>
      <c r="B3806" s="285">
        <v>1.2086260889331479</v>
      </c>
      <c r="C3806" s="285">
        <v>2.329824621152234</v>
      </c>
      <c r="D3806" s="285">
        <v>2.7389737919659769</v>
      </c>
      <c r="E3806" s="285">
        <v>-13.268950086830454</v>
      </c>
    </row>
    <row r="3807" spans="1:5">
      <c r="A3807" s="284">
        <f t="shared" si="1050"/>
        <v>3739</v>
      </c>
      <c r="B3807" s="285">
        <v>0.79614096695900127</v>
      </c>
      <c r="C3807" s="285">
        <v>2.4091285232834023</v>
      </c>
      <c r="D3807" s="285">
        <v>0.46627486880354618</v>
      </c>
      <c r="E3807" s="285">
        <v>-3.8004687609173486</v>
      </c>
    </row>
    <row r="3808" spans="1:5">
      <c r="A3808" s="284">
        <f t="shared" si="1050"/>
        <v>3740</v>
      </c>
      <c r="B3808" s="285">
        <v>5.712909121381551E-3</v>
      </c>
      <c r="C3808" s="285">
        <v>2.5514178859242569</v>
      </c>
      <c r="D3808" s="285">
        <v>1.8188924008610092</v>
      </c>
      <c r="E3808" s="285">
        <v>7.0428847417193499</v>
      </c>
    </row>
    <row r="3809" spans="1:5">
      <c r="A3809" s="284">
        <f t="shared" si="1050"/>
        <v>3741</v>
      </c>
      <c r="B3809" s="285">
        <v>2.6995273838968359</v>
      </c>
      <c r="C3809" s="285">
        <v>2.543824571039782</v>
      </c>
      <c r="D3809" s="285">
        <v>2.120776737092962</v>
      </c>
      <c r="E3809" s="285">
        <v>-11.671955365214444</v>
      </c>
    </row>
    <row r="3810" spans="1:5">
      <c r="A3810" s="284">
        <f t="shared" si="1050"/>
        <v>3742</v>
      </c>
      <c r="B3810" s="285">
        <v>-2.057077807048723</v>
      </c>
      <c r="C3810" s="285">
        <v>2.5942788198606475</v>
      </c>
      <c r="D3810" s="285">
        <v>0.62119385267089477</v>
      </c>
      <c r="E3810" s="285">
        <v>-1.3492695242898545</v>
      </c>
    </row>
    <row r="3811" spans="1:5">
      <c r="A3811" s="284">
        <f t="shared" si="1050"/>
        <v>3743</v>
      </c>
      <c r="B3811" s="285">
        <v>0.97436139086749807</v>
      </c>
      <c r="C3811" s="285">
        <v>1.9107504490863763</v>
      </c>
      <c r="D3811" s="285">
        <v>1.9392526128135961</v>
      </c>
      <c r="E3811" s="285">
        <v>-24.634599165228469</v>
      </c>
    </row>
    <row r="3812" spans="1:5">
      <c r="A3812" s="284">
        <f t="shared" si="1050"/>
        <v>3744</v>
      </c>
      <c r="B3812" s="285">
        <v>2.5072686785402012</v>
      </c>
      <c r="C3812" s="285">
        <v>2.6092184506005278</v>
      </c>
      <c r="D3812" s="285">
        <v>1.2514803862349393</v>
      </c>
      <c r="E3812" s="285">
        <v>3.8061648522949851</v>
      </c>
    </row>
    <row r="3813" spans="1:5">
      <c r="A3813" s="284">
        <f t="shared" si="1050"/>
        <v>3745</v>
      </c>
      <c r="B3813" s="285">
        <v>-1.8461984202893107</v>
      </c>
      <c r="C3813" s="285">
        <v>2.1271223441730278</v>
      </c>
      <c r="D3813" s="285">
        <v>1.3378360186653007</v>
      </c>
      <c r="E3813" s="285">
        <v>2.3149522168683858</v>
      </c>
    </row>
    <row r="3814" spans="1:5">
      <c r="A3814" s="284">
        <f t="shared" si="1050"/>
        <v>3746</v>
      </c>
      <c r="B3814" s="285">
        <v>0.38238587493367598</v>
      </c>
      <c r="C3814" s="285">
        <v>2.7223227564887278</v>
      </c>
      <c r="D3814" s="285">
        <v>0.66389579992768977</v>
      </c>
      <c r="E3814" s="285">
        <v>3.3535786291287599</v>
      </c>
    </row>
    <row r="3815" spans="1:5">
      <c r="A3815" s="284">
        <f t="shared" si="1050"/>
        <v>3747</v>
      </c>
      <c r="B3815" s="285">
        <v>-0.76671604761087975</v>
      </c>
      <c r="C3815" s="285">
        <v>2.2644474025315646</v>
      </c>
      <c r="D3815" s="285">
        <v>1.1618601585308652</v>
      </c>
      <c r="E3815" s="285">
        <v>-8.3049403021352664E-2</v>
      </c>
    </row>
    <row r="3816" spans="1:5">
      <c r="A3816" s="284">
        <f t="shared" si="1050"/>
        <v>3748</v>
      </c>
      <c r="B3816" s="285">
        <v>1.878487917616934</v>
      </c>
      <c r="C3816" s="285">
        <v>2.3488015897005101</v>
      </c>
      <c r="D3816" s="285">
        <v>1.0368392729857212</v>
      </c>
      <c r="E3816" s="285">
        <v>-2.741010451959887</v>
      </c>
    </row>
    <row r="3817" spans="1:5">
      <c r="A3817" s="284">
        <f t="shared" si="1050"/>
        <v>3749</v>
      </c>
      <c r="B3817" s="285">
        <v>1.3790193019400923</v>
      </c>
      <c r="C3817" s="285">
        <v>2.1053751601192747</v>
      </c>
      <c r="D3817" s="285">
        <v>2.4909569068930288</v>
      </c>
      <c r="E3817" s="285">
        <v>-13.812186653544009</v>
      </c>
    </row>
    <row r="3818" spans="1:5">
      <c r="A3818" s="284">
        <f t="shared" si="1050"/>
        <v>3750</v>
      </c>
      <c r="B3818" s="285">
        <v>-1.5975062042638375</v>
      </c>
      <c r="C3818" s="285">
        <v>1.3887856757450745</v>
      </c>
      <c r="D3818" s="285">
        <v>3.4392626544741249</v>
      </c>
      <c r="E3818" s="285">
        <v>-15.247586131089326</v>
      </c>
    </row>
    <row r="3819" spans="1:5">
      <c r="A3819" s="284">
        <f t="shared" si="1050"/>
        <v>3751</v>
      </c>
      <c r="B3819" s="285">
        <v>5.021664622681933</v>
      </c>
      <c r="C3819" s="285">
        <v>3.3199638717142657</v>
      </c>
      <c r="D3819" s="285">
        <v>3.5189543194228761</v>
      </c>
      <c r="E3819" s="285">
        <v>7.7414301662650402</v>
      </c>
    </row>
    <row r="3820" spans="1:5">
      <c r="A3820" s="284">
        <f t="shared" si="1050"/>
        <v>3752</v>
      </c>
      <c r="B3820" s="285">
        <v>0.71715577847766343</v>
      </c>
      <c r="C3820" s="285">
        <v>2.5772117730900486</v>
      </c>
      <c r="D3820" s="285">
        <v>0.89123579199461167</v>
      </c>
      <c r="E3820" s="285">
        <v>0.15707309318504414</v>
      </c>
    </row>
    <row r="3821" spans="1:5">
      <c r="A3821" s="284">
        <f t="shared" si="1050"/>
        <v>3753</v>
      </c>
      <c r="B3821" s="285">
        <v>1.4477816203787184</v>
      </c>
      <c r="C3821" s="285">
        <v>2.6632277888131268</v>
      </c>
      <c r="D3821" s="285">
        <v>-0.37040973749829376</v>
      </c>
      <c r="E3821" s="285">
        <v>6.6969768898956694</v>
      </c>
    </row>
    <row r="3822" spans="1:5">
      <c r="A3822" s="284">
        <f t="shared" si="1050"/>
        <v>3754</v>
      </c>
      <c r="B3822" s="285">
        <v>-1.7782371409734004</v>
      </c>
      <c r="C3822" s="285">
        <v>1.7213002426769344</v>
      </c>
      <c r="D3822" s="285">
        <v>0.91771480933664229</v>
      </c>
      <c r="E3822" s="285">
        <v>-22.008412223883422</v>
      </c>
    </row>
    <row r="3823" spans="1:5">
      <c r="A3823" s="284">
        <f t="shared" si="1050"/>
        <v>3755</v>
      </c>
      <c r="B3823" s="285">
        <v>-2.6901794663889032</v>
      </c>
      <c r="C3823" s="285">
        <v>2.6139295107432448</v>
      </c>
      <c r="D3823" s="285">
        <v>2.0647927980759642</v>
      </c>
      <c r="E3823" s="285">
        <v>7.879005824227292</v>
      </c>
    </row>
    <row r="3824" spans="1:5">
      <c r="A3824" s="284">
        <f t="shared" si="1050"/>
        <v>3756</v>
      </c>
      <c r="B3824" s="285">
        <v>-3.253370449061054</v>
      </c>
      <c r="C3824" s="285">
        <v>2.3140322016544053</v>
      </c>
      <c r="D3824" s="285">
        <v>0.35005947435429974</v>
      </c>
      <c r="E3824" s="285">
        <v>-9.9320290841096739</v>
      </c>
    </row>
    <row r="3825" spans="1:5">
      <c r="A3825" s="284">
        <f t="shared" si="1050"/>
        <v>3757</v>
      </c>
      <c r="B3825" s="285">
        <v>3.1587716047000347</v>
      </c>
      <c r="C3825" s="285">
        <v>3.113903713412526</v>
      </c>
      <c r="D3825" s="285">
        <v>0.16037233747911772</v>
      </c>
      <c r="E3825" s="285">
        <v>10.348082763885831</v>
      </c>
    </row>
    <row r="3826" spans="1:5">
      <c r="A3826" s="284">
        <f t="shared" si="1050"/>
        <v>3758</v>
      </c>
      <c r="B3826" s="285">
        <v>-1.1047651034143788</v>
      </c>
      <c r="C3826" s="285">
        <v>2.5450143483763501</v>
      </c>
      <c r="D3826" s="285">
        <v>0.28781742730145432</v>
      </c>
      <c r="E3826" s="285">
        <v>-6.0768501161827135</v>
      </c>
    </row>
    <row r="3827" spans="1:5">
      <c r="A3827" s="284">
        <f t="shared" si="1050"/>
        <v>3759</v>
      </c>
      <c r="B3827" s="285">
        <v>2.115573318002788</v>
      </c>
      <c r="C3827" s="285">
        <v>1.9375772602014139</v>
      </c>
      <c r="D3827" s="285">
        <v>2.8267282347378337</v>
      </c>
      <c r="E3827" s="285">
        <v>-16.393149575985728</v>
      </c>
    </row>
    <row r="3828" spans="1:5">
      <c r="A3828" s="284">
        <f t="shared" si="1050"/>
        <v>3760</v>
      </c>
      <c r="B3828" s="285">
        <v>1.7617032170906843</v>
      </c>
      <c r="C3828" s="285">
        <v>3.045216538517407</v>
      </c>
      <c r="D3828" s="285">
        <v>0.54054369022583482</v>
      </c>
      <c r="E3828" s="285">
        <v>9.5283647487456378</v>
      </c>
    </row>
    <row r="3829" spans="1:5">
      <c r="A3829" s="284">
        <f t="shared" si="1050"/>
        <v>3761</v>
      </c>
      <c r="B3829" s="285">
        <v>1.9147377450528533</v>
      </c>
      <c r="C3829" s="285">
        <v>2.6686131385236527</v>
      </c>
      <c r="D3829" s="285">
        <v>1.3253546388116919</v>
      </c>
      <c r="E3829" s="285">
        <v>-1.8581424630821124</v>
      </c>
    </row>
    <row r="3830" spans="1:5">
      <c r="A3830" s="284">
        <f t="shared" si="1050"/>
        <v>3762</v>
      </c>
      <c r="B3830" s="285">
        <v>-4.0836507092529013</v>
      </c>
      <c r="C3830" s="285">
        <v>2.7187424141417647</v>
      </c>
      <c r="D3830" s="285">
        <v>0.21387787103975309</v>
      </c>
      <c r="E3830" s="285">
        <v>11.412363780838032</v>
      </c>
    </row>
    <row r="3831" spans="1:5">
      <c r="A3831" s="284">
        <f t="shared" si="1050"/>
        <v>3763</v>
      </c>
      <c r="B3831" s="285">
        <v>-1.0865193341894799E-2</v>
      </c>
      <c r="C3831" s="285">
        <v>3.1549978389874758</v>
      </c>
      <c r="D3831" s="285">
        <v>0.90703333646536377</v>
      </c>
      <c r="E3831" s="285">
        <v>6.3203415626263872</v>
      </c>
    </row>
    <row r="3832" spans="1:5">
      <c r="A3832" s="284">
        <f t="shared" si="1050"/>
        <v>3764</v>
      </c>
      <c r="B3832" s="285">
        <v>-1.3706145629135149</v>
      </c>
      <c r="C3832" s="285">
        <v>1.8899104731403347</v>
      </c>
      <c r="D3832" s="285">
        <v>0.55712031860576883</v>
      </c>
      <c r="E3832" s="285">
        <v>-6.3151666054886206</v>
      </c>
    </row>
    <row r="3833" spans="1:5">
      <c r="A3833" s="284">
        <f t="shared" si="1050"/>
        <v>3765</v>
      </c>
      <c r="B3833" s="285">
        <v>-1.0050672735897312</v>
      </c>
      <c r="C3833" s="285">
        <v>2.5359184712134573</v>
      </c>
      <c r="D3833" s="285">
        <v>1.0716173594042053</v>
      </c>
      <c r="E3833" s="285">
        <v>-4.5170461243215758</v>
      </c>
    </row>
    <row r="3834" spans="1:5">
      <c r="A3834" s="284">
        <f t="shared" si="1050"/>
        <v>3766</v>
      </c>
      <c r="B3834" s="285">
        <v>1.4745470119220412</v>
      </c>
      <c r="C3834" s="285">
        <v>2.1332564553892115</v>
      </c>
      <c r="D3834" s="285">
        <v>0.76409861325322226</v>
      </c>
      <c r="E3834" s="285">
        <v>-4.3602410738949331</v>
      </c>
    </row>
    <row r="3835" spans="1:5">
      <c r="A3835" s="284">
        <f t="shared" si="1050"/>
        <v>3767</v>
      </c>
      <c r="B3835" s="285">
        <v>3.8083361024650424</v>
      </c>
      <c r="C3835" s="285">
        <v>3.2975948160549784</v>
      </c>
      <c r="D3835" s="285">
        <v>-0.24795308946731565</v>
      </c>
      <c r="E3835" s="285">
        <v>11.794143075019491</v>
      </c>
    </row>
    <row r="3836" spans="1:5">
      <c r="A3836" s="284">
        <f t="shared" si="1050"/>
        <v>3768</v>
      </c>
      <c r="B3836" s="285">
        <v>2.7981285637876985</v>
      </c>
      <c r="C3836" s="285">
        <v>3.2351519109858398</v>
      </c>
      <c r="D3836" s="285">
        <v>1.663380472998061</v>
      </c>
      <c r="E3836" s="285">
        <v>7.3752376375209785</v>
      </c>
    </row>
    <row r="3837" spans="1:5">
      <c r="A3837" s="284">
        <f t="shared" si="1050"/>
        <v>3769</v>
      </c>
      <c r="B3837" s="285">
        <v>2.3746728827281975</v>
      </c>
      <c r="C3837" s="285">
        <v>3.4297404814112635</v>
      </c>
      <c r="D3837" s="285">
        <v>0.20385574023674402</v>
      </c>
      <c r="E3837" s="285">
        <v>8.3215895731989118</v>
      </c>
    </row>
    <row r="3838" spans="1:5">
      <c r="A3838" s="284">
        <f t="shared" si="1050"/>
        <v>3770</v>
      </c>
      <c r="B3838" s="285">
        <v>0.48051840566672405</v>
      </c>
      <c r="C3838" s="285">
        <v>2.9774815044042757</v>
      </c>
      <c r="D3838" s="285">
        <v>2.2862000174127663</v>
      </c>
      <c r="E3838" s="285">
        <v>-1.6653654770695794</v>
      </c>
    </row>
    <row r="3839" spans="1:5">
      <c r="A3839" s="284">
        <f t="shared" si="1050"/>
        <v>3771</v>
      </c>
      <c r="B3839" s="285">
        <v>1.2905907064122339</v>
      </c>
      <c r="C3839" s="285">
        <v>2.7115315262097774</v>
      </c>
      <c r="D3839" s="285">
        <v>2.2115127684302349</v>
      </c>
      <c r="E3839" s="285">
        <v>3.4574924082614324</v>
      </c>
    </row>
    <row r="3840" spans="1:5">
      <c r="A3840" s="284">
        <f t="shared" si="1050"/>
        <v>3772</v>
      </c>
      <c r="B3840" s="285">
        <v>1.1763047454952411</v>
      </c>
      <c r="C3840" s="285">
        <v>2.4716198491466437</v>
      </c>
      <c r="D3840" s="285">
        <v>-0.74650626254231778</v>
      </c>
      <c r="E3840" s="285">
        <v>4.7293464164802934</v>
      </c>
    </row>
    <row r="3841" spans="1:5">
      <c r="A3841" s="284">
        <f t="shared" si="1050"/>
        <v>3773</v>
      </c>
      <c r="B3841" s="285">
        <v>0.80300237992840984</v>
      </c>
      <c r="C3841" s="285">
        <v>2.1906906825480665</v>
      </c>
      <c r="D3841" s="285">
        <v>0.55705881867963403</v>
      </c>
      <c r="E3841" s="285">
        <v>-13.005558148337949</v>
      </c>
    </row>
    <row r="3842" spans="1:5">
      <c r="A3842" s="284">
        <f t="shared" si="1050"/>
        <v>3774</v>
      </c>
      <c r="B3842" s="285">
        <v>-0.74806014189777981</v>
      </c>
      <c r="C3842" s="285">
        <v>2.7394219867418554</v>
      </c>
      <c r="D3842" s="285">
        <v>0.32370334301883608</v>
      </c>
      <c r="E3842" s="285">
        <v>-0.15107981212461175</v>
      </c>
    </row>
    <row r="3843" spans="1:5">
      <c r="A3843" s="284">
        <f t="shared" si="1050"/>
        <v>3775</v>
      </c>
      <c r="B3843" s="285">
        <v>1.0638582028248103</v>
      </c>
      <c r="C3843" s="285">
        <v>3.2422789734709325</v>
      </c>
      <c r="D3843" s="285">
        <v>0.67841529415614188</v>
      </c>
      <c r="E3843" s="285">
        <v>4.3443070169707987</v>
      </c>
    </row>
    <row r="3844" spans="1:5">
      <c r="A3844" s="284">
        <f t="shared" si="1050"/>
        <v>3776</v>
      </c>
      <c r="B3844" s="285">
        <v>1.2878665019188269</v>
      </c>
      <c r="C3844" s="285">
        <v>2.1972868432477224</v>
      </c>
      <c r="D3844" s="285">
        <v>1.3602071682324535</v>
      </c>
      <c r="E3844" s="285">
        <v>-13.748895276495833</v>
      </c>
    </row>
    <row r="3845" spans="1:5">
      <c r="A3845" s="284">
        <f t="shared" si="1050"/>
        <v>3777</v>
      </c>
      <c r="B3845" s="285">
        <v>-0.28016902203210897</v>
      </c>
      <c r="C3845" s="285">
        <v>1.8656381469556966</v>
      </c>
      <c r="D3845" s="285">
        <v>0.49389693453488936</v>
      </c>
      <c r="E3845" s="285">
        <v>-9.8183250254628351</v>
      </c>
    </row>
    <row r="3846" spans="1:5">
      <c r="A3846" s="284">
        <f t="shared" si="1050"/>
        <v>3778</v>
      </c>
      <c r="B3846" s="285">
        <v>-1.0847575682295387</v>
      </c>
      <c r="C3846" s="285">
        <v>2.7433970593447237</v>
      </c>
      <c r="D3846" s="285">
        <v>1.7371220474688402</v>
      </c>
      <c r="E3846" s="285">
        <v>-6.0556062302770428</v>
      </c>
    </row>
    <row r="3847" spans="1:5">
      <c r="A3847" s="284">
        <f t="shared" ref="A3847:A3910" si="1051">A3846+1</f>
        <v>3779</v>
      </c>
      <c r="B3847" s="285">
        <v>-7.4952697269949935</v>
      </c>
      <c r="C3847" s="285">
        <v>1.8590319566995848</v>
      </c>
      <c r="D3847" s="285">
        <v>-0.36584106541549488</v>
      </c>
      <c r="E3847" s="285">
        <v>-6.3170052391513067</v>
      </c>
    </row>
    <row r="3848" spans="1:5">
      <c r="A3848" s="284">
        <f t="shared" si="1051"/>
        <v>3780</v>
      </c>
      <c r="B3848" s="285">
        <v>0.953799773299006</v>
      </c>
      <c r="C3848" s="285">
        <v>2.7589568283806694</v>
      </c>
      <c r="D3848" s="285">
        <v>2.9498695888031992</v>
      </c>
      <c r="E3848" s="285">
        <v>2.0647767239416699</v>
      </c>
    </row>
    <row r="3849" spans="1:5">
      <c r="A3849" s="284">
        <f t="shared" si="1051"/>
        <v>3781</v>
      </c>
      <c r="B3849" s="285">
        <v>0.71589066618355335</v>
      </c>
      <c r="C3849" s="285">
        <v>3.1059985957830363</v>
      </c>
      <c r="D3849" s="285">
        <v>1.3994701509033027</v>
      </c>
      <c r="E3849" s="285">
        <v>-2.5379431826526218</v>
      </c>
    </row>
    <row r="3850" spans="1:5">
      <c r="A3850" s="284">
        <f t="shared" si="1051"/>
        <v>3782</v>
      </c>
      <c r="B3850" s="285">
        <v>-0.59560868699178393</v>
      </c>
      <c r="C3850" s="285">
        <v>2.9016237864343015</v>
      </c>
      <c r="D3850" s="285">
        <v>2.871422774575378</v>
      </c>
      <c r="E3850" s="285">
        <v>-1.8401365278722426</v>
      </c>
    </row>
    <row r="3851" spans="1:5">
      <c r="A3851" s="284">
        <f t="shared" si="1051"/>
        <v>3783</v>
      </c>
      <c r="B3851" s="285">
        <v>4.2233733858233204</v>
      </c>
      <c r="C3851" s="285">
        <v>1.7027761516660187</v>
      </c>
      <c r="D3851" s="285">
        <v>2.4156120619017494</v>
      </c>
      <c r="E3851" s="285">
        <v>-17.051581487592223</v>
      </c>
    </row>
    <row r="3852" spans="1:5">
      <c r="A3852" s="284">
        <f t="shared" si="1051"/>
        <v>3784</v>
      </c>
      <c r="B3852" s="285">
        <v>-0.56807953207713613</v>
      </c>
      <c r="C3852" s="285">
        <v>2.7607713630339901</v>
      </c>
      <c r="D3852" s="285">
        <v>2.2488323071447951</v>
      </c>
      <c r="E3852" s="285">
        <v>-7.4497747622475554</v>
      </c>
    </row>
    <row r="3853" spans="1:5">
      <c r="A3853" s="284">
        <f t="shared" si="1051"/>
        <v>3785</v>
      </c>
      <c r="B3853" s="285">
        <v>-3.7669142952044279</v>
      </c>
      <c r="C3853" s="285">
        <v>2.4985083795663785</v>
      </c>
      <c r="D3853" s="285">
        <v>0.41267415411055419</v>
      </c>
      <c r="E3853" s="285">
        <v>2.3533464471078287</v>
      </c>
    </row>
    <row r="3854" spans="1:5">
      <c r="A3854" s="284">
        <f t="shared" si="1051"/>
        <v>3786</v>
      </c>
      <c r="B3854" s="285">
        <v>0.50424301293253826</v>
      </c>
      <c r="C3854" s="285">
        <v>2.0357704804124976</v>
      </c>
      <c r="D3854" s="285">
        <v>1.7152510391192552</v>
      </c>
      <c r="E3854" s="285">
        <v>-13.038627722197543</v>
      </c>
    </row>
    <row r="3855" spans="1:5">
      <c r="A3855" s="284">
        <f t="shared" si="1051"/>
        <v>3787</v>
      </c>
      <c r="B3855" s="285">
        <v>-4.98988106663744</v>
      </c>
      <c r="C3855" s="285">
        <v>2.0701839264845927</v>
      </c>
      <c r="D3855" s="285">
        <v>0.76705566572852235</v>
      </c>
      <c r="E3855" s="285">
        <v>-6.9126877480240037</v>
      </c>
    </row>
    <row r="3856" spans="1:5">
      <c r="A3856" s="284">
        <f t="shared" si="1051"/>
        <v>3788</v>
      </c>
      <c r="B3856" s="285">
        <v>-0.899579603615135</v>
      </c>
      <c r="C3856" s="285">
        <v>1.927574020183408</v>
      </c>
      <c r="D3856" s="285">
        <v>1.9171605330753843</v>
      </c>
      <c r="E3856" s="285">
        <v>-28.008088360334394</v>
      </c>
    </row>
    <row r="3857" spans="1:5">
      <c r="A3857" s="284">
        <f t="shared" si="1051"/>
        <v>3789</v>
      </c>
      <c r="B3857" s="285">
        <v>-0.280506843256772</v>
      </c>
      <c r="C3857" s="285">
        <v>2.7579107345677367</v>
      </c>
      <c r="D3857" s="285">
        <v>-0.32239101659565672</v>
      </c>
      <c r="E3857" s="285">
        <v>6.0346437969337128</v>
      </c>
    </row>
    <row r="3858" spans="1:5">
      <c r="A3858" s="284">
        <f t="shared" si="1051"/>
        <v>3790</v>
      </c>
      <c r="B3858" s="285">
        <v>9.5252932147274164E-2</v>
      </c>
      <c r="C3858" s="285">
        <v>2.4986595325648953</v>
      </c>
      <c r="D3858" s="285">
        <v>0.49533388077997398</v>
      </c>
      <c r="E3858" s="285">
        <v>-15.257940012578807</v>
      </c>
    </row>
    <row r="3859" spans="1:5">
      <c r="A3859" s="284">
        <f t="shared" si="1051"/>
        <v>3791</v>
      </c>
      <c r="B3859" s="285">
        <v>-1.8120330473882651</v>
      </c>
      <c r="C3859" s="285">
        <v>2.4312118108303502</v>
      </c>
      <c r="D3859" s="285">
        <v>-0.10989458934740126</v>
      </c>
      <c r="E3859" s="285">
        <v>-7.081486405307384</v>
      </c>
    </row>
    <row r="3860" spans="1:5">
      <c r="A3860" s="284">
        <f t="shared" si="1051"/>
        <v>3792</v>
      </c>
      <c r="B3860" s="285">
        <v>-1.4270001346606871</v>
      </c>
      <c r="C3860" s="285">
        <v>1.7117473760344168</v>
      </c>
      <c r="D3860" s="285">
        <v>-1.5138218041391993</v>
      </c>
      <c r="E3860" s="285">
        <v>-14.964142148117592</v>
      </c>
    </row>
    <row r="3861" spans="1:5">
      <c r="A3861" s="284">
        <f t="shared" si="1051"/>
        <v>3793</v>
      </c>
      <c r="B3861" s="285">
        <v>2.3211843667465848</v>
      </c>
      <c r="C3861" s="285">
        <v>2.605722576249335</v>
      </c>
      <c r="D3861" s="285">
        <v>-0.92269335532421159</v>
      </c>
      <c r="E3861" s="285">
        <v>3.6139169061606169</v>
      </c>
    </row>
    <row r="3862" spans="1:5">
      <c r="A3862" s="284">
        <f t="shared" si="1051"/>
        <v>3794</v>
      </c>
      <c r="B3862" s="285">
        <v>-2.7630390830014275</v>
      </c>
      <c r="C3862" s="285">
        <v>1.3443486865074765</v>
      </c>
      <c r="D3862" s="285">
        <v>3.2156418997781202</v>
      </c>
      <c r="E3862" s="285">
        <v>-7.1303067964783686</v>
      </c>
    </row>
    <row r="3863" spans="1:5">
      <c r="A3863" s="284">
        <f t="shared" si="1051"/>
        <v>3795</v>
      </c>
      <c r="B3863" s="285">
        <v>-3.8525748878128487</v>
      </c>
      <c r="C3863" s="285">
        <v>2.3532745033928024</v>
      </c>
      <c r="D3863" s="285">
        <v>-1.2533150798583526E-2</v>
      </c>
      <c r="E3863" s="285">
        <v>0.69172648622044219</v>
      </c>
    </row>
    <row r="3864" spans="1:5">
      <c r="A3864" s="284">
        <f t="shared" si="1051"/>
        <v>3796</v>
      </c>
      <c r="B3864" s="285">
        <v>2.3378905694624623</v>
      </c>
      <c r="C3864" s="285">
        <v>3.4647040185514735</v>
      </c>
      <c r="D3864" s="285">
        <v>2.1282468357896365</v>
      </c>
      <c r="E3864" s="285">
        <v>18.720194470218399</v>
      </c>
    </row>
    <row r="3865" spans="1:5">
      <c r="A3865" s="284">
        <f t="shared" si="1051"/>
        <v>3797</v>
      </c>
      <c r="B3865" s="285">
        <v>-0.72950059802571499</v>
      </c>
      <c r="C3865" s="285">
        <v>2.7932711407490034</v>
      </c>
      <c r="D3865" s="285">
        <v>1.8220619936543259</v>
      </c>
      <c r="E3865" s="285">
        <v>-0.92667221702354396</v>
      </c>
    </row>
    <row r="3866" spans="1:5">
      <c r="A3866" s="284">
        <f t="shared" si="1051"/>
        <v>3798</v>
      </c>
      <c r="B3866" s="285">
        <v>-1.4768692286002583</v>
      </c>
      <c r="C3866" s="285">
        <v>3.0734015912137442</v>
      </c>
      <c r="D3866" s="285">
        <v>4.1460339161911497E-2</v>
      </c>
      <c r="E3866" s="285">
        <v>15.738083625403274</v>
      </c>
    </row>
    <row r="3867" spans="1:5">
      <c r="A3867" s="284">
        <f t="shared" si="1051"/>
        <v>3799</v>
      </c>
      <c r="B3867" s="285">
        <v>-1.006823471686062</v>
      </c>
      <c r="C3867" s="285">
        <v>2.7069544693785241</v>
      </c>
      <c r="D3867" s="285">
        <v>1.8434674265592752</v>
      </c>
      <c r="E3867" s="285">
        <v>-8.7166220486315531</v>
      </c>
    </row>
    <row r="3868" spans="1:5">
      <c r="A3868" s="284">
        <f t="shared" si="1051"/>
        <v>3800</v>
      </c>
      <c r="B3868" s="285">
        <v>-0.10963067783463691</v>
      </c>
      <c r="C3868" s="285">
        <v>2.7839894860471071</v>
      </c>
      <c r="D3868" s="285">
        <v>0.2101288501379428</v>
      </c>
      <c r="E3868" s="285">
        <v>4.1064326273806291</v>
      </c>
    </row>
    <row r="3869" spans="1:5">
      <c r="A3869" s="284">
        <f t="shared" si="1051"/>
        <v>3801</v>
      </c>
      <c r="B3869" s="285">
        <v>-0.38448473814880058</v>
      </c>
      <c r="C3869" s="285">
        <v>2.4114329477502454</v>
      </c>
      <c r="D3869" s="285">
        <v>1.9691757830667966</v>
      </c>
      <c r="E3869" s="285">
        <v>-6.9855523038902145</v>
      </c>
    </row>
    <row r="3870" spans="1:5">
      <c r="A3870" s="284">
        <f t="shared" si="1051"/>
        <v>3802</v>
      </c>
      <c r="B3870" s="285">
        <v>-0.92799471560988622</v>
      </c>
      <c r="C3870" s="285">
        <v>2.7225691583085609</v>
      </c>
      <c r="D3870" s="285">
        <v>0.79061081941083855</v>
      </c>
      <c r="E3870" s="285">
        <v>1.9862566987466388</v>
      </c>
    </row>
    <row r="3871" spans="1:5">
      <c r="A3871" s="284">
        <f t="shared" si="1051"/>
        <v>3803</v>
      </c>
      <c r="B3871" s="285">
        <v>-2.3139257703356497</v>
      </c>
      <c r="C3871" s="285">
        <v>2.4872625613167219</v>
      </c>
      <c r="D3871" s="285">
        <v>-0.14445152870054612</v>
      </c>
      <c r="E3871" s="285">
        <v>-0.5643574012037349</v>
      </c>
    </row>
    <row r="3872" spans="1:5">
      <c r="A3872" s="284">
        <f t="shared" si="1051"/>
        <v>3804</v>
      </c>
      <c r="B3872" s="285">
        <v>-0.22481274509908525</v>
      </c>
      <c r="C3872" s="285">
        <v>3.2076169749878014</v>
      </c>
      <c r="D3872" s="285">
        <v>-0.75718799760243849</v>
      </c>
      <c r="E3872" s="285">
        <v>12.16375370221273</v>
      </c>
    </row>
    <row r="3873" spans="1:5">
      <c r="A3873" s="284">
        <f t="shared" si="1051"/>
        <v>3805</v>
      </c>
      <c r="B3873" s="285">
        <v>-0.75050630144253749</v>
      </c>
      <c r="C3873" s="285">
        <v>2.3734670361341692</v>
      </c>
      <c r="D3873" s="285">
        <v>0.39198724845742161</v>
      </c>
      <c r="E3873" s="285">
        <v>-3.8536073256774168</v>
      </c>
    </row>
    <row r="3874" spans="1:5">
      <c r="A3874" s="284">
        <f t="shared" si="1051"/>
        <v>3806</v>
      </c>
      <c r="B3874" s="285">
        <v>0.52559828723827318</v>
      </c>
      <c r="C3874" s="285">
        <v>2.410515187630526</v>
      </c>
      <c r="D3874" s="285">
        <v>6.0135654334762645E-2</v>
      </c>
      <c r="E3874" s="285">
        <v>-11.89937613108275</v>
      </c>
    </row>
    <row r="3875" spans="1:5">
      <c r="A3875" s="284">
        <f t="shared" si="1051"/>
        <v>3807</v>
      </c>
      <c r="B3875" s="285">
        <v>-3.0480658739745214</v>
      </c>
      <c r="C3875" s="285">
        <v>1.6708243216623608</v>
      </c>
      <c r="D3875" s="285">
        <v>1.6043062696353501</v>
      </c>
      <c r="E3875" s="285">
        <v>-6.4193156623924619</v>
      </c>
    </row>
    <row r="3876" spans="1:5">
      <c r="A3876" s="284">
        <f t="shared" si="1051"/>
        <v>3808</v>
      </c>
      <c r="B3876" s="285">
        <v>2.1170412167762076</v>
      </c>
      <c r="C3876" s="285">
        <v>3.0982522510877955</v>
      </c>
      <c r="D3876" s="285">
        <v>3.0942686843581617</v>
      </c>
      <c r="E3876" s="285">
        <v>-9.0048935517948152</v>
      </c>
    </row>
    <row r="3877" spans="1:5">
      <c r="A3877" s="284">
        <f t="shared" si="1051"/>
        <v>3809</v>
      </c>
      <c r="B3877" s="285">
        <v>0.99581605230720183</v>
      </c>
      <c r="C3877" s="285">
        <v>2.6900999350761623</v>
      </c>
      <c r="D3877" s="285">
        <v>0.80305984260422503</v>
      </c>
      <c r="E3877" s="285">
        <v>-4.6166616067336044</v>
      </c>
    </row>
    <row r="3878" spans="1:5">
      <c r="A3878" s="284">
        <f t="shared" si="1051"/>
        <v>3810</v>
      </c>
      <c r="B3878" s="285">
        <v>-1.3495735204051316E-2</v>
      </c>
      <c r="C3878" s="285">
        <v>2.6237330484097403</v>
      </c>
      <c r="D3878" s="285">
        <v>0.29736864037280553</v>
      </c>
      <c r="E3878" s="285">
        <v>-0.95080211842088369</v>
      </c>
    </row>
    <row r="3879" spans="1:5">
      <c r="A3879" s="284">
        <f t="shared" si="1051"/>
        <v>3811</v>
      </c>
      <c r="B3879" s="285">
        <v>0.45648449441262734</v>
      </c>
      <c r="C3879" s="285">
        <v>2.6835745304670664</v>
      </c>
      <c r="D3879" s="285">
        <v>1.2078675258050779</v>
      </c>
      <c r="E3879" s="285">
        <v>13.419233988865535</v>
      </c>
    </row>
    <row r="3880" spans="1:5">
      <c r="A3880" s="284">
        <f t="shared" si="1051"/>
        <v>3812</v>
      </c>
      <c r="B3880" s="285">
        <v>1.6059847655293118</v>
      </c>
      <c r="C3880" s="285">
        <v>2.1405059927538685</v>
      </c>
      <c r="D3880" s="285">
        <v>2.7295612316664966</v>
      </c>
      <c r="E3880" s="285">
        <v>-8.2424314131528771</v>
      </c>
    </row>
    <row r="3881" spans="1:5">
      <c r="A3881" s="284">
        <f t="shared" si="1051"/>
        <v>3813</v>
      </c>
      <c r="B3881" s="285">
        <v>4.827860310602123</v>
      </c>
      <c r="C3881" s="285">
        <v>2.8439603650304308</v>
      </c>
      <c r="D3881" s="285">
        <v>1.1304198165386916</v>
      </c>
      <c r="E3881" s="285">
        <v>11.431929364912492</v>
      </c>
    </row>
    <row r="3882" spans="1:5">
      <c r="A3882" s="284">
        <f t="shared" si="1051"/>
        <v>3814</v>
      </c>
      <c r="B3882" s="285">
        <v>3.2389038567350039</v>
      </c>
      <c r="C3882" s="285">
        <v>2.9897765882636391</v>
      </c>
      <c r="D3882" s="285">
        <v>-1.1739158291537204</v>
      </c>
      <c r="E3882" s="285">
        <v>8.4837572604623031</v>
      </c>
    </row>
    <row r="3883" spans="1:5">
      <c r="A3883" s="284">
        <f t="shared" si="1051"/>
        <v>3815</v>
      </c>
      <c r="B3883" s="285">
        <v>-1.0497476971064643</v>
      </c>
      <c r="C3883" s="285">
        <v>2.2819576745956147</v>
      </c>
      <c r="D3883" s="285">
        <v>1.2693460576421474</v>
      </c>
      <c r="E3883" s="285">
        <v>5.6596233903366553</v>
      </c>
    </row>
    <row r="3884" spans="1:5">
      <c r="A3884" s="284">
        <f t="shared" si="1051"/>
        <v>3816</v>
      </c>
      <c r="B3884" s="285">
        <v>-2.6334732814657844</v>
      </c>
      <c r="C3884" s="285">
        <v>1.5859802921226083</v>
      </c>
      <c r="D3884" s="285">
        <v>1.705806444026015</v>
      </c>
      <c r="E3884" s="285">
        <v>-25.086522627415487</v>
      </c>
    </row>
    <row r="3885" spans="1:5">
      <c r="A3885" s="284">
        <f t="shared" si="1051"/>
        <v>3817</v>
      </c>
      <c r="B3885" s="285">
        <v>-1.2686259120778318</v>
      </c>
      <c r="C3885" s="285">
        <v>2.1315465952598802</v>
      </c>
      <c r="D3885" s="285">
        <v>-0.79902244314399606</v>
      </c>
      <c r="E3885" s="285">
        <v>-2.5268815432739817</v>
      </c>
    </row>
    <row r="3886" spans="1:5">
      <c r="A3886" s="284">
        <f t="shared" si="1051"/>
        <v>3818</v>
      </c>
      <c r="B3886" s="285">
        <v>3.2797850955939976</v>
      </c>
      <c r="C3886" s="285">
        <v>1.6049795827655169</v>
      </c>
      <c r="D3886" s="285">
        <v>1.3895732906245324</v>
      </c>
      <c r="E3886" s="285">
        <v>-9.4933396113618596</v>
      </c>
    </row>
    <row r="3887" spans="1:5">
      <c r="A3887" s="284">
        <f t="shared" si="1051"/>
        <v>3819</v>
      </c>
      <c r="B3887" s="285">
        <v>-0.43180352823886797</v>
      </c>
      <c r="C3887" s="285">
        <v>2.2210371399603188</v>
      </c>
      <c r="D3887" s="285">
        <v>1.1097882936910757</v>
      </c>
      <c r="E3887" s="285">
        <v>-4.2271803398167629</v>
      </c>
    </row>
    <row r="3888" spans="1:5">
      <c r="A3888" s="284">
        <f t="shared" si="1051"/>
        <v>3820</v>
      </c>
      <c r="B3888" s="285">
        <v>3.2718816932684978</v>
      </c>
      <c r="C3888" s="285">
        <v>3.1762064355695796</v>
      </c>
      <c r="D3888" s="285">
        <v>-0.54132810451750424</v>
      </c>
      <c r="E3888" s="285">
        <v>7.436342434818263</v>
      </c>
    </row>
    <row r="3889" spans="1:5">
      <c r="A3889" s="284">
        <f t="shared" si="1051"/>
        <v>3821</v>
      </c>
      <c r="B3889" s="285">
        <v>1.9652457174203597</v>
      </c>
      <c r="C3889" s="285">
        <v>2.5294287563900064</v>
      </c>
      <c r="D3889" s="285">
        <v>1.7779076476308631</v>
      </c>
      <c r="E3889" s="285">
        <v>-8.6779838094481949</v>
      </c>
    </row>
    <row r="3890" spans="1:5">
      <c r="A3890" s="284">
        <f t="shared" si="1051"/>
        <v>3822</v>
      </c>
      <c r="B3890" s="285">
        <v>1.441647905937155</v>
      </c>
      <c r="C3890" s="285">
        <v>2.1677085425404967</v>
      </c>
      <c r="D3890" s="285">
        <v>2.1094340926719415</v>
      </c>
      <c r="E3890" s="285">
        <v>-4.63784468891801</v>
      </c>
    </row>
    <row r="3891" spans="1:5">
      <c r="A3891" s="284">
        <f t="shared" si="1051"/>
        <v>3823</v>
      </c>
      <c r="B3891" s="285">
        <v>-0.35868793866706133</v>
      </c>
      <c r="C3891" s="285">
        <v>1.6312537137826362</v>
      </c>
      <c r="D3891" s="285">
        <v>2.9415023764400896</v>
      </c>
      <c r="E3891" s="285">
        <v>-16.316555696520162</v>
      </c>
    </row>
    <row r="3892" spans="1:5">
      <c r="A3892" s="284">
        <f t="shared" si="1051"/>
        <v>3824</v>
      </c>
      <c r="B3892" s="285">
        <v>3.0629881324505082</v>
      </c>
      <c r="C3892" s="285">
        <v>2.9417057213851345</v>
      </c>
      <c r="D3892" s="285">
        <v>2.2707964561190574</v>
      </c>
      <c r="E3892" s="285">
        <v>-6.2365759650739854</v>
      </c>
    </row>
    <row r="3893" spans="1:5">
      <c r="A3893" s="284">
        <f t="shared" si="1051"/>
        <v>3825</v>
      </c>
      <c r="B3893" s="285">
        <v>2.6446003492155303</v>
      </c>
      <c r="C3893" s="285">
        <v>2.8891554403111228</v>
      </c>
      <c r="D3893" s="285">
        <v>2.3652390165820885</v>
      </c>
      <c r="E3893" s="285">
        <v>-15.459779330370875</v>
      </c>
    </row>
    <row r="3894" spans="1:5">
      <c r="A3894" s="284">
        <f t="shared" si="1051"/>
        <v>3826</v>
      </c>
      <c r="B3894" s="285">
        <v>0.94198901775244659</v>
      </c>
      <c r="C3894" s="285">
        <v>3.264058833333479</v>
      </c>
      <c r="D3894" s="285">
        <v>-0.55185419428143456</v>
      </c>
      <c r="E3894" s="285">
        <v>7.582016294907417</v>
      </c>
    </row>
    <row r="3895" spans="1:5">
      <c r="A3895" s="284">
        <f t="shared" si="1051"/>
        <v>3827</v>
      </c>
      <c r="B3895" s="285">
        <v>1.3708964131201919</v>
      </c>
      <c r="C3895" s="285">
        <v>2.7384391351302741</v>
      </c>
      <c r="D3895" s="285">
        <v>2.4343791949180931</v>
      </c>
      <c r="E3895" s="285">
        <v>-4.1425063716016695</v>
      </c>
    </row>
    <row r="3896" spans="1:5">
      <c r="A3896" s="284">
        <f t="shared" si="1051"/>
        <v>3828</v>
      </c>
      <c r="B3896" s="285">
        <v>-1.2704818199450245</v>
      </c>
      <c r="C3896" s="285">
        <v>2.6392975340446729</v>
      </c>
      <c r="D3896" s="285">
        <v>1.924686893196347</v>
      </c>
      <c r="E3896" s="285">
        <v>-8.7032879759053792</v>
      </c>
    </row>
    <row r="3897" spans="1:5">
      <c r="A3897" s="284">
        <f t="shared" si="1051"/>
        <v>3829</v>
      </c>
      <c r="B3897" s="285">
        <v>1.7209520219152015</v>
      </c>
      <c r="C3897" s="285">
        <v>2.4410849035223663</v>
      </c>
      <c r="D3897" s="285">
        <v>2.538789432024497</v>
      </c>
      <c r="E3897" s="285">
        <v>-0.42494701461361073</v>
      </c>
    </row>
    <row r="3898" spans="1:5">
      <c r="A3898" s="284">
        <f t="shared" si="1051"/>
        <v>3830</v>
      </c>
      <c r="B3898" s="285">
        <v>-0.53565995546792078</v>
      </c>
      <c r="C3898" s="285">
        <v>2.2112998993345041</v>
      </c>
      <c r="D3898" s="285">
        <v>1.3042235492620073</v>
      </c>
      <c r="E3898" s="285">
        <v>-1.41694644119961</v>
      </c>
    </row>
    <row r="3899" spans="1:5">
      <c r="A3899" s="284">
        <f t="shared" si="1051"/>
        <v>3831</v>
      </c>
      <c r="B3899" s="285">
        <v>0.10020992710897089</v>
      </c>
      <c r="C3899" s="285">
        <v>2.7489861143387024</v>
      </c>
      <c r="D3899" s="285">
        <v>1.1921410096288234</v>
      </c>
      <c r="E3899" s="285">
        <v>-1.6893786410324605</v>
      </c>
    </row>
    <row r="3900" spans="1:5">
      <c r="A3900" s="284">
        <f t="shared" si="1051"/>
        <v>3832</v>
      </c>
      <c r="B3900" s="285">
        <v>-2.1147236511755874</v>
      </c>
      <c r="C3900" s="285">
        <v>2.2636515987458479</v>
      </c>
      <c r="D3900" s="285">
        <v>0.4567909880040959</v>
      </c>
      <c r="E3900" s="285">
        <v>-10.789998936206935</v>
      </c>
    </row>
    <row r="3901" spans="1:5">
      <c r="A3901" s="284">
        <f t="shared" si="1051"/>
        <v>3833</v>
      </c>
      <c r="B3901" s="285">
        <v>2.2194327267672733</v>
      </c>
      <c r="C3901" s="285">
        <v>2.7489534143662429</v>
      </c>
      <c r="D3901" s="285">
        <v>2.2325221735206449</v>
      </c>
      <c r="E3901" s="285">
        <v>3.4086610103519415</v>
      </c>
    </row>
    <row r="3902" spans="1:5">
      <c r="A3902" s="284">
        <f t="shared" si="1051"/>
        <v>3834</v>
      </c>
      <c r="B3902" s="285">
        <v>3.5315127140747022</v>
      </c>
      <c r="C3902" s="285">
        <v>3.0970808869580067</v>
      </c>
      <c r="D3902" s="285">
        <v>-0.54152179921746568</v>
      </c>
      <c r="E3902" s="285">
        <v>14.143367696956705</v>
      </c>
    </row>
    <row r="3903" spans="1:5">
      <c r="A3903" s="284">
        <f t="shared" si="1051"/>
        <v>3835</v>
      </c>
      <c r="B3903" s="285">
        <v>-0.1130658505226719</v>
      </c>
      <c r="C3903" s="285">
        <v>2.2188058384884446</v>
      </c>
      <c r="D3903" s="285">
        <v>2.2366772056345807</v>
      </c>
      <c r="E3903" s="285">
        <v>-5.3949193304522058</v>
      </c>
    </row>
    <row r="3904" spans="1:5">
      <c r="A3904" s="284">
        <f t="shared" si="1051"/>
        <v>3836</v>
      </c>
      <c r="B3904" s="285">
        <v>-1.6458879350707576</v>
      </c>
      <c r="C3904" s="285">
        <v>2.2068200570398337</v>
      </c>
      <c r="D3904" s="285">
        <v>5.1028099313217279E-3</v>
      </c>
      <c r="E3904" s="285">
        <v>-6.6256179693171884</v>
      </c>
    </row>
    <row r="3905" spans="1:5">
      <c r="A3905" s="284">
        <f t="shared" si="1051"/>
        <v>3837</v>
      </c>
      <c r="B3905" s="285">
        <v>0.80853229727653053</v>
      </c>
      <c r="C3905" s="285">
        <v>3.2255697844166433</v>
      </c>
      <c r="D3905" s="285">
        <v>1.4419310659797688</v>
      </c>
      <c r="E3905" s="285">
        <v>-2.0766718706203124</v>
      </c>
    </row>
    <row r="3906" spans="1:5">
      <c r="A3906" s="284">
        <f t="shared" si="1051"/>
        <v>3838</v>
      </c>
      <c r="B3906" s="285">
        <v>0.89143942564900214</v>
      </c>
      <c r="C3906" s="285">
        <v>2.2527560855249922</v>
      </c>
      <c r="D3906" s="285">
        <v>3.3698969970743078</v>
      </c>
      <c r="E3906" s="285">
        <v>-5.9117984290353327</v>
      </c>
    </row>
    <row r="3907" spans="1:5">
      <c r="A3907" s="284">
        <f t="shared" si="1051"/>
        <v>3839</v>
      </c>
      <c r="B3907" s="285">
        <v>0.33894722881110717</v>
      </c>
      <c r="C3907" s="285">
        <v>2.6806294664533632</v>
      </c>
      <c r="D3907" s="285">
        <v>3.0565259445591515</v>
      </c>
      <c r="E3907" s="285">
        <v>-0.4068588537079747</v>
      </c>
    </row>
    <row r="3908" spans="1:5">
      <c r="A3908" s="284">
        <f t="shared" si="1051"/>
        <v>3840</v>
      </c>
      <c r="B3908" s="285">
        <v>-1.1679005600961001</v>
      </c>
      <c r="C3908" s="285">
        <v>2.291223980799959</v>
      </c>
      <c r="D3908" s="285">
        <v>1.3606594324025485</v>
      </c>
      <c r="E3908" s="285">
        <v>-16.915379692073238</v>
      </c>
    </row>
    <row r="3909" spans="1:5">
      <c r="A3909" s="284">
        <f t="shared" si="1051"/>
        <v>3841</v>
      </c>
      <c r="B3909" s="285">
        <v>1.3705270805887395</v>
      </c>
      <c r="C3909" s="285">
        <v>3.0723671693177166</v>
      </c>
      <c r="D3909" s="285">
        <v>1.0762188348852075</v>
      </c>
      <c r="E3909" s="285">
        <v>3.6076582591780881</v>
      </c>
    </row>
    <row r="3910" spans="1:5">
      <c r="A3910" s="284">
        <f t="shared" si="1051"/>
        <v>3842</v>
      </c>
      <c r="B3910" s="285">
        <v>0.54581003813385243</v>
      </c>
      <c r="C3910" s="285">
        <v>2.454516069126468</v>
      </c>
      <c r="D3910" s="285">
        <v>1.6342998642901962</v>
      </c>
      <c r="E3910" s="285">
        <v>0.49604526301015817</v>
      </c>
    </row>
    <row r="3911" spans="1:5">
      <c r="A3911" s="284">
        <f t="shared" ref="A3911:A3974" si="1052">A3910+1</f>
        <v>3843</v>
      </c>
      <c r="B3911" s="285">
        <v>-2.4334630467359597</v>
      </c>
      <c r="C3911" s="285">
        <v>2.1970655468727145</v>
      </c>
      <c r="D3911" s="285">
        <v>-0.44467990269116342</v>
      </c>
      <c r="E3911" s="285">
        <v>2.1584819747258766</v>
      </c>
    </row>
    <row r="3912" spans="1:5">
      <c r="A3912" s="284">
        <f t="shared" si="1052"/>
        <v>3844</v>
      </c>
      <c r="B3912" s="285">
        <v>-3.0812221792933134</v>
      </c>
      <c r="C3912" s="285">
        <v>1.6912424650477709</v>
      </c>
      <c r="D3912" s="285">
        <v>2.3295946734613429</v>
      </c>
      <c r="E3912" s="285">
        <v>-19.49093749936603</v>
      </c>
    </row>
    <row r="3913" spans="1:5">
      <c r="A3913" s="284">
        <f t="shared" si="1052"/>
        <v>3845</v>
      </c>
      <c r="B3913" s="285">
        <v>2.7284369445046734</v>
      </c>
      <c r="C3913" s="285">
        <v>2.1063835184046704</v>
      </c>
      <c r="D3913" s="285">
        <v>2.8282660798599024</v>
      </c>
      <c r="E3913" s="285">
        <v>-9.7992336095715462</v>
      </c>
    </row>
    <row r="3914" spans="1:5">
      <c r="A3914" s="284">
        <f t="shared" si="1052"/>
        <v>3846</v>
      </c>
      <c r="B3914" s="285">
        <v>3.125536427028869</v>
      </c>
      <c r="C3914" s="285">
        <v>2.2060384486693909</v>
      </c>
      <c r="D3914" s="285">
        <v>2.6913144370987161</v>
      </c>
      <c r="E3914" s="285">
        <v>-4.5258200783488061</v>
      </c>
    </row>
    <row r="3915" spans="1:5">
      <c r="A3915" s="284">
        <f t="shared" si="1052"/>
        <v>3847</v>
      </c>
      <c r="B3915" s="285">
        <v>-1.0828398862768527</v>
      </c>
      <c r="C3915" s="285">
        <v>2.021343557489085</v>
      </c>
      <c r="D3915" s="285">
        <v>0.40927313739650006</v>
      </c>
      <c r="E3915" s="285">
        <v>-21.925337525219458</v>
      </c>
    </row>
    <row r="3916" spans="1:5">
      <c r="A3916" s="284">
        <f t="shared" si="1052"/>
        <v>3848</v>
      </c>
      <c r="B3916" s="285">
        <v>0.1971686990445958</v>
      </c>
      <c r="C3916" s="285">
        <v>2.655379315044339</v>
      </c>
      <c r="D3916" s="285">
        <v>1.476763858553261</v>
      </c>
      <c r="E3916" s="285">
        <v>-3.187093392642983</v>
      </c>
    </row>
    <row r="3917" spans="1:5">
      <c r="A3917" s="284">
        <f t="shared" si="1052"/>
        <v>3849</v>
      </c>
      <c r="B3917" s="285">
        <v>1.4768546950588972</v>
      </c>
      <c r="C3917" s="285">
        <v>2.7566238054850238</v>
      </c>
      <c r="D3917" s="285">
        <v>2.0525759703849298</v>
      </c>
      <c r="E3917" s="285">
        <v>1.6106494940240084</v>
      </c>
    </row>
    <row r="3918" spans="1:5">
      <c r="A3918" s="284">
        <f t="shared" si="1052"/>
        <v>3850</v>
      </c>
      <c r="B3918" s="285">
        <v>0.92675399546556192</v>
      </c>
      <c r="C3918" s="285">
        <v>3.2538469224797639</v>
      </c>
      <c r="D3918" s="285">
        <v>0.21363508488472738</v>
      </c>
      <c r="E3918" s="285">
        <v>-1.6678277559393559</v>
      </c>
    </row>
    <row r="3919" spans="1:5">
      <c r="A3919" s="284">
        <f t="shared" si="1052"/>
        <v>3851</v>
      </c>
      <c r="B3919" s="285">
        <v>0.48627266829202098</v>
      </c>
      <c r="C3919" s="285">
        <v>1.9641936944390985</v>
      </c>
      <c r="D3919" s="285">
        <v>1.4616473471999218</v>
      </c>
      <c r="E3919" s="285">
        <v>-12.788123686761569</v>
      </c>
    </row>
    <row r="3920" spans="1:5">
      <c r="A3920" s="284">
        <f t="shared" si="1052"/>
        <v>3852</v>
      </c>
      <c r="B3920" s="285">
        <v>1.1381643419198464</v>
      </c>
      <c r="C3920" s="285">
        <v>2.4444629526521808</v>
      </c>
      <c r="D3920" s="285">
        <v>1.8623178219777303</v>
      </c>
      <c r="E3920" s="285">
        <v>-21.789114774384089</v>
      </c>
    </row>
    <row r="3921" spans="1:5">
      <c r="A3921" s="284">
        <f t="shared" si="1052"/>
        <v>3853</v>
      </c>
      <c r="B3921" s="285">
        <v>4.1176982643601763</v>
      </c>
      <c r="C3921" s="285">
        <v>3.2178114127525919</v>
      </c>
      <c r="D3921" s="285">
        <v>0.25320592791918994</v>
      </c>
      <c r="E3921" s="285">
        <v>11.489188614632258</v>
      </c>
    </row>
    <row r="3922" spans="1:5">
      <c r="A3922" s="284">
        <f t="shared" si="1052"/>
        <v>3854</v>
      </c>
      <c r="B3922" s="285">
        <v>-1.2582292416093046</v>
      </c>
      <c r="C3922" s="285">
        <v>2.5417906866492976</v>
      </c>
      <c r="D3922" s="285">
        <v>0.2077703665143783</v>
      </c>
      <c r="E3922" s="285">
        <v>-6.4008851184613142</v>
      </c>
    </row>
    <row r="3923" spans="1:5">
      <c r="A3923" s="284">
        <f t="shared" si="1052"/>
        <v>3855</v>
      </c>
      <c r="B3923" s="285">
        <v>-3.410387898108076</v>
      </c>
      <c r="C3923" s="285">
        <v>1.5910800456296395</v>
      </c>
      <c r="D3923" s="285">
        <v>-0.75461123216074033</v>
      </c>
      <c r="E3923" s="285">
        <v>-6.7444945988676501</v>
      </c>
    </row>
    <row r="3924" spans="1:5">
      <c r="A3924" s="284">
        <f t="shared" si="1052"/>
        <v>3856</v>
      </c>
      <c r="B3924" s="285">
        <v>2.72515361731105</v>
      </c>
      <c r="C3924" s="285">
        <v>2.2692774330015961</v>
      </c>
      <c r="D3924" s="285">
        <v>1.3415196391397348</v>
      </c>
      <c r="E3924" s="285">
        <v>-5.0763153883199177</v>
      </c>
    </row>
    <row r="3925" spans="1:5">
      <c r="A3925" s="284">
        <f t="shared" si="1052"/>
        <v>3857</v>
      </c>
      <c r="B3925" s="285">
        <v>-1.087880498471369</v>
      </c>
      <c r="C3925" s="285">
        <v>2.6249033349425002</v>
      </c>
      <c r="D3925" s="285">
        <v>2.1245439534945039</v>
      </c>
      <c r="E3925" s="285">
        <v>-7.4354559548239791</v>
      </c>
    </row>
    <row r="3926" spans="1:5">
      <c r="A3926" s="284">
        <f t="shared" si="1052"/>
        <v>3858</v>
      </c>
      <c r="B3926" s="285">
        <v>0.30787494820563399</v>
      </c>
      <c r="C3926" s="285">
        <v>2.2587662233982648</v>
      </c>
      <c r="D3926" s="285">
        <v>0.47838220832427747</v>
      </c>
      <c r="E3926" s="285">
        <v>-15.537809652401897</v>
      </c>
    </row>
    <row r="3927" spans="1:5">
      <c r="A3927" s="284">
        <f t="shared" si="1052"/>
        <v>3859</v>
      </c>
      <c r="B3927" s="285">
        <v>-0.3302289487804459</v>
      </c>
      <c r="C3927" s="285">
        <v>2.7079077023245541</v>
      </c>
      <c r="D3927" s="285">
        <v>-1.3798962794781171</v>
      </c>
      <c r="E3927" s="285">
        <v>-2.3492032342792455</v>
      </c>
    </row>
    <row r="3928" spans="1:5">
      <c r="A3928" s="284">
        <f t="shared" si="1052"/>
        <v>3860</v>
      </c>
      <c r="B3928" s="285">
        <v>-5.3496817322769843</v>
      </c>
      <c r="C3928" s="285">
        <v>2.0595189305094252</v>
      </c>
      <c r="D3928" s="285">
        <v>0.43374525344258574</v>
      </c>
      <c r="E3928" s="285">
        <v>-6.7486811746402235</v>
      </c>
    </row>
    <row r="3929" spans="1:5">
      <c r="A3929" s="284">
        <f t="shared" si="1052"/>
        <v>3861</v>
      </c>
      <c r="B3929" s="285">
        <v>-1.2973106813468398</v>
      </c>
      <c r="C3929" s="285">
        <v>1.8415459994938999</v>
      </c>
      <c r="D3929" s="285">
        <v>1.8946091489660744</v>
      </c>
      <c r="E3929" s="285">
        <v>-14.321925891827822</v>
      </c>
    </row>
    <row r="3930" spans="1:5">
      <c r="A3930" s="284">
        <f t="shared" si="1052"/>
        <v>3862</v>
      </c>
      <c r="B3930" s="285">
        <v>-1.7356590924097415</v>
      </c>
      <c r="C3930" s="285">
        <v>3.6046398112390801</v>
      </c>
      <c r="D3930" s="285">
        <v>7.1493437215471856E-2</v>
      </c>
      <c r="E3930" s="285">
        <v>22.472875454155908</v>
      </c>
    </row>
    <row r="3931" spans="1:5">
      <c r="A3931" s="284">
        <f t="shared" si="1052"/>
        <v>3863</v>
      </c>
      <c r="B3931" s="285">
        <v>0.42738443171270879</v>
      </c>
      <c r="C3931" s="285">
        <v>3.2808294103903761</v>
      </c>
      <c r="D3931" s="285">
        <v>0.29220277350480184</v>
      </c>
      <c r="E3931" s="285">
        <v>3.5901255478499006</v>
      </c>
    </row>
    <row r="3932" spans="1:5">
      <c r="A3932" s="284">
        <f t="shared" si="1052"/>
        <v>3864</v>
      </c>
      <c r="B3932" s="285">
        <v>3.5764556602679676</v>
      </c>
      <c r="C3932" s="285">
        <v>2.3468593245723111</v>
      </c>
      <c r="D3932" s="285">
        <v>2.0833222674087057</v>
      </c>
      <c r="E3932" s="285">
        <v>-3.0158215157343746</v>
      </c>
    </row>
    <row r="3933" spans="1:5">
      <c r="A3933" s="284">
        <f t="shared" si="1052"/>
        <v>3865</v>
      </c>
      <c r="B3933" s="285">
        <v>-0.86642541483622026</v>
      </c>
      <c r="C3933" s="285">
        <v>3.0573119755671039</v>
      </c>
      <c r="D3933" s="285">
        <v>1.3857291390026008</v>
      </c>
      <c r="E3933" s="285">
        <v>15.65982574407235</v>
      </c>
    </row>
    <row r="3934" spans="1:5">
      <c r="A3934" s="284">
        <f t="shared" si="1052"/>
        <v>3866</v>
      </c>
      <c r="B3934" s="285">
        <v>-4.5576516052127509</v>
      </c>
      <c r="C3934" s="285">
        <v>2.4543770696639564</v>
      </c>
      <c r="D3934" s="285">
        <v>-0.52083629138698462</v>
      </c>
      <c r="E3934" s="285">
        <v>1.9744234499635804</v>
      </c>
    </row>
    <row r="3935" spans="1:5">
      <c r="A3935" s="284">
        <f t="shared" si="1052"/>
        <v>3867</v>
      </c>
      <c r="B3935" s="285">
        <v>1.8300975897438019</v>
      </c>
      <c r="C3935" s="285">
        <v>2.8577848516531543</v>
      </c>
      <c r="D3935" s="285">
        <v>2.4727432148239736</v>
      </c>
      <c r="E3935" s="285">
        <v>-5.9050421016288794</v>
      </c>
    </row>
    <row r="3936" spans="1:5">
      <c r="A3936" s="284">
        <f t="shared" si="1052"/>
        <v>3868</v>
      </c>
      <c r="B3936" s="285">
        <v>0.8646160050510594</v>
      </c>
      <c r="C3936" s="285">
        <v>2.9190773774689216</v>
      </c>
      <c r="D3936" s="285">
        <v>1.1231874541486229</v>
      </c>
      <c r="E3936" s="285">
        <v>7.2723352565864872</v>
      </c>
    </row>
    <row r="3937" spans="1:5">
      <c r="A3937" s="284">
        <f t="shared" si="1052"/>
        <v>3869</v>
      </c>
      <c r="B3937" s="285">
        <v>1.3560878541708443</v>
      </c>
      <c r="C3937" s="285">
        <v>2.4094468291551414</v>
      </c>
      <c r="D3937" s="285">
        <v>1.6281883505810897</v>
      </c>
      <c r="E3937" s="285">
        <v>-12.854540306345859</v>
      </c>
    </row>
    <row r="3938" spans="1:5">
      <c r="A3938" s="284">
        <f t="shared" si="1052"/>
        <v>3870</v>
      </c>
      <c r="B3938" s="285">
        <v>-1.1142187891838278</v>
      </c>
      <c r="C3938" s="285">
        <v>2.3167657692176302</v>
      </c>
      <c r="D3938" s="285">
        <v>2.0141756761993883</v>
      </c>
      <c r="E3938" s="285">
        <v>-10.605774525466149</v>
      </c>
    </row>
    <row r="3939" spans="1:5">
      <c r="A3939" s="284">
        <f t="shared" si="1052"/>
        <v>3871</v>
      </c>
      <c r="B3939" s="285">
        <v>-1.0845076202212209</v>
      </c>
      <c r="C3939" s="285">
        <v>2.0607797214619721</v>
      </c>
      <c r="D3939" s="285">
        <v>-4.6297239822024494E-2</v>
      </c>
      <c r="E3939" s="285">
        <v>-7.829633774405055</v>
      </c>
    </row>
    <row r="3940" spans="1:5">
      <c r="A3940" s="284">
        <f t="shared" si="1052"/>
        <v>3872</v>
      </c>
      <c r="B3940" s="285">
        <v>-8.0567379449045851E-2</v>
      </c>
      <c r="C3940" s="285">
        <v>2.3682847953181851</v>
      </c>
      <c r="D3940" s="285">
        <v>0.59254365972614353</v>
      </c>
      <c r="E3940" s="285">
        <v>-4.0962106358296975</v>
      </c>
    </row>
    <row r="3941" spans="1:5">
      <c r="A3941" s="284">
        <f t="shared" si="1052"/>
        <v>3873</v>
      </c>
      <c r="B3941" s="285">
        <v>1.7781108849817826</v>
      </c>
      <c r="C3941" s="285">
        <v>2.6789517891528831</v>
      </c>
      <c r="D3941" s="285">
        <v>9.8797017609139504E-2</v>
      </c>
      <c r="E3941" s="285">
        <v>-2.4927780679243305</v>
      </c>
    </row>
    <row r="3942" spans="1:5">
      <c r="A3942" s="284">
        <f t="shared" si="1052"/>
        <v>3874</v>
      </c>
      <c r="B3942" s="285">
        <v>0.1748723682188148</v>
      </c>
      <c r="C3942" s="285">
        <v>2.3738471114295896</v>
      </c>
      <c r="D3942" s="285">
        <v>7.8659363635813273E-2</v>
      </c>
      <c r="E3942" s="285">
        <v>5.936608708613095</v>
      </c>
    </row>
    <row r="3943" spans="1:5">
      <c r="A3943" s="284">
        <f t="shared" si="1052"/>
        <v>3875</v>
      </c>
      <c r="B3943" s="285">
        <v>4.1824091283552363E-2</v>
      </c>
      <c r="C3943" s="285">
        <v>2.1770112536743791</v>
      </c>
      <c r="D3943" s="285">
        <v>0.68010317029714651</v>
      </c>
      <c r="E3943" s="285">
        <v>-9.7734120172496706</v>
      </c>
    </row>
    <row r="3944" spans="1:5">
      <c r="A3944" s="284">
        <f t="shared" si="1052"/>
        <v>3876</v>
      </c>
      <c r="B3944" s="285">
        <v>-2.9862164838076324</v>
      </c>
      <c r="C3944" s="285">
        <v>2.0874521636086358</v>
      </c>
      <c r="D3944" s="285">
        <v>0.63920528236264573</v>
      </c>
      <c r="E3944" s="285">
        <v>-5.7832878493355562</v>
      </c>
    </row>
    <row r="3945" spans="1:5">
      <c r="A3945" s="284">
        <f t="shared" si="1052"/>
        <v>3877</v>
      </c>
      <c r="B3945" s="285">
        <v>-0.11383380800388704</v>
      </c>
      <c r="C3945" s="285">
        <v>2.5195443445587755</v>
      </c>
      <c r="D3945" s="285">
        <v>-0.44829740600981016</v>
      </c>
      <c r="E3945" s="285">
        <v>-0.97482945155582801</v>
      </c>
    </row>
    <row r="3946" spans="1:5">
      <c r="A3946" s="284">
        <f t="shared" si="1052"/>
        <v>3878</v>
      </c>
      <c r="B3946" s="285">
        <v>0.30026442456153452</v>
      </c>
      <c r="C3946" s="285">
        <v>3.1108351520243556</v>
      </c>
      <c r="D3946" s="285">
        <v>0.74654899890700754</v>
      </c>
      <c r="E3946" s="285">
        <v>10.899575108794522</v>
      </c>
    </row>
    <row r="3947" spans="1:5">
      <c r="A3947" s="284">
        <f t="shared" si="1052"/>
        <v>3879</v>
      </c>
      <c r="B3947" s="285">
        <v>0.24330950368309467</v>
      </c>
      <c r="C3947" s="285">
        <v>2.8617243585217684</v>
      </c>
      <c r="D3947" s="285">
        <v>1.4639657631659047</v>
      </c>
      <c r="E3947" s="285">
        <v>-0.98175989653064066</v>
      </c>
    </row>
    <row r="3948" spans="1:5">
      <c r="A3948" s="284">
        <f t="shared" si="1052"/>
        <v>3880</v>
      </c>
      <c r="B3948" s="285">
        <v>-4.7126720151981782</v>
      </c>
      <c r="C3948" s="285">
        <v>2.3740201762534312</v>
      </c>
      <c r="D3948" s="285">
        <v>0.38264415111299077</v>
      </c>
      <c r="E3948" s="285">
        <v>7.8581442870708571</v>
      </c>
    </row>
    <row r="3949" spans="1:5">
      <c r="A3949" s="284">
        <f t="shared" si="1052"/>
        <v>3881</v>
      </c>
      <c r="B3949" s="285">
        <v>-1.7933525734758742</v>
      </c>
      <c r="C3949" s="285">
        <v>2.0367227426810532</v>
      </c>
      <c r="D3949" s="285">
        <v>0.81381844444350904</v>
      </c>
      <c r="E3949" s="285">
        <v>-13.015607300806302</v>
      </c>
    </row>
    <row r="3950" spans="1:5">
      <c r="A3950" s="284">
        <f t="shared" si="1052"/>
        <v>3882</v>
      </c>
      <c r="B3950" s="285">
        <v>0.14695827656989482</v>
      </c>
      <c r="C3950" s="285">
        <v>2.2044135332413459</v>
      </c>
      <c r="D3950" s="285">
        <v>0.42528193318550178</v>
      </c>
      <c r="E3950" s="285">
        <v>-10.097732204055317</v>
      </c>
    </row>
    <row r="3951" spans="1:5">
      <c r="A3951" s="284">
        <f t="shared" si="1052"/>
        <v>3883</v>
      </c>
      <c r="B3951" s="285">
        <v>-1.8726880671127402</v>
      </c>
      <c r="C3951" s="285">
        <v>2.4641562132262069</v>
      </c>
      <c r="D3951" s="285">
        <v>-1.9164677791690892</v>
      </c>
      <c r="E3951" s="285">
        <v>2.6507690293883965</v>
      </c>
    </row>
    <row r="3952" spans="1:5">
      <c r="A3952" s="284">
        <f t="shared" si="1052"/>
        <v>3884</v>
      </c>
      <c r="B3952" s="285">
        <v>-2.1125824117551248</v>
      </c>
      <c r="C3952" s="285">
        <v>2.3188430938078279</v>
      </c>
      <c r="D3952" s="285">
        <v>-1.290976222334645</v>
      </c>
      <c r="E3952" s="285">
        <v>-3.8342061850441729</v>
      </c>
    </row>
    <row r="3953" spans="1:5">
      <c r="A3953" s="284">
        <f t="shared" si="1052"/>
        <v>3885</v>
      </c>
      <c r="B3953" s="285">
        <v>-1.3495519161901075</v>
      </c>
      <c r="C3953" s="285">
        <v>2.8513028497770594</v>
      </c>
      <c r="D3953" s="285">
        <v>0.7379004718980523</v>
      </c>
      <c r="E3953" s="285">
        <v>-5.1990834665827741</v>
      </c>
    </row>
    <row r="3954" spans="1:5">
      <c r="A3954" s="284">
        <f t="shared" si="1052"/>
        <v>3886</v>
      </c>
      <c r="B3954" s="285">
        <v>-0.71051272505020913</v>
      </c>
      <c r="C3954" s="285">
        <v>3.0554185327470544</v>
      </c>
      <c r="D3954" s="285">
        <v>2.4646220698494439</v>
      </c>
      <c r="E3954" s="285">
        <v>-0.30483458750088444</v>
      </c>
    </row>
    <row r="3955" spans="1:5">
      <c r="A3955" s="284">
        <f t="shared" si="1052"/>
        <v>3887</v>
      </c>
      <c r="B3955" s="285">
        <v>1.9490040431172402</v>
      </c>
      <c r="C3955" s="285">
        <v>2.6033125444666712</v>
      </c>
      <c r="D3955" s="285">
        <v>2.2034205439388659</v>
      </c>
      <c r="E3955" s="285">
        <v>-4.4035724361780275</v>
      </c>
    </row>
    <row r="3956" spans="1:5">
      <c r="A3956" s="284">
        <f t="shared" si="1052"/>
        <v>3888</v>
      </c>
      <c r="B3956" s="285">
        <v>2.2692028001384483</v>
      </c>
      <c r="C3956" s="285">
        <v>2.8630264538387822</v>
      </c>
      <c r="D3956" s="285">
        <v>1.0067966251131246</v>
      </c>
      <c r="E3956" s="285">
        <v>-7.6975048817598619</v>
      </c>
    </row>
    <row r="3957" spans="1:5">
      <c r="A3957" s="284">
        <f t="shared" si="1052"/>
        <v>3889</v>
      </c>
      <c r="B3957" s="285">
        <v>-1.170232762295726</v>
      </c>
      <c r="C3957" s="285">
        <v>2.7400624429104754</v>
      </c>
      <c r="D3957" s="285">
        <v>1.4035554176000686</v>
      </c>
      <c r="E3957" s="285">
        <v>0.54440571666393378</v>
      </c>
    </row>
    <row r="3958" spans="1:5">
      <c r="A3958" s="284">
        <f t="shared" si="1052"/>
        <v>3890</v>
      </c>
      <c r="B3958" s="285">
        <v>-4.6027331792216319</v>
      </c>
      <c r="C3958" s="285">
        <v>1.7612491179868615</v>
      </c>
      <c r="D3958" s="285">
        <v>-1.2222260580656386</v>
      </c>
      <c r="E3958" s="285">
        <v>-0.79003485329142586</v>
      </c>
    </row>
    <row r="3959" spans="1:5">
      <c r="A3959" s="284">
        <f t="shared" si="1052"/>
        <v>3891</v>
      </c>
      <c r="B3959" s="285">
        <v>0.70867259064832089</v>
      </c>
      <c r="C3959" s="285">
        <v>3.1825274857925865</v>
      </c>
      <c r="D3959" s="285">
        <v>2.8302217509611989</v>
      </c>
      <c r="E3959" s="285">
        <v>6.2493430256956692</v>
      </c>
    </row>
    <row r="3960" spans="1:5">
      <c r="A3960" s="284">
        <f t="shared" si="1052"/>
        <v>3892</v>
      </c>
      <c r="B3960" s="285">
        <v>-1.8011461619090574</v>
      </c>
      <c r="C3960" s="285">
        <v>2.248517103082889</v>
      </c>
      <c r="D3960" s="285">
        <v>2.6106526182254255</v>
      </c>
      <c r="E3960" s="285">
        <v>-5.7037398510366586</v>
      </c>
    </row>
    <row r="3961" spans="1:5">
      <c r="A3961" s="284">
        <f t="shared" si="1052"/>
        <v>3893</v>
      </c>
      <c r="B3961" s="285">
        <v>9.4259724453803331E-2</v>
      </c>
      <c r="C3961" s="285">
        <v>2.9426914349759352</v>
      </c>
      <c r="D3961" s="285">
        <v>2.144359285487154</v>
      </c>
      <c r="E3961" s="285">
        <v>2.6772360359883751</v>
      </c>
    </row>
    <row r="3962" spans="1:5">
      <c r="A3962" s="284">
        <f t="shared" si="1052"/>
        <v>3894</v>
      </c>
      <c r="B3962" s="285">
        <v>1.4966073336718537</v>
      </c>
      <c r="C3962" s="285">
        <v>3.2878554193247251</v>
      </c>
      <c r="D3962" s="285">
        <v>1.1043016006347803</v>
      </c>
      <c r="E3962" s="285">
        <v>4.2950810583162298</v>
      </c>
    </row>
    <row r="3963" spans="1:5">
      <c r="A3963" s="284">
        <f t="shared" si="1052"/>
        <v>3895</v>
      </c>
      <c r="B3963" s="285">
        <v>4.6022325594532312</v>
      </c>
      <c r="C3963" s="285">
        <v>3.0794898651777394</v>
      </c>
      <c r="D3963" s="285">
        <v>2.0094226472585235</v>
      </c>
      <c r="E3963" s="285">
        <v>12.853473553959764</v>
      </c>
    </row>
    <row r="3964" spans="1:5">
      <c r="A3964" s="284">
        <f t="shared" si="1052"/>
        <v>3896</v>
      </c>
      <c r="B3964" s="285">
        <v>1.481283571193069</v>
      </c>
      <c r="C3964" s="285">
        <v>2.4814829279991542</v>
      </c>
      <c r="D3964" s="285">
        <v>2.321604404864825</v>
      </c>
      <c r="E3964" s="285">
        <v>1.565737123015476</v>
      </c>
    </row>
    <row r="3965" spans="1:5">
      <c r="A3965" s="284">
        <f t="shared" si="1052"/>
        <v>3897</v>
      </c>
      <c r="B3965" s="285">
        <v>0.7569260319502783</v>
      </c>
      <c r="C3965" s="285">
        <v>2.705768363723934</v>
      </c>
      <c r="D3965" s="285">
        <v>2.1111043880871359</v>
      </c>
      <c r="E3965" s="285">
        <v>-5.4618940415058574</v>
      </c>
    </row>
    <row r="3966" spans="1:5">
      <c r="A3966" s="284">
        <f t="shared" si="1052"/>
        <v>3898</v>
      </c>
      <c r="B3966" s="285">
        <v>-0.45234855571248994</v>
      </c>
      <c r="C3966" s="285">
        <v>2.4734810983310656</v>
      </c>
      <c r="D3966" s="285">
        <v>2.0373068486219141</v>
      </c>
      <c r="E3966" s="285">
        <v>0.13594018523386531</v>
      </c>
    </row>
    <row r="3967" spans="1:5">
      <c r="A3967" s="284">
        <f t="shared" si="1052"/>
        <v>3899</v>
      </c>
      <c r="B3967" s="285">
        <v>2.1971294495125222</v>
      </c>
      <c r="C3967" s="285">
        <v>2.2137382332133888</v>
      </c>
      <c r="D3967" s="285">
        <v>-1.4204511794939085</v>
      </c>
      <c r="E3967" s="285">
        <v>-17.432637969675248</v>
      </c>
    </row>
    <row r="3968" spans="1:5">
      <c r="A3968" s="284">
        <f t="shared" si="1052"/>
        <v>3900</v>
      </c>
      <c r="B3968" s="285">
        <v>-0.77472434063110163</v>
      </c>
      <c r="C3968" s="285">
        <v>2.8910363040988831</v>
      </c>
      <c r="D3968" s="285">
        <v>-0.42491926097723232</v>
      </c>
      <c r="E3968" s="285">
        <v>5.6862681890634779</v>
      </c>
    </row>
    <row r="3969" spans="1:5">
      <c r="A3969" s="284">
        <f t="shared" si="1052"/>
        <v>3901</v>
      </c>
      <c r="B3969" s="285">
        <v>-1.3549713193254116</v>
      </c>
      <c r="C3969" s="285">
        <v>1.6787536671984582</v>
      </c>
      <c r="D3969" s="285">
        <v>0.63145275568683723</v>
      </c>
      <c r="E3969" s="285">
        <v>-20.211099349015338</v>
      </c>
    </row>
    <row r="3970" spans="1:5">
      <c r="A3970" s="284">
        <f t="shared" si="1052"/>
        <v>3902</v>
      </c>
      <c r="B3970" s="285">
        <v>-4.0077089173246776</v>
      </c>
      <c r="C3970" s="285">
        <v>1.7084482928352083</v>
      </c>
      <c r="D3970" s="285">
        <v>0.42212804848391361</v>
      </c>
      <c r="E3970" s="285">
        <v>-5.147517373815349</v>
      </c>
    </row>
    <row r="3971" spans="1:5">
      <c r="A3971" s="284">
        <f t="shared" si="1052"/>
        <v>3903</v>
      </c>
      <c r="B3971" s="285">
        <v>-2.6675973244230025</v>
      </c>
      <c r="C3971" s="285">
        <v>1.9911020015627552</v>
      </c>
      <c r="D3971" s="285">
        <v>-0.18840274532434487</v>
      </c>
      <c r="E3971" s="285">
        <v>-19.285297466713526</v>
      </c>
    </row>
    <row r="3972" spans="1:5">
      <c r="A3972" s="284">
        <f t="shared" si="1052"/>
        <v>3904</v>
      </c>
      <c r="B3972" s="285">
        <v>-0.4795505605339776</v>
      </c>
      <c r="C3972" s="285">
        <v>2.0984291838401719</v>
      </c>
      <c r="D3972" s="285">
        <v>1.5503510577811257</v>
      </c>
      <c r="E3972" s="285">
        <v>-18.240521363969801</v>
      </c>
    </row>
    <row r="3973" spans="1:5">
      <c r="A3973" s="284">
        <f t="shared" si="1052"/>
        <v>3905</v>
      </c>
      <c r="B3973" s="285">
        <v>-0.41148226020628603</v>
      </c>
      <c r="C3973" s="285">
        <v>2.6365688827206277</v>
      </c>
      <c r="D3973" s="285">
        <v>2.558053976698067</v>
      </c>
      <c r="E3973" s="285">
        <v>-3.5921221922318041</v>
      </c>
    </row>
    <row r="3974" spans="1:5">
      <c r="A3974" s="284">
        <f t="shared" si="1052"/>
        <v>3906</v>
      </c>
      <c r="B3974" s="285">
        <v>-0.54315578617382909</v>
      </c>
      <c r="C3974" s="285">
        <v>1.9524577064039501</v>
      </c>
      <c r="D3974" s="285">
        <v>2.4844385470422865</v>
      </c>
      <c r="E3974" s="285">
        <v>0.61587130933889478</v>
      </c>
    </row>
    <row r="3975" spans="1:5">
      <c r="A3975" s="284">
        <f t="shared" ref="A3975:A4038" si="1053">A3974+1</f>
        <v>3907</v>
      </c>
      <c r="B3975" s="285">
        <v>0.61774624748198292</v>
      </c>
      <c r="C3975" s="285">
        <v>2.5961726708433019</v>
      </c>
      <c r="D3975" s="285">
        <v>1.0774696340826402</v>
      </c>
      <c r="E3975" s="285">
        <v>8.6411418715415351</v>
      </c>
    </row>
    <row r="3976" spans="1:5">
      <c r="A3976" s="284">
        <f t="shared" si="1053"/>
        <v>3908</v>
      </c>
      <c r="B3976" s="285">
        <v>-3.3513950541958559</v>
      </c>
      <c r="C3976" s="285">
        <v>2.1725832895801265</v>
      </c>
      <c r="D3976" s="285">
        <v>0.26455201724794519</v>
      </c>
      <c r="E3976" s="285">
        <v>1.624119899766717</v>
      </c>
    </row>
    <row r="3977" spans="1:5">
      <c r="A3977" s="284">
        <f t="shared" si="1053"/>
        <v>3909</v>
      </c>
      <c r="B3977" s="285">
        <v>-1.9989473356069796</v>
      </c>
      <c r="C3977" s="285">
        <v>2.3117725525294159</v>
      </c>
      <c r="D3977" s="285">
        <v>1.5297470010353504</v>
      </c>
      <c r="E3977" s="285">
        <v>-14.752484247451239</v>
      </c>
    </row>
    <row r="3978" spans="1:5">
      <c r="A3978" s="284">
        <f t="shared" si="1053"/>
        <v>3910</v>
      </c>
      <c r="B3978" s="285">
        <v>2.3925918848082794</v>
      </c>
      <c r="C3978" s="285">
        <v>2.802601464637628</v>
      </c>
      <c r="D3978" s="285">
        <v>1.086757687681231</v>
      </c>
      <c r="E3978" s="285">
        <v>17.310925822696735</v>
      </c>
    </row>
    <row r="3979" spans="1:5">
      <c r="A3979" s="284">
        <f t="shared" si="1053"/>
        <v>3911</v>
      </c>
      <c r="B3979" s="285">
        <v>3.2268404915102309</v>
      </c>
      <c r="C3979" s="285">
        <v>1.9825601346171218</v>
      </c>
      <c r="D3979" s="285">
        <v>2.3405435874363634</v>
      </c>
      <c r="E3979" s="285">
        <v>-10.96352766803034</v>
      </c>
    </row>
    <row r="3980" spans="1:5">
      <c r="A3980" s="284">
        <f t="shared" si="1053"/>
        <v>3912</v>
      </c>
      <c r="B3980" s="285">
        <v>-1.3688461906979603</v>
      </c>
      <c r="C3980" s="285">
        <v>2.2838274871131308</v>
      </c>
      <c r="D3980" s="285">
        <v>2.4380144419881842</v>
      </c>
      <c r="E3980" s="285">
        <v>-14.814015670735982</v>
      </c>
    </row>
    <row r="3981" spans="1:5">
      <c r="A3981" s="284">
        <f t="shared" si="1053"/>
        <v>3913</v>
      </c>
      <c r="B3981" s="285">
        <v>0.35458539830365271</v>
      </c>
      <c r="C3981" s="285">
        <v>2.1549748595767402</v>
      </c>
      <c r="D3981" s="285">
        <v>2.2966746324339842</v>
      </c>
      <c r="E3981" s="285">
        <v>-8.9565475312756568</v>
      </c>
    </row>
    <row r="3982" spans="1:5">
      <c r="A3982" s="284">
        <f t="shared" si="1053"/>
        <v>3914</v>
      </c>
      <c r="B3982" s="285">
        <v>1.1403949023433584</v>
      </c>
      <c r="C3982" s="285">
        <v>1.9051182982888006</v>
      </c>
      <c r="D3982" s="285">
        <v>1.9534013217331792</v>
      </c>
      <c r="E3982" s="285">
        <v>-10.07945175275937</v>
      </c>
    </row>
    <row r="3983" spans="1:5">
      <c r="A3983" s="284">
        <f t="shared" si="1053"/>
        <v>3915</v>
      </c>
      <c r="B3983" s="285">
        <v>-1.4023078751948743</v>
      </c>
      <c r="C3983" s="285">
        <v>2.3076415800353476</v>
      </c>
      <c r="D3983" s="285">
        <v>1.5412178993856569</v>
      </c>
      <c r="E3983" s="285">
        <v>-11.978611724883686</v>
      </c>
    </row>
    <row r="3984" spans="1:5">
      <c r="A3984" s="284">
        <f t="shared" si="1053"/>
        <v>3916</v>
      </c>
      <c r="B3984" s="285">
        <v>1.935254434893158</v>
      </c>
      <c r="C3984" s="285">
        <v>2.391986619812124</v>
      </c>
      <c r="D3984" s="285">
        <v>2.6479200948289083</v>
      </c>
      <c r="E3984" s="285">
        <v>-4.9774410059140202</v>
      </c>
    </row>
    <row r="3985" spans="1:5">
      <c r="A3985" s="284">
        <f t="shared" si="1053"/>
        <v>3917</v>
      </c>
      <c r="B3985" s="285">
        <v>-8.9994227239342625E-2</v>
      </c>
      <c r="C3985" s="285">
        <v>2.5393243726168166</v>
      </c>
      <c r="D3985" s="285">
        <v>2.6919873167249344</v>
      </c>
      <c r="E3985" s="285">
        <v>4.707845177792592</v>
      </c>
    </row>
    <row r="3986" spans="1:5">
      <c r="A3986" s="284">
        <f t="shared" si="1053"/>
        <v>3918</v>
      </c>
      <c r="B3986" s="285">
        <v>-4.2241763814341784</v>
      </c>
      <c r="C3986" s="285">
        <v>3.0336669810274599</v>
      </c>
      <c r="D3986" s="285">
        <v>1.3711518761247421</v>
      </c>
      <c r="E3986" s="285">
        <v>10.791265132467954</v>
      </c>
    </row>
    <row r="3987" spans="1:5">
      <c r="A3987" s="284">
        <f t="shared" si="1053"/>
        <v>3919</v>
      </c>
      <c r="B3987" s="285">
        <v>9.6603067078358279E-2</v>
      </c>
      <c r="C3987" s="285">
        <v>2.2494928914146946</v>
      </c>
      <c r="D3987" s="285">
        <v>-0.74646054323148414</v>
      </c>
      <c r="E3987" s="285">
        <v>-7.2172392399850196</v>
      </c>
    </row>
    <row r="3988" spans="1:5">
      <c r="A3988" s="284">
        <f t="shared" si="1053"/>
        <v>3920</v>
      </c>
      <c r="B3988" s="285">
        <v>0.34146227913999661</v>
      </c>
      <c r="C3988" s="285">
        <v>3.0377736497843015</v>
      </c>
      <c r="D3988" s="285">
        <v>1.4221590844473855</v>
      </c>
      <c r="E3988" s="285">
        <v>-3.1443833207594589</v>
      </c>
    </row>
    <row r="3989" spans="1:5">
      <c r="A3989" s="284">
        <f t="shared" si="1053"/>
        <v>3921</v>
      </c>
      <c r="B3989" s="285">
        <v>-0.71221645747819018</v>
      </c>
      <c r="C3989" s="285">
        <v>2.5894124910729195</v>
      </c>
      <c r="D3989" s="285">
        <v>2.4869741825952487</v>
      </c>
      <c r="E3989" s="285">
        <v>13.743777016677949</v>
      </c>
    </row>
    <row r="3990" spans="1:5">
      <c r="A3990" s="284">
        <f t="shared" si="1053"/>
        <v>3922</v>
      </c>
      <c r="B3990" s="285">
        <v>-1.7483591893051731</v>
      </c>
      <c r="C3990" s="285">
        <v>2.2079183767804076</v>
      </c>
      <c r="D3990" s="285">
        <v>-0.63517470787481867</v>
      </c>
      <c r="E3990" s="285">
        <v>-10.75578695588591</v>
      </c>
    </row>
    <row r="3991" spans="1:5">
      <c r="A3991" s="284">
        <f t="shared" si="1053"/>
        <v>3923</v>
      </c>
      <c r="B3991" s="285">
        <v>-0.3599384042576913</v>
      </c>
      <c r="C3991" s="285">
        <v>1.9127240994863899</v>
      </c>
      <c r="D3991" s="285">
        <v>-0.60093782987321487</v>
      </c>
      <c r="E3991" s="285">
        <v>-12.756537781056988</v>
      </c>
    </row>
    <row r="3992" spans="1:5">
      <c r="A3992" s="284">
        <f t="shared" si="1053"/>
        <v>3924</v>
      </c>
      <c r="B3992" s="285">
        <v>-1.9411962401933929</v>
      </c>
      <c r="C3992" s="285">
        <v>1.8242677081324392</v>
      </c>
      <c r="D3992" s="285">
        <v>0.64850924352670736</v>
      </c>
      <c r="E3992" s="285">
        <v>-16.403504296893686</v>
      </c>
    </row>
    <row r="3993" spans="1:5">
      <c r="A3993" s="284">
        <f t="shared" si="1053"/>
        <v>3925</v>
      </c>
      <c r="B3993" s="285">
        <v>0.21863895836255662</v>
      </c>
      <c r="C3993" s="285">
        <v>1.9838430741902551</v>
      </c>
      <c r="D3993" s="285">
        <v>3.2674873073042434</v>
      </c>
      <c r="E3993" s="285">
        <v>-18.25231640414351</v>
      </c>
    </row>
    <row r="3994" spans="1:5">
      <c r="A3994" s="284">
        <f t="shared" si="1053"/>
        <v>3926</v>
      </c>
      <c r="B3994" s="285">
        <v>0.63297017743535389</v>
      </c>
      <c r="C3994" s="285">
        <v>1.9951367454587343</v>
      </c>
      <c r="D3994" s="285">
        <v>1.8764317661453158</v>
      </c>
      <c r="E3994" s="285">
        <v>-4.2135536897225485</v>
      </c>
    </row>
    <row r="3995" spans="1:5">
      <c r="A3995" s="284">
        <f t="shared" si="1053"/>
        <v>3927</v>
      </c>
      <c r="B3995" s="285">
        <v>6.9395638601588691E-2</v>
      </c>
      <c r="C3995" s="285">
        <v>2.5681066619534807</v>
      </c>
      <c r="D3995" s="285">
        <v>1.2369832049741181E-2</v>
      </c>
      <c r="E3995" s="285">
        <v>1.1221760874279565</v>
      </c>
    </row>
    <row r="3996" spans="1:5">
      <c r="A3996" s="284">
        <f t="shared" si="1053"/>
        <v>3928</v>
      </c>
      <c r="B3996" s="285">
        <v>-2.1599913909153132</v>
      </c>
      <c r="C3996" s="285">
        <v>2.2870126551357011</v>
      </c>
      <c r="D3996" s="285">
        <v>-1.5083856384685572</v>
      </c>
      <c r="E3996" s="285">
        <v>1.1628629092774454</v>
      </c>
    </row>
    <row r="3997" spans="1:5">
      <c r="A3997" s="284">
        <f t="shared" si="1053"/>
        <v>3929</v>
      </c>
      <c r="B3997" s="285">
        <v>-1.1816633858254095</v>
      </c>
      <c r="C3997" s="285">
        <v>1.8989398659583365</v>
      </c>
      <c r="D3997" s="285">
        <v>1.113811197033769</v>
      </c>
      <c r="E3997" s="285">
        <v>-16.59777277296007</v>
      </c>
    </row>
    <row r="3998" spans="1:5">
      <c r="A3998" s="284">
        <f t="shared" si="1053"/>
        <v>3930</v>
      </c>
      <c r="B3998" s="285">
        <v>0.48318557050561145</v>
      </c>
      <c r="C3998" s="285">
        <v>2.1826054569562623</v>
      </c>
      <c r="D3998" s="285">
        <v>-0.33655185619776939</v>
      </c>
      <c r="E3998" s="285">
        <v>-4.8791758907305107</v>
      </c>
    </row>
    <row r="3999" spans="1:5">
      <c r="A3999" s="284">
        <f t="shared" si="1053"/>
        <v>3931</v>
      </c>
      <c r="B3999" s="285">
        <v>-0.12900045757231204</v>
      </c>
      <c r="C3999" s="285">
        <v>2.8688214597607411</v>
      </c>
      <c r="D3999" s="285">
        <v>1.859368893615625</v>
      </c>
      <c r="E3999" s="285">
        <v>8.0261949849768719</v>
      </c>
    </row>
    <row r="4000" spans="1:5">
      <c r="A4000" s="284">
        <f t="shared" si="1053"/>
        <v>3932</v>
      </c>
      <c r="B4000" s="285">
        <v>2.1146898895917481</v>
      </c>
      <c r="C4000" s="285">
        <v>3.3887079193498244</v>
      </c>
      <c r="D4000" s="285">
        <v>-0.30861608067275137</v>
      </c>
      <c r="E4000" s="285">
        <v>6.7321648270929746</v>
      </c>
    </row>
    <row r="4001" spans="1:5">
      <c r="A4001" s="284">
        <f t="shared" si="1053"/>
        <v>3933</v>
      </c>
      <c r="B4001" s="285">
        <v>-0.78170321241168028</v>
      </c>
      <c r="C4001" s="285">
        <v>1.5228909356829055</v>
      </c>
      <c r="D4001" s="285">
        <v>2.3227488902157702</v>
      </c>
      <c r="E4001" s="285">
        <v>-24.908787126437094</v>
      </c>
    </row>
    <row r="4002" spans="1:5">
      <c r="A4002" s="284">
        <f t="shared" si="1053"/>
        <v>3934</v>
      </c>
      <c r="B4002" s="285">
        <v>-0.98804855150418369</v>
      </c>
      <c r="C4002" s="285">
        <v>2.5160733318307931</v>
      </c>
      <c r="D4002" s="285">
        <v>0.19881270979208376</v>
      </c>
      <c r="E4002" s="285">
        <v>3.2363266967509472</v>
      </c>
    </row>
    <row r="4003" spans="1:5">
      <c r="A4003" s="284">
        <f t="shared" si="1053"/>
        <v>3935</v>
      </c>
      <c r="B4003" s="285">
        <v>0.91095399332371196</v>
      </c>
      <c r="C4003" s="285">
        <v>2.8332295193211117</v>
      </c>
      <c r="D4003" s="285">
        <v>1.2271128638092048</v>
      </c>
      <c r="E4003" s="285">
        <v>3.9678355768897284</v>
      </c>
    </row>
    <row r="4004" spans="1:5">
      <c r="A4004" s="284">
        <f t="shared" si="1053"/>
        <v>3936</v>
      </c>
      <c r="B4004" s="285">
        <v>1.7180617994429981</v>
      </c>
      <c r="C4004" s="285">
        <v>2.8069400488525211</v>
      </c>
      <c r="D4004" s="285">
        <v>1.1062593056895016</v>
      </c>
      <c r="E4004" s="285">
        <v>-4.6415555249069422</v>
      </c>
    </row>
    <row r="4005" spans="1:5">
      <c r="A4005" s="284">
        <f t="shared" si="1053"/>
        <v>3937</v>
      </c>
      <c r="B4005" s="285">
        <v>-0.4473067426966818</v>
      </c>
      <c r="C4005" s="285">
        <v>2.9802675240466159</v>
      </c>
      <c r="D4005" s="285">
        <v>-0.30662690215908373</v>
      </c>
      <c r="E4005" s="285">
        <v>-0.66340846675987519</v>
      </c>
    </row>
    <row r="4006" spans="1:5">
      <c r="A4006" s="284">
        <f t="shared" si="1053"/>
        <v>3938</v>
      </c>
      <c r="B4006" s="285">
        <v>-3.2763328563914835</v>
      </c>
      <c r="C4006" s="285">
        <v>1.787934074667326</v>
      </c>
      <c r="D4006" s="285">
        <v>1.2461104562457912</v>
      </c>
      <c r="E4006" s="285">
        <v>-19.366652414720914</v>
      </c>
    </row>
    <row r="4007" spans="1:5">
      <c r="A4007" s="284">
        <f t="shared" si="1053"/>
        <v>3939</v>
      </c>
      <c r="B4007" s="285">
        <v>-0.8071574135979741</v>
      </c>
      <c r="C4007" s="285">
        <v>2.345974480400288</v>
      </c>
      <c r="D4007" s="285">
        <v>3.0252730651332351</v>
      </c>
      <c r="E4007" s="285">
        <v>3.154236973658874</v>
      </c>
    </row>
    <row r="4008" spans="1:5">
      <c r="A4008" s="284">
        <f t="shared" si="1053"/>
        <v>3940</v>
      </c>
      <c r="B4008" s="285">
        <v>-0.81130020053058571</v>
      </c>
      <c r="C4008" s="285">
        <v>2.3137250841406489</v>
      </c>
      <c r="D4008" s="285">
        <v>3.2698939548346075</v>
      </c>
      <c r="E4008" s="285">
        <v>-4.6890311294114797</v>
      </c>
    </row>
    <row r="4009" spans="1:5">
      <c r="A4009" s="284">
        <f t="shared" si="1053"/>
        <v>3941</v>
      </c>
      <c r="B4009" s="285">
        <v>-1.1158685348513151</v>
      </c>
      <c r="C4009" s="285">
        <v>2.2009469308785308</v>
      </c>
      <c r="D4009" s="285">
        <v>1.9726654768020007</v>
      </c>
      <c r="E4009" s="285">
        <v>0.35031018441064221</v>
      </c>
    </row>
    <row r="4010" spans="1:5">
      <c r="A4010" s="284">
        <f t="shared" si="1053"/>
        <v>3942</v>
      </c>
      <c r="B4010" s="285">
        <v>0.75771644650484116</v>
      </c>
      <c r="C4010" s="285">
        <v>3.4483614922813679</v>
      </c>
      <c r="D4010" s="285">
        <v>-3.3704442330753981E-2</v>
      </c>
      <c r="E4010" s="285">
        <v>15.565820639867209</v>
      </c>
    </row>
    <row r="4011" spans="1:5">
      <c r="A4011" s="284">
        <f t="shared" si="1053"/>
        <v>3943</v>
      </c>
      <c r="B4011" s="285">
        <v>-1.651608557650841</v>
      </c>
      <c r="C4011" s="285">
        <v>1.9461585436861109</v>
      </c>
      <c r="D4011" s="285">
        <v>0.5309423956610122</v>
      </c>
      <c r="E4011" s="285">
        <v>-7.1505847962258784</v>
      </c>
    </row>
    <row r="4012" spans="1:5">
      <c r="A4012" s="284">
        <f t="shared" si="1053"/>
        <v>3944</v>
      </c>
      <c r="B4012" s="285">
        <v>-0.19236005815148954</v>
      </c>
      <c r="C4012" s="285">
        <v>3.1064867046097779</v>
      </c>
      <c r="D4012" s="285">
        <v>-1.0845191036795931E-2</v>
      </c>
      <c r="E4012" s="285">
        <v>-2.2749308197314284</v>
      </c>
    </row>
    <row r="4013" spans="1:5">
      <c r="A4013" s="284">
        <f t="shared" si="1053"/>
        <v>3945</v>
      </c>
      <c r="B4013" s="285">
        <v>-3.6152720712282407</v>
      </c>
      <c r="C4013" s="285">
        <v>1.2256050716893097</v>
      </c>
      <c r="D4013" s="285">
        <v>4.0922678741352847</v>
      </c>
      <c r="E4013" s="285">
        <v>-14.64933794184741</v>
      </c>
    </row>
    <row r="4014" spans="1:5">
      <c r="A4014" s="284">
        <f t="shared" si="1053"/>
        <v>3946</v>
      </c>
      <c r="B4014" s="285">
        <v>-0.27113756582751058</v>
      </c>
      <c r="C4014" s="285">
        <v>2.526700923097208</v>
      </c>
      <c r="D4014" s="285">
        <v>3.0367710066707572</v>
      </c>
      <c r="E4014" s="285">
        <v>-4.1485494241755223</v>
      </c>
    </row>
    <row r="4015" spans="1:5">
      <c r="A4015" s="284">
        <f t="shared" si="1053"/>
        <v>3947</v>
      </c>
      <c r="B4015" s="285">
        <v>1.5986747252755003</v>
      </c>
      <c r="C4015" s="285">
        <v>2.4758277090871319</v>
      </c>
      <c r="D4015" s="285">
        <v>1.1304722803831551</v>
      </c>
      <c r="E4015" s="285">
        <v>-2.6044224737366939</v>
      </c>
    </row>
    <row r="4016" spans="1:5">
      <c r="A4016" s="284">
        <f t="shared" si="1053"/>
        <v>3948</v>
      </c>
      <c r="B4016" s="285">
        <v>0.79368364467290664</v>
      </c>
      <c r="C4016" s="285">
        <v>2.3233425136819368</v>
      </c>
      <c r="D4016" s="285">
        <v>1.6750416857539596</v>
      </c>
      <c r="E4016" s="285">
        <v>-7.6343749576509996</v>
      </c>
    </row>
    <row r="4017" spans="1:5">
      <c r="A4017" s="284">
        <f t="shared" si="1053"/>
        <v>3949</v>
      </c>
      <c r="B4017" s="285">
        <v>-0.71703529522585796</v>
      </c>
      <c r="C4017" s="285">
        <v>2.6837030674931683</v>
      </c>
      <c r="D4017" s="285">
        <v>-0.18599885938784944</v>
      </c>
      <c r="E4017" s="285">
        <v>-15.36706249814838</v>
      </c>
    </row>
    <row r="4018" spans="1:5">
      <c r="A4018" s="284">
        <f t="shared" si="1053"/>
        <v>3950</v>
      </c>
      <c r="B4018" s="285">
        <v>2.4226217195377058</v>
      </c>
      <c r="C4018" s="285">
        <v>2.7686053099412002</v>
      </c>
      <c r="D4018" s="285">
        <v>1.7408741838061501</v>
      </c>
      <c r="E4018" s="285">
        <v>-7.3798713180748265E-2</v>
      </c>
    </row>
    <row r="4019" spans="1:5">
      <c r="A4019" s="284">
        <f t="shared" si="1053"/>
        <v>3951</v>
      </c>
      <c r="B4019" s="285">
        <v>-1.1510289445749049</v>
      </c>
      <c r="C4019" s="285">
        <v>2.6496060120462932</v>
      </c>
      <c r="D4019" s="285">
        <v>1.1288208227119036</v>
      </c>
      <c r="E4019" s="285">
        <v>-0.52695485376012252</v>
      </c>
    </row>
    <row r="4020" spans="1:5">
      <c r="A4020" s="284">
        <f t="shared" si="1053"/>
        <v>3952</v>
      </c>
      <c r="B4020" s="285">
        <v>2.8266178537736764</v>
      </c>
      <c r="C4020" s="285">
        <v>3.0686582230912469</v>
      </c>
      <c r="D4020" s="285">
        <v>2.144578018798394</v>
      </c>
      <c r="E4020" s="285">
        <v>2.9464583874684656</v>
      </c>
    </row>
    <row r="4021" spans="1:5">
      <c r="A4021" s="284">
        <f t="shared" si="1053"/>
        <v>3953</v>
      </c>
      <c r="B4021" s="285">
        <v>2.94469851967989</v>
      </c>
      <c r="C4021" s="285">
        <v>2.6634302848875038</v>
      </c>
      <c r="D4021" s="285">
        <v>3.1039465001395632</v>
      </c>
      <c r="E4021" s="285">
        <v>-1.3995832971434434</v>
      </c>
    </row>
    <row r="4022" spans="1:5">
      <c r="A4022" s="284">
        <f t="shared" si="1053"/>
        <v>3954</v>
      </c>
      <c r="B4022" s="285">
        <v>-1.067622623708814</v>
      </c>
      <c r="C4022" s="285">
        <v>2.7019875634807993</v>
      </c>
      <c r="D4022" s="285">
        <v>0.50507224706782106</v>
      </c>
      <c r="E4022" s="285">
        <v>-0.3248946756134159</v>
      </c>
    </row>
    <row r="4023" spans="1:5">
      <c r="A4023" s="284">
        <f t="shared" si="1053"/>
        <v>3955</v>
      </c>
      <c r="B4023" s="285">
        <v>1.5002399699907381</v>
      </c>
      <c r="C4023" s="285">
        <v>2.4904502613642392</v>
      </c>
      <c r="D4023" s="285">
        <v>2.210984703432298</v>
      </c>
      <c r="E4023" s="285">
        <v>-13.22756443876645</v>
      </c>
    </row>
    <row r="4024" spans="1:5">
      <c r="A4024" s="284">
        <f t="shared" si="1053"/>
        <v>3956</v>
      </c>
      <c r="B4024" s="285">
        <v>-4.5311959585454993</v>
      </c>
      <c r="C4024" s="285">
        <v>2.5112354594295199</v>
      </c>
      <c r="D4024" s="285">
        <v>4.3816911455652363E-2</v>
      </c>
      <c r="E4024" s="285">
        <v>3.916169726388929</v>
      </c>
    </row>
    <row r="4025" spans="1:5">
      <c r="A4025" s="284">
        <f t="shared" si="1053"/>
        <v>3957</v>
      </c>
      <c r="B4025" s="285">
        <v>2.1150828285529761</v>
      </c>
      <c r="C4025" s="285">
        <v>3.2141395978930611</v>
      </c>
      <c r="D4025" s="285">
        <v>1.1219233166823039</v>
      </c>
      <c r="E4025" s="285">
        <v>15.142242391765318</v>
      </c>
    </row>
    <row r="4026" spans="1:5">
      <c r="A4026" s="284">
        <f t="shared" si="1053"/>
        <v>3958</v>
      </c>
      <c r="B4026" s="285">
        <v>2.7060829371955455</v>
      </c>
      <c r="C4026" s="285">
        <v>3.2489586656601679</v>
      </c>
      <c r="D4026" s="285">
        <v>1.0720837312575922</v>
      </c>
      <c r="E4026" s="285">
        <v>6.040572167578981</v>
      </c>
    </row>
    <row r="4027" spans="1:5">
      <c r="A4027" s="284">
        <f t="shared" si="1053"/>
        <v>3959</v>
      </c>
      <c r="B4027" s="285">
        <v>-2.1743155723958192</v>
      </c>
      <c r="C4027" s="285">
        <v>2.9931255054535519</v>
      </c>
      <c r="D4027" s="285">
        <v>2.174937714528431</v>
      </c>
      <c r="E4027" s="285">
        <v>-1.7619748755080944</v>
      </c>
    </row>
    <row r="4028" spans="1:5">
      <c r="A4028" s="284">
        <f t="shared" si="1053"/>
        <v>3960</v>
      </c>
      <c r="B4028" s="285">
        <v>-0.45876106828516888</v>
      </c>
      <c r="C4028" s="285">
        <v>3.34811275018542</v>
      </c>
      <c r="D4028" s="285">
        <v>-0.37636044784602318</v>
      </c>
      <c r="E4028" s="285">
        <v>18.238341763111983</v>
      </c>
    </row>
    <row r="4029" spans="1:5">
      <c r="A4029" s="284">
        <f t="shared" si="1053"/>
        <v>3961</v>
      </c>
      <c r="B4029" s="285">
        <v>0.49496921697227519</v>
      </c>
      <c r="C4029" s="285">
        <v>2.3872243100675985</v>
      </c>
      <c r="D4029" s="285">
        <v>0.89172796329540649</v>
      </c>
      <c r="E4029" s="285">
        <v>-4.1973166316451165</v>
      </c>
    </row>
    <row r="4030" spans="1:5">
      <c r="A4030" s="284">
        <f t="shared" si="1053"/>
        <v>3962</v>
      </c>
      <c r="B4030" s="285">
        <v>-0.93878463761796682</v>
      </c>
      <c r="C4030" s="285">
        <v>2.5527035146305188</v>
      </c>
      <c r="D4030" s="285">
        <v>-1.3522728497778482</v>
      </c>
      <c r="E4030" s="285">
        <v>6.9094582043633732</v>
      </c>
    </row>
    <row r="4031" spans="1:5">
      <c r="A4031" s="284">
        <f t="shared" si="1053"/>
        <v>3963</v>
      </c>
      <c r="B4031" s="285">
        <v>1.208828827799135</v>
      </c>
      <c r="C4031" s="285">
        <v>1.9856134327812418</v>
      </c>
      <c r="D4031" s="285">
        <v>0.494069155192701</v>
      </c>
      <c r="E4031" s="285">
        <v>-8.4302812301156447</v>
      </c>
    </row>
    <row r="4032" spans="1:5">
      <c r="A4032" s="284">
        <f t="shared" si="1053"/>
        <v>3964</v>
      </c>
      <c r="B4032" s="285">
        <v>1.9318115969995773</v>
      </c>
      <c r="C4032" s="285">
        <v>2.3402558198949071</v>
      </c>
      <c r="D4032" s="285">
        <v>-5.1524408742410044E-2</v>
      </c>
      <c r="E4032" s="285">
        <v>-19.251677451113803</v>
      </c>
    </row>
    <row r="4033" spans="1:5">
      <c r="A4033" s="284">
        <f t="shared" si="1053"/>
        <v>3965</v>
      </c>
      <c r="B4033" s="285">
        <v>4.3859787048404533</v>
      </c>
      <c r="C4033" s="285">
        <v>2.3671708253749673</v>
      </c>
      <c r="D4033" s="285">
        <v>1.9074230270475581</v>
      </c>
      <c r="E4033" s="285">
        <v>-13.039682213757185</v>
      </c>
    </row>
    <row r="4034" spans="1:5">
      <c r="A4034" s="284">
        <f t="shared" si="1053"/>
        <v>3966</v>
      </c>
      <c r="B4034" s="285">
        <v>2.902657822794021</v>
      </c>
      <c r="C4034" s="285">
        <v>2.735673775116731</v>
      </c>
      <c r="D4034" s="285">
        <v>0.43334271995997664</v>
      </c>
      <c r="E4034" s="285">
        <v>0.57153317181936503</v>
      </c>
    </row>
    <row r="4035" spans="1:5">
      <c r="A4035" s="284">
        <f t="shared" si="1053"/>
        <v>3967</v>
      </c>
      <c r="B4035" s="285">
        <v>-4.3246763212843049E-2</v>
      </c>
      <c r="C4035" s="285">
        <v>2.1402551326088983</v>
      </c>
      <c r="D4035" s="285">
        <v>3.4814951972842896</v>
      </c>
      <c r="E4035" s="285">
        <v>-9.7307880076607614</v>
      </c>
    </row>
    <row r="4036" spans="1:5">
      <c r="A4036" s="284">
        <f t="shared" si="1053"/>
        <v>3968</v>
      </c>
      <c r="B4036" s="285">
        <v>-0.74068484204701124</v>
      </c>
      <c r="C4036" s="285">
        <v>1.8972308857937104</v>
      </c>
      <c r="D4036" s="285">
        <v>-6.200904382275052E-3</v>
      </c>
      <c r="E4036" s="285">
        <v>-10.806773811073592</v>
      </c>
    </row>
    <row r="4037" spans="1:5">
      <c r="A4037" s="284">
        <f t="shared" si="1053"/>
        <v>3969</v>
      </c>
      <c r="B4037" s="285">
        <v>0.77579998036295916</v>
      </c>
      <c r="C4037" s="285">
        <v>1.9804403701095668</v>
      </c>
      <c r="D4037" s="285">
        <v>0.92516343430307102</v>
      </c>
      <c r="E4037" s="285">
        <v>-7.9323297522624152</v>
      </c>
    </row>
    <row r="4038" spans="1:5">
      <c r="A4038" s="284">
        <f t="shared" si="1053"/>
        <v>3970</v>
      </c>
      <c r="B4038" s="285">
        <v>-1.6233260102628544</v>
      </c>
      <c r="C4038" s="285">
        <v>2.3684466939676394</v>
      </c>
      <c r="D4038" s="285">
        <v>2.1404965319908715</v>
      </c>
      <c r="E4038" s="285">
        <v>-12.106011531658098</v>
      </c>
    </row>
    <row r="4039" spans="1:5">
      <c r="A4039" s="284">
        <f t="shared" ref="A4039:A4102" si="1054">A4038+1</f>
        <v>3971</v>
      </c>
      <c r="B4039" s="285">
        <v>1.8387870243550295</v>
      </c>
      <c r="C4039" s="285">
        <v>3.2924059460902275</v>
      </c>
      <c r="D4039" s="285">
        <v>0.80843418808306511</v>
      </c>
      <c r="E4039" s="285">
        <v>10.11690974101414</v>
      </c>
    </row>
    <row r="4040" spans="1:5">
      <c r="A4040" s="284">
        <f t="shared" si="1054"/>
        <v>3972</v>
      </c>
      <c r="B4040" s="285">
        <v>-2.3191100982767745</v>
      </c>
      <c r="C4040" s="285">
        <v>2.4839101495920937</v>
      </c>
      <c r="D4040" s="285">
        <v>1.6968843049228992</v>
      </c>
      <c r="E4040" s="285">
        <v>4.2060753921334726</v>
      </c>
    </row>
    <row r="4041" spans="1:5">
      <c r="A4041" s="284">
        <f t="shared" si="1054"/>
        <v>3973</v>
      </c>
      <c r="B4041" s="285">
        <v>4.3473979380858863</v>
      </c>
      <c r="C4041" s="285">
        <v>2.4501739017628803</v>
      </c>
      <c r="D4041" s="285">
        <v>1.0126109271804278</v>
      </c>
      <c r="E4041" s="285">
        <v>-3.4461530740716118E-2</v>
      </c>
    </row>
    <row r="4042" spans="1:5">
      <c r="A4042" s="284">
        <f t="shared" si="1054"/>
        <v>3974</v>
      </c>
      <c r="B4042" s="285">
        <v>6.1897205975238984E-2</v>
      </c>
      <c r="C4042" s="285">
        <v>2.7813332725043538</v>
      </c>
      <c r="D4042" s="285">
        <v>1.0912983565492529</v>
      </c>
      <c r="E4042" s="285">
        <v>-4.0743597623610199</v>
      </c>
    </row>
    <row r="4043" spans="1:5">
      <c r="A4043" s="284">
        <f t="shared" si="1054"/>
        <v>3975</v>
      </c>
      <c r="B4043" s="285">
        <v>1.8022562187775897</v>
      </c>
      <c r="C4043" s="285">
        <v>2.8435065475999917</v>
      </c>
      <c r="D4043" s="285">
        <v>1.1631075832314477</v>
      </c>
      <c r="E4043" s="285">
        <v>2.965790753017814</v>
      </c>
    </row>
    <row r="4044" spans="1:5">
      <c r="A4044" s="284">
        <f t="shared" si="1054"/>
        <v>3976</v>
      </c>
      <c r="B4044" s="285">
        <v>3.5389767028984829</v>
      </c>
      <c r="C4044" s="285">
        <v>3.4439598344281244</v>
      </c>
      <c r="D4044" s="285">
        <v>1.1230609964701714</v>
      </c>
      <c r="E4044" s="285">
        <v>10.059982339320772</v>
      </c>
    </row>
    <row r="4045" spans="1:5">
      <c r="A4045" s="284">
        <f t="shared" si="1054"/>
        <v>3977</v>
      </c>
      <c r="B4045" s="285">
        <v>1.4238891501526685</v>
      </c>
      <c r="C4045" s="285">
        <v>2.4547648338370469</v>
      </c>
      <c r="D4045" s="285">
        <v>-0.81970886125688169</v>
      </c>
      <c r="E4045" s="285">
        <v>11.314594184651698</v>
      </c>
    </row>
    <row r="4046" spans="1:5">
      <c r="A4046" s="284">
        <f t="shared" si="1054"/>
        <v>3978</v>
      </c>
      <c r="B4046" s="285">
        <v>-0.1782620934386912</v>
      </c>
      <c r="C4046" s="285">
        <v>2.7609046740005274</v>
      </c>
      <c r="D4046" s="285">
        <v>0.33005705315651501</v>
      </c>
      <c r="E4046" s="285">
        <v>-5.7388179887212569</v>
      </c>
    </row>
    <row r="4047" spans="1:5">
      <c r="A4047" s="284">
        <f t="shared" si="1054"/>
        <v>3979</v>
      </c>
      <c r="B4047" s="285">
        <v>2.9483229067877743</v>
      </c>
      <c r="C4047" s="285">
        <v>2.3725689665002183</v>
      </c>
      <c r="D4047" s="285">
        <v>3.205648972555259</v>
      </c>
      <c r="E4047" s="285">
        <v>-20.285225961977442</v>
      </c>
    </row>
    <row r="4048" spans="1:5">
      <c r="A4048" s="284">
        <f t="shared" si="1054"/>
        <v>3980</v>
      </c>
      <c r="B4048" s="285">
        <v>0.84207374744302854</v>
      </c>
      <c r="C4048" s="285">
        <v>2.3836319637104859</v>
      </c>
      <c r="D4048" s="285">
        <v>1.6368179701552568</v>
      </c>
      <c r="E4048" s="285">
        <v>-5.0670624001158284</v>
      </c>
    </row>
    <row r="4049" spans="1:5">
      <c r="A4049" s="284">
        <f t="shared" si="1054"/>
        <v>3981</v>
      </c>
      <c r="B4049" s="285">
        <v>0.4925682914674559</v>
      </c>
      <c r="C4049" s="285">
        <v>2.1296575230995178</v>
      </c>
      <c r="D4049" s="285">
        <v>2.0514192608570889</v>
      </c>
      <c r="E4049" s="285">
        <v>-7.9152391244959244</v>
      </c>
    </row>
    <row r="4050" spans="1:5">
      <c r="A4050" s="284">
        <f t="shared" si="1054"/>
        <v>3982</v>
      </c>
      <c r="B4050" s="285">
        <v>4.3747667640297365</v>
      </c>
      <c r="C4050" s="285">
        <v>2.7333290203452347</v>
      </c>
      <c r="D4050" s="285">
        <v>3.41222761000712</v>
      </c>
      <c r="E4050" s="285">
        <v>3.687438486732765</v>
      </c>
    </row>
    <row r="4051" spans="1:5">
      <c r="A4051" s="284">
        <f t="shared" si="1054"/>
        <v>3983</v>
      </c>
      <c r="B4051" s="285">
        <v>-0.20736587372609688</v>
      </c>
      <c r="C4051" s="285">
        <v>2.3217725169212797</v>
      </c>
      <c r="D4051" s="285">
        <v>1.8657722529087037</v>
      </c>
      <c r="E4051" s="285">
        <v>-10.890406554622325</v>
      </c>
    </row>
    <row r="4052" spans="1:5">
      <c r="A4052" s="284">
        <f t="shared" si="1054"/>
        <v>3984</v>
      </c>
      <c r="B4052" s="285">
        <v>-1.3298748833320835</v>
      </c>
      <c r="C4052" s="285">
        <v>2.5181907094201321</v>
      </c>
      <c r="D4052" s="285">
        <v>0.45133755399044495</v>
      </c>
      <c r="E4052" s="285">
        <v>2.0271261521459549</v>
      </c>
    </row>
    <row r="4053" spans="1:5">
      <c r="A4053" s="284">
        <f t="shared" si="1054"/>
        <v>3985</v>
      </c>
      <c r="B4053" s="285">
        <v>1.5269993501765753</v>
      </c>
      <c r="C4053" s="285">
        <v>3.2518904662397383</v>
      </c>
      <c r="D4053" s="285">
        <v>1.4329233255879659</v>
      </c>
      <c r="E4053" s="285">
        <v>12.34075887697206</v>
      </c>
    </row>
    <row r="4054" spans="1:5">
      <c r="A4054" s="284">
        <f t="shared" si="1054"/>
        <v>3986</v>
      </c>
      <c r="B4054" s="285">
        <v>0.3249898685213648</v>
      </c>
      <c r="C4054" s="285">
        <v>2.2508936660522121</v>
      </c>
      <c r="D4054" s="285">
        <v>-0.62666955978196937</v>
      </c>
      <c r="E4054" s="285">
        <v>-9.616725049384593</v>
      </c>
    </row>
    <row r="4055" spans="1:5">
      <c r="A4055" s="284">
        <f t="shared" si="1054"/>
        <v>3987</v>
      </c>
      <c r="B4055" s="285">
        <v>1.225505500294529</v>
      </c>
      <c r="C4055" s="285">
        <v>3.180708741251542</v>
      </c>
      <c r="D4055" s="285">
        <v>1.4073761286464332</v>
      </c>
      <c r="E4055" s="285">
        <v>5.4419279962816738</v>
      </c>
    </row>
    <row r="4056" spans="1:5">
      <c r="A4056" s="284">
        <f t="shared" si="1054"/>
        <v>3988</v>
      </c>
      <c r="B4056" s="285">
        <v>0.62118416691921208</v>
      </c>
      <c r="C4056" s="285">
        <v>1.9142499045854378</v>
      </c>
      <c r="D4056" s="285">
        <v>1.1173159702992992</v>
      </c>
      <c r="E4056" s="285">
        <v>-17.548255861028064</v>
      </c>
    </row>
    <row r="4057" spans="1:5">
      <c r="A4057" s="284">
        <f t="shared" si="1054"/>
        <v>3989</v>
      </c>
      <c r="B4057" s="285">
        <v>5.6646106207672355</v>
      </c>
      <c r="C4057" s="285">
        <v>3.0689990223352464</v>
      </c>
      <c r="D4057" s="285">
        <v>0.3726322264089551</v>
      </c>
      <c r="E4057" s="285">
        <v>4.5078755693071582</v>
      </c>
    </row>
    <row r="4058" spans="1:5">
      <c r="A4058" s="284">
        <f t="shared" si="1054"/>
        <v>3990</v>
      </c>
      <c r="B4058" s="285">
        <v>-3.3175573470107356</v>
      </c>
      <c r="C4058" s="285">
        <v>2.4305920843843367</v>
      </c>
      <c r="D4058" s="285">
        <v>1.401671918415337</v>
      </c>
      <c r="E4058" s="285">
        <v>2.6658967050209932</v>
      </c>
    </row>
    <row r="4059" spans="1:5">
      <c r="A4059" s="284">
        <f t="shared" si="1054"/>
        <v>3991</v>
      </c>
      <c r="B4059" s="285">
        <v>0.20750009333309463</v>
      </c>
      <c r="C4059" s="285">
        <v>2.1102224736024291</v>
      </c>
      <c r="D4059" s="285">
        <v>2.7235164766268203</v>
      </c>
      <c r="E4059" s="285">
        <v>-11.850595716847669</v>
      </c>
    </row>
    <row r="4060" spans="1:5">
      <c r="A4060" s="284">
        <f t="shared" si="1054"/>
        <v>3992</v>
      </c>
      <c r="B4060" s="285">
        <v>1.5930795267901856</v>
      </c>
      <c r="C4060" s="285">
        <v>2.0859910969631752</v>
      </c>
      <c r="D4060" s="285">
        <v>0.96336085631826796</v>
      </c>
      <c r="E4060" s="285">
        <v>-23.52643475770617</v>
      </c>
    </row>
    <row r="4061" spans="1:5">
      <c r="A4061" s="284">
        <f t="shared" si="1054"/>
        <v>3993</v>
      </c>
      <c r="B4061" s="285">
        <v>-2.048592313040646</v>
      </c>
      <c r="C4061" s="285">
        <v>1.7963264505401306</v>
      </c>
      <c r="D4061" s="285">
        <v>-0.47310933147282452</v>
      </c>
      <c r="E4061" s="285">
        <v>-13.529796021849448</v>
      </c>
    </row>
    <row r="4062" spans="1:5">
      <c r="A4062" s="284">
        <f t="shared" si="1054"/>
        <v>3994</v>
      </c>
      <c r="B4062" s="285">
        <v>-3.6799778977393385</v>
      </c>
      <c r="C4062" s="285">
        <v>1.9943699458809572</v>
      </c>
      <c r="D4062" s="285">
        <v>0.40538665480538438</v>
      </c>
      <c r="E4062" s="285">
        <v>-0.66530113310745387</v>
      </c>
    </row>
    <row r="4063" spans="1:5">
      <c r="A4063" s="284">
        <f t="shared" si="1054"/>
        <v>3995</v>
      </c>
      <c r="B4063" s="285">
        <v>-1.2205820509087986</v>
      </c>
      <c r="C4063" s="285">
        <v>2.316399055501718</v>
      </c>
      <c r="D4063" s="285">
        <v>0.84852180090030305</v>
      </c>
      <c r="E4063" s="285">
        <v>-5.6250014991033925</v>
      </c>
    </row>
    <row r="4064" spans="1:5">
      <c r="A4064" s="284">
        <f t="shared" si="1054"/>
        <v>3996</v>
      </c>
      <c r="B4064" s="285">
        <v>-0.5979526475720367</v>
      </c>
      <c r="C4064" s="285">
        <v>1.9886680816620794</v>
      </c>
      <c r="D4064" s="285">
        <v>2.2785415530171451</v>
      </c>
      <c r="E4064" s="285">
        <v>-22.422804301879243</v>
      </c>
    </row>
    <row r="4065" spans="1:5">
      <c r="A4065" s="284">
        <f t="shared" si="1054"/>
        <v>3997</v>
      </c>
      <c r="B4065" s="285">
        <v>-1.4942285687819603</v>
      </c>
      <c r="C4065" s="285">
        <v>2.5032733668160692</v>
      </c>
      <c r="D4065" s="285">
        <v>2.4555978578746722</v>
      </c>
      <c r="E4065" s="285">
        <v>-10.739636687500633</v>
      </c>
    </row>
    <row r="4066" spans="1:5">
      <c r="A4066" s="284">
        <f t="shared" si="1054"/>
        <v>3998</v>
      </c>
      <c r="B4066" s="285">
        <v>-0.44781388845888748</v>
      </c>
      <c r="C4066" s="285">
        <v>2.8167421129469679</v>
      </c>
      <c r="D4066" s="285">
        <v>1.1916978985577682</v>
      </c>
      <c r="E4066" s="285">
        <v>6.8100173823910879</v>
      </c>
    </row>
    <row r="4067" spans="1:5">
      <c r="A4067" s="284">
        <f t="shared" si="1054"/>
        <v>3999</v>
      </c>
      <c r="B4067" s="285">
        <v>2.8750549166813086</v>
      </c>
      <c r="C4067" s="285">
        <v>4.153566685421783</v>
      </c>
      <c r="D4067" s="285">
        <v>-0.58134299138287093</v>
      </c>
      <c r="E4067" s="285">
        <v>25.101123184203125</v>
      </c>
    </row>
    <row r="4068" spans="1:5">
      <c r="A4068" s="284">
        <f t="shared" si="1054"/>
        <v>4000</v>
      </c>
      <c r="B4068" s="285">
        <v>0.59337685473756363</v>
      </c>
      <c r="C4068" s="285">
        <v>2.3009147964021976</v>
      </c>
      <c r="D4068" s="285">
        <v>2.0843396946322281</v>
      </c>
      <c r="E4068" s="285">
        <v>-17.853849119581756</v>
      </c>
    </row>
    <row r="4069" spans="1:5">
      <c r="A4069" s="663">
        <f t="shared" si="1054"/>
        <v>4001</v>
      </c>
      <c r="B4069" s="664">
        <v>-6.1910401398985855E-2</v>
      </c>
      <c r="C4069" s="664">
        <v>2.209174400510459</v>
      </c>
      <c r="D4069" s="664">
        <v>2.9496907558912531</v>
      </c>
      <c r="E4069" s="664">
        <v>-18.25452722697214</v>
      </c>
    </row>
    <row r="4070" spans="1:5">
      <c r="A4070" s="284">
        <f t="shared" si="1054"/>
        <v>4002</v>
      </c>
      <c r="B4070" s="285">
        <v>5.2996569699406755E-2</v>
      </c>
      <c r="C4070" s="285">
        <v>2.4148708977317375</v>
      </c>
      <c r="D4070" s="285">
        <v>2.7123511356782224</v>
      </c>
      <c r="E4070" s="285">
        <v>-0.40847447462731834</v>
      </c>
    </row>
    <row r="4071" spans="1:5">
      <c r="A4071" s="284">
        <f t="shared" si="1054"/>
        <v>4003</v>
      </c>
      <c r="B4071" s="285">
        <v>-1.8189179375550626</v>
      </c>
      <c r="C4071" s="285">
        <v>2.9173948185081739</v>
      </c>
      <c r="D4071" s="285">
        <v>0.19044057420020288</v>
      </c>
      <c r="E4071" s="285">
        <v>-0.86701765062382963</v>
      </c>
    </row>
    <row r="4072" spans="1:5">
      <c r="A4072" s="284">
        <f t="shared" si="1054"/>
        <v>4004</v>
      </c>
      <c r="B4072" s="285">
        <v>-0.34543348480229991</v>
      </c>
      <c r="C4072" s="285">
        <v>3.2528958531539072</v>
      </c>
      <c r="D4072" s="285">
        <v>-1.2218440657750369</v>
      </c>
      <c r="E4072" s="285">
        <v>20.524000002254486</v>
      </c>
    </row>
    <row r="4073" spans="1:5">
      <c r="A4073" s="284">
        <f t="shared" si="1054"/>
        <v>4005</v>
      </c>
      <c r="B4073" s="285">
        <v>-1.70881709528626</v>
      </c>
      <c r="C4073" s="285">
        <v>2.6404188184721487</v>
      </c>
      <c r="D4073" s="285">
        <v>-5.8075852940189687E-2</v>
      </c>
      <c r="E4073" s="285">
        <v>-13.811680086691158</v>
      </c>
    </row>
    <row r="4074" spans="1:5">
      <c r="A4074" s="284">
        <f t="shared" si="1054"/>
        <v>4006</v>
      </c>
      <c r="B4074" s="285">
        <v>2.0584322651835869</v>
      </c>
      <c r="C4074" s="285">
        <v>2.8511687552957636</v>
      </c>
      <c r="D4074" s="285">
        <v>2.115897523906586</v>
      </c>
      <c r="E4074" s="285">
        <v>-0.79705703009982498</v>
      </c>
    </row>
    <row r="4075" spans="1:5">
      <c r="A4075" s="284">
        <f t="shared" si="1054"/>
        <v>4007</v>
      </c>
      <c r="B4075" s="285">
        <v>-1.9456461370864757</v>
      </c>
      <c r="C4075" s="285">
        <v>2.7600022107656206</v>
      </c>
      <c r="D4075" s="285">
        <v>-0.31711033367393249</v>
      </c>
      <c r="E4075" s="285">
        <v>7.0053813080110867</v>
      </c>
    </row>
    <row r="4076" spans="1:5">
      <c r="A4076" s="284">
        <f t="shared" si="1054"/>
        <v>4008</v>
      </c>
      <c r="B4076" s="285">
        <v>-0.12704345926241969</v>
      </c>
      <c r="C4076" s="285">
        <v>2.7732771696206835</v>
      </c>
      <c r="D4076" s="285">
        <v>0.29447305710589033</v>
      </c>
      <c r="E4076" s="285">
        <v>-3.9449878721503633</v>
      </c>
    </row>
    <row r="4077" spans="1:5">
      <c r="A4077" s="284">
        <f t="shared" si="1054"/>
        <v>4009</v>
      </c>
      <c r="B4077" s="285">
        <v>-1.4169763624838727</v>
      </c>
      <c r="C4077" s="285">
        <v>3.5138087957063266</v>
      </c>
      <c r="D4077" s="285">
        <v>0.4378126295989877</v>
      </c>
      <c r="E4077" s="285">
        <v>2.8660110151667859</v>
      </c>
    </row>
    <row r="4078" spans="1:5">
      <c r="A4078" s="284">
        <f t="shared" si="1054"/>
        <v>4010</v>
      </c>
      <c r="B4078" s="285">
        <v>-4.3298970805179611</v>
      </c>
      <c r="C4078" s="285">
        <v>2.3282690544398332</v>
      </c>
      <c r="D4078" s="285">
        <v>1.3257535869776884</v>
      </c>
      <c r="E4078" s="285">
        <v>0.13133230088282666</v>
      </c>
    </row>
    <row r="4079" spans="1:5">
      <c r="A4079" s="284">
        <f t="shared" si="1054"/>
        <v>4011</v>
      </c>
      <c r="B4079" s="285">
        <v>0.68253846551339314</v>
      </c>
      <c r="C4079" s="285">
        <v>2.6560455778948837</v>
      </c>
      <c r="D4079" s="285">
        <v>0.14029745983992647</v>
      </c>
      <c r="E4079" s="285">
        <v>5.1124975091398959</v>
      </c>
    </row>
    <row r="4080" spans="1:5">
      <c r="A4080" s="284">
        <f t="shared" si="1054"/>
        <v>4012</v>
      </c>
      <c r="B4080" s="285">
        <v>-1.2917826015787357</v>
      </c>
      <c r="C4080" s="285">
        <v>3.0439100205664573</v>
      </c>
      <c r="D4080" s="285">
        <v>-0.73244123479379075</v>
      </c>
      <c r="E4080" s="285">
        <v>7.0783379356403007</v>
      </c>
    </row>
    <row r="4081" spans="1:5">
      <c r="A4081" s="284">
        <f t="shared" si="1054"/>
        <v>4013</v>
      </c>
      <c r="B4081" s="285">
        <v>-0.31825957794437165</v>
      </c>
      <c r="C4081" s="285">
        <v>1.997882485239292</v>
      </c>
      <c r="D4081" s="285">
        <v>1.4009637425821044</v>
      </c>
      <c r="E4081" s="285">
        <v>-21.615879515540161</v>
      </c>
    </row>
    <row r="4082" spans="1:5">
      <c r="A4082" s="284">
        <f t="shared" si="1054"/>
        <v>4014</v>
      </c>
      <c r="B4082" s="285">
        <v>-2.2028576611574383E-2</v>
      </c>
      <c r="C4082" s="285">
        <v>2.8057709284451757</v>
      </c>
      <c r="D4082" s="285">
        <v>1.6288082437327436</v>
      </c>
      <c r="E4082" s="285">
        <v>-1.6223040376468729</v>
      </c>
    </row>
    <row r="4083" spans="1:5">
      <c r="A4083" s="284">
        <f t="shared" si="1054"/>
        <v>4015</v>
      </c>
      <c r="B4083" s="285">
        <v>-1.8607800256656686</v>
      </c>
      <c r="C4083" s="285">
        <v>2.1753456060391376</v>
      </c>
      <c r="D4083" s="285">
        <v>0.38923605252166671</v>
      </c>
      <c r="E4083" s="285">
        <v>-9.4695094530163839</v>
      </c>
    </row>
    <row r="4084" spans="1:5">
      <c r="A4084" s="284">
        <f t="shared" si="1054"/>
        <v>4016</v>
      </c>
      <c r="B4084" s="285">
        <v>3.7168791061167319</v>
      </c>
      <c r="C4084" s="285">
        <v>3.420590081599669</v>
      </c>
      <c r="D4084" s="285">
        <v>1.2110976802634865</v>
      </c>
      <c r="E4084" s="285">
        <v>11.386860791247747</v>
      </c>
    </row>
    <row r="4085" spans="1:5">
      <c r="A4085" s="284">
        <f t="shared" si="1054"/>
        <v>4017</v>
      </c>
      <c r="B4085" s="285">
        <v>1.6333218519744557</v>
      </c>
      <c r="C4085" s="285">
        <v>2.4831133674574022</v>
      </c>
      <c r="D4085" s="285">
        <v>1.9791959327331421</v>
      </c>
      <c r="E4085" s="285">
        <v>-9.7187222855742075</v>
      </c>
    </row>
    <row r="4086" spans="1:5">
      <c r="A4086" s="284">
        <f t="shared" si="1054"/>
        <v>4018</v>
      </c>
      <c r="B4086" s="285">
        <v>3.4202071873019153</v>
      </c>
      <c r="C4086" s="285">
        <v>2.643546243378021</v>
      </c>
      <c r="D4086" s="285">
        <v>2.2110173468455399</v>
      </c>
      <c r="E4086" s="285">
        <v>-8.483564694525505</v>
      </c>
    </row>
    <row r="4087" spans="1:5">
      <c r="A4087" s="284">
        <f t="shared" si="1054"/>
        <v>4019</v>
      </c>
      <c r="B4087" s="285">
        <v>4.2118543423429431</v>
      </c>
      <c r="C4087" s="285">
        <v>2.3571463167311726</v>
      </c>
      <c r="D4087" s="285">
        <v>1.9112003643302349</v>
      </c>
      <c r="E4087" s="285">
        <v>-4.4099225071180133</v>
      </c>
    </row>
    <row r="4088" spans="1:5">
      <c r="A4088" s="284">
        <f t="shared" si="1054"/>
        <v>4020</v>
      </c>
      <c r="B4088" s="285">
        <v>1.5452170312207336</v>
      </c>
      <c r="C4088" s="285">
        <v>2.5589934376453978</v>
      </c>
      <c r="D4088" s="285">
        <v>1.3635549203014752</v>
      </c>
      <c r="E4088" s="285">
        <v>-2.2666985482004449</v>
      </c>
    </row>
    <row r="4089" spans="1:5">
      <c r="A4089" s="284">
        <f t="shared" si="1054"/>
        <v>4021</v>
      </c>
      <c r="B4089" s="285">
        <v>-2.3305820421645778</v>
      </c>
      <c r="C4089" s="285">
        <v>2.7764248241028158</v>
      </c>
      <c r="D4089" s="285">
        <v>-0.42172782658247066</v>
      </c>
      <c r="E4089" s="285">
        <v>16.183981494023531</v>
      </c>
    </row>
    <row r="4090" spans="1:5">
      <c r="A4090" s="284">
        <f t="shared" si="1054"/>
        <v>4022</v>
      </c>
      <c r="B4090" s="285">
        <v>-3.2272067790236063</v>
      </c>
      <c r="C4090" s="285">
        <v>1.3152171884192496</v>
      </c>
      <c r="D4090" s="285">
        <v>2.8754590328790353</v>
      </c>
      <c r="E4090" s="285">
        <v>-15.320809578677128</v>
      </c>
    </row>
    <row r="4091" spans="1:5">
      <c r="A4091" s="284">
        <f t="shared" si="1054"/>
        <v>4023</v>
      </c>
      <c r="B4091" s="285">
        <v>1.3544902088774176</v>
      </c>
      <c r="C4091" s="285">
        <v>3.6378804072000612</v>
      </c>
      <c r="D4091" s="285">
        <v>-0.83205570067854628</v>
      </c>
      <c r="E4091" s="285">
        <v>5.0071267857743731</v>
      </c>
    </row>
    <row r="4092" spans="1:5">
      <c r="A4092" s="284">
        <f t="shared" si="1054"/>
        <v>4024</v>
      </c>
      <c r="B4092" s="285">
        <v>-2.6746202053895862</v>
      </c>
      <c r="C4092" s="285">
        <v>2.0804159670673488</v>
      </c>
      <c r="D4092" s="285">
        <v>0.31661974503339052</v>
      </c>
      <c r="E4092" s="285">
        <v>-4.8879241029317324</v>
      </c>
    </row>
    <row r="4093" spans="1:5">
      <c r="A4093" s="284">
        <f t="shared" si="1054"/>
        <v>4025</v>
      </c>
      <c r="B4093" s="285">
        <v>0.56430416155863872</v>
      </c>
      <c r="C4093" s="285">
        <v>2.972765069983923</v>
      </c>
      <c r="D4093" s="285">
        <v>1.7630554716878224</v>
      </c>
      <c r="E4093" s="285">
        <v>5.6149252907550959</v>
      </c>
    </row>
    <row r="4094" spans="1:5">
      <c r="A4094" s="284">
        <f t="shared" si="1054"/>
        <v>4026</v>
      </c>
      <c r="B4094" s="285">
        <v>2.9322162477229989</v>
      </c>
      <c r="C4094" s="285">
        <v>2.2157665277739991</v>
      </c>
      <c r="D4094" s="285">
        <v>2.7445212781162058</v>
      </c>
      <c r="E4094" s="285">
        <v>-15.86406798568637</v>
      </c>
    </row>
    <row r="4095" spans="1:5">
      <c r="A4095" s="284">
        <f t="shared" si="1054"/>
        <v>4027</v>
      </c>
      <c r="B4095" s="285">
        <v>-1.6104002950528524</v>
      </c>
      <c r="C4095" s="285">
        <v>2.2056190747847833</v>
      </c>
      <c r="D4095" s="285">
        <v>-2.432595004165572E-2</v>
      </c>
      <c r="E4095" s="285">
        <v>-11.206847882071385</v>
      </c>
    </row>
    <row r="4096" spans="1:5">
      <c r="A4096" s="284">
        <f t="shared" si="1054"/>
        <v>4028</v>
      </c>
      <c r="B4096" s="285">
        <v>-0.78100308524578121</v>
      </c>
      <c r="C4096" s="285">
        <v>2.1169958856279196</v>
      </c>
      <c r="D4096" s="285">
        <v>2.2190439302302765</v>
      </c>
      <c r="E4096" s="285">
        <v>-16.992428656324908</v>
      </c>
    </row>
    <row r="4097" spans="1:5">
      <c r="A4097" s="284">
        <f t="shared" si="1054"/>
        <v>4029</v>
      </c>
      <c r="B4097" s="285">
        <v>-0.94133913471372344</v>
      </c>
      <c r="C4097" s="285">
        <v>2.5257615622378973</v>
      </c>
      <c r="D4097" s="285">
        <v>0.68791669438196479</v>
      </c>
      <c r="E4097" s="285">
        <v>-10.790348930013135</v>
      </c>
    </row>
    <row r="4098" spans="1:5">
      <c r="A4098" s="284">
        <f t="shared" si="1054"/>
        <v>4030</v>
      </c>
      <c r="B4098" s="285">
        <v>4.8240691730734504</v>
      </c>
      <c r="C4098" s="285">
        <v>2.7821786278914926</v>
      </c>
      <c r="D4098" s="285">
        <v>0.63255625276458782</v>
      </c>
      <c r="E4098" s="285">
        <v>-1.699873214742841</v>
      </c>
    </row>
    <row r="4099" spans="1:5">
      <c r="A4099" s="284">
        <f t="shared" si="1054"/>
        <v>4031</v>
      </c>
      <c r="B4099" s="285">
        <v>-2.4644624166426046</v>
      </c>
      <c r="C4099" s="285">
        <v>2.4471782905166988</v>
      </c>
      <c r="D4099" s="285">
        <v>3.6346027707571942</v>
      </c>
      <c r="E4099" s="285">
        <v>-5.4607803374888739</v>
      </c>
    </row>
    <row r="4100" spans="1:5">
      <c r="A4100" s="284">
        <f t="shared" si="1054"/>
        <v>4032</v>
      </c>
      <c r="B4100" s="285">
        <v>-1.3947413095335268</v>
      </c>
      <c r="C4100" s="285">
        <v>2.6974086231716341</v>
      </c>
      <c r="D4100" s="285">
        <v>0.64696561136172115</v>
      </c>
      <c r="E4100" s="285">
        <v>1.8944903292380233</v>
      </c>
    </row>
    <row r="4101" spans="1:5">
      <c r="A4101" s="284">
        <f t="shared" si="1054"/>
        <v>4033</v>
      </c>
      <c r="B4101" s="285">
        <v>-0.69515971557044709</v>
      </c>
      <c r="C4101" s="285">
        <v>2.3046505478359576</v>
      </c>
      <c r="D4101" s="285">
        <v>0.28660237309507297</v>
      </c>
      <c r="E4101" s="285">
        <v>-8.1909660917214158</v>
      </c>
    </row>
    <row r="4102" spans="1:5">
      <c r="A4102" s="284">
        <f t="shared" si="1054"/>
        <v>4034</v>
      </c>
      <c r="B4102" s="285">
        <v>2.5782864101963119</v>
      </c>
      <c r="C4102" s="285">
        <v>2.4669735098232493</v>
      </c>
      <c r="D4102" s="285">
        <v>1.6439372432744932</v>
      </c>
      <c r="E4102" s="285">
        <v>-15.21506354487553</v>
      </c>
    </row>
    <row r="4103" spans="1:5">
      <c r="A4103" s="284">
        <f t="shared" ref="A4103:A4166" si="1055">A4102+1</f>
        <v>4035</v>
      </c>
      <c r="B4103" s="285">
        <v>-0.78105196164231805</v>
      </c>
      <c r="C4103" s="285">
        <v>2.3017300345691494</v>
      </c>
      <c r="D4103" s="285">
        <v>1.9564199181805186</v>
      </c>
      <c r="E4103" s="285">
        <v>-15.656155457988145</v>
      </c>
    </row>
    <row r="4104" spans="1:5">
      <c r="A4104" s="284">
        <f t="shared" si="1055"/>
        <v>4036</v>
      </c>
      <c r="B4104" s="285">
        <v>0.91497821510747313</v>
      </c>
      <c r="C4104" s="285">
        <v>2.4166908091433164</v>
      </c>
      <c r="D4104" s="285">
        <v>3.6262998656923804</v>
      </c>
      <c r="E4104" s="285">
        <v>-12.432432975711341</v>
      </c>
    </row>
    <row r="4105" spans="1:5">
      <c r="A4105" s="284">
        <f t="shared" si="1055"/>
        <v>4037</v>
      </c>
      <c r="B4105" s="285">
        <v>-0.33608915669467199</v>
      </c>
      <c r="C4105" s="285">
        <v>3.3003172104236471</v>
      </c>
      <c r="D4105" s="285">
        <v>0.7756863253864561</v>
      </c>
      <c r="E4105" s="285">
        <v>5.0341316705154462</v>
      </c>
    </row>
    <row r="4106" spans="1:5">
      <c r="A4106" s="284">
        <f t="shared" si="1055"/>
        <v>4038</v>
      </c>
      <c r="B4106" s="285">
        <v>-1.1556400961352418</v>
      </c>
      <c r="C4106" s="285">
        <v>2.929307959292955</v>
      </c>
      <c r="D4106" s="285">
        <v>-2.1137421794480753</v>
      </c>
      <c r="E4106" s="285">
        <v>14.963700407928012</v>
      </c>
    </row>
    <row r="4107" spans="1:5">
      <c r="A4107" s="284">
        <f t="shared" si="1055"/>
        <v>4039</v>
      </c>
      <c r="B4107" s="285">
        <v>0.47973146995355026</v>
      </c>
      <c r="C4107" s="285">
        <v>3.0521188874068415</v>
      </c>
      <c r="D4107" s="285">
        <v>0.89448547723493343</v>
      </c>
      <c r="E4107" s="285">
        <v>5.9816637228277454</v>
      </c>
    </row>
    <row r="4108" spans="1:5">
      <c r="A4108" s="284">
        <f t="shared" si="1055"/>
        <v>4040</v>
      </c>
      <c r="B4108" s="285">
        <v>-1.0722421431658955</v>
      </c>
      <c r="C4108" s="285">
        <v>3.1720492829752756</v>
      </c>
      <c r="D4108" s="285">
        <v>0.71280513225662834</v>
      </c>
      <c r="E4108" s="285">
        <v>6.3930232851258957</v>
      </c>
    </row>
    <row r="4109" spans="1:5">
      <c r="A4109" s="284">
        <f t="shared" si="1055"/>
        <v>4041</v>
      </c>
      <c r="B4109" s="285">
        <v>-2.5972514808137483</v>
      </c>
      <c r="C4109" s="285">
        <v>1.9710412580260628</v>
      </c>
      <c r="D4109" s="285">
        <v>0.6153729648801749</v>
      </c>
      <c r="E4109" s="285">
        <v>-19.602860073943045</v>
      </c>
    </row>
    <row r="4110" spans="1:5">
      <c r="A4110" s="284">
        <f t="shared" si="1055"/>
        <v>4042</v>
      </c>
      <c r="B4110" s="285">
        <v>-1.1880835071267035</v>
      </c>
      <c r="C4110" s="285">
        <v>2.581297952785258</v>
      </c>
      <c r="D4110" s="285">
        <v>1.5224030040938734</v>
      </c>
      <c r="E4110" s="285">
        <v>-4.8467329632588534</v>
      </c>
    </row>
    <row r="4111" spans="1:5">
      <c r="A4111" s="284">
        <f t="shared" si="1055"/>
        <v>4043</v>
      </c>
      <c r="B4111" s="285">
        <v>0.292834174887253</v>
      </c>
      <c r="C4111" s="285">
        <v>2.2958152474902311</v>
      </c>
      <c r="D4111" s="285">
        <v>1.02620831513655</v>
      </c>
      <c r="E4111" s="285">
        <v>-8.7874387728173691</v>
      </c>
    </row>
    <row r="4112" spans="1:5">
      <c r="A4112" s="284">
        <f t="shared" si="1055"/>
        <v>4044</v>
      </c>
      <c r="B4112" s="285">
        <v>-1.3566916626678229</v>
      </c>
      <c r="C4112" s="285">
        <v>1.8111684634212077</v>
      </c>
      <c r="D4112" s="285">
        <v>1.0658446409685141</v>
      </c>
      <c r="E4112" s="285">
        <v>-17.388186420849006</v>
      </c>
    </row>
    <row r="4113" spans="1:5">
      <c r="A4113" s="284">
        <f t="shared" si="1055"/>
        <v>4045</v>
      </c>
      <c r="B4113" s="285">
        <v>-1.2199087184803203</v>
      </c>
      <c r="C4113" s="285">
        <v>1.1797171416188268</v>
      </c>
      <c r="D4113" s="285">
        <v>2.4875753146737241</v>
      </c>
      <c r="E4113" s="285">
        <v>-14.456911879017492</v>
      </c>
    </row>
    <row r="4114" spans="1:5">
      <c r="A4114" s="284">
        <f t="shared" si="1055"/>
        <v>4046</v>
      </c>
      <c r="B4114" s="285">
        <v>-0.91188678547760582</v>
      </c>
      <c r="C4114" s="285">
        <v>2.9912878572270398</v>
      </c>
      <c r="D4114" s="285">
        <v>-0.56939801455843586</v>
      </c>
      <c r="E4114" s="285">
        <v>-5.4522701958369115</v>
      </c>
    </row>
    <row r="4115" spans="1:5">
      <c r="A4115" s="284">
        <f t="shared" si="1055"/>
        <v>4047</v>
      </c>
      <c r="B4115" s="285">
        <v>0.80034774047328572</v>
      </c>
      <c r="C4115" s="285">
        <v>2.4862367742014473</v>
      </c>
      <c r="D4115" s="285">
        <v>1.024974725866203</v>
      </c>
      <c r="E4115" s="285">
        <v>0.89400874773175243</v>
      </c>
    </row>
    <row r="4116" spans="1:5">
      <c r="A4116" s="284">
        <f t="shared" si="1055"/>
        <v>4048</v>
      </c>
      <c r="B4116" s="285">
        <v>-1.0702909667014853</v>
      </c>
      <c r="C4116" s="285">
        <v>2.8464002608575196</v>
      </c>
      <c r="D4116" s="285">
        <v>1.0625755711744616</v>
      </c>
      <c r="E4116" s="285">
        <v>1.33572772730709</v>
      </c>
    </row>
    <row r="4117" spans="1:5">
      <c r="A4117" s="284">
        <f t="shared" si="1055"/>
        <v>4049</v>
      </c>
      <c r="B4117" s="285">
        <v>0.83741818755175401</v>
      </c>
      <c r="C4117" s="285">
        <v>3.3899073408818308</v>
      </c>
      <c r="D4117" s="285">
        <v>1.3196230007599512</v>
      </c>
      <c r="E4117" s="285">
        <v>8.0138314275802376</v>
      </c>
    </row>
    <row r="4118" spans="1:5">
      <c r="A4118" s="284">
        <f t="shared" si="1055"/>
        <v>4050</v>
      </c>
      <c r="B4118" s="285">
        <v>1.140200317700671</v>
      </c>
      <c r="C4118" s="285">
        <v>3.311991338630782</v>
      </c>
      <c r="D4118" s="285">
        <v>2.4213027142391024</v>
      </c>
      <c r="E4118" s="285">
        <v>15.634092344023276</v>
      </c>
    </row>
    <row r="4119" spans="1:5">
      <c r="A4119" s="284">
        <f t="shared" si="1055"/>
        <v>4051</v>
      </c>
      <c r="B4119" s="285">
        <v>0.62317197888506926</v>
      </c>
      <c r="C4119" s="285">
        <v>2.8249964722302527</v>
      </c>
      <c r="D4119" s="285">
        <v>2.5065209906276156</v>
      </c>
      <c r="E4119" s="285">
        <v>4.0760051354403917</v>
      </c>
    </row>
    <row r="4120" spans="1:5">
      <c r="A4120" s="284">
        <f t="shared" si="1055"/>
        <v>4052</v>
      </c>
      <c r="B4120" s="285">
        <v>1.1598444237525909</v>
      </c>
      <c r="C4120" s="285">
        <v>2.4401452398165624</v>
      </c>
      <c r="D4120" s="285">
        <v>0.88012505591846812</v>
      </c>
      <c r="E4120" s="285">
        <v>5.4222930111915719</v>
      </c>
    </row>
    <row r="4121" spans="1:5">
      <c r="A4121" s="284">
        <f t="shared" si="1055"/>
        <v>4053</v>
      </c>
      <c r="B4121" s="285">
        <v>1.8787415838131913</v>
      </c>
      <c r="C4121" s="285">
        <v>2.7739736075771235</v>
      </c>
      <c r="D4121" s="285">
        <v>2.0575124618321015</v>
      </c>
      <c r="E4121" s="285">
        <v>7.9476765509149736</v>
      </c>
    </row>
    <row r="4122" spans="1:5">
      <c r="A4122" s="284">
        <f t="shared" si="1055"/>
        <v>4054</v>
      </c>
      <c r="B4122" s="285">
        <v>2.9932505902103825</v>
      </c>
      <c r="C4122" s="285">
        <v>2.4057088587189477</v>
      </c>
      <c r="D4122" s="285">
        <v>2.7040650279474026</v>
      </c>
      <c r="E4122" s="285">
        <v>-6.7689925596474367</v>
      </c>
    </row>
    <row r="4123" spans="1:5">
      <c r="A4123" s="284">
        <f t="shared" si="1055"/>
        <v>4055</v>
      </c>
      <c r="B4123" s="285">
        <v>2.7180128104882622</v>
      </c>
      <c r="C4123" s="285">
        <v>2.2214477524880154</v>
      </c>
      <c r="D4123" s="285">
        <v>3.1299886356174098</v>
      </c>
      <c r="E4123" s="285">
        <v>-24.197340083995154</v>
      </c>
    </row>
    <row r="4124" spans="1:5">
      <c r="A4124" s="284">
        <f t="shared" si="1055"/>
        <v>4056</v>
      </c>
      <c r="B4124" s="285">
        <v>-1.148396640342163</v>
      </c>
      <c r="C4124" s="285">
        <v>2.450630446211536</v>
      </c>
      <c r="D4124" s="285">
        <v>-0.75583128385691234</v>
      </c>
      <c r="E4124" s="285">
        <v>-0.29759006997864512</v>
      </c>
    </row>
    <row r="4125" spans="1:5">
      <c r="A4125" s="284">
        <f t="shared" si="1055"/>
        <v>4057</v>
      </c>
      <c r="B4125" s="285">
        <v>-4.3131142793539228</v>
      </c>
      <c r="C4125" s="285">
        <v>2.2107404045102386</v>
      </c>
      <c r="D4125" s="285">
        <v>-0.50257395186734688</v>
      </c>
      <c r="E4125" s="285">
        <v>-1.3865836904144202</v>
      </c>
    </row>
    <row r="4126" spans="1:5">
      <c r="A4126" s="284">
        <f t="shared" si="1055"/>
        <v>4058</v>
      </c>
      <c r="B4126" s="285">
        <v>-0.13802170350419921</v>
      </c>
      <c r="C4126" s="285">
        <v>1.8125915066115084</v>
      </c>
      <c r="D4126" s="285">
        <v>0.64209622895771068</v>
      </c>
      <c r="E4126" s="285">
        <v>-1.186697612665776</v>
      </c>
    </row>
    <row r="4127" spans="1:5">
      <c r="A4127" s="284">
        <f t="shared" si="1055"/>
        <v>4059</v>
      </c>
      <c r="B4127" s="285">
        <v>1.766191623136903</v>
      </c>
      <c r="C4127" s="285">
        <v>2.1330624892022252</v>
      </c>
      <c r="D4127" s="285">
        <v>1.6230362042958002</v>
      </c>
      <c r="E4127" s="285">
        <v>-7.1209908080473312</v>
      </c>
    </row>
    <row r="4128" spans="1:5">
      <c r="A4128" s="284">
        <f t="shared" si="1055"/>
        <v>4060</v>
      </c>
      <c r="B4128" s="285">
        <v>-3.6631519633825671</v>
      </c>
      <c r="C4128" s="285">
        <v>1.5408360682174298</v>
      </c>
      <c r="D4128" s="285">
        <v>0.45890116633447342</v>
      </c>
      <c r="E4128" s="285">
        <v>-7.2952033599093227</v>
      </c>
    </row>
    <row r="4129" spans="1:5">
      <c r="A4129" s="284">
        <f t="shared" si="1055"/>
        <v>4061</v>
      </c>
      <c r="B4129" s="285">
        <v>-5.8239838331805203</v>
      </c>
      <c r="C4129" s="285">
        <v>1.3492913796496273</v>
      </c>
      <c r="D4129" s="285">
        <v>-0.18873942904770069</v>
      </c>
      <c r="E4129" s="285">
        <v>-24.816644883619979</v>
      </c>
    </row>
    <row r="4130" spans="1:5">
      <c r="A4130" s="284">
        <f t="shared" si="1055"/>
        <v>4062</v>
      </c>
      <c r="B4130" s="285">
        <v>-0.62857804108535764</v>
      </c>
      <c r="C4130" s="285">
        <v>2.7267057539711481</v>
      </c>
      <c r="D4130" s="285">
        <v>2.2693137435674418</v>
      </c>
      <c r="E4130" s="285">
        <v>13.631970841077266</v>
      </c>
    </row>
    <row r="4131" spans="1:5">
      <c r="A4131" s="284">
        <f t="shared" si="1055"/>
        <v>4063</v>
      </c>
      <c r="B4131" s="285">
        <v>-0.66383436639129334</v>
      </c>
      <c r="C4131" s="285">
        <v>3.1847517509351486</v>
      </c>
      <c r="D4131" s="285">
        <v>-4.9228505847269677E-2</v>
      </c>
      <c r="E4131" s="285">
        <v>18.443758670625627</v>
      </c>
    </row>
    <row r="4132" spans="1:5">
      <c r="A4132" s="284">
        <f t="shared" si="1055"/>
        <v>4064</v>
      </c>
      <c r="B4132" s="285">
        <v>0.36128955387345435</v>
      </c>
      <c r="C4132" s="285">
        <v>2.5049636618961593</v>
      </c>
      <c r="D4132" s="285">
        <v>0.40869636819186095</v>
      </c>
      <c r="E4132" s="285">
        <v>-10.26842082534216</v>
      </c>
    </row>
    <row r="4133" spans="1:5">
      <c r="A4133" s="284">
        <f t="shared" si="1055"/>
        <v>4065</v>
      </c>
      <c r="B4133" s="285">
        <v>2.7104324455162887</v>
      </c>
      <c r="C4133" s="285">
        <v>1.6651727449655971</v>
      </c>
      <c r="D4133" s="285">
        <v>0.64610298485788986</v>
      </c>
      <c r="E4133" s="285">
        <v>-11.235783445355514</v>
      </c>
    </row>
    <row r="4134" spans="1:5">
      <c r="A4134" s="284">
        <f t="shared" si="1055"/>
        <v>4066</v>
      </c>
      <c r="B4134" s="285">
        <v>2.2300961322987769</v>
      </c>
      <c r="C4134" s="285">
        <v>2.6750570502295878</v>
      </c>
      <c r="D4134" s="285">
        <v>0.5268558883050003</v>
      </c>
      <c r="E4134" s="285">
        <v>-6.3464343421213032</v>
      </c>
    </row>
    <row r="4135" spans="1:5">
      <c r="A4135" s="284">
        <f t="shared" si="1055"/>
        <v>4067</v>
      </c>
      <c r="B4135" s="285">
        <v>-4.7140285742121302</v>
      </c>
      <c r="C4135" s="285">
        <v>2.4276820172564788</v>
      </c>
      <c r="D4135" s="285">
        <v>-1.6668638853375679</v>
      </c>
      <c r="E4135" s="285">
        <v>4.6387929620501414</v>
      </c>
    </row>
    <row r="4136" spans="1:5">
      <c r="A4136" s="284">
        <f t="shared" si="1055"/>
        <v>4068</v>
      </c>
      <c r="B4136" s="285">
        <v>0.61305956856102806</v>
      </c>
      <c r="C4136" s="285">
        <v>2.9176210582971551</v>
      </c>
      <c r="D4136" s="285">
        <v>1.3384764860832994</v>
      </c>
      <c r="E4136" s="285">
        <v>2.671340407750439</v>
      </c>
    </row>
    <row r="4137" spans="1:5">
      <c r="A4137" s="284">
        <f t="shared" si="1055"/>
        <v>4069</v>
      </c>
      <c r="B4137" s="285">
        <v>-2.3123606830378653</v>
      </c>
      <c r="C4137" s="285">
        <v>2.4678720033925514</v>
      </c>
      <c r="D4137" s="285">
        <v>1.7345735799960122</v>
      </c>
      <c r="E4137" s="285">
        <v>-8.4379784089266341</v>
      </c>
    </row>
    <row r="4138" spans="1:5">
      <c r="A4138" s="284">
        <f t="shared" si="1055"/>
        <v>4070</v>
      </c>
      <c r="B4138" s="285">
        <v>5.5020862223846154E-2</v>
      </c>
      <c r="C4138" s="285">
        <v>2.7081949215492989</v>
      </c>
      <c r="D4138" s="285">
        <v>0.83621709311840009</v>
      </c>
      <c r="E4138" s="285">
        <v>-2.5767122669121769</v>
      </c>
    </row>
    <row r="4139" spans="1:5">
      <c r="A4139" s="284">
        <f t="shared" si="1055"/>
        <v>4071</v>
      </c>
      <c r="B4139" s="285">
        <v>1.0431230556916395</v>
      </c>
      <c r="C4139" s="285">
        <v>2.580535835937348</v>
      </c>
      <c r="D4139" s="285">
        <v>2.4341815387457149</v>
      </c>
      <c r="E4139" s="285">
        <v>-1.4539759347205063</v>
      </c>
    </row>
    <row r="4140" spans="1:5">
      <c r="A4140" s="284">
        <f t="shared" si="1055"/>
        <v>4072</v>
      </c>
      <c r="B4140" s="285">
        <v>0.62033230355588542</v>
      </c>
      <c r="C4140" s="285">
        <v>2.3111774954077822</v>
      </c>
      <c r="D4140" s="285">
        <v>2.6279134771555048</v>
      </c>
      <c r="E4140" s="285">
        <v>-2.2145399138995763</v>
      </c>
    </row>
    <row r="4141" spans="1:5">
      <c r="A4141" s="284">
        <f t="shared" si="1055"/>
        <v>4073</v>
      </c>
      <c r="B4141" s="285">
        <v>1.4534633026178609</v>
      </c>
      <c r="C4141" s="285">
        <v>2.3788303157389312</v>
      </c>
      <c r="D4141" s="285">
        <v>0.60686731730239896</v>
      </c>
      <c r="E4141" s="285">
        <v>-8.6519902475560446</v>
      </c>
    </row>
    <row r="4142" spans="1:5">
      <c r="A4142" s="284">
        <f t="shared" si="1055"/>
        <v>4074</v>
      </c>
      <c r="B4142" s="285">
        <v>-0.59875783052046083</v>
      </c>
      <c r="C4142" s="285">
        <v>3.0006027932706179</v>
      </c>
      <c r="D4142" s="285">
        <v>0.26466427027669215</v>
      </c>
      <c r="E4142" s="285">
        <v>6.5442096633814995</v>
      </c>
    </row>
    <row r="4143" spans="1:5">
      <c r="A4143" s="284">
        <f t="shared" si="1055"/>
        <v>4075</v>
      </c>
      <c r="B4143" s="285">
        <v>-1.0060198278681787</v>
      </c>
      <c r="C4143" s="285">
        <v>2.1804099792417704</v>
      </c>
      <c r="D4143" s="285">
        <v>1.9292425233002952</v>
      </c>
      <c r="E4143" s="285">
        <v>-7.454934806958553</v>
      </c>
    </row>
    <row r="4144" spans="1:5">
      <c r="A4144" s="284">
        <f t="shared" si="1055"/>
        <v>4076</v>
      </c>
      <c r="B4144" s="285">
        <v>-1.1670299034180909</v>
      </c>
      <c r="C4144" s="285">
        <v>1.5410480471923194</v>
      </c>
      <c r="D4144" s="285">
        <v>-0.2124316670157842</v>
      </c>
      <c r="E4144" s="285">
        <v>-7.744113601642546</v>
      </c>
    </row>
    <row r="4145" spans="1:5">
      <c r="A4145" s="284">
        <f t="shared" si="1055"/>
        <v>4077</v>
      </c>
      <c r="B4145" s="285">
        <v>3.0156296660199309</v>
      </c>
      <c r="C4145" s="285">
        <v>2.2448006978248536</v>
      </c>
      <c r="D4145" s="285">
        <v>3.0744947082268634</v>
      </c>
      <c r="E4145" s="285">
        <v>-7.0224157052052121</v>
      </c>
    </row>
    <row r="4146" spans="1:5">
      <c r="A4146" s="284">
        <f t="shared" si="1055"/>
        <v>4078</v>
      </c>
      <c r="B4146" s="285">
        <v>0.52557625736409008</v>
      </c>
      <c r="C4146" s="285">
        <v>2.4660106042726162</v>
      </c>
      <c r="D4146" s="285">
        <v>1.1094691513573554</v>
      </c>
      <c r="E4146" s="285">
        <v>-5.0379936671057193</v>
      </c>
    </row>
    <row r="4147" spans="1:5">
      <c r="A4147" s="284">
        <f t="shared" si="1055"/>
        <v>4079</v>
      </c>
      <c r="B4147" s="285">
        <v>-0.66781866083421981</v>
      </c>
      <c r="C4147" s="285">
        <v>2.5502105396251378</v>
      </c>
      <c r="D4147" s="285">
        <v>1.3606442733152109</v>
      </c>
      <c r="E4147" s="285">
        <v>-5.0282807003102992</v>
      </c>
    </row>
    <row r="4148" spans="1:5">
      <c r="A4148" s="284">
        <f t="shared" si="1055"/>
        <v>4080</v>
      </c>
      <c r="B4148" s="285">
        <v>-3.3422367715504468</v>
      </c>
      <c r="C4148" s="285">
        <v>2.8428682094778761</v>
      </c>
      <c r="D4148" s="285">
        <v>1.3336409285953086</v>
      </c>
      <c r="E4148" s="285">
        <v>-2.6316352467141555</v>
      </c>
    </row>
    <row r="4149" spans="1:5">
      <c r="A4149" s="284">
        <f t="shared" si="1055"/>
        <v>4081</v>
      </c>
      <c r="B4149" s="285">
        <v>-0.62504069746076851</v>
      </c>
      <c r="C4149" s="285">
        <v>1.7858946457003722</v>
      </c>
      <c r="D4149" s="285">
        <v>-0.76627638713510393</v>
      </c>
      <c r="E4149" s="285">
        <v>-18.368270926302507</v>
      </c>
    </row>
    <row r="4150" spans="1:5">
      <c r="A4150" s="284">
        <f t="shared" si="1055"/>
        <v>4082</v>
      </c>
      <c r="B4150" s="285">
        <v>-0.35608961328128186</v>
      </c>
      <c r="C4150" s="285">
        <v>2.8253270961501724</v>
      </c>
      <c r="D4150" s="285">
        <v>6.1841106026815362E-2</v>
      </c>
      <c r="E4150" s="285">
        <v>-7.2647281876581964</v>
      </c>
    </row>
    <row r="4151" spans="1:5">
      <c r="A4151" s="284">
        <f t="shared" si="1055"/>
        <v>4083</v>
      </c>
      <c r="B4151" s="285">
        <v>-0.61347623405948082</v>
      </c>
      <c r="C4151" s="285">
        <v>2.2171857387287317</v>
      </c>
      <c r="D4151" s="285">
        <v>1.2415357952623154</v>
      </c>
      <c r="E4151" s="285">
        <v>-5.1843580104678324</v>
      </c>
    </row>
    <row r="4152" spans="1:5">
      <c r="A4152" s="284">
        <f t="shared" si="1055"/>
        <v>4084</v>
      </c>
      <c r="B4152" s="285">
        <v>-0.53363419202740314</v>
      </c>
      <c r="C4152" s="285">
        <v>2.8393853791067691</v>
      </c>
      <c r="D4152" s="285">
        <v>-0.45787324364700988</v>
      </c>
      <c r="E4152" s="285">
        <v>10.399189095829392</v>
      </c>
    </row>
    <row r="4153" spans="1:5">
      <c r="A4153" s="284">
        <f t="shared" si="1055"/>
        <v>4085</v>
      </c>
      <c r="B4153" s="285">
        <v>0.87196848234405733</v>
      </c>
      <c r="C4153" s="285">
        <v>3.3213169745248172</v>
      </c>
      <c r="D4153" s="285">
        <v>1.1394931345157655</v>
      </c>
      <c r="E4153" s="285">
        <v>8.553447865147179</v>
      </c>
    </row>
    <row r="4154" spans="1:5">
      <c r="A4154" s="284">
        <f t="shared" si="1055"/>
        <v>4086</v>
      </c>
      <c r="B4154" s="285">
        <v>0.39998926488353365</v>
      </c>
      <c r="C4154" s="285">
        <v>3.1335345183962509</v>
      </c>
      <c r="D4154" s="285">
        <v>1.4814053761858281</v>
      </c>
      <c r="E4154" s="285">
        <v>9.657432408471383</v>
      </c>
    </row>
    <row r="4155" spans="1:5">
      <c r="A4155" s="284">
        <f t="shared" si="1055"/>
        <v>4087</v>
      </c>
      <c r="B4155" s="285">
        <v>3.6294139745684517</v>
      </c>
      <c r="C4155" s="285">
        <v>2.4492169867342293</v>
      </c>
      <c r="D4155" s="285">
        <v>1.0319201476049249</v>
      </c>
      <c r="E4155" s="285">
        <v>-4.6751828367565356</v>
      </c>
    </row>
    <row r="4156" spans="1:5">
      <c r="A4156" s="284">
        <f t="shared" si="1055"/>
        <v>4088</v>
      </c>
      <c r="B4156" s="285">
        <v>-0.62697065634245808</v>
      </c>
      <c r="C4156" s="285">
        <v>2.2915439286503871</v>
      </c>
      <c r="D4156" s="285">
        <v>-0.30667392465740884</v>
      </c>
      <c r="E4156" s="285">
        <v>-6.6070060385393798</v>
      </c>
    </row>
    <row r="4157" spans="1:5">
      <c r="A4157" s="284">
        <f t="shared" si="1055"/>
        <v>4089</v>
      </c>
      <c r="B4157" s="285">
        <v>3.2527807035632863</v>
      </c>
      <c r="C4157" s="285">
        <v>3.0229236224039893</v>
      </c>
      <c r="D4157" s="285">
        <v>1.7801236685856923</v>
      </c>
      <c r="E4157" s="285">
        <v>1.8806232624184163</v>
      </c>
    </row>
    <row r="4158" spans="1:5">
      <c r="A4158" s="284">
        <f t="shared" si="1055"/>
        <v>4090</v>
      </c>
      <c r="B4158" s="285">
        <v>3.5685968930584062</v>
      </c>
      <c r="C4158" s="285">
        <v>2.7969882117944258</v>
      </c>
      <c r="D4158" s="285">
        <v>3.9080467583356864</v>
      </c>
      <c r="E4158" s="285">
        <v>-7.4931834377836104</v>
      </c>
    </row>
    <row r="4159" spans="1:5">
      <c r="A4159" s="284">
        <f t="shared" si="1055"/>
        <v>4091</v>
      </c>
      <c r="B4159" s="285">
        <v>2.680197187846836</v>
      </c>
      <c r="C4159" s="285">
        <v>2.6698360502935974</v>
      </c>
      <c r="D4159" s="285">
        <v>1.3096944707606928</v>
      </c>
      <c r="E4159" s="285">
        <v>-16.879871757472944</v>
      </c>
    </row>
    <row r="4160" spans="1:5">
      <c r="A4160" s="284">
        <f t="shared" si="1055"/>
        <v>4092</v>
      </c>
      <c r="B4160" s="285">
        <v>3.5139289454114926</v>
      </c>
      <c r="C4160" s="285">
        <v>3.0942925873843903</v>
      </c>
      <c r="D4160" s="285">
        <v>1.9902906221909125</v>
      </c>
      <c r="E4160" s="285">
        <v>-2.0158987619301931</v>
      </c>
    </row>
    <row r="4161" spans="1:5">
      <c r="A4161" s="284">
        <f t="shared" si="1055"/>
        <v>4093</v>
      </c>
      <c r="B4161" s="285">
        <v>1.9357881537326991</v>
      </c>
      <c r="C4161" s="285">
        <v>2.2292729122662256</v>
      </c>
      <c r="D4161" s="285">
        <v>3.0168796467256493</v>
      </c>
      <c r="E4161" s="285">
        <v>-20.47986439114008</v>
      </c>
    </row>
    <row r="4162" spans="1:5">
      <c r="A4162" s="284">
        <f t="shared" si="1055"/>
        <v>4094</v>
      </c>
      <c r="B4162" s="285">
        <v>1.0658571840658162</v>
      </c>
      <c r="C4162" s="285">
        <v>2.5871118981976604</v>
      </c>
      <c r="D4162" s="285">
        <v>-0.85779646526118913</v>
      </c>
      <c r="E4162" s="285">
        <v>-8.6145403412232096</v>
      </c>
    </row>
    <row r="4163" spans="1:5">
      <c r="A4163" s="284">
        <f t="shared" si="1055"/>
        <v>4095</v>
      </c>
      <c r="B4163" s="285">
        <v>1.9730027638700878</v>
      </c>
      <c r="C4163" s="285">
        <v>2.4818483364952266</v>
      </c>
      <c r="D4163" s="285">
        <v>0.7274161191517331</v>
      </c>
      <c r="E4163" s="285">
        <v>-19.195260526934629</v>
      </c>
    </row>
    <row r="4164" spans="1:5">
      <c r="A4164" s="284">
        <f t="shared" si="1055"/>
        <v>4096</v>
      </c>
      <c r="B4164" s="285">
        <v>1.6925077783028897</v>
      </c>
      <c r="C4164" s="285">
        <v>2.4173931519308041</v>
      </c>
      <c r="D4164" s="285">
        <v>1.0988234442886813</v>
      </c>
      <c r="E4164" s="285">
        <v>-11.588011146924941</v>
      </c>
    </row>
    <row r="4165" spans="1:5">
      <c r="A4165" s="284">
        <f t="shared" si="1055"/>
        <v>4097</v>
      </c>
      <c r="B4165" s="285">
        <v>-1.6443162268181057</v>
      </c>
      <c r="C4165" s="285">
        <v>2.6294466428598402</v>
      </c>
      <c r="D4165" s="285">
        <v>0.19647940532307051</v>
      </c>
      <c r="E4165" s="285">
        <v>-9.8808186537324705E-2</v>
      </c>
    </row>
    <row r="4166" spans="1:5">
      <c r="A4166" s="284">
        <f t="shared" si="1055"/>
        <v>4098</v>
      </c>
      <c r="B4166" s="285">
        <v>-2.9883459767613147</v>
      </c>
      <c r="C4166" s="285">
        <v>2.9424515518086238</v>
      </c>
      <c r="D4166" s="285">
        <v>-1.1588337127964135</v>
      </c>
      <c r="E4166" s="285">
        <v>16.744112448554983</v>
      </c>
    </row>
    <row r="4167" spans="1:5">
      <c r="A4167" s="284">
        <f t="shared" ref="A4167:A4230" si="1056">A4166+1</f>
        <v>4099</v>
      </c>
      <c r="B4167" s="285">
        <v>-5.1809005815267772</v>
      </c>
      <c r="C4167" s="285">
        <v>2.504041551503891</v>
      </c>
      <c r="D4167" s="285">
        <v>-0.88998018160562653</v>
      </c>
      <c r="E4167" s="285">
        <v>1.2236317254899647</v>
      </c>
    </row>
    <row r="4168" spans="1:5">
      <c r="A4168" s="284">
        <f t="shared" si="1056"/>
        <v>4100</v>
      </c>
      <c r="B4168" s="285">
        <v>0.73542637107944753</v>
      </c>
      <c r="C4168" s="285">
        <v>2.9480587279881441</v>
      </c>
      <c r="D4168" s="285">
        <v>0.55343537455745828</v>
      </c>
      <c r="E4168" s="285">
        <v>-2.7727795667806281</v>
      </c>
    </row>
    <row r="4169" spans="1:5">
      <c r="A4169" s="284">
        <f t="shared" si="1056"/>
        <v>4101</v>
      </c>
      <c r="B4169" s="285">
        <v>-1.4203200735022625</v>
      </c>
      <c r="C4169" s="285">
        <v>3.0177955779513144</v>
      </c>
      <c r="D4169" s="285">
        <v>1.5775827299752443</v>
      </c>
      <c r="E4169" s="285">
        <v>-2.2010512079099089</v>
      </c>
    </row>
    <row r="4170" spans="1:5">
      <c r="A4170" s="284">
        <f t="shared" si="1056"/>
        <v>4102</v>
      </c>
      <c r="B4170" s="285">
        <v>-0.93898892951085255</v>
      </c>
      <c r="C4170" s="285">
        <v>2.3063234615193164</v>
      </c>
      <c r="D4170" s="285">
        <v>-1.159857740005922</v>
      </c>
      <c r="E4170" s="285">
        <v>-0.97974616163923756</v>
      </c>
    </row>
    <row r="4171" spans="1:5">
      <c r="A4171" s="284">
        <f t="shared" si="1056"/>
        <v>4103</v>
      </c>
      <c r="B4171" s="285">
        <v>1.3450110615017243</v>
      </c>
      <c r="C4171" s="285">
        <v>2.9992017448374013</v>
      </c>
      <c r="D4171" s="285">
        <v>2.2358569728036617</v>
      </c>
      <c r="E4171" s="285">
        <v>7.5981850426669748</v>
      </c>
    </row>
    <row r="4172" spans="1:5">
      <c r="A4172" s="284">
        <f t="shared" si="1056"/>
        <v>4104</v>
      </c>
      <c r="B4172" s="285">
        <v>-3.2338615711328602</v>
      </c>
      <c r="C4172" s="285">
        <v>2.4160904612279586</v>
      </c>
      <c r="D4172" s="285">
        <v>-0.12608483510153712</v>
      </c>
      <c r="E4172" s="285">
        <v>2.9327143711959285</v>
      </c>
    </row>
    <row r="4173" spans="1:5">
      <c r="A4173" s="284">
        <f t="shared" si="1056"/>
        <v>4105</v>
      </c>
      <c r="B4173" s="285">
        <v>-4.1423886804889136</v>
      </c>
      <c r="C4173" s="285">
        <v>2.5955494288831473</v>
      </c>
      <c r="D4173" s="285">
        <v>-0.31998709795172697</v>
      </c>
      <c r="E4173" s="285">
        <v>6.7848818290628472</v>
      </c>
    </row>
    <row r="4174" spans="1:5">
      <c r="A4174" s="284">
        <f t="shared" si="1056"/>
        <v>4106</v>
      </c>
      <c r="B4174" s="285">
        <v>-4.2358951421993343</v>
      </c>
      <c r="C4174" s="285">
        <v>1.8167957503475043</v>
      </c>
      <c r="D4174" s="285">
        <v>-0.31093793119415425</v>
      </c>
      <c r="E4174" s="285">
        <v>-12.943240534047352</v>
      </c>
    </row>
    <row r="4175" spans="1:5">
      <c r="A4175" s="284">
        <f t="shared" si="1056"/>
        <v>4107</v>
      </c>
      <c r="B4175" s="285">
        <v>-3.481984256931391</v>
      </c>
      <c r="C4175" s="285">
        <v>2.0368009483463609</v>
      </c>
      <c r="D4175" s="285">
        <v>0.28647953394275461</v>
      </c>
      <c r="E4175" s="285">
        <v>-0.30535822450928629</v>
      </c>
    </row>
    <row r="4176" spans="1:5">
      <c r="A4176" s="284">
        <f t="shared" si="1056"/>
        <v>4108</v>
      </c>
      <c r="B4176" s="285">
        <v>-2.0387761167497671</v>
      </c>
      <c r="C4176" s="285">
        <v>2.0113647305201683</v>
      </c>
      <c r="D4176" s="285">
        <v>1.2666689054315334</v>
      </c>
      <c r="E4176" s="285">
        <v>-27.245893272443229</v>
      </c>
    </row>
    <row r="4177" spans="1:5">
      <c r="A4177" s="284">
        <f t="shared" si="1056"/>
        <v>4109</v>
      </c>
      <c r="B4177" s="285">
        <v>-6.6410963414174254E-2</v>
      </c>
      <c r="C4177" s="285">
        <v>2.4325666067001159</v>
      </c>
      <c r="D4177" s="285">
        <v>1.6510057192993346</v>
      </c>
      <c r="E4177" s="285">
        <v>-8.4970966908968677</v>
      </c>
    </row>
    <row r="4178" spans="1:5">
      <c r="A4178" s="284">
        <f t="shared" si="1056"/>
        <v>4110</v>
      </c>
      <c r="B4178" s="285">
        <v>-2.9346433109892862</v>
      </c>
      <c r="C4178" s="285">
        <v>1.2434572136916449</v>
      </c>
      <c r="D4178" s="285">
        <v>1.214267985115306</v>
      </c>
      <c r="E4178" s="285">
        <v>-25.053625481660891</v>
      </c>
    </row>
    <row r="4179" spans="1:5">
      <c r="A4179" s="284">
        <f t="shared" si="1056"/>
        <v>4111</v>
      </c>
      <c r="B4179" s="285">
        <v>-3.4453823730078361</v>
      </c>
      <c r="C4179" s="285">
        <v>2.1848279591893371</v>
      </c>
      <c r="D4179" s="285">
        <v>1.0055103255404747</v>
      </c>
      <c r="E4179" s="285">
        <v>-2.5377404914249198</v>
      </c>
    </row>
    <row r="4180" spans="1:5">
      <c r="A4180" s="284">
        <f t="shared" si="1056"/>
        <v>4112</v>
      </c>
      <c r="B4180" s="285">
        <v>3.8965793711091496</v>
      </c>
      <c r="C4180" s="285">
        <v>3.746172000567336</v>
      </c>
      <c r="D4180" s="285">
        <v>0.98289311824237369</v>
      </c>
      <c r="E4180" s="285">
        <v>17.518906514365717</v>
      </c>
    </row>
    <row r="4181" spans="1:5">
      <c r="A4181" s="284">
        <f t="shared" si="1056"/>
        <v>4113</v>
      </c>
      <c r="B4181" s="285">
        <v>-1.2740383030508275</v>
      </c>
      <c r="C4181" s="285">
        <v>2.6606986008406555</v>
      </c>
      <c r="D4181" s="285">
        <v>1.8056581748591991</v>
      </c>
      <c r="E4181" s="285">
        <v>7.0579818375336849</v>
      </c>
    </row>
    <row r="4182" spans="1:5">
      <c r="A4182" s="284">
        <f t="shared" si="1056"/>
        <v>4114</v>
      </c>
      <c r="B4182" s="285">
        <v>1.5826342012732617</v>
      </c>
      <c r="C4182" s="285">
        <v>3.5695555966067989</v>
      </c>
      <c r="D4182" s="285">
        <v>0.94818935988204078</v>
      </c>
      <c r="E4182" s="285">
        <v>-2.7150212138741447</v>
      </c>
    </row>
    <row r="4183" spans="1:5">
      <c r="A4183" s="284">
        <f t="shared" si="1056"/>
        <v>4115</v>
      </c>
      <c r="B4183" s="285">
        <v>-1.0306803872126427</v>
      </c>
      <c r="C4183" s="285">
        <v>1.258573554202925</v>
      </c>
      <c r="D4183" s="285">
        <v>2.6734280401849468</v>
      </c>
      <c r="E4183" s="285">
        <v>-38.882579103836214</v>
      </c>
    </row>
    <row r="4184" spans="1:5">
      <c r="A4184" s="284">
        <f t="shared" si="1056"/>
        <v>4116</v>
      </c>
      <c r="B4184" s="285">
        <v>1.328624112456543</v>
      </c>
      <c r="C4184" s="285">
        <v>1.8031132468522071</v>
      </c>
      <c r="D4184" s="285">
        <v>2.604066024645995</v>
      </c>
      <c r="E4184" s="285">
        <v>-14.90392456256364</v>
      </c>
    </row>
    <row r="4185" spans="1:5">
      <c r="A4185" s="284">
        <f t="shared" si="1056"/>
        <v>4117</v>
      </c>
      <c r="B4185" s="285">
        <v>4.035671792789989</v>
      </c>
      <c r="C4185" s="285">
        <v>3.5102176709226987</v>
      </c>
      <c r="D4185" s="285">
        <v>0.16794068325591738</v>
      </c>
      <c r="E4185" s="285">
        <v>13.0088876188996</v>
      </c>
    </row>
    <row r="4186" spans="1:5">
      <c r="A4186" s="284">
        <f t="shared" si="1056"/>
        <v>4118</v>
      </c>
      <c r="B4186" s="285">
        <v>0.40137696608326839</v>
      </c>
      <c r="C4186" s="285">
        <v>2.1745706408322762</v>
      </c>
      <c r="D4186" s="285">
        <v>0.42108274457482919</v>
      </c>
      <c r="E4186" s="285">
        <v>4.7021488248659384</v>
      </c>
    </row>
    <row r="4187" spans="1:5">
      <c r="A4187" s="284">
        <f t="shared" si="1056"/>
        <v>4119</v>
      </c>
      <c r="B4187" s="285">
        <v>1.0713141561982376</v>
      </c>
      <c r="C4187" s="285">
        <v>2.237636855272263</v>
      </c>
      <c r="D4187" s="285">
        <v>0.95458475698246537</v>
      </c>
      <c r="E4187" s="285">
        <v>-0.16269248065363096</v>
      </c>
    </row>
    <row r="4188" spans="1:5">
      <c r="A4188" s="284">
        <f t="shared" si="1056"/>
        <v>4120</v>
      </c>
      <c r="B4188" s="285">
        <v>4.2915493702449989</v>
      </c>
      <c r="C4188" s="285">
        <v>2.3784782048520645</v>
      </c>
      <c r="D4188" s="285">
        <v>2.2347606020222193</v>
      </c>
      <c r="E4188" s="285">
        <v>-3.3215810070534766</v>
      </c>
    </row>
    <row r="4189" spans="1:5">
      <c r="A4189" s="284">
        <f t="shared" si="1056"/>
        <v>4121</v>
      </c>
      <c r="B4189" s="285">
        <v>-1.927335014446347</v>
      </c>
      <c r="C4189" s="285">
        <v>2.0519557431757267</v>
      </c>
      <c r="D4189" s="285">
        <v>-0.33571348468607498</v>
      </c>
      <c r="E4189" s="285">
        <v>-0.16870903532133008</v>
      </c>
    </row>
    <row r="4190" spans="1:5">
      <c r="A4190" s="284">
        <f t="shared" si="1056"/>
        <v>4122</v>
      </c>
      <c r="B4190" s="285">
        <v>-1.3489079290200228</v>
      </c>
      <c r="C4190" s="285">
        <v>2.1041856352520085</v>
      </c>
      <c r="D4190" s="285">
        <v>2.6367014093695502</v>
      </c>
      <c r="E4190" s="285">
        <v>-7.8095356899923942</v>
      </c>
    </row>
    <row r="4191" spans="1:5">
      <c r="A4191" s="284">
        <f t="shared" si="1056"/>
        <v>4123</v>
      </c>
      <c r="B4191" s="285">
        <v>-0.65938143912911584</v>
      </c>
      <c r="C4191" s="285">
        <v>3.3067874184698627</v>
      </c>
      <c r="D4191" s="285">
        <v>-0.26308497958364074</v>
      </c>
      <c r="E4191" s="285">
        <v>13.159275095753785</v>
      </c>
    </row>
    <row r="4192" spans="1:5">
      <c r="A4192" s="284">
        <f t="shared" si="1056"/>
        <v>4124</v>
      </c>
      <c r="B4192" s="285">
        <v>-4.7325076986078001</v>
      </c>
      <c r="C4192" s="285">
        <v>2.2179205926635057</v>
      </c>
      <c r="D4192" s="285">
        <v>1.6449355442128653</v>
      </c>
      <c r="E4192" s="285">
        <v>-3.7000026947086289</v>
      </c>
    </row>
    <row r="4193" spans="1:5">
      <c r="A4193" s="284">
        <f t="shared" si="1056"/>
        <v>4125</v>
      </c>
      <c r="B4193" s="285">
        <v>2.6864633725146203</v>
      </c>
      <c r="C4193" s="285">
        <v>2.0684024864949175</v>
      </c>
      <c r="D4193" s="285">
        <v>3.7630570349609105</v>
      </c>
      <c r="E4193" s="285">
        <v>-20.622753747566659</v>
      </c>
    </row>
    <row r="4194" spans="1:5">
      <c r="A4194" s="284">
        <f t="shared" si="1056"/>
        <v>4126</v>
      </c>
      <c r="B4194" s="285">
        <v>0.68696469146214956</v>
      </c>
      <c r="C4194" s="285">
        <v>2.8717508717602445</v>
      </c>
      <c r="D4194" s="285">
        <v>0.13128141506066893</v>
      </c>
      <c r="E4194" s="285">
        <v>1.6272936961017233</v>
      </c>
    </row>
    <row r="4195" spans="1:5">
      <c r="A4195" s="284">
        <f t="shared" si="1056"/>
        <v>4127</v>
      </c>
      <c r="B4195" s="285">
        <v>-4.1619979226391806</v>
      </c>
      <c r="C4195" s="285">
        <v>1.5027111099165746</v>
      </c>
      <c r="D4195" s="285">
        <v>1.414250671279162</v>
      </c>
      <c r="E4195" s="285">
        <v>-26.83762964407611</v>
      </c>
    </row>
    <row r="4196" spans="1:5">
      <c r="A4196" s="284">
        <f t="shared" si="1056"/>
        <v>4128</v>
      </c>
      <c r="B4196" s="285">
        <v>0.42821685915625957</v>
      </c>
      <c r="C4196" s="285">
        <v>2.8829111614990186</v>
      </c>
      <c r="D4196" s="285">
        <v>-0.21813629113524735</v>
      </c>
      <c r="E4196" s="285">
        <v>3.4693854834447406</v>
      </c>
    </row>
    <row r="4197" spans="1:5">
      <c r="A4197" s="284">
        <f t="shared" si="1056"/>
        <v>4129</v>
      </c>
      <c r="B4197" s="285">
        <v>1.1858843177299632</v>
      </c>
      <c r="C4197" s="285">
        <v>3.2299656821751279</v>
      </c>
      <c r="D4197" s="285">
        <v>0.51973458059538213</v>
      </c>
      <c r="E4197" s="285">
        <v>23.626928299344584</v>
      </c>
    </row>
    <row r="4198" spans="1:5">
      <c r="A4198" s="284">
        <f t="shared" si="1056"/>
        <v>4130</v>
      </c>
      <c r="B4198" s="285">
        <v>1.1164191055505668</v>
      </c>
      <c r="C4198" s="285">
        <v>3.1081122294325456</v>
      </c>
      <c r="D4198" s="285">
        <v>-0.2921178885031761</v>
      </c>
      <c r="E4198" s="285">
        <v>7.0664761784987498</v>
      </c>
    </row>
    <row r="4199" spans="1:5">
      <c r="A4199" s="284">
        <f t="shared" si="1056"/>
        <v>4131</v>
      </c>
      <c r="B4199" s="285">
        <v>-0.3854184531535092</v>
      </c>
      <c r="C4199" s="285">
        <v>3.2714870578702948</v>
      </c>
      <c r="D4199" s="285">
        <v>-1.3615634321126047</v>
      </c>
      <c r="E4199" s="285">
        <v>5.7973610897744585</v>
      </c>
    </row>
    <row r="4200" spans="1:5">
      <c r="A4200" s="284">
        <f t="shared" si="1056"/>
        <v>4132</v>
      </c>
      <c r="B4200" s="285">
        <v>3.8983117778463416</v>
      </c>
      <c r="C4200" s="285">
        <v>2.7607528871089393</v>
      </c>
      <c r="D4200" s="285">
        <v>3.7078930806448231</v>
      </c>
      <c r="E4200" s="285">
        <v>-1.6312768698187043</v>
      </c>
    </row>
    <row r="4201" spans="1:5">
      <c r="A4201" s="284">
        <f t="shared" si="1056"/>
        <v>4133</v>
      </c>
      <c r="B4201" s="285">
        <v>-0.26245516793913576</v>
      </c>
      <c r="C4201" s="285">
        <v>3.4071461557165739</v>
      </c>
      <c r="D4201" s="285">
        <v>2.5795938690900422</v>
      </c>
      <c r="E4201" s="285">
        <v>20.791508234637842</v>
      </c>
    </row>
    <row r="4202" spans="1:5">
      <c r="A4202" s="284">
        <f t="shared" si="1056"/>
        <v>4134</v>
      </c>
      <c r="B4202" s="285">
        <v>-2.6710614217669675</v>
      </c>
      <c r="C4202" s="285">
        <v>2.0464185644229405</v>
      </c>
      <c r="D4202" s="285">
        <v>1.6890028650894275</v>
      </c>
      <c r="E4202" s="285">
        <v>-10.249847416489771</v>
      </c>
    </row>
    <row r="4203" spans="1:5">
      <c r="A4203" s="284">
        <f t="shared" si="1056"/>
        <v>4135</v>
      </c>
      <c r="B4203" s="285">
        <v>2.7099647162935865</v>
      </c>
      <c r="C4203" s="285">
        <v>2.8997369830522866</v>
      </c>
      <c r="D4203" s="285">
        <v>-7.1943164808141447E-3</v>
      </c>
      <c r="E4203" s="285">
        <v>-2.5266158331549646</v>
      </c>
    </row>
    <row r="4204" spans="1:5">
      <c r="A4204" s="284">
        <f t="shared" si="1056"/>
        <v>4136</v>
      </c>
      <c r="B4204" s="285">
        <v>-0.38772723404384379</v>
      </c>
      <c r="C4204" s="285">
        <v>2.4252327073291107</v>
      </c>
      <c r="D4204" s="285">
        <v>1.464716471083483</v>
      </c>
      <c r="E4204" s="285">
        <v>4.4034496325479857</v>
      </c>
    </row>
    <row r="4205" spans="1:5">
      <c r="A4205" s="284">
        <f t="shared" si="1056"/>
        <v>4137</v>
      </c>
      <c r="B4205" s="285">
        <v>-0.40408922582440365</v>
      </c>
      <c r="C4205" s="285">
        <v>2.6854022777139921</v>
      </c>
      <c r="D4205" s="285">
        <v>1.438906598382435</v>
      </c>
      <c r="E4205" s="285">
        <v>4.0705124912616686</v>
      </c>
    </row>
    <row r="4206" spans="1:5">
      <c r="A4206" s="284">
        <f t="shared" si="1056"/>
        <v>4138</v>
      </c>
      <c r="B4206" s="285">
        <v>3.7731847851728593</v>
      </c>
      <c r="C4206" s="285">
        <v>3.3926843479932098</v>
      </c>
      <c r="D4206" s="285">
        <v>7.6929995922487615E-2</v>
      </c>
      <c r="E4206" s="285">
        <v>9.431122543477473</v>
      </c>
    </row>
    <row r="4207" spans="1:5">
      <c r="A4207" s="284">
        <f t="shared" si="1056"/>
        <v>4139</v>
      </c>
      <c r="B4207" s="285">
        <v>0.56700557173827404</v>
      </c>
      <c r="C4207" s="285">
        <v>2.4816537043037576</v>
      </c>
      <c r="D4207" s="285">
        <v>1.5327954078722998</v>
      </c>
      <c r="E4207" s="285">
        <v>-3.1706535156432394</v>
      </c>
    </row>
    <row r="4208" spans="1:5">
      <c r="A4208" s="284">
        <f t="shared" si="1056"/>
        <v>4140</v>
      </c>
      <c r="B4208" s="285">
        <v>-0.82895348178404493</v>
      </c>
      <c r="C4208" s="285">
        <v>3.2333342024239222</v>
      </c>
      <c r="D4208" s="285">
        <v>0.44720991603049853</v>
      </c>
      <c r="E4208" s="285">
        <v>7.2947316887916749</v>
      </c>
    </row>
    <row r="4209" spans="1:5">
      <c r="A4209" s="284">
        <f t="shared" si="1056"/>
        <v>4141</v>
      </c>
      <c r="B4209" s="285">
        <v>2.6740973928067242</v>
      </c>
      <c r="C4209" s="285">
        <v>3.2479805287973882</v>
      </c>
      <c r="D4209" s="285">
        <v>1.5120519909071168</v>
      </c>
      <c r="E4209" s="285">
        <v>5.8389572209853</v>
      </c>
    </row>
    <row r="4210" spans="1:5">
      <c r="A4210" s="284">
        <f t="shared" si="1056"/>
        <v>4142</v>
      </c>
      <c r="B4210" s="285">
        <v>-2.6061252430510353</v>
      </c>
      <c r="C4210" s="285">
        <v>2.3843799890006889</v>
      </c>
      <c r="D4210" s="285">
        <v>1.52169163499139</v>
      </c>
      <c r="E4210" s="285">
        <v>-3.8117963501180609</v>
      </c>
    </row>
    <row r="4211" spans="1:5">
      <c r="A4211" s="284">
        <f t="shared" si="1056"/>
        <v>4143</v>
      </c>
      <c r="B4211" s="285">
        <v>-0.33868071114502196</v>
      </c>
      <c r="C4211" s="285">
        <v>3.3788981576498629</v>
      </c>
      <c r="D4211" s="285">
        <v>-1.2125981498798817</v>
      </c>
      <c r="E4211" s="285">
        <v>19.993823410611341</v>
      </c>
    </row>
    <row r="4212" spans="1:5">
      <c r="A4212" s="284">
        <f t="shared" si="1056"/>
        <v>4144</v>
      </c>
      <c r="B4212" s="285">
        <v>-1.665573377414832</v>
      </c>
      <c r="C4212" s="285">
        <v>2.0685027777633174</v>
      </c>
      <c r="D4212" s="285">
        <v>0.66706948682109379</v>
      </c>
      <c r="E4212" s="285">
        <v>-19.527013296421263</v>
      </c>
    </row>
    <row r="4213" spans="1:5">
      <c r="A4213" s="284">
        <f t="shared" si="1056"/>
        <v>4145</v>
      </c>
      <c r="B4213" s="285">
        <v>-6.7987478445654323E-2</v>
      </c>
      <c r="C4213" s="285">
        <v>2.1155480316834687</v>
      </c>
      <c r="D4213" s="285">
        <v>0.29248447063079497</v>
      </c>
      <c r="E4213" s="285">
        <v>-3.4235855137639164</v>
      </c>
    </row>
    <row r="4214" spans="1:5">
      <c r="A4214" s="284">
        <f t="shared" si="1056"/>
        <v>4146</v>
      </c>
      <c r="B4214" s="285">
        <v>2.7584859367068599</v>
      </c>
      <c r="C4214" s="285">
        <v>2.8570560535740293</v>
      </c>
      <c r="D4214" s="285">
        <v>1.7027415696964567</v>
      </c>
      <c r="E4214" s="285">
        <v>5.3291265159269656</v>
      </c>
    </row>
    <row r="4215" spans="1:5">
      <c r="A4215" s="284">
        <f t="shared" si="1056"/>
        <v>4147</v>
      </c>
      <c r="B4215" s="285">
        <v>-4.0272853338596937</v>
      </c>
      <c r="C4215" s="285">
        <v>2.1987541391544685</v>
      </c>
      <c r="D4215" s="285">
        <v>0.27707771984436347</v>
      </c>
      <c r="E4215" s="285">
        <v>3.7153043663470622</v>
      </c>
    </row>
    <row r="4216" spans="1:5">
      <c r="A4216" s="284">
        <f t="shared" si="1056"/>
        <v>4148</v>
      </c>
      <c r="B4216" s="285">
        <v>-2.170110649507567</v>
      </c>
      <c r="C4216" s="285">
        <v>2.796544860667769</v>
      </c>
      <c r="D4216" s="285">
        <v>-0.78536262376403032</v>
      </c>
      <c r="E4216" s="285">
        <v>-1.0246100258536264</v>
      </c>
    </row>
    <row r="4217" spans="1:5">
      <c r="A4217" s="284">
        <f t="shared" si="1056"/>
        <v>4149</v>
      </c>
      <c r="B4217" s="285">
        <v>0.75640076310339177</v>
      </c>
      <c r="C4217" s="285">
        <v>2.82890167246723</v>
      </c>
      <c r="D4217" s="285">
        <v>1.0416615926886723</v>
      </c>
      <c r="E4217" s="285">
        <v>-3.9811480229521128</v>
      </c>
    </row>
    <row r="4218" spans="1:5">
      <c r="A4218" s="284">
        <f t="shared" si="1056"/>
        <v>4150</v>
      </c>
      <c r="B4218" s="285">
        <v>1.8820236824666638</v>
      </c>
      <c r="C4218" s="285">
        <v>2.5569481473261892</v>
      </c>
      <c r="D4218" s="285">
        <v>0.46678450004152117</v>
      </c>
      <c r="E4218" s="285">
        <v>3.8518552729436064</v>
      </c>
    </row>
    <row r="4219" spans="1:5">
      <c r="A4219" s="284">
        <f t="shared" si="1056"/>
        <v>4151</v>
      </c>
      <c r="B4219" s="285">
        <v>0.10583799362435534</v>
      </c>
      <c r="C4219" s="285">
        <v>1.7815447343786124</v>
      </c>
      <c r="D4219" s="285">
        <v>3.7011860105259489</v>
      </c>
      <c r="E4219" s="285">
        <v>-15.066687008163282</v>
      </c>
    </row>
    <row r="4220" spans="1:5">
      <c r="A4220" s="284">
        <f t="shared" si="1056"/>
        <v>4152</v>
      </c>
      <c r="B4220" s="285">
        <v>-0.90438287798599837</v>
      </c>
      <c r="C4220" s="285">
        <v>2.3449571021908935</v>
      </c>
      <c r="D4220" s="285">
        <v>1.8955081866860031</v>
      </c>
      <c r="E4220" s="285">
        <v>-11.458122984018328</v>
      </c>
    </row>
    <row r="4221" spans="1:5">
      <c r="A4221" s="284">
        <f t="shared" si="1056"/>
        <v>4153</v>
      </c>
      <c r="B4221" s="285">
        <v>0.26113134029769924</v>
      </c>
      <c r="C4221" s="285">
        <v>2.0631466108494556</v>
      </c>
      <c r="D4221" s="285">
        <v>2.5512711407785265</v>
      </c>
      <c r="E4221" s="285">
        <v>-18.365108215487513</v>
      </c>
    </row>
    <row r="4222" spans="1:5">
      <c r="A4222" s="284">
        <f t="shared" si="1056"/>
        <v>4154</v>
      </c>
      <c r="B4222" s="285">
        <v>2.6487239083119191E-2</v>
      </c>
      <c r="C4222" s="285">
        <v>2.4723729446271081</v>
      </c>
      <c r="D4222" s="285">
        <v>2.4100485694995601</v>
      </c>
      <c r="E4222" s="285">
        <v>-9.4502322133219838</v>
      </c>
    </row>
    <row r="4223" spans="1:5">
      <c r="A4223" s="284">
        <f t="shared" si="1056"/>
        <v>4155</v>
      </c>
      <c r="B4223" s="285">
        <v>-2.4293178202646595</v>
      </c>
      <c r="C4223" s="285">
        <v>2.0628192347632948</v>
      </c>
      <c r="D4223" s="285">
        <v>0.37676182859496632</v>
      </c>
      <c r="E4223" s="285">
        <v>-10.163262146738745</v>
      </c>
    </row>
    <row r="4224" spans="1:5">
      <c r="A4224" s="284">
        <f t="shared" si="1056"/>
        <v>4156</v>
      </c>
      <c r="B4224" s="285">
        <v>0.90343321212394834</v>
      </c>
      <c r="C4224" s="285">
        <v>2.6996339061238444</v>
      </c>
      <c r="D4224" s="285">
        <v>2.6487979773822787</v>
      </c>
      <c r="E4224" s="285">
        <v>2.1626754083660935</v>
      </c>
    </row>
    <row r="4225" spans="1:5">
      <c r="A4225" s="284">
        <f t="shared" si="1056"/>
        <v>4157</v>
      </c>
      <c r="B4225" s="285">
        <v>0.71861226574542014</v>
      </c>
      <c r="C4225" s="285">
        <v>2.7662327660466701</v>
      </c>
      <c r="D4225" s="285">
        <v>0.60756152651401796</v>
      </c>
      <c r="E4225" s="285">
        <v>-5.9894936448689435</v>
      </c>
    </row>
    <row r="4226" spans="1:5">
      <c r="A4226" s="284">
        <f t="shared" si="1056"/>
        <v>4158</v>
      </c>
      <c r="B4226" s="285">
        <v>2.7877084964525927</v>
      </c>
      <c r="C4226" s="285">
        <v>2.0978022019207208</v>
      </c>
      <c r="D4226" s="285">
        <v>1.1476823446517694</v>
      </c>
      <c r="E4226" s="285">
        <v>-15.953901365240926</v>
      </c>
    </row>
    <row r="4227" spans="1:5">
      <c r="A4227" s="284">
        <f t="shared" si="1056"/>
        <v>4159</v>
      </c>
      <c r="B4227" s="285">
        <v>3.657978949254074</v>
      </c>
      <c r="C4227" s="285">
        <v>2.9323876490652299</v>
      </c>
      <c r="D4227" s="285">
        <v>0.95338460641413925</v>
      </c>
      <c r="E4227" s="285">
        <v>-7.4873928291142544</v>
      </c>
    </row>
    <row r="4228" spans="1:5">
      <c r="A4228" s="284">
        <f t="shared" si="1056"/>
        <v>4160</v>
      </c>
      <c r="B4228" s="285">
        <v>-2.3163369858824838</v>
      </c>
      <c r="C4228" s="285">
        <v>2.1111514930762096</v>
      </c>
      <c r="D4228" s="285">
        <v>1.6702468052590334</v>
      </c>
      <c r="E4228" s="285">
        <v>-8.6417783397866117</v>
      </c>
    </row>
    <row r="4229" spans="1:5">
      <c r="A4229" s="284">
        <f t="shared" si="1056"/>
        <v>4161</v>
      </c>
      <c r="B4229" s="285">
        <v>1.2375492384089168</v>
      </c>
      <c r="C4229" s="285">
        <v>2.0250406946623887</v>
      </c>
      <c r="D4229" s="285">
        <v>2.0552858452587568</v>
      </c>
      <c r="E4229" s="285">
        <v>-16.891653276313839</v>
      </c>
    </row>
    <row r="4230" spans="1:5">
      <c r="A4230" s="284">
        <f t="shared" si="1056"/>
        <v>4162</v>
      </c>
      <c r="B4230" s="285">
        <v>1.9547253914709608</v>
      </c>
      <c r="C4230" s="285">
        <v>2.7639207223571729</v>
      </c>
      <c r="D4230" s="285">
        <v>2.6242919825884496</v>
      </c>
      <c r="E4230" s="285">
        <v>-14.161849048369008</v>
      </c>
    </row>
    <row r="4231" spans="1:5">
      <c r="A4231" s="284">
        <f t="shared" ref="A4231:A4294" si="1057">A4230+1</f>
        <v>4163</v>
      </c>
      <c r="B4231" s="285">
        <v>0.17207010725974461</v>
      </c>
      <c r="C4231" s="285">
        <v>2.7913669655901527</v>
      </c>
      <c r="D4231" s="285">
        <v>2.4126407457268506</v>
      </c>
      <c r="E4231" s="285">
        <v>-1.3836243200053095</v>
      </c>
    </row>
    <row r="4232" spans="1:5">
      <c r="A4232" s="284">
        <f t="shared" si="1057"/>
        <v>4164</v>
      </c>
      <c r="B4232" s="285">
        <v>0.64841819088573949</v>
      </c>
      <c r="C4232" s="285">
        <v>2.1192257791268077</v>
      </c>
      <c r="D4232" s="285">
        <v>1.7921874633935042</v>
      </c>
      <c r="E4232" s="285">
        <v>-13.262585372771071</v>
      </c>
    </row>
    <row r="4233" spans="1:5">
      <c r="A4233" s="284">
        <f t="shared" si="1057"/>
        <v>4165</v>
      </c>
      <c r="B4233" s="285">
        <v>-0.81801949601187973</v>
      </c>
      <c r="C4233" s="285">
        <v>2.2966329844195696</v>
      </c>
      <c r="D4233" s="285">
        <v>1.7216779806568483</v>
      </c>
      <c r="E4233" s="285">
        <v>-14.795573411796928</v>
      </c>
    </row>
    <row r="4234" spans="1:5">
      <c r="A4234" s="284">
        <f t="shared" si="1057"/>
        <v>4166</v>
      </c>
      <c r="B4234" s="285">
        <v>2.5853361565802451</v>
      </c>
      <c r="C4234" s="285">
        <v>3.1501829028778894</v>
      </c>
      <c r="D4234" s="285">
        <v>1.9094051371344807</v>
      </c>
      <c r="E4234" s="285">
        <v>4.8715298101483775</v>
      </c>
    </row>
    <row r="4235" spans="1:5">
      <c r="A4235" s="284">
        <f t="shared" si="1057"/>
        <v>4167</v>
      </c>
      <c r="B4235" s="285">
        <v>-0.46596483834696478</v>
      </c>
      <c r="C4235" s="285">
        <v>2.9924071381925899</v>
      </c>
      <c r="D4235" s="285">
        <v>1.7272571173262212</v>
      </c>
      <c r="E4235" s="285">
        <v>10.999233427932058</v>
      </c>
    </row>
    <row r="4236" spans="1:5">
      <c r="A4236" s="284">
        <f t="shared" si="1057"/>
        <v>4168</v>
      </c>
      <c r="B4236" s="285">
        <v>-1.0934278816490914</v>
      </c>
      <c r="C4236" s="285">
        <v>2.4111444855441331</v>
      </c>
      <c r="D4236" s="285">
        <v>0.93628969951410868</v>
      </c>
      <c r="E4236" s="285">
        <v>-2.5813878672863191</v>
      </c>
    </row>
    <row r="4237" spans="1:5">
      <c r="A4237" s="284">
        <f t="shared" si="1057"/>
        <v>4169</v>
      </c>
      <c r="B4237" s="285">
        <v>0.21794923732458418</v>
      </c>
      <c r="C4237" s="285">
        <v>2.058262551606906</v>
      </c>
      <c r="D4237" s="285">
        <v>1.7160860527164896</v>
      </c>
      <c r="E4237" s="285">
        <v>-13.405121610183631</v>
      </c>
    </row>
    <row r="4238" spans="1:5">
      <c r="A4238" s="284">
        <f t="shared" si="1057"/>
        <v>4170</v>
      </c>
      <c r="B4238" s="285">
        <v>-2.5027969137525909</v>
      </c>
      <c r="C4238" s="285">
        <v>2.8206428045115137</v>
      </c>
      <c r="D4238" s="285">
        <v>2.4841184072330398</v>
      </c>
      <c r="E4238" s="285">
        <v>-4.3467573319844863</v>
      </c>
    </row>
    <row r="4239" spans="1:5">
      <c r="A4239" s="284">
        <f t="shared" si="1057"/>
        <v>4171</v>
      </c>
      <c r="B4239" s="285">
        <v>-4.2996572239014084</v>
      </c>
      <c r="C4239" s="285">
        <v>3.2286304239651358</v>
      </c>
      <c r="D4239" s="285">
        <v>-0.42724527414798663</v>
      </c>
      <c r="E4239" s="285">
        <v>16.844926615817538</v>
      </c>
    </row>
    <row r="4240" spans="1:5">
      <c r="A4240" s="284">
        <f t="shared" si="1057"/>
        <v>4172</v>
      </c>
      <c r="B4240" s="285">
        <v>-1.028593011806971</v>
      </c>
      <c r="C4240" s="285">
        <v>1.7517207076213479</v>
      </c>
      <c r="D4240" s="285">
        <v>2.8750239700717088</v>
      </c>
      <c r="E4240" s="285">
        <v>-33.947229061126905</v>
      </c>
    </row>
    <row r="4241" spans="1:5">
      <c r="A4241" s="284">
        <f t="shared" si="1057"/>
        <v>4173</v>
      </c>
      <c r="B4241" s="285">
        <v>-2.9529820313462873</v>
      </c>
      <c r="C4241" s="285">
        <v>2.0985546780050481</v>
      </c>
      <c r="D4241" s="285">
        <v>-0.33687673383920713</v>
      </c>
      <c r="E4241" s="285">
        <v>-5.5287639381609344</v>
      </c>
    </row>
    <row r="4242" spans="1:5">
      <c r="A4242" s="284">
        <f t="shared" si="1057"/>
        <v>4174</v>
      </c>
      <c r="B4242" s="285">
        <v>-2.2127065856181036</v>
      </c>
      <c r="C4242" s="285">
        <v>2.618595389698942</v>
      </c>
      <c r="D4242" s="285">
        <v>1.647109490917869</v>
      </c>
      <c r="E4242" s="285">
        <v>2.190794996707139</v>
      </c>
    </row>
    <row r="4243" spans="1:5">
      <c r="A4243" s="284">
        <f t="shared" si="1057"/>
        <v>4175</v>
      </c>
      <c r="B4243" s="285">
        <v>-0.4166722295327282</v>
      </c>
      <c r="C4243" s="285">
        <v>2.2411640910625441</v>
      </c>
      <c r="D4243" s="285">
        <v>-0.42907259847528367</v>
      </c>
      <c r="E4243" s="285">
        <v>-1.2356103934724874</v>
      </c>
    </row>
    <row r="4244" spans="1:5">
      <c r="A4244" s="284">
        <f t="shared" si="1057"/>
        <v>4176</v>
      </c>
      <c r="B4244" s="285">
        <v>1.4218998258477324</v>
      </c>
      <c r="C4244" s="285">
        <v>2.7466113296561101</v>
      </c>
      <c r="D4244" s="285">
        <v>1.8783529905451086</v>
      </c>
      <c r="E4244" s="285">
        <v>-3.9771237111831823</v>
      </c>
    </row>
    <row r="4245" spans="1:5">
      <c r="A4245" s="284">
        <f t="shared" si="1057"/>
        <v>4177</v>
      </c>
      <c r="B4245" s="285">
        <v>-0.14831969398936989</v>
      </c>
      <c r="C4245" s="285">
        <v>2.3867587317091576</v>
      </c>
      <c r="D4245" s="285">
        <v>2.3890110246908129</v>
      </c>
      <c r="E4245" s="285">
        <v>-6.2572304324408794</v>
      </c>
    </row>
    <row r="4246" spans="1:5">
      <c r="A4246" s="284">
        <f t="shared" si="1057"/>
        <v>4178</v>
      </c>
      <c r="B4246" s="285">
        <v>5.5780966513972201</v>
      </c>
      <c r="C4246" s="285">
        <v>2.9982339148143442</v>
      </c>
      <c r="D4246" s="285">
        <v>1.0180787724244023</v>
      </c>
      <c r="E4246" s="285">
        <v>14.227290170592429</v>
      </c>
    </row>
    <row r="4247" spans="1:5">
      <c r="A4247" s="284">
        <f t="shared" si="1057"/>
        <v>4179</v>
      </c>
      <c r="B4247" s="285">
        <v>-0.24039978329899281</v>
      </c>
      <c r="C4247" s="285">
        <v>2.6931943908309051</v>
      </c>
      <c r="D4247" s="285">
        <v>0.66769178824610675</v>
      </c>
      <c r="E4247" s="285">
        <v>-5.7759562914862226</v>
      </c>
    </row>
    <row r="4248" spans="1:5">
      <c r="A4248" s="284">
        <f t="shared" si="1057"/>
        <v>4180</v>
      </c>
      <c r="B4248" s="285">
        <v>-2.1865841993386348</v>
      </c>
      <c r="C4248" s="285">
        <v>1.8450316767848607</v>
      </c>
      <c r="D4248" s="285">
        <v>1.1991219211915793</v>
      </c>
      <c r="E4248" s="285">
        <v>-9.0943491373070771</v>
      </c>
    </row>
    <row r="4249" spans="1:5">
      <c r="A4249" s="284">
        <f t="shared" si="1057"/>
        <v>4181</v>
      </c>
      <c r="B4249" s="285">
        <v>-3.0657961906737285</v>
      </c>
      <c r="C4249" s="285">
        <v>2.3518014619479422</v>
      </c>
      <c r="D4249" s="285">
        <v>0.47202104804692058</v>
      </c>
      <c r="E4249" s="285">
        <v>-0.3759803979892391</v>
      </c>
    </row>
    <row r="4250" spans="1:5">
      <c r="A4250" s="284">
        <f t="shared" si="1057"/>
        <v>4182</v>
      </c>
      <c r="B4250" s="285">
        <v>1.5078057626033912</v>
      </c>
      <c r="C4250" s="285">
        <v>2.244617345938531</v>
      </c>
      <c r="D4250" s="285">
        <v>2.8723533642475796</v>
      </c>
      <c r="E4250" s="285">
        <v>-0.77646373556952275</v>
      </c>
    </row>
    <row r="4251" spans="1:5">
      <c r="A4251" s="284">
        <f t="shared" si="1057"/>
        <v>4183</v>
      </c>
      <c r="B4251" s="285">
        <v>1.1558281073311241</v>
      </c>
      <c r="C4251" s="285">
        <v>2.8261705996184716</v>
      </c>
      <c r="D4251" s="285">
        <v>-0.66888477234456545</v>
      </c>
      <c r="E4251" s="285">
        <v>5.2480272452716719</v>
      </c>
    </row>
    <row r="4252" spans="1:5">
      <c r="A4252" s="284">
        <f t="shared" si="1057"/>
        <v>4184</v>
      </c>
      <c r="B4252" s="285">
        <v>2.9191127405733686</v>
      </c>
      <c r="C4252" s="285">
        <v>2.4726621025043825</v>
      </c>
      <c r="D4252" s="285">
        <v>3.1984548982007031</v>
      </c>
      <c r="E4252" s="285">
        <v>0.83727096568231696</v>
      </c>
    </row>
    <row r="4253" spans="1:5">
      <c r="A4253" s="284">
        <f t="shared" si="1057"/>
        <v>4185</v>
      </c>
      <c r="B4253" s="285">
        <v>-2.3153309446665205</v>
      </c>
      <c r="C4253" s="285">
        <v>1.7747712641890172</v>
      </c>
      <c r="D4253" s="285">
        <v>1.6083576975230227</v>
      </c>
      <c r="E4253" s="285">
        <v>-10.862321835231779</v>
      </c>
    </row>
    <row r="4254" spans="1:5">
      <c r="A4254" s="284">
        <f t="shared" si="1057"/>
        <v>4186</v>
      </c>
      <c r="B4254" s="285">
        <v>-2.2518246888019311</v>
      </c>
      <c r="C4254" s="285">
        <v>2.3314842353787326</v>
      </c>
      <c r="D4254" s="285">
        <v>1.0378837282816522</v>
      </c>
      <c r="E4254" s="285">
        <v>-7.8686672008013705</v>
      </c>
    </row>
    <row r="4255" spans="1:5">
      <c r="A4255" s="284">
        <f t="shared" si="1057"/>
        <v>4187</v>
      </c>
      <c r="B4255" s="285">
        <v>1.4590687561394213</v>
      </c>
      <c r="C4255" s="285">
        <v>2.3577566599626909</v>
      </c>
      <c r="D4255" s="285">
        <v>6.6019437555427718E-2</v>
      </c>
      <c r="E4255" s="285">
        <v>-12.749574107406119</v>
      </c>
    </row>
    <row r="4256" spans="1:5">
      <c r="A4256" s="284">
        <f t="shared" si="1057"/>
        <v>4188</v>
      </c>
      <c r="B4256" s="285">
        <v>1.2353737172053481</v>
      </c>
      <c r="C4256" s="285">
        <v>2.4577527717727188</v>
      </c>
      <c r="D4256" s="285">
        <v>2.595411355112426</v>
      </c>
      <c r="E4256" s="285">
        <v>-15.593780316254707</v>
      </c>
    </row>
    <row r="4257" spans="1:5">
      <c r="A4257" s="284">
        <f t="shared" si="1057"/>
        <v>4189</v>
      </c>
      <c r="B4257" s="285">
        <v>-2.939729893357474</v>
      </c>
      <c r="C4257" s="285">
        <v>3.2557132093724661</v>
      </c>
      <c r="D4257" s="285">
        <v>0.44586812459282443</v>
      </c>
      <c r="E4257" s="285">
        <v>21.417901946986337</v>
      </c>
    </row>
    <row r="4258" spans="1:5">
      <c r="A4258" s="284">
        <f t="shared" si="1057"/>
        <v>4190</v>
      </c>
      <c r="B4258" s="285">
        <v>-1.4188894105488032</v>
      </c>
      <c r="C4258" s="285">
        <v>1.9916478310672683</v>
      </c>
      <c r="D4258" s="285">
        <v>1.2087429241324759</v>
      </c>
      <c r="E4258" s="285">
        <v>-8.6736066861534216</v>
      </c>
    </row>
    <row r="4259" spans="1:5">
      <c r="A4259" s="284">
        <f t="shared" si="1057"/>
        <v>4191</v>
      </c>
      <c r="B4259" s="285">
        <v>1.1882333543341332</v>
      </c>
      <c r="C4259" s="285">
        <v>3.0709759312904072</v>
      </c>
      <c r="D4259" s="285">
        <v>1.5495768435138839</v>
      </c>
      <c r="E4259" s="285">
        <v>0.29424865085830776</v>
      </c>
    </row>
    <row r="4260" spans="1:5">
      <c r="A4260" s="284">
        <f t="shared" si="1057"/>
        <v>4192</v>
      </c>
      <c r="B4260" s="285">
        <v>1.1416355849595563</v>
      </c>
      <c r="C4260" s="285">
        <v>2.4051248011613522</v>
      </c>
      <c r="D4260" s="285">
        <v>1.5754354733903071</v>
      </c>
      <c r="E4260" s="285">
        <v>-14.955707261014743</v>
      </c>
    </row>
    <row r="4261" spans="1:5">
      <c r="A4261" s="284">
        <f t="shared" si="1057"/>
        <v>4193</v>
      </c>
      <c r="B4261" s="285">
        <v>0.138994687074974</v>
      </c>
      <c r="C4261" s="285">
        <v>2.9807623256755083</v>
      </c>
      <c r="D4261" s="285">
        <v>2.2792413501355542</v>
      </c>
      <c r="E4261" s="285">
        <v>-8.1356031614496072</v>
      </c>
    </row>
    <row r="4262" spans="1:5">
      <c r="A4262" s="284">
        <f t="shared" si="1057"/>
        <v>4194</v>
      </c>
      <c r="B4262" s="285">
        <v>-4.7980799239879879</v>
      </c>
      <c r="C4262" s="285">
        <v>1.9007926750585926</v>
      </c>
      <c r="D4262" s="285">
        <v>-0.7160830572856729</v>
      </c>
      <c r="E4262" s="285">
        <v>-8.1406200033807377</v>
      </c>
    </row>
    <row r="4263" spans="1:5">
      <c r="A4263" s="284">
        <f t="shared" si="1057"/>
        <v>4195</v>
      </c>
      <c r="B4263" s="285">
        <v>0.9107797373884513</v>
      </c>
      <c r="C4263" s="285">
        <v>1.9585456466297229</v>
      </c>
      <c r="D4263" s="285">
        <v>2.3673557243695997</v>
      </c>
      <c r="E4263" s="285">
        <v>-14.078856807579928</v>
      </c>
    </row>
    <row r="4264" spans="1:5">
      <c r="A4264" s="284">
        <f t="shared" si="1057"/>
        <v>4196</v>
      </c>
      <c r="B4264" s="285">
        <v>2.9022415214732061E-2</v>
      </c>
      <c r="C4264" s="285">
        <v>2.948467722590014</v>
      </c>
      <c r="D4264" s="285">
        <v>1.7550727900497862</v>
      </c>
      <c r="E4264" s="285">
        <v>7.1980560425304212</v>
      </c>
    </row>
    <row r="4265" spans="1:5">
      <c r="A4265" s="284">
        <f t="shared" si="1057"/>
        <v>4197</v>
      </c>
      <c r="B4265" s="285">
        <v>-1.9256206111329812</v>
      </c>
      <c r="C4265" s="285">
        <v>2.6051040418822753</v>
      </c>
      <c r="D4265" s="285">
        <v>0.4156179433181556</v>
      </c>
      <c r="E4265" s="285">
        <v>-6.8539284439550876</v>
      </c>
    </row>
    <row r="4266" spans="1:5">
      <c r="A4266" s="284">
        <f t="shared" si="1057"/>
        <v>4198</v>
      </c>
      <c r="B4266" s="285">
        <v>-0.11280491338853317</v>
      </c>
      <c r="C4266" s="285">
        <v>2.5951596110425439</v>
      </c>
      <c r="D4266" s="285">
        <v>-0.10667014284268039</v>
      </c>
      <c r="E4266" s="285">
        <v>5.6990272025193853</v>
      </c>
    </row>
    <row r="4267" spans="1:5">
      <c r="A4267" s="284">
        <f t="shared" si="1057"/>
        <v>4199</v>
      </c>
      <c r="B4267" s="285">
        <v>0.14375887949258936</v>
      </c>
      <c r="C4267" s="285">
        <v>2.6766049725679086</v>
      </c>
      <c r="D4267" s="285">
        <v>0.58286423783084285</v>
      </c>
      <c r="E4267" s="285">
        <v>-4.4228367241828686</v>
      </c>
    </row>
    <row r="4268" spans="1:5">
      <c r="A4268" s="284">
        <f t="shared" si="1057"/>
        <v>4200</v>
      </c>
      <c r="B4268" s="285">
        <v>-0.24670446285783745</v>
      </c>
      <c r="C4268" s="285">
        <v>3.0091669454402941</v>
      </c>
      <c r="D4268" s="285">
        <v>-1.9963375120645281</v>
      </c>
      <c r="E4268" s="285">
        <v>11.627542622909392</v>
      </c>
    </row>
    <row r="4269" spans="1:5">
      <c r="A4269" s="284">
        <f t="shared" si="1057"/>
        <v>4201</v>
      </c>
      <c r="B4269" s="285">
        <v>-1.8934045804540354</v>
      </c>
      <c r="C4269" s="285">
        <v>1.7854693629593843</v>
      </c>
      <c r="D4269" s="285">
        <v>0.86699605956067294</v>
      </c>
      <c r="E4269" s="285">
        <v>-15.529754032406654</v>
      </c>
    </row>
    <row r="4270" spans="1:5">
      <c r="A4270" s="284">
        <f t="shared" si="1057"/>
        <v>4202</v>
      </c>
      <c r="B4270" s="285">
        <v>0.45183541274113936</v>
      </c>
      <c r="C4270" s="285">
        <v>2.3812909676180478</v>
      </c>
      <c r="D4270" s="285">
        <v>1.8752711596551399</v>
      </c>
      <c r="E4270" s="285">
        <v>-12.096499011755508</v>
      </c>
    </row>
    <row r="4271" spans="1:5">
      <c r="A4271" s="284">
        <f t="shared" si="1057"/>
        <v>4203</v>
      </c>
      <c r="B4271" s="285">
        <v>3.6273527898415336</v>
      </c>
      <c r="C4271" s="285">
        <v>3.507637684042034</v>
      </c>
      <c r="D4271" s="285">
        <v>2.8009414784469095</v>
      </c>
      <c r="E4271" s="285">
        <v>14.984497903530322</v>
      </c>
    </row>
    <row r="4272" spans="1:5">
      <c r="A4272" s="284">
        <f t="shared" si="1057"/>
        <v>4204</v>
      </c>
      <c r="B4272" s="285">
        <v>1.2440064596757787</v>
      </c>
      <c r="C4272" s="285">
        <v>2.7886122312332118</v>
      </c>
      <c r="D4272" s="285">
        <v>1.7491549950128653</v>
      </c>
      <c r="E4272" s="285">
        <v>-14.191987680959551</v>
      </c>
    </row>
    <row r="4273" spans="1:5">
      <c r="A4273" s="284">
        <f t="shared" si="1057"/>
        <v>4205</v>
      </c>
      <c r="B4273" s="285">
        <v>0.20468748024500771</v>
      </c>
      <c r="C4273" s="285">
        <v>2.517219896637187</v>
      </c>
      <c r="D4273" s="285">
        <v>1.1612289930410262</v>
      </c>
      <c r="E4273" s="285">
        <v>-4.4266372848853521</v>
      </c>
    </row>
    <row r="4274" spans="1:5">
      <c r="A4274" s="284">
        <f t="shared" si="1057"/>
        <v>4206</v>
      </c>
      <c r="B4274" s="285">
        <v>-0.32727886562974695</v>
      </c>
      <c r="C4274" s="285">
        <v>2.5462172654967739</v>
      </c>
      <c r="D4274" s="285">
        <v>1.4353859544382064</v>
      </c>
      <c r="E4274" s="285">
        <v>4.2388021069352035</v>
      </c>
    </row>
    <row r="4275" spans="1:5">
      <c r="A4275" s="284">
        <f t="shared" si="1057"/>
        <v>4207</v>
      </c>
      <c r="B4275" s="285">
        <v>-0.62749465974823282</v>
      </c>
      <c r="C4275" s="285">
        <v>2.2156856083627097</v>
      </c>
      <c r="D4275" s="285">
        <v>1.1033116742277471</v>
      </c>
      <c r="E4275" s="285">
        <v>-0.78166096988178646</v>
      </c>
    </row>
    <row r="4276" spans="1:5">
      <c r="A4276" s="284">
        <f t="shared" si="1057"/>
        <v>4208</v>
      </c>
      <c r="B4276" s="285">
        <v>1.5220635585854327</v>
      </c>
      <c r="C4276" s="285">
        <v>2.3786165299322657</v>
      </c>
      <c r="D4276" s="285">
        <v>1.9008594325352697</v>
      </c>
      <c r="E4276" s="285">
        <v>-7.2116980823672829</v>
      </c>
    </row>
    <row r="4277" spans="1:5">
      <c r="A4277" s="284">
        <f t="shared" si="1057"/>
        <v>4209</v>
      </c>
      <c r="B4277" s="285">
        <v>1.6582252832571258</v>
      </c>
      <c r="C4277" s="285">
        <v>2.5739111521996434</v>
      </c>
      <c r="D4277" s="285">
        <v>0.36514761317407562</v>
      </c>
      <c r="E4277" s="285">
        <v>-4.2268050301966991</v>
      </c>
    </row>
    <row r="4278" spans="1:5">
      <c r="A4278" s="284">
        <f t="shared" si="1057"/>
        <v>4210</v>
      </c>
      <c r="B4278" s="285">
        <v>-1.4070963879873057</v>
      </c>
      <c r="C4278" s="285">
        <v>2.5552288300626893</v>
      </c>
      <c r="D4278" s="285">
        <v>0.16109140415695644</v>
      </c>
      <c r="E4278" s="285">
        <v>-0.50268579635068722</v>
      </c>
    </row>
    <row r="4279" spans="1:5">
      <c r="A4279" s="284">
        <f t="shared" si="1057"/>
        <v>4211</v>
      </c>
      <c r="B4279" s="285">
        <v>3.4136405898369597</v>
      </c>
      <c r="C4279" s="285">
        <v>2.8735327683308314</v>
      </c>
      <c r="D4279" s="285">
        <v>-1.005756259515131</v>
      </c>
      <c r="E4279" s="285">
        <v>4.836076580969543</v>
      </c>
    </row>
    <row r="4280" spans="1:5">
      <c r="A4280" s="284">
        <f t="shared" si="1057"/>
        <v>4212</v>
      </c>
      <c r="B4280" s="285">
        <v>1.4489864837633883</v>
      </c>
      <c r="C4280" s="285">
        <v>2.8778462415191006</v>
      </c>
      <c r="D4280" s="285">
        <v>2.897730384776966</v>
      </c>
      <c r="E4280" s="285">
        <v>-9.6343031720951764</v>
      </c>
    </row>
    <row r="4281" spans="1:5">
      <c r="A4281" s="284">
        <f t="shared" si="1057"/>
        <v>4213</v>
      </c>
      <c r="B4281" s="285">
        <v>-0.55058790134761226</v>
      </c>
      <c r="C4281" s="285">
        <v>2.7251549780421795</v>
      </c>
      <c r="D4281" s="285">
        <v>1.368385836202106</v>
      </c>
      <c r="E4281" s="285">
        <v>-1.6153656323763319</v>
      </c>
    </row>
    <row r="4282" spans="1:5">
      <c r="A4282" s="284">
        <f t="shared" si="1057"/>
        <v>4214</v>
      </c>
      <c r="B4282" s="285">
        <v>-0.35510440332728771</v>
      </c>
      <c r="C4282" s="285">
        <v>2.8855058574168599</v>
      </c>
      <c r="D4282" s="285">
        <v>-0.2157619396215229</v>
      </c>
      <c r="E4282" s="285">
        <v>18.470395746701087</v>
      </c>
    </row>
    <row r="4283" spans="1:5">
      <c r="A4283" s="284">
        <f t="shared" si="1057"/>
        <v>4215</v>
      </c>
      <c r="B4283" s="285">
        <v>8.0743828180656868E-2</v>
      </c>
      <c r="C4283" s="285">
        <v>2.5295605728242498</v>
      </c>
      <c r="D4283" s="285">
        <v>1.106676448012911</v>
      </c>
      <c r="E4283" s="285">
        <v>-9.6773428379343045</v>
      </c>
    </row>
    <row r="4284" spans="1:5">
      <c r="A4284" s="284">
        <f t="shared" si="1057"/>
        <v>4216</v>
      </c>
      <c r="B4284" s="285">
        <v>2.5423768488798881</v>
      </c>
      <c r="C4284" s="285">
        <v>1.9209248700024508</v>
      </c>
      <c r="D4284" s="285">
        <v>2.4755567991391061</v>
      </c>
      <c r="E4284" s="285">
        <v>-20.162221435358237</v>
      </c>
    </row>
    <row r="4285" spans="1:5">
      <c r="A4285" s="284">
        <f t="shared" si="1057"/>
        <v>4217</v>
      </c>
      <c r="B4285" s="285">
        <v>-0.75233076808886146</v>
      </c>
      <c r="C4285" s="285">
        <v>3.1854080937470948</v>
      </c>
      <c r="D4285" s="285">
        <v>-1.1246672424391138</v>
      </c>
      <c r="E4285" s="285">
        <v>9.7432084070599672</v>
      </c>
    </row>
    <row r="4286" spans="1:5">
      <c r="A4286" s="284">
        <f t="shared" si="1057"/>
        <v>4218</v>
      </c>
      <c r="B4286" s="285">
        <v>0.80945135121212308</v>
      </c>
      <c r="C4286" s="285">
        <v>2.5925699657143975</v>
      </c>
      <c r="D4286" s="285">
        <v>0.74034818453088247</v>
      </c>
      <c r="E4286" s="285">
        <v>-1.8530318498042437</v>
      </c>
    </row>
    <row r="4287" spans="1:5">
      <c r="A4287" s="284">
        <f t="shared" si="1057"/>
        <v>4219</v>
      </c>
      <c r="B4287" s="285">
        <v>-0.44130328905953803</v>
      </c>
      <c r="C4287" s="285">
        <v>2.4644969515475417</v>
      </c>
      <c r="D4287" s="285">
        <v>2.1760592690922445</v>
      </c>
      <c r="E4287" s="285">
        <v>-5.0765230880908963</v>
      </c>
    </row>
    <row r="4288" spans="1:5">
      <c r="A4288" s="284">
        <f t="shared" si="1057"/>
        <v>4220</v>
      </c>
      <c r="B4288" s="285">
        <v>-0.9563449481716263</v>
      </c>
      <c r="C4288" s="285">
        <v>2.1166251170278971</v>
      </c>
      <c r="D4288" s="285">
        <v>1.2994267375618331</v>
      </c>
      <c r="E4288" s="285">
        <v>-16.765338621268945</v>
      </c>
    </row>
    <row r="4289" spans="1:5">
      <c r="A4289" s="284">
        <f t="shared" si="1057"/>
        <v>4221</v>
      </c>
      <c r="B4289" s="285">
        <v>-0.55033254143950849</v>
      </c>
      <c r="C4289" s="285">
        <v>2.3090488646374019</v>
      </c>
      <c r="D4289" s="285">
        <v>-1.6140610519078535</v>
      </c>
      <c r="E4289" s="285">
        <v>0.45406985609528716</v>
      </c>
    </row>
    <row r="4290" spans="1:5">
      <c r="A4290" s="284">
        <f t="shared" si="1057"/>
        <v>4222</v>
      </c>
      <c r="B4290" s="285">
        <v>-2.4539021085275081</v>
      </c>
      <c r="C4290" s="285">
        <v>2.2745473436862014</v>
      </c>
      <c r="D4290" s="285">
        <v>0.34772222282343979</v>
      </c>
      <c r="E4290" s="285">
        <v>1.1951881299766733</v>
      </c>
    </row>
    <row r="4291" spans="1:5">
      <c r="A4291" s="284">
        <f t="shared" si="1057"/>
        <v>4223</v>
      </c>
      <c r="B4291" s="285">
        <v>-0.13399339417258022</v>
      </c>
      <c r="C4291" s="285">
        <v>3.5871357655222331</v>
      </c>
      <c r="D4291" s="285">
        <v>1.5618689824717666</v>
      </c>
      <c r="E4291" s="285">
        <v>8.9557318055953345</v>
      </c>
    </row>
    <row r="4292" spans="1:5">
      <c r="A4292" s="284">
        <f t="shared" si="1057"/>
        <v>4224</v>
      </c>
      <c r="B4292" s="285">
        <v>0.24779895693986173</v>
      </c>
      <c r="C4292" s="285">
        <v>2.9766474565791987</v>
      </c>
      <c r="D4292" s="285">
        <v>3.280041329373653</v>
      </c>
      <c r="E4292" s="285">
        <v>-2.051301818405205</v>
      </c>
    </row>
    <row r="4293" spans="1:5">
      <c r="A4293" s="284">
        <f t="shared" si="1057"/>
        <v>4225</v>
      </c>
      <c r="B4293" s="285">
        <v>0.20368527515066215</v>
      </c>
      <c r="C4293" s="285">
        <v>3.2608063776856597</v>
      </c>
      <c r="D4293" s="285">
        <v>0.63401766715913466</v>
      </c>
      <c r="E4293" s="285">
        <v>3.2644727330713414</v>
      </c>
    </row>
    <row r="4294" spans="1:5">
      <c r="A4294" s="284">
        <f t="shared" si="1057"/>
        <v>4226</v>
      </c>
      <c r="B4294" s="285">
        <v>0.65573963531965196</v>
      </c>
      <c r="C4294" s="285">
        <v>2.3019851960604334</v>
      </c>
      <c r="D4294" s="285">
        <v>0.73451141134075892</v>
      </c>
      <c r="E4294" s="285">
        <v>-7.3834047671147953</v>
      </c>
    </row>
    <row r="4295" spans="1:5">
      <c r="A4295" s="284">
        <f t="shared" ref="A4295:A4358" si="1058">A4294+1</f>
        <v>4227</v>
      </c>
      <c r="B4295" s="285">
        <v>-6.7896353459678968E-2</v>
      </c>
      <c r="C4295" s="285">
        <v>2.1486823880290187</v>
      </c>
      <c r="D4295" s="285">
        <v>0.35027741890034458</v>
      </c>
      <c r="E4295" s="285">
        <v>-8.9634205196527041</v>
      </c>
    </row>
    <row r="4296" spans="1:5">
      <c r="A4296" s="284">
        <f t="shared" si="1058"/>
        <v>4228</v>
      </c>
      <c r="B4296" s="285">
        <v>-0.96528133196861021</v>
      </c>
      <c r="C4296" s="285">
        <v>2.708274380464299</v>
      </c>
      <c r="D4296" s="285">
        <v>0.98813559503317916</v>
      </c>
      <c r="E4296" s="285">
        <v>2.9571446671525297</v>
      </c>
    </row>
    <row r="4297" spans="1:5">
      <c r="A4297" s="284">
        <f t="shared" si="1058"/>
        <v>4229</v>
      </c>
      <c r="B4297" s="285">
        <v>3.1368499437480617</v>
      </c>
      <c r="C4297" s="285">
        <v>2.4503960557322335</v>
      </c>
      <c r="D4297" s="285">
        <v>4.0548596245671016</v>
      </c>
      <c r="E4297" s="285">
        <v>-10.415143401997641</v>
      </c>
    </row>
    <row r="4298" spans="1:5">
      <c r="A4298" s="284">
        <f t="shared" si="1058"/>
        <v>4230</v>
      </c>
      <c r="B4298" s="285">
        <v>-4.5413961104687877</v>
      </c>
      <c r="C4298" s="285">
        <v>1.2525861644507843</v>
      </c>
      <c r="D4298" s="285">
        <v>1.4929538391116544</v>
      </c>
      <c r="E4298" s="285">
        <v>-20.224529497164603</v>
      </c>
    </row>
    <row r="4299" spans="1:5">
      <c r="A4299" s="284">
        <f t="shared" si="1058"/>
        <v>4231</v>
      </c>
      <c r="B4299" s="285">
        <v>1.9766563503895573</v>
      </c>
      <c r="C4299" s="285">
        <v>3.1676485381099999</v>
      </c>
      <c r="D4299" s="285">
        <v>2.6488313136228419</v>
      </c>
      <c r="E4299" s="285">
        <v>12.435286817217776</v>
      </c>
    </row>
    <row r="4300" spans="1:5">
      <c r="A4300" s="284">
        <f t="shared" si="1058"/>
        <v>4232</v>
      </c>
      <c r="B4300" s="285">
        <v>0.57483283151221909</v>
      </c>
      <c r="C4300" s="285">
        <v>2.8200187293259042</v>
      </c>
      <c r="D4300" s="285">
        <v>1.7841220273967058</v>
      </c>
      <c r="E4300" s="285">
        <v>-2.6491474578274432</v>
      </c>
    </row>
    <row r="4301" spans="1:5">
      <c r="A4301" s="284">
        <f t="shared" si="1058"/>
        <v>4233</v>
      </c>
      <c r="B4301" s="285">
        <v>1.7524813669300909</v>
      </c>
      <c r="C4301" s="285">
        <v>2.3752784409546699</v>
      </c>
      <c r="D4301" s="285">
        <v>1.0532687718662306</v>
      </c>
      <c r="E4301" s="285">
        <v>-5.1311247996783607</v>
      </c>
    </row>
    <row r="4302" spans="1:5">
      <c r="A4302" s="284">
        <f t="shared" si="1058"/>
        <v>4234</v>
      </c>
      <c r="B4302" s="285">
        <v>-4.9465778913075829</v>
      </c>
      <c r="C4302" s="285">
        <v>1.8706840799359041</v>
      </c>
      <c r="D4302" s="285">
        <v>1.0997661607536311</v>
      </c>
      <c r="E4302" s="285">
        <v>-10.057105052901534</v>
      </c>
    </row>
    <row r="4303" spans="1:5">
      <c r="A4303" s="284">
        <f t="shared" si="1058"/>
        <v>4235</v>
      </c>
      <c r="B4303" s="285">
        <v>-0.11415818096935047</v>
      </c>
      <c r="C4303" s="285">
        <v>2.5032492152790193</v>
      </c>
      <c r="D4303" s="285">
        <v>-1.2055335166678947</v>
      </c>
      <c r="E4303" s="285">
        <v>0.25239949747420143</v>
      </c>
    </row>
    <row r="4304" spans="1:5">
      <c r="A4304" s="284">
        <f t="shared" si="1058"/>
        <v>4236</v>
      </c>
      <c r="B4304" s="285">
        <v>1.9887816192872745</v>
      </c>
      <c r="C4304" s="285">
        <v>2.6629974106025784</v>
      </c>
      <c r="D4304" s="285">
        <v>3.9625411621097499</v>
      </c>
      <c r="E4304" s="285">
        <v>-7.5109870902463136</v>
      </c>
    </row>
    <row r="4305" spans="1:5">
      <c r="A4305" s="284">
        <f t="shared" si="1058"/>
        <v>4237</v>
      </c>
      <c r="B4305" s="285">
        <v>-1.0177712750161625</v>
      </c>
      <c r="C4305" s="285">
        <v>2.6750406570455092</v>
      </c>
      <c r="D4305" s="285">
        <v>1.5901371766052015</v>
      </c>
      <c r="E4305" s="285">
        <v>5.4461565320196215</v>
      </c>
    </row>
    <row r="4306" spans="1:5">
      <c r="A4306" s="284">
        <f t="shared" si="1058"/>
        <v>4238</v>
      </c>
      <c r="B4306" s="285">
        <v>1.9404877835053993</v>
      </c>
      <c r="C4306" s="285">
        <v>2.6535273439867249</v>
      </c>
      <c r="D4306" s="285">
        <v>0.9226672165305887</v>
      </c>
      <c r="E4306" s="285">
        <v>2.3181099760830048</v>
      </c>
    </row>
    <row r="4307" spans="1:5">
      <c r="A4307" s="284">
        <f t="shared" si="1058"/>
        <v>4239</v>
      </c>
      <c r="B4307" s="285">
        <v>1.0148832552703795</v>
      </c>
      <c r="C4307" s="285">
        <v>2.5297227258703376</v>
      </c>
      <c r="D4307" s="285">
        <v>-0.38500961866656236</v>
      </c>
      <c r="E4307" s="285">
        <v>0.51833424499841962</v>
      </c>
    </row>
    <row r="4308" spans="1:5">
      <c r="A4308" s="284">
        <f t="shared" si="1058"/>
        <v>4240</v>
      </c>
      <c r="B4308" s="285">
        <v>-1.1079938151363211</v>
      </c>
      <c r="C4308" s="285">
        <v>2.1957305034399734</v>
      </c>
      <c r="D4308" s="285">
        <v>1.614496074186287</v>
      </c>
      <c r="E4308" s="285">
        <v>-7.3599968097805757</v>
      </c>
    </row>
    <row r="4309" spans="1:5">
      <c r="A4309" s="284">
        <f t="shared" si="1058"/>
        <v>4241</v>
      </c>
      <c r="B4309" s="285">
        <v>2.0709859419800956</v>
      </c>
      <c r="C4309" s="285">
        <v>3.0977906286667909</v>
      </c>
      <c r="D4309" s="285">
        <v>-5.443861039021014E-2</v>
      </c>
      <c r="E4309" s="285">
        <v>12.480684496689275</v>
      </c>
    </row>
    <row r="4310" spans="1:5">
      <c r="A4310" s="284">
        <f t="shared" si="1058"/>
        <v>4242</v>
      </c>
      <c r="B4310" s="285">
        <v>-0.79986106468536566</v>
      </c>
      <c r="C4310" s="285">
        <v>1.9531202471644162</v>
      </c>
      <c r="D4310" s="285">
        <v>0.93190060489841586</v>
      </c>
      <c r="E4310" s="285">
        <v>-17.192385337733288</v>
      </c>
    </row>
    <row r="4311" spans="1:5">
      <c r="A4311" s="284">
        <f t="shared" si="1058"/>
        <v>4243</v>
      </c>
      <c r="B4311" s="285">
        <v>-1.6277262068794507</v>
      </c>
      <c r="C4311" s="285">
        <v>1.3426914379254291</v>
      </c>
      <c r="D4311" s="285">
        <v>-0.24859094213038757</v>
      </c>
      <c r="E4311" s="285">
        <v>-23.566495537987532</v>
      </c>
    </row>
    <row r="4312" spans="1:5">
      <c r="A4312" s="284">
        <f t="shared" si="1058"/>
        <v>4244</v>
      </c>
      <c r="B4312" s="285">
        <v>1.3811830435474917</v>
      </c>
      <c r="C4312" s="285">
        <v>2.2940793614876798</v>
      </c>
      <c r="D4312" s="285">
        <v>1.3300177665177333</v>
      </c>
      <c r="E4312" s="285">
        <v>2.1909379052502875</v>
      </c>
    </row>
    <row r="4313" spans="1:5">
      <c r="A4313" s="284">
        <f t="shared" si="1058"/>
        <v>4245</v>
      </c>
      <c r="B4313" s="285">
        <v>-1.0055585550266406</v>
      </c>
      <c r="C4313" s="285">
        <v>2.2335781054537254</v>
      </c>
      <c r="D4313" s="285">
        <v>1.5684957500854009</v>
      </c>
      <c r="E4313" s="285">
        <v>-10.332593189188819</v>
      </c>
    </row>
    <row r="4314" spans="1:5">
      <c r="A4314" s="284">
        <f t="shared" si="1058"/>
        <v>4246</v>
      </c>
      <c r="B4314" s="285">
        <v>-1.3143783811601195</v>
      </c>
      <c r="C4314" s="285">
        <v>2.8554197028305461</v>
      </c>
      <c r="D4314" s="285">
        <v>-0.23136184133312598</v>
      </c>
      <c r="E4314" s="285">
        <v>9.1633661126183252</v>
      </c>
    </row>
    <row r="4315" spans="1:5">
      <c r="A4315" s="284">
        <f t="shared" si="1058"/>
        <v>4247</v>
      </c>
      <c r="B4315" s="285">
        <v>1.8642966455260153</v>
      </c>
      <c r="C4315" s="285">
        <v>2.1469756616340536</v>
      </c>
      <c r="D4315" s="285">
        <v>2.9607695039511555</v>
      </c>
      <c r="E4315" s="285">
        <v>-2.2768444503754171</v>
      </c>
    </row>
    <row r="4316" spans="1:5">
      <c r="A4316" s="284">
        <f t="shared" si="1058"/>
        <v>4248</v>
      </c>
      <c r="B4316" s="285">
        <v>0.54476613210447777</v>
      </c>
      <c r="C4316" s="285">
        <v>2.4642878043546159</v>
      </c>
      <c r="D4316" s="285">
        <v>1.1492494274436842</v>
      </c>
      <c r="E4316" s="285">
        <v>-4.8389364030061355</v>
      </c>
    </row>
    <row r="4317" spans="1:5">
      <c r="A4317" s="284">
        <f t="shared" si="1058"/>
        <v>4249</v>
      </c>
      <c r="B4317" s="285">
        <v>0.93632367083551449</v>
      </c>
      <c r="C4317" s="285">
        <v>2.2714957754798877</v>
      </c>
      <c r="D4317" s="285">
        <v>3.4552299567867504</v>
      </c>
      <c r="E4317" s="285">
        <v>3.3800865416533008</v>
      </c>
    </row>
    <row r="4318" spans="1:5">
      <c r="A4318" s="284">
        <f t="shared" si="1058"/>
        <v>4250</v>
      </c>
      <c r="B4318" s="285">
        <v>1.1395934564666304</v>
      </c>
      <c r="C4318" s="285">
        <v>2.6741211940599214</v>
      </c>
      <c r="D4318" s="285">
        <v>1.1400228389753917</v>
      </c>
      <c r="E4318" s="285">
        <v>2.1448066631251614</v>
      </c>
    </row>
    <row r="4319" spans="1:5">
      <c r="A4319" s="284">
        <f t="shared" si="1058"/>
        <v>4251</v>
      </c>
      <c r="B4319" s="285">
        <v>-1.9776751810489381</v>
      </c>
      <c r="C4319" s="285">
        <v>2.6359744548463659</v>
      </c>
      <c r="D4319" s="285">
        <v>0.96401149290381749</v>
      </c>
      <c r="E4319" s="285">
        <v>-10.594976184812253</v>
      </c>
    </row>
    <row r="4320" spans="1:5">
      <c r="A4320" s="284">
        <f t="shared" si="1058"/>
        <v>4252</v>
      </c>
      <c r="B4320" s="285">
        <v>-1.6585773941498128</v>
      </c>
      <c r="C4320" s="285">
        <v>2.4330576611050341</v>
      </c>
      <c r="D4320" s="285">
        <v>0.24127125974521335</v>
      </c>
      <c r="E4320" s="285">
        <v>-6.9509565325762868</v>
      </c>
    </row>
    <row r="4321" spans="1:5">
      <c r="A4321" s="284">
        <f t="shared" si="1058"/>
        <v>4253</v>
      </c>
      <c r="B4321" s="285">
        <v>-0.46080164349302022</v>
      </c>
      <c r="C4321" s="285">
        <v>3.2854351520508058</v>
      </c>
      <c r="D4321" s="285">
        <v>0.46680860511960731</v>
      </c>
      <c r="E4321" s="285">
        <v>12.552293802850748</v>
      </c>
    </row>
    <row r="4322" spans="1:5">
      <c r="A4322" s="284">
        <f t="shared" si="1058"/>
        <v>4254</v>
      </c>
      <c r="B4322" s="285">
        <v>-2.3512208252780242</v>
      </c>
      <c r="C4322" s="285">
        <v>1.1115306473207982</v>
      </c>
      <c r="D4322" s="285">
        <v>1.472063251738573</v>
      </c>
      <c r="E4322" s="285">
        <v>-20.434016543186562</v>
      </c>
    </row>
    <row r="4323" spans="1:5">
      <c r="A4323" s="284">
        <f t="shared" si="1058"/>
        <v>4255</v>
      </c>
      <c r="B4323" s="285">
        <v>-1.0921933073337595</v>
      </c>
      <c r="C4323" s="285">
        <v>1.9720694152092648</v>
      </c>
      <c r="D4323" s="285">
        <v>0.3164567485233083</v>
      </c>
      <c r="E4323" s="285">
        <v>-4.0759648511984246</v>
      </c>
    </row>
    <row r="4324" spans="1:5">
      <c r="A4324" s="284">
        <f t="shared" si="1058"/>
        <v>4256</v>
      </c>
      <c r="B4324" s="285">
        <v>1.8692808493479975</v>
      </c>
      <c r="C4324" s="285">
        <v>2.7797112636742352</v>
      </c>
      <c r="D4324" s="285">
        <v>1.1768859570762338</v>
      </c>
      <c r="E4324" s="285">
        <v>-3.886261870751667</v>
      </c>
    </row>
    <row r="4325" spans="1:5">
      <c r="A4325" s="284">
        <f t="shared" si="1058"/>
        <v>4257</v>
      </c>
      <c r="B4325" s="285">
        <v>-9.9894858348685139E-2</v>
      </c>
      <c r="C4325" s="285">
        <v>2.993837772335159</v>
      </c>
      <c r="D4325" s="285">
        <v>0.98258961917837306</v>
      </c>
      <c r="E4325" s="285">
        <v>4.1405639177890805</v>
      </c>
    </row>
    <row r="4326" spans="1:5">
      <c r="A4326" s="284">
        <f t="shared" si="1058"/>
        <v>4258</v>
      </c>
      <c r="B4326" s="285">
        <v>-0.35889854381593539</v>
      </c>
      <c r="C4326" s="285">
        <v>2.7835759935106505</v>
      </c>
      <c r="D4326" s="285">
        <v>3.5560463761399337</v>
      </c>
      <c r="E4326" s="285">
        <v>0.78314615417222333</v>
      </c>
    </row>
    <row r="4327" spans="1:5">
      <c r="A4327" s="284">
        <f t="shared" si="1058"/>
        <v>4259</v>
      </c>
      <c r="B4327" s="285">
        <v>-2.5977590704547118</v>
      </c>
      <c r="C4327" s="285">
        <v>2.5440614425084536</v>
      </c>
      <c r="D4327" s="285">
        <v>2.2503596124552696</v>
      </c>
      <c r="E4327" s="285">
        <v>8.7271617613537131</v>
      </c>
    </row>
    <row r="4328" spans="1:5">
      <c r="A4328" s="284">
        <f t="shared" si="1058"/>
        <v>4260</v>
      </c>
      <c r="B4328" s="285">
        <v>1.621790711948891</v>
      </c>
      <c r="C4328" s="285">
        <v>2.8128224621366495</v>
      </c>
      <c r="D4328" s="285">
        <v>1.2734946048750035</v>
      </c>
      <c r="E4328" s="285">
        <v>-3.1498806815033835</v>
      </c>
    </row>
    <row r="4329" spans="1:5">
      <c r="A4329" s="284">
        <f t="shared" si="1058"/>
        <v>4261</v>
      </c>
      <c r="B4329" s="285">
        <v>-2.3025944583871945</v>
      </c>
      <c r="C4329" s="285">
        <v>2.5932383852834766</v>
      </c>
      <c r="D4329" s="285">
        <v>-0.28536674912264148</v>
      </c>
      <c r="E4329" s="285">
        <v>4.9202514284500758</v>
      </c>
    </row>
    <row r="4330" spans="1:5">
      <c r="A4330" s="284">
        <f t="shared" si="1058"/>
        <v>4262</v>
      </c>
      <c r="B4330" s="285">
        <v>-2.7587715360410514</v>
      </c>
      <c r="C4330" s="285">
        <v>2.5410004670857913</v>
      </c>
      <c r="D4330" s="285">
        <v>0.72304333562842171</v>
      </c>
      <c r="E4330" s="285">
        <v>1.1908473426937696</v>
      </c>
    </row>
    <row r="4331" spans="1:5">
      <c r="A4331" s="284">
        <f t="shared" si="1058"/>
        <v>4263</v>
      </c>
      <c r="B4331" s="285">
        <v>2.3375731297714428</v>
      </c>
      <c r="C4331" s="285">
        <v>2.6129785576554401</v>
      </c>
      <c r="D4331" s="285">
        <v>2.4540539990356227</v>
      </c>
      <c r="E4331" s="285">
        <v>-8.1137698740738085</v>
      </c>
    </row>
    <row r="4332" spans="1:5">
      <c r="A4332" s="284">
        <f t="shared" si="1058"/>
        <v>4264</v>
      </c>
      <c r="B4332" s="285">
        <v>-0.30489309233461326</v>
      </c>
      <c r="C4332" s="285">
        <v>2.3395100241093285</v>
      </c>
      <c r="D4332" s="285">
        <v>1.2789621280763255</v>
      </c>
      <c r="E4332" s="285">
        <v>-4.9615335638371416</v>
      </c>
    </row>
    <row r="4333" spans="1:5">
      <c r="A4333" s="284">
        <f t="shared" si="1058"/>
        <v>4265</v>
      </c>
      <c r="B4333" s="285">
        <v>0.65307886006794569</v>
      </c>
      <c r="C4333" s="285">
        <v>2.8639017850962949</v>
      </c>
      <c r="D4333" s="285">
        <v>1.4366202656910811</v>
      </c>
      <c r="E4333" s="285">
        <v>8.638078460674592</v>
      </c>
    </row>
    <row r="4334" spans="1:5">
      <c r="A4334" s="284">
        <f t="shared" si="1058"/>
        <v>4266</v>
      </c>
      <c r="B4334" s="285">
        <v>1.734719849411396</v>
      </c>
      <c r="C4334" s="285">
        <v>2.9247956653505476</v>
      </c>
      <c r="D4334" s="285">
        <v>2.8859732774577651</v>
      </c>
      <c r="E4334" s="285">
        <v>-9.2106881228589632</v>
      </c>
    </row>
    <row r="4335" spans="1:5">
      <c r="A4335" s="284">
        <f t="shared" si="1058"/>
        <v>4267</v>
      </c>
      <c r="B4335" s="285">
        <v>0.94464402563899441</v>
      </c>
      <c r="C4335" s="285">
        <v>2.1818861812901029</v>
      </c>
      <c r="D4335" s="285">
        <v>2.784623022770508</v>
      </c>
      <c r="E4335" s="285">
        <v>-12.460056355128668</v>
      </c>
    </row>
    <row r="4336" spans="1:5">
      <c r="A4336" s="284">
        <f t="shared" si="1058"/>
        <v>4268</v>
      </c>
      <c r="B4336" s="285">
        <v>-1.4908090424092</v>
      </c>
      <c r="C4336" s="285">
        <v>2.0492317565415159</v>
      </c>
      <c r="D4336" s="285">
        <v>-1.3057834562056447E-2</v>
      </c>
      <c r="E4336" s="285">
        <v>-11.647898949742034</v>
      </c>
    </row>
    <row r="4337" spans="1:5">
      <c r="A4337" s="284">
        <f t="shared" si="1058"/>
        <v>4269</v>
      </c>
      <c r="B4337" s="285">
        <v>3.4655648242850368</v>
      </c>
      <c r="C4337" s="285">
        <v>3.257578545453589</v>
      </c>
      <c r="D4337" s="285">
        <v>1.1788799182651488</v>
      </c>
      <c r="E4337" s="285">
        <v>17.617609238825562</v>
      </c>
    </row>
    <row r="4338" spans="1:5">
      <c r="A4338" s="284">
        <f t="shared" si="1058"/>
        <v>4270</v>
      </c>
      <c r="B4338" s="285">
        <v>2.6858698466545969</v>
      </c>
      <c r="C4338" s="285">
        <v>2.6666333964764117</v>
      </c>
      <c r="D4338" s="285">
        <v>0.55911370791877524</v>
      </c>
      <c r="E4338" s="285">
        <v>-1.5533851736866466</v>
      </c>
    </row>
    <row r="4339" spans="1:5">
      <c r="A4339" s="284">
        <f t="shared" si="1058"/>
        <v>4271</v>
      </c>
      <c r="B4339" s="285">
        <v>-0.54751739509115882</v>
      </c>
      <c r="C4339" s="285">
        <v>2.2543557233675915</v>
      </c>
      <c r="D4339" s="285">
        <v>1.9404843171838495</v>
      </c>
      <c r="E4339" s="285">
        <v>-21.455782729342648</v>
      </c>
    </row>
    <row r="4340" spans="1:5">
      <c r="A4340" s="284">
        <f t="shared" si="1058"/>
        <v>4272</v>
      </c>
      <c r="B4340" s="285">
        <v>-3.6596641008812925</v>
      </c>
      <c r="C4340" s="285">
        <v>2.1517760767055658</v>
      </c>
      <c r="D4340" s="285">
        <v>-0.42944290152291464</v>
      </c>
      <c r="E4340" s="285">
        <v>-10.901085315268254</v>
      </c>
    </row>
    <row r="4341" spans="1:5">
      <c r="A4341" s="284">
        <f t="shared" si="1058"/>
        <v>4273</v>
      </c>
      <c r="B4341" s="285">
        <v>1.4648869504185216</v>
      </c>
      <c r="C4341" s="285">
        <v>2.6277223169689807</v>
      </c>
      <c r="D4341" s="285">
        <v>0.65199860685847666</v>
      </c>
      <c r="E4341" s="285">
        <v>-1.1006607239656063</v>
      </c>
    </row>
    <row r="4342" spans="1:5">
      <c r="A4342" s="284">
        <f t="shared" si="1058"/>
        <v>4274</v>
      </c>
      <c r="B4342" s="285">
        <v>-1.3782652400021977</v>
      </c>
      <c r="C4342" s="285">
        <v>2.3891496343987391</v>
      </c>
      <c r="D4342" s="285">
        <v>0.78052551956166472</v>
      </c>
      <c r="E4342" s="285">
        <v>-9.3213093032834138</v>
      </c>
    </row>
    <row r="4343" spans="1:5">
      <c r="A4343" s="284">
        <f t="shared" si="1058"/>
        <v>4275</v>
      </c>
      <c r="B4343" s="285">
        <v>6.3577772414215286</v>
      </c>
      <c r="C4343" s="285">
        <v>3.118341077307532</v>
      </c>
      <c r="D4343" s="285">
        <v>1.673740674213243</v>
      </c>
      <c r="E4343" s="285">
        <v>4.7000763179732736</v>
      </c>
    </row>
    <row r="4344" spans="1:5">
      <c r="A4344" s="284">
        <f t="shared" si="1058"/>
        <v>4276</v>
      </c>
      <c r="B4344" s="285">
        <v>-0.29560615428651754</v>
      </c>
      <c r="C4344" s="285">
        <v>2.9204904793632966</v>
      </c>
      <c r="D4344" s="285">
        <v>0.83660208837597405</v>
      </c>
      <c r="E4344" s="285">
        <v>-6.5628108196676536</v>
      </c>
    </row>
    <row r="4345" spans="1:5">
      <c r="A4345" s="284">
        <f t="shared" si="1058"/>
        <v>4277</v>
      </c>
      <c r="B4345" s="285">
        <v>-0.91848378662242469</v>
      </c>
      <c r="C4345" s="285">
        <v>2.4943013109397776</v>
      </c>
      <c r="D4345" s="285">
        <v>7.3054732510210663E-2</v>
      </c>
      <c r="E4345" s="285">
        <v>15.076068920370624</v>
      </c>
    </row>
    <row r="4346" spans="1:5">
      <c r="A4346" s="284">
        <f t="shared" si="1058"/>
        <v>4278</v>
      </c>
      <c r="B4346" s="285">
        <v>0.40932141878398975</v>
      </c>
      <c r="C4346" s="285">
        <v>3.1452069074243365</v>
      </c>
      <c r="D4346" s="285">
        <v>1.1373952250406252</v>
      </c>
      <c r="E4346" s="285">
        <v>13.283274760611963</v>
      </c>
    </row>
    <row r="4347" spans="1:5">
      <c r="A4347" s="284">
        <f t="shared" si="1058"/>
        <v>4279</v>
      </c>
      <c r="B4347" s="285">
        <v>-4.7887332204810722</v>
      </c>
      <c r="C4347" s="285">
        <v>2.3492663915026157</v>
      </c>
      <c r="D4347" s="285">
        <v>0.35950581223381817</v>
      </c>
      <c r="E4347" s="285">
        <v>5.4924063039103146</v>
      </c>
    </row>
    <row r="4348" spans="1:5">
      <c r="A4348" s="284">
        <f t="shared" si="1058"/>
        <v>4280</v>
      </c>
      <c r="B4348" s="285">
        <v>0.65447624501484758</v>
      </c>
      <c r="C4348" s="285">
        <v>2.6669778518511658</v>
      </c>
      <c r="D4348" s="285">
        <v>-0.63445067553872248</v>
      </c>
      <c r="E4348" s="285">
        <v>-1.5363241662569185</v>
      </c>
    </row>
    <row r="4349" spans="1:5">
      <c r="A4349" s="284">
        <f t="shared" si="1058"/>
        <v>4281</v>
      </c>
      <c r="B4349" s="285">
        <v>-2.4892811644117128</v>
      </c>
      <c r="C4349" s="285">
        <v>2.4837733394854262</v>
      </c>
      <c r="D4349" s="285">
        <v>2.7498601618036957</v>
      </c>
      <c r="E4349" s="285">
        <v>-5.0203806243879043</v>
      </c>
    </row>
    <row r="4350" spans="1:5">
      <c r="A4350" s="284">
        <f t="shared" si="1058"/>
        <v>4282</v>
      </c>
      <c r="B4350" s="285">
        <v>1.4163406039899071</v>
      </c>
      <c r="C4350" s="285">
        <v>3.1890409829843058</v>
      </c>
      <c r="D4350" s="285">
        <v>1.120571225825773</v>
      </c>
      <c r="E4350" s="285">
        <v>-2.3731798578418952</v>
      </c>
    </row>
    <row r="4351" spans="1:5">
      <c r="A4351" s="284">
        <f t="shared" si="1058"/>
        <v>4283</v>
      </c>
      <c r="B4351" s="285">
        <v>-2.3710166769108216</v>
      </c>
      <c r="C4351" s="285">
        <v>2.3836892531348752</v>
      </c>
      <c r="D4351" s="285">
        <v>-0.41857754395747993</v>
      </c>
      <c r="E4351" s="285">
        <v>12.503830324232363</v>
      </c>
    </row>
    <row r="4352" spans="1:5">
      <c r="A4352" s="284">
        <f t="shared" si="1058"/>
        <v>4284</v>
      </c>
      <c r="B4352" s="285">
        <v>6.2071002678221809</v>
      </c>
      <c r="C4352" s="285">
        <v>3.2746193794603293</v>
      </c>
      <c r="D4352" s="285">
        <v>1.7577758422512568</v>
      </c>
      <c r="E4352" s="285">
        <v>6.8070273990057011</v>
      </c>
    </row>
    <row r="4353" spans="1:5">
      <c r="A4353" s="284">
        <f t="shared" si="1058"/>
        <v>4285</v>
      </c>
      <c r="B4353" s="285">
        <v>-1.5116676374943498</v>
      </c>
      <c r="C4353" s="285">
        <v>3.2672387994659955</v>
      </c>
      <c r="D4353" s="285">
        <v>-0.85663143276739451</v>
      </c>
      <c r="E4353" s="285">
        <v>19.019949845656367</v>
      </c>
    </row>
    <row r="4354" spans="1:5">
      <c r="A4354" s="284">
        <f t="shared" si="1058"/>
        <v>4286</v>
      </c>
      <c r="B4354" s="285">
        <v>-2.9925697098585244</v>
      </c>
      <c r="C4354" s="285">
        <v>2.663361032786737</v>
      </c>
      <c r="D4354" s="285">
        <v>0.94964002191359065</v>
      </c>
      <c r="E4354" s="285">
        <v>4.4794214302222422</v>
      </c>
    </row>
    <row r="4355" spans="1:5">
      <c r="A4355" s="284">
        <f t="shared" si="1058"/>
        <v>4287</v>
      </c>
      <c r="B4355" s="285">
        <v>0.94730725699942753</v>
      </c>
      <c r="C4355" s="285">
        <v>2.6139403355713182</v>
      </c>
      <c r="D4355" s="285">
        <v>2.6642988537910215</v>
      </c>
      <c r="E4355" s="285">
        <v>-11.844757510190535</v>
      </c>
    </row>
    <row r="4356" spans="1:5">
      <c r="A4356" s="284">
        <f t="shared" si="1058"/>
        <v>4288</v>
      </c>
      <c r="B4356" s="285">
        <v>2.1041315352127952</v>
      </c>
      <c r="C4356" s="285">
        <v>3.0098487625102037</v>
      </c>
      <c r="D4356" s="285">
        <v>2.2034731924545912</v>
      </c>
      <c r="E4356" s="285">
        <v>-4.8456690437851115</v>
      </c>
    </row>
    <row r="4357" spans="1:5">
      <c r="A4357" s="284">
        <f t="shared" si="1058"/>
        <v>4289</v>
      </c>
      <c r="B4357" s="285">
        <v>-3.8687677996084076</v>
      </c>
      <c r="C4357" s="285">
        <v>1.881719056326381</v>
      </c>
      <c r="D4357" s="285">
        <v>0.83993223478026202</v>
      </c>
      <c r="E4357" s="285">
        <v>6.7292787789113095</v>
      </c>
    </row>
    <row r="4358" spans="1:5">
      <c r="A4358" s="284">
        <f t="shared" si="1058"/>
        <v>4290</v>
      </c>
      <c r="B4358" s="285">
        <v>-5.8519230401393232</v>
      </c>
      <c r="C4358" s="285">
        <v>1.6746151122125652</v>
      </c>
      <c r="D4358" s="285">
        <v>1.0556220150287006</v>
      </c>
      <c r="E4358" s="285">
        <v>-12.31601971855395</v>
      </c>
    </row>
    <row r="4359" spans="1:5">
      <c r="A4359" s="284">
        <f t="shared" ref="A4359:A4422" si="1059">A4358+1</f>
        <v>4291</v>
      </c>
      <c r="B4359" s="285">
        <v>3.0026523054979375</v>
      </c>
      <c r="C4359" s="285">
        <v>2.5891315352873336</v>
      </c>
      <c r="D4359" s="285">
        <v>0.2580123921855737</v>
      </c>
      <c r="E4359" s="285">
        <v>-5.4093640467765436</v>
      </c>
    </row>
    <row r="4360" spans="1:5">
      <c r="A4360" s="284">
        <f t="shared" si="1059"/>
        <v>4292</v>
      </c>
      <c r="B4360" s="285">
        <v>0.93269803305618282</v>
      </c>
      <c r="C4360" s="285">
        <v>3.6169619370878778</v>
      </c>
      <c r="D4360" s="285">
        <v>1.4420901351285402</v>
      </c>
      <c r="E4360" s="285">
        <v>20.244283284106629</v>
      </c>
    </row>
    <row r="4361" spans="1:5">
      <c r="A4361" s="284">
        <f t="shared" si="1059"/>
        <v>4293</v>
      </c>
      <c r="B4361" s="285">
        <v>-0.12023715185990247</v>
      </c>
      <c r="C4361" s="285">
        <v>2.4247500833480302</v>
      </c>
      <c r="D4361" s="285">
        <v>-0.43280087525068622</v>
      </c>
      <c r="E4361" s="285">
        <v>-4.9693159943113363</v>
      </c>
    </row>
    <row r="4362" spans="1:5">
      <c r="A4362" s="284">
        <f t="shared" si="1059"/>
        <v>4294</v>
      </c>
      <c r="B4362" s="285">
        <v>1.7899802771246209</v>
      </c>
      <c r="C4362" s="285">
        <v>2.8007530462132317</v>
      </c>
      <c r="D4362" s="285">
        <v>1.7471460842263606</v>
      </c>
      <c r="E4362" s="285">
        <v>1.2695346194479158</v>
      </c>
    </row>
    <row r="4363" spans="1:5">
      <c r="A4363" s="284">
        <f t="shared" si="1059"/>
        <v>4295</v>
      </c>
      <c r="B4363" s="285">
        <v>-2.904106035501139</v>
      </c>
      <c r="C4363" s="285">
        <v>1.5882249013314202</v>
      </c>
      <c r="D4363" s="285">
        <v>-0.13277889106406437</v>
      </c>
      <c r="E4363" s="285">
        <v>-13.331688549743408</v>
      </c>
    </row>
    <row r="4364" spans="1:5">
      <c r="A4364" s="284">
        <f t="shared" si="1059"/>
        <v>4296</v>
      </c>
      <c r="B4364" s="285">
        <v>-1.4330225776225471</v>
      </c>
      <c r="C4364" s="285">
        <v>2.1128833044389466</v>
      </c>
      <c r="D4364" s="285">
        <v>1.9169460718235218</v>
      </c>
      <c r="E4364" s="285">
        <v>6.761310051039775</v>
      </c>
    </row>
    <row r="4365" spans="1:5">
      <c r="A4365" s="284">
        <f t="shared" si="1059"/>
        <v>4297</v>
      </c>
      <c r="B4365" s="285">
        <v>-1.0182045296228739</v>
      </c>
      <c r="C4365" s="285">
        <v>1.2752093381410696</v>
      </c>
      <c r="D4365" s="285">
        <v>1.5100894324084639</v>
      </c>
      <c r="E4365" s="285">
        <v>-23.197137794123332</v>
      </c>
    </row>
    <row r="4366" spans="1:5">
      <c r="A4366" s="284">
        <f t="shared" si="1059"/>
        <v>4298</v>
      </c>
      <c r="B4366" s="285">
        <v>-1.1853545498099312</v>
      </c>
      <c r="C4366" s="285">
        <v>2.656896631747848</v>
      </c>
      <c r="D4366" s="285">
        <v>0.37521092827672775</v>
      </c>
      <c r="E4366" s="285">
        <v>0.9277309623304788</v>
      </c>
    </row>
    <row r="4367" spans="1:5">
      <c r="A4367" s="284">
        <f t="shared" si="1059"/>
        <v>4299</v>
      </c>
      <c r="B4367" s="285">
        <v>-1.0999732982139037</v>
      </c>
      <c r="C4367" s="285">
        <v>2.1001328400358283</v>
      </c>
      <c r="D4367" s="285">
        <v>0.74203785782809484</v>
      </c>
      <c r="E4367" s="285">
        <v>-8.8984136983835267</v>
      </c>
    </row>
    <row r="4368" spans="1:5">
      <c r="A4368" s="284">
        <f t="shared" si="1059"/>
        <v>4300</v>
      </c>
      <c r="B4368" s="285">
        <v>4.0637142551057348</v>
      </c>
      <c r="C4368" s="285">
        <v>3.3048873362904816</v>
      </c>
      <c r="D4368" s="285">
        <v>2.2144986206229866</v>
      </c>
      <c r="E4368" s="285">
        <v>16.809245185923704</v>
      </c>
    </row>
    <row r="4369" spans="1:5">
      <c r="A4369" s="284">
        <f t="shared" si="1059"/>
        <v>4301</v>
      </c>
      <c r="B4369" s="285">
        <v>-3.53768163410298</v>
      </c>
      <c r="C4369" s="285">
        <v>2.875858143389098</v>
      </c>
      <c r="D4369" s="285">
        <v>-0.9041778888447638</v>
      </c>
      <c r="E4369" s="285">
        <v>3.2592067294183358</v>
      </c>
    </row>
    <row r="4370" spans="1:5">
      <c r="A4370" s="284">
        <f t="shared" si="1059"/>
        <v>4302</v>
      </c>
      <c r="B4370" s="285">
        <v>0.47022018684082539</v>
      </c>
      <c r="C4370" s="285">
        <v>3.0893262263486543</v>
      </c>
      <c r="D4370" s="285">
        <v>-1.6249911270486361E-2</v>
      </c>
      <c r="E4370" s="285">
        <v>-4.7734987327032137</v>
      </c>
    </row>
    <row r="4371" spans="1:5">
      <c r="A4371" s="284">
        <f t="shared" si="1059"/>
        <v>4303</v>
      </c>
      <c r="B4371" s="285">
        <v>-0.10303184802871292</v>
      </c>
      <c r="C4371" s="285">
        <v>2.6349963429817009</v>
      </c>
      <c r="D4371" s="285">
        <v>-0.12691604468549689</v>
      </c>
      <c r="E4371" s="285">
        <v>6.4961356821976608</v>
      </c>
    </row>
    <row r="4372" spans="1:5">
      <c r="A4372" s="284">
        <f t="shared" si="1059"/>
        <v>4304</v>
      </c>
      <c r="B4372" s="285">
        <v>-2.7034192601040217</v>
      </c>
      <c r="C4372" s="285">
        <v>2.5107189532184284</v>
      </c>
      <c r="D4372" s="285">
        <v>9.3845501719753699E-3</v>
      </c>
      <c r="E4372" s="285">
        <v>6.089522564531789</v>
      </c>
    </row>
    <row r="4373" spans="1:5">
      <c r="A4373" s="284">
        <f t="shared" si="1059"/>
        <v>4305</v>
      </c>
      <c r="B4373" s="285">
        <v>2.8255992307302211</v>
      </c>
      <c r="C4373" s="285">
        <v>2.9236528494303551</v>
      </c>
      <c r="D4373" s="285">
        <v>3.4864227221578155</v>
      </c>
      <c r="E4373" s="285">
        <v>-11.174726939537058</v>
      </c>
    </row>
    <row r="4374" spans="1:5">
      <c r="A4374" s="284">
        <f t="shared" si="1059"/>
        <v>4306</v>
      </c>
      <c r="B4374" s="285">
        <v>1.3730321428791539</v>
      </c>
      <c r="C4374" s="285">
        <v>2.9594245926025526</v>
      </c>
      <c r="D4374" s="285">
        <v>-0.16635687849130742</v>
      </c>
      <c r="E4374" s="285">
        <v>4.2486480795652497</v>
      </c>
    </row>
    <row r="4375" spans="1:5">
      <c r="A4375" s="284">
        <f t="shared" si="1059"/>
        <v>4307</v>
      </c>
      <c r="B4375" s="285">
        <v>-0.64131193496645711</v>
      </c>
      <c r="C4375" s="285">
        <v>2.0124056551719081</v>
      </c>
      <c r="D4375" s="285">
        <v>1.3970585943338751</v>
      </c>
      <c r="E4375" s="285">
        <v>-7.928248203685925</v>
      </c>
    </row>
    <row r="4376" spans="1:5">
      <c r="A4376" s="284">
        <f t="shared" si="1059"/>
        <v>4308</v>
      </c>
      <c r="B4376" s="285">
        <v>-2.4160288861015293</v>
      </c>
      <c r="C4376" s="285">
        <v>2.9923225399996607</v>
      </c>
      <c r="D4376" s="285">
        <v>-0.94231383656921697</v>
      </c>
      <c r="E4376" s="285">
        <v>11.202475127015099</v>
      </c>
    </row>
    <row r="4377" spans="1:5">
      <c r="A4377" s="284">
        <f t="shared" si="1059"/>
        <v>4309</v>
      </c>
      <c r="B4377" s="285">
        <v>-1.3248126038638048</v>
      </c>
      <c r="C4377" s="285">
        <v>2.9817086310542082</v>
      </c>
      <c r="D4377" s="285">
        <v>1.4730258696269105</v>
      </c>
      <c r="E4377" s="285">
        <v>-3.6431649181920167</v>
      </c>
    </row>
    <row r="4378" spans="1:5">
      <c r="A4378" s="284">
        <f t="shared" si="1059"/>
        <v>4310</v>
      </c>
      <c r="B4378" s="285">
        <v>-1.1117444266189653</v>
      </c>
      <c r="C4378" s="285">
        <v>1.4749285390127973</v>
      </c>
      <c r="D4378" s="285">
        <v>-0.93285267462396249</v>
      </c>
      <c r="E4378" s="285">
        <v>-24.54566556013269</v>
      </c>
    </row>
    <row r="4379" spans="1:5">
      <c r="A4379" s="284">
        <f t="shared" si="1059"/>
        <v>4311</v>
      </c>
      <c r="B4379" s="285">
        <v>-1.0157659287088712</v>
      </c>
      <c r="C4379" s="285">
        <v>1.815382700622286</v>
      </c>
      <c r="D4379" s="285">
        <v>3.1092029872545535</v>
      </c>
      <c r="E4379" s="285">
        <v>-23.30825085039055</v>
      </c>
    </row>
    <row r="4380" spans="1:5">
      <c r="A4380" s="284">
        <f t="shared" si="1059"/>
        <v>4312</v>
      </c>
      <c r="B4380" s="285">
        <v>-0.55047853407746261</v>
      </c>
      <c r="C4380" s="285">
        <v>2.6908907001702831</v>
      </c>
      <c r="D4380" s="285">
        <v>0.99175306385753337</v>
      </c>
      <c r="E4380" s="285">
        <v>-2.0286732395918463</v>
      </c>
    </row>
    <row r="4381" spans="1:5">
      <c r="A4381" s="284">
        <f t="shared" si="1059"/>
        <v>4313</v>
      </c>
      <c r="B4381" s="285">
        <v>2.444413351726082</v>
      </c>
      <c r="C4381" s="285">
        <v>3.1753466333901157</v>
      </c>
      <c r="D4381" s="285">
        <v>1.1551566798834543</v>
      </c>
      <c r="E4381" s="285">
        <v>5.5736955596255644</v>
      </c>
    </row>
    <row r="4382" spans="1:5">
      <c r="A4382" s="284">
        <f t="shared" si="1059"/>
        <v>4314</v>
      </c>
      <c r="B4382" s="285">
        <v>-1.6627121139655923</v>
      </c>
      <c r="C4382" s="285">
        <v>2.284735046966297</v>
      </c>
      <c r="D4382" s="285">
        <v>0.6354393564480072</v>
      </c>
      <c r="E4382" s="285">
        <v>-4.2286205050634393</v>
      </c>
    </row>
    <row r="4383" spans="1:5">
      <c r="A4383" s="284">
        <f t="shared" si="1059"/>
        <v>4315</v>
      </c>
      <c r="B4383" s="285">
        <v>2.2102595119130775</v>
      </c>
      <c r="C4383" s="285">
        <v>2.6210830479575447</v>
      </c>
      <c r="D4383" s="285">
        <v>2.2742223036541405</v>
      </c>
      <c r="E4383" s="285">
        <v>-11.207506961960794</v>
      </c>
    </row>
    <row r="4384" spans="1:5">
      <c r="A4384" s="284">
        <f t="shared" si="1059"/>
        <v>4316</v>
      </c>
      <c r="B4384" s="285">
        <v>-1.2088268762053831</v>
      </c>
      <c r="C4384" s="285">
        <v>3.2173057137917347</v>
      </c>
      <c r="D4384" s="285">
        <v>0.68129841149668924</v>
      </c>
      <c r="E4384" s="285">
        <v>16.733754652773843</v>
      </c>
    </row>
    <row r="4385" spans="1:5">
      <c r="A4385" s="284">
        <f t="shared" si="1059"/>
        <v>4317</v>
      </c>
      <c r="B4385" s="285">
        <v>-0.53200878536598983</v>
      </c>
      <c r="C4385" s="285">
        <v>3.2951386534875433</v>
      </c>
      <c r="D4385" s="285">
        <v>0.19282527808715866</v>
      </c>
      <c r="E4385" s="285">
        <v>24.202438923016413</v>
      </c>
    </row>
    <row r="4386" spans="1:5">
      <c r="A4386" s="284">
        <f t="shared" si="1059"/>
        <v>4318</v>
      </c>
      <c r="B4386" s="285">
        <v>2.6542043051149893</v>
      </c>
      <c r="C4386" s="285">
        <v>2.8912482011282394</v>
      </c>
      <c r="D4386" s="285">
        <v>0.51083286266416339</v>
      </c>
      <c r="E4386" s="285">
        <v>4.1443389924433287</v>
      </c>
    </row>
    <row r="4387" spans="1:5">
      <c r="A4387" s="284">
        <f t="shared" si="1059"/>
        <v>4319</v>
      </c>
      <c r="B4387" s="285">
        <v>0.231347810749399</v>
      </c>
      <c r="C4387" s="285">
        <v>2.7897803079292665</v>
      </c>
      <c r="D4387" s="285">
        <v>1.1903469673535676</v>
      </c>
      <c r="E4387" s="285">
        <v>11.888526607380046</v>
      </c>
    </row>
    <row r="4388" spans="1:5">
      <c r="A4388" s="284">
        <f t="shared" si="1059"/>
        <v>4320</v>
      </c>
      <c r="B4388" s="285">
        <v>0.37492658027325459</v>
      </c>
      <c r="C4388" s="285">
        <v>2.0040623578040018</v>
      </c>
      <c r="D4388" s="285">
        <v>2.4421490594148514</v>
      </c>
      <c r="E4388" s="285">
        <v>-9.3720823300681531</v>
      </c>
    </row>
    <row r="4389" spans="1:5">
      <c r="A4389" s="284">
        <f t="shared" si="1059"/>
        <v>4321</v>
      </c>
      <c r="B4389" s="285">
        <v>0.42069143603742654</v>
      </c>
      <c r="C4389" s="285">
        <v>2.9512767140043064</v>
      </c>
      <c r="D4389" s="285">
        <v>3.1035456449905947</v>
      </c>
      <c r="E4389" s="285">
        <v>-6.3339321548906486</v>
      </c>
    </row>
    <row r="4390" spans="1:5">
      <c r="A4390" s="284">
        <f t="shared" si="1059"/>
        <v>4322</v>
      </c>
      <c r="B4390" s="285">
        <v>-0.50091754817848477</v>
      </c>
      <c r="C4390" s="285">
        <v>2.2722051974994542</v>
      </c>
      <c r="D4390" s="285">
        <v>0.15665413294764186</v>
      </c>
      <c r="E4390" s="285">
        <v>-2.5191360687787383</v>
      </c>
    </row>
    <row r="4391" spans="1:5">
      <c r="A4391" s="284">
        <f t="shared" si="1059"/>
        <v>4323</v>
      </c>
      <c r="B4391" s="285">
        <v>1.7166745690002727</v>
      </c>
      <c r="C4391" s="285">
        <v>3.2243113966004175</v>
      </c>
      <c r="D4391" s="285">
        <v>1.1203633878605304</v>
      </c>
      <c r="E4391" s="285">
        <v>9.216472873115249</v>
      </c>
    </row>
    <row r="4392" spans="1:5">
      <c r="A4392" s="284">
        <f t="shared" si="1059"/>
        <v>4324</v>
      </c>
      <c r="B4392" s="285">
        <v>2.5702302833026027</v>
      </c>
      <c r="C4392" s="285">
        <v>3.0580916387788499</v>
      </c>
      <c r="D4392" s="285">
        <v>1.7923991618986701</v>
      </c>
      <c r="E4392" s="285">
        <v>-1.5444185249039983</v>
      </c>
    </row>
    <row r="4393" spans="1:5">
      <c r="A4393" s="284">
        <f t="shared" si="1059"/>
        <v>4325</v>
      </c>
      <c r="B4393" s="285">
        <v>1.2563480288007225</v>
      </c>
      <c r="C4393" s="285">
        <v>2.4799980808354114</v>
      </c>
      <c r="D4393" s="285">
        <v>2.0338574051485976</v>
      </c>
      <c r="E4393" s="285">
        <v>-6.9182809520047392</v>
      </c>
    </row>
    <row r="4394" spans="1:5">
      <c r="A4394" s="284">
        <f t="shared" si="1059"/>
        <v>4326</v>
      </c>
      <c r="B4394" s="285">
        <v>0.57025631750177641</v>
      </c>
      <c r="C4394" s="285">
        <v>2.5154801222858092</v>
      </c>
      <c r="D4394" s="285">
        <v>2.1201472892978215</v>
      </c>
      <c r="E4394" s="285">
        <v>-7.762654168903719</v>
      </c>
    </row>
    <row r="4395" spans="1:5">
      <c r="A4395" s="284">
        <f t="shared" si="1059"/>
        <v>4327</v>
      </c>
      <c r="B4395" s="285">
        <v>-0.7274246197582952</v>
      </c>
      <c r="C4395" s="285">
        <v>2.6536379659091978</v>
      </c>
      <c r="D4395" s="285">
        <v>1.0963673898519808</v>
      </c>
      <c r="E4395" s="285">
        <v>6.3137211784823553</v>
      </c>
    </row>
    <row r="4396" spans="1:5">
      <c r="A4396" s="284">
        <f t="shared" si="1059"/>
        <v>4328</v>
      </c>
      <c r="B4396" s="285">
        <v>-0.75315908035421109</v>
      </c>
      <c r="C4396" s="285">
        <v>2.6331246860995097</v>
      </c>
      <c r="D4396" s="285">
        <v>1.9382922435161323</v>
      </c>
      <c r="E4396" s="285">
        <v>1.1470884080196497</v>
      </c>
    </row>
    <row r="4397" spans="1:5">
      <c r="A4397" s="284">
        <f t="shared" si="1059"/>
        <v>4329</v>
      </c>
      <c r="B4397" s="285">
        <v>1.3530239809369988</v>
      </c>
      <c r="C4397" s="285">
        <v>1.8591247960558528</v>
      </c>
      <c r="D4397" s="285">
        <v>2.1634232707747172</v>
      </c>
      <c r="E4397" s="285">
        <v>-18.880256826805578</v>
      </c>
    </row>
    <row r="4398" spans="1:5">
      <c r="A4398" s="284">
        <f t="shared" si="1059"/>
        <v>4330</v>
      </c>
      <c r="B4398" s="285">
        <v>2.0984168324891481</v>
      </c>
      <c r="C4398" s="285">
        <v>2.4136026240469883</v>
      </c>
      <c r="D4398" s="285">
        <v>1.6061288313006266</v>
      </c>
      <c r="E4398" s="285">
        <v>-6.267174731410238</v>
      </c>
    </row>
    <row r="4399" spans="1:5">
      <c r="A4399" s="284">
        <f t="shared" si="1059"/>
        <v>4331</v>
      </c>
      <c r="B4399" s="285">
        <v>-3.3869645540989493</v>
      </c>
      <c r="C4399" s="285">
        <v>1.786571839855529</v>
      </c>
      <c r="D4399" s="285">
        <v>-0.23730570972229725</v>
      </c>
      <c r="E4399" s="285">
        <v>-6.0103400132743392</v>
      </c>
    </row>
    <row r="4400" spans="1:5">
      <c r="A4400" s="284">
        <f t="shared" si="1059"/>
        <v>4332</v>
      </c>
      <c r="B4400" s="285">
        <v>1.6648433418954597E-2</v>
      </c>
      <c r="C4400" s="285">
        <v>2.6314403816868186</v>
      </c>
      <c r="D4400" s="285">
        <v>0.42072062095705098</v>
      </c>
      <c r="E4400" s="285">
        <v>2.3452924360507583</v>
      </c>
    </row>
    <row r="4401" spans="1:5">
      <c r="A4401" s="284">
        <f t="shared" si="1059"/>
        <v>4333</v>
      </c>
      <c r="B4401" s="285">
        <v>2.9932524885476091</v>
      </c>
      <c r="C4401" s="285">
        <v>2.7520146841744775</v>
      </c>
      <c r="D4401" s="285">
        <v>1.7513468989165419</v>
      </c>
      <c r="E4401" s="285">
        <v>0.17612218396847634</v>
      </c>
    </row>
    <row r="4402" spans="1:5">
      <c r="A4402" s="284">
        <f t="shared" si="1059"/>
        <v>4334</v>
      </c>
      <c r="B4402" s="285">
        <v>-0.76475200862137793</v>
      </c>
      <c r="C4402" s="285">
        <v>2.9642374032879197</v>
      </c>
      <c r="D4402" s="285">
        <v>1.980088009096274</v>
      </c>
      <c r="E4402" s="285">
        <v>9.0166435797882478</v>
      </c>
    </row>
    <row r="4403" spans="1:5">
      <c r="A4403" s="284">
        <f t="shared" si="1059"/>
        <v>4335</v>
      </c>
      <c r="B4403" s="285">
        <v>1.6591489693501302</v>
      </c>
      <c r="C4403" s="285">
        <v>3.3115095263966992</v>
      </c>
      <c r="D4403" s="285">
        <v>1.9641312847014194</v>
      </c>
      <c r="E4403" s="285">
        <v>11.340408101184893</v>
      </c>
    </row>
    <row r="4404" spans="1:5">
      <c r="A4404" s="284">
        <f t="shared" si="1059"/>
        <v>4336</v>
      </c>
      <c r="B4404" s="285">
        <v>-1.3722895822050376</v>
      </c>
      <c r="C4404" s="285">
        <v>2.7668857216269442</v>
      </c>
      <c r="D4404" s="285">
        <v>2.2761095881546312</v>
      </c>
      <c r="E4404" s="285">
        <v>6.2618026714265405</v>
      </c>
    </row>
    <row r="4405" spans="1:5">
      <c r="A4405" s="284">
        <f t="shared" si="1059"/>
        <v>4337</v>
      </c>
      <c r="B4405" s="285">
        <v>4.509029152837738</v>
      </c>
      <c r="C4405" s="285">
        <v>3.3761457104499524</v>
      </c>
      <c r="D4405" s="285">
        <v>0.39052590863212222</v>
      </c>
      <c r="E4405" s="285">
        <v>3.1360358875995371</v>
      </c>
    </row>
    <row r="4406" spans="1:5">
      <c r="A4406" s="284">
        <f t="shared" si="1059"/>
        <v>4338</v>
      </c>
      <c r="B4406" s="285">
        <v>3.5227549316312903</v>
      </c>
      <c r="C4406" s="285">
        <v>2.3115320171838527</v>
      </c>
      <c r="D4406" s="285">
        <v>3.7089625745467298</v>
      </c>
      <c r="E4406" s="285">
        <v>-14.662156860227563</v>
      </c>
    </row>
    <row r="4407" spans="1:5">
      <c r="A4407" s="284">
        <f t="shared" si="1059"/>
        <v>4339</v>
      </c>
      <c r="B4407" s="285">
        <v>1.1395241138797576</v>
      </c>
      <c r="C4407" s="285">
        <v>2.5724902580471358</v>
      </c>
      <c r="D4407" s="285">
        <v>1.9151830961803087</v>
      </c>
      <c r="E4407" s="285">
        <v>0.87283268596765318</v>
      </c>
    </row>
    <row r="4408" spans="1:5">
      <c r="A4408" s="284">
        <f t="shared" si="1059"/>
        <v>4340</v>
      </c>
      <c r="B4408" s="285">
        <v>-0.25460012658072673</v>
      </c>
      <c r="C4408" s="285">
        <v>3.0271247585500323</v>
      </c>
      <c r="D4408" s="285">
        <v>1.0749479519287437</v>
      </c>
      <c r="E4408" s="285">
        <v>1.7964816256022424</v>
      </c>
    </row>
    <row r="4409" spans="1:5">
      <c r="A4409" s="284">
        <f t="shared" si="1059"/>
        <v>4341</v>
      </c>
      <c r="B4409" s="285">
        <v>-0.59408815351036059</v>
      </c>
      <c r="C4409" s="285">
        <v>2.7293580916045506</v>
      </c>
      <c r="D4409" s="285">
        <v>0.15925630094235999</v>
      </c>
      <c r="E4409" s="285">
        <v>2.6084470623484388</v>
      </c>
    </row>
    <row r="4410" spans="1:5">
      <c r="A4410" s="284">
        <f t="shared" si="1059"/>
        <v>4342</v>
      </c>
      <c r="B4410" s="285">
        <v>-0.49509507002269759</v>
      </c>
      <c r="C4410" s="285">
        <v>2.3570362322735989</v>
      </c>
      <c r="D4410" s="285">
        <v>2.4689630685447463</v>
      </c>
      <c r="E4410" s="285">
        <v>-3.3722724999784623</v>
      </c>
    </row>
    <row r="4411" spans="1:5">
      <c r="A4411" s="284">
        <f t="shared" si="1059"/>
        <v>4343</v>
      </c>
      <c r="B4411" s="285">
        <v>-1.2903878525984176</v>
      </c>
      <c r="C4411" s="285">
        <v>3.171533923727246</v>
      </c>
      <c r="D4411" s="285">
        <v>2.8513804084358139</v>
      </c>
      <c r="E4411" s="285">
        <v>13.480589503717432</v>
      </c>
    </row>
    <row r="4412" spans="1:5">
      <c r="A4412" s="284">
        <f t="shared" si="1059"/>
        <v>4344</v>
      </c>
      <c r="B4412" s="285">
        <v>1.4869069497444261</v>
      </c>
      <c r="C4412" s="285">
        <v>2.8602234528239134</v>
      </c>
      <c r="D4412" s="285">
        <v>0.88924418958828366</v>
      </c>
      <c r="E4412" s="285">
        <v>-3.3595707381582511</v>
      </c>
    </row>
    <row r="4413" spans="1:5">
      <c r="A4413" s="284">
        <f t="shared" si="1059"/>
        <v>4345</v>
      </c>
      <c r="B4413" s="285">
        <v>1.9315396168959635</v>
      </c>
      <c r="C4413" s="285">
        <v>2.6959908205696426</v>
      </c>
      <c r="D4413" s="285">
        <v>0.9232258662555568</v>
      </c>
      <c r="E4413" s="285">
        <v>4.9867455212127965</v>
      </c>
    </row>
    <row r="4414" spans="1:5">
      <c r="A4414" s="284">
        <f t="shared" si="1059"/>
        <v>4346</v>
      </c>
      <c r="B4414" s="285">
        <v>3.6721274744241335</v>
      </c>
      <c r="C4414" s="285">
        <v>3.0230401558875788</v>
      </c>
      <c r="D4414" s="285">
        <v>-0.31915339801370024</v>
      </c>
      <c r="E4414" s="285">
        <v>5.1864275259137429</v>
      </c>
    </row>
    <row r="4415" spans="1:5">
      <c r="A4415" s="284">
        <f t="shared" si="1059"/>
        <v>4347</v>
      </c>
      <c r="B4415" s="285">
        <v>-2.2511187581674204</v>
      </c>
      <c r="C4415" s="285">
        <v>1.335698088642798</v>
      </c>
      <c r="D4415" s="285">
        <v>3.073672631676347</v>
      </c>
      <c r="E4415" s="285">
        <v>-17.120323398718121</v>
      </c>
    </row>
    <row r="4416" spans="1:5">
      <c r="A4416" s="284">
        <f t="shared" si="1059"/>
        <v>4348</v>
      </c>
      <c r="B4416" s="285">
        <v>0.3118129280137385</v>
      </c>
      <c r="C4416" s="285">
        <v>2.5123946885687491</v>
      </c>
      <c r="D4416" s="285">
        <v>1.1345806768749112</v>
      </c>
      <c r="E4416" s="285">
        <v>-0.361673928720323</v>
      </c>
    </row>
    <row r="4417" spans="1:5">
      <c r="A4417" s="284">
        <f t="shared" si="1059"/>
        <v>4349</v>
      </c>
      <c r="B4417" s="285">
        <v>0.5420306071772647</v>
      </c>
      <c r="C4417" s="285">
        <v>3.1665248485094257</v>
      </c>
      <c r="D4417" s="285">
        <v>0.4994290329624671</v>
      </c>
      <c r="E4417" s="285">
        <v>8.307370571777918</v>
      </c>
    </row>
    <row r="4418" spans="1:5">
      <c r="A4418" s="284">
        <f t="shared" si="1059"/>
        <v>4350</v>
      </c>
      <c r="B4418" s="285">
        <v>-1.074724412253369</v>
      </c>
      <c r="C4418" s="285">
        <v>2.1900571958496147</v>
      </c>
      <c r="D4418" s="285">
        <v>2.6879259106296041</v>
      </c>
      <c r="E4418" s="285">
        <v>-15.92594880864157</v>
      </c>
    </row>
    <row r="4419" spans="1:5">
      <c r="A4419" s="284">
        <f t="shared" si="1059"/>
        <v>4351</v>
      </c>
      <c r="B4419" s="285">
        <v>-1.058117751363526</v>
      </c>
      <c r="C4419" s="285">
        <v>2.6352335215054121</v>
      </c>
      <c r="D4419" s="285">
        <v>-1.2116569761288067</v>
      </c>
      <c r="E4419" s="285">
        <v>1.22238282464791</v>
      </c>
    </row>
    <row r="4420" spans="1:5">
      <c r="A4420" s="284">
        <f t="shared" si="1059"/>
        <v>4352</v>
      </c>
      <c r="B4420" s="285">
        <v>-1.1060696250397819</v>
      </c>
      <c r="C4420" s="285">
        <v>2.399090977379656</v>
      </c>
      <c r="D4420" s="285">
        <v>1.7205550744430136</v>
      </c>
      <c r="E4420" s="285">
        <v>-8.5313214519421052</v>
      </c>
    </row>
    <row r="4421" spans="1:5">
      <c r="A4421" s="284">
        <f t="shared" si="1059"/>
        <v>4353</v>
      </c>
      <c r="B4421" s="285">
        <v>3.2941636429319243</v>
      </c>
      <c r="C4421" s="285">
        <v>2.977996385157287</v>
      </c>
      <c r="D4421" s="285">
        <v>1.7661425444114238</v>
      </c>
      <c r="E4421" s="285">
        <v>-2.3326051150861433</v>
      </c>
    </row>
    <row r="4422" spans="1:5">
      <c r="A4422" s="284">
        <f t="shared" si="1059"/>
        <v>4354</v>
      </c>
      <c r="B4422" s="285">
        <v>-0.53007637580882516</v>
      </c>
      <c r="C4422" s="285">
        <v>3.6651419138542218</v>
      </c>
      <c r="D4422" s="285">
        <v>4.8047032325932326E-2</v>
      </c>
      <c r="E4422" s="285">
        <v>24.281641121348361</v>
      </c>
    </row>
    <row r="4423" spans="1:5">
      <c r="A4423" s="284">
        <f t="shared" ref="A4423:A4486" si="1060">A4422+1</f>
        <v>4355</v>
      </c>
      <c r="B4423" s="285">
        <v>-1.2037753370310686</v>
      </c>
      <c r="C4423" s="285">
        <v>2.1427256132742674</v>
      </c>
      <c r="D4423" s="285">
        <v>-0.96842654824732266</v>
      </c>
      <c r="E4423" s="285">
        <v>-11.272553638782608</v>
      </c>
    </row>
    <row r="4424" spans="1:5">
      <c r="A4424" s="284">
        <f t="shared" si="1060"/>
        <v>4356</v>
      </c>
      <c r="B4424" s="285">
        <v>1.5085269742727603</v>
      </c>
      <c r="C4424" s="285">
        <v>3.0224855196215206</v>
      </c>
      <c r="D4424" s="285">
        <v>2.5621407570833994</v>
      </c>
      <c r="E4424" s="285">
        <v>1.0208250968610719</v>
      </c>
    </row>
    <row r="4425" spans="1:5">
      <c r="A4425" s="284">
        <f t="shared" si="1060"/>
        <v>4357</v>
      </c>
      <c r="B4425" s="285">
        <v>-2.2558692909065066</v>
      </c>
      <c r="C4425" s="285">
        <v>2.27685155670678</v>
      </c>
      <c r="D4425" s="285">
        <v>2.5164923288223058</v>
      </c>
      <c r="E4425" s="285">
        <v>-9.0050681196705167</v>
      </c>
    </row>
    <row r="4426" spans="1:5">
      <c r="A4426" s="284">
        <f t="shared" si="1060"/>
        <v>4358</v>
      </c>
      <c r="B4426" s="285">
        <v>-1.1862536914658135</v>
      </c>
      <c r="C4426" s="285">
        <v>2.3642882468723601</v>
      </c>
      <c r="D4426" s="285">
        <v>3.3195571967263198</v>
      </c>
      <c r="E4426" s="285">
        <v>-7.1457579414454386</v>
      </c>
    </row>
    <row r="4427" spans="1:5">
      <c r="A4427" s="284">
        <f t="shared" si="1060"/>
        <v>4359</v>
      </c>
      <c r="B4427" s="285">
        <v>1.8008066363163451</v>
      </c>
      <c r="C4427" s="285">
        <v>2.3503043958203387</v>
      </c>
      <c r="D4427" s="285">
        <v>5.2193536927533488</v>
      </c>
      <c r="E4427" s="285">
        <v>-6.2796260436591957</v>
      </c>
    </row>
    <row r="4428" spans="1:5">
      <c r="A4428" s="284">
        <f t="shared" si="1060"/>
        <v>4360</v>
      </c>
      <c r="B4428" s="285">
        <v>-3.7736951637481138</v>
      </c>
      <c r="C4428" s="285">
        <v>2.2401576759268971</v>
      </c>
      <c r="D4428" s="285">
        <v>-4.2522351096727196E-2</v>
      </c>
      <c r="E4428" s="285">
        <v>-3.9501654202224858</v>
      </c>
    </row>
    <row r="4429" spans="1:5">
      <c r="A4429" s="284">
        <f t="shared" si="1060"/>
        <v>4361</v>
      </c>
      <c r="B4429" s="285">
        <v>0.2640378739318387</v>
      </c>
      <c r="C4429" s="285">
        <v>1.8050907249589896</v>
      </c>
      <c r="D4429" s="285">
        <v>0.37835349207188351</v>
      </c>
      <c r="E4429" s="285">
        <v>-20.873812931899526</v>
      </c>
    </row>
    <row r="4430" spans="1:5">
      <c r="A4430" s="284">
        <f t="shared" si="1060"/>
        <v>4362</v>
      </c>
      <c r="B4430" s="285">
        <v>2.8498355924325907</v>
      </c>
      <c r="C4430" s="285">
        <v>2.6488937298007311</v>
      </c>
      <c r="D4430" s="285">
        <v>2.4992800551358583</v>
      </c>
      <c r="E4430" s="285">
        <v>-2.8185933833779178</v>
      </c>
    </row>
    <row r="4431" spans="1:5">
      <c r="A4431" s="284">
        <f t="shared" si="1060"/>
        <v>4363</v>
      </c>
      <c r="B4431" s="285">
        <v>-4.5937996900912745</v>
      </c>
      <c r="C4431" s="285">
        <v>2.097699101617382</v>
      </c>
      <c r="D4431" s="285">
        <v>1.4013434396907685</v>
      </c>
      <c r="E4431" s="285">
        <v>6.7301967057930234E-2</v>
      </c>
    </row>
    <row r="4432" spans="1:5">
      <c r="A4432" s="284">
        <f t="shared" si="1060"/>
        <v>4364</v>
      </c>
      <c r="B4432" s="285">
        <v>-4.3932961136864925</v>
      </c>
      <c r="C4432" s="285">
        <v>1.4131402233866783</v>
      </c>
      <c r="D4432" s="285">
        <v>0.46692946626404574</v>
      </c>
      <c r="E4432" s="285">
        <v>-13.398405858578986</v>
      </c>
    </row>
    <row r="4433" spans="1:5">
      <c r="A4433" s="284">
        <f t="shared" si="1060"/>
        <v>4365</v>
      </c>
      <c r="B4433" s="285">
        <v>1.4129350441926194</v>
      </c>
      <c r="C4433" s="285">
        <v>2.4597959751790621</v>
      </c>
      <c r="D4433" s="285">
        <v>3.4815922071570333</v>
      </c>
      <c r="E4433" s="285">
        <v>-1.7312106433688199</v>
      </c>
    </row>
    <row r="4434" spans="1:5">
      <c r="A4434" s="284">
        <f t="shared" si="1060"/>
        <v>4366</v>
      </c>
      <c r="B4434" s="285">
        <v>0.49776089139317004</v>
      </c>
      <c r="C4434" s="285">
        <v>3.0749811132424103</v>
      </c>
      <c r="D4434" s="285">
        <v>3.0989072028879239E-2</v>
      </c>
      <c r="E4434" s="285">
        <v>4.9824476008273582</v>
      </c>
    </row>
    <row r="4435" spans="1:5">
      <c r="A4435" s="284">
        <f t="shared" si="1060"/>
        <v>4367</v>
      </c>
      <c r="B4435" s="285">
        <v>-6.1534553425561089</v>
      </c>
      <c r="C4435" s="285">
        <v>1.9761684275275424</v>
      </c>
      <c r="D4435" s="285">
        <v>1.1283105989003102</v>
      </c>
      <c r="E4435" s="285">
        <v>-7.991090234958353</v>
      </c>
    </row>
    <row r="4436" spans="1:5">
      <c r="A4436" s="284">
        <f t="shared" si="1060"/>
        <v>4368</v>
      </c>
      <c r="B4436" s="285">
        <v>2.1139312463565956</v>
      </c>
      <c r="C4436" s="285">
        <v>2.6651173774351982</v>
      </c>
      <c r="D4436" s="285">
        <v>2.412896865763809</v>
      </c>
      <c r="E4436" s="285">
        <v>-2.4108279701466024</v>
      </c>
    </row>
    <row r="4437" spans="1:5">
      <c r="A4437" s="284">
        <f t="shared" si="1060"/>
        <v>4369</v>
      </c>
      <c r="B4437" s="285">
        <v>-1.5559195491021782</v>
      </c>
      <c r="C4437" s="285">
        <v>2.5354232240191985</v>
      </c>
      <c r="D4437" s="285">
        <v>-1.183754734059022</v>
      </c>
      <c r="E4437" s="285">
        <v>-7.0901188548081731</v>
      </c>
    </row>
    <row r="4438" spans="1:5">
      <c r="A4438" s="284">
        <f t="shared" si="1060"/>
        <v>4370</v>
      </c>
      <c r="B4438" s="285">
        <v>-0.9350522427556488</v>
      </c>
      <c r="C4438" s="285">
        <v>1.9816811471218312</v>
      </c>
      <c r="D4438" s="285">
        <v>2.0750758348719032</v>
      </c>
      <c r="E4438" s="285">
        <v>-11.727743186973155</v>
      </c>
    </row>
    <row r="4439" spans="1:5">
      <c r="A4439" s="284">
        <f t="shared" si="1060"/>
        <v>4371</v>
      </c>
      <c r="B4439" s="285">
        <v>3.9629850397192197</v>
      </c>
      <c r="C4439" s="285">
        <v>3.1883441892791575</v>
      </c>
      <c r="D4439" s="285">
        <v>1.3989539680978909</v>
      </c>
      <c r="E4439" s="285">
        <v>0.83028655042766353</v>
      </c>
    </row>
    <row r="4440" spans="1:5">
      <c r="A4440" s="284">
        <f t="shared" si="1060"/>
        <v>4372</v>
      </c>
      <c r="B4440" s="285">
        <v>-1.6020164047672976</v>
      </c>
      <c r="C4440" s="285">
        <v>2.6954425891718428</v>
      </c>
      <c r="D4440" s="285">
        <v>2.0782080698587806</v>
      </c>
      <c r="E4440" s="285">
        <v>13.018201857681508</v>
      </c>
    </row>
    <row r="4441" spans="1:5">
      <c r="A4441" s="284">
        <f t="shared" si="1060"/>
        <v>4373</v>
      </c>
      <c r="B4441" s="285">
        <v>-1.1784730779050028</v>
      </c>
      <c r="C4441" s="285">
        <v>2.0542777332949251</v>
      </c>
      <c r="D4441" s="285">
        <v>1.2927455033765494</v>
      </c>
      <c r="E4441" s="285">
        <v>-11.412740823102551</v>
      </c>
    </row>
    <row r="4442" spans="1:5">
      <c r="A4442" s="284">
        <f t="shared" si="1060"/>
        <v>4374</v>
      </c>
      <c r="B4442" s="285">
        <v>-1.8180007278490429</v>
      </c>
      <c r="C4442" s="285">
        <v>2.9112481615815313</v>
      </c>
      <c r="D4442" s="285">
        <v>-8.5549465062668251E-2</v>
      </c>
      <c r="E4442" s="285">
        <v>5.449353012636271</v>
      </c>
    </row>
    <row r="4443" spans="1:5">
      <c r="A4443" s="284">
        <f t="shared" si="1060"/>
        <v>4375</v>
      </c>
      <c r="B4443" s="285">
        <v>1.791672292368069</v>
      </c>
      <c r="C4443" s="285">
        <v>2.9765646679497331</v>
      </c>
      <c r="D4443" s="285">
        <v>-0.27162805078441354</v>
      </c>
      <c r="E4443" s="285">
        <v>6.8219980475238735</v>
      </c>
    </row>
    <row r="4444" spans="1:5">
      <c r="A4444" s="284">
        <f t="shared" si="1060"/>
        <v>4376</v>
      </c>
      <c r="B4444" s="285">
        <v>-0.60885411890473617</v>
      </c>
      <c r="C4444" s="285">
        <v>2.25410880125624</v>
      </c>
      <c r="D4444" s="285">
        <v>2.9320701799423348</v>
      </c>
      <c r="E4444" s="285">
        <v>-10.481047373482195</v>
      </c>
    </row>
    <row r="4445" spans="1:5">
      <c r="A4445" s="284">
        <f t="shared" si="1060"/>
        <v>4377</v>
      </c>
      <c r="B4445" s="285">
        <v>-0.32147387143535122</v>
      </c>
      <c r="C4445" s="285">
        <v>3.0060186753224736</v>
      </c>
      <c r="D4445" s="285">
        <v>0.64155925697800886</v>
      </c>
      <c r="E4445" s="285">
        <v>5.4406668412616952</v>
      </c>
    </row>
    <row r="4446" spans="1:5">
      <c r="A4446" s="284">
        <f t="shared" si="1060"/>
        <v>4378</v>
      </c>
      <c r="B4446" s="285">
        <v>-4.4957948964241723</v>
      </c>
      <c r="C4446" s="285">
        <v>2.4392069212396361</v>
      </c>
      <c r="D4446" s="285">
        <v>-8.9570562691426048E-2</v>
      </c>
      <c r="E4446" s="285">
        <v>8.2949672012828159</v>
      </c>
    </row>
    <row r="4447" spans="1:5">
      <c r="A4447" s="284">
        <f t="shared" si="1060"/>
        <v>4379</v>
      </c>
      <c r="B4447" s="285">
        <v>-3.5274401085892571</v>
      </c>
      <c r="C4447" s="285">
        <v>2.5379815653472027</v>
      </c>
      <c r="D4447" s="285">
        <v>0.69177394241069368</v>
      </c>
      <c r="E4447" s="285">
        <v>0.52862855136680809</v>
      </c>
    </row>
    <row r="4448" spans="1:5">
      <c r="A4448" s="284">
        <f t="shared" si="1060"/>
        <v>4380</v>
      </c>
      <c r="B4448" s="285">
        <v>3.1392959858146305</v>
      </c>
      <c r="C4448" s="285">
        <v>2.1941674108154863</v>
      </c>
      <c r="D4448" s="285">
        <v>0.82936939235978557</v>
      </c>
      <c r="E4448" s="285">
        <v>-11.877437392481445</v>
      </c>
    </row>
    <row r="4449" spans="1:5">
      <c r="A4449" s="284">
        <f t="shared" si="1060"/>
        <v>4381</v>
      </c>
      <c r="B4449" s="285">
        <v>-1.5178883746268439</v>
      </c>
      <c r="C4449" s="285">
        <v>2.3552897852818919</v>
      </c>
      <c r="D4449" s="285">
        <v>0.76952185108285764</v>
      </c>
      <c r="E4449" s="285">
        <v>1.1589836755478244</v>
      </c>
    </row>
    <row r="4450" spans="1:5">
      <c r="A4450" s="284">
        <f t="shared" si="1060"/>
        <v>4382</v>
      </c>
      <c r="B4450" s="285">
        <v>0.53378166060127408</v>
      </c>
      <c r="C4450" s="285">
        <v>3.0507338379225311</v>
      </c>
      <c r="D4450" s="285">
        <v>-1.0050144483937355</v>
      </c>
      <c r="E4450" s="285">
        <v>10.899000156889297</v>
      </c>
    </row>
    <row r="4451" spans="1:5">
      <c r="A4451" s="284">
        <f t="shared" si="1060"/>
        <v>4383</v>
      </c>
      <c r="B4451" s="285">
        <v>2.8879736898994723</v>
      </c>
      <c r="C4451" s="285">
        <v>3.3448345106877815</v>
      </c>
      <c r="D4451" s="285">
        <v>1.5989594294405718E-2</v>
      </c>
      <c r="E4451" s="285">
        <v>4.955262278680399</v>
      </c>
    </row>
    <row r="4452" spans="1:5">
      <c r="A4452" s="284">
        <f t="shared" si="1060"/>
        <v>4384</v>
      </c>
      <c r="B4452" s="285">
        <v>-0.99904321951012243</v>
      </c>
      <c r="C4452" s="285">
        <v>2.8938110418667993</v>
      </c>
      <c r="D4452" s="285">
        <v>1.0660722959167661</v>
      </c>
      <c r="E4452" s="285">
        <v>3.2049078158689448</v>
      </c>
    </row>
    <row r="4453" spans="1:5">
      <c r="A4453" s="284">
        <f t="shared" si="1060"/>
        <v>4385</v>
      </c>
      <c r="B4453" s="285">
        <v>1.521555155586553</v>
      </c>
      <c r="C4453" s="285">
        <v>2.4504610232003228</v>
      </c>
      <c r="D4453" s="285">
        <v>0.86829369292951075</v>
      </c>
      <c r="E4453" s="285">
        <v>-3.386882701180006</v>
      </c>
    </row>
    <row r="4454" spans="1:5">
      <c r="A4454" s="284">
        <f t="shared" si="1060"/>
        <v>4386</v>
      </c>
      <c r="B4454" s="285">
        <v>-1.9196411605463573</v>
      </c>
      <c r="C4454" s="285">
        <v>2.34053111456842</v>
      </c>
      <c r="D4454" s="285">
        <v>0.54795114620315755</v>
      </c>
      <c r="E4454" s="285">
        <v>-0.88646819735911819</v>
      </c>
    </row>
    <row r="4455" spans="1:5">
      <c r="A4455" s="284">
        <f t="shared" si="1060"/>
        <v>4387</v>
      </c>
      <c r="B4455" s="285">
        <v>2.3799524278122055</v>
      </c>
      <c r="C4455" s="285">
        <v>3.1547482259018742</v>
      </c>
      <c r="D4455" s="285">
        <v>-0.41982430045574559</v>
      </c>
      <c r="E4455" s="285">
        <v>1.7228481716567035</v>
      </c>
    </row>
    <row r="4456" spans="1:5">
      <c r="A4456" s="284">
        <f t="shared" si="1060"/>
        <v>4388</v>
      </c>
      <c r="B4456" s="285">
        <v>-3.5938301524962739</v>
      </c>
      <c r="C4456" s="285">
        <v>2.6611680888864289</v>
      </c>
      <c r="D4456" s="285">
        <v>0.92892783630099773</v>
      </c>
      <c r="E4456" s="285">
        <v>8.2638351354077368</v>
      </c>
    </row>
    <row r="4457" spans="1:5">
      <c r="A4457" s="284">
        <f t="shared" si="1060"/>
        <v>4389</v>
      </c>
      <c r="B4457" s="285">
        <v>2.6149063860684816</v>
      </c>
      <c r="C4457" s="285">
        <v>2.7820313351773693</v>
      </c>
      <c r="D4457" s="285">
        <v>0.39090481772542507</v>
      </c>
      <c r="E4457" s="285">
        <v>-13.421796639211491</v>
      </c>
    </row>
    <row r="4458" spans="1:5">
      <c r="A4458" s="284">
        <f t="shared" si="1060"/>
        <v>4390</v>
      </c>
      <c r="B4458" s="285">
        <v>-2.6020714483876222</v>
      </c>
      <c r="C4458" s="285">
        <v>3.1326072989541522</v>
      </c>
      <c r="D4458" s="285">
        <v>0.52450016725408777</v>
      </c>
      <c r="E4458" s="285">
        <v>13.716153644715199</v>
      </c>
    </row>
    <row r="4459" spans="1:5">
      <c r="A4459" s="284">
        <f t="shared" si="1060"/>
        <v>4391</v>
      </c>
      <c r="B4459" s="285">
        <v>-2.7119121801416251</v>
      </c>
      <c r="C4459" s="285">
        <v>2.5710820004981967</v>
      </c>
      <c r="D4459" s="285">
        <v>0.64826808634328215</v>
      </c>
      <c r="E4459" s="285">
        <v>9.6663598124350223</v>
      </c>
    </row>
    <row r="4460" spans="1:5">
      <c r="A4460" s="284">
        <f t="shared" si="1060"/>
        <v>4392</v>
      </c>
      <c r="B4460" s="285">
        <v>-0.2990153591091983</v>
      </c>
      <c r="C4460" s="285">
        <v>2.329546390823745</v>
      </c>
      <c r="D4460" s="285">
        <v>0.90647100674155046</v>
      </c>
      <c r="E4460" s="285">
        <v>-3.9729553535283708</v>
      </c>
    </row>
    <row r="4461" spans="1:5">
      <c r="A4461" s="284">
        <f t="shared" si="1060"/>
        <v>4393</v>
      </c>
      <c r="B4461" s="285">
        <v>2.5855842947687848</v>
      </c>
      <c r="C4461" s="285">
        <v>3.3846020838995328</v>
      </c>
      <c r="D4461" s="285">
        <v>-0.9109965924404988</v>
      </c>
      <c r="E4461" s="285">
        <v>13.630583825125647</v>
      </c>
    </row>
    <row r="4462" spans="1:5">
      <c r="A4462" s="284">
        <f t="shared" si="1060"/>
        <v>4394</v>
      </c>
      <c r="B4462" s="285">
        <v>1.7652570521060729</v>
      </c>
      <c r="C4462" s="285">
        <v>2.1696023624240857</v>
      </c>
      <c r="D4462" s="285">
        <v>2.9319952255578574</v>
      </c>
      <c r="E4462" s="285">
        <v>-6.0759655777772572</v>
      </c>
    </row>
    <row r="4463" spans="1:5">
      <c r="A4463" s="284">
        <f t="shared" si="1060"/>
        <v>4395</v>
      </c>
      <c r="B4463" s="285">
        <v>2.1651562204828401</v>
      </c>
      <c r="C4463" s="285">
        <v>3.3944722970817427</v>
      </c>
      <c r="D4463" s="285">
        <v>1.5624981274262228</v>
      </c>
      <c r="E4463" s="285">
        <v>8.7455410669000369</v>
      </c>
    </row>
    <row r="4464" spans="1:5">
      <c r="A4464" s="284">
        <f t="shared" si="1060"/>
        <v>4396</v>
      </c>
      <c r="B4464" s="285">
        <v>3.0362696965662188</v>
      </c>
      <c r="C4464" s="285">
        <v>2.7330979569309291</v>
      </c>
      <c r="D4464" s="285">
        <v>0.76878435548706991</v>
      </c>
      <c r="E4464" s="285">
        <v>10.428555382776068</v>
      </c>
    </row>
    <row r="4465" spans="1:5">
      <c r="A4465" s="284">
        <f t="shared" si="1060"/>
        <v>4397</v>
      </c>
      <c r="B4465" s="285">
        <v>-0.39506234128739992</v>
      </c>
      <c r="C4465" s="285">
        <v>2.4760902478142812</v>
      </c>
      <c r="D4465" s="285">
        <v>2.8051069015872803</v>
      </c>
      <c r="E4465" s="285">
        <v>-1.148763783222257</v>
      </c>
    </row>
    <row r="4466" spans="1:5">
      <c r="A4466" s="284">
        <f t="shared" si="1060"/>
        <v>4398</v>
      </c>
      <c r="B4466" s="285">
        <v>2.8663793524218275</v>
      </c>
      <c r="C4466" s="285">
        <v>2.5272785771081421</v>
      </c>
      <c r="D4466" s="285">
        <v>1.8778058603812422</v>
      </c>
      <c r="E4466" s="285">
        <v>-16.585394058834638</v>
      </c>
    </row>
    <row r="4467" spans="1:5">
      <c r="A4467" s="284">
        <f t="shared" si="1060"/>
        <v>4399</v>
      </c>
      <c r="B4467" s="285">
        <v>0.34183561645406157</v>
      </c>
      <c r="C4467" s="285">
        <v>2.0527220643641044</v>
      </c>
      <c r="D4467" s="285">
        <v>2.5219864896163258</v>
      </c>
      <c r="E4467" s="285">
        <v>-9.2430360935995068</v>
      </c>
    </row>
    <row r="4468" spans="1:5">
      <c r="A4468" s="284">
        <f t="shared" si="1060"/>
        <v>4400</v>
      </c>
      <c r="B4468" s="285">
        <v>0.81780392672386204</v>
      </c>
      <c r="C4468" s="285">
        <v>2.6880772777467388</v>
      </c>
      <c r="D4468" s="285">
        <v>-7.0163406765601843E-2</v>
      </c>
      <c r="E4468" s="285">
        <v>-3.9566544077976991</v>
      </c>
    </row>
    <row r="4469" spans="1:5">
      <c r="A4469" s="284">
        <f t="shared" si="1060"/>
        <v>4401</v>
      </c>
      <c r="B4469" s="285">
        <v>1.999487801638669</v>
      </c>
      <c r="C4469" s="285">
        <v>3.1482401588730982</v>
      </c>
      <c r="D4469" s="285">
        <v>1.451376526206833</v>
      </c>
      <c r="E4469" s="285">
        <v>-4.7022107011511416</v>
      </c>
    </row>
    <row r="4470" spans="1:5">
      <c r="A4470" s="284">
        <f t="shared" si="1060"/>
        <v>4402</v>
      </c>
      <c r="B4470" s="285">
        <v>-1.4562701651079992</v>
      </c>
      <c r="C4470" s="285">
        <v>2.3423403573606296</v>
      </c>
      <c r="D4470" s="285">
        <v>2.0522623127147996</v>
      </c>
      <c r="E4470" s="285">
        <v>-14.142829573603599</v>
      </c>
    </row>
    <row r="4471" spans="1:5">
      <c r="A4471" s="284">
        <f t="shared" si="1060"/>
        <v>4403</v>
      </c>
      <c r="B4471" s="285">
        <v>-2.2009123642891013</v>
      </c>
      <c r="C4471" s="285">
        <v>2.5382482901453449</v>
      </c>
      <c r="D4471" s="285">
        <v>1.1420996274844073</v>
      </c>
      <c r="E4471" s="285">
        <v>-6.7958244363086475</v>
      </c>
    </row>
    <row r="4472" spans="1:5">
      <c r="A4472" s="284">
        <f t="shared" si="1060"/>
        <v>4404</v>
      </c>
      <c r="B4472" s="285">
        <v>-0.80307295733683359</v>
      </c>
      <c r="C4472" s="285">
        <v>2.1466819489711657</v>
      </c>
      <c r="D4472" s="285">
        <v>-1.3400838401689756</v>
      </c>
      <c r="E4472" s="285">
        <v>-2.8849614997542794</v>
      </c>
    </row>
    <row r="4473" spans="1:5">
      <c r="A4473" s="284">
        <f t="shared" si="1060"/>
        <v>4405</v>
      </c>
      <c r="B4473" s="285">
        <v>-0.14202371199830244</v>
      </c>
      <c r="C4473" s="285">
        <v>2.207303765766286</v>
      </c>
      <c r="D4473" s="285">
        <v>2.8362796555897449</v>
      </c>
      <c r="E4473" s="285">
        <v>-15.835162856576515</v>
      </c>
    </row>
    <row r="4474" spans="1:5">
      <c r="A4474" s="284">
        <f t="shared" si="1060"/>
        <v>4406</v>
      </c>
      <c r="B4474" s="285">
        <v>-1.5756602035071052</v>
      </c>
      <c r="C4474" s="285">
        <v>2.4387923489052463</v>
      </c>
      <c r="D4474" s="285">
        <v>1.5164761980069086</v>
      </c>
      <c r="E4474" s="285">
        <v>-2.4047095203870974</v>
      </c>
    </row>
    <row r="4475" spans="1:5">
      <c r="A4475" s="284">
        <f t="shared" si="1060"/>
        <v>4407</v>
      </c>
      <c r="B4475" s="285">
        <v>-0.26439709019764646</v>
      </c>
      <c r="C4475" s="285">
        <v>1.8250889859172743</v>
      </c>
      <c r="D4475" s="285">
        <v>0.78404880168808133</v>
      </c>
      <c r="E4475" s="285">
        <v>-17.14156533391008</v>
      </c>
    </row>
    <row r="4476" spans="1:5">
      <c r="A4476" s="284">
        <f t="shared" si="1060"/>
        <v>4408</v>
      </c>
      <c r="B4476" s="285">
        <v>0.87769475867607638</v>
      </c>
      <c r="C4476" s="285">
        <v>2.4451690290991444</v>
      </c>
      <c r="D4476" s="285">
        <v>0.31065492016830953</v>
      </c>
      <c r="E4476" s="285">
        <v>-16.720707808913026</v>
      </c>
    </row>
    <row r="4477" spans="1:5">
      <c r="A4477" s="284">
        <f t="shared" si="1060"/>
        <v>4409</v>
      </c>
      <c r="B4477" s="285">
        <v>-2.6929804810484197</v>
      </c>
      <c r="C4477" s="285">
        <v>1.9459201107632593</v>
      </c>
      <c r="D4477" s="285">
        <v>1.9444961179861378</v>
      </c>
      <c r="E4477" s="285">
        <v>-7.5279844538927208</v>
      </c>
    </row>
    <row r="4478" spans="1:5">
      <c r="A4478" s="284">
        <f t="shared" si="1060"/>
        <v>4410</v>
      </c>
      <c r="B4478" s="285">
        <v>2.3707356268285791</v>
      </c>
      <c r="C4478" s="285">
        <v>2.2718263682629303</v>
      </c>
      <c r="D4478" s="285">
        <v>2.5615038884361852</v>
      </c>
      <c r="E4478" s="285">
        <v>0.71122991307812322</v>
      </c>
    </row>
    <row r="4479" spans="1:5">
      <c r="A4479" s="284">
        <f t="shared" si="1060"/>
        <v>4411</v>
      </c>
      <c r="B4479" s="285">
        <v>1.1665788546838158</v>
      </c>
      <c r="C4479" s="285">
        <v>2.9664734390970184</v>
      </c>
      <c r="D4479" s="285">
        <v>1.2881804694478531</v>
      </c>
      <c r="E4479" s="285">
        <v>-5.8077867900843945</v>
      </c>
    </row>
    <row r="4480" spans="1:5">
      <c r="A4480" s="284">
        <f t="shared" si="1060"/>
        <v>4412</v>
      </c>
      <c r="B4480" s="285">
        <v>-5.4953376862266881</v>
      </c>
      <c r="C4480" s="285">
        <v>1.2960390225718155</v>
      </c>
      <c r="D4480" s="285">
        <v>2.1185680904058923E-2</v>
      </c>
      <c r="E4480" s="285">
        <v>-26.357455533807176</v>
      </c>
    </row>
    <row r="4481" spans="1:5">
      <c r="A4481" s="284">
        <f t="shared" si="1060"/>
        <v>4413</v>
      </c>
      <c r="B4481" s="285">
        <v>-2.595043808319708</v>
      </c>
      <c r="C4481" s="285">
        <v>2.4012462728175734</v>
      </c>
      <c r="D4481" s="285">
        <v>-0.86854914824633989</v>
      </c>
      <c r="E4481" s="285">
        <v>-3.9876460857773766</v>
      </c>
    </row>
    <row r="4482" spans="1:5">
      <c r="A4482" s="284">
        <f t="shared" si="1060"/>
        <v>4414</v>
      </c>
      <c r="B4482" s="285">
        <v>-0.47046678306766843</v>
      </c>
      <c r="C4482" s="285">
        <v>2.6794049458103659</v>
      </c>
      <c r="D4482" s="285">
        <v>1.5083521614453437</v>
      </c>
      <c r="E4482" s="285">
        <v>-2.2398173864915938</v>
      </c>
    </row>
    <row r="4483" spans="1:5">
      <c r="A4483" s="284">
        <f t="shared" si="1060"/>
        <v>4415</v>
      </c>
      <c r="B4483" s="285">
        <v>0.13465747147477727</v>
      </c>
      <c r="C4483" s="285">
        <v>2.0589144684259106</v>
      </c>
      <c r="D4483" s="285">
        <v>2.7565804890182513</v>
      </c>
      <c r="E4483" s="285">
        <v>-16.898044198570044</v>
      </c>
    </row>
    <row r="4484" spans="1:5">
      <c r="A4484" s="284">
        <f t="shared" si="1060"/>
        <v>4416</v>
      </c>
      <c r="B4484" s="285">
        <v>7.0794312198210908E-3</v>
      </c>
      <c r="C4484" s="285">
        <v>2.6149713515185109</v>
      </c>
      <c r="D4484" s="285">
        <v>1.4407369065739051</v>
      </c>
      <c r="E4484" s="285">
        <v>-1.556036932882531</v>
      </c>
    </row>
    <row r="4485" spans="1:5">
      <c r="A4485" s="284">
        <f t="shared" si="1060"/>
        <v>4417</v>
      </c>
      <c r="B4485" s="285">
        <v>-3.1472516386216198</v>
      </c>
      <c r="C4485" s="285">
        <v>2.2786054612281497</v>
      </c>
      <c r="D4485" s="285">
        <v>-0.43020363731699196</v>
      </c>
      <c r="E4485" s="285">
        <v>-1.5300468055929868</v>
      </c>
    </row>
    <row r="4486" spans="1:5">
      <c r="A4486" s="284">
        <f t="shared" si="1060"/>
        <v>4418</v>
      </c>
      <c r="B4486" s="285">
        <v>2.8273840914952997</v>
      </c>
      <c r="C4486" s="285">
        <v>1.9910651741467107</v>
      </c>
      <c r="D4486" s="285">
        <v>2.4158794110741999</v>
      </c>
      <c r="E4486" s="285">
        <v>-9.2916317550297549</v>
      </c>
    </row>
    <row r="4487" spans="1:5">
      <c r="A4487" s="284">
        <f t="shared" ref="A4487:A4550" si="1061">A4486+1</f>
        <v>4419</v>
      </c>
      <c r="B4487" s="285">
        <v>1.0175843247640264</v>
      </c>
      <c r="C4487" s="285">
        <v>2.6629650190378156</v>
      </c>
      <c r="D4487" s="285">
        <v>2.1756412986246967</v>
      </c>
      <c r="E4487" s="285">
        <v>-9.9124130769780958</v>
      </c>
    </row>
    <row r="4488" spans="1:5">
      <c r="A4488" s="284">
        <f t="shared" si="1061"/>
        <v>4420</v>
      </c>
      <c r="B4488" s="285">
        <v>-1.713288092625409</v>
      </c>
      <c r="C4488" s="285">
        <v>2.4191541218954051</v>
      </c>
      <c r="D4488" s="285">
        <v>-3.8797531102403582E-2</v>
      </c>
      <c r="E4488" s="285">
        <v>-1.4158112749888598</v>
      </c>
    </row>
    <row r="4489" spans="1:5">
      <c r="A4489" s="284">
        <f t="shared" si="1061"/>
        <v>4421</v>
      </c>
      <c r="B4489" s="285">
        <v>1.783654749871975</v>
      </c>
      <c r="C4489" s="285">
        <v>2.9981612317340955</v>
      </c>
      <c r="D4489" s="285">
        <v>1.6739607225567712</v>
      </c>
      <c r="E4489" s="285">
        <v>12.717409770359376</v>
      </c>
    </row>
    <row r="4490" spans="1:5">
      <c r="A4490" s="284">
        <f t="shared" si="1061"/>
        <v>4422</v>
      </c>
      <c r="B4490" s="285">
        <v>0.56314726555679684</v>
      </c>
      <c r="C4490" s="285">
        <v>2.252091984040657</v>
      </c>
      <c r="D4490" s="285">
        <v>1.9180791067045688</v>
      </c>
      <c r="E4490" s="285">
        <v>-9.122673395086224</v>
      </c>
    </row>
    <row r="4491" spans="1:5">
      <c r="A4491" s="284">
        <f t="shared" si="1061"/>
        <v>4423</v>
      </c>
      <c r="B4491" s="285">
        <v>-0.82592710822817905</v>
      </c>
      <c r="C4491" s="285">
        <v>3.2444474990721166</v>
      </c>
      <c r="D4491" s="285">
        <v>-0.41491735794945228</v>
      </c>
      <c r="E4491" s="285">
        <v>6.2499160836024217</v>
      </c>
    </row>
    <row r="4492" spans="1:5">
      <c r="A4492" s="284">
        <f t="shared" si="1061"/>
        <v>4424</v>
      </c>
      <c r="B4492" s="285">
        <v>-0.2520523237867483</v>
      </c>
      <c r="C4492" s="285">
        <v>2.0184646266538082</v>
      </c>
      <c r="D4492" s="285">
        <v>1.3720592707924775</v>
      </c>
      <c r="E4492" s="285">
        <v>-13.807438546873236</v>
      </c>
    </row>
    <row r="4493" spans="1:5">
      <c r="A4493" s="284">
        <f t="shared" si="1061"/>
        <v>4425</v>
      </c>
      <c r="B4493" s="285">
        <v>0.66271775705600233</v>
      </c>
      <c r="C4493" s="285">
        <v>2.139780264004937</v>
      </c>
      <c r="D4493" s="285">
        <v>-0.58747091761687087</v>
      </c>
      <c r="E4493" s="285">
        <v>-1.7179808419572393</v>
      </c>
    </row>
    <row r="4494" spans="1:5">
      <c r="A4494" s="284">
        <f t="shared" si="1061"/>
        <v>4426</v>
      </c>
      <c r="B4494" s="285">
        <v>2.7771220599144901</v>
      </c>
      <c r="C4494" s="285">
        <v>2.3908754226385529</v>
      </c>
      <c r="D4494" s="285">
        <v>0.20632088377490532</v>
      </c>
      <c r="E4494" s="285">
        <v>-10.699846176253995</v>
      </c>
    </row>
    <row r="4495" spans="1:5">
      <c r="A4495" s="284">
        <f t="shared" si="1061"/>
        <v>4427</v>
      </c>
      <c r="B4495" s="285">
        <v>-1.1267666916676256</v>
      </c>
      <c r="C4495" s="285">
        <v>1.7440549763822741</v>
      </c>
      <c r="D4495" s="285">
        <v>2.0509948261610425</v>
      </c>
      <c r="E4495" s="285">
        <v>-15.674782510834577</v>
      </c>
    </row>
    <row r="4496" spans="1:5">
      <c r="A4496" s="284">
        <f t="shared" si="1061"/>
        <v>4428</v>
      </c>
      <c r="B4496" s="285">
        <v>1.0713144211843322</v>
      </c>
      <c r="C4496" s="285">
        <v>3.0082370152734073</v>
      </c>
      <c r="D4496" s="285">
        <v>0.53386885377835791</v>
      </c>
      <c r="E4496" s="285">
        <v>19.871790546125673</v>
      </c>
    </row>
    <row r="4497" spans="1:5">
      <c r="A4497" s="284">
        <f t="shared" si="1061"/>
        <v>4429</v>
      </c>
      <c r="B4497" s="285">
        <v>2.9586025449825164</v>
      </c>
      <c r="C4497" s="285">
        <v>2.5933370736148982</v>
      </c>
      <c r="D4497" s="285">
        <v>1.3324680424248521</v>
      </c>
      <c r="E4497" s="285">
        <v>-3.3027439719993135</v>
      </c>
    </row>
    <row r="4498" spans="1:5">
      <c r="A4498" s="284">
        <f t="shared" si="1061"/>
        <v>4430</v>
      </c>
      <c r="B4498" s="285">
        <v>-1.5615172221114164</v>
      </c>
      <c r="C4498" s="285">
        <v>2.3592252205257989</v>
      </c>
      <c r="D4498" s="285">
        <v>0.16410460603870525</v>
      </c>
      <c r="E4498" s="285">
        <v>-3.6926219176958841</v>
      </c>
    </row>
    <row r="4499" spans="1:5">
      <c r="A4499" s="284">
        <f t="shared" si="1061"/>
        <v>4431</v>
      </c>
      <c r="B4499" s="285">
        <v>0.68335583303391612</v>
      </c>
      <c r="C4499" s="285">
        <v>2.4217557689831062</v>
      </c>
      <c r="D4499" s="285">
        <v>1.3808591565348445</v>
      </c>
      <c r="E4499" s="285">
        <v>-7.7965168434885896</v>
      </c>
    </row>
    <row r="4500" spans="1:5">
      <c r="A4500" s="284">
        <f t="shared" si="1061"/>
        <v>4432</v>
      </c>
      <c r="B4500" s="285">
        <v>-2.151271365455627</v>
      </c>
      <c r="C4500" s="285">
        <v>1.2255175287228812</v>
      </c>
      <c r="D4500" s="285">
        <v>2.7713649949604724</v>
      </c>
      <c r="E4500" s="285">
        <v>-18.133811396730955</v>
      </c>
    </row>
    <row r="4501" spans="1:5">
      <c r="A4501" s="284">
        <f t="shared" si="1061"/>
        <v>4433</v>
      </c>
      <c r="B4501" s="285">
        <v>0.92914914119044478</v>
      </c>
      <c r="C4501" s="285">
        <v>2.9290138929792091</v>
      </c>
      <c r="D4501" s="285">
        <v>0.58065133014266412</v>
      </c>
      <c r="E4501" s="285">
        <v>-4.7716998451932202</v>
      </c>
    </row>
    <row r="4502" spans="1:5">
      <c r="A4502" s="284">
        <f t="shared" si="1061"/>
        <v>4434</v>
      </c>
      <c r="B4502" s="285">
        <v>-0.38644265174409037</v>
      </c>
      <c r="C4502" s="285">
        <v>2.2768808317387625</v>
      </c>
      <c r="D4502" s="285">
        <v>1.9429462754765388</v>
      </c>
      <c r="E4502" s="285">
        <v>4.2151503147512894</v>
      </c>
    </row>
    <row r="4503" spans="1:5">
      <c r="A4503" s="284">
        <f t="shared" si="1061"/>
        <v>4435</v>
      </c>
      <c r="B4503" s="285">
        <v>-1.8258336866906184</v>
      </c>
      <c r="C4503" s="285">
        <v>2.285023769852526</v>
      </c>
      <c r="D4503" s="285">
        <v>2.9143289699256987</v>
      </c>
      <c r="E4503" s="285">
        <v>2.6416656472569051</v>
      </c>
    </row>
    <row r="4504" spans="1:5">
      <c r="A4504" s="284">
        <f t="shared" si="1061"/>
        <v>4436</v>
      </c>
      <c r="B4504" s="285">
        <v>6.5642411069129638</v>
      </c>
      <c r="C4504" s="285">
        <v>2.4020968303027015</v>
      </c>
      <c r="D4504" s="285">
        <v>2.0888540562559506</v>
      </c>
      <c r="E4504" s="285">
        <v>-7.5096017605195389</v>
      </c>
    </row>
    <row r="4505" spans="1:5">
      <c r="A4505" s="284">
        <f t="shared" si="1061"/>
        <v>4437</v>
      </c>
      <c r="B4505" s="285">
        <v>-0.13795827724310189</v>
      </c>
      <c r="C4505" s="285">
        <v>1.985965501302017</v>
      </c>
      <c r="D4505" s="285">
        <v>1.7684542850295655</v>
      </c>
      <c r="E4505" s="285">
        <v>-19.760743463707797</v>
      </c>
    </row>
    <row r="4506" spans="1:5">
      <c r="A4506" s="284">
        <f t="shared" si="1061"/>
        <v>4438</v>
      </c>
      <c r="B4506" s="285">
        <v>0.56407126818887865</v>
      </c>
      <c r="C4506" s="285">
        <v>2.7938820750395386</v>
      </c>
      <c r="D4506" s="285">
        <v>-0.59448879418279033</v>
      </c>
      <c r="E4506" s="285">
        <v>6.4655772353845293</v>
      </c>
    </row>
    <row r="4507" spans="1:5">
      <c r="A4507" s="284">
        <f t="shared" si="1061"/>
        <v>4439</v>
      </c>
      <c r="B4507" s="285">
        <v>0.39935788121399368</v>
      </c>
      <c r="C4507" s="285">
        <v>2.6424224428437739</v>
      </c>
      <c r="D4507" s="285">
        <v>-0.88662905329513064</v>
      </c>
      <c r="E4507" s="285">
        <v>-2.3761134229082881</v>
      </c>
    </row>
    <row r="4508" spans="1:5">
      <c r="A4508" s="284">
        <f t="shared" si="1061"/>
        <v>4440</v>
      </c>
      <c r="B4508" s="285">
        <v>3.6283674587762196</v>
      </c>
      <c r="C4508" s="285">
        <v>2.3647971572752557</v>
      </c>
      <c r="D4508" s="285">
        <v>3.0867438366374973</v>
      </c>
      <c r="E4508" s="285">
        <v>-7.9588643615528589</v>
      </c>
    </row>
    <row r="4509" spans="1:5">
      <c r="A4509" s="284">
        <f t="shared" si="1061"/>
        <v>4441</v>
      </c>
      <c r="B4509" s="285">
        <v>0.98100272781179731</v>
      </c>
      <c r="C4509" s="285">
        <v>2.3277669349644241</v>
      </c>
      <c r="D4509" s="285">
        <v>0.65003466788927999</v>
      </c>
      <c r="E4509" s="285">
        <v>-12.646696768975847</v>
      </c>
    </row>
    <row r="4510" spans="1:5">
      <c r="A4510" s="284">
        <f t="shared" si="1061"/>
        <v>4442</v>
      </c>
      <c r="B4510" s="285">
        <v>1.6144524766770998</v>
      </c>
      <c r="C4510" s="285">
        <v>2.8814714253357963</v>
      </c>
      <c r="D4510" s="285">
        <v>0.87055470836726734</v>
      </c>
      <c r="E4510" s="285">
        <v>-1.5929478726177484</v>
      </c>
    </row>
    <row r="4511" spans="1:5">
      <c r="A4511" s="284">
        <f t="shared" si="1061"/>
        <v>4443</v>
      </c>
      <c r="B4511" s="285">
        <v>-0.11636021337754493</v>
      </c>
      <c r="C4511" s="285">
        <v>2.1122778019231578</v>
      </c>
      <c r="D4511" s="285">
        <v>1.4132378622518367</v>
      </c>
      <c r="E4511" s="285">
        <v>-16.110382332971071</v>
      </c>
    </row>
    <row r="4512" spans="1:5">
      <c r="A4512" s="284">
        <f t="shared" si="1061"/>
        <v>4444</v>
      </c>
      <c r="B4512" s="285">
        <v>3.1729967953383618</v>
      </c>
      <c r="C4512" s="285">
        <v>2.3299355108085855</v>
      </c>
      <c r="D4512" s="285">
        <v>0.37620393922778395</v>
      </c>
      <c r="E4512" s="285">
        <v>-7.5666112886526982</v>
      </c>
    </row>
    <row r="4513" spans="1:5">
      <c r="A4513" s="284">
        <f t="shared" si="1061"/>
        <v>4445</v>
      </c>
      <c r="B4513" s="285">
        <v>3.7964263878102069</v>
      </c>
      <c r="C4513" s="285">
        <v>1.9453951959274394</v>
      </c>
      <c r="D4513" s="285">
        <v>1.9295734478748821</v>
      </c>
      <c r="E4513" s="285">
        <v>-12.933379207746125</v>
      </c>
    </row>
    <row r="4514" spans="1:5">
      <c r="A4514" s="284">
        <f t="shared" si="1061"/>
        <v>4446</v>
      </c>
      <c r="B4514" s="285">
        <v>-0.88561801120512418</v>
      </c>
      <c r="C4514" s="285">
        <v>1.4109400735663933</v>
      </c>
      <c r="D4514" s="285">
        <v>0.50453934947857249</v>
      </c>
      <c r="E4514" s="285">
        <v>-33.444939206567973</v>
      </c>
    </row>
    <row r="4515" spans="1:5">
      <c r="A4515" s="284">
        <f t="shared" si="1061"/>
        <v>4447</v>
      </c>
      <c r="B4515" s="285">
        <v>1.6127097810176381</v>
      </c>
      <c r="C4515" s="285">
        <v>2.4948282864563809</v>
      </c>
      <c r="D4515" s="285">
        <v>2.845802578211746</v>
      </c>
      <c r="E4515" s="285">
        <v>-16.518672716448009</v>
      </c>
    </row>
    <row r="4516" spans="1:5">
      <c r="A4516" s="284">
        <f t="shared" si="1061"/>
        <v>4448</v>
      </c>
      <c r="B4516" s="285">
        <v>-2.0583689476829612</v>
      </c>
      <c r="C4516" s="285">
        <v>2.4712203415492566</v>
      </c>
      <c r="D4516" s="285">
        <v>-0.47481957780696415</v>
      </c>
      <c r="E4516" s="285">
        <v>5.8809400964007672</v>
      </c>
    </row>
    <row r="4517" spans="1:5">
      <c r="A4517" s="284">
        <f t="shared" si="1061"/>
        <v>4449</v>
      </c>
      <c r="B4517" s="285">
        <v>3.2351062494187293</v>
      </c>
      <c r="C4517" s="285">
        <v>2.5209281895095064</v>
      </c>
      <c r="D4517" s="285">
        <v>2.7297485451014203</v>
      </c>
      <c r="E4517" s="285">
        <v>-8.6573998585240997</v>
      </c>
    </row>
    <row r="4518" spans="1:5">
      <c r="A4518" s="284">
        <f t="shared" si="1061"/>
        <v>4450</v>
      </c>
      <c r="B4518" s="285">
        <v>-3.6194820575118878</v>
      </c>
      <c r="C4518" s="285">
        <v>2.5504507148441373</v>
      </c>
      <c r="D4518" s="285">
        <v>-1.6162695909607812</v>
      </c>
      <c r="E4518" s="285">
        <v>-2.8339027787057076</v>
      </c>
    </row>
    <row r="4519" spans="1:5">
      <c r="A4519" s="284">
        <f t="shared" si="1061"/>
        <v>4451</v>
      </c>
      <c r="B4519" s="285">
        <v>2.6192877086541486</v>
      </c>
      <c r="C4519" s="285">
        <v>2.7965333288471173</v>
      </c>
      <c r="D4519" s="285">
        <v>2.3540581320431242</v>
      </c>
      <c r="E4519" s="285">
        <v>-10.541483625856372</v>
      </c>
    </row>
    <row r="4520" spans="1:5">
      <c r="A4520" s="284">
        <f t="shared" si="1061"/>
        <v>4452</v>
      </c>
      <c r="B4520" s="285">
        <v>-0.97670123621879268</v>
      </c>
      <c r="C4520" s="285">
        <v>3.4531815664744707</v>
      </c>
      <c r="D4520" s="285">
        <v>1.2204244310189507</v>
      </c>
      <c r="E4520" s="285">
        <v>16.747184325951643</v>
      </c>
    </row>
    <row r="4521" spans="1:5">
      <c r="A4521" s="284">
        <f t="shared" si="1061"/>
        <v>4453</v>
      </c>
      <c r="B4521" s="285">
        <v>-3.1811208119146084</v>
      </c>
      <c r="C4521" s="285">
        <v>2.7496851300565592</v>
      </c>
      <c r="D4521" s="285">
        <v>0.43933494824883801</v>
      </c>
      <c r="E4521" s="285">
        <v>15.034893291151878</v>
      </c>
    </row>
    <row r="4522" spans="1:5">
      <c r="A4522" s="284">
        <f t="shared" si="1061"/>
        <v>4454</v>
      </c>
      <c r="B4522" s="285">
        <v>-2.7838149996001817</v>
      </c>
      <c r="C4522" s="285">
        <v>2.3147767418567473</v>
      </c>
      <c r="D4522" s="285">
        <v>2.0815056118348232</v>
      </c>
      <c r="E4522" s="285">
        <v>-0.68061467877981574</v>
      </c>
    </row>
    <row r="4523" spans="1:5">
      <c r="A4523" s="284">
        <f t="shared" si="1061"/>
        <v>4455</v>
      </c>
      <c r="B4523" s="285">
        <v>3.7017904110044086</v>
      </c>
      <c r="C4523" s="285">
        <v>2.5836600803183321</v>
      </c>
      <c r="D4523" s="285">
        <v>2.2921384823961741</v>
      </c>
      <c r="E4523" s="285">
        <v>-10.57021210631796</v>
      </c>
    </row>
    <row r="4524" spans="1:5">
      <c r="A4524" s="284">
        <f t="shared" si="1061"/>
        <v>4456</v>
      </c>
      <c r="B4524" s="285">
        <v>-0.60869024620033607</v>
      </c>
      <c r="C4524" s="285">
        <v>2.2864806002572462</v>
      </c>
      <c r="D4524" s="285">
        <v>0.4922024541154717</v>
      </c>
      <c r="E4524" s="285">
        <v>-0.7474461801957637</v>
      </c>
    </row>
    <row r="4525" spans="1:5">
      <c r="A4525" s="284">
        <f t="shared" si="1061"/>
        <v>4457</v>
      </c>
      <c r="B4525" s="285">
        <v>-3.3391954513874613</v>
      </c>
      <c r="C4525" s="285">
        <v>2.8386282119107786</v>
      </c>
      <c r="D4525" s="285">
        <v>0.92163588845002176</v>
      </c>
      <c r="E4525" s="285">
        <v>-4.3026697525663113</v>
      </c>
    </row>
    <row r="4526" spans="1:5">
      <c r="A4526" s="284">
        <f t="shared" si="1061"/>
        <v>4458</v>
      </c>
      <c r="B4526" s="285">
        <v>1.3375495999167752</v>
      </c>
      <c r="C4526" s="285">
        <v>2.3063592044260868</v>
      </c>
      <c r="D4526" s="285">
        <v>2.5765260151946006</v>
      </c>
      <c r="E4526" s="285">
        <v>-9.5641253690693766</v>
      </c>
    </row>
    <row r="4527" spans="1:5">
      <c r="A4527" s="284">
        <f t="shared" si="1061"/>
        <v>4459</v>
      </c>
      <c r="B4527" s="285">
        <v>5.9460923201623874</v>
      </c>
      <c r="C4527" s="285">
        <v>2.2269973072845821</v>
      </c>
      <c r="D4527" s="285">
        <v>5.6693880506517136</v>
      </c>
      <c r="E4527" s="285">
        <v>-12.303335619948058</v>
      </c>
    </row>
    <row r="4528" spans="1:5">
      <c r="A4528" s="284">
        <f t="shared" si="1061"/>
        <v>4460</v>
      </c>
      <c r="B4528" s="285">
        <v>-0.35389377784971182</v>
      </c>
      <c r="C4528" s="285">
        <v>2.4363486270954104</v>
      </c>
      <c r="D4528" s="285">
        <v>1.7298140799115065</v>
      </c>
      <c r="E4528" s="285">
        <v>-4.926915196122601</v>
      </c>
    </row>
    <row r="4529" spans="1:5">
      <c r="A4529" s="284">
        <f t="shared" si="1061"/>
        <v>4461</v>
      </c>
      <c r="B4529" s="285">
        <v>-2.7923690051084886</v>
      </c>
      <c r="C4529" s="285">
        <v>2.2818758941842283</v>
      </c>
      <c r="D4529" s="285">
        <v>1.7473774020117068</v>
      </c>
      <c r="E4529" s="285">
        <v>-13.481718672038651</v>
      </c>
    </row>
    <row r="4530" spans="1:5">
      <c r="A4530" s="284">
        <f t="shared" si="1061"/>
        <v>4462</v>
      </c>
      <c r="B4530" s="285">
        <v>1.2151724638992463</v>
      </c>
      <c r="C4530" s="285">
        <v>3.1915568346596892</v>
      </c>
      <c r="D4530" s="285">
        <v>1.7643308513524205</v>
      </c>
      <c r="E4530" s="285">
        <v>-2.7633869495969434</v>
      </c>
    </row>
    <row r="4531" spans="1:5">
      <c r="A4531" s="284">
        <f t="shared" si="1061"/>
        <v>4463</v>
      </c>
      <c r="B4531" s="285">
        <v>-2.3378190248905502</v>
      </c>
      <c r="C4531" s="285">
        <v>1.8969976224918208</v>
      </c>
      <c r="D4531" s="285">
        <v>-0.1160941847756396</v>
      </c>
      <c r="E4531" s="285">
        <v>-12.413556591379951</v>
      </c>
    </row>
    <row r="4532" spans="1:5">
      <c r="A4532" s="284">
        <f t="shared" si="1061"/>
        <v>4464</v>
      </c>
      <c r="B4532" s="285">
        <v>1.9772808216253484</v>
      </c>
      <c r="C4532" s="285">
        <v>2.4087278800153089</v>
      </c>
      <c r="D4532" s="285">
        <v>1.8295848402212189</v>
      </c>
      <c r="E4532" s="285">
        <v>-17.07854217871666</v>
      </c>
    </row>
    <row r="4533" spans="1:5">
      <c r="A4533" s="284">
        <f t="shared" si="1061"/>
        <v>4465</v>
      </c>
      <c r="B4533" s="285">
        <v>-2.7358147957514114</v>
      </c>
      <c r="C4533" s="285">
        <v>2.5050592338474127</v>
      </c>
      <c r="D4533" s="285">
        <v>0.27682807107043483</v>
      </c>
      <c r="E4533" s="285">
        <v>1.8990059206727765</v>
      </c>
    </row>
    <row r="4534" spans="1:5">
      <c r="A4534" s="284">
        <f t="shared" si="1061"/>
        <v>4466</v>
      </c>
      <c r="B4534" s="285">
        <v>-4.0272334450392133</v>
      </c>
      <c r="C4534" s="285">
        <v>3.0532169299292495</v>
      </c>
      <c r="D4534" s="285">
        <v>-0.3172685802411781</v>
      </c>
      <c r="E4534" s="285">
        <v>7.6383332400861246</v>
      </c>
    </row>
    <row r="4535" spans="1:5">
      <c r="A4535" s="284">
        <f t="shared" si="1061"/>
        <v>4467</v>
      </c>
      <c r="B4535" s="285">
        <v>-0.10548707857150484</v>
      </c>
      <c r="C4535" s="285">
        <v>2.1500796944020188</v>
      </c>
      <c r="D4535" s="285">
        <v>1.9905257725618333</v>
      </c>
      <c r="E4535" s="285">
        <v>-19.439170751916581</v>
      </c>
    </row>
    <row r="4536" spans="1:5">
      <c r="A4536" s="284">
        <f t="shared" si="1061"/>
        <v>4468</v>
      </c>
      <c r="B4536" s="285">
        <v>-1.5112190296334449</v>
      </c>
      <c r="C4536" s="285">
        <v>3.4482989175663357</v>
      </c>
      <c r="D4536" s="285">
        <v>-2.12638645272507</v>
      </c>
      <c r="E4536" s="285">
        <v>10.042346047142289</v>
      </c>
    </row>
    <row r="4537" spans="1:5">
      <c r="A4537" s="284">
        <f t="shared" si="1061"/>
        <v>4469</v>
      </c>
      <c r="B4537" s="285">
        <v>-0.99710496915350699</v>
      </c>
      <c r="C4537" s="285">
        <v>2.8664178940213167</v>
      </c>
      <c r="D4537" s="285">
        <v>-1.1182366193277202</v>
      </c>
      <c r="E4537" s="285">
        <v>-4.5732703373305998</v>
      </c>
    </row>
    <row r="4538" spans="1:5">
      <c r="A4538" s="284">
        <f t="shared" si="1061"/>
        <v>4470</v>
      </c>
      <c r="B4538" s="285">
        <v>0.39025926776225428</v>
      </c>
      <c r="C4538" s="285">
        <v>2.9238845458497877</v>
      </c>
      <c r="D4538" s="285">
        <v>1.4376918253417394</v>
      </c>
      <c r="E4538" s="285">
        <v>5.6564994790242391</v>
      </c>
    </row>
    <row r="4539" spans="1:5">
      <c r="A4539" s="284">
        <f t="shared" si="1061"/>
        <v>4471</v>
      </c>
      <c r="B4539" s="285">
        <v>0.60041960021668672</v>
      </c>
      <c r="C4539" s="285">
        <v>2.3665365182952605</v>
      </c>
      <c r="D4539" s="285">
        <v>0.75562166171938405</v>
      </c>
      <c r="E4539" s="285">
        <v>-15.910392718473762</v>
      </c>
    </row>
    <row r="4540" spans="1:5">
      <c r="A4540" s="284">
        <f t="shared" si="1061"/>
        <v>4472</v>
      </c>
      <c r="B4540" s="285">
        <v>-1.5908147654918934</v>
      </c>
      <c r="C4540" s="285">
        <v>2.5764513061410348</v>
      </c>
      <c r="D4540" s="285">
        <v>-0.6109294333654598</v>
      </c>
      <c r="E4540" s="285">
        <v>5.7623531983510023</v>
      </c>
    </row>
    <row r="4541" spans="1:5">
      <c r="A4541" s="284">
        <f t="shared" si="1061"/>
        <v>4473</v>
      </c>
      <c r="B4541" s="285">
        <v>-6.9848304614895893</v>
      </c>
      <c r="C4541" s="285">
        <v>2.2839362223128021</v>
      </c>
      <c r="D4541" s="285">
        <v>2.2178957692878045</v>
      </c>
      <c r="E4541" s="285">
        <v>7.9276537909377431</v>
      </c>
    </row>
    <row r="4542" spans="1:5">
      <c r="A4542" s="284">
        <f t="shared" si="1061"/>
        <v>4474</v>
      </c>
      <c r="B4542" s="285">
        <v>-1.3655343512345373</v>
      </c>
      <c r="C4542" s="285">
        <v>2.215204158563342</v>
      </c>
      <c r="D4542" s="285">
        <v>0.64334366379078911</v>
      </c>
      <c r="E4542" s="285">
        <v>-8.3850409222282654</v>
      </c>
    </row>
    <row r="4543" spans="1:5">
      <c r="A4543" s="284">
        <f t="shared" si="1061"/>
        <v>4475</v>
      </c>
      <c r="B4543" s="285">
        <v>5.0209055515581547</v>
      </c>
      <c r="C4543" s="285">
        <v>3.073672319669988</v>
      </c>
      <c r="D4543" s="285">
        <v>-0.42370236185405341</v>
      </c>
      <c r="E4543" s="285">
        <v>-1.3402132631088572</v>
      </c>
    </row>
    <row r="4544" spans="1:5">
      <c r="A4544" s="284">
        <f t="shared" si="1061"/>
        <v>4476</v>
      </c>
      <c r="B4544" s="285">
        <v>0.48957065100635949</v>
      </c>
      <c r="C4544" s="285">
        <v>2.8672926731735755</v>
      </c>
      <c r="D4544" s="285">
        <v>-0.69044929410748535</v>
      </c>
      <c r="E4544" s="285">
        <v>-1.7136031585149296</v>
      </c>
    </row>
    <row r="4545" spans="1:5">
      <c r="A4545" s="284">
        <f t="shared" si="1061"/>
        <v>4477</v>
      </c>
      <c r="B4545" s="285">
        <v>1.5639782164067828</v>
      </c>
      <c r="C4545" s="285">
        <v>3.2217298667908789</v>
      </c>
      <c r="D4545" s="285">
        <v>1.0606799084677339</v>
      </c>
      <c r="E4545" s="285">
        <v>15.801294961011212</v>
      </c>
    </row>
    <row r="4546" spans="1:5">
      <c r="A4546" s="284">
        <f t="shared" si="1061"/>
        <v>4478</v>
      </c>
      <c r="B4546" s="285">
        <v>-6.3205063647667643</v>
      </c>
      <c r="C4546" s="285">
        <v>1.8710570332504592</v>
      </c>
      <c r="D4546" s="285">
        <v>-1.0400704397050138</v>
      </c>
      <c r="E4546" s="285">
        <v>-7.7233495457640746</v>
      </c>
    </row>
    <row r="4547" spans="1:5">
      <c r="A4547" s="284">
        <f t="shared" si="1061"/>
        <v>4479</v>
      </c>
      <c r="B4547" s="285">
        <v>4.7377018252623504</v>
      </c>
      <c r="C4547" s="285">
        <v>3.1254326271680295</v>
      </c>
      <c r="D4547" s="285">
        <v>0.34685153033924632</v>
      </c>
      <c r="E4547" s="285">
        <v>-3.0232290272101525</v>
      </c>
    </row>
    <row r="4548" spans="1:5">
      <c r="A4548" s="284">
        <f t="shared" si="1061"/>
        <v>4480</v>
      </c>
      <c r="B4548" s="285">
        <v>-0.77101169100039435</v>
      </c>
      <c r="C4548" s="285">
        <v>1.9428563004460822</v>
      </c>
      <c r="D4548" s="285">
        <v>3.56585906751654</v>
      </c>
      <c r="E4548" s="285">
        <v>-6.0669458227143984</v>
      </c>
    </row>
    <row r="4549" spans="1:5">
      <c r="A4549" s="284">
        <f t="shared" si="1061"/>
        <v>4481</v>
      </c>
      <c r="B4549" s="285">
        <v>-1.3653477448253466</v>
      </c>
      <c r="C4549" s="285">
        <v>2.3110099576421477</v>
      </c>
      <c r="D4549" s="285">
        <v>1.0037916082948743</v>
      </c>
      <c r="E4549" s="285">
        <v>-7.1623699941660295</v>
      </c>
    </row>
    <row r="4550" spans="1:5">
      <c r="A4550" s="284">
        <f t="shared" si="1061"/>
        <v>4482</v>
      </c>
      <c r="B4550" s="285">
        <v>0.50772119086558287</v>
      </c>
      <c r="C4550" s="285">
        <v>2.6062764611172824</v>
      </c>
      <c r="D4550" s="285">
        <v>1.1468194665626639</v>
      </c>
      <c r="E4550" s="285">
        <v>-0.76450544261708453</v>
      </c>
    </row>
    <row r="4551" spans="1:5">
      <c r="A4551" s="284">
        <f t="shared" ref="A4551:A4614" si="1062">A4550+1</f>
        <v>4483</v>
      </c>
      <c r="B4551" s="285">
        <v>-1.9469402501898978</v>
      </c>
      <c r="C4551" s="285">
        <v>2.9993034991588137</v>
      </c>
      <c r="D4551" s="285">
        <v>1.1141338293989347</v>
      </c>
      <c r="E4551" s="285">
        <v>14.021239086066952</v>
      </c>
    </row>
    <row r="4552" spans="1:5">
      <c r="A4552" s="284">
        <f t="shared" si="1062"/>
        <v>4484</v>
      </c>
      <c r="B4552" s="285">
        <v>1.986394165402231</v>
      </c>
      <c r="C4552" s="285">
        <v>2.2969012404178009</v>
      </c>
      <c r="D4552" s="285">
        <v>0.22511721374487226</v>
      </c>
      <c r="E4552" s="285">
        <v>-14.110545373821191</v>
      </c>
    </row>
    <row r="4553" spans="1:5">
      <c r="A4553" s="284">
        <f t="shared" si="1062"/>
        <v>4485</v>
      </c>
      <c r="B4553" s="285">
        <v>1.2254840499020268</v>
      </c>
      <c r="C4553" s="285">
        <v>2.4283847923190685</v>
      </c>
      <c r="D4553" s="285">
        <v>1.5398891447100616</v>
      </c>
      <c r="E4553" s="285">
        <v>-9.6049620982536013</v>
      </c>
    </row>
    <row r="4554" spans="1:5">
      <c r="A4554" s="284">
        <f t="shared" si="1062"/>
        <v>4486</v>
      </c>
      <c r="B4554" s="285">
        <v>-0.72283062987951796</v>
      </c>
      <c r="C4554" s="285">
        <v>2.9925375309245363</v>
      </c>
      <c r="D4554" s="285">
        <v>1.2579322644030804</v>
      </c>
      <c r="E4554" s="285">
        <v>-5.3983346792073448</v>
      </c>
    </row>
    <row r="4555" spans="1:5">
      <c r="A4555" s="284">
        <f t="shared" si="1062"/>
        <v>4487</v>
      </c>
      <c r="B4555" s="285">
        <v>2.7953019288228704</v>
      </c>
      <c r="C4555" s="285">
        <v>3.4205419899502791</v>
      </c>
      <c r="D4555" s="285">
        <v>-0.75045068770362877</v>
      </c>
      <c r="E4555" s="285">
        <v>13.804118255415126</v>
      </c>
    </row>
    <row r="4556" spans="1:5">
      <c r="A4556" s="284">
        <f t="shared" si="1062"/>
        <v>4488</v>
      </c>
      <c r="B4556" s="285">
        <v>2.6933916714886967</v>
      </c>
      <c r="C4556" s="285">
        <v>2.6559360456120271</v>
      </c>
      <c r="D4556" s="285">
        <v>1.8267635325548102</v>
      </c>
      <c r="E4556" s="285">
        <v>1.4998739848084361</v>
      </c>
    </row>
    <row r="4557" spans="1:5">
      <c r="A4557" s="284">
        <f t="shared" si="1062"/>
        <v>4489</v>
      </c>
      <c r="B4557" s="285">
        <v>6.5282942060582796</v>
      </c>
      <c r="C4557" s="285">
        <v>3.2424345024120274</v>
      </c>
      <c r="D4557" s="285">
        <v>0.84430270728957113</v>
      </c>
      <c r="E4557" s="285">
        <v>-5.3747877908696342</v>
      </c>
    </row>
    <row r="4558" spans="1:5">
      <c r="A4558" s="284">
        <f t="shared" si="1062"/>
        <v>4490</v>
      </c>
      <c r="B4558" s="285">
        <v>-4.2046253585991016</v>
      </c>
      <c r="C4558" s="285">
        <v>2.5309077280479126</v>
      </c>
      <c r="D4558" s="285">
        <v>-0.93116978656426674</v>
      </c>
      <c r="E4558" s="285">
        <v>0.35589877944984538</v>
      </c>
    </row>
    <row r="4559" spans="1:5">
      <c r="A4559" s="284">
        <f t="shared" si="1062"/>
        <v>4491</v>
      </c>
      <c r="B4559" s="285">
        <v>-2.2809298289342017</v>
      </c>
      <c r="C4559" s="285">
        <v>1.863802428084476</v>
      </c>
      <c r="D4559" s="285">
        <v>2.7948139982366706</v>
      </c>
      <c r="E4559" s="285">
        <v>-5.2568985420465157</v>
      </c>
    </row>
    <row r="4560" spans="1:5">
      <c r="A4560" s="284">
        <f t="shared" si="1062"/>
        <v>4492</v>
      </c>
      <c r="B4560" s="285">
        <v>2.9746023273590847</v>
      </c>
      <c r="C4560" s="285">
        <v>2.0694915689801729</v>
      </c>
      <c r="D4560" s="285">
        <v>3.5518126166126294</v>
      </c>
      <c r="E4560" s="285">
        <v>-19.076473072709291</v>
      </c>
    </row>
    <row r="4561" spans="1:5">
      <c r="A4561" s="284">
        <f t="shared" si="1062"/>
        <v>4493</v>
      </c>
      <c r="B4561" s="285">
        <v>-2.687164000644485</v>
      </c>
      <c r="C4561" s="285">
        <v>2.5106980029109769</v>
      </c>
      <c r="D4561" s="285">
        <v>0.70683272772742067</v>
      </c>
      <c r="E4561" s="285">
        <v>-7.716523605871938</v>
      </c>
    </row>
    <row r="4562" spans="1:5">
      <c r="A4562" s="284">
        <f t="shared" si="1062"/>
        <v>4494</v>
      </c>
      <c r="B4562" s="285">
        <v>-1.8361094069686659</v>
      </c>
      <c r="C4562" s="285">
        <v>3.0432456535644103</v>
      </c>
      <c r="D4562" s="285">
        <v>-0.12261442652932852</v>
      </c>
      <c r="E4562" s="285">
        <v>13.122858537945692</v>
      </c>
    </row>
    <row r="4563" spans="1:5">
      <c r="A4563" s="284">
        <f t="shared" si="1062"/>
        <v>4495</v>
      </c>
      <c r="B4563" s="285">
        <v>3.2714328934229022</v>
      </c>
      <c r="C4563" s="285">
        <v>2.0430996644043677</v>
      </c>
      <c r="D4563" s="285">
        <v>3.1047019795974271</v>
      </c>
      <c r="E4563" s="285">
        <v>-28.62954914950603</v>
      </c>
    </row>
    <row r="4564" spans="1:5">
      <c r="A4564" s="284">
        <f t="shared" si="1062"/>
        <v>4496</v>
      </c>
      <c r="B4564" s="285">
        <v>-0.41613428642656342</v>
      </c>
      <c r="C4564" s="285">
        <v>2.3515503343500379</v>
      </c>
      <c r="D4564" s="285">
        <v>2.4373538110108632</v>
      </c>
      <c r="E4564" s="285">
        <v>-19.337090159225983</v>
      </c>
    </row>
    <row r="4565" spans="1:5">
      <c r="A4565" s="284">
        <f t="shared" si="1062"/>
        <v>4497</v>
      </c>
      <c r="B4565" s="285">
        <v>-1.9833231756955965</v>
      </c>
      <c r="C4565" s="285">
        <v>2.5857647683516967</v>
      </c>
      <c r="D4565" s="285">
        <v>-2.4306627390112574</v>
      </c>
      <c r="E4565" s="285">
        <v>-4.0204135280373325</v>
      </c>
    </row>
    <row r="4566" spans="1:5">
      <c r="A4566" s="284">
        <f t="shared" si="1062"/>
        <v>4498</v>
      </c>
      <c r="B4566" s="285">
        <v>-0.97004834490332792</v>
      </c>
      <c r="C4566" s="285">
        <v>2.4215710330868618</v>
      </c>
      <c r="D4566" s="285">
        <v>0.50234284885614544</v>
      </c>
      <c r="E4566" s="285">
        <v>-15.557551591534258</v>
      </c>
    </row>
    <row r="4567" spans="1:5">
      <c r="A4567" s="284">
        <f t="shared" si="1062"/>
        <v>4499</v>
      </c>
      <c r="B4567" s="285">
        <v>-2.5704313594057782</v>
      </c>
      <c r="C4567" s="285">
        <v>2.7478087387440806</v>
      </c>
      <c r="D4567" s="285">
        <v>1.5238230543182252</v>
      </c>
      <c r="E4567" s="285">
        <v>6.2990459188462982</v>
      </c>
    </row>
    <row r="4568" spans="1:5">
      <c r="A4568" s="284">
        <f t="shared" si="1062"/>
        <v>4500</v>
      </c>
      <c r="B4568" s="285">
        <v>1.3124580448275811</v>
      </c>
      <c r="C4568" s="285">
        <v>2.7215057660226361</v>
      </c>
      <c r="D4568" s="285">
        <v>1.0109928908796415</v>
      </c>
      <c r="E4568" s="285">
        <v>-5.7850639396349077</v>
      </c>
    </row>
    <row r="4569" spans="1:5">
      <c r="A4569" s="284">
        <f t="shared" si="1062"/>
        <v>4501</v>
      </c>
      <c r="B4569" s="285">
        <v>-1.5430212753467862</v>
      </c>
      <c r="C4569" s="285">
        <v>2.4006619045987403</v>
      </c>
      <c r="D4569" s="285">
        <v>2.0066476323152855</v>
      </c>
      <c r="E4569" s="285">
        <v>7.4329314934237782</v>
      </c>
    </row>
    <row r="4570" spans="1:5">
      <c r="A4570" s="284">
        <f t="shared" si="1062"/>
        <v>4502</v>
      </c>
      <c r="B4570" s="285">
        <v>1.190429479346941</v>
      </c>
      <c r="C4570" s="285">
        <v>2.7658584820152767</v>
      </c>
      <c r="D4570" s="285">
        <v>3.0694446540024858</v>
      </c>
      <c r="E4570" s="285">
        <v>2.3434212036335427</v>
      </c>
    </row>
    <row r="4571" spans="1:5">
      <c r="A4571" s="284">
        <f t="shared" si="1062"/>
        <v>4503</v>
      </c>
      <c r="B4571" s="285">
        <v>-1.5243620357868666</v>
      </c>
      <c r="C4571" s="285">
        <v>2.0414236003639932</v>
      </c>
      <c r="D4571" s="285">
        <v>1.3409936297759066</v>
      </c>
      <c r="E4571" s="285">
        <v>-11.105104284926989</v>
      </c>
    </row>
    <row r="4572" spans="1:5">
      <c r="A4572" s="284">
        <f t="shared" si="1062"/>
        <v>4504</v>
      </c>
      <c r="B4572" s="285">
        <v>-4.1169874625178879</v>
      </c>
      <c r="C4572" s="285">
        <v>3.0343689435282926</v>
      </c>
      <c r="D4572" s="285">
        <v>0.99293197902581842</v>
      </c>
      <c r="E4572" s="285">
        <v>12.571588863925648</v>
      </c>
    </row>
    <row r="4573" spans="1:5">
      <c r="A4573" s="284">
        <f t="shared" si="1062"/>
        <v>4505</v>
      </c>
      <c r="B4573" s="285">
        <v>-2.6522475687817568</v>
      </c>
      <c r="C4573" s="285">
        <v>2.7379490267886339</v>
      </c>
      <c r="D4573" s="285">
        <v>0.47027657647164223</v>
      </c>
      <c r="E4573" s="285">
        <v>10.771967653799432</v>
      </c>
    </row>
    <row r="4574" spans="1:5">
      <c r="A4574" s="284">
        <f t="shared" si="1062"/>
        <v>4506</v>
      </c>
      <c r="B4574" s="285">
        <v>-9.6191287205779449E-2</v>
      </c>
      <c r="C4574" s="285">
        <v>2.7841672942599485</v>
      </c>
      <c r="D4574" s="285">
        <v>-0.26132217162291549</v>
      </c>
      <c r="E4574" s="285">
        <v>9.7074393333113349</v>
      </c>
    </row>
    <row r="4575" spans="1:5">
      <c r="A4575" s="284">
        <f t="shared" si="1062"/>
        <v>4507</v>
      </c>
      <c r="B4575" s="285">
        <v>-0.71021893710506778</v>
      </c>
      <c r="C4575" s="285">
        <v>1.9851416707565461</v>
      </c>
      <c r="D4575" s="285">
        <v>2.2054588702735232</v>
      </c>
      <c r="E4575" s="285">
        <v>-9.9910210920146003</v>
      </c>
    </row>
    <row r="4576" spans="1:5">
      <c r="A4576" s="284">
        <f t="shared" si="1062"/>
        <v>4508</v>
      </c>
      <c r="B4576" s="285">
        <v>-0.28882676467832763</v>
      </c>
      <c r="C4576" s="285">
        <v>2.166578823669016</v>
      </c>
      <c r="D4576" s="285">
        <v>0.36787455575168959</v>
      </c>
      <c r="E4576" s="285">
        <v>1.481692704387108</v>
      </c>
    </row>
    <row r="4577" spans="1:5">
      <c r="A4577" s="284">
        <f t="shared" si="1062"/>
        <v>4509</v>
      </c>
      <c r="B4577" s="285">
        <v>-1.8174940115272986</v>
      </c>
      <c r="C4577" s="285">
        <v>1.9406689898939478</v>
      </c>
      <c r="D4577" s="285">
        <v>0.69734448077373745</v>
      </c>
      <c r="E4577" s="285">
        <v>-11.137996033634334</v>
      </c>
    </row>
    <row r="4578" spans="1:5">
      <c r="A4578" s="284">
        <f t="shared" si="1062"/>
        <v>4510</v>
      </c>
      <c r="B4578" s="285">
        <v>-0.96957415578455342</v>
      </c>
      <c r="C4578" s="285">
        <v>1.9796530790543578</v>
      </c>
      <c r="D4578" s="285">
        <v>1.7386636955783454</v>
      </c>
      <c r="E4578" s="285">
        <v>-12.080387440427721</v>
      </c>
    </row>
    <row r="4579" spans="1:5">
      <c r="A4579" s="284">
        <f t="shared" si="1062"/>
        <v>4511</v>
      </c>
      <c r="B4579" s="285">
        <v>-0.47207598960158642</v>
      </c>
      <c r="C4579" s="285">
        <v>2.7247997440049625</v>
      </c>
      <c r="D4579" s="285">
        <v>1.65313110056079</v>
      </c>
      <c r="E4579" s="285">
        <v>-4.1309016127313249</v>
      </c>
    </row>
    <row r="4580" spans="1:5">
      <c r="A4580" s="284">
        <f t="shared" si="1062"/>
        <v>4512</v>
      </c>
      <c r="B4580" s="285">
        <v>2.3235331686330882</v>
      </c>
      <c r="C4580" s="285">
        <v>2.2389070093341736</v>
      </c>
      <c r="D4580" s="285">
        <v>2.5006113293047232</v>
      </c>
      <c r="E4580" s="285">
        <v>-10.893404596631058</v>
      </c>
    </row>
    <row r="4581" spans="1:5">
      <c r="A4581" s="284">
        <f t="shared" si="1062"/>
        <v>4513</v>
      </c>
      <c r="B4581" s="285">
        <v>0.39464232873139232</v>
      </c>
      <c r="C4581" s="285">
        <v>2.7329902517983999</v>
      </c>
      <c r="D4581" s="285">
        <v>1.2761677525151145</v>
      </c>
      <c r="E4581" s="285">
        <v>-12.498321367823412</v>
      </c>
    </row>
    <row r="4582" spans="1:5">
      <c r="A4582" s="284">
        <f t="shared" si="1062"/>
        <v>4514</v>
      </c>
      <c r="B4582" s="285">
        <v>-1.0740712833401154</v>
      </c>
      <c r="C4582" s="285">
        <v>2.3726217980801692</v>
      </c>
      <c r="D4582" s="285">
        <v>0.12863855303043947</v>
      </c>
      <c r="E4582" s="285">
        <v>-2.5634848211156278</v>
      </c>
    </row>
    <row r="4583" spans="1:5">
      <c r="A4583" s="284">
        <f t="shared" si="1062"/>
        <v>4515</v>
      </c>
      <c r="B4583" s="285">
        <v>-0.54527008366025131</v>
      </c>
      <c r="C4583" s="285">
        <v>2.1171982809691183</v>
      </c>
      <c r="D4583" s="285">
        <v>0.1223916614550935</v>
      </c>
      <c r="E4583" s="285">
        <v>-19.890524522054481</v>
      </c>
    </row>
    <row r="4584" spans="1:5">
      <c r="A4584" s="284">
        <f t="shared" si="1062"/>
        <v>4516</v>
      </c>
      <c r="B4584" s="285">
        <v>-0.48897562792127658</v>
      </c>
      <c r="C4584" s="285">
        <v>2.6401388001201118</v>
      </c>
      <c r="D4584" s="285">
        <v>2.8129993681300411</v>
      </c>
      <c r="E4584" s="285">
        <v>-1.4102096107442068</v>
      </c>
    </row>
    <row r="4585" spans="1:5">
      <c r="A4585" s="284">
        <f t="shared" si="1062"/>
        <v>4517</v>
      </c>
      <c r="B4585" s="285">
        <v>-1.7583604043985936</v>
      </c>
      <c r="C4585" s="285">
        <v>3.1250987123930529</v>
      </c>
      <c r="D4585" s="285">
        <v>1.1774559061584946</v>
      </c>
      <c r="E4585" s="285">
        <v>0.77863628428521325</v>
      </c>
    </row>
    <row r="4586" spans="1:5">
      <c r="A4586" s="284">
        <f t="shared" si="1062"/>
        <v>4518</v>
      </c>
      <c r="B4586" s="285">
        <v>2.6803862167202817</v>
      </c>
      <c r="C4586" s="285">
        <v>2.8261836555833311</v>
      </c>
      <c r="D4586" s="285">
        <v>2.5422533436988592</v>
      </c>
      <c r="E4586" s="285">
        <v>-5.4207910631652396</v>
      </c>
    </row>
    <row r="4587" spans="1:5">
      <c r="A4587" s="284">
        <f t="shared" si="1062"/>
        <v>4519</v>
      </c>
      <c r="B4587" s="285">
        <v>1.2289758696863169</v>
      </c>
      <c r="C4587" s="285">
        <v>2.3371459688003582</v>
      </c>
      <c r="D4587" s="285">
        <v>0.45282798116382939</v>
      </c>
      <c r="E4587" s="285">
        <v>0.37682796481327552</v>
      </c>
    </row>
    <row r="4588" spans="1:5">
      <c r="A4588" s="284">
        <f t="shared" si="1062"/>
        <v>4520</v>
      </c>
      <c r="B4588" s="285">
        <v>-3.0500783935542661</v>
      </c>
      <c r="C4588" s="285">
        <v>2.7543488099072069</v>
      </c>
      <c r="D4588" s="285">
        <v>1.0318740663082457</v>
      </c>
      <c r="E4588" s="285">
        <v>1.7904997067606874</v>
      </c>
    </row>
    <row r="4589" spans="1:5">
      <c r="A4589" s="284">
        <f t="shared" si="1062"/>
        <v>4521</v>
      </c>
      <c r="B4589" s="285">
        <v>0.65442773351464556</v>
      </c>
      <c r="C4589" s="285">
        <v>2.5805543347833564</v>
      </c>
      <c r="D4589" s="285">
        <v>0.23572103811017797</v>
      </c>
      <c r="E4589" s="285">
        <v>0.36301278032698514</v>
      </c>
    </row>
    <row r="4590" spans="1:5">
      <c r="A4590" s="284">
        <f t="shared" si="1062"/>
        <v>4522</v>
      </c>
      <c r="B4590" s="285">
        <v>-4.7949952288623656</v>
      </c>
      <c r="C4590" s="285">
        <v>2.3667838890102382</v>
      </c>
      <c r="D4590" s="285">
        <v>-0.69531711457184553</v>
      </c>
      <c r="E4590" s="285">
        <v>0.38075154095175812</v>
      </c>
    </row>
    <row r="4591" spans="1:5">
      <c r="A4591" s="284">
        <f t="shared" si="1062"/>
        <v>4523</v>
      </c>
      <c r="B4591" s="285">
        <v>1.8719853223334064</v>
      </c>
      <c r="C4591" s="285">
        <v>2.4231528574913614</v>
      </c>
      <c r="D4591" s="285">
        <v>1.8663124459747982</v>
      </c>
      <c r="E4591" s="285">
        <v>-13.050309374153496</v>
      </c>
    </row>
    <row r="4592" spans="1:5">
      <c r="A4592" s="284">
        <f t="shared" si="1062"/>
        <v>4524</v>
      </c>
      <c r="B4592" s="285">
        <v>0.19381083998138965</v>
      </c>
      <c r="C4592" s="285">
        <v>3.0821921366562477</v>
      </c>
      <c r="D4592" s="285">
        <v>0.27866754672357574</v>
      </c>
      <c r="E4592" s="285">
        <v>13.574619761833745</v>
      </c>
    </row>
    <row r="4593" spans="1:5">
      <c r="A4593" s="284">
        <f t="shared" si="1062"/>
        <v>4525</v>
      </c>
      <c r="B4593" s="285">
        <v>-1.0145480713727253</v>
      </c>
      <c r="C4593" s="285">
        <v>2.3570549519460924</v>
      </c>
      <c r="D4593" s="285">
        <v>1.4353346607803195</v>
      </c>
      <c r="E4593" s="285">
        <v>-4.1819228242176072</v>
      </c>
    </row>
    <row r="4594" spans="1:5">
      <c r="A4594" s="284">
        <f t="shared" si="1062"/>
        <v>4526</v>
      </c>
      <c r="B4594" s="285">
        <v>2.8304679871126197</v>
      </c>
      <c r="C4594" s="285">
        <v>2.4118235165179236</v>
      </c>
      <c r="D4594" s="285">
        <v>2.8861927184598977</v>
      </c>
      <c r="E4594" s="285">
        <v>-14.10364377356076</v>
      </c>
    </row>
    <row r="4595" spans="1:5">
      <c r="A4595" s="284">
        <f t="shared" si="1062"/>
        <v>4527</v>
      </c>
      <c r="B4595" s="285">
        <v>-1.8824050030249873</v>
      </c>
      <c r="C4595" s="285">
        <v>2.5047780985746826</v>
      </c>
      <c r="D4595" s="285">
        <v>3.9662898529313706E-2</v>
      </c>
      <c r="E4595" s="285">
        <v>-5.8171139322992849</v>
      </c>
    </row>
    <row r="4596" spans="1:5">
      <c r="A4596" s="284">
        <f t="shared" si="1062"/>
        <v>4528</v>
      </c>
      <c r="B4596" s="285">
        <v>-3.1637932473219816</v>
      </c>
      <c r="C4596" s="285">
        <v>3.0126364087610882</v>
      </c>
      <c r="D4596" s="285">
        <v>-0.38365018275147622</v>
      </c>
      <c r="E4596" s="285">
        <v>9.4273061614532843</v>
      </c>
    </row>
    <row r="4597" spans="1:5">
      <c r="A4597" s="284">
        <f t="shared" si="1062"/>
        <v>4529</v>
      </c>
      <c r="B4597" s="285">
        <v>-1.6994535385970273</v>
      </c>
      <c r="C4597" s="285">
        <v>2.1351760433005404</v>
      </c>
      <c r="D4597" s="285">
        <v>0.57266886538924699</v>
      </c>
      <c r="E4597" s="285">
        <v>-3.2802792888243499</v>
      </c>
    </row>
    <row r="4598" spans="1:5">
      <c r="A4598" s="284">
        <f t="shared" si="1062"/>
        <v>4530</v>
      </c>
      <c r="B4598" s="285">
        <v>1.0366544102307491</v>
      </c>
      <c r="C4598" s="285">
        <v>1.8380160412331039</v>
      </c>
      <c r="D4598" s="285">
        <v>1.8653605866901402</v>
      </c>
      <c r="E4598" s="285">
        <v>-12.573610747299385</v>
      </c>
    </row>
    <row r="4599" spans="1:5">
      <c r="A4599" s="284">
        <f t="shared" si="1062"/>
        <v>4531</v>
      </c>
      <c r="B4599" s="285">
        <v>-0.40406641152624012</v>
      </c>
      <c r="C4599" s="285">
        <v>1.8950735805936929</v>
      </c>
      <c r="D4599" s="285">
        <v>1.7200909854058843</v>
      </c>
      <c r="E4599" s="285">
        <v>-18.860322504999541</v>
      </c>
    </row>
    <row r="4600" spans="1:5">
      <c r="A4600" s="284">
        <f t="shared" si="1062"/>
        <v>4532</v>
      </c>
      <c r="B4600" s="285">
        <v>-1.0581656065554672</v>
      </c>
      <c r="C4600" s="285">
        <v>2.3738679550595787</v>
      </c>
      <c r="D4600" s="285">
        <v>-9.6149111813670363E-3</v>
      </c>
      <c r="E4600" s="285">
        <v>-3.1530609739584081</v>
      </c>
    </row>
    <row r="4601" spans="1:5">
      <c r="A4601" s="284">
        <f t="shared" si="1062"/>
        <v>4533</v>
      </c>
      <c r="B4601" s="285">
        <v>1.7453836836324523</v>
      </c>
      <c r="C4601" s="285">
        <v>2.0136841951871203</v>
      </c>
      <c r="D4601" s="285">
        <v>3.0658975991720494</v>
      </c>
      <c r="E4601" s="285">
        <v>-7.7265885975757254</v>
      </c>
    </row>
    <row r="4602" spans="1:5">
      <c r="A4602" s="284">
        <f t="shared" si="1062"/>
        <v>4534</v>
      </c>
      <c r="B4602" s="285">
        <v>0.27884076493581683</v>
      </c>
      <c r="C4602" s="285">
        <v>2.2432426230184666</v>
      </c>
      <c r="D4602" s="285">
        <v>3.2988650700451205</v>
      </c>
      <c r="E4602" s="285">
        <v>2.5296652904521486</v>
      </c>
    </row>
    <row r="4603" spans="1:5">
      <c r="A4603" s="284">
        <f t="shared" si="1062"/>
        <v>4535</v>
      </c>
      <c r="B4603" s="285">
        <v>2.7935624725005099</v>
      </c>
      <c r="C4603" s="285">
        <v>3.1401927205096465</v>
      </c>
      <c r="D4603" s="285">
        <v>2.4731441956786324</v>
      </c>
      <c r="E4603" s="285">
        <v>3.8922654062023727</v>
      </c>
    </row>
    <row r="4604" spans="1:5">
      <c r="A4604" s="284">
        <f t="shared" si="1062"/>
        <v>4536</v>
      </c>
      <c r="B4604" s="285">
        <v>-2.7776422198217445</v>
      </c>
      <c r="C4604" s="285">
        <v>2.7878991707534397</v>
      </c>
      <c r="D4604" s="285">
        <v>1.3379601822374858</v>
      </c>
      <c r="E4604" s="285">
        <v>5.3399622742199337</v>
      </c>
    </row>
    <row r="4605" spans="1:5">
      <c r="A4605" s="284">
        <f t="shared" si="1062"/>
        <v>4537</v>
      </c>
      <c r="B4605" s="285">
        <v>1.1680701909921427</v>
      </c>
      <c r="C4605" s="285">
        <v>2.5847692049087008</v>
      </c>
      <c r="D4605" s="285">
        <v>3.7881226115218505</v>
      </c>
      <c r="E4605" s="285">
        <v>-4.4204267286939132</v>
      </c>
    </row>
    <row r="4606" spans="1:5">
      <c r="A4606" s="284">
        <f t="shared" si="1062"/>
        <v>4538</v>
      </c>
      <c r="B4606" s="285">
        <v>0.78997475239625503</v>
      </c>
      <c r="C4606" s="285">
        <v>2.5706727421753035</v>
      </c>
      <c r="D4606" s="285">
        <v>2.7317310751287085</v>
      </c>
      <c r="E4606" s="285">
        <v>-10.307620468854077</v>
      </c>
    </row>
    <row r="4607" spans="1:5">
      <c r="A4607" s="284">
        <f t="shared" si="1062"/>
        <v>4539</v>
      </c>
      <c r="B4607" s="285">
        <v>-1.6301236456669614</v>
      </c>
      <c r="C4607" s="285">
        <v>1.9363300525272795</v>
      </c>
      <c r="D4607" s="285">
        <v>3.4232103526478928</v>
      </c>
      <c r="E4607" s="285">
        <v>-19.638818033597492</v>
      </c>
    </row>
    <row r="4608" spans="1:5">
      <c r="A4608" s="284">
        <f t="shared" si="1062"/>
        <v>4540</v>
      </c>
      <c r="B4608" s="285">
        <v>-0.88862605672109651</v>
      </c>
      <c r="C4608" s="285">
        <v>1.7768090339780502</v>
      </c>
      <c r="D4608" s="285">
        <v>-1.3495557522980195</v>
      </c>
      <c r="E4608" s="285">
        <v>-8.2099999886897717</v>
      </c>
    </row>
    <row r="4609" spans="1:5">
      <c r="A4609" s="284">
        <f t="shared" si="1062"/>
        <v>4541</v>
      </c>
      <c r="B4609" s="285">
        <v>-0.37612652857796447</v>
      </c>
      <c r="C4609" s="285">
        <v>2.5540419511625507</v>
      </c>
      <c r="D4609" s="285">
        <v>-0.43399860604488194</v>
      </c>
      <c r="E4609" s="285">
        <v>-8.3324241099538341</v>
      </c>
    </row>
    <row r="4610" spans="1:5">
      <c r="A4610" s="284">
        <f t="shared" si="1062"/>
        <v>4542</v>
      </c>
      <c r="B4610" s="285">
        <v>-0.46682943130579885</v>
      </c>
      <c r="C4610" s="285">
        <v>2.6757112623783477</v>
      </c>
      <c r="D4610" s="285">
        <v>-0.79045642572376429</v>
      </c>
      <c r="E4610" s="285">
        <v>13.230640273793231</v>
      </c>
    </row>
    <row r="4611" spans="1:5">
      <c r="A4611" s="284">
        <f t="shared" si="1062"/>
        <v>4543</v>
      </c>
      <c r="B4611" s="285">
        <v>-0.60260628943805938</v>
      </c>
      <c r="C4611" s="285">
        <v>2.2742681475035567</v>
      </c>
      <c r="D4611" s="285">
        <v>1.5607707068364358</v>
      </c>
      <c r="E4611" s="285">
        <v>-2.8002610741952663</v>
      </c>
    </row>
    <row r="4612" spans="1:5">
      <c r="A4612" s="284">
        <f t="shared" si="1062"/>
        <v>4544</v>
      </c>
      <c r="B4612" s="285">
        <v>-7.9797417099920456E-2</v>
      </c>
      <c r="C4612" s="285">
        <v>1.9637323786075995</v>
      </c>
      <c r="D4612" s="285">
        <v>1.7132587364321965</v>
      </c>
      <c r="E4612" s="285">
        <v>-16.787214010070073</v>
      </c>
    </row>
    <row r="4613" spans="1:5">
      <c r="A4613" s="284">
        <f t="shared" si="1062"/>
        <v>4545</v>
      </c>
      <c r="B4613" s="285">
        <v>1.8854915831081169</v>
      </c>
      <c r="C4613" s="285">
        <v>2.4046351586487731</v>
      </c>
      <c r="D4613" s="285">
        <v>9.5591633145762467E-2</v>
      </c>
      <c r="E4613" s="285">
        <v>2.0374737862468675</v>
      </c>
    </row>
    <row r="4614" spans="1:5">
      <c r="A4614" s="284">
        <f t="shared" si="1062"/>
        <v>4546</v>
      </c>
      <c r="B4614" s="285">
        <v>-1.7622677099073429</v>
      </c>
      <c r="C4614" s="285">
        <v>3.106056236605526</v>
      </c>
      <c r="D4614" s="285">
        <v>0.70718267034789228</v>
      </c>
      <c r="E4614" s="285">
        <v>4.3093383100772158</v>
      </c>
    </row>
    <row r="4615" spans="1:5">
      <c r="A4615" s="284">
        <f t="shared" ref="A4615:A4678" si="1063">A4614+1</f>
        <v>4547</v>
      </c>
      <c r="B4615" s="285">
        <v>-0.16523240863771629</v>
      </c>
      <c r="C4615" s="285">
        <v>3.1105457708563171</v>
      </c>
      <c r="D4615" s="285">
        <v>1.1815761859894511</v>
      </c>
      <c r="E4615" s="285">
        <v>-1.6754696458270768E-2</v>
      </c>
    </row>
    <row r="4616" spans="1:5">
      <c r="A4616" s="284">
        <f t="shared" si="1063"/>
        <v>4548</v>
      </c>
      <c r="B4616" s="285">
        <v>-4.7504830971529834</v>
      </c>
      <c r="C4616" s="285">
        <v>2.194257924566211</v>
      </c>
      <c r="D4616" s="285">
        <v>7.980596975870613E-3</v>
      </c>
      <c r="E4616" s="285">
        <v>-4.9148401658895127</v>
      </c>
    </row>
    <row r="4617" spans="1:5">
      <c r="A4617" s="284">
        <f t="shared" si="1063"/>
        <v>4549</v>
      </c>
      <c r="B4617" s="285">
        <v>1.1681458925390507</v>
      </c>
      <c r="C4617" s="285">
        <v>2.9082648854878972</v>
      </c>
      <c r="D4617" s="285">
        <v>1.353632463301353</v>
      </c>
      <c r="E4617" s="285">
        <v>7.8818030042553957</v>
      </c>
    </row>
    <row r="4618" spans="1:5">
      <c r="A4618" s="284">
        <f t="shared" si="1063"/>
        <v>4550</v>
      </c>
      <c r="B4618" s="285">
        <v>-1.5728057996927489</v>
      </c>
      <c r="C4618" s="285">
        <v>2.9482336448453546</v>
      </c>
      <c r="D4618" s="285">
        <v>0.25668986028253449</v>
      </c>
      <c r="E4618" s="285">
        <v>6.6993428079497885</v>
      </c>
    </row>
    <row r="4619" spans="1:5">
      <c r="A4619" s="284">
        <f t="shared" si="1063"/>
        <v>4551</v>
      </c>
      <c r="B4619" s="285">
        <v>2.3799109180999838</v>
      </c>
      <c r="C4619" s="285">
        <v>2.6236708266410278</v>
      </c>
      <c r="D4619" s="285">
        <v>3.3340623930147135</v>
      </c>
      <c r="E4619" s="285">
        <v>5.7623983804004677</v>
      </c>
    </row>
    <row r="4620" spans="1:5">
      <c r="A4620" s="284">
        <f t="shared" si="1063"/>
        <v>4552</v>
      </c>
      <c r="B4620" s="285">
        <v>-0.18950159807792355</v>
      </c>
      <c r="C4620" s="285">
        <v>2.3926475771832534</v>
      </c>
      <c r="D4620" s="285">
        <v>2.099969698988466</v>
      </c>
      <c r="E4620" s="285">
        <v>-10.437628504584378</v>
      </c>
    </row>
    <row r="4621" spans="1:5">
      <c r="A4621" s="284">
        <f t="shared" si="1063"/>
        <v>4553</v>
      </c>
      <c r="B4621" s="285">
        <v>3.5447102367667314</v>
      </c>
      <c r="C4621" s="285">
        <v>2.70107126874976</v>
      </c>
      <c r="D4621" s="285">
        <v>2.1231283475349167</v>
      </c>
      <c r="E4621" s="285">
        <v>-5.6804031732810802</v>
      </c>
    </row>
    <row r="4622" spans="1:5">
      <c r="A4622" s="284">
        <f t="shared" si="1063"/>
        <v>4554</v>
      </c>
      <c r="B4622" s="285">
        <v>1.8044427774712986</v>
      </c>
      <c r="C4622" s="285">
        <v>2.1137125825951415</v>
      </c>
      <c r="D4622" s="285">
        <v>1.7775439092591374</v>
      </c>
      <c r="E4622" s="285">
        <v>-20.611075197182071</v>
      </c>
    </row>
    <row r="4623" spans="1:5">
      <c r="A4623" s="284">
        <f t="shared" si="1063"/>
        <v>4555</v>
      </c>
      <c r="B4623" s="285">
        <v>-1.9876537382184134</v>
      </c>
      <c r="C4623" s="285">
        <v>1.9126895489516982</v>
      </c>
      <c r="D4623" s="285">
        <v>2.1076468432717883</v>
      </c>
      <c r="E4623" s="285">
        <v>-13.473293931288296</v>
      </c>
    </row>
    <row r="4624" spans="1:5">
      <c r="A4624" s="284">
        <f t="shared" si="1063"/>
        <v>4556</v>
      </c>
      <c r="B4624" s="285">
        <v>-0.31562676360089348</v>
      </c>
      <c r="C4624" s="285">
        <v>3.204670169333347</v>
      </c>
      <c r="D4624" s="285">
        <v>1.9406585250068666</v>
      </c>
      <c r="E4624" s="285">
        <v>12.672800726097151</v>
      </c>
    </row>
    <row r="4625" spans="1:5">
      <c r="A4625" s="284">
        <f t="shared" si="1063"/>
        <v>4557</v>
      </c>
      <c r="B4625" s="285">
        <v>-0.42471567204565297</v>
      </c>
      <c r="C4625" s="285">
        <v>3.0230500417851025</v>
      </c>
      <c r="D4625" s="285">
        <v>0.1892432362612837</v>
      </c>
      <c r="E4625" s="285">
        <v>7.3582721731725691</v>
      </c>
    </row>
    <row r="4626" spans="1:5">
      <c r="A4626" s="284">
        <f t="shared" si="1063"/>
        <v>4558</v>
      </c>
      <c r="B4626" s="285">
        <v>-0.78020385098291212</v>
      </c>
      <c r="C4626" s="285">
        <v>2.5806044135907493</v>
      </c>
      <c r="D4626" s="285">
        <v>1.0900628498485456</v>
      </c>
      <c r="E4626" s="285">
        <v>-0.86405243043293067</v>
      </c>
    </row>
    <row r="4627" spans="1:5">
      <c r="A4627" s="284">
        <f t="shared" si="1063"/>
        <v>4559</v>
      </c>
      <c r="B4627" s="285">
        <v>1.3410059097558333</v>
      </c>
      <c r="C4627" s="285">
        <v>2.1708470796520039</v>
      </c>
      <c r="D4627" s="285">
        <v>2.8236764925764941</v>
      </c>
      <c r="E4627" s="285">
        <v>-18.686382587064372</v>
      </c>
    </row>
    <row r="4628" spans="1:5">
      <c r="A4628" s="284">
        <f t="shared" si="1063"/>
        <v>4560</v>
      </c>
      <c r="B4628" s="285">
        <v>-1.0695867289636976</v>
      </c>
      <c r="C4628" s="285">
        <v>3.1812204073094401</v>
      </c>
      <c r="D4628" s="285">
        <v>-1.073590601186563</v>
      </c>
      <c r="E4628" s="285">
        <v>13.452185281559032</v>
      </c>
    </row>
    <row r="4629" spans="1:5">
      <c r="A4629" s="284">
        <f t="shared" si="1063"/>
        <v>4561</v>
      </c>
      <c r="B4629" s="285">
        <v>-0.86035395187508601</v>
      </c>
      <c r="C4629" s="285">
        <v>2.6273809483557562</v>
      </c>
      <c r="D4629" s="285">
        <v>0.69487735453280908</v>
      </c>
      <c r="E4629" s="285">
        <v>5.6171801155771046</v>
      </c>
    </row>
    <row r="4630" spans="1:5">
      <c r="A4630" s="284">
        <f t="shared" si="1063"/>
        <v>4562</v>
      </c>
      <c r="B4630" s="285">
        <v>3.6248689514735997</v>
      </c>
      <c r="C4630" s="285">
        <v>3.6357079385318851</v>
      </c>
      <c r="D4630" s="285">
        <v>1.2133466506993753</v>
      </c>
      <c r="E4630" s="285">
        <v>3.8463102796478315</v>
      </c>
    </row>
    <row r="4631" spans="1:5">
      <c r="A4631" s="284">
        <f t="shared" si="1063"/>
        <v>4563</v>
      </c>
      <c r="B4631" s="285">
        <v>2.2669227098118219</v>
      </c>
      <c r="C4631" s="285">
        <v>1.9076643471402246</v>
      </c>
      <c r="D4631" s="285">
        <v>1.559398494683756</v>
      </c>
      <c r="E4631" s="285">
        <v>-16.670849115346904</v>
      </c>
    </row>
    <row r="4632" spans="1:5">
      <c r="A4632" s="284">
        <f t="shared" si="1063"/>
        <v>4564</v>
      </c>
      <c r="B4632" s="285">
        <v>0.30824097748178897</v>
      </c>
      <c r="C4632" s="285">
        <v>2.2915500625150504</v>
      </c>
      <c r="D4632" s="285">
        <v>3.5184357037938256</v>
      </c>
      <c r="E4632" s="285">
        <v>-15.240242055955381</v>
      </c>
    </row>
    <row r="4633" spans="1:5">
      <c r="A4633" s="284">
        <f t="shared" si="1063"/>
        <v>4565</v>
      </c>
      <c r="B4633" s="285">
        <v>1.2018726788344156</v>
      </c>
      <c r="C4633" s="285">
        <v>3.3521414846475328</v>
      </c>
      <c r="D4633" s="285">
        <v>-0.57900290215385075</v>
      </c>
      <c r="E4633" s="285">
        <v>18.033136266057177</v>
      </c>
    </row>
    <row r="4634" spans="1:5">
      <c r="A4634" s="284">
        <f t="shared" si="1063"/>
        <v>4566</v>
      </c>
      <c r="B4634" s="285">
        <v>3.6324790140532901</v>
      </c>
      <c r="C4634" s="285">
        <v>3.3533940583510127</v>
      </c>
      <c r="D4634" s="285">
        <v>0.37953232735427778</v>
      </c>
      <c r="E4634" s="285">
        <v>2.8821268192498688</v>
      </c>
    </row>
    <row r="4635" spans="1:5">
      <c r="A4635" s="284">
        <f t="shared" si="1063"/>
        <v>4567</v>
      </c>
      <c r="B4635" s="285">
        <v>-4.0337585998976042</v>
      </c>
      <c r="C4635" s="285">
        <v>2.6966361307603575</v>
      </c>
      <c r="D4635" s="285">
        <v>-1.4452262771809146</v>
      </c>
      <c r="E4635" s="285">
        <v>19.961791697529051</v>
      </c>
    </row>
    <row r="4636" spans="1:5">
      <c r="A4636" s="284">
        <f t="shared" si="1063"/>
        <v>4568</v>
      </c>
      <c r="B4636" s="285">
        <v>3.3579970940482475</v>
      </c>
      <c r="C4636" s="285">
        <v>2.6003394878091162</v>
      </c>
      <c r="D4636" s="285">
        <v>2.8360464338288116</v>
      </c>
      <c r="E4636" s="285">
        <v>-6.4700381464736783</v>
      </c>
    </row>
    <row r="4637" spans="1:5">
      <c r="A4637" s="284">
        <f t="shared" si="1063"/>
        <v>4569</v>
      </c>
      <c r="B4637" s="285">
        <v>-4.1309803059133531E-2</v>
      </c>
      <c r="C4637" s="285">
        <v>2.540015796440199</v>
      </c>
      <c r="D4637" s="285">
        <v>-6.6405172066134055E-2</v>
      </c>
      <c r="E4637" s="285">
        <v>4.7308037503088034</v>
      </c>
    </row>
    <row r="4638" spans="1:5">
      <c r="A4638" s="284">
        <f t="shared" si="1063"/>
        <v>4570</v>
      </c>
      <c r="B4638" s="285">
        <v>0.5616609091619521</v>
      </c>
      <c r="C4638" s="285">
        <v>2.6063693198776634</v>
      </c>
      <c r="D4638" s="285">
        <v>0.21033398682913196</v>
      </c>
      <c r="E4638" s="285">
        <v>5.594576694883024</v>
      </c>
    </row>
    <row r="4639" spans="1:5">
      <c r="A4639" s="284">
        <f t="shared" si="1063"/>
        <v>4571</v>
      </c>
      <c r="B4639" s="285">
        <v>2.6473965712239855</v>
      </c>
      <c r="C4639" s="285">
        <v>2.5842368609492694</v>
      </c>
      <c r="D4639" s="285">
        <v>1.0745330032014935</v>
      </c>
      <c r="E4639" s="285">
        <v>-1.4624082250980766</v>
      </c>
    </row>
    <row r="4640" spans="1:5">
      <c r="A4640" s="284">
        <f t="shared" si="1063"/>
        <v>4572</v>
      </c>
      <c r="B4640" s="285">
        <v>1.7234821610644238</v>
      </c>
      <c r="C4640" s="285">
        <v>2.3809371385328153</v>
      </c>
      <c r="D4640" s="285">
        <v>3.0130798020080372</v>
      </c>
      <c r="E4640" s="285">
        <v>-15.243758948711964</v>
      </c>
    </row>
    <row r="4641" spans="1:5">
      <c r="A4641" s="284">
        <f t="shared" si="1063"/>
        <v>4573</v>
      </c>
      <c r="B4641" s="285">
        <v>-2.4191008671754082</v>
      </c>
      <c r="C4641" s="285">
        <v>2.5089957814816763</v>
      </c>
      <c r="D4641" s="285">
        <v>0.77030752281509485</v>
      </c>
      <c r="E4641" s="285">
        <v>-2.3376555915299448</v>
      </c>
    </row>
    <row r="4642" spans="1:5">
      <c r="A4642" s="284">
        <f t="shared" si="1063"/>
        <v>4574</v>
      </c>
      <c r="B4642" s="285">
        <v>-4.7212119522246008</v>
      </c>
      <c r="C4642" s="285">
        <v>1.963016609784991</v>
      </c>
      <c r="D4642" s="285">
        <v>-0.62781356170816149</v>
      </c>
      <c r="E4642" s="285">
        <v>-2.5085677414908765</v>
      </c>
    </row>
    <row r="4643" spans="1:5">
      <c r="A4643" s="284">
        <f t="shared" si="1063"/>
        <v>4575</v>
      </c>
      <c r="B4643" s="285">
        <v>-0.10194530347968346</v>
      </c>
      <c r="C4643" s="285">
        <v>2.8186902865205723</v>
      </c>
      <c r="D4643" s="285">
        <v>-1.3147104515514858</v>
      </c>
      <c r="E4643" s="285">
        <v>8.7580531446289136</v>
      </c>
    </row>
    <row r="4644" spans="1:5">
      <c r="A4644" s="284">
        <f t="shared" si="1063"/>
        <v>4576</v>
      </c>
      <c r="B4644" s="285">
        <v>2.1989977207818145</v>
      </c>
      <c r="C4644" s="285">
        <v>2.8330441186546631</v>
      </c>
      <c r="D4644" s="285">
        <v>1.5817593685398028</v>
      </c>
      <c r="E4644" s="285">
        <v>-1.8079371809307445</v>
      </c>
    </row>
    <row r="4645" spans="1:5">
      <c r="A4645" s="284">
        <f t="shared" si="1063"/>
        <v>4577</v>
      </c>
      <c r="B4645" s="285">
        <v>3.4471788131464702</v>
      </c>
      <c r="C4645" s="285">
        <v>2.4149630161992084</v>
      </c>
      <c r="D4645" s="285">
        <v>0.29332961267977864</v>
      </c>
      <c r="E4645" s="285">
        <v>-7.061267675246345</v>
      </c>
    </row>
    <row r="4646" spans="1:5">
      <c r="A4646" s="284">
        <f t="shared" si="1063"/>
        <v>4578</v>
      </c>
      <c r="B4646" s="285">
        <v>-2.4540912852083667</v>
      </c>
      <c r="C4646" s="285">
        <v>2.3946241573847322</v>
      </c>
      <c r="D4646" s="285">
        <v>1.6329720780733732</v>
      </c>
      <c r="E4646" s="285">
        <v>-7.8625946029838296</v>
      </c>
    </row>
    <row r="4647" spans="1:5">
      <c r="A4647" s="284">
        <f t="shared" si="1063"/>
        <v>4579</v>
      </c>
      <c r="B4647" s="285">
        <v>-2.4403869778273819</v>
      </c>
      <c r="C4647" s="285">
        <v>2.1862160239606752</v>
      </c>
      <c r="D4647" s="285">
        <v>3.0745110772207349</v>
      </c>
      <c r="E4647" s="285">
        <v>-3.1991877831054674</v>
      </c>
    </row>
    <row r="4648" spans="1:5">
      <c r="A4648" s="284">
        <f t="shared" si="1063"/>
        <v>4580</v>
      </c>
      <c r="B4648" s="285">
        <v>-0.863266429512068</v>
      </c>
      <c r="C4648" s="285">
        <v>1.4924872095383188</v>
      </c>
      <c r="D4648" s="285">
        <v>3.7414789254732064</v>
      </c>
      <c r="E4648" s="285">
        <v>-4.3433483465346789</v>
      </c>
    </row>
    <row r="4649" spans="1:5">
      <c r="A4649" s="284">
        <f t="shared" si="1063"/>
        <v>4581</v>
      </c>
      <c r="B4649" s="285">
        <v>-2.3711377258621291</v>
      </c>
      <c r="C4649" s="285">
        <v>2.0081379025578716</v>
      </c>
      <c r="D4649" s="285">
        <v>1.2344795939873383</v>
      </c>
      <c r="E4649" s="285">
        <v>-22.142944904095213</v>
      </c>
    </row>
    <row r="4650" spans="1:5">
      <c r="A4650" s="284">
        <f t="shared" si="1063"/>
        <v>4582</v>
      </c>
      <c r="B4650" s="285">
        <v>-2.3387378464121311</v>
      </c>
      <c r="C4650" s="285">
        <v>2.2578794703358853</v>
      </c>
      <c r="D4650" s="285">
        <v>-2.9043256298821207E-2</v>
      </c>
      <c r="E4650" s="285">
        <v>-5.2831115891486107</v>
      </c>
    </row>
    <row r="4651" spans="1:5">
      <c r="A4651" s="284">
        <f t="shared" si="1063"/>
        <v>4583</v>
      </c>
      <c r="B4651" s="285">
        <v>1.2190218566473527</v>
      </c>
      <c r="C4651" s="285">
        <v>1.7269452947729254</v>
      </c>
      <c r="D4651" s="285">
        <v>1.2936785028353901</v>
      </c>
      <c r="E4651" s="285">
        <v>-19.077659897990419</v>
      </c>
    </row>
    <row r="4652" spans="1:5">
      <c r="A4652" s="284">
        <f t="shared" si="1063"/>
        <v>4584</v>
      </c>
      <c r="B4652" s="285">
        <v>-1.5627855322023949</v>
      </c>
      <c r="C4652" s="285">
        <v>2.2166718182586074</v>
      </c>
      <c r="D4652" s="285">
        <v>1.3616163754156463</v>
      </c>
      <c r="E4652" s="285">
        <v>-3.0052793983624801</v>
      </c>
    </row>
    <row r="4653" spans="1:5">
      <c r="A4653" s="284">
        <f t="shared" si="1063"/>
        <v>4585</v>
      </c>
      <c r="B4653" s="285">
        <v>-1.143636488163317</v>
      </c>
      <c r="C4653" s="285">
        <v>2.5448776361682044</v>
      </c>
      <c r="D4653" s="285">
        <v>1.95333352014276</v>
      </c>
      <c r="E4653" s="285">
        <v>-0.70205545547635717</v>
      </c>
    </row>
    <row r="4654" spans="1:5">
      <c r="A4654" s="284">
        <f t="shared" si="1063"/>
        <v>4586</v>
      </c>
      <c r="B4654" s="285">
        <v>-1.9737383579943801</v>
      </c>
      <c r="C4654" s="285">
        <v>2.4777077177832307</v>
      </c>
      <c r="D4654" s="285">
        <v>-0.62792200214345395</v>
      </c>
      <c r="E4654" s="285">
        <v>-13.045344434101116</v>
      </c>
    </row>
    <row r="4655" spans="1:5">
      <c r="A4655" s="284">
        <f t="shared" si="1063"/>
        <v>4587</v>
      </c>
      <c r="B4655" s="285">
        <v>-1.6902006514901917</v>
      </c>
      <c r="C4655" s="285">
        <v>3.2278510165410816</v>
      </c>
      <c r="D4655" s="285">
        <v>-1.2892224315981693E-2</v>
      </c>
      <c r="E4655" s="285">
        <v>6.5481303024636279</v>
      </c>
    </row>
    <row r="4656" spans="1:5">
      <c r="A4656" s="284">
        <f t="shared" si="1063"/>
        <v>4588</v>
      </c>
      <c r="B4656" s="285">
        <v>0.75901952053947064</v>
      </c>
      <c r="C4656" s="285">
        <v>2.9181582481658577</v>
      </c>
      <c r="D4656" s="285">
        <v>-0.2355248722016976</v>
      </c>
      <c r="E4656" s="285">
        <v>5.0666389196641592</v>
      </c>
    </row>
    <row r="4657" spans="1:5">
      <c r="A4657" s="284">
        <f t="shared" si="1063"/>
        <v>4589</v>
      </c>
      <c r="B4657" s="285">
        <v>1.9368633951296352</v>
      </c>
      <c r="C4657" s="285">
        <v>2.7690964093798782</v>
      </c>
      <c r="D4657" s="285">
        <v>0.77453431914314252</v>
      </c>
      <c r="E4657" s="285">
        <v>9.7287491814202998</v>
      </c>
    </row>
    <row r="4658" spans="1:5">
      <c r="A4658" s="284">
        <f t="shared" si="1063"/>
        <v>4590</v>
      </c>
      <c r="B4658" s="285">
        <v>1.0306129219363025</v>
      </c>
      <c r="C4658" s="285">
        <v>2.465382637019518</v>
      </c>
      <c r="D4658" s="285">
        <v>1.4951925593893542</v>
      </c>
      <c r="E4658" s="285">
        <v>-0.58013115520776903</v>
      </c>
    </row>
    <row r="4659" spans="1:5">
      <c r="A4659" s="284">
        <f t="shared" si="1063"/>
        <v>4591</v>
      </c>
      <c r="B4659" s="285">
        <v>-2.549570215580637</v>
      </c>
      <c r="C4659" s="285">
        <v>1.9002469502860302</v>
      </c>
      <c r="D4659" s="285">
        <v>-6.1153398628297717E-2</v>
      </c>
      <c r="E4659" s="285">
        <v>-9.6357555452336001</v>
      </c>
    </row>
    <row r="4660" spans="1:5">
      <c r="A4660" s="284">
        <f t="shared" si="1063"/>
        <v>4592</v>
      </c>
      <c r="B4660" s="285">
        <v>0.44991307661505864</v>
      </c>
      <c r="C4660" s="285">
        <v>3.1384747738688228</v>
      </c>
      <c r="D4660" s="285">
        <v>1.0913336515309546</v>
      </c>
      <c r="E4660" s="285">
        <v>3.1953660857911577</v>
      </c>
    </row>
    <row r="4661" spans="1:5">
      <c r="A4661" s="284">
        <f t="shared" si="1063"/>
        <v>4593</v>
      </c>
      <c r="B4661" s="285">
        <v>0.27715504492463994</v>
      </c>
      <c r="C4661" s="285">
        <v>2.2072718095530313</v>
      </c>
      <c r="D4661" s="285">
        <v>-0.63933570056814348</v>
      </c>
      <c r="E4661" s="285">
        <v>-5.8536978954741397</v>
      </c>
    </row>
    <row r="4662" spans="1:5">
      <c r="A4662" s="284">
        <f t="shared" si="1063"/>
        <v>4594</v>
      </c>
      <c r="B4662" s="285">
        <v>2.1373627669613025</v>
      </c>
      <c r="C4662" s="285">
        <v>3.0102228781934333</v>
      </c>
      <c r="D4662" s="285">
        <v>-0.26624023501150806</v>
      </c>
      <c r="E4662" s="285">
        <v>-11.951639458575476</v>
      </c>
    </row>
    <row r="4663" spans="1:5">
      <c r="A4663" s="284">
        <f t="shared" si="1063"/>
        <v>4595</v>
      </c>
      <c r="B4663" s="285">
        <v>3.1701598231823915</v>
      </c>
      <c r="C4663" s="285">
        <v>2.2167458589873998</v>
      </c>
      <c r="D4663" s="285">
        <v>1.9101726430481274</v>
      </c>
      <c r="E4663" s="285">
        <v>-2.4612746960069241</v>
      </c>
    </row>
    <row r="4664" spans="1:5">
      <c r="A4664" s="284">
        <f t="shared" si="1063"/>
        <v>4596</v>
      </c>
      <c r="B4664" s="285">
        <v>0.13100048855295371</v>
      </c>
      <c r="C4664" s="285">
        <v>3.2078251392933823</v>
      </c>
      <c r="D4664" s="285">
        <v>0.1878632480851774</v>
      </c>
      <c r="E4664" s="285">
        <v>14.053534864777006</v>
      </c>
    </row>
    <row r="4665" spans="1:5">
      <c r="A4665" s="284">
        <f t="shared" si="1063"/>
        <v>4597</v>
      </c>
      <c r="B4665" s="285">
        <v>1.9104152931850997</v>
      </c>
      <c r="C4665" s="285">
        <v>2.7012349809022198</v>
      </c>
      <c r="D4665" s="285">
        <v>1.3730072256246864</v>
      </c>
      <c r="E4665" s="285">
        <v>1.0237384474355271</v>
      </c>
    </row>
    <row r="4666" spans="1:5">
      <c r="A4666" s="284">
        <f t="shared" si="1063"/>
        <v>4598</v>
      </c>
      <c r="B4666" s="285">
        <v>4.2299906059533869</v>
      </c>
      <c r="C4666" s="285">
        <v>3.1693192535605017</v>
      </c>
      <c r="D4666" s="285">
        <v>2.378193845175042</v>
      </c>
      <c r="E4666" s="285">
        <v>-1.8161371151762831</v>
      </c>
    </row>
    <row r="4667" spans="1:5">
      <c r="A4667" s="284">
        <f t="shared" si="1063"/>
        <v>4599</v>
      </c>
      <c r="B4667" s="285">
        <v>4.273079851915691</v>
      </c>
      <c r="C4667" s="285">
        <v>2.722321264178734</v>
      </c>
      <c r="D4667" s="285">
        <v>1.8675358749411402</v>
      </c>
      <c r="E4667" s="285">
        <v>-3.3696662792485297</v>
      </c>
    </row>
    <row r="4668" spans="1:5">
      <c r="A4668" s="284">
        <f t="shared" si="1063"/>
        <v>4600</v>
      </c>
      <c r="B4668" s="285">
        <v>-0.89113490396608908</v>
      </c>
      <c r="C4668" s="285">
        <v>3.0662488977750351</v>
      </c>
      <c r="D4668" s="285">
        <v>0.66874825726563569</v>
      </c>
      <c r="E4668" s="285">
        <v>-3.9975526473589187</v>
      </c>
    </row>
    <row r="4669" spans="1:5">
      <c r="A4669" s="284">
        <f t="shared" si="1063"/>
        <v>4601</v>
      </c>
      <c r="B4669" s="285">
        <v>2.8322759298438736</v>
      </c>
      <c r="C4669" s="285">
        <v>2.8401017771046</v>
      </c>
      <c r="D4669" s="285">
        <v>0.64252321528648337</v>
      </c>
      <c r="E4669" s="285">
        <v>5.9941442697954415</v>
      </c>
    </row>
    <row r="4670" spans="1:5">
      <c r="A4670" s="284">
        <f t="shared" si="1063"/>
        <v>4602</v>
      </c>
      <c r="B4670" s="285">
        <v>-2.8503193048303523</v>
      </c>
      <c r="C4670" s="285">
        <v>2.7454018721131646</v>
      </c>
      <c r="D4670" s="285">
        <v>-0.17615893398332139</v>
      </c>
      <c r="E4670" s="285">
        <v>5.9413265850250969</v>
      </c>
    </row>
    <row r="4671" spans="1:5">
      <c r="A4671" s="284">
        <f t="shared" si="1063"/>
        <v>4603</v>
      </c>
      <c r="B4671" s="285">
        <v>3.3475212644973129</v>
      </c>
      <c r="C4671" s="285">
        <v>2.8908678999133022</v>
      </c>
      <c r="D4671" s="285">
        <v>-0.91862350797980152</v>
      </c>
      <c r="E4671" s="285">
        <v>-9.3505197936123707</v>
      </c>
    </row>
    <row r="4672" spans="1:5">
      <c r="A4672" s="284">
        <f t="shared" si="1063"/>
        <v>4604</v>
      </c>
      <c r="B4672" s="285">
        <v>2.2638383023293689</v>
      </c>
      <c r="C4672" s="285">
        <v>3.0313159758054424</v>
      </c>
      <c r="D4672" s="285">
        <v>1.197848524114657</v>
      </c>
      <c r="E4672" s="285">
        <v>10.301046463055707</v>
      </c>
    </row>
    <row r="4673" spans="1:5">
      <c r="A4673" s="284">
        <f t="shared" si="1063"/>
        <v>4605</v>
      </c>
      <c r="B4673" s="285">
        <v>-0.19469200154194236</v>
      </c>
      <c r="C4673" s="285">
        <v>2.6310946548480207</v>
      </c>
      <c r="D4673" s="285">
        <v>0.59771805530372379</v>
      </c>
      <c r="E4673" s="285">
        <v>-0.73607352694930261</v>
      </c>
    </row>
    <row r="4674" spans="1:5">
      <c r="A4674" s="284">
        <f t="shared" si="1063"/>
        <v>4606</v>
      </c>
      <c r="B4674" s="285">
        <v>2.8211782814783519</v>
      </c>
      <c r="C4674" s="285">
        <v>2.9283058566072895</v>
      </c>
      <c r="D4674" s="285">
        <v>0.76312140381942695</v>
      </c>
      <c r="E4674" s="285">
        <v>5.1263027888647148</v>
      </c>
    </row>
    <row r="4675" spans="1:5">
      <c r="A4675" s="284">
        <f t="shared" si="1063"/>
        <v>4607</v>
      </c>
      <c r="B4675" s="285">
        <v>0.34837805015629603</v>
      </c>
      <c r="C4675" s="285">
        <v>3.1112131519381032</v>
      </c>
      <c r="D4675" s="285">
        <v>0.93714728495813215</v>
      </c>
      <c r="E4675" s="285">
        <v>-0.90113161638984485</v>
      </c>
    </row>
    <row r="4676" spans="1:5">
      <c r="A4676" s="284">
        <f t="shared" si="1063"/>
        <v>4608</v>
      </c>
      <c r="B4676" s="285">
        <v>-1.4545977374856385</v>
      </c>
      <c r="C4676" s="285">
        <v>2.4481964223897337</v>
      </c>
      <c r="D4676" s="285">
        <v>0.63539152516913511</v>
      </c>
      <c r="E4676" s="285">
        <v>6.704895579385628</v>
      </c>
    </row>
    <row r="4677" spans="1:5">
      <c r="A4677" s="284">
        <f t="shared" si="1063"/>
        <v>4609</v>
      </c>
      <c r="B4677" s="285">
        <v>-0.35587654465202256</v>
      </c>
      <c r="C4677" s="285">
        <v>2.9134049806566669</v>
      </c>
      <c r="D4677" s="285">
        <v>-0.5872429931150045</v>
      </c>
      <c r="E4677" s="285">
        <v>8.4660345445917251</v>
      </c>
    </row>
    <row r="4678" spans="1:5">
      <c r="A4678" s="284">
        <f t="shared" si="1063"/>
        <v>4610</v>
      </c>
      <c r="B4678" s="285">
        <v>2.2207097275822822</v>
      </c>
      <c r="C4678" s="285">
        <v>2.6903007330951874</v>
      </c>
      <c r="D4678" s="285">
        <v>1.7184255673948146</v>
      </c>
      <c r="E4678" s="285">
        <v>0.69286942307384791</v>
      </c>
    </row>
    <row r="4679" spans="1:5">
      <c r="A4679" s="284">
        <f t="shared" ref="A4679:A4742" si="1064">A4678+1</f>
        <v>4611</v>
      </c>
      <c r="B4679" s="285">
        <v>3.3129376887648081</v>
      </c>
      <c r="C4679" s="285">
        <v>3.4683086738301476</v>
      </c>
      <c r="D4679" s="285">
        <v>2.9409549637908787</v>
      </c>
      <c r="E4679" s="285">
        <v>3.5422964827177368</v>
      </c>
    </row>
    <row r="4680" spans="1:5">
      <c r="A4680" s="284">
        <f t="shared" si="1064"/>
        <v>4612</v>
      </c>
      <c r="B4680" s="285">
        <v>1.8330180146838966E-2</v>
      </c>
      <c r="C4680" s="285">
        <v>2.7158491310937323</v>
      </c>
      <c r="D4680" s="285">
        <v>2.6042563928593845</v>
      </c>
      <c r="E4680" s="285">
        <v>-6.6410578335633019E-2</v>
      </c>
    </row>
    <row r="4681" spans="1:5">
      <c r="A4681" s="284">
        <f t="shared" si="1064"/>
        <v>4613</v>
      </c>
      <c r="B4681" s="285">
        <v>1.5655140717988234</v>
      </c>
      <c r="C4681" s="285">
        <v>2.821009550202874</v>
      </c>
      <c r="D4681" s="285">
        <v>0.2487765388580836</v>
      </c>
      <c r="E4681" s="285">
        <v>10.944765093845858</v>
      </c>
    </row>
    <row r="4682" spans="1:5">
      <c r="A4682" s="284">
        <f t="shared" si="1064"/>
        <v>4614</v>
      </c>
      <c r="B4682" s="285">
        <v>3.3999863746298784</v>
      </c>
      <c r="C4682" s="285">
        <v>2.1567302991509258</v>
      </c>
      <c r="D4682" s="285">
        <v>2.3419764203613163</v>
      </c>
      <c r="E4682" s="285">
        <v>-4.6734163610637314</v>
      </c>
    </row>
    <row r="4683" spans="1:5">
      <c r="A4683" s="284">
        <f t="shared" si="1064"/>
        <v>4615</v>
      </c>
      <c r="B4683" s="285">
        <v>3.4472564270905508</v>
      </c>
      <c r="C4683" s="285">
        <v>3.0568933520689971</v>
      </c>
      <c r="D4683" s="285">
        <v>0.12331460453945753</v>
      </c>
      <c r="E4683" s="285">
        <v>2.6232981216521876</v>
      </c>
    </row>
    <row r="4684" spans="1:5">
      <c r="A4684" s="284">
        <f t="shared" si="1064"/>
        <v>4616</v>
      </c>
      <c r="B4684" s="285">
        <v>-6.9985915638309582E-2</v>
      </c>
      <c r="C4684" s="285">
        <v>2.1823070167250886</v>
      </c>
      <c r="D4684" s="285">
        <v>3.1556034464491516</v>
      </c>
      <c r="E4684" s="285">
        <v>-9.1943175691639407</v>
      </c>
    </row>
    <row r="4685" spans="1:5">
      <c r="A4685" s="284">
        <f t="shared" si="1064"/>
        <v>4617</v>
      </c>
      <c r="B4685" s="285">
        <v>2.7758536549361108</v>
      </c>
      <c r="C4685" s="285">
        <v>2.4926210053554549</v>
      </c>
      <c r="D4685" s="285">
        <v>3.0156986960670009</v>
      </c>
      <c r="E4685" s="285">
        <v>-11.374199577622868</v>
      </c>
    </row>
    <row r="4686" spans="1:5">
      <c r="A4686" s="284">
        <f t="shared" si="1064"/>
        <v>4618</v>
      </c>
      <c r="B4686" s="285">
        <v>3.3082043845187616</v>
      </c>
      <c r="C4686" s="285">
        <v>2.5780960537187818</v>
      </c>
      <c r="D4686" s="285">
        <v>0.44438420843538606</v>
      </c>
      <c r="E4686" s="285">
        <v>-0.32894748414407404</v>
      </c>
    </row>
    <row r="4687" spans="1:5">
      <c r="A4687" s="284">
        <f t="shared" si="1064"/>
        <v>4619</v>
      </c>
      <c r="B4687" s="285">
        <v>-0.14457912524193267</v>
      </c>
      <c r="C4687" s="285">
        <v>1.7671003237777096</v>
      </c>
      <c r="D4687" s="285">
        <v>2.315792867376262</v>
      </c>
      <c r="E4687" s="285">
        <v>-12.207991047476952</v>
      </c>
    </row>
    <row r="4688" spans="1:5">
      <c r="A4688" s="284">
        <f t="shared" si="1064"/>
        <v>4620</v>
      </c>
      <c r="B4688" s="285">
        <v>-2.0943458477409225</v>
      </c>
      <c r="C4688" s="285">
        <v>2.5500330151143475</v>
      </c>
      <c r="D4688" s="285">
        <v>-4.2316924147397295E-2</v>
      </c>
      <c r="E4688" s="285">
        <v>-2.2219160779781326</v>
      </c>
    </row>
    <row r="4689" spans="1:5">
      <c r="A4689" s="284">
        <f t="shared" si="1064"/>
        <v>4621</v>
      </c>
      <c r="B4689" s="285">
        <v>-2.9944791581425774</v>
      </c>
      <c r="C4689" s="285">
        <v>3.2514062444138339</v>
      </c>
      <c r="D4689" s="285">
        <v>0.43816242318614584</v>
      </c>
      <c r="E4689" s="285">
        <v>11.916768209603042</v>
      </c>
    </row>
    <row r="4690" spans="1:5">
      <c r="A4690" s="284">
        <f t="shared" si="1064"/>
        <v>4622</v>
      </c>
      <c r="B4690" s="285">
        <v>2.3319577279155772</v>
      </c>
      <c r="C4690" s="285">
        <v>2.3220402506961531</v>
      </c>
      <c r="D4690" s="285">
        <v>1.5032439182060386</v>
      </c>
      <c r="E4690" s="285">
        <v>-13.692414364084513</v>
      </c>
    </row>
    <row r="4691" spans="1:5">
      <c r="A4691" s="284">
        <f t="shared" si="1064"/>
        <v>4623</v>
      </c>
      <c r="B4691" s="285">
        <v>-3.8725457227919713</v>
      </c>
      <c r="C4691" s="285">
        <v>1.8447678308218138</v>
      </c>
      <c r="D4691" s="285">
        <v>2.3105653784187599</v>
      </c>
      <c r="E4691" s="285">
        <v>-1.0810875120300323</v>
      </c>
    </row>
    <row r="4692" spans="1:5">
      <c r="A4692" s="284">
        <f t="shared" si="1064"/>
        <v>4624</v>
      </c>
      <c r="B4692" s="285">
        <v>-1.9627036648525424</v>
      </c>
      <c r="C4692" s="285">
        <v>2.9178864042232138</v>
      </c>
      <c r="D4692" s="285">
        <v>1.6237156311697447</v>
      </c>
      <c r="E4692" s="285">
        <v>7.2798596868869225</v>
      </c>
    </row>
    <row r="4693" spans="1:5">
      <c r="A4693" s="284">
        <f t="shared" si="1064"/>
        <v>4625</v>
      </c>
      <c r="B4693" s="285">
        <v>-2.0072982726617545</v>
      </c>
      <c r="C4693" s="285">
        <v>2.1250636663701012</v>
      </c>
      <c r="D4693" s="285">
        <v>0.45104173102403722</v>
      </c>
      <c r="E4693" s="285">
        <v>-13.427175835282476</v>
      </c>
    </row>
    <row r="4694" spans="1:5">
      <c r="A4694" s="284">
        <f t="shared" si="1064"/>
        <v>4626</v>
      </c>
      <c r="B4694" s="285">
        <v>2.1333349675000552</v>
      </c>
      <c r="C4694" s="285">
        <v>2.5577741940505012</v>
      </c>
      <c r="D4694" s="285">
        <v>2.4937573783038083</v>
      </c>
      <c r="E4694" s="285">
        <v>-8.4895807965723336</v>
      </c>
    </row>
    <row r="4695" spans="1:5">
      <c r="A4695" s="284">
        <f t="shared" si="1064"/>
        <v>4627</v>
      </c>
      <c r="B4695" s="285">
        <v>-1.003868138679205</v>
      </c>
      <c r="C4695" s="285">
        <v>1.8252119182004498</v>
      </c>
      <c r="D4695" s="285">
        <v>0.56174909027448272</v>
      </c>
      <c r="E4695" s="285">
        <v>-12.449137872152685</v>
      </c>
    </row>
    <row r="4696" spans="1:5">
      <c r="A4696" s="284">
        <f t="shared" si="1064"/>
        <v>4628</v>
      </c>
      <c r="B4696" s="285">
        <v>-3.4682785233605853</v>
      </c>
      <c r="C4696" s="285">
        <v>2.1769648092869471</v>
      </c>
      <c r="D4696" s="285">
        <v>0.23905349617252714</v>
      </c>
      <c r="E4696" s="285">
        <v>-3.7209795082508741</v>
      </c>
    </row>
    <row r="4697" spans="1:5">
      <c r="A4697" s="284">
        <f t="shared" si="1064"/>
        <v>4629</v>
      </c>
      <c r="B4697" s="285">
        <v>5.9462286432823825</v>
      </c>
      <c r="C4697" s="285">
        <v>3.0087911634851361</v>
      </c>
      <c r="D4697" s="285">
        <v>4.0981840834808754</v>
      </c>
      <c r="E4697" s="285">
        <v>10.402193553428001</v>
      </c>
    </row>
    <row r="4698" spans="1:5">
      <c r="A4698" s="284">
        <f t="shared" si="1064"/>
        <v>4630</v>
      </c>
      <c r="B4698" s="285">
        <v>-1.0453596787023292</v>
      </c>
      <c r="C4698" s="285">
        <v>2.609961878928825</v>
      </c>
      <c r="D4698" s="285">
        <v>0.38983538446130606</v>
      </c>
      <c r="E4698" s="285">
        <v>8.7332553696144934</v>
      </c>
    </row>
    <row r="4699" spans="1:5">
      <c r="A4699" s="284">
        <f t="shared" si="1064"/>
        <v>4631</v>
      </c>
      <c r="B4699" s="285">
        <v>-1.4698904078681141</v>
      </c>
      <c r="C4699" s="285">
        <v>2.3464006116698513</v>
      </c>
      <c r="D4699" s="285">
        <v>2.8132377097257306</v>
      </c>
      <c r="E4699" s="285">
        <v>-15.586317476963949</v>
      </c>
    </row>
    <row r="4700" spans="1:5">
      <c r="A4700" s="284">
        <f t="shared" si="1064"/>
        <v>4632</v>
      </c>
      <c r="B4700" s="285">
        <v>-2.3006072702487574</v>
      </c>
      <c r="C4700" s="285">
        <v>2.7406487316227963</v>
      </c>
      <c r="D4700" s="285">
        <v>0.1186416140734694</v>
      </c>
      <c r="E4700" s="285">
        <v>9.5455379410864118</v>
      </c>
    </row>
    <row r="4701" spans="1:5">
      <c r="A4701" s="284">
        <f t="shared" si="1064"/>
        <v>4633</v>
      </c>
      <c r="B4701" s="285">
        <v>1.1422482391426714</v>
      </c>
      <c r="C4701" s="285">
        <v>2.941301824637204</v>
      </c>
      <c r="D4701" s="285">
        <v>1.2543061825436348</v>
      </c>
      <c r="E4701" s="285">
        <v>10.642222965213886</v>
      </c>
    </row>
    <row r="4702" spans="1:5">
      <c r="A4702" s="284">
        <f t="shared" si="1064"/>
        <v>4634</v>
      </c>
      <c r="B4702" s="285">
        <v>0.1613150395490745</v>
      </c>
      <c r="C4702" s="285">
        <v>3.3976106138150906</v>
      </c>
      <c r="D4702" s="285">
        <v>2.255162540997647</v>
      </c>
      <c r="E4702" s="285">
        <v>17.609862424816189</v>
      </c>
    </row>
    <row r="4703" spans="1:5">
      <c r="A4703" s="284">
        <f t="shared" si="1064"/>
        <v>4635</v>
      </c>
      <c r="B4703" s="285">
        <v>0.59590424067443004</v>
      </c>
      <c r="C4703" s="285">
        <v>2.6993371038287854</v>
      </c>
      <c r="D4703" s="285">
        <v>2.2784941215997678</v>
      </c>
      <c r="E4703" s="285">
        <v>5.9012484087428589</v>
      </c>
    </row>
    <row r="4704" spans="1:5">
      <c r="A4704" s="284">
        <f t="shared" si="1064"/>
        <v>4636</v>
      </c>
      <c r="B4704" s="285">
        <v>6.5097991637221275</v>
      </c>
      <c r="C4704" s="285">
        <v>2.979140048058694</v>
      </c>
      <c r="D4704" s="285">
        <v>2.0604651181712867</v>
      </c>
      <c r="E4704" s="285">
        <v>2.9342538596755277</v>
      </c>
    </row>
    <row r="4705" spans="1:5">
      <c r="A4705" s="284">
        <f t="shared" si="1064"/>
        <v>4637</v>
      </c>
      <c r="B4705" s="285">
        <v>-7.4453273147100346E-2</v>
      </c>
      <c r="C4705" s="285">
        <v>2.4665137608398053</v>
      </c>
      <c r="D4705" s="285">
        <v>1.534511919195944</v>
      </c>
      <c r="E4705" s="285">
        <v>-3.4431103885800156</v>
      </c>
    </row>
    <row r="4706" spans="1:5">
      <c r="A4706" s="284">
        <f t="shared" si="1064"/>
        <v>4638</v>
      </c>
      <c r="B4706" s="285">
        <v>1.366740569362225</v>
      </c>
      <c r="C4706" s="285">
        <v>2.4581154362252766</v>
      </c>
      <c r="D4706" s="285">
        <v>0.9864206849321755</v>
      </c>
      <c r="E4706" s="285">
        <v>6.724298056879654</v>
      </c>
    </row>
    <row r="4707" spans="1:5">
      <c r="A4707" s="284">
        <f t="shared" si="1064"/>
        <v>4639</v>
      </c>
      <c r="B4707" s="285">
        <v>0.59199142653639181</v>
      </c>
      <c r="C4707" s="285">
        <v>2.7949679350419974</v>
      </c>
      <c r="D4707" s="285">
        <v>2.0425468643242004</v>
      </c>
      <c r="E4707" s="285">
        <v>1.4939128565049153</v>
      </c>
    </row>
    <row r="4708" spans="1:5">
      <c r="A4708" s="284">
        <f t="shared" si="1064"/>
        <v>4640</v>
      </c>
      <c r="B4708" s="285">
        <v>3.0585743108983539</v>
      </c>
      <c r="C4708" s="285">
        <v>3.1834557297087658</v>
      </c>
      <c r="D4708" s="285">
        <v>0.78439076787012352</v>
      </c>
      <c r="E4708" s="285">
        <v>14.165196406376754</v>
      </c>
    </row>
    <row r="4709" spans="1:5">
      <c r="A4709" s="284">
        <f t="shared" si="1064"/>
        <v>4641</v>
      </c>
      <c r="B4709" s="285">
        <v>-5.4557123391585687E-2</v>
      </c>
      <c r="C4709" s="285">
        <v>2.3684102411202383</v>
      </c>
      <c r="D4709" s="285">
        <v>1.6633406435446232</v>
      </c>
      <c r="E4709" s="285">
        <v>3.0283838255220945</v>
      </c>
    </row>
    <row r="4710" spans="1:5">
      <c r="A4710" s="284">
        <f t="shared" si="1064"/>
        <v>4642</v>
      </c>
      <c r="B4710" s="285">
        <v>-3.442417632672409</v>
      </c>
      <c r="C4710" s="285">
        <v>2.087997883305257</v>
      </c>
      <c r="D4710" s="285">
        <v>-0.12753418005690387</v>
      </c>
      <c r="E4710" s="285">
        <v>-16.442968405494621</v>
      </c>
    </row>
    <row r="4711" spans="1:5">
      <c r="A4711" s="284">
        <f t="shared" si="1064"/>
        <v>4643</v>
      </c>
      <c r="B4711" s="285">
        <v>1.2077410350974864</v>
      </c>
      <c r="C4711" s="285">
        <v>2.2358507884547345</v>
      </c>
      <c r="D4711" s="285">
        <v>1.3162225002899868</v>
      </c>
      <c r="E4711" s="285">
        <v>-8.0897415009250455</v>
      </c>
    </row>
    <row r="4712" spans="1:5">
      <c r="A4712" s="284">
        <f t="shared" si="1064"/>
        <v>4644</v>
      </c>
      <c r="B4712" s="285">
        <v>-3.1873838551834917</v>
      </c>
      <c r="C4712" s="285">
        <v>2.1628967733933773</v>
      </c>
      <c r="D4712" s="285">
        <v>6.1334515633344244E-2</v>
      </c>
      <c r="E4712" s="285">
        <v>-7.8638792668865154</v>
      </c>
    </row>
    <row r="4713" spans="1:5">
      <c r="A4713" s="284">
        <f t="shared" si="1064"/>
        <v>4645</v>
      </c>
      <c r="B4713" s="285">
        <v>2.6277413909766905</v>
      </c>
      <c r="C4713" s="285">
        <v>2.5512464556106065</v>
      </c>
      <c r="D4713" s="285">
        <v>0.74351581355423491</v>
      </c>
      <c r="E4713" s="285">
        <v>9.4951972950217254</v>
      </c>
    </row>
    <row r="4714" spans="1:5">
      <c r="A4714" s="284">
        <f t="shared" si="1064"/>
        <v>4646</v>
      </c>
      <c r="B4714" s="285">
        <v>-0.40636572790665376</v>
      </c>
      <c r="C4714" s="285">
        <v>2.7600776741978379</v>
      </c>
      <c r="D4714" s="285">
        <v>-0.23643194697020808</v>
      </c>
      <c r="E4714" s="285">
        <v>10.753543089225047</v>
      </c>
    </row>
    <row r="4715" spans="1:5">
      <c r="A4715" s="284">
        <f t="shared" si="1064"/>
        <v>4647</v>
      </c>
      <c r="B4715" s="285">
        <v>1.3731221475485966</v>
      </c>
      <c r="C4715" s="285">
        <v>2.3022037418623849</v>
      </c>
      <c r="D4715" s="285">
        <v>3.0571962263492174</v>
      </c>
      <c r="E4715" s="285">
        <v>-6.4120574427640893</v>
      </c>
    </row>
    <row r="4716" spans="1:5">
      <c r="A4716" s="284">
        <f t="shared" si="1064"/>
        <v>4648</v>
      </c>
      <c r="B4716" s="285">
        <v>1.4935025123150387</v>
      </c>
      <c r="C4716" s="285">
        <v>2.7871694464490444</v>
      </c>
      <c r="D4716" s="285">
        <v>1.5016967674158468</v>
      </c>
      <c r="E4716" s="285">
        <v>1.8738563828680381</v>
      </c>
    </row>
    <row r="4717" spans="1:5">
      <c r="A4717" s="284">
        <f t="shared" si="1064"/>
        <v>4649</v>
      </c>
      <c r="B4717" s="285">
        <v>-1.9514776975649764</v>
      </c>
      <c r="C4717" s="285">
        <v>2.1087056248553786</v>
      </c>
      <c r="D4717" s="285">
        <v>1.3912790887834638</v>
      </c>
      <c r="E4717" s="285">
        <v>-11.994493521514812</v>
      </c>
    </row>
    <row r="4718" spans="1:5">
      <c r="A4718" s="284">
        <f t="shared" si="1064"/>
        <v>4650</v>
      </c>
      <c r="B4718" s="285">
        <v>0.46376065923653759</v>
      </c>
      <c r="C4718" s="285">
        <v>2.4073226755138699</v>
      </c>
      <c r="D4718" s="285">
        <v>1.0263092259012605</v>
      </c>
      <c r="E4718" s="285">
        <v>-10.250502901288733</v>
      </c>
    </row>
    <row r="4719" spans="1:5">
      <c r="A4719" s="284">
        <f t="shared" si="1064"/>
        <v>4651</v>
      </c>
      <c r="B4719" s="285">
        <v>1.4773986342436509</v>
      </c>
      <c r="C4719" s="285">
        <v>2.4594660432003801</v>
      </c>
      <c r="D4719" s="285">
        <v>1.2092005200597129</v>
      </c>
      <c r="E4719" s="285">
        <v>-9.3671480309111139</v>
      </c>
    </row>
    <row r="4720" spans="1:5">
      <c r="A4720" s="284">
        <f t="shared" si="1064"/>
        <v>4652</v>
      </c>
      <c r="B4720" s="285">
        <v>1.0107713210796549</v>
      </c>
      <c r="C4720" s="285">
        <v>2.8812472579068134</v>
      </c>
      <c r="D4720" s="285">
        <v>-6.1519734079940491E-2</v>
      </c>
      <c r="E4720" s="285">
        <v>0.9036011850062633</v>
      </c>
    </row>
    <row r="4721" spans="1:5">
      <c r="A4721" s="284">
        <f t="shared" si="1064"/>
        <v>4653</v>
      </c>
      <c r="B4721" s="285">
        <v>-5.7999189366135049</v>
      </c>
      <c r="C4721" s="285">
        <v>2.2070150587115407</v>
      </c>
      <c r="D4721" s="285">
        <v>0.48080013808876398</v>
      </c>
      <c r="E4721" s="285">
        <v>-8.0041713651517998</v>
      </c>
    </row>
    <row r="4722" spans="1:5">
      <c r="A4722" s="284">
        <f t="shared" si="1064"/>
        <v>4654</v>
      </c>
      <c r="B4722" s="285">
        <v>-0.92613175127067793</v>
      </c>
      <c r="C4722" s="285">
        <v>1.8403808050553407</v>
      </c>
      <c r="D4722" s="285">
        <v>0.68579736194012753</v>
      </c>
      <c r="E4722" s="285">
        <v>-21.58236495826279</v>
      </c>
    </row>
    <row r="4723" spans="1:5">
      <c r="A4723" s="284">
        <f t="shared" si="1064"/>
        <v>4655</v>
      </c>
      <c r="B4723" s="285">
        <v>1.6946807195830444</v>
      </c>
      <c r="C4723" s="285">
        <v>2.8829416629326028</v>
      </c>
      <c r="D4723" s="285">
        <v>0.26733907516793864</v>
      </c>
      <c r="E4723" s="285">
        <v>1.6765082370545845</v>
      </c>
    </row>
    <row r="4724" spans="1:5">
      <c r="A4724" s="284">
        <f t="shared" si="1064"/>
        <v>4656</v>
      </c>
      <c r="B4724" s="285">
        <v>-1.5354783620266872</v>
      </c>
      <c r="C4724" s="285">
        <v>2.137276486101205</v>
      </c>
      <c r="D4724" s="285">
        <v>1.5225680427302786</v>
      </c>
      <c r="E4724" s="285">
        <v>-9.6710090172466767</v>
      </c>
    </row>
    <row r="4725" spans="1:5">
      <c r="A4725" s="284">
        <f t="shared" si="1064"/>
        <v>4657</v>
      </c>
      <c r="B4725" s="285">
        <v>-3.1630893329034979</v>
      </c>
      <c r="C4725" s="285">
        <v>2.6487223940365268</v>
      </c>
      <c r="D4725" s="285">
        <v>1.4547308503289531</v>
      </c>
      <c r="E4725" s="285">
        <v>1.60164699893333</v>
      </c>
    </row>
    <row r="4726" spans="1:5">
      <c r="A4726" s="284">
        <f t="shared" si="1064"/>
        <v>4658</v>
      </c>
      <c r="B4726" s="285">
        <v>0.86496153462724157</v>
      </c>
      <c r="C4726" s="285">
        <v>2.3042914655234359</v>
      </c>
      <c r="D4726" s="285">
        <v>2.2539550228123844</v>
      </c>
      <c r="E4726" s="285">
        <v>-3.4375651065125221</v>
      </c>
    </row>
    <row r="4727" spans="1:5">
      <c r="A4727" s="284">
        <f t="shared" si="1064"/>
        <v>4659</v>
      </c>
      <c r="B4727" s="285">
        <v>0.80165894977227414</v>
      </c>
      <c r="C4727" s="285">
        <v>2.0248563113071665</v>
      </c>
      <c r="D4727" s="285">
        <v>3.7317365100931532</v>
      </c>
      <c r="E4727" s="285">
        <v>-16.039082324125843</v>
      </c>
    </row>
    <row r="4728" spans="1:5">
      <c r="A4728" s="284">
        <f t="shared" si="1064"/>
        <v>4660</v>
      </c>
      <c r="B4728" s="285">
        <v>2.0554471247393966</v>
      </c>
      <c r="C4728" s="285">
        <v>2.7175496064809099</v>
      </c>
      <c r="D4728" s="285">
        <v>1.9561608963679487</v>
      </c>
      <c r="E4728" s="285">
        <v>-2.0183375572170643</v>
      </c>
    </row>
    <row r="4729" spans="1:5">
      <c r="A4729" s="284">
        <f t="shared" si="1064"/>
        <v>4661</v>
      </c>
      <c r="B4729" s="285">
        <v>-0.39982268734254728</v>
      </c>
      <c r="C4729" s="285">
        <v>2.4023207373346556</v>
      </c>
      <c r="D4729" s="285">
        <v>6.1567559599318145E-2</v>
      </c>
      <c r="E4729" s="285">
        <v>-8.825874632919005</v>
      </c>
    </row>
    <row r="4730" spans="1:5">
      <c r="A4730" s="284">
        <f t="shared" si="1064"/>
        <v>4662</v>
      </c>
      <c r="B4730" s="285">
        <v>0.26040394716139548</v>
      </c>
      <c r="C4730" s="285">
        <v>2.4294367792331815</v>
      </c>
      <c r="D4730" s="285">
        <v>2.2283726136225894</v>
      </c>
      <c r="E4730" s="285">
        <v>-0.22738574445990478</v>
      </c>
    </row>
    <row r="4731" spans="1:5">
      <c r="A4731" s="284">
        <f t="shared" si="1064"/>
        <v>4663</v>
      </c>
      <c r="B4731" s="285">
        <v>-1.1138882951943312</v>
      </c>
      <c r="C4731" s="285">
        <v>2.5791460693936719</v>
      </c>
      <c r="D4731" s="285">
        <v>1.9398884855852043</v>
      </c>
      <c r="E4731" s="285">
        <v>-2.303372978169079</v>
      </c>
    </row>
    <row r="4732" spans="1:5">
      <c r="A4732" s="284">
        <f t="shared" si="1064"/>
        <v>4664</v>
      </c>
      <c r="B4732" s="285">
        <v>1.8857805792114961</v>
      </c>
      <c r="C4732" s="285">
        <v>3.1446918651115929</v>
      </c>
      <c r="D4732" s="285">
        <v>-0.61533357380803499</v>
      </c>
      <c r="E4732" s="285">
        <v>5.0399527880295025</v>
      </c>
    </row>
    <row r="4733" spans="1:5">
      <c r="A4733" s="284">
        <f t="shared" si="1064"/>
        <v>4665</v>
      </c>
      <c r="B4733" s="285">
        <v>-1.6354494167009095</v>
      </c>
      <c r="C4733" s="285">
        <v>2.6628804870422336</v>
      </c>
      <c r="D4733" s="285">
        <v>-2.5760089566996491E-2</v>
      </c>
      <c r="E4733" s="285">
        <v>-2.5917936451510859</v>
      </c>
    </row>
    <row r="4734" spans="1:5">
      <c r="A4734" s="284">
        <f t="shared" si="1064"/>
        <v>4666</v>
      </c>
      <c r="B4734" s="285">
        <v>-1.4360426338185022</v>
      </c>
      <c r="C4734" s="285">
        <v>2.4439395479024304</v>
      </c>
      <c r="D4734" s="285">
        <v>1.3294438859966553</v>
      </c>
      <c r="E4734" s="285">
        <v>5.9816995096045265</v>
      </c>
    </row>
    <row r="4735" spans="1:5">
      <c r="A4735" s="284">
        <f t="shared" si="1064"/>
        <v>4667</v>
      </c>
      <c r="B4735" s="285">
        <v>-0.42175139075452772</v>
      </c>
      <c r="C4735" s="285">
        <v>2.7963840705353902</v>
      </c>
      <c r="D4735" s="285">
        <v>0.58050985143008138</v>
      </c>
      <c r="E4735" s="285">
        <v>2.3748597637820086</v>
      </c>
    </row>
    <row r="4736" spans="1:5">
      <c r="A4736" s="284">
        <f t="shared" si="1064"/>
        <v>4668</v>
      </c>
      <c r="B4736" s="285">
        <v>1.6070438878513587</v>
      </c>
      <c r="C4736" s="285">
        <v>2.8648323034025531</v>
      </c>
      <c r="D4736" s="285">
        <v>1.9780106889925582</v>
      </c>
      <c r="E4736" s="285">
        <v>-2.4755591203928442</v>
      </c>
    </row>
    <row r="4737" spans="1:5">
      <c r="A4737" s="284">
        <f t="shared" si="1064"/>
        <v>4669</v>
      </c>
      <c r="B4737" s="285">
        <v>-2.0249273022661796</v>
      </c>
      <c r="C4737" s="285">
        <v>2.2795108980780769</v>
      </c>
      <c r="D4737" s="285">
        <v>0.41282266857591665</v>
      </c>
      <c r="E4737" s="285">
        <v>0.52454381235995085</v>
      </c>
    </row>
    <row r="4738" spans="1:5">
      <c r="A4738" s="284">
        <f t="shared" si="1064"/>
        <v>4670</v>
      </c>
      <c r="B4738" s="285">
        <v>-0.78052742886774329</v>
      </c>
      <c r="C4738" s="285">
        <v>2.3333866766556142</v>
      </c>
      <c r="D4738" s="285">
        <v>0.10627041413202365</v>
      </c>
      <c r="E4738" s="285">
        <v>-15.536835722214956</v>
      </c>
    </row>
    <row r="4739" spans="1:5">
      <c r="A4739" s="284">
        <f t="shared" si="1064"/>
        <v>4671</v>
      </c>
      <c r="B4739" s="285">
        <v>-0.89272527449797912</v>
      </c>
      <c r="C4739" s="285">
        <v>2.8703976715375212</v>
      </c>
      <c r="D4739" s="285">
        <v>1.6875347611472828</v>
      </c>
      <c r="E4739" s="285">
        <v>5.6673755950816016</v>
      </c>
    </row>
    <row r="4740" spans="1:5">
      <c r="A4740" s="284">
        <f t="shared" si="1064"/>
        <v>4672</v>
      </c>
      <c r="B4740" s="285">
        <v>-5.5906439264531294</v>
      </c>
      <c r="C4740" s="285">
        <v>1.5622679424729218</v>
      </c>
      <c r="D4740" s="285">
        <v>2.4038245114889381</v>
      </c>
      <c r="E4740" s="285">
        <v>-6.9376123204175588</v>
      </c>
    </row>
    <row r="4741" spans="1:5">
      <c r="A4741" s="284">
        <f t="shared" si="1064"/>
        <v>4673</v>
      </c>
      <c r="B4741" s="285">
        <v>3.8920166598252623</v>
      </c>
      <c r="C4741" s="285">
        <v>2.5982546392052148</v>
      </c>
      <c r="D4741" s="285">
        <v>2.2700735545295716</v>
      </c>
      <c r="E4741" s="285">
        <v>1.9692518439900657</v>
      </c>
    </row>
    <row r="4742" spans="1:5">
      <c r="A4742" s="284">
        <f t="shared" si="1064"/>
        <v>4674</v>
      </c>
      <c r="B4742" s="285">
        <v>0.49599268004849617</v>
      </c>
      <c r="C4742" s="285">
        <v>3.0281074338570844</v>
      </c>
      <c r="D4742" s="285">
        <v>3.4151291312855583</v>
      </c>
      <c r="E4742" s="285">
        <v>-2.818002203027707</v>
      </c>
    </row>
    <row r="4743" spans="1:5">
      <c r="A4743" s="284">
        <f t="shared" ref="A4743:A4806" si="1065">A4742+1</f>
        <v>4675</v>
      </c>
      <c r="B4743" s="285">
        <v>0.25649933890735471</v>
      </c>
      <c r="C4743" s="285">
        <v>2.5126068852266257</v>
      </c>
      <c r="D4743" s="285">
        <v>2.6365122386424305</v>
      </c>
      <c r="E4743" s="285">
        <v>-6.2166983977466561</v>
      </c>
    </row>
    <row r="4744" spans="1:5">
      <c r="A4744" s="284">
        <f t="shared" si="1065"/>
        <v>4676</v>
      </c>
      <c r="B4744" s="285">
        <v>-3.9573956331747668</v>
      </c>
      <c r="C4744" s="285">
        <v>2.570734250305732</v>
      </c>
      <c r="D4744" s="285">
        <v>-0.39023398900632333</v>
      </c>
      <c r="E4744" s="285">
        <v>10.49912867503887</v>
      </c>
    </row>
    <row r="4745" spans="1:5">
      <c r="A4745" s="284">
        <f t="shared" si="1065"/>
        <v>4677</v>
      </c>
      <c r="B4745" s="285">
        <v>-0.17327870086916902</v>
      </c>
      <c r="C4745" s="285">
        <v>2.6995638194896618</v>
      </c>
      <c r="D4745" s="285">
        <v>0.87425323463988269</v>
      </c>
      <c r="E4745" s="285">
        <v>-11.932160934153913</v>
      </c>
    </row>
    <row r="4746" spans="1:5">
      <c r="A4746" s="284">
        <f t="shared" si="1065"/>
        <v>4678</v>
      </c>
      <c r="B4746" s="285">
        <v>-4.7158078466775324</v>
      </c>
      <c r="C4746" s="285">
        <v>3.0629543175195009</v>
      </c>
      <c r="D4746" s="285">
        <v>1.7594719784758115</v>
      </c>
      <c r="E4746" s="285">
        <v>5.7170478928516566</v>
      </c>
    </row>
    <row r="4747" spans="1:5">
      <c r="A4747" s="284">
        <f t="shared" si="1065"/>
        <v>4679</v>
      </c>
      <c r="B4747" s="285">
        <v>0.67365781838311189</v>
      </c>
      <c r="C4747" s="285">
        <v>2.4620541949122914</v>
      </c>
      <c r="D4747" s="285">
        <v>0.33581869697363798</v>
      </c>
      <c r="E4747" s="285">
        <v>-3.5189983772214681</v>
      </c>
    </row>
    <row r="4748" spans="1:5">
      <c r="A4748" s="284">
        <f t="shared" si="1065"/>
        <v>4680</v>
      </c>
      <c r="B4748" s="285">
        <v>2.827711242075778</v>
      </c>
      <c r="C4748" s="285">
        <v>2.2386086002052692</v>
      </c>
      <c r="D4748" s="285">
        <v>3.0244629956722138</v>
      </c>
      <c r="E4748" s="285">
        <v>-10.936933228549911</v>
      </c>
    </row>
    <row r="4749" spans="1:5">
      <c r="A4749" s="284">
        <f t="shared" si="1065"/>
        <v>4681</v>
      </c>
      <c r="B4749" s="285">
        <v>1.8424092992834502E-2</v>
      </c>
      <c r="C4749" s="285">
        <v>2.0810630684457694</v>
      </c>
      <c r="D4749" s="285">
        <v>2.325352793373507</v>
      </c>
      <c r="E4749" s="285">
        <v>3.9836827450628509</v>
      </c>
    </row>
    <row r="4750" spans="1:5">
      <c r="A4750" s="284">
        <f t="shared" si="1065"/>
        <v>4682</v>
      </c>
      <c r="B4750" s="285">
        <v>-0.89747582594235775</v>
      </c>
      <c r="C4750" s="285">
        <v>3.0921646252389543</v>
      </c>
      <c r="D4750" s="285">
        <v>0.33736487237915058</v>
      </c>
      <c r="E4750" s="285">
        <v>13.387835463721903</v>
      </c>
    </row>
    <row r="4751" spans="1:5">
      <c r="A4751" s="284">
        <f t="shared" si="1065"/>
        <v>4683</v>
      </c>
      <c r="B4751" s="285">
        <v>-1.7588152314212597</v>
      </c>
      <c r="C4751" s="285">
        <v>2.6619240373033977</v>
      </c>
      <c r="D4751" s="285">
        <v>-1.2223804019792621</v>
      </c>
      <c r="E4751" s="285">
        <v>-0.26194826196823584</v>
      </c>
    </row>
    <row r="4752" spans="1:5">
      <c r="A4752" s="284">
        <f t="shared" si="1065"/>
        <v>4684</v>
      </c>
      <c r="B4752" s="285">
        <v>-1.1067042110950143</v>
      </c>
      <c r="C4752" s="285">
        <v>2.7794295738194492</v>
      </c>
      <c r="D4752" s="285">
        <v>-0.89053953635752814</v>
      </c>
      <c r="E4752" s="285">
        <v>-2.2218186531810118</v>
      </c>
    </row>
    <row r="4753" spans="1:5">
      <c r="A4753" s="284">
        <f t="shared" si="1065"/>
        <v>4685</v>
      </c>
      <c r="B4753" s="285">
        <v>0.26266948892160613</v>
      </c>
      <c r="C4753" s="285">
        <v>2.6050367221846842</v>
      </c>
      <c r="D4753" s="285">
        <v>0.2822451571804897</v>
      </c>
      <c r="E4753" s="285">
        <v>3.8984819114958857</v>
      </c>
    </row>
    <row r="4754" spans="1:5">
      <c r="A4754" s="284">
        <f t="shared" si="1065"/>
        <v>4686</v>
      </c>
      <c r="B4754" s="285">
        <v>-4.0781205952251343</v>
      </c>
      <c r="C4754" s="285">
        <v>2.7445537164281855</v>
      </c>
      <c r="D4754" s="285">
        <v>-0.21850698671425151</v>
      </c>
      <c r="E4754" s="285">
        <v>-4.2459053843051606</v>
      </c>
    </row>
    <row r="4755" spans="1:5">
      <c r="A4755" s="284">
        <f t="shared" si="1065"/>
        <v>4687</v>
      </c>
      <c r="B4755" s="285">
        <v>-0.89120792590877995</v>
      </c>
      <c r="C4755" s="285">
        <v>2.8321121581025066</v>
      </c>
      <c r="D4755" s="285">
        <v>0.65325771120872522</v>
      </c>
      <c r="E4755" s="285">
        <v>-9.8722132263057745</v>
      </c>
    </row>
    <row r="4756" spans="1:5">
      <c r="A4756" s="284">
        <f t="shared" si="1065"/>
        <v>4688</v>
      </c>
      <c r="B4756" s="285">
        <v>-5.3576944529114332</v>
      </c>
      <c r="C4756" s="285">
        <v>2.106132525766272</v>
      </c>
      <c r="D4756" s="285">
        <v>0.99522279132160141</v>
      </c>
      <c r="E4756" s="285">
        <v>9.1902660589636689</v>
      </c>
    </row>
    <row r="4757" spans="1:5">
      <c r="A4757" s="284">
        <f t="shared" si="1065"/>
        <v>4689</v>
      </c>
      <c r="B4757" s="285">
        <v>-2.35276948748115</v>
      </c>
      <c r="C4757" s="285">
        <v>1.8863295344535564</v>
      </c>
      <c r="D4757" s="285">
        <v>1.7241465813232806</v>
      </c>
      <c r="E4757" s="285">
        <v>-19.230338837214948</v>
      </c>
    </row>
    <row r="4758" spans="1:5">
      <c r="A4758" s="284">
        <f t="shared" si="1065"/>
        <v>4690</v>
      </c>
      <c r="B4758" s="285">
        <v>0.87628255381240239</v>
      </c>
      <c r="C4758" s="285">
        <v>1.7131067946113827</v>
      </c>
      <c r="D4758" s="285">
        <v>2.5093658343795076</v>
      </c>
      <c r="E4758" s="285">
        <v>-26.614417466434837</v>
      </c>
    </row>
    <row r="4759" spans="1:5">
      <c r="A4759" s="284">
        <f t="shared" si="1065"/>
        <v>4691</v>
      </c>
      <c r="B4759" s="285">
        <v>2.499122618503995</v>
      </c>
      <c r="C4759" s="285">
        <v>2.6881192781711398</v>
      </c>
      <c r="D4759" s="285">
        <v>0.51483085127564954</v>
      </c>
      <c r="E4759" s="285">
        <v>15.751149926457661</v>
      </c>
    </row>
    <row r="4760" spans="1:5">
      <c r="A4760" s="284">
        <f t="shared" si="1065"/>
        <v>4692</v>
      </c>
      <c r="B4760" s="285">
        <v>-1.4000965210426912</v>
      </c>
      <c r="C4760" s="285">
        <v>2.5590782909584879</v>
      </c>
      <c r="D4760" s="285">
        <v>-0.17088449139782003</v>
      </c>
      <c r="E4760" s="285">
        <v>1.8402781612555477</v>
      </c>
    </row>
    <row r="4761" spans="1:5">
      <c r="A4761" s="284">
        <f t="shared" si="1065"/>
        <v>4693</v>
      </c>
      <c r="B4761" s="285">
        <v>-0.10186319592292781</v>
      </c>
      <c r="C4761" s="285">
        <v>2.3699573002237933</v>
      </c>
      <c r="D4761" s="285">
        <v>0.59330412634555663</v>
      </c>
      <c r="E4761" s="285">
        <v>1.08888801672822</v>
      </c>
    </row>
    <row r="4762" spans="1:5">
      <c r="A4762" s="284">
        <f t="shared" si="1065"/>
        <v>4694</v>
      </c>
      <c r="B4762" s="285">
        <v>1.4041251341022536</v>
      </c>
      <c r="C4762" s="285">
        <v>2.6523281062997341</v>
      </c>
      <c r="D4762" s="285">
        <v>2.0946318274793514</v>
      </c>
      <c r="E4762" s="285">
        <v>-8.1734748696761574</v>
      </c>
    </row>
    <row r="4763" spans="1:5">
      <c r="A4763" s="284">
        <f t="shared" si="1065"/>
        <v>4695</v>
      </c>
      <c r="B4763" s="285">
        <v>3.0148132924002975</v>
      </c>
      <c r="C4763" s="285">
        <v>2.5881169181801642</v>
      </c>
      <c r="D4763" s="285">
        <v>1.6283848653468229</v>
      </c>
      <c r="E4763" s="285">
        <v>-12.525668948168825</v>
      </c>
    </row>
    <row r="4764" spans="1:5">
      <c r="A4764" s="284">
        <f t="shared" si="1065"/>
        <v>4696</v>
      </c>
      <c r="B4764" s="285">
        <v>-3.5357269828166245</v>
      </c>
      <c r="C4764" s="285">
        <v>2.9907963849681058</v>
      </c>
      <c r="D4764" s="285">
        <v>-1.1357627788074542</v>
      </c>
      <c r="E4764" s="285">
        <v>11.383249764261812</v>
      </c>
    </row>
    <row r="4765" spans="1:5">
      <c r="A4765" s="284">
        <f t="shared" si="1065"/>
        <v>4697</v>
      </c>
      <c r="B4765" s="285">
        <v>1.0458021885608604</v>
      </c>
      <c r="C4765" s="285">
        <v>1.6948413723484266</v>
      </c>
      <c r="D4765" s="285">
        <v>2.5478859533856983</v>
      </c>
      <c r="E4765" s="285">
        <v>-21.697713803311391</v>
      </c>
    </row>
    <row r="4766" spans="1:5">
      <c r="A4766" s="284">
        <f t="shared" si="1065"/>
        <v>4698</v>
      </c>
      <c r="B4766" s="285">
        <v>-0.81035143964980427</v>
      </c>
      <c r="C4766" s="285">
        <v>1.814814900426289</v>
      </c>
      <c r="D4766" s="285">
        <v>2.4499959000859564</v>
      </c>
      <c r="E4766" s="285">
        <v>-13.875740914191807</v>
      </c>
    </row>
    <row r="4767" spans="1:5">
      <c r="A4767" s="284">
        <f t="shared" si="1065"/>
        <v>4699</v>
      </c>
      <c r="B4767" s="285">
        <v>7.6703597841800017E-2</v>
      </c>
      <c r="C4767" s="285">
        <v>1.7160799685920884</v>
      </c>
      <c r="D4767" s="285">
        <v>0.316197851685458</v>
      </c>
      <c r="E4767" s="285">
        <v>-13.836194935428379</v>
      </c>
    </row>
    <row r="4768" spans="1:5">
      <c r="A4768" s="284">
        <f t="shared" si="1065"/>
        <v>4700</v>
      </c>
      <c r="B4768" s="285">
        <v>-2.832129461575386</v>
      </c>
      <c r="C4768" s="285">
        <v>2.9950219745984588</v>
      </c>
      <c r="D4768" s="285">
        <v>5.4260772010983782E-2</v>
      </c>
      <c r="E4768" s="285">
        <v>0.75374431295945366</v>
      </c>
    </row>
    <row r="4769" spans="1:5">
      <c r="A4769" s="284">
        <f t="shared" si="1065"/>
        <v>4701</v>
      </c>
      <c r="B4769" s="285">
        <v>1.5239436277455236</v>
      </c>
      <c r="C4769" s="285">
        <v>2.8364280274904496</v>
      </c>
      <c r="D4769" s="285">
        <v>0.26015777991276012</v>
      </c>
      <c r="E4769" s="285">
        <v>4.2906605034845029</v>
      </c>
    </row>
    <row r="4770" spans="1:5">
      <c r="A4770" s="284">
        <f t="shared" si="1065"/>
        <v>4702</v>
      </c>
      <c r="B4770" s="285">
        <v>1.1845748471336546</v>
      </c>
      <c r="C4770" s="285">
        <v>2.9904368913634296</v>
      </c>
      <c r="D4770" s="285">
        <v>3.1306741857622304</v>
      </c>
      <c r="E4770" s="285">
        <v>2.3431064220615991</v>
      </c>
    </row>
    <row r="4771" spans="1:5">
      <c r="A4771" s="284">
        <f t="shared" si="1065"/>
        <v>4703</v>
      </c>
      <c r="B4771" s="285">
        <v>-0.31690674505871858</v>
      </c>
      <c r="C4771" s="285">
        <v>2.307450104679361</v>
      </c>
      <c r="D4771" s="285">
        <v>1.0988937172377817</v>
      </c>
      <c r="E4771" s="285">
        <v>-8.9827641675584626</v>
      </c>
    </row>
    <row r="4772" spans="1:5">
      <c r="A4772" s="284">
        <f t="shared" si="1065"/>
        <v>4704</v>
      </c>
      <c r="B4772" s="285">
        <v>1.3196352193890555</v>
      </c>
      <c r="C4772" s="285">
        <v>2.6176140888277453</v>
      </c>
      <c r="D4772" s="285">
        <v>2.5646967076719562</v>
      </c>
      <c r="E4772" s="285">
        <v>-9.0483440422106831</v>
      </c>
    </row>
    <row r="4773" spans="1:5">
      <c r="A4773" s="284">
        <f t="shared" si="1065"/>
        <v>4705</v>
      </c>
      <c r="B4773" s="285">
        <v>1.2715298693567165</v>
      </c>
      <c r="C4773" s="285">
        <v>2.1336189804972512</v>
      </c>
      <c r="D4773" s="285">
        <v>1.6474048011871711</v>
      </c>
      <c r="E4773" s="285">
        <v>-1.8339961978134069</v>
      </c>
    </row>
    <row r="4774" spans="1:5">
      <c r="A4774" s="284">
        <f t="shared" si="1065"/>
        <v>4706</v>
      </c>
      <c r="B4774" s="285">
        <v>2.0308817004190423</v>
      </c>
      <c r="C4774" s="285">
        <v>2.0276570464609329</v>
      </c>
      <c r="D4774" s="285">
        <v>0.8542625060837965</v>
      </c>
      <c r="E4774" s="285">
        <v>-3.1422817826050653</v>
      </c>
    </row>
    <row r="4775" spans="1:5">
      <c r="A4775" s="284">
        <f t="shared" si="1065"/>
        <v>4707</v>
      </c>
      <c r="B4775" s="285">
        <v>-0.81435431943096592</v>
      </c>
      <c r="C4775" s="285">
        <v>2.0763139976793106</v>
      </c>
      <c r="D4775" s="285">
        <v>1.1074667059172154</v>
      </c>
      <c r="E4775" s="285">
        <v>-3.2571572357991152</v>
      </c>
    </row>
    <row r="4776" spans="1:5">
      <c r="A4776" s="284">
        <f t="shared" si="1065"/>
        <v>4708</v>
      </c>
      <c r="B4776" s="285">
        <v>-2.3971122392739073</v>
      </c>
      <c r="C4776" s="285">
        <v>1.7981880384914799</v>
      </c>
      <c r="D4776" s="285">
        <v>1.0378997863728834</v>
      </c>
      <c r="E4776" s="285">
        <v>-23.103617860792188</v>
      </c>
    </row>
    <row r="4777" spans="1:5">
      <c r="A4777" s="284">
        <f t="shared" si="1065"/>
        <v>4709</v>
      </c>
      <c r="B4777" s="285">
        <v>3.3986142456834156</v>
      </c>
      <c r="C4777" s="285">
        <v>2.7323779037751432</v>
      </c>
      <c r="D4777" s="285">
        <v>3.5391748543989952</v>
      </c>
      <c r="E4777" s="285">
        <v>0.21606509496560244</v>
      </c>
    </row>
    <row r="4778" spans="1:5">
      <c r="A4778" s="284">
        <f t="shared" si="1065"/>
        <v>4710</v>
      </c>
      <c r="B4778" s="285">
        <v>-0.86534553790891477</v>
      </c>
      <c r="C4778" s="285">
        <v>2.1737976806022861</v>
      </c>
      <c r="D4778" s="285">
        <v>-0.34412272141595524</v>
      </c>
      <c r="E4778" s="285">
        <v>-14.650100013884643</v>
      </c>
    </row>
    <row r="4779" spans="1:5">
      <c r="A4779" s="284">
        <f t="shared" si="1065"/>
        <v>4711</v>
      </c>
      <c r="B4779" s="285">
        <v>1.6849977425235962</v>
      </c>
      <c r="C4779" s="285">
        <v>2.5618549932897619</v>
      </c>
      <c r="D4779" s="285">
        <v>1.5068456551670748</v>
      </c>
      <c r="E4779" s="285">
        <v>-6.3045341089766875</v>
      </c>
    </row>
    <row r="4780" spans="1:5">
      <c r="A4780" s="284">
        <f t="shared" si="1065"/>
        <v>4712</v>
      </c>
      <c r="B4780" s="285">
        <v>5.3003022867290763</v>
      </c>
      <c r="C4780" s="285">
        <v>2.7702726058683194</v>
      </c>
      <c r="D4780" s="285">
        <v>2.0302936044580107</v>
      </c>
      <c r="E4780" s="285">
        <v>9.1430332301061092</v>
      </c>
    </row>
    <row r="4781" spans="1:5">
      <c r="A4781" s="284">
        <f t="shared" si="1065"/>
        <v>4713</v>
      </c>
      <c r="B4781" s="285">
        <v>1.6057413831606331</v>
      </c>
      <c r="C4781" s="285">
        <v>2.8522936249097932</v>
      </c>
      <c r="D4781" s="285">
        <v>0.15724299139959075</v>
      </c>
      <c r="E4781" s="285">
        <v>-3.1232442162656064</v>
      </c>
    </row>
    <row r="4782" spans="1:5">
      <c r="A4782" s="284">
        <f t="shared" si="1065"/>
        <v>4714</v>
      </c>
      <c r="B4782" s="285">
        <v>2.4410994612140913</v>
      </c>
      <c r="C4782" s="285">
        <v>3.529215398832914</v>
      </c>
      <c r="D4782" s="285">
        <v>0.87100541207065574</v>
      </c>
      <c r="E4782" s="285">
        <v>20.829638819546361</v>
      </c>
    </row>
    <row r="4783" spans="1:5">
      <c r="A4783" s="284">
        <f t="shared" si="1065"/>
        <v>4715</v>
      </c>
      <c r="B4783" s="285">
        <v>0.32529406204514294</v>
      </c>
      <c r="C4783" s="285">
        <v>3.1275249792640718</v>
      </c>
      <c r="D4783" s="285">
        <v>0.80044270123195083</v>
      </c>
      <c r="E4783" s="285">
        <v>12.862582627385088</v>
      </c>
    </row>
    <row r="4784" spans="1:5">
      <c r="A4784" s="284">
        <f t="shared" si="1065"/>
        <v>4716</v>
      </c>
      <c r="B4784" s="285">
        <v>-0.73165925649360408</v>
      </c>
      <c r="C4784" s="285">
        <v>2.261470338164191</v>
      </c>
      <c r="D4784" s="285">
        <v>1.4214836022684141E-2</v>
      </c>
      <c r="E4784" s="285">
        <v>-16.801980400965235</v>
      </c>
    </row>
    <row r="4785" spans="1:5">
      <c r="A4785" s="284">
        <f t="shared" si="1065"/>
        <v>4717</v>
      </c>
      <c r="B4785" s="285">
        <v>1.1658965339630629</v>
      </c>
      <c r="C4785" s="285">
        <v>2.9330193732430967</v>
      </c>
      <c r="D4785" s="285">
        <v>3.7032743198612872</v>
      </c>
      <c r="E4785" s="285">
        <v>-6.7012839678936675</v>
      </c>
    </row>
    <row r="4786" spans="1:5">
      <c r="A4786" s="284">
        <f t="shared" si="1065"/>
        <v>4718</v>
      </c>
      <c r="B4786" s="285">
        <v>2.1306369920997694</v>
      </c>
      <c r="C4786" s="285">
        <v>2.4408248091368807</v>
      </c>
      <c r="D4786" s="285">
        <v>2.6070110475566133</v>
      </c>
      <c r="E4786" s="285">
        <v>-11.692623238314479</v>
      </c>
    </row>
    <row r="4787" spans="1:5">
      <c r="A4787" s="284">
        <f t="shared" si="1065"/>
        <v>4719</v>
      </c>
      <c r="B4787" s="285">
        <v>-1.679050589571593</v>
      </c>
      <c r="C4787" s="285">
        <v>2.2223039184153679</v>
      </c>
      <c r="D4787" s="285">
        <v>0.79714076451818305</v>
      </c>
      <c r="E4787" s="285">
        <v>-8.777547283102626</v>
      </c>
    </row>
    <row r="4788" spans="1:5">
      <c r="A4788" s="284">
        <f t="shared" si="1065"/>
        <v>4720</v>
      </c>
      <c r="B4788" s="285">
        <v>0.35981453281188586</v>
      </c>
      <c r="C4788" s="285">
        <v>3.267120229819215</v>
      </c>
      <c r="D4788" s="285">
        <v>-2.1885646207997933E-2</v>
      </c>
      <c r="E4788" s="285">
        <v>5.1334523893588049</v>
      </c>
    </row>
    <row r="4789" spans="1:5">
      <c r="A4789" s="284">
        <f t="shared" si="1065"/>
        <v>4721</v>
      </c>
      <c r="B4789" s="285">
        <v>-3.2011745184135214</v>
      </c>
      <c r="C4789" s="285">
        <v>2.6295870682754301</v>
      </c>
      <c r="D4789" s="285">
        <v>2.326313355751839</v>
      </c>
      <c r="E4789" s="285">
        <v>-8.4077832367399417</v>
      </c>
    </row>
    <row r="4790" spans="1:5">
      <c r="A4790" s="284">
        <f t="shared" si="1065"/>
        <v>4722</v>
      </c>
      <c r="B4790" s="285">
        <v>2.3465873668561241</v>
      </c>
      <c r="C4790" s="285">
        <v>2.6753397865796069</v>
      </c>
      <c r="D4790" s="285">
        <v>0.72630577498017157</v>
      </c>
      <c r="E4790" s="285">
        <v>-10.533925699378827</v>
      </c>
    </row>
    <row r="4791" spans="1:5">
      <c r="A4791" s="284">
        <f t="shared" si="1065"/>
        <v>4723</v>
      </c>
      <c r="B4791" s="285">
        <v>1.4722181303775972</v>
      </c>
      <c r="C4791" s="285">
        <v>3.0664136445498111</v>
      </c>
      <c r="D4791" s="285">
        <v>-0.29478776246848515</v>
      </c>
      <c r="E4791" s="285">
        <v>13.223509890987277</v>
      </c>
    </row>
    <row r="4792" spans="1:5">
      <c r="A4792" s="284">
        <f t="shared" si="1065"/>
        <v>4724</v>
      </c>
      <c r="B4792" s="285">
        <v>0.48476254147979136</v>
      </c>
      <c r="C4792" s="285">
        <v>1.8803895567219606</v>
      </c>
      <c r="D4792" s="285">
        <v>-5.5243733583272947E-2</v>
      </c>
      <c r="E4792" s="285">
        <v>-4.0055457107857357</v>
      </c>
    </row>
    <row r="4793" spans="1:5">
      <c r="A4793" s="284">
        <f t="shared" si="1065"/>
        <v>4725</v>
      </c>
      <c r="B4793" s="285">
        <v>2.3003202098433597</v>
      </c>
      <c r="C4793" s="285">
        <v>2.1683407747320711</v>
      </c>
      <c r="D4793" s="285">
        <v>-0.58726544533028679</v>
      </c>
      <c r="E4793" s="285">
        <v>-11.690141469577005</v>
      </c>
    </row>
    <row r="4794" spans="1:5">
      <c r="A4794" s="284">
        <f t="shared" si="1065"/>
        <v>4726</v>
      </c>
      <c r="B4794" s="285">
        <v>1.5215737982362927</v>
      </c>
      <c r="C4794" s="285">
        <v>2.6977996293676831</v>
      </c>
      <c r="D4794" s="285">
        <v>1.2647832163215531</v>
      </c>
      <c r="E4794" s="285">
        <v>-9.3880713711922112</v>
      </c>
    </row>
    <row r="4795" spans="1:5">
      <c r="A4795" s="284">
        <f t="shared" si="1065"/>
        <v>4727</v>
      </c>
      <c r="B4795" s="285">
        <v>-5.7488746610749821</v>
      </c>
      <c r="C4795" s="285">
        <v>2.6236215988442213</v>
      </c>
      <c r="D4795" s="285">
        <v>-1.1023135575095822E-2</v>
      </c>
      <c r="E4795" s="285">
        <v>1.8327701359174111</v>
      </c>
    </row>
    <row r="4796" spans="1:5">
      <c r="A4796" s="284">
        <f t="shared" si="1065"/>
        <v>4728</v>
      </c>
      <c r="B4796" s="285">
        <v>4.9598263815866614</v>
      </c>
      <c r="C4796" s="285">
        <v>3.1891685008366126</v>
      </c>
      <c r="D4796" s="285">
        <v>1.7788934712299864</v>
      </c>
      <c r="E4796" s="285">
        <v>2.2670044781342322</v>
      </c>
    </row>
    <row r="4797" spans="1:5">
      <c r="A4797" s="284">
        <f t="shared" si="1065"/>
        <v>4729</v>
      </c>
      <c r="B4797" s="285">
        <v>-3.1636920994089968</v>
      </c>
      <c r="C4797" s="285">
        <v>2.34802767469857</v>
      </c>
      <c r="D4797" s="285">
        <v>-0.45071787772345173</v>
      </c>
      <c r="E4797" s="285">
        <v>-7.1637736199788158</v>
      </c>
    </row>
    <row r="4798" spans="1:5">
      <c r="A4798" s="284">
        <f t="shared" si="1065"/>
        <v>4730</v>
      </c>
      <c r="B4798" s="285">
        <v>-1.7814616962435077</v>
      </c>
      <c r="C4798" s="285">
        <v>2.6032889740061513</v>
      </c>
      <c r="D4798" s="285">
        <v>2.2310195010371405</v>
      </c>
      <c r="E4798" s="285">
        <v>-0.64851004835138815</v>
      </c>
    </row>
    <row r="4799" spans="1:5">
      <c r="A4799" s="284">
        <f t="shared" si="1065"/>
        <v>4731</v>
      </c>
      <c r="B4799" s="285">
        <v>-2.8712790162785131</v>
      </c>
      <c r="C4799" s="285">
        <v>2.4697869574622935</v>
      </c>
      <c r="D4799" s="285">
        <v>1.1518954201381524</v>
      </c>
      <c r="E4799" s="285">
        <v>6.9168083412303769</v>
      </c>
    </row>
    <row r="4800" spans="1:5">
      <c r="A4800" s="284">
        <f t="shared" si="1065"/>
        <v>4732</v>
      </c>
      <c r="B4800" s="285">
        <v>5.750110050595592</v>
      </c>
      <c r="C4800" s="285">
        <v>3.1254866296708079</v>
      </c>
      <c r="D4800" s="285">
        <v>2.0104158600579076</v>
      </c>
      <c r="E4800" s="285">
        <v>-4.4393886108409353</v>
      </c>
    </row>
    <row r="4801" spans="1:5">
      <c r="A4801" s="284">
        <f t="shared" si="1065"/>
        <v>4733</v>
      </c>
      <c r="B4801" s="285">
        <v>1.8141901366840778</v>
      </c>
      <c r="C4801" s="285">
        <v>2.78208716786542</v>
      </c>
      <c r="D4801" s="285">
        <v>0.68378751667705506</v>
      </c>
      <c r="E4801" s="285">
        <v>-8.9372923100406485</v>
      </c>
    </row>
    <row r="4802" spans="1:5">
      <c r="A4802" s="284">
        <f t="shared" si="1065"/>
        <v>4734</v>
      </c>
      <c r="B4802" s="285">
        <v>1.5275403671065575</v>
      </c>
      <c r="C4802" s="285">
        <v>1.8090223450446827</v>
      </c>
      <c r="D4802" s="285">
        <v>0.90758252933085393</v>
      </c>
      <c r="E4802" s="285">
        <v>2.6837494519202694</v>
      </c>
    </row>
    <row r="4803" spans="1:5">
      <c r="A4803" s="284">
        <f t="shared" si="1065"/>
        <v>4735</v>
      </c>
      <c r="B4803" s="285">
        <v>-1.5537157972168858</v>
      </c>
      <c r="C4803" s="285">
        <v>2.7975234140298086</v>
      </c>
      <c r="D4803" s="285">
        <v>1.1027003716282795</v>
      </c>
      <c r="E4803" s="285">
        <v>5.3735199137240013</v>
      </c>
    </row>
    <row r="4804" spans="1:5">
      <c r="A4804" s="284">
        <f t="shared" si="1065"/>
        <v>4736</v>
      </c>
      <c r="B4804" s="285">
        <v>0.74849475837295532</v>
      </c>
      <c r="C4804" s="285">
        <v>2.2721681270156195</v>
      </c>
      <c r="D4804" s="285">
        <v>1.594965096174261</v>
      </c>
      <c r="E4804" s="285">
        <v>-15.165018175125752</v>
      </c>
    </row>
    <row r="4805" spans="1:5">
      <c r="A4805" s="284">
        <f t="shared" si="1065"/>
        <v>4737</v>
      </c>
      <c r="B4805" s="285">
        <v>-1.4089703006220526</v>
      </c>
      <c r="C4805" s="285">
        <v>2.3847916877358535</v>
      </c>
      <c r="D4805" s="285">
        <v>0.93313862091639199</v>
      </c>
      <c r="E4805" s="285">
        <v>8.4038833081332811</v>
      </c>
    </row>
    <row r="4806" spans="1:5">
      <c r="A4806" s="284">
        <f t="shared" si="1065"/>
        <v>4738</v>
      </c>
      <c r="B4806" s="285">
        <v>-2.0055647535816985</v>
      </c>
      <c r="C4806" s="285">
        <v>1.9050108579197249</v>
      </c>
      <c r="D4806" s="285">
        <v>1.2661386699056376</v>
      </c>
      <c r="E4806" s="285">
        <v>-7.8098204295680098</v>
      </c>
    </row>
    <row r="4807" spans="1:5">
      <c r="A4807" s="284">
        <f t="shared" ref="A4807:A4870" si="1066">A4806+1</f>
        <v>4739</v>
      </c>
      <c r="B4807" s="285">
        <v>1.6157216794954445</v>
      </c>
      <c r="C4807" s="285">
        <v>2.9973190843493978</v>
      </c>
      <c r="D4807" s="285">
        <v>3.4475862779806326</v>
      </c>
      <c r="E4807" s="285">
        <v>-0.47996896962496516</v>
      </c>
    </row>
    <row r="4808" spans="1:5">
      <c r="A4808" s="284">
        <f t="shared" si="1066"/>
        <v>4740</v>
      </c>
      <c r="B4808" s="285">
        <v>-0.94697814115086776</v>
      </c>
      <c r="C4808" s="285">
        <v>2.1514712046816418</v>
      </c>
      <c r="D4808" s="285">
        <v>0.81597115353338889</v>
      </c>
      <c r="E4808" s="285">
        <v>-1.6472573075616492</v>
      </c>
    </row>
    <row r="4809" spans="1:5">
      <c r="A4809" s="284">
        <f t="shared" si="1066"/>
        <v>4741</v>
      </c>
      <c r="B4809" s="285">
        <v>4.0257188912065249E-2</v>
      </c>
      <c r="C4809" s="285">
        <v>2.3147313660122766</v>
      </c>
      <c r="D4809" s="285">
        <v>1.3309421891255453</v>
      </c>
      <c r="E4809" s="285">
        <v>-6.7158846901878189</v>
      </c>
    </row>
    <row r="4810" spans="1:5">
      <c r="A4810" s="284">
        <f t="shared" si="1066"/>
        <v>4742</v>
      </c>
      <c r="B4810" s="285">
        <v>-0.99966164507124855</v>
      </c>
      <c r="C4810" s="285">
        <v>2.2310264360453709</v>
      </c>
      <c r="D4810" s="285">
        <v>0.27367343009915457</v>
      </c>
      <c r="E4810" s="285">
        <v>-1.3170297733512428</v>
      </c>
    </row>
    <row r="4811" spans="1:5">
      <c r="A4811" s="284">
        <f t="shared" si="1066"/>
        <v>4743</v>
      </c>
      <c r="B4811" s="285">
        <v>2.6988473133294901</v>
      </c>
      <c r="C4811" s="285">
        <v>2.2677786218279388</v>
      </c>
      <c r="D4811" s="285">
        <v>1.5308867087325941</v>
      </c>
      <c r="E4811" s="285">
        <v>-23.15146654780547</v>
      </c>
    </row>
    <row r="4812" spans="1:5">
      <c r="A4812" s="284">
        <f t="shared" si="1066"/>
        <v>4744</v>
      </c>
      <c r="B4812" s="285">
        <v>7.4058809617946447E-2</v>
      </c>
      <c r="C4812" s="285">
        <v>2.2084817611993874</v>
      </c>
      <c r="D4812" s="285">
        <v>1.5592842829759208</v>
      </c>
      <c r="E4812" s="285">
        <v>-7.5426129406631564</v>
      </c>
    </row>
    <row r="4813" spans="1:5">
      <c r="A4813" s="284">
        <f t="shared" si="1066"/>
        <v>4745</v>
      </c>
      <c r="B4813" s="285">
        <v>-4.3128521056197284</v>
      </c>
      <c r="C4813" s="285">
        <v>1.5864754377238308</v>
      </c>
      <c r="D4813" s="285">
        <v>1.7297777143545485</v>
      </c>
      <c r="E4813" s="285">
        <v>-18.128964884103979</v>
      </c>
    </row>
    <row r="4814" spans="1:5">
      <c r="A4814" s="284">
        <f t="shared" si="1066"/>
        <v>4746</v>
      </c>
      <c r="B4814" s="285">
        <v>2.0004153642751028</v>
      </c>
      <c r="C4814" s="285">
        <v>2.9883298062419921</v>
      </c>
      <c r="D4814" s="285">
        <v>0.23365685185035712</v>
      </c>
      <c r="E4814" s="285">
        <v>-0.97063847112896307</v>
      </c>
    </row>
    <row r="4815" spans="1:5">
      <c r="A4815" s="284">
        <f t="shared" si="1066"/>
        <v>4747</v>
      </c>
      <c r="B4815" s="285">
        <v>-7.0353819627910055E-2</v>
      </c>
      <c r="C4815" s="285">
        <v>2.3614926558353302</v>
      </c>
      <c r="D4815" s="285">
        <v>2.5445678505942526</v>
      </c>
      <c r="E4815" s="285">
        <v>-12.493487881283631</v>
      </c>
    </row>
    <row r="4816" spans="1:5">
      <c r="A4816" s="284">
        <f t="shared" si="1066"/>
        <v>4748</v>
      </c>
      <c r="B4816" s="285">
        <v>1.0314678159616926</v>
      </c>
      <c r="C4816" s="285">
        <v>2.0184309550455186</v>
      </c>
      <c r="D4816" s="285">
        <v>3.7021832573593323</v>
      </c>
      <c r="E4816" s="285">
        <v>-5.5528980877579368</v>
      </c>
    </row>
    <row r="4817" spans="1:5">
      <c r="A4817" s="284">
        <f t="shared" si="1066"/>
        <v>4749</v>
      </c>
      <c r="B4817" s="285">
        <v>-4.2702133836737159</v>
      </c>
      <c r="C4817" s="285">
        <v>2.4773636384365423</v>
      </c>
      <c r="D4817" s="285">
        <v>-1.5961343003128463</v>
      </c>
      <c r="E4817" s="285">
        <v>7.4742636811166427</v>
      </c>
    </row>
    <row r="4818" spans="1:5">
      <c r="A4818" s="284">
        <f t="shared" si="1066"/>
        <v>4750</v>
      </c>
      <c r="B4818" s="285">
        <v>-3.2139382900464297</v>
      </c>
      <c r="C4818" s="285">
        <v>2.9193331158646005</v>
      </c>
      <c r="D4818" s="285">
        <v>0.72734996607442137</v>
      </c>
      <c r="E4818" s="285">
        <v>0.41669016494473743</v>
      </c>
    </row>
    <row r="4819" spans="1:5">
      <c r="A4819" s="284">
        <f t="shared" si="1066"/>
        <v>4751</v>
      </c>
      <c r="B4819" s="285">
        <v>0.49130525743731102</v>
      </c>
      <c r="C4819" s="285">
        <v>2.6350850726735082</v>
      </c>
      <c r="D4819" s="285">
        <v>-7.1591923592413398E-2</v>
      </c>
      <c r="E4819" s="285">
        <v>6.3860301561174406</v>
      </c>
    </row>
    <row r="4820" spans="1:5">
      <c r="A4820" s="284">
        <f t="shared" si="1066"/>
        <v>4752</v>
      </c>
      <c r="B4820" s="285">
        <v>2.8004879809474286</v>
      </c>
      <c r="C4820" s="285">
        <v>2.69580857752202</v>
      </c>
      <c r="D4820" s="285">
        <v>-5.8384954157596702E-2</v>
      </c>
      <c r="E4820" s="285">
        <v>-3.1123177085314664</v>
      </c>
    </row>
    <row r="4821" spans="1:5">
      <c r="A4821" s="284">
        <f t="shared" si="1066"/>
        <v>4753</v>
      </c>
      <c r="B4821" s="285">
        <v>1.4565421772932814</v>
      </c>
      <c r="C4821" s="285">
        <v>2.1276533481927933</v>
      </c>
      <c r="D4821" s="285">
        <v>-0.48121956691168455</v>
      </c>
      <c r="E4821" s="285">
        <v>-0.5787708794899129</v>
      </c>
    </row>
    <row r="4822" spans="1:5">
      <c r="A4822" s="284">
        <f t="shared" si="1066"/>
        <v>4754</v>
      </c>
      <c r="B4822" s="285">
        <v>-1.2071074122534802</v>
      </c>
      <c r="C4822" s="285">
        <v>2.2580392630486057</v>
      </c>
      <c r="D4822" s="285">
        <v>1.6671210139530599</v>
      </c>
      <c r="E4822" s="285">
        <v>-0.84719620659644201</v>
      </c>
    </row>
    <row r="4823" spans="1:5">
      <c r="A4823" s="284">
        <f t="shared" si="1066"/>
        <v>4755</v>
      </c>
      <c r="B4823" s="285">
        <v>-1.0151148062288422</v>
      </c>
      <c r="C4823" s="285">
        <v>1.7703122851700099</v>
      </c>
      <c r="D4823" s="285">
        <v>-8.1190863915316491E-2</v>
      </c>
      <c r="E4823" s="285">
        <v>-15.286018411404896</v>
      </c>
    </row>
    <row r="4824" spans="1:5">
      <c r="A4824" s="284">
        <f t="shared" si="1066"/>
        <v>4756</v>
      </c>
      <c r="B4824" s="285">
        <v>3.5283273696010422</v>
      </c>
      <c r="C4824" s="285">
        <v>3.2897515650730353</v>
      </c>
      <c r="D4824" s="285">
        <v>1.304649616748234</v>
      </c>
      <c r="E4824" s="285">
        <v>-0.34366738482940518</v>
      </c>
    </row>
    <row r="4825" spans="1:5">
      <c r="A4825" s="284">
        <f t="shared" si="1066"/>
        <v>4757</v>
      </c>
      <c r="B4825" s="285">
        <v>-4.2005414304007447</v>
      </c>
      <c r="C4825" s="285">
        <v>2.350627519172269</v>
      </c>
      <c r="D4825" s="285">
        <v>1.1411694201332871</v>
      </c>
      <c r="E4825" s="285">
        <v>10.218426171386119</v>
      </c>
    </row>
    <row r="4826" spans="1:5">
      <c r="A4826" s="284">
        <f t="shared" si="1066"/>
        <v>4758</v>
      </c>
      <c r="B4826" s="285">
        <v>-0.1545292280779044</v>
      </c>
      <c r="C4826" s="285">
        <v>2.4055803418467177</v>
      </c>
      <c r="D4826" s="285">
        <v>0.44800214694743512</v>
      </c>
      <c r="E4826" s="285">
        <v>-5.114362037148612</v>
      </c>
    </row>
    <row r="4827" spans="1:5">
      <c r="A4827" s="284">
        <f t="shared" si="1066"/>
        <v>4759</v>
      </c>
      <c r="B4827" s="285">
        <v>5.7434302598583953</v>
      </c>
      <c r="C4827" s="285">
        <v>3.6405073403438388</v>
      </c>
      <c r="D4827" s="285">
        <v>1.9961775320501352</v>
      </c>
      <c r="E4827" s="285">
        <v>11.812563018408998</v>
      </c>
    </row>
    <row r="4828" spans="1:5">
      <c r="A4828" s="284">
        <f t="shared" si="1066"/>
        <v>4760</v>
      </c>
      <c r="B4828" s="285">
        <v>0.78120242037148302</v>
      </c>
      <c r="C4828" s="285">
        <v>2.458082940867699</v>
      </c>
      <c r="D4828" s="285">
        <v>0.81986589159508938</v>
      </c>
      <c r="E4828" s="285">
        <v>2.2803556874138846</v>
      </c>
    </row>
    <row r="4829" spans="1:5">
      <c r="A4829" s="284">
        <f t="shared" si="1066"/>
        <v>4761</v>
      </c>
      <c r="B4829" s="285">
        <v>-3.6566457950334743</v>
      </c>
      <c r="C4829" s="285">
        <v>2.199949266614873</v>
      </c>
      <c r="D4829" s="285">
        <v>-0.49642236917626681</v>
      </c>
      <c r="E4829" s="285">
        <v>-12.696298144962013</v>
      </c>
    </row>
    <row r="4830" spans="1:5">
      <c r="A4830" s="284">
        <f t="shared" si="1066"/>
        <v>4762</v>
      </c>
      <c r="B4830" s="285">
        <v>-0.80990647248073711</v>
      </c>
      <c r="C4830" s="285">
        <v>2.257058166206281</v>
      </c>
      <c r="D4830" s="285">
        <v>3.1646235327467043</v>
      </c>
      <c r="E4830" s="285">
        <v>-5.948771614230143</v>
      </c>
    </row>
    <row r="4831" spans="1:5">
      <c r="A4831" s="284">
        <f t="shared" si="1066"/>
        <v>4763</v>
      </c>
      <c r="B4831" s="285">
        <v>0.81508462508101509</v>
      </c>
      <c r="C4831" s="285">
        <v>2.5011213157843759</v>
      </c>
      <c r="D4831" s="285">
        <v>1.0076251063751054</v>
      </c>
      <c r="E4831" s="285">
        <v>-3.1193461251234584</v>
      </c>
    </row>
    <row r="4832" spans="1:5">
      <c r="A4832" s="284">
        <f t="shared" si="1066"/>
        <v>4764</v>
      </c>
      <c r="B4832" s="285">
        <v>-2.058121161807144</v>
      </c>
      <c r="C4832" s="285">
        <v>2.3237991051617697</v>
      </c>
      <c r="D4832" s="285">
        <v>1.5155372698341745</v>
      </c>
      <c r="E4832" s="285">
        <v>-2.7372504903904193E-3</v>
      </c>
    </row>
    <row r="4833" spans="1:5">
      <c r="A4833" s="284">
        <f t="shared" si="1066"/>
        <v>4765</v>
      </c>
      <c r="B4833" s="285">
        <v>1.2183487206700465</v>
      </c>
      <c r="C4833" s="285">
        <v>2.9314161179832126</v>
      </c>
      <c r="D4833" s="285">
        <v>1.6253520624598217</v>
      </c>
      <c r="E4833" s="285">
        <v>-1.1213780871587993</v>
      </c>
    </row>
    <row r="4834" spans="1:5">
      <c r="A4834" s="284">
        <f t="shared" si="1066"/>
        <v>4766</v>
      </c>
      <c r="B4834" s="285">
        <v>-0.93790331045804343</v>
      </c>
      <c r="C4834" s="285">
        <v>1.9249483743518951</v>
      </c>
      <c r="D4834" s="285">
        <v>1.1833513483596083</v>
      </c>
      <c r="E4834" s="285">
        <v>-12.352442475951802</v>
      </c>
    </row>
    <row r="4835" spans="1:5">
      <c r="A4835" s="284">
        <f t="shared" si="1066"/>
        <v>4767</v>
      </c>
      <c r="B4835" s="285">
        <v>-3.7526757917594828</v>
      </c>
      <c r="C4835" s="285">
        <v>2.1721342059269602</v>
      </c>
      <c r="D4835" s="285">
        <v>2.0871490867521048</v>
      </c>
      <c r="E4835" s="285">
        <v>-1.7220139863692654</v>
      </c>
    </row>
    <row r="4836" spans="1:5">
      <c r="A4836" s="284">
        <f t="shared" si="1066"/>
        <v>4768</v>
      </c>
      <c r="B4836" s="285">
        <v>5.9016050266247939</v>
      </c>
      <c r="C4836" s="285">
        <v>3.2092113502266351</v>
      </c>
      <c r="D4836" s="285">
        <v>1.9463033477365326</v>
      </c>
      <c r="E4836" s="285">
        <v>4.1477972618197381</v>
      </c>
    </row>
    <row r="4837" spans="1:5">
      <c r="A4837" s="284">
        <f t="shared" si="1066"/>
        <v>4769</v>
      </c>
      <c r="B4837" s="285">
        <v>-0.82446370093901677</v>
      </c>
      <c r="C4837" s="285">
        <v>2.9006119981698637</v>
      </c>
      <c r="D4837" s="285">
        <v>0.906262393533663</v>
      </c>
      <c r="E4837" s="285">
        <v>10.467584662345498</v>
      </c>
    </row>
    <row r="4838" spans="1:5">
      <c r="A4838" s="284">
        <f t="shared" si="1066"/>
        <v>4770</v>
      </c>
      <c r="B4838" s="285">
        <v>1.8856577121121323</v>
      </c>
      <c r="C4838" s="285">
        <v>2.9305873908399511</v>
      </c>
      <c r="D4838" s="285">
        <v>1.6555404773532783</v>
      </c>
      <c r="E4838" s="285">
        <v>-7.0941985460047352</v>
      </c>
    </row>
    <row r="4839" spans="1:5">
      <c r="A4839" s="284">
        <f t="shared" si="1066"/>
        <v>4771</v>
      </c>
      <c r="B4839" s="285">
        <v>0.57717123144704385</v>
      </c>
      <c r="C4839" s="285">
        <v>3.4551875753609589</v>
      </c>
      <c r="D4839" s="285">
        <v>1.1062443864678375</v>
      </c>
      <c r="E4839" s="285">
        <v>13.892861270935398</v>
      </c>
    </row>
    <row r="4840" spans="1:5">
      <c r="A4840" s="284">
        <f t="shared" si="1066"/>
        <v>4772</v>
      </c>
      <c r="B4840" s="285">
        <v>-2.2413189762290844</v>
      </c>
      <c r="C4840" s="285">
        <v>3.794483799802292</v>
      </c>
      <c r="D4840" s="285">
        <v>-1.0528202591479245</v>
      </c>
      <c r="E4840" s="285">
        <v>33.004649459445233</v>
      </c>
    </row>
    <row r="4841" spans="1:5">
      <c r="A4841" s="284">
        <f t="shared" si="1066"/>
        <v>4773</v>
      </c>
      <c r="B4841" s="285">
        <v>-0.72019285657191978</v>
      </c>
      <c r="C4841" s="285">
        <v>2.3197332817818603</v>
      </c>
      <c r="D4841" s="285">
        <v>1.1703181134509821</v>
      </c>
      <c r="E4841" s="285">
        <v>-2.5450092333886589</v>
      </c>
    </row>
    <row r="4842" spans="1:5">
      <c r="A4842" s="284">
        <f t="shared" si="1066"/>
        <v>4774</v>
      </c>
      <c r="B4842" s="285">
        <v>1.4070661851916932</v>
      </c>
      <c r="C4842" s="285">
        <v>3.7096411310910318</v>
      </c>
      <c r="D4842" s="285">
        <v>-0.35260073827635807</v>
      </c>
      <c r="E4842" s="285">
        <v>23.648543248633928</v>
      </c>
    </row>
    <row r="4843" spans="1:5">
      <c r="A4843" s="284">
        <f t="shared" si="1066"/>
        <v>4775</v>
      </c>
      <c r="B4843" s="285">
        <v>-1.3706954855300488</v>
      </c>
      <c r="C4843" s="285">
        <v>2.9870636220252336</v>
      </c>
      <c r="D4843" s="285">
        <v>0.597359300243411</v>
      </c>
      <c r="E4843" s="285">
        <v>13.263501983026472</v>
      </c>
    </row>
    <row r="4844" spans="1:5">
      <c r="A4844" s="284">
        <f t="shared" si="1066"/>
        <v>4776</v>
      </c>
      <c r="B4844" s="285">
        <v>0.81061590578086495</v>
      </c>
      <c r="C4844" s="285">
        <v>2.8530909183788671</v>
      </c>
      <c r="D4844" s="285">
        <v>2.2099958656389824</v>
      </c>
      <c r="E4844" s="285">
        <v>14.603497243878852</v>
      </c>
    </row>
    <row r="4845" spans="1:5">
      <c r="A4845" s="284">
        <f t="shared" si="1066"/>
        <v>4777</v>
      </c>
      <c r="B4845" s="285">
        <v>1.1083614583157038</v>
      </c>
      <c r="C4845" s="285">
        <v>2.5389258538339048</v>
      </c>
      <c r="D4845" s="285">
        <v>0.8580598670145303</v>
      </c>
      <c r="E4845" s="285">
        <v>-6.0807070102103573</v>
      </c>
    </row>
    <row r="4846" spans="1:5">
      <c r="A4846" s="284">
        <f t="shared" si="1066"/>
        <v>4778</v>
      </c>
      <c r="B4846" s="285">
        <v>-2.9775148241895151</v>
      </c>
      <c r="C4846" s="285">
        <v>2.2985726320428865</v>
      </c>
      <c r="D4846" s="285">
        <v>-0.72984734148324826</v>
      </c>
      <c r="E4846" s="285">
        <v>7.4741846771259919</v>
      </c>
    </row>
    <row r="4847" spans="1:5">
      <c r="A4847" s="284">
        <f t="shared" si="1066"/>
        <v>4779</v>
      </c>
      <c r="B4847" s="285">
        <v>2.8765586756607759</v>
      </c>
      <c r="C4847" s="285">
        <v>3.0454876118998446</v>
      </c>
      <c r="D4847" s="285">
        <v>0.66172601044738211</v>
      </c>
      <c r="E4847" s="285">
        <v>-7.6062112121940899</v>
      </c>
    </row>
    <row r="4848" spans="1:5">
      <c r="A4848" s="284">
        <f t="shared" si="1066"/>
        <v>4780</v>
      </c>
      <c r="B4848" s="285">
        <v>0.92149678081808095</v>
      </c>
      <c r="C4848" s="285">
        <v>2.8103233273774251</v>
      </c>
      <c r="D4848" s="285">
        <v>0.63689124441374445</v>
      </c>
      <c r="E4848" s="285">
        <v>-1.7422503766423065</v>
      </c>
    </row>
    <row r="4849" spans="1:5">
      <c r="A4849" s="284">
        <f t="shared" si="1066"/>
        <v>4781</v>
      </c>
      <c r="B4849" s="285">
        <v>1.6074135271447543</v>
      </c>
      <c r="C4849" s="285">
        <v>2.8970407312701427</v>
      </c>
      <c r="D4849" s="285">
        <v>1.5853336932245372</v>
      </c>
      <c r="E4849" s="285">
        <v>4.2183330359334121</v>
      </c>
    </row>
    <row r="4850" spans="1:5">
      <c r="A4850" s="284">
        <f t="shared" si="1066"/>
        <v>4782</v>
      </c>
      <c r="B4850" s="285">
        <v>1.4560295594979371</v>
      </c>
      <c r="C4850" s="285">
        <v>2.8927003633269051</v>
      </c>
      <c r="D4850" s="285">
        <v>1.6160535110616983</v>
      </c>
      <c r="E4850" s="285">
        <v>2.0944433194499523</v>
      </c>
    </row>
    <row r="4851" spans="1:5">
      <c r="A4851" s="284">
        <f t="shared" si="1066"/>
        <v>4783</v>
      </c>
      <c r="B4851" s="285">
        <v>-4.8510534306693689</v>
      </c>
      <c r="C4851" s="285">
        <v>2.0376519780330784</v>
      </c>
      <c r="D4851" s="285">
        <v>-0.30539468114703139</v>
      </c>
      <c r="E4851" s="285">
        <v>-8.2971098377250563</v>
      </c>
    </row>
    <row r="4852" spans="1:5">
      <c r="A4852" s="284">
        <f t="shared" si="1066"/>
        <v>4784</v>
      </c>
      <c r="B4852" s="285">
        <v>-0.66975793447666654</v>
      </c>
      <c r="C4852" s="285">
        <v>1.6590752551740855</v>
      </c>
      <c r="D4852" s="285">
        <v>1.668959969189967</v>
      </c>
      <c r="E4852" s="285">
        <v>-12.633995968737114</v>
      </c>
    </row>
    <row r="4853" spans="1:5">
      <c r="A4853" s="284">
        <f t="shared" si="1066"/>
        <v>4785</v>
      </c>
      <c r="B4853" s="285">
        <v>2.5986553257878886</v>
      </c>
      <c r="C4853" s="285">
        <v>2.8590486308382896</v>
      </c>
      <c r="D4853" s="285">
        <v>3.7838223061754772</v>
      </c>
      <c r="E4853" s="285">
        <v>2.9606028942874025</v>
      </c>
    </row>
    <row r="4854" spans="1:5">
      <c r="A4854" s="284">
        <f t="shared" si="1066"/>
        <v>4786</v>
      </c>
      <c r="B4854" s="285">
        <v>1.9825155915811203</v>
      </c>
      <c r="C4854" s="285">
        <v>2.4547984746241145</v>
      </c>
      <c r="D4854" s="285">
        <v>1.9891521959306626</v>
      </c>
      <c r="E4854" s="285">
        <v>-11.004309121320857</v>
      </c>
    </row>
    <row r="4855" spans="1:5">
      <c r="A4855" s="284">
        <f t="shared" si="1066"/>
        <v>4787</v>
      </c>
      <c r="B4855" s="285">
        <v>-5.0727228600319458</v>
      </c>
      <c r="C4855" s="285">
        <v>1.8768611069187646</v>
      </c>
      <c r="D4855" s="285">
        <v>-0.35885320190314007</v>
      </c>
      <c r="E4855" s="285">
        <v>-8.1314857631235675</v>
      </c>
    </row>
    <row r="4856" spans="1:5">
      <c r="A4856" s="284">
        <f t="shared" si="1066"/>
        <v>4788</v>
      </c>
      <c r="B4856" s="285">
        <v>1.5276983355442633</v>
      </c>
      <c r="C4856" s="285">
        <v>2.848422800153954</v>
      </c>
      <c r="D4856" s="285">
        <v>0.78712486688635819</v>
      </c>
      <c r="E4856" s="285">
        <v>-8.5337649171623688</v>
      </c>
    </row>
    <row r="4857" spans="1:5">
      <c r="A4857" s="284">
        <f t="shared" si="1066"/>
        <v>4789</v>
      </c>
      <c r="B4857" s="285">
        <v>-5.279735491649574</v>
      </c>
      <c r="C4857" s="285">
        <v>1.6502215724747917</v>
      </c>
      <c r="D4857" s="285">
        <v>1.1279451487956713</v>
      </c>
      <c r="E4857" s="285">
        <v>-5.3504184922489788</v>
      </c>
    </row>
    <row r="4858" spans="1:5">
      <c r="A4858" s="284">
        <f t="shared" si="1066"/>
        <v>4790</v>
      </c>
      <c r="B4858" s="285">
        <v>-5.5368990371342095</v>
      </c>
      <c r="C4858" s="285">
        <v>1.2934469610755286</v>
      </c>
      <c r="D4858" s="285">
        <v>-5.3514103480411634E-2</v>
      </c>
      <c r="E4858" s="285">
        <v>-15.135738470308903</v>
      </c>
    </row>
    <row r="4859" spans="1:5">
      <c r="A4859" s="284">
        <f t="shared" si="1066"/>
        <v>4791</v>
      </c>
      <c r="B4859" s="285">
        <v>2.7619622947455689</v>
      </c>
      <c r="C4859" s="285">
        <v>1.8473325582492022</v>
      </c>
      <c r="D4859" s="285">
        <v>2.983675594647897</v>
      </c>
      <c r="E4859" s="285">
        <v>-18.164084308016694</v>
      </c>
    </row>
    <row r="4860" spans="1:5">
      <c r="A4860" s="284">
        <f t="shared" si="1066"/>
        <v>4792</v>
      </c>
      <c r="B4860" s="285">
        <v>-2.0282795446216275E-2</v>
      </c>
      <c r="C4860" s="285">
        <v>1.8130320281132666</v>
      </c>
      <c r="D4860" s="285">
        <v>2.1629540413081108</v>
      </c>
      <c r="E4860" s="285">
        <v>-10.460257130812119</v>
      </c>
    </row>
    <row r="4861" spans="1:5">
      <c r="A4861" s="284">
        <f t="shared" si="1066"/>
        <v>4793</v>
      </c>
      <c r="B4861" s="285">
        <v>5.7094240738024791</v>
      </c>
      <c r="C4861" s="285">
        <v>2.3977477972189924</v>
      </c>
      <c r="D4861" s="285">
        <v>2.8949675915636899</v>
      </c>
      <c r="E4861" s="285">
        <v>-5.2973030642222572</v>
      </c>
    </row>
    <row r="4862" spans="1:5">
      <c r="A4862" s="284">
        <f t="shared" si="1066"/>
        <v>4794</v>
      </c>
      <c r="B4862" s="285">
        <v>2.4393955264053209</v>
      </c>
      <c r="C4862" s="285">
        <v>3.1094375521733384</v>
      </c>
      <c r="D4862" s="285">
        <v>1.1989774629196239</v>
      </c>
      <c r="E4862" s="285">
        <v>-1.2723597990846796</v>
      </c>
    </row>
    <row r="4863" spans="1:5">
      <c r="A4863" s="284">
        <f t="shared" si="1066"/>
        <v>4795</v>
      </c>
      <c r="B4863" s="285">
        <v>0.85638602950556031</v>
      </c>
      <c r="C4863" s="285">
        <v>2.2300045267191604</v>
      </c>
      <c r="D4863" s="285">
        <v>2.2478024552039773</v>
      </c>
      <c r="E4863" s="285">
        <v>-5.0930103308026098</v>
      </c>
    </row>
    <row r="4864" spans="1:5">
      <c r="A4864" s="284">
        <f t="shared" si="1066"/>
        <v>4796</v>
      </c>
      <c r="B4864" s="285">
        <v>-1.2340072124813082</v>
      </c>
      <c r="C4864" s="285">
        <v>2.4263493495259079</v>
      </c>
      <c r="D4864" s="285">
        <v>2.3105627507929252</v>
      </c>
      <c r="E4864" s="285">
        <v>4.3304962382308787</v>
      </c>
    </row>
    <row r="4865" spans="1:5">
      <c r="A4865" s="284">
        <f t="shared" si="1066"/>
        <v>4797</v>
      </c>
      <c r="B4865" s="285">
        <v>-3.0530758377843581</v>
      </c>
      <c r="C4865" s="285">
        <v>2.6844285721831249</v>
      </c>
      <c r="D4865" s="285">
        <v>0.36731879801003153</v>
      </c>
      <c r="E4865" s="285">
        <v>-0.79015244028281062</v>
      </c>
    </row>
    <row r="4866" spans="1:5">
      <c r="A4866" s="284">
        <f t="shared" si="1066"/>
        <v>4798</v>
      </c>
      <c r="B4866" s="285">
        <v>-0.67015328377358363</v>
      </c>
      <c r="C4866" s="285">
        <v>2.2872947382160693</v>
      </c>
      <c r="D4866" s="285">
        <v>2.5030573840300683</v>
      </c>
      <c r="E4866" s="285">
        <v>-7.4888876563118298</v>
      </c>
    </row>
    <row r="4867" spans="1:5">
      <c r="A4867" s="284">
        <f t="shared" si="1066"/>
        <v>4799</v>
      </c>
      <c r="B4867" s="285">
        <v>-1.503006297164059</v>
      </c>
      <c r="C4867" s="285">
        <v>2.3781735375807278</v>
      </c>
      <c r="D4867" s="285">
        <v>1.8280238289484196</v>
      </c>
      <c r="E4867" s="285">
        <v>-3.1170485131378838</v>
      </c>
    </row>
    <row r="4868" spans="1:5">
      <c r="A4868" s="284">
        <f t="shared" si="1066"/>
        <v>4800</v>
      </c>
      <c r="B4868" s="285">
        <v>0.51896203944959529</v>
      </c>
      <c r="C4868" s="285">
        <v>2.7167276858854099</v>
      </c>
      <c r="D4868" s="285">
        <v>0.18384075773051189</v>
      </c>
      <c r="E4868" s="285">
        <v>-3.3442512249313872</v>
      </c>
    </row>
    <row r="4869" spans="1:5">
      <c r="A4869" s="284">
        <f t="shared" si="1066"/>
        <v>4801</v>
      </c>
      <c r="B4869" s="285">
        <v>-8.3017177798952679E-2</v>
      </c>
      <c r="C4869" s="285">
        <v>1.8442198446305484</v>
      </c>
      <c r="D4869" s="285">
        <v>0.98154500895592844</v>
      </c>
      <c r="E4869" s="285">
        <v>-10.638216399905478</v>
      </c>
    </row>
    <row r="4870" spans="1:5">
      <c r="A4870" s="284">
        <f t="shared" si="1066"/>
        <v>4802</v>
      </c>
      <c r="B4870" s="285">
        <v>2.6754999867879503</v>
      </c>
      <c r="C4870" s="285">
        <v>2.7474292900351003</v>
      </c>
      <c r="D4870" s="285">
        <v>1.4398755363678311</v>
      </c>
      <c r="E4870" s="285">
        <v>12.558436999980326</v>
      </c>
    </row>
    <row r="4871" spans="1:5">
      <c r="A4871" s="284">
        <f t="shared" ref="A4871:A4934" si="1067">A4870+1</f>
        <v>4803</v>
      </c>
      <c r="B4871" s="285">
        <v>0.93258765928027809</v>
      </c>
      <c r="C4871" s="285">
        <v>2.3197376784820265</v>
      </c>
      <c r="D4871" s="285">
        <v>0.19757598227065964</v>
      </c>
      <c r="E4871" s="285">
        <v>-11.803641120466308</v>
      </c>
    </row>
    <row r="4872" spans="1:5">
      <c r="A4872" s="284">
        <f t="shared" si="1067"/>
        <v>4804</v>
      </c>
      <c r="B4872" s="285">
        <v>-0.16097082634550225</v>
      </c>
      <c r="C4872" s="285">
        <v>2.8113071454560217</v>
      </c>
      <c r="D4872" s="285">
        <v>-0.96740169565451639</v>
      </c>
      <c r="E4872" s="285">
        <v>2.3082555944648688</v>
      </c>
    </row>
    <row r="4873" spans="1:5">
      <c r="A4873" s="284">
        <f t="shared" si="1067"/>
        <v>4805</v>
      </c>
      <c r="B4873" s="285">
        <v>-1.4518905852685784</v>
      </c>
      <c r="C4873" s="285">
        <v>2.4845097585367273</v>
      </c>
      <c r="D4873" s="285">
        <v>-1.140977560504957</v>
      </c>
      <c r="E4873" s="285">
        <v>4.3431229574953019</v>
      </c>
    </row>
    <row r="4874" spans="1:5">
      <c r="A4874" s="284">
        <f t="shared" si="1067"/>
        <v>4806</v>
      </c>
      <c r="B4874" s="285">
        <v>-2.5802980068285475</v>
      </c>
      <c r="C4874" s="285">
        <v>2.2483267343000692</v>
      </c>
      <c r="D4874" s="285">
        <v>1.1055161758478882</v>
      </c>
      <c r="E4874" s="285">
        <v>-2.4762734165000095</v>
      </c>
    </row>
    <row r="4875" spans="1:5">
      <c r="A4875" s="284">
        <f t="shared" si="1067"/>
        <v>4807</v>
      </c>
      <c r="B4875" s="285">
        <v>2.849206230794592</v>
      </c>
      <c r="C4875" s="285">
        <v>2.9768842797232891</v>
      </c>
      <c r="D4875" s="285">
        <v>0.91001479132322649</v>
      </c>
      <c r="E4875" s="285">
        <v>1.7232540664233356</v>
      </c>
    </row>
    <row r="4876" spans="1:5">
      <c r="A4876" s="284">
        <f t="shared" si="1067"/>
        <v>4808</v>
      </c>
      <c r="B4876" s="285">
        <v>2.7978298044777872</v>
      </c>
      <c r="C4876" s="285">
        <v>3.4829445516908857</v>
      </c>
      <c r="D4876" s="285">
        <v>1.7924345103016761</v>
      </c>
      <c r="E4876" s="285">
        <v>4.4675148910386415</v>
      </c>
    </row>
    <row r="4877" spans="1:5">
      <c r="A4877" s="284">
        <f t="shared" si="1067"/>
        <v>4809</v>
      </c>
      <c r="B4877" s="285">
        <v>-1.3973290612726759</v>
      </c>
      <c r="C4877" s="285">
        <v>2.0416295767399544</v>
      </c>
      <c r="D4877" s="285">
        <v>2.3483689117031594</v>
      </c>
      <c r="E4877" s="285">
        <v>-16.433930190110946</v>
      </c>
    </row>
    <row r="4878" spans="1:5">
      <c r="A4878" s="284">
        <f t="shared" si="1067"/>
        <v>4810</v>
      </c>
      <c r="B4878" s="285">
        <v>-4.0241290902662268</v>
      </c>
      <c r="C4878" s="285">
        <v>2.6427512466762462</v>
      </c>
      <c r="D4878" s="285">
        <v>-2.0952240541461276E-2</v>
      </c>
      <c r="E4878" s="285">
        <v>-3.1843093604594892</v>
      </c>
    </row>
    <row r="4879" spans="1:5">
      <c r="A4879" s="284">
        <f t="shared" si="1067"/>
        <v>4811</v>
      </c>
      <c r="B4879" s="285">
        <v>-4.4500028080462117</v>
      </c>
      <c r="C4879" s="285">
        <v>2.509421490307838</v>
      </c>
      <c r="D4879" s="285">
        <v>0.43216106792742093</v>
      </c>
      <c r="E4879" s="285">
        <v>0.43255089804207492</v>
      </c>
    </row>
    <row r="4880" spans="1:5">
      <c r="A4880" s="284">
        <f t="shared" si="1067"/>
        <v>4812</v>
      </c>
      <c r="B4880" s="285">
        <v>-0.35961806231754401</v>
      </c>
      <c r="C4880" s="285">
        <v>3.3859935755482988</v>
      </c>
      <c r="D4880" s="285">
        <v>-0.43812044670726102</v>
      </c>
      <c r="E4880" s="285">
        <v>12.177161440145882</v>
      </c>
    </row>
    <row r="4881" spans="1:5">
      <c r="A4881" s="284">
        <f t="shared" si="1067"/>
        <v>4813</v>
      </c>
      <c r="B4881" s="285">
        <v>-4.8413684188237349</v>
      </c>
      <c r="C4881" s="285">
        <v>1.8323209287051432</v>
      </c>
      <c r="D4881" s="285">
        <v>1.576937106023834</v>
      </c>
      <c r="E4881" s="285">
        <v>-13.332656005478487</v>
      </c>
    </row>
    <row r="4882" spans="1:5">
      <c r="A4882" s="284">
        <f t="shared" si="1067"/>
        <v>4814</v>
      </c>
      <c r="B4882" s="285">
        <v>1.2612844934886291</v>
      </c>
      <c r="C4882" s="285">
        <v>2.9131589520792454</v>
      </c>
      <c r="D4882" s="285">
        <v>1.3154231688238531</v>
      </c>
      <c r="E4882" s="285">
        <v>-3.9513335001417107</v>
      </c>
    </row>
    <row r="4883" spans="1:5">
      <c r="A4883" s="284">
        <f t="shared" si="1067"/>
        <v>4815</v>
      </c>
      <c r="B4883" s="285">
        <v>1.1612008118385868</v>
      </c>
      <c r="C4883" s="285">
        <v>2.4771898476790337</v>
      </c>
      <c r="D4883" s="285">
        <v>0.89530429338842621</v>
      </c>
      <c r="E4883" s="285">
        <v>-4.4723416046768385</v>
      </c>
    </row>
    <row r="4884" spans="1:5">
      <c r="A4884" s="284">
        <f t="shared" si="1067"/>
        <v>4816</v>
      </c>
      <c r="B4884" s="285">
        <v>-1.8463324925415792</v>
      </c>
      <c r="C4884" s="285">
        <v>2.0062019411800476</v>
      </c>
      <c r="D4884" s="285">
        <v>0.7592468517048967</v>
      </c>
      <c r="E4884" s="285">
        <v>-5.629565761163521</v>
      </c>
    </row>
    <row r="4885" spans="1:5">
      <c r="A4885" s="284">
        <f t="shared" si="1067"/>
        <v>4817</v>
      </c>
      <c r="B4885" s="285">
        <v>2.7422687152888345</v>
      </c>
      <c r="C4885" s="285">
        <v>2.9518647229246202</v>
      </c>
      <c r="D4885" s="285">
        <v>0.85740759311908321</v>
      </c>
      <c r="E4885" s="285">
        <v>10.465756655781659</v>
      </c>
    </row>
    <row r="4886" spans="1:5">
      <c r="A4886" s="284">
        <f t="shared" si="1067"/>
        <v>4818</v>
      </c>
      <c r="B4886" s="285">
        <v>-1.1837254446981131</v>
      </c>
      <c r="C4886" s="285">
        <v>2.8121072628630488</v>
      </c>
      <c r="D4886" s="285">
        <v>0.52067168492935667</v>
      </c>
      <c r="E4886" s="285">
        <v>3.4459921437904124</v>
      </c>
    </row>
    <row r="4887" spans="1:5">
      <c r="A4887" s="284">
        <f t="shared" si="1067"/>
        <v>4819</v>
      </c>
      <c r="B4887" s="285">
        <v>3.110875281452455E-3</v>
      </c>
      <c r="C4887" s="285">
        <v>2.977689502616454</v>
      </c>
      <c r="D4887" s="285">
        <v>1.4505711234253131</v>
      </c>
      <c r="E4887" s="285">
        <v>15.442538112129487</v>
      </c>
    </row>
    <row r="4888" spans="1:5">
      <c r="A4888" s="284">
        <f t="shared" si="1067"/>
        <v>4820</v>
      </c>
      <c r="B4888" s="285">
        <v>-1.1905108755680516</v>
      </c>
      <c r="C4888" s="285">
        <v>3.1542459033596102</v>
      </c>
      <c r="D4888" s="285">
        <v>-0.25244144286931824</v>
      </c>
      <c r="E4888" s="285">
        <v>6.4941525535322313</v>
      </c>
    </row>
    <row r="4889" spans="1:5">
      <c r="A4889" s="284">
        <f t="shared" si="1067"/>
        <v>4821</v>
      </c>
      <c r="B4889" s="285">
        <v>0.53092768130224921</v>
      </c>
      <c r="C4889" s="285">
        <v>3.0624245210467387</v>
      </c>
      <c r="D4889" s="285">
        <v>-3.7684861774677225E-2</v>
      </c>
      <c r="E4889" s="285">
        <v>-2.1693689422942888</v>
      </c>
    </row>
    <row r="4890" spans="1:5">
      <c r="A4890" s="284">
        <f t="shared" si="1067"/>
        <v>4822</v>
      </c>
      <c r="B4890" s="285">
        <v>1.3279291333096963</v>
      </c>
      <c r="C4890" s="285">
        <v>2.6395129155870665</v>
      </c>
      <c r="D4890" s="285">
        <v>0.53450468642125371</v>
      </c>
      <c r="E4890" s="285">
        <v>1.0854965234416514</v>
      </c>
    </row>
    <row r="4891" spans="1:5">
      <c r="A4891" s="284">
        <f t="shared" si="1067"/>
        <v>4823</v>
      </c>
      <c r="B4891" s="285">
        <v>-0.6357606109720062</v>
      </c>
      <c r="C4891" s="285">
        <v>2.3227745489011955</v>
      </c>
      <c r="D4891" s="285">
        <v>1.0232300006547719</v>
      </c>
      <c r="E4891" s="285">
        <v>1.1880078008591357</v>
      </c>
    </row>
    <row r="4892" spans="1:5">
      <c r="A4892" s="284">
        <f t="shared" si="1067"/>
        <v>4824</v>
      </c>
      <c r="B4892" s="285">
        <v>-1.8152805547721984</v>
      </c>
      <c r="C4892" s="285">
        <v>2.560875619954992</v>
      </c>
      <c r="D4892" s="285">
        <v>-0.5672974467601164</v>
      </c>
      <c r="E4892" s="285">
        <v>-3.8218976201053594</v>
      </c>
    </row>
    <row r="4893" spans="1:5">
      <c r="A4893" s="284">
        <f t="shared" si="1067"/>
        <v>4825</v>
      </c>
      <c r="B4893" s="285">
        <v>-2.863699079824471</v>
      </c>
      <c r="C4893" s="285">
        <v>2.7268947771623604</v>
      </c>
      <c r="D4893" s="285">
        <v>-0.1309692758830665</v>
      </c>
      <c r="E4893" s="285">
        <v>1.6195788489015226</v>
      </c>
    </row>
    <row r="4894" spans="1:5">
      <c r="A4894" s="284">
        <f t="shared" si="1067"/>
        <v>4826</v>
      </c>
      <c r="B4894" s="285">
        <v>0.99430596018252182</v>
      </c>
      <c r="C4894" s="285">
        <v>2.4593819832752208</v>
      </c>
      <c r="D4894" s="285">
        <v>2.3704357496362345</v>
      </c>
      <c r="E4894" s="285">
        <v>-6.7398686590637427</v>
      </c>
    </row>
    <row r="4895" spans="1:5">
      <c r="A4895" s="284">
        <f t="shared" si="1067"/>
        <v>4827</v>
      </c>
      <c r="B4895" s="285">
        <v>1.4588455186672957</v>
      </c>
      <c r="C4895" s="285">
        <v>2.0915230959631406</v>
      </c>
      <c r="D4895" s="285">
        <v>1.3398329666057913</v>
      </c>
      <c r="E4895" s="285">
        <v>-16.399790371339037</v>
      </c>
    </row>
    <row r="4896" spans="1:5">
      <c r="A4896" s="284">
        <f t="shared" si="1067"/>
        <v>4828</v>
      </c>
      <c r="B4896" s="285">
        <v>-0.86292413880879359</v>
      </c>
      <c r="C4896" s="285">
        <v>2.6755479232021018</v>
      </c>
      <c r="D4896" s="285">
        <v>1.5081158602855789</v>
      </c>
      <c r="E4896" s="285">
        <v>8.8317038762310922</v>
      </c>
    </row>
    <row r="4897" spans="1:5">
      <c r="A4897" s="284">
        <f t="shared" si="1067"/>
        <v>4829</v>
      </c>
      <c r="B4897" s="285">
        <v>3.3602001650267215</v>
      </c>
      <c r="C4897" s="285">
        <v>2.4761943776147879</v>
      </c>
      <c r="D4897" s="285">
        <v>2.0399793938437787</v>
      </c>
      <c r="E4897" s="285">
        <v>-5.5522747270397321</v>
      </c>
    </row>
    <row r="4898" spans="1:5">
      <c r="A4898" s="284">
        <f t="shared" si="1067"/>
        <v>4830</v>
      </c>
      <c r="B4898" s="285">
        <v>1.3520074077215496</v>
      </c>
      <c r="C4898" s="285">
        <v>2.6001032649809228</v>
      </c>
      <c r="D4898" s="285">
        <v>0.75504691035334404</v>
      </c>
      <c r="E4898" s="285">
        <v>-13.451668329014693</v>
      </c>
    </row>
    <row r="4899" spans="1:5">
      <c r="A4899" s="284">
        <f t="shared" si="1067"/>
        <v>4831</v>
      </c>
      <c r="B4899" s="285">
        <v>-2.8668895765072087</v>
      </c>
      <c r="C4899" s="285">
        <v>2.3883690425069135</v>
      </c>
      <c r="D4899" s="285">
        <v>-2.166972878334827</v>
      </c>
      <c r="E4899" s="285">
        <v>-2.4415558103901085</v>
      </c>
    </row>
    <row r="4900" spans="1:5">
      <c r="A4900" s="284">
        <f t="shared" si="1067"/>
        <v>4832</v>
      </c>
      <c r="B4900" s="285">
        <v>-0.40254934161862166</v>
      </c>
      <c r="C4900" s="285">
        <v>2.1354531828766707</v>
      </c>
      <c r="D4900" s="285">
        <v>2.2141963094557804</v>
      </c>
      <c r="E4900" s="285">
        <v>-6.7152812693210873</v>
      </c>
    </row>
    <row r="4901" spans="1:5">
      <c r="A4901" s="284">
        <f t="shared" si="1067"/>
        <v>4833</v>
      </c>
      <c r="B4901" s="285">
        <v>-3.7946657633930889</v>
      </c>
      <c r="C4901" s="285">
        <v>2.6185308723555152</v>
      </c>
      <c r="D4901" s="285">
        <v>1.7680589606973904</v>
      </c>
      <c r="E4901" s="285">
        <v>-12.029635441426059</v>
      </c>
    </row>
    <row r="4902" spans="1:5">
      <c r="A4902" s="284">
        <f t="shared" si="1067"/>
        <v>4834</v>
      </c>
      <c r="B4902" s="285">
        <v>-0.51931521547463488</v>
      </c>
      <c r="C4902" s="285">
        <v>2.263223933426513</v>
      </c>
      <c r="D4902" s="285">
        <v>2.2130636274901638</v>
      </c>
      <c r="E4902" s="285">
        <v>-22.559840342788164</v>
      </c>
    </row>
    <row r="4903" spans="1:5">
      <c r="A4903" s="284">
        <f t="shared" si="1067"/>
        <v>4835</v>
      </c>
      <c r="B4903" s="285">
        <v>3.0454311476367009</v>
      </c>
      <c r="C4903" s="285">
        <v>2.8891198505326701</v>
      </c>
      <c r="D4903" s="285">
        <v>0.99088397284777274</v>
      </c>
      <c r="E4903" s="285">
        <v>13.594003916309315</v>
      </c>
    </row>
    <row r="4904" spans="1:5">
      <c r="A4904" s="284">
        <f t="shared" si="1067"/>
        <v>4836</v>
      </c>
      <c r="B4904" s="285">
        <v>-1.4666383474988116</v>
      </c>
      <c r="C4904" s="285">
        <v>2.1676960035863502</v>
      </c>
      <c r="D4904" s="285">
        <v>0.69587401183760444</v>
      </c>
      <c r="E4904" s="285">
        <v>-11.710022120061851</v>
      </c>
    </row>
    <row r="4905" spans="1:5">
      <c r="A4905" s="284">
        <f t="shared" si="1067"/>
        <v>4837</v>
      </c>
      <c r="B4905" s="285">
        <v>-2.360027938940688</v>
      </c>
      <c r="C4905" s="285">
        <v>2.3324475906627176</v>
      </c>
      <c r="D4905" s="285">
        <v>2.92240998650127</v>
      </c>
      <c r="E4905" s="285">
        <v>-4.5622521017449031</v>
      </c>
    </row>
    <row r="4906" spans="1:5">
      <c r="A4906" s="284">
        <f t="shared" si="1067"/>
        <v>4838</v>
      </c>
      <c r="B4906" s="285">
        <v>-2.7098560813746735</v>
      </c>
      <c r="C4906" s="285">
        <v>2.6430302783400679</v>
      </c>
      <c r="D4906" s="285">
        <v>1.5584360442185623</v>
      </c>
      <c r="E4906" s="285">
        <v>-1.6506408284092888</v>
      </c>
    </row>
    <row r="4907" spans="1:5">
      <c r="A4907" s="284">
        <f t="shared" si="1067"/>
        <v>4839</v>
      </c>
      <c r="B4907" s="285">
        <v>-1.9881291719167573</v>
      </c>
      <c r="C4907" s="285">
        <v>1.5001974277381542</v>
      </c>
      <c r="D4907" s="285">
        <v>2.2549579664161365</v>
      </c>
      <c r="E4907" s="285">
        <v>-18.571852049532453</v>
      </c>
    </row>
    <row r="4908" spans="1:5">
      <c r="A4908" s="284">
        <f t="shared" si="1067"/>
        <v>4840</v>
      </c>
      <c r="B4908" s="285">
        <v>-0.66170288380757403</v>
      </c>
      <c r="C4908" s="285">
        <v>2.1485088484047856</v>
      </c>
      <c r="D4908" s="285">
        <v>2.835092293204224</v>
      </c>
      <c r="E4908" s="285">
        <v>-21.977892652731679</v>
      </c>
    </row>
    <row r="4909" spans="1:5">
      <c r="A4909" s="284">
        <f t="shared" si="1067"/>
        <v>4841</v>
      </c>
      <c r="B4909" s="285">
        <v>1.1984259366147707</v>
      </c>
      <c r="C4909" s="285">
        <v>2.4513687017685521</v>
      </c>
      <c r="D4909" s="285">
        <v>1.9014845665710729</v>
      </c>
      <c r="E4909" s="285">
        <v>5.5905697473371596E-2</v>
      </c>
    </row>
    <row r="4910" spans="1:5">
      <c r="A4910" s="284">
        <f t="shared" si="1067"/>
        <v>4842</v>
      </c>
      <c r="B4910" s="285">
        <v>-2.3269314231322307</v>
      </c>
      <c r="C4910" s="285">
        <v>2.7364052363630709</v>
      </c>
      <c r="D4910" s="285">
        <v>3.1801363405707415</v>
      </c>
      <c r="E4910" s="285">
        <v>-1.2310739320774804</v>
      </c>
    </row>
    <row r="4911" spans="1:5">
      <c r="A4911" s="284">
        <f t="shared" si="1067"/>
        <v>4843</v>
      </c>
      <c r="B4911" s="285">
        <v>2.2124809917890742</v>
      </c>
      <c r="C4911" s="285">
        <v>2.3506710359202514</v>
      </c>
      <c r="D4911" s="285">
        <v>3.261686597145018</v>
      </c>
      <c r="E4911" s="285">
        <v>-12.531773328278355</v>
      </c>
    </row>
    <row r="4912" spans="1:5">
      <c r="A4912" s="284">
        <f t="shared" si="1067"/>
        <v>4844</v>
      </c>
      <c r="B4912" s="285">
        <v>-0.50973328798272333</v>
      </c>
      <c r="C4912" s="285">
        <v>1.9183119368635873</v>
      </c>
      <c r="D4912" s="285">
        <v>2.8185861268818062</v>
      </c>
      <c r="E4912" s="285">
        <v>-24.252961328314765</v>
      </c>
    </row>
    <row r="4913" spans="1:5">
      <c r="A4913" s="284">
        <f t="shared" si="1067"/>
        <v>4845</v>
      </c>
      <c r="B4913" s="285">
        <v>-1.9939479232008119</v>
      </c>
      <c r="C4913" s="285">
        <v>1.8626034485887357</v>
      </c>
      <c r="D4913" s="285">
        <v>1.1544977187991059</v>
      </c>
      <c r="E4913" s="285">
        <v>-16.254906399810586</v>
      </c>
    </row>
    <row r="4914" spans="1:5">
      <c r="A4914" s="284">
        <f t="shared" si="1067"/>
        <v>4846</v>
      </c>
      <c r="B4914" s="285">
        <v>-0.81260621580831593</v>
      </c>
      <c r="C4914" s="285">
        <v>2.5399808357825706</v>
      </c>
      <c r="D4914" s="285">
        <v>1.1688349088495529</v>
      </c>
      <c r="E4914" s="285">
        <v>-4.3305598622214792</v>
      </c>
    </row>
    <row r="4915" spans="1:5">
      <c r="A4915" s="284">
        <f t="shared" si="1067"/>
        <v>4847</v>
      </c>
      <c r="B4915" s="285">
        <v>-0.56893541237104051</v>
      </c>
      <c r="C4915" s="285">
        <v>2.5714763541203038</v>
      </c>
      <c r="D4915" s="285">
        <v>0.19433632482237728</v>
      </c>
      <c r="E4915" s="285">
        <v>-4.6433933201379745</v>
      </c>
    </row>
    <row r="4916" spans="1:5">
      <c r="A4916" s="284">
        <f t="shared" si="1067"/>
        <v>4848</v>
      </c>
      <c r="B4916" s="285">
        <v>7.5240902163212456E-2</v>
      </c>
      <c r="C4916" s="285">
        <v>2.4191995236700392</v>
      </c>
      <c r="D4916" s="285">
        <v>2.7909919903094651</v>
      </c>
      <c r="E4916" s="285">
        <v>-8.879952699288264</v>
      </c>
    </row>
    <row r="4917" spans="1:5">
      <c r="A4917" s="284">
        <f t="shared" si="1067"/>
        <v>4849</v>
      </c>
      <c r="B4917" s="285">
        <v>-1.0013436418959312</v>
      </c>
      <c r="C4917" s="285">
        <v>2.0376340533846471</v>
      </c>
      <c r="D4917" s="285">
        <v>0.6823157838740328</v>
      </c>
      <c r="E4917" s="285">
        <v>-8.272969687780833</v>
      </c>
    </row>
    <row r="4918" spans="1:5">
      <c r="A4918" s="284">
        <f t="shared" si="1067"/>
        <v>4850</v>
      </c>
      <c r="B4918" s="285">
        <v>0.23105527632759007</v>
      </c>
      <c r="C4918" s="285">
        <v>2.8993447452408501</v>
      </c>
      <c r="D4918" s="285">
        <v>1.8451749525617314</v>
      </c>
      <c r="E4918" s="285">
        <v>-0.35277945190916293</v>
      </c>
    </row>
    <row r="4919" spans="1:5">
      <c r="A4919" s="284">
        <f t="shared" si="1067"/>
        <v>4851</v>
      </c>
      <c r="B4919" s="285">
        <v>2.0102271907441884</v>
      </c>
      <c r="C4919" s="285">
        <v>2.9296576124638269</v>
      </c>
      <c r="D4919" s="285">
        <v>0.92435402030779246</v>
      </c>
      <c r="E4919" s="285">
        <v>2.0114125603305255</v>
      </c>
    </row>
    <row r="4920" spans="1:5">
      <c r="A4920" s="284">
        <f t="shared" si="1067"/>
        <v>4852</v>
      </c>
      <c r="B4920" s="285">
        <v>1.100396752906132</v>
      </c>
      <c r="C4920" s="285">
        <v>2.3724328753406065</v>
      </c>
      <c r="D4920" s="285">
        <v>0.59923439424297809</v>
      </c>
      <c r="E4920" s="285">
        <v>-3.1964710704618438</v>
      </c>
    </row>
    <row r="4921" spans="1:5">
      <c r="A4921" s="284">
        <f t="shared" si="1067"/>
        <v>4853</v>
      </c>
      <c r="B4921" s="285">
        <v>0.25564320877070495</v>
      </c>
      <c r="C4921" s="285">
        <v>2.4682603073085496</v>
      </c>
      <c r="D4921" s="285">
        <v>-1.4164033678503465</v>
      </c>
      <c r="E4921" s="285">
        <v>-2.2166071294708782</v>
      </c>
    </row>
    <row r="4922" spans="1:5">
      <c r="A4922" s="284">
        <f t="shared" si="1067"/>
        <v>4854</v>
      </c>
      <c r="B4922" s="285">
        <v>-2.9523116483718814</v>
      </c>
      <c r="C4922" s="285">
        <v>2.3701047855244854</v>
      </c>
      <c r="D4922" s="285">
        <v>1.6431276445939638</v>
      </c>
      <c r="E4922" s="285">
        <v>-7.7733858302034964</v>
      </c>
    </row>
    <row r="4923" spans="1:5">
      <c r="A4923" s="284">
        <f t="shared" si="1067"/>
        <v>4855</v>
      </c>
      <c r="B4923" s="285">
        <v>-0.2438438305837291</v>
      </c>
      <c r="C4923" s="285">
        <v>3.3370071568938688</v>
      </c>
      <c r="D4923" s="285">
        <v>0.52293428732568248</v>
      </c>
      <c r="E4923" s="285">
        <v>1.5552702567935079</v>
      </c>
    </row>
    <row r="4924" spans="1:5">
      <c r="A4924" s="284">
        <f t="shared" si="1067"/>
        <v>4856</v>
      </c>
      <c r="B4924" s="285">
        <v>-1.4172992973997312</v>
      </c>
      <c r="C4924" s="285">
        <v>1.3346072517300458</v>
      </c>
      <c r="D4924" s="285">
        <v>3.4257908918727571</v>
      </c>
      <c r="E4924" s="285">
        <v>-32.512882161033986</v>
      </c>
    </row>
    <row r="4925" spans="1:5">
      <c r="A4925" s="284">
        <f t="shared" si="1067"/>
        <v>4857</v>
      </c>
      <c r="B4925" s="285">
        <v>2.2545887094430332</v>
      </c>
      <c r="C4925" s="285">
        <v>2.0711932055335929</v>
      </c>
      <c r="D4925" s="285">
        <v>1.5131320061539479</v>
      </c>
      <c r="E4925" s="285">
        <v>-11.668531007623628</v>
      </c>
    </row>
    <row r="4926" spans="1:5">
      <c r="A4926" s="284">
        <f t="shared" si="1067"/>
        <v>4858</v>
      </c>
      <c r="B4926" s="285">
        <v>3.4855772079549353E-2</v>
      </c>
      <c r="C4926" s="285">
        <v>2.3181099656973636</v>
      </c>
      <c r="D4926" s="285">
        <v>0.54189783877288367</v>
      </c>
      <c r="E4926" s="285">
        <v>-5.1257887280431014</v>
      </c>
    </row>
    <row r="4927" spans="1:5">
      <c r="A4927" s="284">
        <f t="shared" si="1067"/>
        <v>4859</v>
      </c>
      <c r="B4927" s="285">
        <v>0.80269051705317074</v>
      </c>
      <c r="C4927" s="285">
        <v>2.7748197372456849</v>
      </c>
      <c r="D4927" s="285">
        <v>2.5663693766228439</v>
      </c>
      <c r="E4927" s="285">
        <v>-6.2818745829057541</v>
      </c>
    </row>
    <row r="4928" spans="1:5">
      <c r="A4928" s="284">
        <f t="shared" si="1067"/>
        <v>4860</v>
      </c>
      <c r="B4928" s="285">
        <v>1.4943686033153969</v>
      </c>
      <c r="C4928" s="285">
        <v>3.1418135131275235</v>
      </c>
      <c r="D4928" s="285">
        <v>1.5929600571479994</v>
      </c>
      <c r="E4928" s="285">
        <v>2.7460541900856517</v>
      </c>
    </row>
    <row r="4929" spans="1:5">
      <c r="A4929" s="284">
        <f t="shared" si="1067"/>
        <v>4861</v>
      </c>
      <c r="B4929" s="285">
        <v>-2.9502149301033828E-2</v>
      </c>
      <c r="C4929" s="285">
        <v>2.1993739347570629</v>
      </c>
      <c r="D4929" s="285">
        <v>2.3493256432405221</v>
      </c>
      <c r="E4929" s="285">
        <v>-8.7010838528057874</v>
      </c>
    </row>
    <row r="4930" spans="1:5">
      <c r="A4930" s="284">
        <f t="shared" si="1067"/>
        <v>4862</v>
      </c>
      <c r="B4930" s="285">
        <v>0.29527503571942909</v>
      </c>
      <c r="C4930" s="285">
        <v>2.002754447234131</v>
      </c>
      <c r="D4930" s="285">
        <v>1.6093648000455953</v>
      </c>
      <c r="E4930" s="285">
        <v>-15.353273395591888</v>
      </c>
    </row>
    <row r="4931" spans="1:5">
      <c r="A4931" s="284">
        <f t="shared" si="1067"/>
        <v>4863</v>
      </c>
      <c r="B4931" s="285">
        <v>-0.71897158929343741</v>
      </c>
      <c r="C4931" s="285">
        <v>2.2787361017915546</v>
      </c>
      <c r="D4931" s="285">
        <v>3.0528906862350205</v>
      </c>
      <c r="E4931" s="285">
        <v>0.37641856493693959</v>
      </c>
    </row>
    <row r="4932" spans="1:5">
      <c r="A4932" s="284">
        <f t="shared" si="1067"/>
        <v>4864</v>
      </c>
      <c r="B4932" s="285">
        <v>-2.8051554737851125</v>
      </c>
      <c r="C4932" s="285">
        <v>2.8384259360367294</v>
      </c>
      <c r="D4932" s="285">
        <v>1.6042409562386757</v>
      </c>
      <c r="E4932" s="285">
        <v>6.594733865903649</v>
      </c>
    </row>
    <row r="4933" spans="1:5">
      <c r="A4933" s="284">
        <f t="shared" si="1067"/>
        <v>4865</v>
      </c>
      <c r="B4933" s="285">
        <v>0.13597637220932571</v>
      </c>
      <c r="C4933" s="285">
        <v>2.4618695401565858</v>
      </c>
      <c r="D4933" s="285">
        <v>0.71464174541481751</v>
      </c>
      <c r="E4933" s="285">
        <v>-3.8814995511137957</v>
      </c>
    </row>
    <row r="4934" spans="1:5">
      <c r="A4934" s="284">
        <f t="shared" si="1067"/>
        <v>4866</v>
      </c>
      <c r="B4934" s="285">
        <v>2.6806399504660776</v>
      </c>
      <c r="C4934" s="285">
        <v>2.4208766769490415</v>
      </c>
      <c r="D4934" s="285">
        <v>0.89143530331160337</v>
      </c>
      <c r="E4934" s="285">
        <v>-14.569613976776923</v>
      </c>
    </row>
    <row r="4935" spans="1:5">
      <c r="A4935" s="284">
        <f t="shared" ref="A4935:A4998" si="1068">A4934+1</f>
        <v>4867</v>
      </c>
      <c r="B4935" s="285">
        <v>-0.56550060951079029</v>
      </c>
      <c r="C4935" s="285">
        <v>2.4819298299747006</v>
      </c>
      <c r="D4935" s="285">
        <v>-0.27086607345653402</v>
      </c>
      <c r="E4935" s="285">
        <v>-1.2368097877174322</v>
      </c>
    </row>
    <row r="4936" spans="1:5">
      <c r="A4936" s="284">
        <f t="shared" si="1068"/>
        <v>4868</v>
      </c>
      <c r="B4936" s="285">
        <v>-1.9136972375086214</v>
      </c>
      <c r="C4936" s="285">
        <v>2.1061723707767039</v>
      </c>
      <c r="D4936" s="285">
        <v>1.4419133160358861</v>
      </c>
      <c r="E4936" s="285">
        <v>-17.752368207150607</v>
      </c>
    </row>
    <row r="4937" spans="1:5">
      <c r="A4937" s="284">
        <f t="shared" si="1068"/>
        <v>4869</v>
      </c>
      <c r="B4937" s="285">
        <v>2.7486405146541197</v>
      </c>
      <c r="C4937" s="285">
        <v>2.8263629275020161</v>
      </c>
      <c r="D4937" s="285">
        <v>1.3465853039512896</v>
      </c>
      <c r="E4937" s="285">
        <v>-4.4903048823596841</v>
      </c>
    </row>
    <row r="4938" spans="1:5">
      <c r="A4938" s="284">
        <f t="shared" si="1068"/>
        <v>4870</v>
      </c>
      <c r="B4938" s="285">
        <v>-2.9720132645587358</v>
      </c>
      <c r="C4938" s="285">
        <v>2.0911914023722136</v>
      </c>
      <c r="D4938" s="285">
        <v>-1.1679417714344451</v>
      </c>
      <c r="E4938" s="285">
        <v>-11.963615186349015</v>
      </c>
    </row>
    <row r="4939" spans="1:5">
      <c r="A4939" s="284">
        <f t="shared" si="1068"/>
        <v>4871</v>
      </c>
      <c r="B4939" s="285">
        <v>1.5165830900468467</v>
      </c>
      <c r="C4939" s="285">
        <v>2.789246697774856</v>
      </c>
      <c r="D4939" s="285">
        <v>2.2070218061499398</v>
      </c>
      <c r="E4939" s="285">
        <v>2.147998598730688</v>
      </c>
    </row>
    <row r="4940" spans="1:5">
      <c r="A4940" s="284">
        <f t="shared" si="1068"/>
        <v>4872</v>
      </c>
      <c r="B4940" s="285">
        <v>-0.55559485642369022</v>
      </c>
      <c r="C4940" s="285">
        <v>2.2326505729049466</v>
      </c>
      <c r="D4940" s="285">
        <v>2.3075387772082658</v>
      </c>
      <c r="E4940" s="285">
        <v>-3.9827594978726739</v>
      </c>
    </row>
    <row r="4941" spans="1:5">
      <c r="A4941" s="284">
        <f t="shared" si="1068"/>
        <v>4873</v>
      </c>
      <c r="B4941" s="285">
        <v>1.3138165880482655</v>
      </c>
      <c r="C4941" s="285">
        <v>2.6849204983910671</v>
      </c>
      <c r="D4941" s="285">
        <v>0.56551211715960925</v>
      </c>
      <c r="E4941" s="285">
        <v>8.0318730453522349</v>
      </c>
    </row>
    <row r="4942" spans="1:5">
      <c r="A4942" s="284">
        <f t="shared" si="1068"/>
        <v>4874</v>
      </c>
      <c r="B4942" s="285">
        <v>0.48338972782789247</v>
      </c>
      <c r="C4942" s="285">
        <v>2.4055056851636261</v>
      </c>
      <c r="D4942" s="285">
        <v>1.9529404115259839</v>
      </c>
      <c r="E4942" s="285">
        <v>-6.3545154900580414</v>
      </c>
    </row>
    <row r="4943" spans="1:5">
      <c r="A4943" s="284">
        <f t="shared" si="1068"/>
        <v>4875</v>
      </c>
      <c r="B4943" s="285">
        <v>-1.9502668605756874</v>
      </c>
      <c r="C4943" s="285">
        <v>2.8247508042278771</v>
      </c>
      <c r="D4943" s="285">
        <v>-0.25075236592005234</v>
      </c>
      <c r="E4943" s="285">
        <v>4.1143894775812218</v>
      </c>
    </row>
    <row r="4944" spans="1:5">
      <c r="A4944" s="284">
        <f t="shared" si="1068"/>
        <v>4876</v>
      </c>
      <c r="B4944" s="285">
        <v>-0.67106918138159721</v>
      </c>
      <c r="C4944" s="285">
        <v>2.5814565036498247</v>
      </c>
      <c r="D4944" s="285">
        <v>1.6609693278868332</v>
      </c>
      <c r="E4944" s="285">
        <v>5.1038182364757372</v>
      </c>
    </row>
    <row r="4945" spans="1:5">
      <c r="A4945" s="284">
        <f t="shared" si="1068"/>
        <v>4877</v>
      </c>
      <c r="B4945" s="285">
        <v>3.0794186692544492</v>
      </c>
      <c r="C4945" s="285">
        <v>2.616096423208635</v>
      </c>
      <c r="D4945" s="285">
        <v>3.1637514000399367</v>
      </c>
      <c r="E4945" s="285">
        <v>-4.0489172246569023</v>
      </c>
    </row>
    <row r="4946" spans="1:5">
      <c r="A4946" s="284">
        <f t="shared" si="1068"/>
        <v>4878</v>
      </c>
      <c r="B4946" s="285">
        <v>1.45177308872803</v>
      </c>
      <c r="C4946" s="285">
        <v>1.9853256394471384</v>
      </c>
      <c r="D4946" s="285">
        <v>0.99288879303809563</v>
      </c>
      <c r="E4946" s="285">
        <v>-16.350922061714609</v>
      </c>
    </row>
    <row r="4947" spans="1:5">
      <c r="A4947" s="284">
        <f t="shared" si="1068"/>
        <v>4879</v>
      </c>
      <c r="B4947" s="285">
        <v>1.4648159121670952</v>
      </c>
      <c r="C4947" s="285">
        <v>3.2113716690069465</v>
      </c>
      <c r="D4947" s="285">
        <v>0.89620012054069798</v>
      </c>
      <c r="E4947" s="285">
        <v>6.1070097750463805</v>
      </c>
    </row>
    <row r="4948" spans="1:5">
      <c r="A4948" s="284">
        <f t="shared" si="1068"/>
        <v>4880</v>
      </c>
      <c r="B4948" s="285">
        <v>0.80250972934997156</v>
      </c>
      <c r="C4948" s="285">
        <v>2.63344925434594</v>
      </c>
      <c r="D4948" s="285">
        <v>0.38396096512971423</v>
      </c>
      <c r="E4948" s="285">
        <v>-8.3624007631107116</v>
      </c>
    </row>
    <row r="4949" spans="1:5">
      <c r="A4949" s="284">
        <f t="shared" si="1068"/>
        <v>4881</v>
      </c>
      <c r="B4949" s="285">
        <v>1.7102674780837317</v>
      </c>
      <c r="C4949" s="285">
        <v>2.0963952663277956</v>
      </c>
      <c r="D4949" s="285">
        <v>4.0649034958496166</v>
      </c>
      <c r="E4949" s="285">
        <v>-14.843441513324954</v>
      </c>
    </row>
    <row r="4950" spans="1:5">
      <c r="A4950" s="284">
        <f t="shared" si="1068"/>
        <v>4882</v>
      </c>
      <c r="B4950" s="285">
        <v>0.87256948055033201</v>
      </c>
      <c r="C4950" s="285">
        <v>2.713358852737136</v>
      </c>
      <c r="D4950" s="285">
        <v>3.8361668676244673</v>
      </c>
      <c r="E4950" s="285">
        <v>-4.3977806476937404</v>
      </c>
    </row>
    <row r="4951" spans="1:5">
      <c r="A4951" s="284">
        <f t="shared" si="1068"/>
        <v>4883</v>
      </c>
      <c r="B4951" s="285">
        <v>1.4048460369646294</v>
      </c>
      <c r="C4951" s="285">
        <v>2.9400133165475184</v>
      </c>
      <c r="D4951" s="285">
        <v>2.8523574124482338</v>
      </c>
      <c r="E4951" s="285">
        <v>1.1106082744477495</v>
      </c>
    </row>
    <row r="4952" spans="1:5">
      <c r="A4952" s="284">
        <f t="shared" si="1068"/>
        <v>4884</v>
      </c>
      <c r="B4952" s="285">
        <v>-5.1853910765791484</v>
      </c>
      <c r="C4952" s="285">
        <v>3.6088335655372137</v>
      </c>
      <c r="D4952" s="285">
        <v>-2.4162861321740419</v>
      </c>
      <c r="E4952" s="285">
        <v>26.863203833136982</v>
      </c>
    </row>
    <row r="4953" spans="1:5">
      <c r="A4953" s="284">
        <f t="shared" si="1068"/>
        <v>4885</v>
      </c>
      <c r="B4953" s="285">
        <v>0.40516519271979312</v>
      </c>
      <c r="C4953" s="285">
        <v>2.6924707186434182</v>
      </c>
      <c r="D4953" s="285">
        <v>0.44669260071385353</v>
      </c>
      <c r="E4953" s="285">
        <v>-0.64507216000537326</v>
      </c>
    </row>
    <row r="4954" spans="1:5">
      <c r="A4954" s="284">
        <f t="shared" si="1068"/>
        <v>4886</v>
      </c>
      <c r="B4954" s="285">
        <v>-3.3732492803013172</v>
      </c>
      <c r="C4954" s="285">
        <v>2.2445900468708149</v>
      </c>
      <c r="D4954" s="285">
        <v>1.2695818289479848</v>
      </c>
      <c r="E4954" s="285">
        <v>0.61596320856457876</v>
      </c>
    </row>
    <row r="4955" spans="1:5">
      <c r="A4955" s="284">
        <f t="shared" si="1068"/>
        <v>4887</v>
      </c>
      <c r="B4955" s="285">
        <v>-2.682778895186249</v>
      </c>
      <c r="C4955" s="285">
        <v>2.4248693167216575</v>
      </c>
      <c r="D4955" s="285">
        <v>0.29085309053376529</v>
      </c>
      <c r="E4955" s="285">
        <v>-1.0283871074865885</v>
      </c>
    </row>
    <row r="4956" spans="1:5">
      <c r="A4956" s="284">
        <f t="shared" si="1068"/>
        <v>4888</v>
      </c>
      <c r="B4956" s="285">
        <v>-0.37020857748496927</v>
      </c>
      <c r="C4956" s="285">
        <v>2.2429457750560289</v>
      </c>
      <c r="D4956" s="285">
        <v>0.52670159858739252</v>
      </c>
      <c r="E4956" s="285">
        <v>-10.690437218046229</v>
      </c>
    </row>
    <row r="4957" spans="1:5">
      <c r="A4957" s="284">
        <f t="shared" si="1068"/>
        <v>4889</v>
      </c>
      <c r="B4957" s="285">
        <v>1.0194498596493764</v>
      </c>
      <c r="C4957" s="285">
        <v>2.6748578698230663</v>
      </c>
      <c r="D4957" s="285">
        <v>2.7958130791272122</v>
      </c>
      <c r="E4957" s="285">
        <v>-4.521352854714336</v>
      </c>
    </row>
    <row r="4958" spans="1:5">
      <c r="A4958" s="284">
        <f t="shared" si="1068"/>
        <v>4890</v>
      </c>
      <c r="B4958" s="285">
        <v>-3.5403214235979275</v>
      </c>
      <c r="C4958" s="285">
        <v>2.8331873097251714</v>
      </c>
      <c r="D4958" s="285">
        <v>2.1128721157870487</v>
      </c>
      <c r="E4958" s="285">
        <v>-6.2843540608210677</v>
      </c>
    </row>
    <row r="4959" spans="1:5">
      <c r="A4959" s="284">
        <f t="shared" si="1068"/>
        <v>4891</v>
      </c>
      <c r="B4959" s="285">
        <v>-2.1085940002374395</v>
      </c>
      <c r="C4959" s="285">
        <v>2.0747653120505105</v>
      </c>
      <c r="D4959" s="285">
        <v>-0.35115253227700682</v>
      </c>
      <c r="E4959" s="285">
        <v>-11.042097754544276</v>
      </c>
    </row>
    <row r="4960" spans="1:5">
      <c r="A4960" s="284">
        <f t="shared" si="1068"/>
        <v>4892</v>
      </c>
      <c r="B4960" s="285">
        <v>4.4007550755727225</v>
      </c>
      <c r="C4960" s="285">
        <v>2.6858415747296669</v>
      </c>
      <c r="D4960" s="285">
        <v>0.86922298840159906</v>
      </c>
      <c r="E4960" s="285">
        <v>-8.1963543509320225</v>
      </c>
    </row>
    <row r="4961" spans="1:5">
      <c r="A4961" s="284">
        <f t="shared" si="1068"/>
        <v>4893</v>
      </c>
      <c r="B4961" s="285">
        <v>1.9680988652461247</v>
      </c>
      <c r="C4961" s="285">
        <v>2.1248835712089278</v>
      </c>
      <c r="D4961" s="285">
        <v>2.7284733376524857</v>
      </c>
      <c r="E4961" s="285">
        <v>-16.115819261280819</v>
      </c>
    </row>
    <row r="4962" spans="1:5">
      <c r="A4962" s="284">
        <f t="shared" si="1068"/>
        <v>4894</v>
      </c>
      <c r="B4962" s="285">
        <v>-0.99563726216502668</v>
      </c>
      <c r="C4962" s="285">
        <v>2.6650671881398384</v>
      </c>
      <c r="D4962" s="285">
        <v>1.607874812212309</v>
      </c>
      <c r="E4962" s="285">
        <v>-6.2053923639981532</v>
      </c>
    </row>
    <row r="4963" spans="1:5">
      <c r="A4963" s="284">
        <f t="shared" si="1068"/>
        <v>4895</v>
      </c>
      <c r="B4963" s="285">
        <v>-4.6761748581592046</v>
      </c>
      <c r="C4963" s="285">
        <v>1.970634524526115</v>
      </c>
      <c r="D4963" s="285">
        <v>2.9597701071517157E-2</v>
      </c>
      <c r="E4963" s="285">
        <v>-3.4336200494945279</v>
      </c>
    </row>
    <row r="4964" spans="1:5">
      <c r="A4964" s="284">
        <f t="shared" si="1068"/>
        <v>4896</v>
      </c>
      <c r="B4964" s="285">
        <v>0.21584851044424389</v>
      </c>
      <c r="C4964" s="285">
        <v>2.8220668793551944</v>
      </c>
      <c r="D4964" s="285">
        <v>1.5160955304900381</v>
      </c>
      <c r="E4964" s="285">
        <v>10.289838694115232</v>
      </c>
    </row>
    <row r="4965" spans="1:5">
      <c r="A4965" s="284">
        <f t="shared" si="1068"/>
        <v>4897</v>
      </c>
      <c r="B4965" s="285">
        <v>0.35206322790996025</v>
      </c>
      <c r="C4965" s="285">
        <v>2.8746484809100421</v>
      </c>
      <c r="D4965" s="285">
        <v>1.8911376415078058</v>
      </c>
      <c r="E4965" s="285">
        <v>-3.6935836892532001</v>
      </c>
    </row>
    <row r="4966" spans="1:5">
      <c r="A4966" s="284">
        <f t="shared" si="1068"/>
        <v>4898</v>
      </c>
      <c r="B4966" s="285">
        <v>0.23259870240519911</v>
      </c>
      <c r="C4966" s="285">
        <v>2.7597578486524177</v>
      </c>
      <c r="D4966" s="285">
        <v>2.0829894692821593</v>
      </c>
      <c r="E4966" s="285">
        <v>-6.1168625148154501</v>
      </c>
    </row>
    <row r="4967" spans="1:5">
      <c r="A4967" s="284">
        <f t="shared" si="1068"/>
        <v>4899</v>
      </c>
      <c r="B4967" s="285">
        <v>2.2207862545641199</v>
      </c>
      <c r="C4967" s="285">
        <v>2.9462720551839214</v>
      </c>
      <c r="D4967" s="285">
        <v>2.0156474522195453</v>
      </c>
      <c r="E4967" s="285">
        <v>-5.0947547121545425</v>
      </c>
    </row>
    <row r="4968" spans="1:5">
      <c r="A4968" s="284">
        <f t="shared" si="1068"/>
        <v>4900</v>
      </c>
      <c r="B4968" s="285">
        <v>1.6468423271588863</v>
      </c>
      <c r="C4968" s="285">
        <v>2.9505316021414161</v>
      </c>
      <c r="D4968" s="285">
        <v>2.5301569310446865</v>
      </c>
      <c r="E4968" s="285">
        <v>7.5642869144789415</v>
      </c>
    </row>
    <row r="4969" spans="1:5">
      <c r="A4969" s="284">
        <f t="shared" si="1068"/>
        <v>4901</v>
      </c>
      <c r="B4969" s="285">
        <v>-3.884086376488654</v>
      </c>
      <c r="C4969" s="285">
        <v>2.1738514166718694</v>
      </c>
      <c r="D4969" s="285">
        <v>0.40041409916838866</v>
      </c>
      <c r="E4969" s="285">
        <v>-10.6721919454921</v>
      </c>
    </row>
    <row r="4970" spans="1:5">
      <c r="A4970" s="284">
        <f t="shared" si="1068"/>
        <v>4902</v>
      </c>
      <c r="B4970" s="285">
        <v>1.8869063875036731</v>
      </c>
      <c r="C4970" s="285">
        <v>2.3885575771149097</v>
      </c>
      <c r="D4970" s="285">
        <v>2.1680584635226552</v>
      </c>
      <c r="E4970" s="285">
        <v>-0.33973238902609237</v>
      </c>
    </row>
    <row r="4971" spans="1:5">
      <c r="A4971" s="284">
        <f t="shared" si="1068"/>
        <v>4903</v>
      </c>
      <c r="B4971" s="285">
        <v>-1.1785784341772645</v>
      </c>
      <c r="C4971" s="285">
        <v>2.7132599231028389</v>
      </c>
      <c r="D4971" s="285">
        <v>2.9482211075142311</v>
      </c>
      <c r="E4971" s="285">
        <v>2.8732103619859397</v>
      </c>
    </row>
    <row r="4972" spans="1:5">
      <c r="A4972" s="284">
        <f t="shared" si="1068"/>
        <v>4904</v>
      </c>
      <c r="B4972" s="285">
        <v>-0.66149689642334542</v>
      </c>
      <c r="C4972" s="285">
        <v>2.7533774428179334</v>
      </c>
      <c r="D4972" s="285">
        <v>0.90132693811362086</v>
      </c>
      <c r="E4972" s="285">
        <v>1.3619771582515638</v>
      </c>
    </row>
    <row r="4973" spans="1:5">
      <c r="A4973" s="284">
        <f t="shared" si="1068"/>
        <v>4905</v>
      </c>
      <c r="B4973" s="285">
        <v>1.3803364175123354</v>
      </c>
      <c r="C4973" s="285">
        <v>1.6948709006337874</v>
      </c>
      <c r="D4973" s="285">
        <v>1.2726085514683401</v>
      </c>
      <c r="E4973" s="285">
        <v>-16.496339059887678</v>
      </c>
    </row>
    <row r="4974" spans="1:5">
      <c r="A4974" s="284">
        <f t="shared" si="1068"/>
        <v>4906</v>
      </c>
      <c r="B4974" s="285">
        <v>-1.5277275604130431</v>
      </c>
      <c r="C4974" s="285">
        <v>1.9082327092090801</v>
      </c>
      <c r="D4974" s="285">
        <v>2.8728807833104737</v>
      </c>
      <c r="E4974" s="285">
        <v>-11.364920472113031</v>
      </c>
    </row>
    <row r="4975" spans="1:5">
      <c r="A4975" s="284">
        <f t="shared" si="1068"/>
        <v>4907</v>
      </c>
      <c r="B4975" s="285">
        <v>2.4934264205754166</v>
      </c>
      <c r="C4975" s="285">
        <v>3.4468540369288245</v>
      </c>
      <c r="D4975" s="285">
        <v>1.1787989067151838</v>
      </c>
      <c r="E4975" s="285">
        <v>2.2535986552413125</v>
      </c>
    </row>
    <row r="4976" spans="1:5">
      <c r="A4976" s="284">
        <f t="shared" si="1068"/>
        <v>4908</v>
      </c>
      <c r="B4976" s="285">
        <v>-2.5850169577957831</v>
      </c>
      <c r="C4976" s="285">
        <v>2.0543182382763261</v>
      </c>
      <c r="D4976" s="285">
        <v>0.56180290205331551</v>
      </c>
      <c r="E4976" s="285">
        <v>-5.7385564690862525</v>
      </c>
    </row>
    <row r="4977" spans="1:5">
      <c r="A4977" s="284">
        <f t="shared" si="1068"/>
        <v>4909</v>
      </c>
      <c r="B4977" s="285">
        <v>-1.8604839626190373</v>
      </c>
      <c r="C4977" s="285">
        <v>3.1451576049689569</v>
      </c>
      <c r="D4977" s="285">
        <v>0.82037917393689819</v>
      </c>
      <c r="E4977" s="285">
        <v>-0.7117461539543366</v>
      </c>
    </row>
    <row r="4978" spans="1:5">
      <c r="A4978" s="284">
        <f t="shared" si="1068"/>
        <v>4910</v>
      </c>
      <c r="B4978" s="285">
        <v>-0.77800344486465567</v>
      </c>
      <c r="C4978" s="285">
        <v>2.8916009555039661</v>
      </c>
      <c r="D4978" s="285">
        <v>-0.85169339740943339</v>
      </c>
      <c r="E4978" s="285">
        <v>1.3738967006176259</v>
      </c>
    </row>
    <row r="4979" spans="1:5">
      <c r="A4979" s="284">
        <f t="shared" si="1068"/>
        <v>4911</v>
      </c>
      <c r="B4979" s="285">
        <v>-1.7138428358701079</v>
      </c>
      <c r="C4979" s="285">
        <v>2.0341195154988974</v>
      </c>
      <c r="D4979" s="285">
        <v>0.14914600655959864</v>
      </c>
      <c r="E4979" s="285">
        <v>-14.519408378969604</v>
      </c>
    </row>
    <row r="4980" spans="1:5">
      <c r="A4980" s="284">
        <f t="shared" si="1068"/>
        <v>4912</v>
      </c>
      <c r="B4980" s="285">
        <v>-0.11308424891322089</v>
      </c>
      <c r="C4980" s="285">
        <v>2.5628266616303912</v>
      </c>
      <c r="D4980" s="285">
        <v>3.3209906437153136</v>
      </c>
      <c r="E4980" s="285">
        <v>-7.9780572573475812</v>
      </c>
    </row>
    <row r="4981" spans="1:5">
      <c r="A4981" s="284">
        <f t="shared" si="1068"/>
        <v>4913</v>
      </c>
      <c r="B4981" s="285">
        <v>0.72861318898643068</v>
      </c>
      <c r="C4981" s="285">
        <v>2.7976002655680552</v>
      </c>
      <c r="D4981" s="285">
        <v>1.2675188617247743</v>
      </c>
      <c r="E4981" s="285">
        <v>7.127564296148126</v>
      </c>
    </row>
    <row r="4982" spans="1:5">
      <c r="A4982" s="284">
        <f t="shared" si="1068"/>
        <v>4914</v>
      </c>
      <c r="B4982" s="285">
        <v>0.10424663174222314</v>
      </c>
      <c r="C4982" s="285">
        <v>2.469332573577474</v>
      </c>
      <c r="D4982" s="285">
        <v>0.16631472911907497</v>
      </c>
      <c r="E4982" s="285">
        <v>-3.5231358759468074</v>
      </c>
    </row>
    <row r="4983" spans="1:5">
      <c r="A4983" s="284">
        <f t="shared" si="1068"/>
        <v>4915</v>
      </c>
      <c r="B4983" s="285">
        <v>0.60405038373998154</v>
      </c>
      <c r="C4983" s="285">
        <v>2.3550264862969126</v>
      </c>
      <c r="D4983" s="285">
        <v>-0.76629512579570314</v>
      </c>
      <c r="E4983" s="285">
        <v>-6.0016387455089344</v>
      </c>
    </row>
    <row r="4984" spans="1:5">
      <c r="A4984" s="284">
        <f t="shared" si="1068"/>
        <v>4916</v>
      </c>
      <c r="B4984" s="285">
        <v>3.2132472079292884</v>
      </c>
      <c r="C4984" s="285">
        <v>3.3653782171880287</v>
      </c>
      <c r="D4984" s="285">
        <v>0.9693219844988743</v>
      </c>
      <c r="E4984" s="285">
        <v>-1.8730670348228542</v>
      </c>
    </row>
    <row r="4985" spans="1:5">
      <c r="A4985" s="284">
        <f t="shared" si="1068"/>
        <v>4917</v>
      </c>
      <c r="B4985" s="285">
        <v>-2.2692912878760985</v>
      </c>
      <c r="C4985" s="285">
        <v>2.9231340411412949</v>
      </c>
      <c r="D4985" s="285">
        <v>1.8248658573209167</v>
      </c>
      <c r="E4985" s="285">
        <v>-5.4615147868838587</v>
      </c>
    </row>
    <row r="4986" spans="1:5">
      <c r="A4986" s="284">
        <f t="shared" si="1068"/>
        <v>4918</v>
      </c>
      <c r="B4986" s="285">
        <v>-0.98600440066829798</v>
      </c>
      <c r="C4986" s="285">
        <v>1.8733562634505994</v>
      </c>
      <c r="D4986" s="285">
        <v>-2.0172211964247566E-2</v>
      </c>
      <c r="E4986" s="285">
        <v>-11.044985982258124</v>
      </c>
    </row>
    <row r="4987" spans="1:5">
      <c r="A4987" s="284">
        <f t="shared" si="1068"/>
        <v>4919</v>
      </c>
      <c r="B4987" s="285">
        <v>-0.80955202970713114</v>
      </c>
      <c r="C4987" s="285">
        <v>2.0306980552623006</v>
      </c>
      <c r="D4987" s="285">
        <v>-0.89165272996040468</v>
      </c>
      <c r="E4987" s="285">
        <v>-5.5706993469593415</v>
      </c>
    </row>
    <row r="4988" spans="1:5">
      <c r="A4988" s="284">
        <f t="shared" si="1068"/>
        <v>4920</v>
      </c>
      <c r="B4988" s="285">
        <v>-1.9352534982443692</v>
      </c>
      <c r="C4988" s="285">
        <v>1.8807991020944281</v>
      </c>
      <c r="D4988" s="285">
        <v>0.81567498187092835</v>
      </c>
      <c r="E4988" s="285">
        <v>-7.6296410392290852</v>
      </c>
    </row>
    <row r="4989" spans="1:5">
      <c r="A4989" s="284">
        <f t="shared" si="1068"/>
        <v>4921</v>
      </c>
      <c r="B4989" s="285">
        <v>1.8061327445014959</v>
      </c>
      <c r="C4989" s="285">
        <v>3.9483390819446851</v>
      </c>
      <c r="D4989" s="285">
        <v>-0.49159503197294496</v>
      </c>
      <c r="E4989" s="285">
        <v>18.544049874295673</v>
      </c>
    </row>
    <row r="4990" spans="1:5">
      <c r="A4990" s="284">
        <f t="shared" si="1068"/>
        <v>4922</v>
      </c>
      <c r="B4990" s="285">
        <v>-0.25660979485685587</v>
      </c>
      <c r="C4990" s="285">
        <v>2.7737326767223771</v>
      </c>
      <c r="D4990" s="285">
        <v>1.5525505096523053</v>
      </c>
      <c r="E4990" s="285">
        <v>0.75858492798479693</v>
      </c>
    </row>
    <row r="4991" spans="1:5">
      <c r="A4991" s="284">
        <f t="shared" si="1068"/>
        <v>4923</v>
      </c>
      <c r="B4991" s="285">
        <v>1.6529208894902339</v>
      </c>
      <c r="C4991" s="285">
        <v>2.7665263675818847</v>
      </c>
      <c r="D4991" s="285">
        <v>2.7799671478688111</v>
      </c>
      <c r="E4991" s="285">
        <v>8.0712585941171913</v>
      </c>
    </row>
    <row r="4992" spans="1:5">
      <c r="A4992" s="284">
        <f t="shared" si="1068"/>
        <v>4924</v>
      </c>
      <c r="B4992" s="285">
        <v>-0.18764478254918315</v>
      </c>
      <c r="C4992" s="285">
        <v>2.0481807281923277</v>
      </c>
      <c r="D4992" s="285">
        <v>1.3644961616432845</v>
      </c>
      <c r="E4992" s="285">
        <v>-7.8490976646986166</v>
      </c>
    </row>
    <row r="4993" spans="1:5">
      <c r="A4993" s="284">
        <f t="shared" si="1068"/>
        <v>4925</v>
      </c>
      <c r="B4993" s="285">
        <v>1.145923701126041</v>
      </c>
      <c r="C4993" s="285">
        <v>2.1801828980629443</v>
      </c>
      <c r="D4993" s="285">
        <v>1.6044638232093618</v>
      </c>
      <c r="E4993" s="285">
        <v>-12.643330841699248</v>
      </c>
    </row>
    <row r="4994" spans="1:5">
      <c r="A4994" s="284">
        <f t="shared" si="1068"/>
        <v>4926</v>
      </c>
      <c r="B4994" s="285">
        <v>-4.5933274785177884</v>
      </c>
      <c r="C4994" s="285">
        <v>1.7824588075507064</v>
      </c>
      <c r="D4994" s="285">
        <v>2.945427036734074</v>
      </c>
      <c r="E4994" s="285">
        <v>-4.4654288057999896</v>
      </c>
    </row>
    <row r="4995" spans="1:5">
      <c r="A4995" s="284">
        <f t="shared" si="1068"/>
        <v>4927</v>
      </c>
      <c r="B4995" s="285">
        <v>-0.14872046493066585</v>
      </c>
      <c r="C4995" s="285">
        <v>2.5453069582325343</v>
      </c>
      <c r="D4995" s="285">
        <v>2.5642991032820825</v>
      </c>
      <c r="E4995" s="285">
        <v>-13.904267634244608</v>
      </c>
    </row>
    <row r="4996" spans="1:5">
      <c r="A4996" s="284">
        <f t="shared" si="1068"/>
        <v>4928</v>
      </c>
      <c r="B4996" s="285">
        <v>2.857490562062329</v>
      </c>
      <c r="C4996" s="285">
        <v>2.3193725417203197</v>
      </c>
      <c r="D4996" s="285">
        <v>1.8547024385552455</v>
      </c>
      <c r="E4996" s="285">
        <v>-17.901450985438068</v>
      </c>
    </row>
    <row r="4997" spans="1:5">
      <c r="A4997" s="284">
        <f t="shared" si="1068"/>
        <v>4929</v>
      </c>
      <c r="B4997" s="285">
        <v>0.20100817065260221</v>
      </c>
      <c r="C4997" s="285">
        <v>2.8413960895925707</v>
      </c>
      <c r="D4997" s="285">
        <v>-0.45720926109656568</v>
      </c>
      <c r="E4997" s="285">
        <v>6.1253960825697433</v>
      </c>
    </row>
    <row r="4998" spans="1:5">
      <c r="A4998" s="284">
        <f t="shared" si="1068"/>
        <v>4930</v>
      </c>
      <c r="B4998" s="285">
        <v>0.69953868836192334</v>
      </c>
      <c r="C4998" s="285">
        <v>1.8532558915246979</v>
      </c>
      <c r="D4998" s="285">
        <v>2.5773550406814234</v>
      </c>
      <c r="E4998" s="285">
        <v>-23.256697733347156</v>
      </c>
    </row>
    <row r="4999" spans="1:5">
      <c r="A4999" s="284">
        <f t="shared" ref="A4999:A5062" si="1069">A4998+1</f>
        <v>4931</v>
      </c>
      <c r="B4999" s="285">
        <v>4.9567535469130144</v>
      </c>
      <c r="C4999" s="285">
        <v>2.6116910919726362</v>
      </c>
      <c r="D4999" s="285">
        <v>1.5074476704622093</v>
      </c>
      <c r="E4999" s="285">
        <v>-3.0077730393641713</v>
      </c>
    </row>
    <row r="5000" spans="1:5">
      <c r="A5000" s="284">
        <f t="shared" si="1069"/>
        <v>4932</v>
      </c>
      <c r="B5000" s="285">
        <v>-5.3738267982858329E-2</v>
      </c>
      <c r="C5000" s="285">
        <v>2.8772358391796304</v>
      </c>
      <c r="D5000" s="285">
        <v>2.6507232407496861E-2</v>
      </c>
      <c r="E5000" s="285">
        <v>-0.70921425352394207</v>
      </c>
    </row>
    <row r="5001" spans="1:5">
      <c r="A5001" s="284">
        <f t="shared" si="1069"/>
        <v>4933</v>
      </c>
      <c r="B5001" s="285">
        <v>1.8627968234405639</v>
      </c>
      <c r="C5001" s="285">
        <v>2.6213691394537451</v>
      </c>
      <c r="D5001" s="285">
        <v>2.2184647567743858</v>
      </c>
      <c r="E5001" s="285">
        <v>1.2537743538277906</v>
      </c>
    </row>
    <row r="5002" spans="1:5">
      <c r="A5002" s="284">
        <f t="shared" si="1069"/>
        <v>4934</v>
      </c>
      <c r="B5002" s="285">
        <v>0.30955890081984733</v>
      </c>
      <c r="C5002" s="285">
        <v>1.3467736539211641</v>
      </c>
      <c r="D5002" s="285">
        <v>3.0057141053619989</v>
      </c>
      <c r="E5002" s="285">
        <v>-20.226846570288227</v>
      </c>
    </row>
    <row r="5003" spans="1:5">
      <c r="A5003" s="284">
        <f t="shared" si="1069"/>
        <v>4935</v>
      </c>
      <c r="B5003" s="285">
        <v>-0.3902271541256131</v>
      </c>
      <c r="C5003" s="285">
        <v>2.7299649705129019</v>
      </c>
      <c r="D5003" s="285">
        <v>0.36608283410217179</v>
      </c>
      <c r="E5003" s="285">
        <v>-4.8295814606774083</v>
      </c>
    </row>
    <row r="5004" spans="1:5">
      <c r="A5004" s="284">
        <f t="shared" si="1069"/>
        <v>4936</v>
      </c>
      <c r="B5004" s="285">
        <v>-1.7660507837833215</v>
      </c>
      <c r="C5004" s="285">
        <v>2.8662861822880639</v>
      </c>
      <c r="D5004" s="285">
        <v>0.30017191107031083</v>
      </c>
      <c r="E5004" s="285">
        <v>5.6852196749751922</v>
      </c>
    </row>
    <row r="5005" spans="1:5">
      <c r="A5005" s="284">
        <f t="shared" si="1069"/>
        <v>4937</v>
      </c>
      <c r="B5005" s="285">
        <v>0.18691461677277971</v>
      </c>
      <c r="C5005" s="285">
        <v>2.4363079738362474</v>
      </c>
      <c r="D5005" s="285">
        <v>0.18668763713089787</v>
      </c>
      <c r="E5005" s="285">
        <v>-13.187032240615745</v>
      </c>
    </row>
    <row r="5006" spans="1:5">
      <c r="A5006" s="284">
        <f t="shared" si="1069"/>
        <v>4938</v>
      </c>
      <c r="B5006" s="285">
        <v>3.0385688722364903</v>
      </c>
      <c r="C5006" s="285">
        <v>2.7334711689303721</v>
      </c>
      <c r="D5006" s="285">
        <v>1.8533384440989504</v>
      </c>
      <c r="E5006" s="285">
        <v>-3.2392726292278455</v>
      </c>
    </row>
    <row r="5007" spans="1:5">
      <c r="A5007" s="284">
        <f t="shared" si="1069"/>
        <v>4939</v>
      </c>
      <c r="B5007" s="285">
        <v>-0.78146868628625732</v>
      </c>
      <c r="C5007" s="285">
        <v>2.6702174969919046</v>
      </c>
      <c r="D5007" s="285">
        <v>0.13500704324690105</v>
      </c>
      <c r="E5007" s="285">
        <v>4.820892441762016</v>
      </c>
    </row>
    <row r="5008" spans="1:5">
      <c r="A5008" s="284">
        <f t="shared" si="1069"/>
        <v>4940</v>
      </c>
      <c r="B5008" s="285">
        <v>-0.13627761289602341</v>
      </c>
      <c r="C5008" s="285">
        <v>2.9625309875273134</v>
      </c>
      <c r="D5008" s="285">
        <v>1.7144082958466764</v>
      </c>
      <c r="E5008" s="285">
        <v>-1.1640788378678244</v>
      </c>
    </row>
    <row r="5009" spans="1:5">
      <c r="A5009" s="284">
        <f t="shared" si="1069"/>
        <v>4941</v>
      </c>
      <c r="B5009" s="285">
        <v>-0.98466732673299262</v>
      </c>
      <c r="C5009" s="285">
        <v>2.2681868406001571</v>
      </c>
      <c r="D5009" s="285">
        <v>2.8166796541590129</v>
      </c>
      <c r="E5009" s="285">
        <v>-7.9263556319702033</v>
      </c>
    </row>
    <row r="5010" spans="1:5">
      <c r="A5010" s="284">
        <f t="shared" si="1069"/>
        <v>4942</v>
      </c>
      <c r="B5010" s="285">
        <v>4.0802779450908817</v>
      </c>
      <c r="C5010" s="285">
        <v>2.9379462222740003</v>
      </c>
      <c r="D5010" s="285">
        <v>1.5224271242640128</v>
      </c>
      <c r="E5010" s="285">
        <v>-4.4167557541086993</v>
      </c>
    </row>
    <row r="5011" spans="1:5">
      <c r="A5011" s="284">
        <f t="shared" si="1069"/>
        <v>4943</v>
      </c>
      <c r="B5011" s="285">
        <v>5.6144745110559713</v>
      </c>
      <c r="C5011" s="285">
        <v>3.4236201650729807</v>
      </c>
      <c r="D5011" s="285">
        <v>0.27594528488390169</v>
      </c>
      <c r="E5011" s="285">
        <v>7.4641730659268575</v>
      </c>
    </row>
    <row r="5012" spans="1:5">
      <c r="A5012" s="284">
        <f t="shared" si="1069"/>
        <v>4944</v>
      </c>
      <c r="B5012" s="285">
        <v>1.3668634162167264</v>
      </c>
      <c r="C5012" s="285">
        <v>2.7047649402357417</v>
      </c>
      <c r="D5012" s="285">
        <v>3.9938686996107755</v>
      </c>
      <c r="E5012" s="285">
        <v>1.2819488660875007</v>
      </c>
    </row>
    <row r="5013" spans="1:5">
      <c r="A5013" s="284">
        <f t="shared" si="1069"/>
        <v>4945</v>
      </c>
      <c r="B5013" s="285">
        <v>-1.1466786746665905</v>
      </c>
      <c r="C5013" s="285">
        <v>2.7855282188929493</v>
      </c>
      <c r="D5013" s="285">
        <v>-2.7868656474737974</v>
      </c>
      <c r="E5013" s="285">
        <v>16.087505188972312</v>
      </c>
    </row>
    <row r="5014" spans="1:5">
      <c r="A5014" s="284">
        <f t="shared" si="1069"/>
        <v>4946</v>
      </c>
      <c r="B5014" s="285">
        <v>3.8463695939058771</v>
      </c>
      <c r="C5014" s="285">
        <v>2.8926349283200468</v>
      </c>
      <c r="D5014" s="285">
        <v>1.5902906859422881</v>
      </c>
      <c r="E5014" s="285">
        <v>2.6419175974128914</v>
      </c>
    </row>
    <row r="5015" spans="1:5">
      <c r="A5015" s="284">
        <f t="shared" si="1069"/>
        <v>4947</v>
      </c>
      <c r="B5015" s="285">
        <v>1.0138727616161385</v>
      </c>
      <c r="C5015" s="285">
        <v>2.6761672894709183</v>
      </c>
      <c r="D5015" s="285">
        <v>3.2560876125878622</v>
      </c>
      <c r="E5015" s="285">
        <v>-1.2640293035040202</v>
      </c>
    </row>
    <row r="5016" spans="1:5">
      <c r="A5016" s="284">
        <f t="shared" si="1069"/>
        <v>4948</v>
      </c>
      <c r="B5016" s="285">
        <v>0.81733291364296179</v>
      </c>
      <c r="C5016" s="285">
        <v>2.2941466105032675</v>
      </c>
      <c r="D5016" s="285">
        <v>0.39179258703438335</v>
      </c>
      <c r="E5016" s="285">
        <v>-8.6185026951625971</v>
      </c>
    </row>
    <row r="5017" spans="1:5">
      <c r="A5017" s="284">
        <f t="shared" si="1069"/>
        <v>4949</v>
      </c>
      <c r="B5017" s="285">
        <v>0.21532451575431988</v>
      </c>
      <c r="C5017" s="285">
        <v>2.2465425116877853</v>
      </c>
      <c r="D5017" s="285">
        <v>1.7173153856696588</v>
      </c>
      <c r="E5017" s="285">
        <v>-8.835246240419858</v>
      </c>
    </row>
    <row r="5018" spans="1:5">
      <c r="A5018" s="284">
        <f t="shared" si="1069"/>
        <v>4950</v>
      </c>
      <c r="B5018" s="285">
        <v>-2.7486037922151501</v>
      </c>
      <c r="C5018" s="285">
        <v>3.0393811160603996</v>
      </c>
      <c r="D5018" s="285">
        <v>-0.27961733609097772</v>
      </c>
      <c r="E5018" s="285">
        <v>13.247758462702961</v>
      </c>
    </row>
    <row r="5019" spans="1:5">
      <c r="A5019" s="284">
        <f t="shared" si="1069"/>
        <v>4951</v>
      </c>
      <c r="B5019" s="285">
        <v>1.0786108518138502</v>
      </c>
      <c r="C5019" s="285">
        <v>3.3564548728839974</v>
      </c>
      <c r="D5019" s="285">
        <v>0.8001393852338099</v>
      </c>
      <c r="E5019" s="285">
        <v>18.597902224391451</v>
      </c>
    </row>
    <row r="5020" spans="1:5">
      <c r="A5020" s="284">
        <f t="shared" si="1069"/>
        <v>4952</v>
      </c>
      <c r="B5020" s="285">
        <v>0.23932226630751738</v>
      </c>
      <c r="C5020" s="285">
        <v>2.7360907579952194</v>
      </c>
      <c r="D5020" s="285">
        <v>2.9325687998294963</v>
      </c>
      <c r="E5020" s="285">
        <v>-3.0249072111118114</v>
      </c>
    </row>
    <row r="5021" spans="1:5">
      <c r="A5021" s="284">
        <f t="shared" si="1069"/>
        <v>4953</v>
      </c>
      <c r="B5021" s="285">
        <v>0.71289567865308157</v>
      </c>
      <c r="C5021" s="285">
        <v>2.8749848946474827</v>
      </c>
      <c r="D5021" s="285">
        <v>-0.4532176161763517</v>
      </c>
      <c r="E5021" s="285">
        <v>1.4880981786047172</v>
      </c>
    </row>
    <row r="5022" spans="1:5">
      <c r="A5022" s="284">
        <f t="shared" si="1069"/>
        <v>4954</v>
      </c>
      <c r="B5022" s="285">
        <v>-1.9186363324754432</v>
      </c>
      <c r="C5022" s="285">
        <v>3.3937943885607589</v>
      </c>
      <c r="D5022" s="285">
        <v>-0.41069608037465777</v>
      </c>
      <c r="E5022" s="285">
        <v>10.909896496277383</v>
      </c>
    </row>
    <row r="5023" spans="1:5">
      <c r="A5023" s="284">
        <f t="shared" si="1069"/>
        <v>4955</v>
      </c>
      <c r="B5023" s="285">
        <v>-0.72158870322116653</v>
      </c>
      <c r="C5023" s="285">
        <v>2.3564190016075335</v>
      </c>
      <c r="D5023" s="285">
        <v>2.3704708813431745</v>
      </c>
      <c r="E5023" s="285">
        <v>-7.8905073178275771</v>
      </c>
    </row>
    <row r="5024" spans="1:5">
      <c r="A5024" s="284">
        <f t="shared" si="1069"/>
        <v>4956</v>
      </c>
      <c r="B5024" s="285">
        <v>-1.0823571667606193</v>
      </c>
      <c r="C5024" s="285">
        <v>2.2845723510732299</v>
      </c>
      <c r="D5024" s="285">
        <v>1.5803463380643537</v>
      </c>
      <c r="E5024" s="285">
        <v>-19.21966254967445</v>
      </c>
    </row>
    <row r="5025" spans="1:5">
      <c r="A5025" s="284">
        <f t="shared" si="1069"/>
        <v>4957</v>
      </c>
      <c r="B5025" s="285">
        <v>4.9336764302917535</v>
      </c>
      <c r="C5025" s="285">
        <v>2.3481096732354056</v>
      </c>
      <c r="D5025" s="285">
        <v>3.5700239468497355</v>
      </c>
      <c r="E5025" s="285">
        <v>-20.505260733125365</v>
      </c>
    </row>
    <row r="5026" spans="1:5">
      <c r="A5026" s="284">
        <f t="shared" si="1069"/>
        <v>4958</v>
      </c>
      <c r="B5026" s="285">
        <v>-1.3225160011819348</v>
      </c>
      <c r="C5026" s="285">
        <v>1.9899969339016232</v>
      </c>
      <c r="D5026" s="285">
        <v>0.77077080936616338</v>
      </c>
      <c r="E5026" s="285">
        <v>-19.719690920855232</v>
      </c>
    </row>
    <row r="5027" spans="1:5">
      <c r="A5027" s="284">
        <f t="shared" si="1069"/>
        <v>4959</v>
      </c>
      <c r="B5027" s="285">
        <v>-3.5849168000580342E-2</v>
      </c>
      <c r="C5027" s="285">
        <v>2.3728496176975495</v>
      </c>
      <c r="D5027" s="285">
        <v>-0.78120425493677792</v>
      </c>
      <c r="E5027" s="285">
        <v>-10.143638056872987</v>
      </c>
    </row>
    <row r="5028" spans="1:5">
      <c r="A5028" s="284">
        <f t="shared" si="1069"/>
        <v>4960</v>
      </c>
      <c r="B5028" s="285">
        <v>-2.8435242282719142</v>
      </c>
      <c r="C5028" s="285">
        <v>2.368910590253074</v>
      </c>
      <c r="D5028" s="285">
        <v>0.45978689027480057</v>
      </c>
      <c r="E5028" s="285">
        <v>3.2308480935730706</v>
      </c>
    </row>
    <row r="5029" spans="1:5">
      <c r="A5029" s="284">
        <f t="shared" si="1069"/>
        <v>4961</v>
      </c>
      <c r="B5029" s="285">
        <v>-1.124795406687666</v>
      </c>
      <c r="C5029" s="285">
        <v>2.7850876040337638</v>
      </c>
      <c r="D5029" s="285">
        <v>2.5274495774044601</v>
      </c>
      <c r="E5029" s="285">
        <v>-4.0372354450468144</v>
      </c>
    </row>
    <row r="5030" spans="1:5">
      <c r="A5030" s="284">
        <f t="shared" si="1069"/>
        <v>4962</v>
      </c>
      <c r="B5030" s="285">
        <v>1.6109220023655351</v>
      </c>
      <c r="C5030" s="285">
        <v>2.1666166742374213</v>
      </c>
      <c r="D5030" s="285">
        <v>1.7731104220724818</v>
      </c>
      <c r="E5030" s="285">
        <v>-17.155465385805261</v>
      </c>
    </row>
    <row r="5031" spans="1:5">
      <c r="A5031" s="284">
        <f t="shared" si="1069"/>
        <v>4963</v>
      </c>
      <c r="B5031" s="285">
        <v>1.3724743348218382</v>
      </c>
      <c r="C5031" s="285">
        <v>2.8335514197226717</v>
      </c>
      <c r="D5031" s="285">
        <v>2.3444875807788836</v>
      </c>
      <c r="E5031" s="285">
        <v>-7.432355089431848</v>
      </c>
    </row>
    <row r="5032" spans="1:5">
      <c r="A5032" s="284">
        <f t="shared" si="1069"/>
        <v>4964</v>
      </c>
      <c r="B5032" s="285">
        <v>1.4030253064625515</v>
      </c>
      <c r="C5032" s="285">
        <v>2.632148464311955</v>
      </c>
      <c r="D5032" s="285">
        <v>2.6365311816824688</v>
      </c>
      <c r="E5032" s="285">
        <v>-6.6671694901889609</v>
      </c>
    </row>
    <row r="5033" spans="1:5">
      <c r="A5033" s="284">
        <f t="shared" si="1069"/>
        <v>4965</v>
      </c>
      <c r="B5033" s="285">
        <v>2.0664011250289263</v>
      </c>
      <c r="C5033" s="285">
        <v>3.1111206870279871</v>
      </c>
      <c r="D5033" s="285">
        <v>0.78932716853028972</v>
      </c>
      <c r="E5033" s="285">
        <v>-0.84731347662473011</v>
      </c>
    </row>
    <row r="5034" spans="1:5">
      <c r="A5034" s="284">
        <f t="shared" si="1069"/>
        <v>4966</v>
      </c>
      <c r="B5034" s="285">
        <v>1.1044702976891172</v>
      </c>
      <c r="C5034" s="285">
        <v>2.5724648285772909</v>
      </c>
      <c r="D5034" s="285">
        <v>-5.1873737188534497E-2</v>
      </c>
      <c r="E5034" s="285">
        <v>-4.0785454879167196</v>
      </c>
    </row>
    <row r="5035" spans="1:5">
      <c r="A5035" s="284">
        <f t="shared" si="1069"/>
        <v>4967</v>
      </c>
      <c r="B5035" s="285">
        <v>-3.7671961773731546</v>
      </c>
      <c r="C5035" s="285">
        <v>2.8045830936877167</v>
      </c>
      <c r="D5035" s="285">
        <v>0.8425873425565481</v>
      </c>
      <c r="E5035" s="285">
        <v>0.87943845203326232</v>
      </c>
    </row>
    <row r="5036" spans="1:5">
      <c r="A5036" s="284">
        <f t="shared" si="1069"/>
        <v>4968</v>
      </c>
      <c r="B5036" s="285">
        <v>-2.4580531197259692</v>
      </c>
      <c r="C5036" s="285">
        <v>2.1787592342031918</v>
      </c>
      <c r="D5036" s="285">
        <v>0.36295651887658464</v>
      </c>
      <c r="E5036" s="285">
        <v>3.771573217307822</v>
      </c>
    </row>
    <row r="5037" spans="1:5">
      <c r="A5037" s="284">
        <f t="shared" si="1069"/>
        <v>4969</v>
      </c>
      <c r="B5037" s="285">
        <v>-4.9931064379686969</v>
      </c>
      <c r="C5037" s="285">
        <v>2.8538065551373939</v>
      </c>
      <c r="D5037" s="285">
        <v>-1.9497549130287171</v>
      </c>
      <c r="E5037" s="285">
        <v>15.90639651305132</v>
      </c>
    </row>
    <row r="5038" spans="1:5">
      <c r="A5038" s="284">
        <f t="shared" si="1069"/>
        <v>4970</v>
      </c>
      <c r="B5038" s="285">
        <v>-1.9668138294641195</v>
      </c>
      <c r="C5038" s="285">
        <v>2.6125663915725141</v>
      </c>
      <c r="D5038" s="285">
        <v>-0.75289941626747225</v>
      </c>
      <c r="E5038" s="285">
        <v>5.2498015382241103</v>
      </c>
    </row>
    <row r="5039" spans="1:5">
      <c r="A5039" s="284">
        <f t="shared" si="1069"/>
        <v>4971</v>
      </c>
      <c r="B5039" s="285">
        <v>9.2257908905526466E-3</v>
      </c>
      <c r="C5039" s="285">
        <v>2.4823856129605959</v>
      </c>
      <c r="D5039" s="285">
        <v>2.9298999345529717</v>
      </c>
      <c r="E5039" s="285">
        <v>-14.109049787279741</v>
      </c>
    </row>
    <row r="5040" spans="1:5">
      <c r="A5040" s="284">
        <f t="shared" si="1069"/>
        <v>4972</v>
      </c>
      <c r="B5040" s="285">
        <v>-0.26640348772170469</v>
      </c>
      <c r="C5040" s="285">
        <v>2.7665221623917327</v>
      </c>
      <c r="D5040" s="285">
        <v>1.3391493326930182</v>
      </c>
      <c r="E5040" s="285">
        <v>1.4752839978043455</v>
      </c>
    </row>
    <row r="5041" spans="1:5">
      <c r="A5041" s="284">
        <f t="shared" si="1069"/>
        <v>4973</v>
      </c>
      <c r="B5041" s="285">
        <v>-1.7346315197290105</v>
      </c>
      <c r="C5041" s="285">
        <v>1.9270855408328333</v>
      </c>
      <c r="D5041" s="285">
        <v>2.35688317245403</v>
      </c>
      <c r="E5041" s="285">
        <v>-1.0228122429583393</v>
      </c>
    </row>
    <row r="5042" spans="1:5">
      <c r="A5042" s="284">
        <f t="shared" si="1069"/>
        <v>4974</v>
      </c>
      <c r="B5042" s="285">
        <v>3.7151241625933249</v>
      </c>
      <c r="C5042" s="285">
        <v>2.7057213590802038</v>
      </c>
      <c r="D5042" s="285">
        <v>1.969868562961532</v>
      </c>
      <c r="E5042" s="285">
        <v>-0.37740197291782485</v>
      </c>
    </row>
    <row r="5043" spans="1:5">
      <c r="A5043" s="284">
        <f t="shared" si="1069"/>
        <v>4975</v>
      </c>
      <c r="B5043" s="285">
        <v>-3.7546394239113934E-2</v>
      </c>
      <c r="C5043" s="285">
        <v>2.6292029506550385</v>
      </c>
      <c r="D5043" s="285">
        <v>0.24186700352645696</v>
      </c>
      <c r="E5043" s="285">
        <v>-6.4909114959999368</v>
      </c>
    </row>
    <row r="5044" spans="1:5">
      <c r="A5044" s="284">
        <f t="shared" si="1069"/>
        <v>4976</v>
      </c>
      <c r="B5044" s="285">
        <v>3.49314646569468</v>
      </c>
      <c r="C5044" s="285">
        <v>3.4206861357920579</v>
      </c>
      <c r="D5044" s="285">
        <v>7.6299741394346254E-2</v>
      </c>
      <c r="E5044" s="285">
        <v>-0.43105968655523297</v>
      </c>
    </row>
    <row r="5045" spans="1:5">
      <c r="A5045" s="284">
        <f t="shared" si="1069"/>
        <v>4977</v>
      </c>
      <c r="B5045" s="285">
        <v>3.7831848670928453E-2</v>
      </c>
      <c r="C5045" s="285">
        <v>3.1352688351081195</v>
      </c>
      <c r="D5045" s="285">
        <v>0.60005185854442866</v>
      </c>
      <c r="E5045" s="285">
        <v>-1.0800556134483368</v>
      </c>
    </row>
    <row r="5046" spans="1:5">
      <c r="A5046" s="284">
        <f t="shared" si="1069"/>
        <v>4978</v>
      </c>
      <c r="B5046" s="285">
        <v>1.1191752519231195</v>
      </c>
      <c r="C5046" s="285">
        <v>2.2408502644257426</v>
      </c>
      <c r="D5046" s="285">
        <v>2.5075123059647133</v>
      </c>
      <c r="E5046" s="285">
        <v>-9.494539423377768</v>
      </c>
    </row>
    <row r="5047" spans="1:5">
      <c r="A5047" s="284">
        <f t="shared" si="1069"/>
        <v>4979</v>
      </c>
      <c r="B5047" s="285">
        <v>0.10568967501824403</v>
      </c>
      <c r="C5047" s="285">
        <v>2.833877479773387</v>
      </c>
      <c r="D5047" s="285">
        <v>1.3586503720010288</v>
      </c>
      <c r="E5047" s="285">
        <v>2.7334679823465415</v>
      </c>
    </row>
    <row r="5048" spans="1:5">
      <c r="A5048" s="284">
        <f t="shared" si="1069"/>
        <v>4980</v>
      </c>
      <c r="B5048" s="285">
        <v>2.8762491640531174</v>
      </c>
      <c r="C5048" s="285">
        <v>2.6261278966562842</v>
      </c>
      <c r="D5048" s="285">
        <v>2.4958670448188851</v>
      </c>
      <c r="E5048" s="285">
        <v>-10.297928690456484</v>
      </c>
    </row>
    <row r="5049" spans="1:5">
      <c r="A5049" s="284">
        <f t="shared" si="1069"/>
        <v>4981</v>
      </c>
      <c r="B5049" s="285">
        <v>2.1105692414483324</v>
      </c>
      <c r="C5049" s="285">
        <v>2.1884867513460624</v>
      </c>
      <c r="D5049" s="285">
        <v>1.3630608098145069</v>
      </c>
      <c r="E5049" s="285">
        <v>-14.747438860024186</v>
      </c>
    </row>
    <row r="5050" spans="1:5">
      <c r="A5050" s="284">
        <f t="shared" si="1069"/>
        <v>4982</v>
      </c>
      <c r="B5050" s="285">
        <v>-1.8607035165870363</v>
      </c>
      <c r="C5050" s="285">
        <v>2.422156989106635</v>
      </c>
      <c r="D5050" s="285">
        <v>0.9184682125346918</v>
      </c>
      <c r="E5050" s="285">
        <v>0.44912160603479423</v>
      </c>
    </row>
    <row r="5051" spans="1:5">
      <c r="A5051" s="284">
        <f t="shared" si="1069"/>
        <v>4983</v>
      </c>
      <c r="B5051" s="285">
        <v>-0.9593434024567995</v>
      </c>
      <c r="C5051" s="285">
        <v>2.4888250514581922</v>
      </c>
      <c r="D5051" s="285">
        <v>0.53325558764101788</v>
      </c>
      <c r="E5051" s="285">
        <v>-16.152526858670196</v>
      </c>
    </row>
    <row r="5052" spans="1:5">
      <c r="A5052" s="284">
        <f t="shared" si="1069"/>
        <v>4984</v>
      </c>
      <c r="B5052" s="285">
        <v>-4.2991851302028115E-2</v>
      </c>
      <c r="C5052" s="285">
        <v>2.0418713972940798</v>
      </c>
      <c r="D5052" s="285">
        <v>2.3393792889127027</v>
      </c>
      <c r="E5052" s="285">
        <v>-17.115476887670138</v>
      </c>
    </row>
    <row r="5053" spans="1:5">
      <c r="A5053" s="284">
        <f t="shared" si="1069"/>
        <v>4985</v>
      </c>
      <c r="B5053" s="285">
        <v>1.4203837262192758</v>
      </c>
      <c r="C5053" s="285">
        <v>1.961031493044409</v>
      </c>
      <c r="D5053" s="285">
        <v>1.5980233090040263</v>
      </c>
      <c r="E5053" s="285">
        <v>-5.7473378228716694</v>
      </c>
    </row>
    <row r="5054" spans="1:5">
      <c r="A5054" s="284">
        <f t="shared" si="1069"/>
        <v>4986</v>
      </c>
      <c r="B5054" s="285">
        <v>2.9715885480971691</v>
      </c>
      <c r="C5054" s="285">
        <v>2.5814250758359503</v>
      </c>
      <c r="D5054" s="285">
        <v>2.2089715258674665</v>
      </c>
      <c r="E5054" s="285">
        <v>-5.3896080401742772</v>
      </c>
    </row>
    <row r="5055" spans="1:5">
      <c r="A5055" s="284">
        <f t="shared" si="1069"/>
        <v>4987</v>
      </c>
      <c r="B5055" s="285">
        <v>-3.1588382482130419</v>
      </c>
      <c r="C5055" s="285">
        <v>2.075573156787156</v>
      </c>
      <c r="D5055" s="285">
        <v>0.48987310740121992</v>
      </c>
      <c r="E5055" s="285">
        <v>-15.451280715209256</v>
      </c>
    </row>
    <row r="5056" spans="1:5">
      <c r="A5056" s="284">
        <f t="shared" si="1069"/>
        <v>4988</v>
      </c>
      <c r="B5056" s="285">
        <v>2.7513283057551563</v>
      </c>
      <c r="C5056" s="285">
        <v>2.5131667348094391</v>
      </c>
      <c r="D5056" s="285">
        <v>0.69281609861993554</v>
      </c>
      <c r="E5056" s="285">
        <v>-13.190467197759084</v>
      </c>
    </row>
    <row r="5057" spans="1:5">
      <c r="A5057" s="284">
        <f t="shared" si="1069"/>
        <v>4989</v>
      </c>
      <c r="B5057" s="285">
        <v>1.9957661149393318</v>
      </c>
      <c r="C5057" s="285">
        <v>2.3955509946337745</v>
      </c>
      <c r="D5057" s="285">
        <v>2.149070024890062</v>
      </c>
      <c r="E5057" s="285">
        <v>-6.7768199387135475</v>
      </c>
    </row>
    <row r="5058" spans="1:5">
      <c r="A5058" s="284">
        <f t="shared" si="1069"/>
        <v>4990</v>
      </c>
      <c r="B5058" s="285">
        <v>-1.2337517438860315</v>
      </c>
      <c r="C5058" s="285">
        <v>2.153893525379063</v>
      </c>
      <c r="D5058" s="285">
        <v>2.8020830382248025</v>
      </c>
      <c r="E5058" s="285">
        <v>-7.9579722820609238</v>
      </c>
    </row>
    <row r="5059" spans="1:5">
      <c r="A5059" s="284">
        <f t="shared" si="1069"/>
        <v>4991</v>
      </c>
      <c r="B5059" s="285">
        <v>1.2099647990659159</v>
      </c>
      <c r="C5059" s="285">
        <v>3.1353532469074734</v>
      </c>
      <c r="D5059" s="285">
        <v>2.5535374451054609</v>
      </c>
      <c r="E5059" s="285">
        <v>9.6427805234776649</v>
      </c>
    </row>
    <row r="5060" spans="1:5">
      <c r="A5060" s="284">
        <f t="shared" si="1069"/>
        <v>4992</v>
      </c>
      <c r="B5060" s="285">
        <v>-0.59304376726984287</v>
      </c>
      <c r="C5060" s="285">
        <v>2.5527939546287408</v>
      </c>
      <c r="D5060" s="285">
        <v>1.0728216773787391</v>
      </c>
      <c r="E5060" s="285">
        <v>5.7074042840698649</v>
      </c>
    </row>
    <row r="5061" spans="1:5">
      <c r="A5061" s="284">
        <f t="shared" si="1069"/>
        <v>4993</v>
      </c>
      <c r="B5061" s="285">
        <v>0.37151033572633785</v>
      </c>
      <c r="C5061" s="285">
        <v>2.2954476301577547</v>
      </c>
      <c r="D5061" s="285">
        <v>-1.1922861931789934</v>
      </c>
      <c r="E5061" s="285">
        <v>1.3992340047691205</v>
      </c>
    </row>
    <row r="5062" spans="1:5">
      <c r="A5062" s="284">
        <f t="shared" si="1069"/>
        <v>4994</v>
      </c>
      <c r="B5062" s="285">
        <v>-2.0827128905113903</v>
      </c>
      <c r="C5062" s="285">
        <v>2.613811480309209</v>
      </c>
      <c r="D5062" s="285">
        <v>2.7299011771701078</v>
      </c>
      <c r="E5062" s="285">
        <v>10.572665886164046</v>
      </c>
    </row>
    <row r="5063" spans="1:5">
      <c r="A5063" s="284">
        <f t="shared" ref="A5063:A5126" si="1070">A5062+1</f>
        <v>4995</v>
      </c>
      <c r="B5063" s="285">
        <v>1.9162583157729334</v>
      </c>
      <c r="C5063" s="285">
        <v>2.9063348171609462</v>
      </c>
      <c r="D5063" s="285">
        <v>2.7591933098839236</v>
      </c>
      <c r="E5063" s="285">
        <v>-3.7695270282174334</v>
      </c>
    </row>
    <row r="5064" spans="1:5">
      <c r="A5064" s="284">
        <f t="shared" si="1070"/>
        <v>4996</v>
      </c>
      <c r="B5064" s="285">
        <v>-2.6274617741885886</v>
      </c>
      <c r="C5064" s="285">
        <v>2.8720967100369736</v>
      </c>
      <c r="D5064" s="285">
        <v>1.3730312424767641</v>
      </c>
      <c r="E5064" s="285">
        <v>-1.0570079754619823</v>
      </c>
    </row>
    <row r="5065" spans="1:5">
      <c r="A5065" s="284">
        <f t="shared" si="1070"/>
        <v>4997</v>
      </c>
      <c r="B5065" s="285">
        <v>0.38269333025331792</v>
      </c>
      <c r="C5065" s="285">
        <v>2.6313059704550761</v>
      </c>
      <c r="D5065" s="285">
        <v>-0.58237654525797899</v>
      </c>
      <c r="E5065" s="285">
        <v>1.3079831598105538</v>
      </c>
    </row>
    <row r="5066" spans="1:5">
      <c r="A5066" s="284">
        <f t="shared" si="1070"/>
        <v>4998</v>
      </c>
      <c r="B5066" s="285">
        <v>2.0408544219683495</v>
      </c>
      <c r="C5066" s="285">
        <v>2.4638008280537309</v>
      </c>
      <c r="D5066" s="285">
        <v>1.1129693490349502</v>
      </c>
      <c r="E5066" s="285">
        <v>-12.368767542653588</v>
      </c>
    </row>
    <row r="5067" spans="1:5">
      <c r="A5067" s="284">
        <f t="shared" si="1070"/>
        <v>4999</v>
      </c>
      <c r="B5067" s="285">
        <v>4.5207106037752078</v>
      </c>
      <c r="C5067" s="285">
        <v>2.7131665945465073</v>
      </c>
      <c r="D5067" s="285">
        <v>3.4475758329032353</v>
      </c>
      <c r="E5067" s="285">
        <v>-6.9197730060020337</v>
      </c>
    </row>
    <row r="5068" spans="1:5">
      <c r="A5068" s="284">
        <f t="shared" si="1070"/>
        <v>5000</v>
      </c>
      <c r="B5068" s="285">
        <v>-0.37063366545691262</v>
      </c>
      <c r="C5068" s="285">
        <v>1.9767215823376063</v>
      </c>
      <c r="D5068" s="285">
        <v>7.5181934133056183E-2</v>
      </c>
      <c r="E5068" s="285">
        <v>-6.0368888663900151</v>
      </c>
    </row>
    <row r="5069" spans="1:5">
      <c r="A5069" s="663">
        <f t="shared" si="1070"/>
        <v>5001</v>
      </c>
      <c r="B5069" s="664">
        <v>-1.5647174721658923</v>
      </c>
      <c r="C5069" s="664">
        <v>2.7086051038304619</v>
      </c>
      <c r="D5069" s="664">
        <v>0.53962744789910255</v>
      </c>
      <c r="E5069" s="664">
        <v>-0.1425191545224922</v>
      </c>
    </row>
    <row r="5070" spans="1:5">
      <c r="A5070" s="284">
        <f t="shared" si="1070"/>
        <v>5002</v>
      </c>
      <c r="B5070" s="285">
        <v>1.0273100742465515</v>
      </c>
      <c r="C5070" s="285">
        <v>2.4059700899343612</v>
      </c>
      <c r="D5070" s="285">
        <v>1.7518625105746379</v>
      </c>
      <c r="E5070" s="285">
        <v>7.2564432131845802</v>
      </c>
    </row>
    <row r="5071" spans="1:5">
      <c r="A5071" s="284">
        <f t="shared" si="1070"/>
        <v>5003</v>
      </c>
      <c r="B5071" s="285">
        <v>-0.17466220629420962</v>
      </c>
      <c r="C5071" s="285">
        <v>1.8938790385812214</v>
      </c>
      <c r="D5071" s="285">
        <v>3.0448113037741686</v>
      </c>
      <c r="E5071" s="285">
        <v>-28.58020906256564</v>
      </c>
    </row>
    <row r="5072" spans="1:5">
      <c r="A5072" s="284">
        <f t="shared" si="1070"/>
        <v>5004</v>
      </c>
      <c r="B5072" s="285">
        <v>2.7193023646396686</v>
      </c>
      <c r="C5072" s="285">
        <v>2.8810225594186338</v>
      </c>
      <c r="D5072" s="285">
        <v>0.72931328936523332</v>
      </c>
      <c r="E5072" s="285">
        <v>-8.3129971403982843</v>
      </c>
    </row>
    <row r="5073" spans="1:5">
      <c r="A5073" s="284">
        <f t="shared" si="1070"/>
        <v>5005</v>
      </c>
      <c r="B5073" s="285">
        <v>1.0814302413880097</v>
      </c>
      <c r="C5073" s="285">
        <v>2.2146834656828553</v>
      </c>
      <c r="D5073" s="285">
        <v>1.9131744524183993</v>
      </c>
      <c r="E5073" s="285">
        <v>-16.202592122417126</v>
      </c>
    </row>
    <row r="5074" spans="1:5">
      <c r="A5074" s="284">
        <f t="shared" si="1070"/>
        <v>5006</v>
      </c>
      <c r="B5074" s="285">
        <v>2.7531139117292796</v>
      </c>
      <c r="C5074" s="285">
        <v>3.1548126188275849</v>
      </c>
      <c r="D5074" s="285">
        <v>2.9479839706756588</v>
      </c>
      <c r="E5074" s="285">
        <v>1.302489877049934</v>
      </c>
    </row>
    <row r="5075" spans="1:5">
      <c r="A5075" s="284">
        <f t="shared" si="1070"/>
        <v>5007</v>
      </c>
      <c r="B5075" s="285">
        <v>5.4652104467534629E-2</v>
      </c>
      <c r="C5075" s="285">
        <v>2.4984697043505788</v>
      </c>
      <c r="D5075" s="285">
        <v>2.2244606011785679</v>
      </c>
      <c r="E5075" s="285">
        <v>-7.8775491820718031</v>
      </c>
    </row>
    <row r="5076" spans="1:5">
      <c r="A5076" s="284">
        <f t="shared" si="1070"/>
        <v>5008</v>
      </c>
      <c r="B5076" s="285">
        <v>-4.4182388508146078</v>
      </c>
      <c r="C5076" s="285">
        <v>2.1419472991321746</v>
      </c>
      <c r="D5076" s="285">
        <v>0.37791468986067533</v>
      </c>
      <c r="E5076" s="285">
        <v>-3.4477268628260331</v>
      </c>
    </row>
    <row r="5077" spans="1:5">
      <c r="A5077" s="284">
        <f t="shared" si="1070"/>
        <v>5009</v>
      </c>
      <c r="B5077" s="285">
        <v>-0.83784715952695921</v>
      </c>
      <c r="C5077" s="285">
        <v>2.0621459916504317</v>
      </c>
      <c r="D5077" s="285">
        <v>-0.26948862816968822</v>
      </c>
      <c r="E5077" s="285">
        <v>-11.600910735209556</v>
      </c>
    </row>
    <row r="5078" spans="1:5">
      <c r="A5078" s="284">
        <f t="shared" si="1070"/>
        <v>5010</v>
      </c>
      <c r="B5078" s="285">
        <v>1.3647498750817169</v>
      </c>
      <c r="C5078" s="285">
        <v>3.2467652709741168</v>
      </c>
      <c r="D5078" s="285">
        <v>0.61077494568351021</v>
      </c>
      <c r="E5078" s="285">
        <v>12.651916375598516</v>
      </c>
    </row>
    <row r="5079" spans="1:5">
      <c r="A5079" s="284">
        <f t="shared" si="1070"/>
        <v>5011</v>
      </c>
      <c r="B5079" s="285">
        <v>1.0947603272087958</v>
      </c>
      <c r="C5079" s="285">
        <v>2.6590045875023756</v>
      </c>
      <c r="D5079" s="285">
        <v>0.40797729082670109</v>
      </c>
      <c r="E5079" s="285">
        <v>-11.631776751459075</v>
      </c>
    </row>
    <row r="5080" spans="1:5">
      <c r="A5080" s="284">
        <f t="shared" si="1070"/>
        <v>5012</v>
      </c>
      <c r="B5080" s="285">
        <v>-1.408512376896504</v>
      </c>
      <c r="C5080" s="285">
        <v>2.9909236899682563</v>
      </c>
      <c r="D5080" s="285">
        <v>-0.89644435995942784</v>
      </c>
      <c r="E5080" s="285">
        <v>5.0783046138240309</v>
      </c>
    </row>
    <row r="5081" spans="1:5">
      <c r="A5081" s="284">
        <f t="shared" si="1070"/>
        <v>5013</v>
      </c>
      <c r="B5081" s="285">
        <v>-0.2340911030497797</v>
      </c>
      <c r="C5081" s="285">
        <v>2.4967946979175637</v>
      </c>
      <c r="D5081" s="285">
        <v>2.2496524894354226</v>
      </c>
      <c r="E5081" s="285">
        <v>-2.0495791919712216</v>
      </c>
    </row>
    <row r="5082" spans="1:5">
      <c r="A5082" s="284">
        <f t="shared" si="1070"/>
        <v>5014</v>
      </c>
      <c r="B5082" s="285">
        <v>-1.0537369366175322</v>
      </c>
      <c r="C5082" s="285">
        <v>1.523523257595826</v>
      </c>
      <c r="D5082" s="285">
        <v>1.9584493892879671</v>
      </c>
      <c r="E5082" s="285">
        <v>-11.696890189764577</v>
      </c>
    </row>
    <row r="5083" spans="1:5">
      <c r="A5083" s="284">
        <f t="shared" si="1070"/>
        <v>5015</v>
      </c>
      <c r="B5083" s="285">
        <v>1.3597565795300519</v>
      </c>
      <c r="C5083" s="285">
        <v>2.7054428038805631</v>
      </c>
      <c r="D5083" s="285">
        <v>0.35160526106751</v>
      </c>
      <c r="E5083" s="285">
        <v>-0.64710022661302169</v>
      </c>
    </row>
    <row r="5084" spans="1:5">
      <c r="A5084" s="284">
        <f t="shared" si="1070"/>
        <v>5016</v>
      </c>
      <c r="B5084" s="285">
        <v>1.3007620555594535</v>
      </c>
      <c r="C5084" s="285">
        <v>1.9442715557579009</v>
      </c>
      <c r="D5084" s="285">
        <v>1.9521632234842428</v>
      </c>
      <c r="E5084" s="285">
        <v>-23.460216577557606</v>
      </c>
    </row>
    <row r="5085" spans="1:5">
      <c r="A5085" s="284">
        <f t="shared" si="1070"/>
        <v>5017</v>
      </c>
      <c r="B5085" s="285">
        <v>-2.1605657105441987</v>
      </c>
      <c r="C5085" s="285">
        <v>2.0464612290514199</v>
      </c>
      <c r="D5085" s="285">
        <v>0.93373406948852478</v>
      </c>
      <c r="E5085" s="285">
        <v>-9.0486767032848689</v>
      </c>
    </row>
    <row r="5086" spans="1:5">
      <c r="A5086" s="284">
        <f t="shared" si="1070"/>
        <v>5018</v>
      </c>
      <c r="B5086" s="285">
        <v>1.1404489991592659</v>
      </c>
      <c r="C5086" s="285">
        <v>2.5842957634569634</v>
      </c>
      <c r="D5086" s="285">
        <v>-0.30136902263406928</v>
      </c>
      <c r="E5086" s="285">
        <v>10.306920769037296</v>
      </c>
    </row>
    <row r="5087" spans="1:5">
      <c r="A5087" s="284">
        <f t="shared" si="1070"/>
        <v>5019</v>
      </c>
      <c r="B5087" s="285">
        <v>-3.4210511487432047</v>
      </c>
      <c r="C5087" s="285">
        <v>2.275349697657171</v>
      </c>
      <c r="D5087" s="285">
        <v>1.0697657180931244</v>
      </c>
      <c r="E5087" s="285">
        <v>-5.7378770900100164</v>
      </c>
    </row>
    <row r="5088" spans="1:5">
      <c r="A5088" s="284">
        <f t="shared" si="1070"/>
        <v>5020</v>
      </c>
      <c r="B5088" s="285">
        <v>-2.2555613439837283</v>
      </c>
      <c r="C5088" s="285">
        <v>2.0175992856312792</v>
      </c>
      <c r="D5088" s="285">
        <v>1.0641577708502004</v>
      </c>
      <c r="E5088" s="285">
        <v>-10.078187328389182</v>
      </c>
    </row>
    <row r="5089" spans="1:5">
      <c r="A5089" s="284">
        <f t="shared" si="1070"/>
        <v>5021</v>
      </c>
      <c r="B5089" s="285">
        <v>-0.48264705041669237</v>
      </c>
      <c r="C5089" s="285">
        <v>2.599027185668016</v>
      </c>
      <c r="D5089" s="285">
        <v>2.5197646805843652</v>
      </c>
      <c r="E5089" s="285">
        <v>2.1782030129792527</v>
      </c>
    </row>
    <row r="5090" spans="1:5">
      <c r="A5090" s="284">
        <f t="shared" si="1070"/>
        <v>5022</v>
      </c>
      <c r="B5090" s="285">
        <v>-3.9027312438017359</v>
      </c>
      <c r="C5090" s="285">
        <v>1.7386231383477266</v>
      </c>
      <c r="D5090" s="285">
        <v>-2.9849002821983772E-2</v>
      </c>
      <c r="E5090" s="285">
        <v>-11.316762880482367</v>
      </c>
    </row>
    <row r="5091" spans="1:5">
      <c r="A5091" s="284">
        <f t="shared" si="1070"/>
        <v>5023</v>
      </c>
      <c r="B5091" s="285">
        <v>-1.4575028383627238</v>
      </c>
      <c r="C5091" s="285">
        <v>2.2877122452193754</v>
      </c>
      <c r="D5091" s="285">
        <v>0.70240019059386749</v>
      </c>
      <c r="E5091" s="285">
        <v>-2.2495251836793839</v>
      </c>
    </row>
    <row r="5092" spans="1:5">
      <c r="A5092" s="284">
        <f t="shared" si="1070"/>
        <v>5024</v>
      </c>
      <c r="B5092" s="285">
        <v>2.4620138388237214</v>
      </c>
      <c r="C5092" s="285">
        <v>2.7053226856289037</v>
      </c>
      <c r="D5092" s="285">
        <v>1.3293322050675678</v>
      </c>
      <c r="E5092" s="285">
        <v>-10.284775724884156</v>
      </c>
    </row>
    <row r="5093" spans="1:5">
      <c r="A5093" s="284">
        <f t="shared" si="1070"/>
        <v>5025</v>
      </c>
      <c r="B5093" s="285">
        <v>0.27599069007476451</v>
      </c>
      <c r="C5093" s="285">
        <v>2.1881220436451008</v>
      </c>
      <c r="D5093" s="285">
        <v>1.1875256193968653</v>
      </c>
      <c r="E5093" s="285">
        <v>-16.303391506944241</v>
      </c>
    </row>
    <row r="5094" spans="1:5">
      <c r="A5094" s="284">
        <f t="shared" si="1070"/>
        <v>5026</v>
      </c>
      <c r="B5094" s="285">
        <v>-2.4259369462649532</v>
      </c>
      <c r="C5094" s="285">
        <v>2.3917926572987671</v>
      </c>
      <c r="D5094" s="285">
        <v>0.83159743745302261</v>
      </c>
      <c r="E5094" s="285">
        <v>-3.421524858288759</v>
      </c>
    </row>
    <row r="5095" spans="1:5">
      <c r="A5095" s="284">
        <f t="shared" si="1070"/>
        <v>5027</v>
      </c>
      <c r="B5095" s="285">
        <v>1.6757728023436964</v>
      </c>
      <c r="C5095" s="285">
        <v>1.939393416440863</v>
      </c>
      <c r="D5095" s="285">
        <v>3.4326910014840508</v>
      </c>
      <c r="E5095" s="285">
        <v>-21.229959430859406</v>
      </c>
    </row>
    <row r="5096" spans="1:5">
      <c r="A5096" s="284">
        <f t="shared" si="1070"/>
        <v>5028</v>
      </c>
      <c r="B5096" s="285">
        <v>-0.29839997553980729</v>
      </c>
      <c r="C5096" s="285">
        <v>3.1426825229272874</v>
      </c>
      <c r="D5096" s="285">
        <v>-7.2210141323429955E-2</v>
      </c>
      <c r="E5096" s="285">
        <v>-7.9826059744508306</v>
      </c>
    </row>
    <row r="5097" spans="1:5">
      <c r="A5097" s="284">
        <f t="shared" si="1070"/>
        <v>5029</v>
      </c>
      <c r="B5097" s="285">
        <v>2.64496958355807</v>
      </c>
      <c r="C5097" s="285">
        <v>2.5464948402839722</v>
      </c>
      <c r="D5097" s="285">
        <v>3.2642957424310231</v>
      </c>
      <c r="E5097" s="285">
        <v>-12.862213456931965</v>
      </c>
    </row>
    <row r="5098" spans="1:5">
      <c r="A5098" s="284">
        <f t="shared" si="1070"/>
        <v>5030</v>
      </c>
      <c r="B5098" s="285">
        <v>-3.8426211034191313</v>
      </c>
      <c r="C5098" s="285">
        <v>2.7458053623695</v>
      </c>
      <c r="D5098" s="285">
        <v>-4.4391883923948772E-3</v>
      </c>
      <c r="E5098" s="285">
        <v>10.025227941787247</v>
      </c>
    </row>
    <row r="5099" spans="1:5">
      <c r="A5099" s="284">
        <f t="shared" si="1070"/>
        <v>5031</v>
      </c>
      <c r="B5099" s="285">
        <v>-1.6852094919081511</v>
      </c>
      <c r="C5099" s="285">
        <v>2.9960902834670282</v>
      </c>
      <c r="D5099" s="285">
        <v>1.7631904652707471</v>
      </c>
      <c r="E5099" s="285">
        <v>-3.4112462637340388</v>
      </c>
    </row>
    <row r="5100" spans="1:5">
      <c r="A5100" s="284">
        <f t="shared" si="1070"/>
        <v>5032</v>
      </c>
      <c r="B5100" s="285">
        <v>2.9146860487292554</v>
      </c>
      <c r="C5100" s="285">
        <v>2.7043429610278973</v>
      </c>
      <c r="D5100" s="285">
        <v>0.5166296203562375</v>
      </c>
      <c r="E5100" s="285">
        <v>1.7892449035640783</v>
      </c>
    </row>
    <row r="5101" spans="1:5">
      <c r="A5101" s="284">
        <f t="shared" si="1070"/>
        <v>5033</v>
      </c>
      <c r="B5101" s="285">
        <v>3.6182597087562556</v>
      </c>
      <c r="C5101" s="285">
        <v>2.9010219715316068</v>
      </c>
      <c r="D5101" s="285">
        <v>2.5229365452109578</v>
      </c>
      <c r="E5101" s="285">
        <v>-1.8832476388676651</v>
      </c>
    </row>
    <row r="5102" spans="1:5">
      <c r="A5102" s="284">
        <f t="shared" si="1070"/>
        <v>5034</v>
      </c>
      <c r="B5102" s="285">
        <v>2.9887555311769294</v>
      </c>
      <c r="C5102" s="285">
        <v>3.1013980302203201</v>
      </c>
      <c r="D5102" s="285">
        <v>1.8454155811587944</v>
      </c>
      <c r="E5102" s="285">
        <v>6.3808150536230421</v>
      </c>
    </row>
    <row r="5103" spans="1:5">
      <c r="A5103" s="284">
        <f t="shared" si="1070"/>
        <v>5035</v>
      </c>
      <c r="B5103" s="285">
        <v>-6.2507276198842936</v>
      </c>
      <c r="C5103" s="285">
        <v>2.3003629042386953</v>
      </c>
      <c r="D5103" s="285">
        <v>2.717438707564507</v>
      </c>
      <c r="E5103" s="285">
        <v>-11.262738577370772</v>
      </c>
    </row>
    <row r="5104" spans="1:5">
      <c r="A5104" s="284">
        <f t="shared" si="1070"/>
        <v>5036</v>
      </c>
      <c r="B5104" s="285">
        <v>-0.76004465220772432</v>
      </c>
      <c r="C5104" s="285">
        <v>2.7140552727386162</v>
      </c>
      <c r="D5104" s="285">
        <v>-0.40968384276863468</v>
      </c>
      <c r="E5104" s="285">
        <v>5.4503109538920409</v>
      </c>
    </row>
    <row r="5105" spans="1:5">
      <c r="A5105" s="284">
        <f t="shared" si="1070"/>
        <v>5037</v>
      </c>
      <c r="B5105" s="285">
        <v>4.7830050762005945</v>
      </c>
      <c r="C5105" s="285">
        <v>2.786058520418389</v>
      </c>
      <c r="D5105" s="285">
        <v>2.3425814448151825</v>
      </c>
      <c r="E5105" s="285">
        <v>-21.181665081406539</v>
      </c>
    </row>
    <row r="5106" spans="1:5">
      <c r="A5106" s="284">
        <f t="shared" si="1070"/>
        <v>5038</v>
      </c>
      <c r="B5106" s="285">
        <v>-6.3411111728953015E-2</v>
      </c>
      <c r="C5106" s="285">
        <v>2.7266151008077322</v>
      </c>
      <c r="D5106" s="285">
        <v>1.1252284014425771</v>
      </c>
      <c r="E5106" s="285">
        <v>4.2166447091152222</v>
      </c>
    </row>
    <row r="5107" spans="1:5">
      <c r="A5107" s="284">
        <f t="shared" si="1070"/>
        <v>5039</v>
      </c>
      <c r="B5107" s="285">
        <v>1.9916848564180525</v>
      </c>
      <c r="C5107" s="285">
        <v>2.5869471120988239</v>
      </c>
      <c r="D5107" s="285">
        <v>1.6592240377100267</v>
      </c>
      <c r="E5107" s="285">
        <v>-14.888475217177492</v>
      </c>
    </row>
    <row r="5108" spans="1:5">
      <c r="A5108" s="284">
        <f t="shared" si="1070"/>
        <v>5040</v>
      </c>
      <c r="B5108" s="285">
        <v>-1.4101578568709519</v>
      </c>
      <c r="C5108" s="285">
        <v>2.5294637653445591</v>
      </c>
      <c r="D5108" s="285">
        <v>2.1611954356983611</v>
      </c>
      <c r="E5108" s="285">
        <v>-7.0645095050856312</v>
      </c>
    </row>
    <row r="5109" spans="1:5">
      <c r="A5109" s="284">
        <f t="shared" si="1070"/>
        <v>5041</v>
      </c>
      <c r="B5109" s="285">
        <v>0.69684874155967225</v>
      </c>
      <c r="C5109" s="285">
        <v>3.0306110030396396</v>
      </c>
      <c r="D5109" s="285">
        <v>3.2954174267006504</v>
      </c>
      <c r="E5109" s="285">
        <v>6.4852608762013091</v>
      </c>
    </row>
    <row r="5110" spans="1:5">
      <c r="A5110" s="284">
        <f t="shared" si="1070"/>
        <v>5042</v>
      </c>
      <c r="B5110" s="285">
        <v>2.0579341997503118</v>
      </c>
      <c r="C5110" s="285">
        <v>2.9910516558806752</v>
      </c>
      <c r="D5110" s="285">
        <v>1.9066736191181468</v>
      </c>
      <c r="E5110" s="285">
        <v>10.377680834490519</v>
      </c>
    </row>
    <row r="5111" spans="1:5">
      <c r="A5111" s="284">
        <f t="shared" si="1070"/>
        <v>5043</v>
      </c>
      <c r="B5111" s="285">
        <v>-2.7943772795522963</v>
      </c>
      <c r="C5111" s="285">
        <v>2.6366562432945946</v>
      </c>
      <c r="D5111" s="285">
        <v>5.0852364426879904E-2</v>
      </c>
      <c r="E5111" s="285">
        <v>8.9649562019616624</v>
      </c>
    </row>
    <row r="5112" spans="1:5">
      <c r="A5112" s="284">
        <f t="shared" si="1070"/>
        <v>5044</v>
      </c>
      <c r="B5112" s="285">
        <v>-1.633379545553842</v>
      </c>
      <c r="C5112" s="285">
        <v>2.0225768009248632</v>
      </c>
      <c r="D5112" s="285">
        <v>1.5348213422712811</v>
      </c>
      <c r="E5112" s="285">
        <v>-11.864449651141753</v>
      </c>
    </row>
    <row r="5113" spans="1:5">
      <c r="A5113" s="284">
        <f t="shared" si="1070"/>
        <v>5045</v>
      </c>
      <c r="B5113" s="285">
        <v>-2.059745600810734</v>
      </c>
      <c r="C5113" s="285">
        <v>3.4809452517629271</v>
      </c>
      <c r="D5113" s="285">
        <v>-8.0518140848465203E-2</v>
      </c>
      <c r="E5113" s="285">
        <v>15.167032090638891</v>
      </c>
    </row>
    <row r="5114" spans="1:5">
      <c r="A5114" s="284">
        <f t="shared" si="1070"/>
        <v>5046</v>
      </c>
      <c r="B5114" s="285">
        <v>2.3203541453855281</v>
      </c>
      <c r="C5114" s="285">
        <v>2.3141011802317357</v>
      </c>
      <c r="D5114" s="285">
        <v>3.760853150261882</v>
      </c>
      <c r="E5114" s="285">
        <v>-11.727156936827864</v>
      </c>
    </row>
    <row r="5115" spans="1:5">
      <c r="A5115" s="284">
        <f t="shared" si="1070"/>
        <v>5047</v>
      </c>
      <c r="B5115" s="285">
        <v>1.6029808000791828</v>
      </c>
      <c r="C5115" s="285">
        <v>3.1792463425301052</v>
      </c>
      <c r="D5115" s="285">
        <v>0.64501524259085818</v>
      </c>
      <c r="E5115" s="285">
        <v>5.9563146895746488</v>
      </c>
    </row>
    <row r="5116" spans="1:5">
      <c r="A5116" s="284">
        <f t="shared" si="1070"/>
        <v>5048</v>
      </c>
      <c r="B5116" s="285">
        <v>-0.5093048253177006</v>
      </c>
      <c r="C5116" s="285">
        <v>2.4820054303639654</v>
      </c>
      <c r="D5116" s="285">
        <v>0.74878355111287886</v>
      </c>
      <c r="E5116" s="285">
        <v>-4.6003075840245549</v>
      </c>
    </row>
    <row r="5117" spans="1:5">
      <c r="A5117" s="284">
        <f t="shared" si="1070"/>
        <v>5049</v>
      </c>
      <c r="B5117" s="285">
        <v>0.22154907960601528</v>
      </c>
      <c r="C5117" s="285">
        <v>2.1755932745742803</v>
      </c>
      <c r="D5117" s="285">
        <v>1.9026002271666551</v>
      </c>
      <c r="E5117" s="285">
        <v>-0.38836743575694976</v>
      </c>
    </row>
    <row r="5118" spans="1:5">
      <c r="A5118" s="284">
        <f t="shared" si="1070"/>
        <v>5050</v>
      </c>
      <c r="B5118" s="285">
        <v>-0.34167901828265934</v>
      </c>
      <c r="C5118" s="285">
        <v>2.1670140593385421</v>
      </c>
      <c r="D5118" s="285">
        <v>1.7445451967383532</v>
      </c>
      <c r="E5118" s="285">
        <v>-9.1384791589931496</v>
      </c>
    </row>
    <row r="5119" spans="1:5">
      <c r="A5119" s="284">
        <f t="shared" si="1070"/>
        <v>5051</v>
      </c>
      <c r="B5119" s="285">
        <v>-1.1505045722031582</v>
      </c>
      <c r="C5119" s="285">
        <v>2.0516261883552307</v>
      </c>
      <c r="D5119" s="285">
        <v>3.012810378313254</v>
      </c>
      <c r="E5119" s="285">
        <v>-8.6729370289396766</v>
      </c>
    </row>
    <row r="5120" spans="1:5">
      <c r="A5120" s="284">
        <f t="shared" si="1070"/>
        <v>5052</v>
      </c>
      <c r="B5120" s="285">
        <v>-0.39054601411781015</v>
      </c>
      <c r="C5120" s="285">
        <v>2.9778605346955342</v>
      </c>
      <c r="D5120" s="285">
        <v>1.8071964513576413</v>
      </c>
      <c r="E5120" s="285">
        <v>-2.344223413877351</v>
      </c>
    </row>
    <row r="5121" spans="1:5">
      <c r="A5121" s="284">
        <f t="shared" si="1070"/>
        <v>5053</v>
      </c>
      <c r="B5121" s="285">
        <v>-0.65208995848209228</v>
      </c>
      <c r="C5121" s="285">
        <v>2.4724700465019027</v>
      </c>
      <c r="D5121" s="285">
        <v>-1.2505041683549489</v>
      </c>
      <c r="E5121" s="285">
        <v>-5.3094041439164528</v>
      </c>
    </row>
    <row r="5122" spans="1:5">
      <c r="A5122" s="284">
        <f t="shared" si="1070"/>
        <v>5054</v>
      </c>
      <c r="B5122" s="285">
        <v>-1.6690763076821797</v>
      </c>
      <c r="C5122" s="285">
        <v>1.9574593547957773</v>
      </c>
      <c r="D5122" s="285">
        <v>-0.13114722411823876</v>
      </c>
      <c r="E5122" s="285">
        <v>-13.938563752660391</v>
      </c>
    </row>
    <row r="5123" spans="1:5">
      <c r="A5123" s="284">
        <f t="shared" si="1070"/>
        <v>5055</v>
      </c>
      <c r="B5123" s="285">
        <v>-0.9534165298134879</v>
      </c>
      <c r="C5123" s="285">
        <v>2.6960483232097205</v>
      </c>
      <c r="D5123" s="285">
        <v>1.0814317314291462</v>
      </c>
      <c r="E5123" s="285">
        <v>-9.3249452246231268</v>
      </c>
    </row>
    <row r="5124" spans="1:5">
      <c r="A5124" s="284">
        <f t="shared" si="1070"/>
        <v>5056</v>
      </c>
      <c r="B5124" s="285">
        <v>0.626126303581929</v>
      </c>
      <c r="C5124" s="285">
        <v>2.0088309307539394</v>
      </c>
      <c r="D5124" s="285">
        <v>3.4583946200142348</v>
      </c>
      <c r="E5124" s="285">
        <v>-7.4231021082036346</v>
      </c>
    </row>
    <row r="5125" spans="1:5">
      <c r="A5125" s="284">
        <f t="shared" si="1070"/>
        <v>5057</v>
      </c>
      <c r="B5125" s="285">
        <v>-1.7663875888856262</v>
      </c>
      <c r="C5125" s="285">
        <v>2.7925620140671805</v>
      </c>
      <c r="D5125" s="285">
        <v>1.9482504864074028</v>
      </c>
      <c r="E5125" s="285">
        <v>6.4767675306725003E-2</v>
      </c>
    </row>
    <row r="5126" spans="1:5">
      <c r="A5126" s="284">
        <f t="shared" si="1070"/>
        <v>5058</v>
      </c>
      <c r="B5126" s="285">
        <v>0.24582898911735071</v>
      </c>
      <c r="C5126" s="285">
        <v>2.9139354252929666</v>
      </c>
      <c r="D5126" s="285">
        <v>2.3422875412431861</v>
      </c>
      <c r="E5126" s="285">
        <v>-4.7593271081512682</v>
      </c>
    </row>
    <row r="5127" spans="1:5">
      <c r="A5127" s="284">
        <f t="shared" ref="A5127:A5190" si="1071">A5126+1</f>
        <v>5059</v>
      </c>
      <c r="B5127" s="285">
        <v>3.7820242669177664</v>
      </c>
      <c r="C5127" s="285">
        <v>2.7223598259982165</v>
      </c>
      <c r="D5127" s="285">
        <v>2.1954650992687679</v>
      </c>
      <c r="E5127" s="285">
        <v>3.0195912756686192</v>
      </c>
    </row>
    <row r="5128" spans="1:5">
      <c r="A5128" s="284">
        <f t="shared" si="1071"/>
        <v>5060</v>
      </c>
      <c r="B5128" s="285">
        <v>-1.0100539384605021</v>
      </c>
      <c r="C5128" s="285">
        <v>2.4916816972742923</v>
      </c>
      <c r="D5128" s="285">
        <v>2.5354942442653665</v>
      </c>
      <c r="E5128" s="285">
        <v>3.6744008133658821</v>
      </c>
    </row>
    <row r="5129" spans="1:5">
      <c r="A5129" s="284">
        <f t="shared" si="1071"/>
        <v>5061</v>
      </c>
      <c r="B5129" s="285">
        <v>-1.0074688026621907</v>
      </c>
      <c r="C5129" s="285">
        <v>2.6807114363246205</v>
      </c>
      <c r="D5129" s="285">
        <v>1.3605122678188115</v>
      </c>
      <c r="E5129" s="285">
        <v>1.8734646405719331</v>
      </c>
    </row>
    <row r="5130" spans="1:5">
      <c r="A5130" s="284">
        <f t="shared" si="1071"/>
        <v>5062</v>
      </c>
      <c r="B5130" s="285">
        <v>-1.0522984382610343</v>
      </c>
      <c r="C5130" s="285">
        <v>2.8274898932314319</v>
      </c>
      <c r="D5130" s="285">
        <v>-0.47954913374079311</v>
      </c>
      <c r="E5130" s="285">
        <v>4.8436052831998797</v>
      </c>
    </row>
    <row r="5131" spans="1:5">
      <c r="A5131" s="284">
        <f t="shared" si="1071"/>
        <v>5063</v>
      </c>
      <c r="B5131" s="285">
        <v>4.6902379316397687</v>
      </c>
      <c r="C5131" s="285">
        <v>3.1014871904767709</v>
      </c>
      <c r="D5131" s="285">
        <v>0.2715757615013481</v>
      </c>
      <c r="E5131" s="285">
        <v>5.8894612370566861</v>
      </c>
    </row>
    <row r="5132" spans="1:5">
      <c r="A5132" s="284">
        <f t="shared" si="1071"/>
        <v>5064</v>
      </c>
      <c r="B5132" s="285">
        <v>1.7565977066555885</v>
      </c>
      <c r="C5132" s="285">
        <v>2.3371268230043429</v>
      </c>
      <c r="D5132" s="285">
        <v>0.60567973129085961</v>
      </c>
      <c r="E5132" s="285">
        <v>-13.632324634686444</v>
      </c>
    </row>
    <row r="5133" spans="1:5">
      <c r="A5133" s="284">
        <f t="shared" si="1071"/>
        <v>5065</v>
      </c>
      <c r="B5133" s="285">
        <v>5.4239243707727054</v>
      </c>
      <c r="C5133" s="285">
        <v>3.2525464709370997</v>
      </c>
      <c r="D5133" s="285">
        <v>1.2789764113991549</v>
      </c>
      <c r="E5133" s="285">
        <v>7.6548504119461498</v>
      </c>
    </row>
    <row r="5134" spans="1:5">
      <c r="A5134" s="284">
        <f t="shared" si="1071"/>
        <v>5066</v>
      </c>
      <c r="B5134" s="285">
        <v>-1.0076929999780058</v>
      </c>
      <c r="C5134" s="285">
        <v>2.0373997884127228</v>
      </c>
      <c r="D5134" s="285">
        <v>0.568892174424527</v>
      </c>
      <c r="E5134" s="285">
        <v>-8.2444406278987561</v>
      </c>
    </row>
    <row r="5135" spans="1:5">
      <c r="A5135" s="284">
        <f t="shared" si="1071"/>
        <v>5067</v>
      </c>
      <c r="B5135" s="285">
        <v>2.8169675903601408</v>
      </c>
      <c r="C5135" s="285">
        <v>2.2808744384814301</v>
      </c>
      <c r="D5135" s="285">
        <v>3.1649074625505302</v>
      </c>
      <c r="E5135" s="285">
        <v>0.40001033446243861</v>
      </c>
    </row>
    <row r="5136" spans="1:5">
      <c r="A5136" s="284">
        <f t="shared" si="1071"/>
        <v>5068</v>
      </c>
      <c r="B5136" s="285">
        <v>1.9096754949086916</v>
      </c>
      <c r="C5136" s="285">
        <v>2.1938989626866681</v>
      </c>
      <c r="D5136" s="285">
        <v>2.9131644289205529</v>
      </c>
      <c r="E5136" s="285">
        <v>-21.586886445400619</v>
      </c>
    </row>
    <row r="5137" spans="1:5">
      <c r="A5137" s="284">
        <f t="shared" si="1071"/>
        <v>5069</v>
      </c>
      <c r="B5137" s="285">
        <v>0.50954626102134071</v>
      </c>
      <c r="C5137" s="285">
        <v>3.0998134606945933</v>
      </c>
      <c r="D5137" s="285">
        <v>0.20930632868909105</v>
      </c>
      <c r="E5137" s="285">
        <v>-2.1061599578830523</v>
      </c>
    </row>
    <row r="5138" spans="1:5">
      <c r="A5138" s="284">
        <f t="shared" si="1071"/>
        <v>5070</v>
      </c>
      <c r="B5138" s="285">
        <v>-0.18790692174265747</v>
      </c>
      <c r="C5138" s="285">
        <v>3.1217960803063454</v>
      </c>
      <c r="D5138" s="285">
        <v>-0.36503659027021085</v>
      </c>
      <c r="E5138" s="285">
        <v>1.0537930230901105</v>
      </c>
    </row>
    <row r="5139" spans="1:5">
      <c r="A5139" s="284">
        <f t="shared" si="1071"/>
        <v>5071</v>
      </c>
      <c r="B5139" s="285">
        <v>-2.4222040767513962</v>
      </c>
      <c r="C5139" s="285">
        <v>2.5244341103870047</v>
      </c>
      <c r="D5139" s="285">
        <v>3.3965096715343868</v>
      </c>
      <c r="E5139" s="285">
        <v>-6.6739809844935865</v>
      </c>
    </row>
    <row r="5140" spans="1:5">
      <c r="A5140" s="284">
        <f t="shared" si="1071"/>
        <v>5072</v>
      </c>
      <c r="B5140" s="285">
        <v>3.2464561148564415</v>
      </c>
      <c r="C5140" s="285">
        <v>2.1047931288229007</v>
      </c>
      <c r="D5140" s="285">
        <v>1.169175130098447</v>
      </c>
      <c r="E5140" s="285">
        <v>-17.868339783242778</v>
      </c>
    </row>
    <row r="5141" spans="1:5">
      <c r="A5141" s="284">
        <f t="shared" si="1071"/>
        <v>5073</v>
      </c>
      <c r="B5141" s="285">
        <v>8.0225482587459596E-2</v>
      </c>
      <c r="C5141" s="285">
        <v>2.9495747110982369</v>
      </c>
      <c r="D5141" s="285">
        <v>0.15446013356751154</v>
      </c>
      <c r="E5141" s="285">
        <v>8.851774644522397</v>
      </c>
    </row>
    <row r="5142" spans="1:5">
      <c r="A5142" s="284">
        <f t="shared" si="1071"/>
        <v>5074</v>
      </c>
      <c r="B5142" s="285">
        <v>3.6155862036754698</v>
      </c>
      <c r="C5142" s="285">
        <v>2.517897601095255</v>
      </c>
      <c r="D5142" s="285">
        <v>4.9200641946808057</v>
      </c>
      <c r="E5142" s="285">
        <v>0.13807449190102128</v>
      </c>
    </row>
    <row r="5143" spans="1:5">
      <c r="A5143" s="284">
        <f t="shared" si="1071"/>
        <v>5075</v>
      </c>
      <c r="B5143" s="285">
        <v>5.0939533622236217</v>
      </c>
      <c r="C5143" s="285">
        <v>3.0455903986520072</v>
      </c>
      <c r="D5143" s="285">
        <v>2.6460216373197687</v>
      </c>
      <c r="E5143" s="285">
        <v>1.012741267775461</v>
      </c>
    </row>
    <row r="5144" spans="1:5">
      <c r="A5144" s="284">
        <f t="shared" si="1071"/>
        <v>5076</v>
      </c>
      <c r="B5144" s="285">
        <v>3.5698728982718793</v>
      </c>
      <c r="C5144" s="285">
        <v>2.8420156686201654</v>
      </c>
      <c r="D5144" s="285">
        <v>2.2948671757183412</v>
      </c>
      <c r="E5144" s="285">
        <v>-2.7674620234259115</v>
      </c>
    </row>
    <row r="5145" spans="1:5">
      <c r="A5145" s="284">
        <f t="shared" si="1071"/>
        <v>5077</v>
      </c>
      <c r="B5145" s="285">
        <v>0.39308204420445342</v>
      </c>
      <c r="C5145" s="285">
        <v>3.0092607677163561</v>
      </c>
      <c r="D5145" s="285">
        <v>0.99286797752199973</v>
      </c>
      <c r="E5145" s="285">
        <v>4.87405315965065</v>
      </c>
    </row>
    <row r="5146" spans="1:5">
      <c r="A5146" s="284">
        <f t="shared" si="1071"/>
        <v>5078</v>
      </c>
      <c r="B5146" s="285">
        <v>-2.665596011024144E-2</v>
      </c>
      <c r="C5146" s="285">
        <v>2.3723601961928993</v>
      </c>
      <c r="D5146" s="285">
        <v>3.1615464989893649E-3</v>
      </c>
      <c r="E5146" s="285">
        <v>-12.736944157673463</v>
      </c>
    </row>
    <row r="5147" spans="1:5">
      <c r="A5147" s="284">
        <f t="shared" si="1071"/>
        <v>5079</v>
      </c>
      <c r="B5147" s="285">
        <v>1.3797571153143169</v>
      </c>
      <c r="C5147" s="285">
        <v>2.3271944008602725</v>
      </c>
      <c r="D5147" s="285">
        <v>2.8639305245315674</v>
      </c>
      <c r="E5147" s="285">
        <v>-10.883347286110595</v>
      </c>
    </row>
    <row r="5148" spans="1:5">
      <c r="A5148" s="284">
        <f t="shared" si="1071"/>
        <v>5080</v>
      </c>
      <c r="B5148" s="285">
        <v>2.9811677524892812</v>
      </c>
      <c r="C5148" s="285">
        <v>3.060244257501485</v>
      </c>
      <c r="D5148" s="285">
        <v>1.7855720799065535</v>
      </c>
      <c r="E5148" s="285">
        <v>15.094859310131515</v>
      </c>
    </row>
    <row r="5149" spans="1:5">
      <c r="A5149" s="284">
        <f t="shared" si="1071"/>
        <v>5081</v>
      </c>
      <c r="B5149" s="285">
        <v>-8.3020727357992138E-2</v>
      </c>
      <c r="C5149" s="285">
        <v>1.8753227513538957</v>
      </c>
      <c r="D5149" s="285">
        <v>1.8584728016200116</v>
      </c>
      <c r="E5149" s="285">
        <v>-11.721563072601654</v>
      </c>
    </row>
    <row r="5150" spans="1:5">
      <c r="A5150" s="284">
        <f t="shared" si="1071"/>
        <v>5082</v>
      </c>
      <c r="B5150" s="285">
        <v>2.0274631410378197</v>
      </c>
      <c r="C5150" s="285">
        <v>2.6427646753781682</v>
      </c>
      <c r="D5150" s="285">
        <v>2.9222121335864379</v>
      </c>
      <c r="E5150" s="285">
        <v>1.33005576549778</v>
      </c>
    </row>
    <row r="5151" spans="1:5">
      <c r="A5151" s="284">
        <f t="shared" si="1071"/>
        <v>5083</v>
      </c>
      <c r="B5151" s="285">
        <v>-2.9601444473278362</v>
      </c>
      <c r="C5151" s="285">
        <v>2.8634879559520408</v>
      </c>
      <c r="D5151" s="285">
        <v>1.1864500908167663</v>
      </c>
      <c r="E5151" s="285">
        <v>0.24610363272804259</v>
      </c>
    </row>
    <row r="5152" spans="1:5">
      <c r="A5152" s="284">
        <f t="shared" si="1071"/>
        <v>5084</v>
      </c>
      <c r="B5152" s="285">
        <v>0.634948619985791</v>
      </c>
      <c r="C5152" s="285">
        <v>2.5886762913186665</v>
      </c>
      <c r="D5152" s="285">
        <v>-4.6431298128082332E-2</v>
      </c>
      <c r="E5152" s="285">
        <v>-3.6915632070481577</v>
      </c>
    </row>
    <row r="5153" spans="1:5">
      <c r="A5153" s="284">
        <f t="shared" si="1071"/>
        <v>5085</v>
      </c>
      <c r="B5153" s="285">
        <v>-1.2812902918545603</v>
      </c>
      <c r="C5153" s="285">
        <v>3.0275631046334697</v>
      </c>
      <c r="D5153" s="285">
        <v>0.32730663476361743</v>
      </c>
      <c r="E5153" s="285">
        <v>2.0207488420667334</v>
      </c>
    </row>
    <row r="5154" spans="1:5">
      <c r="A5154" s="284">
        <f t="shared" si="1071"/>
        <v>5086</v>
      </c>
      <c r="B5154" s="285">
        <v>-2.2610542081166805</v>
      </c>
      <c r="C5154" s="285">
        <v>1.2788205727284405</v>
      </c>
      <c r="D5154" s="285">
        <v>0.27287135956809982</v>
      </c>
      <c r="E5154" s="285">
        <v>-20.195461892111624</v>
      </c>
    </row>
    <row r="5155" spans="1:5">
      <c r="A5155" s="284">
        <f t="shared" si="1071"/>
        <v>5087</v>
      </c>
      <c r="B5155" s="285">
        <v>-0.3346820153944004</v>
      </c>
      <c r="C5155" s="285">
        <v>2.902804455710442</v>
      </c>
      <c r="D5155" s="285">
        <v>0.38488847861865616</v>
      </c>
      <c r="E5155" s="285">
        <v>2.9060985768601353</v>
      </c>
    </row>
    <row r="5156" spans="1:5">
      <c r="A5156" s="284">
        <f t="shared" si="1071"/>
        <v>5088</v>
      </c>
      <c r="B5156" s="285">
        <v>1.1221040333359538</v>
      </c>
      <c r="C5156" s="285">
        <v>3.3448946294674302</v>
      </c>
      <c r="D5156" s="285">
        <v>-0.53246119532258973</v>
      </c>
      <c r="E5156" s="285">
        <v>3.7543233231133208</v>
      </c>
    </row>
    <row r="5157" spans="1:5">
      <c r="A5157" s="284">
        <f t="shared" si="1071"/>
        <v>5089</v>
      </c>
      <c r="B5157" s="285">
        <v>-2.4034659529485811</v>
      </c>
      <c r="C5157" s="285">
        <v>2.1479780544848941</v>
      </c>
      <c r="D5157" s="285">
        <v>0.60011909815174758</v>
      </c>
      <c r="E5157" s="285">
        <v>-1.7238918502811327</v>
      </c>
    </row>
    <row r="5158" spans="1:5">
      <c r="A5158" s="284">
        <f t="shared" si="1071"/>
        <v>5090</v>
      </c>
      <c r="B5158" s="285">
        <v>-1.1065974298750849</v>
      </c>
      <c r="C5158" s="285">
        <v>2.4362603587159266</v>
      </c>
      <c r="D5158" s="285">
        <v>-0.79684666636820056</v>
      </c>
      <c r="E5158" s="285">
        <v>5.3435953201498521</v>
      </c>
    </row>
    <row r="5159" spans="1:5">
      <c r="A5159" s="284">
        <f t="shared" si="1071"/>
        <v>5091</v>
      </c>
      <c r="B5159" s="285">
        <v>3.4552495951417486</v>
      </c>
      <c r="C5159" s="285">
        <v>2.6066093557183869</v>
      </c>
      <c r="D5159" s="285">
        <v>2.6007767673201858</v>
      </c>
      <c r="E5159" s="285">
        <v>-12.911786290094343</v>
      </c>
    </row>
    <row r="5160" spans="1:5">
      <c r="A5160" s="284">
        <f t="shared" si="1071"/>
        <v>5092</v>
      </c>
      <c r="B5160" s="285">
        <v>-5.2536234639119932E-2</v>
      </c>
      <c r="C5160" s="285">
        <v>2.0550197940100103</v>
      </c>
      <c r="D5160" s="285">
        <v>0.74617984868834486</v>
      </c>
      <c r="E5160" s="285">
        <v>6.0192435800819144</v>
      </c>
    </row>
    <row r="5161" spans="1:5">
      <c r="A5161" s="284">
        <f t="shared" si="1071"/>
        <v>5093</v>
      </c>
      <c r="B5161" s="285">
        <v>1.5924379429928264</v>
      </c>
      <c r="C5161" s="285">
        <v>2.8444259297449159</v>
      </c>
      <c r="D5161" s="285">
        <v>-0.337725778944993</v>
      </c>
      <c r="E5161" s="285">
        <v>1.762114263048502</v>
      </c>
    </row>
    <row r="5162" spans="1:5">
      <c r="A5162" s="284">
        <f t="shared" si="1071"/>
        <v>5094</v>
      </c>
      <c r="B5162" s="285">
        <v>-0.74991513220237216</v>
      </c>
      <c r="C5162" s="285">
        <v>1.9290163481160487</v>
      </c>
      <c r="D5162" s="285">
        <v>1.5410563191853244</v>
      </c>
      <c r="E5162" s="285">
        <v>-16.713852331158741</v>
      </c>
    </row>
    <row r="5163" spans="1:5">
      <c r="A5163" s="284">
        <f t="shared" si="1071"/>
        <v>5095</v>
      </c>
      <c r="B5163" s="285">
        <v>0.52920575389229685</v>
      </c>
      <c r="C5163" s="285">
        <v>3.2622637020117029</v>
      </c>
      <c r="D5163" s="285">
        <v>0.2640235084855973</v>
      </c>
      <c r="E5163" s="285">
        <v>12.947210971714394</v>
      </c>
    </row>
    <row r="5164" spans="1:5">
      <c r="A5164" s="284">
        <f t="shared" si="1071"/>
        <v>5096</v>
      </c>
      <c r="B5164" s="285">
        <v>5.0975432464736688E-2</v>
      </c>
      <c r="C5164" s="285">
        <v>2.4948292838244224</v>
      </c>
      <c r="D5164" s="285">
        <v>1.2391392499359282</v>
      </c>
      <c r="E5164" s="285">
        <v>4.3612107223716983</v>
      </c>
    </row>
    <row r="5165" spans="1:5">
      <c r="A5165" s="284">
        <f t="shared" si="1071"/>
        <v>5097</v>
      </c>
      <c r="B5165" s="285">
        <v>1.812677377636285</v>
      </c>
      <c r="C5165" s="285">
        <v>2.0698236770124341</v>
      </c>
      <c r="D5165" s="285">
        <v>2.5901295081326943</v>
      </c>
      <c r="E5165" s="285">
        <v>-13.221787887814656</v>
      </c>
    </row>
    <row r="5166" spans="1:5">
      <c r="A5166" s="284">
        <f t="shared" si="1071"/>
        <v>5098</v>
      </c>
      <c r="B5166" s="285">
        <v>-0.20749183051493103</v>
      </c>
      <c r="C5166" s="285">
        <v>1.6214983429102587</v>
      </c>
      <c r="D5166" s="285">
        <v>0.71615057747003252</v>
      </c>
      <c r="E5166" s="285">
        <v>-12.54996582988306</v>
      </c>
    </row>
    <row r="5167" spans="1:5">
      <c r="A5167" s="284">
        <f t="shared" si="1071"/>
        <v>5099</v>
      </c>
      <c r="B5167" s="285">
        <v>-0.44229704573979095</v>
      </c>
      <c r="C5167" s="285">
        <v>2.8971728189645436</v>
      </c>
      <c r="D5167" s="285">
        <v>2.3761091785284116</v>
      </c>
      <c r="E5167" s="285">
        <v>5.3772025276872384</v>
      </c>
    </row>
    <row r="5168" spans="1:5">
      <c r="A5168" s="284">
        <f t="shared" si="1071"/>
        <v>5100</v>
      </c>
      <c r="B5168" s="285">
        <v>-8.8680733608948029E-2</v>
      </c>
      <c r="C5168" s="285">
        <v>2.6592995937195907</v>
      </c>
      <c r="D5168" s="285">
        <v>0.67430003496103597</v>
      </c>
      <c r="E5168" s="285">
        <v>4.0671928658634382</v>
      </c>
    </row>
    <row r="5169" spans="1:5">
      <c r="A5169" s="284">
        <f t="shared" si="1071"/>
        <v>5101</v>
      </c>
      <c r="B5169" s="285">
        <v>-0.82238259837949812</v>
      </c>
      <c r="C5169" s="285">
        <v>2.6941419002861231</v>
      </c>
      <c r="D5169" s="285">
        <v>0.28278226414316165</v>
      </c>
      <c r="E5169" s="285">
        <v>2.331385007042313</v>
      </c>
    </row>
    <row r="5170" spans="1:5">
      <c r="A5170" s="284">
        <f t="shared" si="1071"/>
        <v>5102</v>
      </c>
      <c r="B5170" s="285">
        <v>-2.3622294441671698</v>
      </c>
      <c r="C5170" s="285">
        <v>2.2475691087604397</v>
      </c>
      <c r="D5170" s="285">
        <v>-4.9620779629731437E-2</v>
      </c>
      <c r="E5170" s="285">
        <v>-4.1353466243076475</v>
      </c>
    </row>
    <row r="5171" spans="1:5">
      <c r="A5171" s="284">
        <f t="shared" si="1071"/>
        <v>5103</v>
      </c>
      <c r="B5171" s="285">
        <v>-1.3536301757715472</v>
      </c>
      <c r="C5171" s="285">
        <v>2.4177398051218426</v>
      </c>
      <c r="D5171" s="285">
        <v>1.1798130264253535</v>
      </c>
      <c r="E5171" s="285">
        <v>-2.334932521216428</v>
      </c>
    </row>
    <row r="5172" spans="1:5">
      <c r="A5172" s="284">
        <f t="shared" si="1071"/>
        <v>5104</v>
      </c>
      <c r="B5172" s="285">
        <v>1.3213079936929844</v>
      </c>
      <c r="C5172" s="285">
        <v>1.7562585621498841</v>
      </c>
      <c r="D5172" s="285">
        <v>0.79259175635279666</v>
      </c>
      <c r="E5172" s="285">
        <v>-23.906913011727362</v>
      </c>
    </row>
    <row r="5173" spans="1:5">
      <c r="A5173" s="284">
        <f t="shared" si="1071"/>
        <v>5105</v>
      </c>
      <c r="B5173" s="285">
        <v>3.7637232448508757</v>
      </c>
      <c r="C5173" s="285">
        <v>2.9755138180957079</v>
      </c>
      <c r="D5173" s="285">
        <v>1.8780899249395797</v>
      </c>
      <c r="E5173" s="285">
        <v>-10.501362222861861</v>
      </c>
    </row>
    <row r="5174" spans="1:5">
      <c r="A5174" s="284">
        <f t="shared" si="1071"/>
        <v>5106</v>
      </c>
      <c r="B5174" s="285">
        <v>-2.4144732876897157</v>
      </c>
      <c r="C5174" s="285">
        <v>2.9883509411329556</v>
      </c>
      <c r="D5174" s="285">
        <v>-1.1574167727206888</v>
      </c>
      <c r="E5174" s="285">
        <v>-5.7643375401631669E-2</v>
      </c>
    </row>
    <row r="5175" spans="1:5">
      <c r="A5175" s="284">
        <f t="shared" si="1071"/>
        <v>5107</v>
      </c>
      <c r="B5175" s="285">
        <v>-4.183886425352255</v>
      </c>
      <c r="C5175" s="285">
        <v>2.9508715289863172</v>
      </c>
      <c r="D5175" s="285">
        <v>-0.54310582392179141</v>
      </c>
      <c r="E5175" s="285">
        <v>17.789776358865534</v>
      </c>
    </row>
    <row r="5176" spans="1:5">
      <c r="A5176" s="284">
        <f t="shared" si="1071"/>
        <v>5108</v>
      </c>
      <c r="B5176" s="285">
        <v>1.0308529981235615</v>
      </c>
      <c r="C5176" s="285">
        <v>2.626108703663065</v>
      </c>
      <c r="D5176" s="285">
        <v>3.2412739934548145</v>
      </c>
      <c r="E5176" s="285">
        <v>-12.183297956841301</v>
      </c>
    </row>
    <row r="5177" spans="1:5">
      <c r="A5177" s="284">
        <f t="shared" si="1071"/>
        <v>5109</v>
      </c>
      <c r="B5177" s="285">
        <v>2.8443463695019493</v>
      </c>
      <c r="C5177" s="285">
        <v>2.0800471697049323</v>
      </c>
      <c r="D5177" s="285">
        <v>1.94482998691149</v>
      </c>
      <c r="E5177" s="285">
        <v>-16.989139629956689</v>
      </c>
    </row>
    <row r="5178" spans="1:5">
      <c r="A5178" s="284">
        <f t="shared" si="1071"/>
        <v>5110</v>
      </c>
      <c r="B5178" s="285">
        <v>5.2058496868043278</v>
      </c>
      <c r="C5178" s="285">
        <v>2.7200373861801794</v>
      </c>
      <c r="D5178" s="285">
        <v>2.8128874115723788</v>
      </c>
      <c r="E5178" s="285">
        <v>-4.8963749388312046</v>
      </c>
    </row>
    <row r="5179" spans="1:5">
      <c r="A5179" s="284">
        <f t="shared" si="1071"/>
        <v>5111</v>
      </c>
      <c r="B5179" s="285">
        <v>-1.2326648881649629</v>
      </c>
      <c r="C5179" s="285">
        <v>3.3585264633589049</v>
      </c>
      <c r="D5179" s="285">
        <v>1.7640395841318246</v>
      </c>
      <c r="E5179" s="285">
        <v>11.34470101717875</v>
      </c>
    </row>
    <row r="5180" spans="1:5">
      <c r="A5180" s="284">
        <f t="shared" si="1071"/>
        <v>5112</v>
      </c>
      <c r="B5180" s="285">
        <v>0.17859446361140058</v>
      </c>
      <c r="C5180" s="285">
        <v>2.3252643128726289</v>
      </c>
      <c r="D5180" s="285">
        <v>2.9987347548771139</v>
      </c>
      <c r="E5180" s="285">
        <v>-5.4701921754151286</v>
      </c>
    </row>
    <row r="5181" spans="1:5">
      <c r="A5181" s="284">
        <f t="shared" si="1071"/>
        <v>5113</v>
      </c>
      <c r="B5181" s="285">
        <v>1.7548947954346652</v>
      </c>
      <c r="C5181" s="285">
        <v>2.3576128354075769</v>
      </c>
      <c r="D5181" s="285">
        <v>2.6768975505480168</v>
      </c>
      <c r="E5181" s="285">
        <v>-11.134664608254912</v>
      </c>
    </row>
    <row r="5182" spans="1:5">
      <c r="A5182" s="284">
        <f t="shared" si="1071"/>
        <v>5114</v>
      </c>
      <c r="B5182" s="285">
        <v>-4.9499719637586512</v>
      </c>
      <c r="C5182" s="285">
        <v>2.9315758773977731</v>
      </c>
      <c r="D5182" s="285">
        <v>-0.3085101104023289</v>
      </c>
      <c r="E5182" s="285">
        <v>13.199266472774557</v>
      </c>
    </row>
    <row r="5183" spans="1:5">
      <c r="A5183" s="284">
        <f t="shared" si="1071"/>
        <v>5115</v>
      </c>
      <c r="B5183" s="285">
        <v>2.7424889640612329</v>
      </c>
      <c r="C5183" s="285">
        <v>3.0772882303114635</v>
      </c>
      <c r="D5183" s="285">
        <v>4.0167231496293976E-2</v>
      </c>
      <c r="E5183" s="285">
        <v>3.0383978548844621</v>
      </c>
    </row>
    <row r="5184" spans="1:5">
      <c r="A5184" s="284">
        <f t="shared" si="1071"/>
        <v>5116</v>
      </c>
      <c r="B5184" s="285">
        <v>5.1673928238155913</v>
      </c>
      <c r="C5184" s="285">
        <v>2.6644020936463901</v>
      </c>
      <c r="D5184" s="285">
        <v>2.5737023308628721</v>
      </c>
      <c r="E5184" s="285">
        <v>-4.4475052730343538</v>
      </c>
    </row>
    <row r="5185" spans="1:5">
      <c r="A5185" s="284">
        <f t="shared" si="1071"/>
        <v>5117</v>
      </c>
      <c r="B5185" s="285">
        <v>-2.3716040799589506</v>
      </c>
      <c r="C5185" s="285">
        <v>2.8854956539834204</v>
      </c>
      <c r="D5185" s="285">
        <v>0.40777259155923795</v>
      </c>
      <c r="E5185" s="285">
        <v>15.592454788730571</v>
      </c>
    </row>
    <row r="5186" spans="1:5">
      <c r="A5186" s="284">
        <f t="shared" si="1071"/>
        <v>5118</v>
      </c>
      <c r="B5186" s="285">
        <v>0.29133176068442385</v>
      </c>
      <c r="C5186" s="285">
        <v>2.3117276948485146</v>
      </c>
      <c r="D5186" s="285">
        <v>1.3816665488117859</v>
      </c>
      <c r="E5186" s="285">
        <v>-4.1949176097545324</v>
      </c>
    </row>
    <row r="5187" spans="1:5">
      <c r="A5187" s="284">
        <f t="shared" si="1071"/>
        <v>5119</v>
      </c>
      <c r="B5187" s="285">
        <v>-4.6876171874847845</v>
      </c>
      <c r="C5187" s="285">
        <v>2.1723617310940306</v>
      </c>
      <c r="D5187" s="285">
        <v>-1.0795943558765417</v>
      </c>
      <c r="E5187" s="285">
        <v>13.414230751611079</v>
      </c>
    </row>
    <row r="5188" spans="1:5">
      <c r="A5188" s="284">
        <f t="shared" si="1071"/>
        <v>5120</v>
      </c>
      <c r="B5188" s="285">
        <v>0.67492812749291275</v>
      </c>
      <c r="C5188" s="285">
        <v>2.6326244258902447</v>
      </c>
      <c r="D5188" s="285">
        <v>0.38201815329464084</v>
      </c>
      <c r="E5188" s="285">
        <v>7.818303081829729</v>
      </c>
    </row>
    <row r="5189" spans="1:5">
      <c r="A5189" s="284">
        <f t="shared" si="1071"/>
        <v>5121</v>
      </c>
      <c r="B5189" s="285">
        <v>0.38485219076646698</v>
      </c>
      <c r="C5189" s="285">
        <v>2.8601686977180778</v>
      </c>
      <c r="D5189" s="285">
        <v>4.3945116994417832E-2</v>
      </c>
      <c r="E5189" s="285">
        <v>4.2388996320944052</v>
      </c>
    </row>
    <row r="5190" spans="1:5">
      <c r="A5190" s="284">
        <f t="shared" si="1071"/>
        <v>5122</v>
      </c>
      <c r="B5190" s="285">
        <v>1.0990252096363462</v>
      </c>
      <c r="C5190" s="285">
        <v>2.3669093587943255</v>
      </c>
      <c r="D5190" s="285">
        <v>0.65175907034824432</v>
      </c>
      <c r="E5190" s="285">
        <v>-14.392867838669467</v>
      </c>
    </row>
    <row r="5191" spans="1:5">
      <c r="A5191" s="284">
        <f t="shared" ref="A5191:A5254" si="1072">A5190+1</f>
        <v>5123</v>
      </c>
      <c r="B5191" s="285">
        <v>0.40865629218984018</v>
      </c>
      <c r="C5191" s="285">
        <v>2.6261622671943403</v>
      </c>
      <c r="D5191" s="285">
        <v>1.7596059892797733</v>
      </c>
      <c r="E5191" s="285">
        <v>2.9885997023963697</v>
      </c>
    </row>
    <row r="5192" spans="1:5">
      <c r="A5192" s="284">
        <f t="shared" si="1072"/>
        <v>5124</v>
      </c>
      <c r="B5192" s="285">
        <v>1.5836809591353354</v>
      </c>
      <c r="C5192" s="285">
        <v>1.8707190257520208</v>
      </c>
      <c r="D5192" s="285">
        <v>2.3198332573993481</v>
      </c>
      <c r="E5192" s="285">
        <v>-21.153543002065216</v>
      </c>
    </row>
    <row r="5193" spans="1:5">
      <c r="A5193" s="284">
        <f t="shared" si="1072"/>
        <v>5125</v>
      </c>
      <c r="B5193" s="285">
        <v>1.1201840854087981</v>
      </c>
      <c r="C5193" s="285">
        <v>2.7188910130558486</v>
      </c>
      <c r="D5193" s="285">
        <v>0.87877656760940026</v>
      </c>
      <c r="E5193" s="285">
        <v>1.2905756359395189</v>
      </c>
    </row>
    <row r="5194" spans="1:5">
      <c r="A5194" s="284">
        <f t="shared" si="1072"/>
        <v>5126</v>
      </c>
      <c r="B5194" s="285">
        <v>-0.78135160080386523</v>
      </c>
      <c r="C5194" s="285">
        <v>3.0303891836647674</v>
      </c>
      <c r="D5194" s="285">
        <v>-1.0764287713685534</v>
      </c>
      <c r="E5194" s="285">
        <v>4.1120308863353348</v>
      </c>
    </row>
    <row r="5195" spans="1:5">
      <c r="A5195" s="284">
        <f t="shared" si="1072"/>
        <v>5127</v>
      </c>
      <c r="B5195" s="285">
        <v>-1.0285065600525696</v>
      </c>
      <c r="C5195" s="285">
        <v>2.2618543267450133</v>
      </c>
      <c r="D5195" s="285">
        <v>-1.4936439799517536</v>
      </c>
      <c r="E5195" s="285">
        <v>-10.488185164851556</v>
      </c>
    </row>
    <row r="5196" spans="1:5">
      <c r="A5196" s="284">
        <f t="shared" si="1072"/>
        <v>5128</v>
      </c>
      <c r="B5196" s="285">
        <v>3.7818839559852808</v>
      </c>
      <c r="C5196" s="285">
        <v>2.8939158408138281</v>
      </c>
      <c r="D5196" s="285">
        <v>1.6114303370724756</v>
      </c>
      <c r="E5196" s="285">
        <v>-9.9071744300600404</v>
      </c>
    </row>
    <row r="5197" spans="1:5">
      <c r="A5197" s="284">
        <f t="shared" si="1072"/>
        <v>5129</v>
      </c>
      <c r="B5197" s="285">
        <v>-0.30126681642054204</v>
      </c>
      <c r="C5197" s="285">
        <v>2.4697029123469676</v>
      </c>
      <c r="D5197" s="285">
        <v>1.1276151334991624</v>
      </c>
      <c r="E5197" s="285">
        <v>-15.216870999567037</v>
      </c>
    </row>
    <row r="5198" spans="1:5">
      <c r="A5198" s="284">
        <f t="shared" si="1072"/>
        <v>5130</v>
      </c>
      <c r="B5198" s="285">
        <v>2.3063682570635411</v>
      </c>
      <c r="C5198" s="285">
        <v>2.1189643551134232</v>
      </c>
      <c r="D5198" s="285">
        <v>1.028741087938438</v>
      </c>
      <c r="E5198" s="285">
        <v>-16.817586010774615</v>
      </c>
    </row>
    <row r="5199" spans="1:5">
      <c r="A5199" s="284">
        <f t="shared" si="1072"/>
        <v>5131</v>
      </c>
      <c r="B5199" s="285">
        <v>-0.32776969013045765</v>
      </c>
      <c r="C5199" s="285">
        <v>2.2005694623373113</v>
      </c>
      <c r="D5199" s="285">
        <v>0.132279862943673</v>
      </c>
      <c r="E5199" s="285">
        <v>11.618817099424641</v>
      </c>
    </row>
    <row r="5200" spans="1:5">
      <c r="A5200" s="284">
        <f t="shared" si="1072"/>
        <v>5132</v>
      </c>
      <c r="B5200" s="285">
        <v>2.1744518901061891</v>
      </c>
      <c r="C5200" s="285">
        <v>2.3820150166218217</v>
      </c>
      <c r="D5200" s="285">
        <v>3.5067731407970335</v>
      </c>
      <c r="E5200" s="285">
        <v>-13.499068479674762</v>
      </c>
    </row>
    <row r="5201" spans="1:5">
      <c r="A5201" s="284">
        <f t="shared" si="1072"/>
        <v>5133</v>
      </c>
      <c r="B5201" s="285">
        <v>0.29409222191031392</v>
      </c>
      <c r="C5201" s="285">
        <v>1.9147309067430709</v>
      </c>
      <c r="D5201" s="285">
        <v>2.5138382597667306</v>
      </c>
      <c r="E5201" s="285">
        <v>-19.492532128010033</v>
      </c>
    </row>
    <row r="5202" spans="1:5">
      <c r="A5202" s="284">
        <f t="shared" si="1072"/>
        <v>5134</v>
      </c>
      <c r="B5202" s="285">
        <v>0.50174338077095126</v>
      </c>
      <c r="C5202" s="285">
        <v>2.3847079698369815</v>
      </c>
      <c r="D5202" s="285">
        <v>0.75063705005472103</v>
      </c>
      <c r="E5202" s="285">
        <v>-3.9601902739011177</v>
      </c>
    </row>
    <row r="5203" spans="1:5">
      <c r="A5203" s="284">
        <f t="shared" si="1072"/>
        <v>5135</v>
      </c>
      <c r="B5203" s="285">
        <v>-0.55415479207438645</v>
      </c>
      <c r="C5203" s="285">
        <v>2.3499552406234065</v>
      </c>
      <c r="D5203" s="285">
        <v>3.0689103399197033</v>
      </c>
      <c r="E5203" s="285">
        <v>-15.586113555263179</v>
      </c>
    </row>
    <row r="5204" spans="1:5">
      <c r="A5204" s="284">
        <f t="shared" si="1072"/>
        <v>5136</v>
      </c>
      <c r="B5204" s="285">
        <v>-1.070858508233766</v>
      </c>
      <c r="C5204" s="285">
        <v>2.0131863061245951</v>
      </c>
      <c r="D5204" s="285">
        <v>0.17254477715338545</v>
      </c>
      <c r="E5204" s="285">
        <v>-0.11911894148057778</v>
      </c>
    </row>
    <row r="5205" spans="1:5">
      <c r="A5205" s="284">
        <f t="shared" si="1072"/>
        <v>5137</v>
      </c>
      <c r="B5205" s="285">
        <v>-1.76333507607694</v>
      </c>
      <c r="C5205" s="285">
        <v>2.698452254347981</v>
      </c>
      <c r="D5205" s="285">
        <v>-0.26006218946673987</v>
      </c>
      <c r="E5205" s="285">
        <v>11.771979141502792</v>
      </c>
    </row>
    <row r="5206" spans="1:5">
      <c r="A5206" s="284">
        <f t="shared" si="1072"/>
        <v>5138</v>
      </c>
      <c r="B5206" s="285">
        <v>-2.3089973596693452</v>
      </c>
      <c r="C5206" s="285">
        <v>1.9742280214300381</v>
      </c>
      <c r="D5206" s="285">
        <v>1.2486144884895634E-2</v>
      </c>
      <c r="E5206" s="285">
        <v>-6.085479815143799</v>
      </c>
    </row>
    <row r="5207" spans="1:5">
      <c r="A5207" s="284">
        <f t="shared" si="1072"/>
        <v>5139</v>
      </c>
      <c r="B5207" s="285">
        <v>3.6860252550341088E-2</v>
      </c>
      <c r="C5207" s="285">
        <v>2.5455537713999781</v>
      </c>
      <c r="D5207" s="285">
        <v>2.5979370341310686</v>
      </c>
      <c r="E5207" s="285">
        <v>-1.9240157407524083</v>
      </c>
    </row>
    <row r="5208" spans="1:5">
      <c r="A5208" s="284">
        <f t="shared" si="1072"/>
        <v>5140</v>
      </c>
      <c r="B5208" s="285">
        <v>2.1601322207939413</v>
      </c>
      <c r="C5208" s="285">
        <v>2.3260993719332177</v>
      </c>
      <c r="D5208" s="285">
        <v>1.08665321796987</v>
      </c>
      <c r="E5208" s="285">
        <v>-15.624753076986831</v>
      </c>
    </row>
    <row r="5209" spans="1:5">
      <c r="A5209" s="284">
        <f t="shared" si="1072"/>
        <v>5141</v>
      </c>
      <c r="B5209" s="285">
        <v>4.0472105601069748</v>
      </c>
      <c r="C5209" s="285">
        <v>3.3316643872676668</v>
      </c>
      <c r="D5209" s="285">
        <v>2.2422430953680799</v>
      </c>
      <c r="E5209" s="285">
        <v>-0.42336766808420245</v>
      </c>
    </row>
    <row r="5210" spans="1:5">
      <c r="A5210" s="284">
        <f t="shared" si="1072"/>
        <v>5142</v>
      </c>
      <c r="B5210" s="285">
        <v>-2.729445490904197</v>
      </c>
      <c r="C5210" s="285">
        <v>2.451472430143411</v>
      </c>
      <c r="D5210" s="285">
        <v>0.52526615435682888</v>
      </c>
      <c r="E5210" s="285">
        <v>-3.504816541754713</v>
      </c>
    </row>
    <row r="5211" spans="1:5">
      <c r="A5211" s="284">
        <f t="shared" si="1072"/>
        <v>5143</v>
      </c>
      <c r="B5211" s="285">
        <v>-0.89597107355645056</v>
      </c>
      <c r="C5211" s="285">
        <v>2.5773089340594644</v>
      </c>
      <c r="D5211" s="285">
        <v>3.0304457381202501</v>
      </c>
      <c r="E5211" s="285">
        <v>-11.689218067475981</v>
      </c>
    </row>
    <row r="5212" spans="1:5">
      <c r="A5212" s="284">
        <f t="shared" si="1072"/>
        <v>5144</v>
      </c>
      <c r="B5212" s="285">
        <v>2.9439236659152024</v>
      </c>
      <c r="C5212" s="285">
        <v>2.453828683572953</v>
      </c>
      <c r="D5212" s="285">
        <v>2.3038321231768988</v>
      </c>
      <c r="E5212" s="285">
        <v>-5.6723899776456239</v>
      </c>
    </row>
    <row r="5213" spans="1:5">
      <c r="A5213" s="284">
        <f t="shared" si="1072"/>
        <v>5145</v>
      </c>
      <c r="B5213" s="285">
        <v>0.79606811101686403</v>
      </c>
      <c r="C5213" s="285">
        <v>2.4179921414910761</v>
      </c>
      <c r="D5213" s="285">
        <v>3.5496684488218522E-2</v>
      </c>
      <c r="E5213" s="285">
        <v>-12.216871390559476</v>
      </c>
    </row>
    <row r="5214" spans="1:5">
      <c r="A5214" s="284">
        <f t="shared" si="1072"/>
        <v>5146</v>
      </c>
      <c r="B5214" s="285">
        <v>5.2903420853843836E-2</v>
      </c>
      <c r="C5214" s="285">
        <v>2.4664377295881477</v>
      </c>
      <c r="D5214" s="285">
        <v>1.2457309915636261</v>
      </c>
      <c r="E5214" s="285">
        <v>-8.5270220375328343</v>
      </c>
    </row>
    <row r="5215" spans="1:5">
      <c r="A5215" s="284">
        <f t="shared" si="1072"/>
        <v>5147</v>
      </c>
      <c r="B5215" s="285">
        <v>-3.0764124547916061</v>
      </c>
      <c r="C5215" s="285">
        <v>2.2480238060693241</v>
      </c>
      <c r="D5215" s="285">
        <v>1.8115409426986371</v>
      </c>
      <c r="E5215" s="285">
        <v>11.023710557032409</v>
      </c>
    </row>
    <row r="5216" spans="1:5">
      <c r="A5216" s="284">
        <f t="shared" si="1072"/>
        <v>5148</v>
      </c>
      <c r="B5216" s="285">
        <v>1.6267356267220974</v>
      </c>
      <c r="C5216" s="285">
        <v>2.9904459508818055</v>
      </c>
      <c r="D5216" s="285">
        <v>2.277378824428582</v>
      </c>
      <c r="E5216" s="285">
        <v>1.2407734091892269</v>
      </c>
    </row>
    <row r="5217" spans="1:5">
      <c r="A5217" s="284">
        <f t="shared" si="1072"/>
        <v>5149</v>
      </c>
      <c r="B5217" s="285">
        <v>-2.3829315912260851</v>
      </c>
      <c r="C5217" s="285">
        <v>1.7728200983008482</v>
      </c>
      <c r="D5217" s="285">
        <v>3.2495204523412622</v>
      </c>
      <c r="E5217" s="285">
        <v>-13.710001498836654</v>
      </c>
    </row>
    <row r="5218" spans="1:5">
      <c r="A5218" s="284">
        <f t="shared" si="1072"/>
        <v>5150</v>
      </c>
      <c r="B5218" s="285">
        <v>-2.0068862746315621</v>
      </c>
      <c r="C5218" s="285">
        <v>2.5855214105573219</v>
      </c>
      <c r="D5218" s="285">
        <v>2.2822384137906546</v>
      </c>
      <c r="E5218" s="285">
        <v>-13.210937852281599</v>
      </c>
    </row>
    <row r="5219" spans="1:5">
      <c r="A5219" s="284">
        <f t="shared" si="1072"/>
        <v>5151</v>
      </c>
      <c r="B5219" s="285">
        <v>6.1472003832235123</v>
      </c>
      <c r="C5219" s="285">
        <v>3.0732222038463419</v>
      </c>
      <c r="D5219" s="285">
        <v>1.8073653137953198</v>
      </c>
      <c r="E5219" s="285">
        <v>-9.4354606707177062</v>
      </c>
    </row>
    <row r="5220" spans="1:5">
      <c r="A5220" s="284">
        <f t="shared" si="1072"/>
        <v>5152</v>
      </c>
      <c r="B5220" s="285">
        <v>-5.0516327481937582</v>
      </c>
      <c r="C5220" s="285">
        <v>1.778211907041356</v>
      </c>
      <c r="D5220" s="285">
        <v>-1.4920418466542817</v>
      </c>
      <c r="E5220" s="285">
        <v>0.54182655416212322</v>
      </c>
    </row>
    <row r="5221" spans="1:5">
      <c r="A5221" s="284">
        <f t="shared" si="1072"/>
        <v>5153</v>
      </c>
      <c r="B5221" s="285">
        <v>0.65964060752992038</v>
      </c>
      <c r="C5221" s="285">
        <v>2.38234629188914</v>
      </c>
      <c r="D5221" s="285">
        <v>1.5902248350827393</v>
      </c>
      <c r="E5221" s="285">
        <v>-16.973206981405092</v>
      </c>
    </row>
    <row r="5222" spans="1:5">
      <c r="A5222" s="284">
        <f t="shared" si="1072"/>
        <v>5154</v>
      </c>
      <c r="B5222" s="285">
        <v>2.480625396050808</v>
      </c>
      <c r="C5222" s="285">
        <v>2.7513207347011774</v>
      </c>
      <c r="D5222" s="285">
        <v>1.8695921004341338</v>
      </c>
      <c r="E5222" s="285">
        <v>-0.56358354835455815</v>
      </c>
    </row>
    <row r="5223" spans="1:5">
      <c r="A5223" s="284">
        <f t="shared" si="1072"/>
        <v>5155</v>
      </c>
      <c r="B5223" s="285">
        <v>2.5173683374720355</v>
      </c>
      <c r="C5223" s="285">
        <v>2.02234452877941</v>
      </c>
      <c r="D5223" s="285">
        <v>1.1203591457207827</v>
      </c>
      <c r="E5223" s="285">
        <v>-14.702835454578523</v>
      </c>
    </row>
    <row r="5224" spans="1:5">
      <c r="A5224" s="284">
        <f t="shared" si="1072"/>
        <v>5156</v>
      </c>
      <c r="B5224" s="285">
        <v>-3.0904412009807865</v>
      </c>
      <c r="C5224" s="285">
        <v>2.2800947910878269</v>
      </c>
      <c r="D5224" s="285">
        <v>0.40023063518952018</v>
      </c>
      <c r="E5224" s="285">
        <v>-7.5004143971105233</v>
      </c>
    </row>
    <row r="5225" spans="1:5">
      <c r="A5225" s="284">
        <f t="shared" si="1072"/>
        <v>5157</v>
      </c>
      <c r="B5225" s="285">
        <v>4.7192319430141358</v>
      </c>
      <c r="C5225" s="285">
        <v>2.3046363932580261</v>
      </c>
      <c r="D5225" s="285">
        <v>1.6893156991927794</v>
      </c>
      <c r="E5225" s="285">
        <v>-9.5042739323173961</v>
      </c>
    </row>
    <row r="5226" spans="1:5">
      <c r="A5226" s="284">
        <f t="shared" si="1072"/>
        <v>5158</v>
      </c>
      <c r="B5226" s="285">
        <v>-1.2353180232192875</v>
      </c>
      <c r="C5226" s="285">
        <v>3.3754036653897566</v>
      </c>
      <c r="D5226" s="285">
        <v>0.13695218520229036</v>
      </c>
      <c r="E5226" s="285">
        <v>15.552376356603403</v>
      </c>
    </row>
    <row r="5227" spans="1:5">
      <c r="A5227" s="284">
        <f t="shared" si="1072"/>
        <v>5159</v>
      </c>
      <c r="B5227" s="285">
        <v>2.3079996895196024</v>
      </c>
      <c r="C5227" s="285">
        <v>3.1860843251411515</v>
      </c>
      <c r="D5227" s="285">
        <v>-1.0135641456576012</v>
      </c>
      <c r="E5227" s="285">
        <v>16.546212871977037</v>
      </c>
    </row>
    <row r="5228" spans="1:5">
      <c r="A5228" s="284">
        <f t="shared" si="1072"/>
        <v>5160</v>
      </c>
      <c r="B5228" s="285">
        <v>3.2624494000260555</v>
      </c>
      <c r="C5228" s="285">
        <v>2.6686688106663166</v>
      </c>
      <c r="D5228" s="285">
        <v>1.5182968868891962</v>
      </c>
      <c r="E5228" s="285">
        <v>-2.9279754048536972</v>
      </c>
    </row>
    <row r="5229" spans="1:5">
      <c r="A5229" s="284">
        <f t="shared" si="1072"/>
        <v>5161</v>
      </c>
      <c r="B5229" s="285">
        <v>-0.28535004586526869</v>
      </c>
      <c r="C5229" s="285">
        <v>2.0572172079752629</v>
      </c>
      <c r="D5229" s="285">
        <v>-0.70129830045093078</v>
      </c>
      <c r="E5229" s="285">
        <v>0.91699857533096418</v>
      </c>
    </row>
    <row r="5230" spans="1:5">
      <c r="A5230" s="284">
        <f t="shared" si="1072"/>
        <v>5162</v>
      </c>
      <c r="B5230" s="285">
        <v>-3.0019491004309748</v>
      </c>
      <c r="C5230" s="285">
        <v>2.0670389812595835</v>
      </c>
      <c r="D5230" s="285">
        <v>0.90192572709255703</v>
      </c>
      <c r="E5230" s="285">
        <v>-0.97648207507465168</v>
      </c>
    </row>
    <row r="5231" spans="1:5">
      <c r="A5231" s="284">
        <f t="shared" si="1072"/>
        <v>5163</v>
      </c>
      <c r="B5231" s="285">
        <v>-1.1353872571849366</v>
      </c>
      <c r="C5231" s="285">
        <v>2.4615630477116976</v>
      </c>
      <c r="D5231" s="285">
        <v>0.88953981223611078</v>
      </c>
      <c r="E5231" s="285">
        <v>8.501209244503146</v>
      </c>
    </row>
    <row r="5232" spans="1:5">
      <c r="A5232" s="284">
        <f t="shared" si="1072"/>
        <v>5164</v>
      </c>
      <c r="B5232" s="285">
        <v>-1.9030559517079337</v>
      </c>
      <c r="C5232" s="285">
        <v>2.8040600344404369</v>
      </c>
      <c r="D5232" s="285">
        <v>-1.0164732658381124</v>
      </c>
      <c r="E5232" s="285">
        <v>-6.5670557896071706</v>
      </c>
    </row>
    <row r="5233" spans="1:5">
      <c r="A5233" s="284">
        <f t="shared" si="1072"/>
        <v>5165</v>
      </c>
      <c r="B5233" s="285">
        <v>-0.94013025993402799</v>
      </c>
      <c r="C5233" s="285">
        <v>2.287890922912645</v>
      </c>
      <c r="D5233" s="285">
        <v>2.3204068324833202</v>
      </c>
      <c r="E5233" s="285">
        <v>-6.2037319502871036</v>
      </c>
    </row>
    <row r="5234" spans="1:5">
      <c r="A5234" s="284">
        <f t="shared" si="1072"/>
        <v>5166</v>
      </c>
      <c r="B5234" s="285">
        <v>-0.39286643655272607</v>
      </c>
      <c r="C5234" s="285">
        <v>2.7371717131580553</v>
      </c>
      <c r="D5234" s="285">
        <v>1.3153509588045669</v>
      </c>
      <c r="E5234" s="285">
        <v>1.8301681514191981</v>
      </c>
    </row>
    <row r="5235" spans="1:5">
      <c r="A5235" s="284">
        <f t="shared" si="1072"/>
        <v>5167</v>
      </c>
      <c r="B5235" s="285">
        <v>-2.4473299960609278</v>
      </c>
      <c r="C5235" s="285">
        <v>2.5249545730934111</v>
      </c>
      <c r="D5235" s="285">
        <v>1.8277168847094023</v>
      </c>
      <c r="E5235" s="285">
        <v>-4.1769273014437625</v>
      </c>
    </row>
    <row r="5236" spans="1:5">
      <c r="A5236" s="284">
        <f t="shared" si="1072"/>
        <v>5168</v>
      </c>
      <c r="B5236" s="285">
        <v>0.36554503815365369</v>
      </c>
      <c r="C5236" s="285">
        <v>2.0840520787288415</v>
      </c>
      <c r="D5236" s="285">
        <v>1.4516694854522849</v>
      </c>
      <c r="E5236" s="285">
        <v>-19.714265970082234</v>
      </c>
    </row>
    <row r="5237" spans="1:5">
      <c r="A5237" s="284">
        <f t="shared" si="1072"/>
        <v>5169</v>
      </c>
      <c r="B5237" s="285">
        <v>-1.4182743369156803</v>
      </c>
      <c r="C5237" s="285">
        <v>2.5330592516593011</v>
      </c>
      <c r="D5237" s="285">
        <v>2.2679507688408038</v>
      </c>
      <c r="E5237" s="285">
        <v>-3.1220791738999676</v>
      </c>
    </row>
    <row r="5238" spans="1:5">
      <c r="A5238" s="284">
        <f t="shared" si="1072"/>
        <v>5170</v>
      </c>
      <c r="B5238" s="285">
        <v>-2.6324331862272596</v>
      </c>
      <c r="C5238" s="285">
        <v>2.5712078946677446</v>
      </c>
      <c r="D5238" s="285">
        <v>1.3392634878065299</v>
      </c>
      <c r="E5238" s="285">
        <v>-4.0433984699853136</v>
      </c>
    </row>
    <row r="5239" spans="1:5">
      <c r="A5239" s="284">
        <f t="shared" si="1072"/>
        <v>5171</v>
      </c>
      <c r="B5239" s="285">
        <v>-1.7783956567924957</v>
      </c>
      <c r="C5239" s="285">
        <v>2.3103964140186046</v>
      </c>
      <c r="D5239" s="285">
        <v>0.29000755077770424</v>
      </c>
      <c r="E5239" s="285">
        <v>4.0341820464203302</v>
      </c>
    </row>
    <row r="5240" spans="1:5">
      <c r="A5240" s="284">
        <f t="shared" si="1072"/>
        <v>5172</v>
      </c>
      <c r="B5240" s="285">
        <v>0.98127257800051493</v>
      </c>
      <c r="C5240" s="285">
        <v>2.9223953535360585</v>
      </c>
      <c r="D5240" s="285">
        <v>2.1524273111857259</v>
      </c>
      <c r="E5240" s="285">
        <v>-3.0386430160300946</v>
      </c>
    </row>
    <row r="5241" spans="1:5">
      <c r="A5241" s="284">
        <f t="shared" si="1072"/>
        <v>5173</v>
      </c>
      <c r="B5241" s="285">
        <v>-1.6811180471430429</v>
      </c>
      <c r="C5241" s="285">
        <v>2.7927747059757517</v>
      </c>
      <c r="D5241" s="285">
        <v>1.0804629986667653</v>
      </c>
      <c r="E5241" s="285">
        <v>-4.6721259827040971</v>
      </c>
    </row>
    <row r="5242" spans="1:5">
      <c r="A5242" s="284">
        <f t="shared" si="1072"/>
        <v>5174</v>
      </c>
      <c r="B5242" s="285">
        <v>1.4000845935593438</v>
      </c>
      <c r="C5242" s="285">
        <v>2.8085833540618901</v>
      </c>
      <c r="D5242" s="285">
        <v>1.3081086011169973</v>
      </c>
      <c r="E5242" s="285">
        <v>4.1259138998729039</v>
      </c>
    </row>
    <row r="5243" spans="1:5">
      <c r="A5243" s="284">
        <f t="shared" si="1072"/>
        <v>5175</v>
      </c>
      <c r="B5243" s="285">
        <v>0.3794560205148198</v>
      </c>
      <c r="C5243" s="285">
        <v>3.4240951328617717</v>
      </c>
      <c r="D5243" s="285">
        <v>-0.60084690145268782</v>
      </c>
      <c r="E5243" s="285">
        <v>7.7448168015382279</v>
      </c>
    </row>
    <row r="5244" spans="1:5">
      <c r="A5244" s="284">
        <f t="shared" si="1072"/>
        <v>5176</v>
      </c>
      <c r="B5244" s="285">
        <v>-1.7305096591854894</v>
      </c>
      <c r="C5244" s="285">
        <v>1.5280365834910503</v>
      </c>
      <c r="D5244" s="285">
        <v>1.2686355646790908</v>
      </c>
      <c r="E5244" s="285">
        <v>-21.101042662404229</v>
      </c>
    </row>
    <row r="5245" spans="1:5">
      <c r="A5245" s="284">
        <f t="shared" si="1072"/>
        <v>5177</v>
      </c>
      <c r="B5245" s="285">
        <v>0.34526700129996174</v>
      </c>
      <c r="C5245" s="285">
        <v>2.0803464476102911</v>
      </c>
      <c r="D5245" s="285">
        <v>2.6392904755412383</v>
      </c>
      <c r="E5245" s="285">
        <v>-9.8778963577326113</v>
      </c>
    </row>
    <row r="5246" spans="1:5">
      <c r="A5246" s="284">
        <f t="shared" si="1072"/>
        <v>5178</v>
      </c>
      <c r="B5246" s="285">
        <v>-1.6805569001237011</v>
      </c>
      <c r="C5246" s="285">
        <v>2.3255984477656839</v>
      </c>
      <c r="D5246" s="285">
        <v>1.3017049231075464</v>
      </c>
      <c r="E5246" s="285">
        <v>-8.4494758329217152</v>
      </c>
    </row>
    <row r="5247" spans="1:5">
      <c r="A5247" s="284">
        <f t="shared" si="1072"/>
        <v>5179</v>
      </c>
      <c r="B5247" s="285">
        <v>0.37867532978548757</v>
      </c>
      <c r="C5247" s="285">
        <v>1.7412424083049922</v>
      </c>
      <c r="D5247" s="285">
        <v>2.6651738273919268</v>
      </c>
      <c r="E5247" s="285">
        <v>-17.927637539312236</v>
      </c>
    </row>
    <row r="5248" spans="1:5">
      <c r="A5248" s="284">
        <f t="shared" si="1072"/>
        <v>5180</v>
      </c>
      <c r="B5248" s="285">
        <v>-1.1863752122174391</v>
      </c>
      <c r="C5248" s="285">
        <v>2.5272222473637553</v>
      </c>
      <c r="D5248" s="285">
        <v>0.34013998177585858</v>
      </c>
      <c r="E5248" s="285">
        <v>-4.170000721887078</v>
      </c>
    </row>
    <row r="5249" spans="1:5">
      <c r="A5249" s="284">
        <f t="shared" si="1072"/>
        <v>5181</v>
      </c>
      <c r="B5249" s="285">
        <v>0.58898666714139059</v>
      </c>
      <c r="C5249" s="285">
        <v>2.3235002732378498</v>
      </c>
      <c r="D5249" s="285">
        <v>1.1309498393903326</v>
      </c>
      <c r="E5249" s="285">
        <v>-12.033185693681173</v>
      </c>
    </row>
    <row r="5250" spans="1:5">
      <c r="A5250" s="284">
        <f t="shared" si="1072"/>
        <v>5182</v>
      </c>
      <c r="B5250" s="285">
        <v>-1.3561278555442895</v>
      </c>
      <c r="C5250" s="285">
        <v>1.8308820304286693</v>
      </c>
      <c r="D5250" s="285">
        <v>1.0783953644951707</v>
      </c>
      <c r="E5250" s="285">
        <v>-17.826778919475267</v>
      </c>
    </row>
    <row r="5251" spans="1:5">
      <c r="A5251" s="284">
        <f t="shared" si="1072"/>
        <v>5183</v>
      </c>
      <c r="B5251" s="285">
        <v>0.10933647087488807</v>
      </c>
      <c r="C5251" s="285">
        <v>2.5679060981456416</v>
      </c>
      <c r="D5251" s="285">
        <v>2.5386436128405849</v>
      </c>
      <c r="E5251" s="285">
        <v>-5.2309258731806496</v>
      </c>
    </row>
    <row r="5252" spans="1:5">
      <c r="A5252" s="284">
        <f t="shared" si="1072"/>
        <v>5184</v>
      </c>
      <c r="B5252" s="285">
        <v>-0.75887031908347935</v>
      </c>
      <c r="C5252" s="285">
        <v>1.6003683741277712</v>
      </c>
      <c r="D5252" s="285">
        <v>3.2595411478480409</v>
      </c>
      <c r="E5252" s="285">
        <v>-32.815747689070022</v>
      </c>
    </row>
    <row r="5253" spans="1:5">
      <c r="A5253" s="284">
        <f t="shared" si="1072"/>
        <v>5185</v>
      </c>
      <c r="B5253" s="285">
        <v>-1.0577697240615902</v>
      </c>
      <c r="C5253" s="285">
        <v>1.8642354623203221</v>
      </c>
      <c r="D5253" s="285">
        <v>0.7115634094872485</v>
      </c>
      <c r="E5253" s="285">
        <v>-11.79033065657185</v>
      </c>
    </row>
    <row r="5254" spans="1:5">
      <c r="A5254" s="284">
        <f t="shared" si="1072"/>
        <v>5186</v>
      </c>
      <c r="B5254" s="285">
        <v>-2.9542720979869057</v>
      </c>
      <c r="C5254" s="285">
        <v>1.7798807206972949</v>
      </c>
      <c r="D5254" s="285">
        <v>0.79753172106952508</v>
      </c>
      <c r="E5254" s="285">
        <v>-15.597140842730862</v>
      </c>
    </row>
    <row r="5255" spans="1:5">
      <c r="A5255" s="284">
        <f t="shared" ref="A5255:A5318" si="1073">A5254+1</f>
        <v>5187</v>
      </c>
      <c r="B5255" s="285">
        <v>-0.56457969646798645</v>
      </c>
      <c r="C5255" s="285">
        <v>3.0214657717716333</v>
      </c>
      <c r="D5255" s="285">
        <v>1.0308303819286351</v>
      </c>
      <c r="E5255" s="285">
        <v>2.69448318807583</v>
      </c>
    </row>
    <row r="5256" spans="1:5">
      <c r="A5256" s="284">
        <f t="shared" si="1073"/>
        <v>5188</v>
      </c>
      <c r="B5256" s="285">
        <v>-0.19318702466925014</v>
      </c>
      <c r="C5256" s="285">
        <v>2.2151579865488764</v>
      </c>
      <c r="D5256" s="285">
        <v>1.3656352879766733</v>
      </c>
      <c r="E5256" s="285">
        <v>0.6015674271165623</v>
      </c>
    </row>
    <row r="5257" spans="1:5">
      <c r="A5257" s="284">
        <f t="shared" si="1073"/>
        <v>5189</v>
      </c>
      <c r="B5257" s="285">
        <v>2.5326830812592105</v>
      </c>
      <c r="C5257" s="285">
        <v>2.3127841190164378</v>
      </c>
      <c r="D5257" s="285">
        <v>3.5800815681254212</v>
      </c>
      <c r="E5257" s="285">
        <v>-15.780029354562693</v>
      </c>
    </row>
    <row r="5258" spans="1:5">
      <c r="A5258" s="284">
        <f t="shared" si="1073"/>
        <v>5190</v>
      </c>
      <c r="B5258" s="285">
        <v>-1.6545638853913325</v>
      </c>
      <c r="C5258" s="285">
        <v>2.8746747684952232</v>
      </c>
      <c r="D5258" s="285">
        <v>2.9070597299740264</v>
      </c>
      <c r="E5258" s="285">
        <v>-2.0507748719153347</v>
      </c>
    </row>
    <row r="5259" spans="1:5">
      <c r="A5259" s="284">
        <f t="shared" si="1073"/>
        <v>5191</v>
      </c>
      <c r="B5259" s="285">
        <v>4.666581089917067E-2</v>
      </c>
      <c r="C5259" s="285">
        <v>1.7620114476841002</v>
      </c>
      <c r="D5259" s="285">
        <v>3.7732476671542026</v>
      </c>
      <c r="E5259" s="285">
        <v>-15.592150051061228</v>
      </c>
    </row>
    <row r="5260" spans="1:5">
      <c r="A5260" s="284">
        <f t="shared" si="1073"/>
        <v>5192</v>
      </c>
      <c r="B5260" s="285">
        <v>-3.7393664665360298</v>
      </c>
      <c r="C5260" s="285">
        <v>2.3192609557067763</v>
      </c>
      <c r="D5260" s="285">
        <v>1.0498054577640179</v>
      </c>
      <c r="E5260" s="285">
        <v>-5.7516558884605313</v>
      </c>
    </row>
    <row r="5261" spans="1:5">
      <c r="A5261" s="284">
        <f t="shared" si="1073"/>
        <v>5193</v>
      </c>
      <c r="B5261" s="285">
        <v>-3.3749101067183309</v>
      </c>
      <c r="C5261" s="285">
        <v>2.1306614840742535</v>
      </c>
      <c r="D5261" s="285">
        <v>2.6331425255074823</v>
      </c>
      <c r="E5261" s="285">
        <v>-3.6973847712466004</v>
      </c>
    </row>
    <row r="5262" spans="1:5">
      <c r="A5262" s="284">
        <f t="shared" si="1073"/>
        <v>5194</v>
      </c>
      <c r="B5262" s="285">
        <v>0.10087046658898813</v>
      </c>
      <c r="C5262" s="285">
        <v>2.0793326094484033</v>
      </c>
      <c r="D5262" s="285">
        <v>-0.22343728481287695</v>
      </c>
      <c r="E5262" s="285">
        <v>-11.995547668089056</v>
      </c>
    </row>
    <row r="5263" spans="1:5">
      <c r="A5263" s="284">
        <f t="shared" si="1073"/>
        <v>5195</v>
      </c>
      <c r="B5263" s="285">
        <v>1.8914955854213862</v>
      </c>
      <c r="C5263" s="285">
        <v>2.8888941687599861</v>
      </c>
      <c r="D5263" s="285">
        <v>0.39263826436387372</v>
      </c>
      <c r="E5263" s="285">
        <v>-4.8989965837917815E-3</v>
      </c>
    </row>
    <row r="5264" spans="1:5">
      <c r="A5264" s="284">
        <f t="shared" si="1073"/>
        <v>5196</v>
      </c>
      <c r="B5264" s="285">
        <v>2.2879090574453564</v>
      </c>
      <c r="C5264" s="285">
        <v>2.9668665474536517</v>
      </c>
      <c r="D5264" s="285">
        <v>2.710167249490893</v>
      </c>
      <c r="E5264" s="285">
        <v>3.6755311505576702</v>
      </c>
    </row>
    <row r="5265" spans="1:5">
      <c r="A5265" s="284">
        <f t="shared" si="1073"/>
        <v>5197</v>
      </c>
      <c r="B5265" s="285">
        <v>-3.6190346008993841</v>
      </c>
      <c r="C5265" s="285">
        <v>2.7167119863541065</v>
      </c>
      <c r="D5265" s="285">
        <v>1.4251010604592047</v>
      </c>
      <c r="E5265" s="285">
        <v>8.3606038571707479</v>
      </c>
    </row>
    <row r="5266" spans="1:5">
      <c r="A5266" s="284">
        <f t="shared" si="1073"/>
        <v>5198</v>
      </c>
      <c r="B5266" s="285">
        <v>-0.28208873783573801</v>
      </c>
      <c r="C5266" s="285">
        <v>2.690731972277165</v>
      </c>
      <c r="D5266" s="285">
        <v>3.4205130091226708</v>
      </c>
      <c r="E5266" s="285">
        <v>-2.0963574518391392</v>
      </c>
    </row>
    <row r="5267" spans="1:5">
      <c r="A5267" s="284">
        <f t="shared" si="1073"/>
        <v>5199</v>
      </c>
      <c r="B5267" s="285">
        <v>1.7309038719947119</v>
      </c>
      <c r="C5267" s="285">
        <v>2.4162610762555183</v>
      </c>
      <c r="D5267" s="285">
        <v>2.6503768506948395</v>
      </c>
      <c r="E5267" s="285">
        <v>-8.0742964794931655</v>
      </c>
    </row>
    <row r="5268" spans="1:5">
      <c r="A5268" s="284">
        <f t="shared" si="1073"/>
        <v>5200</v>
      </c>
      <c r="B5268" s="285">
        <v>3.0140456935908828</v>
      </c>
      <c r="C5268" s="285">
        <v>2.7981069499808306</v>
      </c>
      <c r="D5268" s="285">
        <v>2.5055158874007875</v>
      </c>
      <c r="E5268" s="285">
        <v>-13.665862369560855</v>
      </c>
    </row>
    <row r="5269" spans="1:5">
      <c r="A5269" s="284">
        <f t="shared" si="1073"/>
        <v>5201</v>
      </c>
      <c r="B5269" s="285">
        <v>-2.2103431770336277</v>
      </c>
      <c r="C5269" s="285">
        <v>1.2751445439884546</v>
      </c>
      <c r="D5269" s="285">
        <v>2.8986438926522093</v>
      </c>
      <c r="E5269" s="285">
        <v>-29.236927196326473</v>
      </c>
    </row>
    <row r="5270" spans="1:5">
      <c r="A5270" s="284">
        <f t="shared" si="1073"/>
        <v>5202</v>
      </c>
      <c r="B5270" s="285">
        <v>-1.6342940332875169</v>
      </c>
      <c r="C5270" s="285">
        <v>1.856300653048965</v>
      </c>
      <c r="D5270" s="285">
        <v>2.8079019557812286</v>
      </c>
      <c r="E5270" s="285">
        <v>-21.794499893721561</v>
      </c>
    </row>
    <row r="5271" spans="1:5">
      <c r="A5271" s="284">
        <f t="shared" si="1073"/>
        <v>5203</v>
      </c>
      <c r="B5271" s="285">
        <v>-0.57197502685234825</v>
      </c>
      <c r="C5271" s="285">
        <v>2.6912870517574214</v>
      </c>
      <c r="D5271" s="285">
        <v>0.81560207330462464</v>
      </c>
      <c r="E5271" s="285">
        <v>9.2387286039633878</v>
      </c>
    </row>
    <row r="5272" spans="1:5">
      <c r="A5272" s="284">
        <f t="shared" si="1073"/>
        <v>5204</v>
      </c>
      <c r="B5272" s="285">
        <v>-1.3718524448578779</v>
      </c>
      <c r="C5272" s="285">
        <v>3.0880827741184489</v>
      </c>
      <c r="D5272" s="285">
        <v>0.57420879750409703</v>
      </c>
      <c r="E5272" s="285">
        <v>3.8855658402648978</v>
      </c>
    </row>
    <row r="5273" spans="1:5">
      <c r="A5273" s="284">
        <f t="shared" si="1073"/>
        <v>5205</v>
      </c>
      <c r="B5273" s="285">
        <v>-2.0671178195066293</v>
      </c>
      <c r="C5273" s="285">
        <v>3.1886805005370724</v>
      </c>
      <c r="D5273" s="285">
        <v>-0.890865262287869</v>
      </c>
      <c r="E5273" s="285">
        <v>13.491111826399376</v>
      </c>
    </row>
    <row r="5274" spans="1:5">
      <c r="A5274" s="284">
        <f t="shared" si="1073"/>
        <v>5206</v>
      </c>
      <c r="B5274" s="285">
        <v>-2.7446917840909095</v>
      </c>
      <c r="C5274" s="285">
        <v>2.1197763269959213</v>
      </c>
      <c r="D5274" s="285">
        <v>-3.7373631154218767E-2</v>
      </c>
      <c r="E5274" s="285">
        <v>-4.8071434924047507</v>
      </c>
    </row>
    <row r="5275" spans="1:5">
      <c r="A5275" s="284">
        <f t="shared" si="1073"/>
        <v>5207</v>
      </c>
      <c r="B5275" s="285">
        <v>0.41184525769712538</v>
      </c>
      <c r="C5275" s="285">
        <v>2.6439799906966135</v>
      </c>
      <c r="D5275" s="285">
        <v>1.7742642071753041</v>
      </c>
      <c r="E5275" s="285">
        <v>-8.5411743808718992</v>
      </c>
    </row>
    <row r="5276" spans="1:5">
      <c r="A5276" s="284">
        <f t="shared" si="1073"/>
        <v>5208</v>
      </c>
      <c r="B5276" s="285">
        <v>-0.3214945256854404</v>
      </c>
      <c r="C5276" s="285">
        <v>2.0236795593960699</v>
      </c>
      <c r="D5276" s="285">
        <v>3.5021633016559912</v>
      </c>
      <c r="E5276" s="285">
        <v>-10.07162202738302</v>
      </c>
    </row>
    <row r="5277" spans="1:5">
      <c r="A5277" s="284">
        <f t="shared" si="1073"/>
        <v>5209</v>
      </c>
      <c r="B5277" s="285">
        <v>-0.77293359380753723</v>
      </c>
      <c r="C5277" s="285">
        <v>2.4979101325138253</v>
      </c>
      <c r="D5277" s="285">
        <v>0.35435478280315369</v>
      </c>
      <c r="E5277" s="285">
        <v>-9.3787737476919197</v>
      </c>
    </row>
    <row r="5278" spans="1:5">
      <c r="A5278" s="284">
        <f t="shared" si="1073"/>
        <v>5210</v>
      </c>
      <c r="B5278" s="285">
        <v>0.54153160413556567</v>
      </c>
      <c r="C5278" s="285">
        <v>2.298020185928273</v>
      </c>
      <c r="D5278" s="285">
        <v>3.3422560832523551</v>
      </c>
      <c r="E5278" s="285">
        <v>-12.309816660161527</v>
      </c>
    </row>
    <row r="5279" spans="1:5">
      <c r="A5279" s="284">
        <f t="shared" si="1073"/>
        <v>5211</v>
      </c>
      <c r="B5279" s="285">
        <v>-2.7950997049546298</v>
      </c>
      <c r="C5279" s="285">
        <v>2.4728334913954417</v>
      </c>
      <c r="D5279" s="285">
        <v>1.2011914556914194</v>
      </c>
      <c r="E5279" s="285">
        <v>13.137683420543659</v>
      </c>
    </row>
    <row r="5280" spans="1:5">
      <c r="A5280" s="284">
        <f t="shared" si="1073"/>
        <v>5212</v>
      </c>
      <c r="B5280" s="285">
        <v>-1.8993906162957912</v>
      </c>
      <c r="C5280" s="285">
        <v>2.696616781270194</v>
      </c>
      <c r="D5280" s="285">
        <v>1.6713317155829617</v>
      </c>
      <c r="E5280" s="285">
        <v>-12.421538691190687</v>
      </c>
    </row>
    <row r="5281" spans="1:5">
      <c r="A5281" s="284">
        <f t="shared" si="1073"/>
        <v>5213</v>
      </c>
      <c r="B5281" s="285">
        <v>0.89231522411066322</v>
      </c>
      <c r="C5281" s="285">
        <v>2.8161924711576676</v>
      </c>
      <c r="D5281" s="285">
        <v>0.39773342217373142</v>
      </c>
      <c r="E5281" s="285">
        <v>10.55863881257082</v>
      </c>
    </row>
    <row r="5282" spans="1:5">
      <c r="A5282" s="284">
        <f t="shared" si="1073"/>
        <v>5214</v>
      </c>
      <c r="B5282" s="285">
        <v>-1.2651890753403279</v>
      </c>
      <c r="C5282" s="285">
        <v>1.4854197867170478</v>
      </c>
      <c r="D5282" s="285">
        <v>0.62203507719767215</v>
      </c>
      <c r="E5282" s="285">
        <v>-19.805956375716637</v>
      </c>
    </row>
    <row r="5283" spans="1:5">
      <c r="A5283" s="284">
        <f t="shared" si="1073"/>
        <v>5215</v>
      </c>
      <c r="B5283" s="285">
        <v>0.98761304811649797</v>
      </c>
      <c r="C5283" s="285">
        <v>2.5688840442033225</v>
      </c>
      <c r="D5283" s="285">
        <v>2.66368232004247</v>
      </c>
      <c r="E5283" s="285">
        <v>-14.732331905860233</v>
      </c>
    </row>
    <row r="5284" spans="1:5">
      <c r="A5284" s="284">
        <f t="shared" si="1073"/>
        <v>5216</v>
      </c>
      <c r="B5284" s="285">
        <v>-4.0975414010514681</v>
      </c>
      <c r="C5284" s="285">
        <v>2.3595073561527475</v>
      </c>
      <c r="D5284" s="285">
        <v>-0.83406398436813323</v>
      </c>
      <c r="E5284" s="285">
        <v>5.0106152233590571</v>
      </c>
    </row>
    <row r="5285" spans="1:5">
      <c r="A5285" s="284">
        <f t="shared" si="1073"/>
        <v>5217</v>
      </c>
      <c r="B5285" s="285">
        <v>6.3236074143070378E-2</v>
      </c>
      <c r="C5285" s="285">
        <v>2.4673037683872776</v>
      </c>
      <c r="D5285" s="285">
        <v>0.80276846795982493</v>
      </c>
      <c r="E5285" s="285">
        <v>-5.3617596238984504</v>
      </c>
    </row>
    <row r="5286" spans="1:5">
      <c r="A5286" s="284">
        <f t="shared" si="1073"/>
        <v>5218</v>
      </c>
      <c r="B5286" s="285">
        <v>-1.9501217807575211</v>
      </c>
      <c r="C5286" s="285">
        <v>2.0564073583565325</v>
      </c>
      <c r="D5286" s="285">
        <v>1.0088636334132186</v>
      </c>
      <c r="E5286" s="285">
        <v>-8.1565730281854112</v>
      </c>
    </row>
    <row r="5287" spans="1:5">
      <c r="A5287" s="284">
        <f t="shared" si="1073"/>
        <v>5219</v>
      </c>
      <c r="B5287" s="285">
        <v>-3.3270526015076336</v>
      </c>
      <c r="C5287" s="285">
        <v>1.8564772348649781</v>
      </c>
      <c r="D5287" s="285">
        <v>2.0626739027546832</v>
      </c>
      <c r="E5287" s="285">
        <v>-9.5124037709402671</v>
      </c>
    </row>
    <row r="5288" spans="1:5">
      <c r="A5288" s="284">
        <f t="shared" si="1073"/>
        <v>5220</v>
      </c>
      <c r="B5288" s="285">
        <v>1.1776647974351584</v>
      </c>
      <c r="C5288" s="285">
        <v>3.1639953301375758</v>
      </c>
      <c r="D5288" s="285">
        <v>0.45064069048694699</v>
      </c>
      <c r="E5288" s="285">
        <v>6.9428578820180658</v>
      </c>
    </row>
    <row r="5289" spans="1:5">
      <c r="A5289" s="284">
        <f t="shared" si="1073"/>
        <v>5221</v>
      </c>
      <c r="B5289" s="285">
        <v>1.1763812624038072</v>
      </c>
      <c r="C5289" s="285">
        <v>2.8749271627987456</v>
      </c>
      <c r="D5289" s="285">
        <v>2.191534310857</v>
      </c>
      <c r="E5289" s="285">
        <v>5.605003571936205</v>
      </c>
    </row>
    <row r="5290" spans="1:5">
      <c r="A5290" s="284">
        <f t="shared" si="1073"/>
        <v>5222</v>
      </c>
      <c r="B5290" s="285">
        <v>1.0692791349887913</v>
      </c>
      <c r="C5290" s="285">
        <v>3.0590367733425348</v>
      </c>
      <c r="D5290" s="285">
        <v>-0.29212338156304174</v>
      </c>
      <c r="E5290" s="285">
        <v>6.9876948516224981</v>
      </c>
    </row>
    <row r="5291" spans="1:5">
      <c r="A5291" s="284">
        <f t="shared" si="1073"/>
        <v>5223</v>
      </c>
      <c r="B5291" s="285">
        <v>-0.24940275366409045</v>
      </c>
      <c r="C5291" s="285">
        <v>2.8606433036618406</v>
      </c>
      <c r="D5291" s="285">
        <v>2.4224328251876766</v>
      </c>
      <c r="E5291" s="285">
        <v>-2.7311764033456734</v>
      </c>
    </row>
    <row r="5292" spans="1:5">
      <c r="A5292" s="284">
        <f t="shared" si="1073"/>
        <v>5224</v>
      </c>
      <c r="B5292" s="285">
        <v>-2.1163123514317221</v>
      </c>
      <c r="C5292" s="285">
        <v>1.7856140735549699</v>
      </c>
      <c r="D5292" s="285">
        <v>2.905251505212413</v>
      </c>
      <c r="E5292" s="285">
        <v>-3.1803380612069443E-2</v>
      </c>
    </row>
    <row r="5293" spans="1:5">
      <c r="A5293" s="284">
        <f t="shared" si="1073"/>
        <v>5225</v>
      </c>
      <c r="B5293" s="285">
        <v>0.40334769882147342</v>
      </c>
      <c r="C5293" s="285">
        <v>2.159666190329943</v>
      </c>
      <c r="D5293" s="285">
        <v>1.0538596666708562</v>
      </c>
      <c r="E5293" s="285">
        <v>-6.4368468600302133</v>
      </c>
    </row>
    <row r="5294" spans="1:5">
      <c r="A5294" s="284">
        <f t="shared" si="1073"/>
        <v>5226</v>
      </c>
      <c r="B5294" s="285">
        <v>-5.2082227476089802</v>
      </c>
      <c r="C5294" s="285">
        <v>1.408998582762754</v>
      </c>
      <c r="D5294" s="285">
        <v>0.58107530950679598</v>
      </c>
      <c r="E5294" s="285">
        <v>-27.326922180980954</v>
      </c>
    </row>
    <row r="5295" spans="1:5">
      <c r="A5295" s="284">
        <f t="shared" si="1073"/>
        <v>5227</v>
      </c>
      <c r="B5295" s="285">
        <v>1.0877539178099402E-2</v>
      </c>
      <c r="C5295" s="285">
        <v>1.9403556395613961</v>
      </c>
      <c r="D5295" s="285">
        <v>2.8240784501428911</v>
      </c>
      <c r="E5295" s="285">
        <v>-14.654899579069257</v>
      </c>
    </row>
    <row r="5296" spans="1:5">
      <c r="A5296" s="284">
        <f t="shared" si="1073"/>
        <v>5228</v>
      </c>
      <c r="B5296" s="285">
        <v>0.8561351756507124</v>
      </c>
      <c r="C5296" s="285">
        <v>2.7697310470181011</v>
      </c>
      <c r="D5296" s="285">
        <v>2.55627141371524</v>
      </c>
      <c r="E5296" s="285">
        <v>9.5340849864030712</v>
      </c>
    </row>
    <row r="5297" spans="1:5">
      <c r="A5297" s="284">
        <f t="shared" si="1073"/>
        <v>5229</v>
      </c>
      <c r="B5297" s="285">
        <v>3.4608838234636261</v>
      </c>
      <c r="C5297" s="285">
        <v>2.8428701101167095</v>
      </c>
      <c r="D5297" s="285">
        <v>1.4130780107779786</v>
      </c>
      <c r="E5297" s="285">
        <v>-14.747988202620894</v>
      </c>
    </row>
    <row r="5298" spans="1:5">
      <c r="A5298" s="284">
        <f t="shared" si="1073"/>
        <v>5230</v>
      </c>
      <c r="B5298" s="285">
        <v>-1.1732011540488745</v>
      </c>
      <c r="C5298" s="285">
        <v>2.3239781365072143</v>
      </c>
      <c r="D5298" s="285">
        <v>0.93905840585251144</v>
      </c>
      <c r="E5298" s="285">
        <v>3.9997317481377448</v>
      </c>
    </row>
    <row r="5299" spans="1:5">
      <c r="A5299" s="284">
        <f t="shared" si="1073"/>
        <v>5231</v>
      </c>
      <c r="B5299" s="285">
        <v>0.31107975864899018</v>
      </c>
      <c r="C5299" s="285">
        <v>2.6492282943200065</v>
      </c>
      <c r="D5299" s="285">
        <v>1.1618517051076509</v>
      </c>
      <c r="E5299" s="285">
        <v>-8.0420084835280612</v>
      </c>
    </row>
    <row r="5300" spans="1:5">
      <c r="A5300" s="284">
        <f t="shared" si="1073"/>
        <v>5232</v>
      </c>
      <c r="B5300" s="285">
        <v>-4.8487116721639909</v>
      </c>
      <c r="C5300" s="285">
        <v>2.4376705563974679</v>
      </c>
      <c r="D5300" s="285">
        <v>1.8437096063981018</v>
      </c>
      <c r="E5300" s="285">
        <v>0.30867181764668006</v>
      </c>
    </row>
    <row r="5301" spans="1:5">
      <c r="A5301" s="284">
        <f t="shared" si="1073"/>
        <v>5233</v>
      </c>
      <c r="B5301" s="285">
        <v>1.339041389741328</v>
      </c>
      <c r="C5301" s="285">
        <v>2.901400867349281</v>
      </c>
      <c r="D5301" s="285">
        <v>3.1757954130636201</v>
      </c>
      <c r="E5301" s="285">
        <v>-0.96386054550511746</v>
      </c>
    </row>
    <row r="5302" spans="1:5">
      <c r="A5302" s="284">
        <f t="shared" si="1073"/>
        <v>5234</v>
      </c>
      <c r="B5302" s="285">
        <v>-4.3907538095494196</v>
      </c>
      <c r="C5302" s="285">
        <v>2.0265308351865903</v>
      </c>
      <c r="D5302" s="285">
        <v>-1.374377702280559</v>
      </c>
      <c r="E5302" s="285">
        <v>-5.4686235883952641</v>
      </c>
    </row>
    <row r="5303" spans="1:5">
      <c r="A5303" s="284">
        <f t="shared" si="1073"/>
        <v>5235</v>
      </c>
      <c r="B5303" s="285">
        <v>1.2247954698357133</v>
      </c>
      <c r="C5303" s="285">
        <v>1.6959131487950705</v>
      </c>
      <c r="D5303" s="285">
        <v>0.97415850914124058</v>
      </c>
      <c r="E5303" s="285">
        <v>-21.215634571793188</v>
      </c>
    </row>
    <row r="5304" spans="1:5">
      <c r="A5304" s="284">
        <f t="shared" si="1073"/>
        <v>5236</v>
      </c>
      <c r="B5304" s="285">
        <v>0.95925569836027491</v>
      </c>
      <c r="C5304" s="285">
        <v>2.2191470182773019</v>
      </c>
      <c r="D5304" s="285">
        <v>1.2600810567159526</v>
      </c>
      <c r="E5304" s="285">
        <v>9.0747852431868878</v>
      </c>
    </row>
    <row r="5305" spans="1:5">
      <c r="A5305" s="284">
        <f t="shared" si="1073"/>
        <v>5237</v>
      </c>
      <c r="B5305" s="285">
        <v>1.1438035987292836</v>
      </c>
      <c r="C5305" s="285">
        <v>2.2589085118267924</v>
      </c>
      <c r="D5305" s="285">
        <v>0.8108610131381927</v>
      </c>
      <c r="E5305" s="285">
        <v>-1.7887337237019598</v>
      </c>
    </row>
    <row r="5306" spans="1:5">
      <c r="A5306" s="284">
        <f t="shared" si="1073"/>
        <v>5238</v>
      </c>
      <c r="B5306" s="285">
        <v>-4.7274556961571337</v>
      </c>
      <c r="C5306" s="285">
        <v>2.56650028414714</v>
      </c>
      <c r="D5306" s="285">
        <v>-1.1194143171799205</v>
      </c>
      <c r="E5306" s="285">
        <v>11.455743242309978</v>
      </c>
    </row>
    <row r="5307" spans="1:5">
      <c r="A5307" s="284">
        <f t="shared" si="1073"/>
        <v>5239</v>
      </c>
      <c r="B5307" s="285">
        <v>-0.64350270495974249</v>
      </c>
      <c r="C5307" s="285">
        <v>2.6899365539328688</v>
      </c>
      <c r="D5307" s="285">
        <v>1.4002772993691357</v>
      </c>
      <c r="E5307" s="285">
        <v>10.161679359285447</v>
      </c>
    </row>
    <row r="5308" spans="1:5">
      <c r="A5308" s="284">
        <f t="shared" si="1073"/>
        <v>5240</v>
      </c>
      <c r="B5308" s="285">
        <v>0.47298183760303464</v>
      </c>
      <c r="C5308" s="285">
        <v>2.4688900431865788</v>
      </c>
      <c r="D5308" s="285">
        <v>0.16604016620594875</v>
      </c>
      <c r="E5308" s="285">
        <v>1.6512531213526747</v>
      </c>
    </row>
    <row r="5309" spans="1:5">
      <c r="A5309" s="284">
        <f t="shared" si="1073"/>
        <v>5241</v>
      </c>
      <c r="B5309" s="285">
        <v>-1.2112357404540708</v>
      </c>
      <c r="C5309" s="285">
        <v>2.6469156739750295</v>
      </c>
      <c r="D5309" s="285">
        <v>1.5388142134429779</v>
      </c>
      <c r="E5309" s="285">
        <v>-13.897060448501467</v>
      </c>
    </row>
    <row r="5310" spans="1:5">
      <c r="A5310" s="284">
        <f t="shared" si="1073"/>
        <v>5242</v>
      </c>
      <c r="B5310" s="285">
        <v>0.86484091346082081</v>
      </c>
      <c r="C5310" s="285">
        <v>2.7624666005885112</v>
      </c>
      <c r="D5310" s="285">
        <v>0.92140314774957033</v>
      </c>
      <c r="E5310" s="285">
        <v>-2.1920371098402831</v>
      </c>
    </row>
    <row r="5311" spans="1:5">
      <c r="A5311" s="284">
        <f t="shared" si="1073"/>
        <v>5243</v>
      </c>
      <c r="B5311" s="285">
        <v>2.7449305295502016</v>
      </c>
      <c r="C5311" s="285">
        <v>3.208149412770664</v>
      </c>
      <c r="D5311" s="285">
        <v>1.2607192669871212</v>
      </c>
      <c r="E5311" s="285">
        <v>10.593963054835134</v>
      </c>
    </row>
    <row r="5312" spans="1:5">
      <c r="A5312" s="284">
        <f t="shared" si="1073"/>
        <v>5244</v>
      </c>
      <c r="B5312" s="285">
        <v>2.2859323154218067</v>
      </c>
      <c r="C5312" s="285">
        <v>2.2139482378156718</v>
      </c>
      <c r="D5312" s="285">
        <v>3.4425655987527071</v>
      </c>
      <c r="E5312" s="285">
        <v>-10.88239246213514</v>
      </c>
    </row>
    <row r="5313" spans="1:5">
      <c r="A5313" s="284">
        <f t="shared" si="1073"/>
        <v>5245</v>
      </c>
      <c r="B5313" s="285">
        <v>1.8570641097848497</v>
      </c>
      <c r="C5313" s="285">
        <v>2.0928598703500314</v>
      </c>
      <c r="D5313" s="285">
        <v>2.2777286729314747</v>
      </c>
      <c r="E5313" s="285">
        <v>-13.268057187673152</v>
      </c>
    </row>
    <row r="5314" spans="1:5">
      <c r="A5314" s="284">
        <f t="shared" si="1073"/>
        <v>5246</v>
      </c>
      <c r="B5314" s="285">
        <v>0.29596088152825289</v>
      </c>
      <c r="C5314" s="285">
        <v>2.6951702969908764</v>
      </c>
      <c r="D5314" s="285">
        <v>1.8559304090903725</v>
      </c>
      <c r="E5314" s="285">
        <v>2.8218052617732021</v>
      </c>
    </row>
    <row r="5315" spans="1:5">
      <c r="A5315" s="284">
        <f t="shared" si="1073"/>
        <v>5247</v>
      </c>
      <c r="B5315" s="285">
        <v>-1.0191246692736793</v>
      </c>
      <c r="C5315" s="285">
        <v>1.2773684017389346</v>
      </c>
      <c r="D5315" s="285">
        <v>1.7022698529684839</v>
      </c>
      <c r="E5315" s="285">
        <v>-22.465765664591512</v>
      </c>
    </row>
    <row r="5316" spans="1:5">
      <c r="A5316" s="284">
        <f t="shared" si="1073"/>
        <v>5248</v>
      </c>
      <c r="B5316" s="285">
        <v>-1.5633810416998075</v>
      </c>
      <c r="C5316" s="285">
        <v>2.4238879136965386</v>
      </c>
      <c r="D5316" s="285">
        <v>1.7922420485649253</v>
      </c>
      <c r="E5316" s="285">
        <v>-2.527700316318783</v>
      </c>
    </row>
    <row r="5317" spans="1:5">
      <c r="A5317" s="284">
        <f t="shared" si="1073"/>
        <v>5249</v>
      </c>
      <c r="B5317" s="285">
        <v>2.1731469706037281</v>
      </c>
      <c r="C5317" s="285">
        <v>2.2654972813592575</v>
      </c>
      <c r="D5317" s="285">
        <v>3.7060099976366239</v>
      </c>
      <c r="E5317" s="285">
        <v>-19.917922161040639</v>
      </c>
    </row>
    <row r="5318" spans="1:5">
      <c r="A5318" s="284">
        <f t="shared" si="1073"/>
        <v>5250</v>
      </c>
      <c r="B5318" s="285">
        <v>0.56590248680256261</v>
      </c>
      <c r="C5318" s="285">
        <v>2.4224363610210444</v>
      </c>
      <c r="D5318" s="285">
        <v>0.22979437996623786</v>
      </c>
      <c r="E5318" s="285">
        <v>5.1176000758445319</v>
      </c>
    </row>
    <row r="5319" spans="1:5">
      <c r="A5319" s="284">
        <f t="shared" ref="A5319:A5382" si="1074">A5318+1</f>
        <v>5251</v>
      </c>
      <c r="B5319" s="285">
        <v>4.3187684477616584</v>
      </c>
      <c r="C5319" s="285">
        <v>3.2288181303138845</v>
      </c>
      <c r="D5319" s="285">
        <v>2.0650225644588254</v>
      </c>
      <c r="E5319" s="285">
        <v>2.2872868742216652</v>
      </c>
    </row>
    <row r="5320" spans="1:5">
      <c r="A5320" s="284">
        <f t="shared" si="1074"/>
        <v>5252</v>
      </c>
      <c r="B5320" s="285">
        <v>4.3762811772960326</v>
      </c>
      <c r="C5320" s="285">
        <v>2.7087247635437706</v>
      </c>
      <c r="D5320" s="285">
        <v>1.7376715777912737</v>
      </c>
      <c r="E5320" s="285">
        <v>-18.606737895323384</v>
      </c>
    </row>
    <row r="5321" spans="1:5">
      <c r="A5321" s="284">
        <f t="shared" si="1074"/>
        <v>5253</v>
      </c>
      <c r="B5321" s="285">
        <v>-3.8304388451929232</v>
      </c>
      <c r="C5321" s="285">
        <v>2.2869039884331874</v>
      </c>
      <c r="D5321" s="285">
        <v>-0.63009317387122055</v>
      </c>
      <c r="E5321" s="285">
        <v>9.5952907444991524</v>
      </c>
    </row>
    <row r="5322" spans="1:5">
      <c r="A5322" s="284">
        <f t="shared" si="1074"/>
        <v>5254</v>
      </c>
      <c r="B5322" s="285">
        <v>-4.0062014641996067</v>
      </c>
      <c r="C5322" s="285">
        <v>2.5862865129703003</v>
      </c>
      <c r="D5322" s="285">
        <v>0.83128041528365437</v>
      </c>
      <c r="E5322" s="285">
        <v>8.8525630006597229</v>
      </c>
    </row>
    <row r="5323" spans="1:5">
      <c r="A5323" s="284">
        <f t="shared" si="1074"/>
        <v>5255</v>
      </c>
      <c r="B5323" s="285">
        <v>-1.8284213880936284</v>
      </c>
      <c r="C5323" s="285">
        <v>1.9445194126500862</v>
      </c>
      <c r="D5323" s="285">
        <v>0.54885775396078695</v>
      </c>
      <c r="E5323" s="285">
        <v>-9.326073969983419</v>
      </c>
    </row>
    <row r="5324" spans="1:5">
      <c r="A5324" s="284">
        <f t="shared" si="1074"/>
        <v>5256</v>
      </c>
      <c r="B5324" s="285">
        <v>-2.5863838358563807</v>
      </c>
      <c r="C5324" s="285">
        <v>2.3650186846514325</v>
      </c>
      <c r="D5324" s="285">
        <v>-9.6611912066489225E-2</v>
      </c>
      <c r="E5324" s="285">
        <v>1.6268645592924114</v>
      </c>
    </row>
    <row r="5325" spans="1:5">
      <c r="A5325" s="284">
        <f t="shared" si="1074"/>
        <v>5257</v>
      </c>
      <c r="B5325" s="285">
        <v>0.61388934907103021</v>
      </c>
      <c r="C5325" s="285">
        <v>3.0099514421730413</v>
      </c>
      <c r="D5325" s="285">
        <v>2.0531239698292616</v>
      </c>
      <c r="E5325" s="285">
        <v>3.9391979586003258</v>
      </c>
    </row>
    <row r="5326" spans="1:5">
      <c r="A5326" s="284">
        <f t="shared" si="1074"/>
        <v>5258</v>
      </c>
      <c r="B5326" s="285">
        <v>3.1768048032734919</v>
      </c>
      <c r="C5326" s="285">
        <v>2.6127588860057473</v>
      </c>
      <c r="D5326" s="285">
        <v>1.7393246147623489</v>
      </c>
      <c r="E5326" s="285">
        <v>-1.4869236892811379</v>
      </c>
    </row>
    <row r="5327" spans="1:5">
      <c r="A5327" s="284">
        <f t="shared" si="1074"/>
        <v>5259</v>
      </c>
      <c r="B5327" s="285">
        <v>-1.8933831123525302</v>
      </c>
      <c r="C5327" s="285">
        <v>1.72278920291865</v>
      </c>
      <c r="D5327" s="285">
        <v>0.52964789492567343</v>
      </c>
      <c r="E5327" s="285">
        <v>-12.648766661697469</v>
      </c>
    </row>
    <row r="5328" spans="1:5">
      <c r="A5328" s="284">
        <f t="shared" si="1074"/>
        <v>5260</v>
      </c>
      <c r="B5328" s="285">
        <v>-1.2543030334841088</v>
      </c>
      <c r="C5328" s="285">
        <v>2.521591446327287</v>
      </c>
      <c r="D5328" s="285">
        <v>2.0918380023299257</v>
      </c>
      <c r="E5328" s="285">
        <v>-1.0722009377862634</v>
      </c>
    </row>
    <row r="5329" spans="1:5">
      <c r="A5329" s="284">
        <f t="shared" si="1074"/>
        <v>5261</v>
      </c>
      <c r="B5329" s="285">
        <v>6.9035025748135651E-2</v>
      </c>
      <c r="C5329" s="285">
        <v>2.9485930888476215</v>
      </c>
      <c r="D5329" s="285">
        <v>0.99324547125928464</v>
      </c>
      <c r="E5329" s="285">
        <v>5.1361104877145678</v>
      </c>
    </row>
    <row r="5330" spans="1:5">
      <c r="A5330" s="284">
        <f t="shared" si="1074"/>
        <v>5262</v>
      </c>
      <c r="B5330" s="285">
        <v>-1.8935207765913757</v>
      </c>
      <c r="C5330" s="285">
        <v>2.6166147561104545</v>
      </c>
      <c r="D5330" s="285">
        <v>1.9486174886955829</v>
      </c>
      <c r="E5330" s="285">
        <v>-7.2989718306592479</v>
      </c>
    </row>
    <row r="5331" spans="1:5">
      <c r="A5331" s="284">
        <f t="shared" si="1074"/>
        <v>5263</v>
      </c>
      <c r="B5331" s="285">
        <v>-0.58795581449517864</v>
      </c>
      <c r="C5331" s="285">
        <v>1.9719455141055635</v>
      </c>
      <c r="D5331" s="285">
        <v>2.3920076536009169</v>
      </c>
      <c r="E5331" s="285">
        <v>-8.9237285501722123</v>
      </c>
    </row>
    <row r="5332" spans="1:5">
      <c r="A5332" s="284">
        <f t="shared" si="1074"/>
        <v>5264</v>
      </c>
      <c r="B5332" s="285">
        <v>-0.29744637336445467</v>
      </c>
      <c r="C5332" s="285">
        <v>2.9520946776259009</v>
      </c>
      <c r="D5332" s="285">
        <v>0.9981282086955745</v>
      </c>
      <c r="E5332" s="285">
        <v>1.3278181180574351</v>
      </c>
    </row>
    <row r="5333" spans="1:5">
      <c r="A5333" s="284">
        <f t="shared" si="1074"/>
        <v>5265</v>
      </c>
      <c r="B5333" s="285">
        <v>1.2401955964903202</v>
      </c>
      <c r="C5333" s="285">
        <v>2.7687341292350207</v>
      </c>
      <c r="D5333" s="285">
        <v>2.3165124834696296</v>
      </c>
      <c r="E5333" s="285">
        <v>-3.5383292481298776</v>
      </c>
    </row>
    <row r="5334" spans="1:5">
      <c r="A5334" s="284">
        <f t="shared" si="1074"/>
        <v>5266</v>
      </c>
      <c r="B5334" s="285">
        <v>-4.2791558476788021</v>
      </c>
      <c r="C5334" s="285">
        <v>1.8366335716472371</v>
      </c>
      <c r="D5334" s="285">
        <v>2.0449716226686698</v>
      </c>
      <c r="E5334" s="285">
        <v>-7.8594780765302161</v>
      </c>
    </row>
    <row r="5335" spans="1:5">
      <c r="A5335" s="284">
        <f t="shared" si="1074"/>
        <v>5267</v>
      </c>
      <c r="B5335" s="285">
        <v>-1.8185873186978767</v>
      </c>
      <c r="C5335" s="285">
        <v>1.877473561529726</v>
      </c>
      <c r="D5335" s="285">
        <v>1.0315668534182019</v>
      </c>
      <c r="E5335" s="285">
        <v>-14.17079307738681</v>
      </c>
    </row>
    <row r="5336" spans="1:5">
      <c r="A5336" s="284">
        <f t="shared" si="1074"/>
        <v>5268</v>
      </c>
      <c r="B5336" s="285">
        <v>-0.21884361570268215</v>
      </c>
      <c r="C5336" s="285">
        <v>3.1623895488126852</v>
      </c>
      <c r="D5336" s="285">
        <v>0.54608271988218582</v>
      </c>
      <c r="E5336" s="285">
        <v>6.9822855985814165</v>
      </c>
    </row>
    <row r="5337" spans="1:5">
      <c r="A5337" s="284">
        <f t="shared" si="1074"/>
        <v>5269</v>
      </c>
      <c r="B5337" s="285">
        <v>0.22946141517877858</v>
      </c>
      <c r="C5337" s="285">
        <v>2.4454086929615011</v>
      </c>
      <c r="D5337" s="285">
        <v>0.8717805183887668</v>
      </c>
      <c r="E5337" s="285">
        <v>-3.4363987646600656</v>
      </c>
    </row>
    <row r="5338" spans="1:5">
      <c r="A5338" s="284">
        <f t="shared" si="1074"/>
        <v>5270</v>
      </c>
      <c r="B5338" s="285">
        <v>-1.6525301525769036</v>
      </c>
      <c r="C5338" s="285">
        <v>2.8338782237815692</v>
      </c>
      <c r="D5338" s="285">
        <v>1.5532709161907912</v>
      </c>
      <c r="E5338" s="285">
        <v>13.478329622982404</v>
      </c>
    </row>
    <row r="5339" spans="1:5">
      <c r="A5339" s="284">
        <f t="shared" si="1074"/>
        <v>5271</v>
      </c>
      <c r="B5339" s="285">
        <v>-2.6691982267978887</v>
      </c>
      <c r="C5339" s="285">
        <v>1.6555391730149127</v>
      </c>
      <c r="D5339" s="285">
        <v>1.4401520444536144</v>
      </c>
      <c r="E5339" s="285">
        <v>-11.411532737090544</v>
      </c>
    </row>
    <row r="5340" spans="1:5">
      <c r="A5340" s="284">
        <f t="shared" si="1074"/>
        <v>5272</v>
      </c>
      <c r="B5340" s="285">
        <v>-1.0253225385785087</v>
      </c>
      <c r="C5340" s="285">
        <v>2.7984944473398898</v>
      </c>
      <c r="D5340" s="285">
        <v>3.4259140806263444</v>
      </c>
      <c r="E5340" s="285">
        <v>-3.3531053772934842</v>
      </c>
    </row>
    <row r="5341" spans="1:5">
      <c r="A5341" s="284">
        <f t="shared" si="1074"/>
        <v>5273</v>
      </c>
      <c r="B5341" s="285">
        <v>-0.36028428710344568</v>
      </c>
      <c r="C5341" s="285">
        <v>2.4283272958584878</v>
      </c>
      <c r="D5341" s="285">
        <v>-0.16284331706084521</v>
      </c>
      <c r="E5341" s="285">
        <v>-8.7223396825667638</v>
      </c>
    </row>
    <row r="5342" spans="1:5">
      <c r="A5342" s="284">
        <f t="shared" si="1074"/>
        <v>5274</v>
      </c>
      <c r="B5342" s="285">
        <v>-5.1912375175023646</v>
      </c>
      <c r="C5342" s="285">
        <v>2.158557665711577</v>
      </c>
      <c r="D5342" s="285">
        <v>0.8146223836321449</v>
      </c>
      <c r="E5342" s="285">
        <v>-10.696577250299965</v>
      </c>
    </row>
    <row r="5343" spans="1:5">
      <c r="A5343" s="284">
        <f t="shared" si="1074"/>
        <v>5275</v>
      </c>
      <c r="B5343" s="285">
        <v>0.48222782859975416</v>
      </c>
      <c r="C5343" s="285">
        <v>1.9568556336472489</v>
      </c>
      <c r="D5343" s="285">
        <v>0.68821650255344524</v>
      </c>
      <c r="E5343" s="285">
        <v>-18.438895475629369</v>
      </c>
    </row>
    <row r="5344" spans="1:5">
      <c r="A5344" s="284">
        <f t="shared" si="1074"/>
        <v>5276</v>
      </c>
      <c r="B5344" s="285">
        <v>-6.5980091773729446E-2</v>
      </c>
      <c r="C5344" s="285">
        <v>2.1825302361383088</v>
      </c>
      <c r="D5344" s="285">
        <v>2.7841403203996156</v>
      </c>
      <c r="E5344" s="285">
        <v>-12.197734964484942</v>
      </c>
    </row>
    <row r="5345" spans="1:5">
      <c r="A5345" s="284">
        <f t="shared" si="1074"/>
        <v>5277</v>
      </c>
      <c r="B5345" s="285">
        <v>1.2663185596582209</v>
      </c>
      <c r="C5345" s="285">
        <v>2.3811584639313592</v>
      </c>
      <c r="D5345" s="285">
        <v>5.1870772339296201</v>
      </c>
      <c r="E5345" s="285">
        <v>3.8233161674020235</v>
      </c>
    </row>
    <row r="5346" spans="1:5">
      <c r="A5346" s="284">
        <f t="shared" si="1074"/>
        <v>5278</v>
      </c>
      <c r="B5346" s="285">
        <v>-0.43012650475806335</v>
      </c>
      <c r="C5346" s="285">
        <v>2.199202106254198</v>
      </c>
      <c r="D5346" s="285">
        <v>2.571891946916316E-2</v>
      </c>
      <c r="E5346" s="285">
        <v>-3.5745902137752554</v>
      </c>
    </row>
    <row r="5347" spans="1:5">
      <c r="A5347" s="284">
        <f t="shared" si="1074"/>
        <v>5279</v>
      </c>
      <c r="B5347" s="285">
        <v>0.16726052042584119</v>
      </c>
      <c r="C5347" s="285">
        <v>2.3391918090486183</v>
      </c>
      <c r="D5347" s="285">
        <v>1.4734780895809556</v>
      </c>
      <c r="E5347" s="285">
        <v>0.24094562492226546</v>
      </c>
    </row>
    <row r="5348" spans="1:5">
      <c r="A5348" s="284">
        <f t="shared" si="1074"/>
        <v>5280</v>
      </c>
      <c r="B5348" s="285">
        <v>1.9411838922709923</v>
      </c>
      <c r="C5348" s="285">
        <v>2.1353712699124592</v>
      </c>
      <c r="D5348" s="285">
        <v>2.3390961777288988</v>
      </c>
      <c r="E5348" s="285">
        <v>-15.147853521306228</v>
      </c>
    </row>
    <row r="5349" spans="1:5">
      <c r="A5349" s="284">
        <f t="shared" si="1074"/>
        <v>5281</v>
      </c>
      <c r="B5349" s="285">
        <v>0.26267788695547856</v>
      </c>
      <c r="C5349" s="285">
        <v>2.8263300643830527</v>
      </c>
      <c r="D5349" s="285">
        <v>-0.13106700592953713</v>
      </c>
      <c r="E5349" s="285">
        <v>7.3739913305067084</v>
      </c>
    </row>
    <row r="5350" spans="1:5">
      <c r="A5350" s="284">
        <f t="shared" si="1074"/>
        <v>5282</v>
      </c>
      <c r="B5350" s="285">
        <v>5.8514260394297697</v>
      </c>
      <c r="C5350" s="285">
        <v>3.2122553648157925</v>
      </c>
      <c r="D5350" s="285">
        <v>1.0665012989667275</v>
      </c>
      <c r="E5350" s="285">
        <v>-12.699655020803583</v>
      </c>
    </row>
    <row r="5351" spans="1:5">
      <c r="A5351" s="284">
        <f t="shared" si="1074"/>
        <v>5283</v>
      </c>
      <c r="B5351" s="285">
        <v>-1.0888258580424104</v>
      </c>
      <c r="C5351" s="285">
        <v>2.8568339522205091</v>
      </c>
      <c r="D5351" s="285">
        <v>0.34791394942549358</v>
      </c>
      <c r="E5351" s="285">
        <v>12.105939296857537</v>
      </c>
    </row>
    <row r="5352" spans="1:5">
      <c r="A5352" s="284">
        <f t="shared" si="1074"/>
        <v>5284</v>
      </c>
      <c r="B5352" s="285">
        <v>0.95407579856641844</v>
      </c>
      <c r="C5352" s="285">
        <v>2.067663452300819</v>
      </c>
      <c r="D5352" s="285">
        <v>3.030333414274418</v>
      </c>
      <c r="E5352" s="285">
        <v>-17.13030453545765</v>
      </c>
    </row>
    <row r="5353" spans="1:5">
      <c r="A5353" s="284">
        <f t="shared" si="1074"/>
        <v>5285</v>
      </c>
      <c r="B5353" s="285">
        <v>-2.9107193250330607</v>
      </c>
      <c r="C5353" s="285">
        <v>2.7182619423501269</v>
      </c>
      <c r="D5353" s="285">
        <v>0.50424167821121146</v>
      </c>
      <c r="E5353" s="285">
        <v>4.4754903211866512</v>
      </c>
    </row>
    <row r="5354" spans="1:5">
      <c r="A5354" s="284">
        <f t="shared" si="1074"/>
        <v>5286</v>
      </c>
      <c r="B5354" s="285">
        <v>-1.0200321121406959</v>
      </c>
      <c r="C5354" s="285">
        <v>2.4450672668724129</v>
      </c>
      <c r="D5354" s="285">
        <v>0.14313201873868464</v>
      </c>
      <c r="E5354" s="285">
        <v>-10.745156426237111</v>
      </c>
    </row>
    <row r="5355" spans="1:5">
      <c r="A5355" s="284">
        <f t="shared" si="1074"/>
        <v>5287</v>
      </c>
      <c r="B5355" s="285">
        <v>1.3612466811360238</v>
      </c>
      <c r="C5355" s="285">
        <v>3.6080158900748205</v>
      </c>
      <c r="D5355" s="285">
        <v>1.7425537408504066</v>
      </c>
      <c r="E5355" s="285">
        <v>9.0859735584329293</v>
      </c>
    </row>
    <row r="5356" spans="1:5">
      <c r="A5356" s="284">
        <f t="shared" si="1074"/>
        <v>5288</v>
      </c>
      <c r="B5356" s="285">
        <v>-3.9606539156313167</v>
      </c>
      <c r="C5356" s="285">
        <v>2.6743545482641555</v>
      </c>
      <c r="D5356" s="285">
        <v>-0.32359758233910396</v>
      </c>
      <c r="E5356" s="285">
        <v>4.9893552046125862</v>
      </c>
    </row>
    <row r="5357" spans="1:5">
      <c r="A5357" s="284">
        <f t="shared" si="1074"/>
        <v>5289</v>
      </c>
      <c r="B5357" s="285">
        <v>-2.5216733708742916</v>
      </c>
      <c r="C5357" s="285">
        <v>2.5943018856806406</v>
      </c>
      <c r="D5357" s="285">
        <v>-0.14257262635362067</v>
      </c>
      <c r="E5357" s="285">
        <v>-2.2716322755461906</v>
      </c>
    </row>
    <row r="5358" spans="1:5">
      <c r="A5358" s="284">
        <f t="shared" si="1074"/>
        <v>5290</v>
      </c>
      <c r="B5358" s="285">
        <v>2.551703573820983</v>
      </c>
      <c r="C5358" s="285">
        <v>2.7599155266583875</v>
      </c>
      <c r="D5358" s="285">
        <v>-0.24658124940060611</v>
      </c>
      <c r="E5358" s="285">
        <v>4.62464201141586</v>
      </c>
    </row>
    <row r="5359" spans="1:5">
      <c r="A5359" s="284">
        <f t="shared" si="1074"/>
        <v>5291</v>
      </c>
      <c r="B5359" s="285">
        <v>1.6503521839091169</v>
      </c>
      <c r="C5359" s="285">
        <v>2.4374474061760929</v>
      </c>
      <c r="D5359" s="285">
        <v>1.5051507366404551</v>
      </c>
      <c r="E5359" s="285">
        <v>2.4759435252394622</v>
      </c>
    </row>
    <row r="5360" spans="1:5">
      <c r="A5360" s="284">
        <f t="shared" si="1074"/>
        <v>5292</v>
      </c>
      <c r="B5360" s="285">
        <v>3.6115538812490393</v>
      </c>
      <c r="C5360" s="285">
        <v>3.32299917007823</v>
      </c>
      <c r="D5360" s="285">
        <v>-0.76901614420248499</v>
      </c>
      <c r="E5360" s="285">
        <v>15.172223444712703</v>
      </c>
    </row>
    <row r="5361" spans="1:5">
      <c r="A5361" s="284">
        <f t="shared" si="1074"/>
        <v>5293</v>
      </c>
      <c r="B5361" s="285">
        <v>-3.1520939606531311</v>
      </c>
      <c r="C5361" s="285">
        <v>2.4070131147971923</v>
      </c>
      <c r="D5361" s="285">
        <v>0.17221487230895272</v>
      </c>
      <c r="E5361" s="285">
        <v>-1.7256925781475436</v>
      </c>
    </row>
    <row r="5362" spans="1:5">
      <c r="A5362" s="284">
        <f t="shared" si="1074"/>
        <v>5294</v>
      </c>
      <c r="B5362" s="285">
        <v>0.65158293122229749</v>
      </c>
      <c r="C5362" s="285">
        <v>2.9026560036312907</v>
      </c>
      <c r="D5362" s="285">
        <v>1.7240470547332292</v>
      </c>
      <c r="E5362" s="285">
        <v>-8.5007960222775356</v>
      </c>
    </row>
    <row r="5363" spans="1:5">
      <c r="A5363" s="284">
        <f t="shared" si="1074"/>
        <v>5295</v>
      </c>
      <c r="B5363" s="285">
        <v>1.7387632303738461</v>
      </c>
      <c r="C5363" s="285">
        <v>2.2538052807683022</v>
      </c>
      <c r="D5363" s="285">
        <v>2.304276325000683</v>
      </c>
      <c r="E5363" s="285">
        <v>-12.313760658677225</v>
      </c>
    </row>
    <row r="5364" spans="1:5">
      <c r="A5364" s="284">
        <f t="shared" si="1074"/>
        <v>5296</v>
      </c>
      <c r="B5364" s="285">
        <v>-1.4712413510662632</v>
      </c>
      <c r="C5364" s="285">
        <v>2.005397756270789</v>
      </c>
      <c r="D5364" s="285">
        <v>1.0122910589939673</v>
      </c>
      <c r="E5364" s="285">
        <v>-9.2740627412073078</v>
      </c>
    </row>
    <row r="5365" spans="1:5">
      <c r="A5365" s="284">
        <f t="shared" si="1074"/>
        <v>5297</v>
      </c>
      <c r="B5365" s="285">
        <v>-1.3476524991909895</v>
      </c>
      <c r="C5365" s="285">
        <v>2.7032954522735482</v>
      </c>
      <c r="D5365" s="285">
        <v>3.1599028299100529</v>
      </c>
      <c r="E5365" s="285">
        <v>9.2196012713844731</v>
      </c>
    </row>
    <row r="5366" spans="1:5">
      <c r="A5366" s="284">
        <f t="shared" si="1074"/>
        <v>5298</v>
      </c>
      <c r="B5366" s="285">
        <v>2.2190901614857155</v>
      </c>
      <c r="C5366" s="285">
        <v>2.6690647813735016</v>
      </c>
      <c r="D5366" s="285">
        <v>4.2247578217091961</v>
      </c>
      <c r="E5366" s="285">
        <v>-8.3713700362716352</v>
      </c>
    </row>
    <row r="5367" spans="1:5">
      <c r="A5367" s="284">
        <f t="shared" si="1074"/>
        <v>5299</v>
      </c>
      <c r="B5367" s="285">
        <v>-3.3543201685285631</v>
      </c>
      <c r="C5367" s="285">
        <v>2.2101257881497527</v>
      </c>
      <c r="D5367" s="285">
        <v>0.82659584845595857</v>
      </c>
      <c r="E5367" s="285">
        <v>-2.3580795571396909</v>
      </c>
    </row>
    <row r="5368" spans="1:5">
      <c r="A5368" s="284">
        <f t="shared" si="1074"/>
        <v>5300</v>
      </c>
      <c r="B5368" s="285">
        <v>-1.0469798325504509</v>
      </c>
      <c r="C5368" s="285">
        <v>2.8098739114334759</v>
      </c>
      <c r="D5368" s="285">
        <v>1.7375597249298456</v>
      </c>
      <c r="E5368" s="285">
        <v>13.460069147096831</v>
      </c>
    </row>
    <row r="5369" spans="1:5">
      <c r="A5369" s="284">
        <f t="shared" si="1074"/>
        <v>5301</v>
      </c>
      <c r="B5369" s="285">
        <v>3.4693060371935172</v>
      </c>
      <c r="C5369" s="285">
        <v>2.3088692100021935</v>
      </c>
      <c r="D5369" s="285">
        <v>-1.1132015605674797</v>
      </c>
      <c r="E5369" s="285">
        <v>-17.972439228671409</v>
      </c>
    </row>
    <row r="5370" spans="1:5">
      <c r="A5370" s="284">
        <f t="shared" si="1074"/>
        <v>5302</v>
      </c>
      <c r="B5370" s="285">
        <v>2.255497512732251</v>
      </c>
      <c r="C5370" s="285">
        <v>2.3866784798386154</v>
      </c>
      <c r="D5370" s="285">
        <v>0.93700504855125732</v>
      </c>
      <c r="E5370" s="285">
        <v>-5.6484463763898241</v>
      </c>
    </row>
    <row r="5371" spans="1:5">
      <c r="A5371" s="284">
        <f t="shared" si="1074"/>
        <v>5303</v>
      </c>
      <c r="B5371" s="285">
        <v>-2.7020449898873702</v>
      </c>
      <c r="C5371" s="285">
        <v>1.8322555323231879</v>
      </c>
      <c r="D5371" s="285">
        <v>2.6204524874143282</v>
      </c>
      <c r="E5371" s="285">
        <v>0.77671255197122457</v>
      </c>
    </row>
    <row r="5372" spans="1:5">
      <c r="A5372" s="284">
        <f t="shared" si="1074"/>
        <v>5304</v>
      </c>
      <c r="B5372" s="285">
        <v>0.8576929798734757</v>
      </c>
      <c r="C5372" s="285">
        <v>2.3784250219778555</v>
      </c>
      <c r="D5372" s="285">
        <v>0.46328335943442711</v>
      </c>
      <c r="E5372" s="285">
        <v>-7.4268027978547888</v>
      </c>
    </row>
    <row r="5373" spans="1:5">
      <c r="A5373" s="284">
        <f t="shared" si="1074"/>
        <v>5305</v>
      </c>
      <c r="B5373" s="285">
        <v>0.57480154234946768</v>
      </c>
      <c r="C5373" s="285">
        <v>3.0521928180216946</v>
      </c>
      <c r="D5373" s="285">
        <v>2.3481202276699618</v>
      </c>
      <c r="E5373" s="285">
        <v>-0.80564579574320883</v>
      </c>
    </row>
    <row r="5374" spans="1:5">
      <c r="A5374" s="284">
        <f t="shared" si="1074"/>
        <v>5306</v>
      </c>
      <c r="B5374" s="285">
        <v>-1.458555338398341</v>
      </c>
      <c r="C5374" s="285">
        <v>3.0095574522443309</v>
      </c>
      <c r="D5374" s="285">
        <v>-1.2578191845167508E-2</v>
      </c>
      <c r="E5374" s="285">
        <v>-4.0488696726166111</v>
      </c>
    </row>
    <row r="5375" spans="1:5">
      <c r="A5375" s="284">
        <f t="shared" si="1074"/>
        <v>5307</v>
      </c>
      <c r="B5375" s="285">
        <v>3.7251767390142758</v>
      </c>
      <c r="C5375" s="285">
        <v>2.5710022790492135</v>
      </c>
      <c r="D5375" s="285">
        <v>1.9751531701101983</v>
      </c>
      <c r="E5375" s="285">
        <v>-9.1840948464992387</v>
      </c>
    </row>
    <row r="5376" spans="1:5">
      <c r="A5376" s="284">
        <f t="shared" si="1074"/>
        <v>5308</v>
      </c>
      <c r="B5376" s="285">
        <v>2.6472741870782865</v>
      </c>
      <c r="C5376" s="285">
        <v>2.9089255085931756</v>
      </c>
      <c r="D5376" s="285">
        <v>2.6963245607103845</v>
      </c>
      <c r="E5376" s="285">
        <v>7.7427263250975109</v>
      </c>
    </row>
    <row r="5377" spans="1:5">
      <c r="A5377" s="284">
        <f t="shared" si="1074"/>
        <v>5309</v>
      </c>
      <c r="B5377" s="285">
        <v>-0.86748162528194817</v>
      </c>
      <c r="C5377" s="285">
        <v>2.2636251439333028</v>
      </c>
      <c r="D5377" s="285">
        <v>0.97151159683715871</v>
      </c>
      <c r="E5377" s="285">
        <v>-15.198327118774802</v>
      </c>
    </row>
    <row r="5378" spans="1:5">
      <c r="A5378" s="284">
        <f t="shared" si="1074"/>
        <v>5310</v>
      </c>
      <c r="B5378" s="285">
        <v>-0.47997528831747421</v>
      </c>
      <c r="C5378" s="285">
        <v>3.0066793744097486</v>
      </c>
      <c r="D5378" s="285">
        <v>1.4731997703707926</v>
      </c>
      <c r="E5378" s="285">
        <v>14.033457905715768</v>
      </c>
    </row>
    <row r="5379" spans="1:5">
      <c r="A5379" s="284">
        <f t="shared" si="1074"/>
        <v>5311</v>
      </c>
      <c r="B5379" s="285">
        <v>3.6567469732766615</v>
      </c>
      <c r="C5379" s="285">
        <v>3.0357107817184734</v>
      </c>
      <c r="D5379" s="285">
        <v>1.9919810785135532</v>
      </c>
      <c r="E5379" s="285">
        <v>-1.6916429160793811</v>
      </c>
    </row>
    <row r="5380" spans="1:5">
      <c r="A5380" s="284">
        <f t="shared" si="1074"/>
        <v>5312</v>
      </c>
      <c r="B5380" s="285">
        <v>0.14437968740563659</v>
      </c>
      <c r="C5380" s="285">
        <v>2.7129809374855798</v>
      </c>
      <c r="D5380" s="285">
        <v>0.57492962690952265</v>
      </c>
      <c r="E5380" s="285">
        <v>-1.2138958294113011</v>
      </c>
    </row>
    <row r="5381" spans="1:5">
      <c r="A5381" s="284">
        <f t="shared" si="1074"/>
        <v>5313</v>
      </c>
      <c r="B5381" s="285">
        <v>2.6630045387886883</v>
      </c>
      <c r="C5381" s="285">
        <v>2.8719117673777887</v>
      </c>
      <c r="D5381" s="285">
        <v>-0.68990273123923496</v>
      </c>
      <c r="E5381" s="285">
        <v>-10.644616445840896</v>
      </c>
    </row>
    <row r="5382" spans="1:5">
      <c r="A5382" s="284">
        <f t="shared" si="1074"/>
        <v>5314</v>
      </c>
      <c r="B5382" s="285">
        <v>-2.3737013578984185E-2</v>
      </c>
      <c r="C5382" s="285">
        <v>2.7622929257550708</v>
      </c>
      <c r="D5382" s="285">
        <v>2.6117801145661588</v>
      </c>
      <c r="E5382" s="285">
        <v>-1.6447272737304901</v>
      </c>
    </row>
    <row r="5383" spans="1:5">
      <c r="A5383" s="284">
        <f t="shared" ref="A5383:A5446" si="1075">A5382+1</f>
        <v>5315</v>
      </c>
      <c r="B5383" s="285">
        <v>-1.9491168936311472</v>
      </c>
      <c r="C5383" s="285">
        <v>2.1308493750565241</v>
      </c>
      <c r="D5383" s="285">
        <v>2.3168985853778477</v>
      </c>
      <c r="E5383" s="285">
        <v>-9.608751561745116</v>
      </c>
    </row>
    <row r="5384" spans="1:5">
      <c r="A5384" s="284">
        <f t="shared" si="1075"/>
        <v>5316</v>
      </c>
      <c r="B5384" s="285">
        <v>2.4266074481185185</v>
      </c>
      <c r="C5384" s="285">
        <v>2.7970516416320326</v>
      </c>
      <c r="D5384" s="285">
        <v>-0.47651012093317546</v>
      </c>
      <c r="E5384" s="285">
        <v>3.6778472076687447</v>
      </c>
    </row>
    <row r="5385" spans="1:5">
      <c r="A5385" s="284">
        <f t="shared" si="1075"/>
        <v>5317</v>
      </c>
      <c r="B5385" s="285">
        <v>4.3368006951742393</v>
      </c>
      <c r="C5385" s="285">
        <v>2.2176998733439097</v>
      </c>
      <c r="D5385" s="285">
        <v>2.6581238549255355</v>
      </c>
      <c r="E5385" s="285">
        <v>-12.226678738326424</v>
      </c>
    </row>
    <row r="5386" spans="1:5">
      <c r="A5386" s="284">
        <f t="shared" si="1075"/>
        <v>5318</v>
      </c>
      <c r="B5386" s="285">
        <v>-0.8128584509402228</v>
      </c>
      <c r="C5386" s="285">
        <v>2.7792145012464453</v>
      </c>
      <c r="D5386" s="285">
        <v>1.128871153488777</v>
      </c>
      <c r="E5386" s="285">
        <v>7.6462068659127382</v>
      </c>
    </row>
    <row r="5387" spans="1:5">
      <c r="A5387" s="284">
        <f t="shared" si="1075"/>
        <v>5319</v>
      </c>
      <c r="B5387" s="285">
        <v>-3.2180730089464284</v>
      </c>
      <c r="C5387" s="285">
        <v>3.1870412722043957</v>
      </c>
      <c r="D5387" s="285">
        <v>0.66545288023718607</v>
      </c>
      <c r="E5387" s="285">
        <v>15.31188632696588</v>
      </c>
    </row>
    <row r="5388" spans="1:5">
      <c r="A5388" s="284">
        <f t="shared" si="1075"/>
        <v>5320</v>
      </c>
      <c r="B5388" s="285">
        <v>0.75124328543719576</v>
      </c>
      <c r="C5388" s="285">
        <v>2.9331617467586204</v>
      </c>
      <c r="D5388" s="285">
        <v>1.0566793694479768</v>
      </c>
      <c r="E5388" s="285">
        <v>14.396646782432789</v>
      </c>
    </row>
    <row r="5389" spans="1:5">
      <c r="A5389" s="284">
        <f t="shared" si="1075"/>
        <v>5321</v>
      </c>
      <c r="B5389" s="285">
        <v>-0.99577640733183503</v>
      </c>
      <c r="C5389" s="285">
        <v>2.5052043861064139</v>
      </c>
      <c r="D5389" s="285">
        <v>1.3590385527063604</v>
      </c>
      <c r="E5389" s="285">
        <v>-6.8875752874770058</v>
      </c>
    </row>
    <row r="5390" spans="1:5">
      <c r="A5390" s="284">
        <f t="shared" si="1075"/>
        <v>5322</v>
      </c>
      <c r="B5390" s="285">
        <v>-0.67646710294855517</v>
      </c>
      <c r="C5390" s="285">
        <v>1.4934367583823454</v>
      </c>
      <c r="D5390" s="285">
        <v>3.2777332086889501</v>
      </c>
      <c r="E5390" s="285">
        <v>-21.445335364778003</v>
      </c>
    </row>
    <row r="5391" spans="1:5">
      <c r="A5391" s="284">
        <f t="shared" si="1075"/>
        <v>5323</v>
      </c>
      <c r="B5391" s="285">
        <v>1.0447563569308469</v>
      </c>
      <c r="C5391" s="285">
        <v>2.1333170512686004</v>
      </c>
      <c r="D5391" s="285">
        <v>1.955500611303258</v>
      </c>
      <c r="E5391" s="285">
        <v>-14.115909428989642</v>
      </c>
    </row>
    <row r="5392" spans="1:5">
      <c r="A5392" s="284">
        <f t="shared" si="1075"/>
        <v>5324</v>
      </c>
      <c r="B5392" s="285">
        <v>2.3852679560014702</v>
      </c>
      <c r="C5392" s="285">
        <v>2.4669167453552077</v>
      </c>
      <c r="D5392" s="285">
        <v>0.782610849178488</v>
      </c>
      <c r="E5392" s="285">
        <v>-10.183499751530954</v>
      </c>
    </row>
    <row r="5393" spans="1:5">
      <c r="A5393" s="284">
        <f t="shared" si="1075"/>
        <v>5325</v>
      </c>
      <c r="B5393" s="285">
        <v>-1.2145588876794875</v>
      </c>
      <c r="C5393" s="285">
        <v>2.1715683293867967</v>
      </c>
      <c r="D5393" s="285">
        <v>2.0812942424022305</v>
      </c>
      <c r="E5393" s="285">
        <v>-17.040705221763833</v>
      </c>
    </row>
    <row r="5394" spans="1:5">
      <c r="A5394" s="284">
        <f t="shared" si="1075"/>
        <v>5326</v>
      </c>
      <c r="B5394" s="285">
        <v>5.9499972308716753</v>
      </c>
      <c r="C5394" s="285">
        <v>2.7515545433242594</v>
      </c>
      <c r="D5394" s="285">
        <v>3.637324173813167</v>
      </c>
      <c r="E5394" s="285">
        <v>-7.0197436121580061</v>
      </c>
    </row>
    <row r="5395" spans="1:5">
      <c r="A5395" s="284">
        <f t="shared" si="1075"/>
        <v>5327</v>
      </c>
      <c r="B5395" s="285">
        <v>-3.0946424372251164</v>
      </c>
      <c r="C5395" s="285">
        <v>2.8939566113844815</v>
      </c>
      <c r="D5395" s="285">
        <v>-0.48917810633604608</v>
      </c>
      <c r="E5395" s="285">
        <v>3.6682716502294928</v>
      </c>
    </row>
    <row r="5396" spans="1:5">
      <c r="A5396" s="284">
        <f t="shared" si="1075"/>
        <v>5328</v>
      </c>
      <c r="B5396" s="285">
        <v>-3.2857588317470952</v>
      </c>
      <c r="C5396" s="285">
        <v>2.1313023817622314</v>
      </c>
      <c r="D5396" s="285">
        <v>0.75440439651450031</v>
      </c>
      <c r="E5396" s="285">
        <v>-7.7375565039697509</v>
      </c>
    </row>
    <row r="5397" spans="1:5">
      <c r="A5397" s="284">
        <f t="shared" si="1075"/>
        <v>5329</v>
      </c>
      <c r="B5397" s="285">
        <v>-1.9009744599271168</v>
      </c>
      <c r="C5397" s="285">
        <v>2.1329726191978886</v>
      </c>
      <c r="D5397" s="285">
        <v>3.2629385365534525</v>
      </c>
      <c r="E5397" s="285">
        <v>-3.8477531343983391</v>
      </c>
    </row>
    <row r="5398" spans="1:5">
      <c r="A5398" s="284">
        <f t="shared" si="1075"/>
        <v>5330</v>
      </c>
      <c r="B5398" s="285">
        <v>0.9856548388809504</v>
      </c>
      <c r="C5398" s="285">
        <v>2.4645362595904001</v>
      </c>
      <c r="D5398" s="285">
        <v>0.59338973140753715</v>
      </c>
      <c r="E5398" s="285">
        <v>-3.0976287983319639</v>
      </c>
    </row>
    <row r="5399" spans="1:5">
      <c r="A5399" s="284">
        <f t="shared" si="1075"/>
        <v>5331</v>
      </c>
      <c r="B5399" s="285">
        <v>1.1354274847364521</v>
      </c>
      <c r="C5399" s="285">
        <v>2.9626501805842285</v>
      </c>
      <c r="D5399" s="285">
        <v>0.80895181281448758</v>
      </c>
      <c r="E5399" s="285">
        <v>3.7700908850351404</v>
      </c>
    </row>
    <row r="5400" spans="1:5">
      <c r="A5400" s="284">
        <f t="shared" si="1075"/>
        <v>5332</v>
      </c>
      <c r="B5400" s="285">
        <v>-0.567837914194535</v>
      </c>
      <c r="C5400" s="285">
        <v>2.2123226737449686</v>
      </c>
      <c r="D5400" s="285">
        <v>0.84999487281697172</v>
      </c>
      <c r="E5400" s="285">
        <v>-4.7055244745088789</v>
      </c>
    </row>
    <row r="5401" spans="1:5">
      <c r="A5401" s="284">
        <f t="shared" si="1075"/>
        <v>5333</v>
      </c>
      <c r="B5401" s="285">
        <v>-0.97043659522523762</v>
      </c>
      <c r="C5401" s="285">
        <v>2.1425570981923023</v>
      </c>
      <c r="D5401" s="285">
        <v>2.3651740746411942</v>
      </c>
      <c r="E5401" s="285">
        <v>-23.227026527631349</v>
      </c>
    </row>
    <row r="5402" spans="1:5">
      <c r="A5402" s="284">
        <f t="shared" si="1075"/>
        <v>5334</v>
      </c>
      <c r="B5402" s="285">
        <v>1.1926449423202137</v>
      </c>
      <c r="C5402" s="285">
        <v>2.522440278763963</v>
      </c>
      <c r="D5402" s="285">
        <v>1.6626108693626145</v>
      </c>
      <c r="E5402" s="285">
        <v>-14.290672118447214</v>
      </c>
    </row>
    <row r="5403" spans="1:5">
      <c r="A5403" s="284">
        <f t="shared" si="1075"/>
        <v>5335</v>
      </c>
      <c r="B5403" s="285">
        <v>5.2702162567204169E-3</v>
      </c>
      <c r="C5403" s="285">
        <v>2.5470557756049508</v>
      </c>
      <c r="D5403" s="285">
        <v>0.55307821978632654</v>
      </c>
      <c r="E5403" s="285">
        <v>-2.8667240953415214</v>
      </c>
    </row>
    <row r="5404" spans="1:5">
      <c r="A5404" s="284">
        <f t="shared" si="1075"/>
        <v>5336</v>
      </c>
      <c r="B5404" s="285">
        <v>3.9379328716113111</v>
      </c>
      <c r="C5404" s="285">
        <v>2.6544117720213891</v>
      </c>
      <c r="D5404" s="285">
        <v>2.8553647112355058</v>
      </c>
      <c r="E5404" s="285">
        <v>-5.7785531668787966</v>
      </c>
    </row>
    <row r="5405" spans="1:5">
      <c r="A5405" s="284">
        <f t="shared" si="1075"/>
        <v>5337</v>
      </c>
      <c r="B5405" s="285">
        <v>0.93417192779718405</v>
      </c>
      <c r="C5405" s="285">
        <v>2.3650761615715195</v>
      </c>
      <c r="D5405" s="285">
        <v>2.5942879516771411</v>
      </c>
      <c r="E5405" s="285">
        <v>-2.3066101588431454</v>
      </c>
    </row>
    <row r="5406" spans="1:5">
      <c r="A5406" s="284">
        <f t="shared" si="1075"/>
        <v>5338</v>
      </c>
      <c r="B5406" s="285">
        <v>3.1550843395156858</v>
      </c>
      <c r="C5406" s="285">
        <v>3.3179161110317805</v>
      </c>
      <c r="D5406" s="285">
        <v>0.91121213286575464</v>
      </c>
      <c r="E5406" s="285">
        <v>2.8179221355864921</v>
      </c>
    </row>
    <row r="5407" spans="1:5">
      <c r="A5407" s="284">
        <f t="shared" si="1075"/>
        <v>5339</v>
      </c>
      <c r="B5407" s="285">
        <v>5.8886551225350185</v>
      </c>
      <c r="C5407" s="285">
        <v>2.8410804667089895</v>
      </c>
      <c r="D5407" s="285">
        <v>2.3293502029220621</v>
      </c>
      <c r="E5407" s="285">
        <v>0.38261018816905645</v>
      </c>
    </row>
    <row r="5408" spans="1:5">
      <c r="A5408" s="284">
        <f t="shared" si="1075"/>
        <v>5340</v>
      </c>
      <c r="B5408" s="285">
        <v>2.3655037917457538</v>
      </c>
      <c r="C5408" s="285">
        <v>2.6050613355088381</v>
      </c>
      <c r="D5408" s="285">
        <v>9.2739530066662468E-2</v>
      </c>
      <c r="E5408" s="285">
        <v>-2.357727174274987</v>
      </c>
    </row>
    <row r="5409" spans="1:5">
      <c r="A5409" s="284">
        <f t="shared" si="1075"/>
        <v>5341</v>
      </c>
      <c r="B5409" s="285">
        <v>0.94311394907101342</v>
      </c>
      <c r="C5409" s="285">
        <v>2.2489397920098426</v>
      </c>
      <c r="D5409" s="285">
        <v>2.2325288095821385</v>
      </c>
      <c r="E5409" s="285">
        <v>-5.5613420113283141</v>
      </c>
    </row>
    <row r="5410" spans="1:5">
      <c r="A5410" s="284">
        <f t="shared" si="1075"/>
        <v>5342</v>
      </c>
      <c r="B5410" s="285">
        <v>2.8935436030233239</v>
      </c>
      <c r="C5410" s="285">
        <v>2.7049856677645834</v>
      </c>
      <c r="D5410" s="285">
        <v>3.1739197316667642</v>
      </c>
      <c r="E5410" s="285">
        <v>-1.7145760844102313</v>
      </c>
    </row>
    <row r="5411" spans="1:5">
      <c r="A5411" s="284">
        <f t="shared" si="1075"/>
        <v>5343</v>
      </c>
      <c r="B5411" s="285">
        <v>0.67077884272818267</v>
      </c>
      <c r="C5411" s="285">
        <v>2.12604634663432</v>
      </c>
      <c r="D5411" s="285">
        <v>1.1623044274643024</v>
      </c>
      <c r="E5411" s="285">
        <v>-8.4033015630983297</v>
      </c>
    </row>
    <row r="5412" spans="1:5">
      <c r="A5412" s="284">
        <f t="shared" si="1075"/>
        <v>5344</v>
      </c>
      <c r="B5412" s="285">
        <v>1.9076700265247033</v>
      </c>
      <c r="C5412" s="285">
        <v>2.2193077043525733</v>
      </c>
      <c r="D5412" s="285">
        <v>2.0204156519607102</v>
      </c>
      <c r="E5412" s="285">
        <v>-9.7829104360727985</v>
      </c>
    </row>
    <row r="5413" spans="1:5">
      <c r="A5413" s="284">
        <f t="shared" si="1075"/>
        <v>5345</v>
      </c>
      <c r="B5413" s="285">
        <v>-3.2116925301707591</v>
      </c>
      <c r="C5413" s="285">
        <v>2.9245921558026979</v>
      </c>
      <c r="D5413" s="285">
        <v>-2.4082827468348897</v>
      </c>
      <c r="E5413" s="285">
        <v>19.505200634764112</v>
      </c>
    </row>
    <row r="5414" spans="1:5">
      <c r="A5414" s="284">
        <f t="shared" si="1075"/>
        <v>5346</v>
      </c>
      <c r="B5414" s="285">
        <v>-2.2612686203343593</v>
      </c>
      <c r="C5414" s="285">
        <v>2.8657336019378885</v>
      </c>
      <c r="D5414" s="285">
        <v>2.9064709658701826</v>
      </c>
      <c r="E5414" s="285">
        <v>-11.074265192685573</v>
      </c>
    </row>
    <row r="5415" spans="1:5">
      <c r="A5415" s="284">
        <f t="shared" si="1075"/>
        <v>5347</v>
      </c>
      <c r="B5415" s="285">
        <v>-2.85755443633811</v>
      </c>
      <c r="C5415" s="285">
        <v>2.2296008831482341</v>
      </c>
      <c r="D5415" s="285">
        <v>1.7367482698385086</v>
      </c>
      <c r="E5415" s="285">
        <v>-12.679210539563789</v>
      </c>
    </row>
    <row r="5416" spans="1:5">
      <c r="A5416" s="284">
        <f t="shared" si="1075"/>
        <v>5348</v>
      </c>
      <c r="B5416" s="285">
        <v>-4.3615426649388747</v>
      </c>
      <c r="C5416" s="285">
        <v>1.6838519841177182</v>
      </c>
      <c r="D5416" s="285">
        <v>0.37956901256204678</v>
      </c>
      <c r="E5416" s="285">
        <v>-10.792707824488421</v>
      </c>
    </row>
    <row r="5417" spans="1:5">
      <c r="A5417" s="284">
        <f t="shared" si="1075"/>
        <v>5349</v>
      </c>
      <c r="B5417" s="285">
        <v>9.4204225767325026E-2</v>
      </c>
      <c r="C5417" s="285">
        <v>3.1448463735246519</v>
      </c>
      <c r="D5417" s="285">
        <v>-1.4613321478103152</v>
      </c>
      <c r="E5417" s="285">
        <v>10.778864428765853</v>
      </c>
    </row>
    <row r="5418" spans="1:5">
      <c r="A5418" s="284">
        <f t="shared" si="1075"/>
        <v>5350</v>
      </c>
      <c r="B5418" s="285">
        <v>-3.7915264906667918</v>
      </c>
      <c r="C5418" s="285">
        <v>2.5643647980247732</v>
      </c>
      <c r="D5418" s="285">
        <v>1.0269256800821074</v>
      </c>
      <c r="E5418" s="285">
        <v>2.1748727060858912</v>
      </c>
    </row>
    <row r="5419" spans="1:5">
      <c r="A5419" s="284">
        <f t="shared" si="1075"/>
        <v>5351</v>
      </c>
      <c r="B5419" s="285">
        <v>-1.8019344261792754</v>
      </c>
      <c r="C5419" s="285">
        <v>2.6924679050828306</v>
      </c>
      <c r="D5419" s="285">
        <v>-1.4577768865935754</v>
      </c>
      <c r="E5419" s="285">
        <v>5.3811937690832874</v>
      </c>
    </row>
    <row r="5420" spans="1:5">
      <c r="A5420" s="284">
        <f t="shared" si="1075"/>
        <v>5352</v>
      </c>
      <c r="B5420" s="285">
        <v>-2.552015500348964</v>
      </c>
      <c r="C5420" s="285">
        <v>2.4615944180104408</v>
      </c>
      <c r="D5420" s="285">
        <v>1.513053552817752</v>
      </c>
      <c r="E5420" s="285">
        <v>-12.348242124295886</v>
      </c>
    </row>
    <row r="5421" spans="1:5">
      <c r="A5421" s="284">
        <f t="shared" si="1075"/>
        <v>5353</v>
      </c>
      <c r="B5421" s="285">
        <v>-2.6906973927200779</v>
      </c>
      <c r="C5421" s="285">
        <v>2.1122652665908697</v>
      </c>
      <c r="D5421" s="285">
        <v>0.58452398328392174</v>
      </c>
      <c r="E5421" s="285">
        <v>-13.66934593599942</v>
      </c>
    </row>
    <row r="5422" spans="1:5">
      <c r="A5422" s="284">
        <f t="shared" si="1075"/>
        <v>5354</v>
      </c>
      <c r="B5422" s="285">
        <v>-5.1789829290572298</v>
      </c>
      <c r="C5422" s="285">
        <v>2.0752504219423318</v>
      </c>
      <c r="D5422" s="285">
        <v>0.52025967256112471</v>
      </c>
      <c r="E5422" s="285">
        <v>-7.4019931869544315</v>
      </c>
    </row>
    <row r="5423" spans="1:5">
      <c r="A5423" s="284">
        <f t="shared" si="1075"/>
        <v>5355</v>
      </c>
      <c r="B5423" s="285">
        <v>0.34511963167190352</v>
      </c>
      <c r="C5423" s="285">
        <v>2.4861344410290451</v>
      </c>
      <c r="D5423" s="285">
        <v>1.7354771213107099</v>
      </c>
      <c r="E5423" s="285">
        <v>-7.9184478449702542</v>
      </c>
    </row>
    <row r="5424" spans="1:5">
      <c r="A5424" s="284">
        <f t="shared" si="1075"/>
        <v>5356</v>
      </c>
      <c r="B5424" s="285">
        <v>-1.0031515099534463</v>
      </c>
      <c r="C5424" s="285">
        <v>2.0053225699846182</v>
      </c>
      <c r="D5424" s="285">
        <v>0.92358512648053903</v>
      </c>
      <c r="E5424" s="285">
        <v>-10.250855681830199</v>
      </c>
    </row>
    <row r="5425" spans="1:5">
      <c r="A5425" s="284">
        <f t="shared" si="1075"/>
        <v>5357</v>
      </c>
      <c r="B5425" s="285">
        <v>1.7815468440850724</v>
      </c>
      <c r="C5425" s="285">
        <v>2.8442208976570225</v>
      </c>
      <c r="D5425" s="285">
        <v>1.8359422577941849</v>
      </c>
      <c r="E5425" s="285">
        <v>9.3552925070321962</v>
      </c>
    </row>
    <row r="5426" spans="1:5">
      <c r="A5426" s="284">
        <f t="shared" si="1075"/>
        <v>5358</v>
      </c>
      <c r="B5426" s="285">
        <v>5.5078537407361852</v>
      </c>
      <c r="C5426" s="285">
        <v>3.0797361869587743</v>
      </c>
      <c r="D5426" s="285">
        <v>1.5337631269253329</v>
      </c>
      <c r="E5426" s="285">
        <v>-9.481856568168693</v>
      </c>
    </row>
    <row r="5427" spans="1:5">
      <c r="A5427" s="284">
        <f t="shared" si="1075"/>
        <v>5359</v>
      </c>
      <c r="B5427" s="285">
        <v>2.7088011208993947</v>
      </c>
      <c r="C5427" s="285">
        <v>2.6614296049948929</v>
      </c>
      <c r="D5427" s="285">
        <v>2.5205502200890626</v>
      </c>
      <c r="E5427" s="285">
        <v>-4.0255234567993217</v>
      </c>
    </row>
    <row r="5428" spans="1:5">
      <c r="A5428" s="284">
        <f t="shared" si="1075"/>
        <v>5360</v>
      </c>
      <c r="B5428" s="285">
        <v>0.23512215229667285</v>
      </c>
      <c r="C5428" s="285">
        <v>2.7379236467982024</v>
      </c>
      <c r="D5428" s="285">
        <v>-0.54036256925622661</v>
      </c>
      <c r="E5428" s="285">
        <v>-0.83136368142592065</v>
      </c>
    </row>
    <row r="5429" spans="1:5">
      <c r="A5429" s="284">
        <f t="shared" si="1075"/>
        <v>5361</v>
      </c>
      <c r="B5429" s="285">
        <v>3.3707045055922698</v>
      </c>
      <c r="C5429" s="285">
        <v>3.2641828610343833</v>
      </c>
      <c r="D5429" s="285">
        <v>2.2463572912256402</v>
      </c>
      <c r="E5429" s="285">
        <v>6.7567986716621213</v>
      </c>
    </row>
    <row r="5430" spans="1:5">
      <c r="A5430" s="284">
        <f t="shared" si="1075"/>
        <v>5362</v>
      </c>
      <c r="B5430" s="285">
        <v>-5.9324958601075013E-2</v>
      </c>
      <c r="C5430" s="285">
        <v>2.579473951388473</v>
      </c>
      <c r="D5430" s="285">
        <v>1.2967344046227911</v>
      </c>
      <c r="E5430" s="285">
        <v>-10.922432501652024</v>
      </c>
    </row>
    <row r="5431" spans="1:5">
      <c r="A5431" s="284">
        <f t="shared" si="1075"/>
        <v>5363</v>
      </c>
      <c r="B5431" s="285">
        <v>0.22319810593756489</v>
      </c>
      <c r="C5431" s="285">
        <v>2.6253488967388274</v>
      </c>
      <c r="D5431" s="285">
        <v>-1.556127037294639</v>
      </c>
      <c r="E5431" s="285">
        <v>13.04273754215534</v>
      </c>
    </row>
    <row r="5432" spans="1:5">
      <c r="A5432" s="284">
        <f t="shared" si="1075"/>
        <v>5364</v>
      </c>
      <c r="B5432" s="285">
        <v>1.8486486782672995</v>
      </c>
      <c r="C5432" s="285">
        <v>1.5455120016627677</v>
      </c>
      <c r="D5432" s="285">
        <v>3.8171358077718986</v>
      </c>
      <c r="E5432" s="285">
        <v>-18.948593317807077</v>
      </c>
    </row>
    <row r="5433" spans="1:5">
      <c r="A5433" s="284">
        <f t="shared" si="1075"/>
        <v>5365</v>
      </c>
      <c r="B5433" s="285">
        <v>5.5578452788540975</v>
      </c>
      <c r="C5433" s="285">
        <v>3.6653289808704583</v>
      </c>
      <c r="D5433" s="285">
        <v>0.22609565494446482</v>
      </c>
      <c r="E5433" s="285">
        <v>11.883493499466768</v>
      </c>
    </row>
    <row r="5434" spans="1:5">
      <c r="A5434" s="284">
        <f t="shared" si="1075"/>
        <v>5366</v>
      </c>
      <c r="B5434" s="285">
        <v>1.6630554500610866</v>
      </c>
      <c r="C5434" s="285">
        <v>2.3225712559559475</v>
      </c>
      <c r="D5434" s="285">
        <v>5.6394372425586869E-2</v>
      </c>
      <c r="E5434" s="285">
        <v>-1.5550436701244013</v>
      </c>
    </row>
    <row r="5435" spans="1:5">
      <c r="A5435" s="284">
        <f t="shared" si="1075"/>
        <v>5367</v>
      </c>
      <c r="B5435" s="285">
        <v>-1.2522994589709031</v>
      </c>
      <c r="C5435" s="285">
        <v>2.1863867307717992</v>
      </c>
      <c r="D5435" s="285">
        <v>2.8279294632628562</v>
      </c>
      <c r="E5435" s="285">
        <v>-4.0898067973937096</v>
      </c>
    </row>
    <row r="5436" spans="1:5">
      <c r="A5436" s="284">
        <f t="shared" si="1075"/>
        <v>5368</v>
      </c>
      <c r="B5436" s="285">
        <v>0.46522720589204158</v>
      </c>
      <c r="C5436" s="285">
        <v>2.2335813207428674</v>
      </c>
      <c r="D5436" s="285">
        <v>0.36817114958141905</v>
      </c>
      <c r="E5436" s="285">
        <v>-11.30840220663301</v>
      </c>
    </row>
    <row r="5437" spans="1:5">
      <c r="A5437" s="284">
        <f t="shared" si="1075"/>
        <v>5369</v>
      </c>
      <c r="B5437" s="285">
        <v>3.6417089051758533</v>
      </c>
      <c r="C5437" s="285">
        <v>3.1429963973110904</v>
      </c>
      <c r="D5437" s="285">
        <v>3.1622471246736477</v>
      </c>
      <c r="E5437" s="285">
        <v>13.472067656548205</v>
      </c>
    </row>
    <row r="5438" spans="1:5">
      <c r="A5438" s="284">
        <f t="shared" si="1075"/>
        <v>5370</v>
      </c>
      <c r="B5438" s="285">
        <v>1.6946648650128759</v>
      </c>
      <c r="C5438" s="285">
        <v>2.5311449241291388</v>
      </c>
      <c r="D5438" s="285">
        <v>1.8238163781746697</v>
      </c>
      <c r="E5438" s="285">
        <v>-0.11886990208106729</v>
      </c>
    </row>
    <row r="5439" spans="1:5">
      <c r="A5439" s="284">
        <f t="shared" si="1075"/>
        <v>5371</v>
      </c>
      <c r="B5439" s="285">
        <v>1.4848166687061615</v>
      </c>
      <c r="C5439" s="285">
        <v>2.6828000920462429</v>
      </c>
      <c r="D5439" s="285">
        <v>-0.80554632779246349</v>
      </c>
      <c r="E5439" s="285">
        <v>4.633166205967072</v>
      </c>
    </row>
    <row r="5440" spans="1:5">
      <c r="A5440" s="284">
        <f t="shared" si="1075"/>
        <v>5372</v>
      </c>
      <c r="B5440" s="285">
        <v>3.3238821133240584</v>
      </c>
      <c r="C5440" s="285">
        <v>3.0092166082815917</v>
      </c>
      <c r="D5440" s="285">
        <v>2.1485922841919796</v>
      </c>
      <c r="E5440" s="285">
        <v>-6.1993388060065033</v>
      </c>
    </row>
    <row r="5441" spans="1:5">
      <c r="A5441" s="284">
        <f t="shared" si="1075"/>
        <v>5373</v>
      </c>
      <c r="B5441" s="285">
        <v>0.24048420042359198</v>
      </c>
      <c r="C5441" s="285">
        <v>1.776840076505136</v>
      </c>
      <c r="D5441" s="285">
        <v>1.7646038466290979</v>
      </c>
      <c r="E5441" s="285">
        <v>-27.73669080257163</v>
      </c>
    </row>
    <row r="5442" spans="1:5">
      <c r="A5442" s="284">
        <f t="shared" si="1075"/>
        <v>5374</v>
      </c>
      <c r="B5442" s="285">
        <v>0.64209515538240158</v>
      </c>
      <c r="C5442" s="285">
        <v>2.0040671863832182</v>
      </c>
      <c r="D5442" s="285">
        <v>2.8166538784866635</v>
      </c>
      <c r="E5442" s="285">
        <v>-14.295178930837952</v>
      </c>
    </row>
    <row r="5443" spans="1:5">
      <c r="A5443" s="284">
        <f t="shared" si="1075"/>
        <v>5375</v>
      </c>
      <c r="B5443" s="285">
        <v>-0.79288612774404577</v>
      </c>
      <c r="C5443" s="285">
        <v>2.8399417920689567</v>
      </c>
      <c r="D5443" s="285">
        <v>0.42514826923369409</v>
      </c>
      <c r="E5443" s="285">
        <v>4.2618009308230231</v>
      </c>
    </row>
    <row r="5444" spans="1:5">
      <c r="A5444" s="284">
        <f t="shared" si="1075"/>
        <v>5376</v>
      </c>
      <c r="B5444" s="285">
        <v>-0.99744726525546867</v>
      </c>
      <c r="C5444" s="285">
        <v>2.5931905980454815</v>
      </c>
      <c r="D5444" s="285">
        <v>1.1870413642627569</v>
      </c>
      <c r="E5444" s="285">
        <v>-1.3256269031841785</v>
      </c>
    </row>
    <row r="5445" spans="1:5">
      <c r="A5445" s="284">
        <f t="shared" si="1075"/>
        <v>5377</v>
      </c>
      <c r="B5445" s="285">
        <v>1.9908229317409314</v>
      </c>
      <c r="C5445" s="285">
        <v>2.7484202267994826</v>
      </c>
      <c r="D5445" s="285">
        <v>1.4946144188237562</v>
      </c>
      <c r="E5445" s="285">
        <v>-1.1173065467047478</v>
      </c>
    </row>
    <row r="5446" spans="1:5">
      <c r="A5446" s="284">
        <f t="shared" si="1075"/>
        <v>5378</v>
      </c>
      <c r="B5446" s="285">
        <v>-0.25031730286535614</v>
      </c>
      <c r="C5446" s="285">
        <v>1.8147621050935414</v>
      </c>
      <c r="D5446" s="285">
        <v>1.9849767312039204</v>
      </c>
      <c r="E5446" s="285">
        <v>-12.545403451329577</v>
      </c>
    </row>
    <row r="5447" spans="1:5">
      <c r="A5447" s="284">
        <f t="shared" ref="A5447:A5510" si="1076">A5446+1</f>
        <v>5379</v>
      </c>
      <c r="B5447" s="285">
        <v>1.2258177928288796</v>
      </c>
      <c r="C5447" s="285">
        <v>2.0428475505669015</v>
      </c>
      <c r="D5447" s="285">
        <v>1.781115132731844</v>
      </c>
      <c r="E5447" s="285">
        <v>-14.421957397675166</v>
      </c>
    </row>
    <row r="5448" spans="1:5">
      <c r="A5448" s="284">
        <f t="shared" si="1076"/>
        <v>5380</v>
      </c>
      <c r="B5448" s="285">
        <v>-0.33322058740853494</v>
      </c>
      <c r="C5448" s="285">
        <v>2.6587297835768804</v>
      </c>
      <c r="D5448" s="285">
        <v>1.5034701677839371</v>
      </c>
      <c r="E5448" s="285">
        <v>3.8904229744987942</v>
      </c>
    </row>
    <row r="5449" spans="1:5">
      <c r="A5449" s="284">
        <f t="shared" si="1076"/>
        <v>5381</v>
      </c>
      <c r="B5449" s="285">
        <v>0.60922611753296418</v>
      </c>
      <c r="C5449" s="285">
        <v>2.7591287804128899</v>
      </c>
      <c r="D5449" s="285">
        <v>-0.49242004281588936</v>
      </c>
      <c r="E5449" s="285">
        <v>1.9109502104437026</v>
      </c>
    </row>
    <row r="5450" spans="1:5">
      <c r="A5450" s="284">
        <f t="shared" si="1076"/>
        <v>5382</v>
      </c>
      <c r="B5450" s="285">
        <v>5.9991541736002922</v>
      </c>
      <c r="C5450" s="285">
        <v>2.4692258484163898</v>
      </c>
      <c r="D5450" s="285">
        <v>3.4270619893793874</v>
      </c>
      <c r="E5450" s="285">
        <v>-17.403063991860471</v>
      </c>
    </row>
    <row r="5451" spans="1:5">
      <c r="A5451" s="284">
        <f t="shared" si="1076"/>
        <v>5383</v>
      </c>
      <c r="B5451" s="285">
        <v>-0.5248068845143512</v>
      </c>
      <c r="C5451" s="285">
        <v>3.012662987993981</v>
      </c>
      <c r="D5451" s="285">
        <v>1.9349928836263306</v>
      </c>
      <c r="E5451" s="285">
        <v>-1.5478141776887893</v>
      </c>
    </row>
    <row r="5452" spans="1:5">
      <c r="A5452" s="284">
        <f t="shared" si="1076"/>
        <v>5384</v>
      </c>
      <c r="B5452" s="285">
        <v>2.2484053780927287</v>
      </c>
      <c r="C5452" s="285">
        <v>2.8103367536481176</v>
      </c>
      <c r="D5452" s="285">
        <v>1.2830649598615151</v>
      </c>
      <c r="E5452" s="285">
        <v>-4.0783953942370781</v>
      </c>
    </row>
    <row r="5453" spans="1:5">
      <c r="A5453" s="284">
        <f t="shared" si="1076"/>
        <v>5385</v>
      </c>
      <c r="B5453" s="285">
        <v>2.0621513426032263</v>
      </c>
      <c r="C5453" s="285">
        <v>2.7429635483607222</v>
      </c>
      <c r="D5453" s="285">
        <v>2.1262828888038081</v>
      </c>
      <c r="E5453" s="285">
        <v>-0.55116254145801014</v>
      </c>
    </row>
    <row r="5454" spans="1:5">
      <c r="A5454" s="284">
        <f t="shared" si="1076"/>
        <v>5386</v>
      </c>
      <c r="B5454" s="285">
        <v>4.8229533423411022</v>
      </c>
      <c r="C5454" s="285">
        <v>3.6176429189572317</v>
      </c>
      <c r="D5454" s="285">
        <v>1.9462886535167638</v>
      </c>
      <c r="E5454" s="285">
        <v>1.6375014598354256</v>
      </c>
    </row>
    <row r="5455" spans="1:5">
      <c r="A5455" s="284">
        <f t="shared" si="1076"/>
        <v>5387</v>
      </c>
      <c r="B5455" s="285">
        <v>-2.1782983753628429</v>
      </c>
      <c r="C5455" s="285">
        <v>2.0105752317847165</v>
      </c>
      <c r="D5455" s="285">
        <v>-0.19364187626290064</v>
      </c>
      <c r="E5455" s="285">
        <v>-0.39088460498110367</v>
      </c>
    </row>
    <row r="5456" spans="1:5">
      <c r="A5456" s="284">
        <f t="shared" si="1076"/>
        <v>5388</v>
      </c>
      <c r="B5456" s="285">
        <v>-2.6170563892841612</v>
      </c>
      <c r="C5456" s="285">
        <v>2.9271044188467639</v>
      </c>
      <c r="D5456" s="285">
        <v>-1.8605387689490289</v>
      </c>
      <c r="E5456" s="285">
        <v>9.4435679453262917</v>
      </c>
    </row>
    <row r="5457" spans="1:5">
      <c r="A5457" s="284">
        <f t="shared" si="1076"/>
        <v>5389</v>
      </c>
      <c r="B5457" s="285">
        <v>1.3467491281628794</v>
      </c>
      <c r="C5457" s="285">
        <v>2.9136309727926393</v>
      </c>
      <c r="D5457" s="285">
        <v>2.3730953313758381</v>
      </c>
      <c r="E5457" s="285">
        <v>4.2806132373424504</v>
      </c>
    </row>
    <row r="5458" spans="1:5">
      <c r="A5458" s="284">
        <f t="shared" si="1076"/>
        <v>5390</v>
      </c>
      <c r="B5458" s="285">
        <v>3.4201091403504678</v>
      </c>
      <c r="C5458" s="285">
        <v>3.0756268304940821</v>
      </c>
      <c r="D5458" s="285">
        <v>2.2133561422400918</v>
      </c>
      <c r="E5458" s="285">
        <v>3.1322516716644988</v>
      </c>
    </row>
    <row r="5459" spans="1:5">
      <c r="A5459" s="284">
        <f t="shared" si="1076"/>
        <v>5391</v>
      </c>
      <c r="B5459" s="285">
        <v>3.1026019213753577</v>
      </c>
      <c r="C5459" s="285">
        <v>2.654135490267596</v>
      </c>
      <c r="D5459" s="285">
        <v>1.9201313535043874</v>
      </c>
      <c r="E5459" s="285">
        <v>-0.14487284467445471</v>
      </c>
    </row>
    <row r="5460" spans="1:5">
      <c r="A5460" s="284">
        <f t="shared" si="1076"/>
        <v>5392</v>
      </c>
      <c r="B5460" s="285">
        <v>0.83241253521250536</v>
      </c>
      <c r="C5460" s="285">
        <v>2.7648390433702592</v>
      </c>
      <c r="D5460" s="285">
        <v>1.0269875732653035</v>
      </c>
      <c r="E5460" s="285">
        <v>-2.7189322448628666</v>
      </c>
    </row>
    <row r="5461" spans="1:5">
      <c r="A5461" s="284">
        <f t="shared" si="1076"/>
        <v>5393</v>
      </c>
      <c r="B5461" s="285">
        <v>-0.44647882698177349</v>
      </c>
      <c r="C5461" s="285">
        <v>1.9531272984388439</v>
      </c>
      <c r="D5461" s="285">
        <v>0.74669789957060484</v>
      </c>
      <c r="E5461" s="285">
        <v>-7.9780201078080974</v>
      </c>
    </row>
    <row r="5462" spans="1:5">
      <c r="A5462" s="284">
        <f t="shared" si="1076"/>
        <v>5394</v>
      </c>
      <c r="B5462" s="285">
        <v>0.87504283775102509</v>
      </c>
      <c r="C5462" s="285">
        <v>2.593830909005161</v>
      </c>
      <c r="D5462" s="285">
        <v>2.4992290313603931</v>
      </c>
      <c r="E5462" s="285">
        <v>5.3496983174473414</v>
      </c>
    </row>
    <row r="5463" spans="1:5">
      <c r="A5463" s="284">
        <f t="shared" si="1076"/>
        <v>5395</v>
      </c>
      <c r="B5463" s="285">
        <v>2.7301395422676227</v>
      </c>
      <c r="C5463" s="285">
        <v>3.0150415872147978</v>
      </c>
      <c r="D5463" s="285">
        <v>2.1077861168904564</v>
      </c>
      <c r="E5463" s="285">
        <v>6.4570219863718368</v>
      </c>
    </row>
    <row r="5464" spans="1:5">
      <c r="A5464" s="284">
        <f t="shared" si="1076"/>
        <v>5396</v>
      </c>
      <c r="B5464" s="285">
        <v>-3.8046377642186573</v>
      </c>
      <c r="C5464" s="285">
        <v>2.6261736249093297</v>
      </c>
      <c r="D5464" s="285">
        <v>0.3248219983054591</v>
      </c>
      <c r="E5464" s="285">
        <v>0.39200439164767387</v>
      </c>
    </row>
    <row r="5465" spans="1:5">
      <c r="A5465" s="284">
        <f t="shared" si="1076"/>
        <v>5397</v>
      </c>
      <c r="B5465" s="285">
        <v>-0.24902558919890147</v>
      </c>
      <c r="C5465" s="285">
        <v>2.1668911509261637</v>
      </c>
      <c r="D5465" s="285">
        <v>2.0756339206662751</v>
      </c>
      <c r="E5465" s="285">
        <v>-3.1127665040763426</v>
      </c>
    </row>
    <row r="5466" spans="1:5">
      <c r="A5466" s="284">
        <f t="shared" si="1076"/>
        <v>5398</v>
      </c>
      <c r="B5466" s="285">
        <v>-0.64746363520532269</v>
      </c>
      <c r="C5466" s="285">
        <v>2.7899170121685173</v>
      </c>
      <c r="D5466" s="285">
        <v>0.18167185010657838</v>
      </c>
      <c r="E5466" s="285">
        <v>6.2528648607893516</v>
      </c>
    </row>
    <row r="5467" spans="1:5">
      <c r="A5467" s="284">
        <f t="shared" si="1076"/>
        <v>5399</v>
      </c>
      <c r="B5467" s="285">
        <v>-3.4651085626901734</v>
      </c>
      <c r="C5467" s="285">
        <v>2.4610969531437292</v>
      </c>
      <c r="D5467" s="285">
        <v>-0.93752670048464193</v>
      </c>
      <c r="E5467" s="285">
        <v>1.5909519222465414</v>
      </c>
    </row>
    <row r="5468" spans="1:5">
      <c r="A5468" s="284">
        <f t="shared" si="1076"/>
        <v>5400</v>
      </c>
      <c r="B5468" s="285">
        <v>-3.0761575364513591</v>
      </c>
      <c r="C5468" s="285">
        <v>2.1267731600428981</v>
      </c>
      <c r="D5468" s="285">
        <v>2.3159188271490621</v>
      </c>
      <c r="E5468" s="285">
        <v>-15.886345767052498</v>
      </c>
    </row>
    <row r="5469" spans="1:5">
      <c r="A5469" s="284">
        <f t="shared" si="1076"/>
        <v>5401</v>
      </c>
      <c r="B5469" s="285">
        <v>-2.3052623213764862</v>
      </c>
      <c r="C5469" s="285">
        <v>2.1199970820211815</v>
      </c>
      <c r="D5469" s="285">
        <v>2.6294112333068087</v>
      </c>
      <c r="E5469" s="285">
        <v>1.4074731079086589</v>
      </c>
    </row>
    <row r="5470" spans="1:5">
      <c r="A5470" s="284">
        <f t="shared" si="1076"/>
        <v>5402</v>
      </c>
      <c r="B5470" s="285">
        <v>-2.5037864528923532</v>
      </c>
      <c r="C5470" s="285">
        <v>2.9795908568061074</v>
      </c>
      <c r="D5470" s="285">
        <v>-0.72640015153782578</v>
      </c>
      <c r="E5470" s="285">
        <v>2.1975312519268546</v>
      </c>
    </row>
    <row r="5471" spans="1:5">
      <c r="A5471" s="284">
        <f t="shared" si="1076"/>
        <v>5403</v>
      </c>
      <c r="B5471" s="285">
        <v>8.8681217160388612E-2</v>
      </c>
      <c r="C5471" s="285">
        <v>2.7220251051132234</v>
      </c>
      <c r="D5471" s="285">
        <v>0.55674317370001558</v>
      </c>
      <c r="E5471" s="285">
        <v>2.6269550872490854</v>
      </c>
    </row>
    <row r="5472" spans="1:5">
      <c r="A5472" s="284">
        <f t="shared" si="1076"/>
        <v>5404</v>
      </c>
      <c r="B5472" s="285">
        <v>-3.780228075694148</v>
      </c>
      <c r="C5472" s="285">
        <v>2.2928347994306697</v>
      </c>
      <c r="D5472" s="285">
        <v>1.9745233095540549</v>
      </c>
      <c r="E5472" s="285">
        <v>-19.009994848916644</v>
      </c>
    </row>
    <row r="5473" spans="1:5">
      <c r="A5473" s="284">
        <f t="shared" si="1076"/>
        <v>5405</v>
      </c>
      <c r="B5473" s="285">
        <v>-1.0391244784874014</v>
      </c>
      <c r="C5473" s="285">
        <v>2.3589343554593891</v>
      </c>
      <c r="D5473" s="285">
        <v>-0.56844708880964179</v>
      </c>
      <c r="E5473" s="285">
        <v>-8.3619117346933791</v>
      </c>
    </row>
    <row r="5474" spans="1:5">
      <c r="A5474" s="284">
        <f t="shared" si="1076"/>
        <v>5406</v>
      </c>
      <c r="B5474" s="285">
        <v>-1.0806171063033274</v>
      </c>
      <c r="C5474" s="285">
        <v>2.6388251752553606</v>
      </c>
      <c r="D5474" s="285">
        <v>-3.9374728974222561E-2</v>
      </c>
      <c r="E5474" s="285">
        <v>-1.1223815255212308</v>
      </c>
    </row>
    <row r="5475" spans="1:5">
      <c r="A5475" s="284">
        <f t="shared" si="1076"/>
        <v>5407</v>
      </c>
      <c r="B5475" s="285">
        <v>-2.6797498930989128</v>
      </c>
      <c r="C5475" s="285">
        <v>2.0799138942066464</v>
      </c>
      <c r="D5475" s="285">
        <v>0.63659581665611475</v>
      </c>
      <c r="E5475" s="285">
        <v>-21.863629245209097</v>
      </c>
    </row>
    <row r="5476" spans="1:5">
      <c r="A5476" s="284">
        <f t="shared" si="1076"/>
        <v>5408</v>
      </c>
      <c r="B5476" s="285">
        <v>-0.65231211511071374</v>
      </c>
      <c r="C5476" s="285">
        <v>2.4118163423260515</v>
      </c>
      <c r="D5476" s="285">
        <v>1.4040356089608748</v>
      </c>
      <c r="E5476" s="285">
        <v>-21.00636281151111</v>
      </c>
    </row>
    <row r="5477" spans="1:5">
      <c r="A5477" s="284">
        <f t="shared" si="1076"/>
        <v>5409</v>
      </c>
      <c r="B5477" s="285">
        <v>2.3785248236004941</v>
      </c>
      <c r="C5477" s="285">
        <v>2.6260740739070325</v>
      </c>
      <c r="D5477" s="285">
        <v>2.3239415479865126</v>
      </c>
      <c r="E5477" s="285">
        <v>6.9062121340311702</v>
      </c>
    </row>
    <row r="5478" spans="1:5">
      <c r="A5478" s="284">
        <f t="shared" si="1076"/>
        <v>5410</v>
      </c>
      <c r="B5478" s="285">
        <v>1.6047582128679503</v>
      </c>
      <c r="C5478" s="285">
        <v>3.4117489188765435</v>
      </c>
      <c r="D5478" s="285">
        <v>0.39040765711033032</v>
      </c>
      <c r="E5478" s="285">
        <v>10.00864808435681</v>
      </c>
    </row>
    <row r="5479" spans="1:5">
      <c r="A5479" s="284">
        <f t="shared" si="1076"/>
        <v>5411</v>
      </c>
      <c r="B5479" s="285">
        <v>0.65281670501338018</v>
      </c>
      <c r="C5479" s="285">
        <v>2.4056354779105984</v>
      </c>
      <c r="D5479" s="285">
        <v>1.5607714257818457</v>
      </c>
      <c r="E5479" s="285">
        <v>-2.1652438265276879</v>
      </c>
    </row>
    <row r="5480" spans="1:5">
      <c r="A5480" s="284">
        <f t="shared" si="1076"/>
        <v>5412</v>
      </c>
      <c r="B5480" s="285">
        <v>-0.16416096930363897</v>
      </c>
      <c r="C5480" s="285">
        <v>2.6958810996386045</v>
      </c>
      <c r="D5480" s="285">
        <v>4.5685247532084361</v>
      </c>
      <c r="E5480" s="285">
        <v>3.2307066023270843</v>
      </c>
    </row>
    <row r="5481" spans="1:5">
      <c r="A5481" s="284">
        <f t="shared" si="1076"/>
        <v>5413</v>
      </c>
      <c r="B5481" s="285">
        <v>1.703976604677726</v>
      </c>
      <c r="C5481" s="285">
        <v>2.9563395263972705</v>
      </c>
      <c r="D5481" s="285">
        <v>2.3508515562852512</v>
      </c>
      <c r="E5481" s="285">
        <v>1.8679772072031908</v>
      </c>
    </row>
    <row r="5482" spans="1:5">
      <c r="A5482" s="284">
        <f t="shared" si="1076"/>
        <v>5414</v>
      </c>
      <c r="B5482" s="285">
        <v>2.8502103058915722</v>
      </c>
      <c r="C5482" s="285">
        <v>2.4896234795179724</v>
      </c>
      <c r="D5482" s="285">
        <v>1.8655266259629322E-2</v>
      </c>
      <c r="E5482" s="285">
        <v>-8.5705275698314232</v>
      </c>
    </row>
    <row r="5483" spans="1:5">
      <c r="A5483" s="284">
        <f t="shared" si="1076"/>
        <v>5415</v>
      </c>
      <c r="B5483" s="285">
        <v>0.4844943249355701</v>
      </c>
      <c r="C5483" s="285">
        <v>2.0710987749061021</v>
      </c>
      <c r="D5483" s="285">
        <v>2.2133842479168058</v>
      </c>
      <c r="E5483" s="285">
        <v>-5.33671662098374</v>
      </c>
    </row>
    <row r="5484" spans="1:5">
      <c r="A5484" s="284">
        <f t="shared" si="1076"/>
        <v>5416</v>
      </c>
      <c r="B5484" s="285">
        <v>1.101516132237047</v>
      </c>
      <c r="C5484" s="285">
        <v>2.6017400036044229</v>
      </c>
      <c r="D5484" s="285">
        <v>0.87925414998864704</v>
      </c>
      <c r="E5484" s="285">
        <v>-8.3926570460106902</v>
      </c>
    </row>
    <row r="5485" spans="1:5">
      <c r="A5485" s="284">
        <f t="shared" si="1076"/>
        <v>5417</v>
      </c>
      <c r="B5485" s="285">
        <v>-2.7702568166136108</v>
      </c>
      <c r="C5485" s="285">
        <v>2.1003581968150922</v>
      </c>
      <c r="D5485" s="285">
        <v>0.34107375300062204</v>
      </c>
      <c r="E5485" s="285">
        <v>2.7935835942801011</v>
      </c>
    </row>
    <row r="5486" spans="1:5">
      <c r="A5486" s="284">
        <f t="shared" si="1076"/>
        <v>5418</v>
      </c>
      <c r="B5486" s="285">
        <v>-1.5102306417170395</v>
      </c>
      <c r="C5486" s="285">
        <v>2.7066987899727151</v>
      </c>
      <c r="D5486" s="285">
        <v>-1.1849042668803929</v>
      </c>
      <c r="E5486" s="285">
        <v>4.7189173827936912</v>
      </c>
    </row>
    <row r="5487" spans="1:5">
      <c r="A5487" s="284">
        <f t="shared" si="1076"/>
        <v>5419</v>
      </c>
      <c r="B5487" s="285">
        <v>-3.3477521045925482</v>
      </c>
      <c r="C5487" s="285">
        <v>2.7596519546326008</v>
      </c>
      <c r="D5487" s="285">
        <v>-1.2286019290651988</v>
      </c>
      <c r="E5487" s="285">
        <v>-0.77561569857109847</v>
      </c>
    </row>
    <row r="5488" spans="1:5">
      <c r="A5488" s="284">
        <f t="shared" si="1076"/>
        <v>5420</v>
      </c>
      <c r="B5488" s="285">
        <v>-0.74391461185696761</v>
      </c>
      <c r="C5488" s="285">
        <v>2.5746869947368647</v>
      </c>
      <c r="D5488" s="285">
        <v>2.5715977694003822</v>
      </c>
      <c r="E5488" s="285">
        <v>-0.56176744224080677</v>
      </c>
    </row>
    <row r="5489" spans="1:5">
      <c r="A5489" s="284">
        <f t="shared" si="1076"/>
        <v>5421</v>
      </c>
      <c r="B5489" s="285">
        <v>2.0648407031149976</v>
      </c>
      <c r="C5489" s="285">
        <v>2.9161096389840457</v>
      </c>
      <c r="D5489" s="285">
        <v>2.53870925860637</v>
      </c>
      <c r="E5489" s="285">
        <v>7.1101268508861359</v>
      </c>
    </row>
    <row r="5490" spans="1:5">
      <c r="A5490" s="284">
        <f t="shared" si="1076"/>
        <v>5422</v>
      </c>
      <c r="B5490" s="285">
        <v>-1.602941381282891</v>
      </c>
      <c r="C5490" s="285">
        <v>1.8523973784271868</v>
      </c>
      <c r="D5490" s="285">
        <v>1.0148806613746346</v>
      </c>
      <c r="E5490" s="285">
        <v>-14.556501990570894</v>
      </c>
    </row>
    <row r="5491" spans="1:5">
      <c r="A5491" s="284">
        <f t="shared" si="1076"/>
        <v>5423</v>
      </c>
      <c r="B5491" s="285">
        <v>0.17861330234125131</v>
      </c>
      <c r="C5491" s="285">
        <v>2.270560774248231</v>
      </c>
      <c r="D5491" s="285">
        <v>1.642729682660149</v>
      </c>
      <c r="E5491" s="285">
        <v>-9.2756715689421672</v>
      </c>
    </row>
    <row r="5492" spans="1:5">
      <c r="A5492" s="284">
        <f t="shared" si="1076"/>
        <v>5424</v>
      </c>
      <c r="B5492" s="285">
        <v>1.4399509867495674E-2</v>
      </c>
      <c r="C5492" s="285">
        <v>2.7057555861073803</v>
      </c>
      <c r="D5492" s="285">
        <v>4.0761042061147759</v>
      </c>
      <c r="E5492" s="285">
        <v>9.0888233197759867</v>
      </c>
    </row>
    <row r="5493" spans="1:5">
      <c r="A5493" s="284">
        <f t="shared" si="1076"/>
        <v>5425</v>
      </c>
      <c r="B5493" s="285">
        <v>0.95504930849607672</v>
      </c>
      <c r="C5493" s="285">
        <v>2.7432299192258616</v>
      </c>
      <c r="D5493" s="285">
        <v>0.47950888549736803</v>
      </c>
      <c r="E5493" s="285">
        <v>-7.4228662417381059</v>
      </c>
    </row>
    <row r="5494" spans="1:5">
      <c r="A5494" s="284">
        <f t="shared" si="1076"/>
        <v>5426</v>
      </c>
      <c r="B5494" s="285">
        <v>4.1990685598146698</v>
      </c>
      <c r="C5494" s="285">
        <v>2.1267477402688497</v>
      </c>
      <c r="D5494" s="285">
        <v>1.5084901750904438</v>
      </c>
      <c r="E5494" s="285">
        <v>-7.0326316571422485</v>
      </c>
    </row>
    <row r="5495" spans="1:5">
      <c r="A5495" s="284">
        <f t="shared" si="1076"/>
        <v>5427</v>
      </c>
      <c r="B5495" s="285">
        <v>1.8299518706033333</v>
      </c>
      <c r="C5495" s="285">
        <v>2.9859285135873117</v>
      </c>
      <c r="D5495" s="285">
        <v>1.887916246920645</v>
      </c>
      <c r="E5495" s="285">
        <v>4.0058329997861808</v>
      </c>
    </row>
    <row r="5496" spans="1:5">
      <c r="A5496" s="284">
        <f t="shared" si="1076"/>
        <v>5428</v>
      </c>
      <c r="B5496" s="285">
        <v>-0.67065050844728324</v>
      </c>
      <c r="C5496" s="285">
        <v>2.6349981714956505</v>
      </c>
      <c r="D5496" s="285">
        <v>2.1644615530332421</v>
      </c>
      <c r="E5496" s="285">
        <v>3.0846801894733429</v>
      </c>
    </row>
    <row r="5497" spans="1:5">
      <c r="A5497" s="284">
        <f t="shared" si="1076"/>
        <v>5429</v>
      </c>
      <c r="B5497" s="285">
        <v>4.5585167117587346</v>
      </c>
      <c r="C5497" s="285">
        <v>3.1436404875849062</v>
      </c>
      <c r="D5497" s="285">
        <v>4.0958509245746377</v>
      </c>
      <c r="E5497" s="285">
        <v>-2.6772049923957306</v>
      </c>
    </row>
    <row r="5498" spans="1:5">
      <c r="A5498" s="284">
        <f t="shared" si="1076"/>
        <v>5430</v>
      </c>
      <c r="B5498" s="285">
        <v>-2.3066965592687363</v>
      </c>
      <c r="C5498" s="285">
        <v>2.8996417533562724</v>
      </c>
      <c r="D5498" s="285">
        <v>1.1297825448763716</v>
      </c>
      <c r="E5498" s="285">
        <v>6.6144243479814833</v>
      </c>
    </row>
    <row r="5499" spans="1:5">
      <c r="A5499" s="284">
        <f t="shared" si="1076"/>
        <v>5431</v>
      </c>
      <c r="B5499" s="285">
        <v>0.87794416065256897</v>
      </c>
      <c r="C5499" s="285">
        <v>2.4709391182371041</v>
      </c>
      <c r="D5499" s="285">
        <v>-0.76168157942550407</v>
      </c>
      <c r="E5499" s="285">
        <v>-8.347140099171142</v>
      </c>
    </row>
    <row r="5500" spans="1:5">
      <c r="A5500" s="284">
        <f t="shared" si="1076"/>
        <v>5432</v>
      </c>
      <c r="B5500" s="285">
        <v>1.1763815773313</v>
      </c>
      <c r="C5500" s="285">
        <v>2.4261433388880289</v>
      </c>
      <c r="D5500" s="285">
        <v>1.7798497718381729</v>
      </c>
      <c r="E5500" s="285">
        <v>-6.9956935536490201</v>
      </c>
    </row>
    <row r="5501" spans="1:5">
      <c r="A5501" s="284">
        <f t="shared" si="1076"/>
        <v>5433</v>
      </c>
      <c r="B5501" s="285">
        <v>-1.4342592809403494</v>
      </c>
      <c r="C5501" s="285">
        <v>2.7234424659807677</v>
      </c>
      <c r="D5501" s="285">
        <v>0.87088555887687991</v>
      </c>
      <c r="E5501" s="285">
        <v>-1.1367350344110179</v>
      </c>
    </row>
    <row r="5502" spans="1:5">
      <c r="A5502" s="284">
        <f t="shared" si="1076"/>
        <v>5434</v>
      </c>
      <c r="B5502" s="285">
        <v>0.54456145254989363</v>
      </c>
      <c r="C5502" s="285">
        <v>3.1294927962648851</v>
      </c>
      <c r="D5502" s="285">
        <v>2.1372880133303922</v>
      </c>
      <c r="E5502" s="285">
        <v>9.9905513226942055</v>
      </c>
    </row>
    <row r="5503" spans="1:5">
      <c r="A5503" s="284">
        <f t="shared" si="1076"/>
        <v>5435</v>
      </c>
      <c r="B5503" s="285">
        <v>1.2689362542139768</v>
      </c>
      <c r="C5503" s="285">
        <v>2.6692815132228018</v>
      </c>
      <c r="D5503" s="285">
        <v>0.95395545170623797</v>
      </c>
      <c r="E5503" s="285">
        <v>-2.4231265109889724</v>
      </c>
    </row>
    <row r="5504" spans="1:5">
      <c r="A5504" s="284">
        <f t="shared" si="1076"/>
        <v>5436</v>
      </c>
      <c r="B5504" s="285">
        <v>0.63133277283194589</v>
      </c>
      <c r="C5504" s="285">
        <v>2.964140233584168</v>
      </c>
      <c r="D5504" s="285">
        <v>0.97809074498770276</v>
      </c>
      <c r="E5504" s="285">
        <v>1.8464396499200455</v>
      </c>
    </row>
    <row r="5505" spans="1:5">
      <c r="A5505" s="284">
        <f t="shared" si="1076"/>
        <v>5437</v>
      </c>
      <c r="B5505" s="285">
        <v>-1.153325254940984</v>
      </c>
      <c r="C5505" s="285">
        <v>2.2239397031640324</v>
      </c>
      <c r="D5505" s="285">
        <v>1.9008441902561493</v>
      </c>
      <c r="E5505" s="285">
        <v>-3.0889485766972835</v>
      </c>
    </row>
    <row r="5506" spans="1:5">
      <c r="A5506" s="284">
        <f t="shared" si="1076"/>
        <v>5438</v>
      </c>
      <c r="B5506" s="285">
        <v>0.21154939797537467</v>
      </c>
      <c r="C5506" s="285">
        <v>2.4795153902751621</v>
      </c>
      <c r="D5506" s="285">
        <v>-1.0465776550181052</v>
      </c>
      <c r="E5506" s="285">
        <v>8.3319510016946108</v>
      </c>
    </row>
    <row r="5507" spans="1:5">
      <c r="A5507" s="284">
        <f t="shared" si="1076"/>
        <v>5439</v>
      </c>
      <c r="B5507" s="285">
        <v>-0.59287858813553818</v>
      </c>
      <c r="C5507" s="285">
        <v>2.3983997998326556</v>
      </c>
      <c r="D5507" s="285">
        <v>2.7757478768951405E-2</v>
      </c>
      <c r="E5507" s="285">
        <v>-8.6169100159256136</v>
      </c>
    </row>
    <row r="5508" spans="1:5">
      <c r="A5508" s="284">
        <f t="shared" si="1076"/>
        <v>5440</v>
      </c>
      <c r="B5508" s="285">
        <v>0.95369782315355989</v>
      </c>
      <c r="C5508" s="285">
        <v>2.2801637400620844</v>
      </c>
      <c r="D5508" s="285">
        <v>1.8739731316245789</v>
      </c>
      <c r="E5508" s="285">
        <v>-2.6808135964006881</v>
      </c>
    </row>
    <row r="5509" spans="1:5">
      <c r="A5509" s="284">
        <f t="shared" si="1076"/>
        <v>5441</v>
      </c>
      <c r="B5509" s="285">
        <v>3.5662074599595472</v>
      </c>
      <c r="C5509" s="285">
        <v>2.7396358343235154</v>
      </c>
      <c r="D5509" s="285">
        <v>1.6453460275004659</v>
      </c>
      <c r="E5509" s="285">
        <v>-10.707468254238682</v>
      </c>
    </row>
    <row r="5510" spans="1:5">
      <c r="A5510" s="284">
        <f t="shared" si="1076"/>
        <v>5442</v>
      </c>
      <c r="B5510" s="285">
        <v>-0.23518604025554041</v>
      </c>
      <c r="C5510" s="285">
        <v>2.9186835191594551</v>
      </c>
      <c r="D5510" s="285">
        <v>2.2572023667937335</v>
      </c>
      <c r="E5510" s="285">
        <v>1.7523895131823841</v>
      </c>
    </row>
    <row r="5511" spans="1:5">
      <c r="A5511" s="284">
        <f t="shared" ref="A5511:A5574" si="1077">A5510+1</f>
        <v>5443</v>
      </c>
      <c r="B5511" s="285">
        <v>-0.61439083043236964</v>
      </c>
      <c r="C5511" s="285">
        <v>3.3142831893160141</v>
      </c>
      <c r="D5511" s="285">
        <v>-0.66907973266568077</v>
      </c>
      <c r="E5511" s="285">
        <v>-1.012976662184959</v>
      </c>
    </row>
    <row r="5512" spans="1:5">
      <c r="A5512" s="284">
        <f t="shared" si="1077"/>
        <v>5444</v>
      </c>
      <c r="B5512" s="285">
        <v>4.3679487340686762</v>
      </c>
      <c r="C5512" s="285">
        <v>2.3339431782206419</v>
      </c>
      <c r="D5512" s="285">
        <v>1.1857128488678008</v>
      </c>
      <c r="E5512" s="285">
        <v>-9.1447509979754731</v>
      </c>
    </row>
    <row r="5513" spans="1:5">
      <c r="A5513" s="284">
        <f t="shared" si="1077"/>
        <v>5445</v>
      </c>
      <c r="B5513" s="285">
        <v>1.8634608217328501</v>
      </c>
      <c r="C5513" s="285">
        <v>3.349272428943844</v>
      </c>
      <c r="D5513" s="285">
        <v>1.786044173922217</v>
      </c>
      <c r="E5513" s="285">
        <v>4.140499418317777</v>
      </c>
    </row>
    <row r="5514" spans="1:5">
      <c r="A5514" s="284">
        <f t="shared" si="1077"/>
        <v>5446</v>
      </c>
      <c r="B5514" s="285">
        <v>2.0349438241444577</v>
      </c>
      <c r="C5514" s="285">
        <v>2.8523801432221805</v>
      </c>
      <c r="D5514" s="285">
        <v>0.64404692976804157</v>
      </c>
      <c r="E5514" s="285">
        <v>0.22549343320748783</v>
      </c>
    </row>
    <row r="5515" spans="1:5">
      <c r="A5515" s="284">
        <f t="shared" si="1077"/>
        <v>5447</v>
      </c>
      <c r="B5515" s="285">
        <v>2.6468151686347037</v>
      </c>
      <c r="C5515" s="285">
        <v>2.1101519401715185</v>
      </c>
      <c r="D5515" s="285">
        <v>0.83590317747113019</v>
      </c>
      <c r="E5515" s="285">
        <v>-18.4705941257169</v>
      </c>
    </row>
    <row r="5516" spans="1:5">
      <c r="A5516" s="284">
        <f t="shared" si="1077"/>
        <v>5448</v>
      </c>
      <c r="B5516" s="285">
        <v>8.2286045651206868E-2</v>
      </c>
      <c r="C5516" s="285">
        <v>2.8283354435232049</v>
      </c>
      <c r="D5516" s="285">
        <v>1.3757019082047199</v>
      </c>
      <c r="E5516" s="285">
        <v>1.2016434402950034</v>
      </c>
    </row>
    <row r="5517" spans="1:5">
      <c r="A5517" s="284">
        <f t="shared" si="1077"/>
        <v>5449</v>
      </c>
      <c r="B5517" s="285">
        <v>-3.1358065568296647</v>
      </c>
      <c r="C5517" s="285">
        <v>2.3605746928612548</v>
      </c>
      <c r="D5517" s="285">
        <v>1.191630849226863</v>
      </c>
      <c r="E5517" s="285">
        <v>1.4978049708829757</v>
      </c>
    </row>
    <row r="5518" spans="1:5">
      <c r="A5518" s="284">
        <f t="shared" si="1077"/>
        <v>5450</v>
      </c>
      <c r="B5518" s="285">
        <v>0.74010446444808597</v>
      </c>
      <c r="C5518" s="285">
        <v>2.5347376610539856</v>
      </c>
      <c r="D5518" s="285">
        <v>5.7853954855864975E-2</v>
      </c>
      <c r="E5518" s="285">
        <v>-11.076597686067879</v>
      </c>
    </row>
    <row r="5519" spans="1:5">
      <c r="A5519" s="284">
        <f t="shared" si="1077"/>
        <v>5451</v>
      </c>
      <c r="B5519" s="285">
        <v>-1.7971142881895017</v>
      </c>
      <c r="C5519" s="285">
        <v>3.2502541433945566</v>
      </c>
      <c r="D5519" s="285">
        <v>9.7326874473065095E-2</v>
      </c>
      <c r="E5519" s="285">
        <v>15.589486459358639</v>
      </c>
    </row>
    <row r="5520" spans="1:5">
      <c r="A5520" s="284">
        <f t="shared" si="1077"/>
        <v>5452</v>
      </c>
      <c r="B5520" s="285">
        <v>-0.4517824164036443</v>
      </c>
      <c r="C5520" s="285">
        <v>2.3849234993522388</v>
      </c>
      <c r="D5520" s="285">
        <v>3.1585378250121625</v>
      </c>
      <c r="E5520" s="285">
        <v>-11.496533195597511</v>
      </c>
    </row>
    <row r="5521" spans="1:5">
      <c r="A5521" s="284">
        <f t="shared" si="1077"/>
        <v>5453</v>
      </c>
      <c r="B5521" s="285">
        <v>-0.24062839074117168</v>
      </c>
      <c r="C5521" s="285">
        <v>2.3955796631729322</v>
      </c>
      <c r="D5521" s="285">
        <v>2.4261994929289195</v>
      </c>
      <c r="E5521" s="285">
        <v>-2.7286093924646795</v>
      </c>
    </row>
    <row r="5522" spans="1:5">
      <c r="A5522" s="284">
        <f t="shared" si="1077"/>
        <v>5454</v>
      </c>
      <c r="B5522" s="285">
        <v>2.1080152206889236</v>
      </c>
      <c r="C5522" s="285">
        <v>2.9341711862462354</v>
      </c>
      <c r="D5522" s="285">
        <v>2.9914988646342247</v>
      </c>
      <c r="E5522" s="285">
        <v>4.7180618006317196</v>
      </c>
    </row>
    <row r="5523" spans="1:5">
      <c r="A5523" s="284">
        <f t="shared" si="1077"/>
        <v>5455</v>
      </c>
      <c r="B5523" s="285">
        <v>-1.9776049718798703</v>
      </c>
      <c r="C5523" s="285">
        <v>2.5915459797446632</v>
      </c>
      <c r="D5523" s="285">
        <v>0.189451110264508</v>
      </c>
      <c r="E5523" s="285">
        <v>-8.924024990192736</v>
      </c>
    </row>
    <row r="5524" spans="1:5">
      <c r="A5524" s="284">
        <f t="shared" si="1077"/>
        <v>5456</v>
      </c>
      <c r="B5524" s="285">
        <v>4.5403930919879842</v>
      </c>
      <c r="C5524" s="285">
        <v>2.3181088875619364</v>
      </c>
      <c r="D5524" s="285">
        <v>2.7493211738493768</v>
      </c>
      <c r="E5524" s="285">
        <v>-13.581951009891002</v>
      </c>
    </row>
    <row r="5525" spans="1:5">
      <c r="A5525" s="284">
        <f t="shared" si="1077"/>
        <v>5457</v>
      </c>
      <c r="B5525" s="285">
        <v>0.7225604579460887</v>
      </c>
      <c r="C5525" s="285">
        <v>1.8345664240921606</v>
      </c>
      <c r="D5525" s="285">
        <v>2.8794990515582501</v>
      </c>
      <c r="E5525" s="285">
        <v>-22.264347586356266</v>
      </c>
    </row>
    <row r="5526" spans="1:5">
      <c r="A5526" s="284">
        <f t="shared" si="1077"/>
        <v>5458</v>
      </c>
      <c r="B5526" s="285">
        <v>-1.9442660670871663</v>
      </c>
      <c r="C5526" s="285">
        <v>2.3988491286648315</v>
      </c>
      <c r="D5526" s="285">
        <v>2.2372959826470873</v>
      </c>
      <c r="E5526" s="285">
        <v>-5.2849198489906009</v>
      </c>
    </row>
    <row r="5527" spans="1:5">
      <c r="A5527" s="284">
        <f t="shared" si="1077"/>
        <v>5459</v>
      </c>
      <c r="B5527" s="285">
        <v>-0.23876237524671598</v>
      </c>
      <c r="C5527" s="285">
        <v>2.9704522129989437</v>
      </c>
      <c r="D5527" s="285">
        <v>0.27138139202372713</v>
      </c>
      <c r="E5527" s="285">
        <v>17.378302949617659</v>
      </c>
    </row>
    <row r="5528" spans="1:5">
      <c r="A5528" s="284">
        <f t="shared" si="1077"/>
        <v>5460</v>
      </c>
      <c r="B5528" s="285">
        <v>-0.3386350872893974</v>
      </c>
      <c r="C5528" s="285">
        <v>2.92507218069104</v>
      </c>
      <c r="D5528" s="285">
        <v>1.4026573025392213</v>
      </c>
      <c r="E5528" s="285">
        <v>2.9705374344863107</v>
      </c>
    </row>
    <row r="5529" spans="1:5">
      <c r="A5529" s="284">
        <f t="shared" si="1077"/>
        <v>5461</v>
      </c>
      <c r="B5529" s="285">
        <v>-3.9426737759129811</v>
      </c>
      <c r="C5529" s="285">
        <v>2.1053396921164373</v>
      </c>
      <c r="D5529" s="285">
        <v>-1.3740169568531968</v>
      </c>
      <c r="E5529" s="285">
        <v>-1.6034790224617388</v>
      </c>
    </row>
    <row r="5530" spans="1:5">
      <c r="A5530" s="284">
        <f t="shared" si="1077"/>
        <v>5462</v>
      </c>
      <c r="B5530" s="285">
        <v>0.49484475006231948</v>
      </c>
      <c r="C5530" s="285">
        <v>2.7532081241176178</v>
      </c>
      <c r="D5530" s="285">
        <v>2.0322048606476137</v>
      </c>
      <c r="E5530" s="285">
        <v>3.9730486094515389</v>
      </c>
    </row>
    <row r="5531" spans="1:5">
      <c r="A5531" s="284">
        <f t="shared" si="1077"/>
        <v>5463</v>
      </c>
      <c r="B5531" s="285">
        <v>-1.3583596324442988</v>
      </c>
      <c r="C5531" s="285">
        <v>1.8329080130289097</v>
      </c>
      <c r="D5531" s="285">
        <v>0.9000698801929693</v>
      </c>
      <c r="E5531" s="285">
        <v>-14.494839593526173</v>
      </c>
    </row>
    <row r="5532" spans="1:5">
      <c r="A5532" s="284">
        <f t="shared" si="1077"/>
        <v>5464</v>
      </c>
      <c r="B5532" s="285">
        <v>1.8002458147458611</v>
      </c>
      <c r="C5532" s="285">
        <v>1.9341249039516866</v>
      </c>
      <c r="D5532" s="285">
        <v>1.2369329594524281</v>
      </c>
      <c r="E5532" s="285">
        <v>-5.0080116617675454</v>
      </c>
    </row>
    <row r="5533" spans="1:5">
      <c r="A5533" s="284">
        <f t="shared" si="1077"/>
        <v>5465</v>
      </c>
      <c r="B5533" s="285">
        <v>3.0737830516272107</v>
      </c>
      <c r="C5533" s="285">
        <v>2.0252102045176477</v>
      </c>
      <c r="D5533" s="285">
        <v>1.2154952275410551</v>
      </c>
      <c r="E5533" s="285">
        <v>-19.51603030760511</v>
      </c>
    </row>
    <row r="5534" spans="1:5">
      <c r="A5534" s="284">
        <f t="shared" si="1077"/>
        <v>5466</v>
      </c>
      <c r="B5534" s="285">
        <v>-1.2884371166323041</v>
      </c>
      <c r="C5534" s="285">
        <v>2.6623602985465991</v>
      </c>
      <c r="D5534" s="285">
        <v>1.5782026526041601</v>
      </c>
      <c r="E5534" s="285">
        <v>6.9399752846807559</v>
      </c>
    </row>
    <row r="5535" spans="1:5">
      <c r="A5535" s="284">
        <f t="shared" si="1077"/>
        <v>5467</v>
      </c>
      <c r="B5535" s="285">
        <v>-4.6593189752986328</v>
      </c>
      <c r="C5535" s="285">
        <v>2.3241615961567041</v>
      </c>
      <c r="D5535" s="285">
        <v>-0.72176750764813979</v>
      </c>
      <c r="E5535" s="285">
        <v>2.171941810806207</v>
      </c>
    </row>
    <row r="5536" spans="1:5">
      <c r="A5536" s="284">
        <f t="shared" si="1077"/>
        <v>5468</v>
      </c>
      <c r="B5536" s="285">
        <v>-0.26537568093668457</v>
      </c>
      <c r="C5536" s="285">
        <v>2.3493099742640391</v>
      </c>
      <c r="D5536" s="285">
        <v>0.54700896709925051</v>
      </c>
      <c r="E5536" s="285">
        <v>-3.5669521085538545</v>
      </c>
    </row>
    <row r="5537" spans="1:5">
      <c r="A5537" s="284">
        <f t="shared" si="1077"/>
        <v>5469</v>
      </c>
      <c r="B5537" s="285">
        <v>1.6876769162684033</v>
      </c>
      <c r="C5537" s="285">
        <v>2.4446476154542545</v>
      </c>
      <c r="D5537" s="285">
        <v>2.2370420101375172</v>
      </c>
      <c r="E5537" s="285">
        <v>-3.1900449343762882</v>
      </c>
    </row>
    <row r="5538" spans="1:5">
      <c r="A5538" s="284">
        <f t="shared" si="1077"/>
        <v>5470</v>
      </c>
      <c r="B5538" s="285">
        <v>-1.4745323101568169</v>
      </c>
      <c r="C5538" s="285">
        <v>2.7465935191095068</v>
      </c>
      <c r="D5538" s="285">
        <v>2.499250901178903</v>
      </c>
      <c r="E5538" s="285">
        <v>-1.1076725566105603</v>
      </c>
    </row>
    <row r="5539" spans="1:5">
      <c r="A5539" s="284">
        <f t="shared" si="1077"/>
        <v>5471</v>
      </c>
      <c r="B5539" s="285">
        <v>-1.1700963977643819</v>
      </c>
      <c r="C5539" s="285">
        <v>2.1556017000786829</v>
      </c>
      <c r="D5539" s="285">
        <v>1.6059544954343914</v>
      </c>
      <c r="E5539" s="285">
        <v>-3.3406367704158551</v>
      </c>
    </row>
    <row r="5540" spans="1:5">
      <c r="A5540" s="284">
        <f t="shared" si="1077"/>
        <v>5472</v>
      </c>
      <c r="B5540" s="285">
        <v>0.35824558835014858</v>
      </c>
      <c r="C5540" s="285">
        <v>2.4765002398528235</v>
      </c>
      <c r="D5540" s="285">
        <v>0.16346991110732145</v>
      </c>
      <c r="E5540" s="285">
        <v>-1.1922292095215559</v>
      </c>
    </row>
    <row r="5541" spans="1:5">
      <c r="A5541" s="284">
        <f t="shared" si="1077"/>
        <v>5473</v>
      </c>
      <c r="B5541" s="285">
        <v>-2.9665925098679691</v>
      </c>
      <c r="C5541" s="285">
        <v>2.3746146364668252</v>
      </c>
      <c r="D5541" s="285">
        <v>2.2636760833323137</v>
      </c>
      <c r="E5541" s="285">
        <v>-13.598773547799533</v>
      </c>
    </row>
    <row r="5542" spans="1:5">
      <c r="A5542" s="284">
        <f t="shared" si="1077"/>
        <v>5474</v>
      </c>
      <c r="B5542" s="285">
        <v>3.5790401546106096</v>
      </c>
      <c r="C5542" s="285">
        <v>2.7114833011590833</v>
      </c>
      <c r="D5542" s="285">
        <v>2.0102514647069798</v>
      </c>
      <c r="E5542" s="285">
        <v>-5.1808602095285563</v>
      </c>
    </row>
    <row r="5543" spans="1:5">
      <c r="A5543" s="284">
        <f t="shared" si="1077"/>
        <v>5475</v>
      </c>
      <c r="B5543" s="285">
        <v>2.9671390618267726</v>
      </c>
      <c r="C5543" s="285">
        <v>2.9646507290946871</v>
      </c>
      <c r="D5543" s="285">
        <v>0.74894713962480552</v>
      </c>
      <c r="E5543" s="285">
        <v>13.995253233297916</v>
      </c>
    </row>
    <row r="5544" spans="1:5">
      <c r="A5544" s="284">
        <f t="shared" si="1077"/>
        <v>5476</v>
      </c>
      <c r="B5544" s="285">
        <v>-1.2694812219637657</v>
      </c>
      <c r="C5544" s="285">
        <v>2.6221043161409483</v>
      </c>
      <c r="D5544" s="285">
        <v>1.0537303126069379</v>
      </c>
      <c r="E5544" s="285">
        <v>-0.70917280825554085</v>
      </c>
    </row>
    <row r="5545" spans="1:5">
      <c r="A5545" s="284">
        <f t="shared" si="1077"/>
        <v>5477</v>
      </c>
      <c r="B5545" s="285">
        <v>-5.9489273327750842</v>
      </c>
      <c r="C5545" s="285">
        <v>2.2776623406610477</v>
      </c>
      <c r="D5545" s="285">
        <v>1.611563172784406</v>
      </c>
      <c r="E5545" s="285">
        <v>-1.959022870934032</v>
      </c>
    </row>
    <row r="5546" spans="1:5">
      <c r="A5546" s="284">
        <f t="shared" si="1077"/>
        <v>5478</v>
      </c>
      <c r="B5546" s="285">
        <v>-0.60752545315346318</v>
      </c>
      <c r="C5546" s="285">
        <v>2.9958538554220566</v>
      </c>
      <c r="D5546" s="285">
        <v>8.1681603081139587E-2</v>
      </c>
      <c r="E5546" s="285">
        <v>6.2423959240559377</v>
      </c>
    </row>
    <row r="5547" spans="1:5">
      <c r="A5547" s="284">
        <f t="shared" si="1077"/>
        <v>5479</v>
      </c>
      <c r="B5547" s="285">
        <v>2.4322408350879194</v>
      </c>
      <c r="C5547" s="285">
        <v>3.3876617038619345</v>
      </c>
      <c r="D5547" s="285">
        <v>1.3510724241772012</v>
      </c>
      <c r="E5547" s="285">
        <v>-0.96578391737977531</v>
      </c>
    </row>
    <row r="5548" spans="1:5">
      <c r="A5548" s="284">
        <f t="shared" si="1077"/>
        <v>5480</v>
      </c>
      <c r="B5548" s="285">
        <v>0.9989301089849979</v>
      </c>
      <c r="C5548" s="285">
        <v>2.5726008047170232</v>
      </c>
      <c r="D5548" s="285">
        <v>1.913423327117568</v>
      </c>
      <c r="E5548" s="285">
        <v>-2.259229427597151</v>
      </c>
    </row>
    <row r="5549" spans="1:5">
      <c r="A5549" s="284">
        <f t="shared" si="1077"/>
        <v>5481</v>
      </c>
      <c r="B5549" s="285">
        <v>-3.8148764537771984</v>
      </c>
      <c r="C5549" s="285">
        <v>2.344478052976299</v>
      </c>
      <c r="D5549" s="285">
        <v>0.2050703882171927</v>
      </c>
      <c r="E5549" s="285">
        <v>-8.3030927390266758</v>
      </c>
    </row>
    <row r="5550" spans="1:5">
      <c r="A5550" s="284">
        <f t="shared" si="1077"/>
        <v>5482</v>
      </c>
      <c r="B5550" s="285">
        <v>-0.19961488862994373</v>
      </c>
      <c r="C5550" s="285">
        <v>3.5679424214877331</v>
      </c>
      <c r="D5550" s="285">
        <v>0.30803645752555386</v>
      </c>
      <c r="E5550" s="285">
        <v>8.8637871732675855</v>
      </c>
    </row>
    <row r="5551" spans="1:5">
      <c r="A5551" s="284">
        <f t="shared" si="1077"/>
        <v>5483</v>
      </c>
      <c r="B5551" s="285">
        <v>0.79903528464192097</v>
      </c>
      <c r="C5551" s="285">
        <v>1.679851240564525</v>
      </c>
      <c r="D5551" s="285">
        <v>4.0797354226399243</v>
      </c>
      <c r="E5551" s="285">
        <v>-14.690746620228559</v>
      </c>
    </row>
    <row r="5552" spans="1:5">
      <c r="A5552" s="284">
        <f t="shared" si="1077"/>
        <v>5484</v>
      </c>
      <c r="B5552" s="285">
        <v>-0.12351464901494287</v>
      </c>
      <c r="C5552" s="285">
        <v>1.932760214417014</v>
      </c>
      <c r="D5552" s="285">
        <v>1.6890574310028341</v>
      </c>
      <c r="E5552" s="285">
        <v>-23.233865688093442</v>
      </c>
    </row>
    <row r="5553" spans="1:5">
      <c r="A5553" s="284">
        <f t="shared" si="1077"/>
        <v>5485</v>
      </c>
      <c r="B5553" s="285">
        <v>-2.5002560762359129</v>
      </c>
      <c r="C5553" s="285">
        <v>2.1055423569833254</v>
      </c>
      <c r="D5553" s="285">
        <v>-1.3703468990460177</v>
      </c>
      <c r="E5553" s="285">
        <v>4.2899612940782461</v>
      </c>
    </row>
    <row r="5554" spans="1:5">
      <c r="A5554" s="284">
        <f t="shared" si="1077"/>
        <v>5486</v>
      </c>
      <c r="B5554" s="285">
        <v>-3.3819298669300792</v>
      </c>
      <c r="C5554" s="285">
        <v>2.1024512649333347</v>
      </c>
      <c r="D5554" s="285">
        <v>2.1466830601287632</v>
      </c>
      <c r="E5554" s="285">
        <v>-6.0669914305045634</v>
      </c>
    </row>
    <row r="5555" spans="1:5">
      <c r="A5555" s="284">
        <f t="shared" si="1077"/>
        <v>5487</v>
      </c>
      <c r="B5555" s="285">
        <v>0.74854604147341886</v>
      </c>
      <c r="C5555" s="285">
        <v>2.2101727432497631</v>
      </c>
      <c r="D5555" s="285">
        <v>1.1028744194536884</v>
      </c>
      <c r="E5555" s="285">
        <v>-12.927223369480579</v>
      </c>
    </row>
    <row r="5556" spans="1:5">
      <c r="A5556" s="284">
        <f t="shared" si="1077"/>
        <v>5488</v>
      </c>
      <c r="B5556" s="285">
        <v>-4.6220778389216397</v>
      </c>
      <c r="C5556" s="285">
        <v>2.0406220755431845</v>
      </c>
      <c r="D5556" s="285">
        <v>-0.34435192348551968</v>
      </c>
      <c r="E5556" s="285">
        <v>-13.221932323668376</v>
      </c>
    </row>
    <row r="5557" spans="1:5">
      <c r="A5557" s="284">
        <f t="shared" si="1077"/>
        <v>5489</v>
      </c>
      <c r="B5557" s="285">
        <v>1.8529512629462344</v>
      </c>
      <c r="C5557" s="285">
        <v>3.7434471657203932</v>
      </c>
      <c r="D5557" s="285">
        <v>2.3664740866507135</v>
      </c>
      <c r="E5557" s="285">
        <v>6.3334049411653872</v>
      </c>
    </row>
    <row r="5558" spans="1:5">
      <c r="A5558" s="284">
        <f t="shared" si="1077"/>
        <v>5490</v>
      </c>
      <c r="B5558" s="285">
        <v>-0.27211360858891914</v>
      </c>
      <c r="C5558" s="285">
        <v>3.2150488706144658</v>
      </c>
      <c r="D5558" s="285">
        <v>1.6042656508649031</v>
      </c>
      <c r="E5558" s="285">
        <v>10.600760393357797</v>
      </c>
    </row>
    <row r="5559" spans="1:5">
      <c r="A5559" s="284">
        <f t="shared" si="1077"/>
        <v>5491</v>
      </c>
      <c r="B5559" s="285">
        <v>-2.7334717577926857</v>
      </c>
      <c r="C5559" s="285">
        <v>2.2600890527325452</v>
      </c>
      <c r="D5559" s="285">
        <v>1.9272209477583191</v>
      </c>
      <c r="E5559" s="285">
        <v>-4.2865504781030097</v>
      </c>
    </row>
    <row r="5560" spans="1:5">
      <c r="A5560" s="284">
        <f t="shared" si="1077"/>
        <v>5492</v>
      </c>
      <c r="B5560" s="285">
        <v>-0.61938171353449267</v>
      </c>
      <c r="C5560" s="285">
        <v>1.8210604025286607</v>
      </c>
      <c r="D5560" s="285">
        <v>3.0772122329506564</v>
      </c>
      <c r="E5560" s="285">
        <v>-17.06971063812119</v>
      </c>
    </row>
    <row r="5561" spans="1:5">
      <c r="A5561" s="284">
        <f t="shared" si="1077"/>
        <v>5493</v>
      </c>
      <c r="B5561" s="285">
        <v>1.6172512725990686</v>
      </c>
      <c r="C5561" s="285">
        <v>3.2045144386306039</v>
      </c>
      <c r="D5561" s="285">
        <v>1.3686004812378174</v>
      </c>
      <c r="E5561" s="285">
        <v>-6.1905477634756707</v>
      </c>
    </row>
    <row r="5562" spans="1:5">
      <c r="A5562" s="284">
        <f t="shared" si="1077"/>
        <v>5494</v>
      </c>
      <c r="B5562" s="285">
        <v>-0.87377300556703108</v>
      </c>
      <c r="C5562" s="285">
        <v>3.1257257104094807</v>
      </c>
      <c r="D5562" s="285">
        <v>1.6188325540389656</v>
      </c>
      <c r="E5562" s="285">
        <v>7.8851724393639575</v>
      </c>
    </row>
    <row r="5563" spans="1:5">
      <c r="A5563" s="284">
        <f t="shared" si="1077"/>
        <v>5495</v>
      </c>
      <c r="B5563" s="285">
        <v>-2.9762954293531387</v>
      </c>
      <c r="C5563" s="285">
        <v>2.1620295863973471</v>
      </c>
      <c r="D5563" s="285">
        <v>0.64915069693232952</v>
      </c>
      <c r="E5563" s="285">
        <v>-9.8402815090124918</v>
      </c>
    </row>
    <row r="5564" spans="1:5">
      <c r="A5564" s="284">
        <f t="shared" si="1077"/>
        <v>5496</v>
      </c>
      <c r="B5564" s="285">
        <v>1.1582540304422311</v>
      </c>
      <c r="C5564" s="285">
        <v>2.5504612156343955</v>
      </c>
      <c r="D5564" s="285">
        <v>0.92046591099397612</v>
      </c>
      <c r="E5564" s="285">
        <v>-0.5014370786641047</v>
      </c>
    </row>
    <row r="5565" spans="1:5">
      <c r="A5565" s="284">
        <f t="shared" si="1077"/>
        <v>5497</v>
      </c>
      <c r="B5565" s="285">
        <v>-2.8209814996969427</v>
      </c>
      <c r="C5565" s="285">
        <v>2.2902617996780053</v>
      </c>
      <c r="D5565" s="285">
        <v>1.7842543515882827</v>
      </c>
      <c r="E5565" s="285">
        <v>-7.9930780809673543</v>
      </c>
    </row>
    <row r="5566" spans="1:5">
      <c r="A5566" s="284">
        <f t="shared" si="1077"/>
        <v>5498</v>
      </c>
      <c r="B5566" s="285">
        <v>-0.68697032409232983</v>
      </c>
      <c r="C5566" s="285">
        <v>2.9554396981260038</v>
      </c>
      <c r="D5566" s="285">
        <v>0.33538935353031496</v>
      </c>
      <c r="E5566" s="285">
        <v>6.7779893245507861</v>
      </c>
    </row>
    <row r="5567" spans="1:5">
      <c r="A5567" s="284">
        <f t="shared" si="1077"/>
        <v>5499</v>
      </c>
      <c r="B5567" s="285">
        <v>-3.1783665554523424</v>
      </c>
      <c r="C5567" s="285">
        <v>2.9505278611387666</v>
      </c>
      <c r="D5567" s="285">
        <v>2.2806996073760164</v>
      </c>
      <c r="E5567" s="285">
        <v>3.5331483601103888</v>
      </c>
    </row>
    <row r="5568" spans="1:5">
      <c r="A5568" s="284">
        <f t="shared" si="1077"/>
        <v>5500</v>
      </c>
      <c r="B5568" s="285">
        <v>-0.22728236732340895</v>
      </c>
      <c r="C5568" s="285">
        <v>2.1695209980645682</v>
      </c>
      <c r="D5568" s="285">
        <v>1.6652723639535694</v>
      </c>
      <c r="E5568" s="285">
        <v>-7.2427095105584254</v>
      </c>
    </row>
    <row r="5569" spans="1:5">
      <c r="A5569" s="284">
        <f t="shared" si="1077"/>
        <v>5501</v>
      </c>
      <c r="B5569" s="285">
        <v>0.79339893780308612</v>
      </c>
      <c r="C5569" s="285">
        <v>1.9415846226804541</v>
      </c>
      <c r="D5569" s="285">
        <v>1.5945954078480935</v>
      </c>
      <c r="E5569" s="285">
        <v>-12.468408726615785</v>
      </c>
    </row>
    <row r="5570" spans="1:5">
      <c r="A5570" s="284">
        <f t="shared" si="1077"/>
        <v>5502</v>
      </c>
      <c r="B5570" s="285">
        <v>0.76105450795459406</v>
      </c>
      <c r="C5570" s="285">
        <v>2.776845227749186</v>
      </c>
      <c r="D5570" s="285">
        <v>2.2118283178224374</v>
      </c>
      <c r="E5570" s="285">
        <v>5.0624031954982307</v>
      </c>
    </row>
    <row r="5571" spans="1:5">
      <c r="A5571" s="284">
        <f t="shared" si="1077"/>
        <v>5503</v>
      </c>
      <c r="B5571" s="285">
        <v>-0.83353029501096243</v>
      </c>
      <c r="C5571" s="285">
        <v>2.3432735157000999</v>
      </c>
      <c r="D5571" s="285">
        <v>2.1999102462717048</v>
      </c>
      <c r="E5571" s="285">
        <v>-9.1535901415631606</v>
      </c>
    </row>
    <row r="5572" spans="1:5">
      <c r="A5572" s="284">
        <f t="shared" si="1077"/>
        <v>5504</v>
      </c>
      <c r="B5572" s="285">
        <v>1.6700313151441011</v>
      </c>
      <c r="C5572" s="285">
        <v>3.3783788113575213</v>
      </c>
      <c r="D5572" s="285">
        <v>0.73990225974325274</v>
      </c>
      <c r="E5572" s="285">
        <v>7.0523526185232477</v>
      </c>
    </row>
    <row r="5573" spans="1:5">
      <c r="A5573" s="284">
        <f t="shared" si="1077"/>
        <v>5505</v>
      </c>
      <c r="B5573" s="285">
        <v>-2.4074327809578636E-2</v>
      </c>
      <c r="C5573" s="285">
        <v>2.4026213168581991</v>
      </c>
      <c r="D5573" s="285">
        <v>1.7975436806458984</v>
      </c>
      <c r="E5573" s="285">
        <v>-13.778776047505129</v>
      </c>
    </row>
    <row r="5574" spans="1:5">
      <c r="A5574" s="284">
        <f t="shared" si="1077"/>
        <v>5506</v>
      </c>
      <c r="B5574" s="285">
        <v>-0.10395291565328706</v>
      </c>
      <c r="C5574" s="285">
        <v>2.8802860160492205</v>
      </c>
      <c r="D5574" s="285">
        <v>0.31639164539247022</v>
      </c>
      <c r="E5574" s="285">
        <v>-7.2852936980264147</v>
      </c>
    </row>
    <row r="5575" spans="1:5">
      <c r="A5575" s="284">
        <f t="shared" ref="A5575:A5638" si="1078">A5574+1</f>
        <v>5507</v>
      </c>
      <c r="B5575" s="285">
        <v>3.3204614222160505</v>
      </c>
      <c r="C5575" s="285">
        <v>2.8680499079223396</v>
      </c>
      <c r="D5575" s="285">
        <v>0.35710160191867901</v>
      </c>
      <c r="E5575" s="285">
        <v>1.8710897182042392</v>
      </c>
    </row>
    <row r="5576" spans="1:5">
      <c r="A5576" s="284">
        <f t="shared" si="1078"/>
        <v>5508</v>
      </c>
      <c r="B5576" s="285">
        <v>0.79274922295437167</v>
      </c>
      <c r="C5576" s="285">
        <v>2.0140450395860334</v>
      </c>
      <c r="D5576" s="285">
        <v>1.0178411851205382</v>
      </c>
      <c r="E5576" s="285">
        <v>-4.3322778685296566</v>
      </c>
    </row>
    <row r="5577" spans="1:5">
      <c r="A5577" s="284">
        <f t="shared" si="1078"/>
        <v>5509</v>
      </c>
      <c r="B5577" s="285">
        <v>-1.8779172961953139</v>
      </c>
      <c r="C5577" s="285">
        <v>2.8578051646459235</v>
      </c>
      <c r="D5577" s="285">
        <v>0.2775208434558627</v>
      </c>
      <c r="E5577" s="285">
        <v>9.581081764361592</v>
      </c>
    </row>
    <row r="5578" spans="1:5">
      <c r="A5578" s="284">
        <f t="shared" si="1078"/>
        <v>5510</v>
      </c>
      <c r="B5578" s="285">
        <v>1.737852202452322</v>
      </c>
      <c r="C5578" s="285">
        <v>2.4294491855019706</v>
      </c>
      <c r="D5578" s="285">
        <v>2.7556453352021837</v>
      </c>
      <c r="E5578" s="285">
        <v>-22.811605481955091</v>
      </c>
    </row>
    <row r="5579" spans="1:5">
      <c r="A5579" s="284">
        <f t="shared" si="1078"/>
        <v>5511</v>
      </c>
      <c r="B5579" s="285">
        <v>-0.87116067072242587</v>
      </c>
      <c r="C5579" s="285">
        <v>1.6831577991448445</v>
      </c>
      <c r="D5579" s="285">
        <v>1.1203552913244343</v>
      </c>
      <c r="E5579" s="285">
        <v>-16.06901365422296</v>
      </c>
    </row>
    <row r="5580" spans="1:5">
      <c r="A5580" s="284">
        <f t="shared" si="1078"/>
        <v>5512</v>
      </c>
      <c r="B5580" s="285">
        <v>4.5065122956874566</v>
      </c>
      <c r="C5580" s="285">
        <v>2.4937310974743401</v>
      </c>
      <c r="D5580" s="285">
        <v>4.1816579208214675</v>
      </c>
      <c r="E5580" s="285">
        <v>-14.542166361686427</v>
      </c>
    </row>
    <row r="5581" spans="1:5">
      <c r="A5581" s="284">
        <f t="shared" si="1078"/>
        <v>5513</v>
      </c>
      <c r="B5581" s="285">
        <v>-1.1982344094164437</v>
      </c>
      <c r="C5581" s="285">
        <v>1.9841845059216081</v>
      </c>
      <c r="D5581" s="285">
        <v>0.40061040956978577</v>
      </c>
      <c r="E5581" s="285">
        <v>-20.495756355723206</v>
      </c>
    </row>
    <row r="5582" spans="1:5">
      <c r="A5582" s="284">
        <f t="shared" si="1078"/>
        <v>5514</v>
      </c>
      <c r="B5582" s="285">
        <v>8.7376302629158034E-3</v>
      </c>
      <c r="C5582" s="285">
        <v>2.3159516266158082</v>
      </c>
      <c r="D5582" s="285">
        <v>-0.35871684465801645</v>
      </c>
      <c r="E5582" s="285">
        <v>-16.418236049816091</v>
      </c>
    </row>
    <row r="5583" spans="1:5">
      <c r="A5583" s="284">
        <f t="shared" si="1078"/>
        <v>5515</v>
      </c>
      <c r="B5583" s="285">
        <v>-0.28991442336771839</v>
      </c>
      <c r="C5583" s="285">
        <v>2.7475474836276628</v>
      </c>
      <c r="D5583" s="285">
        <v>-0.17633887944111248</v>
      </c>
      <c r="E5583" s="285">
        <v>-0.28421756390696684</v>
      </c>
    </row>
    <row r="5584" spans="1:5">
      <c r="A5584" s="284">
        <f t="shared" si="1078"/>
        <v>5516</v>
      </c>
      <c r="B5584" s="285">
        <v>1.9183063379356005</v>
      </c>
      <c r="C5584" s="285">
        <v>2.7336566973223393</v>
      </c>
      <c r="D5584" s="285">
        <v>2.8210583116855696</v>
      </c>
      <c r="E5584" s="285">
        <v>6.9775961194879077</v>
      </c>
    </row>
    <row r="5585" spans="1:5">
      <c r="A5585" s="284">
        <f t="shared" si="1078"/>
        <v>5517</v>
      </c>
      <c r="B5585" s="285">
        <v>6.2732564212761206</v>
      </c>
      <c r="C5585" s="285">
        <v>1.5391039711564161</v>
      </c>
      <c r="D5585" s="285">
        <v>3.2289031880340175</v>
      </c>
      <c r="E5585" s="285">
        <v>-50.218452569776623</v>
      </c>
    </row>
    <row r="5586" spans="1:5">
      <c r="A5586" s="284">
        <f t="shared" si="1078"/>
        <v>5518</v>
      </c>
      <c r="B5586" s="285">
        <v>2.7370560015509371</v>
      </c>
      <c r="C5586" s="285">
        <v>3.0318563043061904</v>
      </c>
      <c r="D5586" s="285">
        <v>1.1299293105021455</v>
      </c>
      <c r="E5586" s="285">
        <v>8.1777592442645464</v>
      </c>
    </row>
    <row r="5587" spans="1:5">
      <c r="A5587" s="284">
        <f t="shared" si="1078"/>
        <v>5519</v>
      </c>
      <c r="B5587" s="285">
        <v>-2.6510756730369387</v>
      </c>
      <c r="C5587" s="285">
        <v>1.5825941579014493</v>
      </c>
      <c r="D5587" s="285">
        <v>1.8445424026077251</v>
      </c>
      <c r="E5587" s="285">
        <v>-21.983823413014175</v>
      </c>
    </row>
    <row r="5588" spans="1:5">
      <c r="A5588" s="284">
        <f t="shared" si="1078"/>
        <v>5520</v>
      </c>
      <c r="B5588" s="285">
        <v>4.1345733598616281</v>
      </c>
      <c r="C5588" s="285">
        <v>2.9442745278134135</v>
      </c>
      <c r="D5588" s="285">
        <v>1.1201600046840576</v>
      </c>
      <c r="E5588" s="285">
        <v>-5.9699676581460484</v>
      </c>
    </row>
    <row r="5589" spans="1:5">
      <c r="A5589" s="284">
        <f t="shared" si="1078"/>
        <v>5521</v>
      </c>
      <c r="B5589" s="285">
        <v>-3.5531167733856743</v>
      </c>
      <c r="C5589" s="285">
        <v>1.8165919001291417</v>
      </c>
      <c r="D5589" s="285">
        <v>2.2517499340604159</v>
      </c>
      <c r="E5589" s="285">
        <v>-11.396955373711224</v>
      </c>
    </row>
    <row r="5590" spans="1:5">
      <c r="A5590" s="284">
        <f t="shared" si="1078"/>
        <v>5522</v>
      </c>
      <c r="B5590" s="285">
        <v>-0.93726361470373465</v>
      </c>
      <c r="C5590" s="285">
        <v>2.8929606506776482</v>
      </c>
      <c r="D5590" s="285">
        <v>-0.77388373195846372</v>
      </c>
      <c r="E5590" s="285">
        <v>1.4577595698655768</v>
      </c>
    </row>
    <row r="5591" spans="1:5">
      <c r="A5591" s="284">
        <f t="shared" si="1078"/>
        <v>5523</v>
      </c>
      <c r="B5591" s="285">
        <v>-2.5774291786628192</v>
      </c>
      <c r="C5591" s="285">
        <v>2.0397838181298908</v>
      </c>
      <c r="D5591" s="285">
        <v>2.722458379803181</v>
      </c>
      <c r="E5591" s="285">
        <v>-14.685489814763356</v>
      </c>
    </row>
    <row r="5592" spans="1:5">
      <c r="A5592" s="284">
        <f t="shared" si="1078"/>
        <v>5524</v>
      </c>
      <c r="B5592" s="285">
        <v>-1.5709330208169971</v>
      </c>
      <c r="C5592" s="285">
        <v>2.4116703434899178</v>
      </c>
      <c r="D5592" s="285">
        <v>1.1547249391783776</v>
      </c>
      <c r="E5592" s="285">
        <v>-8.9996352144328444</v>
      </c>
    </row>
    <row r="5593" spans="1:5">
      <c r="A5593" s="284">
        <f t="shared" si="1078"/>
        <v>5525</v>
      </c>
      <c r="B5593" s="285">
        <v>-3.8215718219568777</v>
      </c>
      <c r="C5593" s="285">
        <v>2.741477466846165</v>
      </c>
      <c r="D5593" s="285">
        <v>0.46274801876580873</v>
      </c>
      <c r="E5593" s="285">
        <v>17.749020599482879</v>
      </c>
    </row>
    <row r="5594" spans="1:5">
      <c r="A5594" s="284">
        <f t="shared" si="1078"/>
        <v>5526</v>
      </c>
      <c r="B5594" s="285">
        <v>0.56031691724780475</v>
      </c>
      <c r="C5594" s="285">
        <v>2.909281289508943</v>
      </c>
      <c r="D5594" s="285">
        <v>0.73171381071778019</v>
      </c>
      <c r="E5594" s="285">
        <v>9.3641741053964722</v>
      </c>
    </row>
    <row r="5595" spans="1:5">
      <c r="A5595" s="284">
        <f t="shared" si="1078"/>
        <v>5527</v>
      </c>
      <c r="B5595" s="285">
        <v>3.152573892147843</v>
      </c>
      <c r="C5595" s="285">
        <v>2.9896201665966338</v>
      </c>
      <c r="D5595" s="285">
        <v>1.7031075514815956</v>
      </c>
      <c r="E5595" s="285">
        <v>-5.6200814540751125</v>
      </c>
    </row>
    <row r="5596" spans="1:5">
      <c r="A5596" s="284">
        <f t="shared" si="1078"/>
        <v>5528</v>
      </c>
      <c r="B5596" s="285">
        <v>-0.75576604325826624</v>
      </c>
      <c r="C5596" s="285">
        <v>2.6291806225825169</v>
      </c>
      <c r="D5596" s="285">
        <v>1.9822678182182027</v>
      </c>
      <c r="E5596" s="285">
        <v>11.268187403533169</v>
      </c>
    </row>
    <row r="5597" spans="1:5">
      <c r="A5597" s="284">
        <f t="shared" si="1078"/>
        <v>5529</v>
      </c>
      <c r="B5597" s="285">
        <v>-3.0393086365305129</v>
      </c>
      <c r="C5597" s="285">
        <v>1.7513885871395827</v>
      </c>
      <c r="D5597" s="285">
        <v>-0.52469559882729477</v>
      </c>
      <c r="E5597" s="285">
        <v>-12.236187924008304</v>
      </c>
    </row>
    <row r="5598" spans="1:5">
      <c r="A5598" s="284">
        <f t="shared" si="1078"/>
        <v>5530</v>
      </c>
      <c r="B5598" s="285">
        <v>1.4108851439969694</v>
      </c>
      <c r="C5598" s="285">
        <v>3.0648333150314078</v>
      </c>
      <c r="D5598" s="285">
        <v>0.83222656126028871</v>
      </c>
      <c r="E5598" s="285">
        <v>1.8426751203217901</v>
      </c>
    </row>
    <row r="5599" spans="1:5">
      <c r="A5599" s="284">
        <f t="shared" si="1078"/>
        <v>5531</v>
      </c>
      <c r="B5599" s="285">
        <v>-1.3013051821960864</v>
      </c>
      <c r="C5599" s="285">
        <v>2.3250088507661761</v>
      </c>
      <c r="D5599" s="285">
        <v>1.4444851024481828</v>
      </c>
      <c r="E5599" s="285">
        <v>1.9277657275836559</v>
      </c>
    </row>
    <row r="5600" spans="1:5">
      <c r="A5600" s="284">
        <f t="shared" si="1078"/>
        <v>5532</v>
      </c>
      <c r="B5600" s="285">
        <v>4.4930862319672693</v>
      </c>
      <c r="C5600" s="285">
        <v>2.0770547944543329</v>
      </c>
      <c r="D5600" s="285">
        <v>1.3058289408260664</v>
      </c>
      <c r="E5600" s="285">
        <v>-17.956507837190252</v>
      </c>
    </row>
    <row r="5601" spans="1:5">
      <c r="A5601" s="284">
        <f t="shared" si="1078"/>
        <v>5533</v>
      </c>
      <c r="B5601" s="285">
        <v>-4.6391960297712673</v>
      </c>
      <c r="C5601" s="285">
        <v>2.45861086750591</v>
      </c>
      <c r="D5601" s="285">
        <v>0.64707736159645046</v>
      </c>
      <c r="E5601" s="285">
        <v>-2.0354324377416395</v>
      </c>
    </row>
    <row r="5602" spans="1:5">
      <c r="A5602" s="284">
        <f t="shared" si="1078"/>
        <v>5534</v>
      </c>
      <c r="B5602" s="285">
        <v>2.6572837646247192</v>
      </c>
      <c r="C5602" s="285">
        <v>3.0910416980631625</v>
      </c>
      <c r="D5602" s="285">
        <v>1.5778980476766777</v>
      </c>
      <c r="E5602" s="285">
        <v>7.4670575014681297</v>
      </c>
    </row>
    <row r="5603" spans="1:5">
      <c r="A5603" s="284">
        <f t="shared" si="1078"/>
        <v>5535</v>
      </c>
      <c r="B5603" s="285">
        <v>-2.924176552209131</v>
      </c>
      <c r="C5603" s="285">
        <v>2.6674003287576107</v>
      </c>
      <c r="D5603" s="285">
        <v>-3.7734492211717319E-2</v>
      </c>
      <c r="E5603" s="285">
        <v>12.244061795007859</v>
      </c>
    </row>
    <row r="5604" spans="1:5">
      <c r="A5604" s="284">
        <f t="shared" si="1078"/>
        <v>5536</v>
      </c>
      <c r="B5604" s="285">
        <v>-0.61784932748697607</v>
      </c>
      <c r="C5604" s="285">
        <v>1.9584849759895848</v>
      </c>
      <c r="D5604" s="285">
        <v>1.1479184576482864</v>
      </c>
      <c r="E5604" s="285">
        <v>-11.368178796027884</v>
      </c>
    </row>
    <row r="5605" spans="1:5">
      <c r="A5605" s="284">
        <f t="shared" si="1078"/>
        <v>5537</v>
      </c>
      <c r="B5605" s="285">
        <v>1.1768116994256277</v>
      </c>
      <c r="C5605" s="285">
        <v>3.0973266825443275</v>
      </c>
      <c r="D5605" s="285">
        <v>1.6210239972914524</v>
      </c>
      <c r="E5605" s="285">
        <v>18.30336232343873</v>
      </c>
    </row>
    <row r="5606" spans="1:5">
      <c r="A5606" s="284">
        <f t="shared" si="1078"/>
        <v>5538</v>
      </c>
      <c r="B5606" s="285">
        <v>0.54287416167588132</v>
      </c>
      <c r="C5606" s="285">
        <v>2.8109716867900745</v>
      </c>
      <c r="D5606" s="285">
        <v>1.4622467075347561</v>
      </c>
      <c r="E5606" s="285">
        <v>-1.3631367517960316</v>
      </c>
    </row>
    <row r="5607" spans="1:5">
      <c r="A5607" s="284">
        <f t="shared" si="1078"/>
        <v>5539</v>
      </c>
      <c r="B5607" s="285">
        <v>-1.7027734307646172</v>
      </c>
      <c r="C5607" s="285">
        <v>2.6093780448470234</v>
      </c>
      <c r="D5607" s="285">
        <v>-0.38986828839979903</v>
      </c>
      <c r="E5607" s="285">
        <v>-0.71102156033874708</v>
      </c>
    </row>
    <row r="5608" spans="1:5">
      <c r="A5608" s="284">
        <f t="shared" si="1078"/>
        <v>5540</v>
      </c>
      <c r="B5608" s="285">
        <v>-3.4237943694338284</v>
      </c>
      <c r="C5608" s="285">
        <v>2.1847316745388676</v>
      </c>
      <c r="D5608" s="285">
        <v>-0.36214870263056476</v>
      </c>
      <c r="E5608" s="285">
        <v>-9.4843548457091842</v>
      </c>
    </row>
    <row r="5609" spans="1:5">
      <c r="A5609" s="284">
        <f t="shared" si="1078"/>
        <v>5541</v>
      </c>
      <c r="B5609" s="285">
        <v>-1.9140814673839699</v>
      </c>
      <c r="C5609" s="285">
        <v>2.3093338300815023</v>
      </c>
      <c r="D5609" s="285">
        <v>0.4678621750534161</v>
      </c>
      <c r="E5609" s="285">
        <v>-3.6877434529540984</v>
      </c>
    </row>
    <row r="5610" spans="1:5">
      <c r="A5610" s="284">
        <f t="shared" si="1078"/>
        <v>5542</v>
      </c>
      <c r="B5610" s="285">
        <v>2.5552049742402412</v>
      </c>
      <c r="C5610" s="285">
        <v>3.0500776310781368</v>
      </c>
      <c r="D5610" s="285">
        <v>2.1774160096345221</v>
      </c>
      <c r="E5610" s="285">
        <v>8.4445857736973302</v>
      </c>
    </row>
    <row r="5611" spans="1:5">
      <c r="A5611" s="284">
        <f t="shared" si="1078"/>
        <v>5543</v>
      </c>
      <c r="B5611" s="285">
        <v>1.3909195463172983</v>
      </c>
      <c r="C5611" s="285">
        <v>2.8513274518991909</v>
      </c>
      <c r="D5611" s="285">
        <v>1.843676487557929</v>
      </c>
      <c r="E5611" s="285">
        <v>4.4525889903998088</v>
      </c>
    </row>
    <row r="5612" spans="1:5">
      <c r="A5612" s="284">
        <f t="shared" si="1078"/>
        <v>5544</v>
      </c>
      <c r="B5612" s="285">
        <v>-1.8619467540170442</v>
      </c>
      <c r="C5612" s="285">
        <v>2.1023264737338465</v>
      </c>
      <c r="D5612" s="285">
        <v>1.6270895372811185</v>
      </c>
      <c r="E5612" s="285">
        <v>-13.995124088778674</v>
      </c>
    </row>
    <row r="5613" spans="1:5">
      <c r="A5613" s="284">
        <f t="shared" si="1078"/>
        <v>5545</v>
      </c>
      <c r="B5613" s="285">
        <v>-3.1596029225182911</v>
      </c>
      <c r="C5613" s="285">
        <v>2.0051359155227253</v>
      </c>
      <c r="D5613" s="285">
        <v>2.3799163120427438</v>
      </c>
      <c r="E5613" s="285">
        <v>-10.732776050120831</v>
      </c>
    </row>
    <row r="5614" spans="1:5">
      <c r="A5614" s="284">
        <f t="shared" si="1078"/>
        <v>5546</v>
      </c>
      <c r="B5614" s="285">
        <v>-2.1343022554069173</v>
      </c>
      <c r="C5614" s="285">
        <v>1.808445243456557</v>
      </c>
      <c r="D5614" s="285">
        <v>1.927038897643248</v>
      </c>
      <c r="E5614" s="285">
        <v>-9.5059370884454637</v>
      </c>
    </row>
    <row r="5615" spans="1:5">
      <c r="A5615" s="284">
        <f t="shared" si="1078"/>
        <v>5547</v>
      </c>
      <c r="B5615" s="285">
        <v>1.097218367685455</v>
      </c>
      <c r="C5615" s="285">
        <v>2.4453557534527364</v>
      </c>
      <c r="D5615" s="285">
        <v>0.96751828381792371</v>
      </c>
      <c r="E5615" s="285">
        <v>8.1655593859332853E-2</v>
      </c>
    </row>
    <row r="5616" spans="1:5">
      <c r="A5616" s="284">
        <f t="shared" si="1078"/>
        <v>5548</v>
      </c>
      <c r="B5616" s="285">
        <v>-3.617270345550867</v>
      </c>
      <c r="C5616" s="285">
        <v>2.3613098573156979</v>
      </c>
      <c r="D5616" s="285">
        <v>-4.6233445258550887E-2</v>
      </c>
      <c r="E5616" s="285">
        <v>-15.001078826039121</v>
      </c>
    </row>
    <row r="5617" spans="1:5">
      <c r="A5617" s="284">
        <f t="shared" si="1078"/>
        <v>5549</v>
      </c>
      <c r="B5617" s="285">
        <v>-2.0286480258562407</v>
      </c>
      <c r="C5617" s="285">
        <v>2.2170252313117373</v>
      </c>
      <c r="D5617" s="285">
        <v>0.54515291204993721</v>
      </c>
      <c r="E5617" s="285">
        <v>-8.6453427998747756</v>
      </c>
    </row>
    <row r="5618" spans="1:5">
      <c r="A5618" s="284">
        <f t="shared" si="1078"/>
        <v>5550</v>
      </c>
      <c r="B5618" s="285">
        <v>2.0746466800680605</v>
      </c>
      <c r="C5618" s="285">
        <v>2.4912583734955462</v>
      </c>
      <c r="D5618" s="285">
        <v>2.9333649750655386</v>
      </c>
      <c r="E5618" s="285">
        <v>-15.927759092528968</v>
      </c>
    </row>
    <row r="5619" spans="1:5">
      <c r="A5619" s="284">
        <f t="shared" si="1078"/>
        <v>5551</v>
      </c>
      <c r="B5619" s="285">
        <v>2.9250247620303016</v>
      </c>
      <c r="C5619" s="285">
        <v>1.979616051734193</v>
      </c>
      <c r="D5619" s="285">
        <v>3.0288527522280759</v>
      </c>
      <c r="E5619" s="285">
        <v>-17.496014131790186</v>
      </c>
    </row>
    <row r="5620" spans="1:5">
      <c r="A5620" s="284">
        <f t="shared" si="1078"/>
        <v>5552</v>
      </c>
      <c r="B5620" s="285">
        <v>2.0300120195962545</v>
      </c>
      <c r="C5620" s="285">
        <v>3.4804334577740819</v>
      </c>
      <c r="D5620" s="285">
        <v>1.3197211352828799</v>
      </c>
      <c r="E5620" s="285">
        <v>2.2686348104460667</v>
      </c>
    </row>
    <row r="5621" spans="1:5">
      <c r="A5621" s="284">
        <f t="shared" si="1078"/>
        <v>5553</v>
      </c>
      <c r="B5621" s="285">
        <v>-1.6310288725769546</v>
      </c>
      <c r="C5621" s="285">
        <v>1.7795774909400157</v>
      </c>
      <c r="D5621" s="285">
        <v>2.8196388984676704</v>
      </c>
      <c r="E5621" s="285">
        <v>-14.446206660496044</v>
      </c>
    </row>
    <row r="5622" spans="1:5">
      <c r="A5622" s="284">
        <f t="shared" si="1078"/>
        <v>5554</v>
      </c>
      <c r="B5622" s="285">
        <v>-7.5700635248079111</v>
      </c>
      <c r="C5622" s="285">
        <v>1.4055624736686312</v>
      </c>
      <c r="D5622" s="285">
        <v>2.0424808603471272</v>
      </c>
      <c r="E5622" s="285">
        <v>-16.90129138013322</v>
      </c>
    </row>
    <row r="5623" spans="1:5">
      <c r="A5623" s="284">
        <f t="shared" si="1078"/>
        <v>5555</v>
      </c>
      <c r="B5623" s="285">
        <v>1.1837575114174241</v>
      </c>
      <c r="C5623" s="285">
        <v>2.6027581921176899</v>
      </c>
      <c r="D5623" s="285">
        <v>0.65755284878404852</v>
      </c>
      <c r="E5623" s="285">
        <v>3.1843319413152087</v>
      </c>
    </row>
    <row r="5624" spans="1:5">
      <c r="A5624" s="284">
        <f t="shared" si="1078"/>
        <v>5556</v>
      </c>
      <c r="B5624" s="285">
        <v>-2.7118681311131508E-2</v>
      </c>
      <c r="C5624" s="285">
        <v>1.97468576611214</v>
      </c>
      <c r="D5624" s="285">
        <v>1.8543133865893633</v>
      </c>
      <c r="E5624" s="285">
        <v>-23.747202111568772</v>
      </c>
    </row>
    <row r="5625" spans="1:5">
      <c r="A5625" s="284">
        <f t="shared" si="1078"/>
        <v>5557</v>
      </c>
      <c r="B5625" s="285">
        <v>2.9523816815887125</v>
      </c>
      <c r="C5625" s="285">
        <v>2.5682188503238264</v>
      </c>
      <c r="D5625" s="285">
        <v>2.5478370508042145</v>
      </c>
      <c r="E5625" s="285">
        <v>1.6274542321182932</v>
      </c>
    </row>
    <row r="5626" spans="1:5">
      <c r="A5626" s="284">
        <f t="shared" si="1078"/>
        <v>5558</v>
      </c>
      <c r="B5626" s="285">
        <v>-1.0136691214024478</v>
      </c>
      <c r="C5626" s="285">
        <v>2.3165611977388547</v>
      </c>
      <c r="D5626" s="285">
        <v>0.18635279817381112</v>
      </c>
      <c r="E5626" s="285">
        <v>-8.9565809237570519</v>
      </c>
    </row>
    <row r="5627" spans="1:5">
      <c r="A5627" s="284">
        <f t="shared" si="1078"/>
        <v>5559</v>
      </c>
      <c r="B5627" s="285">
        <v>-3.4012438406590393</v>
      </c>
      <c r="C5627" s="285">
        <v>2.593184471066253</v>
      </c>
      <c r="D5627" s="285">
        <v>-0.9557738466835648</v>
      </c>
      <c r="E5627" s="285">
        <v>22.716408797053301</v>
      </c>
    </row>
    <row r="5628" spans="1:5">
      <c r="A5628" s="284">
        <f t="shared" si="1078"/>
        <v>5560</v>
      </c>
      <c r="B5628" s="285">
        <v>4.21927880836102</v>
      </c>
      <c r="C5628" s="285">
        <v>1.9985044632256779</v>
      </c>
      <c r="D5628" s="285">
        <v>3.6933097342789094</v>
      </c>
      <c r="E5628" s="285">
        <v>-7.5992199194922083</v>
      </c>
    </row>
    <row r="5629" spans="1:5">
      <c r="A5629" s="284">
        <f t="shared" si="1078"/>
        <v>5561</v>
      </c>
      <c r="B5629" s="285">
        <v>-1.8452398248462483</v>
      </c>
      <c r="C5629" s="285">
        <v>2.3508000892127554</v>
      </c>
      <c r="D5629" s="285">
        <v>0.15362651077445144</v>
      </c>
      <c r="E5629" s="285">
        <v>-0.77299021721829098</v>
      </c>
    </row>
    <row r="5630" spans="1:5">
      <c r="A5630" s="284">
        <f t="shared" si="1078"/>
        <v>5562</v>
      </c>
      <c r="B5630" s="285">
        <v>-1.650780160256099</v>
      </c>
      <c r="C5630" s="285">
        <v>2.0609363550517616</v>
      </c>
      <c r="D5630" s="285">
        <v>0.66455496938284042</v>
      </c>
      <c r="E5630" s="285">
        <v>-6.128891310342178</v>
      </c>
    </row>
    <row r="5631" spans="1:5">
      <c r="A5631" s="284">
        <f t="shared" si="1078"/>
        <v>5563</v>
      </c>
      <c r="B5631" s="285">
        <v>2.6178248302648526</v>
      </c>
      <c r="C5631" s="285">
        <v>2.5153767255121959</v>
      </c>
      <c r="D5631" s="285">
        <v>1.6006267324930601</v>
      </c>
      <c r="E5631" s="285">
        <v>3.2989190396542267</v>
      </c>
    </row>
    <row r="5632" spans="1:5">
      <c r="A5632" s="284">
        <f t="shared" si="1078"/>
        <v>5564</v>
      </c>
      <c r="B5632" s="285">
        <v>-2.8727040770372598</v>
      </c>
      <c r="C5632" s="285">
        <v>2.1390361554165054</v>
      </c>
      <c r="D5632" s="285">
        <v>3.6479595935646754</v>
      </c>
      <c r="E5632" s="285">
        <v>-4.702752399739536</v>
      </c>
    </row>
    <row r="5633" spans="1:5">
      <c r="A5633" s="284">
        <f t="shared" si="1078"/>
        <v>5565</v>
      </c>
      <c r="B5633" s="285">
        <v>-2.5456217704849893</v>
      </c>
      <c r="C5633" s="285">
        <v>2.8463316435522721</v>
      </c>
      <c r="D5633" s="285">
        <v>1.3405416119501168</v>
      </c>
      <c r="E5633" s="285">
        <v>8.9263777908847217</v>
      </c>
    </row>
    <row r="5634" spans="1:5">
      <c r="A5634" s="284">
        <f t="shared" si="1078"/>
        <v>5566</v>
      </c>
      <c r="B5634" s="285">
        <v>-1.4076353873270191</v>
      </c>
      <c r="C5634" s="285">
        <v>2.8584053053116665</v>
      </c>
      <c r="D5634" s="285">
        <v>0.17118314407175572</v>
      </c>
      <c r="E5634" s="285">
        <v>-4.3735056786303534</v>
      </c>
    </row>
    <row r="5635" spans="1:5">
      <c r="A5635" s="284">
        <f t="shared" si="1078"/>
        <v>5567</v>
      </c>
      <c r="B5635" s="285">
        <v>-1.6673922731079331</v>
      </c>
      <c r="C5635" s="285">
        <v>2.6286207906893315</v>
      </c>
      <c r="D5635" s="285">
        <v>1.1749560665751619</v>
      </c>
      <c r="E5635" s="285">
        <v>8.9914592110134919</v>
      </c>
    </row>
    <row r="5636" spans="1:5">
      <c r="A5636" s="284">
        <f t="shared" si="1078"/>
        <v>5568</v>
      </c>
      <c r="B5636" s="285">
        <v>0.14413856805423111</v>
      </c>
      <c r="C5636" s="285">
        <v>2.7723077456554259</v>
      </c>
      <c r="D5636" s="285">
        <v>1.9552726387120076</v>
      </c>
      <c r="E5636" s="285">
        <v>-2.8716919914480075</v>
      </c>
    </row>
    <row r="5637" spans="1:5">
      <c r="A5637" s="284">
        <f t="shared" si="1078"/>
        <v>5569</v>
      </c>
      <c r="B5637" s="285">
        <v>-0.91470563292811768</v>
      </c>
      <c r="C5637" s="285">
        <v>2.1317159172799087</v>
      </c>
      <c r="D5637" s="285">
        <v>0.13742285042213909</v>
      </c>
      <c r="E5637" s="285">
        <v>-14.791268968048083</v>
      </c>
    </row>
    <row r="5638" spans="1:5">
      <c r="A5638" s="284">
        <f t="shared" si="1078"/>
        <v>5570</v>
      </c>
      <c r="B5638" s="285">
        <v>-0.37899424039088109</v>
      </c>
      <c r="C5638" s="285">
        <v>1.5753881991083003</v>
      </c>
      <c r="D5638" s="285">
        <v>3.303339995913416</v>
      </c>
      <c r="E5638" s="285">
        <v>-27.14388860496161</v>
      </c>
    </row>
    <row r="5639" spans="1:5">
      <c r="A5639" s="284">
        <f t="shared" ref="A5639:A5702" si="1079">A5638+1</f>
        <v>5571</v>
      </c>
      <c r="B5639" s="285">
        <v>-0.91972600852404751</v>
      </c>
      <c r="C5639" s="285">
        <v>2.6293055069401539</v>
      </c>
      <c r="D5639" s="285">
        <v>0.5417760228424835</v>
      </c>
      <c r="E5639" s="285">
        <v>2.8177411931601299</v>
      </c>
    </row>
    <row r="5640" spans="1:5">
      <c r="A5640" s="284">
        <f t="shared" si="1079"/>
        <v>5572</v>
      </c>
      <c r="B5640" s="285">
        <v>0.23021428365627417</v>
      </c>
      <c r="C5640" s="285">
        <v>2.8551344769898543</v>
      </c>
      <c r="D5640" s="285">
        <v>2.6756818714555921</v>
      </c>
      <c r="E5640" s="285">
        <v>-3.3395709813084697</v>
      </c>
    </row>
    <row r="5641" spans="1:5">
      <c r="A5641" s="284">
        <f t="shared" si="1079"/>
        <v>5573</v>
      </c>
      <c r="B5641" s="285">
        <v>-3.2328948768510953E-2</v>
      </c>
      <c r="C5641" s="285">
        <v>2.6846848444262692</v>
      </c>
      <c r="D5641" s="285">
        <v>0.39548600547585666</v>
      </c>
      <c r="E5641" s="285">
        <v>10.272405588567322</v>
      </c>
    </row>
    <row r="5642" spans="1:5">
      <c r="A5642" s="284">
        <f t="shared" si="1079"/>
        <v>5574</v>
      </c>
      <c r="B5642" s="285">
        <v>0.80315989818772482</v>
      </c>
      <c r="C5642" s="285">
        <v>2.2516165802674859</v>
      </c>
      <c r="D5642" s="285">
        <v>0.38364825387348134</v>
      </c>
      <c r="E5642" s="285">
        <v>-8.1399725491509738</v>
      </c>
    </row>
    <row r="5643" spans="1:5">
      <c r="A5643" s="284">
        <f t="shared" si="1079"/>
        <v>5575</v>
      </c>
      <c r="B5643" s="285">
        <v>-0.81724519857458455</v>
      </c>
      <c r="C5643" s="285">
        <v>2.6272483909236297</v>
      </c>
      <c r="D5643" s="285">
        <v>1.448476435970679</v>
      </c>
      <c r="E5643" s="285">
        <v>-0.16656416214587244</v>
      </c>
    </row>
    <row r="5644" spans="1:5">
      <c r="A5644" s="284">
        <f t="shared" si="1079"/>
        <v>5576</v>
      </c>
      <c r="B5644" s="285">
        <v>0.29904899385477091</v>
      </c>
      <c r="C5644" s="285">
        <v>2.317223377993773</v>
      </c>
      <c r="D5644" s="285">
        <v>0.22378144579633985</v>
      </c>
      <c r="E5644" s="285">
        <v>-11.08568310486436</v>
      </c>
    </row>
    <row r="5645" spans="1:5">
      <c r="A5645" s="284">
        <f t="shared" si="1079"/>
        <v>5577</v>
      </c>
      <c r="B5645" s="285">
        <v>-1.9278369825582451</v>
      </c>
      <c r="C5645" s="285">
        <v>2.7474231612870161</v>
      </c>
      <c r="D5645" s="285">
        <v>1.4171008704326482</v>
      </c>
      <c r="E5645" s="285">
        <v>8.0578127817198961</v>
      </c>
    </row>
    <row r="5646" spans="1:5">
      <c r="A5646" s="284">
        <f t="shared" si="1079"/>
        <v>5578</v>
      </c>
      <c r="B5646" s="285">
        <v>-4.2259296771131059</v>
      </c>
      <c r="C5646" s="285">
        <v>2.4256705797487057</v>
      </c>
      <c r="D5646" s="285">
        <v>3.042017333898464</v>
      </c>
      <c r="E5646" s="285">
        <v>3.1775092892475159</v>
      </c>
    </row>
    <row r="5647" spans="1:5">
      <c r="A5647" s="284">
        <f t="shared" si="1079"/>
        <v>5579</v>
      </c>
      <c r="B5647" s="285">
        <v>-5.4603306221747161</v>
      </c>
      <c r="C5647" s="285">
        <v>1.5644821298024203</v>
      </c>
      <c r="D5647" s="285">
        <v>-8.6397577105633783E-2</v>
      </c>
      <c r="E5647" s="285">
        <v>-4.5455446258016465</v>
      </c>
    </row>
    <row r="5648" spans="1:5">
      <c r="A5648" s="284">
        <f t="shared" si="1079"/>
        <v>5580</v>
      </c>
      <c r="B5648" s="285">
        <v>1.0698760302024133</v>
      </c>
      <c r="C5648" s="285">
        <v>2.0561485756620699</v>
      </c>
      <c r="D5648" s="285">
        <v>1.8630093648399533</v>
      </c>
      <c r="E5648" s="285">
        <v>-16.197210579971962</v>
      </c>
    </row>
    <row r="5649" spans="1:5">
      <c r="A5649" s="284">
        <f t="shared" si="1079"/>
        <v>5581</v>
      </c>
      <c r="B5649" s="285">
        <v>-2.84461886000192</v>
      </c>
      <c r="C5649" s="285">
        <v>2.27809189372682</v>
      </c>
      <c r="D5649" s="285">
        <v>0.66496156897151604</v>
      </c>
      <c r="E5649" s="285">
        <v>-14.779936731299204</v>
      </c>
    </row>
    <row r="5650" spans="1:5">
      <c r="A5650" s="284">
        <f t="shared" si="1079"/>
        <v>5582</v>
      </c>
      <c r="B5650" s="285">
        <v>-0.20519928530380385</v>
      </c>
      <c r="C5650" s="285">
        <v>2.1988775690758056</v>
      </c>
      <c r="D5650" s="285">
        <v>2.5131059025097651</v>
      </c>
      <c r="E5650" s="285">
        <v>-2.9170703499893862</v>
      </c>
    </row>
    <row r="5651" spans="1:5">
      <c r="A5651" s="284">
        <f t="shared" si="1079"/>
        <v>5583</v>
      </c>
      <c r="B5651" s="285">
        <v>1.0889993833177747</v>
      </c>
      <c r="C5651" s="285">
        <v>1.9485235939288965</v>
      </c>
      <c r="D5651" s="285">
        <v>4.118621844742977</v>
      </c>
      <c r="E5651" s="285">
        <v>-17.39414550155816</v>
      </c>
    </row>
    <row r="5652" spans="1:5">
      <c r="A5652" s="284">
        <f t="shared" si="1079"/>
        <v>5584</v>
      </c>
      <c r="B5652" s="285">
        <v>-4.0575582458396742</v>
      </c>
      <c r="C5652" s="285">
        <v>1.3971145360804644</v>
      </c>
      <c r="D5652" s="285">
        <v>1.6266570338746189</v>
      </c>
      <c r="E5652" s="285">
        <v>-24.259002489353566</v>
      </c>
    </row>
    <row r="5653" spans="1:5">
      <c r="A5653" s="284">
        <f t="shared" si="1079"/>
        <v>5585</v>
      </c>
      <c r="B5653" s="285">
        <v>-1.3851097624279782</v>
      </c>
      <c r="C5653" s="285">
        <v>3.0271265386383508</v>
      </c>
      <c r="D5653" s="285">
        <v>-7.556442689142151E-2</v>
      </c>
      <c r="E5653" s="285">
        <v>0.86949419941385164</v>
      </c>
    </row>
    <row r="5654" spans="1:5">
      <c r="A5654" s="284">
        <f t="shared" si="1079"/>
        <v>5586</v>
      </c>
      <c r="B5654" s="285">
        <v>2.7079705342813321</v>
      </c>
      <c r="C5654" s="285">
        <v>3.0076809684809307</v>
      </c>
      <c r="D5654" s="285">
        <v>1.2729445626207376</v>
      </c>
      <c r="E5654" s="285">
        <v>-3.1651481698127149</v>
      </c>
    </row>
    <row r="5655" spans="1:5">
      <c r="A5655" s="284">
        <f t="shared" si="1079"/>
        <v>5587</v>
      </c>
      <c r="B5655" s="285">
        <v>-0.19163811289177382</v>
      </c>
      <c r="C5655" s="285">
        <v>2.2823606736295199</v>
      </c>
      <c r="D5655" s="285">
        <v>1.6357628039668968</v>
      </c>
      <c r="E5655" s="285">
        <v>-8.5902423577415075</v>
      </c>
    </row>
    <row r="5656" spans="1:5">
      <c r="A5656" s="284">
        <f t="shared" si="1079"/>
        <v>5588</v>
      </c>
      <c r="B5656" s="285">
        <v>2.4653044785966527</v>
      </c>
      <c r="C5656" s="285">
        <v>2.865064958029564</v>
      </c>
      <c r="D5656" s="285">
        <v>-0.44876132122174717</v>
      </c>
      <c r="E5656" s="285">
        <v>-2.5269613643409858</v>
      </c>
    </row>
    <row r="5657" spans="1:5">
      <c r="A5657" s="284">
        <f t="shared" si="1079"/>
        <v>5589</v>
      </c>
      <c r="B5657" s="285">
        <v>-1.9731875515519577</v>
      </c>
      <c r="C5657" s="285">
        <v>1.3146418106749134</v>
      </c>
      <c r="D5657" s="285">
        <v>0.71044348010005276</v>
      </c>
      <c r="E5657" s="285">
        <v>-13.027152376854295</v>
      </c>
    </row>
    <row r="5658" spans="1:5">
      <c r="A5658" s="284">
        <f t="shared" si="1079"/>
        <v>5590</v>
      </c>
      <c r="B5658" s="285">
        <v>1.6976241702738755</v>
      </c>
      <c r="C5658" s="285">
        <v>2.3816295854893856</v>
      </c>
      <c r="D5658" s="285">
        <v>4.0323555108809064</v>
      </c>
      <c r="E5658" s="285">
        <v>-18.14409925331104</v>
      </c>
    </row>
    <row r="5659" spans="1:5">
      <c r="A5659" s="284">
        <f t="shared" si="1079"/>
        <v>5591</v>
      </c>
      <c r="B5659" s="285">
        <v>-4.7970246154774401</v>
      </c>
      <c r="C5659" s="285">
        <v>1.6728691105258777</v>
      </c>
      <c r="D5659" s="285">
        <v>0.39416662891346177</v>
      </c>
      <c r="E5659" s="285">
        <v>-7.4901653057529938</v>
      </c>
    </row>
    <row r="5660" spans="1:5">
      <c r="A5660" s="284">
        <f t="shared" si="1079"/>
        <v>5592</v>
      </c>
      <c r="B5660" s="285">
        <v>3.4534954529841295</v>
      </c>
      <c r="C5660" s="285">
        <v>2.9637586278712851</v>
      </c>
      <c r="D5660" s="285">
        <v>3.3632604365624976</v>
      </c>
      <c r="E5660" s="285">
        <v>-5.0058167235738082</v>
      </c>
    </row>
    <row r="5661" spans="1:5">
      <c r="A5661" s="284">
        <f t="shared" si="1079"/>
        <v>5593</v>
      </c>
      <c r="B5661" s="285">
        <v>-1.0620734537922158</v>
      </c>
      <c r="C5661" s="285">
        <v>2.4985015557195762</v>
      </c>
      <c r="D5661" s="285">
        <v>-0.42059043119837125</v>
      </c>
      <c r="E5661" s="285">
        <v>8.0354336679688814</v>
      </c>
    </row>
    <row r="5662" spans="1:5">
      <c r="A5662" s="284">
        <f t="shared" si="1079"/>
        <v>5594</v>
      </c>
      <c r="B5662" s="285">
        <v>-2.4349330270817022</v>
      </c>
      <c r="C5662" s="285">
        <v>1.9743774838367332</v>
      </c>
      <c r="D5662" s="285">
        <v>-0.7673248751540922</v>
      </c>
      <c r="E5662" s="285">
        <v>6.9969997405992626</v>
      </c>
    </row>
    <row r="5663" spans="1:5">
      <c r="A5663" s="284">
        <f t="shared" si="1079"/>
        <v>5595</v>
      </c>
      <c r="B5663" s="285">
        <v>-0.60240595044891498</v>
      </c>
      <c r="C5663" s="285">
        <v>2.2818974672463943</v>
      </c>
      <c r="D5663" s="285">
        <v>2.6480715990885582</v>
      </c>
      <c r="E5663" s="285">
        <v>-8.9996253934656334</v>
      </c>
    </row>
    <row r="5664" spans="1:5">
      <c r="A5664" s="284">
        <f t="shared" si="1079"/>
        <v>5596</v>
      </c>
      <c r="B5664" s="285">
        <v>1.9284265656971009</v>
      </c>
      <c r="C5664" s="285">
        <v>2.3467938670063049</v>
      </c>
      <c r="D5664" s="285">
        <v>3.7189469015747405</v>
      </c>
      <c r="E5664" s="285">
        <v>-17.69127589961726</v>
      </c>
    </row>
    <row r="5665" spans="1:5">
      <c r="A5665" s="284">
        <f t="shared" si="1079"/>
        <v>5597</v>
      </c>
      <c r="B5665" s="285">
        <v>3.1463468107987311</v>
      </c>
      <c r="C5665" s="285">
        <v>3.0813925587870186</v>
      </c>
      <c r="D5665" s="285">
        <v>0.74743240641553743</v>
      </c>
      <c r="E5665" s="285">
        <v>1.752522724007036</v>
      </c>
    </row>
    <row r="5666" spans="1:5">
      <c r="A5666" s="284">
        <f t="shared" si="1079"/>
        <v>5598</v>
      </c>
      <c r="B5666" s="285">
        <v>1.175065206652163</v>
      </c>
      <c r="C5666" s="285">
        <v>2.7919160740123243</v>
      </c>
      <c r="D5666" s="285">
        <v>-0.21377754609410182</v>
      </c>
      <c r="E5666" s="285">
        <v>-9.174364392648183</v>
      </c>
    </row>
    <row r="5667" spans="1:5">
      <c r="A5667" s="284">
        <f t="shared" si="1079"/>
        <v>5599</v>
      </c>
      <c r="B5667" s="285">
        <v>-1.2219411049615316</v>
      </c>
      <c r="C5667" s="285">
        <v>2.2874063319959155</v>
      </c>
      <c r="D5667" s="285">
        <v>-1.4138262041431569</v>
      </c>
      <c r="E5667" s="285">
        <v>-6.8539511831173296</v>
      </c>
    </row>
    <row r="5668" spans="1:5">
      <c r="A5668" s="284">
        <f t="shared" si="1079"/>
        <v>5600</v>
      </c>
      <c r="B5668" s="285">
        <v>0.84496566264948669</v>
      </c>
      <c r="C5668" s="285">
        <v>2.6692541881245502</v>
      </c>
      <c r="D5668" s="285">
        <v>1.5925907634871179</v>
      </c>
      <c r="E5668" s="285">
        <v>-7.3669227076110566</v>
      </c>
    </row>
    <row r="5669" spans="1:5">
      <c r="A5669" s="284">
        <f t="shared" si="1079"/>
        <v>5601</v>
      </c>
      <c r="B5669" s="285">
        <v>1.0277580734333287</v>
      </c>
      <c r="C5669" s="285">
        <v>2.8731233839210177</v>
      </c>
      <c r="D5669" s="285">
        <v>1.8240857663301731</v>
      </c>
      <c r="E5669" s="285">
        <v>-4.7836119503607391</v>
      </c>
    </row>
    <row r="5670" spans="1:5">
      <c r="A5670" s="284">
        <f t="shared" si="1079"/>
        <v>5602</v>
      </c>
      <c r="B5670" s="285">
        <v>-3.7677819716717522</v>
      </c>
      <c r="C5670" s="285">
        <v>2.2602564654909836</v>
      </c>
      <c r="D5670" s="285">
        <v>0.93429484942588137</v>
      </c>
      <c r="E5670" s="285">
        <v>1.1786851660219653</v>
      </c>
    </row>
    <row r="5671" spans="1:5">
      <c r="A5671" s="284">
        <f t="shared" si="1079"/>
        <v>5603</v>
      </c>
      <c r="B5671" s="285">
        <v>4.1260664859880611</v>
      </c>
      <c r="C5671" s="285">
        <v>2.9434635874996844</v>
      </c>
      <c r="D5671" s="285">
        <v>1.8870114370163644</v>
      </c>
      <c r="E5671" s="285">
        <v>10.63096134569308</v>
      </c>
    </row>
    <row r="5672" spans="1:5">
      <c r="A5672" s="284">
        <f t="shared" si="1079"/>
        <v>5604</v>
      </c>
      <c r="B5672" s="285">
        <v>-2.4517193563166999</v>
      </c>
      <c r="C5672" s="285">
        <v>2.9414229355535531</v>
      </c>
      <c r="D5672" s="285">
        <v>0.64593165960113175</v>
      </c>
      <c r="E5672" s="285">
        <v>12.102821598567928</v>
      </c>
    </row>
    <row r="5673" spans="1:5">
      <c r="A5673" s="284">
        <f t="shared" si="1079"/>
        <v>5605</v>
      </c>
      <c r="B5673" s="285">
        <v>2.6784925964676618</v>
      </c>
      <c r="C5673" s="285">
        <v>3.1415447264273886</v>
      </c>
      <c r="D5673" s="285">
        <v>-0.15736556658279399</v>
      </c>
      <c r="E5673" s="285">
        <v>2.7070473145867466</v>
      </c>
    </row>
    <row r="5674" spans="1:5">
      <c r="A5674" s="284">
        <f t="shared" si="1079"/>
        <v>5606</v>
      </c>
      <c r="B5674" s="285">
        <v>3.6612155229876753</v>
      </c>
      <c r="C5674" s="285">
        <v>3.2078210186354674</v>
      </c>
      <c r="D5674" s="285">
        <v>0.94935024740614693</v>
      </c>
      <c r="E5674" s="285">
        <v>1.0547240944794676</v>
      </c>
    </row>
    <row r="5675" spans="1:5">
      <c r="A5675" s="284">
        <f t="shared" si="1079"/>
        <v>5607</v>
      </c>
      <c r="B5675" s="285">
        <v>4.3067728462299133</v>
      </c>
      <c r="C5675" s="285">
        <v>2.6511565901021572</v>
      </c>
      <c r="D5675" s="285">
        <v>1.9203718568181143</v>
      </c>
      <c r="E5675" s="285">
        <v>-10.187895069280465</v>
      </c>
    </row>
    <row r="5676" spans="1:5">
      <c r="A5676" s="284">
        <f t="shared" si="1079"/>
        <v>5608</v>
      </c>
      <c r="B5676" s="285">
        <v>-0.8851240130493071</v>
      </c>
      <c r="C5676" s="285">
        <v>2.6587921439357225</v>
      </c>
      <c r="D5676" s="285">
        <v>2.0202133287945738</v>
      </c>
      <c r="E5676" s="285">
        <v>-3.1406729280146166</v>
      </c>
    </row>
    <row r="5677" spans="1:5">
      <c r="A5677" s="284">
        <f t="shared" si="1079"/>
        <v>5609</v>
      </c>
      <c r="B5677" s="285">
        <v>1.2059309257129336</v>
      </c>
      <c r="C5677" s="285">
        <v>2.4519892049973717</v>
      </c>
      <c r="D5677" s="285">
        <v>2.2325567562435307</v>
      </c>
      <c r="E5677" s="285">
        <v>-1.3742031175148886</v>
      </c>
    </row>
    <row r="5678" spans="1:5">
      <c r="A5678" s="284">
        <f t="shared" si="1079"/>
        <v>5610</v>
      </c>
      <c r="B5678" s="285">
        <v>1.604353786433161</v>
      </c>
      <c r="C5678" s="285">
        <v>1.8586354588832052</v>
      </c>
      <c r="D5678" s="285">
        <v>1.5350613726436353</v>
      </c>
      <c r="E5678" s="285">
        <v>-24.25400362286101</v>
      </c>
    </row>
    <row r="5679" spans="1:5">
      <c r="A5679" s="284">
        <f t="shared" si="1079"/>
        <v>5611</v>
      </c>
      <c r="B5679" s="285">
        <v>0.29495832048388215</v>
      </c>
      <c r="C5679" s="285">
        <v>2.3972644431044414</v>
      </c>
      <c r="D5679" s="285">
        <v>0.2655150190365132</v>
      </c>
      <c r="E5679" s="285">
        <v>-11.389174310462918</v>
      </c>
    </row>
    <row r="5680" spans="1:5">
      <c r="A5680" s="284">
        <f t="shared" si="1079"/>
        <v>5612</v>
      </c>
      <c r="B5680" s="285">
        <v>-3.2675211084952105</v>
      </c>
      <c r="C5680" s="285">
        <v>2.7561597515696881</v>
      </c>
      <c r="D5680" s="285">
        <v>-0.60280761674188188</v>
      </c>
      <c r="E5680" s="285">
        <v>4.2854999466249541</v>
      </c>
    </row>
    <row r="5681" spans="1:5">
      <c r="A5681" s="284">
        <f t="shared" si="1079"/>
        <v>5613</v>
      </c>
      <c r="B5681" s="285">
        <v>0.73438140273192398</v>
      </c>
      <c r="C5681" s="285">
        <v>2.0521544753497003</v>
      </c>
      <c r="D5681" s="285">
        <v>2.6289339256282123</v>
      </c>
      <c r="E5681" s="285">
        <v>-20.092170896454824</v>
      </c>
    </row>
    <row r="5682" spans="1:5">
      <c r="A5682" s="284">
        <f t="shared" si="1079"/>
        <v>5614</v>
      </c>
      <c r="B5682" s="285">
        <v>-0.48412206905731536</v>
      </c>
      <c r="C5682" s="285">
        <v>1.4018863104966639</v>
      </c>
      <c r="D5682" s="285">
        <v>1.8987999653925445</v>
      </c>
      <c r="E5682" s="285">
        <v>-18.507270885002399</v>
      </c>
    </row>
    <row r="5683" spans="1:5">
      <c r="A5683" s="284">
        <f t="shared" si="1079"/>
        <v>5615</v>
      </c>
      <c r="B5683" s="285">
        <v>2.1069382772930139</v>
      </c>
      <c r="C5683" s="285">
        <v>2.1022981005509878</v>
      </c>
      <c r="D5683" s="285">
        <v>2.147778434926285</v>
      </c>
      <c r="E5683" s="285">
        <v>-19.336766395058984</v>
      </c>
    </row>
    <row r="5684" spans="1:5">
      <c r="A5684" s="284">
        <f t="shared" si="1079"/>
        <v>5616</v>
      </c>
      <c r="B5684" s="285">
        <v>-0.78719013641629687</v>
      </c>
      <c r="C5684" s="285">
        <v>2.5012147442723411</v>
      </c>
      <c r="D5684" s="285">
        <v>-0.21876707524982297</v>
      </c>
      <c r="E5684" s="285">
        <v>3.4635348559968002</v>
      </c>
    </row>
    <row r="5685" spans="1:5">
      <c r="A5685" s="284">
        <f t="shared" si="1079"/>
        <v>5617</v>
      </c>
      <c r="B5685" s="285">
        <v>3.4776702261715742</v>
      </c>
      <c r="C5685" s="285">
        <v>2.5374487941957384</v>
      </c>
      <c r="D5685" s="285">
        <v>2.6182202349095252</v>
      </c>
      <c r="E5685" s="285">
        <v>-20.701393949384748</v>
      </c>
    </row>
    <row r="5686" spans="1:5">
      <c r="A5686" s="284">
        <f t="shared" si="1079"/>
        <v>5618</v>
      </c>
      <c r="B5686" s="285">
        <v>0.23563608059868166</v>
      </c>
      <c r="C5686" s="285">
        <v>1.7476549749251777</v>
      </c>
      <c r="D5686" s="285">
        <v>0.50522203708846802</v>
      </c>
      <c r="E5686" s="285">
        <v>-8.98558361615585</v>
      </c>
    </row>
    <row r="5687" spans="1:5">
      <c r="A5687" s="284">
        <f t="shared" si="1079"/>
        <v>5619</v>
      </c>
      <c r="B5687" s="285">
        <v>0.70086468518056289</v>
      </c>
      <c r="C5687" s="285">
        <v>2.5834098450847596</v>
      </c>
      <c r="D5687" s="285">
        <v>-0.10999894853502168</v>
      </c>
      <c r="E5687" s="285">
        <v>-1.1279429958050735</v>
      </c>
    </row>
    <row r="5688" spans="1:5">
      <c r="A5688" s="284">
        <f t="shared" si="1079"/>
        <v>5620</v>
      </c>
      <c r="B5688" s="285">
        <v>-0.14841512902741325</v>
      </c>
      <c r="C5688" s="285">
        <v>2.2255340622761297</v>
      </c>
      <c r="D5688" s="285">
        <v>1.2357978760698256</v>
      </c>
      <c r="E5688" s="285">
        <v>-20.131362007472557</v>
      </c>
    </row>
    <row r="5689" spans="1:5">
      <c r="A5689" s="284">
        <f t="shared" si="1079"/>
        <v>5621</v>
      </c>
      <c r="B5689" s="285">
        <v>-1.6030333721725396</v>
      </c>
      <c r="C5689" s="285">
        <v>1.1174309753846112</v>
      </c>
      <c r="D5689" s="285">
        <v>2.5367990209750513</v>
      </c>
      <c r="E5689" s="285">
        <v>-18.577387085790058</v>
      </c>
    </row>
    <row r="5690" spans="1:5">
      <c r="A5690" s="284">
        <f t="shared" si="1079"/>
        <v>5622</v>
      </c>
      <c r="B5690" s="285">
        <v>-0.40477449952828248</v>
      </c>
      <c r="C5690" s="285">
        <v>2.299933747090714</v>
      </c>
      <c r="D5690" s="285">
        <v>3.3720650307870752</v>
      </c>
      <c r="E5690" s="285">
        <v>-1.3645113891180887</v>
      </c>
    </row>
    <row r="5691" spans="1:5">
      <c r="A5691" s="284">
        <f t="shared" si="1079"/>
        <v>5623</v>
      </c>
      <c r="B5691" s="285">
        <v>-4.0931579871698949</v>
      </c>
      <c r="C5691" s="285">
        <v>1.9046071677163336</v>
      </c>
      <c r="D5691" s="285">
        <v>1.6083042943835655</v>
      </c>
      <c r="E5691" s="285">
        <v>-10.525162602033083</v>
      </c>
    </row>
    <row r="5692" spans="1:5">
      <c r="A5692" s="284">
        <f t="shared" si="1079"/>
        <v>5624</v>
      </c>
      <c r="B5692" s="285">
        <v>2.476282676438113</v>
      </c>
      <c r="C5692" s="285">
        <v>3.2224323685156389</v>
      </c>
      <c r="D5692" s="285">
        <v>0.61310871722828586</v>
      </c>
      <c r="E5692" s="285">
        <v>12.545983508083859</v>
      </c>
    </row>
    <row r="5693" spans="1:5">
      <c r="A5693" s="284">
        <f t="shared" si="1079"/>
        <v>5625</v>
      </c>
      <c r="B5693" s="285">
        <v>3.1178657710822875</v>
      </c>
      <c r="C5693" s="285">
        <v>2.6372093447090399</v>
      </c>
      <c r="D5693" s="285">
        <v>3.73403348577131</v>
      </c>
      <c r="E5693" s="285">
        <v>-0.22400166944296851</v>
      </c>
    </row>
    <row r="5694" spans="1:5">
      <c r="A5694" s="284">
        <f t="shared" si="1079"/>
        <v>5626</v>
      </c>
      <c r="B5694" s="285">
        <v>-2.0532616981853362</v>
      </c>
      <c r="C5694" s="285">
        <v>2.1844517829633148</v>
      </c>
      <c r="D5694" s="285">
        <v>-0.85731102778997981</v>
      </c>
      <c r="E5694" s="285">
        <v>-8.6746348747422708</v>
      </c>
    </row>
    <row r="5695" spans="1:5">
      <c r="A5695" s="284">
        <f t="shared" si="1079"/>
        <v>5627</v>
      </c>
      <c r="B5695" s="285">
        <v>1.0935208282189322</v>
      </c>
      <c r="C5695" s="285">
        <v>2.0491773118783416</v>
      </c>
      <c r="D5695" s="285">
        <v>0.41612285937217175</v>
      </c>
      <c r="E5695" s="285">
        <v>-11.860818828926687</v>
      </c>
    </row>
    <row r="5696" spans="1:5">
      <c r="A5696" s="284">
        <f t="shared" si="1079"/>
        <v>5628</v>
      </c>
      <c r="B5696" s="285">
        <v>3.5899200720417137</v>
      </c>
      <c r="C5696" s="285">
        <v>3.2909463040683118</v>
      </c>
      <c r="D5696" s="285">
        <v>1.3982586234648844</v>
      </c>
      <c r="E5696" s="285">
        <v>10.652686515044664</v>
      </c>
    </row>
    <row r="5697" spans="1:5">
      <c r="A5697" s="284">
        <f t="shared" si="1079"/>
        <v>5629</v>
      </c>
      <c r="B5697" s="285">
        <v>-2.0677922707343073</v>
      </c>
      <c r="C5697" s="285">
        <v>2.0932399060939444</v>
      </c>
      <c r="D5697" s="285">
        <v>1.0240102714712489</v>
      </c>
      <c r="E5697" s="285">
        <v>-10.839101242380471</v>
      </c>
    </row>
    <row r="5698" spans="1:5">
      <c r="A5698" s="284">
        <f t="shared" si="1079"/>
        <v>5630</v>
      </c>
      <c r="B5698" s="285">
        <v>1.7929184640975939</v>
      </c>
      <c r="C5698" s="285">
        <v>2.6444503178642744</v>
      </c>
      <c r="D5698" s="285">
        <v>2.1286053742009412</v>
      </c>
      <c r="E5698" s="285">
        <v>-0.49588347478570816</v>
      </c>
    </row>
    <row r="5699" spans="1:5">
      <c r="A5699" s="284">
        <f t="shared" si="1079"/>
        <v>5631</v>
      </c>
      <c r="B5699" s="285">
        <v>0.71301198767153728</v>
      </c>
      <c r="C5699" s="285">
        <v>2.5154328275295912</v>
      </c>
      <c r="D5699" s="285">
        <v>0.9807911567104548</v>
      </c>
      <c r="E5699" s="285">
        <v>-9.9349904674981815</v>
      </c>
    </row>
    <row r="5700" spans="1:5">
      <c r="A5700" s="284">
        <f t="shared" si="1079"/>
        <v>5632</v>
      </c>
      <c r="B5700" s="285">
        <v>-0.42701026145686144</v>
      </c>
      <c r="C5700" s="285">
        <v>2.8090920860359523</v>
      </c>
      <c r="D5700" s="285">
        <v>1.0733387908989327</v>
      </c>
      <c r="E5700" s="285">
        <v>-1.7827495305211114</v>
      </c>
    </row>
    <row r="5701" spans="1:5">
      <c r="A5701" s="284">
        <f t="shared" si="1079"/>
        <v>5633</v>
      </c>
      <c r="B5701" s="285">
        <v>2.4235370157645937</v>
      </c>
      <c r="C5701" s="285">
        <v>2.6905067220503698</v>
      </c>
      <c r="D5701" s="285">
        <v>0.50650491726330016</v>
      </c>
      <c r="E5701" s="285">
        <v>-6.888911787473277</v>
      </c>
    </row>
    <row r="5702" spans="1:5">
      <c r="A5702" s="284">
        <f t="shared" si="1079"/>
        <v>5634</v>
      </c>
      <c r="B5702" s="285">
        <v>-2.860725184346808</v>
      </c>
      <c r="C5702" s="285">
        <v>1.491685364588839</v>
      </c>
      <c r="D5702" s="285">
        <v>1.385689480794847</v>
      </c>
      <c r="E5702" s="285">
        <v>-9.5343066521815185</v>
      </c>
    </row>
    <row r="5703" spans="1:5">
      <c r="A5703" s="284">
        <f t="shared" ref="A5703:A5766" si="1080">A5702+1</f>
        <v>5635</v>
      </c>
      <c r="B5703" s="285">
        <v>-2.4674508608119994</v>
      </c>
      <c r="C5703" s="285">
        <v>2.4979458951366693</v>
      </c>
      <c r="D5703" s="285">
        <v>1.7915479876935945</v>
      </c>
      <c r="E5703" s="285">
        <v>3.6327412358126829</v>
      </c>
    </row>
    <row r="5704" spans="1:5">
      <c r="A5704" s="284">
        <f t="shared" si="1080"/>
        <v>5636</v>
      </c>
      <c r="B5704" s="285">
        <v>1.4476569600613429</v>
      </c>
      <c r="C5704" s="285">
        <v>2.3444266266035241</v>
      </c>
      <c r="D5704" s="285">
        <v>2.8789829781384104</v>
      </c>
      <c r="E5704" s="285">
        <v>-13.099655663934469</v>
      </c>
    </row>
    <row r="5705" spans="1:5">
      <c r="A5705" s="284">
        <f t="shared" si="1080"/>
        <v>5637</v>
      </c>
      <c r="B5705" s="285">
        <v>0.37097299236312553</v>
      </c>
      <c r="C5705" s="285">
        <v>1.8463935300105392</v>
      </c>
      <c r="D5705" s="285">
        <v>0.41352044838612534</v>
      </c>
      <c r="E5705" s="285">
        <v>-12.608176083706738</v>
      </c>
    </row>
    <row r="5706" spans="1:5">
      <c r="A5706" s="284">
        <f t="shared" si="1080"/>
        <v>5638</v>
      </c>
      <c r="B5706" s="285">
        <v>0.49011999680404839</v>
      </c>
      <c r="C5706" s="285">
        <v>3.0037314348513915</v>
      </c>
      <c r="D5706" s="285">
        <v>-0.1548997537224337</v>
      </c>
      <c r="E5706" s="285">
        <v>3.5025953756120791</v>
      </c>
    </row>
    <row r="5707" spans="1:5">
      <c r="A5707" s="284">
        <f t="shared" si="1080"/>
        <v>5639</v>
      </c>
      <c r="B5707" s="285">
        <v>-2.8786635527924087</v>
      </c>
      <c r="C5707" s="285">
        <v>2.6732772423091178</v>
      </c>
      <c r="D5707" s="285">
        <v>2.5370986148618018</v>
      </c>
      <c r="E5707" s="285">
        <v>7.7856455297296563</v>
      </c>
    </row>
    <row r="5708" spans="1:5">
      <c r="A5708" s="284">
        <f t="shared" si="1080"/>
        <v>5640</v>
      </c>
      <c r="B5708" s="285">
        <v>3.4974385329918838</v>
      </c>
      <c r="C5708" s="285">
        <v>2.4638764198950089</v>
      </c>
      <c r="D5708" s="285">
        <v>1.38028526586833</v>
      </c>
      <c r="E5708" s="285">
        <v>-13.8054344662674</v>
      </c>
    </row>
    <row r="5709" spans="1:5">
      <c r="A5709" s="284">
        <f t="shared" si="1080"/>
        <v>5641</v>
      </c>
      <c r="B5709" s="285">
        <v>-0.14474044252754875</v>
      </c>
      <c r="C5709" s="285">
        <v>2.7602138311508231</v>
      </c>
      <c r="D5709" s="285">
        <v>3.7410528528367117</v>
      </c>
      <c r="E5709" s="285">
        <v>0.36138884192880161</v>
      </c>
    </row>
    <row r="5710" spans="1:5">
      <c r="A5710" s="284">
        <f t="shared" si="1080"/>
        <v>5642</v>
      </c>
      <c r="B5710" s="285">
        <v>-2.2885380770422672</v>
      </c>
      <c r="C5710" s="285">
        <v>1.9917678468669193</v>
      </c>
      <c r="D5710" s="285">
        <v>1.9556160112326004</v>
      </c>
      <c r="E5710" s="285">
        <v>-4.3785263187637735</v>
      </c>
    </row>
    <row r="5711" spans="1:5">
      <c r="A5711" s="284">
        <f t="shared" si="1080"/>
        <v>5643</v>
      </c>
      <c r="B5711" s="285">
        <v>1.4039957013015314</v>
      </c>
      <c r="C5711" s="285">
        <v>2.9646371229475688</v>
      </c>
      <c r="D5711" s="285">
        <v>0.75981141783358674</v>
      </c>
      <c r="E5711" s="285">
        <v>-5.2878298245189832</v>
      </c>
    </row>
    <row r="5712" spans="1:5">
      <c r="A5712" s="284">
        <f t="shared" si="1080"/>
        <v>5644</v>
      </c>
      <c r="B5712" s="285">
        <v>-3.5103314617616768</v>
      </c>
      <c r="C5712" s="285">
        <v>2.2301564364541475</v>
      </c>
      <c r="D5712" s="285">
        <v>2.1191932602422803E-2</v>
      </c>
      <c r="E5712" s="285">
        <v>3.927241698655545</v>
      </c>
    </row>
    <row r="5713" spans="1:5">
      <c r="A5713" s="284">
        <f t="shared" si="1080"/>
        <v>5645</v>
      </c>
      <c r="B5713" s="285">
        <v>0.66731738072581392</v>
      </c>
      <c r="C5713" s="285">
        <v>3.6146010837844718</v>
      </c>
      <c r="D5713" s="285">
        <v>-0.23296949880755324</v>
      </c>
      <c r="E5713" s="285">
        <v>-2.5642574417871624</v>
      </c>
    </row>
    <row r="5714" spans="1:5">
      <c r="A5714" s="284">
        <f t="shared" si="1080"/>
        <v>5646</v>
      </c>
      <c r="B5714" s="285">
        <v>1.963361196876652</v>
      </c>
      <c r="C5714" s="285">
        <v>2.3078763120244314</v>
      </c>
      <c r="D5714" s="285">
        <v>2.8759359772189033</v>
      </c>
      <c r="E5714" s="285">
        <v>-20.15059287010634</v>
      </c>
    </row>
    <row r="5715" spans="1:5">
      <c r="A5715" s="284">
        <f t="shared" si="1080"/>
        <v>5647</v>
      </c>
      <c r="B5715" s="285">
        <v>1.29639370613636</v>
      </c>
      <c r="C5715" s="285">
        <v>3.3958000538030917</v>
      </c>
      <c r="D5715" s="285">
        <v>1.8731087824001234</v>
      </c>
      <c r="E5715" s="285">
        <v>5.7897736124500536</v>
      </c>
    </row>
    <row r="5716" spans="1:5">
      <c r="A5716" s="284">
        <f t="shared" si="1080"/>
        <v>5648</v>
      </c>
      <c r="B5716" s="285">
        <v>1.1157495120193359</v>
      </c>
      <c r="C5716" s="285">
        <v>2.624588612841019</v>
      </c>
      <c r="D5716" s="285">
        <v>1.407752221897395</v>
      </c>
      <c r="E5716" s="285">
        <v>0.92421294573842117</v>
      </c>
    </row>
    <row r="5717" spans="1:5">
      <c r="A5717" s="284">
        <f t="shared" si="1080"/>
        <v>5649</v>
      </c>
      <c r="B5717" s="285">
        <v>-3.3729905575512844</v>
      </c>
      <c r="C5717" s="285">
        <v>2.2791102357783646</v>
      </c>
      <c r="D5717" s="285">
        <v>-9.9707491895939082E-2</v>
      </c>
      <c r="E5717" s="285">
        <v>8.6246703822596871</v>
      </c>
    </row>
    <row r="5718" spans="1:5">
      <c r="A5718" s="284">
        <f t="shared" si="1080"/>
        <v>5650</v>
      </c>
      <c r="B5718" s="285">
        <v>-1.2983189729848077</v>
      </c>
      <c r="C5718" s="285">
        <v>2.0397197992540348</v>
      </c>
      <c r="D5718" s="285">
        <v>1.5430733946555866</v>
      </c>
      <c r="E5718" s="285">
        <v>-2.3396871501137597</v>
      </c>
    </row>
    <row r="5719" spans="1:5">
      <c r="A5719" s="284">
        <f t="shared" si="1080"/>
        <v>5651</v>
      </c>
      <c r="B5719" s="285">
        <v>-1.2887098164689064E-2</v>
      </c>
      <c r="C5719" s="285">
        <v>2.7288684769889962</v>
      </c>
      <c r="D5719" s="285">
        <v>0.19267998133204323</v>
      </c>
      <c r="E5719" s="285">
        <v>-6.664109401489581</v>
      </c>
    </row>
    <row r="5720" spans="1:5">
      <c r="A5720" s="284">
        <f t="shared" si="1080"/>
        <v>5652</v>
      </c>
      <c r="B5720" s="285">
        <v>-1.000203542829079</v>
      </c>
      <c r="C5720" s="285">
        <v>2.2250737771299853</v>
      </c>
      <c r="D5720" s="285">
        <v>1.6370745988411546</v>
      </c>
      <c r="E5720" s="285">
        <v>-0.8324595254381788</v>
      </c>
    </row>
    <row r="5721" spans="1:5">
      <c r="A5721" s="284">
        <f t="shared" si="1080"/>
        <v>5653</v>
      </c>
      <c r="B5721" s="285">
        <v>0.30774138182241689</v>
      </c>
      <c r="C5721" s="285">
        <v>2.2511711009439481</v>
      </c>
      <c r="D5721" s="285">
        <v>2.1102411007739912</v>
      </c>
      <c r="E5721" s="285">
        <v>-3.8542875093729232</v>
      </c>
    </row>
    <row r="5722" spans="1:5">
      <c r="A5722" s="284">
        <f t="shared" si="1080"/>
        <v>5654</v>
      </c>
      <c r="B5722" s="285">
        <v>-2.2897360363041859</v>
      </c>
      <c r="C5722" s="285">
        <v>2.26217908227515</v>
      </c>
      <c r="D5722" s="285">
        <v>1.9421458403935565</v>
      </c>
      <c r="E5722" s="285">
        <v>0.72438946631986978</v>
      </c>
    </row>
    <row r="5723" spans="1:5">
      <c r="A5723" s="284">
        <f t="shared" si="1080"/>
        <v>5655</v>
      </c>
      <c r="B5723" s="285">
        <v>-2.3412168572222574</v>
      </c>
      <c r="C5723" s="285">
        <v>2.0191794703611183</v>
      </c>
      <c r="D5723" s="285">
        <v>-4.5512136056243602E-2</v>
      </c>
      <c r="E5723" s="285">
        <v>-1.3180391455898808</v>
      </c>
    </row>
    <row r="5724" spans="1:5">
      <c r="A5724" s="284">
        <f t="shared" si="1080"/>
        <v>5656</v>
      </c>
      <c r="B5724" s="285">
        <v>-0.7797583761400827</v>
      </c>
      <c r="C5724" s="285">
        <v>3.2067560295157027</v>
      </c>
      <c r="D5724" s="285">
        <v>1.0109059089331573E-2</v>
      </c>
      <c r="E5724" s="285">
        <v>16.314919085206956</v>
      </c>
    </row>
    <row r="5725" spans="1:5">
      <c r="A5725" s="284">
        <f t="shared" si="1080"/>
        <v>5657</v>
      </c>
      <c r="B5725" s="285">
        <v>2.66292943258245</v>
      </c>
      <c r="C5725" s="285">
        <v>3.512563952695468</v>
      </c>
      <c r="D5725" s="285">
        <v>1.5889517821124346</v>
      </c>
      <c r="E5725" s="285">
        <v>13.523950976301542</v>
      </c>
    </row>
    <row r="5726" spans="1:5">
      <c r="A5726" s="284">
        <f t="shared" si="1080"/>
        <v>5658</v>
      </c>
      <c r="B5726" s="285">
        <v>-1.2264041107055248</v>
      </c>
      <c r="C5726" s="285">
        <v>2.9630662316476992</v>
      </c>
      <c r="D5726" s="285">
        <v>0.57097423528185054</v>
      </c>
      <c r="E5726" s="285">
        <v>6.1337367983200988</v>
      </c>
    </row>
    <row r="5727" spans="1:5">
      <c r="A5727" s="284">
        <f t="shared" si="1080"/>
        <v>5659</v>
      </c>
      <c r="B5727" s="285">
        <v>-3.025937661575818</v>
      </c>
      <c r="C5727" s="285">
        <v>2.9176420201981261</v>
      </c>
      <c r="D5727" s="285">
        <v>-0.84683137112716089</v>
      </c>
      <c r="E5727" s="285">
        <v>-1.8339678367929273</v>
      </c>
    </row>
    <row r="5728" spans="1:5">
      <c r="A5728" s="284">
        <f t="shared" si="1080"/>
        <v>5660</v>
      </c>
      <c r="B5728" s="285">
        <v>-3.4781535731374012E-2</v>
      </c>
      <c r="C5728" s="285">
        <v>2.5424490968009867</v>
      </c>
      <c r="D5728" s="285">
        <v>1.1224974544010808</v>
      </c>
      <c r="E5728" s="285">
        <v>-4.8549770055100883</v>
      </c>
    </row>
    <row r="5729" spans="1:5">
      <c r="A5729" s="284">
        <f t="shared" si="1080"/>
        <v>5661</v>
      </c>
      <c r="B5729" s="285">
        <v>-3.4204020631555694</v>
      </c>
      <c r="C5729" s="285">
        <v>2.224635710323974</v>
      </c>
      <c r="D5729" s="285">
        <v>-0.7493079316387754</v>
      </c>
      <c r="E5729" s="285">
        <v>-10.369435523941453</v>
      </c>
    </row>
    <row r="5730" spans="1:5">
      <c r="A5730" s="284">
        <f t="shared" si="1080"/>
        <v>5662</v>
      </c>
      <c r="B5730" s="285">
        <v>-2.8404778442850946</v>
      </c>
      <c r="C5730" s="285">
        <v>2.6332250660423173</v>
      </c>
      <c r="D5730" s="285">
        <v>0.10794510521740586</v>
      </c>
      <c r="E5730" s="285">
        <v>8.4715109898842886</v>
      </c>
    </row>
    <row r="5731" spans="1:5">
      <c r="A5731" s="284">
        <f t="shared" si="1080"/>
        <v>5663</v>
      </c>
      <c r="B5731" s="285">
        <v>-1.551084176044931</v>
      </c>
      <c r="C5731" s="285">
        <v>2.195733446002103</v>
      </c>
      <c r="D5731" s="285">
        <v>-0.48141966505422107</v>
      </c>
      <c r="E5731" s="285">
        <v>1.5040276959937962</v>
      </c>
    </row>
    <row r="5732" spans="1:5">
      <c r="A5732" s="284">
        <f t="shared" si="1080"/>
        <v>5664</v>
      </c>
      <c r="B5732" s="285">
        <v>-2.6054065778652942</v>
      </c>
      <c r="C5732" s="285">
        <v>2.720266645443981</v>
      </c>
      <c r="D5732" s="285">
        <v>1.2229594988376906</v>
      </c>
      <c r="E5732" s="285">
        <v>-3.1464567058930837</v>
      </c>
    </row>
    <row r="5733" spans="1:5">
      <c r="A5733" s="284">
        <f t="shared" si="1080"/>
        <v>5665</v>
      </c>
      <c r="B5733" s="285">
        <v>2.0370055187087064</v>
      </c>
      <c r="C5733" s="285">
        <v>2.2012466845286873</v>
      </c>
      <c r="D5733" s="285">
        <v>1.9973953810608003</v>
      </c>
      <c r="E5733" s="285">
        <v>-7.6428993981627915</v>
      </c>
    </row>
    <row r="5734" spans="1:5">
      <c r="A5734" s="284">
        <f t="shared" si="1080"/>
        <v>5666</v>
      </c>
      <c r="B5734" s="285">
        <v>3.7614062046054264</v>
      </c>
      <c r="C5734" s="285">
        <v>2.0330353084342652</v>
      </c>
      <c r="D5734" s="285">
        <v>2.6072732121784798</v>
      </c>
      <c r="E5734" s="285">
        <v>-15.734138494505014</v>
      </c>
    </row>
    <row r="5735" spans="1:5">
      <c r="A5735" s="284">
        <f t="shared" si="1080"/>
        <v>5667</v>
      </c>
      <c r="B5735" s="285">
        <v>1.3381049403771796</v>
      </c>
      <c r="C5735" s="285">
        <v>2.5691764904255243</v>
      </c>
      <c r="D5735" s="285">
        <v>0.73921433018462102</v>
      </c>
      <c r="E5735" s="285">
        <v>-3.3348937304328836</v>
      </c>
    </row>
    <row r="5736" spans="1:5">
      <c r="A5736" s="284">
        <f t="shared" si="1080"/>
        <v>5668</v>
      </c>
      <c r="B5736" s="285">
        <v>-1.04653540859673</v>
      </c>
      <c r="C5736" s="285">
        <v>1.3506861559858241</v>
      </c>
      <c r="D5736" s="285">
        <v>1.4509524295726712</v>
      </c>
      <c r="E5736" s="285">
        <v>-16.030239263081398</v>
      </c>
    </row>
    <row r="5737" spans="1:5">
      <c r="A5737" s="284">
        <f t="shared" si="1080"/>
        <v>5669</v>
      </c>
      <c r="B5737" s="285">
        <v>-1.1382243698285028</v>
      </c>
      <c r="C5737" s="285">
        <v>3.1576500582347045</v>
      </c>
      <c r="D5737" s="285">
        <v>-0.77077432444274319</v>
      </c>
      <c r="E5737" s="285">
        <v>4.7861750864012347</v>
      </c>
    </row>
    <row r="5738" spans="1:5">
      <c r="A5738" s="284">
        <f t="shared" si="1080"/>
        <v>5670</v>
      </c>
      <c r="B5738" s="285">
        <v>-6.987822748774918</v>
      </c>
      <c r="C5738" s="285">
        <v>2.2343910124119182</v>
      </c>
      <c r="D5738" s="285">
        <v>2.3433309743442479</v>
      </c>
      <c r="E5738" s="285">
        <v>-8.2441873682306106</v>
      </c>
    </row>
    <row r="5739" spans="1:5">
      <c r="A5739" s="284">
        <f t="shared" si="1080"/>
        <v>5671</v>
      </c>
      <c r="B5739" s="285">
        <v>1.5461447874749128</v>
      </c>
      <c r="C5739" s="285">
        <v>2.1885753795982308</v>
      </c>
      <c r="D5739" s="285">
        <v>2.9072417032500222</v>
      </c>
      <c r="E5739" s="285">
        <v>1.0180966082594005</v>
      </c>
    </row>
    <row r="5740" spans="1:5">
      <c r="A5740" s="284">
        <f t="shared" si="1080"/>
        <v>5672</v>
      </c>
      <c r="B5740" s="285">
        <v>-0.53973756900334746</v>
      </c>
      <c r="C5740" s="285">
        <v>2.2693190553076992</v>
      </c>
      <c r="D5740" s="285">
        <v>1.4142680194043487</v>
      </c>
      <c r="E5740" s="285">
        <v>-7.0974740323758709</v>
      </c>
    </row>
    <row r="5741" spans="1:5">
      <c r="A5741" s="284">
        <f t="shared" si="1080"/>
        <v>5673</v>
      </c>
      <c r="B5741" s="285">
        <v>0.76057083344905185</v>
      </c>
      <c r="C5741" s="285">
        <v>1.8339494961951521</v>
      </c>
      <c r="D5741" s="285">
        <v>4.3600904182274887</v>
      </c>
      <c r="E5741" s="285">
        <v>-13.505444726957421</v>
      </c>
    </row>
    <row r="5742" spans="1:5">
      <c r="A5742" s="284">
        <f t="shared" si="1080"/>
        <v>5674</v>
      </c>
      <c r="B5742" s="285">
        <v>-4.5049002042586581</v>
      </c>
      <c r="C5742" s="285">
        <v>2.9131411976279002</v>
      </c>
      <c r="D5742" s="285">
        <v>0.18439522936230324</v>
      </c>
      <c r="E5742" s="285">
        <v>14.783977695676789</v>
      </c>
    </row>
    <row r="5743" spans="1:5">
      <c r="A5743" s="284">
        <f t="shared" si="1080"/>
        <v>5675</v>
      </c>
      <c r="B5743" s="285">
        <v>1.3819695838428012</v>
      </c>
      <c r="C5743" s="285">
        <v>2.9302712877105557</v>
      </c>
      <c r="D5743" s="285">
        <v>2.199045228531471</v>
      </c>
      <c r="E5743" s="285">
        <v>3.5222358645096183</v>
      </c>
    </row>
    <row r="5744" spans="1:5">
      <c r="A5744" s="284">
        <f t="shared" si="1080"/>
        <v>5676</v>
      </c>
      <c r="B5744" s="285">
        <v>-1.5173810709753819</v>
      </c>
      <c r="C5744" s="285">
        <v>2.3123293392363458</v>
      </c>
      <c r="D5744" s="285">
        <v>-0.17726424520828177</v>
      </c>
      <c r="E5744" s="285">
        <v>1.1101539010417567</v>
      </c>
    </row>
    <row r="5745" spans="1:5">
      <c r="A5745" s="284">
        <f t="shared" si="1080"/>
        <v>5677</v>
      </c>
      <c r="B5745" s="285">
        <v>3.0309969079089862</v>
      </c>
      <c r="C5745" s="285">
        <v>2.7125740811868737</v>
      </c>
      <c r="D5745" s="285">
        <v>1.3713453386236731</v>
      </c>
      <c r="E5745" s="285">
        <v>-10.306353986136763</v>
      </c>
    </row>
    <row r="5746" spans="1:5">
      <c r="A5746" s="284">
        <f t="shared" si="1080"/>
        <v>5678</v>
      </c>
      <c r="B5746" s="285">
        <v>0.55968213008538692</v>
      </c>
      <c r="C5746" s="285">
        <v>2.5386857376190717</v>
      </c>
      <c r="D5746" s="285">
        <v>2.2714238193361442</v>
      </c>
      <c r="E5746" s="285">
        <v>-4.1681554341820686</v>
      </c>
    </row>
    <row r="5747" spans="1:5">
      <c r="A5747" s="284">
        <f t="shared" si="1080"/>
        <v>5679</v>
      </c>
      <c r="B5747" s="285">
        <v>-1.5479495656364546</v>
      </c>
      <c r="C5747" s="285">
        <v>3.0038457453780874</v>
      </c>
      <c r="D5747" s="285">
        <v>0.19366678350243016</v>
      </c>
      <c r="E5747" s="285">
        <v>6.793640666091294</v>
      </c>
    </row>
    <row r="5748" spans="1:5">
      <c r="A5748" s="284">
        <f t="shared" si="1080"/>
        <v>5680</v>
      </c>
      <c r="B5748" s="285">
        <v>-0.93640530296501456</v>
      </c>
      <c r="C5748" s="285">
        <v>3.2227874952551083</v>
      </c>
      <c r="D5748" s="285">
        <v>2.0201388994093463</v>
      </c>
      <c r="E5748" s="285">
        <v>5.6891655810604647</v>
      </c>
    </row>
    <row r="5749" spans="1:5">
      <c r="A5749" s="284">
        <f t="shared" si="1080"/>
        <v>5681</v>
      </c>
      <c r="B5749" s="285">
        <v>1.7236681616098168</v>
      </c>
      <c r="C5749" s="285">
        <v>2.9447183531552854</v>
      </c>
      <c r="D5749" s="285">
        <v>1.716477573869406</v>
      </c>
      <c r="E5749" s="285">
        <v>6.5414952716746342</v>
      </c>
    </row>
    <row r="5750" spans="1:5">
      <c r="A5750" s="284">
        <f t="shared" si="1080"/>
        <v>5682</v>
      </c>
      <c r="B5750" s="285">
        <v>-0.68828470035315759</v>
      </c>
      <c r="C5750" s="285">
        <v>2.5433256351668128</v>
      </c>
      <c r="D5750" s="285">
        <v>1.1151956818014255</v>
      </c>
      <c r="E5750" s="285">
        <v>7.53080918614598</v>
      </c>
    </row>
    <row r="5751" spans="1:5">
      <c r="A5751" s="284">
        <f t="shared" si="1080"/>
        <v>5683</v>
      </c>
      <c r="B5751" s="285">
        <v>3.1534728487741481</v>
      </c>
      <c r="C5751" s="285">
        <v>3.1610075689955304</v>
      </c>
      <c r="D5751" s="285">
        <v>2.3511459384400943</v>
      </c>
      <c r="E5751" s="285">
        <v>1.8772697280546473</v>
      </c>
    </row>
    <row r="5752" spans="1:5">
      <c r="A5752" s="284">
        <f t="shared" si="1080"/>
        <v>5684</v>
      </c>
      <c r="B5752" s="285">
        <v>4.8393723960077564</v>
      </c>
      <c r="C5752" s="285">
        <v>3.0576056364825384</v>
      </c>
      <c r="D5752" s="285">
        <v>1.4778789924365681</v>
      </c>
      <c r="E5752" s="285">
        <v>-3.9336895859416847</v>
      </c>
    </row>
    <row r="5753" spans="1:5">
      <c r="A5753" s="284">
        <f t="shared" si="1080"/>
        <v>5685</v>
      </c>
      <c r="B5753" s="285">
        <v>-1.4993520210612572</v>
      </c>
      <c r="C5753" s="285">
        <v>3.7623573860352852</v>
      </c>
      <c r="D5753" s="285">
        <v>-0.67894619016052671</v>
      </c>
      <c r="E5753" s="285">
        <v>18.875362345319324</v>
      </c>
    </row>
    <row r="5754" spans="1:5">
      <c r="A5754" s="284">
        <f t="shared" si="1080"/>
        <v>5686</v>
      </c>
      <c r="B5754" s="285">
        <v>0.68307063505072951</v>
      </c>
      <c r="C5754" s="285">
        <v>2.6309389594494932</v>
      </c>
      <c r="D5754" s="285">
        <v>5.1627783219530698</v>
      </c>
      <c r="E5754" s="285">
        <v>2.4491383866145147</v>
      </c>
    </row>
    <row r="5755" spans="1:5">
      <c r="A5755" s="284">
        <f t="shared" si="1080"/>
        <v>5687</v>
      </c>
      <c r="B5755" s="285">
        <v>0.62686290467545891</v>
      </c>
      <c r="C5755" s="285">
        <v>2.0735819055299647</v>
      </c>
      <c r="D5755" s="285">
        <v>1.1481265642623713</v>
      </c>
      <c r="E5755" s="285">
        <v>-14.618671982962416</v>
      </c>
    </row>
    <row r="5756" spans="1:5">
      <c r="A5756" s="284">
        <f t="shared" si="1080"/>
        <v>5688</v>
      </c>
      <c r="B5756" s="285">
        <v>0.2100866985786394</v>
      </c>
      <c r="C5756" s="285">
        <v>2.4167468415321842</v>
      </c>
      <c r="D5756" s="285">
        <v>2.5780450374707988</v>
      </c>
      <c r="E5756" s="285">
        <v>1.0399196164084867</v>
      </c>
    </row>
    <row r="5757" spans="1:5">
      <c r="A5757" s="284">
        <f t="shared" si="1080"/>
        <v>5689</v>
      </c>
      <c r="B5757" s="285">
        <v>-2.0799045838501398</v>
      </c>
      <c r="C5757" s="285">
        <v>3.8455176858982032</v>
      </c>
      <c r="D5757" s="285">
        <v>-0.85308069914821427</v>
      </c>
      <c r="E5757" s="285">
        <v>28.075231897814731</v>
      </c>
    </row>
    <row r="5758" spans="1:5">
      <c r="A5758" s="284">
        <f t="shared" si="1080"/>
        <v>5690</v>
      </c>
      <c r="B5758" s="285">
        <v>-1.7586878117350531</v>
      </c>
      <c r="C5758" s="285">
        <v>1.8044211993729484</v>
      </c>
      <c r="D5758" s="285">
        <v>0.83665227127267383</v>
      </c>
      <c r="E5758" s="285">
        <v>0.11399249240522069</v>
      </c>
    </row>
    <row r="5759" spans="1:5">
      <c r="A5759" s="284">
        <f t="shared" si="1080"/>
        <v>5691</v>
      </c>
      <c r="B5759" s="285">
        <v>-0.56737453889192058</v>
      </c>
      <c r="C5759" s="285">
        <v>2.0831297254339449</v>
      </c>
      <c r="D5759" s="285">
        <v>3.740661076339423</v>
      </c>
      <c r="E5759" s="285">
        <v>-12.829015249970409</v>
      </c>
    </row>
    <row r="5760" spans="1:5">
      <c r="A5760" s="284">
        <f t="shared" si="1080"/>
        <v>5692</v>
      </c>
      <c r="B5760" s="285">
        <v>2.0736776028928259</v>
      </c>
      <c r="C5760" s="285">
        <v>2.8102448689356034</v>
      </c>
      <c r="D5760" s="285">
        <v>0.91862826242557472</v>
      </c>
      <c r="E5760" s="285">
        <v>-7.3301156535404495</v>
      </c>
    </row>
    <row r="5761" spans="1:5">
      <c r="A5761" s="284">
        <f t="shared" si="1080"/>
        <v>5693</v>
      </c>
      <c r="B5761" s="285">
        <v>1.2433930568396145</v>
      </c>
      <c r="C5761" s="285">
        <v>2.3876042386457925</v>
      </c>
      <c r="D5761" s="285">
        <v>2.7801352300782787</v>
      </c>
      <c r="E5761" s="285">
        <v>-10.48494672332345</v>
      </c>
    </row>
    <row r="5762" spans="1:5">
      <c r="A5762" s="284">
        <f t="shared" si="1080"/>
        <v>5694</v>
      </c>
      <c r="B5762" s="285">
        <v>2.8543869749917343E-2</v>
      </c>
      <c r="C5762" s="285">
        <v>1.5345715926199577</v>
      </c>
      <c r="D5762" s="285">
        <v>3.1896716448526909</v>
      </c>
      <c r="E5762" s="285">
        <v>-25.084176312018727</v>
      </c>
    </row>
    <row r="5763" spans="1:5">
      <c r="A5763" s="284">
        <f t="shared" si="1080"/>
        <v>5695</v>
      </c>
      <c r="B5763" s="285">
        <v>-2.4676063465672424</v>
      </c>
      <c r="C5763" s="285">
        <v>3.0802794910301552</v>
      </c>
      <c r="D5763" s="285">
        <v>-1.2113610719576231</v>
      </c>
      <c r="E5763" s="285">
        <v>6.5764158491723528</v>
      </c>
    </row>
    <row r="5764" spans="1:5">
      <c r="A5764" s="284">
        <f t="shared" si="1080"/>
        <v>5696</v>
      </c>
      <c r="B5764" s="285">
        <v>0.50143360578510343</v>
      </c>
      <c r="C5764" s="285">
        <v>3.2666306306738129</v>
      </c>
      <c r="D5764" s="285">
        <v>2.1388116589511204</v>
      </c>
      <c r="E5764" s="285">
        <v>-1.7282485489694941</v>
      </c>
    </row>
    <row r="5765" spans="1:5">
      <c r="A5765" s="284">
        <f t="shared" si="1080"/>
        <v>5697</v>
      </c>
      <c r="B5765" s="285">
        <v>-0.30299462062137283</v>
      </c>
      <c r="C5765" s="285">
        <v>2.2684517150793444</v>
      </c>
      <c r="D5765" s="285">
        <v>0.48474732588615632</v>
      </c>
      <c r="E5765" s="285">
        <v>-16.844567466138447</v>
      </c>
    </row>
    <row r="5766" spans="1:5">
      <c r="A5766" s="284">
        <f t="shared" si="1080"/>
        <v>5698</v>
      </c>
      <c r="B5766" s="285">
        <v>0.78362034691275473</v>
      </c>
      <c r="C5766" s="285">
        <v>2.5477466001335256</v>
      </c>
      <c r="D5766" s="285">
        <v>2.3688953339412762</v>
      </c>
      <c r="E5766" s="285">
        <v>-13.073233122109023</v>
      </c>
    </row>
    <row r="5767" spans="1:5">
      <c r="A5767" s="284">
        <f t="shared" ref="A5767:A5830" si="1081">A5766+1</f>
        <v>5699</v>
      </c>
      <c r="B5767" s="285">
        <v>-1.244920382258808</v>
      </c>
      <c r="C5767" s="285">
        <v>2.4843581361665503</v>
      </c>
      <c r="D5767" s="285">
        <v>-1.1897972344005283</v>
      </c>
      <c r="E5767" s="285">
        <v>-0.10558073674499191</v>
      </c>
    </row>
    <row r="5768" spans="1:5">
      <c r="A5768" s="284">
        <f t="shared" si="1081"/>
        <v>5700</v>
      </c>
      <c r="B5768" s="285">
        <v>-0.25704851485108099</v>
      </c>
      <c r="C5768" s="285">
        <v>3.3320618370724326</v>
      </c>
      <c r="D5768" s="285">
        <v>1.6045335619426466</v>
      </c>
      <c r="E5768" s="285">
        <v>12.249424342466883</v>
      </c>
    </row>
    <row r="5769" spans="1:5">
      <c r="A5769" s="284">
        <f t="shared" si="1081"/>
        <v>5701</v>
      </c>
      <c r="B5769" s="285">
        <v>-1.6513041587784707</v>
      </c>
      <c r="C5769" s="285">
        <v>2.7058145793791537</v>
      </c>
      <c r="D5769" s="285">
        <v>0.44512736951430953</v>
      </c>
      <c r="E5769" s="285">
        <v>-3.3112955934760895</v>
      </c>
    </row>
    <row r="5770" spans="1:5">
      <c r="A5770" s="284">
        <f t="shared" si="1081"/>
        <v>5702</v>
      </c>
      <c r="B5770" s="285">
        <v>1.7028190794198192</v>
      </c>
      <c r="C5770" s="285">
        <v>2.8043429447520931</v>
      </c>
      <c r="D5770" s="285">
        <v>1.1513243551459991</v>
      </c>
      <c r="E5770" s="285">
        <v>0.57451316262098384</v>
      </c>
    </row>
    <row r="5771" spans="1:5">
      <c r="A5771" s="284">
        <f t="shared" si="1081"/>
        <v>5703</v>
      </c>
      <c r="B5771" s="285">
        <v>-0.65095985478732554</v>
      </c>
      <c r="C5771" s="285">
        <v>2.784322307235882</v>
      </c>
      <c r="D5771" s="285">
        <v>-1.9584521260210423</v>
      </c>
      <c r="E5771" s="285">
        <v>-1.9025895921984044</v>
      </c>
    </row>
    <row r="5772" spans="1:5">
      <c r="A5772" s="284">
        <f t="shared" si="1081"/>
        <v>5704</v>
      </c>
      <c r="B5772" s="285">
        <v>2.4053436074188834</v>
      </c>
      <c r="C5772" s="285">
        <v>2.6411001268157053</v>
      </c>
      <c r="D5772" s="285">
        <v>1.6085345322314328</v>
      </c>
      <c r="E5772" s="285">
        <v>-5.9881562620777355</v>
      </c>
    </row>
    <row r="5773" spans="1:5">
      <c r="A5773" s="284">
        <f t="shared" si="1081"/>
        <v>5705</v>
      </c>
      <c r="B5773" s="285">
        <v>4.6839338441752156</v>
      </c>
      <c r="C5773" s="285">
        <v>2.7252260425584147</v>
      </c>
      <c r="D5773" s="285">
        <v>0.18784542268532967</v>
      </c>
      <c r="E5773" s="285">
        <v>-15.266727551749531</v>
      </c>
    </row>
    <row r="5774" spans="1:5">
      <c r="A5774" s="284">
        <f t="shared" si="1081"/>
        <v>5706</v>
      </c>
      <c r="B5774" s="285">
        <v>-2.1177764704957123</v>
      </c>
      <c r="C5774" s="285">
        <v>2.3832675372912031</v>
      </c>
      <c r="D5774" s="285">
        <v>1.5024936407130283</v>
      </c>
      <c r="E5774" s="285">
        <v>-12.07054611803323</v>
      </c>
    </row>
    <row r="5775" spans="1:5">
      <c r="A5775" s="284">
        <f t="shared" si="1081"/>
        <v>5707</v>
      </c>
      <c r="B5775" s="285">
        <v>3.0778797953400749</v>
      </c>
      <c r="C5775" s="285">
        <v>3.1054312132313759</v>
      </c>
      <c r="D5775" s="285">
        <v>1.4327577957265361</v>
      </c>
      <c r="E5775" s="285">
        <v>1.209113132508111</v>
      </c>
    </row>
    <row r="5776" spans="1:5">
      <c r="A5776" s="284">
        <f t="shared" si="1081"/>
        <v>5708</v>
      </c>
      <c r="B5776" s="285">
        <v>5.3251456312786486E-4</v>
      </c>
      <c r="C5776" s="285">
        <v>2.3159784313739809</v>
      </c>
      <c r="D5776" s="285">
        <v>2.6837108957273248</v>
      </c>
      <c r="E5776" s="285">
        <v>-14.541844087880138</v>
      </c>
    </row>
    <row r="5777" spans="1:5">
      <c r="A5777" s="284">
        <f t="shared" si="1081"/>
        <v>5709</v>
      </c>
      <c r="B5777" s="285">
        <v>0.49103319776418564</v>
      </c>
      <c r="C5777" s="285">
        <v>2.5723778648638271</v>
      </c>
      <c r="D5777" s="285">
        <v>2.9385924813879756</v>
      </c>
      <c r="E5777" s="285">
        <v>-1.0964374178171072</v>
      </c>
    </row>
    <row r="5778" spans="1:5">
      <c r="A5778" s="284">
        <f t="shared" si="1081"/>
        <v>5710</v>
      </c>
      <c r="B5778" s="285">
        <v>1.6472591989201371</v>
      </c>
      <c r="C5778" s="285">
        <v>3.5053381981256888</v>
      </c>
      <c r="D5778" s="285">
        <v>0.94746594613922719</v>
      </c>
      <c r="E5778" s="285">
        <v>4.9503796775434292</v>
      </c>
    </row>
    <row r="5779" spans="1:5">
      <c r="A5779" s="284">
        <f t="shared" si="1081"/>
        <v>5711</v>
      </c>
      <c r="B5779" s="285">
        <v>0.60235983204968591</v>
      </c>
      <c r="C5779" s="285">
        <v>3.2140365423220869</v>
      </c>
      <c r="D5779" s="285">
        <v>2.8999337682354085</v>
      </c>
      <c r="E5779" s="285">
        <v>6.6709288303862024</v>
      </c>
    </row>
    <row r="5780" spans="1:5">
      <c r="A5780" s="284">
        <f t="shared" si="1081"/>
        <v>5712</v>
      </c>
      <c r="B5780" s="285">
        <v>-1.5818777758422682</v>
      </c>
      <c r="C5780" s="285">
        <v>2.328897910427254</v>
      </c>
      <c r="D5780" s="285">
        <v>2.1051585935008861</v>
      </c>
      <c r="E5780" s="285">
        <v>2.3597257479698048</v>
      </c>
    </row>
    <row r="5781" spans="1:5">
      <c r="A5781" s="284">
        <f t="shared" si="1081"/>
        <v>5713</v>
      </c>
      <c r="B5781" s="285">
        <v>-0.19125446511755012</v>
      </c>
      <c r="C5781" s="285">
        <v>1.6475461959037809</v>
      </c>
      <c r="D5781" s="285">
        <v>2.0571943074966192</v>
      </c>
      <c r="E5781" s="285">
        <v>-26.266390709171102</v>
      </c>
    </row>
    <row r="5782" spans="1:5">
      <c r="A5782" s="284">
        <f t="shared" si="1081"/>
        <v>5714</v>
      </c>
      <c r="B5782" s="285">
        <v>2.7128912905382623</v>
      </c>
      <c r="C5782" s="285">
        <v>2.5088451872649498</v>
      </c>
      <c r="D5782" s="285">
        <v>0.29859339964045273</v>
      </c>
      <c r="E5782" s="285">
        <v>-0.85297267936336096</v>
      </c>
    </row>
    <row r="5783" spans="1:5">
      <c r="A5783" s="284">
        <f t="shared" si="1081"/>
        <v>5715</v>
      </c>
      <c r="B5783" s="285">
        <v>-1.201299355129823</v>
      </c>
      <c r="C5783" s="285">
        <v>1.7977162024255859</v>
      </c>
      <c r="D5783" s="285">
        <v>1.3610694741443488</v>
      </c>
      <c r="E5783" s="285">
        <v>-21.003952775925395</v>
      </c>
    </row>
    <row r="5784" spans="1:5">
      <c r="A5784" s="284">
        <f t="shared" si="1081"/>
        <v>5716</v>
      </c>
      <c r="B5784" s="285">
        <v>-0.74387035841642957</v>
      </c>
      <c r="C5784" s="285">
        <v>2.2642132411219484</v>
      </c>
      <c r="D5784" s="285">
        <v>0.41057127952177952</v>
      </c>
      <c r="E5784" s="285">
        <v>-6.2127499149445757</v>
      </c>
    </row>
    <row r="5785" spans="1:5">
      <c r="A5785" s="284">
        <f t="shared" si="1081"/>
        <v>5717</v>
      </c>
      <c r="B5785" s="285">
        <v>5.4784849402332609</v>
      </c>
      <c r="C5785" s="285">
        <v>2.8267314919194684</v>
      </c>
      <c r="D5785" s="285">
        <v>2.292510885050639</v>
      </c>
      <c r="E5785" s="285">
        <v>-6.300785516924698</v>
      </c>
    </row>
    <row r="5786" spans="1:5">
      <c r="A5786" s="284">
        <f t="shared" si="1081"/>
        <v>5718</v>
      </c>
      <c r="B5786" s="285">
        <v>3.957721674405875</v>
      </c>
      <c r="C5786" s="285">
        <v>2.8824000311240408</v>
      </c>
      <c r="D5786" s="285">
        <v>1.377323839271821</v>
      </c>
      <c r="E5786" s="285">
        <v>2.8565844537062195</v>
      </c>
    </row>
    <row r="5787" spans="1:5">
      <c r="A5787" s="284">
        <f t="shared" si="1081"/>
        <v>5719</v>
      </c>
      <c r="B5787" s="285">
        <v>0.23411079200888102</v>
      </c>
      <c r="C5787" s="285">
        <v>2.3645284689867898</v>
      </c>
      <c r="D5787" s="285">
        <v>1.7685775897655993</v>
      </c>
      <c r="E5787" s="285">
        <v>-3.3338643824880192</v>
      </c>
    </row>
    <row r="5788" spans="1:5">
      <c r="A5788" s="284">
        <f t="shared" si="1081"/>
        <v>5720</v>
      </c>
      <c r="B5788" s="285">
        <v>1.5058700588848348</v>
      </c>
      <c r="C5788" s="285">
        <v>2.3722989626321835</v>
      </c>
      <c r="D5788" s="285">
        <v>0.81727855039161446</v>
      </c>
      <c r="E5788" s="285">
        <v>-20.567815062413629</v>
      </c>
    </row>
    <row r="5789" spans="1:5">
      <c r="A5789" s="284">
        <f t="shared" si="1081"/>
        <v>5721</v>
      </c>
      <c r="B5789" s="285">
        <v>-1.870435249149105</v>
      </c>
      <c r="C5789" s="285">
        <v>3.4283566643782741</v>
      </c>
      <c r="D5789" s="285">
        <v>-0.6976878649692364</v>
      </c>
      <c r="E5789" s="285">
        <v>13.630993628549746</v>
      </c>
    </row>
    <row r="5790" spans="1:5">
      <c r="A5790" s="284">
        <f t="shared" si="1081"/>
        <v>5722</v>
      </c>
      <c r="B5790" s="285">
        <v>-1.2748204412150366</v>
      </c>
      <c r="C5790" s="285">
        <v>2.46493994893937</v>
      </c>
      <c r="D5790" s="285">
        <v>1.3602584582353348</v>
      </c>
      <c r="E5790" s="285">
        <v>12.916027259432578</v>
      </c>
    </row>
    <row r="5791" spans="1:5">
      <c r="A5791" s="284">
        <f t="shared" si="1081"/>
        <v>5723</v>
      </c>
      <c r="B5791" s="285">
        <v>-0.32192106701648804</v>
      </c>
      <c r="C5791" s="285">
        <v>2.5298009857407759</v>
      </c>
      <c r="D5791" s="285">
        <v>0.93988561892392142</v>
      </c>
      <c r="E5791" s="285">
        <v>-5.4751705628039353</v>
      </c>
    </row>
    <row r="5792" spans="1:5">
      <c r="A5792" s="284">
        <f t="shared" si="1081"/>
        <v>5724</v>
      </c>
      <c r="B5792" s="285">
        <v>-1.3046339613699403</v>
      </c>
      <c r="C5792" s="285">
        <v>1.9786215414522805</v>
      </c>
      <c r="D5792" s="285">
        <v>3.4605801510275871</v>
      </c>
      <c r="E5792" s="285">
        <v>-22.820856053661874</v>
      </c>
    </row>
    <row r="5793" spans="1:5">
      <c r="A5793" s="284">
        <f t="shared" si="1081"/>
        <v>5725</v>
      </c>
      <c r="B5793" s="285">
        <v>8.9696438078468763E-2</v>
      </c>
      <c r="C5793" s="285">
        <v>3.0525796635219269</v>
      </c>
      <c r="D5793" s="285">
        <v>1.236018521264866</v>
      </c>
      <c r="E5793" s="285">
        <v>-8.901895791320328</v>
      </c>
    </row>
    <row r="5794" spans="1:5">
      <c r="A5794" s="284">
        <f t="shared" si="1081"/>
        <v>5726</v>
      </c>
      <c r="B5794" s="285">
        <v>-0.58750530214640595</v>
      </c>
      <c r="C5794" s="285">
        <v>3.5856076157736578</v>
      </c>
      <c r="D5794" s="285">
        <v>0.22855328841399769</v>
      </c>
      <c r="E5794" s="285">
        <v>9.8961604734794015</v>
      </c>
    </row>
    <row r="5795" spans="1:5">
      <c r="A5795" s="284">
        <f t="shared" si="1081"/>
        <v>5727</v>
      </c>
      <c r="B5795" s="285">
        <v>1.7569102688809803</v>
      </c>
      <c r="C5795" s="285">
        <v>2.1298067727195442</v>
      </c>
      <c r="D5795" s="285">
        <v>-0.23406851967331477</v>
      </c>
      <c r="E5795" s="285">
        <v>-15.398318253127705</v>
      </c>
    </row>
    <row r="5796" spans="1:5">
      <c r="A5796" s="284">
        <f t="shared" si="1081"/>
        <v>5728</v>
      </c>
      <c r="B5796" s="285">
        <v>-0.69832725956320219</v>
      </c>
      <c r="C5796" s="285">
        <v>2.7000321978292856</v>
      </c>
      <c r="D5796" s="285">
        <v>0.46051877516657946</v>
      </c>
      <c r="E5796" s="285">
        <v>7.0818821600505437</v>
      </c>
    </row>
    <row r="5797" spans="1:5">
      <c r="A5797" s="284">
        <f t="shared" si="1081"/>
        <v>5729</v>
      </c>
      <c r="B5797" s="285">
        <v>2.1339261363546944</v>
      </c>
      <c r="C5797" s="285">
        <v>2.6837855693524331</v>
      </c>
      <c r="D5797" s="285">
        <v>0.47809345249341417</v>
      </c>
      <c r="E5797" s="285">
        <v>1.2870599944981564</v>
      </c>
    </row>
    <row r="5798" spans="1:5">
      <c r="A5798" s="284">
        <f t="shared" si="1081"/>
        <v>5730</v>
      </c>
      <c r="B5798" s="285">
        <v>2.8128188165644832</v>
      </c>
      <c r="C5798" s="285">
        <v>3.2906784761233405</v>
      </c>
      <c r="D5798" s="285">
        <v>1.2314566939730018</v>
      </c>
      <c r="E5798" s="285">
        <v>5.2343829381243712</v>
      </c>
    </row>
    <row r="5799" spans="1:5">
      <c r="A5799" s="284">
        <f t="shared" si="1081"/>
        <v>5731</v>
      </c>
      <c r="B5799" s="285">
        <v>-2.5623409243571174</v>
      </c>
      <c r="C5799" s="285">
        <v>3.0320971161928321</v>
      </c>
      <c r="D5799" s="285">
        <v>-0.52128740299452758</v>
      </c>
      <c r="E5799" s="285">
        <v>16.558505028578971</v>
      </c>
    </row>
    <row r="5800" spans="1:5">
      <c r="A5800" s="284">
        <f t="shared" si="1081"/>
        <v>5732</v>
      </c>
      <c r="B5800" s="285">
        <v>-2.8994531582766276</v>
      </c>
      <c r="C5800" s="285">
        <v>2.7385697327443141</v>
      </c>
      <c r="D5800" s="285">
        <v>0.28839125419658806</v>
      </c>
      <c r="E5800" s="285">
        <v>-4.5767196117868583</v>
      </c>
    </row>
    <row r="5801" spans="1:5">
      <c r="A5801" s="284">
        <f t="shared" si="1081"/>
        <v>5733</v>
      </c>
      <c r="B5801" s="285">
        <v>2.0727708934068922</v>
      </c>
      <c r="C5801" s="285">
        <v>2.3471155924661442</v>
      </c>
      <c r="D5801" s="285">
        <v>3.4871373889567359</v>
      </c>
      <c r="E5801" s="285">
        <v>-14.801536289154924</v>
      </c>
    </row>
    <row r="5802" spans="1:5">
      <c r="A5802" s="284">
        <f t="shared" si="1081"/>
        <v>5734</v>
      </c>
      <c r="B5802" s="285">
        <v>-0.23542513466033782</v>
      </c>
      <c r="C5802" s="285">
        <v>1.6541204486558367</v>
      </c>
      <c r="D5802" s="285">
        <v>0.60618329744119426</v>
      </c>
      <c r="E5802" s="285">
        <v>-21.1329442237083</v>
      </c>
    </row>
    <row r="5803" spans="1:5">
      <c r="A5803" s="284">
        <f t="shared" si="1081"/>
        <v>5735</v>
      </c>
      <c r="B5803" s="285">
        <v>1.4038078436713444</v>
      </c>
      <c r="C5803" s="285">
        <v>3.0121255046930759</v>
      </c>
      <c r="D5803" s="285">
        <v>0.86778221569498548</v>
      </c>
      <c r="E5803" s="285">
        <v>10.745457667533916</v>
      </c>
    </row>
    <row r="5804" spans="1:5">
      <c r="A5804" s="284">
        <f t="shared" si="1081"/>
        <v>5736</v>
      </c>
      <c r="B5804" s="285">
        <v>1.202998720029415</v>
      </c>
      <c r="C5804" s="285">
        <v>2.4849780312881204</v>
      </c>
      <c r="D5804" s="285">
        <v>0.99193359064947995</v>
      </c>
      <c r="E5804" s="285">
        <v>-12.868883327565708</v>
      </c>
    </row>
    <row r="5805" spans="1:5">
      <c r="A5805" s="284">
        <f t="shared" si="1081"/>
        <v>5737</v>
      </c>
      <c r="B5805" s="285">
        <v>-0.63692395883295105</v>
      </c>
      <c r="C5805" s="285">
        <v>1.8995895005376331</v>
      </c>
      <c r="D5805" s="285">
        <v>0.21491194334461849</v>
      </c>
      <c r="E5805" s="285">
        <v>-11.528111344910295</v>
      </c>
    </row>
    <row r="5806" spans="1:5">
      <c r="A5806" s="284">
        <f t="shared" si="1081"/>
        <v>5738</v>
      </c>
      <c r="B5806" s="285">
        <v>-0.2115242709809094</v>
      </c>
      <c r="C5806" s="285">
        <v>2.9464906185492317</v>
      </c>
      <c r="D5806" s="285">
        <v>-1.6911551939671643E-2</v>
      </c>
      <c r="E5806" s="285">
        <v>2.7346095649467776</v>
      </c>
    </row>
    <row r="5807" spans="1:5">
      <c r="A5807" s="284">
        <f t="shared" si="1081"/>
        <v>5739</v>
      </c>
      <c r="B5807" s="285">
        <v>2.8778687936425276</v>
      </c>
      <c r="C5807" s="285">
        <v>2.4024293710894673</v>
      </c>
      <c r="D5807" s="285">
        <v>1.1391382540992505</v>
      </c>
      <c r="E5807" s="285">
        <v>-6.5675492225893048</v>
      </c>
    </row>
    <row r="5808" spans="1:5">
      <c r="A5808" s="284">
        <f t="shared" si="1081"/>
        <v>5740</v>
      </c>
      <c r="B5808" s="285">
        <v>-2.9140076728274682</v>
      </c>
      <c r="C5808" s="285">
        <v>1.908925261813974</v>
      </c>
      <c r="D5808" s="285">
        <v>-2.9461717269143373E-2</v>
      </c>
      <c r="E5808" s="285">
        <v>13.368077836178113</v>
      </c>
    </row>
    <row r="5809" spans="1:5">
      <c r="A5809" s="284">
        <f t="shared" si="1081"/>
        <v>5741</v>
      </c>
      <c r="B5809" s="285">
        <v>3.1255623582158356</v>
      </c>
      <c r="C5809" s="285">
        <v>2.3303439267895958</v>
      </c>
      <c r="D5809" s="285">
        <v>2.5307289047993331</v>
      </c>
      <c r="E5809" s="285">
        <v>-2.9174281348962663</v>
      </c>
    </row>
    <row r="5810" spans="1:5">
      <c r="A5810" s="284">
        <f t="shared" si="1081"/>
        <v>5742</v>
      </c>
      <c r="B5810" s="285">
        <v>-0.47455428005445494</v>
      </c>
      <c r="C5810" s="285">
        <v>2.3103282457021708</v>
      </c>
      <c r="D5810" s="285">
        <v>1.7413995318140851</v>
      </c>
      <c r="E5810" s="285">
        <v>-13.10861218335625</v>
      </c>
    </row>
    <row r="5811" spans="1:5">
      <c r="A5811" s="284">
        <f t="shared" si="1081"/>
        <v>5743</v>
      </c>
      <c r="B5811" s="285">
        <v>2.3213439077275142</v>
      </c>
      <c r="C5811" s="285">
        <v>1.9066202849669955</v>
      </c>
      <c r="D5811" s="285">
        <v>3.125970560037941</v>
      </c>
      <c r="E5811" s="285">
        <v>-12.796093719080945</v>
      </c>
    </row>
    <row r="5812" spans="1:5">
      <c r="A5812" s="284">
        <f t="shared" si="1081"/>
        <v>5744</v>
      </c>
      <c r="B5812" s="285">
        <v>2.5661456686217035</v>
      </c>
      <c r="C5812" s="285">
        <v>2.6235035727282594</v>
      </c>
      <c r="D5812" s="285">
        <v>1.3603871871135962</v>
      </c>
      <c r="E5812" s="285">
        <v>-5.8133002899015427</v>
      </c>
    </row>
    <row r="5813" spans="1:5">
      <c r="A5813" s="284">
        <f t="shared" si="1081"/>
        <v>5745</v>
      </c>
      <c r="B5813" s="285">
        <v>-3.1480762920553138</v>
      </c>
      <c r="C5813" s="285">
        <v>2.1052555618525823</v>
      </c>
      <c r="D5813" s="285">
        <v>0.21940403639440587</v>
      </c>
      <c r="E5813" s="285">
        <v>-9.7316395655861232</v>
      </c>
    </row>
    <row r="5814" spans="1:5">
      <c r="A5814" s="284">
        <f t="shared" si="1081"/>
        <v>5746</v>
      </c>
      <c r="B5814" s="285">
        <v>3.7288227537599998</v>
      </c>
      <c r="C5814" s="285">
        <v>2.6262457250768123</v>
      </c>
      <c r="D5814" s="285">
        <v>2.4275038943122356</v>
      </c>
      <c r="E5814" s="285">
        <v>2.2446990599554772</v>
      </c>
    </row>
    <row r="5815" spans="1:5">
      <c r="A5815" s="284">
        <f t="shared" si="1081"/>
        <v>5747</v>
      </c>
      <c r="B5815" s="285">
        <v>-3.534661440490813</v>
      </c>
      <c r="C5815" s="285">
        <v>2.8247497912659023</v>
      </c>
      <c r="D5815" s="285">
        <v>-2.1917607915091626</v>
      </c>
      <c r="E5815" s="285">
        <v>10.932286377931336</v>
      </c>
    </row>
    <row r="5816" spans="1:5">
      <c r="A5816" s="284">
        <f t="shared" si="1081"/>
        <v>5748</v>
      </c>
      <c r="B5816" s="285">
        <v>-1.203394268332344</v>
      </c>
      <c r="C5816" s="285">
        <v>2.3384322956377748</v>
      </c>
      <c r="D5816" s="285">
        <v>2.0819114509133168</v>
      </c>
      <c r="E5816" s="285">
        <v>-4.2259855225838354</v>
      </c>
    </row>
    <row r="5817" spans="1:5">
      <c r="A5817" s="284">
        <f t="shared" si="1081"/>
        <v>5749</v>
      </c>
      <c r="B5817" s="285">
        <v>-2.4954754387741063</v>
      </c>
      <c r="C5817" s="285">
        <v>2.596626953053129</v>
      </c>
      <c r="D5817" s="285">
        <v>0.26616595586280334</v>
      </c>
      <c r="E5817" s="285">
        <v>-3.1652843157987962</v>
      </c>
    </row>
    <row r="5818" spans="1:5">
      <c r="A5818" s="284">
        <f t="shared" si="1081"/>
        <v>5750</v>
      </c>
      <c r="B5818" s="285">
        <v>0.54659479142456957</v>
      </c>
      <c r="C5818" s="285">
        <v>2.0718331504996654</v>
      </c>
      <c r="D5818" s="285">
        <v>0.58075207089915881</v>
      </c>
      <c r="E5818" s="285">
        <v>-7.0638318652760539</v>
      </c>
    </row>
    <row r="5819" spans="1:5">
      <c r="A5819" s="284">
        <f t="shared" si="1081"/>
        <v>5751</v>
      </c>
      <c r="B5819" s="285">
        <v>0.67555134970030672</v>
      </c>
      <c r="C5819" s="285">
        <v>2.0484603274176498</v>
      </c>
      <c r="D5819" s="285">
        <v>0.33290907856503849</v>
      </c>
      <c r="E5819" s="285">
        <v>-16.20489961594372</v>
      </c>
    </row>
    <row r="5820" spans="1:5">
      <c r="A5820" s="284">
        <f t="shared" si="1081"/>
        <v>5752</v>
      </c>
      <c r="B5820" s="285">
        <v>-2.8754519389920916</v>
      </c>
      <c r="C5820" s="285">
        <v>1.9319416022488585</v>
      </c>
      <c r="D5820" s="285">
        <v>-0.16445084189485981</v>
      </c>
      <c r="E5820" s="285">
        <v>-13.100521366063248</v>
      </c>
    </row>
    <row r="5821" spans="1:5">
      <c r="A5821" s="284">
        <f t="shared" si="1081"/>
        <v>5753</v>
      </c>
      <c r="B5821" s="285">
        <v>1.0998388167950501</v>
      </c>
      <c r="C5821" s="285">
        <v>2.6487026873304669</v>
      </c>
      <c r="D5821" s="285">
        <v>2.541006436105385</v>
      </c>
      <c r="E5821" s="285">
        <v>-2.5565770328871533</v>
      </c>
    </row>
    <row r="5822" spans="1:5">
      <c r="A5822" s="284">
        <f t="shared" si="1081"/>
        <v>5754</v>
      </c>
      <c r="B5822" s="285">
        <v>0.8723552736402862</v>
      </c>
      <c r="C5822" s="285">
        <v>2.0483185465859499</v>
      </c>
      <c r="D5822" s="285">
        <v>2.3153872922955099</v>
      </c>
      <c r="E5822" s="285">
        <v>-11.090138221068736</v>
      </c>
    </row>
    <row r="5823" spans="1:5">
      <c r="A5823" s="284">
        <f t="shared" si="1081"/>
        <v>5755</v>
      </c>
      <c r="B5823" s="285">
        <v>-0.96124115561329737</v>
      </c>
      <c r="C5823" s="285">
        <v>2.5104495133486009</v>
      </c>
      <c r="D5823" s="285">
        <v>1.3774469973266803</v>
      </c>
      <c r="E5823" s="285">
        <v>3.8781057505007719</v>
      </c>
    </row>
    <row r="5824" spans="1:5">
      <c r="A5824" s="284">
        <f t="shared" si="1081"/>
        <v>5756</v>
      </c>
      <c r="B5824" s="285">
        <v>-1.8564412409204492</v>
      </c>
      <c r="C5824" s="285">
        <v>2.4017538472937763</v>
      </c>
      <c r="D5824" s="285">
        <v>3.1966492152338155E-2</v>
      </c>
      <c r="E5824" s="285">
        <v>1.2756796712531622</v>
      </c>
    </row>
    <row r="5825" spans="1:5">
      <c r="A5825" s="284">
        <f t="shared" si="1081"/>
        <v>5757</v>
      </c>
      <c r="B5825" s="285">
        <v>-3.7204002845723818</v>
      </c>
      <c r="C5825" s="285">
        <v>1.001747686073482</v>
      </c>
      <c r="D5825" s="285">
        <v>0.85658497682810464</v>
      </c>
      <c r="E5825" s="285">
        <v>-23.533331190718297</v>
      </c>
    </row>
    <row r="5826" spans="1:5">
      <c r="A5826" s="284">
        <f t="shared" si="1081"/>
        <v>5758</v>
      </c>
      <c r="B5826" s="285">
        <v>-2.6736060810681272</v>
      </c>
      <c r="C5826" s="285">
        <v>1.6602975768125268</v>
      </c>
      <c r="D5826" s="285">
        <v>1.8031948462858227</v>
      </c>
      <c r="E5826" s="285">
        <v>-15.422282232092076</v>
      </c>
    </row>
    <row r="5827" spans="1:5">
      <c r="A5827" s="284">
        <f t="shared" si="1081"/>
        <v>5759</v>
      </c>
      <c r="B5827" s="285">
        <v>-1.1240733133685874</v>
      </c>
      <c r="C5827" s="285">
        <v>2.3457560778628497</v>
      </c>
      <c r="D5827" s="285">
        <v>-1.0803788273825075</v>
      </c>
      <c r="E5827" s="285">
        <v>2.3857600253914755</v>
      </c>
    </row>
    <row r="5828" spans="1:5">
      <c r="A5828" s="284">
        <f t="shared" si="1081"/>
        <v>5760</v>
      </c>
      <c r="B5828" s="285">
        <v>-0.42137593502429799</v>
      </c>
      <c r="C5828" s="285">
        <v>1.9659279035494714</v>
      </c>
      <c r="D5828" s="285">
        <v>0.51885728339322079</v>
      </c>
      <c r="E5828" s="285">
        <v>-11.269802288219138</v>
      </c>
    </row>
    <row r="5829" spans="1:5">
      <c r="A5829" s="284">
        <f t="shared" si="1081"/>
        <v>5761</v>
      </c>
      <c r="B5829" s="285">
        <v>-3.4116855337200573</v>
      </c>
      <c r="C5829" s="285">
        <v>2.7587383402728882</v>
      </c>
      <c r="D5829" s="285">
        <v>0.5585146530263112</v>
      </c>
      <c r="E5829" s="285">
        <v>1.5810371995908832</v>
      </c>
    </row>
    <row r="5830" spans="1:5">
      <c r="A5830" s="284">
        <f t="shared" si="1081"/>
        <v>5762</v>
      </c>
      <c r="B5830" s="285">
        <v>2.4334527854599877</v>
      </c>
      <c r="C5830" s="285">
        <v>2.7280652602735875</v>
      </c>
      <c r="D5830" s="285">
        <v>3.6903138692516002</v>
      </c>
      <c r="E5830" s="285">
        <v>-8.9497460482918303</v>
      </c>
    </row>
    <row r="5831" spans="1:5">
      <c r="A5831" s="284">
        <f t="shared" ref="A5831:A5894" si="1082">A5830+1</f>
        <v>5763</v>
      </c>
      <c r="B5831" s="285">
        <v>-1.7409578262064511</v>
      </c>
      <c r="C5831" s="285">
        <v>2.7767147816582902</v>
      </c>
      <c r="D5831" s="285">
        <v>-0.29325331268488997</v>
      </c>
      <c r="E5831" s="285">
        <v>4.524817719946105</v>
      </c>
    </row>
    <row r="5832" spans="1:5">
      <c r="A5832" s="284">
        <f t="shared" si="1082"/>
        <v>5764</v>
      </c>
      <c r="B5832" s="285">
        <v>-1.7673014712286164</v>
      </c>
      <c r="C5832" s="285">
        <v>2.6375582469366741</v>
      </c>
      <c r="D5832" s="285">
        <v>-0.86228264549653622</v>
      </c>
      <c r="E5832" s="285">
        <v>-7.2153757092984723</v>
      </c>
    </row>
    <row r="5833" spans="1:5">
      <c r="A5833" s="284">
        <f t="shared" si="1082"/>
        <v>5765</v>
      </c>
      <c r="B5833" s="285">
        <v>1.7858607161736402</v>
      </c>
      <c r="C5833" s="285">
        <v>2.2151886706543924</v>
      </c>
      <c r="D5833" s="285">
        <v>3.3675144820667748</v>
      </c>
      <c r="E5833" s="285">
        <v>-9.4833128625854233</v>
      </c>
    </row>
    <row r="5834" spans="1:5">
      <c r="A5834" s="284">
        <f t="shared" si="1082"/>
        <v>5766</v>
      </c>
      <c r="B5834" s="285">
        <v>-1.4921223713169594</v>
      </c>
      <c r="C5834" s="285">
        <v>2.4311681615773546</v>
      </c>
      <c r="D5834" s="285">
        <v>-0.60386511332057968</v>
      </c>
      <c r="E5834" s="285">
        <v>2.562867285768363</v>
      </c>
    </row>
    <row r="5835" spans="1:5">
      <c r="A5835" s="284">
        <f t="shared" si="1082"/>
        <v>5767</v>
      </c>
      <c r="B5835" s="285">
        <v>1.0583481348958792</v>
      </c>
      <c r="C5835" s="285">
        <v>2.505317933662254</v>
      </c>
      <c r="D5835" s="285">
        <v>-0.15383374754431989</v>
      </c>
      <c r="E5835" s="285">
        <v>-9.0171821970812172</v>
      </c>
    </row>
    <row r="5836" spans="1:5">
      <c r="A5836" s="284">
        <f t="shared" si="1082"/>
        <v>5768</v>
      </c>
      <c r="B5836" s="285">
        <v>-0.23861334607820639</v>
      </c>
      <c r="C5836" s="285">
        <v>2.0813519593059358</v>
      </c>
      <c r="D5836" s="285">
        <v>2.9895831694170267</v>
      </c>
      <c r="E5836" s="285">
        <v>-24.614683714477838</v>
      </c>
    </row>
    <row r="5837" spans="1:5">
      <c r="A5837" s="284">
        <f t="shared" si="1082"/>
        <v>5769</v>
      </c>
      <c r="B5837" s="285">
        <v>1.3664243136259779</v>
      </c>
      <c r="C5837" s="285">
        <v>2.7840162205273171</v>
      </c>
      <c r="D5837" s="285">
        <v>2.1099924281907523</v>
      </c>
      <c r="E5837" s="285">
        <v>-11.710437704670554</v>
      </c>
    </row>
    <row r="5838" spans="1:5">
      <c r="A5838" s="284">
        <f t="shared" si="1082"/>
        <v>5770</v>
      </c>
      <c r="B5838" s="285">
        <v>0.40278699902597942</v>
      </c>
      <c r="C5838" s="285">
        <v>2.6144030776844884</v>
      </c>
      <c r="D5838" s="285">
        <v>1.1361641655602306</v>
      </c>
      <c r="E5838" s="285">
        <v>-1.1284099353532528</v>
      </c>
    </row>
    <row r="5839" spans="1:5">
      <c r="A5839" s="284">
        <f t="shared" si="1082"/>
        <v>5771</v>
      </c>
      <c r="B5839" s="285">
        <v>-1.1582583346966009</v>
      </c>
      <c r="C5839" s="285">
        <v>2.3875519036711133</v>
      </c>
      <c r="D5839" s="285">
        <v>2.790077669993885</v>
      </c>
      <c r="E5839" s="285">
        <v>-12.073805622176639</v>
      </c>
    </row>
    <row r="5840" spans="1:5">
      <c r="A5840" s="284">
        <f t="shared" si="1082"/>
        <v>5772</v>
      </c>
      <c r="B5840" s="285">
        <v>-2.0184197693408397</v>
      </c>
      <c r="C5840" s="285">
        <v>2.3466609575422397</v>
      </c>
      <c r="D5840" s="285">
        <v>0.21504975123546211</v>
      </c>
      <c r="E5840" s="285">
        <v>-2.3110304723706503</v>
      </c>
    </row>
    <row r="5841" spans="1:5">
      <c r="A5841" s="284">
        <f t="shared" si="1082"/>
        <v>5773</v>
      </c>
      <c r="B5841" s="285">
        <v>4.1994881160707411</v>
      </c>
      <c r="C5841" s="285">
        <v>3.3829199563958641</v>
      </c>
      <c r="D5841" s="285">
        <v>2.3000624500701314</v>
      </c>
      <c r="E5841" s="285">
        <v>1.6892339826737879</v>
      </c>
    </row>
    <row r="5842" spans="1:5">
      <c r="A5842" s="284">
        <f t="shared" si="1082"/>
        <v>5774</v>
      </c>
      <c r="B5842" s="285">
        <v>-2.4846441336186609</v>
      </c>
      <c r="C5842" s="285">
        <v>2.0682180112728346</v>
      </c>
      <c r="D5842" s="285">
        <v>0.3038129561158166</v>
      </c>
      <c r="E5842" s="285">
        <v>-12.006028028839548</v>
      </c>
    </row>
    <row r="5843" spans="1:5">
      <c r="A5843" s="284">
        <f t="shared" si="1082"/>
        <v>5775</v>
      </c>
      <c r="B5843" s="285">
        <v>1.8268016418727266</v>
      </c>
      <c r="C5843" s="285">
        <v>2.1948149903732124</v>
      </c>
      <c r="D5843" s="285">
        <v>2.3848343671251513</v>
      </c>
      <c r="E5843" s="285">
        <v>-14.288544637693533</v>
      </c>
    </row>
    <row r="5844" spans="1:5">
      <c r="A5844" s="284">
        <f t="shared" si="1082"/>
        <v>5776</v>
      </c>
      <c r="B5844" s="285">
        <v>-3.6142515029493856</v>
      </c>
      <c r="C5844" s="285">
        <v>2.6984266288795364</v>
      </c>
      <c r="D5844" s="285">
        <v>-0.16184887833741102</v>
      </c>
      <c r="E5844" s="285">
        <v>10.225810071079476</v>
      </c>
    </row>
    <row r="5845" spans="1:5">
      <c r="A5845" s="284">
        <f t="shared" si="1082"/>
        <v>5777</v>
      </c>
      <c r="B5845" s="285">
        <v>0.84476509359977914</v>
      </c>
      <c r="C5845" s="285">
        <v>2.6831484756992285</v>
      </c>
      <c r="D5845" s="285">
        <v>1.1652132214719624</v>
      </c>
      <c r="E5845" s="285">
        <v>-9.4054057635282149</v>
      </c>
    </row>
    <row r="5846" spans="1:5">
      <c r="A5846" s="284">
        <f t="shared" si="1082"/>
        <v>5778</v>
      </c>
      <c r="B5846" s="285">
        <v>-0.35265825451615235</v>
      </c>
      <c r="C5846" s="285">
        <v>1.6612190899339156</v>
      </c>
      <c r="D5846" s="285">
        <v>1.3617045315372382</v>
      </c>
      <c r="E5846" s="285">
        <v>-12.612820413298881</v>
      </c>
    </row>
    <row r="5847" spans="1:5">
      <c r="A5847" s="284">
        <f t="shared" si="1082"/>
        <v>5779</v>
      </c>
      <c r="B5847" s="285">
        <v>0.45337798948591218</v>
      </c>
      <c r="C5847" s="285">
        <v>2.375419145139305</v>
      </c>
      <c r="D5847" s="285">
        <v>0.36707508228292629</v>
      </c>
      <c r="E5847" s="285">
        <v>-5.9344018544495469</v>
      </c>
    </row>
    <row r="5848" spans="1:5">
      <c r="A5848" s="284">
        <f t="shared" si="1082"/>
        <v>5780</v>
      </c>
      <c r="B5848" s="285">
        <v>-3.2397313138714572</v>
      </c>
      <c r="C5848" s="285">
        <v>2.1660201517946209</v>
      </c>
      <c r="D5848" s="285">
        <v>0.9628342439024441</v>
      </c>
      <c r="E5848" s="285">
        <v>-9.6786577872728508</v>
      </c>
    </row>
    <row r="5849" spans="1:5">
      <c r="A5849" s="284">
        <f t="shared" si="1082"/>
        <v>5781</v>
      </c>
      <c r="B5849" s="285">
        <v>1.8101627957008166</v>
      </c>
      <c r="C5849" s="285">
        <v>1.7119487455400362</v>
      </c>
      <c r="D5849" s="285">
        <v>1.8324356981891494</v>
      </c>
      <c r="E5849" s="285">
        <v>-21.836448830137467</v>
      </c>
    </row>
    <row r="5850" spans="1:5">
      <c r="A5850" s="284">
        <f t="shared" si="1082"/>
        <v>5782</v>
      </c>
      <c r="B5850" s="285">
        <v>3.370973883559496</v>
      </c>
      <c r="C5850" s="285">
        <v>2.9132898971520103</v>
      </c>
      <c r="D5850" s="285">
        <v>0.39757809660784793</v>
      </c>
      <c r="E5850" s="285">
        <v>-6.1487659747707832</v>
      </c>
    </row>
    <row r="5851" spans="1:5">
      <c r="A5851" s="284">
        <f t="shared" si="1082"/>
        <v>5783</v>
      </c>
      <c r="B5851" s="285">
        <v>-0.39574764042788901</v>
      </c>
      <c r="C5851" s="285">
        <v>2.320502645817446</v>
      </c>
      <c r="D5851" s="285">
        <v>1.391977875703436</v>
      </c>
      <c r="E5851" s="285">
        <v>-4.1495709734685082</v>
      </c>
    </row>
    <row r="5852" spans="1:5">
      <c r="A5852" s="284">
        <f t="shared" si="1082"/>
        <v>5784</v>
      </c>
      <c r="B5852" s="285">
        <v>0.11326613431391565</v>
      </c>
      <c r="C5852" s="285">
        <v>1.949072134419322</v>
      </c>
      <c r="D5852" s="285">
        <v>-0.12271620619964141</v>
      </c>
      <c r="E5852" s="285">
        <v>-22.724879952273962</v>
      </c>
    </row>
    <row r="5853" spans="1:5">
      <c r="A5853" s="284">
        <f t="shared" si="1082"/>
        <v>5785</v>
      </c>
      <c r="B5853" s="285">
        <v>-3.8567251247720842</v>
      </c>
      <c r="C5853" s="285">
        <v>2.4028221780807515</v>
      </c>
      <c r="D5853" s="285">
        <v>1.8313019126293246</v>
      </c>
      <c r="E5853" s="285">
        <v>0.83964077661482062</v>
      </c>
    </row>
    <row r="5854" spans="1:5">
      <c r="A5854" s="284">
        <f t="shared" si="1082"/>
        <v>5786</v>
      </c>
      <c r="B5854" s="285">
        <v>0.28356876326185915</v>
      </c>
      <c r="C5854" s="285">
        <v>2.787047434944423</v>
      </c>
      <c r="D5854" s="285">
        <v>3.4672792109393424</v>
      </c>
      <c r="E5854" s="285">
        <v>6.7034293455762395</v>
      </c>
    </row>
    <row r="5855" spans="1:5">
      <c r="A5855" s="284">
        <f t="shared" si="1082"/>
        <v>5787</v>
      </c>
      <c r="B5855" s="285">
        <v>-0.45020160354616795</v>
      </c>
      <c r="C5855" s="285">
        <v>2.3898599451656648</v>
      </c>
      <c r="D5855" s="285">
        <v>1.2073607407561855</v>
      </c>
      <c r="E5855" s="285">
        <v>-0.49452480030282775</v>
      </c>
    </row>
    <row r="5856" spans="1:5">
      <c r="A5856" s="284">
        <f t="shared" si="1082"/>
        <v>5788</v>
      </c>
      <c r="B5856" s="285">
        <v>-2.2288330270777781</v>
      </c>
      <c r="C5856" s="285">
        <v>2.8591525410272256</v>
      </c>
      <c r="D5856" s="285">
        <v>-1.2670561084348937</v>
      </c>
      <c r="E5856" s="285">
        <v>11.883976767972754</v>
      </c>
    </row>
    <row r="5857" spans="1:5">
      <c r="A5857" s="284">
        <f t="shared" si="1082"/>
        <v>5789</v>
      </c>
      <c r="B5857" s="285">
        <v>-2.954083153967189</v>
      </c>
      <c r="C5857" s="285">
        <v>2.5791841710747305</v>
      </c>
      <c r="D5857" s="285">
        <v>1.8153749127257428</v>
      </c>
      <c r="E5857" s="285">
        <v>-1.8600870482661813</v>
      </c>
    </row>
    <row r="5858" spans="1:5">
      <c r="A5858" s="284">
        <f t="shared" si="1082"/>
        <v>5790</v>
      </c>
      <c r="B5858" s="285">
        <v>2.7064913929435099</v>
      </c>
      <c r="C5858" s="285">
        <v>2.4716264766049432</v>
      </c>
      <c r="D5858" s="285">
        <v>2.3335930088213876</v>
      </c>
      <c r="E5858" s="285">
        <v>-14.165568560788774</v>
      </c>
    </row>
    <row r="5859" spans="1:5">
      <c r="A5859" s="284">
        <f t="shared" si="1082"/>
        <v>5791</v>
      </c>
      <c r="B5859" s="285">
        <v>2.2517556846127733</v>
      </c>
      <c r="C5859" s="285">
        <v>3.0688557869613411</v>
      </c>
      <c r="D5859" s="285">
        <v>-9.6155102986622554E-2</v>
      </c>
      <c r="E5859" s="285">
        <v>-6.0798431157393917E-2</v>
      </c>
    </row>
    <row r="5860" spans="1:5">
      <c r="A5860" s="284">
        <f t="shared" si="1082"/>
        <v>5792</v>
      </c>
      <c r="B5860" s="285">
        <v>-2.5995991998174164</v>
      </c>
      <c r="C5860" s="285">
        <v>2.5535715324072514</v>
      </c>
      <c r="D5860" s="285">
        <v>-7.57914771433843E-2</v>
      </c>
      <c r="E5860" s="285">
        <v>0.63564597357488761</v>
      </c>
    </row>
    <row r="5861" spans="1:5">
      <c r="A5861" s="284">
        <f t="shared" si="1082"/>
        <v>5793</v>
      </c>
      <c r="B5861" s="285">
        <v>-0.83032777433898086</v>
      </c>
      <c r="C5861" s="285">
        <v>1.7162430117491414</v>
      </c>
      <c r="D5861" s="285">
        <v>1.0217308536444734</v>
      </c>
      <c r="E5861" s="285">
        <v>-0.95550302870336301</v>
      </c>
    </row>
    <row r="5862" spans="1:5">
      <c r="A5862" s="284">
        <f t="shared" si="1082"/>
        <v>5794</v>
      </c>
      <c r="B5862" s="285">
        <v>-0.73756268095494093</v>
      </c>
      <c r="C5862" s="285">
        <v>2.3874284618017589</v>
      </c>
      <c r="D5862" s="285">
        <v>1.5839195722143367</v>
      </c>
      <c r="E5862" s="285">
        <v>-13.05862868533624</v>
      </c>
    </row>
    <row r="5863" spans="1:5">
      <c r="A5863" s="284">
        <f t="shared" si="1082"/>
        <v>5795</v>
      </c>
      <c r="B5863" s="285">
        <v>-2.6982524402415828</v>
      </c>
      <c r="C5863" s="285">
        <v>2.2785086275220432</v>
      </c>
      <c r="D5863" s="285">
        <v>1.5170801472150337</v>
      </c>
      <c r="E5863" s="285">
        <v>3.3917280739637197</v>
      </c>
    </row>
    <row r="5864" spans="1:5">
      <c r="A5864" s="284">
        <f t="shared" si="1082"/>
        <v>5796</v>
      </c>
      <c r="B5864" s="285">
        <v>0.10438508113933567</v>
      </c>
      <c r="C5864" s="285">
        <v>2.6943845593450395</v>
      </c>
      <c r="D5864" s="285">
        <v>0.97534979802937749</v>
      </c>
      <c r="E5864" s="285">
        <v>5.3105391585801964E-2</v>
      </c>
    </row>
    <row r="5865" spans="1:5">
      <c r="A5865" s="284">
        <f t="shared" si="1082"/>
        <v>5797</v>
      </c>
      <c r="B5865" s="285">
        <v>-0.41711933865060408</v>
      </c>
      <c r="C5865" s="285">
        <v>2.7896755558242816</v>
      </c>
      <c r="D5865" s="285">
        <v>0.67918896997075417</v>
      </c>
      <c r="E5865" s="285">
        <v>-3.0522035833637227</v>
      </c>
    </row>
    <row r="5866" spans="1:5">
      <c r="A5866" s="284">
        <f t="shared" si="1082"/>
        <v>5798</v>
      </c>
      <c r="B5866" s="285">
        <v>-0.82626462795543532</v>
      </c>
      <c r="C5866" s="285">
        <v>1.9400772063289737</v>
      </c>
      <c r="D5866" s="285">
        <v>-0.38276970718994496</v>
      </c>
      <c r="E5866" s="285">
        <v>-12.356973807820179</v>
      </c>
    </row>
    <row r="5867" spans="1:5">
      <c r="A5867" s="284">
        <f t="shared" si="1082"/>
        <v>5799</v>
      </c>
      <c r="B5867" s="285">
        <v>2.8281831905892503</v>
      </c>
      <c r="C5867" s="285">
        <v>2.5242083694728352</v>
      </c>
      <c r="D5867" s="285">
        <v>2.1202529793112559</v>
      </c>
      <c r="E5867" s="285">
        <v>-17.48235173720229</v>
      </c>
    </row>
    <row r="5868" spans="1:5">
      <c r="A5868" s="284">
        <f t="shared" si="1082"/>
        <v>5800</v>
      </c>
      <c r="B5868" s="285">
        <v>1.3218879573446454</v>
      </c>
      <c r="C5868" s="285">
        <v>2.4018167473124854</v>
      </c>
      <c r="D5868" s="285">
        <v>3.2582156256352066</v>
      </c>
      <c r="E5868" s="285">
        <v>-11.799746258815981</v>
      </c>
    </row>
    <row r="5869" spans="1:5">
      <c r="A5869" s="284">
        <f t="shared" si="1082"/>
        <v>5801</v>
      </c>
      <c r="B5869" s="285">
        <v>2.3429800082954526</v>
      </c>
      <c r="C5869" s="285">
        <v>2.7138506552892681</v>
      </c>
      <c r="D5869" s="285">
        <v>3.1778344963794405</v>
      </c>
      <c r="E5869" s="285">
        <v>-0.6619008677010183</v>
      </c>
    </row>
    <row r="5870" spans="1:5">
      <c r="A5870" s="284">
        <f t="shared" si="1082"/>
        <v>5802</v>
      </c>
      <c r="B5870" s="285">
        <v>-3.8996904224274077E-3</v>
      </c>
      <c r="C5870" s="285">
        <v>2.8255701580052976</v>
      </c>
      <c r="D5870" s="285">
        <v>2.2369090837192021</v>
      </c>
      <c r="E5870" s="285">
        <v>-1.3709512234587824</v>
      </c>
    </row>
    <row r="5871" spans="1:5">
      <c r="A5871" s="284">
        <f t="shared" si="1082"/>
        <v>5803</v>
      </c>
      <c r="B5871" s="285">
        <v>-2.9567422181777352</v>
      </c>
      <c r="C5871" s="285">
        <v>2.5908923668533701</v>
      </c>
      <c r="D5871" s="285">
        <v>0.27001661951938782</v>
      </c>
      <c r="E5871" s="285">
        <v>-4.2471964891636134</v>
      </c>
    </row>
    <row r="5872" spans="1:5">
      <c r="A5872" s="284">
        <f t="shared" si="1082"/>
        <v>5804</v>
      </c>
      <c r="B5872" s="285">
        <v>-1.4553128431380571</v>
      </c>
      <c r="C5872" s="285">
        <v>2.4044408648050157</v>
      </c>
      <c r="D5872" s="285">
        <v>-0.88312816512591086</v>
      </c>
      <c r="E5872" s="285">
        <v>1.9897733596418594</v>
      </c>
    </row>
    <row r="5873" spans="1:5">
      <c r="A5873" s="284">
        <f t="shared" si="1082"/>
        <v>5805</v>
      </c>
      <c r="B5873" s="285">
        <v>2.8681362970169073</v>
      </c>
      <c r="C5873" s="285">
        <v>1.9405076421912044</v>
      </c>
      <c r="D5873" s="285">
        <v>1.7365987345547982</v>
      </c>
      <c r="E5873" s="285">
        <v>-12.470325493148108</v>
      </c>
    </row>
    <row r="5874" spans="1:5">
      <c r="A5874" s="284">
        <f t="shared" si="1082"/>
        <v>5806</v>
      </c>
      <c r="B5874" s="285">
        <v>3.4436111630920041</v>
      </c>
      <c r="C5874" s="285">
        <v>3.2213392392533375</v>
      </c>
      <c r="D5874" s="285">
        <v>0.38251489209609668</v>
      </c>
      <c r="E5874" s="285">
        <v>7.3593558167791251</v>
      </c>
    </row>
    <row r="5875" spans="1:5">
      <c r="A5875" s="284">
        <f t="shared" si="1082"/>
        <v>5807</v>
      </c>
      <c r="B5875" s="285">
        <v>-1.681904787787706</v>
      </c>
      <c r="C5875" s="285">
        <v>2.0065992814284876</v>
      </c>
      <c r="D5875" s="285">
        <v>1.0479729564421676</v>
      </c>
      <c r="E5875" s="285">
        <v>-5.8844263622304318</v>
      </c>
    </row>
    <row r="5876" spans="1:5">
      <c r="A5876" s="284">
        <f t="shared" si="1082"/>
        <v>5808</v>
      </c>
      <c r="B5876" s="285">
        <v>-0.60265080660355108</v>
      </c>
      <c r="C5876" s="285">
        <v>3.0775319762378652</v>
      </c>
      <c r="D5876" s="285">
        <v>0.87599901299730398</v>
      </c>
      <c r="E5876" s="285">
        <v>9.4611227055827598</v>
      </c>
    </row>
    <row r="5877" spans="1:5">
      <c r="A5877" s="284">
        <f t="shared" si="1082"/>
        <v>5809</v>
      </c>
      <c r="B5877" s="285">
        <v>3.9882185927022999</v>
      </c>
      <c r="C5877" s="285">
        <v>3.1249799870148673</v>
      </c>
      <c r="D5877" s="285">
        <v>3.4948340972321077</v>
      </c>
      <c r="E5877" s="285">
        <v>8.9667052238667626</v>
      </c>
    </row>
    <row r="5878" spans="1:5">
      <c r="A5878" s="284">
        <f t="shared" si="1082"/>
        <v>5810</v>
      </c>
      <c r="B5878" s="285">
        <v>2.2313073038143791</v>
      </c>
      <c r="C5878" s="285">
        <v>2.9374241159509071</v>
      </c>
      <c r="D5878" s="285">
        <v>2.5501503919476951</v>
      </c>
      <c r="E5878" s="285">
        <v>-6.9156384072803707</v>
      </c>
    </row>
    <row r="5879" spans="1:5">
      <c r="A5879" s="284">
        <f t="shared" si="1082"/>
        <v>5811</v>
      </c>
      <c r="B5879" s="285">
        <v>-1.2559444438392162</v>
      </c>
      <c r="C5879" s="285">
        <v>2.177956094988037</v>
      </c>
      <c r="D5879" s="285">
        <v>0.19949635343503591</v>
      </c>
      <c r="E5879" s="285">
        <v>-13.873002395057526</v>
      </c>
    </row>
    <row r="5880" spans="1:5">
      <c r="A5880" s="284">
        <f t="shared" si="1082"/>
        <v>5812</v>
      </c>
      <c r="B5880" s="285">
        <v>-2.0511737318264665</v>
      </c>
      <c r="C5880" s="285">
        <v>2.3088002857244714</v>
      </c>
      <c r="D5880" s="285">
        <v>0.2755170409883092</v>
      </c>
      <c r="E5880" s="285">
        <v>-7.1156290601022061</v>
      </c>
    </row>
    <row r="5881" spans="1:5">
      <c r="A5881" s="284">
        <f t="shared" si="1082"/>
        <v>5813</v>
      </c>
      <c r="B5881" s="285">
        <v>2.5657779087175041</v>
      </c>
      <c r="C5881" s="285">
        <v>2.7945576610350793</v>
      </c>
      <c r="D5881" s="285">
        <v>2.5122958390368963</v>
      </c>
      <c r="E5881" s="285">
        <v>-5.6976688859926625</v>
      </c>
    </row>
    <row r="5882" spans="1:5">
      <c r="A5882" s="284">
        <f t="shared" si="1082"/>
        <v>5814</v>
      </c>
      <c r="B5882" s="285">
        <v>5.53735214440304</v>
      </c>
      <c r="C5882" s="285">
        <v>3.131628601610426</v>
      </c>
      <c r="D5882" s="285">
        <v>2.9317557062722424</v>
      </c>
      <c r="E5882" s="285">
        <v>13.63295903309243</v>
      </c>
    </row>
    <row r="5883" spans="1:5">
      <c r="A5883" s="284">
        <f t="shared" si="1082"/>
        <v>5815</v>
      </c>
      <c r="B5883" s="285">
        <v>2.7345563229561183</v>
      </c>
      <c r="C5883" s="285">
        <v>3.2611897624055275</v>
      </c>
      <c r="D5883" s="285">
        <v>0.89385581116813617</v>
      </c>
      <c r="E5883" s="285">
        <v>10.17335027336868</v>
      </c>
    </row>
    <row r="5884" spans="1:5">
      <c r="A5884" s="284">
        <f t="shared" si="1082"/>
        <v>5816</v>
      </c>
      <c r="B5884" s="285">
        <v>-2.8082612582813957</v>
      </c>
      <c r="C5884" s="285">
        <v>2.7100662871540457</v>
      </c>
      <c r="D5884" s="285">
        <v>-0.68723869856992947</v>
      </c>
      <c r="E5884" s="285">
        <v>9.2756947677205002</v>
      </c>
    </row>
    <row r="5885" spans="1:5">
      <c r="A5885" s="284">
        <f t="shared" si="1082"/>
        <v>5817</v>
      </c>
      <c r="B5885" s="285">
        <v>-1.7354560983045673</v>
      </c>
      <c r="C5885" s="285">
        <v>3.4972238774356805</v>
      </c>
      <c r="D5885" s="285">
        <v>-0.92732627282759061</v>
      </c>
      <c r="E5885" s="285">
        <v>15.877217017981845</v>
      </c>
    </row>
    <row r="5886" spans="1:5">
      <c r="A5886" s="284">
        <f t="shared" si="1082"/>
        <v>5818</v>
      </c>
      <c r="B5886" s="285">
        <v>-2.7880927070154113</v>
      </c>
      <c r="C5886" s="285">
        <v>1.5499607282906287</v>
      </c>
      <c r="D5886" s="285">
        <v>1.0046702184633982</v>
      </c>
      <c r="E5886" s="285">
        <v>-18.536151152186143</v>
      </c>
    </row>
    <row r="5887" spans="1:5">
      <c r="A5887" s="284">
        <f t="shared" si="1082"/>
        <v>5819</v>
      </c>
      <c r="B5887" s="285">
        <v>3.7009176711154503</v>
      </c>
      <c r="C5887" s="285">
        <v>2.5543182451309026</v>
      </c>
      <c r="D5887" s="285">
        <v>1.8218427902942576</v>
      </c>
      <c r="E5887" s="285">
        <v>-9.1239060770706502</v>
      </c>
    </row>
    <row r="5888" spans="1:5">
      <c r="A5888" s="284">
        <f t="shared" si="1082"/>
        <v>5820</v>
      </c>
      <c r="B5888" s="285">
        <v>-3.8815311281458142</v>
      </c>
      <c r="C5888" s="285">
        <v>2.242268758015562</v>
      </c>
      <c r="D5888" s="285">
        <v>-1.0328755276794297</v>
      </c>
      <c r="E5888" s="285">
        <v>5.1224752790572445</v>
      </c>
    </row>
    <row r="5889" spans="1:5">
      <c r="A5889" s="284">
        <f t="shared" si="1082"/>
        <v>5821</v>
      </c>
      <c r="B5889" s="285">
        <v>-0.15295503628302753</v>
      </c>
      <c r="C5889" s="285">
        <v>2.6932120359614284</v>
      </c>
      <c r="D5889" s="285">
        <v>0.27304739637792552</v>
      </c>
      <c r="E5889" s="285">
        <v>10.939279667934162</v>
      </c>
    </row>
    <row r="5890" spans="1:5">
      <c r="A5890" s="284">
        <f t="shared" si="1082"/>
        <v>5822</v>
      </c>
      <c r="B5890" s="285">
        <v>-1.0507769398174269</v>
      </c>
      <c r="C5890" s="285">
        <v>2.2777479819134516</v>
      </c>
      <c r="D5890" s="285">
        <v>2.0714978225995333</v>
      </c>
      <c r="E5890" s="285">
        <v>2.476538095544266</v>
      </c>
    </row>
    <row r="5891" spans="1:5">
      <c r="A5891" s="284">
        <f t="shared" si="1082"/>
        <v>5823</v>
      </c>
      <c r="B5891" s="285">
        <v>0.27805296565200838</v>
      </c>
      <c r="C5891" s="285">
        <v>1.8449313619351533</v>
      </c>
      <c r="D5891" s="285">
        <v>1.7420188079373693</v>
      </c>
      <c r="E5891" s="285">
        <v>-16.254129010879371</v>
      </c>
    </row>
    <row r="5892" spans="1:5">
      <c r="A5892" s="284">
        <f t="shared" si="1082"/>
        <v>5824</v>
      </c>
      <c r="B5892" s="285">
        <v>1.689245930000437</v>
      </c>
      <c r="C5892" s="285">
        <v>2.5008563849054677</v>
      </c>
      <c r="D5892" s="285">
        <v>0.78195062438555274</v>
      </c>
      <c r="E5892" s="285">
        <v>-12.439445521420485</v>
      </c>
    </row>
    <row r="5893" spans="1:5">
      <c r="A5893" s="284">
        <f t="shared" si="1082"/>
        <v>5825</v>
      </c>
      <c r="B5893" s="285">
        <v>-2.6508077479324297</v>
      </c>
      <c r="C5893" s="285">
        <v>1.953302951532627</v>
      </c>
      <c r="D5893" s="285">
        <v>-0.20885941699231969</v>
      </c>
      <c r="E5893" s="285">
        <v>-6.9120013842881267</v>
      </c>
    </row>
    <row r="5894" spans="1:5">
      <c r="A5894" s="284">
        <f t="shared" si="1082"/>
        <v>5826</v>
      </c>
      <c r="B5894" s="285">
        <v>3.2128005938914885</v>
      </c>
      <c r="C5894" s="285">
        <v>3.1908392483409207</v>
      </c>
      <c r="D5894" s="285">
        <v>1.6099819547770871</v>
      </c>
      <c r="E5894" s="285">
        <v>2.9428185865395751E-2</v>
      </c>
    </row>
    <row r="5895" spans="1:5">
      <c r="A5895" s="284">
        <f t="shared" ref="A5895:A5958" si="1083">A5894+1</f>
        <v>5827</v>
      </c>
      <c r="B5895" s="285">
        <v>0.55008522358495593</v>
      </c>
      <c r="C5895" s="285">
        <v>2.0863721723741202</v>
      </c>
      <c r="D5895" s="285">
        <v>0.73227385901790409</v>
      </c>
      <c r="E5895" s="285">
        <v>-12.731328910422032</v>
      </c>
    </row>
    <row r="5896" spans="1:5">
      <c r="A5896" s="284">
        <f t="shared" si="1083"/>
        <v>5828</v>
      </c>
      <c r="B5896" s="285">
        <v>-2.6905068924710891</v>
      </c>
      <c r="C5896" s="285">
        <v>2.0544503500514302</v>
      </c>
      <c r="D5896" s="285">
        <v>0.57272666412234574</v>
      </c>
      <c r="E5896" s="285">
        <v>1.4488188595452454</v>
      </c>
    </row>
    <row r="5897" spans="1:5">
      <c r="A5897" s="284">
        <f t="shared" si="1083"/>
        <v>5829</v>
      </c>
      <c r="B5897" s="285">
        <v>-1.0647285912337683</v>
      </c>
      <c r="C5897" s="285">
        <v>2.2978232746946161</v>
      </c>
      <c r="D5897" s="285">
        <v>-0.31962163898696705</v>
      </c>
      <c r="E5897" s="285">
        <v>-2.5292624817122529</v>
      </c>
    </row>
    <row r="5898" spans="1:5">
      <c r="A5898" s="284">
        <f t="shared" si="1083"/>
        <v>5830</v>
      </c>
      <c r="B5898" s="285">
        <v>0.38908989695941371</v>
      </c>
      <c r="C5898" s="285">
        <v>2.722302707192557</v>
      </c>
      <c r="D5898" s="285">
        <v>2.5310521241079131</v>
      </c>
      <c r="E5898" s="285">
        <v>-0.25786961426236665</v>
      </c>
    </row>
    <row r="5899" spans="1:5">
      <c r="A5899" s="284">
        <f t="shared" si="1083"/>
        <v>5831</v>
      </c>
      <c r="B5899" s="285">
        <v>-7.0351101118262784</v>
      </c>
      <c r="C5899" s="285">
        <v>2.0972365683753091</v>
      </c>
      <c r="D5899" s="285">
        <v>-1.4911692874153575</v>
      </c>
      <c r="E5899" s="285">
        <v>4.6396705037450747</v>
      </c>
    </row>
    <row r="5900" spans="1:5">
      <c r="A5900" s="284">
        <f t="shared" si="1083"/>
        <v>5832</v>
      </c>
      <c r="B5900" s="285">
        <v>-3.3459827916326219</v>
      </c>
      <c r="C5900" s="285">
        <v>2.2011476414348219</v>
      </c>
      <c r="D5900" s="285">
        <v>0.90835097690646327</v>
      </c>
      <c r="E5900" s="285">
        <v>-5.2710994889436265</v>
      </c>
    </row>
    <row r="5901" spans="1:5">
      <c r="A5901" s="284">
        <f t="shared" si="1083"/>
        <v>5833</v>
      </c>
      <c r="B5901" s="285">
        <v>4.9729355097876891</v>
      </c>
      <c r="C5901" s="285">
        <v>2.5917413515820558</v>
      </c>
      <c r="D5901" s="285">
        <v>1.6695160489876124</v>
      </c>
      <c r="E5901" s="285">
        <v>-21.735759087134323</v>
      </c>
    </row>
    <row r="5902" spans="1:5">
      <c r="A5902" s="284">
        <f t="shared" si="1083"/>
        <v>5834</v>
      </c>
      <c r="B5902" s="285">
        <v>0.54178492765355846</v>
      </c>
      <c r="C5902" s="285">
        <v>2.157216729532732</v>
      </c>
      <c r="D5902" s="285">
        <v>2.1392571170984835</v>
      </c>
      <c r="E5902" s="285">
        <v>-0.77807986444777422</v>
      </c>
    </row>
    <row r="5903" spans="1:5">
      <c r="A5903" s="284">
        <f t="shared" si="1083"/>
        <v>5835</v>
      </c>
      <c r="B5903" s="285">
        <v>1.8071124045228151</v>
      </c>
      <c r="C5903" s="285">
        <v>2.8965226457388651</v>
      </c>
      <c r="D5903" s="285">
        <v>2.3865735904407397</v>
      </c>
      <c r="E5903" s="285">
        <v>3.6217132633133198</v>
      </c>
    </row>
    <row r="5904" spans="1:5">
      <c r="A5904" s="284">
        <f t="shared" si="1083"/>
        <v>5836</v>
      </c>
      <c r="B5904" s="285">
        <v>-3.1264887632012939</v>
      </c>
      <c r="C5904" s="285">
        <v>2.7831734821252252</v>
      </c>
      <c r="D5904" s="285">
        <v>-0.81607345406278675</v>
      </c>
      <c r="E5904" s="285">
        <v>8.313268256796821</v>
      </c>
    </row>
    <row r="5905" spans="1:5">
      <c r="A5905" s="284">
        <f t="shared" si="1083"/>
        <v>5837</v>
      </c>
      <c r="B5905" s="285">
        <v>0.42483158038567936</v>
      </c>
      <c r="C5905" s="285">
        <v>2.6067562982988943</v>
      </c>
      <c r="D5905" s="285">
        <v>0.72301661324935418</v>
      </c>
      <c r="E5905" s="285">
        <v>-7.4193039535118146</v>
      </c>
    </row>
    <row r="5906" spans="1:5">
      <c r="A5906" s="284">
        <f t="shared" si="1083"/>
        <v>5838</v>
      </c>
      <c r="B5906" s="285">
        <v>-5.9300717700123233E-2</v>
      </c>
      <c r="C5906" s="285">
        <v>2.9106148503820539</v>
      </c>
      <c r="D5906" s="285">
        <v>4.6130037755078792</v>
      </c>
      <c r="E5906" s="285">
        <v>10.739771593535355</v>
      </c>
    </row>
    <row r="5907" spans="1:5">
      <c r="A5907" s="284">
        <f t="shared" si="1083"/>
        <v>5839</v>
      </c>
      <c r="B5907" s="285">
        <v>3.8349718383387539</v>
      </c>
      <c r="C5907" s="285">
        <v>3.0591226628301262</v>
      </c>
      <c r="D5907" s="285">
        <v>2.3523873308948478</v>
      </c>
      <c r="E5907" s="285">
        <v>-1.7665149908238011</v>
      </c>
    </row>
    <row r="5908" spans="1:5">
      <c r="A5908" s="284">
        <f t="shared" si="1083"/>
        <v>5840</v>
      </c>
      <c r="B5908" s="285">
        <v>-1.0221505308687702</v>
      </c>
      <c r="C5908" s="285">
        <v>2.1736248227969317</v>
      </c>
      <c r="D5908" s="285">
        <v>1.4497957186227985</v>
      </c>
      <c r="E5908" s="285">
        <v>-6.7108439078332918</v>
      </c>
    </row>
    <row r="5909" spans="1:5">
      <c r="A5909" s="284">
        <f t="shared" si="1083"/>
        <v>5841</v>
      </c>
      <c r="B5909" s="285">
        <v>4.6508242079627893</v>
      </c>
      <c r="C5909" s="285">
        <v>2.7187976344103819</v>
      </c>
      <c r="D5909" s="285">
        <v>-0.90765706274809688</v>
      </c>
      <c r="E5909" s="285">
        <v>-4.7522348578847637</v>
      </c>
    </row>
    <row r="5910" spans="1:5">
      <c r="A5910" s="284">
        <f t="shared" si="1083"/>
        <v>5842</v>
      </c>
      <c r="B5910" s="285">
        <v>2.004423393382798</v>
      </c>
      <c r="C5910" s="285">
        <v>2.4872203472244596</v>
      </c>
      <c r="D5910" s="285">
        <v>1.1502852839736959</v>
      </c>
      <c r="E5910" s="285">
        <v>-3.2741596277032436</v>
      </c>
    </row>
    <row r="5911" spans="1:5">
      <c r="A5911" s="284">
        <f t="shared" si="1083"/>
        <v>5843</v>
      </c>
      <c r="B5911" s="285">
        <v>2.1640205139145285</v>
      </c>
      <c r="C5911" s="285">
        <v>3.5405005747166607</v>
      </c>
      <c r="D5911" s="285">
        <v>0.78090130719772743</v>
      </c>
      <c r="E5911" s="285">
        <v>7.308635017607175</v>
      </c>
    </row>
    <row r="5912" spans="1:5">
      <c r="A5912" s="284">
        <f t="shared" si="1083"/>
        <v>5844</v>
      </c>
      <c r="B5912" s="285">
        <v>2.4958755838912969</v>
      </c>
      <c r="C5912" s="285">
        <v>2.8745861091318909</v>
      </c>
      <c r="D5912" s="285">
        <v>0.18502016223709306</v>
      </c>
      <c r="E5912" s="285">
        <v>0.3939879966593125</v>
      </c>
    </row>
    <row r="5913" spans="1:5">
      <c r="A5913" s="284">
        <f t="shared" si="1083"/>
        <v>5845</v>
      </c>
      <c r="B5913" s="285">
        <v>-1.5686391056255484</v>
      </c>
      <c r="C5913" s="285">
        <v>3.1144565497222452</v>
      </c>
      <c r="D5913" s="285">
        <v>2.5182209069944284</v>
      </c>
      <c r="E5913" s="285">
        <v>11.354308059049643</v>
      </c>
    </row>
    <row r="5914" spans="1:5">
      <c r="A5914" s="284">
        <f t="shared" si="1083"/>
        <v>5846</v>
      </c>
      <c r="B5914" s="285">
        <v>-1.0080801568074169</v>
      </c>
      <c r="C5914" s="285">
        <v>2.7963050955362614</v>
      </c>
      <c r="D5914" s="285">
        <v>0.19332643810682071</v>
      </c>
      <c r="E5914" s="285">
        <v>-1.1460496271316933</v>
      </c>
    </row>
    <row r="5915" spans="1:5">
      <c r="A5915" s="284">
        <f t="shared" si="1083"/>
        <v>5847</v>
      </c>
      <c r="B5915" s="285">
        <v>-0.64872155748588667</v>
      </c>
      <c r="C5915" s="285">
        <v>2.5043858424322329</v>
      </c>
      <c r="D5915" s="285">
        <v>2.3095384158862533</v>
      </c>
      <c r="E5915" s="285">
        <v>-2.4974374565960757</v>
      </c>
    </row>
    <row r="5916" spans="1:5">
      <c r="A5916" s="284">
        <f t="shared" si="1083"/>
        <v>5848</v>
      </c>
      <c r="B5916" s="285">
        <v>-2.0671964016823487</v>
      </c>
      <c r="C5916" s="285">
        <v>1.833956948947602</v>
      </c>
      <c r="D5916" s="285">
        <v>2.6961552660902282</v>
      </c>
      <c r="E5916" s="285">
        <v>-22.964479241137102</v>
      </c>
    </row>
    <row r="5917" spans="1:5">
      <c r="A5917" s="284">
        <f t="shared" si="1083"/>
        <v>5849</v>
      </c>
      <c r="B5917" s="285">
        <v>-2.2935472961184744</v>
      </c>
      <c r="C5917" s="285">
        <v>2.4009906968165837</v>
      </c>
      <c r="D5917" s="285">
        <v>1.9724703208154699</v>
      </c>
      <c r="E5917" s="285">
        <v>-7.2002401107501424</v>
      </c>
    </row>
    <row r="5918" spans="1:5">
      <c r="A5918" s="284">
        <f t="shared" si="1083"/>
        <v>5850</v>
      </c>
      <c r="B5918" s="285">
        <v>1.580959696824155</v>
      </c>
      <c r="C5918" s="285">
        <v>2.5009251311010727</v>
      </c>
      <c r="D5918" s="285">
        <v>1.325410789741736</v>
      </c>
      <c r="E5918" s="285">
        <v>0.88313480093793162</v>
      </c>
    </row>
    <row r="5919" spans="1:5">
      <c r="A5919" s="284">
        <f t="shared" si="1083"/>
        <v>5851</v>
      </c>
      <c r="B5919" s="285">
        <v>-0.46196689985685147</v>
      </c>
      <c r="C5919" s="285">
        <v>2.3094479336928044</v>
      </c>
      <c r="D5919" s="285">
        <v>-0.11544028216655144</v>
      </c>
      <c r="E5919" s="285">
        <v>3.5287441480114734</v>
      </c>
    </row>
    <row r="5920" spans="1:5">
      <c r="A5920" s="284">
        <f t="shared" si="1083"/>
        <v>5852</v>
      </c>
      <c r="B5920" s="285">
        <v>-0.4226698840441197</v>
      </c>
      <c r="C5920" s="285">
        <v>1.7231950909743134</v>
      </c>
      <c r="D5920" s="285">
        <v>3.3151241386639514</v>
      </c>
      <c r="E5920" s="285">
        <v>-19.829048334472528</v>
      </c>
    </row>
    <row r="5921" spans="1:5">
      <c r="A5921" s="284">
        <f t="shared" si="1083"/>
        <v>5853</v>
      </c>
      <c r="B5921" s="285">
        <v>-2.5145872555166888</v>
      </c>
      <c r="C5921" s="285">
        <v>2.4306877892720187</v>
      </c>
      <c r="D5921" s="285">
        <v>-2.0661833258231805</v>
      </c>
      <c r="E5921" s="285">
        <v>2.7000240729183909</v>
      </c>
    </row>
    <row r="5922" spans="1:5">
      <c r="A5922" s="284">
        <f t="shared" si="1083"/>
        <v>5854</v>
      </c>
      <c r="B5922" s="285">
        <v>-0.58422780786010087</v>
      </c>
      <c r="C5922" s="285">
        <v>1.8278283606459129</v>
      </c>
      <c r="D5922" s="285">
        <v>2.8959125255179514</v>
      </c>
      <c r="E5922" s="285">
        <v>-19.268544619663956</v>
      </c>
    </row>
    <row r="5923" spans="1:5">
      <c r="A5923" s="284">
        <f t="shared" si="1083"/>
        <v>5855</v>
      </c>
      <c r="B5923" s="285">
        <v>-3.7255311424086166</v>
      </c>
      <c r="C5923" s="285">
        <v>2.1365530270394077</v>
      </c>
      <c r="D5923" s="285">
        <v>1.5157328624238744</v>
      </c>
      <c r="E5923" s="285">
        <v>-15.13843210681711</v>
      </c>
    </row>
    <row r="5924" spans="1:5">
      <c r="A5924" s="284">
        <f t="shared" si="1083"/>
        <v>5856</v>
      </c>
      <c r="B5924" s="285">
        <v>4.9554927988624424</v>
      </c>
      <c r="C5924" s="285">
        <v>3.1665478572430841</v>
      </c>
      <c r="D5924" s="285">
        <v>2.047486852253158</v>
      </c>
      <c r="E5924" s="285">
        <v>7.2818794620901564</v>
      </c>
    </row>
    <row r="5925" spans="1:5">
      <c r="A5925" s="284">
        <f t="shared" si="1083"/>
        <v>5857</v>
      </c>
      <c r="B5925" s="285">
        <v>-0.36938578078253653</v>
      </c>
      <c r="C5925" s="285">
        <v>2.6485275461558597</v>
      </c>
      <c r="D5925" s="285">
        <v>0.61644456100899958</v>
      </c>
      <c r="E5925" s="285">
        <v>2.0062846101698093</v>
      </c>
    </row>
    <row r="5926" spans="1:5">
      <c r="A5926" s="284">
        <f t="shared" si="1083"/>
        <v>5858</v>
      </c>
      <c r="B5926" s="285">
        <v>-1.9340697052456761</v>
      </c>
      <c r="C5926" s="285">
        <v>2.4100192748255846</v>
      </c>
      <c r="D5926" s="285">
        <v>1.7999499623644364</v>
      </c>
      <c r="E5926" s="285">
        <v>1.0277832634804924</v>
      </c>
    </row>
    <row r="5927" spans="1:5">
      <c r="A5927" s="284">
        <f t="shared" si="1083"/>
        <v>5859</v>
      </c>
      <c r="B5927" s="285">
        <v>-2.5556788287255654</v>
      </c>
      <c r="C5927" s="285">
        <v>1.9430572422204564</v>
      </c>
      <c r="D5927" s="285">
        <v>1.4327702254549437</v>
      </c>
      <c r="E5927" s="285">
        <v>-20.65569609809878</v>
      </c>
    </row>
    <row r="5928" spans="1:5">
      <c r="A5928" s="284">
        <f t="shared" si="1083"/>
        <v>5860</v>
      </c>
      <c r="B5928" s="285">
        <v>0.54560928848540025</v>
      </c>
      <c r="C5928" s="285">
        <v>2.8908503788929747</v>
      </c>
      <c r="D5928" s="285">
        <v>1.4371402598066052</v>
      </c>
      <c r="E5928" s="285">
        <v>2.9602598754045961</v>
      </c>
    </row>
    <row r="5929" spans="1:5">
      <c r="A5929" s="284">
        <f t="shared" si="1083"/>
        <v>5861</v>
      </c>
      <c r="B5929" s="285">
        <v>0.82365402890334416</v>
      </c>
      <c r="C5929" s="285">
        <v>2.242907353897472</v>
      </c>
      <c r="D5929" s="285">
        <v>1.7296103803326768</v>
      </c>
      <c r="E5929" s="285">
        <v>-6.3604418832954916</v>
      </c>
    </row>
    <row r="5930" spans="1:5">
      <c r="A5930" s="284">
        <f t="shared" si="1083"/>
        <v>5862</v>
      </c>
      <c r="B5930" s="285">
        <v>3.4864667145547945</v>
      </c>
      <c r="C5930" s="285">
        <v>3.2846262541798805</v>
      </c>
      <c r="D5930" s="285">
        <v>0.72766692090272456</v>
      </c>
      <c r="E5930" s="285">
        <v>7.5249426557924135</v>
      </c>
    </row>
    <row r="5931" spans="1:5">
      <c r="A5931" s="284">
        <f t="shared" si="1083"/>
        <v>5863</v>
      </c>
      <c r="B5931" s="285">
        <v>1.6913555291235818</v>
      </c>
      <c r="C5931" s="285">
        <v>2.5035590994025876</v>
      </c>
      <c r="D5931" s="285">
        <v>2.1277137807871798</v>
      </c>
      <c r="E5931" s="285">
        <v>-8.1288062051409007</v>
      </c>
    </row>
    <row r="5932" spans="1:5">
      <c r="A5932" s="284">
        <f t="shared" si="1083"/>
        <v>5864</v>
      </c>
      <c r="B5932" s="285">
        <v>1.3309062986370912</v>
      </c>
      <c r="C5932" s="285">
        <v>2.4752715836706178</v>
      </c>
      <c r="D5932" s="285">
        <v>2.2857179651932755</v>
      </c>
      <c r="E5932" s="285">
        <v>1.5470031187467943</v>
      </c>
    </row>
    <row r="5933" spans="1:5">
      <c r="A5933" s="284">
        <f t="shared" si="1083"/>
        <v>5865</v>
      </c>
      <c r="B5933" s="285">
        <v>-1.3314296199404985</v>
      </c>
      <c r="C5933" s="285">
        <v>3.4018966130147232</v>
      </c>
      <c r="D5933" s="285">
        <v>-2.3136764174702713</v>
      </c>
      <c r="E5933" s="285">
        <v>20.659634017171776</v>
      </c>
    </row>
    <row r="5934" spans="1:5">
      <c r="A5934" s="284">
        <f t="shared" si="1083"/>
        <v>5866</v>
      </c>
      <c r="B5934" s="285">
        <v>0.27178470311806929</v>
      </c>
      <c r="C5934" s="285">
        <v>1.9916894972723829</v>
      </c>
      <c r="D5934" s="285">
        <v>2.0082340669149716</v>
      </c>
      <c r="E5934" s="285">
        <v>-4.9084379566637857</v>
      </c>
    </row>
    <row r="5935" spans="1:5">
      <c r="A5935" s="284">
        <f t="shared" si="1083"/>
        <v>5867</v>
      </c>
      <c r="B5935" s="285">
        <v>-6.1269505375073949</v>
      </c>
      <c r="C5935" s="285">
        <v>2.3526953102801746</v>
      </c>
      <c r="D5935" s="285">
        <v>1.1541190083513198</v>
      </c>
      <c r="E5935" s="285">
        <v>-6.7820964203666865</v>
      </c>
    </row>
    <row r="5936" spans="1:5">
      <c r="A5936" s="284">
        <f t="shared" si="1083"/>
        <v>5868</v>
      </c>
      <c r="B5936" s="285">
        <v>-0.86009877138061552</v>
      </c>
      <c r="C5936" s="285">
        <v>2.5577456929977651</v>
      </c>
      <c r="D5936" s="285">
        <v>0.87790315500573946</v>
      </c>
      <c r="E5936" s="285">
        <v>-1.6177494543224844</v>
      </c>
    </row>
    <row r="5937" spans="1:5">
      <c r="A5937" s="284">
        <f t="shared" si="1083"/>
        <v>5869</v>
      </c>
      <c r="B5937" s="285">
        <v>3.7493808489728266</v>
      </c>
      <c r="C5937" s="285">
        <v>2.0079713644546211</v>
      </c>
      <c r="D5937" s="285">
        <v>2.5658641453091331</v>
      </c>
      <c r="E5937" s="285">
        <v>-11.864508522751088</v>
      </c>
    </row>
    <row r="5938" spans="1:5">
      <c r="A5938" s="284">
        <f t="shared" si="1083"/>
        <v>5870</v>
      </c>
      <c r="B5938" s="285">
        <v>0.3837621809885195</v>
      </c>
      <c r="C5938" s="285">
        <v>2.863258941938156</v>
      </c>
      <c r="D5938" s="285">
        <v>1.0087817172548341</v>
      </c>
      <c r="E5938" s="285">
        <v>-4.2907724450453877</v>
      </c>
    </row>
    <row r="5939" spans="1:5">
      <c r="A5939" s="284">
        <f t="shared" si="1083"/>
        <v>5871</v>
      </c>
      <c r="B5939" s="285">
        <v>-1.688949064992153E-2</v>
      </c>
      <c r="C5939" s="285">
        <v>2.1704902499214129</v>
      </c>
      <c r="D5939" s="285">
        <v>1.2175096595600032</v>
      </c>
      <c r="E5939" s="285">
        <v>-1.9005867313687212</v>
      </c>
    </row>
    <row r="5940" spans="1:5">
      <c r="A5940" s="284">
        <f t="shared" si="1083"/>
        <v>5872</v>
      </c>
      <c r="B5940" s="285">
        <v>-1.6770630060576319</v>
      </c>
      <c r="C5940" s="285">
        <v>2.8355700380193665</v>
      </c>
      <c r="D5940" s="285">
        <v>0.61508122022920153</v>
      </c>
      <c r="E5940" s="285">
        <v>7.7931504379337913</v>
      </c>
    </row>
    <row r="5941" spans="1:5">
      <c r="A5941" s="284">
        <f t="shared" si="1083"/>
        <v>5873</v>
      </c>
      <c r="B5941" s="285">
        <v>-1.9622494928187131</v>
      </c>
      <c r="C5941" s="285">
        <v>1.8085429833299882</v>
      </c>
      <c r="D5941" s="285">
        <v>3.1418408503166004</v>
      </c>
      <c r="E5941" s="285">
        <v>-20.273844182458429</v>
      </c>
    </row>
    <row r="5942" spans="1:5">
      <c r="A5942" s="284">
        <f t="shared" si="1083"/>
        <v>5874</v>
      </c>
      <c r="B5942" s="285">
        <v>-0.2774764269887251</v>
      </c>
      <c r="C5942" s="285">
        <v>2.7729515377117937</v>
      </c>
      <c r="D5942" s="285">
        <v>2.2568454232332016</v>
      </c>
      <c r="E5942" s="285">
        <v>-3.7758011922692778</v>
      </c>
    </row>
    <row r="5943" spans="1:5">
      <c r="A5943" s="284">
        <f t="shared" si="1083"/>
        <v>5875</v>
      </c>
      <c r="B5943" s="285">
        <v>-1.5437236217703461</v>
      </c>
      <c r="C5943" s="285">
        <v>2.2423857611820512</v>
      </c>
      <c r="D5943" s="285">
        <v>1.0398530974096256</v>
      </c>
      <c r="E5943" s="285">
        <v>-19.823177595397958</v>
      </c>
    </row>
    <row r="5944" spans="1:5">
      <c r="A5944" s="284">
        <f t="shared" si="1083"/>
        <v>5876</v>
      </c>
      <c r="B5944" s="285">
        <v>4.403195793389477</v>
      </c>
      <c r="C5944" s="285">
        <v>2.9918728455600831</v>
      </c>
      <c r="D5944" s="285">
        <v>1.4691134900415705</v>
      </c>
      <c r="E5944" s="285">
        <v>15.087922407027587</v>
      </c>
    </row>
    <row r="5945" spans="1:5">
      <c r="A5945" s="284">
        <f t="shared" si="1083"/>
        <v>5877</v>
      </c>
      <c r="B5945" s="285">
        <v>2.9961445023199116</v>
      </c>
      <c r="C5945" s="285">
        <v>3.1362696007377426</v>
      </c>
      <c r="D5945" s="285">
        <v>1.8714767355545914</v>
      </c>
      <c r="E5945" s="285">
        <v>0.84872031969959894</v>
      </c>
    </row>
    <row r="5946" spans="1:5">
      <c r="A5946" s="284">
        <f t="shared" si="1083"/>
        <v>5878</v>
      </c>
      <c r="B5946" s="285">
        <v>-5.4789940934472101</v>
      </c>
      <c r="C5946" s="285">
        <v>2.410171877874554</v>
      </c>
      <c r="D5946" s="285">
        <v>-1.4463306880967597</v>
      </c>
      <c r="E5946" s="285">
        <v>9.64696168301694</v>
      </c>
    </row>
    <row r="5947" spans="1:5">
      <c r="A5947" s="284">
        <f t="shared" si="1083"/>
        <v>5879</v>
      </c>
      <c r="B5947" s="285">
        <v>-1.8952407567538083</v>
      </c>
      <c r="C5947" s="285">
        <v>2.3893069984356532</v>
      </c>
      <c r="D5947" s="285">
        <v>-0.61703091952589828</v>
      </c>
      <c r="E5947" s="285">
        <v>0.9983562870930851</v>
      </c>
    </row>
    <row r="5948" spans="1:5">
      <c r="A5948" s="284">
        <f t="shared" si="1083"/>
        <v>5880</v>
      </c>
      <c r="B5948" s="285">
        <v>-0.39471759683128571</v>
      </c>
      <c r="C5948" s="285">
        <v>3.3283065016786937</v>
      </c>
      <c r="D5948" s="285">
        <v>0.97424828837239474</v>
      </c>
      <c r="E5948" s="285">
        <v>20.043553158088688</v>
      </c>
    </row>
    <row r="5949" spans="1:5">
      <c r="A5949" s="284">
        <f t="shared" si="1083"/>
        <v>5881</v>
      </c>
      <c r="B5949" s="285">
        <v>-2.3869293616924372</v>
      </c>
      <c r="C5949" s="285">
        <v>3.2761542827646473</v>
      </c>
      <c r="D5949" s="285">
        <v>0.6216873599990258</v>
      </c>
      <c r="E5949" s="285">
        <v>14.016572256469633</v>
      </c>
    </row>
    <row r="5950" spans="1:5">
      <c r="A5950" s="284">
        <f t="shared" si="1083"/>
        <v>5882</v>
      </c>
      <c r="B5950" s="285">
        <v>-2.7045662408305238</v>
      </c>
      <c r="C5950" s="285">
        <v>2.1864489390429429</v>
      </c>
      <c r="D5950" s="285">
        <v>1.4784000846722121</v>
      </c>
      <c r="E5950" s="285">
        <v>-8.0623357181794102</v>
      </c>
    </row>
    <row r="5951" spans="1:5">
      <c r="A5951" s="284">
        <f t="shared" si="1083"/>
        <v>5883</v>
      </c>
      <c r="B5951" s="285">
        <v>-1.1577687954320353</v>
      </c>
      <c r="C5951" s="285">
        <v>2.6121318119911474</v>
      </c>
      <c r="D5951" s="285">
        <v>3.1406398056893114</v>
      </c>
      <c r="E5951" s="285">
        <v>-12.068861778335144</v>
      </c>
    </row>
    <row r="5952" spans="1:5">
      <c r="A5952" s="284">
        <f t="shared" si="1083"/>
        <v>5884</v>
      </c>
      <c r="B5952" s="285">
        <v>4.037959413492648</v>
      </c>
      <c r="C5952" s="285">
        <v>3.274957609369741</v>
      </c>
      <c r="D5952" s="285">
        <v>-7.0806574890693419E-2</v>
      </c>
      <c r="E5952" s="285">
        <v>2.5709877803420498</v>
      </c>
    </row>
    <row r="5953" spans="1:5">
      <c r="A5953" s="284">
        <f t="shared" si="1083"/>
        <v>5885</v>
      </c>
      <c r="B5953" s="285">
        <v>-1.207738015280408</v>
      </c>
      <c r="C5953" s="285">
        <v>2.0057324130150844</v>
      </c>
      <c r="D5953" s="285">
        <v>1.7488799873109362</v>
      </c>
      <c r="E5953" s="285">
        <v>-8.4750830625864264</v>
      </c>
    </row>
    <row r="5954" spans="1:5">
      <c r="A5954" s="284">
        <f t="shared" si="1083"/>
        <v>5886</v>
      </c>
      <c r="B5954" s="285">
        <v>4.9458030478012764</v>
      </c>
      <c r="C5954" s="285">
        <v>2.6437027872144951</v>
      </c>
      <c r="D5954" s="285">
        <v>2.9940792778062257</v>
      </c>
      <c r="E5954" s="285">
        <v>1.5958318749744591</v>
      </c>
    </row>
    <row r="5955" spans="1:5">
      <c r="A5955" s="284">
        <f t="shared" si="1083"/>
        <v>5887</v>
      </c>
      <c r="B5955" s="285">
        <v>-0.87864078476484053</v>
      </c>
      <c r="C5955" s="285">
        <v>1.882688571611177</v>
      </c>
      <c r="D5955" s="285">
        <v>-0.99742309795851192</v>
      </c>
      <c r="E5955" s="285">
        <v>-4.2469647385204379</v>
      </c>
    </row>
    <row r="5956" spans="1:5">
      <c r="A5956" s="284">
        <f t="shared" si="1083"/>
        <v>5888</v>
      </c>
      <c r="B5956" s="285">
        <v>0.43184806536381182</v>
      </c>
      <c r="C5956" s="285">
        <v>2.9010458254708156</v>
      </c>
      <c r="D5956" s="285">
        <v>3.0365349403807871</v>
      </c>
      <c r="E5956" s="285">
        <v>2.0673344829530342</v>
      </c>
    </row>
    <row r="5957" spans="1:5">
      <c r="A5957" s="284">
        <f t="shared" si="1083"/>
        <v>5889</v>
      </c>
      <c r="B5957" s="285">
        <v>-0.60392815324694915</v>
      </c>
      <c r="C5957" s="285">
        <v>3.1815397182532275</v>
      </c>
      <c r="D5957" s="285">
        <v>0.38069421294938977</v>
      </c>
      <c r="E5957" s="285">
        <v>5.9924427482724685</v>
      </c>
    </row>
    <row r="5958" spans="1:5">
      <c r="A5958" s="284">
        <f t="shared" si="1083"/>
        <v>5890</v>
      </c>
      <c r="B5958" s="285">
        <v>1.3581797348452962</v>
      </c>
      <c r="C5958" s="285">
        <v>3.0264691041810785</v>
      </c>
      <c r="D5958" s="285">
        <v>2.5146598110986904</v>
      </c>
      <c r="E5958" s="285">
        <v>0.74782317318267122</v>
      </c>
    </row>
    <row r="5959" spans="1:5">
      <c r="A5959" s="284">
        <f t="shared" ref="A5959:A6022" si="1084">A5958+1</f>
        <v>5891</v>
      </c>
      <c r="B5959" s="285">
        <v>1.1663274092180704</v>
      </c>
      <c r="C5959" s="285">
        <v>1.7501530771775511</v>
      </c>
      <c r="D5959" s="285">
        <v>3.7849181806834653</v>
      </c>
      <c r="E5959" s="285">
        <v>-16.614848746472131</v>
      </c>
    </row>
    <row r="5960" spans="1:5">
      <c r="A5960" s="284">
        <f t="shared" si="1084"/>
        <v>5892</v>
      </c>
      <c r="B5960" s="285">
        <v>0.61859642067983434</v>
      </c>
      <c r="C5960" s="285">
        <v>1.9507806499940901</v>
      </c>
      <c r="D5960" s="285">
        <v>2.8194626695249436</v>
      </c>
      <c r="E5960" s="285">
        <v>-5.054238362994079</v>
      </c>
    </row>
    <row r="5961" spans="1:5">
      <c r="A5961" s="284">
        <f t="shared" si="1084"/>
        <v>5893</v>
      </c>
      <c r="B5961" s="285">
        <v>0.58319677284354965</v>
      </c>
      <c r="C5961" s="285">
        <v>1.900721832021762</v>
      </c>
      <c r="D5961" s="285">
        <v>2.1574507018616838</v>
      </c>
      <c r="E5961" s="285">
        <v>-15.674463126109861</v>
      </c>
    </row>
    <row r="5962" spans="1:5">
      <c r="A5962" s="284">
        <f t="shared" si="1084"/>
        <v>5894</v>
      </c>
      <c r="B5962" s="285">
        <v>3.4708567052795396</v>
      </c>
      <c r="C5962" s="285">
        <v>2.5001806556641304</v>
      </c>
      <c r="D5962" s="285">
        <v>2.2615912452503841</v>
      </c>
      <c r="E5962" s="285">
        <v>4.4233512919896469</v>
      </c>
    </row>
    <row r="5963" spans="1:5">
      <c r="A5963" s="284">
        <f t="shared" si="1084"/>
        <v>5895</v>
      </c>
      <c r="B5963" s="285">
        <v>1.15875484681612</v>
      </c>
      <c r="C5963" s="285">
        <v>2.3718666311143561</v>
      </c>
      <c r="D5963" s="285">
        <v>4.1832425603897327</v>
      </c>
      <c r="E5963" s="285">
        <v>-3.174801393443714</v>
      </c>
    </row>
    <row r="5964" spans="1:5">
      <c r="A5964" s="284">
        <f t="shared" si="1084"/>
        <v>5896</v>
      </c>
      <c r="B5964" s="285">
        <v>-3.7774313914897966</v>
      </c>
      <c r="C5964" s="285">
        <v>2.6246055925213847</v>
      </c>
      <c r="D5964" s="285">
        <v>0.98039286211165122</v>
      </c>
      <c r="E5964" s="285">
        <v>10.388651623646407</v>
      </c>
    </row>
    <row r="5965" spans="1:5">
      <c r="A5965" s="284">
        <f t="shared" si="1084"/>
        <v>5897</v>
      </c>
      <c r="B5965" s="285">
        <v>1.8260389454121111</v>
      </c>
      <c r="C5965" s="285">
        <v>2.2308563570269433</v>
      </c>
      <c r="D5965" s="285">
        <v>1.0114289924655484</v>
      </c>
      <c r="E5965" s="285">
        <v>-22.620893764125594</v>
      </c>
    </row>
    <row r="5966" spans="1:5">
      <c r="A5966" s="284">
        <f t="shared" si="1084"/>
        <v>5898</v>
      </c>
      <c r="B5966" s="285">
        <v>0.42420153915297537</v>
      </c>
      <c r="C5966" s="285">
        <v>1.9245836473898601</v>
      </c>
      <c r="D5966" s="285">
        <v>2.1617763425854366</v>
      </c>
      <c r="E5966" s="285">
        <v>-8.8066499968165886</v>
      </c>
    </row>
    <row r="5967" spans="1:5">
      <c r="A5967" s="284">
        <f t="shared" si="1084"/>
        <v>5899</v>
      </c>
      <c r="B5967" s="285">
        <v>2.4998824058366655</v>
      </c>
      <c r="C5967" s="285">
        <v>2.9591470482383522</v>
      </c>
      <c r="D5967" s="285">
        <v>1.4389974088919795</v>
      </c>
      <c r="E5967" s="285">
        <v>0.83497522651881306</v>
      </c>
    </row>
    <row r="5968" spans="1:5">
      <c r="A5968" s="284">
        <f t="shared" si="1084"/>
        <v>5900</v>
      </c>
      <c r="B5968" s="285">
        <v>-0.17665083077675278</v>
      </c>
      <c r="C5968" s="285">
        <v>2.5102966696294975</v>
      </c>
      <c r="D5968" s="285">
        <v>-0.41180573893374084</v>
      </c>
      <c r="E5968" s="285">
        <v>-9.6636953492447049</v>
      </c>
    </row>
    <row r="5969" spans="1:5">
      <c r="A5969" s="284">
        <f t="shared" si="1084"/>
        <v>5901</v>
      </c>
      <c r="B5969" s="285">
        <v>2.2601628015876547</v>
      </c>
      <c r="C5969" s="285">
        <v>2.0404752440843152</v>
      </c>
      <c r="D5969" s="285">
        <v>2.0768613281049264</v>
      </c>
      <c r="E5969" s="285">
        <v>-11.35852970948798</v>
      </c>
    </row>
    <row r="5970" spans="1:5">
      <c r="A5970" s="284">
        <f t="shared" si="1084"/>
        <v>5902</v>
      </c>
      <c r="B5970" s="285">
        <v>1.446707012478371</v>
      </c>
      <c r="C5970" s="285">
        <v>1.9463734412921565</v>
      </c>
      <c r="D5970" s="285">
        <v>1.7890336332094154</v>
      </c>
      <c r="E5970" s="285">
        <v>-12.783581635396533</v>
      </c>
    </row>
    <row r="5971" spans="1:5">
      <c r="A5971" s="284">
        <f t="shared" si="1084"/>
        <v>5903</v>
      </c>
      <c r="B5971" s="285">
        <v>-0.67374409138829516</v>
      </c>
      <c r="C5971" s="285">
        <v>2.5735873668602864</v>
      </c>
      <c r="D5971" s="285">
        <v>1.2860247915780052</v>
      </c>
      <c r="E5971" s="285">
        <v>-1.5137170136692886</v>
      </c>
    </row>
    <row r="5972" spans="1:5">
      <c r="A5972" s="284">
        <f t="shared" si="1084"/>
        <v>5904</v>
      </c>
      <c r="B5972" s="285">
        <v>-2.7576192682471357</v>
      </c>
      <c r="C5972" s="285">
        <v>2.0139760326674385</v>
      </c>
      <c r="D5972" s="285">
        <v>2.2446150988503986</v>
      </c>
      <c r="E5972" s="285">
        <v>-25.934921705597805</v>
      </c>
    </row>
    <row r="5973" spans="1:5">
      <c r="A5973" s="284">
        <f t="shared" si="1084"/>
        <v>5905</v>
      </c>
      <c r="B5973" s="285">
        <v>0.46207597894076236</v>
      </c>
      <c r="C5973" s="285">
        <v>1.8160771369375399</v>
      </c>
      <c r="D5973" s="285">
        <v>3.9214434674035878</v>
      </c>
      <c r="E5973" s="285">
        <v>-12.336861714378223</v>
      </c>
    </row>
    <row r="5974" spans="1:5">
      <c r="A5974" s="284">
        <f t="shared" si="1084"/>
        <v>5906</v>
      </c>
      <c r="B5974" s="285">
        <v>0.2940695764812517</v>
      </c>
      <c r="C5974" s="285">
        <v>2.4463000698632884</v>
      </c>
      <c r="D5974" s="285">
        <v>5.2652392643180557E-2</v>
      </c>
      <c r="E5974" s="285">
        <v>-13.660540166545916</v>
      </c>
    </row>
    <row r="5975" spans="1:5">
      <c r="A5975" s="284">
        <f t="shared" si="1084"/>
        <v>5907</v>
      </c>
      <c r="B5975" s="285">
        <v>0.86859243605091985</v>
      </c>
      <c r="C5975" s="285">
        <v>2.5059179854550555</v>
      </c>
      <c r="D5975" s="285">
        <v>1.8877218742258828</v>
      </c>
      <c r="E5975" s="285">
        <v>-11.506229669065721</v>
      </c>
    </row>
    <row r="5976" spans="1:5">
      <c r="A5976" s="284">
        <f t="shared" si="1084"/>
        <v>5908</v>
      </c>
      <c r="B5976" s="285">
        <v>2.5161026691357877</v>
      </c>
      <c r="C5976" s="285">
        <v>2.6447944165773829</v>
      </c>
      <c r="D5976" s="285">
        <v>0.65231398039407185</v>
      </c>
      <c r="E5976" s="285">
        <v>4.1438278932517605</v>
      </c>
    </row>
    <row r="5977" spans="1:5">
      <c r="A5977" s="284">
        <f t="shared" si="1084"/>
        <v>5909</v>
      </c>
      <c r="B5977" s="285">
        <v>4.2458633243227535</v>
      </c>
      <c r="C5977" s="285">
        <v>1.9041541282860548</v>
      </c>
      <c r="D5977" s="285">
        <v>0.94516780688671376</v>
      </c>
      <c r="E5977" s="285">
        <v>-29.082155578961302</v>
      </c>
    </row>
    <row r="5978" spans="1:5">
      <c r="A5978" s="284">
        <f t="shared" si="1084"/>
        <v>5910</v>
      </c>
      <c r="B5978" s="285">
        <v>-0.28223115141138561</v>
      </c>
      <c r="C5978" s="285">
        <v>3.1930979901889733</v>
      </c>
      <c r="D5978" s="285">
        <v>0.3791378625216606</v>
      </c>
      <c r="E5978" s="285">
        <v>0.35509236438637304</v>
      </c>
    </row>
    <row r="5979" spans="1:5">
      <c r="A5979" s="284">
        <f t="shared" si="1084"/>
        <v>5911</v>
      </c>
      <c r="B5979" s="285">
        <v>-2.8282640557567889</v>
      </c>
      <c r="C5979" s="285">
        <v>2.9065916496872162</v>
      </c>
      <c r="D5979" s="285">
        <v>0.33054936940071789</v>
      </c>
      <c r="E5979" s="285">
        <v>8.2097152257704025</v>
      </c>
    </row>
    <row r="5980" spans="1:5">
      <c r="A5980" s="284">
        <f t="shared" si="1084"/>
        <v>5912</v>
      </c>
      <c r="B5980" s="285">
        <v>-0.98882391750071907</v>
      </c>
      <c r="C5980" s="285">
        <v>2.2405781136051748</v>
      </c>
      <c r="D5980" s="285">
        <v>-0.71353285278098788</v>
      </c>
      <c r="E5980" s="285">
        <v>-8.133558840618246</v>
      </c>
    </row>
    <row r="5981" spans="1:5">
      <c r="A5981" s="284">
        <f t="shared" si="1084"/>
        <v>5913</v>
      </c>
      <c r="B5981" s="285">
        <v>-1.510063252132382</v>
      </c>
      <c r="C5981" s="285">
        <v>2.3161405512463267</v>
      </c>
      <c r="D5981" s="285">
        <v>3.2010052092470342</v>
      </c>
      <c r="E5981" s="285">
        <v>-12.339033906592325</v>
      </c>
    </row>
    <row r="5982" spans="1:5">
      <c r="A5982" s="284">
        <f t="shared" si="1084"/>
        <v>5914</v>
      </c>
      <c r="B5982" s="285">
        <v>-0.19138480196826654</v>
      </c>
      <c r="C5982" s="285">
        <v>2.8448874643706761</v>
      </c>
      <c r="D5982" s="285">
        <v>-0.8395564890924665</v>
      </c>
      <c r="E5982" s="285">
        <v>5.2295801849581114</v>
      </c>
    </row>
    <row r="5983" spans="1:5">
      <c r="A5983" s="284">
        <f t="shared" si="1084"/>
        <v>5915</v>
      </c>
      <c r="B5983" s="285">
        <v>1.1516497626148852</v>
      </c>
      <c r="C5983" s="285">
        <v>2.9577567867321584</v>
      </c>
      <c r="D5983" s="285">
        <v>2.082757495009778</v>
      </c>
      <c r="E5983" s="285">
        <v>-7.4405309599514595</v>
      </c>
    </row>
    <row r="5984" spans="1:5">
      <c r="A5984" s="284">
        <f t="shared" si="1084"/>
        <v>5916</v>
      </c>
      <c r="B5984" s="285">
        <v>-0.21426264895956765</v>
      </c>
      <c r="C5984" s="285">
        <v>3.1258594271309734</v>
      </c>
      <c r="D5984" s="285">
        <v>0.45970182579430308</v>
      </c>
      <c r="E5984" s="285">
        <v>3.7918670703322008</v>
      </c>
    </row>
    <row r="5985" spans="1:5">
      <c r="A5985" s="284">
        <f t="shared" si="1084"/>
        <v>5917</v>
      </c>
      <c r="B5985" s="285">
        <v>-3.3490869759719843</v>
      </c>
      <c r="C5985" s="285">
        <v>2.0239210033676089</v>
      </c>
      <c r="D5985" s="285">
        <v>-0.62225772219400532</v>
      </c>
      <c r="E5985" s="285">
        <v>-4.6847579485898523</v>
      </c>
    </row>
    <row r="5986" spans="1:5">
      <c r="A5986" s="284">
        <f t="shared" si="1084"/>
        <v>5918</v>
      </c>
      <c r="B5986" s="285">
        <v>1.9673875924521842</v>
      </c>
      <c r="C5986" s="285">
        <v>2.8347199995653591</v>
      </c>
      <c r="D5986" s="285">
        <v>-1.16945782506069</v>
      </c>
      <c r="E5986" s="285">
        <v>2.5846101558094667</v>
      </c>
    </row>
    <row r="5987" spans="1:5">
      <c r="A5987" s="284">
        <f t="shared" si="1084"/>
        <v>5919</v>
      </c>
      <c r="B5987" s="285">
        <v>0.1045251200303204</v>
      </c>
      <c r="C5987" s="285">
        <v>2.9738617220251338</v>
      </c>
      <c r="D5987" s="285">
        <v>0.8038580188451373</v>
      </c>
      <c r="E5987" s="285">
        <v>-13.554789636206984</v>
      </c>
    </row>
    <row r="5988" spans="1:5">
      <c r="A5988" s="284">
        <f t="shared" si="1084"/>
        <v>5920</v>
      </c>
      <c r="B5988" s="285">
        <v>0.38981493916912802</v>
      </c>
      <c r="C5988" s="285">
        <v>3.0544598008498403</v>
      </c>
      <c r="D5988" s="285">
        <v>1.5817096405935136</v>
      </c>
      <c r="E5988" s="285">
        <v>-3.7482618243117698</v>
      </c>
    </row>
    <row r="5989" spans="1:5">
      <c r="A5989" s="284">
        <f t="shared" si="1084"/>
        <v>5921</v>
      </c>
      <c r="B5989" s="285">
        <v>-1.4188143794207455</v>
      </c>
      <c r="C5989" s="285">
        <v>2.3246325803294385</v>
      </c>
      <c r="D5989" s="285">
        <v>0.87503282874233212</v>
      </c>
      <c r="E5989" s="285">
        <v>-16.424162827131358</v>
      </c>
    </row>
    <row r="5990" spans="1:5">
      <c r="A5990" s="284">
        <f t="shared" si="1084"/>
        <v>5922</v>
      </c>
      <c r="B5990" s="285">
        <v>-1.0268475877119632</v>
      </c>
      <c r="C5990" s="285">
        <v>2.0230160461575117</v>
      </c>
      <c r="D5990" s="285">
        <v>-0.35937206846363523</v>
      </c>
      <c r="E5990" s="285">
        <v>0.87253903534386223</v>
      </c>
    </row>
    <row r="5991" spans="1:5">
      <c r="A5991" s="284">
        <f t="shared" si="1084"/>
        <v>5923</v>
      </c>
      <c r="B5991" s="285">
        <v>-9.5976379070649182E-2</v>
      </c>
      <c r="C5991" s="285">
        <v>2.676239948982484</v>
      </c>
      <c r="D5991" s="285">
        <v>1.8507655571203721</v>
      </c>
      <c r="E5991" s="285">
        <v>-2.6180505172268926</v>
      </c>
    </row>
    <row r="5992" spans="1:5">
      <c r="A5992" s="284">
        <f t="shared" si="1084"/>
        <v>5924</v>
      </c>
      <c r="B5992" s="285">
        <v>-1.0190579563420297</v>
      </c>
      <c r="C5992" s="285">
        <v>1.6374812724249062</v>
      </c>
      <c r="D5992" s="285">
        <v>2.6146143830573911</v>
      </c>
      <c r="E5992" s="285">
        <v>-27.446995665686703</v>
      </c>
    </row>
    <row r="5993" spans="1:5">
      <c r="A5993" s="284">
        <f t="shared" si="1084"/>
        <v>5925</v>
      </c>
      <c r="B5993" s="285">
        <v>-4.5747528108586657</v>
      </c>
      <c r="C5993" s="285">
        <v>1.8066270128057447</v>
      </c>
      <c r="D5993" s="285">
        <v>0.95347759292537848</v>
      </c>
      <c r="E5993" s="285">
        <v>-6.1715423921993091</v>
      </c>
    </row>
    <row r="5994" spans="1:5">
      <c r="A5994" s="284">
        <f t="shared" si="1084"/>
        <v>5926</v>
      </c>
      <c r="B5994" s="285">
        <v>2.3051294510669127</v>
      </c>
      <c r="C5994" s="285">
        <v>3.2914784705839395</v>
      </c>
      <c r="D5994" s="285">
        <v>1.6705786266781231</v>
      </c>
      <c r="E5994" s="285">
        <v>19.723746193300247</v>
      </c>
    </row>
    <row r="5995" spans="1:5">
      <c r="A5995" s="284">
        <f t="shared" si="1084"/>
        <v>5927</v>
      </c>
      <c r="B5995" s="285">
        <v>-2.255498549364507</v>
      </c>
      <c r="C5995" s="285">
        <v>2.403307844323991</v>
      </c>
      <c r="D5995" s="285">
        <v>9.9573637598105336E-2</v>
      </c>
      <c r="E5995" s="285">
        <v>2.1747970912916661</v>
      </c>
    </row>
    <row r="5996" spans="1:5">
      <c r="A5996" s="284">
        <f t="shared" si="1084"/>
        <v>5928</v>
      </c>
      <c r="B5996" s="285">
        <v>-3.3341085316296635</v>
      </c>
      <c r="C5996" s="285">
        <v>1.626320093494539</v>
      </c>
      <c r="D5996" s="285">
        <v>1.2797262253551625</v>
      </c>
      <c r="E5996" s="285">
        <v>-14.321904958596551</v>
      </c>
    </row>
    <row r="5997" spans="1:5">
      <c r="A5997" s="284">
        <f t="shared" si="1084"/>
        <v>5929</v>
      </c>
      <c r="B5997" s="285">
        <v>-2.8233401599190739</v>
      </c>
      <c r="C5997" s="285">
        <v>2.324608284580381</v>
      </c>
      <c r="D5997" s="285">
        <v>1.4345477356762357</v>
      </c>
      <c r="E5997" s="285">
        <v>1.744856702859924</v>
      </c>
    </row>
    <row r="5998" spans="1:5">
      <c r="A5998" s="284">
        <f t="shared" si="1084"/>
        <v>5930</v>
      </c>
      <c r="B5998" s="285">
        <v>3.4203469212657023</v>
      </c>
      <c r="C5998" s="285">
        <v>2.8276232103954873</v>
      </c>
      <c r="D5998" s="285">
        <v>0.784363117216344</v>
      </c>
      <c r="E5998" s="285">
        <v>6.343186176711189</v>
      </c>
    </row>
    <row r="5999" spans="1:5">
      <c r="A5999" s="284">
        <f t="shared" si="1084"/>
        <v>5931</v>
      </c>
      <c r="B5999" s="285">
        <v>-1.7446216151308584</v>
      </c>
      <c r="C5999" s="285">
        <v>2.5519503193769189</v>
      </c>
      <c r="D5999" s="285">
        <v>2.0247993368869386</v>
      </c>
      <c r="E5999" s="285">
        <v>-7.4645084325889908</v>
      </c>
    </row>
    <row r="6000" spans="1:5">
      <c r="A6000" s="284">
        <f t="shared" si="1084"/>
        <v>5932</v>
      </c>
      <c r="B6000" s="285">
        <v>-0.3832049418287381</v>
      </c>
      <c r="C6000" s="285">
        <v>3.1884109122382647</v>
      </c>
      <c r="D6000" s="285">
        <v>-0.60733635067287661</v>
      </c>
      <c r="E6000" s="285">
        <v>12.999091903476433</v>
      </c>
    </row>
    <row r="6001" spans="1:5">
      <c r="A6001" s="284">
        <f t="shared" si="1084"/>
        <v>5933</v>
      </c>
      <c r="B6001" s="285">
        <v>0.97720496490788611</v>
      </c>
      <c r="C6001" s="285">
        <v>2.2727769699820346</v>
      </c>
      <c r="D6001" s="285">
        <v>0.88868511228494862</v>
      </c>
      <c r="E6001" s="285">
        <v>-12.487743472498972</v>
      </c>
    </row>
    <row r="6002" spans="1:5">
      <c r="A6002" s="284">
        <f t="shared" si="1084"/>
        <v>5934</v>
      </c>
      <c r="B6002" s="285">
        <v>-1.0692621443165129</v>
      </c>
      <c r="C6002" s="285">
        <v>2.1889966635638833</v>
      </c>
      <c r="D6002" s="285">
        <v>2.6044766374091717</v>
      </c>
      <c r="E6002" s="285">
        <v>-24.285160194323922</v>
      </c>
    </row>
    <row r="6003" spans="1:5">
      <c r="A6003" s="284">
        <f t="shared" si="1084"/>
        <v>5935</v>
      </c>
      <c r="B6003" s="285">
        <v>-2.6142785022333452</v>
      </c>
      <c r="C6003" s="285">
        <v>2.9603483022398751</v>
      </c>
      <c r="D6003" s="285">
        <v>1.5283860425192368</v>
      </c>
      <c r="E6003" s="285">
        <v>16.898251992956784</v>
      </c>
    </row>
    <row r="6004" spans="1:5">
      <c r="A6004" s="284">
        <f t="shared" si="1084"/>
        <v>5936</v>
      </c>
      <c r="B6004" s="285">
        <v>3.7998487131180037</v>
      </c>
      <c r="C6004" s="285">
        <v>2.1287479029638336</v>
      </c>
      <c r="D6004" s="285">
        <v>1.8948585503609829</v>
      </c>
      <c r="E6004" s="285">
        <v>-18.67194972006682</v>
      </c>
    </row>
    <row r="6005" spans="1:5">
      <c r="A6005" s="284">
        <f t="shared" si="1084"/>
        <v>5937</v>
      </c>
      <c r="B6005" s="285">
        <v>1.2112297635656963</v>
      </c>
      <c r="C6005" s="285">
        <v>2.7104189383890924</v>
      </c>
      <c r="D6005" s="285">
        <v>0.19198596310050076</v>
      </c>
      <c r="E6005" s="285">
        <v>1.6667837466297146</v>
      </c>
    </row>
    <row r="6006" spans="1:5">
      <c r="A6006" s="284">
        <f t="shared" si="1084"/>
        <v>5938</v>
      </c>
      <c r="B6006" s="285">
        <v>1.0764185336964898</v>
      </c>
      <c r="C6006" s="285">
        <v>3.1668748309018517</v>
      </c>
      <c r="D6006" s="285">
        <v>0.57385446438900778</v>
      </c>
      <c r="E6006" s="285">
        <v>21.792966413522837</v>
      </c>
    </row>
    <row r="6007" spans="1:5">
      <c r="A6007" s="284">
        <f t="shared" si="1084"/>
        <v>5939</v>
      </c>
      <c r="B6007" s="285">
        <v>-2.6950802887511798</v>
      </c>
      <c r="C6007" s="285">
        <v>2.2162364201696856</v>
      </c>
      <c r="D6007" s="285">
        <v>-0.37951936976548795</v>
      </c>
      <c r="E6007" s="285">
        <v>-6.3113416817516423</v>
      </c>
    </row>
    <row r="6008" spans="1:5">
      <c r="A6008" s="284">
        <f t="shared" si="1084"/>
        <v>5940</v>
      </c>
      <c r="B6008" s="285">
        <v>0.13907151143439039</v>
      </c>
      <c r="C6008" s="285">
        <v>2.8012763794676534</v>
      </c>
      <c r="D6008" s="285">
        <v>1.771644837853743</v>
      </c>
      <c r="E6008" s="285">
        <v>3.6582097027594611</v>
      </c>
    </row>
    <row r="6009" spans="1:5">
      <c r="A6009" s="284">
        <f t="shared" si="1084"/>
        <v>5941</v>
      </c>
      <c r="B6009" s="285">
        <v>0.33458075798585518</v>
      </c>
      <c r="C6009" s="285">
        <v>2.0453240072268386</v>
      </c>
      <c r="D6009" s="285">
        <v>2.2370546287905526</v>
      </c>
      <c r="E6009" s="285">
        <v>-11.87064003428282</v>
      </c>
    </row>
    <row r="6010" spans="1:5">
      <c r="A6010" s="284">
        <f t="shared" si="1084"/>
        <v>5942</v>
      </c>
      <c r="B6010" s="285">
        <v>2.3318997104370838</v>
      </c>
      <c r="C6010" s="285">
        <v>2.452223662731988</v>
      </c>
      <c r="D6010" s="285">
        <v>3.0990123229399757</v>
      </c>
      <c r="E6010" s="285">
        <v>-12.583189571747656</v>
      </c>
    </row>
    <row r="6011" spans="1:5">
      <c r="A6011" s="284">
        <f t="shared" si="1084"/>
        <v>5943</v>
      </c>
      <c r="B6011" s="285">
        <v>5.8415155937939343</v>
      </c>
      <c r="C6011" s="285">
        <v>3.1313960904875837</v>
      </c>
      <c r="D6011" s="285">
        <v>2.4489982135183732</v>
      </c>
      <c r="E6011" s="285">
        <v>-0.91796122845036088</v>
      </c>
    </row>
    <row r="6012" spans="1:5">
      <c r="A6012" s="284">
        <f t="shared" si="1084"/>
        <v>5944</v>
      </c>
      <c r="B6012" s="285">
        <v>-2.4564781619664386</v>
      </c>
      <c r="C6012" s="285">
        <v>1.5801472289390537</v>
      </c>
      <c r="D6012" s="285">
        <v>1.7069906404613808</v>
      </c>
      <c r="E6012" s="285">
        <v>-18.806041264610656</v>
      </c>
    </row>
    <row r="6013" spans="1:5">
      <c r="A6013" s="284">
        <f t="shared" si="1084"/>
        <v>5945</v>
      </c>
      <c r="B6013" s="285">
        <v>1.9942631070189782</v>
      </c>
      <c r="C6013" s="285">
        <v>3.2106291876186108</v>
      </c>
      <c r="D6013" s="285">
        <v>2.23037014738247</v>
      </c>
      <c r="E6013" s="285">
        <v>15.201772676523564</v>
      </c>
    </row>
    <row r="6014" spans="1:5">
      <c r="A6014" s="284">
        <f t="shared" si="1084"/>
        <v>5946</v>
      </c>
      <c r="B6014" s="285">
        <v>0.41168213006457283</v>
      </c>
      <c r="C6014" s="285">
        <v>2.0836438755615201</v>
      </c>
      <c r="D6014" s="285">
        <v>-0.36789347883858903</v>
      </c>
      <c r="E6014" s="285">
        <v>-0.52758266339550408</v>
      </c>
    </row>
    <row r="6015" spans="1:5">
      <c r="A6015" s="284">
        <f t="shared" si="1084"/>
        <v>5947</v>
      </c>
      <c r="B6015" s="285">
        <v>-4.2652876686053345</v>
      </c>
      <c r="C6015" s="285">
        <v>2.5457781242564832</v>
      </c>
      <c r="D6015" s="285">
        <v>-0.87814418976578335</v>
      </c>
      <c r="E6015" s="285">
        <v>4.5686880469029045</v>
      </c>
    </row>
    <row r="6016" spans="1:5">
      <c r="A6016" s="284">
        <f t="shared" si="1084"/>
        <v>5948</v>
      </c>
      <c r="B6016" s="285">
        <v>-1.5488052966940373</v>
      </c>
      <c r="C6016" s="285">
        <v>2.4783376527167706</v>
      </c>
      <c r="D6016" s="285">
        <v>2.4029711652033185</v>
      </c>
      <c r="E6016" s="285">
        <v>-10.402550091360414</v>
      </c>
    </row>
    <row r="6017" spans="1:5">
      <c r="A6017" s="284">
        <f t="shared" si="1084"/>
        <v>5949</v>
      </c>
      <c r="B6017" s="285">
        <v>3.0870741648126763</v>
      </c>
      <c r="C6017" s="285">
        <v>2.1609692966514498</v>
      </c>
      <c r="D6017" s="285">
        <v>2.428530721730449</v>
      </c>
      <c r="E6017" s="285">
        <v>-22.080377426218302</v>
      </c>
    </row>
    <row r="6018" spans="1:5">
      <c r="A6018" s="284">
        <f t="shared" si="1084"/>
        <v>5950</v>
      </c>
      <c r="B6018" s="285">
        <v>0.93825759588142266</v>
      </c>
      <c r="C6018" s="285">
        <v>3.3540294834840125</v>
      </c>
      <c r="D6018" s="285">
        <v>-0.63458967445319647</v>
      </c>
      <c r="E6018" s="285">
        <v>18.304616387036301</v>
      </c>
    </row>
    <row r="6019" spans="1:5">
      <c r="A6019" s="284">
        <f t="shared" si="1084"/>
        <v>5951</v>
      </c>
      <c r="B6019" s="285">
        <v>0.76458776980732157</v>
      </c>
      <c r="C6019" s="285">
        <v>2.4991440126834785</v>
      </c>
      <c r="D6019" s="285">
        <v>-2.2037179434473586E-2</v>
      </c>
      <c r="E6019" s="285">
        <v>1.2818368686896933</v>
      </c>
    </row>
    <row r="6020" spans="1:5">
      <c r="A6020" s="284">
        <f t="shared" si="1084"/>
        <v>5952</v>
      </c>
      <c r="B6020" s="285">
        <v>1.6458323204720784</v>
      </c>
      <c r="C6020" s="285">
        <v>2.7591124218626439</v>
      </c>
      <c r="D6020" s="285">
        <v>3.1912662999463564</v>
      </c>
      <c r="E6020" s="285">
        <v>0.29324570159780539</v>
      </c>
    </row>
    <row r="6021" spans="1:5">
      <c r="A6021" s="284">
        <f t="shared" si="1084"/>
        <v>5953</v>
      </c>
      <c r="B6021" s="285">
        <v>-1.2326982843127581</v>
      </c>
      <c r="C6021" s="285">
        <v>1.2927199924553867</v>
      </c>
      <c r="D6021" s="285">
        <v>2.8215782137380687</v>
      </c>
      <c r="E6021" s="285">
        <v>-18.559160593267734</v>
      </c>
    </row>
    <row r="6022" spans="1:5">
      <c r="A6022" s="284">
        <f t="shared" si="1084"/>
        <v>5954</v>
      </c>
      <c r="B6022" s="285">
        <v>-1.0584280594221773</v>
      </c>
      <c r="C6022" s="285">
        <v>1.7147594593867295</v>
      </c>
      <c r="D6022" s="285">
        <v>0.47385865094198287</v>
      </c>
      <c r="E6022" s="285">
        <v>-20.328861006802828</v>
      </c>
    </row>
    <row r="6023" spans="1:5">
      <c r="A6023" s="284">
        <f t="shared" ref="A6023:A6068" si="1085">A6022+1</f>
        <v>5955</v>
      </c>
      <c r="B6023" s="285">
        <v>1.0499057673325793</v>
      </c>
      <c r="C6023" s="285">
        <v>2.5984956164766198</v>
      </c>
      <c r="D6023" s="285">
        <v>1.4158786791893501</v>
      </c>
      <c r="E6023" s="285">
        <v>-5.7916294802439152</v>
      </c>
    </row>
    <row r="6024" spans="1:5">
      <c r="A6024" s="284">
        <f t="shared" si="1085"/>
        <v>5956</v>
      </c>
      <c r="B6024" s="285">
        <v>-1.5137090284925234</v>
      </c>
      <c r="C6024" s="285">
        <v>2.8687814162768603</v>
      </c>
      <c r="D6024" s="285">
        <v>1.1629870643655593</v>
      </c>
      <c r="E6024" s="285">
        <v>4.1391759796821717</v>
      </c>
    </row>
    <row r="6025" spans="1:5">
      <c r="A6025" s="284">
        <f t="shared" si="1085"/>
        <v>5957</v>
      </c>
      <c r="B6025" s="285">
        <v>2.8237326280339694</v>
      </c>
      <c r="C6025" s="285">
        <v>2.6912471434900196</v>
      </c>
      <c r="D6025" s="285">
        <v>1.3926907326797247</v>
      </c>
      <c r="E6025" s="285">
        <v>-9.2122729231580358</v>
      </c>
    </row>
    <row r="6026" spans="1:5">
      <c r="A6026" s="284">
        <f t="shared" si="1085"/>
        <v>5958</v>
      </c>
      <c r="B6026" s="285">
        <v>1.6899192241026022</v>
      </c>
      <c r="C6026" s="285">
        <v>2.1856870569090119</v>
      </c>
      <c r="D6026" s="285">
        <v>1.733779901793262</v>
      </c>
      <c r="E6026" s="285">
        <v>-16.473424283822911</v>
      </c>
    </row>
    <row r="6027" spans="1:5">
      <c r="A6027" s="284">
        <f t="shared" si="1085"/>
        <v>5959</v>
      </c>
      <c r="B6027" s="285">
        <v>-0.14185807113070581</v>
      </c>
      <c r="C6027" s="285">
        <v>2.2334364496723826</v>
      </c>
      <c r="D6027" s="285">
        <v>1.6883359046910653</v>
      </c>
      <c r="E6027" s="285">
        <v>-6.3182832516946394</v>
      </c>
    </row>
    <row r="6028" spans="1:5">
      <c r="A6028" s="284">
        <f t="shared" si="1085"/>
        <v>5960</v>
      </c>
      <c r="B6028" s="285">
        <v>1.9911567070907523</v>
      </c>
      <c r="C6028" s="285">
        <v>2.6746859438228756</v>
      </c>
      <c r="D6028" s="285">
        <v>1.23173107329381</v>
      </c>
      <c r="E6028" s="285">
        <v>-6.3865326405991034</v>
      </c>
    </row>
    <row r="6029" spans="1:5">
      <c r="A6029" s="284">
        <f t="shared" si="1085"/>
        <v>5961</v>
      </c>
      <c r="B6029" s="285">
        <v>-2.480786851374174</v>
      </c>
      <c r="C6029" s="285">
        <v>2.7616019834836325</v>
      </c>
      <c r="D6029" s="285">
        <v>-0.50497209383460406</v>
      </c>
      <c r="E6029" s="285">
        <v>7.0496668386054644</v>
      </c>
    </row>
    <row r="6030" spans="1:5">
      <c r="A6030" s="284">
        <f t="shared" si="1085"/>
        <v>5962</v>
      </c>
      <c r="B6030" s="285">
        <v>2.4807857776551967</v>
      </c>
      <c r="C6030" s="285">
        <v>2.9582864501848416</v>
      </c>
      <c r="D6030" s="285">
        <v>2.0422771873169903</v>
      </c>
      <c r="E6030" s="285">
        <v>-2.9570975480933916</v>
      </c>
    </row>
    <row r="6031" spans="1:5">
      <c r="A6031" s="284">
        <f t="shared" si="1085"/>
        <v>5963</v>
      </c>
      <c r="B6031" s="285">
        <v>1.7317971616200145</v>
      </c>
      <c r="C6031" s="285">
        <v>3.1858478128714625</v>
      </c>
      <c r="D6031" s="285">
        <v>1.98293400603839</v>
      </c>
      <c r="E6031" s="285">
        <v>9.9482741945394686</v>
      </c>
    </row>
    <row r="6032" spans="1:5">
      <c r="A6032" s="284">
        <f t="shared" si="1085"/>
        <v>5964</v>
      </c>
      <c r="B6032" s="285">
        <v>1.6850921295184436</v>
      </c>
      <c r="C6032" s="285">
        <v>2.6579998609681863</v>
      </c>
      <c r="D6032" s="285">
        <v>0.5517045789640832</v>
      </c>
      <c r="E6032" s="285">
        <v>-2.30962552407015</v>
      </c>
    </row>
    <row r="6033" spans="1:5">
      <c r="A6033" s="284">
        <f t="shared" si="1085"/>
        <v>5965</v>
      </c>
      <c r="B6033" s="285">
        <v>-0.70019551991173679</v>
      </c>
      <c r="C6033" s="285">
        <v>2.5000829488183878</v>
      </c>
      <c r="D6033" s="285">
        <v>1.7503510765583656</v>
      </c>
      <c r="E6033" s="285">
        <v>3.2601726531497879</v>
      </c>
    </row>
    <row r="6034" spans="1:5">
      <c r="A6034" s="284">
        <f t="shared" si="1085"/>
        <v>5966</v>
      </c>
      <c r="B6034" s="285">
        <v>-0.7848544714961686</v>
      </c>
      <c r="C6034" s="285">
        <v>2.7000219933509628</v>
      </c>
      <c r="D6034" s="285">
        <v>2.5165627339021235</v>
      </c>
      <c r="E6034" s="285">
        <v>0.39585080438104958</v>
      </c>
    </row>
    <row r="6035" spans="1:5">
      <c r="A6035" s="284">
        <f t="shared" si="1085"/>
        <v>5967</v>
      </c>
      <c r="B6035" s="285">
        <v>-0.62760005386166384</v>
      </c>
      <c r="C6035" s="285">
        <v>2.4453284284756269</v>
      </c>
      <c r="D6035" s="285">
        <v>-0.74613887782008526</v>
      </c>
      <c r="E6035" s="285">
        <v>-5.1173254737147627</v>
      </c>
    </row>
    <row r="6036" spans="1:5">
      <c r="A6036" s="284">
        <f t="shared" si="1085"/>
        <v>5968</v>
      </c>
      <c r="B6036" s="285">
        <v>1.9945606756748828</v>
      </c>
      <c r="C6036" s="285">
        <v>3.2042007899967899</v>
      </c>
      <c r="D6036" s="285">
        <v>1.058269224904157</v>
      </c>
      <c r="E6036" s="285">
        <v>8.2819604069621917</v>
      </c>
    </row>
    <row r="6037" spans="1:5">
      <c r="A6037" s="284">
        <f t="shared" si="1085"/>
        <v>5969</v>
      </c>
      <c r="B6037" s="285">
        <v>2.808982794252747</v>
      </c>
      <c r="C6037" s="285">
        <v>1.7184439800890456</v>
      </c>
      <c r="D6037" s="285">
        <v>3.2080270655893512</v>
      </c>
      <c r="E6037" s="285">
        <v>-24.114122433249452</v>
      </c>
    </row>
    <row r="6038" spans="1:5">
      <c r="A6038" s="284">
        <f t="shared" si="1085"/>
        <v>5970</v>
      </c>
      <c r="B6038" s="285">
        <v>-3.8575737855824292</v>
      </c>
      <c r="C6038" s="285">
        <v>2.1082781847295533</v>
      </c>
      <c r="D6038" s="285">
        <v>0.72851862536837286</v>
      </c>
      <c r="E6038" s="285">
        <v>-2.2006346406551547</v>
      </c>
    </row>
    <row r="6039" spans="1:5">
      <c r="A6039" s="284">
        <f t="shared" si="1085"/>
        <v>5971</v>
      </c>
      <c r="B6039" s="285">
        <v>-1.7272821085076546</v>
      </c>
      <c r="C6039" s="285">
        <v>1.5334119380019329</v>
      </c>
      <c r="D6039" s="285">
        <v>3.360886709333851</v>
      </c>
      <c r="E6039" s="285">
        <v>-19.0650085211877</v>
      </c>
    </row>
    <row r="6040" spans="1:5">
      <c r="A6040" s="284">
        <f t="shared" si="1085"/>
        <v>5972</v>
      </c>
      <c r="B6040" s="285">
        <v>1.3295255514613322</v>
      </c>
      <c r="C6040" s="285">
        <v>2.6710955543764294</v>
      </c>
      <c r="D6040" s="285">
        <v>0.36961222425684714</v>
      </c>
      <c r="E6040" s="285">
        <v>0.82464878040569189</v>
      </c>
    </row>
    <row r="6041" spans="1:5">
      <c r="A6041" s="284">
        <f t="shared" si="1085"/>
        <v>5973</v>
      </c>
      <c r="B6041" s="285">
        <v>-1.6521527329114662</v>
      </c>
      <c r="C6041" s="285">
        <v>2.1618405212900784</v>
      </c>
      <c r="D6041" s="285">
        <v>0.28442472466183566</v>
      </c>
      <c r="E6041" s="285">
        <v>-11.303137050738979</v>
      </c>
    </row>
    <row r="6042" spans="1:5">
      <c r="A6042" s="284">
        <f t="shared" si="1085"/>
        <v>5974</v>
      </c>
      <c r="B6042" s="285">
        <v>-9.3426581952859591E-2</v>
      </c>
      <c r="C6042" s="285">
        <v>2.4268637492979752</v>
      </c>
      <c r="D6042" s="285">
        <v>0.65815179278593006</v>
      </c>
      <c r="E6042" s="285">
        <v>3.0578752776914393</v>
      </c>
    </row>
    <row r="6043" spans="1:5">
      <c r="A6043" s="284">
        <f t="shared" si="1085"/>
        <v>5975</v>
      </c>
      <c r="B6043" s="285">
        <v>2.1671021675220472</v>
      </c>
      <c r="C6043" s="285">
        <v>2.8193769922712892</v>
      </c>
      <c r="D6043" s="285">
        <v>2.4051317554288913</v>
      </c>
      <c r="E6043" s="285">
        <v>-5.2126628368009751</v>
      </c>
    </row>
    <row r="6044" spans="1:5">
      <c r="A6044" s="284">
        <f t="shared" si="1085"/>
        <v>5976</v>
      </c>
      <c r="B6044" s="285">
        <v>2.2419182944598179</v>
      </c>
      <c r="C6044" s="285">
        <v>2.2996296007612509</v>
      </c>
      <c r="D6044" s="285">
        <v>2.4390071838380951</v>
      </c>
      <c r="E6044" s="285">
        <v>-15.779122143004971</v>
      </c>
    </row>
    <row r="6045" spans="1:5">
      <c r="A6045" s="284">
        <f t="shared" si="1085"/>
        <v>5977</v>
      </c>
      <c r="B6045" s="285">
        <v>3.1594664780403479</v>
      </c>
      <c r="C6045" s="285">
        <v>2.5478005955810112</v>
      </c>
      <c r="D6045" s="285">
        <v>2.6198247080338959</v>
      </c>
      <c r="E6045" s="285">
        <v>-9.6655877927422544</v>
      </c>
    </row>
    <row r="6046" spans="1:5">
      <c r="A6046" s="284">
        <f t="shared" si="1085"/>
        <v>5978</v>
      </c>
      <c r="B6046" s="285">
        <v>0.80665381665780445</v>
      </c>
      <c r="C6046" s="285">
        <v>2.2451237943507159</v>
      </c>
      <c r="D6046" s="285">
        <v>2.6114893427269115</v>
      </c>
      <c r="E6046" s="285">
        <v>-5.0379797965755344</v>
      </c>
    </row>
    <row r="6047" spans="1:5">
      <c r="A6047" s="284">
        <f t="shared" si="1085"/>
        <v>5979</v>
      </c>
      <c r="B6047" s="285">
        <v>-4.6809229824011487</v>
      </c>
      <c r="C6047" s="285">
        <v>1.9378417255529099</v>
      </c>
      <c r="D6047" s="285">
        <v>2.19944533203725</v>
      </c>
      <c r="E6047" s="285">
        <v>-1.3767515888535526</v>
      </c>
    </row>
    <row r="6048" spans="1:5">
      <c r="A6048" s="284">
        <f t="shared" si="1085"/>
        <v>5980</v>
      </c>
      <c r="B6048" s="285">
        <v>-2.191293355546398</v>
      </c>
      <c r="C6048" s="285">
        <v>2.3683843537346148</v>
      </c>
      <c r="D6048" s="285">
        <v>-0.3453944544820533</v>
      </c>
      <c r="E6048" s="285">
        <v>2.7943703015182604</v>
      </c>
    </row>
    <row r="6049" spans="1:5">
      <c r="A6049" s="284">
        <f t="shared" si="1085"/>
        <v>5981</v>
      </c>
      <c r="B6049" s="285">
        <v>-6.4936898840772597E-3</v>
      </c>
      <c r="C6049" s="285">
        <v>2.1719517806256583</v>
      </c>
      <c r="D6049" s="285">
        <v>3.5021161430478411</v>
      </c>
      <c r="E6049" s="285">
        <v>-24.480677556980584</v>
      </c>
    </row>
    <row r="6050" spans="1:5">
      <c r="A6050" s="284">
        <f t="shared" si="1085"/>
        <v>5982</v>
      </c>
      <c r="B6050" s="285">
        <v>-1.0690901184883661</v>
      </c>
      <c r="C6050" s="285">
        <v>2.08747053297735</v>
      </c>
      <c r="D6050" s="285">
        <v>0.90670311607576426</v>
      </c>
      <c r="E6050" s="285">
        <v>-6.5744534227820264</v>
      </c>
    </row>
    <row r="6051" spans="1:5">
      <c r="A6051" s="284">
        <f t="shared" si="1085"/>
        <v>5983</v>
      </c>
      <c r="B6051" s="285">
        <v>-3.4986574364598013</v>
      </c>
      <c r="C6051" s="285">
        <v>1.7945618765088132</v>
      </c>
      <c r="D6051" s="285">
        <v>1.4538996983322059</v>
      </c>
      <c r="E6051" s="285">
        <v>-14.236455582219966</v>
      </c>
    </row>
    <row r="6052" spans="1:5">
      <c r="A6052" s="284">
        <f t="shared" si="1085"/>
        <v>5984</v>
      </c>
      <c r="B6052" s="285">
        <v>4.0277243866459457E-2</v>
      </c>
      <c r="C6052" s="285">
        <v>2.2480550114165627</v>
      </c>
      <c r="D6052" s="285">
        <v>3.6047252204444042</v>
      </c>
      <c r="E6052" s="285">
        <v>-19.347768559913568</v>
      </c>
    </row>
    <row r="6053" spans="1:5">
      <c r="A6053" s="284">
        <f t="shared" si="1085"/>
        <v>5985</v>
      </c>
      <c r="B6053" s="285">
        <v>1.5287566343008443</v>
      </c>
      <c r="C6053" s="285">
        <v>3.0151836367066189</v>
      </c>
      <c r="D6053" s="285">
        <v>0.89410825289888407</v>
      </c>
      <c r="E6053" s="285">
        <v>-2.3218628202526257</v>
      </c>
    </row>
    <row r="6054" spans="1:5">
      <c r="A6054" s="284">
        <f t="shared" si="1085"/>
        <v>5986</v>
      </c>
      <c r="B6054" s="285">
        <v>0.13775952620568765</v>
      </c>
      <c r="C6054" s="285">
        <v>2.2750222514537102</v>
      </c>
      <c r="D6054" s="285">
        <v>2.8544494016458541</v>
      </c>
      <c r="E6054" s="285">
        <v>-7.5733179465195484</v>
      </c>
    </row>
    <row r="6055" spans="1:5">
      <c r="A6055" s="284">
        <f t="shared" si="1085"/>
        <v>5987</v>
      </c>
      <c r="B6055" s="285">
        <v>-2.8006292181900689</v>
      </c>
      <c r="C6055" s="285">
        <v>1.6877287274681265</v>
      </c>
      <c r="D6055" s="285">
        <v>1.6232495564620766</v>
      </c>
      <c r="E6055" s="285">
        <v>-16.708794180519263</v>
      </c>
    </row>
    <row r="6056" spans="1:5">
      <c r="A6056" s="284">
        <f t="shared" si="1085"/>
        <v>5988</v>
      </c>
      <c r="B6056" s="285">
        <v>-0.12634928569634515</v>
      </c>
      <c r="C6056" s="285">
        <v>2.3051546824669638</v>
      </c>
      <c r="D6056" s="285">
        <v>-0.4817175602298891</v>
      </c>
      <c r="E6056" s="285">
        <v>-14.901191762101595</v>
      </c>
    </row>
    <row r="6057" spans="1:5">
      <c r="A6057" s="284">
        <f t="shared" si="1085"/>
        <v>5989</v>
      </c>
      <c r="B6057" s="285">
        <v>1.4179576116072456</v>
      </c>
      <c r="C6057" s="285">
        <v>2.3924682787768083</v>
      </c>
      <c r="D6057" s="285">
        <v>0.49302801236645166</v>
      </c>
      <c r="E6057" s="285">
        <v>-0.25776948146055512</v>
      </c>
    </row>
    <row r="6058" spans="1:5">
      <c r="A6058" s="284">
        <f t="shared" si="1085"/>
        <v>5990</v>
      </c>
      <c r="B6058" s="285">
        <v>3.1341957809171057</v>
      </c>
      <c r="C6058" s="285">
        <v>2.8237842798348876</v>
      </c>
      <c r="D6058" s="285">
        <v>2.5732149753717328</v>
      </c>
      <c r="E6058" s="285">
        <v>-1.8934038052834077</v>
      </c>
    </row>
    <row r="6059" spans="1:5">
      <c r="A6059" s="284">
        <f t="shared" si="1085"/>
        <v>5991</v>
      </c>
      <c r="B6059" s="285">
        <v>-0.62744844241837383</v>
      </c>
      <c r="C6059" s="285">
        <v>2.8826416299031417</v>
      </c>
      <c r="D6059" s="285">
        <v>-0.47200375810893513</v>
      </c>
      <c r="E6059" s="285">
        <v>5.5189109304948083</v>
      </c>
    </row>
    <row r="6060" spans="1:5">
      <c r="A6060" s="284">
        <f t="shared" si="1085"/>
        <v>5992</v>
      </c>
      <c r="B6060" s="285">
        <v>0.20101329940009019</v>
      </c>
      <c r="C6060" s="285">
        <v>2.9584953681753525</v>
      </c>
      <c r="D6060" s="285">
        <v>1.4016647791126164</v>
      </c>
      <c r="E6060" s="285">
        <v>-0.52303288280526905</v>
      </c>
    </row>
    <row r="6061" spans="1:5">
      <c r="A6061" s="284">
        <f t="shared" si="1085"/>
        <v>5993</v>
      </c>
      <c r="B6061" s="285">
        <v>2.8330072546152381</v>
      </c>
      <c r="C6061" s="285">
        <v>2.7114311208915258</v>
      </c>
      <c r="D6061" s="285">
        <v>1.4115240133245341</v>
      </c>
      <c r="E6061" s="285">
        <v>-2.5383853232566036</v>
      </c>
    </row>
    <row r="6062" spans="1:5">
      <c r="A6062" s="284">
        <f t="shared" si="1085"/>
        <v>5994</v>
      </c>
      <c r="B6062" s="285">
        <v>3.5993365440547116</v>
      </c>
      <c r="C6062" s="285">
        <v>2.3913792269815648</v>
      </c>
      <c r="D6062" s="285">
        <v>1.2090327346984451</v>
      </c>
      <c r="E6062" s="285">
        <v>-4.3129829540257116</v>
      </c>
    </row>
    <row r="6063" spans="1:5">
      <c r="A6063" s="284">
        <f t="shared" si="1085"/>
        <v>5995</v>
      </c>
      <c r="B6063" s="285">
        <v>-2.7798065583848302</v>
      </c>
      <c r="C6063" s="285">
        <v>2.248814410478031</v>
      </c>
      <c r="D6063" s="285">
        <v>1.4444955018417993</v>
      </c>
      <c r="E6063" s="285">
        <v>-2.5533964414880117</v>
      </c>
    </row>
    <row r="6064" spans="1:5">
      <c r="A6064" s="284">
        <f t="shared" si="1085"/>
        <v>5996</v>
      </c>
      <c r="B6064" s="285">
        <v>0.68645163993712865</v>
      </c>
      <c r="C6064" s="285">
        <v>2.7435090937649877</v>
      </c>
      <c r="D6064" s="285">
        <v>1.9664261949773683</v>
      </c>
      <c r="E6064" s="285">
        <v>-3.7938602995969664</v>
      </c>
    </row>
    <row r="6065" spans="1:5">
      <c r="A6065" s="284">
        <f t="shared" si="1085"/>
        <v>5997</v>
      </c>
      <c r="B6065" s="285">
        <v>-1.4591747406726885</v>
      </c>
      <c r="C6065" s="285">
        <v>2.6559030264269952</v>
      </c>
      <c r="D6065" s="285">
        <v>0.64167126092534588</v>
      </c>
      <c r="E6065" s="285">
        <v>-10.53501611879831</v>
      </c>
    </row>
    <row r="6066" spans="1:5">
      <c r="A6066" s="284">
        <f t="shared" si="1085"/>
        <v>5998</v>
      </c>
      <c r="B6066" s="285">
        <v>1.6625938076091293</v>
      </c>
      <c r="C6066" s="285">
        <v>3.0345082380109072</v>
      </c>
      <c r="D6066" s="285">
        <v>2.5652258879247802</v>
      </c>
      <c r="E6066" s="285">
        <v>12.405285686245669</v>
      </c>
    </row>
    <row r="6067" spans="1:5">
      <c r="A6067" s="284">
        <f t="shared" si="1085"/>
        <v>5999</v>
      </c>
      <c r="B6067" s="285">
        <v>2.3644476024327794</v>
      </c>
      <c r="C6067" s="285">
        <v>2.1056810337874485</v>
      </c>
      <c r="D6067" s="285">
        <v>1.9712796005823168</v>
      </c>
      <c r="E6067" s="285">
        <v>-6.5065234125078764</v>
      </c>
    </row>
    <row r="6068" spans="1:5">
      <c r="A6068" s="284">
        <f t="shared" si="1085"/>
        <v>6000</v>
      </c>
      <c r="B6068" s="285">
        <v>4.848546795932994</v>
      </c>
      <c r="C6068" s="285">
        <v>2.611760440462453</v>
      </c>
      <c r="D6068" s="285">
        <v>3.3845076236352396</v>
      </c>
      <c r="E6068" s="285">
        <v>-9.0529190249106968</v>
      </c>
    </row>
    <row r="6069" spans="1:5">
      <c r="B6069" s="285"/>
      <c r="C6069" s="285"/>
      <c r="D6069" s="285"/>
      <c r="E6069" s="285"/>
    </row>
    <row r="6070" spans="1:5">
      <c r="B6070" s="285"/>
      <c r="C6070" s="285"/>
      <c r="D6070" s="285"/>
      <c r="E6070" s="285"/>
    </row>
    <row r="6071" spans="1:5">
      <c r="B6071" s="285"/>
      <c r="C6071" s="285"/>
      <c r="D6071" s="285"/>
      <c r="E6071" s="285"/>
    </row>
    <row r="6072" spans="1:5">
      <c r="B6072" s="285"/>
      <c r="C6072" s="285"/>
      <c r="D6072" s="285"/>
      <c r="E6072" s="285"/>
    </row>
    <row r="6073" spans="1:5">
      <c r="B6073" s="285"/>
      <c r="C6073" s="285"/>
      <c r="D6073" s="285"/>
      <c r="E6073" s="285"/>
    </row>
    <row r="6074" spans="1:5">
      <c r="B6074" s="285"/>
      <c r="C6074" s="285"/>
      <c r="D6074" s="285"/>
      <c r="E6074" s="285"/>
    </row>
    <row r="6075" spans="1:5">
      <c r="B6075" s="285"/>
      <c r="C6075" s="285"/>
      <c r="D6075" s="285"/>
      <c r="E6075" s="285"/>
    </row>
    <row r="6076" spans="1:5">
      <c r="B6076" s="285"/>
      <c r="C6076" s="285"/>
      <c r="D6076" s="285"/>
      <c r="E6076" s="285"/>
    </row>
    <row r="6077" spans="1:5">
      <c r="B6077" s="285"/>
      <c r="C6077" s="285"/>
      <c r="D6077" s="285"/>
      <c r="E6077" s="285"/>
    </row>
    <row r="6078" spans="1:5">
      <c r="B6078" s="285"/>
      <c r="C6078" s="285"/>
      <c r="D6078" s="285"/>
      <c r="E6078" s="285"/>
    </row>
  </sheetData>
  <mergeCells count="18">
    <mergeCell ref="A1:B1"/>
    <mergeCell ref="A2:B2"/>
    <mergeCell ref="A3:B3"/>
    <mergeCell ref="AG67:AL67"/>
    <mergeCell ref="Z67:AE67"/>
    <mergeCell ref="C12:I12"/>
    <mergeCell ref="K12:O12"/>
    <mergeCell ref="Q12:U12"/>
    <mergeCell ref="A40:B40"/>
    <mergeCell ref="H67:M67"/>
    <mergeCell ref="N67:S67"/>
    <mergeCell ref="T67:Y67"/>
    <mergeCell ref="D40:K40"/>
    <mergeCell ref="AO67:AT67"/>
    <mergeCell ref="AU67:AZ67"/>
    <mergeCell ref="BA67:BF67"/>
    <mergeCell ref="BG67:BL67"/>
    <mergeCell ref="BN67:BS67"/>
  </mergeCells>
  <dataValidations count="1">
    <dataValidation type="list" allowBlank="1" showInputMessage="1" showErrorMessage="1" sqref="B42:B45" xr:uid="{00000000-0002-0000-0600-000000000000}">
      <formula1>ListOnOff</formula1>
    </dataValidation>
  </dataValidations>
  <pageMargins left="0.7" right="0.7" top="0.75" bottom="0.75" header="0.3" footer="0.3"/>
  <pageSetup orientation="portrait" r:id="rId1"/>
  <drawing r:id="rId2"/>
  <legacyDrawing r:id="rId3"/>
  <controls>
    <mc:AlternateContent xmlns:mc="http://schemas.openxmlformats.org/markup-compatibility/2006">
      <mc:Choice Requires="x14">
        <control shapeId="167937" r:id="rId4" name="CommandButton1">
          <controlPr defaultSize="0" autoLine="0" autoPict="0" r:id="rId5">
            <anchor moveWithCells="1">
              <from>
                <xdr:col>1</xdr:col>
                <xdr:colOff>0</xdr:colOff>
                <xdr:row>29</xdr:row>
                <xdr:rowOff>200025</xdr:rowOff>
              </from>
              <to>
                <xdr:col>2</xdr:col>
                <xdr:colOff>0</xdr:colOff>
                <xdr:row>35</xdr:row>
                <xdr:rowOff>123825</xdr:rowOff>
              </to>
            </anchor>
          </controlPr>
        </control>
      </mc:Choice>
      <mc:Fallback>
        <control shapeId="167937" r:id="rId4" name="CommandButton1"/>
      </mc:Fallback>
    </mc:AlternateContent>
  </control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tabColor theme="0"/>
    <pageSetUpPr fitToPage="1"/>
  </sheetPr>
  <dimension ref="A2:Y53"/>
  <sheetViews>
    <sheetView zoomScale="80" zoomScaleNormal="80" zoomScaleSheetLayoutView="80" workbookViewId="0">
      <pane ySplit="4" topLeftCell="A5" activePane="bottomLeft" state="frozen"/>
      <selection activeCell="A107" sqref="A107:XFD137"/>
      <selection pane="bottomLeft" activeCell="A5" sqref="A5"/>
    </sheetView>
  </sheetViews>
  <sheetFormatPr defaultColWidth="9.140625" defaultRowHeight="15"/>
  <cols>
    <col min="1" max="1" width="4.140625" style="25" customWidth="1"/>
    <col min="2" max="2" width="4.140625" style="139" customWidth="1"/>
    <col min="3" max="3" width="4.140625" style="25" customWidth="1"/>
    <col min="4" max="4" width="24.42578125" style="25" customWidth="1"/>
    <col min="5" max="5" width="3.140625" style="25" customWidth="1"/>
    <col min="6" max="6" width="19.42578125" style="25" customWidth="1"/>
    <col min="7" max="7" width="9.140625" style="25" customWidth="1"/>
    <col min="8" max="16384" width="9.140625" style="25"/>
  </cols>
  <sheetData>
    <row r="2" spans="1:22" ht="21">
      <c r="N2" s="842" t="s">
        <v>531</v>
      </c>
    </row>
    <row r="3" spans="1:22">
      <c r="V3" s="903"/>
    </row>
    <row r="5" spans="1:22" s="854" customFormat="1" ht="30.2" customHeight="1" thickBot="1">
      <c r="A5" s="862" t="s">
        <v>1010</v>
      </c>
    </row>
    <row r="6" spans="1:22" ht="15.75" thickBot="1"/>
    <row r="7" spans="1:22">
      <c r="B7" s="25"/>
      <c r="I7" s="1654">
        <f>J7-1</f>
        <v>2017</v>
      </c>
      <c r="J7" s="1655">
        <f>FirstYear</f>
        <v>2018</v>
      </c>
      <c r="K7" s="1656">
        <f>J7+1</f>
        <v>2019</v>
      </c>
      <c r="L7" s="1657">
        <f>K7+1</f>
        <v>2020</v>
      </c>
      <c r="M7" s="1657">
        <f>L7+1</f>
        <v>2021</v>
      </c>
      <c r="N7" s="1657">
        <f>M7+1</f>
        <v>2022</v>
      </c>
      <c r="O7" s="1658">
        <f>N7+1</f>
        <v>2023</v>
      </c>
      <c r="P7" s="1195"/>
    </row>
    <row r="8" spans="1:22">
      <c r="B8" s="25"/>
      <c r="C8" s="479" t="s">
        <v>816</v>
      </c>
      <c r="D8" s="479"/>
      <c r="E8" s="479">
        <f>BenchmarkClassifyDebtCountry</f>
        <v>50</v>
      </c>
      <c r="F8" s="479" t="s">
        <v>818</v>
      </c>
      <c r="G8" s="479"/>
      <c r="H8" s="479"/>
      <c r="I8" s="1659">
        <f>'Baseline debt'!O83*100</f>
        <v>39.842702208732895</v>
      </c>
      <c r="J8" s="1660">
        <f>'Baseline debt'!P83*100</f>
        <v>37.084342131638088</v>
      </c>
      <c r="K8" s="1660">
        <f>'Baseline debt'!Q83*100</f>
        <v>35.351552504862923</v>
      </c>
      <c r="L8" s="1660">
        <f>'Baseline debt'!R83*100</f>
        <v>33.542090376828199</v>
      </c>
      <c r="M8" s="1660">
        <f>'Baseline debt'!S83*100</f>
        <v>32.056160655910695</v>
      </c>
      <c r="N8" s="1660">
        <f>'Baseline debt'!T83*100</f>
        <v>29.915873102736189</v>
      </c>
      <c r="O8" s="1660">
        <f>'Baseline debt'!U83*100</f>
        <v>27.903074435380589</v>
      </c>
      <c r="P8" s="1661" t="str">
        <f>IF(OR(I8&gt;$E$8,J8&gt;$E$8,K8&gt;$E$8,L8&gt;$E$8,M8&gt;$E$8,N8&gt;$E$8,O8&gt;$E$8),"Yes","No")</f>
        <v>No</v>
      </c>
    </row>
    <row r="9" spans="1:22">
      <c r="B9" s="25"/>
      <c r="C9" s="25" t="s">
        <v>817</v>
      </c>
      <c r="E9" s="25">
        <f>BenchmarkClassifyGFNCountry</f>
        <v>10</v>
      </c>
      <c r="F9" s="25" t="s">
        <v>819</v>
      </c>
      <c r="I9" s="1199">
        <f>'Baseline debt'!O89*100</f>
        <v>1.5203756467637319</v>
      </c>
      <c r="J9" s="1199">
        <f>'Baseline debt'!P89*100</f>
        <v>3.5984842323630626</v>
      </c>
      <c r="K9" s="1199">
        <f>'Baseline debt'!Q89*100</f>
        <v>2.736884117115657</v>
      </c>
      <c r="L9" s="1199">
        <f>'Baseline debt'!R89*100</f>
        <v>2.3965618199100005</v>
      </c>
      <c r="M9" s="1199">
        <f>'Baseline debt'!S89*100</f>
        <v>1.2003971380328871</v>
      </c>
      <c r="N9" s="1199">
        <f>'Baseline debt'!T89*100</f>
        <v>-1.4862612076263433</v>
      </c>
      <c r="O9" s="1199">
        <f>'Baseline debt'!U89*100</f>
        <v>-2.2506508944660197</v>
      </c>
      <c r="P9" s="1197" t="str">
        <f>IF(OR(I9&gt;$E$9,J9&gt;$E$9,K9&gt;$E$9,L9&gt;$E$9,M9&gt;$E$9,N9&gt;$E$9,O9&gt;$E$9),"Yes","No")</f>
        <v>No</v>
      </c>
    </row>
    <row r="10" spans="1:22">
      <c r="B10" s="25"/>
      <c r="C10" s="461" t="s">
        <v>343</v>
      </c>
      <c r="D10" s="461"/>
      <c r="E10" s="461"/>
      <c r="F10" s="461"/>
      <c r="G10" s="461"/>
      <c r="H10" s="461"/>
      <c r="I10" s="1200"/>
      <c r="J10" s="1200"/>
      <c r="K10" s="1200"/>
      <c r="L10" s="1200"/>
      <c r="M10" s="1200"/>
      <c r="N10" s="1200"/>
      <c r="O10" s="1200"/>
      <c r="P10" s="1198" t="str">
        <f>Exceptional</f>
        <v>No</v>
      </c>
    </row>
    <row r="11" spans="1:22">
      <c r="B11" s="25"/>
      <c r="I11" s="1194"/>
      <c r="J11" s="1194"/>
      <c r="K11" s="1194"/>
      <c r="L11" s="1194"/>
      <c r="M11" s="1194"/>
      <c r="N11" s="1194"/>
      <c r="O11" s="1196" t="s">
        <v>916</v>
      </c>
      <c r="P11" s="951" t="str">
        <f>IF(OR(P8="Yes",P9="Yes",P10="Yes"),"Higher","Lower")</f>
        <v>Lower</v>
      </c>
      <c r="Q11" s="25" t="s">
        <v>879</v>
      </c>
    </row>
    <row r="12" spans="1:22">
      <c r="B12" s="25"/>
      <c r="I12" s="1194"/>
      <c r="J12" s="1194"/>
      <c r="K12" s="1194"/>
      <c r="L12" s="1194"/>
      <c r="M12" s="1194"/>
      <c r="N12" s="1194"/>
      <c r="O12" s="1196" t="str">
        <f>'Input 5 - Scenario Design'!A8</f>
        <v>Final scrutiny classification taking into account risk-amplifying or risk-mitigating factors, where relevant:</v>
      </c>
      <c r="P12" s="951" t="str">
        <f>ScrutinyClassification_Final</f>
        <v>Lower</v>
      </c>
      <c r="Q12" s="25" t="s">
        <v>879</v>
      </c>
    </row>
    <row r="13" spans="1:22" ht="5.0999999999999996" customHeight="1">
      <c r="B13" s="25"/>
      <c r="I13" s="1194"/>
      <c r="J13" s="1194"/>
      <c r="K13" s="1194"/>
      <c r="L13" s="1194"/>
      <c r="M13" s="1194"/>
      <c r="N13" s="1194"/>
      <c r="O13" s="1196"/>
      <c r="P13" s="951"/>
    </row>
    <row r="14" spans="1:22">
      <c r="C14" s="139" t="s">
        <v>994</v>
      </c>
      <c r="I14" s="1194"/>
      <c r="J14" s="1194"/>
      <c r="K14" s="1194"/>
      <c r="L14" s="1194"/>
      <c r="M14" s="1194"/>
      <c r="N14" s="1194"/>
      <c r="O14" s="1196"/>
      <c r="P14" s="951"/>
    </row>
    <row r="15" spans="1:22">
      <c r="B15" s="25"/>
      <c r="C15" s="479" t="s">
        <v>1011</v>
      </c>
      <c r="D15" s="479"/>
      <c r="E15" s="479"/>
      <c r="F15" s="479"/>
      <c r="G15" s="479"/>
      <c r="H15" s="479"/>
      <c r="I15" s="1641">
        <f>'Lists-Modules-ChartData'!DM19</f>
        <v>0.95187636153598021</v>
      </c>
      <c r="J15" s="1642"/>
      <c r="K15" s="1665" t="s">
        <v>1005</v>
      </c>
      <c r="L15" s="1643">
        <f>Benchmarks!G8</f>
        <v>2</v>
      </c>
      <c r="M15" s="1644" t="s">
        <v>819</v>
      </c>
      <c r="N15" s="479"/>
      <c r="O15" s="1645"/>
      <c r="P15" s="1646" t="str">
        <f t="shared" ref="P15:P21" si="0">IF(I15&gt;L15,"Yes","No")</f>
        <v>No</v>
      </c>
    </row>
    <row r="16" spans="1:22">
      <c r="B16" s="25"/>
      <c r="C16" s="25" t="s">
        <v>995</v>
      </c>
      <c r="I16" s="1194">
        <f>'Baseline debt'!H100</f>
        <v>24.569478105827415</v>
      </c>
      <c r="J16" s="1195"/>
      <c r="K16" s="262" t="s">
        <v>1005</v>
      </c>
      <c r="L16" s="1640">
        <f>Benchmarks!G9</f>
        <v>1</v>
      </c>
      <c r="M16" s="1635" t="s">
        <v>1008</v>
      </c>
      <c r="O16" s="1196"/>
      <c r="P16" s="951" t="str">
        <f t="shared" si="0"/>
        <v>Yes</v>
      </c>
    </row>
    <row r="17" spans="1:25">
      <c r="B17" s="25"/>
      <c r="C17" s="25" t="s">
        <v>1000</v>
      </c>
      <c r="I17" s="1640">
        <f>'Lists-Modules-ChartData'!BV7</f>
        <v>57</v>
      </c>
      <c r="J17" s="1195"/>
      <c r="K17" s="262" t="s">
        <v>1005</v>
      </c>
      <c r="L17" s="1640">
        <f>Benchmarks!G10</f>
        <v>600</v>
      </c>
      <c r="M17" s="1635" t="s">
        <v>999</v>
      </c>
      <c r="O17" s="1196"/>
      <c r="P17" s="951" t="str">
        <f t="shared" si="0"/>
        <v>No</v>
      </c>
    </row>
    <row r="18" spans="1:25">
      <c r="B18" s="25"/>
      <c r="C18" s="25" t="s">
        <v>1009</v>
      </c>
      <c r="I18" s="1640">
        <f>'Lists-Modules-ChartData'!BV8</f>
        <v>0</v>
      </c>
      <c r="J18" s="1195"/>
      <c r="K18" s="262" t="s">
        <v>1005</v>
      </c>
      <c r="L18" s="1640">
        <f>Benchmarks!G11</f>
        <v>15</v>
      </c>
      <c r="M18" s="1635" t="s">
        <v>998</v>
      </c>
      <c r="O18" s="1196"/>
      <c r="P18" s="951" t="str">
        <f t="shared" si="0"/>
        <v>No</v>
      </c>
    </row>
    <row r="19" spans="1:25">
      <c r="B19" s="25"/>
      <c r="C19" s="25" t="s">
        <v>1002</v>
      </c>
      <c r="I19" s="1640">
        <f>'Lists-Modules-ChartData'!BV10</f>
        <v>67.599999999999994</v>
      </c>
      <c r="J19" s="1195"/>
      <c r="K19" s="262" t="s">
        <v>1005</v>
      </c>
      <c r="L19" s="1640">
        <f>Benchmarks!G12</f>
        <v>45</v>
      </c>
      <c r="M19" s="1635" t="s">
        <v>997</v>
      </c>
      <c r="O19" s="1196"/>
      <c r="P19" s="951" t="str">
        <f t="shared" si="0"/>
        <v>Yes</v>
      </c>
    </row>
    <row r="20" spans="1:25">
      <c r="B20" s="25"/>
      <c r="C20" s="25" t="s">
        <v>1003</v>
      </c>
      <c r="I20" s="1640">
        <f>'Lists-Modules-ChartData'!BV11</f>
        <v>9.9999999999991859E-2</v>
      </c>
      <c r="J20" s="1195"/>
      <c r="K20" s="262" t="s">
        <v>1005</v>
      </c>
      <c r="L20" s="1640">
        <f>Benchmarks!G13</f>
        <v>60</v>
      </c>
      <c r="M20" s="1635" t="s">
        <v>997</v>
      </c>
      <c r="O20" s="1196"/>
      <c r="P20" s="951" t="str">
        <f t="shared" si="0"/>
        <v>No</v>
      </c>
    </row>
    <row r="21" spans="1:25">
      <c r="B21" s="25"/>
      <c r="C21" s="461" t="s">
        <v>996</v>
      </c>
      <c r="D21" s="461"/>
      <c r="E21" s="461"/>
      <c r="F21" s="461"/>
      <c r="G21" s="461"/>
      <c r="H21" s="461"/>
      <c r="I21" s="1705">
        <f>'Lists-Modules-ChartData'!BV9</f>
        <v>4.4715114488691254</v>
      </c>
      <c r="J21" s="1647"/>
      <c r="K21" s="1585" t="s">
        <v>1005</v>
      </c>
      <c r="L21" s="1648">
        <f>Benchmarks!G14</f>
        <v>1</v>
      </c>
      <c r="M21" s="1649" t="s">
        <v>997</v>
      </c>
      <c r="N21" s="461"/>
      <c r="O21" s="1650"/>
      <c r="P21" s="1651" t="str">
        <f t="shared" si="0"/>
        <v>Yes</v>
      </c>
    </row>
    <row r="22" spans="1:25" ht="5.0999999999999996" customHeight="1">
      <c r="B22" s="25"/>
      <c r="I22" s="1194"/>
      <c r="J22" s="1194"/>
      <c r="K22" s="1194"/>
      <c r="L22" s="1194"/>
      <c r="M22" s="1194"/>
      <c r="N22" s="1194"/>
      <c r="O22" s="1196"/>
      <c r="P22" s="951"/>
    </row>
    <row r="23" spans="1:25" ht="5.0999999999999996" customHeight="1" thickBot="1"/>
    <row r="24" spans="1:25" s="1653" customFormat="1" ht="30.2" customHeight="1" thickBot="1">
      <c r="A24" s="1652" t="s">
        <v>533</v>
      </c>
    </row>
    <row r="25" spans="1:25" ht="5.0999999999999996" customHeight="1"/>
    <row r="26" spans="1:25" s="1513" customFormat="1">
      <c r="A26" s="1943" t="s">
        <v>905</v>
      </c>
      <c r="B26" s="1943"/>
      <c r="C26" s="1943"/>
      <c r="D26" s="1943"/>
      <c r="E26" s="1943"/>
      <c r="F26" s="1943"/>
      <c r="G26" s="1943"/>
      <c r="H26" s="1943"/>
      <c r="I26" s="1943"/>
      <c r="J26" s="1943"/>
      <c r="K26" s="1943"/>
      <c r="L26" s="1943"/>
      <c r="M26" s="1943"/>
      <c r="N26" s="1943"/>
      <c r="O26" s="1943"/>
      <c r="P26" s="1943"/>
    </row>
    <row r="27" spans="1:25" s="98" customFormat="1" ht="6.75" customHeight="1"/>
    <row r="28" spans="1:25" s="98" customFormat="1" ht="15" customHeight="1">
      <c r="B28" s="845" t="s">
        <v>1124</v>
      </c>
      <c r="C28" s="845"/>
      <c r="D28" s="845"/>
      <c r="E28" s="845"/>
      <c r="F28" s="845"/>
      <c r="G28" s="845"/>
      <c r="H28" s="845"/>
      <c r="I28" s="845"/>
      <c r="J28" s="845"/>
      <c r="K28" s="845"/>
      <c r="L28" s="845"/>
      <c r="M28" s="845"/>
      <c r="N28" s="845"/>
      <c r="O28" s="845"/>
      <c r="P28" s="845"/>
      <c r="Q28" s="1510"/>
      <c r="R28" s="1510"/>
      <c r="S28" s="1510"/>
      <c r="T28" s="1510"/>
      <c r="U28" s="1510"/>
      <c r="V28" s="1510"/>
      <c r="W28" s="1510"/>
      <c r="X28" s="1510"/>
      <c r="Y28" s="1510"/>
    </row>
    <row r="29" spans="1:25" s="98" customFormat="1">
      <c r="A29" s="1510"/>
      <c r="B29" s="1510"/>
      <c r="C29" s="1897" t="s">
        <v>906</v>
      </c>
      <c r="D29" s="1897"/>
      <c r="E29" s="1897"/>
      <c r="F29" s="1897"/>
      <c r="G29" s="1897"/>
      <c r="H29" s="1897"/>
      <c r="I29" s="1897"/>
      <c r="J29" s="1897"/>
      <c r="K29" s="1897"/>
      <c r="L29" s="1897"/>
      <c r="M29" s="1897"/>
      <c r="N29" s="1897"/>
      <c r="O29" s="1897"/>
      <c r="P29" s="1897"/>
      <c r="Q29" s="1510"/>
      <c r="R29" s="1510"/>
      <c r="S29" s="1510"/>
      <c r="T29" s="1510"/>
      <c r="U29" s="1510"/>
      <c r="V29" s="1510"/>
      <c r="W29" s="1510"/>
      <c r="X29" s="1510"/>
      <c r="Y29" s="1510"/>
    </row>
    <row r="30" spans="1:25" s="98" customFormat="1">
      <c r="A30" s="1510"/>
      <c r="B30" s="1510"/>
      <c r="C30" s="1897" t="s">
        <v>907</v>
      </c>
      <c r="D30" s="1897"/>
      <c r="E30" s="1897"/>
      <c r="F30" s="1897"/>
      <c r="G30" s="1897"/>
      <c r="H30" s="1897"/>
      <c r="I30" s="1897"/>
      <c r="J30" s="1897"/>
      <c r="K30" s="1897"/>
      <c r="L30" s="1897"/>
      <c r="M30" s="1897"/>
      <c r="N30" s="1897"/>
      <c r="O30" s="1897"/>
      <c r="P30" s="1897"/>
      <c r="Q30" s="1510"/>
      <c r="R30" s="1510"/>
      <c r="S30" s="1510"/>
      <c r="T30" s="1510"/>
      <c r="U30" s="1510"/>
      <c r="V30" s="1510"/>
      <c r="W30" s="1510"/>
      <c r="X30" s="1510"/>
      <c r="Y30" s="1510"/>
    </row>
    <row r="31" spans="1:25" s="98" customFormat="1">
      <c r="A31" s="1510"/>
      <c r="B31" s="1510"/>
      <c r="C31" s="1897" t="s">
        <v>908</v>
      </c>
      <c r="D31" s="1897"/>
      <c r="E31" s="1897"/>
      <c r="F31" s="1897"/>
      <c r="G31" s="1897"/>
      <c r="H31" s="1897"/>
      <c r="I31" s="1897"/>
      <c r="J31" s="1897"/>
      <c r="K31" s="1897"/>
      <c r="L31" s="1897"/>
      <c r="M31" s="1897"/>
      <c r="N31" s="1897"/>
      <c r="O31" s="1897"/>
      <c r="P31" s="1897"/>
      <c r="Q31" s="1510"/>
      <c r="R31" s="1510"/>
      <c r="S31" s="1510"/>
      <c r="T31" s="1510"/>
      <c r="U31" s="1510"/>
      <c r="V31" s="1510"/>
      <c r="W31" s="1510"/>
      <c r="X31" s="1510"/>
      <c r="Y31" s="1510"/>
    </row>
    <row r="32" spans="1:25" s="845" customFormat="1" ht="30.2" customHeight="1">
      <c r="A32" s="1760"/>
      <c r="B32" s="1760"/>
      <c r="C32" s="1899" t="s">
        <v>909</v>
      </c>
      <c r="D32" s="1899"/>
      <c r="E32" s="1899"/>
      <c r="F32" s="1899"/>
      <c r="G32" s="1899"/>
      <c r="H32" s="1899"/>
      <c r="I32" s="1899"/>
      <c r="J32" s="1899"/>
      <c r="K32" s="1899"/>
      <c r="L32" s="1899"/>
      <c r="M32" s="1899"/>
      <c r="N32" s="1899"/>
      <c r="O32" s="1899"/>
      <c r="P32" s="1899"/>
      <c r="Q32" s="1760"/>
      <c r="R32" s="1760"/>
      <c r="S32" s="1760"/>
      <c r="T32" s="1760"/>
      <c r="U32" s="1760"/>
      <c r="V32" s="1760"/>
      <c r="W32" s="1760"/>
      <c r="X32" s="1760"/>
      <c r="Y32" s="1760"/>
    </row>
    <row r="33" spans="1:25" s="98" customFormat="1">
      <c r="A33" s="1510"/>
      <c r="B33" s="1510"/>
      <c r="C33" s="1897" t="s">
        <v>910</v>
      </c>
      <c r="D33" s="1897"/>
      <c r="E33" s="1897"/>
      <c r="F33" s="1897"/>
      <c r="G33" s="1897"/>
      <c r="H33" s="1897"/>
      <c r="I33" s="1897"/>
      <c r="J33" s="1897"/>
      <c r="K33" s="1897"/>
      <c r="L33" s="1897"/>
      <c r="M33" s="1897"/>
      <c r="N33" s="1897"/>
      <c r="O33" s="1897"/>
      <c r="P33" s="1897"/>
      <c r="Q33" s="1510"/>
      <c r="R33" s="1510"/>
      <c r="S33" s="1510"/>
      <c r="T33" s="1510"/>
      <c r="U33" s="1510"/>
      <c r="V33" s="1510"/>
      <c r="W33" s="1510"/>
      <c r="X33" s="1510"/>
      <c r="Y33" s="1510"/>
    </row>
    <row r="34" spans="1:25" s="530" customFormat="1" ht="30.2" customHeight="1">
      <c r="A34" s="1813"/>
      <c r="B34" s="1813"/>
      <c r="C34" s="1899" t="s">
        <v>945</v>
      </c>
      <c r="D34" s="1899"/>
      <c r="E34" s="1899"/>
      <c r="F34" s="1899"/>
      <c r="G34" s="1899"/>
      <c r="H34" s="1899"/>
      <c r="I34" s="1899"/>
      <c r="J34" s="1899"/>
      <c r="K34" s="1899"/>
      <c r="L34" s="1899"/>
      <c r="M34" s="1899"/>
      <c r="N34" s="1899"/>
      <c r="O34" s="1899"/>
      <c r="P34" s="1899"/>
      <c r="Q34" s="1813"/>
      <c r="R34" s="1813"/>
      <c r="S34" s="1813"/>
      <c r="T34" s="1813"/>
      <c r="U34" s="1813"/>
      <c r="V34" s="1813"/>
      <c r="W34" s="1813"/>
      <c r="X34" s="1813"/>
      <c r="Y34" s="1813"/>
    </row>
    <row r="35" spans="1:25" s="98" customFormat="1">
      <c r="A35" s="1510"/>
      <c r="B35" s="1897" t="s">
        <v>1121</v>
      </c>
      <c r="C35" s="1897"/>
      <c r="D35" s="1897"/>
      <c r="E35" s="1897"/>
      <c r="F35" s="1897"/>
      <c r="G35" s="1897"/>
      <c r="H35" s="1897"/>
      <c r="I35" s="1897"/>
      <c r="J35" s="1897"/>
      <c r="K35" s="1897"/>
      <c r="L35" s="1897"/>
      <c r="M35" s="1897"/>
      <c r="N35" s="1897"/>
      <c r="O35" s="1897"/>
      <c r="P35" s="1897"/>
      <c r="Q35" s="1510"/>
      <c r="R35" s="1510"/>
      <c r="S35" s="1510"/>
      <c r="T35" s="1510"/>
      <c r="U35" s="1510"/>
      <c r="V35" s="1510"/>
      <c r="W35" s="1510"/>
      <c r="X35" s="1510"/>
      <c r="Y35" s="1510"/>
    </row>
    <row r="36" spans="1:25" s="98" customFormat="1">
      <c r="A36" s="1510"/>
      <c r="C36" s="1897" t="s">
        <v>1122</v>
      </c>
      <c r="D36" s="1897"/>
      <c r="E36" s="1897"/>
      <c r="F36" s="1897"/>
      <c r="G36" s="1897"/>
      <c r="H36" s="1897"/>
      <c r="I36" s="1897"/>
      <c r="J36" s="1897"/>
      <c r="K36" s="1897"/>
      <c r="L36" s="1897"/>
      <c r="M36" s="1897"/>
      <c r="N36" s="1897"/>
      <c r="O36" s="1897"/>
      <c r="P36" s="1897"/>
      <c r="Q36" s="1510"/>
      <c r="R36" s="1510"/>
      <c r="S36" s="1510"/>
      <c r="T36" s="1510"/>
      <c r="U36" s="1510"/>
      <c r="V36" s="1510"/>
      <c r="W36" s="1510"/>
      <c r="X36" s="1510"/>
      <c r="Y36" s="1510"/>
    </row>
    <row r="37" spans="1:25" s="98" customFormat="1" ht="6.75" customHeight="1">
      <c r="A37" s="860"/>
      <c r="B37" s="860"/>
      <c r="C37" s="860"/>
      <c r="G37" s="860"/>
      <c r="H37" s="860"/>
      <c r="I37" s="860"/>
      <c r="J37" s="860"/>
      <c r="K37" s="860"/>
      <c r="L37" s="860"/>
      <c r="M37" s="860"/>
      <c r="N37" s="860"/>
      <c r="O37" s="860"/>
    </row>
    <row r="38" spans="1:25" s="1513" customFormat="1">
      <c r="A38" s="1943" t="s">
        <v>1123</v>
      </c>
      <c r="B38" s="1943"/>
      <c r="C38" s="1943"/>
      <c r="D38" s="1943"/>
      <c r="E38" s="1943"/>
      <c r="F38" s="1943"/>
      <c r="G38" s="1943"/>
      <c r="H38" s="1943"/>
      <c r="I38" s="1943"/>
      <c r="J38" s="1943"/>
      <c r="K38" s="1943"/>
      <c r="L38" s="1943"/>
      <c r="M38" s="1943"/>
      <c r="N38" s="1943"/>
      <c r="O38" s="1943"/>
      <c r="P38" s="1943"/>
    </row>
    <row r="39" spans="1:25" s="98" customFormat="1" ht="6.75" customHeight="1">
      <c r="A39" s="860"/>
      <c r="B39" s="860"/>
      <c r="C39" s="860"/>
      <c r="G39" s="860"/>
      <c r="H39" s="860"/>
      <c r="I39" s="860"/>
      <c r="J39" s="860"/>
      <c r="K39" s="860"/>
      <c r="L39" s="860"/>
      <c r="M39" s="860"/>
      <c r="N39" s="860"/>
      <c r="O39" s="860"/>
    </row>
    <row r="40" spans="1:25" s="98" customFormat="1" ht="15" customHeight="1">
      <c r="A40" s="1948" t="s">
        <v>911</v>
      </c>
      <c r="B40" s="1948"/>
      <c r="C40" s="1948"/>
      <c r="D40" s="1948"/>
      <c r="E40" s="1948"/>
      <c r="F40" s="1948"/>
      <c r="G40" s="1948"/>
      <c r="H40" s="1948"/>
      <c r="I40" s="1948"/>
      <c r="J40" s="1948"/>
      <c r="K40" s="1948"/>
      <c r="L40" s="1948"/>
      <c r="M40" s="1948"/>
      <c r="N40" s="1948"/>
      <c r="O40" s="1948"/>
      <c r="P40" s="1948"/>
      <c r="Q40" s="1948"/>
      <c r="R40" s="1948"/>
      <c r="S40" s="1948"/>
      <c r="T40" s="1948"/>
      <c r="U40" s="861"/>
      <c r="V40" s="861"/>
      <c r="W40" s="861"/>
      <c r="X40" s="861"/>
    </row>
    <row r="41" spans="1:25" s="98" customFormat="1" ht="15" customHeight="1">
      <c r="A41" s="1511"/>
      <c r="B41" s="845" t="s">
        <v>377</v>
      </c>
      <c r="C41" s="1946" t="s">
        <v>944</v>
      </c>
      <c r="D41" s="1946"/>
      <c r="E41" s="1946"/>
      <c r="F41" s="1946"/>
      <c r="G41" s="1946"/>
      <c r="H41" s="1946"/>
      <c r="I41" s="1946"/>
      <c r="J41" s="1946"/>
      <c r="K41" s="1946"/>
      <c r="L41" s="1946"/>
      <c r="M41" s="1946"/>
      <c r="N41" s="1946"/>
      <c r="O41" s="1946"/>
      <c r="P41" s="1946"/>
      <c r="Q41" s="1511"/>
      <c r="R41" s="1511"/>
      <c r="S41" s="1511"/>
      <c r="T41" s="1511"/>
      <c r="U41" s="861"/>
      <c r="V41" s="861"/>
      <c r="W41" s="861"/>
      <c r="X41" s="861"/>
    </row>
    <row r="42" spans="1:25" s="98" customFormat="1" ht="15" customHeight="1">
      <c r="A42" s="1511"/>
      <c r="B42" s="845"/>
      <c r="C42" s="1946" t="s">
        <v>1125</v>
      </c>
      <c r="D42" s="1946"/>
      <c r="E42" s="1946"/>
      <c r="F42" s="1946"/>
      <c r="G42" s="1946"/>
      <c r="H42" s="1946"/>
      <c r="I42" s="1946"/>
      <c r="J42" s="1946"/>
      <c r="K42" s="1946"/>
      <c r="L42" s="1946"/>
      <c r="M42" s="1946"/>
      <c r="N42" s="1946"/>
      <c r="O42" s="1946"/>
      <c r="P42" s="1946"/>
      <c r="Q42" s="1511"/>
      <c r="R42" s="1511"/>
      <c r="S42" s="1511"/>
      <c r="T42" s="1511"/>
      <c r="U42" s="861"/>
      <c r="V42" s="861"/>
      <c r="W42" s="861"/>
      <c r="X42" s="861"/>
    </row>
    <row r="43" spans="1:25" s="609" customFormat="1" ht="45" customHeight="1">
      <c r="B43" s="1760" t="s">
        <v>351</v>
      </c>
      <c r="C43" s="1947" t="s">
        <v>1189</v>
      </c>
      <c r="D43" s="1947"/>
      <c r="E43" s="1947"/>
      <c r="F43" s="1947"/>
      <c r="G43" s="1947"/>
      <c r="H43" s="1947"/>
      <c r="I43" s="1947"/>
      <c r="J43" s="1947"/>
      <c r="K43" s="1947"/>
      <c r="L43" s="1947"/>
      <c r="M43" s="1947"/>
      <c r="N43" s="1947"/>
      <c r="O43" s="1947"/>
      <c r="P43" s="1947"/>
      <c r="Q43" s="1336"/>
      <c r="R43" s="1336"/>
      <c r="S43" s="1336"/>
      <c r="T43" s="1336"/>
      <c r="U43" s="1336"/>
      <c r="V43" s="1336"/>
      <c r="W43" s="1336"/>
      <c r="X43" s="1336"/>
      <c r="Y43" s="1336"/>
    </row>
    <row r="44" spans="1:25" s="609" customFormat="1" ht="6.75" customHeight="1">
      <c r="A44" s="1335"/>
      <c r="B44" s="1335"/>
      <c r="D44" s="1335"/>
      <c r="E44" s="1335"/>
      <c r="F44" s="1335"/>
      <c r="G44" s="1335"/>
      <c r="H44" s="1335"/>
      <c r="I44" s="1335"/>
      <c r="J44" s="1335"/>
      <c r="K44" s="1335"/>
      <c r="L44" s="1335"/>
      <c r="M44" s="1335"/>
      <c r="N44" s="1335"/>
      <c r="O44" s="1335"/>
    </row>
    <row r="45" spans="1:25" s="1513" customFormat="1">
      <c r="A45" s="1943" t="s">
        <v>912</v>
      </c>
      <c r="B45" s="1943"/>
      <c r="C45" s="1943"/>
      <c r="D45" s="1943"/>
      <c r="E45" s="1943"/>
      <c r="F45" s="1943"/>
      <c r="G45" s="1943"/>
      <c r="H45" s="1943"/>
      <c r="I45" s="1943"/>
      <c r="J45" s="1943"/>
      <c r="K45" s="1943"/>
      <c r="L45" s="1943"/>
      <c r="M45" s="1943"/>
      <c r="N45" s="1943"/>
      <c r="O45" s="1943"/>
      <c r="P45" s="1943"/>
    </row>
    <row r="46" spans="1:25" s="98" customFormat="1" ht="6.75" customHeight="1">
      <c r="A46" s="860"/>
      <c r="B46" s="860"/>
      <c r="C46" s="860"/>
      <c r="G46" s="860"/>
      <c r="H46" s="860"/>
      <c r="I46" s="860"/>
      <c r="J46" s="860"/>
      <c r="K46" s="860"/>
      <c r="L46" s="860"/>
      <c r="M46" s="860"/>
      <c r="N46" s="860"/>
      <c r="O46" s="860"/>
    </row>
    <row r="47" spans="1:25" s="98" customFormat="1" ht="15" customHeight="1">
      <c r="A47" s="1514"/>
      <c r="B47" s="1945" t="s">
        <v>809</v>
      </c>
      <c r="C47" s="1945"/>
      <c r="D47" s="1945"/>
      <c r="E47" s="1945"/>
      <c r="F47" s="1945"/>
      <c r="G47" s="1945"/>
      <c r="H47" s="1945"/>
      <c r="I47" s="1945"/>
      <c r="J47" s="1945"/>
      <c r="K47" s="1945"/>
      <c r="L47" s="1945"/>
      <c r="M47" s="1945"/>
      <c r="N47" s="1945"/>
      <c r="O47" s="1945"/>
      <c r="P47" s="1945"/>
      <c r="Q47" s="1768"/>
      <c r="R47" s="1768"/>
      <c r="S47" s="1768"/>
      <c r="T47" s="1768"/>
      <c r="U47" s="1512"/>
      <c r="V47" s="1512"/>
      <c r="W47" s="1512"/>
      <c r="X47" s="1512"/>
    </row>
    <row r="48" spans="1:25" s="98" customFormat="1" ht="15" customHeight="1">
      <c r="A48" s="1511"/>
      <c r="B48" s="1337"/>
      <c r="C48" s="1337" t="s">
        <v>913</v>
      </c>
      <c r="D48" s="1337"/>
      <c r="E48" s="1337"/>
      <c r="F48" s="1337"/>
      <c r="G48" s="1337"/>
      <c r="H48" s="1337"/>
      <c r="I48" s="1337"/>
      <c r="J48" s="1337"/>
      <c r="K48" s="1337"/>
      <c r="L48" s="1337"/>
      <c r="M48" s="1337"/>
      <c r="N48" s="1337"/>
      <c r="O48" s="1337"/>
      <c r="P48" s="1337"/>
      <c r="Q48" s="1520"/>
      <c r="R48" s="1512"/>
      <c r="S48" s="1512"/>
      <c r="T48" s="1512"/>
      <c r="U48" s="1512"/>
      <c r="V48" s="1512"/>
      <c r="W48" s="1512"/>
      <c r="X48" s="1512"/>
    </row>
    <row r="49" spans="1:20" s="98" customFormat="1" ht="5.0999999999999996" customHeight="1"/>
    <row r="50" spans="1:20" s="1513" customFormat="1" ht="15" customHeight="1">
      <c r="A50" s="1943" t="s">
        <v>914</v>
      </c>
      <c r="B50" s="1943"/>
      <c r="C50" s="1943"/>
      <c r="D50" s="1943"/>
      <c r="E50" s="1943"/>
      <c r="F50" s="1943"/>
      <c r="G50" s="1943"/>
      <c r="H50" s="1943"/>
      <c r="I50" s="1943"/>
      <c r="J50" s="1943"/>
      <c r="K50" s="1943"/>
      <c r="L50" s="1943"/>
      <c r="M50" s="1943"/>
      <c r="N50" s="1943"/>
      <c r="O50" s="1943"/>
      <c r="P50" s="1943"/>
    </row>
    <row r="51" spans="1:20" s="98" customFormat="1" ht="6.75" customHeight="1">
      <c r="B51" s="1511"/>
      <c r="C51" s="1511"/>
      <c r="D51" s="1511"/>
      <c r="E51" s="1511"/>
      <c r="F51" s="1511"/>
      <c r="G51" s="1511"/>
      <c r="H51" s="1511"/>
      <c r="I51" s="1511"/>
      <c r="J51" s="1511"/>
      <c r="K51" s="1511"/>
      <c r="L51" s="1511"/>
      <c r="M51" s="1511"/>
      <c r="N51" s="1511"/>
      <c r="O51" s="1511"/>
      <c r="P51" s="1511"/>
      <c r="Q51" s="1511"/>
      <c r="R51" s="1511"/>
      <c r="S51" s="1511"/>
      <c r="T51" s="1511"/>
    </row>
    <row r="52" spans="1:20" s="98" customFormat="1" ht="15" customHeight="1">
      <c r="A52" s="1749"/>
      <c r="B52" s="1944" t="s">
        <v>946</v>
      </c>
      <c r="C52" s="1944"/>
      <c r="D52" s="1944"/>
      <c r="E52" s="1944"/>
      <c r="F52" s="1944"/>
      <c r="G52" s="1944"/>
      <c r="H52" s="1944"/>
      <c r="I52" s="1944"/>
      <c r="J52" s="1944"/>
      <c r="K52" s="1944"/>
      <c r="L52" s="1944"/>
      <c r="M52" s="1944"/>
      <c r="N52" s="1944"/>
      <c r="O52" s="1944"/>
      <c r="P52" s="1944"/>
      <c r="Q52" s="1511"/>
      <c r="R52" s="1511"/>
      <c r="S52" s="1511"/>
      <c r="T52" s="1511"/>
    </row>
    <row r="53" spans="1:20" s="98" customFormat="1" ht="5.0999999999999996" customHeight="1"/>
  </sheetData>
  <mergeCells count="18">
    <mergeCell ref="A26:P26"/>
    <mergeCell ref="A38:P38"/>
    <mergeCell ref="C41:P41"/>
    <mergeCell ref="C42:P42"/>
    <mergeCell ref="C43:P43"/>
    <mergeCell ref="A40:T40"/>
    <mergeCell ref="C29:P29"/>
    <mergeCell ref="C30:P30"/>
    <mergeCell ref="C31:P31"/>
    <mergeCell ref="C32:P32"/>
    <mergeCell ref="C33:P33"/>
    <mergeCell ref="C34:P34"/>
    <mergeCell ref="B35:P35"/>
    <mergeCell ref="C36:P36"/>
    <mergeCell ref="A45:P45"/>
    <mergeCell ref="A50:P50"/>
    <mergeCell ref="B52:P52"/>
    <mergeCell ref="B47:P47"/>
  </mergeCells>
  <pageMargins left="0.7" right="0.7" top="0.75" bottom="0.75" header="0.3" footer="0.3"/>
  <pageSetup scale="62"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4">
    <tabColor rgb="FF00B0F0"/>
    <pageSetUpPr fitToPage="1"/>
  </sheetPr>
  <dimension ref="A1:Y109"/>
  <sheetViews>
    <sheetView tabSelected="1" zoomScale="80" zoomScaleNormal="80" zoomScalePageLayoutView="80" workbookViewId="0"/>
  </sheetViews>
  <sheetFormatPr defaultColWidth="9.140625" defaultRowHeight="16.5" outlineLevelRow="1"/>
  <cols>
    <col min="1" max="1" width="2.7109375" style="563" customWidth="1"/>
    <col min="2" max="6" width="8.7109375" style="571" customWidth="1"/>
    <col min="7" max="8" width="3.7109375" style="571" customWidth="1"/>
    <col min="9" max="9" width="8.7109375" style="571" customWidth="1"/>
    <col min="10" max="10" width="3.7109375" style="571" customWidth="1"/>
    <col min="11" max="12" width="8.7109375" style="571" customWidth="1"/>
    <col min="13" max="13" width="3.7109375" style="571" customWidth="1"/>
    <col min="14" max="19" width="8.7109375" style="571" customWidth="1"/>
    <col min="20" max="20" width="2.7109375" style="572" customWidth="1"/>
    <col min="21" max="21" width="10.7109375" style="571" customWidth="1"/>
    <col min="22" max="22" width="5.5703125" style="572" customWidth="1"/>
    <col min="23" max="24" width="9.28515625" style="571" customWidth="1"/>
    <col min="25" max="25" width="2.7109375" style="571" customWidth="1"/>
    <col min="26" max="16384" width="9.140625" style="571"/>
  </cols>
  <sheetData>
    <row r="1" spans="1:25" s="564" customFormat="1" ht="15" customHeight="1">
      <c r="A1" s="563"/>
      <c r="B1" s="563"/>
      <c r="C1" s="563"/>
      <c r="D1" s="563"/>
      <c r="E1" s="563"/>
      <c r="F1" s="563"/>
      <c r="G1" s="563"/>
      <c r="H1" s="563"/>
      <c r="I1" s="563"/>
      <c r="J1" s="563"/>
      <c r="K1" s="563"/>
      <c r="L1" s="563"/>
      <c r="M1" s="563"/>
      <c r="N1" s="563"/>
      <c r="O1" s="563"/>
      <c r="P1" s="563"/>
      <c r="Q1" s="563"/>
      <c r="R1" s="563"/>
      <c r="S1" s="563"/>
      <c r="T1" s="563"/>
      <c r="V1" s="563"/>
    </row>
    <row r="2" spans="1:25" s="564" customFormat="1" ht="30.2" customHeight="1">
      <c r="A2" s="1949" t="str">
        <f>Country&amp;" Public Sector Debt Sustainability Analysis (DSA) - Baseline Scenario"</f>
        <v>Latvia Public Sector Debt Sustainability Analysis (DSA) - Baseline Scenario</v>
      </c>
      <c r="B2" s="1949"/>
      <c r="C2" s="1949"/>
      <c r="D2" s="1949"/>
      <c r="E2" s="1949"/>
      <c r="F2" s="1949"/>
      <c r="G2" s="1949"/>
      <c r="H2" s="1949"/>
      <c r="I2" s="1949"/>
      <c r="J2" s="1949"/>
      <c r="K2" s="1949"/>
      <c r="L2" s="1949"/>
      <c r="M2" s="1949"/>
      <c r="N2" s="1949"/>
      <c r="O2" s="1949"/>
      <c r="P2" s="1949"/>
      <c r="Q2" s="1949"/>
      <c r="R2" s="1949"/>
      <c r="S2" s="1949"/>
      <c r="T2" s="1949"/>
      <c r="U2" s="1949"/>
      <c r="V2" s="1949"/>
      <c r="W2" s="1949"/>
      <c r="X2" s="1949"/>
      <c r="Y2" s="1949"/>
    </row>
    <row r="3" spans="1:25" s="1132" customFormat="1" ht="20.100000000000001" customHeight="1">
      <c r="A3" s="1953" t="s">
        <v>417</v>
      </c>
      <c r="B3" s="1953"/>
      <c r="C3" s="1953"/>
      <c r="D3" s="1953"/>
      <c r="E3" s="1953"/>
      <c r="F3" s="1953"/>
      <c r="G3" s="1953"/>
      <c r="H3" s="1953"/>
      <c r="I3" s="1953"/>
      <c r="J3" s="1953"/>
      <c r="K3" s="1953"/>
      <c r="L3" s="1953"/>
      <c r="M3" s="1953"/>
      <c r="N3" s="1953"/>
      <c r="O3" s="1953"/>
      <c r="P3" s="1953"/>
      <c r="Q3" s="1953"/>
      <c r="R3" s="1953"/>
      <c r="S3" s="1953"/>
      <c r="T3" s="1953"/>
      <c r="U3" s="1953"/>
      <c r="V3" s="1953"/>
      <c r="W3" s="1953"/>
      <c r="X3" s="1953"/>
      <c r="Y3" s="1953"/>
    </row>
    <row r="4" spans="1:25" s="564" customFormat="1" ht="15" customHeight="1">
      <c r="A4" s="565"/>
      <c r="B4" s="566"/>
      <c r="C4" s="566"/>
      <c r="D4" s="566"/>
      <c r="E4" s="566"/>
      <c r="F4" s="566"/>
      <c r="G4" s="566"/>
      <c r="H4" s="566"/>
      <c r="I4" s="566"/>
      <c r="J4" s="566"/>
      <c r="K4" s="566"/>
      <c r="L4" s="566"/>
      <c r="M4" s="566"/>
      <c r="N4" s="566"/>
      <c r="O4" s="566"/>
      <c r="P4" s="566"/>
      <c r="Q4" s="566"/>
      <c r="R4" s="566"/>
      <c r="S4" s="566"/>
      <c r="T4" s="563"/>
      <c r="V4" s="563"/>
    </row>
    <row r="5" spans="1:25" s="606" customFormat="1" ht="24.95" customHeight="1">
      <c r="A5" s="1954" t="s">
        <v>777</v>
      </c>
      <c r="B5" s="1954"/>
      <c r="C5" s="1954"/>
      <c r="D5" s="1954"/>
      <c r="E5" s="1954"/>
      <c r="F5" s="1954"/>
      <c r="G5" s="1954"/>
      <c r="H5" s="1954"/>
      <c r="I5" s="1954"/>
      <c r="J5" s="1954"/>
      <c r="K5" s="1954"/>
      <c r="L5" s="1954"/>
      <c r="M5" s="1954"/>
      <c r="N5" s="1954"/>
      <c r="O5" s="1954"/>
      <c r="P5" s="1954"/>
      <c r="Q5" s="1954"/>
      <c r="R5" s="1954"/>
      <c r="S5" s="1954"/>
      <c r="T5" s="1954"/>
      <c r="U5" s="1954"/>
      <c r="V5" s="1954"/>
      <c r="W5" s="1954"/>
      <c r="X5" s="1954"/>
      <c r="Y5" s="1954"/>
    </row>
    <row r="6" spans="1:25" s="564" customFormat="1" ht="4.7" customHeight="1">
      <c r="B6" s="563"/>
      <c r="C6" s="563"/>
      <c r="D6" s="563"/>
      <c r="E6" s="563"/>
      <c r="F6" s="563"/>
      <c r="G6" s="563"/>
      <c r="H6" s="563"/>
      <c r="I6" s="563"/>
      <c r="J6" s="563"/>
      <c r="K6" s="563"/>
      <c r="L6" s="563"/>
      <c r="M6" s="563"/>
      <c r="N6" s="563"/>
      <c r="O6" s="563"/>
      <c r="P6" s="563"/>
      <c r="Q6" s="563"/>
      <c r="R6" s="563"/>
      <c r="S6" s="563"/>
      <c r="T6" s="563"/>
      <c r="V6" s="563"/>
    </row>
    <row r="7" spans="1:25" s="564" customFormat="1" ht="20.100000000000001" customHeight="1">
      <c r="H7" s="1951" t="s">
        <v>739</v>
      </c>
      <c r="I7" s="1951"/>
      <c r="J7" s="1951"/>
      <c r="K7" s="1951"/>
      <c r="L7" s="1951"/>
      <c r="N7" s="1951" t="s">
        <v>740</v>
      </c>
      <c r="O7" s="1951"/>
      <c r="P7" s="1951"/>
      <c r="Q7" s="1951"/>
      <c r="R7" s="1951"/>
      <c r="S7" s="1951"/>
      <c r="T7" s="563"/>
      <c r="U7" s="1206" t="str">
        <f>"As of "&amp;TEXT('Input 1 - Basics'!D23,"mmmm dd, yyyy")</f>
        <v>As of marts 25, 2019</v>
      </c>
      <c r="V7" s="1207"/>
      <c r="W7" s="1207"/>
      <c r="X7" s="1207"/>
    </row>
    <row r="8" spans="1:25" s="564" customFormat="1" ht="20.100000000000001" customHeight="1">
      <c r="B8" s="619"/>
      <c r="C8" s="619"/>
      <c r="D8" s="619"/>
      <c r="E8" s="619"/>
      <c r="F8" s="619"/>
      <c r="G8" s="619"/>
      <c r="H8" s="1955" t="str">
        <f>CONCATENATE('Baseline debt'!E3,"-",'Baseline debt'!M3)</f>
        <v>2007-2015</v>
      </c>
      <c r="I8" s="1955"/>
      <c r="J8" s="1615" t="s">
        <v>976</v>
      </c>
      <c r="K8" s="1167">
        <f>'Baseline debt'!N3</f>
        <v>2016</v>
      </c>
      <c r="L8" s="1167">
        <f>'Baseline debt'!O3</f>
        <v>2017</v>
      </c>
      <c r="N8" s="1130">
        <f>'Baseline debt'!P3</f>
        <v>2018</v>
      </c>
      <c r="O8" s="1130">
        <f>'Baseline debt'!Q3</f>
        <v>2019</v>
      </c>
      <c r="P8" s="1130">
        <f>'Baseline debt'!R3</f>
        <v>2020</v>
      </c>
      <c r="Q8" s="1130">
        <f>'Baseline debt'!S3</f>
        <v>2021</v>
      </c>
      <c r="R8" s="1130">
        <f>'Baseline debt'!T3</f>
        <v>2022</v>
      </c>
      <c r="S8" s="1130">
        <f>'Baseline debt'!U3</f>
        <v>2023</v>
      </c>
      <c r="T8" s="563"/>
      <c r="U8" s="1707" t="str">
        <f>IF(Guarantees="Yes","","Sovereign Spreads")</f>
        <v>Sovereign Spreads</v>
      </c>
      <c r="V8" s="1207"/>
      <c r="W8" s="1207"/>
      <c r="X8" s="1207"/>
    </row>
    <row r="9" spans="1:25" s="564" customFormat="1" ht="20.100000000000001" customHeight="1">
      <c r="B9" s="620" t="s">
        <v>494</v>
      </c>
      <c r="C9" s="580"/>
      <c r="D9" s="580"/>
      <c r="E9" s="580"/>
      <c r="F9" s="580"/>
      <c r="G9" s="580"/>
      <c r="H9" s="580"/>
      <c r="I9" s="621">
        <f>(AVERAGE('Baseline debt'!E108:M108))</f>
        <v>34.615227105085211</v>
      </c>
      <c r="J9" s="621"/>
      <c r="K9" s="1137">
        <f>('Baseline debt'!N108)</f>
        <v>40.167456396322947</v>
      </c>
      <c r="L9" s="1137">
        <f>('Baseline debt'!O108)</f>
        <v>39.842702208732895</v>
      </c>
      <c r="N9" s="622">
        <f>('Baseline debt'!P108)</f>
        <v>37.084342131638088</v>
      </c>
      <c r="O9" s="622">
        <f>('Baseline debt'!Q108)</f>
        <v>35.351552504862923</v>
      </c>
      <c r="P9" s="622">
        <f>('Baseline debt'!R108)</f>
        <v>33.542090376828199</v>
      </c>
      <c r="Q9" s="622">
        <f>('Baseline debt'!S108)</f>
        <v>32.056160655910695</v>
      </c>
      <c r="R9" s="622">
        <f>('Baseline debt'!T108)</f>
        <v>29.915873102736189</v>
      </c>
      <c r="S9" s="622">
        <f>('Baseline debt'!U108)</f>
        <v>27.903074435380589</v>
      </c>
      <c r="T9" s="563"/>
      <c r="U9" s="1707" t="str">
        <f>IF(Guarantees="Yes","Sovereign Spreads","Bond Spread (bp) 3/")</f>
        <v>Bond Spread (bp) 3/</v>
      </c>
      <c r="V9" s="1207"/>
      <c r="W9" s="1207"/>
      <c r="X9" s="1262">
        <f>IF(Guarantees="Yes","",IF(ISBLANK('Input 1 - Basics'!D34),"n.a.",'Input 1 - Basics'!D34))</f>
        <v>57</v>
      </c>
    </row>
    <row r="10" spans="1:25" s="564" customFormat="1" ht="20.100000000000001" customHeight="1" outlineLevel="1">
      <c r="B10" s="1630" t="str">
        <f>IF(Guarantees="Yes","Of which: guarantees","")</f>
        <v/>
      </c>
      <c r="C10" s="580"/>
      <c r="D10" s="580"/>
      <c r="E10" s="580"/>
      <c r="F10" s="580"/>
      <c r="G10" s="580"/>
      <c r="H10" s="580"/>
      <c r="I10" s="621" t="str">
        <f>IF(Guarantees="Yes",IFERROR(AVERAGE('Baseline debt'!E109:M109),"…"),"")</f>
        <v/>
      </c>
      <c r="J10" s="621"/>
      <c r="K10" s="1137" t="str">
        <f>IF(Guarantees="Yes",('Baseline debt'!N109),"")</f>
        <v/>
      </c>
      <c r="L10" s="1137" t="str">
        <f>IF(Guarantees="Yes",('Baseline debt'!O109),"")</f>
        <v/>
      </c>
      <c r="N10" s="622" t="str">
        <f>IF(Guarantees="Yes",('Baseline debt'!P109),"")</f>
        <v/>
      </c>
      <c r="O10" s="622" t="str">
        <f>IF(Guarantees="Yes",('Baseline debt'!Q109),"")</f>
        <v/>
      </c>
      <c r="P10" s="622" t="str">
        <f>IF(Guarantees="Yes",('Baseline debt'!R109),"")</f>
        <v/>
      </c>
      <c r="Q10" s="622" t="str">
        <f>IF(Guarantees="Yes",('Baseline debt'!S109),"")</f>
        <v/>
      </c>
      <c r="R10" s="622" t="str">
        <f>IF(Guarantees="Yes",('Baseline debt'!T109),"")</f>
        <v/>
      </c>
      <c r="S10" s="622" t="str">
        <f>IF(Guarantees="Yes",('Baseline debt'!U109),"")</f>
        <v/>
      </c>
      <c r="T10" s="563"/>
      <c r="U10" s="1707" t="str">
        <f>IF(Guarantees="No","","EMBIG (bp) 3/")</f>
        <v/>
      </c>
      <c r="V10" s="1207"/>
      <c r="W10" s="1203"/>
      <c r="X10" s="1262" t="str">
        <f>IF(Guarantees="Yes",IF(ISBLANK('Input 1 - Basics'!D34),"n.a.",'Input 1 - Basics'!D34),"")</f>
        <v/>
      </c>
    </row>
    <row r="11" spans="1:25" s="564" customFormat="1" ht="20.100000000000001" customHeight="1">
      <c r="B11" s="620" t="s">
        <v>446</v>
      </c>
      <c r="C11" s="623"/>
      <c r="D11" s="623"/>
      <c r="E11" s="623"/>
      <c r="F11" s="623"/>
      <c r="G11" s="623"/>
      <c r="H11" s="580"/>
      <c r="I11" s="621">
        <f>(AVERAGE('Baseline debt'!E120:M120))</f>
        <v>4.9034404706803496</v>
      </c>
      <c r="J11" s="621"/>
      <c r="K11" s="1137">
        <f>('Baseline debt'!N120)</f>
        <v>0.97616864053149377</v>
      </c>
      <c r="L11" s="1137">
        <f>('Baseline debt'!O120)</f>
        <v>1.5203756467637319</v>
      </c>
      <c r="N11" s="622">
        <f>('Baseline debt'!P120)</f>
        <v>3.5984842323630626</v>
      </c>
      <c r="O11" s="622">
        <f>('Baseline debt'!Q120)</f>
        <v>2.736884117115657</v>
      </c>
      <c r="P11" s="622">
        <f>('Baseline debt'!R120)</f>
        <v>2.3965618199100005</v>
      </c>
      <c r="Q11" s="622">
        <f>('Baseline debt'!S120)</f>
        <v>1.2003971380328871</v>
      </c>
      <c r="R11" s="622">
        <f>('Baseline debt'!T120)</f>
        <v>-1.4862612076263433</v>
      </c>
      <c r="S11" s="622">
        <f>('Baseline debt'!U120)</f>
        <v>-2.2506508944660197</v>
      </c>
      <c r="T11" s="563"/>
      <c r="U11" s="1203" t="s">
        <v>993</v>
      </c>
      <c r="V11" s="1207"/>
      <c r="W11" s="1203"/>
      <c r="X11" s="1262">
        <f>IF(ISBLANK('Input 1 - Basics'!D32),"n.a.",'Input 1 - Basics'!D32)</f>
        <v>35</v>
      </c>
    </row>
    <row r="12" spans="1:25" s="564" customFormat="1" ht="5.0999999999999996" customHeight="1">
      <c r="B12" s="620"/>
      <c r="C12" s="623"/>
      <c r="D12" s="623"/>
      <c r="E12" s="623"/>
      <c r="F12" s="623"/>
      <c r="G12" s="623"/>
      <c r="H12" s="580"/>
      <c r="I12" s="621"/>
      <c r="J12" s="621"/>
      <c r="K12" s="1137"/>
      <c r="L12" s="1137"/>
      <c r="N12" s="622"/>
      <c r="O12" s="622"/>
      <c r="P12" s="622"/>
      <c r="Q12" s="622"/>
      <c r="R12" s="622"/>
      <c r="S12" s="622"/>
      <c r="T12" s="563"/>
      <c r="U12" s="1207"/>
      <c r="V12" s="1207"/>
      <c r="W12" s="1207"/>
      <c r="X12" s="1207"/>
    </row>
    <row r="13" spans="1:25" s="564" customFormat="1" ht="20.100000000000001" customHeight="1" outlineLevel="1">
      <c r="B13" s="620" t="str">
        <f>IF(NetDebt="Yes","Net public debt","")</f>
        <v/>
      </c>
      <c r="C13" s="623"/>
      <c r="D13" s="623"/>
      <c r="E13" s="623"/>
      <c r="F13" s="623"/>
      <c r="G13" s="623"/>
      <c r="H13" s="580"/>
      <c r="I13" s="621" t="str">
        <f>IF(NetDebt="Yes",IFERROR(100*(AVERAGE('Baseline debt'!E92:M92)),""),"")</f>
        <v/>
      </c>
      <c r="J13" s="621"/>
      <c r="K13" s="1137" t="str">
        <f>IF(NetDebt="Yes",IFERROR(100*('Baseline debt'!N92),""),"")</f>
        <v/>
      </c>
      <c r="L13" s="1137" t="str">
        <f>IF(NetDebt="Yes",IFERROR(100*('Baseline debt'!O92),""),"")</f>
        <v/>
      </c>
      <c r="N13" s="622" t="str">
        <f>IF(NetDebt="Yes",IFERROR(100*('Baseline debt'!P92),""),"")</f>
        <v/>
      </c>
      <c r="O13" s="622" t="str">
        <f>IF(NetDebt="Yes",IFERROR(100*('Baseline debt'!Q92),""),"")</f>
        <v/>
      </c>
      <c r="P13" s="622" t="str">
        <f>IF(NetDebt="Yes",IFERROR(100*('Baseline debt'!R92),""),"")</f>
        <v/>
      </c>
      <c r="Q13" s="622" t="str">
        <f>IF(NetDebt="Yes",IFERROR(100*('Baseline debt'!S92),""),"")</f>
        <v/>
      </c>
      <c r="R13" s="622" t="str">
        <f>IF(NetDebt="Yes",IFERROR(100*('Baseline debt'!T92),""),"")</f>
        <v/>
      </c>
      <c r="S13" s="622" t="str">
        <f>IF(NetDebt="Yes",IFERROR(100*('Baseline debt'!U92),""),"")</f>
        <v/>
      </c>
      <c r="T13" s="563"/>
      <c r="U13" s="1207"/>
      <c r="V13" s="1207"/>
      <c r="W13" s="1207"/>
      <c r="X13" s="1207"/>
    </row>
    <row r="14" spans="1:25" s="564" customFormat="1" ht="20.100000000000001" customHeight="1" outlineLevel="1">
      <c r="B14" s="620" t="str">
        <f>IF(DebttoPotentialGDP="Yes","Public debt (in percent of potential GDP)","")</f>
        <v>Public debt (in percent of potential GDP)</v>
      </c>
      <c r="C14" s="623"/>
      <c r="D14" s="623"/>
      <c r="E14" s="623"/>
      <c r="F14" s="623"/>
      <c r="G14" s="623"/>
      <c r="H14" s="580"/>
      <c r="I14" s="621" t="str">
        <f>IF(DebttoPotentialGDP="Yes",IFERROR(100*(AVERAGE('Baseline debt'!E95:M95)),""),"")</f>
        <v/>
      </c>
      <c r="J14" s="621"/>
      <c r="K14" s="1137" t="str">
        <f>IF(DebttoPotentialGDP="Yes",IFERROR(100*('Baseline debt'!N95),""),"")</f>
        <v/>
      </c>
      <c r="L14" s="1137" t="str">
        <f>IF(DebttoPotentialGDP="Yes",IFERROR(100*('Baseline debt'!O95),""),"")</f>
        <v/>
      </c>
      <c r="N14" s="622" t="str">
        <f>IF(DebttoPotentialGDP="Yes",IFERROR(100*('Baseline debt'!P95),""),"")</f>
        <v/>
      </c>
      <c r="O14" s="622" t="str">
        <f>IF(DebttoPotentialGDP="Yes",IFERROR(100*('Baseline debt'!Q95),""),"")</f>
        <v/>
      </c>
      <c r="P14" s="622" t="str">
        <f>IF(DebttoPotentialGDP="Yes",IFERROR(100*('Baseline debt'!R95),""),"")</f>
        <v/>
      </c>
      <c r="Q14" s="622" t="str">
        <f>IF(DebttoPotentialGDP="Yes",IFERROR(100*('Baseline debt'!S95),""),"")</f>
        <v/>
      </c>
      <c r="R14" s="622" t="str">
        <f>IF(DebttoPotentialGDP="Yes",IFERROR(100*('Baseline debt'!T95),""),"")</f>
        <v/>
      </c>
      <c r="S14" s="622" t="str">
        <f>IF(DebttoPotentialGDP="Yes",IFERROR(100*('Baseline debt'!U95),""),"")</f>
        <v/>
      </c>
      <c r="T14" s="563"/>
      <c r="U14" s="1207"/>
      <c r="V14" s="1207"/>
      <c r="W14" s="1207"/>
      <c r="X14" s="1207"/>
    </row>
    <row r="15" spans="1:25" s="564" customFormat="1" ht="5.0999999999999996" customHeight="1" outlineLevel="1">
      <c r="B15" s="620"/>
      <c r="C15" s="623"/>
      <c r="D15" s="623"/>
      <c r="E15" s="623"/>
      <c r="F15" s="623"/>
      <c r="G15" s="623"/>
      <c r="H15" s="580"/>
      <c r="I15" s="621"/>
      <c r="J15" s="621"/>
      <c r="K15" s="1137"/>
      <c r="L15" s="1137"/>
      <c r="N15" s="622"/>
      <c r="O15" s="622"/>
      <c r="P15" s="622"/>
      <c r="Q15" s="622"/>
      <c r="R15" s="622"/>
      <c r="S15" s="622"/>
      <c r="T15" s="563"/>
      <c r="U15" s="1207"/>
      <c r="V15" s="1207"/>
      <c r="W15" s="1207"/>
      <c r="X15" s="1207"/>
    </row>
    <row r="16" spans="1:25" s="564" customFormat="1" ht="20.100000000000001" customHeight="1">
      <c r="B16" s="620" t="s">
        <v>418</v>
      </c>
      <c r="C16" s="582"/>
      <c r="D16" s="582"/>
      <c r="E16" s="582"/>
      <c r="F16" s="582"/>
      <c r="G16" s="582"/>
      <c r="H16" s="580"/>
      <c r="I16" s="621">
        <f>(AVERAGE('Baseline debt'!E52:M52))*100</f>
        <v>0.64052348244018065</v>
      </c>
      <c r="J16" s="621"/>
      <c r="K16" s="1137">
        <f>('Baseline debt'!N52)*100</f>
        <v>2.0643812960710717</v>
      </c>
      <c r="L16" s="1137">
        <f>('Baseline debt'!O52)*100</f>
        <v>4.6364796214269033</v>
      </c>
      <c r="N16" s="622">
        <f>('Baseline debt'!P52)*100</f>
        <v>4.7697166816344838</v>
      </c>
      <c r="O16" s="622">
        <f>('Baseline debt'!Q52)*100</f>
        <v>3.1686434574876632</v>
      </c>
      <c r="P16" s="622">
        <f>('Baseline debt'!R52)*100</f>
        <v>2.9947102444823903</v>
      </c>
      <c r="Q16" s="622">
        <f>('Baseline debt'!S52)*100</f>
        <v>2.8871442593204177</v>
      </c>
      <c r="R16" s="622">
        <f>('Baseline debt'!T52)*100</f>
        <v>2.933023694707515</v>
      </c>
      <c r="S16" s="622">
        <f>('Baseline debt'!U52)*100</f>
        <v>2.8000000000000025</v>
      </c>
      <c r="T16" s="563"/>
      <c r="U16" s="1203" t="s">
        <v>766</v>
      </c>
      <c r="V16" s="1170"/>
      <c r="W16" s="1193" t="s">
        <v>359</v>
      </c>
      <c r="X16" s="1193" t="s">
        <v>744</v>
      </c>
    </row>
    <row r="17" spans="1:24" s="564" customFormat="1" ht="20.100000000000001" customHeight="1">
      <c r="B17" s="620" t="s">
        <v>419</v>
      </c>
      <c r="C17" s="582"/>
      <c r="D17" s="582"/>
      <c r="E17" s="582"/>
      <c r="F17" s="582"/>
      <c r="G17" s="582"/>
      <c r="H17" s="580"/>
      <c r="I17" s="621">
        <f>(AVERAGE('Baseline debt'!E54:M54))*100</f>
        <v>3.8559154116153231</v>
      </c>
      <c r="J17" s="621"/>
      <c r="K17" s="1137">
        <f>('Baseline debt'!N54)*100</f>
        <v>0.87719298245614308</v>
      </c>
      <c r="L17" s="1137">
        <f>('Baseline debt'!O54)*100</f>
        <v>3.2173913043478386</v>
      </c>
      <c r="N17" s="622">
        <f>('Baseline debt'!P54)*100</f>
        <v>4.2122999157540031</v>
      </c>
      <c r="O17" s="622">
        <f>('Baseline debt'!Q54)*100</f>
        <v>3.085754504401117</v>
      </c>
      <c r="P17" s="622">
        <f>('Baseline debt'!R54)*100</f>
        <v>2.7938359016816516</v>
      </c>
      <c r="Q17" s="622">
        <f>('Baseline debt'!S54)*100</f>
        <v>2.5315565708619037</v>
      </c>
      <c r="R17" s="622">
        <f>('Baseline debt'!T54)*100</f>
        <v>2.4647711698661201</v>
      </c>
      <c r="S17" s="622">
        <f>('Baseline debt'!U54)*100</f>
        <v>2.5000000000000133</v>
      </c>
      <c r="T17" s="563"/>
      <c r="U17" s="1204" t="s">
        <v>130</v>
      </c>
      <c r="V17" s="1193"/>
      <c r="W17" s="1193" t="str">
        <f>IF(ISBLANK('Input 1 - Basics'!D25),"n.a.",'Input 1 - Basics'!D25)</f>
        <v>A3</v>
      </c>
      <c r="X17" s="1193" t="str">
        <f>IF(ISBLANK('Input 1 - Basics'!E25),"n.a.",'Input 1 - Basics'!E25)</f>
        <v>A3</v>
      </c>
    </row>
    <row r="18" spans="1:24" s="564" customFormat="1" ht="20.100000000000001" customHeight="1">
      <c r="B18" s="620" t="s">
        <v>420</v>
      </c>
      <c r="C18" s="582"/>
      <c r="D18" s="582"/>
      <c r="E18" s="582"/>
      <c r="F18" s="582"/>
      <c r="G18" s="582"/>
      <c r="H18" s="580"/>
      <c r="I18" s="621">
        <f>(AVERAGE('Baseline debt'!E51:M51))*100</f>
        <v>4.9112082902095917</v>
      </c>
      <c r="J18" s="621"/>
      <c r="K18" s="1137">
        <f>('Baseline debt'!N51)*100</f>
        <v>2.9496235329759646</v>
      </c>
      <c r="L18" s="1137">
        <f>('Baseline debt'!O51)*100</f>
        <v>7.9694837565234655</v>
      </c>
      <c r="N18" s="622">
        <f>('Baseline debt'!P51)*100</f>
        <v>9.2131943943000838</v>
      </c>
      <c r="O18" s="622">
        <f>('Baseline debt'!Q51)*100</f>
        <v>6.3521745201066571</v>
      </c>
      <c r="P18" s="622">
        <f>('Baseline debt'!R51)*100</f>
        <v>5.872213436125695</v>
      </c>
      <c r="Q18" s="622">
        <f>('Baseline debt'!S51)*100</f>
        <v>5.4917905203894168</v>
      </c>
      <c r="R18" s="622">
        <f>('Baseline debt'!T51)*100</f>
        <v>5.4700871870061452</v>
      </c>
      <c r="S18" s="622">
        <f>('Baseline debt'!U51)*100</f>
        <v>5.3569913858276808</v>
      </c>
      <c r="T18" s="563"/>
      <c r="U18" s="1204" t="s">
        <v>131</v>
      </c>
      <c r="V18" s="1193"/>
      <c r="W18" s="1193" t="str">
        <f>IF(ISBLANK('Input 1 - Basics'!D26),"n.a.",'Input 1 - Basics'!D26)</f>
        <v>A</v>
      </c>
      <c r="X18" s="1193" t="str">
        <f>IF(ISBLANK('Input 1 - Basics'!E26),"n.a.",'Input 1 - Basics'!E26)</f>
        <v>A</v>
      </c>
    </row>
    <row r="19" spans="1:24" s="584" customFormat="1" ht="21.95" customHeight="1">
      <c r="B19" s="1138" t="s">
        <v>1017</v>
      </c>
      <c r="C19" s="1139"/>
      <c r="D19" s="1139"/>
      <c r="E19" s="1139"/>
      <c r="F19" s="1139"/>
      <c r="G19" s="1139"/>
      <c r="H19" s="1139"/>
      <c r="I19" s="1143">
        <f>(AVERAGE('Baseline debt'!E64:M64))*100</f>
        <v>4.6515547998671014</v>
      </c>
      <c r="J19" s="1143"/>
      <c r="K19" s="1144">
        <f>('Baseline debt'!N64)*100</f>
        <v>2.8711784811072523</v>
      </c>
      <c r="L19" s="1144">
        <f>('Baseline debt'!O64)*100</f>
        <v>2.4878194292532565</v>
      </c>
      <c r="N19" s="1145">
        <f>('Baseline debt'!P64)*100</f>
        <v>1.9586439007071743</v>
      </c>
      <c r="O19" s="1145">
        <f>('Baseline debt'!Q64)*100</f>
        <v>1.9875432898830547</v>
      </c>
      <c r="P19" s="1145">
        <f>('Baseline debt'!R64)*100</f>
        <v>1.8677852623362263</v>
      </c>
      <c r="Q19" s="1145">
        <f>('Baseline debt'!S64)*100</f>
        <v>2.029232046171678</v>
      </c>
      <c r="R19" s="1145">
        <f>('Baseline debt'!T64)*100</f>
        <v>1.8384784130669154</v>
      </c>
      <c r="S19" s="1145">
        <f>('Baseline debt'!U64)*100</f>
        <v>1.9187244839005111</v>
      </c>
      <c r="T19" s="1140"/>
      <c r="U19" s="1205" t="s">
        <v>132</v>
      </c>
      <c r="V19" s="1141"/>
      <c r="W19" s="1141" t="str">
        <f>IF(ISBLANK('Input 1 - Basics'!D27),"n.a.",'Input 1 - Basics'!D27)</f>
        <v>A-</v>
      </c>
      <c r="X19" s="1141" t="str">
        <f>IF(ISBLANK('Input 1 - Basics'!E27),"n.a.",'Input 1 - Basics'!E27)</f>
        <v>A-</v>
      </c>
    </row>
    <row r="20" spans="1:24" s="564" customFormat="1" ht="4.7" customHeight="1">
      <c r="B20" s="1124"/>
      <c r="C20" s="1124"/>
      <c r="D20" s="1124"/>
      <c r="E20" s="1124"/>
      <c r="F20" s="1124"/>
      <c r="G20" s="1124"/>
      <c r="H20" s="1124"/>
      <c r="I20" s="1124"/>
      <c r="J20" s="1124"/>
      <c r="K20" s="1124"/>
      <c r="L20" s="1124"/>
      <c r="M20" s="1124"/>
      <c r="N20" s="1124"/>
      <c r="O20" s="1124"/>
      <c r="P20" s="1124"/>
      <c r="Q20" s="1124"/>
      <c r="R20" s="1124"/>
      <c r="S20" s="1124"/>
      <c r="T20" s="563"/>
      <c r="U20" s="1207"/>
      <c r="V20" s="1207"/>
      <c r="W20" s="1207"/>
      <c r="X20" s="1207"/>
    </row>
    <row r="21" spans="1:24" s="564" customFormat="1" ht="20.100000000000001" customHeight="1">
      <c r="B21" s="620"/>
      <c r="C21" s="580"/>
      <c r="D21" s="580"/>
      <c r="E21" s="580"/>
      <c r="F21" s="580"/>
      <c r="G21" s="580"/>
      <c r="H21" s="580"/>
      <c r="I21" s="580"/>
      <c r="J21" s="580"/>
      <c r="K21" s="622"/>
      <c r="L21" s="622"/>
      <c r="M21" s="622"/>
      <c r="N21" s="622"/>
      <c r="O21" s="622"/>
      <c r="P21" s="622"/>
      <c r="Q21" s="563"/>
      <c r="R21" s="563"/>
      <c r="S21" s="563"/>
      <c r="T21" s="563"/>
      <c r="V21" s="563"/>
    </row>
    <row r="22" spans="1:24" s="586" customFormat="1" ht="24.95" customHeight="1">
      <c r="B22" s="1956" t="s">
        <v>443</v>
      </c>
      <c r="C22" s="1956"/>
      <c r="D22" s="1956"/>
      <c r="E22" s="1956"/>
      <c r="F22" s="1956"/>
      <c r="G22" s="1956"/>
      <c r="H22" s="1956"/>
      <c r="I22" s="1956"/>
      <c r="J22" s="1956"/>
      <c r="K22" s="1956"/>
      <c r="L22" s="1956"/>
      <c r="M22" s="1956"/>
      <c r="N22" s="1956"/>
      <c r="O22" s="1956"/>
      <c r="P22" s="1956"/>
      <c r="Q22" s="1956"/>
      <c r="R22" s="1956"/>
      <c r="S22" s="1956"/>
      <c r="T22" s="1956"/>
      <c r="U22" s="1956"/>
      <c r="V22" s="1956"/>
      <c r="W22" s="1956"/>
      <c r="X22" s="1956"/>
    </row>
    <row r="23" spans="1:24" s="564" customFormat="1" ht="4.7" customHeight="1">
      <c r="A23" s="563"/>
      <c r="B23" s="563"/>
      <c r="C23" s="563"/>
      <c r="D23" s="563"/>
      <c r="E23" s="563"/>
      <c r="F23" s="563"/>
      <c r="G23" s="563"/>
      <c r="H23" s="563"/>
      <c r="I23" s="1125"/>
      <c r="J23" s="1125"/>
      <c r="K23" s="1125"/>
      <c r="L23" s="1125"/>
      <c r="M23" s="1125"/>
      <c r="N23" s="1125"/>
      <c r="O23" s="1125"/>
      <c r="P23" s="1125"/>
      <c r="Q23" s="563"/>
      <c r="R23" s="563"/>
      <c r="S23" s="563"/>
      <c r="T23" s="563"/>
      <c r="V23" s="563"/>
    </row>
    <row r="24" spans="1:24" s="564" customFormat="1" ht="20.100000000000001" customHeight="1">
      <c r="H24" s="1951" t="s">
        <v>739</v>
      </c>
      <c r="I24" s="1951"/>
      <c r="J24" s="1951"/>
      <c r="K24" s="1951"/>
      <c r="L24" s="1951"/>
      <c r="N24" s="1951" t="s">
        <v>740</v>
      </c>
      <c r="O24" s="1951"/>
      <c r="P24" s="1951"/>
      <c r="Q24" s="1951"/>
      <c r="R24" s="1951"/>
      <c r="S24" s="1951"/>
      <c r="T24" s="1951"/>
      <c r="U24" s="1951"/>
      <c r="V24" s="1951"/>
      <c r="W24" s="1951"/>
      <c r="X24" s="1951"/>
    </row>
    <row r="25" spans="1:24" s="564" customFormat="1" ht="20.100000000000001" customHeight="1">
      <c r="B25" s="619"/>
      <c r="C25" s="619"/>
      <c r="D25" s="619"/>
      <c r="E25" s="619"/>
      <c r="F25" s="619"/>
      <c r="G25" s="619"/>
      <c r="H25" s="1955" t="str">
        <f>CONCATENATE('Baseline debt'!E3,"-",'Baseline debt'!M3)</f>
        <v>2007-2015</v>
      </c>
      <c r="I25" s="1955"/>
      <c r="J25" s="1168"/>
      <c r="K25" s="1167">
        <f>'Baseline debt'!N3</f>
        <v>2016</v>
      </c>
      <c r="L25" s="1167">
        <f>'Baseline debt'!O3</f>
        <v>2017</v>
      </c>
      <c r="N25" s="1202">
        <f>'Baseline debt'!P3</f>
        <v>2018</v>
      </c>
      <c r="O25" s="1202">
        <f>'Baseline debt'!Q3</f>
        <v>2019</v>
      </c>
      <c r="P25" s="1202">
        <f>'Baseline debt'!R3</f>
        <v>2020</v>
      </c>
      <c r="Q25" s="1202">
        <f>'Baseline debt'!S3</f>
        <v>2021</v>
      </c>
      <c r="R25" s="1202">
        <f>'Baseline debt'!T3</f>
        <v>2022</v>
      </c>
      <c r="S25" s="1202">
        <f>'Baseline debt'!U3</f>
        <v>2023</v>
      </c>
      <c r="T25" s="563"/>
      <c r="U25" s="1192" t="s">
        <v>778</v>
      </c>
      <c r="V25" s="563"/>
      <c r="W25" s="1957" t="s">
        <v>793</v>
      </c>
      <c r="X25" s="1957"/>
    </row>
    <row r="26" spans="1:24" s="564" customFormat="1" ht="19.5" customHeight="1">
      <c r="A26" s="563"/>
      <c r="B26" s="1131" t="s">
        <v>498</v>
      </c>
      <c r="C26" s="563"/>
      <c r="D26" s="563"/>
      <c r="E26" s="563"/>
      <c r="F26" s="563"/>
      <c r="G26" s="563"/>
      <c r="H26" s="563"/>
      <c r="I26" s="621">
        <f>AVERAGE('Baseline debt'!E146:M146)</f>
        <v>2.9619025990580861</v>
      </c>
      <c r="J26" s="621"/>
      <c r="K26" s="1127">
        <f>'Baseline debt'!N146</f>
        <v>3.5775450119186942</v>
      </c>
      <c r="L26" s="1127">
        <f>'Baseline debt'!O146</f>
        <v>-0.32475418759005237</v>
      </c>
      <c r="N26" s="1126">
        <f>'Baseline debt'!P146</f>
        <v>-2.7583600770948067</v>
      </c>
      <c r="O26" s="1126">
        <f>'Baseline debt'!Q146</f>
        <v>-1.7327896267751655</v>
      </c>
      <c r="P26" s="1126">
        <f>'Baseline debt'!R146</f>
        <v>-1.8094621280347241</v>
      </c>
      <c r="Q26" s="1126">
        <f>'Baseline debt'!S146</f>
        <v>-1.485929720917504</v>
      </c>
      <c r="R26" s="1126">
        <f>'Baseline debt'!T146</f>
        <v>-2.140287553174506</v>
      </c>
      <c r="S26" s="1126">
        <f>'Baseline debt'!U146</f>
        <v>-2.0127986673556002</v>
      </c>
      <c r="T26" s="563"/>
      <c r="U26" s="1127">
        <f>SUM(N26:S26)</f>
        <v>-11.939627773352306</v>
      </c>
      <c r="V26" s="563"/>
      <c r="W26" s="1952" t="s">
        <v>794</v>
      </c>
      <c r="X26" s="1952"/>
    </row>
    <row r="27" spans="1:24" s="564" customFormat="1" ht="4.7" customHeight="1">
      <c r="A27" s="563"/>
      <c r="B27" s="1131"/>
      <c r="C27" s="563"/>
      <c r="D27" s="563"/>
      <c r="E27" s="563"/>
      <c r="F27" s="563"/>
      <c r="G27" s="563"/>
      <c r="H27" s="563"/>
      <c r="I27" s="1125"/>
      <c r="J27" s="1125"/>
      <c r="K27" s="1127"/>
      <c r="L27" s="1127"/>
      <c r="N27" s="1126"/>
      <c r="O27" s="1126"/>
      <c r="P27" s="1126"/>
      <c r="Q27" s="1126"/>
      <c r="R27" s="1126"/>
      <c r="S27" s="1126"/>
      <c r="T27" s="563"/>
      <c r="V27" s="563"/>
      <c r="W27" s="578"/>
    </row>
    <row r="28" spans="1:24" s="564" customFormat="1" ht="20.100000000000001" customHeight="1">
      <c r="A28" s="563"/>
      <c r="B28" s="1128" t="s">
        <v>742</v>
      </c>
      <c r="C28" s="563"/>
      <c r="D28" s="563"/>
      <c r="E28" s="563"/>
      <c r="F28" s="563"/>
      <c r="G28" s="563"/>
      <c r="H28" s="563"/>
      <c r="I28" s="621">
        <f>AVERAGE('Baseline debt'!E148:M148)</f>
        <v>4.0819096701546025</v>
      </c>
      <c r="J28" s="621"/>
      <c r="K28" s="1127">
        <f>'Baseline debt'!N148</f>
        <v>-0.10089007745662001</v>
      </c>
      <c r="L28" s="1127">
        <f>'Baseline debt'!O148</f>
        <v>-1.295965730159149</v>
      </c>
      <c r="N28" s="1126">
        <f>'Baseline debt'!P148</f>
        <v>-2.5839630687124111</v>
      </c>
      <c r="O28" s="1126">
        <f>'Baseline debt'!Q148</f>
        <v>-1.568517673970395</v>
      </c>
      <c r="P28" s="1126">
        <f>'Baseline debt'!R148</f>
        <v>-1.6459621280347225</v>
      </c>
      <c r="Q28" s="1126">
        <f>'Baseline debt'!S148</f>
        <v>-1.3224297209175089</v>
      </c>
      <c r="R28" s="1126">
        <f>'Baseline debt'!T148</f>
        <v>-1.9767875531744978</v>
      </c>
      <c r="S28" s="1126">
        <f>'Baseline debt'!U148</f>
        <v>-1.8528714480156938</v>
      </c>
      <c r="T28" s="563"/>
      <c r="U28" s="1127">
        <f t="shared" ref="U28:U41" si="0">SUM(N28:S28)</f>
        <v>-10.95053159282523</v>
      </c>
      <c r="V28" s="563"/>
      <c r="W28" s="1951" t="s">
        <v>1022</v>
      </c>
      <c r="X28" s="1951"/>
    </row>
    <row r="29" spans="1:24" s="564" customFormat="1" ht="20.100000000000001" customHeight="1">
      <c r="A29" s="563"/>
      <c r="B29" s="1133" t="s">
        <v>55</v>
      </c>
      <c r="C29" s="563"/>
      <c r="D29" s="563"/>
      <c r="E29" s="563"/>
      <c r="F29" s="563"/>
      <c r="G29" s="563"/>
      <c r="H29" s="563"/>
      <c r="I29" s="621">
        <f>AVERAGE('Baseline debt'!E149:M149)</f>
        <v>3.9102179869942435</v>
      </c>
      <c r="J29" s="621"/>
      <c r="K29" s="1127">
        <f>'Baseline debt'!N149</f>
        <v>0.1302037464969672</v>
      </c>
      <c r="L29" s="1127">
        <f>'Baseline debt'!O149</f>
        <v>0.73983496353501721</v>
      </c>
      <c r="N29" s="1126">
        <f>'Baseline debt'!P149</f>
        <v>5.2301873674018395E-2</v>
      </c>
      <c r="O29" s="1126">
        <f>'Baseline debt'!Q149</f>
        <v>-4.6597896115336823E-2</v>
      </c>
      <c r="P29" s="1126">
        <f>'Baseline debt'!R149</f>
        <v>-0.30885252917780548</v>
      </c>
      <c r="Q29" s="1126">
        <f>'Baseline debt'!S149</f>
        <v>-0.2214772325358112</v>
      </c>
      <c r="R29" s="1126">
        <f>'Baseline debt'!T149</f>
        <v>-0.87301076297997326</v>
      </c>
      <c r="S29" s="1126">
        <f>'Baseline debt'!U149</f>
        <v>-0.87301076297998037</v>
      </c>
      <c r="T29" s="563"/>
      <c r="U29" s="1127">
        <f t="shared" si="0"/>
        <v>-2.2706473101148887</v>
      </c>
      <c r="V29" s="563"/>
      <c r="W29" s="1950">
        <f>'Baseline debt'!W146</f>
        <v>-0.97986068503571344</v>
      </c>
      <c r="X29" s="1950"/>
    </row>
    <row r="30" spans="1:24" s="564" customFormat="1" ht="20.100000000000001" customHeight="1">
      <c r="A30" s="563"/>
      <c r="B30" s="1134" t="s">
        <v>827</v>
      </c>
      <c r="C30" s="563"/>
      <c r="D30" s="563"/>
      <c r="E30" s="563"/>
      <c r="F30" s="563"/>
      <c r="G30" s="563"/>
      <c r="H30" s="563"/>
      <c r="I30" s="621">
        <f>AVERAGE('Baseline debt'!E150:M150)</f>
        <v>35.402134257963418</v>
      </c>
      <c r="J30" s="621"/>
      <c r="K30" s="1127">
        <f>'Baseline debt'!N150</f>
        <v>36.849257850626913</v>
      </c>
      <c r="L30" s="1127">
        <f>'Baseline debt'!O150</f>
        <v>37.06610159058598</v>
      </c>
      <c r="N30" s="1126">
        <f>'Baseline debt'!P150</f>
        <v>36.781832970756888</v>
      </c>
      <c r="O30" s="1126">
        <f>'Baseline debt'!Q150</f>
        <v>35.899708650221953</v>
      </c>
      <c r="P30" s="1126">
        <f>'Baseline debt'!R150</f>
        <v>35.663219049317711</v>
      </c>
      <c r="Q30" s="1126">
        <f>'Baseline debt'!S150</f>
        <v>35.111135216456816</v>
      </c>
      <c r="R30" s="1126">
        <f>'Baseline debt'!T150</f>
        <v>34.585635256377735</v>
      </c>
      <c r="S30" s="1126">
        <f>'Baseline debt'!U150</f>
        <v>34.585635256377735</v>
      </c>
      <c r="T30" s="563"/>
      <c r="U30" s="1127">
        <f t="shared" si="0"/>
        <v>212.62716639950884</v>
      </c>
      <c r="V30" s="563"/>
    </row>
    <row r="31" spans="1:24" s="564" customFormat="1" ht="20.100000000000001" customHeight="1">
      <c r="A31" s="563"/>
      <c r="B31" s="1134" t="s">
        <v>56</v>
      </c>
      <c r="C31" s="563"/>
      <c r="D31" s="563"/>
      <c r="E31" s="563"/>
      <c r="F31" s="563"/>
      <c r="G31" s="563"/>
      <c r="H31" s="563"/>
      <c r="I31" s="621">
        <f>AVERAGE('Baseline debt'!E151:M151)</f>
        <v>39.312352244957658</v>
      </c>
      <c r="J31" s="621"/>
      <c r="K31" s="1127">
        <f>'Baseline debt'!N151</f>
        <v>36.97946159712388</v>
      </c>
      <c r="L31" s="1127">
        <f>'Baseline debt'!O151</f>
        <v>37.805936554120997</v>
      </c>
      <c r="N31" s="1126">
        <f>'Baseline debt'!P151</f>
        <v>36.834134844430906</v>
      </c>
      <c r="O31" s="1126">
        <f>'Baseline debt'!Q151</f>
        <v>35.853110754106616</v>
      </c>
      <c r="P31" s="1126">
        <f>'Baseline debt'!R151</f>
        <v>35.354366520139905</v>
      </c>
      <c r="Q31" s="1126">
        <f>'Baseline debt'!S151</f>
        <v>34.889657983921005</v>
      </c>
      <c r="R31" s="1126">
        <f>'Baseline debt'!T151</f>
        <v>33.712624493397762</v>
      </c>
      <c r="S31" s="1126">
        <f>'Baseline debt'!U151</f>
        <v>33.712624493397755</v>
      </c>
      <c r="T31" s="563"/>
      <c r="U31" s="1127">
        <f t="shared" si="0"/>
        <v>210.35651908939394</v>
      </c>
      <c r="V31" s="563"/>
    </row>
    <row r="32" spans="1:24" s="564" customFormat="1" ht="20.100000000000001" customHeight="1">
      <c r="A32" s="563"/>
      <c r="B32" s="1133" t="s">
        <v>1018</v>
      </c>
      <c r="C32" s="563"/>
      <c r="D32" s="563"/>
      <c r="E32" s="563"/>
      <c r="F32" s="563"/>
      <c r="G32" s="563"/>
      <c r="H32" s="563"/>
      <c r="I32" s="621">
        <f>AVERAGE('Baseline debt'!E152:M152)</f>
        <v>0.17169168316035938</v>
      </c>
      <c r="J32" s="621"/>
      <c r="K32" s="1127">
        <f>'Baseline debt'!N152</f>
        <v>-0.23109382395358721</v>
      </c>
      <c r="L32" s="1127">
        <f>'Baseline debt'!O152</f>
        <v>-2.0358006936941662</v>
      </c>
      <c r="N32" s="1126">
        <f>'Baseline debt'!P152</f>
        <v>-2.6362649423864295</v>
      </c>
      <c r="O32" s="1126">
        <f>'Baseline debt'!Q152</f>
        <v>-1.5219197778550582</v>
      </c>
      <c r="P32" s="1126">
        <f>'Baseline debt'!R152</f>
        <v>-1.337109598856917</v>
      </c>
      <c r="Q32" s="1126">
        <f>'Baseline debt'!S152</f>
        <v>-1.1009524883816977</v>
      </c>
      <c r="R32" s="1126">
        <f>'Baseline debt'!T152</f>
        <v>-1.1037767901945246</v>
      </c>
      <c r="S32" s="1126">
        <f>'Baseline debt'!U152</f>
        <v>-0.97986068503571344</v>
      </c>
      <c r="T32" s="563"/>
      <c r="U32" s="1127">
        <f t="shared" si="0"/>
        <v>-8.6798842827103417</v>
      </c>
      <c r="V32" s="563"/>
    </row>
    <row r="33" spans="1:24" s="564" customFormat="1" ht="20.100000000000001" customHeight="1">
      <c r="A33" s="563"/>
      <c r="B33" s="1134" t="s">
        <v>1019</v>
      </c>
      <c r="C33" s="563"/>
      <c r="D33" s="563"/>
      <c r="E33" s="563"/>
      <c r="F33" s="563"/>
      <c r="G33" s="563"/>
      <c r="H33" s="563"/>
      <c r="I33" s="621">
        <f>AVERAGE('Baseline debt'!E153:M153)</f>
        <v>0.36860182138224495</v>
      </c>
      <c r="J33" s="621"/>
      <c r="K33" s="1127">
        <f>'Baseline debt'!N153</f>
        <v>-3.1452780890036669E-2</v>
      </c>
      <c r="L33" s="1127">
        <f>'Baseline debt'!O153</f>
        <v>-2.0511696505060368</v>
      </c>
      <c r="N33" s="1126">
        <f>'Baseline debt'!P153</f>
        <v>-2.6362649423864295</v>
      </c>
      <c r="O33" s="1126">
        <f>'Baseline debt'!Q153</f>
        <v>-1.5219197778550582</v>
      </c>
      <c r="P33" s="1126">
        <f>'Baseline debt'!R153</f>
        <v>-1.337109598856917</v>
      </c>
      <c r="Q33" s="1126">
        <f>'Baseline debt'!S153</f>
        <v>-1.1009524883816977</v>
      </c>
      <c r="R33" s="1126">
        <f>'Baseline debt'!T153</f>
        <v>-1.1037767901945246</v>
      </c>
      <c r="S33" s="1126">
        <f>'Baseline debt'!U153</f>
        <v>-0.97986068503571344</v>
      </c>
      <c r="T33" s="563"/>
      <c r="U33" s="1127">
        <f t="shared" si="0"/>
        <v>-8.6798842827103417</v>
      </c>
      <c r="V33" s="563"/>
    </row>
    <row r="34" spans="1:24" s="564" customFormat="1" ht="20.100000000000001" customHeight="1">
      <c r="A34" s="563"/>
      <c r="B34" s="1135" t="s">
        <v>959</v>
      </c>
      <c r="C34" s="563"/>
      <c r="D34" s="563"/>
      <c r="E34" s="563"/>
      <c r="F34" s="563"/>
      <c r="G34" s="563"/>
      <c r="H34" s="563"/>
      <c r="I34" s="621">
        <f>AVERAGE('Baseline debt'!E154:M154)</f>
        <v>0.65714638940354186</v>
      </c>
      <c r="J34" s="621"/>
      <c r="K34" s="1127">
        <f>'Baseline debt'!N154</f>
        <v>0.70218903471474725</v>
      </c>
      <c r="L34" s="1127">
        <f>'Baseline debt'!O154</f>
        <v>-0.32681462250744636</v>
      </c>
      <c r="N34" s="1126">
        <f>'Baseline debt'!P154</f>
        <v>-0.89571448286576472</v>
      </c>
      <c r="O34" s="1126">
        <f>'Baseline debt'!Q154</f>
        <v>-0.4170335016611133</v>
      </c>
      <c r="P34" s="1126">
        <f>'Baseline debt'!R154</f>
        <v>-0.33715264123137706</v>
      </c>
      <c r="Q34" s="1126">
        <f>'Baseline debt'!S154</f>
        <v>-0.18295827101794179</v>
      </c>
      <c r="R34" s="1126">
        <f>'Baseline debt'!T154</f>
        <v>-0.21232518270291459</v>
      </c>
      <c r="S34" s="1126">
        <f>'Baseline debt'!U154</f>
        <v>-0.18490534017796073</v>
      </c>
      <c r="T34" s="563"/>
      <c r="U34" s="1127">
        <f t="shared" si="0"/>
        <v>-2.2300894196570722</v>
      </c>
      <c r="V34" s="563"/>
    </row>
    <row r="35" spans="1:24" s="564" customFormat="1" ht="20.100000000000001" customHeight="1">
      <c r="A35" s="563"/>
      <c r="B35" s="1135" t="s">
        <v>745</v>
      </c>
      <c r="C35" s="563"/>
      <c r="D35" s="563"/>
      <c r="E35" s="563"/>
      <c r="F35" s="563"/>
      <c r="G35" s="563"/>
      <c r="H35" s="563"/>
      <c r="I35" s="621">
        <f>AVERAGE('Baseline debt'!E155:M155)</f>
        <v>-0.2885445680212968</v>
      </c>
      <c r="J35" s="621"/>
      <c r="K35" s="1127">
        <f>'Baseline debt'!N155</f>
        <v>-0.73364181560478392</v>
      </c>
      <c r="L35" s="1127">
        <f>'Baseline debt'!O155</f>
        <v>-1.7243550279985904</v>
      </c>
      <c r="N35" s="1126">
        <f>'Baseline debt'!P155</f>
        <v>-1.7405504595206647</v>
      </c>
      <c r="O35" s="1126">
        <f>'Baseline debt'!Q155</f>
        <v>-1.1048862761939449</v>
      </c>
      <c r="P35" s="1126">
        <f>'Baseline debt'!R155</f>
        <v>-0.99995695762553993</v>
      </c>
      <c r="Q35" s="1126">
        <f>'Baseline debt'!S155</f>
        <v>-0.91799421736375586</v>
      </c>
      <c r="R35" s="1126">
        <f>'Baseline debt'!T155</f>
        <v>-0.89145160749161001</v>
      </c>
      <c r="S35" s="1126">
        <f>'Baseline debt'!U155</f>
        <v>-0.79495534485775265</v>
      </c>
      <c r="T35" s="563"/>
      <c r="U35" s="1127">
        <f t="shared" si="0"/>
        <v>-6.4497948630532678</v>
      </c>
      <c r="V35" s="563"/>
    </row>
    <row r="36" spans="1:24" s="564" customFormat="1" ht="20.100000000000001" customHeight="1">
      <c r="A36" s="563"/>
      <c r="B36" s="1134" t="s">
        <v>1020</v>
      </c>
      <c r="C36" s="563"/>
      <c r="D36" s="563"/>
      <c r="E36" s="563"/>
      <c r="F36" s="563"/>
      <c r="G36" s="563"/>
      <c r="H36" s="563"/>
      <c r="I36" s="621">
        <f>AVERAGE('Baseline debt'!E156:M156)</f>
        <v>-0.19691013822188549</v>
      </c>
      <c r="J36" s="621"/>
      <c r="K36" s="1127">
        <f>'Baseline debt'!N156</f>
        <v>-0.19964104306355054</v>
      </c>
      <c r="L36" s="1127">
        <f>'Baseline debt'!O156</f>
        <v>1.5368956811870662E-2</v>
      </c>
      <c r="N36" s="1530" t="s">
        <v>928</v>
      </c>
      <c r="O36" s="1530" t="s">
        <v>928</v>
      </c>
      <c r="P36" s="1530" t="s">
        <v>928</v>
      </c>
      <c r="Q36" s="1530" t="s">
        <v>928</v>
      </c>
      <c r="R36" s="1530" t="s">
        <v>928</v>
      </c>
      <c r="S36" s="1530" t="s">
        <v>928</v>
      </c>
      <c r="T36" s="563"/>
      <c r="U36" s="1127" t="s">
        <v>928</v>
      </c>
      <c r="V36" s="563"/>
    </row>
    <row r="37" spans="1:24" s="564" customFormat="1" ht="20.100000000000001" customHeight="1">
      <c r="A37" s="563"/>
      <c r="B37" s="1133" t="s">
        <v>741</v>
      </c>
      <c r="C37" s="563"/>
      <c r="D37" s="563"/>
      <c r="E37" s="563"/>
      <c r="F37" s="563"/>
      <c r="G37" s="563"/>
      <c r="H37" s="563"/>
      <c r="I37" s="621">
        <f>AVERAGE('Baseline debt'!E157:M157)</f>
        <v>0</v>
      </c>
      <c r="J37" s="621"/>
      <c r="K37" s="1127">
        <f>'Baseline debt'!N157</f>
        <v>0</v>
      </c>
      <c r="L37" s="1127">
        <f>'Baseline debt'!O157</f>
        <v>0</v>
      </c>
      <c r="N37" s="1126">
        <f>'Baseline debt'!P157</f>
        <v>0</v>
      </c>
      <c r="O37" s="1126">
        <f>'Baseline debt'!Q157</f>
        <v>0</v>
      </c>
      <c r="P37" s="1126">
        <f>'Baseline debt'!R157</f>
        <v>0</v>
      </c>
      <c r="Q37" s="1126">
        <f>'Baseline debt'!S157</f>
        <v>0</v>
      </c>
      <c r="R37" s="1126">
        <f>'Baseline debt'!T157</f>
        <v>0</v>
      </c>
      <c r="S37" s="1126">
        <f>'Baseline debt'!U157</f>
        <v>0</v>
      </c>
      <c r="T37" s="563"/>
      <c r="U37" s="1127">
        <f t="shared" si="0"/>
        <v>0</v>
      </c>
      <c r="V37" s="563"/>
    </row>
    <row r="38" spans="1:24" s="564" customFormat="1" ht="20.100000000000001" customHeight="1">
      <c r="A38" s="563"/>
      <c r="B38" s="1136" t="str">
        <f>'Input 2 - Data'!D31&amp;" (negative)"</f>
        <v>Please specify (1) (e.g., privatization receipts) (+ reduces financing needs) (negative)</v>
      </c>
      <c r="C38" s="563"/>
      <c r="D38" s="563"/>
      <c r="E38" s="563"/>
      <c r="F38" s="563"/>
      <c r="G38" s="563"/>
      <c r="H38" s="563"/>
      <c r="I38" s="621">
        <f>AVERAGE('Baseline debt'!E158:M158)</f>
        <v>0</v>
      </c>
      <c r="J38" s="621"/>
      <c r="K38" s="1127">
        <f>'Baseline debt'!N158</f>
        <v>0</v>
      </c>
      <c r="L38" s="1127">
        <f>'Baseline debt'!O158</f>
        <v>0</v>
      </c>
      <c r="N38" s="1126">
        <f>'Baseline debt'!P158</f>
        <v>0</v>
      </c>
      <c r="O38" s="1126">
        <f>'Baseline debt'!Q158</f>
        <v>0</v>
      </c>
      <c r="P38" s="1126">
        <f>'Baseline debt'!R158</f>
        <v>0</v>
      </c>
      <c r="Q38" s="1126">
        <f>'Baseline debt'!S158</f>
        <v>0</v>
      </c>
      <c r="R38" s="1126">
        <f>'Baseline debt'!T158</f>
        <v>0</v>
      </c>
      <c r="S38" s="1126">
        <f>'Baseline debt'!U158</f>
        <v>0</v>
      </c>
      <c r="T38" s="563"/>
      <c r="U38" s="1127">
        <f t="shared" si="0"/>
        <v>0</v>
      </c>
      <c r="V38" s="563"/>
    </row>
    <row r="39" spans="1:24" s="564" customFormat="1" ht="20.100000000000001" customHeight="1">
      <c r="A39" s="563"/>
      <c r="B39" s="1136" t="s">
        <v>746</v>
      </c>
      <c r="C39" s="563"/>
      <c r="D39" s="563"/>
      <c r="E39" s="563"/>
      <c r="F39" s="563"/>
      <c r="G39" s="563"/>
      <c r="H39" s="563"/>
      <c r="I39" s="621">
        <f>AVERAGE('Baseline debt'!E159:M159)</f>
        <v>0</v>
      </c>
      <c r="J39" s="621"/>
      <c r="K39" s="1127">
        <f>'Baseline debt'!N159</f>
        <v>0</v>
      </c>
      <c r="L39" s="1127">
        <f>'Baseline debt'!O159</f>
        <v>0</v>
      </c>
      <c r="N39" s="1126">
        <f>'Baseline debt'!P159</f>
        <v>0</v>
      </c>
      <c r="O39" s="1126">
        <f>'Baseline debt'!Q159</f>
        <v>0</v>
      </c>
      <c r="P39" s="1126">
        <f>'Baseline debt'!R159</f>
        <v>0</v>
      </c>
      <c r="Q39" s="1126">
        <f>'Baseline debt'!S159</f>
        <v>0</v>
      </c>
      <c r="R39" s="1126">
        <f>'Baseline debt'!T159</f>
        <v>0</v>
      </c>
      <c r="S39" s="1126">
        <f>'Baseline debt'!U159</f>
        <v>0</v>
      </c>
      <c r="T39" s="563"/>
      <c r="U39" s="1127">
        <f t="shared" si="0"/>
        <v>0</v>
      </c>
      <c r="V39" s="563"/>
    </row>
    <row r="40" spans="1:24" s="564" customFormat="1" ht="20.100000000000001" customHeight="1">
      <c r="A40" s="563"/>
      <c r="B40" s="1136" t="str">
        <f>'Input 2 - Data'!D32</f>
        <v>Please specify (2) (e.g., other debt flows) (+ increases financing needs)</v>
      </c>
      <c r="C40" s="563"/>
      <c r="D40" s="563"/>
      <c r="E40" s="563"/>
      <c r="F40" s="563"/>
      <c r="G40" s="563"/>
      <c r="H40" s="563"/>
      <c r="I40" s="621">
        <f>AVERAGE('Baseline debt'!E160:M160)</f>
        <v>0</v>
      </c>
      <c r="J40" s="621"/>
      <c r="K40" s="1127">
        <f>'Baseline debt'!N160</f>
        <v>0</v>
      </c>
      <c r="L40" s="1127">
        <f>'Baseline debt'!O160</f>
        <v>0</v>
      </c>
      <c r="N40" s="1126">
        <f>'Baseline debt'!P160</f>
        <v>0</v>
      </c>
      <c r="O40" s="1126">
        <f>'Baseline debt'!Q160</f>
        <v>0</v>
      </c>
      <c r="P40" s="1126">
        <f>'Baseline debt'!R160</f>
        <v>0</v>
      </c>
      <c r="Q40" s="1126">
        <f>'Baseline debt'!S160</f>
        <v>0</v>
      </c>
      <c r="R40" s="1126">
        <f>'Baseline debt'!T160</f>
        <v>0</v>
      </c>
      <c r="S40" s="1126">
        <f>'Baseline debt'!U160</f>
        <v>0</v>
      </c>
      <c r="T40" s="563"/>
      <c r="U40" s="1127">
        <f t="shared" si="0"/>
        <v>0</v>
      </c>
      <c r="V40" s="563"/>
    </row>
    <row r="41" spans="1:24" s="563" customFormat="1" ht="19.5" customHeight="1">
      <c r="B41" s="1128" t="s">
        <v>1021</v>
      </c>
      <c r="I41" s="621">
        <f>AVERAGE('Baseline debt'!E161:M161)</f>
        <v>-1.1200070710965164</v>
      </c>
      <c r="J41" s="621"/>
      <c r="K41" s="1127">
        <f>'Baseline debt'!N161</f>
        <v>3.6784350893753142</v>
      </c>
      <c r="L41" s="1127">
        <f>'Baseline debt'!O161</f>
        <v>0.97121154256909659</v>
      </c>
      <c r="N41" s="1126">
        <f>'Baseline debt'!P161</f>
        <v>-0.17439700838239564</v>
      </c>
      <c r="O41" s="1126">
        <f>'Baseline debt'!Q161</f>
        <v>-0.16427195280477039</v>
      </c>
      <c r="P41" s="1126">
        <f>'Baseline debt'!R161</f>
        <v>-0.16350000000000153</v>
      </c>
      <c r="Q41" s="1126">
        <f>'Baseline debt'!S161</f>
        <v>-0.16349999999999509</v>
      </c>
      <c r="R41" s="1126">
        <f>'Baseline debt'!T161</f>
        <v>-0.16350000000000819</v>
      </c>
      <c r="S41" s="1126">
        <f>'Baseline debt'!U161</f>
        <v>-0.15992721933990639</v>
      </c>
      <c r="T41" s="1126"/>
      <c r="U41" s="1127">
        <f t="shared" si="0"/>
        <v>-0.98909618052707726</v>
      </c>
    </row>
    <row r="42" spans="1:24" s="587" customFormat="1" ht="5.0999999999999996" customHeight="1">
      <c r="B42" s="1142"/>
      <c r="C42" s="1142"/>
      <c r="D42" s="1142"/>
      <c r="E42" s="1142"/>
      <c r="F42" s="1142"/>
      <c r="G42" s="1142"/>
      <c r="H42" s="1142"/>
      <c r="I42" s="1142"/>
      <c r="J42" s="1142"/>
      <c r="K42" s="1142"/>
      <c r="L42" s="1142"/>
      <c r="M42" s="1169"/>
      <c r="N42" s="1142"/>
      <c r="O42" s="1142"/>
      <c r="P42" s="1142"/>
      <c r="Q42" s="1142"/>
      <c r="R42" s="1142"/>
      <c r="S42" s="1142"/>
      <c r="T42" s="1169"/>
      <c r="U42" s="1169"/>
      <c r="V42" s="1169"/>
      <c r="W42" s="1169"/>
      <c r="X42" s="1169"/>
    </row>
    <row r="43" spans="1:24" s="564" customFormat="1" ht="20.100000000000001" customHeight="1">
      <c r="A43" s="563"/>
      <c r="T43" s="563"/>
      <c r="V43" s="563"/>
    </row>
    <row r="44" spans="1:24" s="564" customFormat="1" ht="20.100000000000001" customHeight="1">
      <c r="A44" s="563"/>
      <c r="T44" s="563"/>
      <c r="V44" s="563"/>
    </row>
    <row r="45" spans="1:24" s="564" customFormat="1" ht="20.100000000000001" customHeight="1">
      <c r="A45" s="563"/>
      <c r="T45" s="563"/>
      <c r="V45" s="563"/>
    </row>
    <row r="46" spans="1:24" s="564" customFormat="1" ht="20.100000000000001" customHeight="1">
      <c r="A46" s="563"/>
      <c r="T46" s="563"/>
      <c r="V46" s="563"/>
    </row>
    <row r="47" spans="1:24" s="564" customFormat="1" ht="20.100000000000001" customHeight="1">
      <c r="A47" s="563"/>
      <c r="T47" s="563"/>
      <c r="V47" s="563"/>
    </row>
    <row r="48" spans="1:24" s="564" customFormat="1" ht="20.100000000000001" customHeight="1">
      <c r="A48" s="563"/>
      <c r="T48" s="563"/>
      <c r="V48" s="563"/>
    </row>
    <row r="49" spans="1:22" s="564" customFormat="1" ht="20.100000000000001" customHeight="1">
      <c r="A49" s="563"/>
      <c r="T49" s="563"/>
      <c r="V49" s="563"/>
    </row>
    <row r="50" spans="1:22" s="564" customFormat="1" ht="20.100000000000001" customHeight="1">
      <c r="A50" s="563"/>
      <c r="T50" s="563"/>
      <c r="V50" s="563"/>
    </row>
    <row r="51" spans="1:22" s="564" customFormat="1" ht="20.100000000000001" customHeight="1">
      <c r="A51" s="563"/>
      <c r="T51" s="563"/>
      <c r="V51" s="563"/>
    </row>
    <row r="52" spans="1:22" s="564" customFormat="1" ht="20.100000000000001" customHeight="1">
      <c r="A52" s="563"/>
      <c r="T52" s="563"/>
      <c r="V52" s="563"/>
    </row>
    <row r="53" spans="1:22" s="564" customFormat="1" ht="20.100000000000001" customHeight="1">
      <c r="A53" s="563"/>
      <c r="T53" s="563"/>
      <c r="V53" s="563"/>
    </row>
    <row r="54" spans="1:22" s="564" customFormat="1" ht="20.100000000000001" customHeight="1">
      <c r="A54" s="563"/>
      <c r="T54" s="563"/>
      <c r="V54" s="563"/>
    </row>
    <row r="55" spans="1:22" s="564" customFormat="1" ht="20.100000000000001" customHeight="1">
      <c r="A55" s="563"/>
      <c r="T55" s="563"/>
      <c r="V55" s="563"/>
    </row>
    <row r="56" spans="1:22" s="564" customFormat="1" ht="20.100000000000001" customHeight="1">
      <c r="A56" s="563"/>
      <c r="T56" s="563"/>
      <c r="V56" s="563"/>
    </row>
    <row r="57" spans="1:22" s="564" customFormat="1" ht="20.100000000000001" customHeight="1">
      <c r="A57" s="563"/>
      <c r="T57" s="563"/>
      <c r="V57" s="563"/>
    </row>
    <row r="58" spans="1:22" s="564" customFormat="1" ht="20.100000000000001" customHeight="1">
      <c r="A58" s="563"/>
      <c r="T58" s="563"/>
      <c r="V58" s="563"/>
    </row>
    <row r="59" spans="1:22" s="564" customFormat="1" ht="20.100000000000001" customHeight="1">
      <c r="A59" s="563"/>
      <c r="T59" s="563"/>
      <c r="V59" s="563"/>
    </row>
    <row r="60" spans="1:22" s="564" customFormat="1" ht="20.100000000000001" customHeight="1">
      <c r="A60" s="563"/>
      <c r="T60" s="563"/>
      <c r="V60" s="563"/>
    </row>
    <row r="61" spans="1:22" s="564" customFormat="1" ht="20.100000000000001" customHeight="1">
      <c r="A61" s="563"/>
      <c r="T61" s="563"/>
      <c r="V61" s="563"/>
    </row>
    <row r="62" spans="1:22" s="564" customFormat="1" ht="20.100000000000001" customHeight="1">
      <c r="A62" s="563"/>
      <c r="T62" s="563"/>
      <c r="V62" s="563"/>
    </row>
    <row r="63" spans="1:22" s="564" customFormat="1" ht="20.100000000000001" customHeight="1">
      <c r="A63" s="563"/>
      <c r="T63" s="563"/>
      <c r="V63" s="563"/>
    </row>
    <row r="64" spans="1:22" s="564" customFormat="1" ht="20.100000000000001" customHeight="1">
      <c r="T64" s="563"/>
      <c r="V64" s="563"/>
    </row>
    <row r="65" spans="1:22" s="564" customFormat="1" ht="20.100000000000001" customHeight="1">
      <c r="A65" s="577" t="s">
        <v>960</v>
      </c>
      <c r="T65" s="563"/>
      <c r="V65" s="563"/>
    </row>
    <row r="66" spans="1:22" s="564" customFormat="1" ht="20.100000000000001" customHeight="1">
      <c r="A66" s="577" t="str">
        <f>IF(SectorDefinition="other","1/ Public sector is defined as the "&amp;SectorAltDefinition,"1/ Public sector is defined as "&amp;SectorDefinition)&amp;IF(Guarantees="Yes"," and includes public guarantees, defined as "&amp;IF(Guarantees="Yes",GuaranteesDef&amp;".",""),".")</f>
        <v>1/ Public sector is defined as general government.</v>
      </c>
      <c r="T66" s="563"/>
      <c r="V66" s="563"/>
    </row>
    <row r="67" spans="1:22" s="564" customFormat="1" ht="20.100000000000001" customHeight="1">
      <c r="A67" s="577" t="s">
        <v>975</v>
      </c>
      <c r="T67" s="563"/>
      <c r="V67" s="563"/>
    </row>
    <row r="68" spans="1:22" s="564" customFormat="1" ht="20.100000000000001" customHeight="1">
      <c r="A68" s="576" t="str">
        <f>"3/ "&amp;SpreadDefinition&amp;"."</f>
        <v>3/ Long-term bond spread over German bonds (bp).</v>
      </c>
      <c r="T68" s="563"/>
      <c r="V68" s="563"/>
    </row>
    <row r="69" spans="1:22" s="564" customFormat="1" ht="20.100000000000001" customHeight="1">
      <c r="A69" s="577" t="s">
        <v>1027</v>
      </c>
      <c r="T69" s="563"/>
      <c r="V69" s="563"/>
    </row>
    <row r="70" spans="1:22" s="564" customFormat="1" ht="20.100000000000001" customHeight="1">
      <c r="A70" s="1129" t="s">
        <v>1155</v>
      </c>
      <c r="T70" s="563"/>
      <c r="V70" s="563"/>
    </row>
    <row r="71" spans="1:22" s="564" customFormat="1" ht="20.100000000000001" customHeight="1">
      <c r="A71" s="1708" t="s">
        <v>743</v>
      </c>
      <c r="T71" s="563"/>
      <c r="V71" s="563"/>
    </row>
    <row r="72" spans="1:22" s="564" customFormat="1" ht="20.100000000000001" customHeight="1">
      <c r="A72" s="1129" t="s">
        <v>1165</v>
      </c>
      <c r="C72" s="563"/>
      <c r="D72" s="563"/>
      <c r="E72" s="563"/>
      <c r="F72" s="563"/>
      <c r="G72" s="563"/>
      <c r="H72" s="563"/>
      <c r="I72" s="563"/>
      <c r="J72" s="563"/>
      <c r="K72" s="563"/>
      <c r="L72" s="563"/>
      <c r="M72" s="563"/>
      <c r="N72" s="563"/>
      <c r="O72" s="563"/>
      <c r="P72" s="563"/>
      <c r="Q72" s="563"/>
      <c r="R72" s="563"/>
      <c r="S72" s="563"/>
      <c r="T72" s="563"/>
      <c r="V72" s="563"/>
    </row>
    <row r="73" spans="1:22" s="564" customFormat="1" ht="20.100000000000001" customHeight="1">
      <c r="A73" s="1129" t="s">
        <v>1024</v>
      </c>
      <c r="C73" s="563"/>
      <c r="D73" s="563"/>
      <c r="E73" s="563"/>
      <c r="F73" s="563"/>
      <c r="G73" s="563"/>
      <c r="H73" s="563"/>
      <c r="I73" s="563"/>
      <c r="J73" s="563"/>
      <c r="K73" s="563"/>
      <c r="L73" s="563"/>
      <c r="M73" s="563"/>
      <c r="N73" s="563"/>
      <c r="O73" s="563"/>
      <c r="P73" s="563"/>
      <c r="Q73" s="563"/>
      <c r="R73" s="563"/>
      <c r="S73" s="563"/>
      <c r="T73" s="563"/>
      <c r="V73" s="563"/>
    </row>
    <row r="74" spans="1:22" s="564" customFormat="1" ht="20.100000000000001" customHeight="1">
      <c r="A74" s="1129" t="str">
        <f>"8/ Includes "&amp;IF(Guarantees="Yes","changes in the stock of guarantees, ","")&amp;"asset changes"&amp;IF(Guarantees="Yes",",","")&amp;" and interest revenues (if any). For projections, includes exchange rate changes during the projection period."</f>
        <v>8/ Includes asset changes and interest revenues (if any). For projections, includes exchange rate changes during the projection period.</v>
      </c>
      <c r="C74" s="563"/>
      <c r="D74" s="563"/>
      <c r="E74" s="563"/>
      <c r="F74" s="563"/>
      <c r="G74" s="563"/>
      <c r="H74" s="563"/>
      <c r="I74" s="563"/>
      <c r="J74" s="563"/>
      <c r="K74" s="563"/>
      <c r="L74" s="563"/>
      <c r="M74" s="563"/>
      <c r="N74" s="563"/>
      <c r="O74" s="563"/>
      <c r="P74" s="563"/>
      <c r="Q74" s="563"/>
      <c r="R74" s="563"/>
      <c r="S74" s="563"/>
      <c r="T74" s="563"/>
      <c r="V74" s="563"/>
    </row>
    <row r="75" spans="1:22" s="564" customFormat="1" ht="20.100000000000001" customHeight="1">
      <c r="A75" s="1129" t="s">
        <v>1023</v>
      </c>
      <c r="T75" s="563"/>
      <c r="V75" s="563"/>
    </row>
    <row r="76" spans="1:22" s="564" customFormat="1" ht="20.100000000000001" customHeight="1">
      <c r="T76" s="563"/>
      <c r="V76" s="563"/>
    </row>
    <row r="77" spans="1:22" s="564" customFormat="1" ht="20.100000000000001" customHeight="1">
      <c r="A77" s="563"/>
      <c r="T77" s="563"/>
      <c r="V77" s="563"/>
    </row>
    <row r="78" spans="1:22" s="564" customFormat="1" ht="20.100000000000001" customHeight="1">
      <c r="A78" s="563"/>
      <c r="T78" s="563"/>
      <c r="V78" s="563"/>
    </row>
    <row r="79" spans="1:22" s="564" customFormat="1" ht="20.100000000000001" customHeight="1">
      <c r="A79" s="563"/>
      <c r="T79" s="563"/>
      <c r="V79" s="563"/>
    </row>
    <row r="80" spans="1:22" s="564" customFormat="1" ht="20.100000000000001" customHeight="1">
      <c r="A80" s="563"/>
      <c r="T80" s="563"/>
      <c r="V80" s="563"/>
    </row>
    <row r="81" spans="1:22" s="564" customFormat="1" ht="20.100000000000001" customHeight="1">
      <c r="A81" s="563"/>
      <c r="T81" s="563"/>
      <c r="V81" s="563"/>
    </row>
    <row r="82" spans="1:22" s="564" customFormat="1" ht="20.100000000000001" customHeight="1">
      <c r="A82" s="563"/>
      <c r="T82" s="563"/>
      <c r="V82" s="563"/>
    </row>
    <row r="83" spans="1:22" s="564" customFormat="1" ht="20.100000000000001" customHeight="1">
      <c r="A83" s="563"/>
      <c r="T83" s="563"/>
      <c r="V83" s="563"/>
    </row>
    <row r="84" spans="1:22" s="564" customFormat="1" ht="20.100000000000001" customHeight="1">
      <c r="A84" s="563"/>
      <c r="T84" s="563"/>
      <c r="V84" s="563"/>
    </row>
    <row r="85" spans="1:22" s="564" customFormat="1" ht="20.100000000000001" customHeight="1">
      <c r="A85" s="563"/>
      <c r="T85" s="563"/>
      <c r="V85" s="563"/>
    </row>
    <row r="86" spans="1:22" s="564" customFormat="1">
      <c r="A86" s="563"/>
      <c r="T86" s="563"/>
      <c r="V86" s="563"/>
    </row>
    <row r="87" spans="1:22" s="564" customFormat="1">
      <c r="A87" s="563"/>
      <c r="T87" s="563"/>
      <c r="V87" s="563"/>
    </row>
    <row r="88" spans="1:22" s="564" customFormat="1">
      <c r="A88" s="563"/>
      <c r="T88" s="563"/>
      <c r="V88" s="563"/>
    </row>
    <row r="89" spans="1:22" s="564" customFormat="1">
      <c r="A89" s="563"/>
      <c r="T89" s="563"/>
      <c r="V89" s="563"/>
    </row>
    <row r="90" spans="1:22" s="564" customFormat="1">
      <c r="A90" s="563"/>
      <c r="T90" s="563"/>
      <c r="V90" s="563"/>
    </row>
    <row r="91" spans="1:22" s="564" customFormat="1">
      <c r="A91" s="563"/>
      <c r="T91" s="563"/>
      <c r="V91" s="563"/>
    </row>
    <row r="92" spans="1:22" s="564" customFormat="1">
      <c r="A92" s="563"/>
      <c r="T92" s="563"/>
      <c r="V92" s="563"/>
    </row>
    <row r="93" spans="1:22" s="564" customFormat="1">
      <c r="A93" s="563"/>
      <c r="T93" s="563"/>
      <c r="V93" s="563"/>
    </row>
    <row r="94" spans="1:22" s="564" customFormat="1">
      <c r="A94" s="563"/>
      <c r="T94" s="563"/>
      <c r="V94" s="563"/>
    </row>
    <row r="95" spans="1:22" s="564" customFormat="1">
      <c r="A95" s="563"/>
      <c r="T95" s="563"/>
      <c r="V95" s="563"/>
    </row>
    <row r="96" spans="1:22" s="564" customFormat="1">
      <c r="A96" s="563"/>
      <c r="T96" s="563"/>
      <c r="V96" s="563"/>
    </row>
    <row r="97" spans="1:22" s="564" customFormat="1">
      <c r="A97" s="563"/>
      <c r="T97" s="563"/>
      <c r="V97" s="563"/>
    </row>
    <row r="98" spans="1:22" s="564" customFormat="1">
      <c r="A98" s="563"/>
      <c r="T98" s="563"/>
      <c r="V98" s="563"/>
    </row>
    <row r="99" spans="1:22" s="564" customFormat="1">
      <c r="A99" s="563"/>
      <c r="T99" s="563"/>
      <c r="V99" s="563"/>
    </row>
    <row r="100" spans="1:22" s="564" customFormat="1">
      <c r="A100" s="563"/>
      <c r="T100" s="563"/>
      <c r="V100" s="563"/>
    </row>
    <row r="101" spans="1:22" s="564" customFormat="1">
      <c r="A101" s="563"/>
      <c r="T101" s="563"/>
      <c r="V101" s="563"/>
    </row>
    <row r="102" spans="1:22" s="564" customFormat="1">
      <c r="A102" s="563"/>
      <c r="T102" s="563"/>
      <c r="V102" s="563"/>
    </row>
    <row r="103" spans="1:22" s="564" customFormat="1">
      <c r="A103" s="563"/>
      <c r="T103" s="563"/>
      <c r="V103" s="563"/>
    </row>
    <row r="104" spans="1:22" s="564" customFormat="1">
      <c r="A104" s="563"/>
      <c r="T104" s="563"/>
      <c r="V104" s="563"/>
    </row>
    <row r="105" spans="1:22" s="564" customFormat="1">
      <c r="A105" s="563"/>
      <c r="T105" s="563"/>
      <c r="V105" s="563"/>
    </row>
    <row r="106" spans="1:22" s="564" customFormat="1">
      <c r="A106" s="563"/>
      <c r="T106" s="563"/>
      <c r="V106" s="563"/>
    </row>
    <row r="107" spans="1:22" s="564" customFormat="1">
      <c r="A107" s="563"/>
      <c r="T107" s="563"/>
      <c r="V107" s="563"/>
    </row>
    <row r="108" spans="1:22" s="564" customFormat="1">
      <c r="A108" s="563"/>
      <c r="T108" s="563"/>
      <c r="V108" s="563"/>
    </row>
    <row r="109" spans="1:22" s="564" customFormat="1">
      <c r="A109" s="563"/>
      <c r="T109" s="563"/>
      <c r="V109" s="563"/>
    </row>
  </sheetData>
  <mergeCells count="14">
    <mergeCell ref="A2:Y2"/>
    <mergeCell ref="W29:X29"/>
    <mergeCell ref="W28:X28"/>
    <mergeCell ref="W26:X26"/>
    <mergeCell ref="A3:Y3"/>
    <mergeCell ref="A5:Y5"/>
    <mergeCell ref="H25:I25"/>
    <mergeCell ref="H24:L24"/>
    <mergeCell ref="N7:S7"/>
    <mergeCell ref="B22:X22"/>
    <mergeCell ref="N24:X24"/>
    <mergeCell ref="H8:I8"/>
    <mergeCell ref="H7:L7"/>
    <mergeCell ref="W25:X25"/>
  </mergeCells>
  <conditionalFormatting sqref="N15:S15 B15:L15 N12:S12 B12:L12">
    <cfRule type="expression" dxfId="74" priority="2">
      <formula>NetDebt="No"</formula>
    </cfRule>
  </conditionalFormatting>
  <pageMargins left="0.7" right="0.7" top="0.75" bottom="0.75" header="0.3" footer="0.3"/>
  <pageSetup scale="49" orientation="portrait" r:id="rId1"/>
  <colBreaks count="1" manualBreakCount="1">
    <brk id="12" max="68"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334BA3005092044E8D497CF5C2A74793" ma:contentTypeVersion="7" ma:contentTypeDescription="Izveidot jaunu dokumentu." ma:contentTypeScope="" ma:versionID="a18141f725f35d7be22bb6d6d0145ea1">
  <xsd:schema xmlns:xsd="http://www.w3.org/2001/XMLSchema" xmlns:xs="http://www.w3.org/2001/XMLSchema" xmlns:p="http://schemas.microsoft.com/office/2006/metadata/properties" xmlns:ns2="9c70c90a-7b91-4514-9304-0bf9c3ca33df" xmlns:ns3="18cde31a-aed2-49ce-b570-e812b29b6342" targetNamespace="http://schemas.microsoft.com/office/2006/metadata/properties" ma:root="true" ma:fieldsID="ce8c318fb1f3d996710b6b4defd5059e" ns2:_="" ns3:_="">
    <xsd:import namespace="9c70c90a-7b91-4514-9304-0bf9c3ca33df"/>
    <xsd:import namespace="18cde31a-aed2-49ce-b570-e812b29b6342"/>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2:MediaServiceOCR"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70c90a-7b91-4514-9304-0bf9c3ca33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8cde31a-aed2-49ce-b570-e812b29b6342" elementFormDefault="qualified">
    <xsd:import namespace="http://schemas.microsoft.com/office/2006/documentManagement/types"/>
    <xsd:import namespace="http://schemas.microsoft.com/office/infopath/2007/PartnerControls"/>
    <xsd:element name="SharedWithUsers" ma:index="11"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932B38C-3BA2-4FF6-96D0-5140334058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70c90a-7b91-4514-9304-0bf9c3ca33df"/>
    <ds:schemaRef ds:uri="18cde31a-aed2-49ce-b570-e812b29b63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B6D86FC-57C1-44DF-A9F0-453BD27CD7E1}">
  <ds:schemaRefs>
    <ds:schemaRef ds:uri="http://schemas.microsoft.com/sharepoint/v3/contenttype/forms"/>
  </ds:schemaRefs>
</ds:datastoreItem>
</file>

<file path=customXml/itemProps3.xml><?xml version="1.0" encoding="utf-8"?>
<ds:datastoreItem xmlns:ds="http://schemas.openxmlformats.org/officeDocument/2006/customXml" ds:itemID="{DB239D02-FE42-4DE4-ACB8-83399CE8B103}">
  <ds:schemaRefs>
    <ds:schemaRef ds:uri="http://schemas.microsoft.com/office/2006/documentManagement/types"/>
    <ds:schemaRef ds:uri="http://schemas.microsoft.com/office/2006/metadata/properties"/>
    <ds:schemaRef ds:uri="http://www.w3.org/XML/1998/namespace"/>
    <ds:schemaRef ds:uri="http://schemas.openxmlformats.org/package/2006/metadata/core-properties"/>
    <ds:schemaRef ds:uri="http://purl.org/dc/elements/1.1/"/>
    <ds:schemaRef ds:uri="http://purl.org/dc/terms/"/>
    <ds:schemaRef ds:uri="18cde31a-aed2-49ce-b570-e812b29b6342"/>
    <ds:schemaRef ds:uri="http://schemas.microsoft.com/office/infopath/2007/PartnerControls"/>
    <ds:schemaRef ds:uri="9c70c90a-7b91-4514-9304-0bf9c3ca33df"/>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28</vt:i4>
      </vt:variant>
      <vt:variant>
        <vt:lpstr>Named Ranges</vt:lpstr>
      </vt:variant>
      <vt:variant>
        <vt:i4>125</vt:i4>
      </vt:variant>
    </vt:vector>
  </HeadingPairs>
  <TitlesOfParts>
    <vt:vector size="153" baseType="lpstr">
      <vt:lpstr>Input - Instructions</vt:lpstr>
      <vt:lpstr>Input 1 - Basics</vt:lpstr>
      <vt:lpstr>Input 2 - Data</vt:lpstr>
      <vt:lpstr>Input 3 - Debt and Banking</vt:lpstr>
      <vt:lpstr>Input 4 - Forecast</vt:lpstr>
      <vt:lpstr>Input 5 - Scenario Design</vt:lpstr>
      <vt:lpstr>Fan Chart</vt:lpstr>
      <vt:lpstr>Output - Instructions</vt:lpstr>
      <vt:lpstr>Output - Basic1</vt:lpstr>
      <vt:lpstr>Output - Basic2</vt:lpstr>
      <vt:lpstr>Output - Realism</vt:lpstr>
      <vt:lpstr>Output - Shocks</vt:lpstr>
      <vt:lpstr>Output - Heat Map</vt:lpstr>
      <vt:lpstr>Baseline</vt:lpstr>
      <vt:lpstr>Baseline debt</vt:lpstr>
      <vt:lpstr>Benchmarks</vt:lpstr>
      <vt:lpstr>Lists-Modules-ChartData</vt:lpstr>
      <vt:lpstr>HeatMap</vt:lpstr>
      <vt:lpstr>primary</vt:lpstr>
      <vt:lpstr>growth</vt:lpstr>
      <vt:lpstr>interest</vt:lpstr>
      <vt:lpstr>exchange</vt:lpstr>
      <vt:lpstr>combo</vt:lpstr>
      <vt:lpstr>contingent</vt:lpstr>
      <vt:lpstr>historical</vt:lpstr>
      <vt:lpstr>constant pb</vt:lpstr>
      <vt:lpstr>custom1</vt:lpstr>
      <vt:lpstr>custom2</vt:lpstr>
      <vt:lpstr>AEStatus</vt:lpstr>
      <vt:lpstr>Basic2Shock1</vt:lpstr>
      <vt:lpstr>Basic2Shock2</vt:lpstr>
      <vt:lpstr>Basic2Shock3</vt:lpstr>
      <vt:lpstr>Basic2Shock4</vt:lpstr>
      <vt:lpstr>Basic2Shock5</vt:lpstr>
      <vt:lpstr>Basic2Shock6</vt:lpstr>
      <vt:lpstr>BenchmarkClassifyDebtAE</vt:lpstr>
      <vt:lpstr>BenchmarkClassifyDebtCountry</vt:lpstr>
      <vt:lpstr>BenchmarkClassifyDebtEM</vt:lpstr>
      <vt:lpstr>BenchmarkClassifyGFNAE</vt:lpstr>
      <vt:lpstr>BenchmarkClassifyGFNCountry</vt:lpstr>
      <vt:lpstr>BenchmarkClassifyGFNEM</vt:lpstr>
      <vt:lpstr>BenchmarkHMDebtCountry</vt:lpstr>
      <vt:lpstr>BenchmarkHMGFNCountry</vt:lpstr>
      <vt:lpstr>BoomBustCredit</vt:lpstr>
      <vt:lpstr>BoomBustGap</vt:lpstr>
      <vt:lpstr>BoomBustTrigger</vt:lpstr>
      <vt:lpstr>CLDesign</vt:lpstr>
      <vt:lpstr>CLTrigger</vt:lpstr>
      <vt:lpstr>CLTrigger_Auto</vt:lpstr>
      <vt:lpstr>CLTrigger_Manual</vt:lpstr>
      <vt:lpstr>Code</vt:lpstr>
      <vt:lpstr>ComboDesign</vt:lpstr>
      <vt:lpstr>Country</vt:lpstr>
      <vt:lpstr>CPBDesign</vt:lpstr>
      <vt:lpstr>Custom1Design</vt:lpstr>
      <vt:lpstr>Custom1Name</vt:lpstr>
      <vt:lpstr>Custom1Trigger</vt:lpstr>
      <vt:lpstr>Custom2Design</vt:lpstr>
      <vt:lpstr>Custom2Name</vt:lpstr>
      <vt:lpstr>Custom2Trigger</vt:lpstr>
      <vt:lpstr>DebtContingent</vt:lpstr>
      <vt:lpstr>DebtCustom</vt:lpstr>
      <vt:lpstr>DebtExchange</vt:lpstr>
      <vt:lpstr>DebtGrowth</vt:lpstr>
      <vt:lpstr>DebtInterest</vt:lpstr>
      <vt:lpstr>DebtPrimary</vt:lpstr>
      <vt:lpstr>DebttoPotentialGDP</vt:lpstr>
      <vt:lpstr>DPVExternal</vt:lpstr>
      <vt:lpstr>DPVForex</vt:lpstr>
      <vt:lpstr>DPVMarket</vt:lpstr>
      <vt:lpstr>DPVNonRes</vt:lpstr>
      <vt:lpstr>DPVShort</vt:lpstr>
      <vt:lpstr>DPVTrigger</vt:lpstr>
      <vt:lpstr>Exceptional</vt:lpstr>
      <vt:lpstr>ExchangeDesign</vt:lpstr>
      <vt:lpstr>ExtraShock1</vt:lpstr>
      <vt:lpstr>ExtraShock2</vt:lpstr>
      <vt:lpstr>ExtraShock3</vt:lpstr>
      <vt:lpstr>ExtraShock4</vt:lpstr>
      <vt:lpstr>ExtraShock5</vt:lpstr>
      <vt:lpstr>FanDraw</vt:lpstr>
      <vt:lpstr>FanMu</vt:lpstr>
      <vt:lpstr>FanSigma</vt:lpstr>
      <vt:lpstr>FirstYear</vt:lpstr>
      <vt:lpstr>FTRComparator</vt:lpstr>
      <vt:lpstr>FTRGroup</vt:lpstr>
      <vt:lpstr>GDPDesign</vt:lpstr>
      <vt:lpstr>GFNContingent</vt:lpstr>
      <vt:lpstr>GFNCustom</vt:lpstr>
      <vt:lpstr>GFNExchange</vt:lpstr>
      <vt:lpstr>GFNGrowth</vt:lpstr>
      <vt:lpstr>GFNInterest</vt:lpstr>
      <vt:lpstr>GFNPrimary</vt:lpstr>
      <vt:lpstr>Guarantees</vt:lpstr>
      <vt:lpstr>GuaranteesDef</vt:lpstr>
      <vt:lpstr>HistDesign</vt:lpstr>
      <vt:lpstr>InstBasics</vt:lpstr>
      <vt:lpstr>InstClassification</vt:lpstr>
      <vt:lpstr>InstDebt</vt:lpstr>
      <vt:lpstr>InstDesign</vt:lpstr>
      <vt:lpstr>InstDownload</vt:lpstr>
      <vt:lpstr>InstFan</vt:lpstr>
      <vt:lpstr>InstForecast</vt:lpstr>
      <vt:lpstr>InstOutputBasic</vt:lpstr>
      <vt:lpstr>InstOutputHeatMap</vt:lpstr>
      <vt:lpstr>InstOutputRealism</vt:lpstr>
      <vt:lpstr>InstOutputShocks</vt:lpstr>
      <vt:lpstr>InstOutputSubmit</vt:lpstr>
      <vt:lpstr>InstOverview</vt:lpstr>
      <vt:lpstr>InstructionsOverview</vt:lpstr>
      <vt:lpstr>InterestDesign</vt:lpstr>
      <vt:lpstr>ISO</vt:lpstr>
      <vt:lpstr>ListAnnual</vt:lpstr>
      <vt:lpstr>ListCountries</vt:lpstr>
      <vt:lpstr>ListDataPlatform</vt:lpstr>
      <vt:lpstr>ListFitch</vt:lpstr>
      <vt:lpstr>ListGovtDef</vt:lpstr>
      <vt:lpstr>ListLowerHigher</vt:lpstr>
      <vt:lpstr>ListMoody</vt:lpstr>
      <vt:lpstr>ListOnOff</vt:lpstr>
      <vt:lpstr>ListScale</vt:lpstr>
      <vt:lpstr>ListSP</vt:lpstr>
      <vt:lpstr>ListSpreadDef</vt:lpstr>
      <vt:lpstr>ListYears</vt:lpstr>
      <vt:lpstr>ListYesNo</vt:lpstr>
      <vt:lpstr>MFShock1</vt:lpstr>
      <vt:lpstr>MFShock2</vt:lpstr>
      <vt:lpstr>MFShock3</vt:lpstr>
      <vt:lpstr>MFShock4</vt:lpstr>
      <vt:lpstr>MFShock5</vt:lpstr>
      <vt:lpstr>NavigateAdjustment</vt:lpstr>
      <vt:lpstr>NavigateBoomBust</vt:lpstr>
      <vt:lpstr>NavigateCL</vt:lpstr>
      <vt:lpstr>NavigateDPV</vt:lpstr>
      <vt:lpstr>NavigateFTR</vt:lpstr>
      <vt:lpstr>NavigateMF</vt:lpstr>
      <vt:lpstr>NetDebt</vt:lpstr>
      <vt:lpstr>PBDesign</vt:lpstr>
      <vt:lpstr>'Input - Instructions'!Print_Area</vt:lpstr>
      <vt:lpstr>'Input 1 - Basics'!Print_Area</vt:lpstr>
      <vt:lpstr>'Output - Basic1'!Print_Area</vt:lpstr>
      <vt:lpstr>'Output - Basic2'!Print_Area</vt:lpstr>
      <vt:lpstr>'Output - Heat Map'!Print_Area</vt:lpstr>
      <vt:lpstr>'Output - Instructions'!Print_Area</vt:lpstr>
      <vt:lpstr>'Output - Realism'!Print_Area</vt:lpstr>
      <vt:lpstr>'Output - Shocks'!Print_Area</vt:lpstr>
      <vt:lpstr>REER</vt:lpstr>
      <vt:lpstr>Scale</vt:lpstr>
      <vt:lpstr>ScrutinyClassification_Auto</vt:lpstr>
      <vt:lpstr>ScrutinyClassification_Final</vt:lpstr>
      <vt:lpstr>SectorAltDefinition</vt:lpstr>
      <vt:lpstr>SectorDefinition</vt:lpstr>
      <vt:lpstr>SpreadDefinition</vt:lpstr>
    </vt:vector>
  </TitlesOfParts>
  <Company>International Monetary Fund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Francois Painchaud</dc:creator>
  <cp:lastModifiedBy>Andrejs Migunovs</cp:lastModifiedBy>
  <cp:lastPrinted>2019-04-21T11:58:02Z</cp:lastPrinted>
  <dcterms:created xsi:type="dcterms:W3CDTF">2011-10-18T20:21:33Z</dcterms:created>
  <dcterms:modified xsi:type="dcterms:W3CDTF">2021-02-12T08:48:44Z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0x010100334BA3005092044E8D497CF5C2A74793</vt:lpwstr>
  </property>
</Properties>
</file>